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tables/table1.xml" ContentType="application/vnd.openxmlformats-officedocument.spreadsheetml.tab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drawings/drawing22.xml" ContentType="application/vnd.openxmlformats-officedocument.drawing+xml"/>
  <Override PartName="/xl/comments24.xml" ContentType="application/vnd.openxmlformats-officedocument.spreadsheetml.comment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Types.xml" ContentType="application/vnd.ms-excel.rdrichvaluetypes+xml"/>
  <Override PartName="/xl/persons/person.xml" ContentType="application/vnd.ms-excel.person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ichValueRel.xml" ContentType="application/vnd.ms-excel.richvaluerel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4.xml" ContentType="application/vnd.ms-excel.threadedcomments+xml"/>
  <Override PartName="/xl/threadedComments/threadedComment5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E:\NUNCA PENDRIVE\2024\Edital Concorrencia\013 Tapa Buraco\"/>
    </mc:Choice>
  </mc:AlternateContent>
  <xr:revisionPtr revIDLastSave="0" documentId="13_ncr:1_{B5810C16-8271-4195-9279-1E378DFE8274}" xr6:coauthVersionLast="47" xr6:coauthVersionMax="47" xr10:uidLastSave="{00000000-0000-0000-0000-000000000000}"/>
  <bookViews>
    <workbookView xWindow="-120" yWindow="-120" windowWidth="29040" windowHeight="15720" tabRatio="893" firstSheet="2" activeTab="11" xr2:uid="{85938776-CCE4-4430-86EA-76335A660EAF}"/>
  </bookViews>
  <sheets>
    <sheet name="PAINEL" sheetId="1" state="hidden" r:id="rId1"/>
    <sheet name="Orcamento" sheetId="2" state="veryHidden" r:id="rId2"/>
    <sheet name="Orcamento ND" sheetId="44" r:id="rId3"/>
    <sheet name="Memoria_Insumos" sheetId="3" state="hidden" r:id="rId4"/>
    <sheet name="Cronograma" sheetId="4" state="veryHidden" r:id="rId5"/>
    <sheet name="Cronograma ND" sheetId="42" r:id="rId6"/>
    <sheet name="BDI Obra" sheetId="5" r:id="rId7"/>
    <sheet name="BDI Projeto" sheetId="6" state="hidden" r:id="rId8"/>
    <sheet name="Curva ABC" sheetId="7" state="veryHidden" r:id="rId9"/>
    <sheet name="Curva ABC ND" sheetId="47" r:id="rId10"/>
    <sheet name="Pareto" sheetId="8" state="veryHidden" r:id="rId11"/>
    <sheet name="Pareto ND" sheetId="49" r:id="rId12"/>
    <sheet name="ADM_Local" sheetId="9" state="veryHidden" r:id="rId13"/>
    <sheet name="ADM_Local ND" sheetId="46" r:id="rId14"/>
    <sheet name="Dados_DMT" sheetId="10" state="hidden" r:id="rId15"/>
    <sheet name="Estatística_Deson" sheetId="11" state="hidden" r:id="rId16"/>
    <sheet name="S_Preliminares" sheetId="12" r:id="rId17"/>
    <sheet name="CANTEIRO" sheetId="13" state="hidden" r:id="rId18"/>
    <sheet name="Demolicao" sheetId="14" state="hidden" r:id="rId19"/>
    <sheet name="Dren_Quantificacao" sheetId="15" state="hidden" r:id="rId20"/>
    <sheet name="Dre_Ser_Prelim" sheetId="16" state="hidden" r:id="rId21"/>
    <sheet name="Dre_Terraplenagem" sheetId="17" state="hidden" r:id="rId22"/>
    <sheet name="Dre_Disp_Estruturais" sheetId="18" state="hidden" r:id="rId23"/>
    <sheet name="Dre_Profunda" sheetId="19" state="hidden" r:id="rId24"/>
    <sheet name="Dre_Fecha_Vala" sheetId="20" state="hidden" r:id="rId25"/>
    <sheet name="Bacia_Amortecimento" sheetId="21" state="hidden" r:id="rId26"/>
    <sheet name="Recap_Previo" sheetId="22" r:id="rId27"/>
    <sheet name="Recap_Final" sheetId="23" r:id="rId28"/>
    <sheet name="Relevancia" sheetId="51" r:id="rId29"/>
    <sheet name="Planilha1" sheetId="52" r:id="rId30"/>
    <sheet name="Pav_Dados" sheetId="24" state="hidden" r:id="rId31"/>
    <sheet name="Pav_Terraplenagem" sheetId="25" state="hidden" r:id="rId32"/>
    <sheet name="Pav_Estrutura" sheetId="26" state="hidden" r:id="rId33"/>
    <sheet name="S_Complementares" sheetId="27" state="hidden" r:id="rId34"/>
    <sheet name="Passeio" sheetId="28" state="hidden" r:id="rId35"/>
    <sheet name="Ciclovia" sheetId="29" state="hidden" r:id="rId36"/>
    <sheet name="Cubação - Canteiro" sheetId="30" state="hidden" r:id="rId37"/>
    <sheet name="Tabelas Auxiliares" sheetId="31" state="hidden" r:id="rId38"/>
    <sheet name="Sinal_Via" sheetId="32" state="hidden" r:id="rId39"/>
    <sheet name="MEMÓRIA_PONTE" sheetId="33" state="hidden" r:id="rId40"/>
    <sheet name="Ponto_Onibus" sheetId="34" state="hidden" r:id="rId41"/>
    <sheet name="Calculo numero N" sheetId="35" state="hidden" r:id="rId42"/>
    <sheet name="Geotecnia" sheetId="36" state="hidden" r:id="rId43"/>
    <sheet name="Pav_Dim" sheetId="37" state="hidden" r:id="rId44"/>
    <sheet name="Dren_Dim" sheetId="38" state="hidden" r:id="rId45"/>
    <sheet name="B_Amort_01 -" sheetId="39" state="hidden" r:id="rId46"/>
    <sheet name="B_Amort_01" sheetId="40" state="hidden" r:id="rId47"/>
  </sheets>
  <externalReferences>
    <externalReference r:id="rId48"/>
  </externalReferences>
  <definedNames>
    <definedName name="_xlnm._FilterDatabase" localSheetId="25" hidden="1">Bacia_Amortecimento!$A$1:$K$110</definedName>
    <definedName name="_xlnm._FilterDatabase" localSheetId="35" hidden="1">Ciclovia!$A$1:$K$148</definedName>
    <definedName name="_xlnm._FilterDatabase" localSheetId="4" hidden="1">Cronograma!$A$1:$AX$242</definedName>
    <definedName name="_xlnm._FilterDatabase" localSheetId="5" hidden="1">'Cronograma ND'!$A$1:$AX$242</definedName>
    <definedName name="_xlnm._FilterDatabase" localSheetId="8" hidden="1">'Curva ABC'!$A$1:$H$12</definedName>
    <definedName name="_xlnm._FilterDatabase" localSheetId="9" hidden="1">'Curva ABC ND'!$A$1:$H$12</definedName>
    <definedName name="_xlnm._FilterDatabase" localSheetId="18" hidden="1">Demolicao!$A$1:$N$76</definedName>
    <definedName name="_xlnm._FilterDatabase" localSheetId="22" hidden="1">Dre_Disp_Estruturais!$A$1:$AJ$173</definedName>
    <definedName name="_xlnm._FilterDatabase" localSheetId="24" hidden="1">Dre_Fecha_Vala!$A$1:$V$101</definedName>
    <definedName name="_xlnm._FilterDatabase" localSheetId="23" hidden="1">Dre_Profunda!$A$1:$J$119</definedName>
    <definedName name="_xlnm._FilterDatabase" localSheetId="20" hidden="1">Dre_Ser_Prelim!$A$1:$AJ$42</definedName>
    <definedName name="_xlnm._FilterDatabase" localSheetId="21" hidden="1">Dre_Terraplenagem!$A$1:$AJ$222</definedName>
    <definedName name="_xlnm._FilterDatabase" localSheetId="44" hidden="1">Dren_Dim!$A$11:$AO$14</definedName>
    <definedName name="_xlnm._FilterDatabase" localSheetId="3" hidden="1">Memoria_Insumos!$A$7:$F$798</definedName>
    <definedName name="_xlnm._FilterDatabase" localSheetId="1" hidden="1">Orcamento!$A$1:$AE$1269</definedName>
    <definedName name="_xlnm._FilterDatabase" localSheetId="2" hidden="1">'Orcamento ND'!$A$1:$AE$1269</definedName>
    <definedName name="_xlnm._FilterDatabase" localSheetId="34" hidden="1">Passeio!$A$1:$M$259</definedName>
    <definedName name="_xlnm._FilterDatabase" localSheetId="32" hidden="1">Pav_Estrutura!$A$1:$L$135</definedName>
    <definedName name="_xlnm._FilterDatabase" localSheetId="31" hidden="1">Pav_Terraplenagem!$A$1:$K$121</definedName>
    <definedName name="_xlnm._FilterDatabase" localSheetId="40" hidden="1">Ponto_Onibus!$J$1:$J$74</definedName>
    <definedName name="_xlnm._FilterDatabase" localSheetId="27" hidden="1">Recap_Final!$A$2:$J$136</definedName>
    <definedName name="_xlnm._FilterDatabase" localSheetId="26" hidden="1">Recap_Previo!$A$1:$I$156</definedName>
    <definedName name="_xlnm._FilterDatabase" localSheetId="33" hidden="1">S_Complementares!$A$1:$N$75</definedName>
    <definedName name="_xlnm._FilterDatabase" localSheetId="38" hidden="1">Sinal_Via!$A$1:$L$402</definedName>
    <definedName name="_xlnm.Print_Area" localSheetId="12">ADM_Local!$A$1:$K$70</definedName>
    <definedName name="_xlnm.Print_Area" localSheetId="13">'ADM_Local ND'!$A$1:$K$70</definedName>
    <definedName name="_xlnm.Print_Area" localSheetId="25">Bacia_Amortecimento!$A$1:$K$110</definedName>
    <definedName name="_xlnm.Print_Area" localSheetId="6">'BDI Obra'!$A$6:$E$30,'BDI Obra'!$G$6:$K$30,'BDI Obra'!$A$34:$E$57,'BDI Obra'!$G$34:$K$57</definedName>
    <definedName name="_xlnm.Print_Area" localSheetId="7">'BDI Projeto'!$A$1:$F$27</definedName>
    <definedName name="_xlnm.Print_Area" localSheetId="35">Ciclovia!$A$1:$J$148</definedName>
    <definedName name="_xlnm.Print_Area" localSheetId="4">Cronograma!$A$1:$AR$163</definedName>
    <definedName name="_xlnm.Print_Area" localSheetId="5">'Cronograma ND'!$A$1:$AR$163</definedName>
    <definedName name="_xlnm.Print_Area" localSheetId="36">'Cubação - Canteiro'!$A$2:$J$43</definedName>
    <definedName name="_xlnm.Print_Area" localSheetId="8">'Curva ABC'!$A$1:$O$35</definedName>
    <definedName name="_xlnm.Print_Area" localSheetId="9">'Curva ABC ND'!$A$1:$O$35</definedName>
    <definedName name="_xlnm.Print_Area" localSheetId="14">Dados_DMT!$A$1:$L$35</definedName>
    <definedName name="_xlnm.Print_Area" localSheetId="18">Demolicao!$A$1:$M$76</definedName>
    <definedName name="_xlnm.Print_Area" localSheetId="22">Dre_Disp_Estruturais!$A$1:$AI$173</definedName>
    <definedName name="_xlnm.Print_Area" localSheetId="24">Dre_Fecha_Vala!$A$1:$U$101</definedName>
    <definedName name="_xlnm.Print_Area" localSheetId="23">Dre_Profunda!$A$1:$I$119</definedName>
    <definedName name="_xlnm.Print_Area" localSheetId="20">Dre_Ser_Prelim!$A$1:$AI$42</definedName>
    <definedName name="_xlnm.Print_Area" localSheetId="21">Dre_Terraplenagem!$A$1:$AI$222</definedName>
    <definedName name="_xlnm.Print_Area" localSheetId="44">Dren_Dim!$A$1:$AO$14</definedName>
    <definedName name="_xlnm.Print_Area" localSheetId="19">Dren_Quantificacao!$A$1:$BS$159</definedName>
    <definedName name="_xlnm.Print_Area" localSheetId="15">Estatística_Deson!$A$1:$I$37</definedName>
    <definedName name="_xlnm.Print_Area" localSheetId="42">Geotecnia!$A$1:$I$62</definedName>
    <definedName name="_xlnm.Print_Area" localSheetId="3">Memoria_Insumos!$A$8:$F$801</definedName>
    <definedName name="_xlnm.Print_Area" localSheetId="39">MEMÓRIA_PONTE!$A$1:$G$671</definedName>
    <definedName name="_xlnm.Print_Area" localSheetId="1">Orcamento!$A$2:$AC$1269</definedName>
    <definedName name="_xlnm.Print_Area" localSheetId="2">'Orcamento ND'!$A$2:$AC$1269</definedName>
    <definedName name="_xlnm.Print_Area" localSheetId="0">PAINEL!$A$1:$N$73</definedName>
    <definedName name="_xlnm.Print_Area" localSheetId="10">Pareto!$A$1:$AF$37</definedName>
    <definedName name="_xlnm.Print_Area" localSheetId="11">'Pareto ND'!$A$1:$AF$37</definedName>
    <definedName name="_xlnm.Print_Area" localSheetId="34">Passeio!$A$1:$L$259</definedName>
    <definedName name="_xlnm.Print_Area" localSheetId="30">Pav_Dados!$A$1:$G$140</definedName>
    <definedName name="_xlnm.Print_Area" localSheetId="43">Pav_Dim!$A$1:$U$65</definedName>
    <definedName name="_xlnm.Print_Area" localSheetId="32">Pav_Estrutura!$A$1:$K$135</definedName>
    <definedName name="_xlnm.Print_Area" localSheetId="31">Pav_Terraplenagem!$A$1:$J$121</definedName>
    <definedName name="_xlnm.Print_Area" localSheetId="40">Ponto_Onibus!$A$1:$I$73</definedName>
    <definedName name="_xlnm.Print_Area" localSheetId="27">Recap_Final!$A$2:$I$136</definedName>
    <definedName name="_xlnm.Print_Area" localSheetId="26">Recap_Previo!$A$1:$H$156</definedName>
    <definedName name="_xlnm.Print_Area" localSheetId="33">S_Complementares!$A$1:$M$75</definedName>
    <definedName name="_xlnm.Print_Area" localSheetId="16">S_Preliminares!$A$1:$N$28</definedName>
    <definedName name="_xlnm.Print_Area" localSheetId="38">Sinal_Via!$A$1:$K$402</definedName>
    <definedName name="Bacia_Amortecimento_FILTER">Bacia_Amortecimento!$K$1</definedName>
    <definedName name="BDI_INSUMO">#REF!</definedName>
    <definedName name="BDI_PROJETO">#REF!</definedName>
    <definedName name="BDI_SERVICO_DE">[1]DADOS!$E$21</definedName>
    <definedName name="BDI_SERVICO_ND">[1]DADOS!$E$18</definedName>
    <definedName name="BRASAO_MUNICIPIO" localSheetId="2">'Orcamento ND'!$S$10</definedName>
    <definedName name="BRASAO_MUNICIPIO">Orcamento!$S$10</definedName>
    <definedName name="CF_COFINS">#REF!</definedName>
    <definedName name="CF_INSS">#REF!</definedName>
    <definedName name="CF_MODALIDADE_PRECO">#REF!</definedName>
    <definedName name="CF_PIS">#REF!</definedName>
    <definedName name="Ciclovia_FILTER">Ciclovia!$K$1</definedName>
    <definedName name="CODIGO_MUNICIPIO">#REF!</definedName>
    <definedName name="COMPONENTE_BDI_1_QUARTIL">#REF!</definedName>
    <definedName name="COMPONENTE_BDI_3_QUARTIL">#REF!</definedName>
    <definedName name="COMPONENTE_BDI_COMPONENTE">#REF!</definedName>
    <definedName name="COMPONENTE_BDI_MEDIA">#REF!</definedName>
    <definedName name="COMPONENTE_BDI_SERVICO">#REF!</definedName>
    <definedName name="COMPONENTE_BDI_TABELA">#REF!</definedName>
    <definedName name="CRONOGRAMA_CONCEDENTE_DE" localSheetId="5">'Cronograma ND'!$D$167</definedName>
    <definedName name="CRONOGRAMA_CONCEDENTE_DE">Cronograma!$D$167</definedName>
    <definedName name="CRONOGRAMA_CONCEDENTE_ND" localSheetId="5">'Cronograma ND'!$D$159</definedName>
    <definedName name="CRONOGRAMA_CONCEDENTE_ND">Cronograma!$D$159</definedName>
    <definedName name="Cronograma_Filtro" localSheetId="5">'Cronograma ND'!$AX$1</definedName>
    <definedName name="Cronograma_Filtro">Cronograma!$AX$1</definedName>
    <definedName name="CRONOGRAMA_PROPONENTE_DE" localSheetId="5">'Cronograma ND'!$D$169</definedName>
    <definedName name="CRONOGRAMA_PROPONENTE_DE">Cronograma!$D$169</definedName>
    <definedName name="CRONOGRAMA_PROPONENTE_ND" localSheetId="5">'Cronograma ND'!$D$161</definedName>
    <definedName name="CRONOGRAMA_PROPONENTE_ND">Cronograma!$D$161</definedName>
    <definedName name="CURVA_ABC_DE_PARCIAL_DATA_CHART" localSheetId="9">'Curva ABC ND'!$M$14:$M$35</definedName>
    <definedName name="CURVA_ABC_DE_PARCIAL_DATA_CHART">'Curva ABC'!$M$14:$M$35</definedName>
    <definedName name="CURVA_ABC_DE_TOTAL_DATA_CHART" localSheetId="9">'Curva ABC ND'!$N$14:$N$35</definedName>
    <definedName name="CURVA_ABC_DE_TOTAL_DATA_CHART">'Curva ABC'!$N$14:$N$35</definedName>
    <definedName name="CURVA_ABC_ND_PARCIAL_DATA_CHART" localSheetId="9">'Curva ABC ND'!$H$14:$H$35</definedName>
    <definedName name="CURVA_ABC_ND_PARCIAL_DATA_CHART">'Curva ABC'!$H$14:$H$35</definedName>
    <definedName name="CURVA_ABC_ND_TOTAL_DATA_CHART" localSheetId="9">'Curva ABC ND'!$I$14:$I$35</definedName>
    <definedName name="CURVA_ABC_ND_TOTAL_DATA_CHART">'Curva ABC'!$I$14:$I$35</definedName>
    <definedName name="DB_MUNICIPIO">#REF!</definedName>
    <definedName name="DEMOLICAO_FILTER">Demolicao!$N$1</definedName>
    <definedName name="dghzdfhsd" localSheetId="46" hidden="1">{#N/A,#N/A,FALSE,"Pla_Preço";#N/A,#N/A,FALSE,"Crono"}</definedName>
    <definedName name="dghzdfhsd" localSheetId="45" hidden="1">{#N/A,#N/A,FALSE,"Pla_Preço";#N/A,#N/A,FALSE,"Crono"}</definedName>
    <definedName name="dghzdfhsd" localSheetId="39" hidden="1">{#N/A,#N/A,FALSE,"Pla_Preço";#N/A,#N/A,FALSE,"Crono"}</definedName>
    <definedName name="dghzdfhsd" hidden="1">{#N/A,#N/A,FALSE,"Pla_Preço";#N/A,#N/A,FALSE,"Crono"}</definedName>
    <definedName name="DRE_DIM_DIAMETROS">Dren_Dim!$X$1:$AB$1</definedName>
    <definedName name="Dre_Disp_Estruturais_FILTER">Dre_Disp_Estruturais!$AJ$1</definedName>
    <definedName name="Dre_Fecha_Vala_FILTER">Dre_Fecha_Vala!$V$1</definedName>
    <definedName name="Dre_Profunda_FILTER">Dre_Profunda!$J$1</definedName>
    <definedName name="Dre_Terraplenagem_FILTER">Dre_Terraplenagem!$AJ$1</definedName>
    <definedName name="dsgjhxgn" localSheetId="46" hidden="1">{#N/A,#N/A,FALSE,"Pla_Preço";#N/A,#N/A,FALSE,"Crono"}</definedName>
    <definedName name="dsgjhxgn" localSheetId="45" hidden="1">{#N/A,#N/A,FALSE,"Pla_Preço";#N/A,#N/A,FALSE,"Crono"}</definedName>
    <definedName name="dsgjhxgn" localSheetId="39" hidden="1">{#N/A,#N/A,FALSE,"Pla_Preço";#N/A,#N/A,FALSE,"Crono"}</definedName>
    <definedName name="dsgjhxgn" hidden="1">{#N/A,#N/A,FALSE,"Pla_Preço";#N/A,#N/A,FALSE,"Crono"}</definedName>
    <definedName name="FILTRO_CRONOGRAMA_IMPRESSAO" localSheetId="5">'Cronograma ND'!$AW$1</definedName>
    <definedName name="FILTRO_CRONOGRAMA_IMPRESSAO">Cronograma!$AW$1</definedName>
    <definedName name="FILTRO_ORCAMENTO" localSheetId="2">'Orcamento ND'!$AE$1</definedName>
    <definedName name="FILTRO_ORCAMENTO">Orcamento!$AE$1</definedName>
    <definedName name="FromArray_1">_xlfn.ANCHORARRAY(#REF!)</definedName>
    <definedName name="grp_GuieMeChave">"shp_BraceBottom,txt_WalkMeBrace,shp_BraceLeft"</definedName>
    <definedName name="grp_GuieMeSetas">"shp_ArrowCurved,txt_WalkMeArrows,shp_ArrowStraight"</definedName>
    <definedName name="Imposto_sobre_vendas">0.0825</definedName>
    <definedName name="ISOZONAS_b">#REF!</definedName>
    <definedName name="ISOZONAS_B2">#REF!</definedName>
    <definedName name="ISOZONAS_c">#REF!</definedName>
    <definedName name="ISOZONAS_d">#REF!</definedName>
    <definedName name="ISOZONAS_e">#REF!</definedName>
    <definedName name="ISOZONAS_MUNICIPIO">#REF!</definedName>
    <definedName name="ISOZONAS_NUMERO">#REF!</definedName>
    <definedName name="ISOZONAS_TR">#REF!</definedName>
    <definedName name="ISSQN_ALIQUOTA">#REF!</definedName>
    <definedName name="ISSQN_ALIQUOTA_ADOTADA">#REF!</definedName>
    <definedName name="ISSQN_MUNICIPIO">#REF!</definedName>
    <definedName name="ISSQN_NF">#REF!</definedName>
    <definedName name="LICITACAO_DESCONTO">[1]DADOS!$B$59</definedName>
    <definedName name="LOGO_EMPRESA" localSheetId="2">'Orcamento ND'!$K$10</definedName>
    <definedName name="LOGO_EMPRESA">Orcamento!$K$10</definedName>
    <definedName name="Memoria_Insumo_FIlter">Memoria_Insumos!$B$7</definedName>
    <definedName name="Memoria_Insumo_Header">Memoria_Insumos!$A$7:$F$7</definedName>
    <definedName name="municipio">#REF!</definedName>
    <definedName name="NOME_MUNICIPIO">#REF!</definedName>
    <definedName name="ORCAMENTO_DATA_BASE">[1]DADOS!$H$6</definedName>
    <definedName name="ORCAMENTO_ENCARGOS_H_DE">[1]DADOS!$H$24</definedName>
    <definedName name="ORCAMENTO_ENCARGOS_H_ND">[1]DADOS!$H$18</definedName>
    <definedName name="ORCAMENTO_ENCARGOS_MES_DE">[1]DADOS!$H$27</definedName>
    <definedName name="ORCAMENTO_ENCARGOS_MES_ND">[1]DADOS!$H$21</definedName>
    <definedName name="ORCAMENTO_MODO_VISIBILIDADE" localSheetId="2">'Orcamento ND'!$AH$1</definedName>
    <definedName name="ORCAMENTO_MODO_VISIBILIDADE">Orcamento!$AH$1</definedName>
    <definedName name="ORCAMENTO_VALOR_TOTAL_DE" localSheetId="2">'Orcamento ND'!$T$1269</definedName>
    <definedName name="ORCAMENTO_VALOR_TOTAL_DE">Orcamento!$T$1269</definedName>
    <definedName name="ORCAMENTO_VALOR_TOTAL_DRENAGEM" localSheetId="2">'Orcamento ND'!$AH$6</definedName>
    <definedName name="ORCAMENTO_VALOR_TOTAL_DRENAGEM">Orcamento!$AH$6</definedName>
    <definedName name="ORCAMENTO_VALOR_TOTAL_ND" localSheetId="2">'Orcamento ND'!$S$1269</definedName>
    <definedName name="ORCAMENTO_VALOR_TOTAL_ND">Orcamento!$S$1269</definedName>
    <definedName name="Passeio_FILTER">Passeio!$M$1</definedName>
    <definedName name="Pav_Estrutura_FILTER">Pav_Estrutura!$L$1</definedName>
    <definedName name="Pav_Terraplenagem_FILTER">Pav_Terraplenagem!$K$1</definedName>
    <definedName name="Payment_Needed">"Pagamento necessário"</definedName>
    <definedName name="PROJETO_b">[1]DADOS!$F$9</definedName>
    <definedName name="PROJETO_B2">[1]DADOS!$F$10</definedName>
    <definedName name="PROJETO_c">[1]DADOS!$F$11</definedName>
    <definedName name="PROJETO_d">[1]DADOS!$F$12</definedName>
    <definedName name="PROJETO_ISOZONA">[1]DADOS!$F$7</definedName>
    <definedName name="PROJETO_TR_ADOTADO">[1]DADOS!$B$55</definedName>
    <definedName name="Recap_Final_FILTER">Recap_Final!$J$2</definedName>
    <definedName name="Recap_Previo_FILTER">Recap_Previo!$I$1</definedName>
    <definedName name="Reimbursement">"Reembolso"</definedName>
    <definedName name="Remessa">1.25</definedName>
    <definedName name="S_Complementares_FILTER">S_Complementares!$N$1</definedName>
    <definedName name="S_PRELIMINAR_FILTER">Dre_Ser_Prelim!$AJ$1</definedName>
    <definedName name="Sinal_Via_FILTER">Sinal_Via!$L$1</definedName>
    <definedName name="TIPO_SERVICO">#REF!</definedName>
    <definedName name="_xlnm.Print_Titles" localSheetId="4">Cronograma!$A:$E,Cronograma!$1:$8</definedName>
    <definedName name="_xlnm.Print_Titles" localSheetId="5">'Cronograma ND'!$A:$E,'Cronograma ND'!$1:$8</definedName>
    <definedName name="_xlnm.Print_Titles" localSheetId="8">'Curva ABC'!$12:$13</definedName>
    <definedName name="_xlnm.Print_Titles" localSheetId="9">'Curva ABC ND'!$12:$13</definedName>
    <definedName name="_xlnm.Print_Titles" localSheetId="18">Demolicao!$A:$C,Demolicao!$1:$1</definedName>
    <definedName name="_xlnm.Print_Titles" localSheetId="22">Dre_Disp_Estruturais!$A:$C</definedName>
    <definedName name="_xlnm.Print_Titles" localSheetId="24">Dre_Fecha_Vala!$A:$C</definedName>
    <definedName name="_xlnm.Print_Titles" localSheetId="23">Dre_Profunda!$A:$C</definedName>
    <definedName name="_xlnm.Print_Titles" localSheetId="20">Dre_Ser_Prelim!$A:$C,Dre_Ser_Prelim!$1:$1</definedName>
    <definedName name="_xlnm.Print_Titles" localSheetId="21">Dre_Terraplenagem!$A:$C,Dre_Terraplenagem!$1:$1</definedName>
    <definedName name="_xlnm.Print_Titles" localSheetId="44">Dren_Dim!$1:$10</definedName>
    <definedName name="_xlnm.Print_Titles" localSheetId="3">Memoria_Insumos!$2:$7</definedName>
    <definedName name="_xlnm.Print_Titles" localSheetId="1">Orcamento!$40:$41</definedName>
    <definedName name="_xlnm.Print_Titles" localSheetId="2">'Orcamento ND'!$40:$41</definedName>
    <definedName name="_xlnm.Print_Titles" localSheetId="34">Passeio!$A:$D</definedName>
    <definedName name="_xlnm.Print_Titles" localSheetId="32">Pav_Estrutura!$A:$D</definedName>
    <definedName name="_xlnm.Print_Titles" localSheetId="31">Pav_Terraplenagem!$A:$C</definedName>
    <definedName name="_xlnm.Print_Titles" localSheetId="40">Ponto_Onibus!$A:$C</definedName>
    <definedName name="_xlnm.Print_Titles" localSheetId="27">Recap_Final!$A:$D</definedName>
    <definedName name="_xlnm.Print_Titles" localSheetId="26">Recap_Previo!$A:$C</definedName>
    <definedName name="_xlnm.Print_Titles" localSheetId="33">S_Complementares!$A:$C</definedName>
    <definedName name="_xlnm.Print_Titles" localSheetId="16">S_Preliminares!$A:$C,S_Preliminares!$1:$28</definedName>
    <definedName name="wrn.preco." localSheetId="46" hidden="1">{#N/A,#N/A,FALSE,"Pla_Preço";#N/A,#N/A,FALSE,"Crono"}</definedName>
    <definedName name="wrn.preco." localSheetId="45" hidden="1">{#N/A,#N/A,FALSE,"Pla_Preço";#N/A,#N/A,FALSE,"Crono"}</definedName>
    <definedName name="wrn.preco." localSheetId="36" hidden="1">{#N/A,#N/A,FALSE,"Pla_Preço";#N/A,#N/A,FALSE,"Crono"}</definedName>
    <definedName name="wrn.preco." localSheetId="39" hidden="1">{#N/A,#N/A,FALSE,"Pla_Preço";#N/A,#N/A,FALSE,"Crono"}</definedName>
    <definedName name="wrn.preco." localSheetId="43" hidden="1">{#N/A,#N/A,FALSE,"Pla_Preço";#N/A,#N/A,FALSE,"Crono"}</definedName>
    <definedName name="wrn.preco." localSheetId="40" hidden="1">{#N/A,#N/A,FALSE,"Pla_Preço";#N/A,#N/A,FALSE,"Crono"}</definedName>
    <definedName name="wrn.preco." localSheetId="38" hidden="1">{#N/A,#N/A,FALSE,"Pla_Preço";#N/A,#N/A,FALSE,"Crono"}</definedName>
    <definedName name="wrn.preco." hidden="1">{#N/A,#N/A,FALSE,"Pla_Preço";#N/A,#N/A,FALSE,"Crono"}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1267" i="44" l="1" a="1"/>
  <c r="AA1267" i="44" s="1"/>
  <c r="Z1267" i="44" a="1"/>
  <c r="Z1267" i="44" s="1"/>
  <c r="V1267" i="44"/>
  <c r="R1267" i="44"/>
  <c r="U1267" i="44" s="1"/>
  <c r="P1267" i="44" a="1"/>
  <c r="P1267" i="44" s="1"/>
  <c r="T1267" i="44" s="1"/>
  <c r="O1267" i="44" a="1"/>
  <c r="O1267" i="44" s="1"/>
  <c r="S1267" i="44" s="1"/>
  <c r="M1267" i="44"/>
  <c r="L1267" i="44"/>
  <c r="C1267" i="44"/>
  <c r="AA1266" i="44" a="1"/>
  <c r="AA1266" i="44" s="1"/>
  <c r="Z1266" i="44" a="1"/>
  <c r="Z1266" i="44" s="1"/>
  <c r="V1266" i="44"/>
  <c r="R1266" i="44"/>
  <c r="U1266" i="44" s="1"/>
  <c r="P1266" i="44" a="1"/>
  <c r="P1266" i="44" s="1"/>
  <c r="T1266" i="44" s="1"/>
  <c r="O1266" i="44" a="1"/>
  <c r="O1266" i="44" s="1"/>
  <c r="S1266" i="44" s="1"/>
  <c r="M1266" i="44"/>
  <c r="L1266" i="44"/>
  <c r="C1266" i="44"/>
  <c r="AA1265" i="44" a="1"/>
  <c r="AA1265" i="44" s="1"/>
  <c r="Z1265" i="44" a="1"/>
  <c r="Z1265" i="44" s="1"/>
  <c r="V1265" i="44"/>
  <c r="R1265" i="44"/>
  <c r="U1265" i="44" s="1"/>
  <c r="W1265" i="44" s="1"/>
  <c r="P1265" i="44" a="1"/>
  <c r="P1265" i="44" s="1"/>
  <c r="T1265" i="44" s="1"/>
  <c r="O1265" i="44" a="1"/>
  <c r="O1265" i="44" s="1"/>
  <c r="S1265" i="44" s="1"/>
  <c r="M1265" i="44"/>
  <c r="L1265" i="44"/>
  <c r="C1265" i="44"/>
  <c r="AA1264" i="44" a="1"/>
  <c r="AA1264" i="44" s="1"/>
  <c r="Z1264" i="44" a="1"/>
  <c r="Z1264" i="44" s="1"/>
  <c r="V1264" i="44"/>
  <c r="R1264" i="44"/>
  <c r="U1264" i="44" s="1"/>
  <c r="P1264" i="44" a="1"/>
  <c r="P1264" i="44" s="1"/>
  <c r="T1264" i="44" s="1"/>
  <c r="O1264" i="44" a="1"/>
  <c r="O1264" i="44" s="1"/>
  <c r="S1264" i="44" s="1"/>
  <c r="AE1264" i="44" s="1"/>
  <c r="M1264" i="44"/>
  <c r="L1264" i="44"/>
  <c r="C1264" i="44"/>
  <c r="AA1263" i="44"/>
  <c r="AA1263" i="44" a="1"/>
  <c r="Z1263" i="44" a="1"/>
  <c r="Z1263" i="44" s="1"/>
  <c r="V1263" i="44"/>
  <c r="R1263" i="44"/>
  <c r="U1263" i="44" s="1"/>
  <c r="P1263" i="44" a="1"/>
  <c r="P1263" i="44" s="1"/>
  <c r="T1263" i="44" s="1"/>
  <c r="O1263" i="44" a="1"/>
  <c r="O1263" i="44" s="1"/>
  <c r="S1263" i="44" s="1"/>
  <c r="M1263" i="44"/>
  <c r="L1263" i="44"/>
  <c r="C1263" i="44"/>
  <c r="AA1262" i="44" a="1"/>
  <c r="AA1262" i="44" s="1"/>
  <c r="Z1262" i="44" a="1"/>
  <c r="Z1262" i="44" s="1"/>
  <c r="V1262" i="44"/>
  <c r="S1262" i="44"/>
  <c r="R1262" i="44"/>
  <c r="U1262" i="44" s="1"/>
  <c r="P1262" i="44" a="1"/>
  <c r="P1262" i="44" s="1"/>
  <c r="T1262" i="44" s="1"/>
  <c r="O1262" i="44"/>
  <c r="O1262" i="44" a="1"/>
  <c r="M1262" i="44"/>
  <c r="L1262" i="44"/>
  <c r="C1262" i="44"/>
  <c r="AA1261" i="44"/>
  <c r="AA1261" i="44" a="1"/>
  <c r="Z1261" i="44" a="1"/>
  <c r="Z1261" i="44" s="1"/>
  <c r="V1261" i="44"/>
  <c r="R1261" i="44"/>
  <c r="U1261" i="44" s="1"/>
  <c r="P1261" i="44" a="1"/>
  <c r="P1261" i="44" s="1"/>
  <c r="T1261" i="44" s="1"/>
  <c r="O1261" i="44" a="1"/>
  <c r="O1261" i="44" s="1"/>
  <c r="S1261" i="44" s="1"/>
  <c r="M1261" i="44"/>
  <c r="L1261" i="44"/>
  <c r="C1261" i="44"/>
  <c r="AA1260" i="44" a="1"/>
  <c r="AA1260" i="44" s="1"/>
  <c r="Z1260" i="44" a="1"/>
  <c r="Z1260" i="44" s="1"/>
  <c r="V1260" i="44"/>
  <c r="R1260" i="44"/>
  <c r="U1260" i="44" s="1"/>
  <c r="P1260" i="44" a="1"/>
  <c r="P1260" i="44" s="1"/>
  <c r="T1260" i="44" s="1"/>
  <c r="O1260" i="44" a="1"/>
  <c r="O1260" i="44" s="1"/>
  <c r="S1260" i="44" s="1"/>
  <c r="M1260" i="44"/>
  <c r="L1260" i="44"/>
  <c r="C1260" i="44"/>
  <c r="AA1259" i="44"/>
  <c r="AA1259" i="44" a="1"/>
  <c r="Z1259" i="44" a="1"/>
  <c r="Z1259" i="44" s="1"/>
  <c r="V1259" i="44"/>
  <c r="R1259" i="44"/>
  <c r="U1259" i="44" s="1"/>
  <c r="P1259" i="44" a="1"/>
  <c r="P1259" i="44" s="1"/>
  <c r="T1259" i="44" s="1"/>
  <c r="O1259" i="44" a="1"/>
  <c r="O1259" i="44" s="1"/>
  <c r="S1259" i="44" s="1"/>
  <c r="M1259" i="44"/>
  <c r="L1259" i="44"/>
  <c r="C1259" i="44"/>
  <c r="AA1258" i="44"/>
  <c r="AA1258" i="44" a="1"/>
  <c r="Z1258" i="44"/>
  <c r="Z1258" i="44" a="1"/>
  <c r="V1258" i="44"/>
  <c r="R1258" i="44"/>
  <c r="U1258" i="44" s="1"/>
  <c r="P1258" i="44"/>
  <c r="T1258" i="44" s="1"/>
  <c r="P1258" i="44" a="1"/>
  <c r="O1258" i="44" a="1"/>
  <c r="O1258" i="44" s="1"/>
  <c r="S1258" i="44" s="1"/>
  <c r="M1258" i="44"/>
  <c r="L1258" i="44"/>
  <c r="C1258" i="44"/>
  <c r="AA1257" i="44" a="1"/>
  <c r="AA1257" i="44" s="1"/>
  <c r="Z1257" i="44" a="1"/>
  <c r="Z1257" i="44" s="1"/>
  <c r="V1257" i="44"/>
  <c r="R1257" i="44"/>
  <c r="U1257" i="44" s="1"/>
  <c r="P1257" i="44" a="1"/>
  <c r="P1257" i="44" s="1"/>
  <c r="T1257" i="44" s="1"/>
  <c r="O1257" i="44"/>
  <c r="S1257" i="44" s="1"/>
  <c r="O1257" i="44" a="1"/>
  <c r="M1257" i="44"/>
  <c r="L1257" i="44"/>
  <c r="C1257" i="44"/>
  <c r="AA1256" i="44"/>
  <c r="AA1256" i="44" a="1"/>
  <c r="Z1256" i="44" a="1"/>
  <c r="Z1256" i="44" s="1"/>
  <c r="V1256" i="44"/>
  <c r="R1256" i="44"/>
  <c r="U1256" i="44" s="1"/>
  <c r="W1256" i="44" s="1"/>
  <c r="P1256" i="44" a="1"/>
  <c r="P1256" i="44" s="1"/>
  <c r="T1256" i="44" s="1"/>
  <c r="O1256" i="44"/>
  <c r="S1256" i="44" s="1"/>
  <c r="O1256" i="44" a="1"/>
  <c r="M1256" i="44"/>
  <c r="L1256" i="44"/>
  <c r="C1256" i="44"/>
  <c r="AA1255" i="44" a="1"/>
  <c r="AA1255" i="44" s="1"/>
  <c r="Z1255" i="44"/>
  <c r="Z1255" i="44" a="1"/>
  <c r="V1255" i="44"/>
  <c r="S1255" i="44"/>
  <c r="AE1255" i="44" s="1"/>
  <c r="R1255" i="44"/>
  <c r="U1255" i="44" s="1"/>
  <c r="P1255" i="44" a="1"/>
  <c r="P1255" i="44" s="1"/>
  <c r="T1255" i="44" s="1"/>
  <c r="O1255" i="44"/>
  <c r="O1255" i="44" a="1"/>
  <c r="M1255" i="44"/>
  <c r="L1255" i="44"/>
  <c r="C1255" i="44"/>
  <c r="AA1254" i="44"/>
  <c r="AA1254" i="44" a="1"/>
  <c r="Z1254" i="44" a="1"/>
  <c r="Z1254" i="44" s="1"/>
  <c r="V1254" i="44"/>
  <c r="R1254" i="44"/>
  <c r="U1254" i="44" s="1"/>
  <c r="W1254" i="44" s="1"/>
  <c r="P1254" i="44" a="1"/>
  <c r="P1254" i="44" s="1"/>
  <c r="T1254" i="44" s="1"/>
  <c r="O1254" i="44" a="1"/>
  <c r="O1254" i="44" s="1"/>
  <c r="S1254" i="44" s="1"/>
  <c r="M1254" i="44"/>
  <c r="L1254" i="44"/>
  <c r="C1254" i="44"/>
  <c r="AA1253" i="44" a="1"/>
  <c r="AA1253" i="44" s="1"/>
  <c r="Z1253" i="44"/>
  <c r="Z1253" i="44" a="1"/>
  <c r="V1253" i="44"/>
  <c r="R1253" i="44"/>
  <c r="U1253" i="44" s="1"/>
  <c r="P1253" i="44" a="1"/>
  <c r="P1253" i="44" s="1"/>
  <c r="T1253" i="44" s="1"/>
  <c r="O1253" i="44"/>
  <c r="S1253" i="44" s="1"/>
  <c r="O1253" i="44" a="1"/>
  <c r="M1253" i="44"/>
  <c r="L1253" i="44"/>
  <c r="C1253" i="44"/>
  <c r="AA1252" i="44"/>
  <c r="AA1252" i="44" a="1"/>
  <c r="Z1252" i="44" a="1"/>
  <c r="Z1252" i="44" s="1"/>
  <c r="V1252" i="44"/>
  <c r="R1252" i="44"/>
  <c r="U1252" i="44" s="1"/>
  <c r="P1252" i="44" a="1"/>
  <c r="P1252" i="44" s="1"/>
  <c r="T1252" i="44" s="1"/>
  <c r="O1252" i="44" a="1"/>
  <c r="O1252" i="44" s="1"/>
  <c r="S1252" i="44" s="1"/>
  <c r="M1252" i="44"/>
  <c r="L1252" i="44"/>
  <c r="C1252" i="44"/>
  <c r="AA1251" i="44" a="1"/>
  <c r="AA1251" i="44" s="1"/>
  <c r="Z1251" i="44" a="1"/>
  <c r="Z1251" i="44" s="1"/>
  <c r="V1251" i="44"/>
  <c r="R1251" i="44"/>
  <c r="U1251" i="44" s="1"/>
  <c r="W1251" i="44" s="1"/>
  <c r="P1251" i="44" a="1"/>
  <c r="P1251" i="44" s="1"/>
  <c r="T1251" i="44" s="1"/>
  <c r="O1251" i="44" a="1"/>
  <c r="O1251" i="44" s="1"/>
  <c r="S1251" i="44" s="1"/>
  <c r="M1251" i="44"/>
  <c r="L1251" i="44"/>
  <c r="C1251" i="44"/>
  <c r="AA1250" i="44" a="1"/>
  <c r="AA1250" i="44" s="1"/>
  <c r="Z1250" i="44" a="1"/>
  <c r="Z1250" i="44" s="1"/>
  <c r="V1250" i="44"/>
  <c r="R1250" i="44"/>
  <c r="U1250" i="44" s="1"/>
  <c r="P1250" i="44" a="1"/>
  <c r="P1250" i="44" s="1"/>
  <c r="T1250" i="44" s="1"/>
  <c r="O1250" i="44" a="1"/>
  <c r="O1250" i="44" s="1"/>
  <c r="S1250" i="44" s="1"/>
  <c r="M1250" i="44"/>
  <c r="L1250" i="44"/>
  <c r="C1250" i="44"/>
  <c r="AA1249" i="44" a="1"/>
  <c r="AA1249" i="44" s="1"/>
  <c r="Z1249" i="44"/>
  <c r="Z1249" i="44" a="1"/>
  <c r="V1249" i="44"/>
  <c r="R1249" i="44"/>
  <c r="U1249" i="44" s="1"/>
  <c r="P1249" i="44" a="1"/>
  <c r="P1249" i="44" s="1"/>
  <c r="T1249" i="44" s="1"/>
  <c r="O1249" i="44" a="1"/>
  <c r="O1249" i="44" s="1"/>
  <c r="S1249" i="44" s="1"/>
  <c r="M1249" i="44"/>
  <c r="L1249" i="44"/>
  <c r="C1249" i="44"/>
  <c r="AA1248" i="44"/>
  <c r="AA1248" i="44" a="1"/>
  <c r="Z1248" i="44" a="1"/>
  <c r="Z1248" i="44" s="1"/>
  <c r="V1248" i="44"/>
  <c r="R1248" i="44"/>
  <c r="U1248" i="44" s="1"/>
  <c r="P1248" i="44" a="1"/>
  <c r="P1248" i="44" s="1"/>
  <c r="T1248" i="44" s="1"/>
  <c r="O1248" i="44" a="1"/>
  <c r="O1248" i="44" s="1"/>
  <c r="S1248" i="44" s="1"/>
  <c r="AE1248" i="44" s="1"/>
  <c r="M1248" i="44"/>
  <c r="L1248" i="44"/>
  <c r="C1248" i="44"/>
  <c r="AA1247" i="44" a="1"/>
  <c r="AA1247" i="44" s="1"/>
  <c r="Z1247" i="44"/>
  <c r="Z1247" i="44" a="1"/>
  <c r="V1247" i="44"/>
  <c r="R1247" i="44"/>
  <c r="U1247" i="44" s="1"/>
  <c r="P1247" i="44"/>
  <c r="T1247" i="44" s="1"/>
  <c r="P1247" i="44" a="1"/>
  <c r="O1247" i="44" a="1"/>
  <c r="O1247" i="44" s="1"/>
  <c r="S1247" i="44" s="1"/>
  <c r="M1247" i="44"/>
  <c r="L1247" i="44"/>
  <c r="C1247" i="44"/>
  <c r="AA1246" i="44" a="1"/>
  <c r="AA1246" i="44" s="1"/>
  <c r="Z1246" i="44"/>
  <c r="Z1246" i="44" a="1"/>
  <c r="V1246" i="44"/>
  <c r="R1246" i="44"/>
  <c r="U1246" i="44" s="1"/>
  <c r="P1246" i="44" a="1"/>
  <c r="P1246" i="44" s="1"/>
  <c r="T1246" i="44" s="1"/>
  <c r="O1246" i="44"/>
  <c r="S1246" i="44" s="1"/>
  <c r="O1246" i="44" a="1"/>
  <c r="M1246" i="44"/>
  <c r="L1246" i="44"/>
  <c r="C1246" i="44"/>
  <c r="AA1245" i="44"/>
  <c r="AA1245" i="44" a="1"/>
  <c r="Z1245" i="44" a="1"/>
  <c r="Z1245" i="44" s="1"/>
  <c r="V1245" i="44"/>
  <c r="R1245" i="44"/>
  <c r="U1245" i="44" s="1"/>
  <c r="P1245" i="44" a="1"/>
  <c r="P1245" i="44" s="1"/>
  <c r="T1245" i="44" s="1"/>
  <c r="O1245" i="44" a="1"/>
  <c r="O1245" i="44" s="1"/>
  <c r="S1245" i="44" s="1"/>
  <c r="M1245" i="44"/>
  <c r="L1245" i="44"/>
  <c r="C1245" i="44"/>
  <c r="AA1244" i="44" a="1"/>
  <c r="AA1244" i="44" s="1"/>
  <c r="Z1244" i="44" a="1"/>
  <c r="Z1244" i="44" s="1"/>
  <c r="V1244" i="44"/>
  <c r="R1244" i="44"/>
  <c r="U1244" i="44" s="1"/>
  <c r="P1244" i="44"/>
  <c r="T1244" i="44" s="1"/>
  <c r="P1244" i="44" a="1"/>
  <c r="O1244" i="44" a="1"/>
  <c r="O1244" i="44" s="1"/>
  <c r="S1244" i="44" s="1"/>
  <c r="M1244" i="44"/>
  <c r="L1244" i="44"/>
  <c r="C1244" i="44"/>
  <c r="AA1243" i="44" a="1"/>
  <c r="AA1243" i="44" s="1"/>
  <c r="Z1243" i="44" a="1"/>
  <c r="Z1243" i="44" s="1"/>
  <c r="V1243" i="44"/>
  <c r="R1243" i="44"/>
  <c r="U1243" i="44" s="1"/>
  <c r="P1243" i="44" a="1"/>
  <c r="P1243" i="44" s="1"/>
  <c r="T1243" i="44" s="1"/>
  <c r="O1243" i="44" a="1"/>
  <c r="O1243" i="44" s="1"/>
  <c r="S1243" i="44" s="1"/>
  <c r="M1243" i="44"/>
  <c r="L1243" i="44"/>
  <c r="C1243" i="44"/>
  <c r="AA1242" i="44" a="1"/>
  <c r="AA1242" i="44" s="1"/>
  <c r="Z1242" i="44"/>
  <c r="Z1242" i="44" a="1"/>
  <c r="V1242" i="44"/>
  <c r="R1242" i="44"/>
  <c r="U1242" i="44" s="1"/>
  <c r="P1242" i="44"/>
  <c r="T1242" i="44" s="1"/>
  <c r="P1242" i="44" a="1"/>
  <c r="O1242" i="44"/>
  <c r="S1242" i="44" s="1"/>
  <c r="O1242" i="44" a="1"/>
  <c r="M1242" i="44"/>
  <c r="L1242" i="44"/>
  <c r="C1242" i="44"/>
  <c r="AA1241" i="44" a="1"/>
  <c r="AA1241" i="44" s="1"/>
  <c r="Z1241" i="44" a="1"/>
  <c r="Z1241" i="44" s="1"/>
  <c r="V1241" i="44"/>
  <c r="R1241" i="44"/>
  <c r="U1241" i="44" s="1"/>
  <c r="P1241" i="44"/>
  <c r="T1241" i="44" s="1"/>
  <c r="P1241" i="44" a="1"/>
  <c r="O1241" i="44"/>
  <c r="S1241" i="44" s="1"/>
  <c r="O1241" i="44" a="1"/>
  <c r="M1241" i="44"/>
  <c r="L1241" i="44"/>
  <c r="C1241" i="44"/>
  <c r="AA1240" i="44" a="1"/>
  <c r="AA1240" i="44" s="1"/>
  <c r="Z1240" i="44" a="1"/>
  <c r="Z1240" i="44" s="1"/>
  <c r="V1240" i="44"/>
  <c r="R1240" i="44"/>
  <c r="U1240" i="44" s="1"/>
  <c r="W1240" i="44" s="1"/>
  <c r="P1240" i="44"/>
  <c r="T1240" i="44" s="1"/>
  <c r="P1240" i="44" a="1"/>
  <c r="O1240" i="44" a="1"/>
  <c r="O1240" i="44" s="1"/>
  <c r="S1240" i="44" s="1"/>
  <c r="M1240" i="44"/>
  <c r="L1240" i="44"/>
  <c r="C1240" i="44"/>
  <c r="AA1239" i="44" a="1"/>
  <c r="AA1239" i="44" s="1"/>
  <c r="Z1239" i="44" a="1"/>
  <c r="Z1239" i="44" s="1"/>
  <c r="V1239" i="44"/>
  <c r="R1239" i="44"/>
  <c r="U1239" i="44" s="1"/>
  <c r="P1239" i="44" a="1"/>
  <c r="P1239" i="44" s="1"/>
  <c r="T1239" i="44" s="1"/>
  <c r="O1239" i="44" a="1"/>
  <c r="O1239" i="44" s="1"/>
  <c r="S1239" i="44" s="1"/>
  <c r="M1239" i="44"/>
  <c r="L1239" i="44"/>
  <c r="C1239" i="44"/>
  <c r="AA1238" i="44"/>
  <c r="AA1238" i="44" a="1"/>
  <c r="Z1238" i="44" a="1"/>
  <c r="Z1238" i="44" s="1"/>
  <c r="V1238" i="44"/>
  <c r="R1238" i="44"/>
  <c r="U1238" i="44" s="1"/>
  <c r="P1238" i="44" a="1"/>
  <c r="P1238" i="44" s="1"/>
  <c r="T1238" i="44" s="1"/>
  <c r="O1238" i="44" a="1"/>
  <c r="O1238" i="44" s="1"/>
  <c r="S1238" i="44" s="1"/>
  <c r="M1238" i="44"/>
  <c r="L1238" i="44"/>
  <c r="C1238" i="44"/>
  <c r="AA1237" i="44" a="1"/>
  <c r="AA1237" i="44" s="1"/>
  <c r="Z1237" i="44"/>
  <c r="Z1237" i="44" a="1"/>
  <c r="V1237" i="44"/>
  <c r="R1237" i="44"/>
  <c r="U1237" i="44" s="1"/>
  <c r="P1237" i="44"/>
  <c r="T1237" i="44" s="1"/>
  <c r="P1237" i="44" a="1"/>
  <c r="O1237" i="44" a="1"/>
  <c r="O1237" i="44" s="1"/>
  <c r="S1237" i="44" s="1"/>
  <c r="M1237" i="44"/>
  <c r="L1237" i="44"/>
  <c r="C1237" i="44"/>
  <c r="AA1236" i="44" a="1"/>
  <c r="AA1236" i="44" s="1"/>
  <c r="Z1236" i="44" a="1"/>
  <c r="Z1236" i="44" s="1"/>
  <c r="V1236" i="44"/>
  <c r="R1236" i="44"/>
  <c r="U1236" i="44" s="1"/>
  <c r="P1236" i="44"/>
  <c r="T1236" i="44" s="1"/>
  <c r="P1236" i="44" a="1"/>
  <c r="O1236" i="44" a="1"/>
  <c r="O1236" i="44" s="1"/>
  <c r="S1236" i="44" s="1"/>
  <c r="M1236" i="44"/>
  <c r="L1236" i="44"/>
  <c r="C1236" i="44"/>
  <c r="AA1235" i="44" a="1"/>
  <c r="AA1235" i="44" s="1"/>
  <c r="Z1235" i="44"/>
  <c r="Z1235" i="44" a="1"/>
  <c r="V1235" i="44"/>
  <c r="R1235" i="44"/>
  <c r="U1235" i="44" s="1"/>
  <c r="W1235" i="44" s="1"/>
  <c r="P1235" i="44"/>
  <c r="T1235" i="44" s="1"/>
  <c r="P1235" i="44" a="1"/>
  <c r="O1235" i="44"/>
  <c r="S1235" i="44" s="1"/>
  <c r="O1235" i="44" a="1"/>
  <c r="M1235" i="44"/>
  <c r="L1235" i="44"/>
  <c r="C1235" i="44"/>
  <c r="AA1234" i="44" a="1"/>
  <c r="AA1234" i="44" s="1"/>
  <c r="Z1234" i="44" a="1"/>
  <c r="Z1234" i="44" s="1"/>
  <c r="V1234" i="44"/>
  <c r="R1234" i="44"/>
  <c r="U1234" i="44" s="1"/>
  <c r="W1234" i="44" s="1"/>
  <c r="P1234" i="44" a="1"/>
  <c r="P1234" i="44" s="1"/>
  <c r="T1234" i="44" s="1"/>
  <c r="O1234" i="44" a="1"/>
  <c r="O1234" i="44" s="1"/>
  <c r="S1234" i="44" s="1"/>
  <c r="M1234" i="44"/>
  <c r="L1234" i="44"/>
  <c r="C1234" i="44"/>
  <c r="AA1233" i="44"/>
  <c r="AA1233" i="44" a="1"/>
  <c r="Z1233" i="44" a="1"/>
  <c r="Z1233" i="44" s="1"/>
  <c r="V1233" i="44"/>
  <c r="R1233" i="44"/>
  <c r="U1233" i="44" s="1"/>
  <c r="W1233" i="44" s="1"/>
  <c r="P1233" i="44" a="1"/>
  <c r="P1233" i="44" s="1"/>
  <c r="T1233" i="44" s="1"/>
  <c r="O1233" i="44" a="1"/>
  <c r="O1233" i="44" s="1"/>
  <c r="S1233" i="44" s="1"/>
  <c r="M1233" i="44"/>
  <c r="L1233" i="44"/>
  <c r="C1233" i="44"/>
  <c r="AA1232" i="44"/>
  <c r="AA1232" i="44" a="1"/>
  <c r="Z1232" i="44" a="1"/>
  <c r="Z1232" i="44" s="1"/>
  <c r="V1232" i="44"/>
  <c r="R1232" i="44"/>
  <c r="U1232" i="44" s="1"/>
  <c r="P1232" i="44" a="1"/>
  <c r="P1232" i="44" s="1"/>
  <c r="T1232" i="44" s="1"/>
  <c r="O1232" i="44"/>
  <c r="S1232" i="44" s="1"/>
  <c r="O1232" i="44" a="1"/>
  <c r="M1232" i="44"/>
  <c r="L1232" i="44"/>
  <c r="C1232" i="44"/>
  <c r="AA1231" i="44" a="1"/>
  <c r="AA1231" i="44" s="1"/>
  <c r="Z1231" i="44"/>
  <c r="Z1231" i="44" a="1"/>
  <c r="V1231" i="44"/>
  <c r="R1231" i="44"/>
  <c r="U1231" i="44" s="1"/>
  <c r="P1231" i="44"/>
  <c r="T1231" i="44" s="1"/>
  <c r="P1231" i="44" a="1"/>
  <c r="O1231" i="44" a="1"/>
  <c r="O1231" i="44" s="1"/>
  <c r="S1231" i="44" s="1"/>
  <c r="M1231" i="44"/>
  <c r="L1231" i="44"/>
  <c r="C1231" i="44"/>
  <c r="P1230" i="44"/>
  <c r="P1230" i="44" a="1"/>
  <c r="E1230" i="44"/>
  <c r="AA1228" i="44" a="1"/>
  <c r="AA1228" i="44" s="1"/>
  <c r="Z1228" i="44" a="1"/>
  <c r="Z1228" i="44" s="1"/>
  <c r="V1228" i="44"/>
  <c r="V1227" i="44" s="1"/>
  <c r="R1228" i="44"/>
  <c r="U1228" i="44" s="1"/>
  <c r="U1227" i="44" s="1"/>
  <c r="U36" i="44" s="1"/>
  <c r="P1228" i="44" a="1"/>
  <c r="P1228" i="44" s="1"/>
  <c r="T1228" i="44" s="1"/>
  <c r="O1228" i="44" a="1"/>
  <c r="O1228" i="44" s="1"/>
  <c r="S1228" i="44" s="1"/>
  <c r="M1228" i="44"/>
  <c r="L1228" i="44"/>
  <c r="G1228" i="44"/>
  <c r="F1228" i="44"/>
  <c r="E1228" i="44"/>
  <c r="C1228" i="44"/>
  <c r="AI1227" i="44"/>
  <c r="P1227" i="44" a="1"/>
  <c r="P1227" i="44" s="1"/>
  <c r="E1227" i="44"/>
  <c r="AA1225" i="44" a="1"/>
  <c r="AA1225" i="44" s="1"/>
  <c r="Z1225" i="44"/>
  <c r="Z1225" i="44" a="1"/>
  <c r="R1225" i="44"/>
  <c r="U1225" i="44" s="1"/>
  <c r="P1225" i="44"/>
  <c r="P1225" i="44" a="1"/>
  <c r="O1225" i="44"/>
  <c r="O1225" i="44" a="1"/>
  <c r="K1225" i="44"/>
  <c r="C1225" i="44"/>
  <c r="AA1224" i="44" a="1"/>
  <c r="AA1224" i="44" s="1"/>
  <c r="Z1224" i="44" a="1"/>
  <c r="Z1224" i="44" s="1"/>
  <c r="V1224" i="44"/>
  <c r="R1224" i="44"/>
  <c r="U1224" i="44" s="1"/>
  <c r="W1224" i="44" s="1"/>
  <c r="P1224" i="44" a="1"/>
  <c r="P1224" i="44" s="1"/>
  <c r="T1224" i="44" s="1"/>
  <c r="O1224" i="44" a="1"/>
  <c r="O1224" i="44" s="1"/>
  <c r="S1224" i="44" s="1"/>
  <c r="M1224" i="44"/>
  <c r="L1224" i="44"/>
  <c r="K1224" i="44"/>
  <c r="C1224" i="44"/>
  <c r="AA1223" i="44" a="1"/>
  <c r="AA1223" i="44" s="1"/>
  <c r="Z1223" i="44" a="1"/>
  <c r="Z1223" i="44" s="1"/>
  <c r="R1223" i="44"/>
  <c r="U1223" i="44" s="1"/>
  <c r="P1223" i="44" a="1"/>
  <c r="P1223" i="44" s="1"/>
  <c r="T1223" i="44" s="1"/>
  <c r="O1223" i="44"/>
  <c r="O1223" i="44" a="1"/>
  <c r="M1223" i="44"/>
  <c r="L1223" i="44"/>
  <c r="K1223" i="44"/>
  <c r="V1223" i="44" s="1"/>
  <c r="C1223" i="44"/>
  <c r="AA1222" i="44" a="1"/>
  <c r="AA1222" i="44" s="1"/>
  <c r="Z1222" i="44" a="1"/>
  <c r="Z1222" i="44" s="1"/>
  <c r="R1222" i="44"/>
  <c r="U1222" i="44" s="1"/>
  <c r="P1222" i="44"/>
  <c r="P1222" i="44" a="1"/>
  <c r="O1222" i="44"/>
  <c r="O1222" i="44" a="1"/>
  <c r="L1222" i="44"/>
  <c r="K1222" i="44"/>
  <c r="M1222" i="44" s="1"/>
  <c r="C1222" i="44"/>
  <c r="AA1221" i="44" a="1"/>
  <c r="AA1221" i="44" s="1"/>
  <c r="Z1221" i="44"/>
  <c r="Z1221" i="44" a="1"/>
  <c r="V1221" i="44"/>
  <c r="R1221" i="44"/>
  <c r="U1221" i="44" s="1"/>
  <c r="P1221" i="44" a="1"/>
  <c r="P1221" i="44" s="1"/>
  <c r="O1221" i="44" a="1"/>
  <c r="O1221" i="44" s="1"/>
  <c r="L1221" i="44"/>
  <c r="K1221" i="44"/>
  <c r="C1221" i="44"/>
  <c r="AA1220" i="44" a="1"/>
  <c r="AA1220" i="44" s="1"/>
  <c r="Z1220" i="44" a="1"/>
  <c r="Z1220" i="44" s="1"/>
  <c r="R1220" i="44"/>
  <c r="U1220" i="44" s="1"/>
  <c r="P1220" i="44" a="1"/>
  <c r="P1220" i="44" s="1"/>
  <c r="O1220" i="44" a="1"/>
  <c r="O1220" i="44" s="1"/>
  <c r="K1220" i="44"/>
  <c r="C1220" i="44"/>
  <c r="AA1219" i="44" a="1"/>
  <c r="AA1219" i="44" s="1"/>
  <c r="Z1219" i="44" a="1"/>
  <c r="Z1219" i="44" s="1"/>
  <c r="V1219" i="44"/>
  <c r="R1219" i="44"/>
  <c r="U1219" i="44" s="1"/>
  <c r="P1219" i="44"/>
  <c r="T1219" i="44" s="1"/>
  <c r="P1219" i="44" a="1"/>
  <c r="O1219" i="44"/>
  <c r="S1219" i="44" s="1"/>
  <c r="O1219" i="44" a="1"/>
  <c r="M1219" i="44"/>
  <c r="L1219" i="44"/>
  <c r="C1219" i="44"/>
  <c r="AA1218" i="44" a="1"/>
  <c r="AA1218" i="44" s="1"/>
  <c r="Z1218" i="44"/>
  <c r="Z1218" i="44" a="1"/>
  <c r="R1218" i="44"/>
  <c r="U1218" i="44" s="1"/>
  <c r="P1218" i="44" a="1"/>
  <c r="P1218" i="44" s="1"/>
  <c r="T1218" i="44" s="1"/>
  <c r="O1218" i="44" a="1"/>
  <c r="O1218" i="44" s="1"/>
  <c r="L1218" i="44"/>
  <c r="K1218" i="44"/>
  <c r="C1218" i="44"/>
  <c r="AA1217" i="44" a="1"/>
  <c r="AA1217" i="44" s="1"/>
  <c r="Z1217" i="44"/>
  <c r="Z1217" i="44" a="1"/>
  <c r="R1217" i="44"/>
  <c r="U1217" i="44" s="1"/>
  <c r="P1217" i="44" a="1"/>
  <c r="P1217" i="44" s="1"/>
  <c r="O1217" i="44"/>
  <c r="O1217" i="44" a="1"/>
  <c r="C1217" i="44"/>
  <c r="AA1216" i="44" a="1"/>
  <c r="AA1216" i="44" s="1"/>
  <c r="Z1216" i="44" a="1"/>
  <c r="Z1216" i="44" s="1"/>
  <c r="V1216" i="44"/>
  <c r="R1216" i="44"/>
  <c r="U1216" i="44" s="1"/>
  <c r="W1216" i="44" s="1"/>
  <c r="P1216" i="44"/>
  <c r="T1216" i="44" s="1"/>
  <c r="P1216" i="44" a="1"/>
  <c r="O1216" i="44" a="1"/>
  <c r="O1216" i="44" s="1"/>
  <c r="S1216" i="44" s="1"/>
  <c r="M1216" i="44"/>
  <c r="L1216" i="44"/>
  <c r="C1216" i="44"/>
  <c r="AA1215" i="44" a="1"/>
  <c r="AA1215" i="44" s="1"/>
  <c r="Z1215" i="44" a="1"/>
  <c r="Z1215" i="44" s="1"/>
  <c r="R1215" i="44"/>
  <c r="U1215" i="44" s="1"/>
  <c r="P1215" i="44" a="1"/>
  <c r="P1215" i="44" s="1"/>
  <c r="T1215" i="44" s="1"/>
  <c r="O1215" i="44" a="1"/>
  <c r="O1215" i="44" s="1"/>
  <c r="S1215" i="44" s="1"/>
  <c r="K1215" i="44"/>
  <c r="C1215" i="44"/>
  <c r="AA1214" i="44" a="1"/>
  <c r="AA1214" i="44" s="1"/>
  <c r="Z1214" i="44"/>
  <c r="Z1214" i="44" a="1"/>
  <c r="V1214" i="44"/>
  <c r="R1214" i="44"/>
  <c r="U1214" i="44" s="1"/>
  <c r="P1214" i="44" a="1"/>
  <c r="P1214" i="44" s="1"/>
  <c r="T1214" i="44" s="1"/>
  <c r="O1214" i="44" a="1"/>
  <c r="O1214" i="44" s="1"/>
  <c r="S1214" i="44" s="1"/>
  <c r="M1214" i="44"/>
  <c r="L1214" i="44"/>
  <c r="C1214" i="44"/>
  <c r="AA1213" i="44"/>
  <c r="AA1213" i="44" a="1"/>
  <c r="Z1213" i="44" a="1"/>
  <c r="Z1213" i="44" s="1"/>
  <c r="R1213" i="44"/>
  <c r="U1213" i="44" s="1"/>
  <c r="P1213" i="44" a="1"/>
  <c r="P1213" i="44" s="1"/>
  <c r="O1213" i="44" a="1"/>
  <c r="O1213" i="44" s="1"/>
  <c r="K1213" i="44"/>
  <c r="C1213" i="44"/>
  <c r="AA1212" i="44"/>
  <c r="AA1212" i="44" a="1"/>
  <c r="Z1212" i="44" a="1"/>
  <c r="Z1212" i="44" s="1"/>
  <c r="R1212" i="44"/>
  <c r="U1212" i="44" s="1"/>
  <c r="P1212" i="44" a="1"/>
  <c r="P1212" i="44" s="1"/>
  <c r="O1212" i="44" a="1"/>
  <c r="O1212" i="44" s="1"/>
  <c r="K1212" i="44"/>
  <c r="C1212" i="44"/>
  <c r="AA1211" i="44"/>
  <c r="AA1211" i="44" a="1"/>
  <c r="Z1211" i="44" a="1"/>
  <c r="Z1211" i="44" s="1"/>
  <c r="V1211" i="44"/>
  <c r="R1211" i="44"/>
  <c r="U1211" i="44" s="1"/>
  <c r="P1211" i="44" a="1"/>
  <c r="P1211" i="44" s="1"/>
  <c r="T1211" i="44" s="1"/>
  <c r="O1211" i="44" a="1"/>
  <c r="O1211" i="44" s="1"/>
  <c r="S1211" i="44" s="1"/>
  <c r="M1211" i="44"/>
  <c r="L1211" i="44"/>
  <c r="K1211" i="44"/>
  <c r="C1211" i="44"/>
  <c r="AA1210" i="44"/>
  <c r="AA1210" i="44" a="1"/>
  <c r="Z1210" i="44" a="1"/>
  <c r="Z1210" i="44" s="1"/>
  <c r="V1210" i="44"/>
  <c r="S1210" i="44"/>
  <c r="R1210" i="44"/>
  <c r="U1210" i="44" s="1"/>
  <c r="W1210" i="44" s="1"/>
  <c r="P1210" i="44"/>
  <c r="T1210" i="44" s="1"/>
  <c r="P1210" i="44" a="1"/>
  <c r="O1210" i="44" a="1"/>
  <c r="O1210" i="44" s="1"/>
  <c r="M1210" i="44"/>
  <c r="K1210" i="44"/>
  <c r="L1210" i="44" s="1"/>
  <c r="C1210" i="44"/>
  <c r="AA1209" i="44" a="1"/>
  <c r="AA1209" i="44" s="1"/>
  <c r="Z1209" i="44" a="1"/>
  <c r="Z1209" i="44" s="1"/>
  <c r="V1209" i="44"/>
  <c r="R1209" i="44"/>
  <c r="U1209" i="44" s="1"/>
  <c r="P1209" i="44" a="1"/>
  <c r="P1209" i="44" s="1"/>
  <c r="T1209" i="44" s="1"/>
  <c r="O1209" i="44" a="1"/>
  <c r="O1209" i="44" s="1"/>
  <c r="S1209" i="44" s="1"/>
  <c r="M1209" i="44"/>
  <c r="L1209" i="44"/>
  <c r="K1209" i="44"/>
  <c r="C1209" i="44"/>
  <c r="AA1208" i="44" a="1"/>
  <c r="AA1208" i="44" s="1"/>
  <c r="Z1208" i="44"/>
  <c r="Z1208" i="44" a="1"/>
  <c r="R1208" i="44"/>
  <c r="U1208" i="44" s="1"/>
  <c r="P1208" i="44" a="1"/>
  <c r="P1208" i="44" s="1"/>
  <c r="T1208" i="44" s="1"/>
  <c r="O1208" i="44" a="1"/>
  <c r="O1208" i="44" s="1"/>
  <c r="K1208" i="44"/>
  <c r="C1208" i="44"/>
  <c r="AA1207" i="44" a="1"/>
  <c r="AA1207" i="44" s="1"/>
  <c r="Z1207" i="44"/>
  <c r="Z1207" i="44" a="1"/>
  <c r="V1207" i="44"/>
  <c r="T1207" i="44"/>
  <c r="R1207" i="44"/>
  <c r="U1207" i="44" s="1"/>
  <c r="P1207" i="44"/>
  <c r="P1207" i="44" a="1"/>
  <c r="O1207" i="44" a="1"/>
  <c r="O1207" i="44" s="1"/>
  <c r="S1207" i="44" s="1"/>
  <c r="M1207" i="44"/>
  <c r="L1207" i="44"/>
  <c r="C1207" i="44"/>
  <c r="AA1206" i="44"/>
  <c r="AA1206" i="44" a="1"/>
  <c r="Z1206" i="44" a="1"/>
  <c r="Z1206" i="44" s="1"/>
  <c r="V1206" i="44"/>
  <c r="R1206" i="44"/>
  <c r="U1206" i="44" s="1"/>
  <c r="P1206" i="44" a="1"/>
  <c r="P1206" i="44" s="1"/>
  <c r="T1206" i="44" s="1"/>
  <c r="O1206" i="44" a="1"/>
  <c r="O1206" i="44" s="1"/>
  <c r="S1206" i="44" s="1"/>
  <c r="M1206" i="44"/>
  <c r="L1206" i="44"/>
  <c r="K1206" i="44"/>
  <c r="C1206" i="44"/>
  <c r="AA1205" i="44"/>
  <c r="AA1205" i="44" a="1"/>
  <c r="Z1205" i="44" a="1"/>
  <c r="Z1205" i="44" s="1"/>
  <c r="V1205" i="44"/>
  <c r="R1205" i="44"/>
  <c r="U1205" i="44" s="1"/>
  <c r="P1205" i="44" a="1"/>
  <c r="P1205" i="44" s="1"/>
  <c r="T1205" i="44" s="1"/>
  <c r="O1205" i="44" a="1"/>
  <c r="O1205" i="44" s="1"/>
  <c r="S1205" i="44" s="1"/>
  <c r="M1205" i="44"/>
  <c r="L1205" i="44"/>
  <c r="C1205" i="44"/>
  <c r="AA1204" i="44" a="1"/>
  <c r="AA1204" i="44" s="1"/>
  <c r="Z1204" i="44" a="1"/>
  <c r="Z1204" i="44" s="1"/>
  <c r="V1204" i="44"/>
  <c r="T1204" i="44"/>
  <c r="R1204" i="44"/>
  <c r="U1204" i="44" s="1"/>
  <c r="P1204" i="44" a="1"/>
  <c r="P1204" i="44" s="1"/>
  <c r="O1204" i="44"/>
  <c r="S1204" i="44" s="1"/>
  <c r="O1204" i="44" a="1"/>
  <c r="M1204" i="44"/>
  <c r="L1204" i="44"/>
  <c r="K1204" i="44"/>
  <c r="C1204" i="44"/>
  <c r="AA1203" i="44" a="1"/>
  <c r="AA1203" i="44" s="1"/>
  <c r="Z1203" i="44" a="1"/>
  <c r="Z1203" i="44" s="1"/>
  <c r="V1203" i="44"/>
  <c r="R1203" i="44"/>
  <c r="U1203" i="44" s="1"/>
  <c r="P1203" i="44" a="1"/>
  <c r="P1203" i="44" s="1"/>
  <c r="O1203" i="44" a="1"/>
  <c r="O1203" i="44" s="1"/>
  <c r="M1203" i="44"/>
  <c r="K1203" i="44"/>
  <c r="C1203" i="44"/>
  <c r="AA1202" i="44" a="1"/>
  <c r="AA1202" i="44" s="1"/>
  <c r="Z1202" i="44" a="1"/>
  <c r="Z1202" i="44" s="1"/>
  <c r="R1202" i="44"/>
  <c r="U1202" i="44" s="1"/>
  <c r="P1202" i="44"/>
  <c r="P1202" i="44" a="1"/>
  <c r="O1202" i="44" a="1"/>
  <c r="O1202" i="44" s="1"/>
  <c r="S1202" i="44" s="1"/>
  <c r="K1202" i="44"/>
  <c r="C1202" i="44"/>
  <c r="AA1201" i="44"/>
  <c r="AA1201" i="44" a="1"/>
  <c r="Z1201" i="44" a="1"/>
  <c r="Z1201" i="44" s="1"/>
  <c r="V1201" i="44"/>
  <c r="R1201" i="44"/>
  <c r="U1201" i="44" s="1"/>
  <c r="W1201" i="44" s="1"/>
  <c r="P1201" i="44" a="1"/>
  <c r="P1201" i="44" s="1"/>
  <c r="T1201" i="44" s="1"/>
  <c r="O1201" i="44" a="1"/>
  <c r="O1201" i="44" s="1"/>
  <c r="S1201" i="44" s="1"/>
  <c r="L1201" i="44"/>
  <c r="K1201" i="44"/>
  <c r="M1201" i="44" s="1"/>
  <c r="C1201" i="44"/>
  <c r="AA1200" i="44" a="1"/>
  <c r="AA1200" i="44" s="1"/>
  <c r="Z1200" i="44" a="1"/>
  <c r="Z1200" i="44" s="1"/>
  <c r="R1200" i="44"/>
  <c r="U1200" i="44" s="1"/>
  <c r="P1200" i="44" a="1"/>
  <c r="P1200" i="44" s="1"/>
  <c r="T1200" i="44" s="1"/>
  <c r="O1200" i="44"/>
  <c r="O1200" i="44" a="1"/>
  <c r="K1200" i="44"/>
  <c r="M1200" i="44" s="1"/>
  <c r="C1200" i="44"/>
  <c r="AA1199" i="44" a="1"/>
  <c r="AA1199" i="44" s="1"/>
  <c r="Z1199" i="44" a="1"/>
  <c r="Z1199" i="44" s="1"/>
  <c r="V1199" i="44"/>
  <c r="R1199" i="44"/>
  <c r="U1199" i="44" s="1"/>
  <c r="P1199" i="44" a="1"/>
  <c r="P1199" i="44" s="1"/>
  <c r="T1199" i="44" s="1"/>
  <c r="O1199" i="44" a="1"/>
  <c r="O1199" i="44" s="1"/>
  <c r="S1199" i="44" s="1"/>
  <c r="M1199" i="44"/>
  <c r="L1199" i="44"/>
  <c r="K1199" i="44"/>
  <c r="C1199" i="44"/>
  <c r="AA1198" i="44" a="1"/>
  <c r="AA1198" i="44" s="1"/>
  <c r="Z1198" i="44" a="1"/>
  <c r="Z1198" i="44" s="1"/>
  <c r="V1198" i="44"/>
  <c r="S1198" i="44"/>
  <c r="R1198" i="44"/>
  <c r="U1198" i="44" s="1"/>
  <c r="P1198" i="44" a="1"/>
  <c r="P1198" i="44" s="1"/>
  <c r="T1198" i="44" s="1"/>
  <c r="O1198" i="44"/>
  <c r="O1198" i="44" a="1"/>
  <c r="M1198" i="44"/>
  <c r="L1198" i="44"/>
  <c r="K1198" i="44"/>
  <c r="C1198" i="44"/>
  <c r="AA1197" i="44"/>
  <c r="AA1197" i="44" a="1"/>
  <c r="Z1197" i="44"/>
  <c r="Z1197" i="44" a="1"/>
  <c r="V1197" i="44"/>
  <c r="T1197" i="44"/>
  <c r="R1197" i="44"/>
  <c r="U1197" i="44" s="1"/>
  <c r="P1197" i="44" a="1"/>
  <c r="P1197" i="44" s="1"/>
  <c r="O1197" i="44" a="1"/>
  <c r="O1197" i="44" s="1"/>
  <c r="S1197" i="44" s="1"/>
  <c r="L1197" i="44"/>
  <c r="K1197" i="44"/>
  <c r="C1197" i="44"/>
  <c r="P1196" i="44"/>
  <c r="P1196" i="44" a="1"/>
  <c r="E1196" i="44"/>
  <c r="AA1194" i="44" a="1"/>
  <c r="AA1194" i="44" s="1"/>
  <c r="Z1194" i="44" a="1"/>
  <c r="Z1194" i="44" s="1"/>
  <c r="V1194" i="44"/>
  <c r="R1194" i="44"/>
  <c r="U1194" i="44" s="1"/>
  <c r="P1194" i="44"/>
  <c r="P1194" i="44" a="1"/>
  <c r="O1194" i="44" a="1"/>
  <c r="O1194" i="44" s="1"/>
  <c r="F1194" i="44"/>
  <c r="K1194" i="44" s="1"/>
  <c r="C1194" i="44"/>
  <c r="AA1193" i="44" a="1"/>
  <c r="AA1193" i="44" s="1"/>
  <c r="Z1193" i="44"/>
  <c r="Z1193" i="44" a="1"/>
  <c r="R1193" i="44"/>
  <c r="U1193" i="44" s="1"/>
  <c r="P1193" i="44"/>
  <c r="P1193" i="44" a="1"/>
  <c r="O1193" i="44" a="1"/>
  <c r="O1193" i="44" s="1"/>
  <c r="K1193" i="44"/>
  <c r="F1193" i="44"/>
  <c r="C1193" i="44"/>
  <c r="AA1191" i="44"/>
  <c r="AA1191" i="44" a="1"/>
  <c r="Z1191" i="44" a="1"/>
  <c r="Z1191" i="44" s="1"/>
  <c r="R1191" i="44"/>
  <c r="U1191" i="44" s="1"/>
  <c r="P1191" i="44" a="1"/>
  <c r="P1191" i="44" s="1"/>
  <c r="O1191" i="44" a="1"/>
  <c r="O1191" i="44" s="1"/>
  <c r="F1191" i="44"/>
  <c r="K1191" i="44" s="1"/>
  <c r="C1191" i="44"/>
  <c r="AA1190" i="44"/>
  <c r="AA1190" i="44" a="1"/>
  <c r="Z1190" i="44" a="1"/>
  <c r="Z1190" i="44" s="1"/>
  <c r="R1190" i="44"/>
  <c r="U1190" i="44" s="1"/>
  <c r="P1190" i="44"/>
  <c r="P1190" i="44" a="1"/>
  <c r="O1190" i="44"/>
  <c r="O1190" i="44" a="1"/>
  <c r="K1190" i="44"/>
  <c r="V1190" i="44" s="1"/>
  <c r="F1190" i="44"/>
  <c r="C1190" i="44"/>
  <c r="AA1188" i="44" a="1"/>
  <c r="AA1188" i="44" s="1"/>
  <c r="Z1188" i="44" a="1"/>
  <c r="Z1188" i="44" s="1"/>
  <c r="R1188" i="44"/>
  <c r="U1188" i="44" s="1"/>
  <c r="P1188" i="44" a="1"/>
  <c r="P1188" i="44" s="1"/>
  <c r="O1188" i="44" a="1"/>
  <c r="O1188" i="44" s="1"/>
  <c r="M1188" i="44"/>
  <c r="F1188" i="44"/>
  <c r="K1188" i="44" s="1"/>
  <c r="C1188" i="44"/>
  <c r="AA1187" i="44"/>
  <c r="AA1187" i="44" a="1"/>
  <c r="Z1187" i="44" a="1"/>
  <c r="Z1187" i="44" s="1"/>
  <c r="R1187" i="44"/>
  <c r="U1187" i="44" s="1"/>
  <c r="P1187" i="44"/>
  <c r="P1187" i="44" a="1"/>
  <c r="O1187" i="44" a="1"/>
  <c r="O1187" i="44" s="1"/>
  <c r="K1187" i="44"/>
  <c r="M1187" i="44" s="1"/>
  <c r="F1187" i="44"/>
  <c r="C1187" i="44"/>
  <c r="AA1185" i="44"/>
  <c r="AA1185" i="44" a="1"/>
  <c r="Z1185" i="44"/>
  <c r="Z1185" i="44" a="1"/>
  <c r="R1185" i="44"/>
  <c r="U1185" i="44" s="1"/>
  <c r="P1185" i="44" a="1"/>
  <c r="P1185" i="44" s="1"/>
  <c r="O1185" i="44" a="1"/>
  <c r="O1185" i="44" s="1"/>
  <c r="C1185" i="44"/>
  <c r="AA1184" i="44"/>
  <c r="AA1184" i="44" a="1"/>
  <c r="Z1184" i="44" a="1"/>
  <c r="Z1184" i="44" s="1"/>
  <c r="R1184" i="44"/>
  <c r="U1184" i="44" s="1"/>
  <c r="P1184" i="44" a="1"/>
  <c r="P1184" i="44" s="1"/>
  <c r="O1184" i="44"/>
  <c r="O1184" i="44" a="1"/>
  <c r="M1184" i="44"/>
  <c r="F1184" i="44"/>
  <c r="K1184" i="44" s="1"/>
  <c r="C1184" i="44"/>
  <c r="AA1182" i="44"/>
  <c r="AA1182" i="44" a="1"/>
  <c r="Z1182" i="44" a="1"/>
  <c r="Z1182" i="44" s="1"/>
  <c r="R1182" i="44"/>
  <c r="U1182" i="44" s="1"/>
  <c r="P1182" i="44"/>
  <c r="P1182" i="44" a="1"/>
  <c r="O1182" i="44" a="1"/>
  <c r="O1182" i="44" s="1"/>
  <c r="C1182" i="44"/>
  <c r="AA1181" i="44" a="1"/>
  <c r="AA1181" i="44" s="1"/>
  <c r="Z1181" i="44"/>
  <c r="Z1181" i="44" a="1"/>
  <c r="R1181" i="44"/>
  <c r="U1181" i="44" s="1"/>
  <c r="P1181" i="44" a="1"/>
  <c r="P1181" i="44" s="1"/>
  <c r="O1181" i="44" a="1"/>
  <c r="O1181" i="44" s="1"/>
  <c r="K1181" i="44"/>
  <c r="F1181" i="44"/>
  <c r="F1182" i="44" s="1"/>
  <c r="K1182" i="44" s="1"/>
  <c r="C1181" i="44"/>
  <c r="AA1179" i="44" a="1"/>
  <c r="AA1179" i="44" s="1"/>
  <c r="Z1179" i="44" a="1"/>
  <c r="Z1179" i="44" s="1"/>
  <c r="R1179" i="44"/>
  <c r="U1179" i="44" s="1"/>
  <c r="P1179" i="44"/>
  <c r="P1179" i="44" a="1"/>
  <c r="O1179" i="44" a="1"/>
  <c r="O1179" i="44" s="1"/>
  <c r="C1179" i="44"/>
  <c r="AA1178" i="44"/>
  <c r="AA1178" i="44" a="1"/>
  <c r="Z1178" i="44" a="1"/>
  <c r="Z1178" i="44" s="1"/>
  <c r="R1178" i="44"/>
  <c r="U1178" i="44" s="1"/>
  <c r="P1178" i="44" a="1"/>
  <c r="P1178" i="44" s="1"/>
  <c r="O1178" i="44"/>
  <c r="O1178" i="44" a="1"/>
  <c r="K1178" i="44"/>
  <c r="F1178" i="44"/>
  <c r="F1179" i="44" s="1"/>
  <c r="K1179" i="44" s="1"/>
  <c r="C1178" i="44"/>
  <c r="AA1176" i="44" a="1"/>
  <c r="AA1176" i="44" s="1"/>
  <c r="Z1176" i="44" a="1"/>
  <c r="Z1176" i="44" s="1"/>
  <c r="R1176" i="44"/>
  <c r="U1176" i="44" s="1"/>
  <c r="P1176" i="44" a="1"/>
  <c r="P1176" i="44" s="1"/>
  <c r="O1176" i="44" a="1"/>
  <c r="O1176" i="44" s="1"/>
  <c r="C1176" i="44"/>
  <c r="AA1175" i="44" a="1"/>
  <c r="AA1175" i="44" s="1"/>
  <c r="Z1175" i="44" a="1"/>
  <c r="Z1175" i="44" s="1"/>
  <c r="R1175" i="44"/>
  <c r="U1175" i="44" s="1"/>
  <c r="P1175" i="44" a="1"/>
  <c r="P1175" i="44" s="1"/>
  <c r="O1175" i="44" a="1"/>
  <c r="O1175" i="44" s="1"/>
  <c r="F1175" i="44"/>
  <c r="K1175" i="44" s="1"/>
  <c r="AI1175" i="44" s="1"/>
  <c r="C1175" i="44"/>
  <c r="AA1173" i="44"/>
  <c r="AA1173" i="44" a="1"/>
  <c r="Z1173" i="44" a="1"/>
  <c r="Z1173" i="44" s="1"/>
  <c r="R1173" i="44"/>
  <c r="U1173" i="44" s="1"/>
  <c r="P1173" i="44" a="1"/>
  <c r="P1173" i="44" s="1"/>
  <c r="O1173" i="44" a="1"/>
  <c r="O1173" i="44" s="1"/>
  <c r="F1173" i="44"/>
  <c r="K1173" i="44" s="1"/>
  <c r="C1173" i="44"/>
  <c r="AA1172" i="44" a="1"/>
  <c r="AA1172" i="44" s="1"/>
  <c r="Z1172" i="44"/>
  <c r="Z1172" i="44" a="1"/>
  <c r="R1172" i="44"/>
  <c r="U1172" i="44" s="1"/>
  <c r="P1172" i="44" a="1"/>
  <c r="P1172" i="44" s="1"/>
  <c r="O1172" i="44"/>
  <c r="O1172" i="44" a="1"/>
  <c r="F1172" i="44"/>
  <c r="K1172" i="44" s="1"/>
  <c r="C1172" i="44"/>
  <c r="AA1170" i="44" a="1"/>
  <c r="AA1170" i="44" s="1"/>
  <c r="Z1170" i="44"/>
  <c r="Z1170" i="44" a="1"/>
  <c r="R1170" i="44"/>
  <c r="U1170" i="44" s="1"/>
  <c r="P1170" i="44" a="1"/>
  <c r="P1170" i="44" s="1"/>
  <c r="O1170" i="44"/>
  <c r="O1170" i="44" a="1"/>
  <c r="C1170" i="44"/>
  <c r="AA1169" i="44" a="1"/>
  <c r="AA1169" i="44" s="1"/>
  <c r="Z1169" i="44" a="1"/>
  <c r="Z1169" i="44" s="1"/>
  <c r="R1169" i="44"/>
  <c r="U1169" i="44" s="1"/>
  <c r="P1169" i="44" a="1"/>
  <c r="P1169" i="44" s="1"/>
  <c r="O1169" i="44" a="1"/>
  <c r="O1169" i="44" s="1"/>
  <c r="F1169" i="44"/>
  <c r="C1169" i="44"/>
  <c r="AA1167" i="44" a="1"/>
  <c r="AA1167" i="44" s="1"/>
  <c r="Z1167" i="44" a="1"/>
  <c r="Z1167" i="44" s="1"/>
  <c r="R1167" i="44"/>
  <c r="U1167" i="44" s="1"/>
  <c r="P1167" i="44" a="1"/>
  <c r="P1167" i="44" s="1"/>
  <c r="O1167" i="44" a="1"/>
  <c r="O1167" i="44" s="1"/>
  <c r="F1167" i="44"/>
  <c r="K1167" i="44" s="1"/>
  <c r="C1167" i="44"/>
  <c r="AA1166" i="44"/>
  <c r="AA1166" i="44" a="1"/>
  <c r="Z1166" i="44"/>
  <c r="Z1166" i="44" a="1"/>
  <c r="R1166" i="44"/>
  <c r="U1166" i="44" s="1"/>
  <c r="P1166" i="44"/>
  <c r="P1166" i="44" a="1"/>
  <c r="O1166" i="44" a="1"/>
  <c r="O1166" i="44" s="1"/>
  <c r="K1166" i="44"/>
  <c r="F1166" i="44"/>
  <c r="C1166" i="44"/>
  <c r="AA1164" i="44"/>
  <c r="AA1164" i="44" a="1"/>
  <c r="Z1164" i="44"/>
  <c r="Z1164" i="44" a="1"/>
  <c r="R1164" i="44"/>
  <c r="U1164" i="44" s="1"/>
  <c r="P1164" i="44"/>
  <c r="P1164" i="44" a="1"/>
  <c r="O1164" i="44" a="1"/>
  <c r="O1164" i="44" s="1"/>
  <c r="C1164" i="44"/>
  <c r="AA1163" i="44" a="1"/>
  <c r="AA1163" i="44" s="1"/>
  <c r="Z1163" i="44" a="1"/>
  <c r="Z1163" i="44" s="1"/>
  <c r="R1163" i="44"/>
  <c r="U1163" i="44" s="1"/>
  <c r="P1163" i="44" a="1"/>
  <c r="P1163" i="44" s="1"/>
  <c r="O1163" i="44"/>
  <c r="O1163" i="44" a="1"/>
  <c r="F1163" i="44"/>
  <c r="C1163" i="44"/>
  <c r="AA1161" i="44" a="1"/>
  <c r="AA1161" i="44" s="1"/>
  <c r="Z1161" i="44" a="1"/>
  <c r="Z1161" i="44" s="1"/>
  <c r="R1161" i="44"/>
  <c r="U1161" i="44" s="1"/>
  <c r="P1161" i="44" a="1"/>
  <c r="P1161" i="44" s="1"/>
  <c r="O1161" i="44"/>
  <c r="O1161" i="44" a="1"/>
  <c r="C1161" i="44"/>
  <c r="AA1160" i="44" a="1"/>
  <c r="AA1160" i="44" s="1"/>
  <c r="Z1160" i="44" a="1"/>
  <c r="Z1160" i="44" s="1"/>
  <c r="R1160" i="44"/>
  <c r="U1160" i="44" s="1"/>
  <c r="P1160" i="44" a="1"/>
  <c r="P1160" i="44" s="1"/>
  <c r="O1160" i="44" a="1"/>
  <c r="O1160" i="44" s="1"/>
  <c r="F1160" i="44"/>
  <c r="K1160" i="44" s="1"/>
  <c r="C1160" i="44"/>
  <c r="AA1158" i="44"/>
  <c r="AA1158" i="44" a="1"/>
  <c r="Z1158" i="44" a="1"/>
  <c r="Z1158" i="44" s="1"/>
  <c r="R1158" i="44"/>
  <c r="U1158" i="44" s="1"/>
  <c r="P1158" i="44" a="1"/>
  <c r="P1158" i="44" s="1"/>
  <c r="O1158" i="44" a="1"/>
  <c r="O1158" i="44" s="1"/>
  <c r="C1158" i="44"/>
  <c r="AA1157" i="44" a="1"/>
  <c r="AA1157" i="44" s="1"/>
  <c r="Z1157" i="44" a="1"/>
  <c r="Z1157" i="44" s="1"/>
  <c r="R1157" i="44"/>
  <c r="U1157" i="44" s="1"/>
  <c r="P1157" i="44" a="1"/>
  <c r="P1157" i="44" s="1"/>
  <c r="O1157" i="44"/>
  <c r="O1157" i="44" a="1"/>
  <c r="K1157" i="44"/>
  <c r="V1157" i="44" s="1"/>
  <c r="F1157" i="44"/>
  <c r="F1158" i="44" s="1"/>
  <c r="K1158" i="44" s="1"/>
  <c r="C1157" i="44"/>
  <c r="AA1155" i="44" a="1"/>
  <c r="AA1155" i="44" s="1"/>
  <c r="Z1155" i="44" a="1"/>
  <c r="Z1155" i="44" s="1"/>
  <c r="R1155" i="44"/>
  <c r="U1155" i="44" s="1"/>
  <c r="P1155" i="44" a="1"/>
  <c r="P1155" i="44" s="1"/>
  <c r="O1155" i="44" a="1"/>
  <c r="O1155" i="44" s="1"/>
  <c r="F1155" i="44"/>
  <c r="K1155" i="44" s="1"/>
  <c r="C1155" i="44"/>
  <c r="AA1154" i="44" a="1"/>
  <c r="AA1154" i="44" s="1"/>
  <c r="Z1154" i="44" a="1"/>
  <c r="Z1154" i="44" s="1"/>
  <c r="V1154" i="44"/>
  <c r="R1154" i="44"/>
  <c r="U1154" i="44" s="1"/>
  <c r="P1154" i="44"/>
  <c r="P1154" i="44" a="1"/>
  <c r="O1154" i="44" a="1"/>
  <c r="O1154" i="44" s="1"/>
  <c r="S1154" i="44" s="1"/>
  <c r="K1154" i="44"/>
  <c r="AI1154" i="44" s="1"/>
  <c r="F1154" i="44"/>
  <c r="C1154" i="44"/>
  <c r="AA1152" i="44" a="1"/>
  <c r="AA1152" i="44" s="1"/>
  <c r="Z1152" i="44" a="1"/>
  <c r="Z1152" i="44" s="1"/>
  <c r="R1152" i="44"/>
  <c r="U1152" i="44" s="1"/>
  <c r="P1152" i="44" a="1"/>
  <c r="P1152" i="44" s="1"/>
  <c r="O1152" i="44" a="1"/>
  <c r="O1152" i="44" s="1"/>
  <c r="F1152" i="44"/>
  <c r="K1152" i="44" s="1"/>
  <c r="C1152" i="44"/>
  <c r="AA1151" i="44" a="1"/>
  <c r="AA1151" i="44" s="1"/>
  <c r="Z1151" i="44" a="1"/>
  <c r="Z1151" i="44" s="1"/>
  <c r="V1151" i="44"/>
  <c r="R1151" i="44"/>
  <c r="U1151" i="44" s="1"/>
  <c r="P1151" i="44" a="1"/>
  <c r="P1151" i="44" s="1"/>
  <c r="O1151" i="44"/>
  <c r="O1151" i="44" a="1"/>
  <c r="K1151" i="44"/>
  <c r="M1151" i="44" s="1"/>
  <c r="F1151" i="44"/>
  <c r="C1151" i="44"/>
  <c r="AA1149" i="44" a="1"/>
  <c r="AA1149" i="44" s="1"/>
  <c r="Z1149" i="44"/>
  <c r="Z1149" i="44" a="1"/>
  <c r="R1149" i="44"/>
  <c r="U1149" i="44" s="1"/>
  <c r="P1149" i="44" a="1"/>
  <c r="P1149" i="44" s="1"/>
  <c r="T1149" i="44" s="1"/>
  <c r="O1149" i="44" a="1"/>
  <c r="O1149" i="44" s="1"/>
  <c r="M1149" i="44"/>
  <c r="K1149" i="44"/>
  <c r="L1149" i="44" s="1"/>
  <c r="C1149" i="44"/>
  <c r="AA1148" i="44" a="1"/>
  <c r="AA1148" i="44" s="1"/>
  <c r="Z1148" i="44" a="1"/>
  <c r="Z1148" i="44" s="1"/>
  <c r="V1148" i="44"/>
  <c r="R1148" i="44"/>
  <c r="U1148" i="44" s="1"/>
  <c r="P1148" i="44" a="1"/>
  <c r="P1148" i="44" s="1"/>
  <c r="T1148" i="44" s="1"/>
  <c r="O1148" i="44" a="1"/>
  <c r="O1148" i="44" s="1"/>
  <c r="S1148" i="44" s="1"/>
  <c r="L1148" i="44"/>
  <c r="K1148" i="44"/>
  <c r="M1148" i="44" s="1"/>
  <c r="C1148" i="44"/>
  <c r="AA1147" i="44"/>
  <c r="AA1147" i="44" a="1"/>
  <c r="Z1147" i="44" a="1"/>
  <c r="Z1147" i="44" s="1"/>
  <c r="R1147" i="44"/>
  <c r="U1147" i="44" s="1"/>
  <c r="P1147" i="44" a="1"/>
  <c r="P1147" i="44" s="1"/>
  <c r="O1147" i="44" a="1"/>
  <c r="O1147" i="44" s="1"/>
  <c r="S1147" i="44" s="1"/>
  <c r="M1147" i="44"/>
  <c r="L1147" i="44"/>
  <c r="K1147" i="44"/>
  <c r="V1147" i="44" s="1"/>
  <c r="C1147" i="44"/>
  <c r="AA1146" i="44" a="1"/>
  <c r="AA1146" i="44" s="1"/>
  <c r="Z1146" i="44" a="1"/>
  <c r="Z1146" i="44" s="1"/>
  <c r="R1146" i="44"/>
  <c r="U1146" i="44" s="1"/>
  <c r="P1146" i="44"/>
  <c r="P1146" i="44" a="1"/>
  <c r="O1146" i="44" a="1"/>
  <c r="O1146" i="44" s="1"/>
  <c r="S1146" i="44" s="1"/>
  <c r="L1146" i="44"/>
  <c r="K1146" i="44"/>
  <c r="V1146" i="44" s="1"/>
  <c r="C1146" i="44"/>
  <c r="AA1145" i="44"/>
  <c r="AA1145" i="44" a="1"/>
  <c r="Z1145" i="44" a="1"/>
  <c r="Z1145" i="44" s="1"/>
  <c r="R1145" i="44"/>
  <c r="U1145" i="44" s="1"/>
  <c r="P1145" i="44" a="1"/>
  <c r="P1145" i="44" s="1"/>
  <c r="T1145" i="44" s="1"/>
  <c r="O1145" i="44" a="1"/>
  <c r="O1145" i="44" s="1"/>
  <c r="S1145" i="44" s="1"/>
  <c r="M1145" i="44"/>
  <c r="K1145" i="44"/>
  <c r="L1145" i="44" s="1"/>
  <c r="C1145" i="44"/>
  <c r="AA1144" i="44" a="1"/>
  <c r="AA1144" i="44" s="1"/>
  <c r="Z1144" i="44" a="1"/>
  <c r="Z1144" i="44" s="1"/>
  <c r="R1144" i="44"/>
  <c r="U1144" i="44" s="1"/>
  <c r="P1144" i="44" a="1"/>
  <c r="P1144" i="44" s="1"/>
  <c r="O1144" i="44" a="1"/>
  <c r="O1144" i="44" s="1"/>
  <c r="K1144" i="44"/>
  <c r="M1144" i="44" s="1"/>
  <c r="C1144" i="44"/>
  <c r="AA1143" i="44"/>
  <c r="AA1143" i="44" a="1"/>
  <c r="Z1143" i="44"/>
  <c r="Z1143" i="44" a="1"/>
  <c r="R1143" i="44"/>
  <c r="U1143" i="44" s="1"/>
  <c r="P1143" i="44" a="1"/>
  <c r="P1143" i="44" s="1"/>
  <c r="O1143" i="44" a="1"/>
  <c r="O1143" i="44" s="1"/>
  <c r="M1143" i="44"/>
  <c r="L1143" i="44"/>
  <c r="K1143" i="44"/>
  <c r="V1143" i="44" s="1"/>
  <c r="C1143" i="44"/>
  <c r="AA1142" i="44" a="1"/>
  <c r="AA1142" i="44" s="1"/>
  <c r="Z1142" i="44"/>
  <c r="Z1142" i="44" a="1"/>
  <c r="R1142" i="44"/>
  <c r="U1142" i="44" s="1"/>
  <c r="P1142" i="44" a="1"/>
  <c r="P1142" i="44" s="1"/>
  <c r="O1142" i="44" a="1"/>
  <c r="O1142" i="44" s="1"/>
  <c r="L1142" i="44"/>
  <c r="K1142" i="44"/>
  <c r="V1142" i="44" s="1"/>
  <c r="C1142" i="44"/>
  <c r="AK1141" i="44"/>
  <c r="AA1141" i="44" a="1"/>
  <c r="AA1141" i="44" s="1"/>
  <c r="Z1141" i="44" a="1"/>
  <c r="Z1141" i="44" s="1"/>
  <c r="R1141" i="44"/>
  <c r="U1141" i="44" s="1"/>
  <c r="P1141" i="44" a="1"/>
  <c r="P1141" i="44" s="1"/>
  <c r="O1141" i="44" a="1"/>
  <c r="O1141" i="44" s="1"/>
  <c r="S1141" i="44" s="1"/>
  <c r="M1141" i="44"/>
  <c r="L1141" i="44"/>
  <c r="K1141" i="44"/>
  <c r="V1141" i="44" s="1"/>
  <c r="C1141" i="44"/>
  <c r="AA1140" i="44" a="1"/>
  <c r="AA1140" i="44" s="1"/>
  <c r="Z1140" i="44" a="1"/>
  <c r="Z1140" i="44" s="1"/>
  <c r="R1140" i="44"/>
  <c r="U1140" i="44" s="1"/>
  <c r="P1140" i="44"/>
  <c r="P1140" i="44" a="1"/>
  <c r="O1140" i="44" a="1"/>
  <c r="O1140" i="44" s="1"/>
  <c r="K1140" i="44"/>
  <c r="C1140" i="44"/>
  <c r="AK1139" i="44"/>
  <c r="AA1139" i="44" a="1"/>
  <c r="AA1139" i="44" s="1"/>
  <c r="Z1139" i="44" a="1"/>
  <c r="Z1139" i="44" s="1"/>
  <c r="V1139" i="44"/>
  <c r="R1139" i="44"/>
  <c r="U1139" i="44" s="1"/>
  <c r="P1139" i="44" a="1"/>
  <c r="P1139" i="44" s="1"/>
  <c r="T1139" i="44" s="1"/>
  <c r="O1139" i="44" a="1"/>
  <c r="O1139" i="44" s="1"/>
  <c r="S1139" i="44" s="1"/>
  <c r="M1139" i="44"/>
  <c r="L1139" i="44"/>
  <c r="K1139" i="44"/>
  <c r="C1139" i="44"/>
  <c r="AA1138" i="44" a="1"/>
  <c r="AA1138" i="44" s="1"/>
  <c r="Z1138" i="44"/>
  <c r="Z1138" i="44" a="1"/>
  <c r="V1138" i="44"/>
  <c r="R1138" i="44"/>
  <c r="U1138" i="44" s="1"/>
  <c r="P1138" i="44" a="1"/>
  <c r="P1138" i="44" s="1"/>
  <c r="O1138" i="44" a="1"/>
  <c r="O1138" i="44" s="1"/>
  <c r="L1138" i="44"/>
  <c r="K1138" i="44"/>
  <c r="C1138" i="44"/>
  <c r="AA1137" i="44" a="1"/>
  <c r="AA1137" i="44" s="1"/>
  <c r="Z1137" i="44" a="1"/>
  <c r="Z1137" i="44" s="1"/>
  <c r="V1137" i="44"/>
  <c r="R1137" i="44"/>
  <c r="U1137" i="44" s="1"/>
  <c r="P1137" i="44" a="1"/>
  <c r="P1137" i="44" s="1"/>
  <c r="T1137" i="44" s="1"/>
  <c r="O1137" i="44" a="1"/>
  <c r="O1137" i="44" s="1"/>
  <c r="M1137" i="44"/>
  <c r="L1137" i="44"/>
  <c r="K1137" i="44"/>
  <c r="S1137" i="44" s="1"/>
  <c r="AE1137" i="44" s="1"/>
  <c r="AB1137" i="44" s="1"/>
  <c r="C1137" i="44"/>
  <c r="AA1136" i="44" a="1"/>
  <c r="AA1136" i="44" s="1"/>
  <c r="Z1136" i="44" a="1"/>
  <c r="Z1136" i="44" s="1"/>
  <c r="V1136" i="44"/>
  <c r="R1136" i="44"/>
  <c r="U1136" i="44" s="1"/>
  <c r="P1136" i="44" a="1"/>
  <c r="P1136" i="44" s="1"/>
  <c r="T1136" i="44" s="1"/>
  <c r="O1136" i="44" a="1"/>
  <c r="O1136" i="44" s="1"/>
  <c r="S1136" i="44" s="1"/>
  <c r="M1136" i="44"/>
  <c r="L1136" i="44"/>
  <c r="K1136" i="44"/>
  <c r="C1136" i="44"/>
  <c r="AA1135" i="44" a="1"/>
  <c r="AA1135" i="44" s="1"/>
  <c r="Z1135" i="44" a="1"/>
  <c r="Z1135" i="44" s="1"/>
  <c r="V1135" i="44"/>
  <c r="R1135" i="44"/>
  <c r="U1135" i="44" s="1"/>
  <c r="P1135" i="44" a="1"/>
  <c r="P1135" i="44" s="1"/>
  <c r="O1135" i="44"/>
  <c r="S1135" i="44" s="1"/>
  <c r="O1135" i="44" a="1"/>
  <c r="K1135" i="44"/>
  <c r="C1135" i="44"/>
  <c r="AA1134" i="44" a="1"/>
  <c r="AA1134" i="44" s="1"/>
  <c r="Z1134" i="44" a="1"/>
  <c r="Z1134" i="44" s="1"/>
  <c r="V1134" i="44"/>
  <c r="R1134" i="44"/>
  <c r="U1134" i="44" s="1"/>
  <c r="P1134" i="44"/>
  <c r="T1134" i="44" s="1"/>
  <c r="P1134" i="44" a="1"/>
  <c r="O1134" i="44" a="1"/>
  <c r="O1134" i="44" s="1"/>
  <c r="S1134" i="44" s="1"/>
  <c r="M1134" i="44"/>
  <c r="L1134" i="44"/>
  <c r="K1134" i="44"/>
  <c r="C1134" i="44"/>
  <c r="AK1133" i="44"/>
  <c r="AA1133" i="44" a="1"/>
  <c r="AA1133" i="44" s="1"/>
  <c r="Z1133" i="44" a="1"/>
  <c r="Z1133" i="44" s="1"/>
  <c r="T1133" i="44"/>
  <c r="R1133" i="44"/>
  <c r="U1133" i="44" s="1"/>
  <c r="P1133" i="44" a="1"/>
  <c r="P1133" i="44" s="1"/>
  <c r="O1133" i="44" a="1"/>
  <c r="O1133" i="44" s="1"/>
  <c r="M1133" i="44"/>
  <c r="K1133" i="44"/>
  <c r="C1133" i="44"/>
  <c r="AA1132" i="44"/>
  <c r="AA1132" i="44" a="1"/>
  <c r="Z1132" i="44" a="1"/>
  <c r="Z1132" i="44" s="1"/>
  <c r="R1132" i="44"/>
  <c r="U1132" i="44" s="1"/>
  <c r="P1132" i="44" a="1"/>
  <c r="P1132" i="44" s="1"/>
  <c r="O1132" i="44" a="1"/>
  <c r="O1132" i="44" s="1"/>
  <c r="K1132" i="44"/>
  <c r="C1132" i="44"/>
  <c r="AK1131" i="44"/>
  <c r="AA1131" i="44" a="1"/>
  <c r="AA1131" i="44" s="1"/>
  <c r="Z1131" i="44" a="1"/>
  <c r="Z1131" i="44" s="1"/>
  <c r="R1131" i="44"/>
  <c r="U1131" i="44" s="1"/>
  <c r="P1131" i="44" a="1"/>
  <c r="P1131" i="44" s="1"/>
  <c r="O1131" i="44" a="1"/>
  <c r="O1131" i="44" s="1"/>
  <c r="S1131" i="44" s="1"/>
  <c r="K1131" i="44"/>
  <c r="C1131" i="44"/>
  <c r="AA1130" i="44"/>
  <c r="AA1130" i="44" a="1"/>
  <c r="Z1130" i="44" a="1"/>
  <c r="Z1130" i="44" s="1"/>
  <c r="R1130" i="44"/>
  <c r="U1130" i="44" s="1"/>
  <c r="P1130" i="44" a="1"/>
  <c r="P1130" i="44" s="1"/>
  <c r="T1130" i="44" s="1"/>
  <c r="O1130" i="44" a="1"/>
  <c r="O1130" i="44" s="1"/>
  <c r="M1130" i="44"/>
  <c r="K1130" i="44"/>
  <c r="C1130" i="44"/>
  <c r="AA1129" i="44" a="1"/>
  <c r="AA1129" i="44" s="1"/>
  <c r="Z1129" i="44" a="1"/>
  <c r="Z1129" i="44" s="1"/>
  <c r="R1129" i="44"/>
  <c r="U1129" i="44" s="1"/>
  <c r="P1129" i="44" a="1"/>
  <c r="P1129" i="44" s="1"/>
  <c r="O1129" i="44" a="1"/>
  <c r="O1129" i="44" s="1"/>
  <c r="M1129" i="44"/>
  <c r="L1129" i="44"/>
  <c r="K1129" i="44"/>
  <c r="C1129" i="44"/>
  <c r="AK1128" i="44"/>
  <c r="AA1128" i="44" a="1"/>
  <c r="AA1128" i="44" s="1"/>
  <c r="Z1128" i="44" a="1"/>
  <c r="Z1128" i="44" s="1"/>
  <c r="V1128" i="44"/>
  <c r="R1128" i="44"/>
  <c r="U1128" i="44" s="1"/>
  <c r="P1128" i="44" a="1"/>
  <c r="P1128" i="44" s="1"/>
  <c r="O1128" i="44" a="1"/>
  <c r="O1128" i="44" s="1"/>
  <c r="S1128" i="44" s="1"/>
  <c r="M1128" i="44"/>
  <c r="L1128" i="44"/>
  <c r="K1128" i="44"/>
  <c r="C1128" i="44"/>
  <c r="AA1127" i="44" a="1"/>
  <c r="AA1127" i="44" s="1"/>
  <c r="Z1127" i="44"/>
  <c r="Z1127" i="44" a="1"/>
  <c r="R1127" i="44"/>
  <c r="U1127" i="44" s="1"/>
  <c r="P1127" i="44" a="1"/>
  <c r="P1127" i="44" s="1"/>
  <c r="T1127" i="44" s="1"/>
  <c r="O1127" i="44"/>
  <c r="S1127" i="44" s="1"/>
  <c r="O1127" i="44" a="1"/>
  <c r="K1127" i="44"/>
  <c r="L1127" i="44" s="1"/>
  <c r="C1127" i="44"/>
  <c r="AA1126" i="44" a="1"/>
  <c r="AA1126" i="44" s="1"/>
  <c r="Z1126" i="44"/>
  <c r="Z1126" i="44" a="1"/>
  <c r="V1126" i="44"/>
  <c r="R1126" i="44"/>
  <c r="U1126" i="44" s="1"/>
  <c r="P1126" i="44"/>
  <c r="P1126" i="44" a="1"/>
  <c r="O1126" i="44" a="1"/>
  <c r="O1126" i="44" s="1"/>
  <c r="M1126" i="44"/>
  <c r="L1126" i="44"/>
  <c r="K1126" i="44"/>
  <c r="C1126" i="44"/>
  <c r="AA1125" i="44" a="1"/>
  <c r="AA1125" i="44" s="1"/>
  <c r="Z1125" i="44" a="1"/>
  <c r="Z1125" i="44" s="1"/>
  <c r="V1125" i="44"/>
  <c r="R1125" i="44"/>
  <c r="U1125" i="44" s="1"/>
  <c r="W1125" i="44" s="1"/>
  <c r="P1125" i="44"/>
  <c r="T1125" i="44" s="1"/>
  <c r="P1125" i="44" a="1"/>
  <c r="O1125" i="44" a="1"/>
  <c r="O1125" i="44" s="1"/>
  <c r="S1125" i="44" s="1"/>
  <c r="AE1125" i="44" s="1"/>
  <c r="M1125" i="44"/>
  <c r="L1125" i="44"/>
  <c r="K1125" i="44"/>
  <c r="C1125" i="44"/>
  <c r="AA1124" i="44" a="1"/>
  <c r="AA1124" i="44" s="1"/>
  <c r="Z1124" i="44" a="1"/>
  <c r="Z1124" i="44" s="1"/>
  <c r="T1124" i="44"/>
  <c r="R1124" i="44"/>
  <c r="U1124" i="44" s="1"/>
  <c r="P1124" i="44"/>
  <c r="P1124" i="44" a="1"/>
  <c r="O1124" i="44" a="1"/>
  <c r="O1124" i="44" s="1"/>
  <c r="K1124" i="44"/>
  <c r="M1124" i="44" s="1"/>
  <c r="C1124" i="44"/>
  <c r="AA1123" i="44" a="1"/>
  <c r="AA1123" i="44" s="1"/>
  <c r="Z1123" i="44"/>
  <c r="Z1123" i="44" a="1"/>
  <c r="R1123" i="44"/>
  <c r="U1123" i="44" s="1"/>
  <c r="P1123" i="44" a="1"/>
  <c r="P1123" i="44" s="1"/>
  <c r="O1123" i="44" a="1"/>
  <c r="O1123" i="44" s="1"/>
  <c r="C1123" i="44"/>
  <c r="AA1122" i="44"/>
  <c r="AA1122" i="44" a="1"/>
  <c r="Z1122" i="44" a="1"/>
  <c r="Z1122" i="44" s="1"/>
  <c r="R1122" i="44"/>
  <c r="U1122" i="44" s="1"/>
  <c r="P1122" i="44"/>
  <c r="P1122" i="44" a="1"/>
  <c r="O1122" i="44" a="1"/>
  <c r="O1122" i="44" s="1"/>
  <c r="L1122" i="44"/>
  <c r="K1122" i="44"/>
  <c r="C1122" i="44"/>
  <c r="AA1121" i="44" a="1"/>
  <c r="AA1121" i="44" s="1"/>
  <c r="Z1121" i="44"/>
  <c r="Z1121" i="44" a="1"/>
  <c r="V1121" i="44"/>
  <c r="R1121" i="44"/>
  <c r="U1121" i="44" s="1"/>
  <c r="P1121" i="44" a="1"/>
  <c r="P1121" i="44" s="1"/>
  <c r="T1121" i="44" s="1"/>
  <c r="O1121" i="44" a="1"/>
  <c r="O1121" i="44" s="1"/>
  <c r="S1121" i="44" s="1"/>
  <c r="M1121" i="44"/>
  <c r="L1121" i="44"/>
  <c r="K1121" i="44"/>
  <c r="AK1121" i="44" s="1"/>
  <c r="C1121" i="44"/>
  <c r="AK1120" i="44"/>
  <c r="AA1120" i="44" a="1"/>
  <c r="AA1120" i="44" s="1"/>
  <c r="Z1120" i="44" a="1"/>
  <c r="Z1120" i="44" s="1"/>
  <c r="R1120" i="44"/>
  <c r="U1120" i="44" s="1"/>
  <c r="P1120" i="44"/>
  <c r="T1120" i="44" s="1"/>
  <c r="P1120" i="44" a="1"/>
  <c r="O1120" i="44" a="1"/>
  <c r="O1120" i="44" s="1"/>
  <c r="S1120" i="44" s="1"/>
  <c r="L1120" i="44"/>
  <c r="K1120" i="44"/>
  <c r="M1120" i="44" s="1"/>
  <c r="C1120" i="44"/>
  <c r="AA1119" i="44"/>
  <c r="AA1119" i="44" a="1"/>
  <c r="Z1119" i="44" a="1"/>
  <c r="Z1119" i="44" s="1"/>
  <c r="V1119" i="44"/>
  <c r="R1119" i="44"/>
  <c r="U1119" i="44" s="1"/>
  <c r="P1119" i="44" a="1"/>
  <c r="P1119" i="44" s="1"/>
  <c r="T1119" i="44" s="1"/>
  <c r="O1119" i="44" a="1"/>
  <c r="O1119" i="44" s="1"/>
  <c r="M1119" i="44"/>
  <c r="L1119" i="44"/>
  <c r="K1119" i="44"/>
  <c r="C1119" i="44"/>
  <c r="P1118" i="44" a="1"/>
  <c r="P1118" i="44" s="1"/>
  <c r="E1118" i="44"/>
  <c r="AA1116" i="44" a="1"/>
  <c r="AA1116" i="44" s="1"/>
  <c r="Z1116" i="44" a="1"/>
  <c r="Z1116" i="44" s="1"/>
  <c r="R1116" i="44"/>
  <c r="U1116" i="44" s="1"/>
  <c r="P1116" i="44" a="1"/>
  <c r="P1116" i="44" s="1"/>
  <c r="O1116" i="44" a="1"/>
  <c r="O1116" i="44" s="1"/>
  <c r="C1116" i="44"/>
  <c r="AA1115" i="44" a="1"/>
  <c r="AA1115" i="44" s="1"/>
  <c r="Z1115" i="44" a="1"/>
  <c r="Z1115" i="44" s="1"/>
  <c r="R1115" i="44"/>
  <c r="U1115" i="44" s="1"/>
  <c r="P1115" i="44"/>
  <c r="P1115" i="44" a="1"/>
  <c r="O1115" i="44" a="1"/>
  <c r="O1115" i="44" s="1"/>
  <c r="F1115" i="44"/>
  <c r="C1115" i="44"/>
  <c r="AI1113" i="44"/>
  <c r="AA1113" i="44"/>
  <c r="AA1113" i="44" a="1"/>
  <c r="Z1113" i="44" a="1"/>
  <c r="Z1113" i="44" s="1"/>
  <c r="V1113" i="44"/>
  <c r="R1113" i="44"/>
  <c r="U1113" i="44" s="1"/>
  <c r="P1113" i="44" a="1"/>
  <c r="P1113" i="44" s="1"/>
  <c r="O1113" i="44" a="1"/>
  <c r="O1113" i="44" s="1"/>
  <c r="C1113" i="44"/>
  <c r="AA1112" i="44" a="1"/>
  <c r="AA1112" i="44" s="1"/>
  <c r="Z1112" i="44" a="1"/>
  <c r="Z1112" i="44" s="1"/>
  <c r="R1112" i="44"/>
  <c r="U1112" i="44" s="1"/>
  <c r="P1112" i="44" a="1"/>
  <c r="P1112" i="44" s="1"/>
  <c r="O1112" i="44"/>
  <c r="O1112" i="44" a="1"/>
  <c r="M1112" i="44"/>
  <c r="K1112" i="44"/>
  <c r="S1112" i="44" s="1"/>
  <c r="F1112" i="44"/>
  <c r="F1113" i="44" s="1"/>
  <c r="K1113" i="44" s="1"/>
  <c r="C1112" i="44"/>
  <c r="AA1110" i="44" a="1"/>
  <c r="AA1110" i="44" s="1"/>
  <c r="Z1110" i="44" a="1"/>
  <c r="Z1110" i="44" s="1"/>
  <c r="R1110" i="44"/>
  <c r="U1110" i="44" s="1"/>
  <c r="P1110" i="44" a="1"/>
  <c r="P1110" i="44" s="1"/>
  <c r="O1110" i="44" a="1"/>
  <c r="O1110" i="44" s="1"/>
  <c r="C1110" i="44"/>
  <c r="AA1109" i="44" a="1"/>
  <c r="AA1109" i="44" s="1"/>
  <c r="Z1109" i="44" a="1"/>
  <c r="Z1109" i="44" s="1"/>
  <c r="R1109" i="44"/>
  <c r="U1109" i="44" s="1"/>
  <c r="P1109" i="44" a="1"/>
  <c r="P1109" i="44" s="1"/>
  <c r="O1109" i="44" a="1"/>
  <c r="O1109" i="44" s="1"/>
  <c r="K1109" i="44"/>
  <c r="F1109" i="44"/>
  <c r="F1110" i="44" s="1"/>
  <c r="K1110" i="44" s="1"/>
  <c r="V1110" i="44" s="1"/>
  <c r="C1109" i="44"/>
  <c r="AA1107" i="44" a="1"/>
  <c r="AA1107" i="44" s="1"/>
  <c r="Z1107" i="44" a="1"/>
  <c r="Z1107" i="44" s="1"/>
  <c r="R1107" i="44"/>
  <c r="U1107" i="44" s="1"/>
  <c r="P1107" i="44" a="1"/>
  <c r="P1107" i="44" s="1"/>
  <c r="O1107" i="44" a="1"/>
  <c r="O1107" i="44" s="1"/>
  <c r="F1107" i="44"/>
  <c r="K1107" i="44" s="1"/>
  <c r="T1107" i="44" s="1"/>
  <c r="C1107" i="44"/>
  <c r="AA1106" i="44" a="1"/>
  <c r="AA1106" i="44" s="1"/>
  <c r="Z1106" i="44" a="1"/>
  <c r="Z1106" i="44" s="1"/>
  <c r="R1106" i="44"/>
  <c r="U1106" i="44" s="1"/>
  <c r="P1106" i="44" a="1"/>
  <c r="P1106" i="44" s="1"/>
  <c r="O1106" i="44" a="1"/>
  <c r="O1106" i="44" s="1"/>
  <c r="F1106" i="44"/>
  <c r="K1106" i="44" s="1"/>
  <c r="C1106" i="44"/>
  <c r="AI1104" i="44"/>
  <c r="AA1104" i="44"/>
  <c r="AA1104" i="44" a="1"/>
  <c r="Z1104" i="44" a="1"/>
  <c r="Z1104" i="44" s="1"/>
  <c r="V1104" i="44"/>
  <c r="R1104" i="44"/>
  <c r="U1104" i="44" s="1"/>
  <c r="W1104" i="44" s="1"/>
  <c r="P1104" i="44" a="1"/>
  <c r="P1104" i="44" s="1"/>
  <c r="T1104" i="44" s="1"/>
  <c r="O1104" i="44"/>
  <c r="S1104" i="44" s="1"/>
  <c r="O1104" i="44" a="1"/>
  <c r="M1104" i="44"/>
  <c r="L1104" i="44"/>
  <c r="C1104" i="44"/>
  <c r="AI1103" i="44"/>
  <c r="AA1103" i="44" a="1"/>
  <c r="AA1103" i="44" s="1"/>
  <c r="Z1103" i="44" a="1"/>
  <c r="Z1103" i="44" s="1"/>
  <c r="V1103" i="44"/>
  <c r="R1103" i="44"/>
  <c r="U1103" i="44" s="1"/>
  <c r="P1103" i="44" a="1"/>
  <c r="P1103" i="44" s="1"/>
  <c r="T1103" i="44" s="1"/>
  <c r="O1103" i="44" a="1"/>
  <c r="O1103" i="44" s="1"/>
  <c r="S1103" i="44" s="1"/>
  <c r="M1103" i="44"/>
  <c r="L1103" i="44"/>
  <c r="F1103" i="44"/>
  <c r="F1104" i="44" s="1"/>
  <c r="C1103" i="44"/>
  <c r="AI1101" i="44"/>
  <c r="AE1101" i="44"/>
  <c r="AA1101" i="44" a="1"/>
  <c r="AA1101" i="44" s="1"/>
  <c r="Z1101" i="44" a="1"/>
  <c r="Z1101" i="44" s="1"/>
  <c r="V1101" i="44"/>
  <c r="R1101" i="44"/>
  <c r="U1101" i="44" s="1"/>
  <c r="P1101" i="44" a="1"/>
  <c r="P1101" i="44" s="1"/>
  <c r="T1101" i="44" s="1"/>
  <c r="O1101" i="44" a="1"/>
  <c r="O1101" i="44" s="1"/>
  <c r="S1101" i="44" s="1"/>
  <c r="M1101" i="44"/>
  <c r="L1101" i="44"/>
  <c r="C1101" i="44"/>
  <c r="AI1100" i="44"/>
  <c r="AA1100" i="44"/>
  <c r="AA1100" i="44" a="1"/>
  <c r="Z1100" i="44"/>
  <c r="Z1100" i="44" a="1"/>
  <c r="V1100" i="44"/>
  <c r="R1100" i="44"/>
  <c r="U1100" i="44" s="1"/>
  <c r="P1100" i="44" a="1"/>
  <c r="P1100" i="44" s="1"/>
  <c r="T1100" i="44" s="1"/>
  <c r="O1100" i="44" a="1"/>
  <c r="O1100" i="44" s="1"/>
  <c r="S1100" i="44" s="1"/>
  <c r="M1100" i="44"/>
  <c r="L1100" i="44"/>
  <c r="F1100" i="44"/>
  <c r="F1101" i="44" s="1"/>
  <c r="C1100" i="44"/>
  <c r="AA1098" i="44" a="1"/>
  <c r="AA1098" i="44" s="1"/>
  <c r="Z1098" i="44" a="1"/>
  <c r="Z1098" i="44" s="1"/>
  <c r="V1098" i="44"/>
  <c r="T1098" i="44"/>
  <c r="R1098" i="44"/>
  <c r="U1098" i="44" s="1"/>
  <c r="P1098" i="44"/>
  <c r="P1098" i="44" a="1"/>
  <c r="O1098" i="44" a="1"/>
  <c r="O1098" i="44" s="1"/>
  <c r="S1098" i="44" s="1"/>
  <c r="M1098" i="44"/>
  <c r="L1098" i="44"/>
  <c r="C1098" i="44"/>
  <c r="AE1097" i="44"/>
  <c r="AA1096" i="44" a="1"/>
  <c r="AA1096" i="44" s="1"/>
  <c r="Z1096" i="44" a="1"/>
  <c r="Z1096" i="44" s="1"/>
  <c r="R1096" i="44"/>
  <c r="U1096" i="44" s="1"/>
  <c r="P1096" i="44" a="1"/>
  <c r="P1096" i="44" s="1"/>
  <c r="O1096" i="44"/>
  <c r="O1096" i="44" a="1"/>
  <c r="K1096" i="44"/>
  <c r="C1096" i="44"/>
  <c r="AK1095" i="44"/>
  <c r="AA1095" i="44"/>
  <c r="AA1095" i="44" a="1"/>
  <c r="Z1095" i="44" a="1"/>
  <c r="Z1095" i="44" s="1"/>
  <c r="V1095" i="44"/>
  <c r="R1095" i="44"/>
  <c r="U1095" i="44" s="1"/>
  <c r="P1095" i="44"/>
  <c r="T1095" i="44" s="1"/>
  <c r="P1095" i="44" a="1"/>
  <c r="O1095" i="44"/>
  <c r="S1095" i="44" s="1"/>
  <c r="O1095" i="44" a="1"/>
  <c r="M1095" i="44"/>
  <c r="L1095" i="44"/>
  <c r="C1095" i="44"/>
  <c r="AE1094" i="44"/>
  <c r="AA1093" i="44"/>
  <c r="AA1093" i="44" a="1"/>
  <c r="Z1093" i="44"/>
  <c r="Z1093" i="44" a="1"/>
  <c r="V1093" i="44"/>
  <c r="R1093" i="44"/>
  <c r="U1093" i="44" s="1"/>
  <c r="P1093" i="44" a="1"/>
  <c r="P1093" i="44" s="1"/>
  <c r="T1093" i="44" s="1"/>
  <c r="O1093" i="44" a="1"/>
  <c r="O1093" i="44" s="1"/>
  <c r="S1093" i="44" s="1"/>
  <c r="M1093" i="44"/>
  <c r="L1093" i="44"/>
  <c r="C1093" i="44"/>
  <c r="AA1092" i="44"/>
  <c r="AA1092" i="44" a="1"/>
  <c r="Z1092" i="44" a="1"/>
  <c r="Z1092" i="44" s="1"/>
  <c r="V1092" i="44"/>
  <c r="R1092" i="44"/>
  <c r="U1092" i="44" s="1"/>
  <c r="P1092" i="44" a="1"/>
  <c r="P1092" i="44" s="1"/>
  <c r="T1092" i="44" s="1"/>
  <c r="O1092" i="44" a="1"/>
  <c r="O1092" i="44" s="1"/>
  <c r="S1092" i="44" s="1"/>
  <c r="M1092" i="44"/>
  <c r="L1092" i="44"/>
  <c r="C1092" i="44"/>
  <c r="AA1091" i="44" a="1"/>
  <c r="AA1091" i="44" s="1"/>
  <c r="Z1091" i="44"/>
  <c r="Z1091" i="44" a="1"/>
  <c r="V1091" i="44"/>
  <c r="R1091" i="44"/>
  <c r="U1091" i="44" s="1"/>
  <c r="P1091" i="44"/>
  <c r="T1091" i="44" s="1"/>
  <c r="P1091" i="44" a="1"/>
  <c r="O1091" i="44" a="1"/>
  <c r="O1091" i="44" s="1"/>
  <c r="S1091" i="44" s="1"/>
  <c r="AE1091" i="44" s="1"/>
  <c r="M1091" i="44"/>
  <c r="L1091" i="44"/>
  <c r="C1091" i="44"/>
  <c r="AA1090" i="44" a="1"/>
  <c r="AA1090" i="44" s="1"/>
  <c r="Z1090" i="44"/>
  <c r="Z1090" i="44" a="1"/>
  <c r="V1090" i="44"/>
  <c r="R1090" i="44"/>
  <c r="U1090" i="44" s="1"/>
  <c r="W1090" i="44" s="1"/>
  <c r="P1090" i="44"/>
  <c r="T1090" i="44" s="1"/>
  <c r="P1090" i="44" a="1"/>
  <c r="O1090" i="44" a="1"/>
  <c r="O1090" i="44" s="1"/>
  <c r="S1090" i="44" s="1"/>
  <c r="M1090" i="44"/>
  <c r="L1090" i="44"/>
  <c r="C1090" i="44"/>
  <c r="AA1089" i="44" a="1"/>
  <c r="AA1089" i="44" s="1"/>
  <c r="Z1089" i="44" a="1"/>
  <c r="Z1089" i="44" s="1"/>
  <c r="V1089" i="44"/>
  <c r="R1089" i="44"/>
  <c r="U1089" i="44" s="1"/>
  <c r="P1089" i="44" a="1"/>
  <c r="P1089" i="44" s="1"/>
  <c r="T1089" i="44" s="1"/>
  <c r="O1089" i="44"/>
  <c r="S1089" i="44" s="1"/>
  <c r="O1089" i="44" a="1"/>
  <c r="M1089" i="44"/>
  <c r="L1089" i="44"/>
  <c r="C1089" i="44"/>
  <c r="AA1088" i="44" a="1"/>
  <c r="AA1088" i="44" s="1"/>
  <c r="Z1088" i="44" a="1"/>
  <c r="Z1088" i="44" s="1"/>
  <c r="V1088" i="44"/>
  <c r="S1088" i="44"/>
  <c r="R1088" i="44"/>
  <c r="U1088" i="44" s="1"/>
  <c r="P1088" i="44"/>
  <c r="T1088" i="44" s="1"/>
  <c r="P1088" i="44" a="1"/>
  <c r="O1088" i="44"/>
  <c r="O1088" i="44" a="1"/>
  <c r="M1088" i="44"/>
  <c r="L1088" i="44"/>
  <c r="C1088" i="44"/>
  <c r="AA1087" i="44" a="1"/>
  <c r="AA1087" i="44" s="1"/>
  <c r="Z1087" i="44" a="1"/>
  <c r="Z1087" i="44" s="1"/>
  <c r="V1087" i="44"/>
  <c r="R1087" i="44"/>
  <c r="U1087" i="44" s="1"/>
  <c r="P1087" i="44" a="1"/>
  <c r="P1087" i="44" s="1"/>
  <c r="T1087" i="44" s="1"/>
  <c r="O1087" i="44"/>
  <c r="S1087" i="44" s="1"/>
  <c r="O1087" i="44" a="1"/>
  <c r="M1087" i="44"/>
  <c r="L1087" i="44"/>
  <c r="K1087" i="44"/>
  <c r="C1087" i="44"/>
  <c r="AA1086" i="44"/>
  <c r="AA1086" i="44" a="1"/>
  <c r="Z1086" i="44"/>
  <c r="Z1086" i="44" a="1"/>
  <c r="V1086" i="44"/>
  <c r="R1086" i="44"/>
  <c r="U1086" i="44" s="1"/>
  <c r="P1086" i="44" a="1"/>
  <c r="P1086" i="44" s="1"/>
  <c r="T1086" i="44" s="1"/>
  <c r="O1086" i="44" a="1"/>
  <c r="O1086" i="44" s="1"/>
  <c r="S1086" i="44" s="1"/>
  <c r="M1086" i="44"/>
  <c r="L1086" i="44"/>
  <c r="C1086" i="44"/>
  <c r="AE1085" i="44"/>
  <c r="AA1084" i="44" a="1"/>
  <c r="AA1084" i="44" s="1"/>
  <c r="Z1084" i="44"/>
  <c r="Z1084" i="44" a="1"/>
  <c r="V1084" i="44"/>
  <c r="R1084" i="44"/>
  <c r="U1084" i="44" s="1"/>
  <c r="P1084" i="44" a="1"/>
  <c r="P1084" i="44" s="1"/>
  <c r="T1084" i="44" s="1"/>
  <c r="O1084" i="44" a="1"/>
  <c r="O1084" i="44" s="1"/>
  <c r="S1084" i="44" s="1"/>
  <c r="M1084" i="44"/>
  <c r="L1084" i="44"/>
  <c r="C1084" i="44"/>
  <c r="AA1083" i="44" a="1"/>
  <c r="AA1083" i="44" s="1"/>
  <c r="Z1083" i="44" a="1"/>
  <c r="Z1083" i="44" s="1"/>
  <c r="V1083" i="44"/>
  <c r="S1083" i="44"/>
  <c r="AE1083" i="44" s="1"/>
  <c r="R1083" i="44"/>
  <c r="U1083" i="44" s="1"/>
  <c r="P1083" i="44"/>
  <c r="T1083" i="44" s="1"/>
  <c r="P1083" i="44" a="1"/>
  <c r="O1083" i="44" a="1"/>
  <c r="O1083" i="44" s="1"/>
  <c r="M1083" i="44"/>
  <c r="L1083" i="44"/>
  <c r="C1083" i="44"/>
  <c r="AA1082" i="44" a="1"/>
  <c r="AA1082" i="44" s="1"/>
  <c r="Z1082" i="44" a="1"/>
  <c r="Z1082" i="44" s="1"/>
  <c r="V1082" i="44"/>
  <c r="R1082" i="44"/>
  <c r="U1082" i="44" s="1"/>
  <c r="P1082" i="44" a="1"/>
  <c r="P1082" i="44" s="1"/>
  <c r="T1082" i="44" s="1"/>
  <c r="O1082" i="44" a="1"/>
  <c r="O1082" i="44" s="1"/>
  <c r="S1082" i="44" s="1"/>
  <c r="M1082" i="44"/>
  <c r="L1082" i="44"/>
  <c r="C1082" i="44"/>
  <c r="AE1081" i="44"/>
  <c r="AA1081" i="44" a="1"/>
  <c r="AA1081" i="44" s="1"/>
  <c r="Z1081" i="44"/>
  <c r="Z1081" i="44" a="1"/>
  <c r="V1081" i="44"/>
  <c r="R1081" i="44"/>
  <c r="U1081" i="44" s="1"/>
  <c r="W1081" i="44" s="1"/>
  <c r="P1081" i="44"/>
  <c r="T1081" i="44" s="1"/>
  <c r="P1081" i="44" a="1"/>
  <c r="O1081" i="44" a="1"/>
  <c r="O1081" i="44" s="1"/>
  <c r="S1081" i="44" s="1"/>
  <c r="M1081" i="44"/>
  <c r="L1081" i="44"/>
  <c r="C1081" i="44"/>
  <c r="AA1080" i="44" a="1"/>
  <c r="AA1080" i="44" s="1"/>
  <c r="Z1080" i="44" a="1"/>
  <c r="Z1080" i="44" s="1"/>
  <c r="R1080" i="44"/>
  <c r="U1080" i="44" s="1"/>
  <c r="P1080" i="44"/>
  <c r="P1080" i="44" a="1"/>
  <c r="O1080" i="44" a="1"/>
  <c r="O1080" i="44" s="1"/>
  <c r="M1080" i="44"/>
  <c r="L1080" i="44"/>
  <c r="K1080" i="44"/>
  <c r="C1080" i="44"/>
  <c r="AA1079" i="44"/>
  <c r="AA1079" i="44" a="1"/>
  <c r="Z1079" i="44"/>
  <c r="Z1079" i="44" a="1"/>
  <c r="V1079" i="44"/>
  <c r="R1079" i="44"/>
  <c r="U1079" i="44" s="1"/>
  <c r="P1079" i="44"/>
  <c r="T1079" i="44" s="1"/>
  <c r="P1079" i="44" a="1"/>
  <c r="O1079" i="44" a="1"/>
  <c r="O1079" i="44" s="1"/>
  <c r="S1079" i="44" s="1"/>
  <c r="M1079" i="44"/>
  <c r="L1079" i="44"/>
  <c r="C1079" i="44"/>
  <c r="AE1078" i="44"/>
  <c r="AA1077" i="44" a="1"/>
  <c r="AA1077" i="44" s="1"/>
  <c r="Z1077" i="44"/>
  <c r="Z1077" i="44" a="1"/>
  <c r="V1077" i="44"/>
  <c r="R1077" i="44"/>
  <c r="U1077" i="44" s="1"/>
  <c r="P1077" i="44" a="1"/>
  <c r="P1077" i="44" s="1"/>
  <c r="T1077" i="44" s="1"/>
  <c r="O1077" i="44"/>
  <c r="S1077" i="44" s="1"/>
  <c r="O1077" i="44" a="1"/>
  <c r="M1077" i="44"/>
  <c r="L1077" i="44"/>
  <c r="C1077" i="44"/>
  <c r="AA1076" i="44" a="1"/>
  <c r="AA1076" i="44" s="1"/>
  <c r="Z1076" i="44" a="1"/>
  <c r="Z1076" i="44" s="1"/>
  <c r="V1076" i="44"/>
  <c r="R1076" i="44"/>
  <c r="U1076" i="44" s="1"/>
  <c r="W1076" i="44" s="1"/>
  <c r="P1076" i="44"/>
  <c r="T1076" i="44" s="1"/>
  <c r="P1076" i="44" a="1"/>
  <c r="O1076" i="44" a="1"/>
  <c r="O1076" i="44" s="1"/>
  <c r="S1076" i="44" s="1"/>
  <c r="M1076" i="44"/>
  <c r="L1076" i="44"/>
  <c r="C1076" i="44"/>
  <c r="AA1075" i="44" a="1"/>
  <c r="AA1075" i="44" s="1"/>
  <c r="Z1075" i="44" a="1"/>
  <c r="Z1075" i="44" s="1"/>
  <c r="V1075" i="44"/>
  <c r="R1075" i="44"/>
  <c r="U1075" i="44" s="1"/>
  <c r="W1075" i="44" s="1"/>
  <c r="P1075" i="44" a="1"/>
  <c r="P1075" i="44" s="1"/>
  <c r="T1075" i="44" s="1"/>
  <c r="O1075" i="44" a="1"/>
  <c r="O1075" i="44" s="1"/>
  <c r="S1075" i="44" s="1"/>
  <c r="M1075" i="44"/>
  <c r="L1075" i="44"/>
  <c r="C1075" i="44"/>
  <c r="AA1074" i="44"/>
  <c r="AA1074" i="44" a="1"/>
  <c r="Z1074" i="44" a="1"/>
  <c r="Z1074" i="44" s="1"/>
  <c r="V1074" i="44"/>
  <c r="R1074" i="44"/>
  <c r="U1074" i="44" s="1"/>
  <c r="P1074" i="44"/>
  <c r="T1074" i="44" s="1"/>
  <c r="P1074" i="44" a="1"/>
  <c r="O1074" i="44"/>
  <c r="S1074" i="44" s="1"/>
  <c r="O1074" i="44" a="1"/>
  <c r="M1074" i="44"/>
  <c r="L1074" i="44"/>
  <c r="C1074" i="44"/>
  <c r="AA1073" i="44"/>
  <c r="AA1073" i="44" a="1"/>
  <c r="Z1073" i="44"/>
  <c r="Z1073" i="44" a="1"/>
  <c r="V1073" i="44"/>
  <c r="R1073" i="44"/>
  <c r="U1073" i="44" s="1"/>
  <c r="P1073" i="44" a="1"/>
  <c r="P1073" i="44" s="1"/>
  <c r="T1073" i="44" s="1"/>
  <c r="O1073" i="44" a="1"/>
  <c r="O1073" i="44" s="1"/>
  <c r="S1073" i="44" s="1"/>
  <c r="M1073" i="44"/>
  <c r="L1073" i="44"/>
  <c r="C1073" i="44"/>
  <c r="AA1072" i="44"/>
  <c r="AA1072" i="44" a="1"/>
  <c r="Z1072" i="44" a="1"/>
  <c r="Z1072" i="44" s="1"/>
  <c r="V1072" i="44"/>
  <c r="R1072" i="44"/>
  <c r="U1072" i="44" s="1"/>
  <c r="P1072" i="44" a="1"/>
  <c r="P1072" i="44" s="1"/>
  <c r="T1072" i="44" s="1"/>
  <c r="O1072" i="44"/>
  <c r="S1072" i="44" s="1"/>
  <c r="O1072" i="44" a="1"/>
  <c r="M1072" i="44"/>
  <c r="L1072" i="44"/>
  <c r="C1072" i="44"/>
  <c r="AA1071" i="44" a="1"/>
  <c r="AA1071" i="44" s="1"/>
  <c r="Z1071" i="44" a="1"/>
  <c r="Z1071" i="44" s="1"/>
  <c r="V1071" i="44"/>
  <c r="R1071" i="44"/>
  <c r="U1071" i="44" s="1"/>
  <c r="P1071" i="44" a="1"/>
  <c r="P1071" i="44" s="1"/>
  <c r="T1071" i="44" s="1"/>
  <c r="O1071" i="44"/>
  <c r="S1071" i="44" s="1"/>
  <c r="O1071" i="44" a="1"/>
  <c r="M1071" i="44"/>
  <c r="L1071" i="44"/>
  <c r="C1071" i="44"/>
  <c r="AA1070" i="44" a="1"/>
  <c r="AA1070" i="44" s="1"/>
  <c r="Z1070" i="44"/>
  <c r="Z1070" i="44" a="1"/>
  <c r="V1070" i="44"/>
  <c r="R1070" i="44"/>
  <c r="U1070" i="44" s="1"/>
  <c r="P1070" i="44"/>
  <c r="T1070" i="44" s="1"/>
  <c r="P1070" i="44" a="1"/>
  <c r="O1070" i="44" a="1"/>
  <c r="O1070" i="44" s="1"/>
  <c r="S1070" i="44" s="1"/>
  <c r="M1070" i="44"/>
  <c r="L1070" i="44"/>
  <c r="C1070" i="44"/>
  <c r="AQ1069" i="44"/>
  <c r="AA1069" i="44"/>
  <c r="AA1069" i="44" a="1"/>
  <c r="Z1069" i="44" a="1"/>
  <c r="Z1069" i="44" s="1"/>
  <c r="V1069" i="44"/>
  <c r="R1069" i="44"/>
  <c r="U1069" i="44" s="1"/>
  <c r="W1069" i="44" s="1"/>
  <c r="P1069" i="44"/>
  <c r="T1069" i="44" s="1"/>
  <c r="P1069" i="44" a="1"/>
  <c r="O1069" i="44" a="1"/>
  <c r="O1069" i="44" s="1"/>
  <c r="S1069" i="44" s="1"/>
  <c r="M1069" i="44"/>
  <c r="L1069" i="44"/>
  <c r="C1069" i="44"/>
  <c r="AA1068" i="44" a="1"/>
  <c r="AA1068" i="44" s="1"/>
  <c r="Z1068" i="44" a="1"/>
  <c r="Z1068" i="44" s="1"/>
  <c r="V1068" i="44"/>
  <c r="R1068" i="44"/>
  <c r="U1068" i="44" s="1"/>
  <c r="P1068" i="44" a="1"/>
  <c r="P1068" i="44" s="1"/>
  <c r="T1068" i="44" s="1"/>
  <c r="O1068" i="44"/>
  <c r="S1068" i="44" s="1"/>
  <c r="O1068" i="44" a="1"/>
  <c r="M1068" i="44"/>
  <c r="L1068" i="44"/>
  <c r="C1068" i="44"/>
  <c r="AQ1067" i="44"/>
  <c r="AK1067" i="44"/>
  <c r="AA1067" i="44" a="1"/>
  <c r="AA1067" i="44" s="1"/>
  <c r="Z1067" i="44" a="1"/>
  <c r="Z1067" i="44" s="1"/>
  <c r="V1067" i="44"/>
  <c r="R1067" i="44"/>
  <c r="U1067" i="44" s="1"/>
  <c r="P1067" i="44" a="1"/>
  <c r="P1067" i="44" s="1"/>
  <c r="T1067" i="44" s="1"/>
  <c r="O1067" i="44" a="1"/>
  <c r="O1067" i="44" s="1"/>
  <c r="S1067" i="44" s="1"/>
  <c r="M1067" i="44"/>
  <c r="L1067" i="44"/>
  <c r="C1067" i="44"/>
  <c r="AE1066" i="44"/>
  <c r="AA1065" i="44" a="1"/>
  <c r="AA1065" i="44" s="1"/>
  <c r="Z1065" i="44" a="1"/>
  <c r="Z1065" i="44" s="1"/>
  <c r="V1065" i="44"/>
  <c r="R1065" i="44"/>
  <c r="U1065" i="44" s="1"/>
  <c r="W1065" i="44" s="1"/>
  <c r="P1065" i="44" a="1"/>
  <c r="P1065" i="44" s="1"/>
  <c r="T1065" i="44" s="1"/>
  <c r="O1065" i="44" a="1"/>
  <c r="O1065" i="44" s="1"/>
  <c r="S1065" i="44" s="1"/>
  <c r="M1065" i="44"/>
  <c r="L1065" i="44"/>
  <c r="C1065" i="44"/>
  <c r="AA1064" i="44"/>
  <c r="AA1064" i="44" a="1"/>
  <c r="Z1064" i="44" a="1"/>
  <c r="Z1064" i="44" s="1"/>
  <c r="V1064" i="44"/>
  <c r="T1064" i="44"/>
  <c r="R1064" i="44"/>
  <c r="U1064" i="44" s="1"/>
  <c r="P1064" i="44" a="1"/>
  <c r="P1064" i="44" s="1"/>
  <c r="O1064" i="44" a="1"/>
  <c r="O1064" i="44" s="1"/>
  <c r="S1064" i="44" s="1"/>
  <c r="M1064" i="44"/>
  <c r="L1064" i="44"/>
  <c r="C1064" i="44"/>
  <c r="AA1063" i="44" a="1"/>
  <c r="AA1063" i="44" s="1"/>
  <c r="Z1063" i="44"/>
  <c r="Z1063" i="44" a="1"/>
  <c r="V1063" i="44"/>
  <c r="R1063" i="44"/>
  <c r="U1063" i="44" s="1"/>
  <c r="P1063" i="44"/>
  <c r="T1063" i="44" s="1"/>
  <c r="P1063" i="44" a="1"/>
  <c r="O1063" i="44" a="1"/>
  <c r="O1063" i="44" s="1"/>
  <c r="S1063" i="44" s="1"/>
  <c r="M1063" i="44"/>
  <c r="L1063" i="44"/>
  <c r="C1063" i="44"/>
  <c r="AA1062" i="44" a="1"/>
  <c r="AA1062" i="44" s="1"/>
  <c r="Z1062" i="44" a="1"/>
  <c r="Z1062" i="44" s="1"/>
  <c r="V1062" i="44"/>
  <c r="R1062" i="44"/>
  <c r="U1062" i="44" s="1"/>
  <c r="W1062" i="44" s="1"/>
  <c r="P1062" i="44" a="1"/>
  <c r="P1062" i="44" s="1"/>
  <c r="T1062" i="44" s="1"/>
  <c r="O1062" i="44" a="1"/>
  <c r="O1062" i="44" s="1"/>
  <c r="S1062" i="44" s="1"/>
  <c r="M1062" i="44"/>
  <c r="L1062" i="44"/>
  <c r="C1062" i="44"/>
  <c r="AA1061" i="44" a="1"/>
  <c r="AA1061" i="44" s="1"/>
  <c r="Z1061" i="44"/>
  <c r="Z1061" i="44" a="1"/>
  <c r="V1061" i="44"/>
  <c r="R1061" i="44"/>
  <c r="U1061" i="44" s="1"/>
  <c r="W1061" i="44" s="1"/>
  <c r="P1061" i="44" a="1"/>
  <c r="P1061" i="44" s="1"/>
  <c r="T1061" i="44" s="1"/>
  <c r="O1061" i="44" a="1"/>
  <c r="O1061" i="44" s="1"/>
  <c r="S1061" i="44" s="1"/>
  <c r="M1061" i="44"/>
  <c r="L1061" i="44"/>
  <c r="C1061" i="44"/>
  <c r="AE1060" i="44"/>
  <c r="AE1059" i="44"/>
  <c r="AA1059" i="44" a="1"/>
  <c r="AA1059" i="44" s="1"/>
  <c r="Z1059" i="44" a="1"/>
  <c r="Z1059" i="44" s="1"/>
  <c r="V1059" i="44"/>
  <c r="R1059" i="44"/>
  <c r="U1059" i="44" s="1"/>
  <c r="W1059" i="44" s="1"/>
  <c r="P1059" i="44" a="1"/>
  <c r="P1059" i="44" s="1"/>
  <c r="T1059" i="44" s="1"/>
  <c r="O1059" i="44" a="1"/>
  <c r="O1059" i="44" s="1"/>
  <c r="S1059" i="44" s="1"/>
  <c r="M1059" i="44"/>
  <c r="L1059" i="44"/>
  <c r="C1059" i="44"/>
  <c r="AA1058" i="44" a="1"/>
  <c r="AA1058" i="44" s="1"/>
  <c r="Z1058" i="44" a="1"/>
  <c r="Z1058" i="44" s="1"/>
  <c r="V1058" i="44"/>
  <c r="R1058" i="44"/>
  <c r="U1058" i="44" s="1"/>
  <c r="W1058" i="44" s="1"/>
  <c r="P1058" i="44" a="1"/>
  <c r="P1058" i="44" s="1"/>
  <c r="T1058" i="44" s="1"/>
  <c r="O1058" i="44" a="1"/>
  <c r="O1058" i="44" s="1"/>
  <c r="S1058" i="44" s="1"/>
  <c r="M1058" i="44"/>
  <c r="L1058" i="44"/>
  <c r="C1058" i="44"/>
  <c r="AA1057" i="44" a="1"/>
  <c r="AA1057" i="44" s="1"/>
  <c r="Z1057" i="44"/>
  <c r="Z1057" i="44" a="1"/>
  <c r="V1057" i="44"/>
  <c r="R1057" i="44"/>
  <c r="U1057" i="44" s="1"/>
  <c r="P1057" i="44" a="1"/>
  <c r="P1057" i="44" s="1"/>
  <c r="T1057" i="44" s="1"/>
  <c r="O1057" i="44" a="1"/>
  <c r="O1057" i="44" s="1"/>
  <c r="S1057" i="44" s="1"/>
  <c r="M1057" i="44"/>
  <c r="L1057" i="44"/>
  <c r="C1057" i="44"/>
  <c r="AA1056" i="44" a="1"/>
  <c r="AA1056" i="44" s="1"/>
  <c r="Z1056" i="44" a="1"/>
  <c r="Z1056" i="44" s="1"/>
  <c r="V1056" i="44"/>
  <c r="R1056" i="44"/>
  <c r="U1056" i="44" s="1"/>
  <c r="P1056" i="44" a="1"/>
  <c r="P1056" i="44" s="1"/>
  <c r="T1056" i="44" s="1"/>
  <c r="O1056" i="44"/>
  <c r="S1056" i="44" s="1"/>
  <c r="O1056" i="44" a="1"/>
  <c r="M1056" i="44"/>
  <c r="L1056" i="44"/>
  <c r="C1056" i="44"/>
  <c r="AA1055" i="44" a="1"/>
  <c r="AA1055" i="44" s="1"/>
  <c r="Z1055" i="44" a="1"/>
  <c r="Z1055" i="44" s="1"/>
  <c r="V1055" i="44"/>
  <c r="R1055" i="44"/>
  <c r="U1055" i="44" s="1"/>
  <c r="P1055" i="44" a="1"/>
  <c r="P1055" i="44" s="1"/>
  <c r="T1055" i="44" s="1"/>
  <c r="O1055" i="44"/>
  <c r="S1055" i="44" s="1"/>
  <c r="O1055" i="44" a="1"/>
  <c r="M1055" i="44"/>
  <c r="L1055" i="44"/>
  <c r="C1055" i="44"/>
  <c r="AA1054" i="44"/>
  <c r="AA1054" i="44" a="1"/>
  <c r="Z1054" i="44" a="1"/>
  <c r="Z1054" i="44" s="1"/>
  <c r="R1054" i="44"/>
  <c r="U1054" i="44" s="1"/>
  <c r="W1054" i="44" s="1"/>
  <c r="P1054" i="44"/>
  <c r="T1054" i="44" s="1"/>
  <c r="P1054" i="44" a="1"/>
  <c r="O1054" i="44" a="1"/>
  <c r="O1054" i="44" s="1"/>
  <c r="S1054" i="44" s="1"/>
  <c r="M1054" i="44"/>
  <c r="L1054" i="44"/>
  <c r="K1054" i="44"/>
  <c r="V1054" i="44" s="1"/>
  <c r="C1054" i="44"/>
  <c r="AA1053" i="44" a="1"/>
  <c r="AA1053" i="44" s="1"/>
  <c r="Z1053" i="44" a="1"/>
  <c r="Z1053" i="44" s="1"/>
  <c r="V1053" i="44"/>
  <c r="R1053" i="44"/>
  <c r="U1053" i="44" s="1"/>
  <c r="P1053" i="44"/>
  <c r="T1053" i="44" s="1"/>
  <c r="P1053" i="44" a="1"/>
  <c r="O1053" i="44" a="1"/>
  <c r="O1053" i="44" s="1"/>
  <c r="S1053" i="44" s="1"/>
  <c r="M1053" i="44"/>
  <c r="L1053" i="44"/>
  <c r="C1053" i="44"/>
  <c r="AE1052" i="44"/>
  <c r="AA1051" i="44" a="1"/>
  <c r="AA1051" i="44" s="1"/>
  <c r="Z1051" i="44" a="1"/>
  <c r="Z1051" i="44" s="1"/>
  <c r="V1051" i="44"/>
  <c r="S1051" i="44"/>
  <c r="R1051" i="44"/>
  <c r="U1051" i="44" s="1"/>
  <c r="P1051" i="44" a="1"/>
  <c r="P1051" i="44" s="1"/>
  <c r="T1051" i="44" s="1"/>
  <c r="O1051" i="44" a="1"/>
  <c r="O1051" i="44" s="1"/>
  <c r="M1051" i="44"/>
  <c r="L1051" i="44"/>
  <c r="C1051" i="44"/>
  <c r="AE1050" i="44"/>
  <c r="AA1050" i="44"/>
  <c r="AA1050" i="44" a="1"/>
  <c r="Z1050" i="44" a="1"/>
  <c r="Z1050" i="44" s="1"/>
  <c r="V1050" i="44"/>
  <c r="R1050" i="44"/>
  <c r="U1050" i="44" s="1"/>
  <c r="P1050" i="44" a="1"/>
  <c r="P1050" i="44" s="1"/>
  <c r="T1050" i="44" s="1"/>
  <c r="O1050" i="44" a="1"/>
  <c r="O1050" i="44" s="1"/>
  <c r="S1050" i="44" s="1"/>
  <c r="M1050" i="44"/>
  <c r="L1050" i="44"/>
  <c r="C1050" i="44"/>
  <c r="AA1049" i="44"/>
  <c r="AA1049" i="44" a="1"/>
  <c r="Z1049" i="44"/>
  <c r="Z1049" i="44" a="1"/>
  <c r="V1049" i="44"/>
  <c r="R1049" i="44"/>
  <c r="U1049" i="44" s="1"/>
  <c r="P1049" i="44" a="1"/>
  <c r="P1049" i="44" s="1"/>
  <c r="T1049" i="44" s="1"/>
  <c r="O1049" i="44" a="1"/>
  <c r="O1049" i="44" s="1"/>
  <c r="S1049" i="44" s="1"/>
  <c r="M1049" i="44"/>
  <c r="L1049" i="44"/>
  <c r="C1049" i="44"/>
  <c r="AA1048" i="44" a="1"/>
  <c r="AA1048" i="44" s="1"/>
  <c r="Z1048" i="44"/>
  <c r="Z1048" i="44" a="1"/>
  <c r="V1048" i="44"/>
  <c r="T1048" i="44"/>
  <c r="R1048" i="44"/>
  <c r="U1048" i="44" s="1"/>
  <c r="P1048" i="44" a="1"/>
  <c r="P1048" i="44" s="1"/>
  <c r="O1048" i="44" a="1"/>
  <c r="O1048" i="44" s="1"/>
  <c r="S1048" i="44" s="1"/>
  <c r="M1048" i="44"/>
  <c r="L1048" i="44"/>
  <c r="C1048" i="44"/>
  <c r="AA1047" i="44" a="1"/>
  <c r="AA1047" i="44" s="1"/>
  <c r="Z1047" i="44" a="1"/>
  <c r="Z1047" i="44" s="1"/>
  <c r="V1047" i="44"/>
  <c r="R1047" i="44"/>
  <c r="U1047" i="44" s="1"/>
  <c r="P1047" i="44"/>
  <c r="T1047" i="44" s="1"/>
  <c r="P1047" i="44" a="1"/>
  <c r="O1047" i="44" a="1"/>
  <c r="O1047" i="44" s="1"/>
  <c r="S1047" i="44" s="1"/>
  <c r="M1047" i="44"/>
  <c r="L1047" i="44"/>
  <c r="C1047" i="44"/>
  <c r="AA1046" i="44" a="1"/>
  <c r="AA1046" i="44" s="1"/>
  <c r="Z1046" i="44" a="1"/>
  <c r="Z1046" i="44" s="1"/>
  <c r="V1046" i="44"/>
  <c r="R1046" i="44"/>
  <c r="U1046" i="44" s="1"/>
  <c r="W1046" i="44" s="1"/>
  <c r="P1046" i="44"/>
  <c r="T1046" i="44" s="1"/>
  <c r="P1046" i="44" a="1"/>
  <c r="O1046" i="44" a="1"/>
  <c r="O1046" i="44" s="1"/>
  <c r="S1046" i="44" s="1"/>
  <c r="M1046" i="44"/>
  <c r="L1046" i="44"/>
  <c r="C1046" i="44"/>
  <c r="AA1045" i="44" a="1"/>
  <c r="AA1045" i="44" s="1"/>
  <c r="Z1045" i="44" a="1"/>
  <c r="Z1045" i="44" s="1"/>
  <c r="T1045" i="44"/>
  <c r="R1045" i="44"/>
  <c r="U1045" i="44" s="1"/>
  <c r="P1045" i="44" a="1"/>
  <c r="P1045" i="44" s="1"/>
  <c r="O1045" i="44" a="1"/>
  <c r="O1045" i="44" s="1"/>
  <c r="K1045" i="44"/>
  <c r="M1045" i="44" s="1"/>
  <c r="C1045" i="44"/>
  <c r="AA1044" i="44" a="1"/>
  <c r="AA1044" i="44" s="1"/>
  <c r="Z1044" i="44" a="1"/>
  <c r="Z1044" i="44" s="1"/>
  <c r="V1044" i="44"/>
  <c r="R1044" i="44"/>
  <c r="U1044" i="44" s="1"/>
  <c r="P1044" i="44" a="1"/>
  <c r="P1044" i="44" s="1"/>
  <c r="T1044" i="44" s="1"/>
  <c r="O1044" i="44" a="1"/>
  <c r="O1044" i="44" s="1"/>
  <c r="S1044" i="44" s="1"/>
  <c r="M1044" i="44"/>
  <c r="L1044" i="44"/>
  <c r="C1044" i="44"/>
  <c r="AE1043" i="44"/>
  <c r="AA1042" i="44" a="1"/>
  <c r="AA1042" i="44" s="1"/>
  <c r="Z1042" i="44"/>
  <c r="Z1042" i="44" a="1"/>
  <c r="V1042" i="44"/>
  <c r="R1042" i="44"/>
  <c r="U1042" i="44" s="1"/>
  <c r="W1042" i="44" s="1"/>
  <c r="P1042" i="44" a="1"/>
  <c r="P1042" i="44" s="1"/>
  <c r="T1042" i="44" s="1"/>
  <c r="O1042" i="44" a="1"/>
  <c r="O1042" i="44" s="1"/>
  <c r="S1042" i="44" s="1"/>
  <c r="M1042" i="44"/>
  <c r="L1042" i="44"/>
  <c r="C1042" i="44"/>
  <c r="AA1041" i="44" a="1"/>
  <c r="AA1041" i="44" s="1"/>
  <c r="Z1041" i="44" a="1"/>
  <c r="Z1041" i="44" s="1"/>
  <c r="V1041" i="44"/>
  <c r="R1041" i="44"/>
  <c r="U1041" i="44" s="1"/>
  <c r="P1041" i="44" a="1"/>
  <c r="P1041" i="44" s="1"/>
  <c r="T1041" i="44" s="1"/>
  <c r="O1041" i="44" a="1"/>
  <c r="O1041" i="44" s="1"/>
  <c r="S1041" i="44" s="1"/>
  <c r="M1041" i="44"/>
  <c r="L1041" i="44"/>
  <c r="C1041" i="44"/>
  <c r="AA1040" i="44" a="1"/>
  <c r="AA1040" i="44" s="1"/>
  <c r="Z1040" i="44" a="1"/>
  <c r="Z1040" i="44" s="1"/>
  <c r="V1040" i="44"/>
  <c r="R1040" i="44"/>
  <c r="U1040" i="44" s="1"/>
  <c r="P1040" i="44"/>
  <c r="T1040" i="44" s="1"/>
  <c r="P1040" i="44" a="1"/>
  <c r="O1040" i="44"/>
  <c r="S1040" i="44" s="1"/>
  <c r="AE1040" i="44" s="1"/>
  <c r="O1040" i="44" a="1"/>
  <c r="M1040" i="44"/>
  <c r="L1040" i="44"/>
  <c r="C1040" i="44"/>
  <c r="AA1039" i="44" a="1"/>
  <c r="AA1039" i="44" s="1"/>
  <c r="Z1039" i="44" a="1"/>
  <c r="Z1039" i="44" s="1"/>
  <c r="V1039" i="44"/>
  <c r="R1039" i="44"/>
  <c r="U1039" i="44" s="1"/>
  <c r="P1039" i="44"/>
  <c r="T1039" i="44" s="1"/>
  <c r="P1039" i="44" a="1"/>
  <c r="O1039" i="44" a="1"/>
  <c r="O1039" i="44" s="1"/>
  <c r="S1039" i="44" s="1"/>
  <c r="M1039" i="44"/>
  <c r="L1039" i="44"/>
  <c r="C1039" i="44"/>
  <c r="AA1038" i="44"/>
  <c r="AA1038" i="44" a="1"/>
  <c r="Z1038" i="44" a="1"/>
  <c r="Z1038" i="44" s="1"/>
  <c r="V1038" i="44"/>
  <c r="S1038" i="44"/>
  <c r="R1038" i="44"/>
  <c r="U1038" i="44" s="1"/>
  <c r="P1038" i="44"/>
  <c r="T1038" i="44" s="1"/>
  <c r="P1038" i="44" a="1"/>
  <c r="O1038" i="44" a="1"/>
  <c r="O1038" i="44" s="1"/>
  <c r="M1038" i="44"/>
  <c r="L1038" i="44"/>
  <c r="C1038" i="44"/>
  <c r="AA1037" i="44" a="1"/>
  <c r="AA1037" i="44" s="1"/>
  <c r="Z1037" i="44" a="1"/>
  <c r="Z1037" i="44" s="1"/>
  <c r="R1037" i="44"/>
  <c r="U1037" i="44" s="1"/>
  <c r="P1037" i="44" a="1"/>
  <c r="P1037" i="44" s="1"/>
  <c r="O1037" i="44" a="1"/>
  <c r="O1037" i="44" s="1"/>
  <c r="K1037" i="44"/>
  <c r="C1037" i="44"/>
  <c r="AQ1036" i="44"/>
  <c r="AK1036" i="44"/>
  <c r="AA1036" i="44" a="1"/>
  <c r="AA1036" i="44" s="1"/>
  <c r="Z1036" i="44"/>
  <c r="Z1036" i="44" a="1"/>
  <c r="V1036" i="44"/>
  <c r="R1036" i="44"/>
  <c r="U1036" i="44" s="1"/>
  <c r="W1036" i="44" s="1"/>
  <c r="P1036" i="44" a="1"/>
  <c r="P1036" i="44" s="1"/>
  <c r="T1036" i="44" s="1"/>
  <c r="O1036" i="44" a="1"/>
  <c r="O1036" i="44" s="1"/>
  <c r="S1036" i="44" s="1"/>
  <c r="M1036" i="44"/>
  <c r="L1036" i="44"/>
  <c r="C1036" i="44"/>
  <c r="AE1035" i="44"/>
  <c r="AE1034" i="44"/>
  <c r="AA1033" i="44" a="1"/>
  <c r="AA1033" i="44" s="1"/>
  <c r="Z1033" i="44" a="1"/>
  <c r="Z1033" i="44" s="1"/>
  <c r="V1033" i="44"/>
  <c r="R1033" i="44"/>
  <c r="U1033" i="44" s="1"/>
  <c r="P1033" i="44"/>
  <c r="T1033" i="44" s="1"/>
  <c r="P1033" i="44" a="1"/>
  <c r="O1033" i="44"/>
  <c r="S1033" i="44" s="1"/>
  <c r="O1033" i="44" a="1"/>
  <c r="M1033" i="44"/>
  <c r="L1033" i="44"/>
  <c r="C1033" i="44"/>
  <c r="AA1032" i="44" a="1"/>
  <c r="AA1032" i="44" s="1"/>
  <c r="Z1032" i="44"/>
  <c r="Z1032" i="44" a="1"/>
  <c r="V1032" i="44"/>
  <c r="R1032" i="44"/>
  <c r="U1032" i="44" s="1"/>
  <c r="P1032" i="44" a="1"/>
  <c r="P1032" i="44" s="1"/>
  <c r="T1032" i="44" s="1"/>
  <c r="O1032" i="44" a="1"/>
  <c r="O1032" i="44" s="1"/>
  <c r="S1032" i="44" s="1"/>
  <c r="AE1032" i="44" s="1"/>
  <c r="AB1032" i="44" s="1"/>
  <c r="M1032" i="44"/>
  <c r="L1032" i="44"/>
  <c r="C1032" i="44"/>
  <c r="AA1031" i="44" a="1"/>
  <c r="AA1031" i="44" s="1"/>
  <c r="Z1031" i="44"/>
  <c r="Z1031" i="44" a="1"/>
  <c r="V1031" i="44"/>
  <c r="R1031" i="44"/>
  <c r="U1031" i="44" s="1"/>
  <c r="W1031" i="44" s="1"/>
  <c r="P1031" i="44" a="1"/>
  <c r="P1031" i="44" s="1"/>
  <c r="T1031" i="44" s="1"/>
  <c r="O1031" i="44" a="1"/>
  <c r="O1031" i="44" s="1"/>
  <c r="S1031" i="44" s="1"/>
  <c r="AE1031" i="44" s="1"/>
  <c r="M1031" i="44"/>
  <c r="L1031" i="44"/>
  <c r="C1031" i="44"/>
  <c r="AA1030" i="44"/>
  <c r="AA1030" i="44" a="1"/>
  <c r="Z1030" i="44" a="1"/>
  <c r="Z1030" i="44" s="1"/>
  <c r="V1030" i="44"/>
  <c r="R1030" i="44"/>
  <c r="U1030" i="44" s="1"/>
  <c r="P1030" i="44" a="1"/>
  <c r="P1030" i="44" s="1"/>
  <c r="T1030" i="44" s="1"/>
  <c r="O1030" i="44"/>
  <c r="S1030" i="44" s="1"/>
  <c r="O1030" i="44" a="1"/>
  <c r="M1030" i="44"/>
  <c r="L1030" i="44"/>
  <c r="C1030" i="44"/>
  <c r="AE1029" i="44"/>
  <c r="AA1028" i="44" a="1"/>
  <c r="AA1028" i="44" s="1"/>
  <c r="Z1028" i="44" a="1"/>
  <c r="Z1028" i="44" s="1"/>
  <c r="R1028" i="44"/>
  <c r="U1028" i="44" s="1"/>
  <c r="P1028" i="44"/>
  <c r="T1028" i="44" s="1"/>
  <c r="P1028" i="44" a="1"/>
  <c r="O1028" i="44" a="1"/>
  <c r="O1028" i="44" s="1"/>
  <c r="S1028" i="44" s="1"/>
  <c r="M1028" i="44"/>
  <c r="L1028" i="44"/>
  <c r="K1028" i="44"/>
  <c r="V1028" i="44" s="1"/>
  <c r="F1028" i="44"/>
  <c r="C1028" i="44"/>
  <c r="AA1027" i="44" a="1"/>
  <c r="AA1027" i="44" s="1"/>
  <c r="Z1027" i="44" a="1"/>
  <c r="Z1027" i="44" s="1"/>
  <c r="V1027" i="44"/>
  <c r="R1027" i="44"/>
  <c r="U1027" i="44" s="1"/>
  <c r="P1027" i="44"/>
  <c r="T1027" i="44" s="1"/>
  <c r="P1027" i="44" a="1"/>
  <c r="O1027" i="44" a="1"/>
  <c r="O1027" i="44" s="1"/>
  <c r="S1027" i="44" s="1"/>
  <c r="M1027" i="44"/>
  <c r="L1027" i="44"/>
  <c r="C1027" i="44"/>
  <c r="AA1026" i="44" a="1"/>
  <c r="AA1026" i="44" s="1"/>
  <c r="Z1026" i="44"/>
  <c r="Z1026" i="44" a="1"/>
  <c r="V1026" i="44"/>
  <c r="R1026" i="44"/>
  <c r="U1026" i="44" s="1"/>
  <c r="P1026" i="44" a="1"/>
  <c r="P1026" i="44" s="1"/>
  <c r="T1026" i="44" s="1"/>
  <c r="O1026" i="44" a="1"/>
  <c r="O1026" i="44" s="1"/>
  <c r="S1026" i="44" s="1"/>
  <c r="M1026" i="44"/>
  <c r="L1026" i="44"/>
  <c r="C1026" i="44"/>
  <c r="AA1025" i="44" a="1"/>
  <c r="AA1025" i="44" s="1"/>
  <c r="Z1025" i="44"/>
  <c r="Z1025" i="44" a="1"/>
  <c r="V1025" i="44"/>
  <c r="R1025" i="44"/>
  <c r="U1025" i="44" s="1"/>
  <c r="W1025" i="44" s="1"/>
  <c r="P1025" i="44" a="1"/>
  <c r="P1025" i="44" s="1"/>
  <c r="T1025" i="44" s="1"/>
  <c r="O1025" i="44"/>
  <c r="S1025" i="44" s="1"/>
  <c r="O1025" i="44" a="1"/>
  <c r="M1025" i="44"/>
  <c r="L1025" i="44"/>
  <c r="C1025" i="44"/>
  <c r="AA1024" i="44" a="1"/>
  <c r="AA1024" i="44" s="1"/>
  <c r="Z1024" i="44" a="1"/>
  <c r="Z1024" i="44" s="1"/>
  <c r="V1024" i="44"/>
  <c r="R1024" i="44"/>
  <c r="U1024" i="44" s="1"/>
  <c r="P1024" i="44"/>
  <c r="P1024" i="44" a="1"/>
  <c r="O1024" i="44" a="1"/>
  <c r="O1024" i="44" s="1"/>
  <c r="S1024" i="44" s="1"/>
  <c r="M1024" i="44"/>
  <c r="L1024" i="44"/>
  <c r="K1024" i="44"/>
  <c r="C1024" i="44"/>
  <c r="AA1023" i="44" a="1"/>
  <c r="AA1023" i="44" s="1"/>
  <c r="Z1023" i="44" a="1"/>
  <c r="Z1023" i="44" s="1"/>
  <c r="V1023" i="44"/>
  <c r="R1023" i="44"/>
  <c r="U1023" i="44" s="1"/>
  <c r="P1023" i="44" a="1"/>
  <c r="P1023" i="44" s="1"/>
  <c r="T1023" i="44" s="1"/>
  <c r="O1023" i="44" a="1"/>
  <c r="O1023" i="44" s="1"/>
  <c r="S1023" i="44" s="1"/>
  <c r="M1023" i="44"/>
  <c r="L1023" i="44"/>
  <c r="C1023" i="44"/>
  <c r="AA1022" i="44"/>
  <c r="AA1022" i="44" a="1"/>
  <c r="Z1022" i="44" a="1"/>
  <c r="Z1022" i="44" s="1"/>
  <c r="R1022" i="44"/>
  <c r="U1022" i="44" s="1"/>
  <c r="P1022" i="44" a="1"/>
  <c r="P1022" i="44" s="1"/>
  <c r="T1022" i="44" s="1"/>
  <c r="O1022" i="44"/>
  <c r="S1022" i="44" s="1"/>
  <c r="AE1022" i="44" s="1"/>
  <c r="O1022" i="44" a="1"/>
  <c r="M1022" i="44"/>
  <c r="K1022" i="44"/>
  <c r="L1022" i="44" s="1"/>
  <c r="C1022" i="44"/>
  <c r="AA1021" i="44"/>
  <c r="AA1021" i="44" a="1"/>
  <c r="Z1021" i="44"/>
  <c r="Z1021" i="44" a="1"/>
  <c r="V1021" i="44"/>
  <c r="R1021" i="44"/>
  <c r="U1021" i="44" s="1"/>
  <c r="P1021" i="44" a="1"/>
  <c r="P1021" i="44" s="1"/>
  <c r="T1021" i="44" s="1"/>
  <c r="O1021" i="44" a="1"/>
  <c r="O1021" i="44" s="1"/>
  <c r="S1021" i="44" s="1"/>
  <c r="M1021" i="44"/>
  <c r="L1021" i="44"/>
  <c r="C1021" i="44"/>
  <c r="AE1020" i="44"/>
  <c r="AA1019" i="44" a="1"/>
  <c r="AA1019" i="44" s="1"/>
  <c r="Z1019" i="44"/>
  <c r="Z1019" i="44" a="1"/>
  <c r="V1019" i="44"/>
  <c r="R1019" i="44"/>
  <c r="U1019" i="44" s="1"/>
  <c r="P1019" i="44" a="1"/>
  <c r="P1019" i="44" s="1"/>
  <c r="T1019" i="44" s="1"/>
  <c r="O1019" i="44" a="1"/>
  <c r="O1019" i="44" s="1"/>
  <c r="S1019" i="44" s="1"/>
  <c r="M1019" i="44"/>
  <c r="L1019" i="44"/>
  <c r="C1019" i="44"/>
  <c r="AA1018" i="44" a="1"/>
  <c r="AA1018" i="44" s="1"/>
  <c r="Z1018" i="44" a="1"/>
  <c r="Z1018" i="44" s="1"/>
  <c r="V1018" i="44"/>
  <c r="S1018" i="44"/>
  <c r="AE1018" i="44" s="1"/>
  <c r="R1018" i="44"/>
  <c r="U1018" i="44" s="1"/>
  <c r="P1018" i="44"/>
  <c r="T1018" i="44" s="1"/>
  <c r="P1018" i="44" a="1"/>
  <c r="O1018" i="44" a="1"/>
  <c r="O1018" i="44" s="1"/>
  <c r="M1018" i="44"/>
  <c r="L1018" i="44"/>
  <c r="C1018" i="44"/>
  <c r="AA1017" i="44"/>
  <c r="AA1017" i="44" a="1"/>
  <c r="Z1017" i="44" a="1"/>
  <c r="Z1017" i="44" s="1"/>
  <c r="V1017" i="44"/>
  <c r="R1017" i="44"/>
  <c r="U1017" i="44" s="1"/>
  <c r="P1017" i="44" a="1"/>
  <c r="P1017" i="44" s="1"/>
  <c r="T1017" i="44" s="1"/>
  <c r="O1017" i="44" a="1"/>
  <c r="O1017" i="44" s="1"/>
  <c r="S1017" i="44" s="1"/>
  <c r="M1017" i="44"/>
  <c r="L1017" i="44"/>
  <c r="C1017" i="44"/>
  <c r="AA1016" i="44" a="1"/>
  <c r="AA1016" i="44" s="1"/>
  <c r="Z1016" i="44" a="1"/>
  <c r="Z1016" i="44" s="1"/>
  <c r="R1016" i="44"/>
  <c r="U1016" i="44" s="1"/>
  <c r="P1016" i="44" a="1"/>
  <c r="P1016" i="44" s="1"/>
  <c r="T1016" i="44" s="1"/>
  <c r="O1016" i="44" a="1"/>
  <c r="O1016" i="44" s="1"/>
  <c r="M1016" i="44"/>
  <c r="K1016" i="44"/>
  <c r="C1016" i="44"/>
  <c r="AA1015" i="44" a="1"/>
  <c r="AA1015" i="44" s="1"/>
  <c r="Z1015" i="44" a="1"/>
  <c r="Z1015" i="44" s="1"/>
  <c r="V1015" i="44"/>
  <c r="S1015" i="44"/>
  <c r="R1015" i="44"/>
  <c r="U1015" i="44" s="1"/>
  <c r="P1015" i="44" a="1"/>
  <c r="P1015" i="44" s="1"/>
  <c r="T1015" i="44" s="1"/>
  <c r="O1015" i="44" a="1"/>
  <c r="O1015" i="44" s="1"/>
  <c r="M1015" i="44"/>
  <c r="L1015" i="44"/>
  <c r="C1015" i="44"/>
  <c r="AE1014" i="44"/>
  <c r="AA1013" i="44" a="1"/>
  <c r="AA1013" i="44" s="1"/>
  <c r="Z1013" i="44" a="1"/>
  <c r="Z1013" i="44" s="1"/>
  <c r="V1013" i="44"/>
  <c r="R1013" i="44"/>
  <c r="U1013" i="44" s="1"/>
  <c r="W1013" i="44" s="1"/>
  <c r="P1013" i="44" a="1"/>
  <c r="P1013" i="44" s="1"/>
  <c r="T1013" i="44" s="1"/>
  <c r="O1013" i="44" a="1"/>
  <c r="O1013" i="44" s="1"/>
  <c r="S1013" i="44" s="1"/>
  <c r="M1013" i="44"/>
  <c r="L1013" i="44"/>
  <c r="C1013" i="44"/>
  <c r="AA1012" i="44" a="1"/>
  <c r="AA1012" i="44" s="1"/>
  <c r="Z1012" i="44" a="1"/>
  <c r="Z1012" i="44" s="1"/>
  <c r="V1012" i="44"/>
  <c r="R1012" i="44"/>
  <c r="U1012" i="44" s="1"/>
  <c r="P1012" i="44" a="1"/>
  <c r="P1012" i="44" s="1"/>
  <c r="T1012" i="44" s="1"/>
  <c r="O1012" i="44" a="1"/>
  <c r="O1012" i="44" s="1"/>
  <c r="S1012" i="44" s="1"/>
  <c r="M1012" i="44"/>
  <c r="L1012" i="44"/>
  <c r="C1012" i="44"/>
  <c r="AA1011" i="44" a="1"/>
  <c r="AA1011" i="44" s="1"/>
  <c r="Z1011" i="44" a="1"/>
  <c r="Z1011" i="44" s="1"/>
  <c r="V1011" i="44"/>
  <c r="R1011" i="44"/>
  <c r="U1011" i="44" s="1"/>
  <c r="P1011" i="44" a="1"/>
  <c r="P1011" i="44" s="1"/>
  <c r="T1011" i="44" s="1"/>
  <c r="O1011" i="44"/>
  <c r="S1011" i="44" s="1"/>
  <c r="O1011" i="44" a="1"/>
  <c r="M1011" i="44"/>
  <c r="L1011" i="44"/>
  <c r="C1011" i="44"/>
  <c r="AA1010" i="44" a="1"/>
  <c r="AA1010" i="44" s="1"/>
  <c r="Z1010" i="44"/>
  <c r="Z1010" i="44" a="1"/>
  <c r="V1010" i="44"/>
  <c r="R1010" i="44"/>
  <c r="U1010" i="44" s="1"/>
  <c r="P1010" i="44" a="1"/>
  <c r="P1010" i="44" s="1"/>
  <c r="T1010" i="44" s="1"/>
  <c r="O1010" i="44" a="1"/>
  <c r="O1010" i="44" s="1"/>
  <c r="S1010" i="44" s="1"/>
  <c r="M1010" i="44"/>
  <c r="L1010" i="44"/>
  <c r="C1010" i="44"/>
  <c r="AA1009" i="44" a="1"/>
  <c r="AA1009" i="44" s="1"/>
  <c r="Z1009" i="44" a="1"/>
  <c r="Z1009" i="44" s="1"/>
  <c r="V1009" i="44"/>
  <c r="R1009" i="44"/>
  <c r="U1009" i="44" s="1"/>
  <c r="P1009" i="44" a="1"/>
  <c r="P1009" i="44" s="1"/>
  <c r="T1009" i="44" s="1"/>
  <c r="O1009" i="44" a="1"/>
  <c r="O1009" i="44" s="1"/>
  <c r="M1009" i="44"/>
  <c r="K1009" i="44"/>
  <c r="L1009" i="44" s="1"/>
  <c r="C1009" i="44"/>
  <c r="AQ1008" i="44"/>
  <c r="AK1008" i="44"/>
  <c r="AA1008" i="44" a="1"/>
  <c r="AA1008" i="44" s="1"/>
  <c r="Z1008" i="44" a="1"/>
  <c r="Z1008" i="44" s="1"/>
  <c r="V1008" i="44"/>
  <c r="R1008" i="44"/>
  <c r="U1008" i="44" s="1"/>
  <c r="P1008" i="44" a="1"/>
  <c r="P1008" i="44" s="1"/>
  <c r="T1008" i="44" s="1"/>
  <c r="O1008" i="44" a="1"/>
  <c r="O1008" i="44" s="1"/>
  <c r="S1008" i="44" s="1"/>
  <c r="M1008" i="44"/>
  <c r="L1008" i="44"/>
  <c r="C1008" i="44"/>
  <c r="AE1007" i="44"/>
  <c r="AA1006" i="44"/>
  <c r="AA1006" i="44" a="1"/>
  <c r="Z1006" i="44" a="1"/>
  <c r="Z1006" i="44" s="1"/>
  <c r="V1006" i="44"/>
  <c r="R1006" i="44"/>
  <c r="U1006" i="44" s="1"/>
  <c r="P1006" i="44" a="1"/>
  <c r="P1006" i="44" s="1"/>
  <c r="T1006" i="44" s="1"/>
  <c r="O1006" i="44"/>
  <c r="S1006" i="44" s="1"/>
  <c r="O1006" i="44" a="1"/>
  <c r="M1006" i="44"/>
  <c r="L1006" i="44"/>
  <c r="C1006" i="44"/>
  <c r="AA1005" i="44" a="1"/>
  <c r="AA1005" i="44" s="1"/>
  <c r="Z1005" i="44" a="1"/>
  <c r="Z1005" i="44" s="1"/>
  <c r="V1005" i="44"/>
  <c r="R1005" i="44"/>
  <c r="U1005" i="44" s="1"/>
  <c r="P1005" i="44" a="1"/>
  <c r="P1005" i="44" s="1"/>
  <c r="T1005" i="44" s="1"/>
  <c r="O1005" i="44" a="1"/>
  <c r="O1005" i="44" s="1"/>
  <c r="S1005" i="44" s="1"/>
  <c r="AE1005" i="44" s="1"/>
  <c r="M1005" i="44"/>
  <c r="L1005" i="44"/>
  <c r="C1005" i="44"/>
  <c r="AA1004" i="44" a="1"/>
  <c r="AA1004" i="44" s="1"/>
  <c r="Z1004" i="44"/>
  <c r="Z1004" i="44" a="1"/>
  <c r="V1004" i="44"/>
  <c r="T1004" i="44"/>
  <c r="R1004" i="44"/>
  <c r="U1004" i="44" s="1"/>
  <c r="W1004" i="44" s="1"/>
  <c r="P1004" i="44"/>
  <c r="P1004" i="44" a="1"/>
  <c r="O1004" i="44" a="1"/>
  <c r="O1004" i="44" s="1"/>
  <c r="S1004" i="44" s="1"/>
  <c r="M1004" i="44"/>
  <c r="L1004" i="44"/>
  <c r="C1004" i="44"/>
  <c r="AA1003" i="44" a="1"/>
  <c r="AA1003" i="44" s="1"/>
  <c r="Z1003" i="44" a="1"/>
  <c r="Z1003" i="44" s="1"/>
  <c r="V1003" i="44"/>
  <c r="R1003" i="44"/>
  <c r="U1003" i="44" s="1"/>
  <c r="P1003" i="44" a="1"/>
  <c r="P1003" i="44" s="1"/>
  <c r="T1003" i="44" s="1"/>
  <c r="O1003" i="44" a="1"/>
  <c r="O1003" i="44" s="1"/>
  <c r="S1003" i="44" s="1"/>
  <c r="AE1003" i="44" s="1"/>
  <c r="M1003" i="44"/>
  <c r="L1003" i="44"/>
  <c r="C1003" i="44"/>
  <c r="AA1002" i="44"/>
  <c r="AA1002" i="44" a="1"/>
  <c r="Z1002" i="44" a="1"/>
  <c r="Z1002" i="44" s="1"/>
  <c r="V1002" i="44"/>
  <c r="R1002" i="44"/>
  <c r="U1002" i="44" s="1"/>
  <c r="W1002" i="44" s="1"/>
  <c r="P1002" i="44"/>
  <c r="T1002" i="44" s="1"/>
  <c r="P1002" i="44" a="1"/>
  <c r="O1002" i="44" a="1"/>
  <c r="O1002" i="44" s="1"/>
  <c r="S1002" i="44" s="1"/>
  <c r="M1002" i="44"/>
  <c r="L1002" i="44"/>
  <c r="C1002" i="44"/>
  <c r="AQ1001" i="44"/>
  <c r="AK1001" i="44"/>
  <c r="AA1001" i="44"/>
  <c r="AA1001" i="44" a="1"/>
  <c r="Z1001" i="44" a="1"/>
  <c r="Z1001" i="44" s="1"/>
  <c r="V1001" i="44"/>
  <c r="R1001" i="44"/>
  <c r="U1001" i="44" s="1"/>
  <c r="P1001" i="44"/>
  <c r="T1001" i="44" s="1"/>
  <c r="P1001" i="44" a="1"/>
  <c r="O1001" i="44" a="1"/>
  <c r="O1001" i="44" s="1"/>
  <c r="S1001" i="44" s="1"/>
  <c r="M1001" i="44"/>
  <c r="L1001" i="44"/>
  <c r="C1001" i="44"/>
  <c r="AE1000" i="44"/>
  <c r="AA999" i="44" a="1"/>
  <c r="AA999" i="44" s="1"/>
  <c r="Z999" i="44" a="1"/>
  <c r="Z999" i="44" s="1"/>
  <c r="V999" i="44"/>
  <c r="T999" i="44"/>
  <c r="R999" i="44"/>
  <c r="U999" i="44" s="1"/>
  <c r="P999" i="44" a="1"/>
  <c r="P999" i="44" s="1"/>
  <c r="O999" i="44" a="1"/>
  <c r="O999" i="44" s="1"/>
  <c r="S999" i="44" s="1"/>
  <c r="M999" i="44"/>
  <c r="L999" i="44"/>
  <c r="C999" i="44"/>
  <c r="AE998" i="44"/>
  <c r="AA998" i="44" a="1"/>
  <c r="AA998" i="44" s="1"/>
  <c r="Z998" i="44" a="1"/>
  <c r="Z998" i="44" s="1"/>
  <c r="V998" i="44"/>
  <c r="R998" i="44"/>
  <c r="U998" i="44" s="1"/>
  <c r="W998" i="44" s="1"/>
  <c r="P998" i="44" a="1"/>
  <c r="P998" i="44" s="1"/>
  <c r="T998" i="44" s="1"/>
  <c r="O998" i="44"/>
  <c r="S998" i="44" s="1"/>
  <c r="O998" i="44" a="1"/>
  <c r="M998" i="44"/>
  <c r="L998" i="44"/>
  <c r="C998" i="44"/>
  <c r="AA997" i="44" a="1"/>
  <c r="AA997" i="44" s="1"/>
  <c r="Z997" i="44" a="1"/>
  <c r="Z997" i="44" s="1"/>
  <c r="V997" i="44"/>
  <c r="R997" i="44"/>
  <c r="U997" i="44" s="1"/>
  <c r="P997" i="44" a="1"/>
  <c r="P997" i="44" s="1"/>
  <c r="T997" i="44" s="1"/>
  <c r="O997" i="44" a="1"/>
  <c r="O997" i="44" s="1"/>
  <c r="S997" i="44" s="1"/>
  <c r="AE997" i="44" s="1"/>
  <c r="M997" i="44"/>
  <c r="L997" i="44"/>
  <c r="C997" i="44"/>
  <c r="AA996" i="44"/>
  <c r="AA996" i="44" a="1"/>
  <c r="Z996" i="44"/>
  <c r="Z996" i="44" a="1"/>
  <c r="V996" i="44"/>
  <c r="R996" i="44"/>
  <c r="U996" i="44" s="1"/>
  <c r="W996" i="44" s="1"/>
  <c r="P996" i="44"/>
  <c r="T996" i="44" s="1"/>
  <c r="P996" i="44" a="1"/>
  <c r="O996" i="44" a="1"/>
  <c r="O996" i="44" s="1"/>
  <c r="S996" i="44" s="1"/>
  <c r="AE996" i="44" s="1"/>
  <c r="M996" i="44"/>
  <c r="L996" i="44"/>
  <c r="C996" i="44"/>
  <c r="AE995" i="44"/>
  <c r="AA995" i="44" a="1"/>
  <c r="AA995" i="44" s="1"/>
  <c r="Z995" i="44" a="1"/>
  <c r="Z995" i="44" s="1"/>
  <c r="V995" i="44"/>
  <c r="R995" i="44"/>
  <c r="U995" i="44" s="1"/>
  <c r="P995" i="44" a="1"/>
  <c r="P995" i="44" s="1"/>
  <c r="T995" i="44" s="1"/>
  <c r="O995" i="44" a="1"/>
  <c r="O995" i="44" s="1"/>
  <c r="S995" i="44" s="1"/>
  <c r="M995" i="44"/>
  <c r="L995" i="44"/>
  <c r="C995" i="44"/>
  <c r="AA994" i="44" a="1"/>
  <c r="AA994" i="44" s="1"/>
  <c r="Z994" i="44" a="1"/>
  <c r="Z994" i="44" s="1"/>
  <c r="V994" i="44"/>
  <c r="R994" i="44"/>
  <c r="U994" i="44" s="1"/>
  <c r="P994" i="44"/>
  <c r="T994" i="44" s="1"/>
  <c r="P994" i="44" a="1"/>
  <c r="O994" i="44" a="1"/>
  <c r="O994" i="44" s="1"/>
  <c r="S994" i="44" s="1"/>
  <c r="M994" i="44"/>
  <c r="L994" i="44"/>
  <c r="C994" i="44"/>
  <c r="AQ993" i="44"/>
  <c r="AA993" i="44"/>
  <c r="AA993" i="44" a="1"/>
  <c r="Z993" i="44" a="1"/>
  <c r="Z993" i="44" s="1"/>
  <c r="R993" i="44"/>
  <c r="U993" i="44" s="1"/>
  <c r="P993" i="44" a="1"/>
  <c r="P993" i="44" s="1"/>
  <c r="O993" i="44"/>
  <c r="O993" i="44" a="1"/>
  <c r="K993" i="44"/>
  <c r="C993" i="44"/>
  <c r="AQ992" i="44"/>
  <c r="AK992" i="44"/>
  <c r="AA992" i="44" a="1"/>
  <c r="AA992" i="44" s="1"/>
  <c r="Z992" i="44" a="1"/>
  <c r="Z992" i="44" s="1"/>
  <c r="V992" i="44"/>
  <c r="R992" i="44"/>
  <c r="U992" i="44" s="1"/>
  <c r="P992" i="44" a="1"/>
  <c r="P992" i="44" s="1"/>
  <c r="T992" i="44" s="1"/>
  <c r="O992" i="44" a="1"/>
  <c r="O992" i="44" s="1"/>
  <c r="S992" i="44" s="1"/>
  <c r="M992" i="44"/>
  <c r="L992" i="44"/>
  <c r="C992" i="44"/>
  <c r="AE991" i="44"/>
  <c r="AE990" i="44"/>
  <c r="AA989" i="44"/>
  <c r="AA989" i="44" a="1"/>
  <c r="Z989" i="44"/>
  <c r="Z989" i="44" a="1"/>
  <c r="R989" i="44"/>
  <c r="U989" i="44" s="1"/>
  <c r="P989" i="44" a="1"/>
  <c r="P989" i="44" s="1"/>
  <c r="O989" i="44" a="1"/>
  <c r="O989" i="44" s="1"/>
  <c r="K989" i="44"/>
  <c r="C989" i="44"/>
  <c r="AA988" i="44" a="1"/>
  <c r="AA988" i="44" s="1"/>
  <c r="Z988" i="44" a="1"/>
  <c r="Z988" i="44" s="1"/>
  <c r="V988" i="44"/>
  <c r="R988" i="44"/>
  <c r="U988" i="44" s="1"/>
  <c r="W988" i="44" s="1"/>
  <c r="P988" i="44"/>
  <c r="T988" i="44" s="1"/>
  <c r="P988" i="44" a="1"/>
  <c r="O988" i="44" a="1"/>
  <c r="O988" i="44" s="1"/>
  <c r="S988" i="44" s="1"/>
  <c r="M988" i="44"/>
  <c r="L988" i="44"/>
  <c r="C988" i="44"/>
  <c r="AA987" i="44" a="1"/>
  <c r="AA987" i="44" s="1"/>
  <c r="Z987" i="44" a="1"/>
  <c r="Z987" i="44" s="1"/>
  <c r="V987" i="44"/>
  <c r="R987" i="44"/>
  <c r="U987" i="44" s="1"/>
  <c r="P987" i="44" a="1"/>
  <c r="P987" i="44" s="1"/>
  <c r="T987" i="44" s="1"/>
  <c r="O987" i="44" a="1"/>
  <c r="O987" i="44" s="1"/>
  <c r="S987" i="44" s="1"/>
  <c r="M987" i="44"/>
  <c r="L987" i="44"/>
  <c r="C987" i="44"/>
  <c r="AA986" i="44" a="1"/>
  <c r="AA986" i="44" s="1"/>
  <c r="Z986" i="44" a="1"/>
  <c r="Z986" i="44" s="1"/>
  <c r="V986" i="44"/>
  <c r="R986" i="44"/>
  <c r="U986" i="44" s="1"/>
  <c r="W986" i="44" s="1"/>
  <c r="P986" i="44" a="1"/>
  <c r="P986" i="44" s="1"/>
  <c r="T986" i="44" s="1"/>
  <c r="O986" i="44" a="1"/>
  <c r="O986" i="44" s="1"/>
  <c r="S986" i="44" s="1"/>
  <c r="M986" i="44"/>
  <c r="L986" i="44"/>
  <c r="C986" i="44"/>
  <c r="AE985" i="44"/>
  <c r="AA985" i="44" a="1"/>
  <c r="AA985" i="44" s="1"/>
  <c r="Z985" i="44" a="1"/>
  <c r="Z985" i="44" s="1"/>
  <c r="V985" i="44"/>
  <c r="R985" i="44"/>
  <c r="U985" i="44" s="1"/>
  <c r="P985" i="44" a="1"/>
  <c r="P985" i="44" s="1"/>
  <c r="T985" i="44" s="1"/>
  <c r="O985" i="44" a="1"/>
  <c r="O985" i="44" s="1"/>
  <c r="S985" i="44" s="1"/>
  <c r="M985" i="44"/>
  <c r="L985" i="44"/>
  <c r="C985" i="44"/>
  <c r="AA984" i="44" a="1"/>
  <c r="AA984" i="44" s="1"/>
  <c r="Z984" i="44" a="1"/>
  <c r="Z984" i="44" s="1"/>
  <c r="V984" i="44"/>
  <c r="R984" i="44"/>
  <c r="U984" i="44" s="1"/>
  <c r="P984" i="44" a="1"/>
  <c r="P984" i="44" s="1"/>
  <c r="O984" i="44" a="1"/>
  <c r="O984" i="44" s="1"/>
  <c r="K984" i="44"/>
  <c r="C984" i="44"/>
  <c r="AA983" i="44"/>
  <c r="AA983" i="44" a="1"/>
  <c r="Z983" i="44"/>
  <c r="Z983" i="44" a="1"/>
  <c r="V983" i="44"/>
  <c r="S983" i="44"/>
  <c r="AE983" i="44" s="1"/>
  <c r="R983" i="44"/>
  <c r="U983" i="44" s="1"/>
  <c r="P983" i="44" a="1"/>
  <c r="P983" i="44" s="1"/>
  <c r="T983" i="44" s="1"/>
  <c r="AC983" i="44" s="1"/>
  <c r="O983" i="44"/>
  <c r="O983" i="44" a="1"/>
  <c r="M983" i="44"/>
  <c r="L983" i="44"/>
  <c r="C983" i="44"/>
  <c r="AK982" i="44"/>
  <c r="AA982" i="44"/>
  <c r="AA982" i="44" a="1"/>
  <c r="Z982" i="44" a="1"/>
  <c r="Z982" i="44" s="1"/>
  <c r="R982" i="44"/>
  <c r="U982" i="44" s="1"/>
  <c r="P982" i="44"/>
  <c r="P982" i="44" a="1"/>
  <c r="O982" i="44" a="1"/>
  <c r="O982" i="44" s="1"/>
  <c r="K982" i="44"/>
  <c r="C982" i="44"/>
  <c r="AQ981" i="44"/>
  <c r="AK981" i="44"/>
  <c r="AA981" i="44" a="1"/>
  <c r="AA981" i="44" s="1"/>
  <c r="Z981" i="44" a="1"/>
  <c r="Z981" i="44" s="1"/>
  <c r="V981" i="44"/>
  <c r="R981" i="44"/>
  <c r="U981" i="44" s="1"/>
  <c r="P981" i="44" a="1"/>
  <c r="P981" i="44" s="1"/>
  <c r="T981" i="44" s="1"/>
  <c r="O981" i="44"/>
  <c r="S981" i="44" s="1"/>
  <c r="O981" i="44" a="1"/>
  <c r="M981" i="44"/>
  <c r="L981" i="44"/>
  <c r="C981" i="44"/>
  <c r="AA980" i="44" a="1"/>
  <c r="AA980" i="44" s="1"/>
  <c r="Z980" i="44" a="1"/>
  <c r="Z980" i="44" s="1"/>
  <c r="R980" i="44"/>
  <c r="U980" i="44" s="1"/>
  <c r="P980" i="44" a="1"/>
  <c r="P980" i="44" s="1"/>
  <c r="T980" i="44" s="1"/>
  <c r="O980" i="44" a="1"/>
  <c r="O980" i="44" s="1"/>
  <c r="K980" i="44"/>
  <c r="V980" i="44" s="1"/>
  <c r="F980" i="44"/>
  <c r="C980" i="44"/>
  <c r="AA979" i="44"/>
  <c r="AA979" i="44" a="1"/>
  <c r="Z979" i="44" a="1"/>
  <c r="Z979" i="44" s="1"/>
  <c r="V979" i="44"/>
  <c r="R979" i="44"/>
  <c r="U979" i="44" s="1"/>
  <c r="P979" i="44" a="1"/>
  <c r="P979" i="44" s="1"/>
  <c r="T979" i="44" s="1"/>
  <c r="O979" i="44" a="1"/>
  <c r="O979" i="44" s="1"/>
  <c r="S979" i="44" s="1"/>
  <c r="M979" i="44"/>
  <c r="L979" i="44"/>
  <c r="C979" i="44"/>
  <c r="AA978" i="44" a="1"/>
  <c r="AA978" i="44" s="1"/>
  <c r="Z978" i="44"/>
  <c r="Z978" i="44" a="1"/>
  <c r="V978" i="44"/>
  <c r="R978" i="44"/>
  <c r="U978" i="44" s="1"/>
  <c r="P978" i="44" a="1"/>
  <c r="P978" i="44" s="1"/>
  <c r="T978" i="44" s="1"/>
  <c r="O978" i="44"/>
  <c r="S978" i="44" s="1"/>
  <c r="O978" i="44" a="1"/>
  <c r="M978" i="44"/>
  <c r="L978" i="44"/>
  <c r="C978" i="44"/>
  <c r="AE977" i="44"/>
  <c r="AA976" i="44" a="1"/>
  <c r="AA976" i="44" s="1"/>
  <c r="Z976" i="44" a="1"/>
  <c r="Z976" i="44" s="1"/>
  <c r="R976" i="44"/>
  <c r="U976" i="44" s="1"/>
  <c r="P976" i="44" a="1"/>
  <c r="P976" i="44" s="1"/>
  <c r="T976" i="44" s="1"/>
  <c r="O976" i="44" a="1"/>
  <c r="O976" i="44" s="1"/>
  <c r="K976" i="44"/>
  <c r="M976" i="44" s="1"/>
  <c r="C976" i="44"/>
  <c r="AA975" i="44" a="1"/>
  <c r="AA975" i="44" s="1"/>
  <c r="Z975" i="44" a="1"/>
  <c r="Z975" i="44" s="1"/>
  <c r="V975" i="44"/>
  <c r="R975" i="44"/>
  <c r="U975" i="44" s="1"/>
  <c r="P975" i="44" a="1"/>
  <c r="P975" i="44" s="1"/>
  <c r="T975" i="44" s="1"/>
  <c r="O975" i="44"/>
  <c r="S975" i="44" s="1"/>
  <c r="O975" i="44" a="1"/>
  <c r="M975" i="44"/>
  <c r="L975" i="44"/>
  <c r="C975" i="44"/>
  <c r="AA974" i="44" a="1"/>
  <c r="AA974" i="44" s="1"/>
  <c r="Z974" i="44" a="1"/>
  <c r="Z974" i="44" s="1"/>
  <c r="V974" i="44"/>
  <c r="R974" i="44"/>
  <c r="U974" i="44" s="1"/>
  <c r="P974" i="44" a="1"/>
  <c r="P974" i="44" s="1"/>
  <c r="T974" i="44" s="1"/>
  <c r="O974" i="44" a="1"/>
  <c r="O974" i="44" s="1"/>
  <c r="S974" i="44" s="1"/>
  <c r="M974" i="44"/>
  <c r="L974" i="44"/>
  <c r="C974" i="44"/>
  <c r="AK973" i="44"/>
  <c r="AA973" i="44" a="1"/>
  <c r="AA973" i="44" s="1"/>
  <c r="Z973" i="44"/>
  <c r="Z973" i="44" a="1"/>
  <c r="V973" i="44"/>
  <c r="R973" i="44"/>
  <c r="U973" i="44" s="1"/>
  <c r="P973" i="44" a="1"/>
  <c r="P973" i="44" s="1"/>
  <c r="T973" i="44" s="1"/>
  <c r="O973" i="44" a="1"/>
  <c r="O973" i="44" s="1"/>
  <c r="S973" i="44" s="1"/>
  <c r="AE973" i="44" s="1"/>
  <c r="M973" i="44"/>
  <c r="L973" i="44"/>
  <c r="C973" i="44"/>
  <c r="AA972" i="44"/>
  <c r="AA972" i="44" a="1"/>
  <c r="Z972" i="44" a="1"/>
  <c r="Z972" i="44" s="1"/>
  <c r="V972" i="44"/>
  <c r="R972" i="44"/>
  <c r="U972" i="44" s="1"/>
  <c r="P972" i="44" a="1"/>
  <c r="P972" i="44" s="1"/>
  <c r="T972" i="44" s="1"/>
  <c r="O972" i="44"/>
  <c r="S972" i="44" s="1"/>
  <c r="AE972" i="44" s="1"/>
  <c r="O972" i="44" a="1"/>
  <c r="M972" i="44"/>
  <c r="L972" i="44"/>
  <c r="C972" i="44"/>
  <c r="AK971" i="44"/>
  <c r="AA971" i="44" a="1"/>
  <c r="AA971" i="44" s="1"/>
  <c r="Z971" i="44" a="1"/>
  <c r="Z971" i="44" s="1"/>
  <c r="V971" i="44"/>
  <c r="S971" i="44"/>
  <c r="R971" i="44"/>
  <c r="U971" i="44" s="1"/>
  <c r="W971" i="44" s="1"/>
  <c r="P971" i="44" a="1"/>
  <c r="P971" i="44" s="1"/>
  <c r="T971" i="44" s="1"/>
  <c r="O971" i="44"/>
  <c r="O971" i="44" a="1"/>
  <c r="M971" i="44"/>
  <c r="L971" i="44"/>
  <c r="C971" i="44"/>
  <c r="AA970" i="44"/>
  <c r="AA970" i="44" a="1"/>
  <c r="Z970" i="44" a="1"/>
  <c r="Z970" i="44" s="1"/>
  <c r="R970" i="44"/>
  <c r="U970" i="44" s="1"/>
  <c r="P970" i="44"/>
  <c r="P970" i="44" a="1"/>
  <c r="O970" i="44" a="1"/>
  <c r="O970" i="44" s="1"/>
  <c r="K970" i="44"/>
  <c r="L970" i="44" s="1"/>
  <c r="C970" i="44"/>
  <c r="AK969" i="44"/>
  <c r="AA969" i="44" a="1"/>
  <c r="AA969" i="44" s="1"/>
  <c r="Z969" i="44"/>
  <c r="Z969" i="44" a="1"/>
  <c r="V969" i="44"/>
  <c r="R969" i="44"/>
  <c r="U969" i="44" s="1"/>
  <c r="P969" i="44" a="1"/>
  <c r="P969" i="44" s="1"/>
  <c r="T969" i="44" s="1"/>
  <c r="O969" i="44" a="1"/>
  <c r="O969" i="44" s="1"/>
  <c r="S969" i="44" s="1"/>
  <c r="M969" i="44"/>
  <c r="L969" i="44"/>
  <c r="C969" i="44"/>
  <c r="AA968" i="44" a="1"/>
  <c r="AA968" i="44" s="1"/>
  <c r="Z968" i="44" a="1"/>
  <c r="Z968" i="44" s="1"/>
  <c r="V968" i="44"/>
  <c r="R968" i="44"/>
  <c r="U968" i="44" s="1"/>
  <c r="P968" i="44" a="1"/>
  <c r="P968" i="44" s="1"/>
  <c r="T968" i="44" s="1"/>
  <c r="O968" i="44" a="1"/>
  <c r="O968" i="44" s="1"/>
  <c r="M968" i="44"/>
  <c r="K968" i="44"/>
  <c r="C968" i="44"/>
  <c r="AQ967" i="44"/>
  <c r="AK967" i="44"/>
  <c r="AA967" i="44" a="1"/>
  <c r="AA967" i="44" s="1"/>
  <c r="Z967" i="44" a="1"/>
  <c r="Z967" i="44" s="1"/>
  <c r="V967" i="44"/>
  <c r="R967" i="44"/>
  <c r="U967" i="44" s="1"/>
  <c r="P967" i="44" a="1"/>
  <c r="P967" i="44" s="1"/>
  <c r="T967" i="44" s="1"/>
  <c r="O967" i="44" a="1"/>
  <c r="O967" i="44" s="1"/>
  <c r="S967" i="44" s="1"/>
  <c r="M967" i="44"/>
  <c r="L967" i="44"/>
  <c r="C967" i="44"/>
  <c r="AA966" i="44" a="1"/>
  <c r="AA966" i="44" s="1"/>
  <c r="Z966" i="44"/>
  <c r="Z966" i="44" a="1"/>
  <c r="R966" i="44"/>
  <c r="U966" i="44" s="1"/>
  <c r="P966" i="44" a="1"/>
  <c r="P966" i="44" s="1"/>
  <c r="O966" i="44" a="1"/>
  <c r="O966" i="44" s="1"/>
  <c r="K966" i="44"/>
  <c r="F966" i="44"/>
  <c r="C966" i="44"/>
  <c r="AK965" i="44"/>
  <c r="AA965" i="44" a="1"/>
  <c r="AA965" i="44" s="1"/>
  <c r="Z965" i="44" a="1"/>
  <c r="Z965" i="44" s="1"/>
  <c r="V965" i="44"/>
  <c r="R965" i="44"/>
  <c r="U965" i="44" s="1"/>
  <c r="P965" i="44" a="1"/>
  <c r="P965" i="44" s="1"/>
  <c r="T965" i="44" s="1"/>
  <c r="O965" i="44" a="1"/>
  <c r="O965" i="44" s="1"/>
  <c r="S965" i="44" s="1"/>
  <c r="M965" i="44"/>
  <c r="L965" i="44"/>
  <c r="C965" i="44"/>
  <c r="AK964" i="44"/>
  <c r="AA964" i="44" a="1"/>
  <c r="AA964" i="44" s="1"/>
  <c r="Z964" i="44"/>
  <c r="Z964" i="44" a="1"/>
  <c r="V964" i="44"/>
  <c r="R964" i="44"/>
  <c r="U964" i="44" s="1"/>
  <c r="P964" i="44" a="1"/>
  <c r="P964" i="44" s="1"/>
  <c r="T964" i="44" s="1"/>
  <c r="O964" i="44" a="1"/>
  <c r="O964" i="44" s="1"/>
  <c r="S964" i="44" s="1"/>
  <c r="M964" i="44"/>
  <c r="L964" i="44"/>
  <c r="C964" i="44"/>
  <c r="AE963" i="44"/>
  <c r="AE962" i="44"/>
  <c r="P961" i="44" a="1"/>
  <c r="P961" i="44" s="1"/>
  <c r="E961" i="44"/>
  <c r="AA959" i="44"/>
  <c r="AA959" i="44" a="1"/>
  <c r="Z959" i="44" a="1"/>
  <c r="Z959" i="44" s="1"/>
  <c r="R959" i="44"/>
  <c r="U959" i="44" s="1"/>
  <c r="P959" i="44"/>
  <c r="P959" i="44" a="1"/>
  <c r="O959" i="44" a="1"/>
  <c r="O959" i="44" s="1"/>
  <c r="C959" i="44"/>
  <c r="AA958" i="44" a="1"/>
  <c r="AA958" i="44" s="1"/>
  <c r="Z958" i="44" a="1"/>
  <c r="Z958" i="44" s="1"/>
  <c r="R958" i="44"/>
  <c r="U958" i="44" s="1"/>
  <c r="P958" i="44"/>
  <c r="P958" i="44" a="1"/>
  <c r="O958" i="44" a="1"/>
  <c r="O958" i="44" s="1"/>
  <c r="F958" i="44"/>
  <c r="C958" i="44"/>
  <c r="AI957" i="44"/>
  <c r="AA956" i="44"/>
  <c r="AA956" i="44" a="1"/>
  <c r="Z956" i="44" a="1"/>
  <c r="Z956" i="44" s="1"/>
  <c r="R956" i="44"/>
  <c r="U956" i="44" s="1"/>
  <c r="P956" i="44" a="1"/>
  <c r="P956" i="44" s="1"/>
  <c r="O956" i="44" a="1"/>
  <c r="O956" i="44" s="1"/>
  <c r="C956" i="44"/>
  <c r="AA955" i="44" a="1"/>
  <c r="AA955" i="44" s="1"/>
  <c r="Z955" i="44" a="1"/>
  <c r="Z955" i="44" s="1"/>
  <c r="R955" i="44"/>
  <c r="U955" i="44" s="1"/>
  <c r="P955" i="44" a="1"/>
  <c r="P955" i="44" s="1"/>
  <c r="O955" i="44" a="1"/>
  <c r="O955" i="44" s="1"/>
  <c r="F955" i="44"/>
  <c r="K955" i="44" s="1"/>
  <c r="C955" i="44"/>
  <c r="AA953" i="44" a="1"/>
  <c r="AA953" i="44" s="1"/>
  <c r="Z953" i="44" a="1"/>
  <c r="Z953" i="44" s="1"/>
  <c r="V953" i="44"/>
  <c r="R953" i="44"/>
  <c r="U953" i="44" s="1"/>
  <c r="P953" i="44" a="1"/>
  <c r="P953" i="44" s="1"/>
  <c r="O953" i="44" a="1"/>
  <c r="O953" i="44" s="1"/>
  <c r="F953" i="44"/>
  <c r="K953" i="44" s="1"/>
  <c r="C953" i="44"/>
  <c r="AA952" i="44" a="1"/>
  <c r="AA952" i="44" s="1"/>
  <c r="Z952" i="44" a="1"/>
  <c r="Z952" i="44" s="1"/>
  <c r="R952" i="44"/>
  <c r="U952" i="44" s="1"/>
  <c r="P952" i="44" a="1"/>
  <c r="P952" i="44" s="1"/>
  <c r="O952" i="44" a="1"/>
  <c r="O952" i="44" s="1"/>
  <c r="K952" i="44"/>
  <c r="F952" i="44"/>
  <c r="C952" i="44"/>
  <c r="AA950" i="44" a="1"/>
  <c r="AA950" i="44" s="1"/>
  <c r="Z950" i="44" a="1"/>
  <c r="Z950" i="44" s="1"/>
  <c r="R950" i="44"/>
  <c r="U950" i="44" s="1"/>
  <c r="P950" i="44" a="1"/>
  <c r="P950" i="44" s="1"/>
  <c r="O950" i="44" a="1"/>
  <c r="O950" i="44" s="1"/>
  <c r="C950" i="44"/>
  <c r="AA949" i="44" a="1"/>
  <c r="AA949" i="44" s="1"/>
  <c r="Z949" i="44" a="1"/>
  <c r="Z949" i="44" s="1"/>
  <c r="R949" i="44"/>
  <c r="U949" i="44" s="1"/>
  <c r="P949" i="44" a="1"/>
  <c r="P949" i="44" s="1"/>
  <c r="O949" i="44" a="1"/>
  <c r="O949" i="44" s="1"/>
  <c r="F949" i="44"/>
  <c r="C949" i="44"/>
  <c r="AA947" i="44" a="1"/>
  <c r="AA947" i="44" s="1"/>
  <c r="Z947" i="44" a="1"/>
  <c r="Z947" i="44" s="1"/>
  <c r="R947" i="44"/>
  <c r="U947" i="44" s="1"/>
  <c r="P947" i="44" a="1"/>
  <c r="P947" i="44" s="1"/>
  <c r="O947" i="44" a="1"/>
  <c r="O947" i="44" s="1"/>
  <c r="C947" i="44"/>
  <c r="AA946" i="44"/>
  <c r="AA946" i="44" a="1"/>
  <c r="Z946" i="44" a="1"/>
  <c r="Z946" i="44" s="1"/>
  <c r="R946" i="44"/>
  <c r="U946" i="44" s="1"/>
  <c r="P946" i="44" a="1"/>
  <c r="P946" i="44" s="1"/>
  <c r="O946" i="44"/>
  <c r="O946" i="44" a="1"/>
  <c r="F946" i="44"/>
  <c r="K946" i="44" s="1"/>
  <c r="V946" i="44" s="1"/>
  <c r="C946" i="44"/>
  <c r="AA944" i="44"/>
  <c r="AA944" i="44" a="1"/>
  <c r="Z944" i="44" a="1"/>
  <c r="Z944" i="44" s="1"/>
  <c r="R944" i="44"/>
  <c r="U944" i="44" s="1"/>
  <c r="P944" i="44" a="1"/>
  <c r="P944" i="44" s="1"/>
  <c r="O944" i="44"/>
  <c r="O944" i="44" a="1"/>
  <c r="F944" i="44"/>
  <c r="K944" i="44" s="1"/>
  <c r="C944" i="44"/>
  <c r="AA942" i="44" a="1"/>
  <c r="AA942" i="44" s="1"/>
  <c r="Z942" i="44" a="1"/>
  <c r="Z942" i="44" s="1"/>
  <c r="V942" i="44"/>
  <c r="R942" i="44"/>
  <c r="U942" i="44" s="1"/>
  <c r="P942" i="44" a="1"/>
  <c r="P942" i="44" s="1"/>
  <c r="O942" i="44"/>
  <c r="O942" i="44" a="1"/>
  <c r="F942" i="44"/>
  <c r="K942" i="44" s="1"/>
  <c r="C942" i="44"/>
  <c r="AA940" i="44"/>
  <c r="AA940" i="44" a="1"/>
  <c r="Z940" i="44" a="1"/>
  <c r="Z940" i="44" s="1"/>
  <c r="R940" i="44"/>
  <c r="U940" i="44" s="1"/>
  <c r="P940" i="44" a="1"/>
  <c r="P940" i="44" s="1"/>
  <c r="O940" i="44"/>
  <c r="O940" i="44" a="1"/>
  <c r="M940" i="44"/>
  <c r="F940" i="44"/>
  <c r="K940" i="44" s="1"/>
  <c r="C940" i="44"/>
  <c r="AA939" i="44" a="1"/>
  <c r="AA939" i="44" s="1"/>
  <c r="Z939" i="44" a="1"/>
  <c r="Z939" i="44" s="1"/>
  <c r="V939" i="44"/>
  <c r="S939" i="44"/>
  <c r="R939" i="44"/>
  <c r="U939" i="44" s="1"/>
  <c r="P939" i="44"/>
  <c r="T939" i="44" s="1"/>
  <c r="P939" i="44" a="1"/>
  <c r="O939" i="44" a="1"/>
  <c r="O939" i="44" s="1"/>
  <c r="M939" i="44"/>
  <c r="L939" i="44"/>
  <c r="F939" i="44"/>
  <c r="K939" i="44" s="1"/>
  <c r="C939" i="44"/>
  <c r="AA937" i="44"/>
  <c r="AA937" i="44" a="1"/>
  <c r="Z937" i="44" a="1"/>
  <c r="Z937" i="44" s="1"/>
  <c r="R937" i="44"/>
  <c r="U937" i="44" s="1"/>
  <c r="P937" i="44" a="1"/>
  <c r="P937" i="44" s="1"/>
  <c r="O937" i="44" a="1"/>
  <c r="O937" i="44" s="1"/>
  <c r="C937" i="44"/>
  <c r="AA936" i="44" a="1"/>
  <c r="AA936" i="44" s="1"/>
  <c r="Z936" i="44" a="1"/>
  <c r="Z936" i="44" s="1"/>
  <c r="R936" i="44"/>
  <c r="U936" i="44" s="1"/>
  <c r="P936" i="44" a="1"/>
  <c r="P936" i="44" s="1"/>
  <c r="O936" i="44" a="1"/>
  <c r="O936" i="44" s="1"/>
  <c r="F936" i="44"/>
  <c r="C936" i="44"/>
  <c r="AA934" i="44" a="1"/>
  <c r="AA934" i="44" s="1"/>
  <c r="Z934" i="44" a="1"/>
  <c r="Z934" i="44" s="1"/>
  <c r="V934" i="44"/>
  <c r="R934" i="44"/>
  <c r="U934" i="44" s="1"/>
  <c r="P934" i="44" a="1"/>
  <c r="P934" i="44" s="1"/>
  <c r="T934" i="44" s="1"/>
  <c r="O934" i="44" a="1"/>
  <c r="O934" i="44" s="1"/>
  <c r="S934" i="44" s="1"/>
  <c r="K934" i="44"/>
  <c r="C934" i="44"/>
  <c r="AA933" i="44" a="1"/>
  <c r="AA933" i="44" s="1"/>
  <c r="Z933" i="44"/>
  <c r="Z933" i="44" a="1"/>
  <c r="R933" i="44"/>
  <c r="U933" i="44" s="1"/>
  <c r="P933" i="44" a="1"/>
  <c r="P933" i="44" s="1"/>
  <c r="O933" i="44" a="1"/>
  <c r="O933" i="44" s="1"/>
  <c r="S933" i="44" s="1"/>
  <c r="M933" i="44"/>
  <c r="K933" i="44"/>
  <c r="V933" i="44" s="1"/>
  <c r="C933" i="44"/>
  <c r="AA932" i="44" a="1"/>
  <c r="AA932" i="44" s="1"/>
  <c r="Z932" i="44" a="1"/>
  <c r="Z932" i="44" s="1"/>
  <c r="R932" i="44"/>
  <c r="U932" i="44" s="1"/>
  <c r="P932" i="44"/>
  <c r="P932" i="44" a="1"/>
  <c r="O932" i="44" a="1"/>
  <c r="O932" i="44" s="1"/>
  <c r="S932" i="44" s="1"/>
  <c r="L932" i="44"/>
  <c r="K932" i="44"/>
  <c r="C932" i="44"/>
  <c r="AA931" i="44"/>
  <c r="AA931" i="44" a="1"/>
  <c r="Z931" i="44"/>
  <c r="Z931" i="44" a="1"/>
  <c r="S931" i="44"/>
  <c r="R931" i="44"/>
  <c r="U931" i="44" s="1"/>
  <c r="P931" i="44" a="1"/>
  <c r="P931" i="44" s="1"/>
  <c r="T931" i="44" s="1"/>
  <c r="O931" i="44" a="1"/>
  <c r="O931" i="44" s="1"/>
  <c r="K931" i="44"/>
  <c r="C931" i="44"/>
  <c r="AA930" i="44" a="1"/>
  <c r="AA930" i="44" s="1"/>
  <c r="Z930" i="44"/>
  <c r="Z930" i="44" a="1"/>
  <c r="R930" i="44"/>
  <c r="U930" i="44" s="1"/>
  <c r="P930" i="44" a="1"/>
  <c r="P930" i="44" s="1"/>
  <c r="O930" i="44" a="1"/>
  <c r="O930" i="44" s="1"/>
  <c r="K930" i="44"/>
  <c r="C930" i="44"/>
  <c r="AA929" i="44" a="1"/>
  <c r="AA929" i="44" s="1"/>
  <c r="Z929" i="44" a="1"/>
  <c r="Z929" i="44" s="1"/>
  <c r="R929" i="44"/>
  <c r="U929" i="44" s="1"/>
  <c r="P929" i="44" a="1"/>
  <c r="P929" i="44" s="1"/>
  <c r="O929" i="44" a="1"/>
  <c r="O929" i="44" s="1"/>
  <c r="M929" i="44"/>
  <c r="L929" i="44"/>
  <c r="K929" i="44"/>
  <c r="V929" i="44" s="1"/>
  <c r="C929" i="44"/>
  <c r="AA928" i="44" a="1"/>
  <c r="AA928" i="44" s="1"/>
  <c r="Z928" i="44" a="1"/>
  <c r="Z928" i="44" s="1"/>
  <c r="V928" i="44"/>
  <c r="T928" i="44"/>
  <c r="R928" i="44"/>
  <c r="U928" i="44" s="1"/>
  <c r="W928" i="44" s="1"/>
  <c r="P928" i="44" a="1"/>
  <c r="P928" i="44" s="1"/>
  <c r="O928" i="44" a="1"/>
  <c r="O928" i="44" s="1"/>
  <c r="S928" i="44" s="1"/>
  <c r="AE928" i="44" s="1"/>
  <c r="M928" i="44"/>
  <c r="L928" i="44"/>
  <c r="K928" i="44"/>
  <c r="C928" i="44"/>
  <c r="AA927" i="44" a="1"/>
  <c r="AA927" i="44" s="1"/>
  <c r="Z927" i="44" a="1"/>
  <c r="Z927" i="44" s="1"/>
  <c r="V927" i="44"/>
  <c r="R927" i="44"/>
  <c r="U927" i="44" s="1"/>
  <c r="P927" i="44" a="1"/>
  <c r="P927" i="44" s="1"/>
  <c r="T927" i="44" s="1"/>
  <c r="O927" i="44" a="1"/>
  <c r="O927" i="44" s="1"/>
  <c r="L927" i="44"/>
  <c r="K927" i="44"/>
  <c r="M927" i="44" s="1"/>
  <c r="C927" i="44"/>
  <c r="AA926" i="44" a="1"/>
  <c r="AA926" i="44" s="1"/>
  <c r="Z926" i="44"/>
  <c r="Z926" i="44" a="1"/>
  <c r="R926" i="44"/>
  <c r="U926" i="44" s="1"/>
  <c r="P926" i="44" a="1"/>
  <c r="P926" i="44" s="1"/>
  <c r="O926" i="44"/>
  <c r="O926" i="44" a="1"/>
  <c r="K926" i="44"/>
  <c r="C926" i="44"/>
  <c r="AA925" i="44"/>
  <c r="AA925" i="44" a="1"/>
  <c r="Z925" i="44"/>
  <c r="Z925" i="44" a="1"/>
  <c r="V925" i="44"/>
  <c r="R925" i="44"/>
  <c r="U925" i="44" s="1"/>
  <c r="P925" i="44" a="1"/>
  <c r="P925" i="44" s="1"/>
  <c r="O925" i="44" a="1"/>
  <c r="O925" i="44" s="1"/>
  <c r="K925" i="44"/>
  <c r="C925" i="44"/>
  <c r="AA924" i="44" a="1"/>
  <c r="AA924" i="44" s="1"/>
  <c r="Z924" i="44" a="1"/>
  <c r="Z924" i="44" s="1"/>
  <c r="R924" i="44"/>
  <c r="U924" i="44" s="1"/>
  <c r="P924" i="44"/>
  <c r="T924" i="44" s="1"/>
  <c r="P924" i="44" a="1"/>
  <c r="O924" i="44" a="1"/>
  <c r="O924" i="44" s="1"/>
  <c r="L924" i="44"/>
  <c r="K924" i="44"/>
  <c r="V924" i="44" s="1"/>
  <c r="C924" i="44"/>
  <c r="AA923" i="44"/>
  <c r="AA923" i="44" a="1"/>
  <c r="Z923" i="44" a="1"/>
  <c r="Z923" i="44" s="1"/>
  <c r="V923" i="44"/>
  <c r="R923" i="44"/>
  <c r="U923" i="44" s="1"/>
  <c r="P923" i="44" a="1"/>
  <c r="P923" i="44" s="1"/>
  <c r="T923" i="44" s="1"/>
  <c r="O923" i="44" a="1"/>
  <c r="O923" i="44" s="1"/>
  <c r="M923" i="44"/>
  <c r="K923" i="44"/>
  <c r="C923" i="44"/>
  <c r="AA922" i="44" a="1"/>
  <c r="AA922" i="44" s="1"/>
  <c r="Z922" i="44" a="1"/>
  <c r="Z922" i="44" s="1"/>
  <c r="V922" i="44"/>
  <c r="S922" i="44"/>
  <c r="R922" i="44"/>
  <c r="U922" i="44" s="1"/>
  <c r="P922" i="44" a="1"/>
  <c r="P922" i="44" s="1"/>
  <c r="T922" i="44" s="1"/>
  <c r="O922" i="44" a="1"/>
  <c r="O922" i="44" s="1"/>
  <c r="M922" i="44"/>
  <c r="L922" i="44"/>
  <c r="K922" i="44"/>
  <c r="C922" i="44"/>
  <c r="AA921" i="44"/>
  <c r="AA921" i="44" a="1"/>
  <c r="Z921" i="44" a="1"/>
  <c r="Z921" i="44" s="1"/>
  <c r="V921" i="44"/>
  <c r="R921" i="44"/>
  <c r="U921" i="44" s="1"/>
  <c r="P921" i="44" a="1"/>
  <c r="P921" i="44" s="1"/>
  <c r="O921" i="44"/>
  <c r="S921" i="44" s="1"/>
  <c r="O921" i="44" a="1"/>
  <c r="M921" i="44"/>
  <c r="L921" i="44"/>
  <c r="K921" i="44"/>
  <c r="C921" i="44"/>
  <c r="AA920" i="44" a="1"/>
  <c r="AA920" i="44" s="1"/>
  <c r="Z920" i="44" a="1"/>
  <c r="Z920" i="44" s="1"/>
  <c r="V920" i="44"/>
  <c r="R920" i="44"/>
  <c r="U920" i="44" s="1"/>
  <c r="P920" i="44" a="1"/>
  <c r="P920" i="44" s="1"/>
  <c r="O920" i="44" a="1"/>
  <c r="O920" i="44" s="1"/>
  <c r="L920" i="44"/>
  <c r="K920" i="44"/>
  <c r="C920" i="44"/>
  <c r="AA919" i="44"/>
  <c r="AA919" i="44" a="1"/>
  <c r="Z919" i="44"/>
  <c r="Z919" i="44" a="1"/>
  <c r="R919" i="44"/>
  <c r="U919" i="44" s="1"/>
  <c r="P919" i="44"/>
  <c r="T919" i="44" s="1"/>
  <c r="P919" i="44" a="1"/>
  <c r="O919" i="44" a="1"/>
  <c r="O919" i="44" s="1"/>
  <c r="K919" i="44"/>
  <c r="L919" i="44" s="1"/>
  <c r="C919" i="44"/>
  <c r="AA918" i="44" a="1"/>
  <c r="AA918" i="44" s="1"/>
  <c r="Z918" i="44"/>
  <c r="Z918" i="44" a="1"/>
  <c r="R918" i="44"/>
  <c r="U918" i="44" s="1"/>
  <c r="P918" i="44" a="1"/>
  <c r="P918" i="44" s="1"/>
  <c r="O918" i="44" a="1"/>
  <c r="O918" i="44" s="1"/>
  <c r="K918" i="44"/>
  <c r="C918" i="44"/>
  <c r="P917" i="44" a="1"/>
  <c r="P917" i="44" s="1"/>
  <c r="E917" i="44"/>
  <c r="AA915" i="44"/>
  <c r="AA915" i="44" a="1"/>
  <c r="Z915" i="44" a="1"/>
  <c r="Z915" i="44" s="1"/>
  <c r="R915" i="44"/>
  <c r="U915" i="44" s="1"/>
  <c r="P915" i="44" a="1"/>
  <c r="P915" i="44" s="1"/>
  <c r="O915" i="44"/>
  <c r="O915" i="44" a="1"/>
  <c r="C915" i="44"/>
  <c r="AA914" i="44" a="1"/>
  <c r="AA914" i="44" s="1"/>
  <c r="Z914" i="44" a="1"/>
  <c r="Z914" i="44" s="1"/>
  <c r="R914" i="44"/>
  <c r="U914" i="44" s="1"/>
  <c r="P914" i="44"/>
  <c r="P914" i="44" a="1"/>
  <c r="O914" i="44" a="1"/>
  <c r="O914" i="44" s="1"/>
  <c r="K914" i="44"/>
  <c r="T914" i="44" s="1"/>
  <c r="F914" i="44"/>
  <c r="F915" i="44" s="1"/>
  <c r="K915" i="44" s="1"/>
  <c r="C914" i="44"/>
  <c r="AA912" i="44" a="1"/>
  <c r="AA912" i="44" s="1"/>
  <c r="Z912" i="44"/>
  <c r="Z912" i="44" a="1"/>
  <c r="R912" i="44"/>
  <c r="U912" i="44" s="1"/>
  <c r="P912" i="44"/>
  <c r="P912" i="44" a="1"/>
  <c r="O912" i="44"/>
  <c r="O912" i="44" a="1"/>
  <c r="F912" i="44"/>
  <c r="K912" i="44" s="1"/>
  <c r="C912" i="44"/>
  <c r="AA911" i="44"/>
  <c r="AA911" i="44" a="1"/>
  <c r="Z911" i="44"/>
  <c r="Z911" i="44" a="1"/>
  <c r="R911" i="44"/>
  <c r="U911" i="44" s="1"/>
  <c r="P911" i="44" a="1"/>
  <c r="P911" i="44" s="1"/>
  <c r="O911" i="44" a="1"/>
  <c r="O911" i="44" s="1"/>
  <c r="M911" i="44"/>
  <c r="L911" i="44"/>
  <c r="K911" i="44"/>
  <c r="F911" i="44"/>
  <c r="C911" i="44"/>
  <c r="AI909" i="44"/>
  <c r="AA909" i="44"/>
  <c r="AA909" i="44" a="1"/>
  <c r="Z909" i="44" a="1"/>
  <c r="Z909" i="44" s="1"/>
  <c r="R909" i="44"/>
  <c r="U909" i="44" s="1"/>
  <c r="P909" i="44" a="1"/>
  <c r="P909" i="44" s="1"/>
  <c r="O909" i="44" a="1"/>
  <c r="O909" i="44" s="1"/>
  <c r="K909" i="44"/>
  <c r="C909" i="44"/>
  <c r="AA908" i="44" a="1"/>
  <c r="AA908" i="44" s="1"/>
  <c r="Z908" i="44" a="1"/>
  <c r="Z908" i="44" s="1"/>
  <c r="R908" i="44"/>
  <c r="U908" i="44" s="1"/>
  <c r="P908" i="44" a="1"/>
  <c r="P908" i="44" s="1"/>
  <c r="O908" i="44" a="1"/>
  <c r="O908" i="44" s="1"/>
  <c r="K908" i="44"/>
  <c r="F908" i="44"/>
  <c r="F909" i="44" s="1"/>
  <c r="C908" i="44"/>
  <c r="AA906" i="44"/>
  <c r="AA906" i="44" a="1"/>
  <c r="Z906" i="44" a="1"/>
  <c r="Z906" i="44" s="1"/>
  <c r="R906" i="44"/>
  <c r="U906" i="44" s="1"/>
  <c r="P906" i="44"/>
  <c r="P906" i="44" a="1"/>
  <c r="O906" i="44" a="1"/>
  <c r="O906" i="44" s="1"/>
  <c r="C906" i="44"/>
  <c r="AA905" i="44" a="1"/>
  <c r="AA905" i="44" s="1"/>
  <c r="Z905" i="44" a="1"/>
  <c r="Z905" i="44" s="1"/>
  <c r="R905" i="44"/>
  <c r="U905" i="44" s="1"/>
  <c r="P905" i="44" a="1"/>
  <c r="P905" i="44" s="1"/>
  <c r="O905" i="44" a="1"/>
  <c r="O905" i="44" s="1"/>
  <c r="F905" i="44"/>
  <c r="F906" i="44" s="1"/>
  <c r="K906" i="44" s="1"/>
  <c r="M906" i="44" s="1"/>
  <c r="C905" i="44"/>
  <c r="AI903" i="44"/>
  <c r="AA903" i="44"/>
  <c r="AA903" i="44" a="1"/>
  <c r="Z903" i="44" a="1"/>
  <c r="Z903" i="44" s="1"/>
  <c r="R903" i="44"/>
  <c r="U903" i="44" s="1"/>
  <c r="P903" i="44"/>
  <c r="T903" i="44" s="1"/>
  <c r="P903" i="44" a="1"/>
  <c r="O903" i="44" a="1"/>
  <c r="O903" i="44" s="1"/>
  <c r="F903" i="44"/>
  <c r="K903" i="44" s="1"/>
  <c r="C903" i="44"/>
  <c r="AA902" i="44" a="1"/>
  <c r="AA902" i="44" s="1"/>
  <c r="Z902" i="44" a="1"/>
  <c r="Z902" i="44" s="1"/>
  <c r="R902" i="44"/>
  <c r="U902" i="44" s="1"/>
  <c r="P902" i="44" a="1"/>
  <c r="P902" i="44" s="1"/>
  <c r="O902" i="44" a="1"/>
  <c r="O902" i="44" s="1"/>
  <c r="K902" i="44"/>
  <c r="V902" i="44" s="1"/>
  <c r="F902" i="44"/>
  <c r="C902" i="44"/>
  <c r="AA900" i="44" a="1"/>
  <c r="AA900" i="44" s="1"/>
  <c r="Z900" i="44" a="1"/>
  <c r="Z900" i="44" s="1"/>
  <c r="R900" i="44"/>
  <c r="U900" i="44" s="1"/>
  <c r="P900" i="44"/>
  <c r="T900" i="44" s="1"/>
  <c r="P900" i="44" a="1"/>
  <c r="O900" i="44"/>
  <c r="O900" i="44" a="1"/>
  <c r="K900" i="44"/>
  <c r="C900" i="44"/>
  <c r="AA899" i="44" a="1"/>
  <c r="AA899" i="44" s="1"/>
  <c r="Z899" i="44" a="1"/>
  <c r="Z899" i="44" s="1"/>
  <c r="R899" i="44"/>
  <c r="U899" i="44" s="1"/>
  <c r="P899" i="44" a="1"/>
  <c r="P899" i="44" s="1"/>
  <c r="O899" i="44" a="1"/>
  <c r="O899" i="44" s="1"/>
  <c r="K899" i="44"/>
  <c r="C899" i="44"/>
  <c r="AA898" i="44" a="1"/>
  <c r="AA898" i="44" s="1"/>
  <c r="Z898" i="44" a="1"/>
  <c r="Z898" i="44" s="1"/>
  <c r="V898" i="44"/>
  <c r="R898" i="44"/>
  <c r="U898" i="44" s="1"/>
  <c r="W898" i="44" s="1"/>
  <c r="P898" i="44" a="1"/>
  <c r="P898" i="44" s="1"/>
  <c r="T898" i="44" s="1"/>
  <c r="O898" i="44"/>
  <c r="S898" i="44" s="1"/>
  <c r="O898" i="44" a="1"/>
  <c r="M898" i="44"/>
  <c r="L898" i="44"/>
  <c r="K898" i="44"/>
  <c r="C898" i="44"/>
  <c r="AA897" i="44" a="1"/>
  <c r="AA897" i="44" s="1"/>
  <c r="Z897" i="44" a="1"/>
  <c r="Z897" i="44" s="1"/>
  <c r="R897" i="44"/>
  <c r="U897" i="44" s="1"/>
  <c r="P897" i="44" a="1"/>
  <c r="P897" i="44" s="1"/>
  <c r="O897" i="44" a="1"/>
  <c r="O897" i="44" s="1"/>
  <c r="K897" i="44"/>
  <c r="V897" i="44" s="1"/>
  <c r="C897" i="44"/>
  <c r="AA896" i="44" a="1"/>
  <c r="AA896" i="44" s="1"/>
  <c r="Z896" i="44" a="1"/>
  <c r="Z896" i="44" s="1"/>
  <c r="V896" i="44"/>
  <c r="R896" i="44"/>
  <c r="U896" i="44" s="1"/>
  <c r="P896" i="44"/>
  <c r="T896" i="44" s="1"/>
  <c r="P896" i="44" a="1"/>
  <c r="O896" i="44"/>
  <c r="O896" i="44" a="1"/>
  <c r="L896" i="44"/>
  <c r="K896" i="44"/>
  <c r="C896" i="44"/>
  <c r="AA895" i="44" a="1"/>
  <c r="AA895" i="44" s="1"/>
  <c r="Z895" i="44" a="1"/>
  <c r="Z895" i="44" s="1"/>
  <c r="V895" i="44"/>
  <c r="R895" i="44"/>
  <c r="U895" i="44" s="1"/>
  <c r="P895" i="44" a="1"/>
  <c r="P895" i="44" s="1"/>
  <c r="O895" i="44" a="1"/>
  <c r="O895" i="44" s="1"/>
  <c r="K895" i="44"/>
  <c r="C895" i="44"/>
  <c r="AA894" i="44" a="1"/>
  <c r="AA894" i="44" s="1"/>
  <c r="Z894" i="44" a="1"/>
  <c r="Z894" i="44" s="1"/>
  <c r="V894" i="44"/>
  <c r="R894" i="44"/>
  <c r="U894" i="44" s="1"/>
  <c r="W894" i="44" s="1"/>
  <c r="P894" i="44" a="1"/>
  <c r="P894" i="44" s="1"/>
  <c r="T894" i="44" s="1"/>
  <c r="O894" i="44" a="1"/>
  <c r="O894" i="44" s="1"/>
  <c r="S894" i="44" s="1"/>
  <c r="M894" i="44"/>
  <c r="L894" i="44"/>
  <c r="K894" i="44"/>
  <c r="C894" i="44"/>
  <c r="AA893" i="44" a="1"/>
  <c r="AA893" i="44" s="1"/>
  <c r="Z893" i="44" a="1"/>
  <c r="Z893" i="44" s="1"/>
  <c r="R893" i="44"/>
  <c r="U893" i="44" s="1"/>
  <c r="P893" i="44" a="1"/>
  <c r="P893" i="44" s="1"/>
  <c r="O893" i="44" a="1"/>
  <c r="O893" i="44" s="1"/>
  <c r="K893" i="44"/>
  <c r="C893" i="44"/>
  <c r="AA892" i="44" a="1"/>
  <c r="AA892" i="44" s="1"/>
  <c r="Z892" i="44" a="1"/>
  <c r="Z892" i="44" s="1"/>
  <c r="T892" i="44"/>
  <c r="R892" i="44"/>
  <c r="U892" i="44" s="1"/>
  <c r="P892" i="44" a="1"/>
  <c r="P892" i="44" s="1"/>
  <c r="O892" i="44" a="1"/>
  <c r="O892" i="44" s="1"/>
  <c r="K892" i="44"/>
  <c r="C892" i="44"/>
  <c r="AA891" i="44"/>
  <c r="AA891" i="44" a="1"/>
  <c r="Z891" i="44"/>
  <c r="Z891" i="44" a="1"/>
  <c r="R891" i="44"/>
  <c r="U891" i="44" s="1"/>
  <c r="P891" i="44"/>
  <c r="P891" i="44" a="1"/>
  <c r="O891" i="44" a="1"/>
  <c r="O891" i="44" s="1"/>
  <c r="K891" i="44"/>
  <c r="C891" i="44"/>
  <c r="AA890" i="44" a="1"/>
  <c r="AA890" i="44" s="1"/>
  <c r="Z890" i="44" a="1"/>
  <c r="Z890" i="44" s="1"/>
  <c r="V890" i="44"/>
  <c r="S890" i="44"/>
  <c r="R890" i="44"/>
  <c r="U890" i="44" s="1"/>
  <c r="P890" i="44" a="1"/>
  <c r="P890" i="44" s="1"/>
  <c r="T890" i="44" s="1"/>
  <c r="O890" i="44" a="1"/>
  <c r="O890" i="44" s="1"/>
  <c r="M890" i="44"/>
  <c r="L890" i="44"/>
  <c r="K890" i="44"/>
  <c r="C890" i="44"/>
  <c r="AA889" i="44" a="1"/>
  <c r="AA889" i="44" s="1"/>
  <c r="Z889" i="44"/>
  <c r="Z889" i="44" a="1"/>
  <c r="V889" i="44"/>
  <c r="R889" i="44"/>
  <c r="U889" i="44" s="1"/>
  <c r="P889" i="44" a="1"/>
  <c r="P889" i="44" s="1"/>
  <c r="O889" i="44" a="1"/>
  <c r="O889" i="44" s="1"/>
  <c r="K889" i="44"/>
  <c r="M889" i="44" s="1"/>
  <c r="C889" i="44"/>
  <c r="AA888" i="44" a="1"/>
  <c r="AA888" i="44" s="1"/>
  <c r="Z888" i="44" a="1"/>
  <c r="Z888" i="44" s="1"/>
  <c r="R888" i="44"/>
  <c r="U888" i="44" s="1"/>
  <c r="P888" i="44" a="1"/>
  <c r="P888" i="44" s="1"/>
  <c r="T888" i="44" s="1"/>
  <c r="O888" i="44" a="1"/>
  <c r="O888" i="44" s="1"/>
  <c r="L888" i="44"/>
  <c r="K888" i="44"/>
  <c r="V888" i="44" s="1"/>
  <c r="C888" i="44"/>
  <c r="AA887" i="44" a="1"/>
  <c r="AA887" i="44" s="1"/>
  <c r="Z887" i="44" a="1"/>
  <c r="Z887" i="44" s="1"/>
  <c r="V887" i="44"/>
  <c r="R887" i="44"/>
  <c r="U887" i="44" s="1"/>
  <c r="P887" i="44" a="1"/>
  <c r="P887" i="44" s="1"/>
  <c r="T887" i="44" s="1"/>
  <c r="O887" i="44" a="1"/>
  <c r="O887" i="44" s="1"/>
  <c r="S887" i="44" s="1"/>
  <c r="M887" i="44"/>
  <c r="L887" i="44"/>
  <c r="K887" i="44"/>
  <c r="C887" i="44"/>
  <c r="AA886" i="44"/>
  <c r="AA886" i="44" a="1"/>
  <c r="Z886" i="44" a="1"/>
  <c r="Z886" i="44" s="1"/>
  <c r="V886" i="44"/>
  <c r="R886" i="44"/>
  <c r="U886" i="44" s="1"/>
  <c r="P886" i="44" a="1"/>
  <c r="P886" i="44" s="1"/>
  <c r="T886" i="44" s="1"/>
  <c r="O886" i="44" a="1"/>
  <c r="O886" i="44" s="1"/>
  <c r="S886" i="44" s="1"/>
  <c r="M886" i="44"/>
  <c r="L886" i="44"/>
  <c r="K886" i="44"/>
  <c r="C886" i="44"/>
  <c r="AA885" i="44" a="1"/>
  <c r="AA885" i="44" s="1"/>
  <c r="Z885" i="44" a="1"/>
  <c r="Z885" i="44" s="1"/>
  <c r="T885" i="44"/>
  <c r="R885" i="44"/>
  <c r="U885" i="44" s="1"/>
  <c r="P885" i="44" a="1"/>
  <c r="P885" i="44" s="1"/>
  <c r="O885" i="44" a="1"/>
  <c r="O885" i="44" s="1"/>
  <c r="K885" i="44"/>
  <c r="M885" i="44" s="1"/>
  <c r="C885" i="44"/>
  <c r="AA884" i="44" a="1"/>
  <c r="AA884" i="44" s="1"/>
  <c r="Z884" i="44" a="1"/>
  <c r="Z884" i="44" s="1"/>
  <c r="R884" i="44"/>
  <c r="U884" i="44" s="1"/>
  <c r="P884" i="44" a="1"/>
  <c r="P884" i="44" s="1"/>
  <c r="O884" i="44" a="1"/>
  <c r="O884" i="44" s="1"/>
  <c r="K884" i="44"/>
  <c r="C884" i="44"/>
  <c r="AA883" i="44" a="1"/>
  <c r="AA883" i="44" s="1"/>
  <c r="Z883" i="44" a="1"/>
  <c r="Z883" i="44" s="1"/>
  <c r="V883" i="44"/>
  <c r="R883" i="44"/>
  <c r="U883" i="44" s="1"/>
  <c r="P883" i="44" a="1"/>
  <c r="P883" i="44" s="1"/>
  <c r="T883" i="44" s="1"/>
  <c r="O883" i="44" a="1"/>
  <c r="O883" i="44" s="1"/>
  <c r="L883" i="44"/>
  <c r="K883" i="44"/>
  <c r="C883" i="44"/>
  <c r="AA882" i="44" a="1"/>
  <c r="AA882" i="44" s="1"/>
  <c r="Z882" i="44" a="1"/>
  <c r="Z882" i="44" s="1"/>
  <c r="V882" i="44"/>
  <c r="R882" i="44"/>
  <c r="U882" i="44" s="1"/>
  <c r="P882" i="44" a="1"/>
  <c r="P882" i="44" s="1"/>
  <c r="T882" i="44" s="1"/>
  <c r="O882" i="44" a="1"/>
  <c r="O882" i="44" s="1"/>
  <c r="L882" i="44"/>
  <c r="K882" i="44"/>
  <c r="C882" i="44"/>
  <c r="AA881" i="44" a="1"/>
  <c r="AA881" i="44" s="1"/>
  <c r="Z881" i="44" a="1"/>
  <c r="Z881" i="44" s="1"/>
  <c r="R881" i="44"/>
  <c r="U881" i="44" s="1"/>
  <c r="P881" i="44" a="1"/>
  <c r="P881" i="44" s="1"/>
  <c r="T881" i="44" s="1"/>
  <c r="O881" i="44" a="1"/>
  <c r="O881" i="44" s="1"/>
  <c r="S881" i="44" s="1"/>
  <c r="K881" i="44"/>
  <c r="M881" i="44" s="1"/>
  <c r="C881" i="44"/>
  <c r="AA880" i="44" a="1"/>
  <c r="AA880" i="44" s="1"/>
  <c r="Z880" i="44" a="1"/>
  <c r="Z880" i="44" s="1"/>
  <c r="V880" i="44"/>
  <c r="R880" i="44"/>
  <c r="U880" i="44" s="1"/>
  <c r="P880" i="44" a="1"/>
  <c r="P880" i="44" s="1"/>
  <c r="O880" i="44"/>
  <c r="O880" i="44" a="1"/>
  <c r="K880" i="44"/>
  <c r="T880" i="44" s="1"/>
  <c r="C880" i="44"/>
  <c r="AA879" i="44" a="1"/>
  <c r="AA879" i="44" s="1"/>
  <c r="Z879" i="44"/>
  <c r="Z879" i="44" a="1"/>
  <c r="V879" i="44"/>
  <c r="R879" i="44"/>
  <c r="U879" i="44" s="1"/>
  <c r="P879" i="44"/>
  <c r="P879" i="44" a="1"/>
  <c r="O879" i="44" a="1"/>
  <c r="O879" i="44" s="1"/>
  <c r="K879" i="44"/>
  <c r="T879" i="44" s="1"/>
  <c r="C879" i="44"/>
  <c r="AA878" i="44" a="1"/>
  <c r="AA878" i="44" s="1"/>
  <c r="Z878" i="44" a="1"/>
  <c r="Z878" i="44" s="1"/>
  <c r="R878" i="44"/>
  <c r="U878" i="44" s="1"/>
  <c r="P878" i="44" a="1"/>
  <c r="P878" i="44" s="1"/>
  <c r="T878" i="44" s="1"/>
  <c r="O878" i="44" a="1"/>
  <c r="O878" i="44" s="1"/>
  <c r="S878" i="44" s="1"/>
  <c r="M878" i="44"/>
  <c r="K878" i="44"/>
  <c r="L878" i="44" s="1"/>
  <c r="C878" i="44"/>
  <c r="AA877" i="44" a="1"/>
  <c r="AA877" i="44" s="1"/>
  <c r="Z877" i="44" a="1"/>
  <c r="Z877" i="44" s="1"/>
  <c r="V877" i="44"/>
  <c r="R877" i="44"/>
  <c r="U877" i="44" s="1"/>
  <c r="P877" i="44" a="1"/>
  <c r="P877" i="44" s="1"/>
  <c r="O877" i="44" a="1"/>
  <c r="O877" i="44" s="1"/>
  <c r="S877" i="44" s="1"/>
  <c r="K877" i="44"/>
  <c r="M877" i="44" s="1"/>
  <c r="C877" i="44"/>
  <c r="AK876" i="44"/>
  <c r="AA876" i="44" a="1"/>
  <c r="AA876" i="44" s="1"/>
  <c r="Z876" i="44" a="1"/>
  <c r="Z876" i="44" s="1"/>
  <c r="V876" i="44"/>
  <c r="R876" i="44"/>
  <c r="U876" i="44" s="1"/>
  <c r="P876" i="44" a="1"/>
  <c r="P876" i="44" s="1"/>
  <c r="T876" i="44" s="1"/>
  <c r="O876" i="44"/>
  <c r="S876" i="44" s="1"/>
  <c r="O876" i="44" a="1"/>
  <c r="M876" i="44"/>
  <c r="L876" i="44"/>
  <c r="K876" i="44"/>
  <c r="C876" i="44"/>
  <c r="AA875" i="44" a="1"/>
  <c r="AA875" i="44" s="1"/>
  <c r="Z875" i="44" a="1"/>
  <c r="Z875" i="44" s="1"/>
  <c r="R875" i="44"/>
  <c r="U875" i="44" s="1"/>
  <c r="P875" i="44" a="1"/>
  <c r="P875" i="44" s="1"/>
  <c r="T875" i="44" s="1"/>
  <c r="O875" i="44" a="1"/>
  <c r="O875" i="44" s="1"/>
  <c r="S875" i="44" s="1"/>
  <c r="AE875" i="44" s="1"/>
  <c r="AB875" i="44" s="1"/>
  <c r="M875" i="44"/>
  <c r="K875" i="44"/>
  <c r="V875" i="44" s="1"/>
  <c r="C875" i="44"/>
  <c r="AA874" i="44" a="1"/>
  <c r="AA874" i="44" s="1"/>
  <c r="Z874" i="44" a="1"/>
  <c r="Z874" i="44" s="1"/>
  <c r="V874" i="44"/>
  <c r="R874" i="44"/>
  <c r="U874" i="44" s="1"/>
  <c r="P874" i="44" a="1"/>
  <c r="P874" i="44" s="1"/>
  <c r="T874" i="44" s="1"/>
  <c r="O874" i="44"/>
  <c r="O874" i="44" a="1"/>
  <c r="L874" i="44"/>
  <c r="K874" i="44"/>
  <c r="C874" i="44"/>
  <c r="AA873" i="44" a="1"/>
  <c r="AA873" i="44" s="1"/>
  <c r="Z873" i="44"/>
  <c r="Z873" i="44" a="1"/>
  <c r="V873" i="44"/>
  <c r="R873" i="44"/>
  <c r="U873" i="44" s="1"/>
  <c r="P873" i="44" a="1"/>
  <c r="P873" i="44" s="1"/>
  <c r="O873" i="44" a="1"/>
  <c r="O873" i="44" s="1"/>
  <c r="L873" i="44"/>
  <c r="K873" i="44"/>
  <c r="M873" i="44" s="1"/>
  <c r="C873" i="44"/>
  <c r="AA872" i="44" a="1"/>
  <c r="AA872" i="44" s="1"/>
  <c r="Z872" i="44" a="1"/>
  <c r="Z872" i="44" s="1"/>
  <c r="T872" i="44"/>
  <c r="R872" i="44"/>
  <c r="U872" i="44" s="1"/>
  <c r="P872" i="44"/>
  <c r="P872" i="44" a="1"/>
  <c r="O872" i="44" a="1"/>
  <c r="O872" i="44" s="1"/>
  <c r="K872" i="44"/>
  <c r="C872" i="44"/>
  <c r="AA871" i="44" a="1"/>
  <c r="AA871" i="44" s="1"/>
  <c r="Z871" i="44" a="1"/>
  <c r="Z871" i="44" s="1"/>
  <c r="R871" i="44"/>
  <c r="U871" i="44" s="1"/>
  <c r="P871" i="44" a="1"/>
  <c r="P871" i="44" s="1"/>
  <c r="O871" i="44" a="1"/>
  <c r="O871" i="44" s="1"/>
  <c r="C871" i="44"/>
  <c r="AA870" i="44" a="1"/>
  <c r="AA870" i="44" s="1"/>
  <c r="Z870" i="44" a="1"/>
  <c r="Z870" i="44" s="1"/>
  <c r="R870" i="44"/>
  <c r="U870" i="44" s="1"/>
  <c r="P870" i="44" a="1"/>
  <c r="P870" i="44" s="1"/>
  <c r="O870" i="44" a="1"/>
  <c r="O870" i="44" s="1"/>
  <c r="M870" i="44"/>
  <c r="K870" i="44"/>
  <c r="C870" i="44"/>
  <c r="P869" i="44" a="1"/>
  <c r="P869" i="44" s="1"/>
  <c r="E869" i="44"/>
  <c r="AA867" i="44"/>
  <c r="AA867" i="44" a="1"/>
  <c r="Z867" i="44"/>
  <c r="Z867" i="44" a="1"/>
  <c r="R867" i="44"/>
  <c r="U867" i="44" s="1"/>
  <c r="P867" i="44" a="1"/>
  <c r="P867" i="44" s="1"/>
  <c r="O867" i="44" a="1"/>
  <c r="O867" i="44" s="1"/>
  <c r="C867" i="44"/>
  <c r="AA866" i="44"/>
  <c r="AA866" i="44" a="1"/>
  <c r="Z866" i="44" a="1"/>
  <c r="Z866" i="44" s="1"/>
  <c r="R866" i="44"/>
  <c r="U866" i="44" s="1"/>
  <c r="P866" i="44" a="1"/>
  <c r="P866" i="44" s="1"/>
  <c r="O866" i="44" a="1"/>
  <c r="O866" i="44" s="1"/>
  <c r="F866" i="44"/>
  <c r="K866" i="44" s="1"/>
  <c r="C866" i="44"/>
  <c r="AA864" i="44" a="1"/>
  <c r="AA864" i="44" s="1"/>
  <c r="Z864" i="44" a="1"/>
  <c r="Z864" i="44" s="1"/>
  <c r="V864" i="44"/>
  <c r="R864" i="44"/>
  <c r="U864" i="44" s="1"/>
  <c r="W864" i="44" s="1"/>
  <c r="P864" i="44"/>
  <c r="T864" i="44" s="1"/>
  <c r="P864" i="44" a="1"/>
  <c r="O864" i="44" a="1"/>
  <c r="O864" i="44" s="1"/>
  <c r="S864" i="44" s="1"/>
  <c r="M864" i="44"/>
  <c r="L864" i="44"/>
  <c r="K864" i="44"/>
  <c r="C864" i="44"/>
  <c r="AA863" i="44"/>
  <c r="AA863" i="44" a="1"/>
  <c r="Z863" i="44" a="1"/>
  <c r="Z863" i="44" s="1"/>
  <c r="R863" i="44"/>
  <c r="U863" i="44" s="1"/>
  <c r="P863" i="44" a="1"/>
  <c r="P863" i="44" s="1"/>
  <c r="T863" i="44" s="1"/>
  <c r="O863" i="44" a="1"/>
  <c r="O863" i="44" s="1"/>
  <c r="S863" i="44" s="1"/>
  <c r="M863" i="44"/>
  <c r="K863" i="44"/>
  <c r="L863" i="44" s="1"/>
  <c r="C863" i="44"/>
  <c r="AA862" i="44" a="1"/>
  <c r="AA862" i="44" s="1"/>
  <c r="Z862" i="44" a="1"/>
  <c r="Z862" i="44" s="1"/>
  <c r="V862" i="44"/>
  <c r="R862" i="44"/>
  <c r="U862" i="44" s="1"/>
  <c r="P862" i="44"/>
  <c r="T862" i="44" s="1"/>
  <c r="P862" i="44" a="1"/>
  <c r="O862" i="44"/>
  <c r="O862" i="44" a="1"/>
  <c r="K862" i="44"/>
  <c r="C862" i="44"/>
  <c r="AA861" i="44" a="1"/>
  <c r="AA861" i="44" s="1"/>
  <c r="Z861" i="44"/>
  <c r="Z861" i="44" a="1"/>
  <c r="R861" i="44"/>
  <c r="U861" i="44" s="1"/>
  <c r="P861" i="44"/>
  <c r="P861" i="44" a="1"/>
  <c r="O861" i="44" a="1"/>
  <c r="O861" i="44" s="1"/>
  <c r="M861" i="44"/>
  <c r="K861" i="44"/>
  <c r="C861" i="44"/>
  <c r="AA860" i="44"/>
  <c r="AA860" i="44" a="1"/>
  <c r="Z860" i="44" a="1"/>
  <c r="Z860" i="44" s="1"/>
  <c r="V860" i="44"/>
  <c r="R860" i="44"/>
  <c r="U860" i="44" s="1"/>
  <c r="P860" i="44" a="1"/>
  <c r="P860" i="44" s="1"/>
  <c r="T860" i="44" s="1"/>
  <c r="O860" i="44" a="1"/>
  <c r="O860" i="44" s="1"/>
  <c r="S860" i="44" s="1"/>
  <c r="M860" i="44"/>
  <c r="L860" i="44"/>
  <c r="K860" i="44"/>
  <c r="C860" i="44"/>
  <c r="AA859" i="44"/>
  <c r="AA859" i="44" a="1"/>
  <c r="Z859" i="44" a="1"/>
  <c r="Z859" i="44" s="1"/>
  <c r="R859" i="44"/>
  <c r="U859" i="44" s="1"/>
  <c r="P859" i="44" a="1"/>
  <c r="P859" i="44" s="1"/>
  <c r="O859" i="44" a="1"/>
  <c r="O859" i="44" s="1"/>
  <c r="S859" i="44" s="1"/>
  <c r="M859" i="44"/>
  <c r="K859" i="44"/>
  <c r="L859" i="44" s="1"/>
  <c r="C859" i="44"/>
  <c r="AA858" i="44" a="1"/>
  <c r="AA858" i="44" s="1"/>
  <c r="Z858" i="44" a="1"/>
  <c r="Z858" i="44" s="1"/>
  <c r="V858" i="44"/>
  <c r="R858" i="44"/>
  <c r="U858" i="44" s="1"/>
  <c r="P858" i="44" a="1"/>
  <c r="P858" i="44" s="1"/>
  <c r="T858" i="44" s="1"/>
  <c r="O858" i="44"/>
  <c r="O858" i="44" a="1"/>
  <c r="K858" i="44"/>
  <c r="C858" i="44"/>
  <c r="AA857" i="44"/>
  <c r="AA857" i="44" a="1"/>
  <c r="Z857" i="44"/>
  <c r="Z857" i="44" a="1"/>
  <c r="R857" i="44"/>
  <c r="U857" i="44" s="1"/>
  <c r="P857" i="44" a="1"/>
  <c r="P857" i="44" s="1"/>
  <c r="O857" i="44" a="1"/>
  <c r="O857" i="44" s="1"/>
  <c r="K857" i="44"/>
  <c r="C857" i="44"/>
  <c r="AA856" i="44"/>
  <c r="AA856" i="44" a="1"/>
  <c r="Z856" i="44" a="1"/>
  <c r="Z856" i="44" s="1"/>
  <c r="V856" i="44"/>
  <c r="R856" i="44"/>
  <c r="U856" i="44" s="1"/>
  <c r="P856" i="44"/>
  <c r="T856" i="44" s="1"/>
  <c r="P856" i="44" a="1"/>
  <c r="O856" i="44" a="1"/>
  <c r="O856" i="44" s="1"/>
  <c r="S856" i="44" s="1"/>
  <c r="M856" i="44"/>
  <c r="L856" i="44"/>
  <c r="K856" i="44"/>
  <c r="C856" i="44"/>
  <c r="AA855" i="44" a="1"/>
  <c r="AA855" i="44" s="1"/>
  <c r="Z855" i="44" a="1"/>
  <c r="Z855" i="44" s="1"/>
  <c r="R855" i="44"/>
  <c r="U855" i="44" s="1"/>
  <c r="P855" i="44" a="1"/>
  <c r="P855" i="44" s="1"/>
  <c r="O855" i="44" a="1"/>
  <c r="O855" i="44" s="1"/>
  <c r="S855" i="44" s="1"/>
  <c r="M855" i="44"/>
  <c r="K855" i="44"/>
  <c r="L855" i="44" s="1"/>
  <c r="C855" i="44"/>
  <c r="AA854" i="44" a="1"/>
  <c r="AA854" i="44" s="1"/>
  <c r="Z854" i="44" a="1"/>
  <c r="Z854" i="44" s="1"/>
  <c r="V854" i="44"/>
  <c r="R854" i="44"/>
  <c r="U854" i="44" s="1"/>
  <c r="P854" i="44"/>
  <c r="T854" i="44" s="1"/>
  <c r="P854" i="44" a="1"/>
  <c r="O854" i="44" a="1"/>
  <c r="O854" i="44" s="1"/>
  <c r="K854" i="44"/>
  <c r="C854" i="44"/>
  <c r="AA853" i="44"/>
  <c r="AA853" i="44" a="1"/>
  <c r="Z853" i="44" a="1"/>
  <c r="Z853" i="44" s="1"/>
  <c r="R853" i="44"/>
  <c r="U853" i="44" s="1"/>
  <c r="P853" i="44"/>
  <c r="P853" i="44" a="1"/>
  <c r="O853" i="44" a="1"/>
  <c r="O853" i="44" s="1"/>
  <c r="K853" i="44"/>
  <c r="C853" i="44"/>
  <c r="AA852" i="44"/>
  <c r="AA852" i="44" a="1"/>
  <c r="Z852" i="44" a="1"/>
  <c r="Z852" i="44" s="1"/>
  <c r="V852" i="44"/>
  <c r="R852" i="44"/>
  <c r="U852" i="44" s="1"/>
  <c r="P852" i="44" a="1"/>
  <c r="P852" i="44" s="1"/>
  <c r="T852" i="44" s="1"/>
  <c r="O852" i="44" a="1"/>
  <c r="O852" i="44" s="1"/>
  <c r="S852" i="44" s="1"/>
  <c r="M852" i="44"/>
  <c r="L852" i="44"/>
  <c r="K852" i="44"/>
  <c r="C852" i="44"/>
  <c r="AA851" i="44"/>
  <c r="AA851" i="44" a="1"/>
  <c r="Z851" i="44" a="1"/>
  <c r="Z851" i="44" s="1"/>
  <c r="R851" i="44"/>
  <c r="U851" i="44" s="1"/>
  <c r="P851" i="44" a="1"/>
  <c r="P851" i="44" s="1"/>
  <c r="O851" i="44" a="1"/>
  <c r="O851" i="44" s="1"/>
  <c r="S851" i="44" s="1"/>
  <c r="M851" i="44"/>
  <c r="K851" i="44"/>
  <c r="L851" i="44" s="1"/>
  <c r="C851" i="44"/>
  <c r="AA850" i="44" a="1"/>
  <c r="AA850" i="44" s="1"/>
  <c r="Z850" i="44" a="1"/>
  <c r="Z850" i="44" s="1"/>
  <c r="V850" i="44"/>
  <c r="R850" i="44"/>
  <c r="U850" i="44" s="1"/>
  <c r="P850" i="44" a="1"/>
  <c r="P850" i="44" s="1"/>
  <c r="T850" i="44" s="1"/>
  <c r="O850" i="44"/>
  <c r="O850" i="44" a="1"/>
  <c r="K850" i="44"/>
  <c r="S850" i="44" s="1"/>
  <c r="C850" i="44"/>
  <c r="AA849" i="44" a="1"/>
  <c r="AA849" i="44" s="1"/>
  <c r="Z849" i="44" a="1"/>
  <c r="Z849" i="44" s="1"/>
  <c r="V849" i="44"/>
  <c r="R849" i="44"/>
  <c r="U849" i="44" s="1"/>
  <c r="P849" i="44" a="1"/>
  <c r="P849" i="44" s="1"/>
  <c r="O849" i="44" a="1"/>
  <c r="O849" i="44" s="1"/>
  <c r="M849" i="44"/>
  <c r="K849" i="44"/>
  <c r="C849" i="44"/>
  <c r="AA848" i="44" a="1"/>
  <c r="AA848" i="44" s="1"/>
  <c r="Z848" i="44" a="1"/>
  <c r="Z848" i="44" s="1"/>
  <c r="V848" i="44"/>
  <c r="R848" i="44"/>
  <c r="U848" i="44" s="1"/>
  <c r="W848" i="44" s="1"/>
  <c r="P848" i="44" a="1"/>
  <c r="P848" i="44" s="1"/>
  <c r="T848" i="44" s="1"/>
  <c r="O848" i="44" a="1"/>
  <c r="O848" i="44" s="1"/>
  <c r="S848" i="44" s="1"/>
  <c r="M848" i="44"/>
  <c r="L848" i="44"/>
  <c r="K848" i="44"/>
  <c r="C848" i="44"/>
  <c r="AA847" i="44"/>
  <c r="AA847" i="44" a="1"/>
  <c r="Z847" i="44" a="1"/>
  <c r="Z847" i="44" s="1"/>
  <c r="R847" i="44"/>
  <c r="U847" i="44" s="1"/>
  <c r="P847" i="44" a="1"/>
  <c r="P847" i="44" s="1"/>
  <c r="O847" i="44" a="1"/>
  <c r="O847" i="44" s="1"/>
  <c r="S847" i="44" s="1"/>
  <c r="M847" i="44"/>
  <c r="K847" i="44"/>
  <c r="L847" i="44" s="1"/>
  <c r="C847" i="44"/>
  <c r="AA846" i="44" a="1"/>
  <c r="AA846" i="44" s="1"/>
  <c r="Z846" i="44" a="1"/>
  <c r="Z846" i="44" s="1"/>
  <c r="V846" i="44"/>
  <c r="R846" i="44"/>
  <c r="U846" i="44" s="1"/>
  <c r="P846" i="44" a="1"/>
  <c r="P846" i="44" s="1"/>
  <c r="T846" i="44" s="1"/>
  <c r="O846" i="44" a="1"/>
  <c r="O846" i="44" s="1"/>
  <c r="S846" i="44" s="1"/>
  <c r="M846" i="44"/>
  <c r="L846" i="44"/>
  <c r="C846" i="44"/>
  <c r="AA845" i="44" a="1"/>
  <c r="AA845" i="44" s="1"/>
  <c r="Z845" i="44" a="1"/>
  <c r="Z845" i="44" s="1"/>
  <c r="V845" i="44"/>
  <c r="R845" i="44"/>
  <c r="U845" i="44" s="1"/>
  <c r="P845" i="44"/>
  <c r="T845" i="44" s="1"/>
  <c r="P845" i="44" a="1"/>
  <c r="O845" i="44" a="1"/>
  <c r="O845" i="44" s="1"/>
  <c r="L845" i="44"/>
  <c r="K845" i="44"/>
  <c r="C845" i="44"/>
  <c r="AA844" i="44" a="1"/>
  <c r="AA844" i="44" s="1"/>
  <c r="Z844" i="44" a="1"/>
  <c r="Z844" i="44" s="1"/>
  <c r="V844" i="44"/>
  <c r="R844" i="44"/>
  <c r="U844" i="44" s="1"/>
  <c r="P844" i="44" a="1"/>
  <c r="P844" i="44" s="1"/>
  <c r="O844" i="44" a="1"/>
  <c r="O844" i="44" s="1"/>
  <c r="M844" i="44"/>
  <c r="L844" i="44"/>
  <c r="K844" i="44"/>
  <c r="C844" i="44"/>
  <c r="AA843" i="44" a="1"/>
  <c r="AA843" i="44" s="1"/>
  <c r="Z843" i="44" a="1"/>
  <c r="Z843" i="44" s="1"/>
  <c r="V843" i="44"/>
  <c r="R843" i="44"/>
  <c r="U843" i="44" s="1"/>
  <c r="W843" i="44" s="1"/>
  <c r="P843" i="44" a="1"/>
  <c r="P843" i="44" s="1"/>
  <c r="T843" i="44" s="1"/>
  <c r="O843" i="44" a="1"/>
  <c r="O843" i="44" s="1"/>
  <c r="S843" i="44" s="1"/>
  <c r="M843" i="44"/>
  <c r="L843" i="44"/>
  <c r="K843" i="44"/>
  <c r="C843" i="44"/>
  <c r="AA842" i="44" a="1"/>
  <c r="AA842" i="44" s="1"/>
  <c r="Z842" i="44" a="1"/>
  <c r="Z842" i="44" s="1"/>
  <c r="V842" i="44"/>
  <c r="R842" i="44"/>
  <c r="U842" i="44" s="1"/>
  <c r="P842" i="44" a="1"/>
  <c r="P842" i="44" s="1"/>
  <c r="O842" i="44"/>
  <c r="O842" i="44" a="1"/>
  <c r="K842" i="44"/>
  <c r="C842" i="44"/>
  <c r="AK841" i="44"/>
  <c r="AA841" i="44"/>
  <c r="AA841" i="44" a="1"/>
  <c r="Z841" i="44" a="1"/>
  <c r="Z841" i="44" s="1"/>
  <c r="R841" i="44"/>
  <c r="U841" i="44" s="1"/>
  <c r="P841" i="44" a="1"/>
  <c r="P841" i="44" s="1"/>
  <c r="T841" i="44" s="1"/>
  <c r="O841" i="44" a="1"/>
  <c r="O841" i="44" s="1"/>
  <c r="S841" i="44" s="1"/>
  <c r="M841" i="44"/>
  <c r="K841" i="44"/>
  <c r="V841" i="44" s="1"/>
  <c r="C841" i="44"/>
  <c r="AA840" i="44" a="1"/>
  <c r="AA840" i="44" s="1"/>
  <c r="Z840" i="44" a="1"/>
  <c r="Z840" i="44" s="1"/>
  <c r="V840" i="44"/>
  <c r="R840" i="44"/>
  <c r="U840" i="44" s="1"/>
  <c r="P840" i="44" a="1"/>
  <c r="P840" i="44" s="1"/>
  <c r="O840" i="44" a="1"/>
  <c r="O840" i="44" s="1"/>
  <c r="K840" i="44"/>
  <c r="C840" i="44"/>
  <c r="AA839" i="44" a="1"/>
  <c r="AA839" i="44" s="1"/>
  <c r="Z839" i="44" a="1"/>
  <c r="Z839" i="44" s="1"/>
  <c r="V839" i="44"/>
  <c r="R839" i="44"/>
  <c r="U839" i="44" s="1"/>
  <c r="P839" i="44" a="1"/>
  <c r="P839" i="44" s="1"/>
  <c r="T839" i="44" s="1"/>
  <c r="O839" i="44" a="1"/>
  <c r="O839" i="44" s="1"/>
  <c r="L839" i="44"/>
  <c r="K839" i="44"/>
  <c r="AK839" i="44" s="1"/>
  <c r="C839" i="44"/>
  <c r="AK838" i="44"/>
  <c r="AA838" i="44" a="1"/>
  <c r="AA838" i="44" s="1"/>
  <c r="Z838" i="44" a="1"/>
  <c r="Z838" i="44" s="1"/>
  <c r="R838" i="44"/>
  <c r="U838" i="44" s="1"/>
  <c r="P838" i="44" a="1"/>
  <c r="P838" i="44" s="1"/>
  <c r="T838" i="44" s="1"/>
  <c r="O838" i="44" a="1"/>
  <c r="O838" i="44" s="1"/>
  <c r="S838" i="44" s="1"/>
  <c r="M838" i="44"/>
  <c r="L838" i="44"/>
  <c r="K838" i="44"/>
  <c r="V838" i="44" s="1"/>
  <c r="C838" i="44"/>
  <c r="AA837" i="44" a="1"/>
  <c r="AA837" i="44" s="1"/>
  <c r="Z837" i="44" a="1"/>
  <c r="Z837" i="44" s="1"/>
  <c r="V837" i="44"/>
  <c r="R837" i="44"/>
  <c r="U837" i="44" s="1"/>
  <c r="P837" i="44"/>
  <c r="P837" i="44" a="1"/>
  <c r="O837" i="44" a="1"/>
  <c r="O837" i="44" s="1"/>
  <c r="L837" i="44"/>
  <c r="K837" i="44"/>
  <c r="C837" i="44"/>
  <c r="AA836" i="44" a="1"/>
  <c r="AA836" i="44" s="1"/>
  <c r="Z836" i="44"/>
  <c r="Z836" i="44" a="1"/>
  <c r="V836" i="44"/>
  <c r="T836" i="44"/>
  <c r="R836" i="44"/>
  <c r="U836" i="44" s="1"/>
  <c r="P836" i="44" a="1"/>
  <c r="P836" i="44" s="1"/>
  <c r="O836" i="44" a="1"/>
  <c r="O836" i="44" s="1"/>
  <c r="L836" i="44"/>
  <c r="K836" i="44"/>
  <c r="M836" i="44" s="1"/>
  <c r="C836" i="44"/>
  <c r="P835" i="44"/>
  <c r="P835" i="44" a="1"/>
  <c r="E835" i="44"/>
  <c r="AA833" i="44" a="1"/>
  <c r="AA833" i="44" s="1"/>
  <c r="Z833" i="44" a="1"/>
  <c r="Z833" i="44" s="1"/>
  <c r="R833" i="44"/>
  <c r="U833" i="44" s="1"/>
  <c r="P833" i="44" a="1"/>
  <c r="P833" i="44" s="1"/>
  <c r="O833" i="44" a="1"/>
  <c r="O833" i="44" s="1"/>
  <c r="C833" i="44"/>
  <c r="AA832" i="44" a="1"/>
  <c r="AA832" i="44" s="1"/>
  <c r="Z832" i="44"/>
  <c r="Z832" i="44" a="1"/>
  <c r="R832" i="44"/>
  <c r="U832" i="44" s="1"/>
  <c r="P832" i="44" a="1"/>
  <c r="P832" i="44" s="1"/>
  <c r="O832" i="44" a="1"/>
  <c r="O832" i="44" s="1"/>
  <c r="F832" i="44"/>
  <c r="K832" i="44" s="1"/>
  <c r="C832" i="44"/>
  <c r="AA830" i="44" a="1"/>
  <c r="AA830" i="44" s="1"/>
  <c r="Z830" i="44" a="1"/>
  <c r="Z830" i="44" s="1"/>
  <c r="R830" i="44"/>
  <c r="U830" i="44" s="1"/>
  <c r="P830" i="44" a="1"/>
  <c r="P830" i="44" s="1"/>
  <c r="O830" i="44"/>
  <c r="O830" i="44" a="1"/>
  <c r="C830" i="44"/>
  <c r="AA829" i="44" a="1"/>
  <c r="AA829" i="44" s="1"/>
  <c r="Z829" i="44" a="1"/>
  <c r="Z829" i="44" s="1"/>
  <c r="R829" i="44"/>
  <c r="U829" i="44" s="1"/>
  <c r="P829" i="44"/>
  <c r="P829" i="44" a="1"/>
  <c r="O829" i="44"/>
  <c r="O829" i="44" a="1"/>
  <c r="F829" i="44"/>
  <c r="F830" i="44" s="1"/>
  <c r="K830" i="44" s="1"/>
  <c r="C829" i="44"/>
  <c r="AA827" i="44" a="1"/>
  <c r="AA827" i="44" s="1"/>
  <c r="Z827" i="44" a="1"/>
  <c r="Z827" i="44" s="1"/>
  <c r="R827" i="44"/>
  <c r="U827" i="44" s="1"/>
  <c r="P827" i="44"/>
  <c r="P827" i="44" a="1"/>
  <c r="O827" i="44" a="1"/>
  <c r="O827" i="44" s="1"/>
  <c r="F827" i="44"/>
  <c r="K827" i="44" s="1"/>
  <c r="AI827" i="44" s="1"/>
  <c r="C827" i="44"/>
  <c r="AA826" i="44" a="1"/>
  <c r="AA826" i="44" s="1"/>
  <c r="Z826" i="44" a="1"/>
  <c r="Z826" i="44" s="1"/>
  <c r="R826" i="44"/>
  <c r="U826" i="44" s="1"/>
  <c r="P826" i="44"/>
  <c r="P826" i="44" a="1"/>
  <c r="O826" i="44"/>
  <c r="O826" i="44" a="1"/>
  <c r="F826" i="44"/>
  <c r="K826" i="44" s="1"/>
  <c r="V826" i="44" s="1"/>
  <c r="C826" i="44"/>
  <c r="AA824" i="44"/>
  <c r="AA824" i="44" a="1"/>
  <c r="Z824" i="44" a="1"/>
  <c r="Z824" i="44" s="1"/>
  <c r="R824" i="44"/>
  <c r="U824" i="44" s="1"/>
  <c r="P824" i="44" a="1"/>
  <c r="P824" i="44" s="1"/>
  <c r="O824" i="44"/>
  <c r="O824" i="44" a="1"/>
  <c r="F824" i="44"/>
  <c r="K824" i="44" s="1"/>
  <c r="C824" i="44"/>
  <c r="AA823" i="44"/>
  <c r="AA823" i="44" a="1"/>
  <c r="Z823" i="44"/>
  <c r="Z823" i="44" a="1"/>
  <c r="R823" i="44"/>
  <c r="U823" i="44" s="1"/>
  <c r="P823" i="44" a="1"/>
  <c r="P823" i="44" s="1"/>
  <c r="O823" i="44" a="1"/>
  <c r="O823" i="44" s="1"/>
  <c r="K823" i="44"/>
  <c r="V823" i="44" s="1"/>
  <c r="F823" i="44"/>
  <c r="C823" i="44"/>
  <c r="AA821" i="44"/>
  <c r="AA821" i="44" a="1"/>
  <c r="Z821" i="44" a="1"/>
  <c r="Z821" i="44" s="1"/>
  <c r="R821" i="44"/>
  <c r="U821" i="44" s="1"/>
  <c r="P821" i="44"/>
  <c r="P821" i="44" a="1"/>
  <c r="O821" i="44" a="1"/>
  <c r="O821" i="44" s="1"/>
  <c r="F821" i="44"/>
  <c r="K821" i="44" s="1"/>
  <c r="C821" i="44"/>
  <c r="AA820" i="44"/>
  <c r="AA820" i="44" a="1"/>
  <c r="Z820" i="44" a="1"/>
  <c r="Z820" i="44" s="1"/>
  <c r="R820" i="44"/>
  <c r="U820" i="44" s="1"/>
  <c r="P820" i="44" a="1"/>
  <c r="P820" i="44" s="1"/>
  <c r="O820" i="44" a="1"/>
  <c r="O820" i="44" s="1"/>
  <c r="F820" i="44"/>
  <c r="K820" i="44" s="1"/>
  <c r="C820" i="44"/>
  <c r="AI818" i="44"/>
  <c r="AA818" i="44" a="1"/>
  <c r="AA818" i="44" s="1"/>
  <c r="Z818" i="44"/>
  <c r="Z818" i="44" a="1"/>
  <c r="V818" i="44"/>
  <c r="R818" i="44"/>
  <c r="U818" i="44" s="1"/>
  <c r="P818" i="44" a="1"/>
  <c r="P818" i="44" s="1"/>
  <c r="T818" i="44" s="1"/>
  <c r="O818" i="44" a="1"/>
  <c r="O818" i="44" s="1"/>
  <c r="S818" i="44" s="1"/>
  <c r="L818" i="44"/>
  <c r="K818" i="44"/>
  <c r="M818" i="44" s="1"/>
  <c r="C818" i="44"/>
  <c r="AI817" i="44"/>
  <c r="AA817" i="44" a="1"/>
  <c r="AA817" i="44" s="1"/>
  <c r="Z817" i="44" a="1"/>
  <c r="Z817" i="44" s="1"/>
  <c r="R817" i="44"/>
  <c r="U817" i="44" s="1"/>
  <c r="P817" i="44" a="1"/>
  <c r="P817" i="44" s="1"/>
  <c r="O817" i="44" a="1"/>
  <c r="O817" i="44" s="1"/>
  <c r="S817" i="44" s="1"/>
  <c r="L817" i="44"/>
  <c r="K817" i="44"/>
  <c r="V817" i="44" s="1"/>
  <c r="F817" i="44"/>
  <c r="F818" i="44" s="1"/>
  <c r="C817" i="44"/>
  <c r="AA815" i="44" a="1"/>
  <c r="AA815" i="44" s="1"/>
  <c r="Z815" i="44" a="1"/>
  <c r="Z815" i="44" s="1"/>
  <c r="R815" i="44"/>
  <c r="U815" i="44" s="1"/>
  <c r="P815" i="44" a="1"/>
  <c r="P815" i="44" s="1"/>
  <c r="O815" i="44" a="1"/>
  <c r="O815" i="44" s="1"/>
  <c r="F815" i="44"/>
  <c r="K815" i="44" s="1"/>
  <c r="C815" i="44"/>
  <c r="AA814" i="44" a="1"/>
  <c r="AA814" i="44" s="1"/>
  <c r="Z814" i="44" a="1"/>
  <c r="Z814" i="44" s="1"/>
  <c r="R814" i="44"/>
  <c r="U814" i="44" s="1"/>
  <c r="P814" i="44" a="1"/>
  <c r="P814" i="44" s="1"/>
  <c r="O814" i="44" a="1"/>
  <c r="O814" i="44" s="1"/>
  <c r="K814" i="44"/>
  <c r="V814" i="44" s="1"/>
  <c r="F814" i="44"/>
  <c r="C814" i="44"/>
  <c r="AA812" i="44" a="1"/>
  <c r="AA812" i="44" s="1"/>
  <c r="Z812" i="44" a="1"/>
  <c r="Z812" i="44" s="1"/>
  <c r="R812" i="44"/>
  <c r="U812" i="44" s="1"/>
  <c r="P812" i="44" a="1"/>
  <c r="P812" i="44" s="1"/>
  <c r="O812" i="44" a="1"/>
  <c r="O812" i="44" s="1"/>
  <c r="F812" i="44"/>
  <c r="K812" i="44" s="1"/>
  <c r="C812" i="44"/>
  <c r="AA811" i="44" a="1"/>
  <c r="AA811" i="44" s="1"/>
  <c r="Z811" i="44" a="1"/>
  <c r="Z811" i="44" s="1"/>
  <c r="R811" i="44"/>
  <c r="U811" i="44" s="1"/>
  <c r="P811" i="44"/>
  <c r="P811" i="44" a="1"/>
  <c r="O811" i="44" a="1"/>
  <c r="O811" i="44" s="1"/>
  <c r="F811" i="44"/>
  <c r="K811" i="44" s="1"/>
  <c r="C811" i="44"/>
  <c r="AA809" i="44" a="1"/>
  <c r="AA809" i="44" s="1"/>
  <c r="Z809" i="44"/>
  <c r="Z809" i="44" a="1"/>
  <c r="R809" i="44"/>
  <c r="U809" i="44" s="1"/>
  <c r="P809" i="44" a="1"/>
  <c r="P809" i="44" s="1"/>
  <c r="O809" i="44" a="1"/>
  <c r="O809" i="44" s="1"/>
  <c r="K809" i="44"/>
  <c r="V809" i="44" s="1"/>
  <c r="F809" i="44"/>
  <c r="C809" i="44"/>
  <c r="AA808" i="44" a="1"/>
  <c r="AA808" i="44" s="1"/>
  <c r="Z808" i="44" a="1"/>
  <c r="Z808" i="44" s="1"/>
  <c r="R808" i="44"/>
  <c r="U808" i="44" s="1"/>
  <c r="P808" i="44" a="1"/>
  <c r="P808" i="44" s="1"/>
  <c r="O808" i="44" a="1"/>
  <c r="O808" i="44" s="1"/>
  <c r="F808" i="44"/>
  <c r="K808" i="44" s="1"/>
  <c r="C808" i="44"/>
  <c r="AA806" i="44" a="1"/>
  <c r="AA806" i="44" s="1"/>
  <c r="Z806" i="44" a="1"/>
  <c r="Z806" i="44" s="1"/>
  <c r="R806" i="44"/>
  <c r="U806" i="44" s="1"/>
  <c r="P806" i="44" a="1"/>
  <c r="P806" i="44" s="1"/>
  <c r="O806" i="44" a="1"/>
  <c r="O806" i="44" s="1"/>
  <c r="F806" i="44"/>
  <c r="K806" i="44" s="1"/>
  <c r="C806" i="44"/>
  <c r="AI805" i="44"/>
  <c r="AA805" i="44" a="1"/>
  <c r="AA805" i="44" s="1"/>
  <c r="Z805" i="44" a="1"/>
  <c r="Z805" i="44" s="1"/>
  <c r="S805" i="44"/>
  <c r="R805" i="44"/>
  <c r="U805" i="44" s="1"/>
  <c r="P805" i="44" a="1"/>
  <c r="P805" i="44" s="1"/>
  <c r="T805" i="44" s="1"/>
  <c r="O805" i="44" a="1"/>
  <c r="O805" i="44" s="1"/>
  <c r="M805" i="44"/>
  <c r="L805" i="44"/>
  <c r="K805" i="44"/>
  <c r="V805" i="44" s="1"/>
  <c r="F805" i="44"/>
  <c r="C805" i="44"/>
  <c r="AA803" i="44" a="1"/>
  <c r="AA803" i="44" s="1"/>
  <c r="Z803" i="44" a="1"/>
  <c r="Z803" i="44" s="1"/>
  <c r="R803" i="44"/>
  <c r="U803" i="44" s="1"/>
  <c r="P803" i="44" a="1"/>
  <c r="P803" i="44" s="1"/>
  <c r="O803" i="44" a="1"/>
  <c r="O803" i="44" s="1"/>
  <c r="C803" i="44"/>
  <c r="AA802" i="44" a="1"/>
  <c r="AA802" i="44" s="1"/>
  <c r="Z802" i="44"/>
  <c r="Z802" i="44" a="1"/>
  <c r="R802" i="44"/>
  <c r="U802" i="44" s="1"/>
  <c r="P802" i="44" a="1"/>
  <c r="P802" i="44" s="1"/>
  <c r="O802" i="44" a="1"/>
  <c r="O802" i="44" s="1"/>
  <c r="K802" i="44"/>
  <c r="F802" i="44"/>
  <c r="F803" i="44" s="1"/>
  <c r="K803" i="44" s="1"/>
  <c r="C802" i="44"/>
  <c r="AA800" i="44" a="1"/>
  <c r="AA800" i="44" s="1"/>
  <c r="Z800" i="44" a="1"/>
  <c r="Z800" i="44" s="1"/>
  <c r="R800" i="44"/>
  <c r="U800" i="44" s="1"/>
  <c r="P800" i="44"/>
  <c r="P800" i="44" a="1"/>
  <c r="O800" i="44" a="1"/>
  <c r="O800" i="44" s="1"/>
  <c r="F800" i="44"/>
  <c r="K800" i="44" s="1"/>
  <c r="C800" i="44"/>
  <c r="AI799" i="44"/>
  <c r="AA799" i="44" a="1"/>
  <c r="AA799" i="44" s="1"/>
  <c r="Z799" i="44" a="1"/>
  <c r="Z799" i="44" s="1"/>
  <c r="R799" i="44"/>
  <c r="U799" i="44" s="1"/>
  <c r="W799" i="44" s="1"/>
  <c r="P799" i="44"/>
  <c r="T799" i="44" s="1"/>
  <c r="P799" i="44" a="1"/>
  <c r="O799" i="44" a="1"/>
  <c r="O799" i="44" s="1"/>
  <c r="S799" i="44" s="1"/>
  <c r="F799" i="44"/>
  <c r="K799" i="44" s="1"/>
  <c r="V799" i="44" s="1"/>
  <c r="C799" i="44"/>
  <c r="AA797" i="44" a="1"/>
  <c r="AA797" i="44" s="1"/>
  <c r="Z797" i="44" a="1"/>
  <c r="Z797" i="44" s="1"/>
  <c r="R797" i="44"/>
  <c r="U797" i="44" s="1"/>
  <c r="P797" i="44" a="1"/>
  <c r="P797" i="44" s="1"/>
  <c r="O797" i="44" a="1"/>
  <c r="O797" i="44" s="1"/>
  <c r="F797" i="44"/>
  <c r="K797" i="44" s="1"/>
  <c r="C797" i="44"/>
  <c r="AA796" i="44" a="1"/>
  <c r="AA796" i="44" s="1"/>
  <c r="Z796" i="44" a="1"/>
  <c r="Z796" i="44" s="1"/>
  <c r="R796" i="44"/>
  <c r="U796" i="44" s="1"/>
  <c r="P796" i="44" a="1"/>
  <c r="P796" i="44" s="1"/>
  <c r="O796" i="44" a="1"/>
  <c r="O796" i="44" s="1"/>
  <c r="F796" i="44"/>
  <c r="K796" i="44" s="1"/>
  <c r="C796" i="44"/>
  <c r="AA794" i="44" a="1"/>
  <c r="AA794" i="44" s="1"/>
  <c r="Z794" i="44" a="1"/>
  <c r="Z794" i="44" s="1"/>
  <c r="R794" i="44"/>
  <c r="U794" i="44" s="1"/>
  <c r="P794" i="44" a="1"/>
  <c r="P794" i="44" s="1"/>
  <c r="O794" i="44" a="1"/>
  <c r="O794" i="44" s="1"/>
  <c r="F794" i="44"/>
  <c r="K794" i="44" s="1"/>
  <c r="C794" i="44"/>
  <c r="AA793" i="44"/>
  <c r="AA793" i="44" a="1"/>
  <c r="Z793" i="44" a="1"/>
  <c r="Z793" i="44" s="1"/>
  <c r="R793" i="44"/>
  <c r="U793" i="44" s="1"/>
  <c r="P793" i="44" a="1"/>
  <c r="P793" i="44" s="1"/>
  <c r="O793" i="44" a="1"/>
  <c r="O793" i="44" s="1"/>
  <c r="K793" i="44"/>
  <c r="F793" i="44"/>
  <c r="C793" i="44"/>
  <c r="AA791" i="44" a="1"/>
  <c r="AA791" i="44" s="1"/>
  <c r="Z791" i="44" a="1"/>
  <c r="Z791" i="44" s="1"/>
  <c r="R791" i="44"/>
  <c r="U791" i="44" s="1"/>
  <c r="P791" i="44" a="1"/>
  <c r="P791" i="44" s="1"/>
  <c r="O791" i="44" a="1"/>
  <c r="O791" i="44" s="1"/>
  <c r="C791" i="44"/>
  <c r="AA790" i="44"/>
  <c r="AA790" i="44" a="1"/>
  <c r="Z790" i="44" a="1"/>
  <c r="Z790" i="44" s="1"/>
  <c r="R790" i="44"/>
  <c r="U790" i="44" s="1"/>
  <c r="P790" i="44" a="1"/>
  <c r="P790" i="44" s="1"/>
  <c r="O790" i="44" a="1"/>
  <c r="O790" i="44" s="1"/>
  <c r="F790" i="44"/>
  <c r="K790" i="44" s="1"/>
  <c r="C790" i="44"/>
  <c r="AA788" i="44" a="1"/>
  <c r="AA788" i="44" s="1"/>
  <c r="Z788" i="44" a="1"/>
  <c r="Z788" i="44" s="1"/>
  <c r="R788" i="44"/>
  <c r="U788" i="44" s="1"/>
  <c r="P788" i="44" a="1"/>
  <c r="P788" i="44" s="1"/>
  <c r="O788" i="44" a="1"/>
  <c r="O788" i="44" s="1"/>
  <c r="C788" i="44"/>
  <c r="AI787" i="44"/>
  <c r="AA787" i="44" a="1"/>
  <c r="AA787" i="44" s="1"/>
  <c r="Z787" i="44" a="1"/>
  <c r="Z787" i="44" s="1"/>
  <c r="R787" i="44"/>
  <c r="U787" i="44" s="1"/>
  <c r="P787" i="44"/>
  <c r="P787" i="44" a="1"/>
  <c r="O787" i="44" a="1"/>
  <c r="O787" i="44" s="1"/>
  <c r="K787" i="44"/>
  <c r="M787" i="44" s="1"/>
  <c r="F787" i="44"/>
  <c r="F788" i="44" s="1"/>
  <c r="K788" i="44" s="1"/>
  <c r="C787" i="44"/>
  <c r="AA785" i="44" a="1"/>
  <c r="AA785" i="44" s="1"/>
  <c r="Z785" i="44" a="1"/>
  <c r="Z785" i="44" s="1"/>
  <c r="R785" i="44"/>
  <c r="U785" i="44" s="1"/>
  <c r="P785" i="44" a="1"/>
  <c r="P785" i="44" s="1"/>
  <c r="O785" i="44" a="1"/>
  <c r="O785" i="44" s="1"/>
  <c r="F785" i="44"/>
  <c r="K785" i="44" s="1"/>
  <c r="C785" i="44"/>
  <c r="AI784" i="44"/>
  <c r="AA784" i="44" a="1"/>
  <c r="AA784" i="44" s="1"/>
  <c r="Z784" i="44" a="1"/>
  <c r="Z784" i="44" s="1"/>
  <c r="V784" i="44"/>
  <c r="R784" i="44"/>
  <c r="U784" i="44" s="1"/>
  <c r="P784" i="44" a="1"/>
  <c r="P784" i="44" s="1"/>
  <c r="T784" i="44" s="1"/>
  <c r="O784" i="44"/>
  <c r="O784" i="44" a="1"/>
  <c r="F784" i="44"/>
  <c r="K784" i="44" s="1"/>
  <c r="C784" i="44"/>
  <c r="AA782" i="44"/>
  <c r="AA782" i="44" a="1"/>
  <c r="Z782" i="44" a="1"/>
  <c r="Z782" i="44" s="1"/>
  <c r="R782" i="44"/>
  <c r="U782" i="44" s="1"/>
  <c r="P782" i="44" a="1"/>
  <c r="P782" i="44" s="1"/>
  <c r="O782" i="44" a="1"/>
  <c r="O782" i="44" s="1"/>
  <c r="C782" i="44"/>
  <c r="AA781" i="44" a="1"/>
  <c r="AA781" i="44" s="1"/>
  <c r="Z781" i="44" a="1"/>
  <c r="Z781" i="44" s="1"/>
  <c r="R781" i="44"/>
  <c r="U781" i="44" s="1"/>
  <c r="P781" i="44"/>
  <c r="P781" i="44" a="1"/>
  <c r="O781" i="44"/>
  <c r="O781" i="44" a="1"/>
  <c r="F781" i="44"/>
  <c r="K781" i="44" s="1"/>
  <c r="C781" i="44"/>
  <c r="AA779" i="44" a="1"/>
  <c r="AA779" i="44" s="1"/>
  <c r="Z779" i="44" a="1"/>
  <c r="Z779" i="44" s="1"/>
  <c r="R779" i="44"/>
  <c r="U779" i="44" s="1"/>
  <c r="P779" i="44" a="1"/>
  <c r="P779" i="44" s="1"/>
  <c r="O779" i="44" a="1"/>
  <c r="O779" i="44" s="1"/>
  <c r="F779" i="44"/>
  <c r="K779" i="44" s="1"/>
  <c r="C779" i="44"/>
  <c r="AA778" i="44"/>
  <c r="AA778" i="44" a="1"/>
  <c r="Z778" i="44"/>
  <c r="Z778" i="44" a="1"/>
  <c r="R778" i="44"/>
  <c r="U778" i="44" s="1"/>
  <c r="P778" i="44" a="1"/>
  <c r="P778" i="44" s="1"/>
  <c r="O778" i="44" a="1"/>
  <c r="O778" i="44" s="1"/>
  <c r="K778" i="44"/>
  <c r="M778" i="44" s="1"/>
  <c r="F778" i="44"/>
  <c r="C778" i="44"/>
  <c r="AA776" i="44" a="1"/>
  <c r="AA776" i="44" s="1"/>
  <c r="Z776" i="44" a="1"/>
  <c r="Z776" i="44" s="1"/>
  <c r="R776" i="44"/>
  <c r="U776" i="44" s="1"/>
  <c r="P776" i="44" a="1"/>
  <c r="P776" i="44" s="1"/>
  <c r="O776" i="44" a="1"/>
  <c r="O776" i="44" s="1"/>
  <c r="F776" i="44"/>
  <c r="K776" i="44" s="1"/>
  <c r="C776" i="44"/>
  <c r="AA774" i="44" a="1"/>
  <c r="AA774" i="44" s="1"/>
  <c r="Z774" i="44" a="1"/>
  <c r="Z774" i="44" s="1"/>
  <c r="R774" i="44"/>
  <c r="U774" i="44" s="1"/>
  <c r="P774" i="44"/>
  <c r="P774" i="44" a="1"/>
  <c r="O774" i="44" a="1"/>
  <c r="O774" i="44" s="1"/>
  <c r="F774" i="44"/>
  <c r="K774" i="44" s="1"/>
  <c r="C774" i="44"/>
  <c r="AA773" i="44" a="1"/>
  <c r="AA773" i="44" s="1"/>
  <c r="Z773" i="44" a="1"/>
  <c r="Z773" i="44" s="1"/>
  <c r="R773" i="44"/>
  <c r="U773" i="44" s="1"/>
  <c r="P773" i="44" a="1"/>
  <c r="P773" i="44" s="1"/>
  <c r="O773" i="44"/>
  <c r="O773" i="44" a="1"/>
  <c r="F773" i="44"/>
  <c r="K773" i="44" s="1"/>
  <c r="C773" i="44"/>
  <c r="AA771" i="44" a="1"/>
  <c r="AA771" i="44" s="1"/>
  <c r="Z771" i="44"/>
  <c r="Z771" i="44" a="1"/>
  <c r="V771" i="44"/>
  <c r="R771" i="44"/>
  <c r="U771" i="44" s="1"/>
  <c r="W771" i="44" s="1"/>
  <c r="P771" i="44" a="1"/>
  <c r="P771" i="44" s="1"/>
  <c r="T771" i="44" s="1"/>
  <c r="O771" i="44" a="1"/>
  <c r="O771" i="44" s="1"/>
  <c r="K771" i="44"/>
  <c r="C771" i="44"/>
  <c r="AA770" i="44" a="1"/>
  <c r="AA770" i="44" s="1"/>
  <c r="Z770" i="44" a="1"/>
  <c r="Z770" i="44" s="1"/>
  <c r="R770" i="44"/>
  <c r="U770" i="44" s="1"/>
  <c r="P770" i="44" a="1"/>
  <c r="P770" i="44" s="1"/>
  <c r="O770" i="44" a="1"/>
  <c r="O770" i="44" s="1"/>
  <c r="S770" i="44" s="1"/>
  <c r="L770" i="44"/>
  <c r="K770" i="44"/>
  <c r="V770" i="44" s="1"/>
  <c r="C770" i="44"/>
  <c r="AA769" i="44" a="1"/>
  <c r="AA769" i="44" s="1"/>
  <c r="Z769" i="44" a="1"/>
  <c r="Z769" i="44" s="1"/>
  <c r="V769" i="44"/>
  <c r="R769" i="44"/>
  <c r="U769" i="44" s="1"/>
  <c r="P769" i="44" a="1"/>
  <c r="P769" i="44" s="1"/>
  <c r="T769" i="44" s="1"/>
  <c r="O769" i="44"/>
  <c r="S769" i="44" s="1"/>
  <c r="O769" i="44" a="1"/>
  <c r="L769" i="44"/>
  <c r="K769" i="44"/>
  <c r="M769" i="44" s="1"/>
  <c r="C769" i="44"/>
  <c r="AA768" i="44" a="1"/>
  <c r="AA768" i="44" s="1"/>
  <c r="Z768" i="44" a="1"/>
  <c r="Z768" i="44" s="1"/>
  <c r="R768" i="44"/>
  <c r="U768" i="44" s="1"/>
  <c r="P768" i="44" a="1"/>
  <c r="P768" i="44" s="1"/>
  <c r="O768" i="44" a="1"/>
  <c r="O768" i="44" s="1"/>
  <c r="K768" i="44"/>
  <c r="M768" i="44" s="1"/>
  <c r="C768" i="44"/>
  <c r="AA767" i="44" a="1"/>
  <c r="AA767" i="44" s="1"/>
  <c r="Z767" i="44" a="1"/>
  <c r="Z767" i="44" s="1"/>
  <c r="R767" i="44"/>
  <c r="U767" i="44" s="1"/>
  <c r="P767" i="44" a="1"/>
  <c r="P767" i="44" s="1"/>
  <c r="T767" i="44" s="1"/>
  <c r="O767" i="44" a="1"/>
  <c r="O767" i="44" s="1"/>
  <c r="K767" i="44"/>
  <c r="C767" i="44"/>
  <c r="AA766" i="44" a="1"/>
  <c r="AA766" i="44" s="1"/>
  <c r="Z766" i="44" a="1"/>
  <c r="Z766" i="44" s="1"/>
  <c r="R766" i="44"/>
  <c r="U766" i="44" s="1"/>
  <c r="P766" i="44" a="1"/>
  <c r="P766" i="44" s="1"/>
  <c r="O766" i="44"/>
  <c r="S766" i="44" s="1"/>
  <c r="O766" i="44" a="1"/>
  <c r="L766" i="44"/>
  <c r="K766" i="44"/>
  <c r="V766" i="44" s="1"/>
  <c r="C766" i="44"/>
  <c r="AA765" i="44" a="1"/>
  <c r="AA765" i="44" s="1"/>
  <c r="Z765" i="44"/>
  <c r="Z765" i="44" a="1"/>
  <c r="R765" i="44"/>
  <c r="U765" i="44" s="1"/>
  <c r="P765" i="44"/>
  <c r="P765" i="44" a="1"/>
  <c r="O765" i="44" a="1"/>
  <c r="O765" i="44" s="1"/>
  <c r="C765" i="44"/>
  <c r="AK764" i="44"/>
  <c r="AA764" i="44"/>
  <c r="AA764" i="44" a="1"/>
  <c r="Z764" i="44" a="1"/>
  <c r="Z764" i="44" s="1"/>
  <c r="V764" i="44"/>
  <c r="R764" i="44"/>
  <c r="U764" i="44" s="1"/>
  <c r="P764" i="44" a="1"/>
  <c r="P764" i="44" s="1"/>
  <c r="T764" i="44" s="1"/>
  <c r="O764" i="44"/>
  <c r="S764" i="44" s="1"/>
  <c r="O764" i="44" a="1"/>
  <c r="M764" i="44"/>
  <c r="L764" i="44"/>
  <c r="K764" i="44"/>
  <c r="C764" i="44"/>
  <c r="AA763" i="44" a="1"/>
  <c r="AA763" i="44" s="1"/>
  <c r="Z763" i="44" a="1"/>
  <c r="Z763" i="44" s="1"/>
  <c r="R763" i="44"/>
  <c r="U763" i="44" s="1"/>
  <c r="P763" i="44" a="1"/>
  <c r="P763" i="44" s="1"/>
  <c r="O763" i="44" a="1"/>
  <c r="O763" i="44" s="1"/>
  <c r="K763" i="44"/>
  <c r="C763" i="44"/>
  <c r="AA762" i="44"/>
  <c r="AA762" i="44" a="1"/>
  <c r="Z762" i="44"/>
  <c r="Z762" i="44" a="1"/>
  <c r="V762" i="44"/>
  <c r="R762" i="44"/>
  <c r="U762" i="44" s="1"/>
  <c r="P762" i="44" a="1"/>
  <c r="P762" i="44" s="1"/>
  <c r="O762" i="44" a="1"/>
  <c r="O762" i="44" s="1"/>
  <c r="M762" i="44"/>
  <c r="K762" i="44"/>
  <c r="L762" i="44" s="1"/>
  <c r="C762" i="44"/>
  <c r="AA761" i="44" a="1"/>
  <c r="AA761" i="44" s="1"/>
  <c r="Z761" i="44"/>
  <c r="Z761" i="44" a="1"/>
  <c r="V761" i="44"/>
  <c r="R761" i="44"/>
  <c r="U761" i="44" s="1"/>
  <c r="W761" i="44" s="1"/>
  <c r="P761" i="44" a="1"/>
  <c r="P761" i="44" s="1"/>
  <c r="T761" i="44" s="1"/>
  <c r="O761" i="44" a="1"/>
  <c r="O761" i="44" s="1"/>
  <c r="L761" i="44"/>
  <c r="K761" i="44"/>
  <c r="C761" i="44"/>
  <c r="AA760" i="44" a="1"/>
  <c r="AA760" i="44" s="1"/>
  <c r="Z760" i="44" a="1"/>
  <c r="Z760" i="44" s="1"/>
  <c r="R760" i="44"/>
  <c r="U760" i="44" s="1"/>
  <c r="P760" i="44" a="1"/>
  <c r="P760" i="44" s="1"/>
  <c r="T760" i="44" s="1"/>
  <c r="O760" i="44" a="1"/>
  <c r="O760" i="44" s="1"/>
  <c r="L760" i="44"/>
  <c r="K760" i="44"/>
  <c r="V760" i="44" s="1"/>
  <c r="C760" i="44"/>
  <c r="AA759" i="44"/>
  <c r="AA759" i="44" a="1"/>
  <c r="Z759" i="44"/>
  <c r="Z759" i="44" a="1"/>
  <c r="R759" i="44"/>
  <c r="U759" i="44" s="1"/>
  <c r="P759" i="44" a="1"/>
  <c r="P759" i="44" s="1"/>
  <c r="O759" i="44"/>
  <c r="O759" i="44" a="1"/>
  <c r="K759" i="44"/>
  <c r="C759" i="44"/>
  <c r="AA758" i="44" a="1"/>
  <c r="AA758" i="44" s="1"/>
  <c r="Z758" i="44" a="1"/>
  <c r="Z758" i="44" s="1"/>
  <c r="R758" i="44"/>
  <c r="U758" i="44" s="1"/>
  <c r="P758" i="44" a="1"/>
  <c r="P758" i="44" s="1"/>
  <c r="O758" i="44" a="1"/>
  <c r="O758" i="44" s="1"/>
  <c r="M758" i="44"/>
  <c r="K758" i="44"/>
  <c r="C758" i="44"/>
  <c r="AA757" i="44" a="1"/>
  <c r="AA757" i="44" s="1"/>
  <c r="Z757" i="44"/>
  <c r="Z757" i="44" a="1"/>
  <c r="R757" i="44"/>
  <c r="U757" i="44" s="1"/>
  <c r="P757" i="44" a="1"/>
  <c r="P757" i="44" s="1"/>
  <c r="O757" i="44" a="1"/>
  <c r="O757" i="44" s="1"/>
  <c r="K757" i="44"/>
  <c r="C757" i="44"/>
  <c r="AA756" i="44" a="1"/>
  <c r="AA756" i="44" s="1"/>
  <c r="Z756" i="44" a="1"/>
  <c r="Z756" i="44" s="1"/>
  <c r="V756" i="44"/>
  <c r="S756" i="44"/>
  <c r="R756" i="44"/>
  <c r="U756" i="44" s="1"/>
  <c r="P756" i="44" a="1"/>
  <c r="P756" i="44" s="1"/>
  <c r="T756" i="44" s="1"/>
  <c r="O756" i="44" a="1"/>
  <c r="O756" i="44" s="1"/>
  <c r="L756" i="44"/>
  <c r="K756" i="44"/>
  <c r="M756" i="44" s="1"/>
  <c r="C756" i="44"/>
  <c r="AA755" i="44"/>
  <c r="AA755" i="44" a="1"/>
  <c r="Z755" i="44"/>
  <c r="Z755" i="44" a="1"/>
  <c r="R755" i="44"/>
  <c r="U755" i="44" s="1"/>
  <c r="P755" i="44" a="1"/>
  <c r="P755" i="44" s="1"/>
  <c r="O755" i="44" a="1"/>
  <c r="O755" i="44" s="1"/>
  <c r="M755" i="44"/>
  <c r="K755" i="44"/>
  <c r="C755" i="44"/>
  <c r="AA754" i="44" a="1"/>
  <c r="AA754" i="44" s="1"/>
  <c r="Z754" i="44"/>
  <c r="Z754" i="44" a="1"/>
  <c r="R754" i="44"/>
  <c r="U754" i="44" s="1"/>
  <c r="P754" i="44" a="1"/>
  <c r="P754" i="44" s="1"/>
  <c r="O754" i="44"/>
  <c r="S754" i="44" s="1"/>
  <c r="O754" i="44" a="1"/>
  <c r="M754" i="44"/>
  <c r="K754" i="44"/>
  <c r="C754" i="44"/>
  <c r="AA753" i="44"/>
  <c r="AA753" i="44" a="1"/>
  <c r="Z753" i="44"/>
  <c r="Z753" i="44" a="1"/>
  <c r="R753" i="44"/>
  <c r="U753" i="44" s="1"/>
  <c r="P753" i="44" a="1"/>
  <c r="P753" i="44" s="1"/>
  <c r="O753" i="44" a="1"/>
  <c r="O753" i="44" s="1"/>
  <c r="K753" i="44"/>
  <c r="C753" i="44"/>
  <c r="AA752" i="44"/>
  <c r="AA752" i="44" a="1"/>
  <c r="Z752" i="44" a="1"/>
  <c r="Z752" i="44" s="1"/>
  <c r="T752" i="44"/>
  <c r="R752" i="44"/>
  <c r="U752" i="44" s="1"/>
  <c r="P752" i="44" a="1"/>
  <c r="P752" i="44" s="1"/>
  <c r="O752" i="44"/>
  <c r="O752" i="44" a="1"/>
  <c r="M752" i="44"/>
  <c r="K752" i="44"/>
  <c r="AK752" i="44" s="1"/>
  <c r="C752" i="44"/>
  <c r="AA751" i="44" a="1"/>
  <c r="AA751" i="44" s="1"/>
  <c r="Z751" i="44" a="1"/>
  <c r="Z751" i="44" s="1"/>
  <c r="R751" i="44"/>
  <c r="U751" i="44" s="1"/>
  <c r="P751" i="44" a="1"/>
  <c r="P751" i="44" s="1"/>
  <c r="O751" i="44" a="1"/>
  <c r="O751" i="44" s="1"/>
  <c r="S751" i="44" s="1"/>
  <c r="M751" i="44"/>
  <c r="L751" i="44"/>
  <c r="K751" i="44"/>
  <c r="C751" i="44"/>
  <c r="AA750" i="44" a="1"/>
  <c r="AA750" i="44" s="1"/>
  <c r="Z750" i="44" a="1"/>
  <c r="Z750" i="44" s="1"/>
  <c r="S750" i="44"/>
  <c r="R750" i="44"/>
  <c r="U750" i="44" s="1"/>
  <c r="P750" i="44" a="1"/>
  <c r="P750" i="44" s="1"/>
  <c r="O750" i="44" a="1"/>
  <c r="O750" i="44" s="1"/>
  <c r="L750" i="44"/>
  <c r="K750" i="44"/>
  <c r="C750" i="44"/>
  <c r="AK749" i="44"/>
  <c r="AA749" i="44" a="1"/>
  <c r="AA749" i="44" s="1"/>
  <c r="Z749" i="44" a="1"/>
  <c r="Z749" i="44" s="1"/>
  <c r="V749" i="44"/>
  <c r="R749" i="44"/>
  <c r="U749" i="44" s="1"/>
  <c r="W749" i="44" s="1"/>
  <c r="P749" i="44" a="1"/>
  <c r="P749" i="44" s="1"/>
  <c r="T749" i="44" s="1"/>
  <c r="O749" i="44" a="1"/>
  <c r="O749" i="44" s="1"/>
  <c r="S749" i="44" s="1"/>
  <c r="L749" i="44"/>
  <c r="K749" i="44"/>
  <c r="M749" i="44" s="1"/>
  <c r="C749" i="44"/>
  <c r="AK748" i="44"/>
  <c r="AA748" i="44" a="1"/>
  <c r="AA748" i="44" s="1"/>
  <c r="Z748" i="44" a="1"/>
  <c r="Z748" i="44" s="1"/>
  <c r="V748" i="44"/>
  <c r="R748" i="44"/>
  <c r="U748" i="44" s="1"/>
  <c r="W748" i="44" s="1"/>
  <c r="P748" i="44"/>
  <c r="T748" i="44" s="1"/>
  <c r="P748" i="44" a="1"/>
  <c r="O748" i="44" a="1"/>
  <c r="O748" i="44" s="1"/>
  <c r="S748" i="44" s="1"/>
  <c r="M748" i="44"/>
  <c r="L748" i="44"/>
  <c r="K748" i="44"/>
  <c r="C748" i="44"/>
  <c r="AK747" i="44"/>
  <c r="AA747" i="44" a="1"/>
  <c r="AA747" i="44" s="1"/>
  <c r="Z747" i="44" a="1"/>
  <c r="Z747" i="44" s="1"/>
  <c r="R747" i="44"/>
  <c r="U747" i="44" s="1"/>
  <c r="P747" i="44" a="1"/>
  <c r="P747" i="44" s="1"/>
  <c r="T747" i="44" s="1"/>
  <c r="O747" i="44"/>
  <c r="S747" i="44" s="1"/>
  <c r="O747" i="44" a="1"/>
  <c r="M747" i="44"/>
  <c r="L747" i="44"/>
  <c r="K747" i="44"/>
  <c r="V747" i="44" s="1"/>
  <c r="C747" i="44"/>
  <c r="AK746" i="44"/>
  <c r="AA746" i="44" a="1"/>
  <c r="AA746" i="44" s="1"/>
  <c r="Z746" i="44" a="1"/>
  <c r="Z746" i="44" s="1"/>
  <c r="R746" i="44"/>
  <c r="U746" i="44" s="1"/>
  <c r="P746" i="44" a="1"/>
  <c r="P746" i="44" s="1"/>
  <c r="O746" i="44" a="1"/>
  <c r="O746" i="44" s="1"/>
  <c r="S746" i="44" s="1"/>
  <c r="M746" i="44"/>
  <c r="L746" i="44"/>
  <c r="K746" i="44"/>
  <c r="V746" i="44" s="1"/>
  <c r="C746" i="44"/>
  <c r="P745" i="44" a="1"/>
  <c r="P745" i="44" s="1"/>
  <c r="E745" i="44"/>
  <c r="AA743" i="44" a="1"/>
  <c r="AA743" i="44" s="1"/>
  <c r="Z743" i="44" a="1"/>
  <c r="Z743" i="44" s="1"/>
  <c r="R743" i="44"/>
  <c r="U743" i="44" s="1"/>
  <c r="P743" i="44"/>
  <c r="P743" i="44" a="1"/>
  <c r="O743" i="44" a="1"/>
  <c r="O743" i="44" s="1"/>
  <c r="C743" i="44"/>
  <c r="AA742" i="44" a="1"/>
  <c r="AA742" i="44" s="1"/>
  <c r="Z742" i="44" a="1"/>
  <c r="Z742" i="44" s="1"/>
  <c r="R742" i="44"/>
  <c r="U742" i="44" s="1"/>
  <c r="P742" i="44"/>
  <c r="P742" i="44" a="1"/>
  <c r="O742" i="44" a="1"/>
  <c r="O742" i="44" s="1"/>
  <c r="K742" i="44"/>
  <c r="V742" i="44" s="1"/>
  <c r="F742" i="44"/>
  <c r="F743" i="44" s="1"/>
  <c r="K743" i="44" s="1"/>
  <c r="AI743" i="44" s="1"/>
  <c r="C742" i="44"/>
  <c r="AA740" i="44" a="1"/>
  <c r="AA740" i="44" s="1"/>
  <c r="Z740" i="44"/>
  <c r="Z740" i="44" a="1"/>
  <c r="R740" i="44"/>
  <c r="U740" i="44" s="1"/>
  <c r="P740" i="44" a="1"/>
  <c r="P740" i="44" s="1"/>
  <c r="O740" i="44" a="1"/>
  <c r="O740" i="44" s="1"/>
  <c r="C740" i="44"/>
  <c r="AA739" i="44"/>
  <c r="AA739" i="44" a="1"/>
  <c r="Z739" i="44" a="1"/>
  <c r="Z739" i="44" s="1"/>
  <c r="R739" i="44"/>
  <c r="U739" i="44" s="1"/>
  <c r="P739" i="44"/>
  <c r="P739" i="44" a="1"/>
  <c r="O739" i="44"/>
  <c r="O739" i="44" a="1"/>
  <c r="F739" i="44"/>
  <c r="C739" i="44"/>
  <c r="AA737" i="44"/>
  <c r="AA737" i="44" a="1"/>
  <c r="Z737" i="44" a="1"/>
  <c r="Z737" i="44" s="1"/>
  <c r="R737" i="44"/>
  <c r="U737" i="44" s="1"/>
  <c r="P737" i="44" a="1"/>
  <c r="P737" i="44" s="1"/>
  <c r="T737" i="44" s="1"/>
  <c r="O737" i="44" a="1"/>
  <c r="O737" i="44" s="1"/>
  <c r="F737" i="44"/>
  <c r="K737" i="44" s="1"/>
  <c r="C737" i="44"/>
  <c r="AA736" i="44" a="1"/>
  <c r="AA736" i="44" s="1"/>
  <c r="Z736" i="44" a="1"/>
  <c r="Z736" i="44" s="1"/>
  <c r="R736" i="44"/>
  <c r="U736" i="44" s="1"/>
  <c r="P736" i="44"/>
  <c r="P736" i="44" a="1"/>
  <c r="O736" i="44" a="1"/>
  <c r="O736" i="44" s="1"/>
  <c r="K736" i="44"/>
  <c r="F736" i="44"/>
  <c r="C736" i="44"/>
  <c r="AA734" i="44" a="1"/>
  <c r="AA734" i="44" s="1"/>
  <c r="Z734" i="44" a="1"/>
  <c r="Z734" i="44" s="1"/>
  <c r="R734" i="44"/>
  <c r="U734" i="44" s="1"/>
  <c r="P734" i="44"/>
  <c r="P734" i="44" a="1"/>
  <c r="O734" i="44" a="1"/>
  <c r="O734" i="44" s="1"/>
  <c r="C734" i="44"/>
  <c r="AA733" i="44" a="1"/>
  <c r="AA733" i="44" s="1"/>
  <c r="Z733" i="44" a="1"/>
  <c r="Z733" i="44" s="1"/>
  <c r="R733" i="44"/>
  <c r="U733" i="44" s="1"/>
  <c r="P733" i="44" a="1"/>
  <c r="P733" i="44" s="1"/>
  <c r="O733" i="44"/>
  <c r="O733" i="44" a="1"/>
  <c r="F733" i="44"/>
  <c r="F734" i="44" s="1"/>
  <c r="K734" i="44" s="1"/>
  <c r="C733" i="44"/>
  <c r="AA731" i="44" a="1"/>
  <c r="AA731" i="44" s="1"/>
  <c r="Z731" i="44" a="1"/>
  <c r="Z731" i="44" s="1"/>
  <c r="R731" i="44"/>
  <c r="U731" i="44" s="1"/>
  <c r="P731" i="44"/>
  <c r="P731" i="44" a="1"/>
  <c r="O731" i="44"/>
  <c r="O731" i="44" a="1"/>
  <c r="F731" i="44"/>
  <c r="K731" i="44" s="1"/>
  <c r="C731" i="44"/>
  <c r="A730" i="44"/>
  <c r="AA729" i="44"/>
  <c r="AA729" i="44" a="1"/>
  <c r="Z729" i="44"/>
  <c r="Z729" i="44" a="1"/>
  <c r="T729" i="44"/>
  <c r="R729" i="44"/>
  <c r="U729" i="44" s="1"/>
  <c r="P729" i="44" a="1"/>
  <c r="P729" i="44" s="1"/>
  <c r="O729" i="44" a="1"/>
  <c r="O729" i="44" s="1"/>
  <c r="K729" i="44"/>
  <c r="C729" i="44"/>
  <c r="AA728" i="44" a="1"/>
  <c r="AA728" i="44" s="1"/>
  <c r="Z728" i="44" a="1"/>
  <c r="Z728" i="44" s="1"/>
  <c r="R728" i="44"/>
  <c r="U728" i="44" s="1"/>
  <c r="P728" i="44" a="1"/>
  <c r="P728" i="44" s="1"/>
  <c r="O728" i="44" a="1"/>
  <c r="O728" i="44" s="1"/>
  <c r="S728" i="44" s="1"/>
  <c r="L728" i="44"/>
  <c r="K728" i="44"/>
  <c r="V728" i="44" s="1"/>
  <c r="C728" i="44"/>
  <c r="AA727" i="44" a="1"/>
  <c r="AA727" i="44" s="1"/>
  <c r="Z727" i="44" a="1"/>
  <c r="Z727" i="44" s="1"/>
  <c r="V727" i="44"/>
  <c r="R727" i="44"/>
  <c r="U727" i="44" s="1"/>
  <c r="P727" i="44" a="1"/>
  <c r="P727" i="44" s="1"/>
  <c r="O727" i="44" a="1"/>
  <c r="O727" i="44" s="1"/>
  <c r="S727" i="44" s="1"/>
  <c r="L727" i="44"/>
  <c r="K727" i="44"/>
  <c r="C727" i="44"/>
  <c r="AA726" i="44" a="1"/>
  <c r="AA726" i="44" s="1"/>
  <c r="Z726" i="44" a="1"/>
  <c r="Z726" i="44" s="1"/>
  <c r="V726" i="44"/>
  <c r="R726" i="44"/>
  <c r="U726" i="44" s="1"/>
  <c r="P726" i="44"/>
  <c r="P726" i="44" a="1"/>
  <c r="O726" i="44"/>
  <c r="O726" i="44" a="1"/>
  <c r="M726" i="44"/>
  <c r="L726" i="44"/>
  <c r="K726" i="44"/>
  <c r="C726" i="44"/>
  <c r="AA725" i="44"/>
  <c r="AA725" i="44" a="1"/>
  <c r="Z725" i="44"/>
  <c r="Z725" i="44" a="1"/>
  <c r="V725" i="44"/>
  <c r="R725" i="44"/>
  <c r="U725" i="44" s="1"/>
  <c r="W725" i="44" s="1"/>
  <c r="P725" i="44" a="1"/>
  <c r="P725" i="44" s="1"/>
  <c r="O725" i="44" a="1"/>
  <c r="O725" i="44" s="1"/>
  <c r="S725" i="44" s="1"/>
  <c r="K725" i="44"/>
  <c r="C725" i="44"/>
  <c r="AA724" i="44"/>
  <c r="AA724" i="44" a="1"/>
  <c r="Z724" i="44" a="1"/>
  <c r="Z724" i="44" s="1"/>
  <c r="R724" i="44"/>
  <c r="U724" i="44" s="1"/>
  <c r="P724" i="44" a="1"/>
  <c r="P724" i="44" s="1"/>
  <c r="T724" i="44" s="1"/>
  <c r="O724" i="44" a="1"/>
  <c r="O724" i="44" s="1"/>
  <c r="S724" i="44" s="1"/>
  <c r="AE724" i="44" s="1"/>
  <c r="AB724" i="44" s="1"/>
  <c r="M724" i="44"/>
  <c r="L724" i="44"/>
  <c r="K724" i="44"/>
  <c r="V724" i="44" s="1"/>
  <c r="C724" i="44"/>
  <c r="AK723" i="44"/>
  <c r="AA723" i="44"/>
  <c r="AA723" i="44" a="1"/>
  <c r="Z723" i="44" a="1"/>
  <c r="Z723" i="44" s="1"/>
  <c r="R723" i="44"/>
  <c r="U723" i="44" s="1"/>
  <c r="P723" i="44" a="1"/>
  <c r="P723" i="44" s="1"/>
  <c r="O723" i="44" a="1"/>
  <c r="O723" i="44" s="1"/>
  <c r="M723" i="44"/>
  <c r="L723" i="44"/>
  <c r="K723" i="44"/>
  <c r="C723" i="44"/>
  <c r="AA722" i="44" a="1"/>
  <c r="AA722" i="44" s="1"/>
  <c r="Z722" i="44"/>
  <c r="Z722" i="44" a="1"/>
  <c r="V722" i="44"/>
  <c r="R722" i="44"/>
  <c r="U722" i="44" s="1"/>
  <c r="P722" i="44" a="1"/>
  <c r="P722" i="44" s="1"/>
  <c r="O722" i="44" a="1"/>
  <c r="O722" i="44" s="1"/>
  <c r="S722" i="44" s="1"/>
  <c r="L722" i="44"/>
  <c r="K722" i="44"/>
  <c r="C722" i="44"/>
  <c r="AA721" i="44"/>
  <c r="AA721" i="44" a="1"/>
  <c r="Z721" i="44" a="1"/>
  <c r="Z721" i="44" s="1"/>
  <c r="V721" i="44"/>
  <c r="R721" i="44"/>
  <c r="U721" i="44" s="1"/>
  <c r="P721" i="44"/>
  <c r="T721" i="44" s="1"/>
  <c r="P721" i="44" a="1"/>
  <c r="O721" i="44"/>
  <c r="S721" i="44" s="1"/>
  <c r="O721" i="44" a="1"/>
  <c r="M721" i="44"/>
  <c r="L721" i="44"/>
  <c r="K721" i="44"/>
  <c r="C721" i="44"/>
  <c r="P720" i="44" a="1"/>
  <c r="P720" i="44" s="1"/>
  <c r="E720" i="44"/>
  <c r="AA718" i="44" a="1"/>
  <c r="AA718" i="44" s="1"/>
  <c r="Z718" i="44"/>
  <c r="Z718" i="44" a="1"/>
  <c r="R718" i="44"/>
  <c r="U718" i="44" s="1"/>
  <c r="P718" i="44"/>
  <c r="P718" i="44" a="1"/>
  <c r="O718" i="44" a="1"/>
  <c r="O718" i="44" s="1"/>
  <c r="C718" i="44"/>
  <c r="AA717" i="44" a="1"/>
  <c r="AA717" i="44" s="1"/>
  <c r="Z717" i="44" a="1"/>
  <c r="Z717" i="44" s="1"/>
  <c r="R717" i="44"/>
  <c r="U717" i="44" s="1"/>
  <c r="P717" i="44"/>
  <c r="P717" i="44" a="1"/>
  <c r="O717" i="44" a="1"/>
  <c r="O717" i="44" s="1"/>
  <c r="F717" i="44"/>
  <c r="C717" i="44"/>
  <c r="AA715" i="44" a="1"/>
  <c r="AA715" i="44" s="1"/>
  <c r="Z715" i="44" a="1"/>
  <c r="Z715" i="44" s="1"/>
  <c r="R715" i="44"/>
  <c r="U715" i="44" s="1"/>
  <c r="P715" i="44" a="1"/>
  <c r="P715" i="44" s="1"/>
  <c r="O715" i="44" a="1"/>
  <c r="O715" i="44" s="1"/>
  <c r="F715" i="44"/>
  <c r="C715" i="44"/>
  <c r="AA714" i="44"/>
  <c r="AA714" i="44" a="1"/>
  <c r="Z714" i="44" a="1"/>
  <c r="Z714" i="44" s="1"/>
  <c r="R714" i="44"/>
  <c r="U714" i="44" s="1"/>
  <c r="P714" i="44" a="1"/>
  <c r="P714" i="44" s="1"/>
  <c r="O714" i="44"/>
  <c r="O714" i="44" a="1"/>
  <c r="F714" i="44"/>
  <c r="C714" i="44"/>
  <c r="AA712" i="44" a="1"/>
  <c r="AA712" i="44" s="1"/>
  <c r="Z712" i="44"/>
  <c r="Z712" i="44" a="1"/>
  <c r="R712" i="44"/>
  <c r="U712" i="44" s="1"/>
  <c r="P712" i="44" a="1"/>
  <c r="P712" i="44" s="1"/>
  <c r="O712" i="44"/>
  <c r="O712" i="44" a="1"/>
  <c r="F712" i="44"/>
  <c r="C712" i="44"/>
  <c r="AA711" i="44" a="1"/>
  <c r="AA711" i="44" s="1"/>
  <c r="Z711" i="44" a="1"/>
  <c r="Z711" i="44" s="1"/>
  <c r="R711" i="44"/>
  <c r="U711" i="44" s="1"/>
  <c r="P711" i="44"/>
  <c r="P711" i="44" a="1"/>
  <c r="O711" i="44" a="1"/>
  <c r="O711" i="44" s="1"/>
  <c r="F711" i="44"/>
  <c r="C711" i="44"/>
  <c r="AA709" i="44" a="1"/>
  <c r="AA709" i="44" s="1"/>
  <c r="Z709" i="44"/>
  <c r="Z709" i="44" a="1"/>
  <c r="R709" i="44"/>
  <c r="U709" i="44" s="1"/>
  <c r="P709" i="44" a="1"/>
  <c r="P709" i="44" s="1"/>
  <c r="O709" i="44" a="1"/>
  <c r="O709" i="44" s="1"/>
  <c r="F709" i="44"/>
  <c r="C709" i="44"/>
  <c r="AA708" i="44" a="1"/>
  <c r="AA708" i="44" s="1"/>
  <c r="Z708" i="44"/>
  <c r="Z708" i="44" a="1"/>
  <c r="R708" i="44"/>
  <c r="U708" i="44" s="1"/>
  <c r="P708" i="44" a="1"/>
  <c r="P708" i="44" s="1"/>
  <c r="O708" i="44" a="1"/>
  <c r="O708" i="44" s="1"/>
  <c r="F708" i="44"/>
  <c r="C708" i="44"/>
  <c r="AA706" i="44"/>
  <c r="AA706" i="44" a="1"/>
  <c r="Z706" i="44"/>
  <c r="Z706" i="44" a="1"/>
  <c r="R706" i="44"/>
  <c r="U706" i="44" s="1"/>
  <c r="P706" i="44" a="1"/>
  <c r="P706" i="44" s="1"/>
  <c r="O706" i="44" a="1"/>
  <c r="O706" i="44" s="1"/>
  <c r="F706" i="44"/>
  <c r="C706" i="44"/>
  <c r="AA705" i="44" a="1"/>
  <c r="AA705" i="44" s="1"/>
  <c r="Z705" i="44"/>
  <c r="Z705" i="44" a="1"/>
  <c r="R705" i="44"/>
  <c r="U705" i="44" s="1"/>
  <c r="P705" i="44"/>
  <c r="P705" i="44" a="1"/>
  <c r="O705" i="44" a="1"/>
  <c r="O705" i="44" s="1"/>
  <c r="F705" i="44"/>
  <c r="C705" i="44"/>
  <c r="AA703" i="44" a="1"/>
  <c r="AA703" i="44" s="1"/>
  <c r="Z703" i="44" a="1"/>
  <c r="Z703" i="44" s="1"/>
  <c r="R703" i="44"/>
  <c r="U703" i="44" s="1"/>
  <c r="P703" i="44" a="1"/>
  <c r="P703" i="44" s="1"/>
  <c r="O703" i="44"/>
  <c r="O703" i="44" a="1"/>
  <c r="C703" i="44"/>
  <c r="AA702" i="44" a="1"/>
  <c r="AA702" i="44" s="1"/>
  <c r="Z702" i="44" a="1"/>
  <c r="Z702" i="44" s="1"/>
  <c r="R702" i="44"/>
  <c r="U702" i="44" s="1"/>
  <c r="P702" i="44" a="1"/>
  <c r="P702" i="44" s="1"/>
  <c r="O702" i="44" a="1"/>
  <c r="O702" i="44" s="1"/>
  <c r="F702" i="44"/>
  <c r="C702" i="44"/>
  <c r="AA700" i="44" a="1"/>
  <c r="AA700" i="44" s="1"/>
  <c r="Z700" i="44"/>
  <c r="Z700" i="44" a="1"/>
  <c r="R700" i="44"/>
  <c r="U700" i="44" s="1"/>
  <c r="P700" i="44" a="1"/>
  <c r="P700" i="44" s="1"/>
  <c r="O700" i="44"/>
  <c r="O700" i="44" a="1"/>
  <c r="F700" i="44"/>
  <c r="C700" i="44"/>
  <c r="AA699" i="44" a="1"/>
  <c r="AA699" i="44" s="1"/>
  <c r="Z699" i="44" a="1"/>
  <c r="Z699" i="44" s="1"/>
  <c r="R699" i="44"/>
  <c r="U699" i="44" s="1"/>
  <c r="P699" i="44"/>
  <c r="P699" i="44" a="1"/>
  <c r="O699" i="44" a="1"/>
  <c r="O699" i="44" s="1"/>
  <c r="F699" i="44"/>
  <c r="C699" i="44"/>
  <c r="AA697" i="44" a="1"/>
  <c r="AA697" i="44" s="1"/>
  <c r="Z697" i="44" a="1"/>
  <c r="Z697" i="44" s="1"/>
  <c r="R697" i="44"/>
  <c r="U697" i="44" s="1"/>
  <c r="P697" i="44"/>
  <c r="P697" i="44" a="1"/>
  <c r="O697" i="44" a="1"/>
  <c r="O697" i="44" s="1"/>
  <c r="C697" i="44"/>
  <c r="AA696" i="44" a="1"/>
  <c r="AA696" i="44" s="1"/>
  <c r="Z696" i="44"/>
  <c r="Z696" i="44" a="1"/>
  <c r="R696" i="44"/>
  <c r="U696" i="44" s="1"/>
  <c r="P696" i="44" a="1"/>
  <c r="P696" i="44" s="1"/>
  <c r="O696" i="44"/>
  <c r="O696" i="44" a="1"/>
  <c r="F696" i="44"/>
  <c r="C696" i="44"/>
  <c r="AA694" i="44"/>
  <c r="AA694" i="44" a="1"/>
  <c r="Z694" i="44"/>
  <c r="Z694" i="44" a="1"/>
  <c r="R694" i="44"/>
  <c r="U694" i="44" s="1"/>
  <c r="P694" i="44"/>
  <c r="P694" i="44" a="1"/>
  <c r="O694" i="44" a="1"/>
  <c r="O694" i="44" s="1"/>
  <c r="F694" i="44"/>
  <c r="C694" i="44"/>
  <c r="AA693" i="44" a="1"/>
  <c r="AA693" i="44" s="1"/>
  <c r="Z693" i="44" a="1"/>
  <c r="Z693" i="44" s="1"/>
  <c r="R693" i="44"/>
  <c r="U693" i="44" s="1"/>
  <c r="P693" i="44"/>
  <c r="P693" i="44" a="1"/>
  <c r="O693" i="44" a="1"/>
  <c r="O693" i="44" s="1"/>
  <c r="F693" i="44"/>
  <c r="C693" i="44"/>
  <c r="AA691" i="44" a="1"/>
  <c r="AA691" i="44" s="1"/>
  <c r="Z691" i="44" a="1"/>
  <c r="Z691" i="44" s="1"/>
  <c r="R691" i="44"/>
  <c r="U691" i="44" s="1"/>
  <c r="P691" i="44"/>
  <c r="P691" i="44" a="1"/>
  <c r="O691" i="44"/>
  <c r="O691" i="44" a="1"/>
  <c r="C691" i="44"/>
  <c r="AA690" i="44" a="1"/>
  <c r="AA690" i="44" s="1"/>
  <c r="Z690" i="44" a="1"/>
  <c r="Z690" i="44" s="1"/>
  <c r="R690" i="44"/>
  <c r="U690" i="44" s="1"/>
  <c r="P690" i="44" a="1"/>
  <c r="P690" i="44" s="1"/>
  <c r="O690" i="44" a="1"/>
  <c r="O690" i="44" s="1"/>
  <c r="F690" i="44"/>
  <c r="C690" i="44"/>
  <c r="AA688" i="44" a="1"/>
  <c r="AA688" i="44" s="1"/>
  <c r="Z688" i="44" a="1"/>
  <c r="Z688" i="44" s="1"/>
  <c r="R688" i="44"/>
  <c r="U688" i="44" s="1"/>
  <c r="P688" i="44" a="1"/>
  <c r="P688" i="44" s="1"/>
  <c r="O688" i="44" a="1"/>
  <c r="O688" i="44" s="1"/>
  <c r="C688" i="44"/>
  <c r="AA687" i="44"/>
  <c r="AA687" i="44" a="1"/>
  <c r="Z687" i="44" a="1"/>
  <c r="Z687" i="44" s="1"/>
  <c r="R687" i="44"/>
  <c r="U687" i="44" s="1"/>
  <c r="P687" i="44" a="1"/>
  <c r="P687" i="44" s="1"/>
  <c r="O687" i="44" a="1"/>
  <c r="O687" i="44" s="1"/>
  <c r="F687" i="44"/>
  <c r="C687" i="44"/>
  <c r="AA685" i="44"/>
  <c r="AA685" i="44" a="1"/>
  <c r="Z685" i="44"/>
  <c r="Z685" i="44" a="1"/>
  <c r="R685" i="44"/>
  <c r="U685" i="44" s="1"/>
  <c r="P685" i="44"/>
  <c r="P685" i="44" a="1"/>
  <c r="O685" i="44" a="1"/>
  <c r="O685" i="44" s="1"/>
  <c r="F685" i="44"/>
  <c r="C685" i="44"/>
  <c r="AA684" i="44" a="1"/>
  <c r="AA684" i="44" s="1"/>
  <c r="Z684" i="44"/>
  <c r="Z684" i="44" a="1"/>
  <c r="R684" i="44"/>
  <c r="U684" i="44" s="1"/>
  <c r="P684" i="44" a="1"/>
  <c r="P684" i="44" s="1"/>
  <c r="O684" i="44" a="1"/>
  <c r="O684" i="44" s="1"/>
  <c r="F684" i="44"/>
  <c r="C684" i="44"/>
  <c r="AA682" i="44"/>
  <c r="AA682" i="44" a="1"/>
  <c r="Z682" i="44" a="1"/>
  <c r="Z682" i="44" s="1"/>
  <c r="R682" i="44"/>
  <c r="U682" i="44" s="1"/>
  <c r="P682" i="44" a="1"/>
  <c r="P682" i="44" s="1"/>
  <c r="O682" i="44" a="1"/>
  <c r="O682" i="44" s="1"/>
  <c r="C682" i="44"/>
  <c r="AA681" i="44" a="1"/>
  <c r="AA681" i="44" s="1"/>
  <c r="Z681" i="44" a="1"/>
  <c r="Z681" i="44" s="1"/>
  <c r="R681" i="44"/>
  <c r="U681" i="44" s="1"/>
  <c r="P681" i="44" a="1"/>
  <c r="P681" i="44" s="1"/>
  <c r="O681" i="44" a="1"/>
  <c r="O681" i="44" s="1"/>
  <c r="C681" i="44"/>
  <c r="AA680" i="44" a="1"/>
  <c r="AA680" i="44" s="1"/>
  <c r="Z680" i="44" a="1"/>
  <c r="Z680" i="44" s="1"/>
  <c r="R680" i="44"/>
  <c r="U680" i="44" s="1"/>
  <c r="P680" i="44" a="1"/>
  <c r="P680" i="44" s="1"/>
  <c r="O680" i="44"/>
  <c r="O680" i="44" a="1"/>
  <c r="C680" i="44"/>
  <c r="AA679" i="44" a="1"/>
  <c r="AA679" i="44" s="1"/>
  <c r="Z679" i="44" a="1"/>
  <c r="Z679" i="44" s="1"/>
  <c r="R679" i="44"/>
  <c r="U679" i="44" s="1"/>
  <c r="P679" i="44"/>
  <c r="P679" i="44" a="1"/>
  <c r="O679" i="44" a="1"/>
  <c r="O679" i="44" s="1"/>
  <c r="C679" i="44"/>
  <c r="AA678" i="44"/>
  <c r="AA678" i="44" a="1"/>
  <c r="Z678" i="44" a="1"/>
  <c r="Z678" i="44" s="1"/>
  <c r="R678" i="44"/>
  <c r="U678" i="44" s="1"/>
  <c r="P678" i="44" a="1"/>
  <c r="P678" i="44" s="1"/>
  <c r="O678" i="44" a="1"/>
  <c r="O678" i="44" s="1"/>
  <c r="C678" i="44"/>
  <c r="AA677" i="44" a="1"/>
  <c r="AA677" i="44" s="1"/>
  <c r="Z677" i="44"/>
  <c r="Z677" i="44" a="1"/>
  <c r="R677" i="44"/>
  <c r="U677" i="44" s="1"/>
  <c r="P677" i="44" a="1"/>
  <c r="P677" i="44" s="1"/>
  <c r="O677" i="44" a="1"/>
  <c r="O677" i="44" s="1"/>
  <c r="C677" i="44"/>
  <c r="AA676" i="44" a="1"/>
  <c r="AA676" i="44" s="1"/>
  <c r="Z676" i="44" a="1"/>
  <c r="Z676" i="44" s="1"/>
  <c r="R676" i="44"/>
  <c r="U676" i="44" s="1"/>
  <c r="P676" i="44" a="1"/>
  <c r="P676" i="44" s="1"/>
  <c r="O676" i="44" a="1"/>
  <c r="O676" i="44" s="1"/>
  <c r="C676" i="44"/>
  <c r="AA675" i="44" a="1"/>
  <c r="AA675" i="44" s="1"/>
  <c r="Z675" i="44" a="1"/>
  <c r="Z675" i="44" s="1"/>
  <c r="R675" i="44"/>
  <c r="U675" i="44" s="1"/>
  <c r="P675" i="44" a="1"/>
  <c r="P675" i="44" s="1"/>
  <c r="O675" i="44" a="1"/>
  <c r="O675" i="44" s="1"/>
  <c r="C675" i="44"/>
  <c r="AA674" i="44"/>
  <c r="AA674" i="44" a="1"/>
  <c r="Z674" i="44" a="1"/>
  <c r="Z674" i="44" s="1"/>
  <c r="R674" i="44"/>
  <c r="U674" i="44" s="1"/>
  <c r="P674" i="44" a="1"/>
  <c r="P674" i="44" s="1"/>
  <c r="O674" i="44"/>
  <c r="O674" i="44" a="1"/>
  <c r="C674" i="44"/>
  <c r="AA673" i="44" a="1"/>
  <c r="AA673" i="44" s="1"/>
  <c r="Z673" i="44" a="1"/>
  <c r="Z673" i="44" s="1"/>
  <c r="R673" i="44"/>
  <c r="U673" i="44" s="1"/>
  <c r="P673" i="44" a="1"/>
  <c r="P673" i="44" s="1"/>
  <c r="O673" i="44" a="1"/>
  <c r="O673" i="44" s="1"/>
  <c r="C673" i="44"/>
  <c r="AA672" i="44"/>
  <c r="AA672" i="44" a="1"/>
  <c r="Z672" i="44" a="1"/>
  <c r="Z672" i="44" s="1"/>
  <c r="R672" i="44"/>
  <c r="U672" i="44" s="1"/>
  <c r="P672" i="44" a="1"/>
  <c r="P672" i="44" s="1"/>
  <c r="O672" i="44"/>
  <c r="O672" i="44" a="1"/>
  <c r="C672" i="44"/>
  <c r="AA671" i="44" a="1"/>
  <c r="AA671" i="44" s="1"/>
  <c r="Z671" i="44" a="1"/>
  <c r="Z671" i="44" s="1"/>
  <c r="R671" i="44"/>
  <c r="U671" i="44" s="1"/>
  <c r="P671" i="44"/>
  <c r="P671" i="44" a="1"/>
  <c r="O671" i="44" a="1"/>
  <c r="O671" i="44" s="1"/>
  <c r="C671" i="44"/>
  <c r="AA670" i="44" a="1"/>
  <c r="AA670" i="44" s="1"/>
  <c r="Z670" i="44"/>
  <c r="Z670" i="44" a="1"/>
  <c r="R670" i="44"/>
  <c r="U670" i="44" s="1"/>
  <c r="P670" i="44" a="1"/>
  <c r="P670" i="44" s="1"/>
  <c r="O670" i="44" a="1"/>
  <c r="O670" i="44" s="1"/>
  <c r="C670" i="44"/>
  <c r="AA669" i="44" a="1"/>
  <c r="AA669" i="44" s="1"/>
  <c r="Z669" i="44" a="1"/>
  <c r="Z669" i="44" s="1"/>
  <c r="R669" i="44"/>
  <c r="U669" i="44" s="1"/>
  <c r="P669" i="44" a="1"/>
  <c r="P669" i="44" s="1"/>
  <c r="O669" i="44" a="1"/>
  <c r="O669" i="44" s="1"/>
  <c r="C669" i="44"/>
  <c r="AA668" i="44"/>
  <c r="AA668" i="44" a="1"/>
  <c r="Z668" i="44" a="1"/>
  <c r="Z668" i="44" s="1"/>
  <c r="R668" i="44"/>
  <c r="U668" i="44" s="1"/>
  <c r="P668" i="44" a="1"/>
  <c r="P668" i="44" s="1"/>
  <c r="O668" i="44"/>
  <c r="O668" i="44" a="1"/>
  <c r="C668" i="44"/>
  <c r="AA667" i="44" a="1"/>
  <c r="AA667" i="44" s="1"/>
  <c r="Z667" i="44" a="1"/>
  <c r="Z667" i="44" s="1"/>
  <c r="R667" i="44"/>
  <c r="U667" i="44" s="1"/>
  <c r="P667" i="44" a="1"/>
  <c r="P667" i="44" s="1"/>
  <c r="O667" i="44" a="1"/>
  <c r="O667" i="44" s="1"/>
  <c r="C667" i="44"/>
  <c r="P666" i="44" a="1"/>
  <c r="P666" i="44" s="1"/>
  <c r="E666" i="44"/>
  <c r="AA664" i="44" a="1"/>
  <c r="AA664" i="44" s="1"/>
  <c r="Z664" i="44" a="1"/>
  <c r="Z664" i="44" s="1"/>
  <c r="R664" i="44"/>
  <c r="U664" i="44" s="1"/>
  <c r="P664" i="44" a="1"/>
  <c r="P664" i="44" s="1"/>
  <c r="O664" i="44"/>
  <c r="O664" i="44" a="1"/>
  <c r="F664" i="44"/>
  <c r="K664" i="44" s="1"/>
  <c r="C664" i="44"/>
  <c r="AA663" i="44"/>
  <c r="AA663" i="44" a="1"/>
  <c r="Z663" i="44" a="1"/>
  <c r="Z663" i="44" s="1"/>
  <c r="V663" i="44"/>
  <c r="R663" i="44"/>
  <c r="U663" i="44" s="1"/>
  <c r="P663" i="44"/>
  <c r="P663" i="44" a="1"/>
  <c r="O663" i="44" a="1"/>
  <c r="O663" i="44" s="1"/>
  <c r="M663" i="44"/>
  <c r="F663" i="44"/>
  <c r="K663" i="44" s="1"/>
  <c r="AI663" i="44" s="1"/>
  <c r="C663" i="44"/>
  <c r="AI661" i="44"/>
  <c r="AA661" i="44"/>
  <c r="AA661" i="44" a="1"/>
  <c r="Z661" i="44" a="1"/>
  <c r="Z661" i="44" s="1"/>
  <c r="R661" i="44"/>
  <c r="U661" i="44" s="1"/>
  <c r="P661" i="44" a="1"/>
  <c r="P661" i="44" s="1"/>
  <c r="O661" i="44" a="1"/>
  <c r="O661" i="44" s="1"/>
  <c r="M661" i="44"/>
  <c r="F661" i="44"/>
  <c r="K661" i="44" s="1"/>
  <c r="V661" i="44" s="1"/>
  <c r="C661" i="44"/>
  <c r="AA660" i="44" a="1"/>
  <c r="AA660" i="44" s="1"/>
  <c r="Z660" i="44"/>
  <c r="Z660" i="44" a="1"/>
  <c r="R660" i="44"/>
  <c r="U660" i="44" s="1"/>
  <c r="P660" i="44" a="1"/>
  <c r="P660" i="44" s="1"/>
  <c r="O660" i="44" a="1"/>
  <c r="O660" i="44" s="1"/>
  <c r="K660" i="44"/>
  <c r="F660" i="44"/>
  <c r="C660" i="44"/>
  <c r="AA658" i="44"/>
  <c r="AA658" i="44" a="1"/>
  <c r="Z658" i="44" a="1"/>
  <c r="Z658" i="44" s="1"/>
  <c r="R658" i="44"/>
  <c r="U658" i="44" s="1"/>
  <c r="P658" i="44" a="1"/>
  <c r="P658" i="44" s="1"/>
  <c r="O658" i="44" a="1"/>
  <c r="O658" i="44" s="1"/>
  <c r="C658" i="44"/>
  <c r="AA657" i="44"/>
  <c r="AA657" i="44" a="1"/>
  <c r="Z657" i="44" a="1"/>
  <c r="Z657" i="44" s="1"/>
  <c r="R657" i="44"/>
  <c r="U657" i="44" s="1"/>
  <c r="P657" i="44"/>
  <c r="P657" i="44" a="1"/>
  <c r="O657" i="44" a="1"/>
  <c r="O657" i="44" s="1"/>
  <c r="F657" i="44"/>
  <c r="F658" i="44" s="1"/>
  <c r="K658" i="44" s="1"/>
  <c r="C657" i="44"/>
  <c r="AA655" i="44"/>
  <c r="AA655" i="44" a="1"/>
  <c r="Z655" i="44" a="1"/>
  <c r="Z655" i="44" s="1"/>
  <c r="R655" i="44"/>
  <c r="U655" i="44" s="1"/>
  <c r="P655" i="44" a="1"/>
  <c r="P655" i="44" s="1"/>
  <c r="O655" i="44" a="1"/>
  <c r="O655" i="44" s="1"/>
  <c r="K655" i="44"/>
  <c r="C655" i="44"/>
  <c r="AA654" i="44" a="1"/>
  <c r="AA654" i="44" s="1"/>
  <c r="Z654" i="44"/>
  <c r="Z654" i="44" a="1"/>
  <c r="R654" i="44"/>
  <c r="U654" i="44" s="1"/>
  <c r="P654" i="44"/>
  <c r="T654" i="44" s="1"/>
  <c r="P654" i="44" a="1"/>
  <c r="O654" i="44" a="1"/>
  <c r="O654" i="44" s="1"/>
  <c r="S654" i="44" s="1"/>
  <c r="L654" i="44"/>
  <c r="K654" i="44"/>
  <c r="V654" i="44" s="1"/>
  <c r="F654" i="44"/>
  <c r="F655" i="44" s="1"/>
  <c r="C654" i="44"/>
  <c r="AA652" i="44" a="1"/>
  <c r="AA652" i="44" s="1"/>
  <c r="Z652" i="44" a="1"/>
  <c r="Z652" i="44" s="1"/>
  <c r="R652" i="44"/>
  <c r="U652" i="44" s="1"/>
  <c r="P652" i="44"/>
  <c r="T652" i="44" s="1"/>
  <c r="P652" i="44" a="1"/>
  <c r="O652" i="44"/>
  <c r="S652" i="44" s="1"/>
  <c r="O652" i="44" a="1"/>
  <c r="L652" i="44"/>
  <c r="F652" i="44"/>
  <c r="K652" i="44" s="1"/>
  <c r="C652" i="44"/>
  <c r="AI651" i="44"/>
  <c r="AA651" i="44" a="1"/>
  <c r="AA651" i="44" s="1"/>
  <c r="Z651" i="44" a="1"/>
  <c r="Z651" i="44" s="1"/>
  <c r="V651" i="44"/>
  <c r="R651" i="44"/>
  <c r="U651" i="44" s="1"/>
  <c r="P651" i="44"/>
  <c r="P651" i="44" a="1"/>
  <c r="O651" i="44"/>
  <c r="O651" i="44" a="1"/>
  <c r="L651" i="44"/>
  <c r="F651" i="44"/>
  <c r="K651" i="44" s="1"/>
  <c r="C651" i="44"/>
  <c r="AA649" i="44"/>
  <c r="AA649" i="44" a="1"/>
  <c r="Z649" i="44" a="1"/>
  <c r="Z649" i="44" s="1"/>
  <c r="R649" i="44"/>
  <c r="U649" i="44" s="1"/>
  <c r="P649" i="44"/>
  <c r="P649" i="44" a="1"/>
  <c r="O649" i="44" a="1"/>
  <c r="O649" i="44" s="1"/>
  <c r="F649" i="44"/>
  <c r="K649" i="44" s="1"/>
  <c r="C649" i="44"/>
  <c r="AA648" i="44" a="1"/>
  <c r="AA648" i="44" s="1"/>
  <c r="Z648" i="44" a="1"/>
  <c r="Z648" i="44" s="1"/>
  <c r="R648" i="44"/>
  <c r="U648" i="44" s="1"/>
  <c r="P648" i="44" a="1"/>
  <c r="P648" i="44" s="1"/>
  <c r="O648" i="44" a="1"/>
  <c r="O648" i="44" s="1"/>
  <c r="S648" i="44" s="1"/>
  <c r="K648" i="44"/>
  <c r="F648" i="44"/>
  <c r="C648" i="44"/>
  <c r="AA646" i="44" a="1"/>
  <c r="AA646" i="44" s="1"/>
  <c r="Z646" i="44" a="1"/>
  <c r="Z646" i="44" s="1"/>
  <c r="R646" i="44"/>
  <c r="U646" i="44" s="1"/>
  <c r="P646" i="44" a="1"/>
  <c r="P646" i="44" s="1"/>
  <c r="O646" i="44" a="1"/>
  <c r="O646" i="44" s="1"/>
  <c r="F646" i="44"/>
  <c r="K646" i="44" s="1"/>
  <c r="C646" i="44"/>
  <c r="AE645" i="44"/>
  <c r="AA645" i="44" a="1"/>
  <c r="AA645" i="44" s="1"/>
  <c r="Z645" i="44"/>
  <c r="Z645" i="44" a="1"/>
  <c r="V645" i="44"/>
  <c r="R645" i="44"/>
  <c r="U645" i="44" s="1"/>
  <c r="P645" i="44" a="1"/>
  <c r="P645" i="44" s="1"/>
  <c r="T645" i="44" s="1"/>
  <c r="O645" i="44"/>
  <c r="O645" i="44" a="1"/>
  <c r="L645" i="44"/>
  <c r="K645" i="44"/>
  <c r="S645" i="44" s="1"/>
  <c r="F645" i="44"/>
  <c r="C645" i="44"/>
  <c r="AA643" i="44" a="1"/>
  <c r="AA643" i="44" s="1"/>
  <c r="Z643" i="44" a="1"/>
  <c r="Z643" i="44" s="1"/>
  <c r="R643" i="44"/>
  <c r="U643" i="44" s="1"/>
  <c r="P643" i="44" a="1"/>
  <c r="P643" i="44" s="1"/>
  <c r="O643" i="44" a="1"/>
  <c r="O643" i="44" s="1"/>
  <c r="C643" i="44"/>
  <c r="AA642" i="44" a="1"/>
  <c r="AA642" i="44" s="1"/>
  <c r="Z642" i="44" a="1"/>
  <c r="Z642" i="44" s="1"/>
  <c r="T642" i="44"/>
  <c r="R642" i="44"/>
  <c r="U642" i="44" s="1"/>
  <c r="P642" i="44"/>
  <c r="P642" i="44" a="1"/>
  <c r="O642" i="44" a="1"/>
  <c r="O642" i="44" s="1"/>
  <c r="F642" i="44"/>
  <c r="K642" i="44" s="1"/>
  <c r="V642" i="44" s="1"/>
  <c r="C642" i="44"/>
  <c r="AI640" i="44"/>
  <c r="AA640" i="44"/>
  <c r="AA640" i="44" a="1"/>
  <c r="Z640" i="44" a="1"/>
  <c r="Z640" i="44" s="1"/>
  <c r="V640" i="44"/>
  <c r="R640" i="44"/>
  <c r="U640" i="44" s="1"/>
  <c r="W640" i="44" s="1"/>
  <c r="P640" i="44" a="1"/>
  <c r="P640" i="44" s="1"/>
  <c r="T640" i="44" s="1"/>
  <c r="O640" i="44" a="1"/>
  <c r="O640" i="44" s="1"/>
  <c r="M640" i="44"/>
  <c r="F640" i="44"/>
  <c r="K640" i="44" s="1"/>
  <c r="C640" i="44"/>
  <c r="AA639" i="44"/>
  <c r="AA639" i="44" a="1"/>
  <c r="Z639" i="44" a="1"/>
  <c r="Z639" i="44" s="1"/>
  <c r="R639" i="44"/>
  <c r="U639" i="44" s="1"/>
  <c r="P639" i="44" a="1"/>
  <c r="P639" i="44" s="1"/>
  <c r="O639" i="44" a="1"/>
  <c r="O639" i="44" s="1"/>
  <c r="M639" i="44"/>
  <c r="K639" i="44"/>
  <c r="F639" i="44"/>
  <c r="C639" i="44"/>
  <c r="AA637" i="44"/>
  <c r="AA637" i="44" a="1"/>
  <c r="Z637" i="44" a="1"/>
  <c r="Z637" i="44" s="1"/>
  <c r="R637" i="44"/>
  <c r="U637" i="44" s="1"/>
  <c r="P637" i="44" a="1"/>
  <c r="P637" i="44" s="1"/>
  <c r="O637" i="44" a="1"/>
  <c r="O637" i="44" s="1"/>
  <c r="C637" i="44"/>
  <c r="AA636" i="44" a="1"/>
  <c r="AA636" i="44" s="1"/>
  <c r="Z636" i="44" a="1"/>
  <c r="Z636" i="44" s="1"/>
  <c r="V636" i="44"/>
  <c r="S636" i="44"/>
  <c r="AE636" i="44" s="1"/>
  <c r="AB636" i="44" s="1"/>
  <c r="R636" i="44"/>
  <c r="U636" i="44" s="1"/>
  <c r="P636" i="44" a="1"/>
  <c r="P636" i="44" s="1"/>
  <c r="T636" i="44" s="1"/>
  <c r="O636" i="44" a="1"/>
  <c r="O636" i="44" s="1"/>
  <c r="M636" i="44"/>
  <c r="L636" i="44"/>
  <c r="K636" i="44"/>
  <c r="AI636" i="44" s="1"/>
  <c r="F636" i="44"/>
  <c r="F637" i="44" s="1"/>
  <c r="K637" i="44" s="1"/>
  <c r="C636" i="44"/>
  <c r="AA634" i="44" a="1"/>
  <c r="AA634" i="44" s="1"/>
  <c r="Z634" i="44" a="1"/>
  <c r="Z634" i="44" s="1"/>
  <c r="R634" i="44"/>
  <c r="U634" i="44" s="1"/>
  <c r="P634" i="44" a="1"/>
  <c r="P634" i="44" s="1"/>
  <c r="O634" i="44" a="1"/>
  <c r="O634" i="44" s="1"/>
  <c r="K634" i="44"/>
  <c r="F634" i="44"/>
  <c r="C634" i="44"/>
  <c r="AA633" i="44" a="1"/>
  <c r="AA633" i="44" s="1"/>
  <c r="Z633" i="44" a="1"/>
  <c r="Z633" i="44" s="1"/>
  <c r="R633" i="44"/>
  <c r="U633" i="44" s="1"/>
  <c r="P633" i="44" a="1"/>
  <c r="P633" i="44" s="1"/>
  <c r="O633" i="44"/>
  <c r="O633" i="44" a="1"/>
  <c r="L633" i="44"/>
  <c r="K633" i="44"/>
  <c r="F633" i="44"/>
  <c r="C633" i="44"/>
  <c r="AA631" i="44" a="1"/>
  <c r="AA631" i="44" s="1"/>
  <c r="Z631" i="44" a="1"/>
  <c r="Z631" i="44" s="1"/>
  <c r="R631" i="44"/>
  <c r="U631" i="44" s="1"/>
  <c r="P631" i="44" a="1"/>
  <c r="P631" i="44" s="1"/>
  <c r="O631" i="44"/>
  <c r="O631" i="44" a="1"/>
  <c r="C631" i="44"/>
  <c r="AA630" i="44"/>
  <c r="AA630" i="44" a="1"/>
  <c r="Z630" i="44" a="1"/>
  <c r="Z630" i="44" s="1"/>
  <c r="R630" i="44"/>
  <c r="U630" i="44" s="1"/>
  <c r="P630" i="44" a="1"/>
  <c r="P630" i="44" s="1"/>
  <c r="O630" i="44" a="1"/>
  <c r="O630" i="44" s="1"/>
  <c r="F630" i="44"/>
  <c r="K630" i="44" s="1"/>
  <c r="V630" i="44" s="1"/>
  <c r="C630" i="44"/>
  <c r="AA628" i="44"/>
  <c r="AA628" i="44" a="1"/>
  <c r="Z628" i="44" a="1"/>
  <c r="Z628" i="44" s="1"/>
  <c r="T628" i="44"/>
  <c r="R628" i="44"/>
  <c r="U628" i="44" s="1"/>
  <c r="P628" i="44" a="1"/>
  <c r="P628" i="44" s="1"/>
  <c r="O628" i="44" a="1"/>
  <c r="O628" i="44" s="1"/>
  <c r="F628" i="44"/>
  <c r="K628" i="44" s="1"/>
  <c r="V628" i="44" s="1"/>
  <c r="C628" i="44"/>
  <c r="AA627" i="44" a="1"/>
  <c r="AA627" i="44" s="1"/>
  <c r="Z627" i="44" a="1"/>
  <c r="Z627" i="44" s="1"/>
  <c r="R627" i="44"/>
  <c r="U627" i="44" s="1"/>
  <c r="P627" i="44" a="1"/>
  <c r="P627" i="44" s="1"/>
  <c r="O627" i="44"/>
  <c r="O627" i="44" a="1"/>
  <c r="K627" i="44"/>
  <c r="F627" i="44"/>
  <c r="C627" i="44"/>
  <c r="AA625" i="44" a="1"/>
  <c r="AA625" i="44" s="1"/>
  <c r="Z625" i="44"/>
  <c r="Z625" i="44" a="1"/>
  <c r="R625" i="44"/>
  <c r="U625" i="44" s="1"/>
  <c r="P625" i="44"/>
  <c r="P625" i="44" a="1"/>
  <c r="O625" i="44"/>
  <c r="O625" i="44" a="1"/>
  <c r="C625" i="44"/>
  <c r="AA624" i="44"/>
  <c r="AA624" i="44" a="1"/>
  <c r="Z624" i="44" a="1"/>
  <c r="Z624" i="44" s="1"/>
  <c r="R624" i="44"/>
  <c r="U624" i="44" s="1"/>
  <c r="P624" i="44" a="1"/>
  <c r="P624" i="44" s="1"/>
  <c r="O624" i="44"/>
  <c r="O624" i="44" a="1"/>
  <c r="F624" i="44"/>
  <c r="C624" i="44"/>
  <c r="AA622" i="44" a="1"/>
  <c r="AA622" i="44" s="1"/>
  <c r="Z622" i="44" a="1"/>
  <c r="Z622" i="44" s="1"/>
  <c r="R622" i="44"/>
  <c r="U622" i="44" s="1"/>
  <c r="P622" i="44"/>
  <c r="P622" i="44" a="1"/>
  <c r="O622" i="44"/>
  <c r="O622" i="44" a="1"/>
  <c r="F622" i="44"/>
  <c r="K622" i="44" s="1"/>
  <c r="C622" i="44"/>
  <c r="AA621" i="44" a="1"/>
  <c r="AA621" i="44" s="1"/>
  <c r="Z621" i="44" a="1"/>
  <c r="Z621" i="44" s="1"/>
  <c r="R621" i="44"/>
  <c r="U621" i="44" s="1"/>
  <c r="P621" i="44" a="1"/>
  <c r="P621" i="44" s="1"/>
  <c r="O621" i="44" a="1"/>
  <c r="O621" i="44" s="1"/>
  <c r="L621" i="44"/>
  <c r="K621" i="44"/>
  <c r="F621" i="44"/>
  <c r="C621" i="44"/>
  <c r="AA619" i="44" a="1"/>
  <c r="AA619" i="44" s="1"/>
  <c r="Z619" i="44"/>
  <c r="Z619" i="44" a="1"/>
  <c r="R619" i="44"/>
  <c r="U619" i="44" s="1"/>
  <c r="P619" i="44" a="1"/>
  <c r="P619" i="44" s="1"/>
  <c r="O619" i="44" a="1"/>
  <c r="O619" i="44" s="1"/>
  <c r="C619" i="44"/>
  <c r="AA618" i="44" a="1"/>
  <c r="AA618" i="44" s="1"/>
  <c r="Z618" i="44" a="1"/>
  <c r="Z618" i="44" s="1"/>
  <c r="R618" i="44"/>
  <c r="U618" i="44" s="1"/>
  <c r="P618" i="44" a="1"/>
  <c r="P618" i="44" s="1"/>
  <c r="T618" i="44" s="1"/>
  <c r="O618" i="44" a="1"/>
  <c r="O618" i="44" s="1"/>
  <c r="L618" i="44"/>
  <c r="F618" i="44"/>
  <c r="K618" i="44" s="1"/>
  <c r="C618" i="44"/>
  <c r="AA616" i="44" a="1"/>
  <c r="AA616" i="44" s="1"/>
  <c r="Z616" i="44" a="1"/>
  <c r="Z616" i="44" s="1"/>
  <c r="R616" i="44"/>
  <c r="U616" i="44" s="1"/>
  <c r="P616" i="44" a="1"/>
  <c r="P616" i="44" s="1"/>
  <c r="O616" i="44"/>
  <c r="O616" i="44" a="1"/>
  <c r="F616" i="44"/>
  <c r="K616" i="44" s="1"/>
  <c r="C616" i="44"/>
  <c r="AA615" i="44" a="1"/>
  <c r="AA615" i="44" s="1"/>
  <c r="Z615" i="44" a="1"/>
  <c r="Z615" i="44" s="1"/>
  <c r="R615" i="44"/>
  <c r="U615" i="44" s="1"/>
  <c r="P615" i="44" a="1"/>
  <c r="P615" i="44" s="1"/>
  <c r="T615" i="44" s="1"/>
  <c r="O615" i="44"/>
  <c r="O615" i="44" a="1"/>
  <c r="L615" i="44"/>
  <c r="K615" i="44"/>
  <c r="F615" i="44"/>
  <c r="C615" i="44"/>
  <c r="AA613" i="44" a="1"/>
  <c r="AA613" i="44" s="1"/>
  <c r="Z613" i="44" a="1"/>
  <c r="Z613" i="44" s="1"/>
  <c r="R613" i="44"/>
  <c r="U613" i="44" s="1"/>
  <c r="P613" i="44" a="1"/>
  <c r="P613" i="44" s="1"/>
  <c r="O613" i="44"/>
  <c r="O613" i="44" a="1"/>
  <c r="C613" i="44"/>
  <c r="AA612" i="44"/>
  <c r="AA612" i="44" a="1"/>
  <c r="Z612" i="44" a="1"/>
  <c r="Z612" i="44" s="1"/>
  <c r="T612" i="44"/>
  <c r="R612" i="44"/>
  <c r="U612" i="44" s="1"/>
  <c r="P612" i="44"/>
  <c r="P612" i="44" a="1"/>
  <c r="O612" i="44" a="1"/>
  <c r="O612" i="44" s="1"/>
  <c r="F612" i="44"/>
  <c r="K612" i="44" s="1"/>
  <c r="V612" i="44" s="1"/>
  <c r="C612" i="44"/>
  <c r="AA610" i="44"/>
  <c r="AA610" i="44" a="1"/>
  <c r="Z610" i="44" a="1"/>
  <c r="Z610" i="44" s="1"/>
  <c r="R610" i="44"/>
  <c r="U610" i="44" s="1"/>
  <c r="P610" i="44"/>
  <c r="P610" i="44" a="1"/>
  <c r="O610" i="44" a="1"/>
  <c r="O610" i="44" s="1"/>
  <c r="M610" i="44"/>
  <c r="F610" i="44"/>
  <c r="K610" i="44" s="1"/>
  <c r="V610" i="44" s="1"/>
  <c r="C610" i="44"/>
  <c r="AI609" i="44"/>
  <c r="AA609" i="44" a="1"/>
  <c r="AA609" i="44" s="1"/>
  <c r="Z609" i="44" a="1"/>
  <c r="Z609" i="44" s="1"/>
  <c r="R609" i="44"/>
  <c r="U609" i="44" s="1"/>
  <c r="P609" i="44" a="1"/>
  <c r="P609" i="44" s="1"/>
  <c r="O609" i="44" a="1"/>
  <c r="O609" i="44" s="1"/>
  <c r="K609" i="44"/>
  <c r="F609" i="44"/>
  <c r="C609" i="44"/>
  <c r="AA607" i="44" a="1"/>
  <c r="AA607" i="44" s="1"/>
  <c r="Z607" i="44"/>
  <c r="Z607" i="44" a="1"/>
  <c r="R607" i="44"/>
  <c r="U607" i="44" s="1"/>
  <c r="P607" i="44"/>
  <c r="P607" i="44" a="1"/>
  <c r="O607" i="44" a="1"/>
  <c r="O607" i="44" s="1"/>
  <c r="K607" i="44"/>
  <c r="C607" i="44"/>
  <c r="AA606" i="44" a="1"/>
  <c r="AA606" i="44" s="1"/>
  <c r="Z606" i="44" a="1"/>
  <c r="Z606" i="44" s="1"/>
  <c r="V606" i="44"/>
  <c r="R606" i="44"/>
  <c r="U606" i="44" s="1"/>
  <c r="P606" i="44" a="1"/>
  <c r="P606" i="44" s="1"/>
  <c r="O606" i="44"/>
  <c r="S606" i="44" s="1"/>
  <c r="O606" i="44" a="1"/>
  <c r="M606" i="44"/>
  <c r="L606" i="44"/>
  <c r="K606" i="44"/>
  <c r="C606" i="44"/>
  <c r="AA605" i="44"/>
  <c r="AA605" i="44" a="1"/>
  <c r="Z605" i="44" a="1"/>
  <c r="Z605" i="44" s="1"/>
  <c r="R605" i="44"/>
  <c r="U605" i="44" s="1"/>
  <c r="P605" i="44"/>
  <c r="P605" i="44" a="1"/>
  <c r="O605" i="44"/>
  <c r="O605" i="44" a="1"/>
  <c r="M605" i="44"/>
  <c r="K605" i="44"/>
  <c r="C605" i="44"/>
  <c r="AA604" i="44"/>
  <c r="AA604" i="44" a="1"/>
  <c r="Z604" i="44"/>
  <c r="Z604" i="44" a="1"/>
  <c r="R604" i="44"/>
  <c r="U604" i="44" s="1"/>
  <c r="P604" i="44" a="1"/>
  <c r="P604" i="44" s="1"/>
  <c r="T604" i="44" s="1"/>
  <c r="O604" i="44" a="1"/>
  <c r="O604" i="44" s="1"/>
  <c r="K604" i="44"/>
  <c r="C604" i="44"/>
  <c r="AA603" i="44" a="1"/>
  <c r="AA603" i="44" s="1"/>
  <c r="Z603" i="44" a="1"/>
  <c r="Z603" i="44" s="1"/>
  <c r="R603" i="44"/>
  <c r="U603" i="44" s="1"/>
  <c r="P603" i="44" a="1"/>
  <c r="P603" i="44" s="1"/>
  <c r="O603" i="44" a="1"/>
  <c r="O603" i="44" s="1"/>
  <c r="S603" i="44" s="1"/>
  <c r="K603" i="44"/>
  <c r="C603" i="44"/>
  <c r="AA602" i="44" a="1"/>
  <c r="AA602" i="44" s="1"/>
  <c r="Z602" i="44" a="1"/>
  <c r="Z602" i="44" s="1"/>
  <c r="V602" i="44"/>
  <c r="S602" i="44"/>
  <c r="R602" i="44"/>
  <c r="U602" i="44" s="1"/>
  <c r="W602" i="44" s="1"/>
  <c r="P602" i="44" a="1"/>
  <c r="P602" i="44" s="1"/>
  <c r="O602" i="44"/>
  <c r="O602" i="44" a="1"/>
  <c r="M602" i="44"/>
  <c r="L602" i="44"/>
  <c r="K602" i="44"/>
  <c r="C602" i="44"/>
  <c r="AA601" i="44" a="1"/>
  <c r="AA601" i="44" s="1"/>
  <c r="Z601" i="44"/>
  <c r="Z601" i="44" a="1"/>
  <c r="R601" i="44"/>
  <c r="U601" i="44" s="1"/>
  <c r="P601" i="44" a="1"/>
  <c r="P601" i="44" s="1"/>
  <c r="O601" i="44"/>
  <c r="O601" i="44" a="1"/>
  <c r="K601" i="44"/>
  <c r="C601" i="44"/>
  <c r="AA600" i="44" a="1"/>
  <c r="AA600" i="44" s="1"/>
  <c r="Z600" i="44"/>
  <c r="Z600" i="44" a="1"/>
  <c r="R600" i="44"/>
  <c r="U600" i="44" s="1"/>
  <c r="P600" i="44" a="1"/>
  <c r="P600" i="44" s="1"/>
  <c r="O600" i="44" a="1"/>
  <c r="O600" i="44" s="1"/>
  <c r="S600" i="44" s="1"/>
  <c r="M600" i="44"/>
  <c r="K600" i="44"/>
  <c r="C600" i="44"/>
  <c r="AA599" i="44" a="1"/>
  <c r="AA599" i="44" s="1"/>
  <c r="Z599" i="44" a="1"/>
  <c r="Z599" i="44" s="1"/>
  <c r="R599" i="44"/>
  <c r="U599" i="44" s="1"/>
  <c r="P599" i="44" a="1"/>
  <c r="P599" i="44" s="1"/>
  <c r="O599" i="44" a="1"/>
  <c r="O599" i="44" s="1"/>
  <c r="K599" i="44"/>
  <c r="C599" i="44"/>
  <c r="AA598" i="44" a="1"/>
  <c r="AA598" i="44" s="1"/>
  <c r="Z598" i="44"/>
  <c r="Z598" i="44" a="1"/>
  <c r="R598" i="44"/>
  <c r="U598" i="44" s="1"/>
  <c r="P598" i="44"/>
  <c r="P598" i="44" a="1"/>
  <c r="O598" i="44" a="1"/>
  <c r="O598" i="44" s="1"/>
  <c r="S598" i="44" s="1"/>
  <c r="K598" i="44"/>
  <c r="C598" i="44"/>
  <c r="AA597" i="44" a="1"/>
  <c r="AA597" i="44" s="1"/>
  <c r="Z597" i="44" a="1"/>
  <c r="Z597" i="44" s="1"/>
  <c r="R597" i="44"/>
  <c r="U597" i="44" s="1"/>
  <c r="P597" i="44"/>
  <c r="P597" i="44" a="1"/>
  <c r="O597" i="44" a="1"/>
  <c r="O597" i="44" s="1"/>
  <c r="M597" i="44"/>
  <c r="K597" i="44"/>
  <c r="C597" i="44"/>
  <c r="AA596" i="44" a="1"/>
  <c r="AA596" i="44" s="1"/>
  <c r="Z596" i="44" a="1"/>
  <c r="Z596" i="44" s="1"/>
  <c r="R596" i="44"/>
  <c r="U596" i="44" s="1"/>
  <c r="P596" i="44" a="1"/>
  <c r="P596" i="44" s="1"/>
  <c r="O596" i="44" a="1"/>
  <c r="O596" i="44" s="1"/>
  <c r="M596" i="44"/>
  <c r="K596" i="44"/>
  <c r="C596" i="44"/>
  <c r="AA595" i="44" a="1"/>
  <c r="AA595" i="44" s="1"/>
  <c r="Z595" i="44" a="1"/>
  <c r="Z595" i="44" s="1"/>
  <c r="R595" i="44"/>
  <c r="U595" i="44" s="1"/>
  <c r="P595" i="44" a="1"/>
  <c r="P595" i="44" s="1"/>
  <c r="O595" i="44"/>
  <c r="O595" i="44" a="1"/>
  <c r="K595" i="44"/>
  <c r="C595" i="44"/>
  <c r="AA594" i="44"/>
  <c r="AA594" i="44" a="1"/>
  <c r="Z594" i="44" a="1"/>
  <c r="Z594" i="44" s="1"/>
  <c r="V594" i="44"/>
  <c r="R594" i="44"/>
  <c r="U594" i="44" s="1"/>
  <c r="W594" i="44" s="1"/>
  <c r="P594" i="44"/>
  <c r="P594" i="44" a="1"/>
  <c r="O594" i="44"/>
  <c r="S594" i="44" s="1"/>
  <c r="O594" i="44" a="1"/>
  <c r="M594" i="44"/>
  <c r="K594" i="44"/>
  <c r="C594" i="44"/>
  <c r="AA593" i="44"/>
  <c r="AA593" i="44" a="1"/>
  <c r="Z593" i="44" a="1"/>
  <c r="Z593" i="44" s="1"/>
  <c r="R593" i="44"/>
  <c r="U593" i="44" s="1"/>
  <c r="P593" i="44" a="1"/>
  <c r="P593" i="44" s="1"/>
  <c r="O593" i="44" a="1"/>
  <c r="O593" i="44" s="1"/>
  <c r="S593" i="44" s="1"/>
  <c r="M593" i="44"/>
  <c r="K593" i="44"/>
  <c r="C593" i="44"/>
  <c r="AA592" i="44"/>
  <c r="AA592" i="44" a="1"/>
  <c r="Z592" i="44" a="1"/>
  <c r="Z592" i="44" s="1"/>
  <c r="R592" i="44"/>
  <c r="U592" i="44" s="1"/>
  <c r="P592" i="44" a="1"/>
  <c r="P592" i="44" s="1"/>
  <c r="T592" i="44" s="1"/>
  <c r="O592" i="44" a="1"/>
  <c r="O592" i="44" s="1"/>
  <c r="S592" i="44" s="1"/>
  <c r="M592" i="44"/>
  <c r="L592" i="44"/>
  <c r="K592" i="44"/>
  <c r="C592" i="44"/>
  <c r="AA591" i="44" a="1"/>
  <c r="AA591" i="44" s="1"/>
  <c r="Z591" i="44" a="1"/>
  <c r="Z591" i="44" s="1"/>
  <c r="V591" i="44"/>
  <c r="S591" i="44"/>
  <c r="R591" i="44"/>
  <c r="U591" i="44" s="1"/>
  <c r="P591" i="44" a="1"/>
  <c r="P591" i="44" s="1"/>
  <c r="O591" i="44"/>
  <c r="O591" i="44" a="1"/>
  <c r="K591" i="44"/>
  <c r="C591" i="44"/>
  <c r="AA590" i="44"/>
  <c r="AA590" i="44" a="1"/>
  <c r="Z590" i="44" a="1"/>
  <c r="Z590" i="44" s="1"/>
  <c r="R590" i="44"/>
  <c r="U590" i="44" s="1"/>
  <c r="P590" i="44" a="1"/>
  <c r="P590" i="44" s="1"/>
  <c r="T590" i="44" s="1"/>
  <c r="O590" i="44"/>
  <c r="S590" i="44" s="1"/>
  <c r="AE590" i="44" s="1"/>
  <c r="O590" i="44" a="1"/>
  <c r="M590" i="44"/>
  <c r="L590" i="44"/>
  <c r="K590" i="44"/>
  <c r="C590" i="44"/>
  <c r="AA589" i="44" a="1"/>
  <c r="AA589" i="44" s="1"/>
  <c r="Z589" i="44"/>
  <c r="Z589" i="44" a="1"/>
  <c r="R589" i="44"/>
  <c r="U589" i="44" s="1"/>
  <c r="P589" i="44" a="1"/>
  <c r="P589" i="44" s="1"/>
  <c r="O589" i="44" a="1"/>
  <c r="O589" i="44" s="1"/>
  <c r="L589" i="44"/>
  <c r="K589" i="44"/>
  <c r="C589" i="44"/>
  <c r="AA588" i="44" a="1"/>
  <c r="AA588" i="44" s="1"/>
  <c r="Z588" i="44" a="1"/>
  <c r="Z588" i="44" s="1"/>
  <c r="T588" i="44"/>
  <c r="R588" i="44"/>
  <c r="U588" i="44" s="1"/>
  <c r="P588" i="44" a="1"/>
  <c r="P588" i="44" s="1"/>
  <c r="O588" i="44"/>
  <c r="S588" i="44" s="1"/>
  <c r="O588" i="44" a="1"/>
  <c r="M588" i="44"/>
  <c r="L588" i="44"/>
  <c r="K588" i="44"/>
  <c r="C588" i="44"/>
  <c r="AA587" i="44" a="1"/>
  <c r="AA587" i="44" s="1"/>
  <c r="Z587" i="44" a="1"/>
  <c r="Z587" i="44" s="1"/>
  <c r="R587" i="44"/>
  <c r="U587" i="44" s="1"/>
  <c r="P587" i="44" a="1"/>
  <c r="P587" i="44" s="1"/>
  <c r="O587" i="44"/>
  <c r="O587" i="44" a="1"/>
  <c r="K587" i="44"/>
  <c r="M587" i="44" s="1"/>
  <c r="C587" i="44"/>
  <c r="AA586" i="44"/>
  <c r="AA586" i="44" a="1"/>
  <c r="Z586" i="44" a="1"/>
  <c r="Z586" i="44" s="1"/>
  <c r="V586" i="44"/>
  <c r="R586" i="44"/>
  <c r="U586" i="44" s="1"/>
  <c r="P586" i="44"/>
  <c r="T586" i="44" s="1"/>
  <c r="P586" i="44" a="1"/>
  <c r="O586" i="44" a="1"/>
  <c r="O586" i="44" s="1"/>
  <c r="S586" i="44" s="1"/>
  <c r="AE586" i="44" s="1"/>
  <c r="M586" i="44"/>
  <c r="L586" i="44"/>
  <c r="K586" i="44"/>
  <c r="C586" i="44"/>
  <c r="AA585" i="44" a="1"/>
  <c r="AA585" i="44" s="1"/>
  <c r="Z585" i="44" a="1"/>
  <c r="Z585" i="44" s="1"/>
  <c r="R585" i="44"/>
  <c r="U585" i="44" s="1"/>
  <c r="P585" i="44" a="1"/>
  <c r="P585" i="44" s="1"/>
  <c r="O585" i="44" a="1"/>
  <c r="O585" i="44" s="1"/>
  <c r="K585" i="44"/>
  <c r="C585" i="44"/>
  <c r="AA584" i="44"/>
  <c r="AA584" i="44" a="1"/>
  <c r="Z584" i="44" a="1"/>
  <c r="Z584" i="44" s="1"/>
  <c r="R584" i="44"/>
  <c r="U584" i="44" s="1"/>
  <c r="P584" i="44" a="1"/>
  <c r="P584" i="44" s="1"/>
  <c r="T584" i="44" s="1"/>
  <c r="O584" i="44"/>
  <c r="O584" i="44" a="1"/>
  <c r="K584" i="44"/>
  <c r="S584" i="44" s="1"/>
  <c r="C584" i="44"/>
  <c r="AA583" i="44" a="1"/>
  <c r="AA583" i="44" s="1"/>
  <c r="Z583" i="44" a="1"/>
  <c r="Z583" i="44" s="1"/>
  <c r="R583" i="44"/>
  <c r="U583" i="44" s="1"/>
  <c r="P583" i="44" a="1"/>
  <c r="P583" i="44" s="1"/>
  <c r="T583" i="44" s="1"/>
  <c r="O583" i="44" a="1"/>
  <c r="O583" i="44" s="1"/>
  <c r="L583" i="44"/>
  <c r="K583" i="44"/>
  <c r="M583" i="44" s="1"/>
  <c r="C583" i="44"/>
  <c r="AA582" i="44" a="1"/>
  <c r="AA582" i="44" s="1"/>
  <c r="Z582" i="44" a="1"/>
  <c r="Z582" i="44" s="1"/>
  <c r="R582" i="44"/>
  <c r="U582" i="44" s="1"/>
  <c r="P582" i="44" a="1"/>
  <c r="P582" i="44" s="1"/>
  <c r="T582" i="44" s="1"/>
  <c r="O582" i="44" a="1"/>
  <c r="O582" i="44" s="1"/>
  <c r="K582" i="44"/>
  <c r="C582" i="44"/>
  <c r="AA581" i="44"/>
  <c r="AA581" i="44" a="1"/>
  <c r="Z581" i="44" a="1"/>
  <c r="Z581" i="44" s="1"/>
  <c r="V581" i="44"/>
  <c r="R581" i="44"/>
  <c r="U581" i="44" s="1"/>
  <c r="P581" i="44"/>
  <c r="T581" i="44" s="1"/>
  <c r="P581" i="44" a="1"/>
  <c r="O581" i="44" a="1"/>
  <c r="O581" i="44" s="1"/>
  <c r="S581" i="44" s="1"/>
  <c r="M581" i="44"/>
  <c r="L581" i="44"/>
  <c r="K581" i="44"/>
  <c r="C581" i="44"/>
  <c r="AA580" i="44" a="1"/>
  <c r="AA580" i="44" s="1"/>
  <c r="Z580" i="44" a="1"/>
  <c r="Z580" i="44" s="1"/>
  <c r="R580" i="44"/>
  <c r="U580" i="44" s="1"/>
  <c r="P580" i="44" a="1"/>
  <c r="P580" i="44" s="1"/>
  <c r="O580" i="44" a="1"/>
  <c r="O580" i="44" s="1"/>
  <c r="K580" i="44"/>
  <c r="C580" i="44"/>
  <c r="AA579" i="44" a="1"/>
  <c r="AA579" i="44" s="1"/>
  <c r="Z579" i="44" a="1"/>
  <c r="Z579" i="44" s="1"/>
  <c r="V579" i="44"/>
  <c r="S579" i="44"/>
  <c r="R579" i="44"/>
  <c r="U579" i="44" s="1"/>
  <c r="P579" i="44"/>
  <c r="P579" i="44" a="1"/>
  <c r="O579" i="44" a="1"/>
  <c r="O579" i="44" s="1"/>
  <c r="M579" i="44"/>
  <c r="K579" i="44"/>
  <c r="L579" i="44" s="1"/>
  <c r="C579" i="44"/>
  <c r="AA578" i="44" a="1"/>
  <c r="AA578" i="44" s="1"/>
  <c r="Z578" i="44" a="1"/>
  <c r="Z578" i="44" s="1"/>
  <c r="R578" i="44"/>
  <c r="U578" i="44" s="1"/>
  <c r="P578" i="44" a="1"/>
  <c r="P578" i="44" s="1"/>
  <c r="T578" i="44" s="1"/>
  <c r="O578" i="44"/>
  <c r="O578" i="44" a="1"/>
  <c r="K578" i="44"/>
  <c r="V578" i="44" s="1"/>
  <c r="C578" i="44"/>
  <c r="AA577" i="44" a="1"/>
  <c r="AA577" i="44" s="1"/>
  <c r="Z577" i="44" a="1"/>
  <c r="Z577" i="44" s="1"/>
  <c r="R577" i="44"/>
  <c r="U577" i="44" s="1"/>
  <c r="P577" i="44" a="1"/>
  <c r="P577" i="44" s="1"/>
  <c r="O577" i="44" a="1"/>
  <c r="O577" i="44" s="1"/>
  <c r="K577" i="44"/>
  <c r="C577" i="44"/>
  <c r="AA576" i="44" a="1"/>
  <c r="AA576" i="44" s="1"/>
  <c r="Z576" i="44" a="1"/>
  <c r="Z576" i="44" s="1"/>
  <c r="V576" i="44"/>
  <c r="R576" i="44"/>
  <c r="U576" i="44" s="1"/>
  <c r="P576" i="44" a="1"/>
  <c r="P576" i="44" s="1"/>
  <c r="O576" i="44" a="1"/>
  <c r="O576" i="44" s="1"/>
  <c r="M576" i="44"/>
  <c r="L576" i="44"/>
  <c r="K576" i="44"/>
  <c r="T576" i="44" s="1"/>
  <c r="C576" i="44"/>
  <c r="AA575" i="44" a="1"/>
  <c r="AA575" i="44" s="1"/>
  <c r="Z575" i="44" a="1"/>
  <c r="Z575" i="44" s="1"/>
  <c r="V575" i="44"/>
  <c r="T575" i="44"/>
  <c r="R575" i="44"/>
  <c r="U575" i="44" s="1"/>
  <c r="P575" i="44" a="1"/>
  <c r="P575" i="44" s="1"/>
  <c r="O575" i="44" a="1"/>
  <c r="O575" i="44" s="1"/>
  <c r="S575" i="44" s="1"/>
  <c r="M575" i="44"/>
  <c r="K575" i="44"/>
  <c r="L575" i="44" s="1"/>
  <c r="C575" i="44"/>
  <c r="AA574" i="44" a="1"/>
  <c r="AA574" i="44" s="1"/>
  <c r="Z574" i="44" a="1"/>
  <c r="Z574" i="44" s="1"/>
  <c r="V574" i="44"/>
  <c r="R574" i="44"/>
  <c r="U574" i="44" s="1"/>
  <c r="P574" i="44" a="1"/>
  <c r="P574" i="44" s="1"/>
  <c r="T574" i="44" s="1"/>
  <c r="O574" i="44" a="1"/>
  <c r="O574" i="44" s="1"/>
  <c r="S574" i="44" s="1"/>
  <c r="M574" i="44"/>
  <c r="K574" i="44"/>
  <c r="L574" i="44" s="1"/>
  <c r="C574" i="44"/>
  <c r="AA573" i="44" a="1"/>
  <c r="AA573" i="44" s="1"/>
  <c r="Z573" i="44"/>
  <c r="Z573" i="44" a="1"/>
  <c r="R573" i="44"/>
  <c r="U573" i="44" s="1"/>
  <c r="P573" i="44" a="1"/>
  <c r="P573" i="44" s="1"/>
  <c r="O573" i="44" a="1"/>
  <c r="O573" i="44" s="1"/>
  <c r="K573" i="44"/>
  <c r="C573" i="44"/>
  <c r="AA572" i="44" a="1"/>
  <c r="AA572" i="44" s="1"/>
  <c r="Z572" i="44" a="1"/>
  <c r="Z572" i="44" s="1"/>
  <c r="V572" i="44"/>
  <c r="R572" i="44"/>
  <c r="U572" i="44" s="1"/>
  <c r="P572" i="44" a="1"/>
  <c r="P572" i="44" s="1"/>
  <c r="O572" i="44" a="1"/>
  <c r="O572" i="44" s="1"/>
  <c r="M572" i="44"/>
  <c r="L572" i="44"/>
  <c r="K572" i="44"/>
  <c r="C572" i="44"/>
  <c r="P571" i="44" a="1"/>
  <c r="P571" i="44" s="1"/>
  <c r="E571" i="44"/>
  <c r="AA569" i="44"/>
  <c r="AA569" i="44" a="1"/>
  <c r="Z569" i="44" a="1"/>
  <c r="Z569" i="44" s="1"/>
  <c r="R569" i="44"/>
  <c r="U569" i="44" s="1"/>
  <c r="P569" i="44" a="1"/>
  <c r="P569" i="44" s="1"/>
  <c r="O569" i="44" a="1"/>
  <c r="O569" i="44" s="1"/>
  <c r="C569" i="44"/>
  <c r="AA568" i="44"/>
  <c r="AA568" i="44" a="1"/>
  <c r="Z568" i="44" a="1"/>
  <c r="Z568" i="44" s="1"/>
  <c r="V568" i="44"/>
  <c r="R568" i="44"/>
  <c r="U568" i="44" s="1"/>
  <c r="P568" i="44" a="1"/>
  <c r="P568" i="44" s="1"/>
  <c r="O568" i="44" a="1"/>
  <c r="O568" i="44" s="1"/>
  <c r="M568" i="44"/>
  <c r="K568" i="44"/>
  <c r="F568" i="44"/>
  <c r="F569" i="44" s="1"/>
  <c r="K569" i="44" s="1"/>
  <c r="C568" i="44"/>
  <c r="AA566" i="44"/>
  <c r="AA566" i="44" a="1"/>
  <c r="Z566" i="44" a="1"/>
  <c r="Z566" i="44" s="1"/>
  <c r="R566" i="44"/>
  <c r="U566" i="44" s="1"/>
  <c r="P566" i="44"/>
  <c r="P566" i="44" a="1"/>
  <c r="O566" i="44" a="1"/>
  <c r="O566" i="44" s="1"/>
  <c r="C566" i="44"/>
  <c r="AA565" i="44" a="1"/>
  <c r="AA565" i="44" s="1"/>
  <c r="Z565" i="44" a="1"/>
  <c r="Z565" i="44" s="1"/>
  <c r="R565" i="44"/>
  <c r="U565" i="44" s="1"/>
  <c r="P565" i="44" a="1"/>
  <c r="P565" i="44" s="1"/>
  <c r="T565" i="44" s="1"/>
  <c r="O565" i="44" a="1"/>
  <c r="O565" i="44" s="1"/>
  <c r="K565" i="44"/>
  <c r="F565" i="44"/>
  <c r="F566" i="44" s="1"/>
  <c r="K566" i="44" s="1"/>
  <c r="C565" i="44"/>
  <c r="AA563" i="44" a="1"/>
  <c r="AA563" i="44" s="1"/>
  <c r="Z563" i="44"/>
  <c r="Z563" i="44" a="1"/>
  <c r="R563" i="44"/>
  <c r="U563" i="44" s="1"/>
  <c r="P563" i="44" a="1"/>
  <c r="P563" i="44" s="1"/>
  <c r="O563" i="44" a="1"/>
  <c r="O563" i="44" s="1"/>
  <c r="C563" i="44"/>
  <c r="AI562" i="44"/>
  <c r="AA562" i="44" a="1"/>
  <c r="AA562" i="44" s="1"/>
  <c r="Z562" i="44" a="1"/>
  <c r="Z562" i="44" s="1"/>
  <c r="R562" i="44"/>
  <c r="U562" i="44" s="1"/>
  <c r="P562" i="44" a="1"/>
  <c r="P562" i="44" s="1"/>
  <c r="O562" i="44" a="1"/>
  <c r="O562" i="44" s="1"/>
  <c r="F562" i="44"/>
  <c r="K562" i="44" s="1"/>
  <c r="C562" i="44"/>
  <c r="AA560" i="44" a="1"/>
  <c r="AA560" i="44" s="1"/>
  <c r="Z560" i="44" a="1"/>
  <c r="Z560" i="44" s="1"/>
  <c r="R560" i="44"/>
  <c r="U560" i="44" s="1"/>
  <c r="P560" i="44"/>
  <c r="T560" i="44" s="1"/>
  <c r="P560" i="44" a="1"/>
  <c r="O560" i="44" a="1"/>
  <c r="O560" i="44" s="1"/>
  <c r="S560" i="44" s="1"/>
  <c r="K560" i="44"/>
  <c r="F560" i="44"/>
  <c r="C560" i="44"/>
  <c r="AA559" i="44" a="1"/>
  <c r="AA559" i="44" s="1"/>
  <c r="Z559" i="44" a="1"/>
  <c r="Z559" i="44" s="1"/>
  <c r="R559" i="44"/>
  <c r="U559" i="44" s="1"/>
  <c r="P559" i="44" a="1"/>
  <c r="P559" i="44" s="1"/>
  <c r="O559" i="44"/>
  <c r="S559" i="44" s="1"/>
  <c r="AE559" i="44" s="1"/>
  <c r="O559" i="44" a="1"/>
  <c r="K559" i="44"/>
  <c r="M559" i="44" s="1"/>
  <c r="F559" i="44"/>
  <c r="C559" i="44"/>
  <c r="AA557" i="44" a="1"/>
  <c r="AA557" i="44" s="1"/>
  <c r="Z557" i="44" a="1"/>
  <c r="Z557" i="44" s="1"/>
  <c r="R557" i="44"/>
  <c r="U557" i="44" s="1"/>
  <c r="P557" i="44" a="1"/>
  <c r="P557" i="44" s="1"/>
  <c r="O557" i="44"/>
  <c r="O557" i="44" a="1"/>
  <c r="C557" i="44"/>
  <c r="AA556" i="44" a="1"/>
  <c r="AA556" i="44" s="1"/>
  <c r="Z556" i="44" a="1"/>
  <c r="Z556" i="44" s="1"/>
  <c r="R556" i="44"/>
  <c r="U556" i="44" s="1"/>
  <c r="P556" i="44"/>
  <c r="P556" i="44" a="1"/>
  <c r="O556" i="44" a="1"/>
  <c r="O556" i="44" s="1"/>
  <c r="F556" i="44"/>
  <c r="K556" i="44" s="1"/>
  <c r="C556" i="44"/>
  <c r="AA554" i="44" a="1"/>
  <c r="AA554" i="44" s="1"/>
  <c r="Z554" i="44" a="1"/>
  <c r="Z554" i="44" s="1"/>
  <c r="R554" i="44"/>
  <c r="U554" i="44" s="1"/>
  <c r="P554" i="44" a="1"/>
  <c r="P554" i="44" s="1"/>
  <c r="O554" i="44" a="1"/>
  <c r="O554" i="44" s="1"/>
  <c r="F554" i="44"/>
  <c r="K554" i="44" s="1"/>
  <c r="C554" i="44"/>
  <c r="AA553" i="44" a="1"/>
  <c r="AA553" i="44" s="1"/>
  <c r="Z553" i="44" a="1"/>
  <c r="Z553" i="44" s="1"/>
  <c r="V553" i="44"/>
  <c r="R553" i="44"/>
  <c r="U553" i="44" s="1"/>
  <c r="P553" i="44"/>
  <c r="P553" i="44" a="1"/>
  <c r="O553" i="44" a="1"/>
  <c r="O553" i="44" s="1"/>
  <c r="S553" i="44" s="1"/>
  <c r="M553" i="44"/>
  <c r="L553" i="44"/>
  <c r="K553" i="44"/>
  <c r="AI553" i="44" s="1"/>
  <c r="F553" i="44"/>
  <c r="C553" i="44"/>
  <c r="AA551" i="44" a="1"/>
  <c r="AA551" i="44" s="1"/>
  <c r="Z551" i="44" a="1"/>
  <c r="Z551" i="44" s="1"/>
  <c r="R551" i="44"/>
  <c r="U551" i="44" s="1"/>
  <c r="P551" i="44"/>
  <c r="P551" i="44" a="1"/>
  <c r="O551" i="44"/>
  <c r="O551" i="44" a="1"/>
  <c r="C551" i="44"/>
  <c r="AA550" i="44" a="1"/>
  <c r="AA550" i="44" s="1"/>
  <c r="Z550" i="44" a="1"/>
  <c r="Z550" i="44" s="1"/>
  <c r="R550" i="44"/>
  <c r="U550" i="44" s="1"/>
  <c r="P550" i="44"/>
  <c r="T550" i="44" s="1"/>
  <c r="P550" i="44" a="1"/>
  <c r="O550" i="44"/>
  <c r="O550" i="44" a="1"/>
  <c r="M550" i="44"/>
  <c r="K550" i="44"/>
  <c r="V550" i="44" s="1"/>
  <c r="F550" i="44"/>
  <c r="F551" i="44" s="1"/>
  <c r="K551" i="44" s="1"/>
  <c r="L551" i="44" s="1"/>
  <c r="C550" i="44"/>
  <c r="AA548" i="44" a="1"/>
  <c r="AA548" i="44" s="1"/>
  <c r="Z548" i="44" a="1"/>
  <c r="Z548" i="44" s="1"/>
  <c r="R548" i="44"/>
  <c r="U548" i="44" s="1"/>
  <c r="P548" i="44" a="1"/>
  <c r="P548" i="44" s="1"/>
  <c r="O548" i="44"/>
  <c r="O548" i="44" a="1"/>
  <c r="C548" i="44"/>
  <c r="AA547" i="44"/>
  <c r="AA547" i="44" a="1"/>
  <c r="Z547" i="44"/>
  <c r="Z547" i="44" a="1"/>
  <c r="R547" i="44"/>
  <c r="U547" i="44" s="1"/>
  <c r="P547" i="44" a="1"/>
  <c r="P547" i="44" s="1"/>
  <c r="O547" i="44" a="1"/>
  <c r="O547" i="44" s="1"/>
  <c r="K547" i="44"/>
  <c r="F547" i="44"/>
  <c r="F548" i="44" s="1"/>
  <c r="K548" i="44" s="1"/>
  <c r="C547" i="44"/>
  <c r="AA545" i="44" a="1"/>
  <c r="AA545" i="44" s="1"/>
  <c r="Z545" i="44" a="1"/>
  <c r="Z545" i="44" s="1"/>
  <c r="R545" i="44"/>
  <c r="U545" i="44" s="1"/>
  <c r="P545" i="44" a="1"/>
  <c r="P545" i="44" s="1"/>
  <c r="O545" i="44" a="1"/>
  <c r="O545" i="44" s="1"/>
  <c r="C545" i="44"/>
  <c r="AA544" i="44"/>
  <c r="AA544" i="44" a="1"/>
  <c r="Z544" i="44"/>
  <c r="Z544" i="44" a="1"/>
  <c r="R544" i="44"/>
  <c r="U544" i="44" s="1"/>
  <c r="P544" i="44" a="1"/>
  <c r="P544" i="44" s="1"/>
  <c r="O544" i="44" a="1"/>
  <c r="O544" i="44" s="1"/>
  <c r="K544" i="44"/>
  <c r="F544" i="44"/>
  <c r="F545" i="44" s="1"/>
  <c r="K545" i="44" s="1"/>
  <c r="C544" i="44"/>
  <c r="AA542" i="44" a="1"/>
  <c r="AA542" i="44" s="1"/>
  <c r="Z542" i="44"/>
  <c r="Z542" i="44" a="1"/>
  <c r="R542" i="44"/>
  <c r="U542" i="44" s="1"/>
  <c r="P542" i="44" a="1"/>
  <c r="P542" i="44" s="1"/>
  <c r="O542" i="44" a="1"/>
  <c r="O542" i="44" s="1"/>
  <c r="K542" i="44"/>
  <c r="F542" i="44"/>
  <c r="C542" i="44"/>
  <c r="AA541" i="44" a="1"/>
  <c r="AA541" i="44" s="1"/>
  <c r="Z541" i="44"/>
  <c r="Z541" i="44" a="1"/>
  <c r="R541" i="44"/>
  <c r="U541" i="44" s="1"/>
  <c r="P541" i="44" a="1"/>
  <c r="P541" i="44" s="1"/>
  <c r="O541" i="44" a="1"/>
  <c r="O541" i="44" s="1"/>
  <c r="K541" i="44"/>
  <c r="T541" i="44" s="1"/>
  <c r="F541" i="44"/>
  <c r="C541" i="44"/>
  <c r="AA539" i="44" a="1"/>
  <c r="AA539" i="44" s="1"/>
  <c r="Z539" i="44"/>
  <c r="Z539" i="44" a="1"/>
  <c r="R539" i="44"/>
  <c r="U539" i="44" s="1"/>
  <c r="P539" i="44" a="1"/>
  <c r="P539" i="44" s="1"/>
  <c r="O539" i="44" a="1"/>
  <c r="O539" i="44" s="1"/>
  <c r="K539" i="44"/>
  <c r="F539" i="44"/>
  <c r="C539" i="44"/>
  <c r="AA538" i="44" a="1"/>
  <c r="AA538" i="44" s="1"/>
  <c r="Z538" i="44" a="1"/>
  <c r="Z538" i="44" s="1"/>
  <c r="R538" i="44"/>
  <c r="U538" i="44" s="1"/>
  <c r="P538" i="44" a="1"/>
  <c r="P538" i="44" s="1"/>
  <c r="O538" i="44" a="1"/>
  <c r="O538" i="44" s="1"/>
  <c r="F538" i="44"/>
  <c r="K538" i="44" s="1"/>
  <c r="C538" i="44"/>
  <c r="AI536" i="44"/>
  <c r="AA536" i="44" a="1"/>
  <c r="AA536" i="44" s="1"/>
  <c r="Z536" i="44" a="1"/>
  <c r="Z536" i="44" s="1"/>
  <c r="R536" i="44"/>
  <c r="U536" i="44" s="1"/>
  <c r="P536" i="44" a="1"/>
  <c r="P536" i="44" s="1"/>
  <c r="O536" i="44" a="1"/>
  <c r="O536" i="44" s="1"/>
  <c r="F536" i="44"/>
  <c r="K536" i="44" s="1"/>
  <c r="C536" i="44"/>
  <c r="AE535" i="44"/>
  <c r="AA535" i="44" a="1"/>
  <c r="AA535" i="44" s="1"/>
  <c r="Z535" i="44" a="1"/>
  <c r="Z535" i="44" s="1"/>
  <c r="R535" i="44"/>
  <c r="U535" i="44" s="1"/>
  <c r="P535" i="44" a="1"/>
  <c r="P535" i="44" s="1"/>
  <c r="O535" i="44" a="1"/>
  <c r="O535" i="44" s="1"/>
  <c r="S535" i="44" s="1"/>
  <c r="K535" i="44"/>
  <c r="F535" i="44"/>
  <c r="C535" i="44"/>
  <c r="AA533" i="44" a="1"/>
  <c r="AA533" i="44" s="1"/>
  <c r="Z533" i="44" a="1"/>
  <c r="Z533" i="44" s="1"/>
  <c r="R533" i="44"/>
  <c r="U533" i="44" s="1"/>
  <c r="P533" i="44" a="1"/>
  <c r="P533" i="44" s="1"/>
  <c r="O533" i="44" a="1"/>
  <c r="O533" i="44" s="1"/>
  <c r="C533" i="44"/>
  <c r="AA532" i="44" a="1"/>
  <c r="AA532" i="44" s="1"/>
  <c r="Z532" i="44" a="1"/>
  <c r="Z532" i="44" s="1"/>
  <c r="R532" i="44"/>
  <c r="U532" i="44" s="1"/>
  <c r="P532" i="44"/>
  <c r="P532" i="44" a="1"/>
  <c r="O532" i="44" a="1"/>
  <c r="O532" i="44" s="1"/>
  <c r="F532" i="44"/>
  <c r="K532" i="44" s="1"/>
  <c r="C532" i="44"/>
  <c r="AA530" i="44" a="1"/>
  <c r="AA530" i="44" s="1"/>
  <c r="Z530" i="44" a="1"/>
  <c r="Z530" i="44" s="1"/>
  <c r="R530" i="44"/>
  <c r="U530" i="44" s="1"/>
  <c r="P530" i="44" a="1"/>
  <c r="P530" i="44" s="1"/>
  <c r="O530" i="44" a="1"/>
  <c r="O530" i="44" s="1"/>
  <c r="F530" i="44"/>
  <c r="K530" i="44" s="1"/>
  <c r="C530" i="44"/>
  <c r="AA529" i="44" a="1"/>
  <c r="AA529" i="44" s="1"/>
  <c r="Z529" i="44" a="1"/>
  <c r="Z529" i="44" s="1"/>
  <c r="R529" i="44"/>
  <c r="U529" i="44" s="1"/>
  <c r="P529" i="44"/>
  <c r="P529" i="44" a="1"/>
  <c r="O529" i="44"/>
  <c r="O529" i="44" a="1"/>
  <c r="M529" i="44"/>
  <c r="L529" i="44"/>
  <c r="K529" i="44"/>
  <c r="F529" i="44"/>
  <c r="C529" i="44"/>
  <c r="AA527" i="44" a="1"/>
  <c r="AA527" i="44" s="1"/>
  <c r="Z527" i="44" a="1"/>
  <c r="Z527" i="44" s="1"/>
  <c r="R527" i="44"/>
  <c r="U527" i="44" s="1"/>
  <c r="P527" i="44"/>
  <c r="P527" i="44" a="1"/>
  <c r="O527" i="44" a="1"/>
  <c r="O527" i="44" s="1"/>
  <c r="C527" i="44"/>
  <c r="AA526" i="44" a="1"/>
  <c r="AA526" i="44" s="1"/>
  <c r="Z526" i="44" a="1"/>
  <c r="Z526" i="44" s="1"/>
  <c r="R526" i="44"/>
  <c r="U526" i="44" s="1"/>
  <c r="P526" i="44" a="1"/>
  <c r="P526" i="44" s="1"/>
  <c r="T526" i="44" s="1"/>
  <c r="O526" i="44" a="1"/>
  <c r="O526" i="44" s="1"/>
  <c r="M526" i="44"/>
  <c r="K526" i="44"/>
  <c r="V526" i="44" s="1"/>
  <c r="F526" i="44"/>
  <c r="F527" i="44" s="1"/>
  <c r="K527" i="44" s="1"/>
  <c r="L527" i="44" s="1"/>
  <c r="C526" i="44"/>
  <c r="AA524" i="44"/>
  <c r="AA524" i="44" a="1"/>
  <c r="Z524" i="44" a="1"/>
  <c r="Z524" i="44" s="1"/>
  <c r="R524" i="44"/>
  <c r="U524" i="44" s="1"/>
  <c r="P524" i="44" a="1"/>
  <c r="P524" i="44" s="1"/>
  <c r="O524" i="44"/>
  <c r="O524" i="44" a="1"/>
  <c r="C524" i="44"/>
  <c r="AA523" i="44"/>
  <c r="AA523" i="44" a="1"/>
  <c r="Z523" i="44" a="1"/>
  <c r="Z523" i="44" s="1"/>
  <c r="R523" i="44"/>
  <c r="U523" i="44" s="1"/>
  <c r="P523" i="44" a="1"/>
  <c r="P523" i="44" s="1"/>
  <c r="O523" i="44" a="1"/>
  <c r="O523" i="44" s="1"/>
  <c r="M523" i="44"/>
  <c r="K523" i="44"/>
  <c r="F523" i="44"/>
  <c r="F524" i="44" s="1"/>
  <c r="K524" i="44" s="1"/>
  <c r="C523" i="44"/>
  <c r="AA521" i="44"/>
  <c r="AA521" i="44" a="1"/>
  <c r="Z521" i="44" a="1"/>
  <c r="Z521" i="44" s="1"/>
  <c r="R521" i="44"/>
  <c r="U521" i="44" s="1"/>
  <c r="P521" i="44" a="1"/>
  <c r="P521" i="44" s="1"/>
  <c r="O521" i="44" a="1"/>
  <c r="O521" i="44" s="1"/>
  <c r="C521" i="44"/>
  <c r="AA520" i="44" a="1"/>
  <c r="AA520" i="44" s="1"/>
  <c r="Z520" i="44" a="1"/>
  <c r="Z520" i="44" s="1"/>
  <c r="R520" i="44"/>
  <c r="U520" i="44" s="1"/>
  <c r="P520" i="44" a="1"/>
  <c r="P520" i="44" s="1"/>
  <c r="O520" i="44" a="1"/>
  <c r="O520" i="44" s="1"/>
  <c r="K520" i="44"/>
  <c r="T520" i="44" s="1"/>
  <c r="F520" i="44"/>
  <c r="F521" i="44" s="1"/>
  <c r="K521" i="44" s="1"/>
  <c r="M521" i="44" s="1"/>
  <c r="C520" i="44"/>
  <c r="AA518" i="44" a="1"/>
  <c r="AA518" i="44" s="1"/>
  <c r="Z518" i="44" a="1"/>
  <c r="Z518" i="44" s="1"/>
  <c r="R518" i="44"/>
  <c r="U518" i="44" s="1"/>
  <c r="P518" i="44" a="1"/>
  <c r="P518" i="44" s="1"/>
  <c r="O518" i="44" a="1"/>
  <c r="O518" i="44" s="1"/>
  <c r="C518" i="44"/>
  <c r="AA517" i="44" a="1"/>
  <c r="AA517" i="44" s="1"/>
  <c r="Z517" i="44" a="1"/>
  <c r="Z517" i="44" s="1"/>
  <c r="R517" i="44"/>
  <c r="U517" i="44" s="1"/>
  <c r="P517" i="44" a="1"/>
  <c r="P517" i="44" s="1"/>
  <c r="O517" i="44" a="1"/>
  <c r="O517" i="44" s="1"/>
  <c r="F517" i="44"/>
  <c r="C517" i="44"/>
  <c r="AI515" i="44"/>
  <c r="AA515" i="44" a="1"/>
  <c r="AA515" i="44" s="1"/>
  <c r="Z515" i="44" a="1"/>
  <c r="Z515" i="44" s="1"/>
  <c r="R515" i="44"/>
  <c r="U515" i="44" s="1"/>
  <c r="P515" i="44" a="1"/>
  <c r="P515" i="44" s="1"/>
  <c r="O515" i="44" a="1"/>
  <c r="O515" i="44" s="1"/>
  <c r="F515" i="44"/>
  <c r="K515" i="44" s="1"/>
  <c r="C515" i="44"/>
  <c r="AA514" i="44" a="1"/>
  <c r="AA514" i="44" s="1"/>
  <c r="Z514" i="44" a="1"/>
  <c r="Z514" i="44" s="1"/>
  <c r="R514" i="44"/>
  <c r="U514" i="44" s="1"/>
  <c r="P514" i="44" a="1"/>
  <c r="P514" i="44" s="1"/>
  <c r="O514" i="44" a="1"/>
  <c r="O514" i="44" s="1"/>
  <c r="S514" i="44" s="1"/>
  <c r="AE514" i="44" s="1"/>
  <c r="L514" i="44"/>
  <c r="K514" i="44"/>
  <c r="F514" i="44"/>
  <c r="C514" i="44"/>
  <c r="AA512" i="44" a="1"/>
  <c r="AA512" i="44" s="1"/>
  <c r="Z512" i="44"/>
  <c r="Z512" i="44" a="1"/>
  <c r="V512" i="44"/>
  <c r="R512" i="44"/>
  <c r="U512" i="44" s="1"/>
  <c r="P512" i="44" a="1"/>
  <c r="P512" i="44" s="1"/>
  <c r="T512" i="44" s="1"/>
  <c r="O512" i="44" a="1"/>
  <c r="O512" i="44" s="1"/>
  <c r="M512" i="44"/>
  <c r="K512" i="44"/>
  <c r="L512" i="44" s="1"/>
  <c r="C512" i="44"/>
  <c r="AA511" i="44" a="1"/>
  <c r="AA511" i="44" s="1"/>
  <c r="Z511" i="44" a="1"/>
  <c r="Z511" i="44" s="1"/>
  <c r="R511" i="44"/>
  <c r="U511" i="44" s="1"/>
  <c r="P511" i="44" a="1"/>
  <c r="P511" i="44" s="1"/>
  <c r="O511" i="44" a="1"/>
  <c r="O511" i="44" s="1"/>
  <c r="K511" i="44"/>
  <c r="C511" i="44"/>
  <c r="AA510" i="44" a="1"/>
  <c r="AA510" i="44" s="1"/>
  <c r="Z510" i="44" a="1"/>
  <c r="Z510" i="44" s="1"/>
  <c r="R510" i="44"/>
  <c r="U510" i="44" s="1"/>
  <c r="W510" i="44" s="1"/>
  <c r="P510" i="44" a="1"/>
  <c r="P510" i="44" s="1"/>
  <c r="O510" i="44" a="1"/>
  <c r="O510" i="44" s="1"/>
  <c r="S510" i="44" s="1"/>
  <c r="M510" i="44"/>
  <c r="L510" i="44"/>
  <c r="K510" i="44"/>
  <c r="V510" i="44" s="1"/>
  <c r="C510" i="44"/>
  <c r="AA509" i="44" a="1"/>
  <c r="AA509" i="44" s="1"/>
  <c r="Z509" i="44" a="1"/>
  <c r="Z509" i="44" s="1"/>
  <c r="V509" i="44"/>
  <c r="R509" i="44"/>
  <c r="U509" i="44" s="1"/>
  <c r="P509" i="44" a="1"/>
  <c r="P509" i="44" s="1"/>
  <c r="T509" i="44" s="1"/>
  <c r="O509" i="44" a="1"/>
  <c r="O509" i="44" s="1"/>
  <c r="S509" i="44" s="1"/>
  <c r="M509" i="44"/>
  <c r="L509" i="44"/>
  <c r="C509" i="44"/>
  <c r="AA508" i="44" a="1"/>
  <c r="AA508" i="44" s="1"/>
  <c r="Z508" i="44" a="1"/>
  <c r="Z508" i="44" s="1"/>
  <c r="V508" i="44"/>
  <c r="R508" i="44"/>
  <c r="U508" i="44" s="1"/>
  <c r="P508" i="44"/>
  <c r="T508" i="44" s="1"/>
  <c r="P508" i="44" a="1"/>
  <c r="O508" i="44" a="1"/>
  <c r="O508" i="44" s="1"/>
  <c r="S508" i="44" s="1"/>
  <c r="M508" i="44"/>
  <c r="L508" i="44"/>
  <c r="K508" i="44"/>
  <c r="C508" i="44"/>
  <c r="AA507" i="44" a="1"/>
  <c r="AA507" i="44" s="1"/>
  <c r="Z507" i="44" a="1"/>
  <c r="Z507" i="44" s="1"/>
  <c r="V507" i="44"/>
  <c r="R507" i="44"/>
  <c r="U507" i="44" s="1"/>
  <c r="P507" i="44" a="1"/>
  <c r="P507" i="44" s="1"/>
  <c r="T507" i="44" s="1"/>
  <c r="O507" i="44" a="1"/>
  <c r="O507" i="44" s="1"/>
  <c r="M507" i="44"/>
  <c r="K507" i="44"/>
  <c r="C507" i="44"/>
  <c r="AA506" i="44" a="1"/>
  <c r="AA506" i="44" s="1"/>
  <c r="Z506" i="44" a="1"/>
  <c r="Z506" i="44" s="1"/>
  <c r="V506" i="44"/>
  <c r="R506" i="44"/>
  <c r="U506" i="44" s="1"/>
  <c r="P506" i="44" a="1"/>
  <c r="P506" i="44" s="1"/>
  <c r="O506" i="44" a="1"/>
  <c r="O506" i="44" s="1"/>
  <c r="M506" i="44"/>
  <c r="L506" i="44"/>
  <c r="K506" i="44"/>
  <c r="C506" i="44"/>
  <c r="AA505" i="44" a="1"/>
  <c r="AA505" i="44" s="1"/>
  <c r="Z505" i="44" a="1"/>
  <c r="Z505" i="44" s="1"/>
  <c r="V505" i="44"/>
  <c r="R505" i="44"/>
  <c r="U505" i="44" s="1"/>
  <c r="W505" i="44" s="1"/>
  <c r="P505" i="44" a="1"/>
  <c r="P505" i="44" s="1"/>
  <c r="T505" i="44" s="1"/>
  <c r="O505" i="44" a="1"/>
  <c r="O505" i="44" s="1"/>
  <c r="S505" i="44" s="1"/>
  <c r="M505" i="44"/>
  <c r="L505" i="44"/>
  <c r="K505" i="44"/>
  <c r="C505" i="44"/>
  <c r="AA504" i="44" a="1"/>
  <c r="AA504" i="44" s="1"/>
  <c r="Z504" i="44" a="1"/>
  <c r="Z504" i="44" s="1"/>
  <c r="V504" i="44"/>
  <c r="R504" i="44"/>
  <c r="U504" i="44" s="1"/>
  <c r="P504" i="44" a="1"/>
  <c r="P504" i="44" s="1"/>
  <c r="T504" i="44" s="1"/>
  <c r="O504" i="44" a="1"/>
  <c r="O504" i="44" s="1"/>
  <c r="S504" i="44" s="1"/>
  <c r="AE504" i="44" s="1"/>
  <c r="M504" i="44"/>
  <c r="L504" i="44"/>
  <c r="C504" i="44"/>
  <c r="AA503" i="44" a="1"/>
  <c r="AA503" i="44" s="1"/>
  <c r="Z503" i="44" a="1"/>
  <c r="Z503" i="44" s="1"/>
  <c r="R503" i="44"/>
  <c r="U503" i="44" s="1"/>
  <c r="P503" i="44" a="1"/>
  <c r="P503" i="44" s="1"/>
  <c r="T503" i="44" s="1"/>
  <c r="O503" i="44"/>
  <c r="S503" i="44" s="1"/>
  <c r="AE503" i="44" s="1"/>
  <c r="AC503" i="44" s="1"/>
  <c r="O503" i="44" a="1"/>
  <c r="M503" i="44"/>
  <c r="L503" i="44"/>
  <c r="K503" i="44"/>
  <c r="V503" i="44" s="1"/>
  <c r="C503" i="44"/>
  <c r="AA502" i="44" a="1"/>
  <c r="AA502" i="44" s="1"/>
  <c r="Z502" i="44" a="1"/>
  <c r="Z502" i="44" s="1"/>
  <c r="R502" i="44"/>
  <c r="U502" i="44" s="1"/>
  <c r="P502" i="44" a="1"/>
  <c r="P502" i="44" s="1"/>
  <c r="O502" i="44"/>
  <c r="O502" i="44" a="1"/>
  <c r="K502" i="44"/>
  <c r="C502" i="44"/>
  <c r="AA501" i="44" a="1"/>
  <c r="AA501" i="44" s="1"/>
  <c r="Z501" i="44"/>
  <c r="Z501" i="44" a="1"/>
  <c r="R501" i="44"/>
  <c r="U501" i="44" s="1"/>
  <c r="P501" i="44" a="1"/>
  <c r="P501" i="44" s="1"/>
  <c r="O501" i="44" a="1"/>
  <c r="O501" i="44" s="1"/>
  <c r="K501" i="44"/>
  <c r="C501" i="44"/>
  <c r="AA500" i="44"/>
  <c r="AA500" i="44" a="1"/>
  <c r="Z500" i="44" a="1"/>
  <c r="Z500" i="44" s="1"/>
  <c r="R500" i="44"/>
  <c r="U500" i="44" s="1"/>
  <c r="P500" i="44" a="1"/>
  <c r="P500" i="44" s="1"/>
  <c r="T500" i="44" s="1"/>
  <c r="O500" i="44" a="1"/>
  <c r="O500" i="44" s="1"/>
  <c r="S500" i="44" s="1"/>
  <c r="M500" i="44"/>
  <c r="K500" i="44"/>
  <c r="L500" i="44" s="1"/>
  <c r="C500" i="44"/>
  <c r="AA499" i="44" a="1"/>
  <c r="AA499" i="44" s="1"/>
  <c r="Z499" i="44" a="1"/>
  <c r="Z499" i="44" s="1"/>
  <c r="R499" i="44"/>
  <c r="U499" i="44" s="1"/>
  <c r="P499" i="44" a="1"/>
  <c r="P499" i="44" s="1"/>
  <c r="O499" i="44" a="1"/>
  <c r="O499" i="44" s="1"/>
  <c r="S499" i="44" s="1"/>
  <c r="K499" i="44"/>
  <c r="C499" i="44"/>
  <c r="AA498" i="44" a="1"/>
  <c r="AA498" i="44" s="1"/>
  <c r="Z498" i="44" a="1"/>
  <c r="Z498" i="44" s="1"/>
  <c r="R498" i="44"/>
  <c r="U498" i="44" s="1"/>
  <c r="P498" i="44" a="1"/>
  <c r="P498" i="44" s="1"/>
  <c r="O498" i="44" a="1"/>
  <c r="O498" i="44" s="1"/>
  <c r="K498" i="44"/>
  <c r="C498" i="44"/>
  <c r="AA497" i="44" a="1"/>
  <c r="AA497" i="44" s="1"/>
  <c r="Z497" i="44" a="1"/>
  <c r="Z497" i="44" s="1"/>
  <c r="T497" i="44"/>
  <c r="R497" i="44"/>
  <c r="U497" i="44" s="1"/>
  <c r="P497" i="44" a="1"/>
  <c r="P497" i="44" s="1"/>
  <c r="O497" i="44"/>
  <c r="O497" i="44" a="1"/>
  <c r="K497" i="44"/>
  <c r="C497" i="44"/>
  <c r="AA496" i="44" a="1"/>
  <c r="AA496" i="44" s="1"/>
  <c r="Z496" i="44" a="1"/>
  <c r="Z496" i="44" s="1"/>
  <c r="R496" i="44"/>
  <c r="U496" i="44" s="1"/>
  <c r="P496" i="44" a="1"/>
  <c r="P496" i="44" s="1"/>
  <c r="O496" i="44" a="1"/>
  <c r="O496" i="44" s="1"/>
  <c r="C496" i="44"/>
  <c r="AA495" i="44" a="1"/>
  <c r="AA495" i="44" s="1"/>
  <c r="Z495" i="44" a="1"/>
  <c r="Z495" i="44" s="1"/>
  <c r="S495" i="44"/>
  <c r="R495" i="44"/>
  <c r="U495" i="44" s="1"/>
  <c r="P495" i="44" a="1"/>
  <c r="P495" i="44" s="1"/>
  <c r="T495" i="44" s="1"/>
  <c r="O495" i="44" a="1"/>
  <c r="O495" i="44" s="1"/>
  <c r="L495" i="44"/>
  <c r="K495" i="44"/>
  <c r="V495" i="44" s="1"/>
  <c r="C495" i="44"/>
  <c r="P494" i="44"/>
  <c r="P494" i="44" a="1"/>
  <c r="E494" i="44"/>
  <c r="AA492" i="44" a="1"/>
  <c r="AA492" i="44" s="1"/>
  <c r="Z492" i="44" a="1"/>
  <c r="Z492" i="44" s="1"/>
  <c r="R492" i="44"/>
  <c r="U492" i="44" s="1"/>
  <c r="P492" i="44"/>
  <c r="T492" i="44" s="1"/>
  <c r="P492" i="44" a="1"/>
  <c r="O492" i="44" a="1"/>
  <c r="O492" i="44" s="1"/>
  <c r="F492" i="44"/>
  <c r="K492" i="44" s="1"/>
  <c r="C492" i="44"/>
  <c r="AA491" i="44" a="1"/>
  <c r="AA491" i="44" s="1"/>
  <c r="Z491" i="44"/>
  <c r="Z491" i="44" a="1"/>
  <c r="R491" i="44"/>
  <c r="U491" i="44" s="1"/>
  <c r="P491" i="44"/>
  <c r="P491" i="44" a="1"/>
  <c r="O491" i="44" a="1"/>
  <c r="O491" i="44" s="1"/>
  <c r="K491" i="44"/>
  <c r="F491" i="44"/>
  <c r="C491" i="44"/>
  <c r="AA489" i="44" a="1"/>
  <c r="AA489" i="44" s="1"/>
  <c r="Z489" i="44" a="1"/>
  <c r="Z489" i="44" s="1"/>
  <c r="R489" i="44"/>
  <c r="U489" i="44" s="1"/>
  <c r="P489" i="44" a="1"/>
  <c r="P489" i="44" s="1"/>
  <c r="O489" i="44" a="1"/>
  <c r="O489" i="44" s="1"/>
  <c r="C489" i="44"/>
  <c r="AA488" i="44"/>
  <c r="AA488" i="44" a="1"/>
  <c r="Z488" i="44"/>
  <c r="Z488" i="44" a="1"/>
  <c r="R488" i="44"/>
  <c r="U488" i="44" s="1"/>
  <c r="P488" i="44" a="1"/>
  <c r="P488" i="44" s="1"/>
  <c r="O488" i="44" a="1"/>
  <c r="O488" i="44" s="1"/>
  <c r="F488" i="44"/>
  <c r="F489" i="44" s="1"/>
  <c r="K489" i="44" s="1"/>
  <c r="C488" i="44"/>
  <c r="AA486" i="44" a="1"/>
  <c r="AA486" i="44" s="1"/>
  <c r="Z486" i="44" a="1"/>
  <c r="Z486" i="44" s="1"/>
  <c r="R486" i="44"/>
  <c r="U486" i="44" s="1"/>
  <c r="P486" i="44" a="1"/>
  <c r="P486" i="44" s="1"/>
  <c r="O486" i="44" a="1"/>
  <c r="O486" i="44" s="1"/>
  <c r="K486" i="44"/>
  <c r="F486" i="44"/>
  <c r="C486" i="44"/>
  <c r="AI485" i="44"/>
  <c r="AA485" i="44" a="1"/>
  <c r="AA485" i="44" s="1"/>
  <c r="Z485" i="44" a="1"/>
  <c r="Z485" i="44" s="1"/>
  <c r="S485" i="44"/>
  <c r="R485" i="44"/>
  <c r="U485" i="44" s="1"/>
  <c r="P485" i="44" a="1"/>
  <c r="P485" i="44" s="1"/>
  <c r="T485" i="44" s="1"/>
  <c r="O485" i="44"/>
  <c r="O485" i="44" a="1"/>
  <c r="K485" i="44"/>
  <c r="F485" i="44"/>
  <c r="C485" i="44"/>
  <c r="AA483" i="44" a="1"/>
  <c r="AA483" i="44" s="1"/>
  <c r="Z483" i="44" a="1"/>
  <c r="Z483" i="44" s="1"/>
  <c r="R483" i="44"/>
  <c r="U483" i="44" s="1"/>
  <c r="P483" i="44" a="1"/>
  <c r="P483" i="44" s="1"/>
  <c r="O483" i="44" a="1"/>
  <c r="O483" i="44" s="1"/>
  <c r="C483" i="44"/>
  <c r="AA482" i="44" a="1"/>
  <c r="AA482" i="44" s="1"/>
  <c r="Z482" i="44" a="1"/>
  <c r="Z482" i="44" s="1"/>
  <c r="R482" i="44"/>
  <c r="U482" i="44" s="1"/>
  <c r="P482" i="44" a="1"/>
  <c r="P482" i="44" s="1"/>
  <c r="O482" i="44" a="1"/>
  <c r="O482" i="44" s="1"/>
  <c r="F482" i="44"/>
  <c r="K482" i="44" s="1"/>
  <c r="M482" i="44" s="1"/>
  <c r="C482" i="44"/>
  <c r="AA480" i="44" a="1"/>
  <c r="AA480" i="44" s="1"/>
  <c r="Z480" i="44"/>
  <c r="Z480" i="44" a="1"/>
  <c r="R480" i="44"/>
  <c r="U480" i="44" s="1"/>
  <c r="P480" i="44" a="1"/>
  <c r="P480" i="44" s="1"/>
  <c r="O480" i="44"/>
  <c r="O480" i="44" a="1"/>
  <c r="M480" i="44"/>
  <c r="K480" i="44"/>
  <c r="C480" i="44"/>
  <c r="AA479" i="44" a="1"/>
  <c r="AA479" i="44" s="1"/>
  <c r="Z479" i="44"/>
  <c r="Z479" i="44" a="1"/>
  <c r="R479" i="44"/>
  <c r="U479" i="44" s="1"/>
  <c r="P479" i="44" a="1"/>
  <c r="P479" i="44" s="1"/>
  <c r="T479" i="44" s="1"/>
  <c r="O479" i="44" a="1"/>
  <c r="O479" i="44" s="1"/>
  <c r="S479" i="44" s="1"/>
  <c r="L479" i="44"/>
  <c r="K479" i="44"/>
  <c r="C479" i="44"/>
  <c r="AA478" i="44" a="1"/>
  <c r="AA478" i="44" s="1"/>
  <c r="Z478" i="44" a="1"/>
  <c r="Z478" i="44" s="1"/>
  <c r="T478" i="44"/>
  <c r="R478" i="44"/>
  <c r="U478" i="44" s="1"/>
  <c r="P478" i="44" a="1"/>
  <c r="P478" i="44" s="1"/>
  <c r="O478" i="44" a="1"/>
  <c r="O478" i="44" s="1"/>
  <c r="S478" i="44" s="1"/>
  <c r="L478" i="44"/>
  <c r="K478" i="44"/>
  <c r="V478" i="44" s="1"/>
  <c r="C478" i="44"/>
  <c r="AA477" i="44" a="1"/>
  <c r="AA477" i="44" s="1"/>
  <c r="Z477" i="44" a="1"/>
  <c r="Z477" i="44" s="1"/>
  <c r="R477" i="44"/>
  <c r="U477" i="44" s="1"/>
  <c r="P477" i="44"/>
  <c r="P477" i="44" a="1"/>
  <c r="O477" i="44"/>
  <c r="O477" i="44" a="1"/>
  <c r="K477" i="44"/>
  <c r="L477" i="44" s="1"/>
  <c r="C477" i="44"/>
  <c r="AA476" i="44"/>
  <c r="AA476" i="44" a="1"/>
  <c r="Z476" i="44" a="1"/>
  <c r="Z476" i="44" s="1"/>
  <c r="V476" i="44"/>
  <c r="T476" i="44"/>
  <c r="R476" i="44"/>
  <c r="U476" i="44" s="1"/>
  <c r="W476" i="44" s="1"/>
  <c r="P476" i="44" a="1"/>
  <c r="P476" i="44" s="1"/>
  <c r="O476" i="44" a="1"/>
  <c r="O476" i="44" s="1"/>
  <c r="L476" i="44"/>
  <c r="K476" i="44"/>
  <c r="C476" i="44"/>
  <c r="AA475" i="44"/>
  <c r="AA475" i="44" a="1"/>
  <c r="Z475" i="44" a="1"/>
  <c r="Z475" i="44" s="1"/>
  <c r="S475" i="44"/>
  <c r="R475" i="44"/>
  <c r="U475" i="44" s="1"/>
  <c r="P475" i="44" a="1"/>
  <c r="P475" i="44" s="1"/>
  <c r="T475" i="44" s="1"/>
  <c r="O475" i="44" a="1"/>
  <c r="O475" i="44" s="1"/>
  <c r="M475" i="44"/>
  <c r="L475" i="44"/>
  <c r="K475" i="44"/>
  <c r="C475" i="44"/>
  <c r="AA474" i="44" a="1"/>
  <c r="AA474" i="44" s="1"/>
  <c r="Z474" i="44" a="1"/>
  <c r="Z474" i="44" s="1"/>
  <c r="R474" i="44"/>
  <c r="U474" i="44" s="1"/>
  <c r="P474" i="44" a="1"/>
  <c r="P474" i="44" s="1"/>
  <c r="T474" i="44" s="1"/>
  <c r="O474" i="44" a="1"/>
  <c r="O474" i="44" s="1"/>
  <c r="S474" i="44" s="1"/>
  <c r="L474" i="44"/>
  <c r="K474" i="44"/>
  <c r="V474" i="44" s="1"/>
  <c r="C474" i="44"/>
  <c r="AA473" i="44" a="1"/>
  <c r="AA473" i="44" s="1"/>
  <c r="Z473" i="44" a="1"/>
  <c r="Z473" i="44" s="1"/>
  <c r="R473" i="44"/>
  <c r="U473" i="44" s="1"/>
  <c r="P473" i="44" a="1"/>
  <c r="P473" i="44" s="1"/>
  <c r="O473" i="44"/>
  <c r="O473" i="44" a="1"/>
  <c r="K473" i="44"/>
  <c r="C473" i="44"/>
  <c r="AA472" i="44" a="1"/>
  <c r="AA472" i="44" s="1"/>
  <c r="Z472" i="44"/>
  <c r="Z472" i="44" a="1"/>
  <c r="R472" i="44"/>
  <c r="U472" i="44" s="1"/>
  <c r="P472" i="44" a="1"/>
  <c r="P472" i="44" s="1"/>
  <c r="O472" i="44" a="1"/>
  <c r="O472" i="44" s="1"/>
  <c r="K472" i="44"/>
  <c r="C472" i="44"/>
  <c r="AA471" i="44"/>
  <c r="AA471" i="44" a="1"/>
  <c r="Z471" i="44" a="1"/>
  <c r="Z471" i="44" s="1"/>
  <c r="R471" i="44"/>
  <c r="U471" i="44" s="1"/>
  <c r="P471" i="44" a="1"/>
  <c r="P471" i="44" s="1"/>
  <c r="O471" i="44"/>
  <c r="O471" i="44" a="1"/>
  <c r="K471" i="44"/>
  <c r="C471" i="44"/>
  <c r="AA470" i="44"/>
  <c r="AA470" i="44" a="1"/>
  <c r="Z470" i="44" a="1"/>
  <c r="Z470" i="44" s="1"/>
  <c r="V470" i="44"/>
  <c r="R470" i="44"/>
  <c r="U470" i="44" s="1"/>
  <c r="P470" i="44" a="1"/>
  <c r="P470" i="44" s="1"/>
  <c r="T470" i="44" s="1"/>
  <c r="O470" i="44" a="1"/>
  <c r="O470" i="44" s="1"/>
  <c r="M470" i="44"/>
  <c r="K470" i="44"/>
  <c r="C470" i="44"/>
  <c r="AA469" i="44" a="1"/>
  <c r="AA469" i="44" s="1"/>
  <c r="Z469" i="44"/>
  <c r="Z469" i="44" a="1"/>
  <c r="R469" i="44"/>
  <c r="U469" i="44" s="1"/>
  <c r="P469" i="44" a="1"/>
  <c r="P469" i="44" s="1"/>
  <c r="O469" i="44" a="1"/>
  <c r="O469" i="44" s="1"/>
  <c r="M469" i="44"/>
  <c r="L469" i="44"/>
  <c r="K469" i="44"/>
  <c r="C469" i="44"/>
  <c r="AA468" i="44"/>
  <c r="AA468" i="44" a="1"/>
  <c r="Z468" i="44" a="1"/>
  <c r="Z468" i="44" s="1"/>
  <c r="V468" i="44"/>
  <c r="R468" i="44"/>
  <c r="U468" i="44" s="1"/>
  <c r="P468" i="44"/>
  <c r="T468" i="44" s="1"/>
  <c r="P468" i="44" a="1"/>
  <c r="O468" i="44" a="1"/>
  <c r="O468" i="44" s="1"/>
  <c r="S468" i="44" s="1"/>
  <c r="M468" i="44"/>
  <c r="L468" i="44"/>
  <c r="K468" i="44"/>
  <c r="C468" i="44"/>
  <c r="AA467" i="44" a="1"/>
  <c r="AA467" i="44" s="1"/>
  <c r="Z467" i="44" a="1"/>
  <c r="Z467" i="44" s="1"/>
  <c r="R467" i="44"/>
  <c r="U467" i="44" s="1"/>
  <c r="P467" i="44"/>
  <c r="T467" i="44" s="1"/>
  <c r="P467" i="44" a="1"/>
  <c r="O467" i="44" a="1"/>
  <c r="O467" i="44" s="1"/>
  <c r="M467" i="44"/>
  <c r="K467" i="44"/>
  <c r="C467" i="44"/>
  <c r="AA466" i="44" a="1"/>
  <c r="AA466" i="44" s="1"/>
  <c r="Z466" i="44" a="1"/>
  <c r="Z466" i="44" s="1"/>
  <c r="R466" i="44"/>
  <c r="U466" i="44" s="1"/>
  <c r="P466" i="44" a="1"/>
  <c r="P466" i="44" s="1"/>
  <c r="T466" i="44" s="1"/>
  <c r="O466" i="44" a="1"/>
  <c r="O466" i="44" s="1"/>
  <c r="L466" i="44"/>
  <c r="K466" i="44"/>
  <c r="C466" i="44"/>
  <c r="AA465" i="44" a="1"/>
  <c r="AA465" i="44" s="1"/>
  <c r="Z465" i="44" a="1"/>
  <c r="Z465" i="44" s="1"/>
  <c r="V465" i="44"/>
  <c r="R465" i="44"/>
  <c r="U465" i="44" s="1"/>
  <c r="P465" i="44" a="1"/>
  <c r="P465" i="44" s="1"/>
  <c r="O465" i="44" a="1"/>
  <c r="O465" i="44" s="1"/>
  <c r="K465" i="44"/>
  <c r="M465" i="44" s="1"/>
  <c r="C465" i="44"/>
  <c r="AK464" i="44"/>
  <c r="AA464" i="44" a="1"/>
  <c r="AA464" i="44" s="1"/>
  <c r="Z464" i="44" a="1"/>
  <c r="Z464" i="44" s="1"/>
  <c r="V464" i="44"/>
  <c r="R464" i="44"/>
  <c r="U464" i="44" s="1"/>
  <c r="W464" i="44" s="1"/>
  <c r="P464" i="44"/>
  <c r="T464" i="44" s="1"/>
  <c r="P464" i="44" a="1"/>
  <c r="O464" i="44"/>
  <c r="S464" i="44" s="1"/>
  <c r="O464" i="44" a="1"/>
  <c r="M464" i="44"/>
  <c r="L464" i="44"/>
  <c r="K464" i="44"/>
  <c r="C464" i="44"/>
  <c r="AK463" i="44"/>
  <c r="AA463" i="44" a="1"/>
  <c r="AA463" i="44" s="1"/>
  <c r="Z463" i="44" a="1"/>
  <c r="Z463" i="44" s="1"/>
  <c r="V463" i="44"/>
  <c r="R463" i="44"/>
  <c r="U463" i="44" s="1"/>
  <c r="P463" i="44"/>
  <c r="T463" i="44" s="1"/>
  <c r="P463" i="44" a="1"/>
  <c r="O463" i="44"/>
  <c r="S463" i="44" s="1"/>
  <c r="O463" i="44" a="1"/>
  <c r="M463" i="44"/>
  <c r="K463" i="44"/>
  <c r="L463" i="44" s="1"/>
  <c r="C463" i="44"/>
  <c r="AA462" i="44"/>
  <c r="AA462" i="44" a="1"/>
  <c r="Z462" i="44"/>
  <c r="Z462" i="44" a="1"/>
  <c r="R462" i="44"/>
  <c r="U462" i="44" s="1"/>
  <c r="P462" i="44"/>
  <c r="P462" i="44" a="1"/>
  <c r="O462" i="44"/>
  <c r="S462" i="44" s="1"/>
  <c r="O462" i="44" a="1"/>
  <c r="M462" i="44"/>
  <c r="L462" i="44"/>
  <c r="K462" i="44"/>
  <c r="C462" i="44"/>
  <c r="AA461" i="44"/>
  <c r="AA461" i="44" a="1"/>
  <c r="Z461" i="44" a="1"/>
  <c r="Z461" i="44" s="1"/>
  <c r="R461" i="44"/>
  <c r="U461" i="44" s="1"/>
  <c r="P461" i="44" a="1"/>
  <c r="P461" i="44" s="1"/>
  <c r="O461" i="44" a="1"/>
  <c r="O461" i="44" s="1"/>
  <c r="M461" i="44"/>
  <c r="K461" i="44"/>
  <c r="V461" i="44" s="1"/>
  <c r="C461" i="44"/>
  <c r="AK460" i="44"/>
  <c r="AA460" i="44"/>
  <c r="AA460" i="44" a="1"/>
  <c r="Z460" i="44"/>
  <c r="Z460" i="44" a="1"/>
  <c r="V460" i="44"/>
  <c r="S460" i="44"/>
  <c r="R460" i="44"/>
  <c r="U460" i="44" s="1"/>
  <c r="P460" i="44"/>
  <c r="P460" i="44" a="1"/>
  <c r="O460" i="44" a="1"/>
  <c r="O460" i="44" s="1"/>
  <c r="M460" i="44"/>
  <c r="K460" i="44"/>
  <c r="C460" i="44"/>
  <c r="AK459" i="44"/>
  <c r="AA459" i="44" a="1"/>
  <c r="AA459" i="44" s="1"/>
  <c r="Z459" i="44" a="1"/>
  <c r="Z459" i="44" s="1"/>
  <c r="R459" i="44"/>
  <c r="U459" i="44" s="1"/>
  <c r="P459" i="44" a="1"/>
  <c r="P459" i="44" s="1"/>
  <c r="T459" i="44" s="1"/>
  <c r="O459" i="44"/>
  <c r="S459" i="44" s="1"/>
  <c r="O459" i="44" a="1"/>
  <c r="K459" i="44"/>
  <c r="C459" i="44"/>
  <c r="AK458" i="44"/>
  <c r="AA458" i="44"/>
  <c r="AA458" i="44" a="1"/>
  <c r="Z458" i="44" a="1"/>
  <c r="Z458" i="44" s="1"/>
  <c r="V458" i="44"/>
  <c r="R458" i="44"/>
  <c r="U458" i="44" s="1"/>
  <c r="W458" i="44" s="1"/>
  <c r="P458" i="44"/>
  <c r="T458" i="44" s="1"/>
  <c r="P458" i="44" a="1"/>
  <c r="O458" i="44"/>
  <c r="S458" i="44" s="1"/>
  <c r="O458" i="44" a="1"/>
  <c r="M458" i="44"/>
  <c r="L458" i="44"/>
  <c r="K458" i="44"/>
  <c r="C458" i="44"/>
  <c r="AK457" i="44"/>
  <c r="AA457" i="44"/>
  <c r="AA457" i="44" a="1"/>
  <c r="Z457" i="44"/>
  <c r="Z457" i="44" a="1"/>
  <c r="V457" i="44"/>
  <c r="R457" i="44"/>
  <c r="U457" i="44" s="1"/>
  <c r="W457" i="44" s="1"/>
  <c r="P457" i="44" a="1"/>
  <c r="P457" i="44" s="1"/>
  <c r="T457" i="44" s="1"/>
  <c r="O457" i="44"/>
  <c r="S457" i="44" s="1"/>
  <c r="AE457" i="44" s="1"/>
  <c r="O457" i="44" a="1"/>
  <c r="M457" i="44"/>
  <c r="L457" i="44"/>
  <c r="K457" i="44"/>
  <c r="C457" i="44"/>
  <c r="AA456" i="44"/>
  <c r="AA456" i="44" a="1"/>
  <c r="Z456" i="44" a="1"/>
  <c r="Z456" i="44" s="1"/>
  <c r="R456" i="44"/>
  <c r="U456" i="44" s="1"/>
  <c r="P456" i="44" a="1"/>
  <c r="P456" i="44" s="1"/>
  <c r="O456" i="44" a="1"/>
  <c r="O456" i="44" s="1"/>
  <c r="S456" i="44" s="1"/>
  <c r="M456" i="44"/>
  <c r="K456" i="44"/>
  <c r="C456" i="44"/>
  <c r="P455" i="44" a="1"/>
  <c r="P455" i="44" s="1"/>
  <c r="E455" i="44"/>
  <c r="AA453" i="44" a="1"/>
  <c r="AA453" i="44" s="1"/>
  <c r="Z453" i="44" a="1"/>
  <c r="Z453" i="44" s="1"/>
  <c r="R453" i="44"/>
  <c r="U453" i="44" s="1"/>
  <c r="P453" i="44" a="1"/>
  <c r="P453" i="44" s="1"/>
  <c r="O453" i="44"/>
  <c r="O453" i="44" a="1"/>
  <c r="C453" i="44"/>
  <c r="AI452" i="44"/>
  <c r="AA452" i="44" a="1"/>
  <c r="AA452" i="44" s="1"/>
  <c r="Z452" i="44" a="1"/>
  <c r="Z452" i="44" s="1"/>
  <c r="R452" i="44"/>
  <c r="U452" i="44" s="1"/>
  <c r="P452" i="44"/>
  <c r="T452" i="44" s="1"/>
  <c r="P452" i="44" a="1"/>
  <c r="O452" i="44" a="1"/>
  <c r="O452" i="44" s="1"/>
  <c r="F452" i="44"/>
  <c r="K452" i="44" s="1"/>
  <c r="M452" i="44" s="1"/>
  <c r="C452" i="44"/>
  <c r="AA450" i="44"/>
  <c r="AA450" i="44" a="1"/>
  <c r="Z450" i="44" a="1"/>
  <c r="Z450" i="44" s="1"/>
  <c r="R450" i="44"/>
  <c r="U450" i="44" s="1"/>
  <c r="P450" i="44" a="1"/>
  <c r="P450" i="44" s="1"/>
  <c r="O450" i="44" a="1"/>
  <c r="O450" i="44" s="1"/>
  <c r="L450" i="44"/>
  <c r="F450" i="44"/>
  <c r="K450" i="44" s="1"/>
  <c r="C450" i="44"/>
  <c r="AA449" i="44" a="1"/>
  <c r="AA449" i="44" s="1"/>
  <c r="Z449" i="44" a="1"/>
  <c r="Z449" i="44" s="1"/>
  <c r="R449" i="44"/>
  <c r="U449" i="44" s="1"/>
  <c r="P449" i="44" a="1"/>
  <c r="P449" i="44" s="1"/>
  <c r="O449" i="44" a="1"/>
  <c r="O449" i="44" s="1"/>
  <c r="K449" i="44"/>
  <c r="F449" i="44"/>
  <c r="C449" i="44"/>
  <c r="AA447" i="44" a="1"/>
  <c r="AA447" i="44" s="1"/>
  <c r="Z447" i="44" a="1"/>
  <c r="Z447" i="44" s="1"/>
  <c r="R447" i="44"/>
  <c r="U447" i="44" s="1"/>
  <c r="P447" i="44" a="1"/>
  <c r="P447" i="44" s="1"/>
  <c r="O447" i="44" a="1"/>
  <c r="O447" i="44" s="1"/>
  <c r="K447" i="44"/>
  <c r="F447" i="44"/>
  <c r="C447" i="44"/>
  <c r="AA445" i="44" a="1"/>
  <c r="AA445" i="44" s="1"/>
  <c r="Z445" i="44" a="1"/>
  <c r="Z445" i="44" s="1"/>
  <c r="R445" i="44"/>
  <c r="U445" i="44" s="1"/>
  <c r="P445" i="44"/>
  <c r="P445" i="44" a="1"/>
  <c r="O445" i="44" a="1"/>
  <c r="O445" i="44" s="1"/>
  <c r="C445" i="44"/>
  <c r="AA444" i="44" a="1"/>
  <c r="AA444" i="44" s="1"/>
  <c r="Z444" i="44" a="1"/>
  <c r="Z444" i="44" s="1"/>
  <c r="R444" i="44"/>
  <c r="U444" i="44" s="1"/>
  <c r="P444" i="44" a="1"/>
  <c r="P444" i="44" s="1"/>
  <c r="O444" i="44" a="1"/>
  <c r="O444" i="44" s="1"/>
  <c r="F444" i="44"/>
  <c r="C444" i="44"/>
  <c r="AA442" i="44"/>
  <c r="AA442" i="44" a="1"/>
  <c r="Z442" i="44" a="1"/>
  <c r="Z442" i="44" s="1"/>
  <c r="R442" i="44"/>
  <c r="U442" i="44" s="1"/>
  <c r="P442" i="44" a="1"/>
  <c r="P442" i="44" s="1"/>
  <c r="O442" i="44" a="1"/>
  <c r="O442" i="44" s="1"/>
  <c r="F442" i="44"/>
  <c r="K442" i="44" s="1"/>
  <c r="M442" i="44" s="1"/>
  <c r="C442" i="44"/>
  <c r="AA441" i="44" a="1"/>
  <c r="AA441" i="44" s="1"/>
  <c r="Z441" i="44"/>
  <c r="Z441" i="44" a="1"/>
  <c r="R441" i="44"/>
  <c r="U441" i="44" s="1"/>
  <c r="P441" i="44" a="1"/>
  <c r="P441" i="44" s="1"/>
  <c r="O441" i="44"/>
  <c r="O441" i="44" a="1"/>
  <c r="K441" i="44"/>
  <c r="F441" i="44"/>
  <c r="C441" i="44"/>
  <c r="AA439" i="44" a="1"/>
  <c r="AA439" i="44" s="1"/>
  <c r="Z439" i="44" a="1"/>
  <c r="Z439" i="44" s="1"/>
  <c r="R439" i="44"/>
  <c r="U439" i="44" s="1"/>
  <c r="P439" i="44" a="1"/>
  <c r="P439" i="44" s="1"/>
  <c r="O439" i="44" a="1"/>
  <c r="O439" i="44" s="1"/>
  <c r="F439" i="44"/>
  <c r="K439" i="44" s="1"/>
  <c r="C439" i="44"/>
  <c r="AA438" i="44"/>
  <c r="AA438" i="44" a="1"/>
  <c r="Z438" i="44" a="1"/>
  <c r="Z438" i="44" s="1"/>
  <c r="V438" i="44"/>
  <c r="R438" i="44"/>
  <c r="U438" i="44" s="1"/>
  <c r="P438" i="44" a="1"/>
  <c r="P438" i="44" s="1"/>
  <c r="O438" i="44" a="1"/>
  <c r="O438" i="44" s="1"/>
  <c r="K438" i="44"/>
  <c r="L438" i="44" s="1"/>
  <c r="F438" i="44"/>
  <c r="C438" i="44"/>
  <c r="AE436" i="44"/>
  <c r="AC436" i="44" s="1"/>
  <c r="AA436" i="44"/>
  <c r="AA436" i="44" a="1"/>
  <c r="Z436" i="44" a="1"/>
  <c r="Z436" i="44" s="1"/>
  <c r="V436" i="44"/>
  <c r="R436" i="44"/>
  <c r="U436" i="44" s="1"/>
  <c r="P436" i="44"/>
  <c r="T436" i="44" s="1"/>
  <c r="P436" i="44" a="1"/>
  <c r="O436" i="44"/>
  <c r="S436" i="44" s="1"/>
  <c r="O436" i="44" a="1"/>
  <c r="M436" i="44"/>
  <c r="L436" i="44"/>
  <c r="K436" i="44"/>
  <c r="C436" i="44"/>
  <c r="AA435" i="44" a="1"/>
  <c r="AA435" i="44" s="1"/>
  <c r="Z435" i="44"/>
  <c r="Z435" i="44" a="1"/>
  <c r="R435" i="44"/>
  <c r="U435" i="44" s="1"/>
  <c r="P435" i="44" a="1"/>
  <c r="P435" i="44" s="1"/>
  <c r="O435" i="44" a="1"/>
  <c r="O435" i="44" s="1"/>
  <c r="L435" i="44"/>
  <c r="K435" i="44"/>
  <c r="C435" i="44"/>
  <c r="AA434" i="44" a="1"/>
  <c r="AA434" i="44" s="1"/>
  <c r="Z434" i="44" a="1"/>
  <c r="Z434" i="44" s="1"/>
  <c r="R434" i="44"/>
  <c r="U434" i="44" s="1"/>
  <c r="P434" i="44" a="1"/>
  <c r="P434" i="44" s="1"/>
  <c r="O434" i="44" a="1"/>
  <c r="O434" i="44" s="1"/>
  <c r="M434" i="44"/>
  <c r="K434" i="44"/>
  <c r="V434" i="44" s="1"/>
  <c r="C434" i="44"/>
  <c r="AA433" i="44" a="1"/>
  <c r="AA433" i="44" s="1"/>
  <c r="Z433" i="44" a="1"/>
  <c r="Z433" i="44" s="1"/>
  <c r="R433" i="44"/>
  <c r="U433" i="44" s="1"/>
  <c r="P433" i="44" a="1"/>
  <c r="P433" i="44" s="1"/>
  <c r="T433" i="44" s="1"/>
  <c r="O433" i="44" a="1"/>
  <c r="O433" i="44" s="1"/>
  <c r="S433" i="44" s="1"/>
  <c r="K433" i="44"/>
  <c r="C433" i="44"/>
  <c r="AA432" i="44" a="1"/>
  <c r="AA432" i="44" s="1"/>
  <c r="Z432" i="44" a="1"/>
  <c r="Z432" i="44" s="1"/>
  <c r="V432" i="44"/>
  <c r="R432" i="44"/>
  <c r="U432" i="44" s="1"/>
  <c r="W432" i="44" s="1"/>
  <c r="P432" i="44" a="1"/>
  <c r="P432" i="44" s="1"/>
  <c r="T432" i="44" s="1"/>
  <c r="O432" i="44"/>
  <c r="S432" i="44" s="1"/>
  <c r="AE432" i="44" s="1"/>
  <c r="O432" i="44" a="1"/>
  <c r="M432" i="44"/>
  <c r="L432" i="44"/>
  <c r="K432" i="44"/>
  <c r="C432" i="44"/>
  <c r="AA431" i="44" a="1"/>
  <c r="AA431" i="44" s="1"/>
  <c r="Z431" i="44"/>
  <c r="Z431" i="44" a="1"/>
  <c r="S431" i="44"/>
  <c r="R431" i="44"/>
  <c r="U431" i="44" s="1"/>
  <c r="P431" i="44"/>
  <c r="P431" i="44" a="1"/>
  <c r="O431" i="44" a="1"/>
  <c r="O431" i="44" s="1"/>
  <c r="M431" i="44"/>
  <c r="L431" i="44"/>
  <c r="K431" i="44"/>
  <c r="C431" i="44"/>
  <c r="AA430" i="44" a="1"/>
  <c r="AA430" i="44" s="1"/>
  <c r="Z430" i="44" a="1"/>
  <c r="Z430" i="44" s="1"/>
  <c r="R430" i="44"/>
  <c r="U430" i="44" s="1"/>
  <c r="P430" i="44" a="1"/>
  <c r="P430" i="44" s="1"/>
  <c r="O430" i="44" a="1"/>
  <c r="O430" i="44" s="1"/>
  <c r="M430" i="44"/>
  <c r="K430" i="44"/>
  <c r="V430" i="44" s="1"/>
  <c r="C430" i="44"/>
  <c r="AA429" i="44" a="1"/>
  <c r="AA429" i="44" s="1"/>
  <c r="Z429" i="44" a="1"/>
  <c r="Z429" i="44" s="1"/>
  <c r="R429" i="44"/>
  <c r="U429" i="44" s="1"/>
  <c r="P429" i="44" a="1"/>
  <c r="P429" i="44" s="1"/>
  <c r="O429" i="44" a="1"/>
  <c r="O429" i="44" s="1"/>
  <c r="K429" i="44"/>
  <c r="C429" i="44"/>
  <c r="AA428" i="44"/>
  <c r="AA428" i="44" a="1"/>
  <c r="Z428" i="44" a="1"/>
  <c r="Z428" i="44" s="1"/>
  <c r="V428" i="44"/>
  <c r="R428" i="44"/>
  <c r="U428" i="44" s="1"/>
  <c r="P428" i="44" a="1"/>
  <c r="P428" i="44" s="1"/>
  <c r="T428" i="44" s="1"/>
  <c r="O428" i="44"/>
  <c r="S428" i="44" s="1"/>
  <c r="O428" i="44" a="1"/>
  <c r="M428" i="44"/>
  <c r="L428" i="44"/>
  <c r="K428" i="44"/>
  <c r="C428" i="44"/>
  <c r="AA427" i="44"/>
  <c r="AA427" i="44" a="1"/>
  <c r="Z427" i="44"/>
  <c r="Z427" i="44" a="1"/>
  <c r="R427" i="44"/>
  <c r="U427" i="44" s="1"/>
  <c r="P427" i="44" a="1"/>
  <c r="P427" i="44" s="1"/>
  <c r="O427" i="44" a="1"/>
  <c r="O427" i="44" s="1"/>
  <c r="S427" i="44" s="1"/>
  <c r="L427" i="44"/>
  <c r="K427" i="44"/>
  <c r="C427" i="44"/>
  <c r="AA426" i="44" a="1"/>
  <c r="AA426" i="44" s="1"/>
  <c r="Z426" i="44" a="1"/>
  <c r="Z426" i="44" s="1"/>
  <c r="R426" i="44"/>
  <c r="U426" i="44" s="1"/>
  <c r="P426" i="44" a="1"/>
  <c r="P426" i="44" s="1"/>
  <c r="O426" i="44" a="1"/>
  <c r="O426" i="44" s="1"/>
  <c r="M426" i="44"/>
  <c r="K426" i="44"/>
  <c r="V426" i="44" s="1"/>
  <c r="C426" i="44"/>
  <c r="AA425" i="44" a="1"/>
  <c r="AA425" i="44" s="1"/>
  <c r="Z425" i="44" a="1"/>
  <c r="Z425" i="44" s="1"/>
  <c r="R425" i="44"/>
  <c r="U425" i="44" s="1"/>
  <c r="P425" i="44" a="1"/>
  <c r="P425" i="44" s="1"/>
  <c r="O425" i="44" a="1"/>
  <c r="O425" i="44" s="1"/>
  <c r="K425" i="44"/>
  <c r="C425" i="44"/>
  <c r="AA424" i="44" a="1"/>
  <c r="AA424" i="44" s="1"/>
  <c r="Z424" i="44" a="1"/>
  <c r="Z424" i="44" s="1"/>
  <c r="V424" i="44"/>
  <c r="R424" i="44"/>
  <c r="U424" i="44" s="1"/>
  <c r="W424" i="44" s="1"/>
  <c r="P424" i="44" a="1"/>
  <c r="P424" i="44" s="1"/>
  <c r="T424" i="44" s="1"/>
  <c r="O424" i="44" a="1"/>
  <c r="O424" i="44" s="1"/>
  <c r="S424" i="44" s="1"/>
  <c r="M424" i="44"/>
  <c r="L424" i="44"/>
  <c r="K424" i="44"/>
  <c r="C424" i="44"/>
  <c r="AE423" i="44"/>
  <c r="AA422" i="44" a="1"/>
  <c r="AA422" i="44" s="1"/>
  <c r="Z422" i="44" a="1"/>
  <c r="Z422" i="44" s="1"/>
  <c r="T422" i="44"/>
  <c r="R422" i="44"/>
  <c r="U422" i="44" s="1"/>
  <c r="P422" i="44" a="1"/>
  <c r="P422" i="44" s="1"/>
  <c r="O422" i="44" a="1"/>
  <c r="O422" i="44" s="1"/>
  <c r="S422" i="44" s="1"/>
  <c r="M422" i="44"/>
  <c r="K422" i="44"/>
  <c r="C422" i="44"/>
  <c r="AA421" i="44" a="1"/>
  <c r="AA421" i="44" s="1"/>
  <c r="Z421" i="44" a="1"/>
  <c r="Z421" i="44" s="1"/>
  <c r="R421" i="44"/>
  <c r="U421" i="44" s="1"/>
  <c r="P421" i="44"/>
  <c r="P421" i="44" a="1"/>
  <c r="O421" i="44"/>
  <c r="O421" i="44" a="1"/>
  <c r="L421" i="44"/>
  <c r="K421" i="44"/>
  <c r="C421" i="44"/>
  <c r="AA420" i="44"/>
  <c r="AA420" i="44" a="1"/>
  <c r="Z420" i="44"/>
  <c r="Z420" i="44" a="1"/>
  <c r="R420" i="44"/>
  <c r="U420" i="44" s="1"/>
  <c r="P420" i="44" a="1"/>
  <c r="P420" i="44" s="1"/>
  <c r="O420" i="44" a="1"/>
  <c r="O420" i="44" s="1"/>
  <c r="K420" i="44"/>
  <c r="C420" i="44"/>
  <c r="AA419" i="44" a="1"/>
  <c r="AA419" i="44" s="1"/>
  <c r="Z419" i="44" a="1"/>
  <c r="Z419" i="44" s="1"/>
  <c r="V419" i="44"/>
  <c r="R419" i="44"/>
  <c r="U419" i="44" s="1"/>
  <c r="W419" i="44" s="1"/>
  <c r="P419" i="44"/>
  <c r="T419" i="44" s="1"/>
  <c r="P419" i="44" a="1"/>
  <c r="O419" i="44"/>
  <c r="S419" i="44" s="1"/>
  <c r="O419" i="44" a="1"/>
  <c r="M419" i="44"/>
  <c r="L419" i="44"/>
  <c r="K419" i="44"/>
  <c r="C419" i="44"/>
  <c r="AA418" i="44"/>
  <c r="AA418" i="44" a="1"/>
  <c r="Z418" i="44"/>
  <c r="Z418" i="44" a="1"/>
  <c r="R418" i="44"/>
  <c r="U418" i="44" s="1"/>
  <c r="P418" i="44" a="1"/>
  <c r="P418" i="44" s="1"/>
  <c r="O418" i="44" a="1"/>
  <c r="O418" i="44" s="1"/>
  <c r="K418" i="44"/>
  <c r="T418" i="44" s="1"/>
  <c r="C418" i="44"/>
  <c r="AA417" i="44" a="1"/>
  <c r="AA417" i="44" s="1"/>
  <c r="Z417" i="44" a="1"/>
  <c r="Z417" i="44" s="1"/>
  <c r="R417" i="44"/>
  <c r="U417" i="44" s="1"/>
  <c r="P417" i="44" a="1"/>
  <c r="P417" i="44" s="1"/>
  <c r="O417" i="44"/>
  <c r="O417" i="44" a="1"/>
  <c r="L417" i="44"/>
  <c r="K417" i="44"/>
  <c r="C417" i="44"/>
  <c r="AA416" i="44"/>
  <c r="AA416" i="44" a="1"/>
  <c r="Z416" i="44"/>
  <c r="Z416" i="44" a="1"/>
  <c r="R416" i="44"/>
  <c r="U416" i="44" s="1"/>
  <c r="P416" i="44" a="1"/>
  <c r="P416" i="44" s="1"/>
  <c r="O416" i="44" a="1"/>
  <c r="O416" i="44" s="1"/>
  <c r="S416" i="44" s="1"/>
  <c r="L416" i="44"/>
  <c r="K416" i="44"/>
  <c r="T416" i="44" s="1"/>
  <c r="C416" i="44"/>
  <c r="AA415" i="44" a="1"/>
  <c r="AA415" i="44" s="1"/>
  <c r="Z415" i="44" a="1"/>
  <c r="Z415" i="44" s="1"/>
  <c r="V415" i="44"/>
  <c r="R415" i="44"/>
  <c r="U415" i="44" s="1"/>
  <c r="W415" i="44" s="1"/>
  <c r="P415" i="44"/>
  <c r="T415" i="44" s="1"/>
  <c r="P415" i="44" a="1"/>
  <c r="O415" i="44" a="1"/>
  <c r="O415" i="44" s="1"/>
  <c r="S415" i="44" s="1"/>
  <c r="M415" i="44"/>
  <c r="L415" i="44"/>
  <c r="K415" i="44"/>
  <c r="C415" i="44"/>
  <c r="AA414" i="44" a="1"/>
  <c r="AA414" i="44" s="1"/>
  <c r="Z414" i="44" a="1"/>
  <c r="Z414" i="44" s="1"/>
  <c r="R414" i="44"/>
  <c r="U414" i="44" s="1"/>
  <c r="P414" i="44" a="1"/>
  <c r="P414" i="44" s="1"/>
  <c r="O414" i="44" a="1"/>
  <c r="O414" i="44" s="1"/>
  <c r="S414" i="44" s="1"/>
  <c r="M414" i="44"/>
  <c r="K414" i="44"/>
  <c r="T414" i="44" s="1"/>
  <c r="C414" i="44"/>
  <c r="AA413" i="44" a="1"/>
  <c r="AA413" i="44" s="1"/>
  <c r="Z413" i="44" a="1"/>
  <c r="Z413" i="44" s="1"/>
  <c r="R413" i="44"/>
  <c r="U413" i="44" s="1"/>
  <c r="P413" i="44" a="1"/>
  <c r="P413" i="44" s="1"/>
  <c r="O413" i="44"/>
  <c r="O413" i="44" a="1"/>
  <c r="K413" i="44"/>
  <c r="C413" i="44"/>
  <c r="AA412" i="44" a="1"/>
  <c r="AA412" i="44" s="1"/>
  <c r="Z412" i="44"/>
  <c r="Z412" i="44" a="1"/>
  <c r="R412" i="44"/>
  <c r="U412" i="44" s="1"/>
  <c r="P412" i="44" a="1"/>
  <c r="P412" i="44" s="1"/>
  <c r="O412" i="44" a="1"/>
  <c r="O412" i="44" s="1"/>
  <c r="K412" i="44"/>
  <c r="C412" i="44"/>
  <c r="AA411" i="44" a="1"/>
  <c r="AA411" i="44" s="1"/>
  <c r="Z411" i="44" a="1"/>
  <c r="Z411" i="44" s="1"/>
  <c r="V411" i="44"/>
  <c r="R411" i="44"/>
  <c r="U411" i="44" s="1"/>
  <c r="P411" i="44"/>
  <c r="T411" i="44" s="1"/>
  <c r="P411" i="44" a="1"/>
  <c r="O411" i="44" a="1"/>
  <c r="O411" i="44" s="1"/>
  <c r="S411" i="44" s="1"/>
  <c r="M411" i="44"/>
  <c r="L411" i="44"/>
  <c r="K411" i="44"/>
  <c r="C411" i="44"/>
  <c r="AA410" i="44"/>
  <c r="AA410" i="44" a="1"/>
  <c r="Z410" i="44" a="1"/>
  <c r="Z410" i="44" s="1"/>
  <c r="T410" i="44"/>
  <c r="R410" i="44"/>
  <c r="U410" i="44" s="1"/>
  <c r="P410" i="44" a="1"/>
  <c r="P410" i="44" s="1"/>
  <c r="O410" i="44" a="1"/>
  <c r="O410" i="44" s="1"/>
  <c r="S410" i="44" s="1"/>
  <c r="M410" i="44"/>
  <c r="K410" i="44"/>
  <c r="C410" i="44"/>
  <c r="AA409" i="44" a="1"/>
  <c r="AA409" i="44" s="1"/>
  <c r="Z409" i="44" a="1"/>
  <c r="Z409" i="44" s="1"/>
  <c r="V409" i="44"/>
  <c r="R409" i="44"/>
  <c r="U409" i="44" s="1"/>
  <c r="P409" i="44" a="1"/>
  <c r="P409" i="44" s="1"/>
  <c r="O409" i="44"/>
  <c r="O409" i="44" a="1"/>
  <c r="L409" i="44"/>
  <c r="K409" i="44"/>
  <c r="C409" i="44"/>
  <c r="AA408" i="44" a="1"/>
  <c r="AA408" i="44" s="1"/>
  <c r="Z408" i="44" a="1"/>
  <c r="Z408" i="44" s="1"/>
  <c r="V408" i="44"/>
  <c r="R408" i="44"/>
  <c r="U408" i="44" s="1"/>
  <c r="P408" i="44" a="1"/>
  <c r="P408" i="44" s="1"/>
  <c r="O408" i="44" a="1"/>
  <c r="O408" i="44" s="1"/>
  <c r="S408" i="44" s="1"/>
  <c r="M408" i="44"/>
  <c r="L408" i="44"/>
  <c r="K408" i="44"/>
  <c r="C408" i="44"/>
  <c r="AA407" i="44" a="1"/>
  <c r="AA407" i="44" s="1"/>
  <c r="Z407" i="44" a="1"/>
  <c r="Z407" i="44" s="1"/>
  <c r="V407" i="44"/>
  <c r="R407" i="44"/>
  <c r="U407" i="44" s="1"/>
  <c r="W407" i="44" s="1"/>
  <c r="P407" i="44" a="1"/>
  <c r="P407" i="44" s="1"/>
  <c r="T407" i="44" s="1"/>
  <c r="O407" i="44" a="1"/>
  <c r="O407" i="44" s="1"/>
  <c r="S407" i="44" s="1"/>
  <c r="M407" i="44"/>
  <c r="L407" i="44"/>
  <c r="K407" i="44"/>
  <c r="C407" i="44"/>
  <c r="AA406" i="44" a="1"/>
  <c r="AA406" i="44" s="1"/>
  <c r="Z406" i="44" a="1"/>
  <c r="Z406" i="44" s="1"/>
  <c r="R406" i="44"/>
  <c r="U406" i="44" s="1"/>
  <c r="P406" i="44" a="1"/>
  <c r="P406" i="44" s="1"/>
  <c r="T406" i="44" s="1"/>
  <c r="O406" i="44" a="1"/>
  <c r="O406" i="44" s="1"/>
  <c r="S406" i="44" s="1"/>
  <c r="M406" i="44"/>
  <c r="K406" i="44"/>
  <c r="C406" i="44"/>
  <c r="AA405" i="44" a="1"/>
  <c r="AA405" i="44" s="1"/>
  <c r="Z405" i="44" a="1"/>
  <c r="Z405" i="44" s="1"/>
  <c r="R405" i="44"/>
  <c r="U405" i="44" s="1"/>
  <c r="P405" i="44" a="1"/>
  <c r="P405" i="44" s="1"/>
  <c r="O405" i="44" a="1"/>
  <c r="O405" i="44" s="1"/>
  <c r="K405" i="44"/>
  <c r="C405" i="44"/>
  <c r="AA404" i="44" a="1"/>
  <c r="AA404" i="44" s="1"/>
  <c r="Z404" i="44" a="1"/>
  <c r="Z404" i="44" s="1"/>
  <c r="R404" i="44"/>
  <c r="U404" i="44" s="1"/>
  <c r="P404" i="44" a="1"/>
  <c r="P404" i="44" s="1"/>
  <c r="O404" i="44" a="1"/>
  <c r="O404" i="44" s="1"/>
  <c r="S404" i="44" s="1"/>
  <c r="L404" i="44"/>
  <c r="K404" i="44"/>
  <c r="C404" i="44"/>
  <c r="AA403" i="44" a="1"/>
  <c r="AA403" i="44" s="1"/>
  <c r="Z403" i="44" a="1"/>
  <c r="Z403" i="44" s="1"/>
  <c r="V403" i="44"/>
  <c r="R403" i="44"/>
  <c r="U403" i="44" s="1"/>
  <c r="P403" i="44"/>
  <c r="T403" i="44" s="1"/>
  <c r="P403" i="44" a="1"/>
  <c r="O403" i="44" a="1"/>
  <c r="O403" i="44" s="1"/>
  <c r="S403" i="44" s="1"/>
  <c r="AE403" i="44" s="1"/>
  <c r="M403" i="44"/>
  <c r="L403" i="44"/>
  <c r="K403" i="44"/>
  <c r="C403" i="44"/>
  <c r="AA402" i="44" a="1"/>
  <c r="AA402" i="44" s="1"/>
  <c r="Z402" i="44" a="1"/>
  <c r="Z402" i="44" s="1"/>
  <c r="R402" i="44"/>
  <c r="U402" i="44" s="1"/>
  <c r="P402" i="44" a="1"/>
  <c r="P402" i="44" s="1"/>
  <c r="T402" i="44" s="1"/>
  <c r="O402" i="44" a="1"/>
  <c r="O402" i="44" s="1"/>
  <c r="S402" i="44" s="1"/>
  <c r="M402" i="44"/>
  <c r="K402" i="44"/>
  <c r="C402" i="44"/>
  <c r="AA401" i="44" a="1"/>
  <c r="AA401" i="44" s="1"/>
  <c r="Z401" i="44"/>
  <c r="Z401" i="44" a="1"/>
  <c r="V401" i="44"/>
  <c r="R401" i="44"/>
  <c r="U401" i="44" s="1"/>
  <c r="P401" i="44" a="1"/>
  <c r="P401" i="44" s="1"/>
  <c r="O401" i="44" a="1"/>
  <c r="O401" i="44" s="1"/>
  <c r="L401" i="44"/>
  <c r="K401" i="44"/>
  <c r="C401" i="44"/>
  <c r="AA400" i="44" a="1"/>
  <c r="AA400" i="44" s="1"/>
  <c r="Z400" i="44" a="1"/>
  <c r="Z400" i="44" s="1"/>
  <c r="V400" i="44"/>
  <c r="S400" i="44"/>
  <c r="R400" i="44"/>
  <c r="U400" i="44" s="1"/>
  <c r="P400" i="44" a="1"/>
  <c r="P400" i="44" s="1"/>
  <c r="O400" i="44" a="1"/>
  <c r="O400" i="44" s="1"/>
  <c r="M400" i="44"/>
  <c r="L400" i="44"/>
  <c r="K400" i="44"/>
  <c r="C400" i="44"/>
  <c r="AA399" i="44" a="1"/>
  <c r="AA399" i="44" s="1"/>
  <c r="Z399" i="44" a="1"/>
  <c r="Z399" i="44" s="1"/>
  <c r="V399" i="44"/>
  <c r="S399" i="44"/>
  <c r="R399" i="44"/>
  <c r="U399" i="44" s="1"/>
  <c r="W399" i="44" s="1"/>
  <c r="P399" i="44"/>
  <c r="T399" i="44" s="1"/>
  <c r="P399" i="44" a="1"/>
  <c r="O399" i="44" a="1"/>
  <c r="O399" i="44" s="1"/>
  <c r="M399" i="44"/>
  <c r="L399" i="44"/>
  <c r="K399" i="44"/>
  <c r="C399" i="44"/>
  <c r="AA398" i="44" a="1"/>
  <c r="AA398" i="44" s="1"/>
  <c r="Z398" i="44"/>
  <c r="Z398" i="44" a="1"/>
  <c r="R398" i="44"/>
  <c r="U398" i="44" s="1"/>
  <c r="P398" i="44" a="1"/>
  <c r="P398" i="44" s="1"/>
  <c r="T398" i="44" s="1"/>
  <c r="O398" i="44" a="1"/>
  <c r="O398" i="44" s="1"/>
  <c r="K398" i="44"/>
  <c r="C398" i="44"/>
  <c r="AA397" i="44" a="1"/>
  <c r="AA397" i="44" s="1"/>
  <c r="Z397" i="44" a="1"/>
  <c r="Z397" i="44" s="1"/>
  <c r="R397" i="44"/>
  <c r="U397" i="44" s="1"/>
  <c r="P397" i="44" a="1"/>
  <c r="P397" i="44" s="1"/>
  <c r="T397" i="44" s="1"/>
  <c r="O397" i="44" a="1"/>
  <c r="O397" i="44" s="1"/>
  <c r="M397" i="44"/>
  <c r="L397" i="44"/>
  <c r="K397" i="44"/>
  <c r="C397" i="44"/>
  <c r="AA396" i="44" a="1"/>
  <c r="AA396" i="44" s="1"/>
  <c r="Z396" i="44" a="1"/>
  <c r="Z396" i="44" s="1"/>
  <c r="V396" i="44"/>
  <c r="R396" i="44"/>
  <c r="U396" i="44" s="1"/>
  <c r="P396" i="44" a="1"/>
  <c r="P396" i="44" s="1"/>
  <c r="O396" i="44" a="1"/>
  <c r="O396" i="44" s="1"/>
  <c r="K396" i="44"/>
  <c r="C396" i="44"/>
  <c r="AA395" i="44"/>
  <c r="AA395" i="44" a="1"/>
  <c r="Z395" i="44" a="1"/>
  <c r="Z395" i="44" s="1"/>
  <c r="V395" i="44"/>
  <c r="T395" i="44"/>
  <c r="R395" i="44"/>
  <c r="U395" i="44" s="1"/>
  <c r="P395" i="44"/>
  <c r="P395" i="44" a="1"/>
  <c r="O395" i="44" a="1"/>
  <c r="O395" i="44" s="1"/>
  <c r="S395" i="44" s="1"/>
  <c r="M395" i="44"/>
  <c r="L395" i="44"/>
  <c r="K395" i="44"/>
  <c r="C395" i="44"/>
  <c r="AA394" i="44"/>
  <c r="AA394" i="44" a="1"/>
  <c r="Z394" i="44" a="1"/>
  <c r="Z394" i="44" s="1"/>
  <c r="S394" i="44"/>
  <c r="AE394" i="44" s="1"/>
  <c r="R394" i="44"/>
  <c r="U394" i="44" s="1"/>
  <c r="P394" i="44" a="1"/>
  <c r="P394" i="44" s="1"/>
  <c r="O394" i="44" a="1"/>
  <c r="O394" i="44" s="1"/>
  <c r="M394" i="44"/>
  <c r="K394" i="44"/>
  <c r="C394" i="44"/>
  <c r="AA393" i="44"/>
  <c r="AA393" i="44" a="1"/>
  <c r="Z393" i="44" a="1"/>
  <c r="Z393" i="44" s="1"/>
  <c r="R393" i="44"/>
  <c r="U393" i="44" s="1"/>
  <c r="P393" i="44" a="1"/>
  <c r="P393" i="44" s="1"/>
  <c r="O393" i="44" a="1"/>
  <c r="O393" i="44" s="1"/>
  <c r="K393" i="44"/>
  <c r="C393" i="44"/>
  <c r="AA392" i="44" a="1"/>
  <c r="AA392" i="44" s="1"/>
  <c r="Z392" i="44" a="1"/>
  <c r="Z392" i="44" s="1"/>
  <c r="V392" i="44"/>
  <c r="S392" i="44"/>
  <c r="AE392" i="44" s="1"/>
  <c r="R392" i="44"/>
  <c r="U392" i="44" s="1"/>
  <c r="W392" i="44" s="1"/>
  <c r="P392" i="44" a="1"/>
  <c r="P392" i="44" s="1"/>
  <c r="O392" i="44" a="1"/>
  <c r="O392" i="44" s="1"/>
  <c r="M392" i="44"/>
  <c r="L392" i="44"/>
  <c r="K392" i="44"/>
  <c r="C392" i="44"/>
  <c r="AA391" i="44"/>
  <c r="AA391" i="44" a="1"/>
  <c r="Z391" i="44" a="1"/>
  <c r="Z391" i="44" s="1"/>
  <c r="V391" i="44"/>
  <c r="T391" i="44"/>
  <c r="R391" i="44"/>
  <c r="U391" i="44" s="1"/>
  <c r="P391" i="44"/>
  <c r="P391" i="44" a="1"/>
  <c r="O391" i="44" a="1"/>
  <c r="O391" i="44" s="1"/>
  <c r="S391" i="44" s="1"/>
  <c r="M391" i="44"/>
  <c r="L391" i="44"/>
  <c r="K391" i="44"/>
  <c r="C391" i="44"/>
  <c r="AA390" i="44"/>
  <c r="AA390" i="44" a="1"/>
  <c r="Z390" i="44" a="1"/>
  <c r="Z390" i="44" s="1"/>
  <c r="R390" i="44"/>
  <c r="U390" i="44" s="1"/>
  <c r="P390" i="44" a="1"/>
  <c r="P390" i="44" s="1"/>
  <c r="T390" i="44" s="1"/>
  <c r="O390" i="44"/>
  <c r="S390" i="44" s="1"/>
  <c r="O390" i="44" a="1"/>
  <c r="M390" i="44"/>
  <c r="K390" i="44"/>
  <c r="C390" i="44"/>
  <c r="AA389" i="44" a="1"/>
  <c r="AA389" i="44" s="1"/>
  <c r="Z389" i="44" a="1"/>
  <c r="Z389" i="44" s="1"/>
  <c r="R389" i="44"/>
  <c r="U389" i="44" s="1"/>
  <c r="P389" i="44" a="1"/>
  <c r="P389" i="44" s="1"/>
  <c r="O389" i="44"/>
  <c r="O389" i="44" a="1"/>
  <c r="C389" i="44"/>
  <c r="AA388" i="44" a="1"/>
  <c r="AA388" i="44" s="1"/>
  <c r="Z388" i="44" a="1"/>
  <c r="Z388" i="44" s="1"/>
  <c r="R388" i="44"/>
  <c r="U388" i="44" s="1"/>
  <c r="P388" i="44" a="1"/>
  <c r="P388" i="44" s="1"/>
  <c r="O388" i="44" a="1"/>
  <c r="O388" i="44" s="1"/>
  <c r="K388" i="44"/>
  <c r="C388" i="44"/>
  <c r="AA387" i="44" a="1"/>
  <c r="AA387" i="44" s="1"/>
  <c r="Z387" i="44" a="1"/>
  <c r="Z387" i="44" s="1"/>
  <c r="V387" i="44"/>
  <c r="R387" i="44"/>
  <c r="U387" i="44" s="1"/>
  <c r="P387" i="44" a="1"/>
  <c r="P387" i="44" s="1"/>
  <c r="T387" i="44" s="1"/>
  <c r="O387" i="44" a="1"/>
  <c r="O387" i="44" s="1"/>
  <c r="S387" i="44" s="1"/>
  <c r="M387" i="44"/>
  <c r="L387" i="44"/>
  <c r="K387" i="44"/>
  <c r="C387" i="44"/>
  <c r="AA386" i="44" a="1"/>
  <c r="AA386" i="44" s="1"/>
  <c r="Z386" i="44" a="1"/>
  <c r="Z386" i="44" s="1"/>
  <c r="R386" i="44"/>
  <c r="U386" i="44" s="1"/>
  <c r="P386" i="44"/>
  <c r="P386" i="44" a="1"/>
  <c r="O386" i="44"/>
  <c r="O386" i="44" a="1"/>
  <c r="M386" i="44"/>
  <c r="K386" i="44"/>
  <c r="C386" i="44"/>
  <c r="AA385" i="44" a="1"/>
  <c r="AA385" i="44" s="1"/>
  <c r="Z385" i="44" a="1"/>
  <c r="Z385" i="44" s="1"/>
  <c r="V385" i="44"/>
  <c r="R385" i="44"/>
  <c r="U385" i="44" s="1"/>
  <c r="P385" i="44"/>
  <c r="P385" i="44" a="1"/>
  <c r="O385" i="44" a="1"/>
  <c r="O385" i="44" s="1"/>
  <c r="L385" i="44"/>
  <c r="K385" i="44"/>
  <c r="C385" i="44"/>
  <c r="AA384" i="44" a="1"/>
  <c r="AA384" i="44" s="1"/>
  <c r="Z384" i="44" a="1"/>
  <c r="Z384" i="44" s="1"/>
  <c r="V384" i="44"/>
  <c r="R384" i="44"/>
  <c r="U384" i="44" s="1"/>
  <c r="P384" i="44" a="1"/>
  <c r="P384" i="44" s="1"/>
  <c r="T384" i="44" s="1"/>
  <c r="O384" i="44" a="1"/>
  <c r="O384" i="44" s="1"/>
  <c r="S384" i="44" s="1"/>
  <c r="M384" i="44"/>
  <c r="L384" i="44"/>
  <c r="K384" i="44"/>
  <c r="C384" i="44"/>
  <c r="AA383" i="44" a="1"/>
  <c r="AA383" i="44" s="1"/>
  <c r="Z383" i="44" a="1"/>
  <c r="Z383" i="44" s="1"/>
  <c r="V383" i="44"/>
  <c r="R383" i="44"/>
  <c r="U383" i="44" s="1"/>
  <c r="W383" i="44" s="1"/>
  <c r="P383" i="44" a="1"/>
  <c r="P383" i="44" s="1"/>
  <c r="T383" i="44" s="1"/>
  <c r="O383" i="44" a="1"/>
  <c r="O383" i="44" s="1"/>
  <c r="S383" i="44" s="1"/>
  <c r="AE383" i="44" s="1"/>
  <c r="AB383" i="44" s="1"/>
  <c r="M383" i="44"/>
  <c r="L383" i="44"/>
  <c r="K383" i="44"/>
  <c r="C383" i="44"/>
  <c r="AE382" i="44"/>
  <c r="AA381" i="44"/>
  <c r="AA381" i="44" a="1"/>
  <c r="Z381" i="44" a="1"/>
  <c r="Z381" i="44" s="1"/>
  <c r="V381" i="44"/>
  <c r="R381" i="44"/>
  <c r="U381" i="44" s="1"/>
  <c r="P381" i="44" a="1"/>
  <c r="P381" i="44" s="1"/>
  <c r="O381" i="44" a="1"/>
  <c r="O381" i="44" s="1"/>
  <c r="K381" i="44"/>
  <c r="C381" i="44"/>
  <c r="AA380" i="44" a="1"/>
  <c r="AA380" i="44" s="1"/>
  <c r="Z380" i="44" a="1"/>
  <c r="Z380" i="44" s="1"/>
  <c r="R380" i="44"/>
  <c r="U380" i="44" s="1"/>
  <c r="P380" i="44" a="1"/>
  <c r="P380" i="44" s="1"/>
  <c r="O380" i="44" a="1"/>
  <c r="O380" i="44" s="1"/>
  <c r="K380" i="44"/>
  <c r="C380" i="44"/>
  <c r="AA379" i="44" a="1"/>
  <c r="AA379" i="44" s="1"/>
  <c r="Z379" i="44" a="1"/>
  <c r="Z379" i="44" s="1"/>
  <c r="V379" i="44"/>
  <c r="R379" i="44"/>
  <c r="U379" i="44" s="1"/>
  <c r="P379" i="44" a="1"/>
  <c r="P379" i="44" s="1"/>
  <c r="O379" i="44" a="1"/>
  <c r="O379" i="44" s="1"/>
  <c r="K379" i="44"/>
  <c r="C379" i="44"/>
  <c r="AE378" i="44"/>
  <c r="AA378" i="44" a="1"/>
  <c r="AA378" i="44" s="1"/>
  <c r="Z378" i="44"/>
  <c r="Z378" i="44" a="1"/>
  <c r="V378" i="44"/>
  <c r="R378" i="44"/>
  <c r="U378" i="44" s="1"/>
  <c r="P378" i="44" a="1"/>
  <c r="P378" i="44" s="1"/>
  <c r="T378" i="44" s="1"/>
  <c r="O378" i="44" a="1"/>
  <c r="O378" i="44" s="1"/>
  <c r="S378" i="44" s="1"/>
  <c r="K378" i="44"/>
  <c r="C378" i="44"/>
  <c r="AA377" i="44" a="1"/>
  <c r="AA377" i="44" s="1"/>
  <c r="Z377" i="44" a="1"/>
  <c r="Z377" i="44" s="1"/>
  <c r="R377" i="44"/>
  <c r="U377" i="44" s="1"/>
  <c r="P377" i="44" a="1"/>
  <c r="P377" i="44" s="1"/>
  <c r="T377" i="44" s="1"/>
  <c r="O377" i="44"/>
  <c r="O377" i="44" a="1"/>
  <c r="K377" i="44"/>
  <c r="C377" i="44"/>
  <c r="AA376" i="44" a="1"/>
  <c r="AA376" i="44" s="1"/>
  <c r="Z376" i="44"/>
  <c r="Z376" i="44" a="1"/>
  <c r="V376" i="44"/>
  <c r="R376" i="44"/>
  <c r="U376" i="44" s="1"/>
  <c r="P376" i="44" a="1"/>
  <c r="P376" i="44" s="1"/>
  <c r="T376" i="44" s="1"/>
  <c r="O376" i="44" a="1"/>
  <c r="O376" i="44" s="1"/>
  <c r="S376" i="44" s="1"/>
  <c r="M376" i="44"/>
  <c r="L376" i="44"/>
  <c r="K376" i="44"/>
  <c r="C376" i="44"/>
  <c r="AA375" i="44"/>
  <c r="AA375" i="44" a="1"/>
  <c r="Z375" i="44" a="1"/>
  <c r="Z375" i="44" s="1"/>
  <c r="R375" i="44"/>
  <c r="U375" i="44" s="1"/>
  <c r="P375" i="44" a="1"/>
  <c r="P375" i="44" s="1"/>
  <c r="T375" i="44" s="1"/>
  <c r="O375" i="44" a="1"/>
  <c r="O375" i="44" s="1"/>
  <c r="M375" i="44"/>
  <c r="L375" i="44"/>
  <c r="K375" i="44"/>
  <c r="V375" i="44" s="1"/>
  <c r="C375" i="44"/>
  <c r="AA374" i="44" a="1"/>
  <c r="AA374" i="44" s="1"/>
  <c r="Z374" i="44" a="1"/>
  <c r="Z374" i="44" s="1"/>
  <c r="R374" i="44"/>
  <c r="U374" i="44" s="1"/>
  <c r="P374" i="44"/>
  <c r="P374" i="44" a="1"/>
  <c r="O374" i="44" a="1"/>
  <c r="O374" i="44" s="1"/>
  <c r="S374" i="44" s="1"/>
  <c r="K374" i="44"/>
  <c r="C374" i="44"/>
  <c r="AA373" i="44" a="1"/>
  <c r="AA373" i="44" s="1"/>
  <c r="Z373" i="44" a="1"/>
  <c r="Z373" i="44" s="1"/>
  <c r="R373" i="44"/>
  <c r="U373" i="44" s="1"/>
  <c r="P373" i="44"/>
  <c r="P373" i="44" a="1"/>
  <c r="O373" i="44" a="1"/>
  <c r="O373" i="44" s="1"/>
  <c r="K373" i="44"/>
  <c r="M373" i="44" s="1"/>
  <c r="C373" i="44"/>
  <c r="AA372" i="44"/>
  <c r="AA372" i="44" a="1"/>
  <c r="Z372" i="44" a="1"/>
  <c r="Z372" i="44" s="1"/>
  <c r="V372" i="44"/>
  <c r="R372" i="44"/>
  <c r="U372" i="44" s="1"/>
  <c r="P372" i="44" a="1"/>
  <c r="P372" i="44" s="1"/>
  <c r="O372" i="44" a="1"/>
  <c r="O372" i="44" s="1"/>
  <c r="S372" i="44" s="1"/>
  <c r="K372" i="44"/>
  <c r="C372" i="44"/>
  <c r="AA371" i="44" a="1"/>
  <c r="AA371" i="44" s="1"/>
  <c r="Z371" i="44"/>
  <c r="Z371" i="44" a="1"/>
  <c r="V371" i="44"/>
  <c r="R371" i="44"/>
  <c r="U371" i="44" s="1"/>
  <c r="P371" i="44" a="1"/>
  <c r="P371" i="44" s="1"/>
  <c r="O371" i="44" a="1"/>
  <c r="O371" i="44" s="1"/>
  <c r="S371" i="44" s="1"/>
  <c r="AE371" i="44" s="1"/>
  <c r="AB371" i="44" s="1"/>
  <c r="M371" i="44"/>
  <c r="L371" i="44"/>
  <c r="K371" i="44"/>
  <c r="T371" i="44" s="1"/>
  <c r="C371" i="44"/>
  <c r="AA370" i="44" a="1"/>
  <c r="AA370" i="44" s="1"/>
  <c r="Z370" i="44" a="1"/>
  <c r="Z370" i="44" s="1"/>
  <c r="R370" i="44"/>
  <c r="U370" i="44" s="1"/>
  <c r="P370" i="44" a="1"/>
  <c r="P370" i="44" s="1"/>
  <c r="O370" i="44" a="1"/>
  <c r="O370" i="44" s="1"/>
  <c r="S370" i="44" s="1"/>
  <c r="L370" i="44"/>
  <c r="K370" i="44"/>
  <c r="C370" i="44"/>
  <c r="AA369" i="44" a="1"/>
  <c r="AA369" i="44" s="1"/>
  <c r="Z369" i="44" a="1"/>
  <c r="Z369" i="44" s="1"/>
  <c r="V369" i="44"/>
  <c r="R369" i="44"/>
  <c r="U369" i="44" s="1"/>
  <c r="P369" i="44"/>
  <c r="T369" i="44" s="1"/>
  <c r="P369" i="44" a="1"/>
  <c r="O369" i="44"/>
  <c r="O369" i="44" a="1"/>
  <c r="M369" i="44"/>
  <c r="K369" i="44"/>
  <c r="C369" i="44"/>
  <c r="AA368" i="44" a="1"/>
  <c r="AA368" i="44" s="1"/>
  <c r="Z368" i="44" a="1"/>
  <c r="Z368" i="44" s="1"/>
  <c r="V368" i="44"/>
  <c r="R368" i="44"/>
  <c r="U368" i="44" s="1"/>
  <c r="P368" i="44" a="1"/>
  <c r="P368" i="44" s="1"/>
  <c r="T368" i="44" s="1"/>
  <c r="O368" i="44" a="1"/>
  <c r="O368" i="44" s="1"/>
  <c r="L368" i="44"/>
  <c r="K368" i="44"/>
  <c r="C368" i="44"/>
  <c r="AA367" i="44" a="1"/>
  <c r="AA367" i="44" s="1"/>
  <c r="Z367" i="44" a="1"/>
  <c r="Z367" i="44" s="1"/>
  <c r="V367" i="44"/>
  <c r="R367" i="44"/>
  <c r="U367" i="44" s="1"/>
  <c r="W367" i="44" s="1"/>
  <c r="P367" i="44" a="1"/>
  <c r="P367" i="44" s="1"/>
  <c r="O367" i="44" a="1"/>
  <c r="O367" i="44" s="1"/>
  <c r="K367" i="44"/>
  <c r="C367" i="44"/>
  <c r="AA366" i="44" a="1"/>
  <c r="AA366" i="44" s="1"/>
  <c r="Z366" i="44" a="1"/>
  <c r="Z366" i="44" s="1"/>
  <c r="V366" i="44"/>
  <c r="R366" i="44"/>
  <c r="U366" i="44" s="1"/>
  <c r="P366" i="44" a="1"/>
  <c r="P366" i="44" s="1"/>
  <c r="O366" i="44" a="1"/>
  <c r="O366" i="44" s="1"/>
  <c r="S366" i="44" s="1"/>
  <c r="K366" i="44"/>
  <c r="C366" i="44"/>
  <c r="AA365" i="44" a="1"/>
  <c r="AA365" i="44" s="1"/>
  <c r="Z365" i="44" a="1"/>
  <c r="Z365" i="44" s="1"/>
  <c r="V365" i="44"/>
  <c r="R365" i="44"/>
  <c r="U365" i="44" s="1"/>
  <c r="P365" i="44" a="1"/>
  <c r="P365" i="44" s="1"/>
  <c r="O365" i="44" a="1"/>
  <c r="O365" i="44" s="1"/>
  <c r="S365" i="44" s="1"/>
  <c r="AE365" i="44" s="1"/>
  <c r="M365" i="44"/>
  <c r="K365" i="44"/>
  <c r="C365" i="44"/>
  <c r="AA364" i="44"/>
  <c r="AA364" i="44" a="1"/>
  <c r="Z364" i="44"/>
  <c r="Z364" i="44" a="1"/>
  <c r="V364" i="44"/>
  <c r="R364" i="44"/>
  <c r="U364" i="44" s="1"/>
  <c r="P364" i="44" a="1"/>
  <c r="P364" i="44" s="1"/>
  <c r="T364" i="44" s="1"/>
  <c r="O364" i="44" a="1"/>
  <c r="O364" i="44" s="1"/>
  <c r="S364" i="44" s="1"/>
  <c r="AE364" i="44" s="1"/>
  <c r="M364" i="44"/>
  <c r="L364" i="44"/>
  <c r="K364" i="44"/>
  <c r="C364" i="44"/>
  <c r="AA363" i="44"/>
  <c r="AA363" i="44" a="1"/>
  <c r="Z363" i="44"/>
  <c r="Z363" i="44" a="1"/>
  <c r="R363" i="44"/>
  <c r="U363" i="44" s="1"/>
  <c r="W363" i="44" s="1"/>
  <c r="P363" i="44" a="1"/>
  <c r="P363" i="44" s="1"/>
  <c r="T363" i="44" s="1"/>
  <c r="O363" i="44" a="1"/>
  <c r="O363" i="44" s="1"/>
  <c r="S363" i="44" s="1"/>
  <c r="M363" i="44"/>
  <c r="L363" i="44"/>
  <c r="K363" i="44"/>
  <c r="V363" i="44" s="1"/>
  <c r="C363" i="44"/>
  <c r="AA362" i="44" a="1"/>
  <c r="AA362" i="44" s="1"/>
  <c r="Z362" i="44" a="1"/>
  <c r="Z362" i="44" s="1"/>
  <c r="R362" i="44"/>
  <c r="U362" i="44" s="1"/>
  <c r="P362" i="44" a="1"/>
  <c r="P362" i="44" s="1"/>
  <c r="O362" i="44" a="1"/>
  <c r="O362" i="44" s="1"/>
  <c r="S362" i="44" s="1"/>
  <c r="K362" i="44"/>
  <c r="C362" i="44"/>
  <c r="AA361" i="44" a="1"/>
  <c r="AA361" i="44" s="1"/>
  <c r="Z361" i="44" a="1"/>
  <c r="Z361" i="44" s="1"/>
  <c r="R361" i="44"/>
  <c r="U361" i="44" s="1"/>
  <c r="P361" i="44" a="1"/>
  <c r="P361" i="44" s="1"/>
  <c r="O361" i="44" a="1"/>
  <c r="O361" i="44" s="1"/>
  <c r="K361" i="44"/>
  <c r="C361" i="44"/>
  <c r="AK360" i="44"/>
  <c r="AA360" i="44" a="1"/>
  <c r="AA360" i="44" s="1"/>
  <c r="Z360" i="44"/>
  <c r="Z360" i="44" a="1"/>
  <c r="V360" i="44"/>
  <c r="R360" i="44"/>
  <c r="U360" i="44" s="1"/>
  <c r="W360" i="44" s="1"/>
  <c r="P360" i="44" a="1"/>
  <c r="P360" i="44" s="1"/>
  <c r="T360" i="44" s="1"/>
  <c r="O360" i="44"/>
  <c r="S360" i="44" s="1"/>
  <c r="O360" i="44" a="1"/>
  <c r="L360" i="44"/>
  <c r="K360" i="44"/>
  <c r="M360" i="44" s="1"/>
  <c r="C360" i="44"/>
  <c r="AE359" i="44"/>
  <c r="AA358" i="44" a="1"/>
  <c r="AA358" i="44" s="1"/>
  <c r="Z358" i="44" a="1"/>
  <c r="Z358" i="44" s="1"/>
  <c r="R358" i="44"/>
  <c r="U358" i="44" s="1"/>
  <c r="P358" i="44" a="1"/>
  <c r="P358" i="44" s="1"/>
  <c r="T358" i="44" s="1"/>
  <c r="O358" i="44"/>
  <c r="O358" i="44" a="1"/>
  <c r="L358" i="44"/>
  <c r="K358" i="44"/>
  <c r="C358" i="44"/>
  <c r="AA357" i="44" a="1"/>
  <c r="AA357" i="44" s="1"/>
  <c r="Z357" i="44" a="1"/>
  <c r="Z357" i="44" s="1"/>
  <c r="V357" i="44"/>
  <c r="S357" i="44"/>
  <c r="R357" i="44"/>
  <c r="U357" i="44" s="1"/>
  <c r="P357" i="44"/>
  <c r="P357" i="44" a="1"/>
  <c r="O357" i="44" a="1"/>
  <c r="O357" i="44" s="1"/>
  <c r="L357" i="44"/>
  <c r="K357" i="44"/>
  <c r="C357" i="44"/>
  <c r="AA356" i="44" a="1"/>
  <c r="AA356" i="44" s="1"/>
  <c r="Z356" i="44" a="1"/>
  <c r="Z356" i="44" s="1"/>
  <c r="V356" i="44"/>
  <c r="R356" i="44"/>
  <c r="U356" i="44" s="1"/>
  <c r="W356" i="44" s="1"/>
  <c r="P356" i="44" a="1"/>
  <c r="P356" i="44" s="1"/>
  <c r="T356" i="44" s="1"/>
  <c r="O356" i="44" a="1"/>
  <c r="O356" i="44" s="1"/>
  <c r="S356" i="44" s="1"/>
  <c r="M356" i="44"/>
  <c r="L356" i="44"/>
  <c r="K356" i="44"/>
  <c r="C356" i="44"/>
  <c r="AA355" i="44"/>
  <c r="AA355" i="44" a="1"/>
  <c r="Z355" i="44" a="1"/>
  <c r="Z355" i="44" s="1"/>
  <c r="V355" i="44"/>
  <c r="R355" i="44"/>
  <c r="U355" i="44" s="1"/>
  <c r="P355" i="44" a="1"/>
  <c r="P355" i="44" s="1"/>
  <c r="T355" i="44" s="1"/>
  <c r="O355" i="44" a="1"/>
  <c r="O355" i="44" s="1"/>
  <c r="S355" i="44" s="1"/>
  <c r="M355" i="44"/>
  <c r="K355" i="44"/>
  <c r="L355" i="44" s="1"/>
  <c r="C355" i="44"/>
  <c r="AA354" i="44" a="1"/>
  <c r="AA354" i="44" s="1"/>
  <c r="Z354" i="44"/>
  <c r="Z354" i="44" a="1"/>
  <c r="V354" i="44"/>
  <c r="R354" i="44"/>
  <c r="U354" i="44" s="1"/>
  <c r="P354" i="44"/>
  <c r="T354" i="44" s="1"/>
  <c r="P354" i="44" a="1"/>
  <c r="O354" i="44" a="1"/>
  <c r="O354" i="44" s="1"/>
  <c r="M354" i="44"/>
  <c r="L354" i="44"/>
  <c r="K354" i="44"/>
  <c r="C354" i="44"/>
  <c r="AA353" i="44" a="1"/>
  <c r="AA353" i="44" s="1"/>
  <c r="Z353" i="44"/>
  <c r="Z353" i="44" a="1"/>
  <c r="R353" i="44"/>
  <c r="U353" i="44" s="1"/>
  <c r="P353" i="44" a="1"/>
  <c r="P353" i="44" s="1"/>
  <c r="O353" i="44" a="1"/>
  <c r="O353" i="44" s="1"/>
  <c r="K353" i="44"/>
  <c r="C353" i="44"/>
  <c r="AE352" i="44"/>
  <c r="P351" i="44"/>
  <c r="P351" i="44" a="1"/>
  <c r="E351" i="44"/>
  <c r="AA349" i="44" a="1"/>
  <c r="AA349" i="44" s="1"/>
  <c r="Z349" i="44" a="1"/>
  <c r="Z349" i="44" s="1"/>
  <c r="R349" i="44"/>
  <c r="U349" i="44" s="1"/>
  <c r="W349" i="44" s="1"/>
  <c r="P349" i="44" a="1"/>
  <c r="P349" i="44" s="1"/>
  <c r="T349" i="44" s="1"/>
  <c r="O349" i="44"/>
  <c r="S349" i="44" s="1"/>
  <c r="O349" i="44" a="1"/>
  <c r="L349" i="44"/>
  <c r="K349" i="44"/>
  <c r="V349" i="44" s="1"/>
  <c r="C349" i="44"/>
  <c r="AA348" i="44" a="1"/>
  <c r="AA348" i="44" s="1"/>
  <c r="Z348" i="44" a="1"/>
  <c r="Z348" i="44" s="1"/>
  <c r="V348" i="44"/>
  <c r="R348" i="44"/>
  <c r="U348" i="44" s="1"/>
  <c r="W348" i="44" s="1"/>
  <c r="P348" i="44"/>
  <c r="T348" i="44" s="1"/>
  <c r="P348" i="44" a="1"/>
  <c r="O348" i="44" a="1"/>
  <c r="O348" i="44" s="1"/>
  <c r="S348" i="44" s="1"/>
  <c r="M348" i="44"/>
  <c r="L348" i="44"/>
  <c r="C348" i="44"/>
  <c r="AA347" i="44" a="1"/>
  <c r="AA347" i="44" s="1"/>
  <c r="Z347" i="44" a="1"/>
  <c r="Z347" i="44" s="1"/>
  <c r="R347" i="44"/>
  <c r="U347" i="44" s="1"/>
  <c r="P347" i="44" a="1"/>
  <c r="P347" i="44" s="1"/>
  <c r="O347" i="44"/>
  <c r="O347" i="44" a="1"/>
  <c r="K347" i="44"/>
  <c r="T347" i="44" s="1"/>
  <c r="C347" i="44"/>
  <c r="AA346" i="44" a="1"/>
  <c r="AA346" i="44" s="1"/>
  <c r="Z346" i="44" a="1"/>
  <c r="Z346" i="44" s="1"/>
  <c r="V346" i="44"/>
  <c r="R346" i="44"/>
  <c r="U346" i="44" s="1"/>
  <c r="P346" i="44" a="1"/>
  <c r="P346" i="44" s="1"/>
  <c r="O346" i="44" a="1"/>
  <c r="O346" i="44" s="1"/>
  <c r="K346" i="44"/>
  <c r="C346" i="44"/>
  <c r="AA345" i="44" a="1"/>
  <c r="AA345" i="44" s="1"/>
  <c r="Z345" i="44" a="1"/>
  <c r="Z345" i="44" s="1"/>
  <c r="V345" i="44"/>
  <c r="R345" i="44"/>
  <c r="U345" i="44" s="1"/>
  <c r="P345" i="44" a="1"/>
  <c r="P345" i="44" s="1"/>
  <c r="T345" i="44" s="1"/>
  <c r="O345" i="44"/>
  <c r="S345" i="44" s="1"/>
  <c r="O345" i="44" a="1"/>
  <c r="M345" i="44"/>
  <c r="L345" i="44"/>
  <c r="K345" i="44"/>
  <c r="C345" i="44"/>
  <c r="AA344" i="44"/>
  <c r="AA344" i="44" a="1"/>
  <c r="Z344" i="44"/>
  <c r="Z344" i="44" a="1"/>
  <c r="V344" i="44"/>
  <c r="R344" i="44"/>
  <c r="U344" i="44" s="1"/>
  <c r="P344" i="44" a="1"/>
  <c r="P344" i="44" s="1"/>
  <c r="O344" i="44" a="1"/>
  <c r="O344" i="44" s="1"/>
  <c r="K344" i="44"/>
  <c r="L344" i="44" s="1"/>
  <c r="C344" i="44"/>
  <c r="AA343" i="44" a="1"/>
  <c r="AA343" i="44" s="1"/>
  <c r="Z343" i="44" a="1"/>
  <c r="Z343" i="44" s="1"/>
  <c r="V343" i="44"/>
  <c r="R343" i="44"/>
  <c r="U343" i="44" s="1"/>
  <c r="P343" i="44" a="1"/>
  <c r="P343" i="44" s="1"/>
  <c r="T343" i="44" s="1"/>
  <c r="O343" i="44" a="1"/>
  <c r="O343" i="44" s="1"/>
  <c r="S343" i="44" s="1"/>
  <c r="L343" i="44"/>
  <c r="K343" i="44"/>
  <c r="M343" i="44" s="1"/>
  <c r="C343" i="44"/>
  <c r="AA342" i="44" a="1"/>
  <c r="AA342" i="44" s="1"/>
  <c r="Z342" i="44"/>
  <c r="Z342" i="44" a="1"/>
  <c r="R342" i="44"/>
  <c r="U342" i="44" s="1"/>
  <c r="P342" i="44"/>
  <c r="T342" i="44" s="1"/>
  <c r="P342" i="44" a="1"/>
  <c r="O342" i="44" a="1"/>
  <c r="O342" i="44" s="1"/>
  <c r="L342" i="44"/>
  <c r="K342" i="44"/>
  <c r="V342" i="44" s="1"/>
  <c r="C342" i="44"/>
  <c r="AA341" i="44"/>
  <c r="AA341" i="44" a="1"/>
  <c r="Z341" i="44" a="1"/>
  <c r="Z341" i="44" s="1"/>
  <c r="V341" i="44"/>
  <c r="R341" i="44"/>
  <c r="U341" i="44" s="1"/>
  <c r="W341" i="44" s="1"/>
  <c r="P341" i="44" a="1"/>
  <c r="P341" i="44" s="1"/>
  <c r="T341" i="44" s="1"/>
  <c r="O341" i="44" a="1"/>
  <c r="O341" i="44" s="1"/>
  <c r="S341" i="44" s="1"/>
  <c r="M341" i="44"/>
  <c r="L341" i="44"/>
  <c r="C341" i="44"/>
  <c r="AA340" i="44"/>
  <c r="AA340" i="44" a="1"/>
  <c r="Z340" i="44" a="1"/>
  <c r="Z340" i="44" s="1"/>
  <c r="V340" i="44"/>
  <c r="R340" i="44"/>
  <c r="U340" i="44" s="1"/>
  <c r="P340" i="44" a="1"/>
  <c r="P340" i="44" s="1"/>
  <c r="T340" i="44" s="1"/>
  <c r="O340" i="44" a="1"/>
  <c r="O340" i="44" s="1"/>
  <c r="S340" i="44" s="1"/>
  <c r="M340" i="44"/>
  <c r="L340" i="44"/>
  <c r="C340" i="44"/>
  <c r="AA339" i="44" a="1"/>
  <c r="AA339" i="44" s="1"/>
  <c r="Z339" i="44" a="1"/>
  <c r="Z339" i="44" s="1"/>
  <c r="V339" i="44"/>
  <c r="R339" i="44"/>
  <c r="U339" i="44" s="1"/>
  <c r="P339" i="44" a="1"/>
  <c r="P339" i="44" s="1"/>
  <c r="T339" i="44" s="1"/>
  <c r="O339" i="44" a="1"/>
  <c r="O339" i="44" s="1"/>
  <c r="S339" i="44" s="1"/>
  <c r="M339" i="44"/>
  <c r="L339" i="44"/>
  <c r="C339" i="44"/>
  <c r="AA338" i="44" a="1"/>
  <c r="AA338" i="44" s="1"/>
  <c r="Z338" i="44" a="1"/>
  <c r="Z338" i="44" s="1"/>
  <c r="R338" i="44"/>
  <c r="U338" i="44" s="1"/>
  <c r="P338" i="44"/>
  <c r="P338" i="44" a="1"/>
  <c r="O338" i="44" a="1"/>
  <c r="O338" i="44" s="1"/>
  <c r="K338" i="44"/>
  <c r="V338" i="44" s="1"/>
  <c r="C338" i="44"/>
  <c r="AA337" i="44"/>
  <c r="AA337" i="44" a="1"/>
  <c r="Z337" i="44" a="1"/>
  <c r="Z337" i="44" s="1"/>
  <c r="R337" i="44"/>
  <c r="U337" i="44" s="1"/>
  <c r="P337" i="44" a="1"/>
  <c r="P337" i="44" s="1"/>
  <c r="O337" i="44"/>
  <c r="O337" i="44" a="1"/>
  <c r="K337" i="44"/>
  <c r="C337" i="44"/>
  <c r="AA336" i="44"/>
  <c r="AA336" i="44" a="1"/>
  <c r="Z336" i="44" a="1"/>
  <c r="Z336" i="44" s="1"/>
  <c r="V336" i="44"/>
  <c r="R336" i="44"/>
  <c r="U336" i="44" s="1"/>
  <c r="P336" i="44" a="1"/>
  <c r="P336" i="44" s="1"/>
  <c r="O336" i="44" a="1"/>
  <c r="O336" i="44" s="1"/>
  <c r="S336" i="44" s="1"/>
  <c r="AE336" i="44" s="1"/>
  <c r="K336" i="44"/>
  <c r="M336" i="44" s="1"/>
  <c r="C336" i="44"/>
  <c r="AA335" i="44"/>
  <c r="AA335" i="44" a="1"/>
  <c r="Z335" i="44"/>
  <c r="Z335" i="44" a="1"/>
  <c r="V335" i="44"/>
  <c r="S335" i="44"/>
  <c r="R335" i="44"/>
  <c r="U335" i="44" s="1"/>
  <c r="W335" i="44" s="1"/>
  <c r="P335" i="44" a="1"/>
  <c r="P335" i="44" s="1"/>
  <c r="O335" i="44"/>
  <c r="O335" i="44" a="1"/>
  <c r="M335" i="44"/>
  <c r="L335" i="44"/>
  <c r="K335" i="44"/>
  <c r="C335" i="44"/>
  <c r="AA334" i="44" a="1"/>
  <c r="AA334" i="44" s="1"/>
  <c r="Z334" i="44" a="1"/>
  <c r="Z334" i="44" s="1"/>
  <c r="R334" i="44"/>
  <c r="U334" i="44" s="1"/>
  <c r="P334" i="44"/>
  <c r="P334" i="44" a="1"/>
  <c r="O334" i="44" a="1"/>
  <c r="O334" i="44" s="1"/>
  <c r="K334" i="44"/>
  <c r="V334" i="44" s="1"/>
  <c r="C334" i="44"/>
  <c r="AA333" i="44"/>
  <c r="AA333" i="44" a="1"/>
  <c r="Z333" i="44" a="1"/>
  <c r="Z333" i="44" s="1"/>
  <c r="R333" i="44"/>
  <c r="U333" i="44" s="1"/>
  <c r="P333" i="44" a="1"/>
  <c r="P333" i="44" s="1"/>
  <c r="O333" i="44"/>
  <c r="O333" i="44" a="1"/>
  <c r="K333" i="44"/>
  <c r="T333" i="44" s="1"/>
  <c r="C333" i="44"/>
  <c r="AA332" i="44"/>
  <c r="AA332" i="44" a="1"/>
  <c r="Z332" i="44"/>
  <c r="Z332" i="44" a="1"/>
  <c r="V332" i="44"/>
  <c r="R332" i="44"/>
  <c r="U332" i="44" s="1"/>
  <c r="P332" i="44"/>
  <c r="P332" i="44" a="1"/>
  <c r="O332" i="44" a="1"/>
  <c r="O332" i="44" s="1"/>
  <c r="S332" i="44" s="1"/>
  <c r="AE332" i="44" s="1"/>
  <c r="K332" i="44"/>
  <c r="M332" i="44" s="1"/>
  <c r="C332" i="44"/>
  <c r="P331" i="44" a="1"/>
  <c r="P331" i="44" s="1"/>
  <c r="E331" i="44"/>
  <c r="AA329" i="44"/>
  <c r="AA329" i="44" a="1"/>
  <c r="Z329" i="44" a="1"/>
  <c r="Z329" i="44" s="1"/>
  <c r="R329" i="44"/>
  <c r="U329" i="44" s="1"/>
  <c r="P329" i="44" a="1"/>
  <c r="P329" i="44" s="1"/>
  <c r="O329" i="44" a="1"/>
  <c r="O329" i="44" s="1"/>
  <c r="F329" i="44"/>
  <c r="K329" i="44" s="1"/>
  <c r="C329" i="44"/>
  <c r="AA328" i="44"/>
  <c r="AA328" i="44" a="1"/>
  <c r="Z328" i="44" a="1"/>
  <c r="Z328" i="44" s="1"/>
  <c r="R328" i="44"/>
  <c r="U328" i="44" s="1"/>
  <c r="P328" i="44" a="1"/>
  <c r="P328" i="44" s="1"/>
  <c r="O328" i="44" a="1"/>
  <c r="O328" i="44" s="1"/>
  <c r="F328" i="44"/>
  <c r="K328" i="44" s="1"/>
  <c r="C328" i="44"/>
  <c r="AA326" i="44" a="1"/>
  <c r="AA326" i="44" s="1"/>
  <c r="Z326" i="44" a="1"/>
  <c r="Z326" i="44" s="1"/>
  <c r="R326" i="44"/>
  <c r="U326" i="44" s="1"/>
  <c r="P326" i="44" a="1"/>
  <c r="P326" i="44" s="1"/>
  <c r="O326" i="44" a="1"/>
  <c r="O326" i="44" s="1"/>
  <c r="F326" i="44"/>
  <c r="K326" i="44" s="1"/>
  <c r="C326" i="44"/>
  <c r="AI325" i="44"/>
  <c r="AA325" i="44" a="1"/>
  <c r="AA325" i="44" s="1"/>
  <c r="Z325" i="44"/>
  <c r="Z325" i="44" a="1"/>
  <c r="R325" i="44"/>
  <c r="U325" i="44" s="1"/>
  <c r="P325" i="44"/>
  <c r="P325" i="44" a="1"/>
  <c r="O325" i="44" a="1"/>
  <c r="O325" i="44" s="1"/>
  <c r="K325" i="44"/>
  <c r="F325" i="44"/>
  <c r="C325" i="44"/>
  <c r="AA323" i="44"/>
  <c r="AA323" i="44" a="1"/>
  <c r="Z323" i="44"/>
  <c r="Z323" i="44" a="1"/>
  <c r="R323" i="44"/>
  <c r="U323" i="44" s="1"/>
  <c r="P323" i="44" a="1"/>
  <c r="P323" i="44" s="1"/>
  <c r="O323" i="44" a="1"/>
  <c r="O323" i="44" s="1"/>
  <c r="K323" i="44"/>
  <c r="C323" i="44"/>
  <c r="AA322" i="44" a="1"/>
  <c r="AA322" i="44" s="1"/>
  <c r="Z322" i="44" a="1"/>
  <c r="Z322" i="44" s="1"/>
  <c r="V322" i="44"/>
  <c r="R322" i="44"/>
  <c r="U322" i="44" s="1"/>
  <c r="W322" i="44" s="1"/>
  <c r="P322" i="44" a="1"/>
  <c r="P322" i="44" s="1"/>
  <c r="O322" i="44"/>
  <c r="S322" i="44" s="1"/>
  <c r="O322" i="44" a="1"/>
  <c r="M322" i="44"/>
  <c r="L322" i="44"/>
  <c r="K322" i="44"/>
  <c r="T322" i="44" s="1"/>
  <c r="C322" i="44"/>
  <c r="AA321" i="44" a="1"/>
  <c r="AA321" i="44" s="1"/>
  <c r="Z321" i="44"/>
  <c r="Z321" i="44" a="1"/>
  <c r="R321" i="44"/>
  <c r="U321" i="44" s="1"/>
  <c r="P321" i="44"/>
  <c r="P321" i="44" a="1"/>
  <c r="O321" i="44"/>
  <c r="S321" i="44" s="1"/>
  <c r="O321" i="44" a="1"/>
  <c r="K321" i="44"/>
  <c r="M321" i="44" s="1"/>
  <c r="C321" i="44"/>
  <c r="AA320" i="44" a="1"/>
  <c r="AA320" i="44" s="1"/>
  <c r="Z320" i="44"/>
  <c r="Z320" i="44" a="1"/>
  <c r="R320" i="44"/>
  <c r="U320" i="44" s="1"/>
  <c r="P320" i="44"/>
  <c r="T320" i="44" s="1"/>
  <c r="P320" i="44" a="1"/>
  <c r="O320" i="44" a="1"/>
  <c r="O320" i="44" s="1"/>
  <c r="K320" i="44"/>
  <c r="M320" i="44" s="1"/>
  <c r="C320" i="44"/>
  <c r="AA319" i="44" a="1"/>
  <c r="AA319" i="44" s="1"/>
  <c r="Z319" i="44"/>
  <c r="Z319" i="44" a="1"/>
  <c r="R319" i="44"/>
  <c r="U319" i="44" s="1"/>
  <c r="P319" i="44" a="1"/>
  <c r="P319" i="44" s="1"/>
  <c r="O319" i="44" a="1"/>
  <c r="O319" i="44" s="1"/>
  <c r="K319" i="44"/>
  <c r="C319" i="44"/>
  <c r="AA318" i="44" a="1"/>
  <c r="AA318" i="44" s="1"/>
  <c r="Z318" i="44" a="1"/>
  <c r="Z318" i="44" s="1"/>
  <c r="V318" i="44"/>
  <c r="R318" i="44"/>
  <c r="U318" i="44" s="1"/>
  <c r="W318" i="44" s="1"/>
  <c r="P318" i="44" a="1"/>
  <c r="P318" i="44" s="1"/>
  <c r="O318" i="44"/>
  <c r="S318" i="44" s="1"/>
  <c r="O318" i="44" a="1"/>
  <c r="M318" i="44"/>
  <c r="L318" i="44"/>
  <c r="K318" i="44"/>
  <c r="C318" i="44"/>
  <c r="AA317" i="44" a="1"/>
  <c r="AA317" i="44" s="1"/>
  <c r="Z317" i="44" a="1"/>
  <c r="Z317" i="44" s="1"/>
  <c r="R317" i="44"/>
  <c r="U317" i="44" s="1"/>
  <c r="P317" i="44"/>
  <c r="P317" i="44" a="1"/>
  <c r="O317" i="44"/>
  <c r="S317" i="44" s="1"/>
  <c r="O317" i="44" a="1"/>
  <c r="K317" i="44"/>
  <c r="M317" i="44" s="1"/>
  <c r="C317" i="44"/>
  <c r="AA316" i="44"/>
  <c r="AA316" i="44" a="1"/>
  <c r="Z316" i="44" a="1"/>
  <c r="Z316" i="44" s="1"/>
  <c r="V316" i="44"/>
  <c r="R316" i="44"/>
  <c r="U316" i="44" s="1"/>
  <c r="P316" i="44" a="1"/>
  <c r="P316" i="44" s="1"/>
  <c r="T316" i="44" s="1"/>
  <c r="O316" i="44"/>
  <c r="O316" i="44" a="1"/>
  <c r="K316" i="44"/>
  <c r="M316" i="44" s="1"/>
  <c r="C316" i="44"/>
  <c r="AA315" i="44"/>
  <c r="AA315" i="44" a="1"/>
  <c r="Z315" i="44"/>
  <c r="Z315" i="44" a="1"/>
  <c r="R315" i="44"/>
  <c r="U315" i="44" s="1"/>
  <c r="P315" i="44" a="1"/>
  <c r="P315" i="44" s="1"/>
  <c r="O315" i="44" a="1"/>
  <c r="O315" i="44" s="1"/>
  <c r="K315" i="44"/>
  <c r="C315" i="44"/>
  <c r="AA314" i="44" a="1"/>
  <c r="AA314" i="44" s="1"/>
  <c r="Z314" i="44" a="1"/>
  <c r="Z314" i="44" s="1"/>
  <c r="V314" i="44"/>
  <c r="R314" i="44"/>
  <c r="U314" i="44" s="1"/>
  <c r="W314" i="44" s="1"/>
  <c r="P314" i="44" a="1"/>
  <c r="P314" i="44" s="1"/>
  <c r="O314" i="44"/>
  <c r="S314" i="44" s="1"/>
  <c r="O314" i="44" a="1"/>
  <c r="M314" i="44"/>
  <c r="L314" i="44"/>
  <c r="K314" i="44"/>
  <c r="C314" i="44"/>
  <c r="AA313" i="44" a="1"/>
  <c r="AA313" i="44" s="1"/>
  <c r="Z313" i="44" a="1"/>
  <c r="Z313" i="44" s="1"/>
  <c r="R313" i="44"/>
  <c r="U313" i="44" s="1"/>
  <c r="P313" i="44"/>
  <c r="P313" i="44" a="1"/>
  <c r="O313" i="44" a="1"/>
  <c r="O313" i="44" s="1"/>
  <c r="S313" i="44" s="1"/>
  <c r="K313" i="44"/>
  <c r="M313" i="44" s="1"/>
  <c r="C313" i="44"/>
  <c r="AA312" i="44" a="1"/>
  <c r="AA312" i="44" s="1"/>
  <c r="Z312" i="44" a="1"/>
  <c r="Z312" i="44" s="1"/>
  <c r="V312" i="44"/>
  <c r="R312" i="44"/>
  <c r="U312" i="44" s="1"/>
  <c r="P312" i="44"/>
  <c r="T312" i="44" s="1"/>
  <c r="P312" i="44" a="1"/>
  <c r="O312" i="44"/>
  <c r="O312" i="44" a="1"/>
  <c r="K312" i="44"/>
  <c r="M312" i="44" s="1"/>
  <c r="C312" i="44"/>
  <c r="AA311" i="44"/>
  <c r="AA311" i="44" a="1"/>
  <c r="Z311" i="44" a="1"/>
  <c r="Z311" i="44" s="1"/>
  <c r="R311" i="44"/>
  <c r="U311" i="44" s="1"/>
  <c r="P311" i="44" a="1"/>
  <c r="P311" i="44" s="1"/>
  <c r="O311" i="44" a="1"/>
  <c r="O311" i="44" s="1"/>
  <c r="K311" i="44"/>
  <c r="C311" i="44"/>
  <c r="AA310" i="44" a="1"/>
  <c r="AA310" i="44" s="1"/>
  <c r="Z310" i="44" a="1"/>
  <c r="Z310" i="44" s="1"/>
  <c r="V310" i="44"/>
  <c r="R310" i="44"/>
  <c r="U310" i="44" s="1"/>
  <c r="P310" i="44" a="1"/>
  <c r="P310" i="44" s="1"/>
  <c r="O310" i="44" a="1"/>
  <c r="O310" i="44" s="1"/>
  <c r="S310" i="44" s="1"/>
  <c r="M310" i="44"/>
  <c r="L310" i="44"/>
  <c r="K310" i="44"/>
  <c r="T310" i="44" s="1"/>
  <c r="C310" i="44"/>
  <c r="AA309" i="44" a="1"/>
  <c r="AA309" i="44" s="1"/>
  <c r="Z309" i="44" a="1"/>
  <c r="Z309" i="44" s="1"/>
  <c r="S309" i="44"/>
  <c r="R309" i="44"/>
  <c r="U309" i="44" s="1"/>
  <c r="P309" i="44"/>
  <c r="P309" i="44" a="1"/>
  <c r="O309" i="44"/>
  <c r="O309" i="44" a="1"/>
  <c r="K309" i="44"/>
  <c r="M309" i="44" s="1"/>
  <c r="C309" i="44"/>
  <c r="AA308" i="44"/>
  <c r="AA308" i="44" a="1"/>
  <c r="Z308" i="44" a="1"/>
  <c r="Z308" i="44" s="1"/>
  <c r="V308" i="44"/>
  <c r="R308" i="44"/>
  <c r="U308" i="44" s="1"/>
  <c r="P308" i="44"/>
  <c r="T308" i="44" s="1"/>
  <c r="P308" i="44" a="1"/>
  <c r="O308" i="44"/>
  <c r="O308" i="44" a="1"/>
  <c r="K308" i="44"/>
  <c r="M308" i="44" s="1"/>
  <c r="C308" i="44"/>
  <c r="AA307" i="44"/>
  <c r="AA307" i="44" a="1"/>
  <c r="Z307" i="44" a="1"/>
  <c r="Z307" i="44" s="1"/>
  <c r="R307" i="44"/>
  <c r="U307" i="44" s="1"/>
  <c r="P307" i="44" a="1"/>
  <c r="P307" i="44" s="1"/>
  <c r="O307" i="44" a="1"/>
  <c r="O307" i="44" s="1"/>
  <c r="K307" i="44"/>
  <c r="C307" i="44"/>
  <c r="AK306" i="44"/>
  <c r="AA306" i="44" a="1"/>
  <c r="AA306" i="44" s="1"/>
  <c r="Z306" i="44"/>
  <c r="Z306" i="44" a="1"/>
  <c r="R306" i="44"/>
  <c r="U306" i="44" s="1"/>
  <c r="P306" i="44" a="1"/>
  <c r="P306" i="44" s="1"/>
  <c r="O306" i="44" a="1"/>
  <c r="O306" i="44" s="1"/>
  <c r="K306" i="44"/>
  <c r="V306" i="44" s="1"/>
  <c r="C306" i="44"/>
  <c r="AK305" i="44"/>
  <c r="AA305" i="44" a="1"/>
  <c r="AA305" i="44" s="1"/>
  <c r="Z305" i="44" a="1"/>
  <c r="Z305" i="44" s="1"/>
  <c r="V305" i="44"/>
  <c r="R305" i="44"/>
  <c r="U305" i="44" s="1"/>
  <c r="W305" i="44" s="1"/>
  <c r="P305" i="44" a="1"/>
  <c r="P305" i="44" s="1"/>
  <c r="O305" i="44" a="1"/>
  <c r="O305" i="44" s="1"/>
  <c r="S305" i="44" s="1"/>
  <c r="M305" i="44"/>
  <c r="L305" i="44"/>
  <c r="K305" i="44"/>
  <c r="C305" i="44"/>
  <c r="AA304" i="44" a="1"/>
  <c r="AA304" i="44" s="1"/>
  <c r="Z304" i="44" a="1"/>
  <c r="Z304" i="44" s="1"/>
  <c r="R304" i="44"/>
  <c r="U304" i="44" s="1"/>
  <c r="P304" i="44" a="1"/>
  <c r="P304" i="44" s="1"/>
  <c r="O304" i="44"/>
  <c r="O304" i="44" a="1"/>
  <c r="K304" i="44"/>
  <c r="C304" i="44"/>
  <c r="AK303" i="44"/>
  <c r="AA303" i="44"/>
  <c r="AA303" i="44" a="1"/>
  <c r="Z303" i="44" a="1"/>
  <c r="Z303" i="44" s="1"/>
  <c r="V303" i="44"/>
  <c r="R303" i="44"/>
  <c r="U303" i="44" s="1"/>
  <c r="P303" i="44" a="1"/>
  <c r="P303" i="44" s="1"/>
  <c r="T303" i="44" s="1"/>
  <c r="O303" i="44"/>
  <c r="S303" i="44" s="1"/>
  <c r="O303" i="44" a="1"/>
  <c r="M303" i="44"/>
  <c r="K303" i="44"/>
  <c r="L303" i="44" s="1"/>
  <c r="C303" i="44"/>
  <c r="AK302" i="44"/>
  <c r="AA302" i="44" a="1"/>
  <c r="AA302" i="44" s="1"/>
  <c r="Z302" i="44" a="1"/>
  <c r="Z302" i="44" s="1"/>
  <c r="R302" i="44"/>
  <c r="U302" i="44" s="1"/>
  <c r="P302" i="44"/>
  <c r="P302" i="44" a="1"/>
  <c r="O302" i="44" a="1"/>
  <c r="O302" i="44" s="1"/>
  <c r="K302" i="44"/>
  <c r="M302" i="44" s="1"/>
  <c r="C302" i="44"/>
  <c r="AK301" i="44"/>
  <c r="AA301" i="44" a="1"/>
  <c r="AA301" i="44" s="1"/>
  <c r="Z301" i="44" a="1"/>
  <c r="Z301" i="44" s="1"/>
  <c r="V301" i="44"/>
  <c r="R301" i="44"/>
  <c r="U301" i="44" s="1"/>
  <c r="P301" i="44" a="1"/>
  <c r="P301" i="44" s="1"/>
  <c r="O301" i="44"/>
  <c r="S301" i="44" s="1"/>
  <c r="O301" i="44" a="1"/>
  <c r="M301" i="44"/>
  <c r="L301" i="44"/>
  <c r="K301" i="44"/>
  <c r="C301" i="44"/>
  <c r="AK300" i="44"/>
  <c r="AA300" i="44" a="1"/>
  <c r="AA300" i="44" s="1"/>
  <c r="Z300" i="44"/>
  <c r="Z300" i="44" a="1"/>
  <c r="R300" i="44"/>
  <c r="U300" i="44" s="1"/>
  <c r="P300" i="44"/>
  <c r="T300" i="44" s="1"/>
  <c r="P300" i="44" a="1"/>
  <c r="O300" i="44"/>
  <c r="O300" i="44" a="1"/>
  <c r="K300" i="44"/>
  <c r="M300" i="44" s="1"/>
  <c r="C300" i="44"/>
  <c r="AK299" i="44"/>
  <c r="AA299" i="44"/>
  <c r="AA299" i="44" a="1"/>
  <c r="Z299" i="44" a="1"/>
  <c r="Z299" i="44" s="1"/>
  <c r="V299" i="44"/>
  <c r="R299" i="44"/>
  <c r="U299" i="44" s="1"/>
  <c r="P299" i="44" a="1"/>
  <c r="P299" i="44" s="1"/>
  <c r="O299" i="44" a="1"/>
  <c r="O299" i="44" s="1"/>
  <c r="S299" i="44" s="1"/>
  <c r="M299" i="44"/>
  <c r="L299" i="44"/>
  <c r="K299" i="44"/>
  <c r="C299" i="44"/>
  <c r="AA298" i="44" a="1"/>
  <c r="AA298" i="44" s="1"/>
  <c r="Z298" i="44" a="1"/>
  <c r="Z298" i="44" s="1"/>
  <c r="R298" i="44"/>
  <c r="U298" i="44" s="1"/>
  <c r="P298" i="44" a="1"/>
  <c r="P298" i="44" s="1"/>
  <c r="O298" i="44" a="1"/>
  <c r="O298" i="44" s="1"/>
  <c r="K298" i="44"/>
  <c r="C298" i="44"/>
  <c r="AK297" i="44"/>
  <c r="AA297" i="44" a="1"/>
  <c r="AA297" i="44" s="1"/>
  <c r="Z297" i="44" a="1"/>
  <c r="Z297" i="44" s="1"/>
  <c r="R297" i="44"/>
  <c r="U297" i="44" s="1"/>
  <c r="P297" i="44" a="1"/>
  <c r="P297" i="44" s="1"/>
  <c r="O297" i="44" a="1"/>
  <c r="O297" i="44" s="1"/>
  <c r="L297" i="44"/>
  <c r="K297" i="44"/>
  <c r="V297" i="44" s="1"/>
  <c r="C297" i="44"/>
  <c r="AK296" i="44"/>
  <c r="AA296" i="44" a="1"/>
  <c r="AA296" i="44" s="1"/>
  <c r="Z296" i="44" a="1"/>
  <c r="Z296" i="44" s="1"/>
  <c r="V296" i="44"/>
  <c r="R296" i="44"/>
  <c r="U296" i="44" s="1"/>
  <c r="W296" i="44" s="1"/>
  <c r="P296" i="44" a="1"/>
  <c r="P296" i="44" s="1"/>
  <c r="T296" i="44" s="1"/>
  <c r="O296" i="44" a="1"/>
  <c r="O296" i="44" s="1"/>
  <c r="S296" i="44" s="1"/>
  <c r="M296" i="44"/>
  <c r="L296" i="44"/>
  <c r="K296" i="44"/>
  <c r="C296" i="44"/>
  <c r="AA295" i="44" a="1"/>
  <c r="AA295" i="44" s="1"/>
  <c r="Z295" i="44" a="1"/>
  <c r="Z295" i="44" s="1"/>
  <c r="R295" i="44"/>
  <c r="U295" i="44" s="1"/>
  <c r="P295" i="44"/>
  <c r="P295" i="44" a="1"/>
  <c r="O295" i="44" a="1"/>
  <c r="O295" i="44" s="1"/>
  <c r="K295" i="44"/>
  <c r="C295" i="44"/>
  <c r="AK294" i="44"/>
  <c r="AA294" i="44" a="1"/>
  <c r="AA294" i="44" s="1"/>
  <c r="Z294" i="44" a="1"/>
  <c r="Z294" i="44" s="1"/>
  <c r="V294" i="44"/>
  <c r="R294" i="44"/>
  <c r="U294" i="44" s="1"/>
  <c r="P294" i="44" a="1"/>
  <c r="P294" i="44" s="1"/>
  <c r="O294" i="44" a="1"/>
  <c r="O294" i="44" s="1"/>
  <c r="S294" i="44" s="1"/>
  <c r="L294" i="44"/>
  <c r="K294" i="44"/>
  <c r="M294" i="44" s="1"/>
  <c r="C294" i="44"/>
  <c r="AK293" i="44"/>
  <c r="AA293" i="44" a="1"/>
  <c r="AA293" i="44" s="1"/>
  <c r="Z293" i="44" a="1"/>
  <c r="Z293" i="44" s="1"/>
  <c r="V293" i="44"/>
  <c r="R293" i="44"/>
  <c r="U293" i="44" s="1"/>
  <c r="P293" i="44" a="1"/>
  <c r="P293" i="44" s="1"/>
  <c r="T293" i="44" s="1"/>
  <c r="O293" i="44" a="1"/>
  <c r="O293" i="44" s="1"/>
  <c r="S293" i="44" s="1"/>
  <c r="M293" i="44"/>
  <c r="L293" i="44"/>
  <c r="K293" i="44"/>
  <c r="C293" i="44"/>
  <c r="AK292" i="44"/>
  <c r="AA292" i="44" a="1"/>
  <c r="AA292" i="44" s="1"/>
  <c r="Z292" i="44" a="1"/>
  <c r="Z292" i="44" s="1"/>
  <c r="V292" i="44"/>
  <c r="T292" i="44"/>
  <c r="R292" i="44"/>
  <c r="U292" i="44" s="1"/>
  <c r="P292" i="44" a="1"/>
  <c r="P292" i="44" s="1"/>
  <c r="O292" i="44" a="1"/>
  <c r="O292" i="44" s="1"/>
  <c r="K292" i="44"/>
  <c r="M292" i="44" s="1"/>
  <c r="C292" i="44"/>
  <c r="AK291" i="44"/>
  <c r="AA291" i="44"/>
  <c r="AA291" i="44" a="1"/>
  <c r="Z291" i="44" a="1"/>
  <c r="Z291" i="44" s="1"/>
  <c r="V291" i="44"/>
  <c r="R291" i="44"/>
  <c r="U291" i="44" s="1"/>
  <c r="P291" i="44" a="1"/>
  <c r="P291" i="44" s="1"/>
  <c r="T291" i="44" s="1"/>
  <c r="O291" i="44" a="1"/>
  <c r="O291" i="44" s="1"/>
  <c r="S291" i="44" s="1"/>
  <c r="AE291" i="44" s="1"/>
  <c r="M291" i="44"/>
  <c r="L291" i="44"/>
  <c r="K291" i="44"/>
  <c r="C291" i="44"/>
  <c r="AK290" i="44"/>
  <c r="AA290" i="44"/>
  <c r="AA290" i="44" a="1"/>
  <c r="Z290" i="44"/>
  <c r="Z290" i="44" a="1"/>
  <c r="R290" i="44"/>
  <c r="U290" i="44" s="1"/>
  <c r="P290" i="44" a="1"/>
  <c r="P290" i="44" s="1"/>
  <c r="O290" i="44" a="1"/>
  <c r="O290" i="44" s="1"/>
  <c r="K290" i="44"/>
  <c r="C290" i="44"/>
  <c r="AK289" i="44"/>
  <c r="AA289" i="44" a="1"/>
  <c r="AA289" i="44" s="1"/>
  <c r="Z289" i="44"/>
  <c r="Z289" i="44" a="1"/>
  <c r="R289" i="44"/>
  <c r="U289" i="44" s="1"/>
  <c r="P289" i="44" a="1"/>
  <c r="P289" i="44" s="1"/>
  <c r="O289" i="44" a="1"/>
  <c r="O289" i="44" s="1"/>
  <c r="L289" i="44"/>
  <c r="K289" i="44"/>
  <c r="V289" i="44" s="1"/>
  <c r="C289" i="44"/>
  <c r="AK288" i="44"/>
  <c r="AA288" i="44" a="1"/>
  <c r="AA288" i="44" s="1"/>
  <c r="Z288" i="44" a="1"/>
  <c r="Z288" i="44" s="1"/>
  <c r="V288" i="44"/>
  <c r="R288" i="44"/>
  <c r="U288" i="44" s="1"/>
  <c r="P288" i="44" a="1"/>
  <c r="P288" i="44" s="1"/>
  <c r="T288" i="44" s="1"/>
  <c r="O288" i="44" a="1"/>
  <c r="O288" i="44" s="1"/>
  <c r="S288" i="44" s="1"/>
  <c r="M288" i="44"/>
  <c r="L288" i="44"/>
  <c r="K288" i="44"/>
  <c r="C288" i="44"/>
  <c r="AK287" i="44"/>
  <c r="AA287" i="44" a="1"/>
  <c r="AA287" i="44" s="1"/>
  <c r="Z287" i="44" a="1"/>
  <c r="Z287" i="44" s="1"/>
  <c r="T287" i="44"/>
  <c r="R287" i="44"/>
  <c r="U287" i="44" s="1"/>
  <c r="P287" i="44" a="1"/>
  <c r="P287" i="44" s="1"/>
  <c r="O287" i="44" a="1"/>
  <c r="O287" i="44" s="1"/>
  <c r="K287" i="44"/>
  <c r="C287" i="44"/>
  <c r="AK286" i="44"/>
  <c r="AA286" i="44" a="1"/>
  <c r="AA286" i="44" s="1"/>
  <c r="Z286" i="44" a="1"/>
  <c r="Z286" i="44" s="1"/>
  <c r="V286" i="44"/>
  <c r="R286" i="44"/>
  <c r="U286" i="44" s="1"/>
  <c r="P286" i="44" a="1"/>
  <c r="P286" i="44" s="1"/>
  <c r="O286" i="44" a="1"/>
  <c r="O286" i="44" s="1"/>
  <c r="S286" i="44" s="1"/>
  <c r="L286" i="44"/>
  <c r="K286" i="44"/>
  <c r="M286" i="44" s="1"/>
  <c r="C286" i="44"/>
  <c r="AK285" i="44"/>
  <c r="AA285" i="44" a="1"/>
  <c r="AA285" i="44" s="1"/>
  <c r="Z285" i="44" a="1"/>
  <c r="Z285" i="44" s="1"/>
  <c r="V285" i="44"/>
  <c r="R285" i="44"/>
  <c r="U285" i="44" s="1"/>
  <c r="P285" i="44" a="1"/>
  <c r="P285" i="44" s="1"/>
  <c r="T285" i="44" s="1"/>
  <c r="O285" i="44" a="1"/>
  <c r="O285" i="44" s="1"/>
  <c r="S285" i="44" s="1"/>
  <c r="M285" i="44"/>
  <c r="L285" i="44"/>
  <c r="K285" i="44"/>
  <c r="C285" i="44"/>
  <c r="AK284" i="44"/>
  <c r="AA284" i="44" a="1"/>
  <c r="AA284" i="44" s="1"/>
  <c r="Z284" i="44" a="1"/>
  <c r="Z284" i="44" s="1"/>
  <c r="V284" i="44"/>
  <c r="R284" i="44"/>
  <c r="U284" i="44" s="1"/>
  <c r="P284" i="44"/>
  <c r="T284" i="44" s="1"/>
  <c r="P284" i="44" a="1"/>
  <c r="O284" i="44" a="1"/>
  <c r="O284" i="44" s="1"/>
  <c r="L284" i="44"/>
  <c r="K284" i="44"/>
  <c r="M284" i="44" s="1"/>
  <c r="C284" i="44"/>
  <c r="AK283" i="44"/>
  <c r="AA283" i="44"/>
  <c r="AA283" i="44" a="1"/>
  <c r="Z283" i="44" a="1"/>
  <c r="Z283" i="44" s="1"/>
  <c r="V283" i="44"/>
  <c r="R283" i="44"/>
  <c r="U283" i="44" s="1"/>
  <c r="P283" i="44" a="1"/>
  <c r="P283" i="44" s="1"/>
  <c r="T283" i="44" s="1"/>
  <c r="O283" i="44"/>
  <c r="S283" i="44" s="1"/>
  <c r="O283" i="44" a="1"/>
  <c r="M283" i="44"/>
  <c r="L283" i="44"/>
  <c r="K283" i="44"/>
  <c r="C283" i="44"/>
  <c r="AA282" i="44" a="1"/>
  <c r="AA282" i="44" s="1"/>
  <c r="Z282" i="44" a="1"/>
  <c r="Z282" i="44" s="1"/>
  <c r="R282" i="44"/>
  <c r="U282" i="44" s="1"/>
  <c r="P282" i="44" a="1"/>
  <c r="P282" i="44" s="1"/>
  <c r="O282" i="44" a="1"/>
  <c r="O282" i="44" s="1"/>
  <c r="K282" i="44"/>
  <c r="C282" i="44"/>
  <c r="AK281" i="44"/>
  <c r="AA281" i="44" a="1"/>
  <c r="AA281" i="44" s="1"/>
  <c r="Z281" i="44" a="1"/>
  <c r="Z281" i="44" s="1"/>
  <c r="V281" i="44"/>
  <c r="R281" i="44"/>
  <c r="U281" i="44" s="1"/>
  <c r="P281" i="44" a="1"/>
  <c r="P281" i="44" s="1"/>
  <c r="T281" i="44" s="1"/>
  <c r="O281" i="44"/>
  <c r="O281" i="44" a="1"/>
  <c r="L281" i="44"/>
  <c r="K281" i="44"/>
  <c r="C281" i="44"/>
  <c r="AA280" i="44" a="1"/>
  <c r="AA280" i="44" s="1"/>
  <c r="Z280" i="44" a="1"/>
  <c r="Z280" i="44" s="1"/>
  <c r="V280" i="44"/>
  <c r="R280" i="44"/>
  <c r="U280" i="44" s="1"/>
  <c r="P280" i="44" a="1"/>
  <c r="P280" i="44" s="1"/>
  <c r="O280" i="44" a="1"/>
  <c r="O280" i="44" s="1"/>
  <c r="M280" i="44"/>
  <c r="K280" i="44"/>
  <c r="C280" i="44"/>
  <c r="P279" i="44" a="1"/>
  <c r="P279" i="44" s="1"/>
  <c r="E279" i="44"/>
  <c r="AA277" i="44" a="1"/>
  <c r="AA277" i="44" s="1"/>
  <c r="Z277" i="44" a="1"/>
  <c r="Z277" i="44" s="1"/>
  <c r="R277" i="44"/>
  <c r="U277" i="44" s="1"/>
  <c r="P277" i="44" a="1"/>
  <c r="P277" i="44" s="1"/>
  <c r="O277" i="44" a="1"/>
  <c r="O277" i="44" s="1"/>
  <c r="C277" i="44"/>
  <c r="AA276" i="44" a="1"/>
  <c r="AA276" i="44" s="1"/>
  <c r="Z276" i="44"/>
  <c r="Z276" i="44" a="1"/>
  <c r="R276" i="44"/>
  <c r="U276" i="44" s="1"/>
  <c r="P276" i="44" a="1"/>
  <c r="P276" i="44" s="1"/>
  <c r="O276" i="44"/>
  <c r="O276" i="44" a="1"/>
  <c r="C276" i="44"/>
  <c r="AA275" i="44" a="1"/>
  <c r="AA275" i="44" s="1"/>
  <c r="Z275" i="44" a="1"/>
  <c r="Z275" i="44" s="1"/>
  <c r="R275" i="44"/>
  <c r="U275" i="44" s="1"/>
  <c r="P275" i="44" a="1"/>
  <c r="P275" i="44" s="1"/>
  <c r="O275" i="44" a="1"/>
  <c r="O275" i="44" s="1"/>
  <c r="C275" i="44"/>
  <c r="AA274" i="44"/>
  <c r="AA274" i="44" a="1"/>
  <c r="Z274" i="44"/>
  <c r="Z274" i="44" a="1"/>
  <c r="R274" i="44"/>
  <c r="U274" i="44" s="1"/>
  <c r="P274" i="44" a="1"/>
  <c r="P274" i="44" s="1"/>
  <c r="O274" i="44" a="1"/>
  <c r="O274" i="44" s="1"/>
  <c r="C274" i="44"/>
  <c r="AA273" i="44" a="1"/>
  <c r="AA273" i="44" s="1"/>
  <c r="Z273" i="44" a="1"/>
  <c r="Z273" i="44" s="1"/>
  <c r="R273" i="44"/>
  <c r="U273" i="44" s="1"/>
  <c r="P273" i="44" a="1"/>
  <c r="P273" i="44" s="1"/>
  <c r="O273" i="44" a="1"/>
  <c r="O273" i="44" s="1"/>
  <c r="C273" i="44"/>
  <c r="AA272" i="44" a="1"/>
  <c r="AA272" i="44" s="1"/>
  <c r="Z272" i="44" a="1"/>
  <c r="Z272" i="44" s="1"/>
  <c r="R272" i="44"/>
  <c r="U272" i="44" s="1"/>
  <c r="P272" i="44" a="1"/>
  <c r="P272" i="44" s="1"/>
  <c r="O272" i="44"/>
  <c r="O272" i="44" a="1"/>
  <c r="C272" i="44"/>
  <c r="AA271" i="44" a="1"/>
  <c r="AA271" i="44" s="1"/>
  <c r="Z271" i="44" a="1"/>
  <c r="Z271" i="44" s="1"/>
  <c r="R271" i="44"/>
  <c r="U271" i="44" s="1"/>
  <c r="P271" i="44" a="1"/>
  <c r="P271" i="44" s="1"/>
  <c r="O271" i="44" a="1"/>
  <c r="O271" i="44" s="1"/>
  <c r="C271" i="44"/>
  <c r="AA270" i="44" a="1"/>
  <c r="AA270" i="44" s="1"/>
  <c r="Z270" i="44" a="1"/>
  <c r="Z270" i="44" s="1"/>
  <c r="R270" i="44"/>
  <c r="U270" i="44" s="1"/>
  <c r="P270" i="44" a="1"/>
  <c r="P270" i="44" s="1"/>
  <c r="O270" i="44" a="1"/>
  <c r="O270" i="44" s="1"/>
  <c r="C270" i="44"/>
  <c r="AA269" i="44" a="1"/>
  <c r="AA269" i="44" s="1"/>
  <c r="Z269" i="44" a="1"/>
  <c r="Z269" i="44" s="1"/>
  <c r="R269" i="44"/>
  <c r="U269" i="44" s="1"/>
  <c r="P269" i="44" a="1"/>
  <c r="P269" i="44" s="1"/>
  <c r="O269" i="44"/>
  <c r="O269" i="44" a="1"/>
  <c r="C269" i="44"/>
  <c r="AA268" i="44" a="1"/>
  <c r="AA268" i="44" s="1"/>
  <c r="Z268" i="44" a="1"/>
  <c r="Z268" i="44" s="1"/>
  <c r="R268" i="44"/>
  <c r="U268" i="44" s="1"/>
  <c r="P268" i="44" a="1"/>
  <c r="P268" i="44" s="1"/>
  <c r="O268" i="44" a="1"/>
  <c r="O268" i="44" s="1"/>
  <c r="C268" i="44"/>
  <c r="AA267" i="44" a="1"/>
  <c r="AA267" i="44" s="1"/>
  <c r="Z267" i="44" a="1"/>
  <c r="Z267" i="44" s="1"/>
  <c r="R267" i="44"/>
  <c r="U267" i="44" s="1"/>
  <c r="P267" i="44" a="1"/>
  <c r="P267" i="44" s="1"/>
  <c r="O267" i="44" a="1"/>
  <c r="O267" i="44" s="1"/>
  <c r="C267" i="44"/>
  <c r="AA266" i="44" a="1"/>
  <c r="AA266" i="44" s="1"/>
  <c r="Z266" i="44" a="1"/>
  <c r="Z266" i="44" s="1"/>
  <c r="R266" i="44"/>
  <c r="U266" i="44" s="1"/>
  <c r="P266" i="44"/>
  <c r="P266" i="44" a="1"/>
  <c r="O266" i="44" a="1"/>
  <c r="O266" i="44" s="1"/>
  <c r="C266" i="44"/>
  <c r="AA265" i="44" a="1"/>
  <c r="AA265" i="44" s="1"/>
  <c r="Z265" i="44"/>
  <c r="Z265" i="44" a="1"/>
  <c r="V265" i="44"/>
  <c r="R265" i="44"/>
  <c r="U265" i="44" s="1"/>
  <c r="P265" i="44" a="1"/>
  <c r="P265" i="44" s="1"/>
  <c r="T265" i="44" s="1"/>
  <c r="O265" i="44" a="1"/>
  <c r="O265" i="44" s="1"/>
  <c r="S265" i="44" s="1"/>
  <c r="M265" i="44"/>
  <c r="L265" i="44"/>
  <c r="C265" i="44"/>
  <c r="AA264" i="44" a="1"/>
  <c r="AA264" i="44" s="1"/>
  <c r="Z264" i="44" a="1"/>
  <c r="Z264" i="44" s="1"/>
  <c r="R264" i="44"/>
  <c r="U264" i="44" s="1"/>
  <c r="P264" i="44" a="1"/>
  <c r="P264" i="44" s="1"/>
  <c r="O264" i="44" a="1"/>
  <c r="O264" i="44" s="1"/>
  <c r="C264" i="44"/>
  <c r="AA263" i="44"/>
  <c r="AA263" i="44" a="1"/>
  <c r="Z263" i="44"/>
  <c r="Z263" i="44" a="1"/>
  <c r="R263" i="44"/>
  <c r="U263" i="44" s="1"/>
  <c r="P263" i="44" a="1"/>
  <c r="P263" i="44" s="1"/>
  <c r="O263" i="44" a="1"/>
  <c r="O263" i="44" s="1"/>
  <c r="C263" i="44"/>
  <c r="AA262" i="44"/>
  <c r="AA262" i="44" a="1"/>
  <c r="Z262" i="44" a="1"/>
  <c r="Z262" i="44" s="1"/>
  <c r="R262" i="44"/>
  <c r="U262" i="44" s="1"/>
  <c r="P262" i="44" a="1"/>
  <c r="P262" i="44" s="1"/>
  <c r="O262" i="44" a="1"/>
  <c r="O262" i="44" s="1"/>
  <c r="K262" i="44"/>
  <c r="C262" i="44"/>
  <c r="AA261" i="44"/>
  <c r="AA261" i="44" a="1"/>
  <c r="Z261" i="44" a="1"/>
  <c r="Z261" i="44" s="1"/>
  <c r="R261" i="44"/>
  <c r="U261" i="44" s="1"/>
  <c r="P261" i="44" a="1"/>
  <c r="P261" i="44" s="1"/>
  <c r="O261" i="44" a="1"/>
  <c r="O261" i="44" s="1"/>
  <c r="C261" i="44"/>
  <c r="AA260" i="44" a="1"/>
  <c r="AA260" i="44" s="1"/>
  <c r="Z260" i="44" a="1"/>
  <c r="Z260" i="44" s="1"/>
  <c r="R260" i="44"/>
  <c r="U260" i="44" s="1"/>
  <c r="P260" i="44" a="1"/>
  <c r="P260" i="44" s="1"/>
  <c r="O260" i="44" a="1"/>
  <c r="O260" i="44" s="1"/>
  <c r="K260" i="44"/>
  <c r="V260" i="44" s="1"/>
  <c r="C260" i="44"/>
  <c r="AK259" i="44"/>
  <c r="AA259" i="44" a="1"/>
  <c r="AA259" i="44" s="1"/>
  <c r="Z259" i="44" a="1"/>
  <c r="Z259" i="44" s="1"/>
  <c r="V259" i="44"/>
  <c r="R259" i="44"/>
  <c r="U259" i="44" s="1"/>
  <c r="P259" i="44" a="1"/>
  <c r="P259" i="44" s="1"/>
  <c r="O259" i="44"/>
  <c r="O259" i="44" a="1"/>
  <c r="M259" i="44"/>
  <c r="L259" i="44"/>
  <c r="K259" i="44"/>
  <c r="C259" i="44"/>
  <c r="AK258" i="44"/>
  <c r="AA258" i="44" a="1"/>
  <c r="AA258" i="44" s="1"/>
  <c r="Z258" i="44" a="1"/>
  <c r="Z258" i="44" s="1"/>
  <c r="V258" i="44"/>
  <c r="R258" i="44"/>
  <c r="U258" i="44" s="1"/>
  <c r="P258" i="44" a="1"/>
  <c r="P258" i="44" s="1"/>
  <c r="O258" i="44"/>
  <c r="S258" i="44" s="1"/>
  <c r="O258" i="44" a="1"/>
  <c r="M258" i="44"/>
  <c r="K258" i="44"/>
  <c r="L258" i="44" s="1"/>
  <c r="C258" i="44"/>
  <c r="AA257" i="44" a="1"/>
  <c r="AA257" i="44" s="1"/>
  <c r="Z257" i="44" a="1"/>
  <c r="Z257" i="44" s="1"/>
  <c r="R257" i="44"/>
  <c r="U257" i="44" s="1"/>
  <c r="P257" i="44" a="1"/>
  <c r="P257" i="44" s="1"/>
  <c r="O257" i="44" a="1"/>
  <c r="O257" i="44" s="1"/>
  <c r="C257" i="44"/>
  <c r="AA256" i="44" a="1"/>
  <c r="AA256" i="44" s="1"/>
  <c r="Z256" i="44"/>
  <c r="Z256" i="44" a="1"/>
  <c r="V256" i="44"/>
  <c r="T256" i="44"/>
  <c r="R256" i="44"/>
  <c r="U256" i="44" s="1"/>
  <c r="P256" i="44" a="1"/>
  <c r="P256" i="44" s="1"/>
  <c r="O256" i="44" a="1"/>
  <c r="O256" i="44" s="1"/>
  <c r="L256" i="44"/>
  <c r="K256" i="44"/>
  <c r="C256" i="44"/>
  <c r="AA255" i="44" a="1"/>
  <c r="AA255" i="44" s="1"/>
  <c r="Z255" i="44" a="1"/>
  <c r="Z255" i="44" s="1"/>
  <c r="R255" i="44"/>
  <c r="U255" i="44" s="1"/>
  <c r="P255" i="44" a="1"/>
  <c r="P255" i="44" s="1"/>
  <c r="O255" i="44" a="1"/>
  <c r="O255" i="44" s="1"/>
  <c r="K255" i="44"/>
  <c r="K237" i="44" s="1"/>
  <c r="T237" i="44" s="1"/>
  <c r="C255" i="44"/>
  <c r="AA254" i="44" a="1"/>
  <c r="AA254" i="44" s="1"/>
  <c r="Z254" i="44" a="1"/>
  <c r="Z254" i="44" s="1"/>
  <c r="R254" i="44"/>
  <c r="U254" i="44" s="1"/>
  <c r="P254" i="44" a="1"/>
  <c r="P254" i="44" s="1"/>
  <c r="O254" i="44" a="1"/>
  <c r="O254" i="44" s="1"/>
  <c r="K254" i="44"/>
  <c r="C254" i="44"/>
  <c r="AK253" i="44"/>
  <c r="AA253" i="44" a="1"/>
  <c r="AA253" i="44" s="1"/>
  <c r="Z253" i="44"/>
  <c r="Z253" i="44" a="1"/>
  <c r="V253" i="44"/>
  <c r="R253" i="44"/>
  <c r="U253" i="44" s="1"/>
  <c r="P253" i="44"/>
  <c r="P253" i="44" a="1"/>
  <c r="O253" i="44"/>
  <c r="S253" i="44" s="1"/>
  <c r="O253" i="44" a="1"/>
  <c r="M253" i="44"/>
  <c r="L253" i="44"/>
  <c r="K253" i="44"/>
  <c r="C253" i="44"/>
  <c r="AK252" i="44"/>
  <c r="AA252" i="44" a="1"/>
  <c r="AA252" i="44" s="1"/>
  <c r="Z252" i="44" a="1"/>
  <c r="Z252" i="44" s="1"/>
  <c r="V252" i="44"/>
  <c r="R252" i="44"/>
  <c r="U252" i="44" s="1"/>
  <c r="P252" i="44" a="1"/>
  <c r="P252" i="44" s="1"/>
  <c r="T252" i="44" s="1"/>
  <c r="O252" i="44" a="1"/>
  <c r="O252" i="44" s="1"/>
  <c r="S252" i="44" s="1"/>
  <c r="L252" i="44"/>
  <c r="K252" i="44"/>
  <c r="M252" i="44" s="1"/>
  <c r="C252" i="44"/>
  <c r="AA251" i="44" a="1"/>
  <c r="AA251" i="44" s="1"/>
  <c r="Z251" i="44"/>
  <c r="Z251" i="44" a="1"/>
  <c r="R251" i="44"/>
  <c r="U251" i="44" s="1"/>
  <c r="P251" i="44" a="1"/>
  <c r="P251" i="44" s="1"/>
  <c r="O251" i="44" a="1"/>
  <c r="O251" i="44" s="1"/>
  <c r="K251" i="44"/>
  <c r="C251" i="44"/>
  <c r="AK250" i="44"/>
  <c r="AA250" i="44" a="1"/>
  <c r="AA250" i="44" s="1"/>
  <c r="Z250" i="44" a="1"/>
  <c r="Z250" i="44" s="1"/>
  <c r="V250" i="44"/>
  <c r="R250" i="44"/>
  <c r="U250" i="44" s="1"/>
  <c r="P250" i="44" a="1"/>
  <c r="P250" i="44" s="1"/>
  <c r="T250" i="44" s="1"/>
  <c r="O250" i="44"/>
  <c r="S250" i="44" s="1"/>
  <c r="O250" i="44" a="1"/>
  <c r="M250" i="44"/>
  <c r="L250" i="44"/>
  <c r="K250" i="44"/>
  <c r="C250" i="44"/>
  <c r="AA249" i="44" a="1"/>
  <c r="AA249" i="44" s="1"/>
  <c r="Z249" i="44" a="1"/>
  <c r="Z249" i="44" s="1"/>
  <c r="V249" i="44"/>
  <c r="R249" i="44"/>
  <c r="U249" i="44" s="1"/>
  <c r="P249" i="44"/>
  <c r="P249" i="44" a="1"/>
  <c r="O249" i="44" a="1"/>
  <c r="O249" i="44" s="1"/>
  <c r="S249" i="44" s="1"/>
  <c r="M249" i="44"/>
  <c r="L249" i="44"/>
  <c r="K249" i="44"/>
  <c r="C249" i="44"/>
  <c r="AK248" i="44"/>
  <c r="AA248" i="44"/>
  <c r="AA248" i="44" a="1"/>
  <c r="Z248" i="44" a="1"/>
  <c r="Z248" i="44" s="1"/>
  <c r="V248" i="44"/>
  <c r="R248" i="44"/>
  <c r="U248" i="44" s="1"/>
  <c r="P248" i="44" a="1"/>
  <c r="P248" i="44" s="1"/>
  <c r="T248" i="44" s="1"/>
  <c r="O248" i="44" a="1"/>
  <c r="O248" i="44" s="1"/>
  <c r="S248" i="44" s="1"/>
  <c r="M248" i="44"/>
  <c r="L248" i="44"/>
  <c r="K248" i="44"/>
  <c r="C248" i="44"/>
  <c r="AA247" i="44"/>
  <c r="AA247" i="44" a="1"/>
  <c r="Z247" i="44" a="1"/>
  <c r="Z247" i="44" s="1"/>
  <c r="R247" i="44"/>
  <c r="U247" i="44" s="1"/>
  <c r="P247" i="44" a="1"/>
  <c r="P247" i="44" s="1"/>
  <c r="T247" i="44" s="1"/>
  <c r="O247" i="44"/>
  <c r="S247" i="44" s="1"/>
  <c r="O247" i="44" a="1"/>
  <c r="K247" i="44"/>
  <c r="C247" i="44"/>
  <c r="AK246" i="44"/>
  <c r="AA246" i="44"/>
  <c r="AA246" i="44" a="1"/>
  <c r="Z246" i="44" a="1"/>
  <c r="Z246" i="44" s="1"/>
  <c r="V246" i="44"/>
  <c r="S246" i="44"/>
  <c r="R246" i="44"/>
  <c r="U246" i="44" s="1"/>
  <c r="W246" i="44" s="1"/>
  <c r="P246" i="44" a="1"/>
  <c r="P246" i="44" s="1"/>
  <c r="T246" i="44" s="1"/>
  <c r="O246" i="44" a="1"/>
  <c r="O246" i="44" s="1"/>
  <c r="M246" i="44"/>
  <c r="L246" i="44"/>
  <c r="K246" i="44"/>
  <c r="C246" i="44"/>
  <c r="AA245" i="44" a="1"/>
  <c r="AA245" i="44" s="1"/>
  <c r="Z245" i="44" a="1"/>
  <c r="Z245" i="44" s="1"/>
  <c r="R245" i="44"/>
  <c r="U245" i="44" s="1"/>
  <c r="P245" i="44" a="1"/>
  <c r="P245" i="44" s="1"/>
  <c r="T245" i="44" s="1"/>
  <c r="O245" i="44" a="1"/>
  <c r="O245" i="44" s="1"/>
  <c r="S245" i="44" s="1"/>
  <c r="K245" i="44"/>
  <c r="C245" i="44"/>
  <c r="AK244" i="44"/>
  <c r="AA244" i="44" a="1"/>
  <c r="AA244" i="44" s="1"/>
  <c r="Z244" i="44"/>
  <c r="Z244" i="44" a="1"/>
  <c r="V244" i="44"/>
  <c r="R244" i="44"/>
  <c r="U244" i="44" s="1"/>
  <c r="P244" i="44" a="1"/>
  <c r="P244" i="44" s="1"/>
  <c r="T244" i="44" s="1"/>
  <c r="O244" i="44" a="1"/>
  <c r="O244" i="44" s="1"/>
  <c r="M244" i="44"/>
  <c r="L244" i="44"/>
  <c r="K244" i="44"/>
  <c r="C244" i="44"/>
  <c r="AA243" i="44"/>
  <c r="AA243" i="44" a="1"/>
  <c r="Z243" i="44" a="1"/>
  <c r="Z243" i="44" s="1"/>
  <c r="R243" i="44"/>
  <c r="U243" i="44" s="1"/>
  <c r="P243" i="44"/>
  <c r="P243" i="44" a="1"/>
  <c r="O243" i="44" a="1"/>
  <c r="O243" i="44" s="1"/>
  <c r="K243" i="44"/>
  <c r="C243" i="44"/>
  <c r="AA242" i="44" a="1"/>
  <c r="AA242" i="44" s="1"/>
  <c r="Z242" i="44" a="1"/>
  <c r="Z242" i="44" s="1"/>
  <c r="R242" i="44"/>
  <c r="U242" i="44" s="1"/>
  <c r="P242" i="44" a="1"/>
  <c r="P242" i="44" s="1"/>
  <c r="O242" i="44" a="1"/>
  <c r="O242" i="44" s="1"/>
  <c r="K242" i="44"/>
  <c r="C242" i="44"/>
  <c r="AK241" i="44"/>
  <c r="AA241" i="44" a="1"/>
  <c r="AA241" i="44" s="1"/>
  <c r="Z241" i="44" a="1"/>
  <c r="Z241" i="44" s="1"/>
  <c r="R241" i="44"/>
  <c r="U241" i="44" s="1"/>
  <c r="P241" i="44"/>
  <c r="T241" i="44" s="1"/>
  <c r="P241" i="44" a="1"/>
  <c r="O241" i="44" a="1"/>
  <c r="O241" i="44" s="1"/>
  <c r="M241" i="44"/>
  <c r="K241" i="44"/>
  <c r="C241" i="44"/>
  <c r="AA240" i="44" a="1"/>
  <c r="AA240" i="44" s="1"/>
  <c r="Z240" i="44" a="1"/>
  <c r="Z240" i="44" s="1"/>
  <c r="R240" i="44"/>
  <c r="U240" i="44" s="1"/>
  <c r="P240" i="44" a="1"/>
  <c r="P240" i="44" s="1"/>
  <c r="O240" i="44" a="1"/>
  <c r="O240" i="44" s="1"/>
  <c r="K240" i="44"/>
  <c r="C240" i="44"/>
  <c r="AA239" i="44"/>
  <c r="AA239" i="44" a="1"/>
  <c r="Z239" i="44"/>
  <c r="Z239" i="44" a="1"/>
  <c r="R239" i="44"/>
  <c r="U239" i="44" s="1"/>
  <c r="P239" i="44"/>
  <c r="P239" i="44" a="1"/>
  <c r="O239" i="44" a="1"/>
  <c r="O239" i="44" s="1"/>
  <c r="S239" i="44" s="1"/>
  <c r="M239" i="44"/>
  <c r="K239" i="44"/>
  <c r="C239" i="44"/>
  <c r="AK238" i="44"/>
  <c r="AA238" i="44" a="1"/>
  <c r="AA238" i="44" s="1"/>
  <c r="Z238" i="44"/>
  <c r="Z238" i="44" a="1"/>
  <c r="V238" i="44"/>
  <c r="R238" i="44"/>
  <c r="U238" i="44" s="1"/>
  <c r="W238" i="44" s="1"/>
  <c r="P238" i="44" a="1"/>
  <c r="P238" i="44" s="1"/>
  <c r="T238" i="44" s="1"/>
  <c r="O238" i="44" a="1"/>
  <c r="O238" i="44" s="1"/>
  <c r="L238" i="44"/>
  <c r="K238" i="44"/>
  <c r="C238" i="44"/>
  <c r="AA237" i="44" a="1"/>
  <c r="AA237" i="44" s="1"/>
  <c r="Z237" i="44"/>
  <c r="Z237" i="44" a="1"/>
  <c r="R237" i="44"/>
  <c r="U237" i="44" s="1"/>
  <c r="P237" i="44"/>
  <c r="P237" i="44" a="1"/>
  <c r="O237" i="44" a="1"/>
  <c r="O237" i="44" s="1"/>
  <c r="C237" i="44"/>
  <c r="AA236" i="44" a="1"/>
  <c r="AA236" i="44" s="1"/>
  <c r="Z236" i="44"/>
  <c r="Z236" i="44" a="1"/>
  <c r="R236" i="44"/>
  <c r="U236" i="44" s="1"/>
  <c r="P236" i="44" a="1"/>
  <c r="P236" i="44" s="1"/>
  <c r="O236" i="44"/>
  <c r="O236" i="44" a="1"/>
  <c r="K236" i="44"/>
  <c r="C236" i="44"/>
  <c r="AA235" i="44" a="1"/>
  <c r="AA235" i="44" s="1"/>
  <c r="Z235" i="44" a="1"/>
  <c r="Z235" i="44" s="1"/>
  <c r="V235" i="44"/>
  <c r="R235" i="44"/>
  <c r="U235" i="44" s="1"/>
  <c r="P235" i="44" a="1"/>
  <c r="P235" i="44" s="1"/>
  <c r="O235" i="44"/>
  <c r="O235" i="44" a="1"/>
  <c r="K235" i="44"/>
  <c r="K276" i="44" s="1"/>
  <c r="C235" i="44"/>
  <c r="AA234" i="44" a="1"/>
  <c r="AA234" i="44" s="1"/>
  <c r="Z234" i="44" a="1"/>
  <c r="Z234" i="44" s="1"/>
  <c r="R234" i="44"/>
  <c r="U234" i="44" s="1"/>
  <c r="P234" i="44" a="1"/>
  <c r="P234" i="44" s="1"/>
  <c r="O234" i="44" a="1"/>
  <c r="O234" i="44" s="1"/>
  <c r="L234" i="44"/>
  <c r="K234" i="44"/>
  <c r="M234" i="44" s="1"/>
  <c r="C234" i="44"/>
  <c r="AA233" i="44" a="1"/>
  <c r="AA233" i="44" s="1"/>
  <c r="Z233" i="44" a="1"/>
  <c r="Z233" i="44" s="1"/>
  <c r="R233" i="44"/>
  <c r="U233" i="44" s="1"/>
  <c r="P233" i="44"/>
  <c r="P233" i="44" a="1"/>
  <c r="O233" i="44"/>
  <c r="O233" i="44" a="1"/>
  <c r="C233" i="44"/>
  <c r="AA232" i="44" a="1"/>
  <c r="AA232" i="44" s="1"/>
  <c r="Z232" i="44" a="1"/>
  <c r="Z232" i="44" s="1"/>
  <c r="R232" i="44"/>
  <c r="U232" i="44" s="1"/>
  <c r="P232" i="44" a="1"/>
  <c r="P232" i="44" s="1"/>
  <c r="O232" i="44"/>
  <c r="O232" i="44" a="1"/>
  <c r="M232" i="44"/>
  <c r="K232" i="44"/>
  <c r="K273" i="44" s="1"/>
  <c r="C232" i="44"/>
  <c r="AA231" i="44" a="1"/>
  <c r="AA231" i="44" s="1"/>
  <c r="Z231" i="44"/>
  <c r="Z231" i="44" a="1"/>
  <c r="R231" i="44"/>
  <c r="U231" i="44" s="1"/>
  <c r="P231" i="44"/>
  <c r="P231" i="44" a="1"/>
  <c r="O231" i="44"/>
  <c r="O231" i="44" a="1"/>
  <c r="M231" i="44"/>
  <c r="K231" i="44"/>
  <c r="V231" i="44" s="1"/>
  <c r="C231" i="44"/>
  <c r="AA230" i="44" a="1"/>
  <c r="AA230" i="44" s="1"/>
  <c r="Z230" i="44" a="1"/>
  <c r="Z230" i="44" s="1"/>
  <c r="R230" i="44"/>
  <c r="U230" i="44" s="1"/>
  <c r="P230" i="44" a="1"/>
  <c r="P230" i="44" s="1"/>
  <c r="O230" i="44" a="1"/>
  <c r="O230" i="44" s="1"/>
  <c r="C230" i="44"/>
  <c r="AA229" i="44" a="1"/>
  <c r="AA229" i="44" s="1"/>
  <c r="Z229" i="44"/>
  <c r="Z229" i="44" a="1"/>
  <c r="R229" i="44"/>
  <c r="U229" i="44" s="1"/>
  <c r="P229" i="44" a="1"/>
  <c r="P229" i="44" s="1"/>
  <c r="O229" i="44" a="1"/>
  <c r="O229" i="44" s="1"/>
  <c r="K229" i="44"/>
  <c r="V229" i="44" s="1"/>
  <c r="C229" i="44"/>
  <c r="AA228" i="44"/>
  <c r="AA228" i="44" a="1"/>
  <c r="Z228" i="44" a="1"/>
  <c r="Z228" i="44" s="1"/>
  <c r="V228" i="44"/>
  <c r="R228" i="44"/>
  <c r="U228" i="44" s="1"/>
  <c r="P228" i="44" a="1"/>
  <c r="P228" i="44" s="1"/>
  <c r="T228" i="44" s="1"/>
  <c r="O228" i="44"/>
  <c r="S228" i="44" s="1"/>
  <c r="AE228" i="44" s="1"/>
  <c r="O228" i="44" a="1"/>
  <c r="M228" i="44"/>
  <c r="L228" i="44"/>
  <c r="K228" i="44"/>
  <c r="C228" i="44"/>
  <c r="AA227" i="44" a="1"/>
  <c r="AA227" i="44" s="1"/>
  <c r="Z227" i="44" a="1"/>
  <c r="Z227" i="44" s="1"/>
  <c r="V227" i="44"/>
  <c r="S227" i="44"/>
  <c r="R227" i="44"/>
  <c r="U227" i="44" s="1"/>
  <c r="P227" i="44"/>
  <c r="P227" i="44" a="1"/>
  <c r="O227" i="44"/>
  <c r="O227" i="44" a="1"/>
  <c r="M227" i="44"/>
  <c r="L227" i="44"/>
  <c r="K227" i="44"/>
  <c r="C227" i="44"/>
  <c r="AA226" i="44"/>
  <c r="AA226" i="44" a="1"/>
  <c r="Z226" i="44" a="1"/>
  <c r="Z226" i="44" s="1"/>
  <c r="V226" i="44"/>
  <c r="T226" i="44"/>
  <c r="R226" i="44"/>
  <c r="U226" i="44" s="1"/>
  <c r="P226" i="44" a="1"/>
  <c r="P226" i="44" s="1"/>
  <c r="O226" i="44" a="1"/>
  <c r="O226" i="44" s="1"/>
  <c r="S226" i="44" s="1"/>
  <c r="AE226" i="44" s="1"/>
  <c r="AB226" i="44" s="1"/>
  <c r="M226" i="44"/>
  <c r="L226" i="44"/>
  <c r="K226" i="44"/>
  <c r="C226" i="44"/>
  <c r="AA225" i="44" a="1"/>
  <c r="AA225" i="44" s="1"/>
  <c r="Z225" i="44"/>
  <c r="Z225" i="44" a="1"/>
  <c r="V225" i="44"/>
  <c r="R225" i="44"/>
  <c r="U225" i="44" s="1"/>
  <c r="P225" i="44" a="1"/>
  <c r="P225" i="44" s="1"/>
  <c r="T225" i="44" s="1"/>
  <c r="O225" i="44"/>
  <c r="S225" i="44" s="1"/>
  <c r="O225" i="44" a="1"/>
  <c r="K225" i="44"/>
  <c r="L225" i="44" s="1"/>
  <c r="C225" i="44"/>
  <c r="AA224" i="44" a="1"/>
  <c r="AA224" i="44" s="1"/>
  <c r="Z224" i="44" a="1"/>
  <c r="Z224" i="44" s="1"/>
  <c r="V224" i="44"/>
  <c r="R224" i="44"/>
  <c r="U224" i="44" s="1"/>
  <c r="P224" i="44" a="1"/>
  <c r="P224" i="44" s="1"/>
  <c r="O224" i="44"/>
  <c r="S224" i="44" s="1"/>
  <c r="AE224" i="44" s="1"/>
  <c r="O224" i="44" a="1"/>
  <c r="M224" i="44"/>
  <c r="K224" i="44"/>
  <c r="C224" i="44"/>
  <c r="AA223" i="44" a="1"/>
  <c r="AA223" i="44" s="1"/>
  <c r="Z223" i="44"/>
  <c r="Z223" i="44" a="1"/>
  <c r="R223" i="44"/>
  <c r="U223" i="44" s="1"/>
  <c r="P223" i="44"/>
  <c r="P223" i="44" a="1"/>
  <c r="O223" i="44" a="1"/>
  <c r="O223" i="44" s="1"/>
  <c r="S223" i="44" s="1"/>
  <c r="L223" i="44"/>
  <c r="K223" i="44"/>
  <c r="C223" i="44"/>
  <c r="AK222" i="44"/>
  <c r="AA222" i="44" a="1"/>
  <c r="AA222" i="44" s="1"/>
  <c r="Z222" i="44" a="1"/>
  <c r="Z222" i="44" s="1"/>
  <c r="R222" i="44"/>
  <c r="U222" i="44" s="1"/>
  <c r="P222" i="44" a="1"/>
  <c r="P222" i="44" s="1"/>
  <c r="O222" i="44"/>
  <c r="O222" i="44" a="1"/>
  <c r="K222" i="44"/>
  <c r="C222" i="44"/>
  <c r="AK221" i="44"/>
  <c r="AA221" i="44"/>
  <c r="AA221" i="44" a="1"/>
  <c r="Z221" i="44"/>
  <c r="Z221" i="44" a="1"/>
  <c r="V221" i="44"/>
  <c r="R221" i="44"/>
  <c r="U221" i="44" s="1"/>
  <c r="P221" i="44"/>
  <c r="P221" i="44" a="1"/>
  <c r="O221" i="44" a="1"/>
  <c r="O221" i="44" s="1"/>
  <c r="S221" i="44" s="1"/>
  <c r="M221" i="44"/>
  <c r="K221" i="44"/>
  <c r="C221" i="44"/>
  <c r="AK220" i="44"/>
  <c r="AA220" i="44" a="1"/>
  <c r="AA220" i="44" s="1"/>
  <c r="Z220" i="44" a="1"/>
  <c r="Z220" i="44" s="1"/>
  <c r="V220" i="44"/>
  <c r="R220" i="44"/>
  <c r="U220" i="44" s="1"/>
  <c r="P220" i="44" a="1"/>
  <c r="P220" i="44" s="1"/>
  <c r="O220" i="44" a="1"/>
  <c r="O220" i="44" s="1"/>
  <c r="S220" i="44" s="1"/>
  <c r="L220" i="44"/>
  <c r="K220" i="44"/>
  <c r="M220" i="44" s="1"/>
  <c r="C220" i="44"/>
  <c r="AA219" i="44" a="1"/>
  <c r="AA219" i="44" s="1"/>
  <c r="Z219" i="44" a="1"/>
  <c r="Z219" i="44" s="1"/>
  <c r="R219" i="44"/>
  <c r="U219" i="44" s="1"/>
  <c r="P219" i="44" a="1"/>
  <c r="P219" i="44" s="1"/>
  <c r="O219" i="44" a="1"/>
  <c r="O219" i="44" s="1"/>
  <c r="S219" i="44" s="1"/>
  <c r="AE219" i="44" s="1"/>
  <c r="K219" i="44"/>
  <c r="C219" i="44"/>
  <c r="AK218" i="44"/>
  <c r="AA218" i="44" a="1"/>
  <c r="AA218" i="44" s="1"/>
  <c r="Z218" i="44" a="1"/>
  <c r="Z218" i="44" s="1"/>
  <c r="V218" i="44"/>
  <c r="R218" i="44"/>
  <c r="U218" i="44" s="1"/>
  <c r="P218" i="44" a="1"/>
  <c r="P218" i="44" s="1"/>
  <c r="T218" i="44" s="1"/>
  <c r="O218" i="44"/>
  <c r="S218" i="44" s="1"/>
  <c r="O218" i="44" a="1"/>
  <c r="M218" i="44"/>
  <c r="L218" i="44"/>
  <c r="K218" i="44"/>
  <c r="C218" i="44"/>
  <c r="AA217" i="44" a="1"/>
  <c r="AA217" i="44" s="1"/>
  <c r="Z217" i="44" a="1"/>
  <c r="Z217" i="44" s="1"/>
  <c r="V217" i="44"/>
  <c r="R217" i="44"/>
  <c r="U217" i="44" s="1"/>
  <c r="W217" i="44" s="1"/>
  <c r="P217" i="44" a="1"/>
  <c r="P217" i="44" s="1"/>
  <c r="O217" i="44"/>
  <c r="S217" i="44" s="1"/>
  <c r="O217" i="44" a="1"/>
  <c r="M217" i="44"/>
  <c r="L217" i="44"/>
  <c r="K217" i="44"/>
  <c r="C217" i="44"/>
  <c r="AA216" i="44" a="1"/>
  <c r="AA216" i="44" s="1"/>
  <c r="Z216" i="44"/>
  <c r="Z216" i="44" a="1"/>
  <c r="V216" i="44"/>
  <c r="R216" i="44"/>
  <c r="U216" i="44" s="1"/>
  <c r="P216" i="44" a="1"/>
  <c r="P216" i="44" s="1"/>
  <c r="O216" i="44"/>
  <c r="S216" i="44" s="1"/>
  <c r="O216" i="44" a="1"/>
  <c r="M216" i="44"/>
  <c r="L216" i="44"/>
  <c r="K216" i="44"/>
  <c r="C216" i="44"/>
  <c r="AA215" i="44"/>
  <c r="AA215" i="44" a="1"/>
  <c r="Z215" i="44" a="1"/>
  <c r="Z215" i="44" s="1"/>
  <c r="R215" i="44"/>
  <c r="U215" i="44" s="1"/>
  <c r="P215" i="44"/>
  <c r="P215" i="44" a="1"/>
  <c r="O215" i="44" a="1"/>
  <c r="O215" i="44" s="1"/>
  <c r="K215" i="44"/>
  <c r="C215" i="44"/>
  <c r="AA214" i="44" a="1"/>
  <c r="AA214" i="44" s="1"/>
  <c r="Z214" i="44" a="1"/>
  <c r="Z214" i="44" s="1"/>
  <c r="R214" i="44"/>
  <c r="U214" i="44" s="1"/>
  <c r="P214" i="44" a="1"/>
  <c r="P214" i="44" s="1"/>
  <c r="T214" i="44" s="1"/>
  <c r="O214" i="44" a="1"/>
  <c r="O214" i="44" s="1"/>
  <c r="K214" i="44"/>
  <c r="C214" i="44"/>
  <c r="AA213" i="44" a="1"/>
  <c r="AA213" i="44" s="1"/>
  <c r="Z213" i="44" a="1"/>
  <c r="Z213" i="44" s="1"/>
  <c r="V213" i="44"/>
  <c r="R213" i="44"/>
  <c r="U213" i="44" s="1"/>
  <c r="P213" i="44" a="1"/>
  <c r="P213" i="44" s="1"/>
  <c r="O213" i="44" a="1"/>
  <c r="O213" i="44" s="1"/>
  <c r="S213" i="44" s="1"/>
  <c r="M213" i="44"/>
  <c r="L213" i="44"/>
  <c r="K213" i="44"/>
  <c r="C213" i="44"/>
  <c r="AA212" i="44" a="1"/>
  <c r="AA212" i="44" s="1"/>
  <c r="Z212" i="44"/>
  <c r="Z212" i="44" a="1"/>
  <c r="R212" i="44"/>
  <c r="U212" i="44" s="1"/>
  <c r="P212" i="44" a="1"/>
  <c r="P212" i="44" s="1"/>
  <c r="O212" i="44" a="1"/>
  <c r="O212" i="44" s="1"/>
  <c r="M212" i="44"/>
  <c r="K212" i="44"/>
  <c r="V212" i="44" s="1"/>
  <c r="C212" i="44"/>
  <c r="AA211" i="44" a="1"/>
  <c r="AA211" i="44" s="1"/>
  <c r="Z211" i="44" a="1"/>
  <c r="Z211" i="44" s="1"/>
  <c r="R211" i="44"/>
  <c r="U211" i="44" s="1"/>
  <c r="P211" i="44" a="1"/>
  <c r="P211" i="44" s="1"/>
  <c r="T211" i="44" s="1"/>
  <c r="O211" i="44" a="1"/>
  <c r="O211" i="44" s="1"/>
  <c r="M211" i="44"/>
  <c r="K211" i="44"/>
  <c r="C211" i="44"/>
  <c r="AA210" i="44"/>
  <c r="AA210" i="44" a="1"/>
  <c r="Z210" i="44"/>
  <c r="Z210" i="44" a="1"/>
  <c r="R210" i="44"/>
  <c r="U210" i="44" s="1"/>
  <c r="P210" i="44" a="1"/>
  <c r="P210" i="44" s="1"/>
  <c r="O210" i="44" a="1"/>
  <c r="O210" i="44" s="1"/>
  <c r="M210" i="44"/>
  <c r="K210" i="44"/>
  <c r="C210" i="44"/>
  <c r="AA209" i="44" a="1"/>
  <c r="AA209" i="44" s="1"/>
  <c r="Z209" i="44" a="1"/>
  <c r="Z209" i="44" s="1"/>
  <c r="V209" i="44"/>
  <c r="R209" i="44"/>
  <c r="U209" i="44" s="1"/>
  <c r="P209" i="44"/>
  <c r="P209" i="44" a="1"/>
  <c r="O209" i="44" a="1"/>
  <c r="O209" i="44" s="1"/>
  <c r="S209" i="44" s="1"/>
  <c r="M209" i="44"/>
  <c r="L209" i="44"/>
  <c r="K209" i="44"/>
  <c r="C209" i="44"/>
  <c r="AA208" i="44" a="1"/>
  <c r="AA208" i="44" s="1"/>
  <c r="Z208" i="44" a="1"/>
  <c r="Z208" i="44" s="1"/>
  <c r="V208" i="44"/>
  <c r="R208" i="44"/>
  <c r="U208" i="44" s="1"/>
  <c r="W208" i="44" s="1"/>
  <c r="P208" i="44" a="1"/>
  <c r="P208" i="44" s="1"/>
  <c r="T208" i="44" s="1"/>
  <c r="O208" i="44" a="1"/>
  <c r="O208" i="44" s="1"/>
  <c r="S208" i="44" s="1"/>
  <c r="M208" i="44"/>
  <c r="L208" i="44"/>
  <c r="K208" i="44"/>
  <c r="K267" i="44" s="1"/>
  <c r="V267" i="44" s="1"/>
  <c r="C208" i="44"/>
  <c r="AK207" i="44"/>
  <c r="AA207" i="44" a="1"/>
  <c r="AA207" i="44" s="1"/>
  <c r="Z207" i="44" a="1"/>
  <c r="Z207" i="44" s="1"/>
  <c r="R207" i="44"/>
  <c r="U207" i="44" s="1"/>
  <c r="P207" i="44" a="1"/>
  <c r="P207" i="44" s="1"/>
  <c r="O207" i="44" a="1"/>
  <c r="O207" i="44" s="1"/>
  <c r="L207" i="44"/>
  <c r="K207" i="44"/>
  <c r="C207" i="44"/>
  <c r="AA206" i="44" a="1"/>
  <c r="AA206" i="44" s="1"/>
  <c r="Z206" i="44" a="1"/>
  <c r="Z206" i="44" s="1"/>
  <c r="R206" i="44"/>
  <c r="U206" i="44" s="1"/>
  <c r="P206" i="44"/>
  <c r="P206" i="44" a="1"/>
  <c r="O206" i="44" a="1"/>
  <c r="O206" i="44" s="1"/>
  <c r="M206" i="44"/>
  <c r="K206" i="44"/>
  <c r="C206" i="44"/>
  <c r="AA205" i="44" a="1"/>
  <c r="AA205" i="44" s="1"/>
  <c r="Z205" i="44" a="1"/>
  <c r="Z205" i="44" s="1"/>
  <c r="R205" i="44"/>
  <c r="U205" i="44" s="1"/>
  <c r="P205" i="44"/>
  <c r="P205" i="44" a="1"/>
  <c r="O205" i="44"/>
  <c r="O205" i="44" a="1"/>
  <c r="K205" i="44"/>
  <c r="C205" i="44"/>
  <c r="P204" i="44"/>
  <c r="P204" i="44" a="1"/>
  <c r="E204" i="44"/>
  <c r="AA202" i="44" a="1"/>
  <c r="AA202" i="44" s="1"/>
  <c r="Z202" i="44" a="1"/>
  <c r="Z202" i="44" s="1"/>
  <c r="R202" i="44"/>
  <c r="U202" i="44" s="1"/>
  <c r="P202" i="44" a="1"/>
  <c r="P202" i="44" s="1"/>
  <c r="O202" i="44" a="1"/>
  <c r="O202" i="44" s="1"/>
  <c r="C202" i="44"/>
  <c r="AA201" i="44"/>
  <c r="AA201" i="44" a="1"/>
  <c r="Z201" i="44" a="1"/>
  <c r="Z201" i="44" s="1"/>
  <c r="S201" i="44"/>
  <c r="R201" i="44"/>
  <c r="U201" i="44" s="1"/>
  <c r="P201" i="44" a="1"/>
  <c r="P201" i="44" s="1"/>
  <c r="O201" i="44" a="1"/>
  <c r="O201" i="44" s="1"/>
  <c r="K201" i="44"/>
  <c r="M201" i="44" s="1"/>
  <c r="F201" i="44"/>
  <c r="F202" i="44" s="1"/>
  <c r="K202" i="44" s="1"/>
  <c r="M202" i="44" s="1"/>
  <c r="C201" i="44"/>
  <c r="AA199" i="44" a="1"/>
  <c r="AA199" i="44" s="1"/>
  <c r="Z199" i="44" a="1"/>
  <c r="Z199" i="44" s="1"/>
  <c r="R199" i="44"/>
  <c r="U199" i="44" s="1"/>
  <c r="P199" i="44" a="1"/>
  <c r="P199" i="44" s="1"/>
  <c r="O199" i="44" a="1"/>
  <c r="O199" i="44" s="1"/>
  <c r="C199" i="44"/>
  <c r="AA198" i="44" a="1"/>
  <c r="AA198" i="44" s="1"/>
  <c r="Z198" i="44" a="1"/>
  <c r="Z198" i="44" s="1"/>
  <c r="R198" i="44"/>
  <c r="U198" i="44" s="1"/>
  <c r="P198" i="44"/>
  <c r="P198" i="44" a="1"/>
  <c r="O198" i="44" a="1"/>
  <c r="O198" i="44" s="1"/>
  <c r="F198" i="44"/>
  <c r="F199" i="44" s="1"/>
  <c r="K199" i="44" s="1"/>
  <c r="C198" i="44"/>
  <c r="AA196" i="44" a="1"/>
  <c r="AA196" i="44" s="1"/>
  <c r="Z196" i="44" a="1"/>
  <c r="Z196" i="44" s="1"/>
  <c r="R196" i="44"/>
  <c r="U196" i="44" s="1"/>
  <c r="P196" i="44" a="1"/>
  <c r="P196" i="44" s="1"/>
  <c r="O196" i="44" a="1"/>
  <c r="O196" i="44" s="1"/>
  <c r="F196" i="44"/>
  <c r="K196" i="44" s="1"/>
  <c r="C196" i="44"/>
  <c r="AA195" i="44"/>
  <c r="AA195" i="44" a="1"/>
  <c r="Z195" i="44" a="1"/>
  <c r="Z195" i="44" s="1"/>
  <c r="V195" i="44"/>
  <c r="R195" i="44"/>
  <c r="U195" i="44" s="1"/>
  <c r="W195" i="44" s="1"/>
  <c r="P195" i="44" a="1"/>
  <c r="P195" i="44" s="1"/>
  <c r="T195" i="44" s="1"/>
  <c r="O195" i="44"/>
  <c r="S195" i="44" s="1"/>
  <c r="AE195" i="44" s="1"/>
  <c r="O195" i="44" a="1"/>
  <c r="M195" i="44"/>
  <c r="K195" i="44"/>
  <c r="F195" i="44"/>
  <c r="C195" i="44"/>
  <c r="AA193" i="44" a="1"/>
  <c r="AA193" i="44" s="1"/>
  <c r="Z193" i="44" a="1"/>
  <c r="Z193" i="44" s="1"/>
  <c r="R193" i="44"/>
  <c r="U193" i="44" s="1"/>
  <c r="P193" i="44" a="1"/>
  <c r="P193" i="44" s="1"/>
  <c r="O193" i="44" a="1"/>
  <c r="O193" i="44" s="1"/>
  <c r="S193" i="44" s="1"/>
  <c r="F193" i="44"/>
  <c r="K193" i="44" s="1"/>
  <c r="V193" i="44" s="1"/>
  <c r="C193" i="44"/>
  <c r="AA192" i="44" a="1"/>
  <c r="AA192" i="44" s="1"/>
  <c r="Z192" i="44" a="1"/>
  <c r="Z192" i="44" s="1"/>
  <c r="S192" i="44"/>
  <c r="R192" i="44"/>
  <c r="U192" i="44" s="1"/>
  <c r="P192" i="44"/>
  <c r="P192" i="44" a="1"/>
  <c r="O192" i="44" a="1"/>
  <c r="O192" i="44" s="1"/>
  <c r="K192" i="44"/>
  <c r="V192" i="44" s="1"/>
  <c r="F192" i="44"/>
  <c r="C192" i="44"/>
  <c r="AA190" i="44" a="1"/>
  <c r="AA190" i="44" s="1"/>
  <c r="Z190" i="44" a="1"/>
  <c r="Z190" i="44" s="1"/>
  <c r="R190" i="44"/>
  <c r="U190" i="44" s="1"/>
  <c r="P190" i="44"/>
  <c r="P190" i="44" a="1"/>
  <c r="O190" i="44" a="1"/>
  <c r="O190" i="44" s="1"/>
  <c r="C190" i="44"/>
  <c r="AA189" i="44" a="1"/>
  <c r="AA189" i="44" s="1"/>
  <c r="Z189" i="44" a="1"/>
  <c r="Z189" i="44" s="1"/>
  <c r="R189" i="44"/>
  <c r="U189" i="44" s="1"/>
  <c r="P189" i="44" a="1"/>
  <c r="P189" i="44" s="1"/>
  <c r="O189" i="44" a="1"/>
  <c r="O189" i="44" s="1"/>
  <c r="F189" i="44"/>
  <c r="K189" i="44" s="1"/>
  <c r="V189" i="44" s="1"/>
  <c r="C189" i="44"/>
  <c r="AA187" i="44" a="1"/>
  <c r="AA187" i="44" s="1"/>
  <c r="Z187" i="44" a="1"/>
  <c r="Z187" i="44" s="1"/>
  <c r="R187" i="44"/>
  <c r="U187" i="44" s="1"/>
  <c r="P187" i="44" a="1"/>
  <c r="P187" i="44" s="1"/>
  <c r="O187" i="44" a="1"/>
  <c r="O187" i="44" s="1"/>
  <c r="F187" i="44"/>
  <c r="K187" i="44" s="1"/>
  <c r="C187" i="44"/>
  <c r="AA185" i="44" a="1"/>
  <c r="AA185" i="44" s="1"/>
  <c r="Z185" i="44" a="1"/>
  <c r="Z185" i="44" s="1"/>
  <c r="V185" i="44"/>
  <c r="R185" i="44"/>
  <c r="U185" i="44" s="1"/>
  <c r="P185" i="44"/>
  <c r="T185" i="44" s="1"/>
  <c r="P185" i="44" a="1"/>
  <c r="O185" i="44"/>
  <c r="O185" i="44" a="1"/>
  <c r="M185" i="44"/>
  <c r="K185" i="44"/>
  <c r="C185" i="44"/>
  <c r="AA184" i="44"/>
  <c r="AA184" i="44" a="1"/>
  <c r="Z184" i="44" a="1"/>
  <c r="Z184" i="44" s="1"/>
  <c r="R184" i="44"/>
  <c r="U184" i="44" s="1"/>
  <c r="P184" i="44" a="1"/>
  <c r="P184" i="44" s="1"/>
  <c r="O184" i="44" a="1"/>
  <c r="O184" i="44" s="1"/>
  <c r="S184" i="44" s="1"/>
  <c r="K184" i="44"/>
  <c r="L184" i="44" s="1"/>
  <c r="C184" i="44"/>
  <c r="AA183" i="44" a="1"/>
  <c r="AA183" i="44" s="1"/>
  <c r="Z183" i="44" a="1"/>
  <c r="Z183" i="44" s="1"/>
  <c r="V183" i="44"/>
  <c r="R183" i="44"/>
  <c r="U183" i="44" s="1"/>
  <c r="P183" i="44" a="1"/>
  <c r="P183" i="44" s="1"/>
  <c r="T183" i="44" s="1"/>
  <c r="O183" i="44" a="1"/>
  <c r="O183" i="44" s="1"/>
  <c r="S183" i="44" s="1"/>
  <c r="L183" i="44"/>
  <c r="K183" i="44"/>
  <c r="M183" i="44" s="1"/>
  <c r="C183" i="44"/>
  <c r="AA182" i="44" a="1"/>
  <c r="AA182" i="44" s="1"/>
  <c r="Z182" i="44"/>
  <c r="Z182" i="44" a="1"/>
  <c r="R182" i="44"/>
  <c r="U182" i="44" s="1"/>
  <c r="P182" i="44" a="1"/>
  <c r="P182" i="44" s="1"/>
  <c r="O182" i="44" a="1"/>
  <c r="O182" i="44" s="1"/>
  <c r="L182" i="44"/>
  <c r="K182" i="44"/>
  <c r="M182" i="44" s="1"/>
  <c r="C182" i="44"/>
  <c r="AA181" i="44" a="1"/>
  <c r="AA181" i="44" s="1"/>
  <c r="Z181" i="44" a="1"/>
  <c r="Z181" i="44" s="1"/>
  <c r="R181" i="44"/>
  <c r="U181" i="44" s="1"/>
  <c r="P181" i="44" a="1"/>
  <c r="P181" i="44" s="1"/>
  <c r="O181" i="44" a="1"/>
  <c r="O181" i="44" s="1"/>
  <c r="K181" i="44"/>
  <c r="L181" i="44" s="1"/>
  <c r="C181" i="44"/>
  <c r="AA180" i="44" a="1"/>
  <c r="AA180" i="44" s="1"/>
  <c r="Z180" i="44" a="1"/>
  <c r="Z180" i="44" s="1"/>
  <c r="V180" i="44"/>
  <c r="R180" i="44"/>
  <c r="U180" i="44" s="1"/>
  <c r="P180" i="44" a="1"/>
  <c r="P180" i="44" s="1"/>
  <c r="T180" i="44" s="1"/>
  <c r="O180" i="44" a="1"/>
  <c r="O180" i="44" s="1"/>
  <c r="S180" i="44" s="1"/>
  <c r="L180" i="44"/>
  <c r="K180" i="44"/>
  <c r="M180" i="44" s="1"/>
  <c r="C180" i="44"/>
  <c r="AA179" i="44" a="1"/>
  <c r="AA179" i="44" s="1"/>
  <c r="Z179" i="44" a="1"/>
  <c r="Z179" i="44" s="1"/>
  <c r="V179" i="44"/>
  <c r="R179" i="44"/>
  <c r="U179" i="44" s="1"/>
  <c r="P179" i="44" a="1"/>
  <c r="P179" i="44" s="1"/>
  <c r="O179" i="44" a="1"/>
  <c r="O179" i="44" s="1"/>
  <c r="M179" i="44"/>
  <c r="L179" i="44"/>
  <c r="K179" i="44"/>
  <c r="C179" i="44"/>
  <c r="AA178" i="44"/>
  <c r="AA178" i="44" a="1"/>
  <c r="Z178" i="44" a="1"/>
  <c r="Z178" i="44" s="1"/>
  <c r="R178" i="44"/>
  <c r="U178" i="44" s="1"/>
  <c r="P178" i="44" a="1"/>
  <c r="P178" i="44" s="1"/>
  <c r="O178" i="44" a="1"/>
  <c r="O178" i="44" s="1"/>
  <c r="S178" i="44" s="1"/>
  <c r="M178" i="44"/>
  <c r="L178" i="44"/>
  <c r="K178" i="44"/>
  <c r="V178" i="44" s="1"/>
  <c r="C178" i="44"/>
  <c r="AA177" i="44" a="1"/>
  <c r="AA177" i="44" s="1"/>
  <c r="Z177" i="44" a="1"/>
  <c r="Z177" i="44" s="1"/>
  <c r="V177" i="44"/>
  <c r="R177" i="44"/>
  <c r="U177" i="44" s="1"/>
  <c r="P177" i="44"/>
  <c r="T177" i="44" s="1"/>
  <c r="P177" i="44" a="1"/>
  <c r="O177" i="44" a="1"/>
  <c r="O177" i="44" s="1"/>
  <c r="K177" i="44"/>
  <c r="M177" i="44" s="1"/>
  <c r="C177" i="44"/>
  <c r="AA176" i="44" a="1"/>
  <c r="AA176" i="44" s="1"/>
  <c r="Z176" i="44" a="1"/>
  <c r="Z176" i="44" s="1"/>
  <c r="V176" i="44"/>
  <c r="R176" i="44"/>
  <c r="U176" i="44" s="1"/>
  <c r="P176" i="44"/>
  <c r="T176" i="44" s="1"/>
  <c r="P176" i="44" a="1"/>
  <c r="O176" i="44" a="1"/>
  <c r="O176" i="44" s="1"/>
  <c r="M176" i="44"/>
  <c r="K176" i="44"/>
  <c r="S176" i="44" s="1"/>
  <c r="C176" i="44"/>
  <c r="AA175" i="44" a="1"/>
  <c r="AA175" i="44" s="1"/>
  <c r="Z175" i="44" a="1"/>
  <c r="Z175" i="44" s="1"/>
  <c r="R175" i="44"/>
  <c r="U175" i="44" s="1"/>
  <c r="P175" i="44"/>
  <c r="T175" i="44" s="1"/>
  <c r="P175" i="44" a="1"/>
  <c r="O175" i="44"/>
  <c r="S175" i="44" s="1"/>
  <c r="O175" i="44" a="1"/>
  <c r="M175" i="44"/>
  <c r="K175" i="44"/>
  <c r="V175" i="44" s="1"/>
  <c r="C175" i="44"/>
  <c r="AA174" i="44" a="1"/>
  <c r="AA174" i="44" s="1"/>
  <c r="Z174" i="44"/>
  <c r="Z174" i="44" a="1"/>
  <c r="R174" i="44"/>
  <c r="U174" i="44" s="1"/>
  <c r="P174" i="44" a="1"/>
  <c r="P174" i="44" s="1"/>
  <c r="O174" i="44" a="1"/>
  <c r="O174" i="44" s="1"/>
  <c r="K174" i="44"/>
  <c r="C174" i="44"/>
  <c r="AA173" i="44" a="1"/>
  <c r="AA173" i="44" s="1"/>
  <c r="Z173" i="44" a="1"/>
  <c r="Z173" i="44" s="1"/>
  <c r="V173" i="44"/>
  <c r="R173" i="44"/>
  <c r="U173" i="44" s="1"/>
  <c r="P173" i="44" a="1"/>
  <c r="P173" i="44" s="1"/>
  <c r="O173" i="44"/>
  <c r="O173" i="44" a="1"/>
  <c r="K173" i="44"/>
  <c r="M173" i="44" s="1"/>
  <c r="C173" i="44"/>
  <c r="AA172" i="44" a="1"/>
  <c r="AA172" i="44" s="1"/>
  <c r="Z172" i="44" a="1"/>
  <c r="Z172" i="44" s="1"/>
  <c r="V172" i="44"/>
  <c r="R172" i="44"/>
  <c r="U172" i="44" s="1"/>
  <c r="W172" i="44" s="1"/>
  <c r="P172" i="44" a="1"/>
  <c r="P172" i="44" s="1"/>
  <c r="T172" i="44" s="1"/>
  <c r="O172" i="44"/>
  <c r="S172" i="44" s="1"/>
  <c r="O172" i="44" a="1"/>
  <c r="M172" i="44"/>
  <c r="L172" i="44"/>
  <c r="K172" i="44"/>
  <c r="C172" i="44"/>
  <c r="AA171" i="44" a="1"/>
  <c r="AA171" i="44" s="1"/>
  <c r="Z171" i="44"/>
  <c r="Z171" i="44" a="1"/>
  <c r="V171" i="44"/>
  <c r="R171" i="44"/>
  <c r="U171" i="44" s="1"/>
  <c r="P171" i="44" a="1"/>
  <c r="P171" i="44" s="1"/>
  <c r="T171" i="44" s="1"/>
  <c r="O171" i="44" a="1"/>
  <c r="O171" i="44" s="1"/>
  <c r="S171" i="44" s="1"/>
  <c r="M171" i="44"/>
  <c r="L171" i="44"/>
  <c r="C171" i="44"/>
  <c r="AA170" i="44" a="1"/>
  <c r="AA170" i="44" s="1"/>
  <c r="Z170" i="44" a="1"/>
  <c r="Z170" i="44" s="1"/>
  <c r="V170" i="44"/>
  <c r="R170" i="44"/>
  <c r="U170" i="44" s="1"/>
  <c r="W170" i="44" s="1"/>
  <c r="P170" i="44" a="1"/>
  <c r="P170" i="44" s="1"/>
  <c r="T170" i="44" s="1"/>
  <c r="O170" i="44" a="1"/>
  <c r="O170" i="44" s="1"/>
  <c r="S170" i="44" s="1"/>
  <c r="M170" i="44"/>
  <c r="L170" i="44"/>
  <c r="C170" i="44"/>
  <c r="AA169" i="44" a="1"/>
  <c r="AA169" i="44" s="1"/>
  <c r="Z169" i="44" a="1"/>
  <c r="Z169" i="44" s="1"/>
  <c r="V169" i="44"/>
  <c r="R169" i="44"/>
  <c r="U169" i="44" s="1"/>
  <c r="W169" i="44" s="1"/>
  <c r="P169" i="44" a="1"/>
  <c r="P169" i="44" s="1"/>
  <c r="O169" i="44"/>
  <c r="O169" i="44" a="1"/>
  <c r="M169" i="44"/>
  <c r="K169" i="44"/>
  <c r="L169" i="44" s="1"/>
  <c r="C169" i="44"/>
  <c r="AA168" i="44" a="1"/>
  <c r="AA168" i="44" s="1"/>
  <c r="Z168" i="44" a="1"/>
  <c r="Z168" i="44" s="1"/>
  <c r="V168" i="44"/>
  <c r="R168" i="44"/>
  <c r="U168" i="44" s="1"/>
  <c r="P168" i="44" a="1"/>
  <c r="P168" i="44" s="1"/>
  <c r="T168" i="44" s="1"/>
  <c r="O168" i="44" a="1"/>
  <c r="O168" i="44" s="1"/>
  <c r="S168" i="44" s="1"/>
  <c r="M168" i="44"/>
  <c r="L168" i="44"/>
  <c r="K168" i="44"/>
  <c r="C168" i="44"/>
  <c r="AA167" i="44" a="1"/>
  <c r="AA167" i="44" s="1"/>
  <c r="Z167" i="44"/>
  <c r="Z167" i="44" a="1"/>
  <c r="V167" i="44"/>
  <c r="R167" i="44"/>
  <c r="U167" i="44" s="1"/>
  <c r="P167" i="44" a="1"/>
  <c r="P167" i="44" s="1"/>
  <c r="O167" i="44" a="1"/>
  <c r="O167" i="44" s="1"/>
  <c r="S167" i="44" s="1"/>
  <c r="K167" i="44"/>
  <c r="C167" i="44"/>
  <c r="AA166" i="44" a="1"/>
  <c r="AA166" i="44" s="1"/>
  <c r="Z166" i="44" a="1"/>
  <c r="Z166" i="44" s="1"/>
  <c r="R166" i="44"/>
  <c r="U166" i="44" s="1"/>
  <c r="P166" i="44" a="1"/>
  <c r="P166" i="44" s="1"/>
  <c r="T166" i="44" s="1"/>
  <c r="O166" i="44"/>
  <c r="O166" i="44" a="1"/>
  <c r="L166" i="44"/>
  <c r="K166" i="44"/>
  <c r="C166" i="44"/>
  <c r="AA165" i="44" a="1"/>
  <c r="AA165" i="44" s="1"/>
  <c r="Z165" i="44"/>
  <c r="Z165" i="44" a="1"/>
  <c r="R165" i="44"/>
  <c r="U165" i="44" s="1"/>
  <c r="P165" i="44"/>
  <c r="P165" i="44" a="1"/>
  <c r="O165" i="44"/>
  <c r="O165" i="44" a="1"/>
  <c r="L165" i="44"/>
  <c r="K165" i="44"/>
  <c r="M165" i="44" s="1"/>
  <c r="C165" i="44"/>
  <c r="AA164" i="44"/>
  <c r="AA164" i="44" a="1"/>
  <c r="Z164" i="44"/>
  <c r="Z164" i="44" a="1"/>
  <c r="R164" i="44"/>
  <c r="U164" i="44" s="1"/>
  <c r="P164" i="44" a="1"/>
  <c r="P164" i="44" s="1"/>
  <c r="O164" i="44" a="1"/>
  <c r="O164" i="44" s="1"/>
  <c r="S164" i="44" s="1"/>
  <c r="M164" i="44"/>
  <c r="K164" i="44"/>
  <c r="L164" i="44" s="1"/>
  <c r="C164" i="44"/>
  <c r="AA163" i="44" a="1"/>
  <c r="AA163" i="44" s="1"/>
  <c r="Z163" i="44" a="1"/>
  <c r="Z163" i="44" s="1"/>
  <c r="V163" i="44"/>
  <c r="R163" i="44"/>
  <c r="U163" i="44" s="1"/>
  <c r="P163" i="44" a="1"/>
  <c r="P163" i="44" s="1"/>
  <c r="T163" i="44" s="1"/>
  <c r="O163" i="44" a="1"/>
  <c r="O163" i="44" s="1"/>
  <c r="S163" i="44" s="1"/>
  <c r="L163" i="44"/>
  <c r="K163" i="44"/>
  <c r="M163" i="44" s="1"/>
  <c r="C163" i="44"/>
  <c r="AA162" i="44" a="1"/>
  <c r="AA162" i="44" s="1"/>
  <c r="Z162" i="44" a="1"/>
  <c r="Z162" i="44" s="1"/>
  <c r="V162" i="44"/>
  <c r="R162" i="44"/>
  <c r="U162" i="44" s="1"/>
  <c r="W162" i="44" s="1"/>
  <c r="P162" i="44" a="1"/>
  <c r="P162" i="44" s="1"/>
  <c r="T162" i="44" s="1"/>
  <c r="O162" i="44" a="1"/>
  <c r="O162" i="44" s="1"/>
  <c r="S162" i="44" s="1"/>
  <c r="M162" i="44"/>
  <c r="L162" i="44"/>
  <c r="K162" i="44"/>
  <c r="C162" i="44"/>
  <c r="AA161" i="44"/>
  <c r="AA161" i="44" a="1"/>
  <c r="Z161" i="44" a="1"/>
  <c r="Z161" i="44" s="1"/>
  <c r="R161" i="44"/>
  <c r="U161" i="44" s="1"/>
  <c r="P161" i="44" a="1"/>
  <c r="P161" i="44" s="1"/>
  <c r="O161" i="44" a="1"/>
  <c r="O161" i="44" s="1"/>
  <c r="S161" i="44" s="1"/>
  <c r="M161" i="44"/>
  <c r="L161" i="44"/>
  <c r="K161" i="44"/>
  <c r="V161" i="44" s="1"/>
  <c r="C161" i="44"/>
  <c r="AA160" i="44" a="1"/>
  <c r="AA160" i="44" s="1"/>
  <c r="Z160" i="44" a="1"/>
  <c r="Z160" i="44" s="1"/>
  <c r="V160" i="44"/>
  <c r="T160" i="44"/>
  <c r="R160" i="44"/>
  <c r="U160" i="44" s="1"/>
  <c r="P160" i="44"/>
  <c r="P160" i="44" a="1"/>
  <c r="O160" i="44" a="1"/>
  <c r="O160" i="44" s="1"/>
  <c r="L160" i="44"/>
  <c r="K160" i="44"/>
  <c r="M160" i="44" s="1"/>
  <c r="C160" i="44"/>
  <c r="AA159" i="44" a="1"/>
  <c r="AA159" i="44" s="1"/>
  <c r="Z159" i="44" a="1"/>
  <c r="Z159" i="44" s="1"/>
  <c r="V159" i="44"/>
  <c r="R159" i="44"/>
  <c r="U159" i="44" s="1"/>
  <c r="P159" i="44" a="1"/>
  <c r="P159" i="44" s="1"/>
  <c r="O159" i="44" a="1"/>
  <c r="O159" i="44" s="1"/>
  <c r="K159" i="44"/>
  <c r="C159" i="44"/>
  <c r="AA158" i="44" a="1"/>
  <c r="AA158" i="44" s="1"/>
  <c r="Z158" i="44" a="1"/>
  <c r="Z158" i="44" s="1"/>
  <c r="V158" i="44"/>
  <c r="R158" i="44"/>
  <c r="U158" i="44" s="1"/>
  <c r="W158" i="44" s="1"/>
  <c r="P158" i="44" a="1"/>
  <c r="P158" i="44" s="1"/>
  <c r="T158" i="44" s="1"/>
  <c r="O158" i="44" a="1"/>
  <c r="O158" i="44" s="1"/>
  <c r="S158" i="44" s="1"/>
  <c r="M158" i="44"/>
  <c r="L158" i="44"/>
  <c r="K158" i="44"/>
  <c r="C158" i="44"/>
  <c r="AA157" i="44"/>
  <c r="AA157" i="44" a="1"/>
  <c r="Z157" i="44" a="1"/>
  <c r="Z157" i="44" s="1"/>
  <c r="R157" i="44"/>
  <c r="U157" i="44" s="1"/>
  <c r="P157" i="44" a="1"/>
  <c r="P157" i="44" s="1"/>
  <c r="O157" i="44" a="1"/>
  <c r="O157" i="44" s="1"/>
  <c r="S157" i="44" s="1"/>
  <c r="M157" i="44"/>
  <c r="L157" i="44"/>
  <c r="K157" i="44"/>
  <c r="V157" i="44" s="1"/>
  <c r="C157" i="44"/>
  <c r="AA156" i="44" a="1"/>
  <c r="AA156" i="44" s="1"/>
  <c r="Z156" i="44"/>
  <c r="Z156" i="44" a="1"/>
  <c r="R156" i="44"/>
  <c r="U156" i="44" s="1"/>
  <c r="P156" i="44" a="1"/>
  <c r="P156" i="44" s="1"/>
  <c r="O156" i="44" a="1"/>
  <c r="O156" i="44" s="1"/>
  <c r="K156" i="44"/>
  <c r="C156" i="44"/>
  <c r="AA155" i="44" a="1"/>
  <c r="AA155" i="44" s="1"/>
  <c r="Z155" i="44" a="1"/>
  <c r="Z155" i="44" s="1"/>
  <c r="V155" i="44"/>
  <c r="S155" i="44"/>
  <c r="R155" i="44"/>
  <c r="U155" i="44" s="1"/>
  <c r="W155" i="44" s="1"/>
  <c r="P155" i="44"/>
  <c r="P155" i="44" a="1"/>
  <c r="O155" i="44" a="1"/>
  <c r="O155" i="44" s="1"/>
  <c r="L155" i="44"/>
  <c r="K155" i="44"/>
  <c r="T155" i="44" s="1"/>
  <c r="C155" i="44"/>
  <c r="AA154" i="44" a="1"/>
  <c r="AA154" i="44" s="1"/>
  <c r="Z154" i="44"/>
  <c r="Z154" i="44" a="1"/>
  <c r="R154" i="44"/>
  <c r="U154" i="44" s="1"/>
  <c r="P154" i="44" a="1"/>
  <c r="P154" i="44" s="1"/>
  <c r="T154" i="44" s="1"/>
  <c r="O154" i="44" a="1"/>
  <c r="O154" i="44" s="1"/>
  <c r="K154" i="44"/>
  <c r="C154" i="44"/>
  <c r="AA153" i="44" a="1"/>
  <c r="AA153" i="44" s="1"/>
  <c r="Z153" i="44" a="1"/>
  <c r="Z153" i="44" s="1"/>
  <c r="V153" i="44"/>
  <c r="R153" i="44"/>
  <c r="U153" i="44" s="1"/>
  <c r="P153" i="44" a="1"/>
  <c r="P153" i="44" s="1"/>
  <c r="O153" i="44" a="1"/>
  <c r="O153" i="44" s="1"/>
  <c r="K153" i="44"/>
  <c r="C153" i="44"/>
  <c r="AA152" i="44" a="1"/>
  <c r="AA152" i="44" s="1"/>
  <c r="Z152" i="44" a="1"/>
  <c r="Z152" i="44" s="1"/>
  <c r="S152" i="44"/>
  <c r="R152" i="44"/>
  <c r="U152" i="44" s="1"/>
  <c r="P152" i="44" a="1"/>
  <c r="P152" i="44" s="1"/>
  <c r="T152" i="44" s="1"/>
  <c r="O152" i="44" a="1"/>
  <c r="O152" i="44" s="1"/>
  <c r="M152" i="44"/>
  <c r="L152" i="44"/>
  <c r="K152" i="44"/>
  <c r="V152" i="44" s="1"/>
  <c r="C152" i="44"/>
  <c r="AA151" i="44" a="1"/>
  <c r="AA151" i="44" s="1"/>
  <c r="Z151" i="44" a="1"/>
  <c r="Z151" i="44" s="1"/>
  <c r="V151" i="44"/>
  <c r="R151" i="44"/>
  <c r="U151" i="44" s="1"/>
  <c r="P151" i="44"/>
  <c r="T151" i="44" s="1"/>
  <c r="P151" i="44" a="1"/>
  <c r="O151" i="44" a="1"/>
  <c r="O151" i="44" s="1"/>
  <c r="L151" i="44"/>
  <c r="K151" i="44"/>
  <c r="M151" i="44" s="1"/>
  <c r="C151" i="44"/>
  <c r="AA150" i="44"/>
  <c r="AA150" i="44" a="1"/>
  <c r="Z150" i="44" a="1"/>
  <c r="Z150" i="44" s="1"/>
  <c r="R150" i="44"/>
  <c r="U150" i="44" s="1"/>
  <c r="P150" i="44" a="1"/>
  <c r="P150" i="44" s="1"/>
  <c r="O150" i="44" a="1"/>
  <c r="O150" i="44" s="1"/>
  <c r="K150" i="44"/>
  <c r="C150" i="44"/>
  <c r="AA149" i="44" a="1"/>
  <c r="AA149" i="44" s="1"/>
  <c r="Z149" i="44" a="1"/>
  <c r="Z149" i="44" s="1"/>
  <c r="V149" i="44"/>
  <c r="R149" i="44"/>
  <c r="U149" i="44" s="1"/>
  <c r="P149" i="44" a="1"/>
  <c r="P149" i="44" s="1"/>
  <c r="T149" i="44" s="1"/>
  <c r="O149" i="44" a="1"/>
  <c r="O149" i="44" s="1"/>
  <c r="S149" i="44" s="1"/>
  <c r="AE149" i="44" s="1"/>
  <c r="M149" i="44"/>
  <c r="L149" i="44"/>
  <c r="K149" i="44"/>
  <c r="C149" i="44"/>
  <c r="AA148" i="44"/>
  <c r="AA148" i="44" a="1"/>
  <c r="Z148" i="44" a="1"/>
  <c r="Z148" i="44" s="1"/>
  <c r="R148" i="44"/>
  <c r="U148" i="44" s="1"/>
  <c r="P148" i="44" a="1"/>
  <c r="P148" i="44" s="1"/>
  <c r="T148" i="44" s="1"/>
  <c r="O148" i="44" a="1"/>
  <c r="O148" i="44" s="1"/>
  <c r="S148" i="44" s="1"/>
  <c r="M148" i="44"/>
  <c r="L148" i="44"/>
  <c r="K148" i="44"/>
  <c r="V148" i="44" s="1"/>
  <c r="C148" i="44"/>
  <c r="AA147" i="44" a="1"/>
  <c r="AA147" i="44" s="1"/>
  <c r="Z147" i="44" a="1"/>
  <c r="Z147" i="44" s="1"/>
  <c r="V147" i="44"/>
  <c r="R147" i="44"/>
  <c r="U147" i="44" s="1"/>
  <c r="P147" i="44" a="1"/>
  <c r="P147" i="44" s="1"/>
  <c r="T147" i="44" s="1"/>
  <c r="O147" i="44" a="1"/>
  <c r="O147" i="44" s="1"/>
  <c r="L147" i="44"/>
  <c r="K147" i="44"/>
  <c r="M147" i="44" s="1"/>
  <c r="C147" i="44"/>
  <c r="AA146" i="44" a="1"/>
  <c r="AA146" i="44" s="1"/>
  <c r="Z146" i="44" a="1"/>
  <c r="Z146" i="44" s="1"/>
  <c r="R146" i="44"/>
  <c r="U146" i="44" s="1"/>
  <c r="P146" i="44" a="1"/>
  <c r="P146" i="44" s="1"/>
  <c r="T146" i="44" s="1"/>
  <c r="O146" i="44" a="1"/>
  <c r="O146" i="44" s="1"/>
  <c r="K146" i="44"/>
  <c r="C146" i="44"/>
  <c r="AA145" i="44" a="1"/>
  <c r="AA145" i="44" s="1"/>
  <c r="Z145" i="44" a="1"/>
  <c r="Z145" i="44" s="1"/>
  <c r="V145" i="44"/>
  <c r="R145" i="44"/>
  <c r="U145" i="44" s="1"/>
  <c r="W145" i="44" s="1"/>
  <c r="P145" i="44" a="1"/>
  <c r="P145" i="44" s="1"/>
  <c r="T145" i="44" s="1"/>
  <c r="O145" i="44" a="1"/>
  <c r="O145" i="44" s="1"/>
  <c r="S145" i="44" s="1"/>
  <c r="M145" i="44"/>
  <c r="L145" i="44"/>
  <c r="K145" i="44"/>
  <c r="C145" i="44"/>
  <c r="AA144" i="44" a="1"/>
  <c r="AA144" i="44" s="1"/>
  <c r="Z144" i="44"/>
  <c r="Z144" i="44" a="1"/>
  <c r="V144" i="44"/>
  <c r="R144" i="44"/>
  <c r="U144" i="44" s="1"/>
  <c r="P144" i="44"/>
  <c r="T144" i="44" s="1"/>
  <c r="P144" i="44" a="1"/>
  <c r="O144" i="44" a="1"/>
  <c r="O144" i="44" s="1"/>
  <c r="S144" i="44" s="1"/>
  <c r="M144" i="44"/>
  <c r="K144" i="44"/>
  <c r="L144" i="44" s="1"/>
  <c r="C144" i="44"/>
  <c r="AA143" i="44" a="1"/>
  <c r="AA143" i="44" s="1"/>
  <c r="Z143" i="44" a="1"/>
  <c r="Z143" i="44" s="1"/>
  <c r="R143" i="44"/>
  <c r="U143" i="44" s="1"/>
  <c r="P143" i="44"/>
  <c r="P143" i="44" a="1"/>
  <c r="O143" i="44" a="1"/>
  <c r="O143" i="44" s="1"/>
  <c r="M143" i="44"/>
  <c r="K143" i="44"/>
  <c r="C143" i="44"/>
  <c r="AA142" i="44"/>
  <c r="AA142" i="44" a="1"/>
  <c r="Z142" i="44"/>
  <c r="Z142" i="44" a="1"/>
  <c r="S142" i="44"/>
  <c r="R142" i="44"/>
  <c r="U142" i="44" s="1"/>
  <c r="P142" i="44" a="1"/>
  <c r="P142" i="44" s="1"/>
  <c r="O142" i="44" a="1"/>
  <c r="O142" i="44" s="1"/>
  <c r="M142" i="44"/>
  <c r="K142" i="44"/>
  <c r="L142" i="44" s="1"/>
  <c r="C142" i="44"/>
  <c r="AA141" i="44" a="1"/>
  <c r="AA141" i="44" s="1"/>
  <c r="Z141" i="44" a="1"/>
  <c r="Z141" i="44" s="1"/>
  <c r="V141" i="44"/>
  <c r="S141" i="44"/>
  <c r="R141" i="44"/>
  <c r="U141" i="44" s="1"/>
  <c r="P141" i="44" a="1"/>
  <c r="P141" i="44" s="1"/>
  <c r="O141" i="44" a="1"/>
  <c r="O141" i="44" s="1"/>
  <c r="L141" i="44"/>
  <c r="K141" i="44"/>
  <c r="C141" i="44"/>
  <c r="AK140" i="44"/>
  <c r="AA140" i="44" a="1"/>
  <c r="AA140" i="44" s="1"/>
  <c r="Z140" i="44" a="1"/>
  <c r="Z140" i="44" s="1"/>
  <c r="V140" i="44"/>
  <c r="T140" i="44"/>
  <c r="R140" i="44"/>
  <c r="U140" i="44" s="1"/>
  <c r="P140" i="44"/>
  <c r="P140" i="44" a="1"/>
  <c r="O140" i="44" a="1"/>
  <c r="O140" i="44" s="1"/>
  <c r="S140" i="44" s="1"/>
  <c r="L140" i="44"/>
  <c r="K140" i="44"/>
  <c r="M140" i="44" s="1"/>
  <c r="C140" i="44"/>
  <c r="AK139" i="44"/>
  <c r="AA139" i="44" a="1"/>
  <c r="AA139" i="44" s="1"/>
  <c r="Z139" i="44" a="1"/>
  <c r="Z139" i="44" s="1"/>
  <c r="V139" i="44"/>
  <c r="R139" i="44"/>
  <c r="U139" i="44" s="1"/>
  <c r="P139" i="44"/>
  <c r="T139" i="44" s="1"/>
  <c r="P139" i="44" a="1"/>
  <c r="O139" i="44" a="1"/>
  <c r="O139" i="44" s="1"/>
  <c r="S139" i="44" s="1"/>
  <c r="M139" i="44"/>
  <c r="K139" i="44"/>
  <c r="L139" i="44" s="1"/>
  <c r="C139" i="44"/>
  <c r="AK138" i="44"/>
  <c r="AA138" i="44" a="1"/>
  <c r="AA138" i="44" s="1"/>
  <c r="Z138" i="44" a="1"/>
  <c r="Z138" i="44" s="1"/>
  <c r="V138" i="44"/>
  <c r="R138" i="44"/>
  <c r="U138" i="44" s="1"/>
  <c r="P138" i="44" a="1"/>
  <c r="P138" i="44" s="1"/>
  <c r="T138" i="44" s="1"/>
  <c r="O138" i="44" a="1"/>
  <c r="O138" i="44" s="1"/>
  <c r="S138" i="44" s="1"/>
  <c r="M138" i="44"/>
  <c r="L138" i="44"/>
  <c r="K138" i="44"/>
  <c r="C138" i="44"/>
  <c r="AA137" i="44" a="1"/>
  <c r="AA137" i="44" s="1"/>
  <c r="Z137" i="44"/>
  <c r="Z137" i="44" a="1"/>
  <c r="V137" i="44"/>
  <c r="R137" i="44"/>
  <c r="U137" i="44" s="1"/>
  <c r="P137" i="44" a="1"/>
  <c r="P137" i="44" s="1"/>
  <c r="T137" i="44" s="1"/>
  <c r="O137" i="44" a="1"/>
  <c r="O137" i="44" s="1"/>
  <c r="S137" i="44" s="1"/>
  <c r="K137" i="44"/>
  <c r="C137" i="44"/>
  <c r="AA136" i="44"/>
  <c r="AA136" i="44" a="1"/>
  <c r="Z136" i="44" a="1"/>
  <c r="Z136" i="44" s="1"/>
  <c r="R136" i="44"/>
  <c r="U136" i="44" s="1"/>
  <c r="P136" i="44"/>
  <c r="P136" i="44" a="1"/>
  <c r="O136" i="44" a="1"/>
  <c r="O136" i="44" s="1"/>
  <c r="L136" i="44"/>
  <c r="K136" i="44"/>
  <c r="C136" i="44"/>
  <c r="AA135" i="44"/>
  <c r="AA135" i="44" a="1"/>
  <c r="Z135" i="44" a="1"/>
  <c r="Z135" i="44" s="1"/>
  <c r="V135" i="44"/>
  <c r="S135" i="44"/>
  <c r="R135" i="44"/>
  <c r="U135" i="44" s="1"/>
  <c r="W135" i="44" s="1"/>
  <c r="P135" i="44" a="1"/>
  <c r="P135" i="44" s="1"/>
  <c r="O135" i="44" a="1"/>
  <c r="O135" i="44" s="1"/>
  <c r="M135" i="44"/>
  <c r="L135" i="44"/>
  <c r="K135" i="44"/>
  <c r="C135" i="44"/>
  <c r="AA134" i="44" a="1"/>
  <c r="AA134" i="44" s="1"/>
  <c r="Z134" i="44" a="1"/>
  <c r="Z134" i="44" s="1"/>
  <c r="V134" i="44"/>
  <c r="R134" i="44"/>
  <c r="U134" i="44" s="1"/>
  <c r="P134" i="44"/>
  <c r="P134" i="44" a="1"/>
  <c r="O134" i="44" a="1"/>
  <c r="O134" i="44" s="1"/>
  <c r="K134" i="44"/>
  <c r="C134" i="44"/>
  <c r="AK133" i="44"/>
  <c r="AA133" i="44" a="1"/>
  <c r="AA133" i="44" s="1"/>
  <c r="Z133" i="44" a="1"/>
  <c r="Z133" i="44" s="1"/>
  <c r="V133" i="44"/>
  <c r="R133" i="44"/>
  <c r="U133" i="44" s="1"/>
  <c r="P133" i="44" a="1"/>
  <c r="P133" i="44" s="1"/>
  <c r="T133" i="44" s="1"/>
  <c r="O133" i="44"/>
  <c r="S133" i="44" s="1"/>
  <c r="AE133" i="44" s="1"/>
  <c r="O133" i="44" a="1"/>
  <c r="M133" i="44"/>
  <c r="L133" i="44"/>
  <c r="K133" i="44"/>
  <c r="C133" i="44"/>
  <c r="AA132" i="44" a="1"/>
  <c r="AA132" i="44" s="1"/>
  <c r="Z132" i="44"/>
  <c r="Z132" i="44" a="1"/>
  <c r="V132" i="44"/>
  <c r="R132" i="44"/>
  <c r="U132" i="44" s="1"/>
  <c r="P132" i="44" a="1"/>
  <c r="P132" i="44" s="1"/>
  <c r="O132" i="44" a="1"/>
  <c r="O132" i="44" s="1"/>
  <c r="K132" i="44"/>
  <c r="C132" i="44"/>
  <c r="AK131" i="44"/>
  <c r="AA131" i="44" a="1"/>
  <c r="AA131" i="44" s="1"/>
  <c r="Z131" i="44" a="1"/>
  <c r="Z131" i="44" s="1"/>
  <c r="V131" i="44"/>
  <c r="R131" i="44"/>
  <c r="U131" i="44" s="1"/>
  <c r="P131" i="44"/>
  <c r="T131" i="44" s="1"/>
  <c r="P131" i="44" a="1"/>
  <c r="O131" i="44" a="1"/>
  <c r="O131" i="44" s="1"/>
  <c r="S131" i="44" s="1"/>
  <c r="AE131" i="44" s="1"/>
  <c r="M131" i="44"/>
  <c r="L131" i="44"/>
  <c r="K131" i="44"/>
  <c r="C131" i="44"/>
  <c r="AK130" i="44"/>
  <c r="AA130" i="44"/>
  <c r="AA130" i="44" a="1"/>
  <c r="Z130" i="44" a="1"/>
  <c r="Z130" i="44" s="1"/>
  <c r="R130" i="44"/>
  <c r="U130" i="44" s="1"/>
  <c r="P130" i="44" a="1"/>
  <c r="P130" i="44" s="1"/>
  <c r="O130" i="44" a="1"/>
  <c r="O130" i="44" s="1"/>
  <c r="S130" i="44" s="1"/>
  <c r="M130" i="44"/>
  <c r="K130" i="44"/>
  <c r="C130" i="44"/>
  <c r="AA129" i="44" a="1"/>
  <c r="AA129" i="44" s="1"/>
  <c r="Z129" i="44"/>
  <c r="Z129" i="44" a="1"/>
  <c r="V129" i="44"/>
  <c r="R129" i="44"/>
  <c r="U129" i="44" s="1"/>
  <c r="P129" i="44" a="1"/>
  <c r="P129" i="44" s="1"/>
  <c r="O129" i="44"/>
  <c r="O129" i="44" a="1"/>
  <c r="M129" i="44"/>
  <c r="L129" i="44"/>
  <c r="K129" i="44"/>
  <c r="C129" i="44"/>
  <c r="AK128" i="44"/>
  <c r="AA128" i="44" a="1"/>
  <c r="AA128" i="44" s="1"/>
  <c r="Z128" i="44"/>
  <c r="Z128" i="44" a="1"/>
  <c r="R128" i="44"/>
  <c r="U128" i="44" s="1"/>
  <c r="P128" i="44"/>
  <c r="P128" i="44" a="1"/>
  <c r="O128" i="44" a="1"/>
  <c r="O128" i="44" s="1"/>
  <c r="M128" i="44"/>
  <c r="L128" i="44"/>
  <c r="K128" i="44"/>
  <c r="C128" i="44"/>
  <c r="AA127" i="44" a="1"/>
  <c r="AA127" i="44" s="1"/>
  <c r="Z127" i="44" a="1"/>
  <c r="Z127" i="44" s="1"/>
  <c r="R127" i="44"/>
  <c r="U127" i="44" s="1"/>
  <c r="P127" i="44"/>
  <c r="P127" i="44" a="1"/>
  <c r="O127" i="44" a="1"/>
  <c r="O127" i="44" s="1"/>
  <c r="K127" i="44"/>
  <c r="C127" i="44"/>
  <c r="AK126" i="44"/>
  <c r="AA126" i="44" a="1"/>
  <c r="AA126" i="44" s="1"/>
  <c r="Z126" i="44" a="1"/>
  <c r="Z126" i="44" s="1"/>
  <c r="V126" i="44"/>
  <c r="R126" i="44"/>
  <c r="U126" i="44" s="1"/>
  <c r="W126" i="44" s="1"/>
  <c r="P126" i="44" a="1"/>
  <c r="P126" i="44" s="1"/>
  <c r="O126" i="44"/>
  <c r="S126" i="44" s="1"/>
  <c r="O126" i="44" a="1"/>
  <c r="M126" i="44"/>
  <c r="L126" i="44"/>
  <c r="K126" i="44"/>
  <c r="C126" i="44"/>
  <c r="AA125" i="44" a="1"/>
  <c r="AA125" i="44" s="1"/>
  <c r="Z125" i="44" a="1"/>
  <c r="Z125" i="44" s="1"/>
  <c r="R125" i="44"/>
  <c r="U125" i="44" s="1"/>
  <c r="P125" i="44"/>
  <c r="T125" i="44" s="1"/>
  <c r="P125" i="44" a="1"/>
  <c r="O125" i="44"/>
  <c r="O125" i="44" a="1"/>
  <c r="K125" i="44"/>
  <c r="C125" i="44"/>
  <c r="AK124" i="44"/>
  <c r="AA124" i="44" a="1"/>
  <c r="AA124" i="44" s="1"/>
  <c r="Z124" i="44" a="1"/>
  <c r="Z124" i="44" s="1"/>
  <c r="V124" i="44"/>
  <c r="R124" i="44"/>
  <c r="U124" i="44" s="1"/>
  <c r="W124" i="44" s="1"/>
  <c r="P124" i="44" a="1"/>
  <c r="P124" i="44" s="1"/>
  <c r="T124" i="44" s="1"/>
  <c r="O124" i="44" a="1"/>
  <c r="O124" i="44" s="1"/>
  <c r="S124" i="44" s="1"/>
  <c r="M124" i="44"/>
  <c r="L124" i="44"/>
  <c r="K124" i="44"/>
  <c r="C124" i="44"/>
  <c r="AK123" i="44"/>
  <c r="AA123" i="44" a="1"/>
  <c r="AA123" i="44" s="1"/>
  <c r="Z123" i="44" a="1"/>
  <c r="Z123" i="44" s="1"/>
  <c r="S123" i="44"/>
  <c r="R123" i="44"/>
  <c r="U123" i="44" s="1"/>
  <c r="P123" i="44" a="1"/>
  <c r="P123" i="44" s="1"/>
  <c r="O123" i="44" a="1"/>
  <c r="O123" i="44" s="1"/>
  <c r="K123" i="44"/>
  <c r="M123" i="44" s="1"/>
  <c r="C123" i="44"/>
  <c r="AA122" i="44" a="1"/>
  <c r="AA122" i="44" s="1"/>
  <c r="Z122" i="44" a="1"/>
  <c r="Z122" i="44" s="1"/>
  <c r="V122" i="44"/>
  <c r="R122" i="44"/>
  <c r="U122" i="44" s="1"/>
  <c r="P122" i="44" a="1"/>
  <c r="P122" i="44" s="1"/>
  <c r="T122" i="44" s="1"/>
  <c r="O122" i="44"/>
  <c r="O122" i="44" a="1"/>
  <c r="K122" i="44"/>
  <c r="G19" i="44"/>
  <c r="C122" i="44"/>
  <c r="AA121" i="44"/>
  <c r="AA121" i="44" a="1"/>
  <c r="Z121" i="44"/>
  <c r="Z121" i="44" a="1"/>
  <c r="V121" i="44"/>
  <c r="R121" i="44"/>
  <c r="U121" i="44" s="1"/>
  <c r="P121" i="44" a="1"/>
  <c r="P121" i="44" s="1"/>
  <c r="O121" i="44" a="1"/>
  <c r="O121" i="44" s="1"/>
  <c r="M121" i="44"/>
  <c r="L121" i="44"/>
  <c r="K121" i="44"/>
  <c r="C121" i="44"/>
  <c r="AA120" i="44" a="1"/>
  <c r="AA120" i="44" s="1"/>
  <c r="Z120" i="44" a="1"/>
  <c r="Z120" i="44" s="1"/>
  <c r="R120" i="44"/>
  <c r="U120" i="44" s="1"/>
  <c r="P120" i="44"/>
  <c r="P120" i="44" a="1"/>
  <c r="O120" i="44" a="1"/>
  <c r="O120" i="44" s="1"/>
  <c r="S120" i="44" s="1"/>
  <c r="M120" i="44"/>
  <c r="K120" i="44"/>
  <c r="C120" i="44"/>
  <c r="AA119" i="44" a="1"/>
  <c r="AA119" i="44" s="1"/>
  <c r="Z119" i="44"/>
  <c r="Z119" i="44" a="1"/>
  <c r="R119" i="44"/>
  <c r="U119" i="44" s="1"/>
  <c r="P119" i="44" a="1"/>
  <c r="P119" i="44" s="1"/>
  <c r="T119" i="44" s="1"/>
  <c r="O119" i="44" a="1"/>
  <c r="O119" i="44" s="1"/>
  <c r="K119" i="44"/>
  <c r="L119" i="44" s="1"/>
  <c r="C119" i="44"/>
  <c r="P118" i="44" a="1"/>
  <c r="P118" i="44" s="1"/>
  <c r="E118" i="44"/>
  <c r="AA116" i="44"/>
  <c r="AA116" i="44" a="1"/>
  <c r="Z116" i="44" a="1"/>
  <c r="Z116" i="44" s="1"/>
  <c r="R116" i="44"/>
  <c r="U116" i="44" s="1"/>
  <c r="P116" i="44" a="1"/>
  <c r="P116" i="44" s="1"/>
  <c r="O116" i="44" a="1"/>
  <c r="O116" i="44" s="1"/>
  <c r="F116" i="44"/>
  <c r="K116" i="44" s="1"/>
  <c r="C116" i="44"/>
  <c r="AA115" i="44" a="1"/>
  <c r="AA115" i="44" s="1"/>
  <c r="Z115" i="44"/>
  <c r="Z115" i="44" a="1"/>
  <c r="V115" i="44"/>
  <c r="R115" i="44"/>
  <c r="U115" i="44" s="1"/>
  <c r="P115" i="44"/>
  <c r="T115" i="44" s="1"/>
  <c r="P115" i="44" a="1"/>
  <c r="O115" i="44" a="1"/>
  <c r="O115" i="44" s="1"/>
  <c r="K115" i="44"/>
  <c r="L115" i="44" s="1"/>
  <c r="F115" i="44"/>
  <c r="C115" i="44"/>
  <c r="AA113" i="44" a="1"/>
  <c r="AA113" i="44" s="1"/>
  <c r="Z113" i="44" a="1"/>
  <c r="Z113" i="44" s="1"/>
  <c r="R113" i="44"/>
  <c r="U113" i="44" s="1"/>
  <c r="P113" i="44" a="1"/>
  <c r="P113" i="44" s="1"/>
  <c r="O113" i="44" a="1"/>
  <c r="O113" i="44" s="1"/>
  <c r="C113" i="44"/>
  <c r="AA112" i="44" a="1"/>
  <c r="AA112" i="44" s="1"/>
  <c r="Z112" i="44" a="1"/>
  <c r="Z112" i="44" s="1"/>
  <c r="R112" i="44"/>
  <c r="U112" i="44" s="1"/>
  <c r="P112" i="44"/>
  <c r="P112" i="44" a="1"/>
  <c r="O112" i="44"/>
  <c r="O112" i="44" a="1"/>
  <c r="F112" i="44"/>
  <c r="F113" i="44" s="1"/>
  <c r="C112" i="44"/>
  <c r="AA110" i="44" a="1"/>
  <c r="AA110" i="44" s="1"/>
  <c r="Z110" i="44" a="1"/>
  <c r="Z110" i="44" s="1"/>
  <c r="R110" i="44"/>
  <c r="U110" i="44" s="1"/>
  <c r="P110" i="44"/>
  <c r="P110" i="44" a="1"/>
  <c r="O110" i="44" a="1"/>
  <c r="O110" i="44" s="1"/>
  <c r="F110" i="44"/>
  <c r="C110" i="44"/>
  <c r="AA109" i="44"/>
  <c r="AA109" i="44" a="1"/>
  <c r="Z109" i="44" a="1"/>
  <c r="Z109" i="44" s="1"/>
  <c r="R109" i="44"/>
  <c r="U109" i="44" s="1"/>
  <c r="P109" i="44" a="1"/>
  <c r="P109" i="44" s="1"/>
  <c r="O109" i="44" a="1"/>
  <c r="O109" i="44" s="1"/>
  <c r="F109" i="44"/>
  <c r="C109" i="44"/>
  <c r="AA107" i="44" a="1"/>
  <c r="AA107" i="44" s="1"/>
  <c r="Z107" i="44"/>
  <c r="Z107" i="44" a="1"/>
  <c r="R107" i="44"/>
  <c r="U107" i="44" s="1"/>
  <c r="P107" i="44" a="1"/>
  <c r="P107" i="44" s="1"/>
  <c r="O107" i="44" a="1"/>
  <c r="O107" i="44" s="1"/>
  <c r="F107" i="44"/>
  <c r="C107" i="44"/>
  <c r="AA105" i="44" a="1"/>
  <c r="AA105" i="44" s="1"/>
  <c r="Z105" i="44" a="1"/>
  <c r="Z105" i="44" s="1"/>
  <c r="R105" i="44"/>
  <c r="U105" i="44" s="1"/>
  <c r="P105" i="44"/>
  <c r="P105" i="44" a="1"/>
  <c r="O105" i="44"/>
  <c r="O105" i="44" a="1"/>
  <c r="K105" i="44"/>
  <c r="C105" i="44"/>
  <c r="AA104" i="44" a="1"/>
  <c r="AA104" i="44" s="1"/>
  <c r="Z104" i="44" a="1"/>
  <c r="Z104" i="44" s="1"/>
  <c r="R104" i="44"/>
  <c r="U104" i="44" s="1"/>
  <c r="P104" i="44" a="1"/>
  <c r="P104" i="44" s="1"/>
  <c r="O104" i="44" a="1"/>
  <c r="O104" i="44" s="1"/>
  <c r="C104" i="44"/>
  <c r="AA103" i="44" a="1"/>
  <c r="AA103" i="44" s="1"/>
  <c r="Z103" i="44" a="1"/>
  <c r="Z103" i="44" s="1"/>
  <c r="R103" i="44"/>
  <c r="U103" i="44" s="1"/>
  <c r="P103" i="44" a="1"/>
  <c r="P103" i="44" s="1"/>
  <c r="O103" i="44"/>
  <c r="O103" i="44" a="1"/>
  <c r="C103" i="44"/>
  <c r="AA102" i="44" a="1"/>
  <c r="AA102" i="44" s="1"/>
  <c r="Z102" i="44" a="1"/>
  <c r="Z102" i="44" s="1"/>
  <c r="R102" i="44"/>
  <c r="U102" i="44" s="1"/>
  <c r="P102" i="44" a="1"/>
  <c r="P102" i="44" s="1"/>
  <c r="O102" i="44" a="1"/>
  <c r="O102" i="44" s="1"/>
  <c r="K102" i="44"/>
  <c r="M102" i="44" s="1"/>
  <c r="C102" i="44"/>
  <c r="AA101" i="44" a="1"/>
  <c r="AA101" i="44" s="1"/>
  <c r="Z101" i="44" a="1"/>
  <c r="Z101" i="44" s="1"/>
  <c r="V101" i="44"/>
  <c r="R101" i="44"/>
  <c r="U101" i="44" s="1"/>
  <c r="P101" i="44"/>
  <c r="T101" i="44" s="1"/>
  <c r="P101" i="44" a="1"/>
  <c r="O101" i="44"/>
  <c r="O101" i="44" a="1"/>
  <c r="K101" i="44"/>
  <c r="M101" i="44" s="1"/>
  <c r="C101" i="44"/>
  <c r="AA100" i="44" a="1"/>
  <c r="AA100" i="44" s="1"/>
  <c r="Z100" i="44" a="1"/>
  <c r="Z100" i="44" s="1"/>
  <c r="R100" i="44"/>
  <c r="U100" i="44" s="1"/>
  <c r="P100" i="44" a="1"/>
  <c r="P100" i="44" s="1"/>
  <c r="T100" i="44" s="1"/>
  <c r="O100" i="44" a="1"/>
  <c r="O100" i="44" s="1"/>
  <c r="K100" i="44"/>
  <c r="C100" i="44"/>
  <c r="AA99" i="44" a="1"/>
  <c r="AA99" i="44" s="1"/>
  <c r="Z99" i="44" a="1"/>
  <c r="Z99" i="44" s="1"/>
  <c r="V99" i="44"/>
  <c r="R99" i="44"/>
  <c r="U99" i="44" s="1"/>
  <c r="P99" i="44" a="1"/>
  <c r="P99" i="44" s="1"/>
  <c r="T99" i="44" s="1"/>
  <c r="O99" i="44" a="1"/>
  <c r="O99" i="44" s="1"/>
  <c r="S99" i="44" s="1"/>
  <c r="M99" i="44"/>
  <c r="L99" i="44"/>
  <c r="K99" i="44"/>
  <c r="C99" i="44"/>
  <c r="AA98" i="44" a="1"/>
  <c r="AA98" i="44" s="1"/>
  <c r="Z98" i="44" a="1"/>
  <c r="Z98" i="44" s="1"/>
  <c r="V98" i="44"/>
  <c r="R98" i="44"/>
  <c r="U98" i="44" s="1"/>
  <c r="P98" i="44" a="1"/>
  <c r="P98" i="44" s="1"/>
  <c r="T98" i="44" s="1"/>
  <c r="O98" i="44" a="1"/>
  <c r="O98" i="44" s="1"/>
  <c r="S98" i="44" s="1"/>
  <c r="L98" i="44"/>
  <c r="K98" i="44"/>
  <c r="M98" i="44" s="1"/>
  <c r="C98" i="44"/>
  <c r="AA97" i="44" a="1"/>
  <c r="AA97" i="44" s="1"/>
  <c r="Z97" i="44"/>
  <c r="Z97" i="44" a="1"/>
  <c r="R97" i="44"/>
  <c r="U97" i="44" s="1"/>
  <c r="P97" i="44"/>
  <c r="P97" i="44" a="1"/>
  <c r="O97" i="44"/>
  <c r="S97" i="44" s="1"/>
  <c r="O97" i="44" a="1"/>
  <c r="M97" i="44"/>
  <c r="K97" i="44"/>
  <c r="C97" i="44"/>
  <c r="AA96" i="44" a="1"/>
  <c r="AA96" i="44" s="1"/>
  <c r="Z96" i="44" a="1"/>
  <c r="Z96" i="44" s="1"/>
  <c r="R96" i="44"/>
  <c r="U96" i="44" s="1"/>
  <c r="P96" i="44" a="1"/>
  <c r="P96" i="44" s="1"/>
  <c r="O96" i="44" a="1"/>
  <c r="O96" i="44" s="1"/>
  <c r="M96" i="44"/>
  <c r="K96" i="44"/>
  <c r="L96" i="44" s="1"/>
  <c r="C96" i="44"/>
  <c r="AA95" i="44"/>
  <c r="AA95" i="44" a="1"/>
  <c r="Z95" i="44" a="1"/>
  <c r="Z95" i="44" s="1"/>
  <c r="V95" i="44"/>
  <c r="T95" i="44"/>
  <c r="R95" i="44"/>
  <c r="U95" i="44" s="1"/>
  <c r="P95" i="44" a="1"/>
  <c r="P95" i="44" s="1"/>
  <c r="O95" i="44" a="1"/>
  <c r="O95" i="44" s="1"/>
  <c r="L95" i="44"/>
  <c r="K95" i="44"/>
  <c r="C95" i="44"/>
  <c r="AA94" i="44" a="1"/>
  <c r="AA94" i="44" s="1"/>
  <c r="Z94" i="44" a="1"/>
  <c r="Z94" i="44" s="1"/>
  <c r="R94" i="44"/>
  <c r="U94" i="44" s="1"/>
  <c r="P94" i="44" a="1"/>
  <c r="P94" i="44" s="1"/>
  <c r="O94" i="44" a="1"/>
  <c r="O94" i="44" s="1"/>
  <c r="K94" i="44"/>
  <c r="M94" i="44" s="1"/>
  <c r="C94" i="44"/>
  <c r="AA93" i="44"/>
  <c r="AA93" i="44" a="1"/>
  <c r="Z93" i="44" a="1"/>
  <c r="Z93" i="44" s="1"/>
  <c r="V93" i="44"/>
  <c r="R93" i="44"/>
  <c r="U93" i="44" s="1"/>
  <c r="P93" i="44" a="1"/>
  <c r="P93" i="44" s="1"/>
  <c r="T93" i="44" s="1"/>
  <c r="O93" i="44" a="1"/>
  <c r="O93" i="44" s="1"/>
  <c r="S93" i="44" s="1"/>
  <c r="L93" i="44"/>
  <c r="K93" i="44"/>
  <c r="M93" i="44" s="1"/>
  <c r="C93" i="44"/>
  <c r="AA92" i="44" a="1"/>
  <c r="AA92" i="44" s="1"/>
  <c r="Z92" i="44"/>
  <c r="Z92" i="44" a="1"/>
  <c r="R92" i="44"/>
  <c r="U92" i="44" s="1"/>
  <c r="P92" i="44" a="1"/>
  <c r="P92" i="44" s="1"/>
  <c r="T92" i="44" s="1"/>
  <c r="O92" i="44" a="1"/>
  <c r="O92" i="44" s="1"/>
  <c r="K92" i="44"/>
  <c r="V92" i="44" s="1"/>
  <c r="C92" i="44"/>
  <c r="AA91" i="44" a="1"/>
  <c r="AA91" i="44" s="1"/>
  <c r="Z91" i="44"/>
  <c r="Z91" i="44" a="1"/>
  <c r="R91" i="44"/>
  <c r="U91" i="44" s="1"/>
  <c r="P91" i="44" a="1"/>
  <c r="P91" i="44" s="1"/>
  <c r="O91" i="44" a="1"/>
  <c r="O91" i="44" s="1"/>
  <c r="C91" i="44"/>
  <c r="AA90" i="44" a="1"/>
  <c r="AA90" i="44" s="1"/>
  <c r="Z90" i="44" a="1"/>
  <c r="Z90" i="44" s="1"/>
  <c r="R90" i="44"/>
  <c r="U90" i="44" s="1"/>
  <c r="P90" i="44" a="1"/>
  <c r="P90" i="44" s="1"/>
  <c r="O90" i="44" a="1"/>
  <c r="O90" i="44" s="1"/>
  <c r="S90" i="44" s="1"/>
  <c r="AE90" i="44" s="1"/>
  <c r="K90" i="44"/>
  <c r="M90" i="44" s="1"/>
  <c r="C90" i="44"/>
  <c r="AK89" i="44"/>
  <c r="AA89" i="44"/>
  <c r="AA89" i="44" a="1"/>
  <c r="Z89" i="44" a="1"/>
  <c r="Z89" i="44" s="1"/>
  <c r="V89" i="44"/>
  <c r="R89" i="44"/>
  <c r="U89" i="44" s="1"/>
  <c r="P89" i="44"/>
  <c r="T89" i="44" s="1"/>
  <c r="P89" i="44" a="1"/>
  <c r="O89" i="44" a="1"/>
  <c r="O89" i="44" s="1"/>
  <c r="S89" i="44" s="1"/>
  <c r="M89" i="44"/>
  <c r="L89" i="44"/>
  <c r="L18" i="44" s="1"/>
  <c r="K89" i="44"/>
  <c r="C89" i="44"/>
  <c r="G18" i="44" s="1"/>
  <c r="AK88" i="44"/>
  <c r="AA88" i="44" a="1"/>
  <c r="AA88" i="44" s="1"/>
  <c r="Z88" i="44" a="1"/>
  <c r="Z88" i="44" s="1"/>
  <c r="R88" i="44"/>
  <c r="U88" i="44" s="1"/>
  <c r="P88" i="44" a="1"/>
  <c r="P88" i="44" s="1"/>
  <c r="T88" i="44" s="1"/>
  <c r="O88" i="44" a="1"/>
  <c r="O88" i="44" s="1"/>
  <c r="K88" i="44"/>
  <c r="C88" i="44"/>
  <c r="AK87" i="44"/>
  <c r="AA87" i="44"/>
  <c r="AA87" i="44" a="1"/>
  <c r="Z87" i="44"/>
  <c r="Z87" i="44" a="1"/>
  <c r="V87" i="44"/>
  <c r="R87" i="44"/>
  <c r="U87" i="44" s="1"/>
  <c r="P87" i="44" a="1"/>
  <c r="P87" i="44" s="1"/>
  <c r="T87" i="44" s="1"/>
  <c r="O87" i="44" a="1"/>
  <c r="O87" i="44" s="1"/>
  <c r="M87" i="44"/>
  <c r="L87" i="44"/>
  <c r="K87" i="44"/>
  <c r="C87" i="44"/>
  <c r="AK86" i="44"/>
  <c r="AA86" i="44" a="1"/>
  <c r="AA86" i="44" s="1"/>
  <c r="Z86" i="44" a="1"/>
  <c r="Z86" i="44" s="1"/>
  <c r="V86" i="44"/>
  <c r="R86" i="44"/>
  <c r="U86" i="44" s="1"/>
  <c r="P86" i="44" a="1"/>
  <c r="P86" i="44" s="1"/>
  <c r="T86" i="44" s="1"/>
  <c r="O86" i="44" a="1"/>
  <c r="O86" i="44" s="1"/>
  <c r="S86" i="44" s="1"/>
  <c r="M86" i="44"/>
  <c r="L86" i="44"/>
  <c r="K86" i="44"/>
  <c r="C86" i="44"/>
  <c r="AK85" i="44"/>
  <c r="AA85" i="44" a="1"/>
  <c r="AA85" i="44" s="1"/>
  <c r="Z85" i="44" a="1"/>
  <c r="Z85" i="44" s="1"/>
  <c r="V85" i="44"/>
  <c r="R85" i="44"/>
  <c r="U85" i="44" s="1"/>
  <c r="P85" i="44" a="1"/>
  <c r="P85" i="44" s="1"/>
  <c r="T85" i="44" s="1"/>
  <c r="O85" i="44" a="1"/>
  <c r="O85" i="44" s="1"/>
  <c r="S85" i="44" s="1"/>
  <c r="M85" i="44"/>
  <c r="L85" i="44"/>
  <c r="K85" i="44"/>
  <c r="C85" i="44"/>
  <c r="AA84" i="44" a="1"/>
  <c r="AA84" i="44" s="1"/>
  <c r="Z84" i="44" a="1"/>
  <c r="Z84" i="44" s="1"/>
  <c r="R84" i="44"/>
  <c r="U84" i="44" s="1"/>
  <c r="P84" i="44"/>
  <c r="T84" i="44" s="1"/>
  <c r="P84" i="44" a="1"/>
  <c r="O84" i="44"/>
  <c r="O84" i="44" a="1"/>
  <c r="K84" i="44"/>
  <c r="M84" i="44" s="1"/>
  <c r="C84" i="44"/>
  <c r="AK83" i="44"/>
  <c r="AA83" i="44" a="1"/>
  <c r="AA83" i="44" s="1"/>
  <c r="Z83" i="44" a="1"/>
  <c r="Z83" i="44" s="1"/>
  <c r="V83" i="44"/>
  <c r="R83" i="44"/>
  <c r="U83" i="44" s="1"/>
  <c r="P83" i="44" a="1"/>
  <c r="P83" i="44" s="1"/>
  <c r="T83" i="44" s="1"/>
  <c r="O83" i="44"/>
  <c r="S83" i="44" s="1"/>
  <c r="O83" i="44" a="1"/>
  <c r="M83" i="44"/>
  <c r="L83" i="44"/>
  <c r="K83" i="44"/>
  <c r="C83" i="44"/>
  <c r="AA82" i="44"/>
  <c r="AA82" i="44" a="1"/>
  <c r="Z82" i="44"/>
  <c r="Z82" i="44" a="1"/>
  <c r="V82" i="44"/>
  <c r="R82" i="44"/>
  <c r="U82" i="44" s="1"/>
  <c r="P82" i="44" a="1"/>
  <c r="P82" i="44" s="1"/>
  <c r="T82" i="44" s="1"/>
  <c r="O82" i="44" a="1"/>
  <c r="O82" i="44" s="1"/>
  <c r="K82" i="44"/>
  <c r="C82" i="44"/>
  <c r="AA81" i="44" a="1"/>
  <c r="AA81" i="44" s="1"/>
  <c r="Z81" i="44"/>
  <c r="Z81" i="44" a="1"/>
  <c r="R81" i="44"/>
  <c r="U81" i="44" s="1"/>
  <c r="P81" i="44" a="1"/>
  <c r="P81" i="44" s="1"/>
  <c r="O81" i="44" a="1"/>
  <c r="O81" i="44" s="1"/>
  <c r="C81" i="44"/>
  <c r="AK80" i="44"/>
  <c r="AA80" i="44" a="1"/>
  <c r="AA80" i="44" s="1"/>
  <c r="Z80" i="44" a="1"/>
  <c r="Z80" i="44" s="1"/>
  <c r="V80" i="44"/>
  <c r="R80" i="44"/>
  <c r="U80" i="44" s="1"/>
  <c r="P80" i="44" a="1"/>
  <c r="P80" i="44" s="1"/>
  <c r="O80" i="44" a="1"/>
  <c r="O80" i="44" s="1"/>
  <c r="S80" i="44" s="1"/>
  <c r="L80" i="44"/>
  <c r="K80" i="44"/>
  <c r="C80" i="44"/>
  <c r="P79" i="44" a="1"/>
  <c r="P79" i="44" s="1"/>
  <c r="E79" i="44"/>
  <c r="AA77" i="44"/>
  <c r="AA77" i="44" a="1"/>
  <c r="Z77" i="44"/>
  <c r="Z77" i="44" a="1"/>
  <c r="R77" i="44"/>
  <c r="U77" i="44" s="1"/>
  <c r="P77" i="44"/>
  <c r="P77" i="44" a="1"/>
  <c r="O77" i="44"/>
  <c r="O77" i="44" a="1"/>
  <c r="C77" i="44"/>
  <c r="AA76" i="44"/>
  <c r="AA76" i="44" a="1"/>
  <c r="Z76" i="44" a="1"/>
  <c r="Z76" i="44" s="1"/>
  <c r="R76" i="44"/>
  <c r="U76" i="44" s="1"/>
  <c r="P76" i="44"/>
  <c r="P76" i="44" a="1"/>
  <c r="O76" i="44"/>
  <c r="O76" i="44" a="1"/>
  <c r="K76" i="44"/>
  <c r="F76" i="44"/>
  <c r="F77" i="44" s="1"/>
  <c r="K77" i="44" s="1"/>
  <c r="C76" i="44"/>
  <c r="AA74" i="44" a="1"/>
  <c r="AA74" i="44" s="1"/>
  <c r="Z74" i="44"/>
  <c r="Z74" i="44" a="1"/>
  <c r="R74" i="44"/>
  <c r="U74" i="44" s="1"/>
  <c r="P74" i="44" a="1"/>
  <c r="P74" i="44" s="1"/>
  <c r="O74" i="44"/>
  <c r="O74" i="44" a="1"/>
  <c r="C74" i="44"/>
  <c r="AA73" i="44" a="1"/>
  <c r="AA73" i="44" s="1"/>
  <c r="Z73" i="44"/>
  <c r="Z73" i="44" a="1"/>
  <c r="R73" i="44"/>
  <c r="U73" i="44" s="1"/>
  <c r="P73" i="44" a="1"/>
  <c r="P73" i="44" s="1"/>
  <c r="O73" i="44"/>
  <c r="O73" i="44" a="1"/>
  <c r="F73" i="44"/>
  <c r="K73" i="44" s="1"/>
  <c r="C73" i="44"/>
  <c r="AA71" i="44" a="1"/>
  <c r="AA71" i="44" s="1"/>
  <c r="Z71" i="44" a="1"/>
  <c r="Z71" i="44" s="1"/>
  <c r="V71" i="44"/>
  <c r="R71" i="44"/>
  <c r="U71" i="44" s="1"/>
  <c r="P71" i="44" a="1"/>
  <c r="P71" i="44" s="1"/>
  <c r="T71" i="44" s="1"/>
  <c r="O71" i="44" a="1"/>
  <c r="O71" i="44" s="1"/>
  <c r="S71" i="44" s="1"/>
  <c r="M71" i="44"/>
  <c r="L71" i="44"/>
  <c r="K71" i="44"/>
  <c r="C71" i="44"/>
  <c r="AA70" i="44" a="1"/>
  <c r="AA70" i="44" s="1"/>
  <c r="Z70" i="44" a="1"/>
  <c r="Z70" i="44" s="1"/>
  <c r="R70" i="44"/>
  <c r="U70" i="44" s="1"/>
  <c r="P70" i="44"/>
  <c r="T70" i="44" s="1"/>
  <c r="P70" i="44" a="1"/>
  <c r="O70" i="44"/>
  <c r="O70" i="44" a="1"/>
  <c r="K70" i="44"/>
  <c r="M70" i="44" s="1"/>
  <c r="C70" i="44"/>
  <c r="AA69" i="44" a="1"/>
  <c r="AA69" i="44" s="1"/>
  <c r="Z69" i="44"/>
  <c r="Z69" i="44" a="1"/>
  <c r="V69" i="44"/>
  <c r="R69" i="44"/>
  <c r="U69" i="44" s="1"/>
  <c r="P69" i="44" a="1"/>
  <c r="P69" i="44" s="1"/>
  <c r="T69" i="44" s="1"/>
  <c r="O69" i="44" a="1"/>
  <c r="O69" i="44" s="1"/>
  <c r="K69" i="44"/>
  <c r="C69" i="44"/>
  <c r="AA68" i="44" a="1"/>
  <c r="AA68" i="44" s="1"/>
  <c r="Z68" i="44" a="1"/>
  <c r="Z68" i="44" s="1"/>
  <c r="V68" i="44"/>
  <c r="R68" i="44"/>
  <c r="U68" i="44" s="1"/>
  <c r="P68" i="44" a="1"/>
  <c r="P68" i="44" s="1"/>
  <c r="O68" i="44" a="1"/>
  <c r="O68" i="44" s="1"/>
  <c r="S68" i="44" s="1"/>
  <c r="L68" i="44"/>
  <c r="K68" i="44"/>
  <c r="C68" i="44"/>
  <c r="AA67" i="44" a="1"/>
  <c r="AA67" i="44" s="1"/>
  <c r="Z67" i="44" a="1"/>
  <c r="Z67" i="44" s="1"/>
  <c r="V67" i="44"/>
  <c r="R67" i="44"/>
  <c r="U67" i="44" s="1"/>
  <c r="P67" i="44" a="1"/>
  <c r="P67" i="44" s="1"/>
  <c r="T67" i="44" s="1"/>
  <c r="O67" i="44" a="1"/>
  <c r="O67" i="44" s="1"/>
  <c r="S67" i="44" s="1"/>
  <c r="M67" i="44"/>
  <c r="L67" i="44"/>
  <c r="C67" i="44"/>
  <c r="AA66" i="44" a="1"/>
  <c r="AA66" i="44" s="1"/>
  <c r="Z66" i="44" a="1"/>
  <c r="Z66" i="44" s="1"/>
  <c r="V66" i="44"/>
  <c r="R66" i="44"/>
  <c r="U66" i="44" s="1"/>
  <c r="P66" i="44"/>
  <c r="T66" i="44" s="1"/>
  <c r="P66" i="44" a="1"/>
  <c r="O66" i="44" a="1"/>
  <c r="O66" i="44" s="1"/>
  <c r="S66" i="44" s="1"/>
  <c r="M66" i="44"/>
  <c r="L66" i="44"/>
  <c r="C66" i="44"/>
  <c r="AA65" i="44" a="1"/>
  <c r="AA65" i="44" s="1"/>
  <c r="Z65" i="44" a="1"/>
  <c r="Z65" i="44" s="1"/>
  <c r="R65" i="44"/>
  <c r="U65" i="44" s="1"/>
  <c r="P65" i="44" a="1"/>
  <c r="P65" i="44" s="1"/>
  <c r="O65" i="44" a="1"/>
  <c r="O65" i="44" s="1"/>
  <c r="C65" i="44"/>
  <c r="AA64" i="44" a="1"/>
  <c r="AA64" i="44" s="1"/>
  <c r="Z64" i="44" a="1"/>
  <c r="Z64" i="44" s="1"/>
  <c r="R64" i="44"/>
  <c r="U64" i="44" s="1"/>
  <c r="P64" i="44" a="1"/>
  <c r="P64" i="44" s="1"/>
  <c r="O64" i="44" a="1"/>
  <c r="O64" i="44" s="1"/>
  <c r="C64" i="44"/>
  <c r="AA63" i="44" a="1"/>
  <c r="AA63" i="44" s="1"/>
  <c r="Z63" i="44" a="1"/>
  <c r="Z63" i="44" s="1"/>
  <c r="V63" i="44"/>
  <c r="R63" i="44"/>
  <c r="U63" i="44" s="1"/>
  <c r="P63" i="44"/>
  <c r="T63" i="44" s="1"/>
  <c r="P63" i="44" a="1"/>
  <c r="O63" i="44" a="1"/>
  <c r="O63" i="44" s="1"/>
  <c r="S63" i="44" s="1"/>
  <c r="M63" i="44"/>
  <c r="L63" i="44"/>
  <c r="K63" i="44"/>
  <c r="C63" i="44"/>
  <c r="AA62" i="44"/>
  <c r="AA62" i="44" a="1"/>
  <c r="Z62" i="44" a="1"/>
  <c r="Z62" i="44" s="1"/>
  <c r="R62" i="44"/>
  <c r="U62" i="44" s="1"/>
  <c r="P62" i="44" a="1"/>
  <c r="P62" i="44" s="1"/>
  <c r="O62" i="44" a="1"/>
  <c r="O62" i="44" s="1"/>
  <c r="C62" i="44"/>
  <c r="AA61" i="44" a="1"/>
  <c r="AA61" i="44" s="1"/>
  <c r="Z61" i="44"/>
  <c r="Z61" i="44" a="1"/>
  <c r="R61" i="44"/>
  <c r="U61" i="44" s="1"/>
  <c r="P61" i="44" a="1"/>
  <c r="P61" i="44" s="1"/>
  <c r="T61" i="44" s="1"/>
  <c r="O61" i="44" a="1"/>
  <c r="O61" i="44" s="1"/>
  <c r="L61" i="44"/>
  <c r="K61" i="44"/>
  <c r="V61" i="44" s="1"/>
  <c r="C61" i="44"/>
  <c r="AA60" i="44" a="1"/>
  <c r="AA60" i="44" s="1"/>
  <c r="Z60" i="44" a="1"/>
  <c r="Z60" i="44" s="1"/>
  <c r="V60" i="44"/>
  <c r="R60" i="44"/>
  <c r="U60" i="44" s="1"/>
  <c r="W60" i="44" s="1"/>
  <c r="P60" i="44" a="1"/>
  <c r="P60" i="44" s="1"/>
  <c r="T60" i="44" s="1"/>
  <c r="O60" i="44" a="1"/>
  <c r="O60" i="44" s="1"/>
  <c r="S60" i="44" s="1"/>
  <c r="AE60" i="44" s="1"/>
  <c r="M60" i="44"/>
  <c r="L60" i="44"/>
  <c r="C60" i="44"/>
  <c r="AA59" i="44" a="1"/>
  <c r="AA59" i="44" s="1"/>
  <c r="Z59" i="44" a="1"/>
  <c r="Z59" i="44" s="1"/>
  <c r="V59" i="44"/>
  <c r="S59" i="44"/>
  <c r="R59" i="44"/>
  <c r="U59" i="44" s="1"/>
  <c r="W59" i="44" s="1"/>
  <c r="P59" i="44" a="1"/>
  <c r="P59" i="44" s="1"/>
  <c r="T59" i="44" s="1"/>
  <c r="O59" i="44"/>
  <c r="O59" i="44" a="1"/>
  <c r="M59" i="44"/>
  <c r="L59" i="44"/>
  <c r="C59" i="44"/>
  <c r="AA58" i="44"/>
  <c r="AA58" i="44" a="1"/>
  <c r="Z58" i="44"/>
  <c r="Z58" i="44" a="1"/>
  <c r="V58" i="44"/>
  <c r="R58" i="44"/>
  <c r="U58" i="44" s="1"/>
  <c r="P58" i="44" a="1"/>
  <c r="P58" i="44" s="1"/>
  <c r="T58" i="44" s="1"/>
  <c r="O58" i="44" a="1"/>
  <c r="O58" i="44" s="1"/>
  <c r="S58" i="44" s="1"/>
  <c r="M58" i="44"/>
  <c r="L58" i="44"/>
  <c r="C58" i="44"/>
  <c r="AA57" i="44"/>
  <c r="AA57" i="44" a="1"/>
  <c r="Z57" i="44"/>
  <c r="Z57" i="44" a="1"/>
  <c r="V57" i="44"/>
  <c r="R57" i="44"/>
  <c r="U57" i="44" s="1"/>
  <c r="P57" i="44"/>
  <c r="T57" i="44" s="1"/>
  <c r="P57" i="44" a="1"/>
  <c r="O57" i="44"/>
  <c r="S57" i="44" s="1"/>
  <c r="O57" i="44" a="1"/>
  <c r="M57" i="44"/>
  <c r="L57" i="44"/>
  <c r="C57" i="44"/>
  <c r="AA56" i="44" a="1"/>
  <c r="AA56" i="44" s="1"/>
  <c r="Z56" i="44" a="1"/>
  <c r="Z56" i="44" s="1"/>
  <c r="V56" i="44"/>
  <c r="R56" i="44"/>
  <c r="U56" i="44" s="1"/>
  <c r="P56" i="44"/>
  <c r="T56" i="44" s="1"/>
  <c r="P56" i="44" a="1"/>
  <c r="O56" i="44" a="1"/>
  <c r="O56" i="44" s="1"/>
  <c r="S56" i="44" s="1"/>
  <c r="M56" i="44"/>
  <c r="L56" i="44"/>
  <c r="C56" i="44"/>
  <c r="AA55" i="44" a="1"/>
  <c r="AA55" i="44" s="1"/>
  <c r="Z55" i="44"/>
  <c r="Z55" i="44" a="1"/>
  <c r="V55" i="44"/>
  <c r="R55" i="44"/>
  <c r="U55" i="44" s="1"/>
  <c r="P55" i="44" a="1"/>
  <c r="P55" i="44" s="1"/>
  <c r="T55" i="44" s="1"/>
  <c r="O55" i="44"/>
  <c r="S55" i="44" s="1"/>
  <c r="O55" i="44" a="1"/>
  <c r="M55" i="44"/>
  <c r="L55" i="44"/>
  <c r="C55" i="44"/>
  <c r="AA54" i="44" a="1"/>
  <c r="AA54" i="44" s="1"/>
  <c r="Z54" i="44" a="1"/>
  <c r="Z54" i="44" s="1"/>
  <c r="V54" i="44"/>
  <c r="R54" i="44"/>
  <c r="U54" i="44" s="1"/>
  <c r="W54" i="44" s="1"/>
  <c r="P54" i="44" a="1"/>
  <c r="P54" i="44" s="1"/>
  <c r="O54" i="44" a="1"/>
  <c r="O54" i="44" s="1"/>
  <c r="S54" i="44" s="1"/>
  <c r="L54" i="44"/>
  <c r="K54" i="44"/>
  <c r="C54" i="44"/>
  <c r="AA53" i="44" a="1"/>
  <c r="AA53" i="44" s="1"/>
  <c r="Z53" i="44" a="1"/>
  <c r="Z53" i="44" s="1"/>
  <c r="V53" i="44"/>
  <c r="R53" i="44"/>
  <c r="U53" i="44" s="1"/>
  <c r="P53" i="44" a="1"/>
  <c r="P53" i="44" s="1"/>
  <c r="T53" i="44" s="1"/>
  <c r="O53" i="44" a="1"/>
  <c r="O53" i="44" s="1"/>
  <c r="S53" i="44" s="1"/>
  <c r="M53" i="44"/>
  <c r="L53" i="44"/>
  <c r="C53" i="44"/>
  <c r="AA52" i="44"/>
  <c r="AA52" i="44" a="1"/>
  <c r="Z52" i="44" a="1"/>
  <c r="Z52" i="44" s="1"/>
  <c r="V52" i="44"/>
  <c r="R52" i="44"/>
  <c r="U52" i="44" s="1"/>
  <c r="W52" i="44" s="1"/>
  <c r="P52" i="44"/>
  <c r="T52" i="44" s="1"/>
  <c r="P52" i="44" a="1"/>
  <c r="O52" i="44" a="1"/>
  <c r="O52" i="44" s="1"/>
  <c r="S52" i="44" s="1"/>
  <c r="M52" i="44"/>
  <c r="L52" i="44"/>
  <c r="C52" i="44"/>
  <c r="AA51" i="44" a="1"/>
  <c r="AA51" i="44" s="1"/>
  <c r="Z51" i="44"/>
  <c r="Z51" i="44" a="1"/>
  <c r="T51" i="44"/>
  <c r="R51" i="44"/>
  <c r="U51" i="44" s="1"/>
  <c r="P51" i="44" a="1"/>
  <c r="P51" i="44" s="1"/>
  <c r="O51" i="44" a="1"/>
  <c r="O51" i="44" s="1"/>
  <c r="L51" i="44"/>
  <c r="K51" i="44"/>
  <c r="V51" i="44" s="1"/>
  <c r="C51" i="44"/>
  <c r="AA50" i="44" a="1"/>
  <c r="AA50" i="44" s="1"/>
  <c r="Z50" i="44" a="1"/>
  <c r="Z50" i="44" s="1"/>
  <c r="V50" i="44"/>
  <c r="R50" i="44"/>
  <c r="U50" i="44" s="1"/>
  <c r="W50" i="44" s="1"/>
  <c r="P50" i="44" a="1"/>
  <c r="P50" i="44" s="1"/>
  <c r="T50" i="44" s="1"/>
  <c r="O50" i="44" a="1"/>
  <c r="O50" i="44" s="1"/>
  <c r="S50" i="44" s="1"/>
  <c r="M50" i="44"/>
  <c r="L50" i="44"/>
  <c r="K50" i="44"/>
  <c r="C50" i="44"/>
  <c r="AA49" i="44" a="1"/>
  <c r="AA49" i="44" s="1"/>
  <c r="Z49" i="44" a="1"/>
  <c r="Z49" i="44" s="1"/>
  <c r="V49" i="44"/>
  <c r="R49" i="44"/>
  <c r="U49" i="44" s="1"/>
  <c r="P49" i="44"/>
  <c r="T49" i="44" s="1"/>
  <c r="P49" i="44" a="1"/>
  <c r="O49" i="44" a="1"/>
  <c r="O49" i="44" s="1"/>
  <c r="S49" i="44" s="1"/>
  <c r="M49" i="44"/>
  <c r="L49" i="44"/>
  <c r="K49" i="44"/>
  <c r="C49" i="44"/>
  <c r="AA48" i="44"/>
  <c r="AA48" i="44" a="1"/>
  <c r="Z48" i="44" a="1"/>
  <c r="Z48" i="44" s="1"/>
  <c r="V48" i="44"/>
  <c r="R48" i="44"/>
  <c r="U48" i="44" s="1"/>
  <c r="P48" i="44" a="1"/>
  <c r="P48" i="44" s="1"/>
  <c r="T48" i="44" s="1"/>
  <c r="O48" i="44"/>
  <c r="O48" i="44" a="1"/>
  <c r="M48" i="44"/>
  <c r="L48" i="44"/>
  <c r="K48" i="44"/>
  <c r="C48" i="44"/>
  <c r="AA47" i="44" a="1"/>
  <c r="AA47" i="44" s="1"/>
  <c r="Z47" i="44" a="1"/>
  <c r="Z47" i="44" s="1"/>
  <c r="R47" i="44"/>
  <c r="U47" i="44" s="1"/>
  <c r="P47" i="44" a="1"/>
  <c r="P47" i="44" s="1"/>
  <c r="T47" i="44" s="1"/>
  <c r="O47" i="44" a="1"/>
  <c r="O47" i="44" s="1"/>
  <c r="L47" i="44"/>
  <c r="K47" i="44"/>
  <c r="V47" i="44" s="1"/>
  <c r="C47" i="44"/>
  <c r="AA46" i="44" a="1"/>
  <c r="AA46" i="44" s="1"/>
  <c r="Z46" i="44" a="1"/>
  <c r="Z46" i="44" s="1"/>
  <c r="V46" i="44"/>
  <c r="R46" i="44"/>
  <c r="U46" i="44" s="1"/>
  <c r="W46" i="44" s="1"/>
  <c r="P46" i="44" a="1"/>
  <c r="P46" i="44" s="1"/>
  <c r="T46" i="44" s="1"/>
  <c r="O46" i="44" a="1"/>
  <c r="O46" i="44" s="1"/>
  <c r="S46" i="44" s="1"/>
  <c r="M46" i="44"/>
  <c r="L46" i="44"/>
  <c r="K46" i="44"/>
  <c r="C46" i="44"/>
  <c r="AA45" i="44" a="1"/>
  <c r="AA45" i="44" s="1"/>
  <c r="Z45" i="44" a="1"/>
  <c r="Z45" i="44" s="1"/>
  <c r="V45" i="44"/>
  <c r="R45" i="44"/>
  <c r="U45" i="44" s="1"/>
  <c r="P45" i="44"/>
  <c r="T45" i="44" s="1"/>
  <c r="P45" i="44" a="1"/>
  <c r="O45" i="44" a="1"/>
  <c r="O45" i="44" s="1"/>
  <c r="S45" i="44" s="1"/>
  <c r="M45" i="44"/>
  <c r="L45" i="44"/>
  <c r="K45" i="44"/>
  <c r="C45" i="44"/>
  <c r="AE44" i="44"/>
  <c r="AA43" i="44" a="1"/>
  <c r="AA43" i="44" s="1"/>
  <c r="Z43" i="44" a="1"/>
  <c r="Z43" i="44" s="1"/>
  <c r="R43" i="44"/>
  <c r="U43" i="44" s="1"/>
  <c r="P43" i="44" a="1"/>
  <c r="P43" i="44" s="1"/>
  <c r="T43" i="44" s="1"/>
  <c r="O43" i="44" a="1"/>
  <c r="O43" i="44" s="1"/>
  <c r="K43" i="44"/>
  <c r="M43" i="44" s="1"/>
  <c r="M17" i="44" s="1"/>
  <c r="G17" i="44"/>
  <c r="C43" i="44"/>
  <c r="E42" i="44"/>
  <c r="M37" i="44"/>
  <c r="L37" i="44"/>
  <c r="K37" i="44"/>
  <c r="J37" i="44"/>
  <c r="V36" i="44"/>
  <c r="M36" i="44"/>
  <c r="L36" i="44"/>
  <c r="K36" i="44"/>
  <c r="J36" i="44"/>
  <c r="K35" i="44"/>
  <c r="J35" i="44"/>
  <c r="M34" i="44"/>
  <c r="L34" i="44"/>
  <c r="K34" i="44"/>
  <c r="J34" i="44"/>
  <c r="AJ31" i="44"/>
  <c r="M31" i="44"/>
  <c r="L31" i="44"/>
  <c r="K31" i="44"/>
  <c r="J31" i="44"/>
  <c r="K30" i="44"/>
  <c r="J30" i="44"/>
  <c r="G30" i="44"/>
  <c r="AJ29" i="44"/>
  <c r="M29" i="44"/>
  <c r="K29" i="44"/>
  <c r="J29" i="44"/>
  <c r="G29" i="44"/>
  <c r="L28" i="44"/>
  <c r="K28" i="44"/>
  <c r="J28" i="44"/>
  <c r="J27" i="44"/>
  <c r="G27" i="44"/>
  <c r="K26" i="44"/>
  <c r="J26" i="44"/>
  <c r="G26" i="44"/>
  <c r="M25" i="44"/>
  <c r="L25" i="44"/>
  <c r="K25" i="44"/>
  <c r="J25" i="44"/>
  <c r="AJ24" i="44"/>
  <c r="M24" i="44"/>
  <c r="L24" i="44"/>
  <c r="K24" i="44"/>
  <c r="J24" i="44"/>
  <c r="G24" i="44"/>
  <c r="AJ23" i="44"/>
  <c r="K23" i="44"/>
  <c r="J23" i="44"/>
  <c r="G23" i="44"/>
  <c r="K22" i="44"/>
  <c r="J22" i="44"/>
  <c r="G22" i="44"/>
  <c r="K21" i="44"/>
  <c r="J21" i="44"/>
  <c r="G21" i="44"/>
  <c r="J20" i="44"/>
  <c r="J19" i="44"/>
  <c r="M18" i="44"/>
  <c r="K18" i="44"/>
  <c r="J18" i="44"/>
  <c r="AJ17" i="44"/>
  <c r="J17" i="44"/>
  <c r="D175" i="42"/>
  <c r="B175" i="42"/>
  <c r="L173" i="42"/>
  <c r="AW171" i="42"/>
  <c r="AW170" i="42"/>
  <c r="AW167" i="42"/>
  <c r="AW166" i="42"/>
  <c r="AW165" i="42"/>
  <c r="AW164" i="42"/>
  <c r="AW163" i="42"/>
  <c r="AW162" i="42"/>
  <c r="AW159" i="42"/>
  <c r="AW158" i="42"/>
  <c r="AW157" i="42"/>
  <c r="AW156" i="42"/>
  <c r="G155" i="42"/>
  <c r="G154" i="42"/>
  <c r="AQ153" i="42"/>
  <c r="AN153" i="42"/>
  <c r="AM153" i="42"/>
  <c r="AA153" i="42"/>
  <c r="X153" i="42"/>
  <c r="W153" i="42"/>
  <c r="W155" i="42" s="1"/>
  <c r="K153" i="42"/>
  <c r="H153" i="42"/>
  <c r="G153" i="42"/>
  <c r="AK152" i="42"/>
  <c r="AH152" i="42"/>
  <c r="AG152" i="42"/>
  <c r="U152" i="42"/>
  <c r="R152" i="42"/>
  <c r="Q152" i="42"/>
  <c r="G152" i="42"/>
  <c r="E152" i="42"/>
  <c r="AW152" i="42" s="1"/>
  <c r="AW151" i="42"/>
  <c r="AQ151" i="42"/>
  <c r="AP151" i="42"/>
  <c r="AO151" i="42"/>
  <c r="AN151" i="42"/>
  <c r="AM151" i="42"/>
  <c r="AL151" i="42"/>
  <c r="AK151" i="42"/>
  <c r="AJ151" i="42"/>
  <c r="AI151" i="42"/>
  <c r="AH151" i="42"/>
  <c r="AG151" i="42"/>
  <c r="AF151" i="42"/>
  <c r="AE151" i="42"/>
  <c r="AD151" i="42"/>
  <c r="AC151" i="42"/>
  <c r="AB151" i="42"/>
  <c r="AA151" i="42"/>
  <c r="Z151" i="42"/>
  <c r="Y151" i="42"/>
  <c r="X151" i="42"/>
  <c r="W151" i="42"/>
  <c r="V151" i="42"/>
  <c r="U151" i="42"/>
  <c r="T151" i="42"/>
  <c r="S151" i="42"/>
  <c r="R151" i="42"/>
  <c r="Q151" i="42"/>
  <c r="P151" i="42"/>
  <c r="O151" i="42"/>
  <c r="N151" i="42"/>
  <c r="M151" i="42"/>
  <c r="L151" i="42"/>
  <c r="K151" i="42"/>
  <c r="J151" i="42"/>
  <c r="I151" i="42"/>
  <c r="H151" i="42"/>
  <c r="D151" i="42"/>
  <c r="C151" i="42"/>
  <c r="AW150" i="42"/>
  <c r="AR150" i="42"/>
  <c r="AS150" i="42" s="1"/>
  <c r="D150" i="42"/>
  <c r="C150" i="42"/>
  <c r="AW149" i="42"/>
  <c r="AQ149" i="42"/>
  <c r="AP149" i="42"/>
  <c r="AO149" i="42"/>
  <c r="AN149" i="42"/>
  <c r="AM149" i="42"/>
  <c r="AL149" i="42"/>
  <c r="AK149" i="42"/>
  <c r="AJ149" i="42"/>
  <c r="AI149" i="42"/>
  <c r="AH149" i="42"/>
  <c r="AG149" i="42"/>
  <c r="AF149" i="42"/>
  <c r="AE149" i="42"/>
  <c r="AD149" i="42"/>
  <c r="AC149" i="42"/>
  <c r="AB149" i="42"/>
  <c r="AA149" i="42"/>
  <c r="Z149" i="42"/>
  <c r="Y149" i="42"/>
  <c r="X149" i="42"/>
  <c r="W149" i="42"/>
  <c r="V149" i="42"/>
  <c r="U149" i="42"/>
  <c r="T149" i="42"/>
  <c r="S149" i="42"/>
  <c r="R149" i="42"/>
  <c r="Q149" i="42"/>
  <c r="P149" i="42"/>
  <c r="O149" i="42"/>
  <c r="N149" i="42"/>
  <c r="M149" i="42"/>
  <c r="L149" i="42"/>
  <c r="K149" i="42"/>
  <c r="J149" i="42"/>
  <c r="I149" i="42"/>
  <c r="H149" i="42"/>
  <c r="B149" i="42"/>
  <c r="G148" i="42"/>
  <c r="G147" i="42"/>
  <c r="AN146" i="42"/>
  <c r="X146" i="42"/>
  <c r="G146" i="42"/>
  <c r="G145" i="42"/>
  <c r="E145" i="42"/>
  <c r="AW145" i="42" s="1"/>
  <c r="AW144" i="42"/>
  <c r="AQ144" i="42"/>
  <c r="AP144" i="42"/>
  <c r="AO144" i="42"/>
  <c r="AN144" i="42"/>
  <c r="AM144" i="42"/>
  <c r="AL144" i="42"/>
  <c r="AK144" i="42"/>
  <c r="AJ144" i="42"/>
  <c r="AI144" i="42"/>
  <c r="AH144" i="42"/>
  <c r="AG144" i="42"/>
  <c r="AF144" i="42"/>
  <c r="AE144" i="42"/>
  <c r="AD144" i="42"/>
  <c r="AC144" i="42"/>
  <c r="AC146" i="42" s="1"/>
  <c r="AB144" i="42"/>
  <c r="AB146" i="42" s="1"/>
  <c r="AA144" i="42"/>
  <c r="Z144" i="42"/>
  <c r="Y144" i="42"/>
  <c r="X144" i="42"/>
  <c r="W144" i="42"/>
  <c r="V144" i="42"/>
  <c r="U144" i="42"/>
  <c r="T144" i="42"/>
  <c r="S144" i="42"/>
  <c r="R144" i="42"/>
  <c r="Q144" i="42"/>
  <c r="P144" i="42"/>
  <c r="O144" i="42"/>
  <c r="N144" i="42"/>
  <c r="M144" i="42"/>
  <c r="L144" i="42"/>
  <c r="L146" i="42" s="1"/>
  <c r="K144" i="42"/>
  <c r="J144" i="42"/>
  <c r="I144" i="42"/>
  <c r="H144" i="42"/>
  <c r="D144" i="42"/>
  <c r="C144" i="42"/>
  <c r="AW143" i="42"/>
  <c r="AR143" i="42"/>
  <c r="AS143" i="42" s="1"/>
  <c r="D143" i="42"/>
  <c r="C143" i="42"/>
  <c r="AW142" i="42"/>
  <c r="AQ142" i="42"/>
  <c r="AP142" i="42"/>
  <c r="AO142" i="42"/>
  <c r="AN142" i="42"/>
  <c r="AM142" i="42"/>
  <c r="AL142" i="42"/>
  <c r="AK142" i="42"/>
  <c r="AJ142" i="42"/>
  <c r="AI142" i="42"/>
  <c r="AH142" i="42"/>
  <c r="AG142" i="42"/>
  <c r="AF142" i="42"/>
  <c r="AE142" i="42"/>
  <c r="AD142" i="42"/>
  <c r="AC142" i="42"/>
  <c r="AB142" i="42"/>
  <c r="AA142" i="42"/>
  <c r="Z142" i="42"/>
  <c r="Y142" i="42"/>
  <c r="X142" i="42"/>
  <c r="W142" i="42"/>
  <c r="V142" i="42"/>
  <c r="U142" i="42"/>
  <c r="T142" i="42"/>
  <c r="S142" i="42"/>
  <c r="R142" i="42"/>
  <c r="Q142" i="42"/>
  <c r="P142" i="42"/>
  <c r="O142" i="42"/>
  <c r="N142" i="42"/>
  <c r="M142" i="42"/>
  <c r="L142" i="42"/>
  <c r="K142" i="42"/>
  <c r="J142" i="42"/>
  <c r="I142" i="42"/>
  <c r="H142" i="42"/>
  <c r="B142" i="42"/>
  <c r="G141" i="42"/>
  <c r="G140" i="42"/>
  <c r="N139" i="42"/>
  <c r="M139" i="42"/>
  <c r="J139" i="42"/>
  <c r="I139" i="42"/>
  <c r="G139" i="42"/>
  <c r="AN138" i="42"/>
  <c r="O138" i="42"/>
  <c r="L138" i="42"/>
  <c r="H138" i="42"/>
  <c r="G138" i="42"/>
  <c r="E138" i="42"/>
  <c r="E140" i="42" s="1"/>
  <c r="AW141" i="42" s="1"/>
  <c r="AW137" i="42"/>
  <c r="AQ137" i="42"/>
  <c r="AP137" i="42"/>
  <c r="AO137" i="42"/>
  <c r="AN137" i="42"/>
  <c r="AM137" i="42"/>
  <c r="AL137" i="42"/>
  <c r="AK137" i="42"/>
  <c r="AJ137" i="42"/>
  <c r="AI137" i="42"/>
  <c r="AH137" i="42"/>
  <c r="AG137" i="42"/>
  <c r="AF137" i="42"/>
  <c r="AE137" i="42"/>
  <c r="AD137" i="42"/>
  <c r="AC137" i="42"/>
  <c r="AB137" i="42"/>
  <c r="AA137" i="42"/>
  <c r="Z137" i="42"/>
  <c r="Y137" i="42"/>
  <c r="X137" i="42"/>
  <c r="W137" i="42"/>
  <c r="V137" i="42"/>
  <c r="U137" i="42"/>
  <c r="T137" i="42"/>
  <c r="S137" i="42"/>
  <c r="R137" i="42"/>
  <c r="Q137" i="42"/>
  <c r="P137" i="42"/>
  <c r="O137" i="42"/>
  <c r="N137" i="42"/>
  <c r="M137" i="42"/>
  <c r="L137" i="42"/>
  <c r="K137" i="42"/>
  <c r="J137" i="42"/>
  <c r="I137" i="42"/>
  <c r="H137" i="42"/>
  <c r="D137" i="42"/>
  <c r="C137" i="42"/>
  <c r="AW136" i="42"/>
  <c r="AR136" i="42"/>
  <c r="AS136" i="42" s="1"/>
  <c r="D136" i="42"/>
  <c r="C136" i="42"/>
  <c r="AW135" i="42"/>
  <c r="AQ135" i="42"/>
  <c r="AP135" i="42"/>
  <c r="AO135" i="42"/>
  <c r="AN135" i="42"/>
  <c r="AM135" i="42"/>
  <c r="AL135" i="42"/>
  <c r="AK135" i="42"/>
  <c r="AJ135" i="42"/>
  <c r="AI135" i="42"/>
  <c r="AH135" i="42"/>
  <c r="AG135" i="42"/>
  <c r="AF135" i="42"/>
  <c r="AE135" i="42"/>
  <c r="AD135" i="42"/>
  <c r="AC135" i="42"/>
  <c r="AB135" i="42"/>
  <c r="AA135" i="42"/>
  <c r="Z135" i="42"/>
  <c r="Y135" i="42"/>
  <c r="X135" i="42"/>
  <c r="W135" i="42"/>
  <c r="V135" i="42"/>
  <c r="U135" i="42"/>
  <c r="T135" i="42"/>
  <c r="S135" i="42"/>
  <c r="R135" i="42"/>
  <c r="Q135" i="42"/>
  <c r="P135" i="42"/>
  <c r="O135" i="42"/>
  <c r="N135" i="42"/>
  <c r="M135" i="42"/>
  <c r="L135" i="42"/>
  <c r="K135" i="42"/>
  <c r="J135" i="42"/>
  <c r="I135" i="42"/>
  <c r="H135" i="42"/>
  <c r="B135" i="42"/>
  <c r="AE134" i="42"/>
  <c r="G134" i="42"/>
  <c r="G133" i="42"/>
  <c r="AQ132" i="42"/>
  <c r="AP132" i="42"/>
  <c r="AM132" i="42"/>
  <c r="AE132" i="42"/>
  <c r="AD132" i="42"/>
  <c r="AC132" i="42"/>
  <c r="AA132" i="42"/>
  <c r="Z132" i="42"/>
  <c r="W132" i="42"/>
  <c r="V132" i="42"/>
  <c r="U132" i="42"/>
  <c r="T132" i="42"/>
  <c r="S132" i="42"/>
  <c r="J132" i="42"/>
  <c r="J134" i="42" s="1"/>
  <c r="G132" i="42"/>
  <c r="AO131" i="42"/>
  <c r="AN131" i="42"/>
  <c r="V131" i="42"/>
  <c r="U131" i="42"/>
  <c r="G131" i="42"/>
  <c r="E131" i="42"/>
  <c r="E133" i="42" s="1"/>
  <c r="AW130" i="42"/>
  <c r="AQ130" i="42"/>
  <c r="AP130" i="42"/>
  <c r="AO130" i="42"/>
  <c r="AN130" i="42"/>
  <c r="AM130" i="42"/>
  <c r="AL130" i="42"/>
  <c r="AK130" i="42"/>
  <c r="AJ130" i="42"/>
  <c r="AI130" i="42"/>
  <c r="AH130" i="42"/>
  <c r="AG130" i="42"/>
  <c r="AF130" i="42"/>
  <c r="AE130" i="42"/>
  <c r="AD130" i="42"/>
  <c r="AC130" i="42"/>
  <c r="AB130" i="42"/>
  <c r="AA130" i="42"/>
  <c r="Z130" i="42"/>
  <c r="Y130" i="42"/>
  <c r="X130" i="42"/>
  <c r="W130" i="42"/>
  <c r="V130" i="42"/>
  <c r="U130" i="42"/>
  <c r="T130" i="42"/>
  <c r="S130" i="42"/>
  <c r="R130" i="42"/>
  <c r="Q130" i="42"/>
  <c r="P130" i="42"/>
  <c r="O130" i="42"/>
  <c r="N130" i="42"/>
  <c r="M130" i="42"/>
  <c r="L130" i="42"/>
  <c r="K130" i="42"/>
  <c r="J130" i="42"/>
  <c r="I130" i="42"/>
  <c r="H130" i="42"/>
  <c r="D130" i="42"/>
  <c r="C130" i="42"/>
  <c r="AW129" i="42"/>
  <c r="AR129" i="42"/>
  <c r="AS129" i="42" s="1"/>
  <c r="D129" i="42"/>
  <c r="C129" i="42"/>
  <c r="AW128" i="42"/>
  <c r="AQ128" i="42"/>
  <c r="AP128" i="42"/>
  <c r="AO128" i="42"/>
  <c r="AN128" i="42"/>
  <c r="AM128" i="42"/>
  <c r="AL128" i="42"/>
  <c r="AK128" i="42"/>
  <c r="AJ128" i="42"/>
  <c r="AI128" i="42"/>
  <c r="AH128" i="42"/>
  <c r="AG128" i="42"/>
  <c r="AF128" i="42"/>
  <c r="AE128" i="42"/>
  <c r="AD128" i="42"/>
  <c r="AC128" i="42"/>
  <c r="AB128" i="42"/>
  <c r="AA128" i="42"/>
  <c r="Z128" i="42"/>
  <c r="Y128" i="42"/>
  <c r="X128" i="42"/>
  <c r="W128" i="42"/>
  <c r="V128" i="42"/>
  <c r="U128" i="42"/>
  <c r="T128" i="42"/>
  <c r="S128" i="42"/>
  <c r="R128" i="42"/>
  <c r="Q128" i="42"/>
  <c r="P128" i="42"/>
  <c r="O128" i="42"/>
  <c r="N128" i="42"/>
  <c r="M128" i="42"/>
  <c r="L128" i="42"/>
  <c r="K128" i="42"/>
  <c r="J128" i="42"/>
  <c r="I128" i="42"/>
  <c r="H128" i="42"/>
  <c r="B128" i="42"/>
  <c r="G127" i="42"/>
  <c r="G126" i="42"/>
  <c r="AQ125" i="42"/>
  <c r="AP125" i="42"/>
  <c r="AI125" i="42"/>
  <c r="AH125" i="42"/>
  <c r="AG125" i="42"/>
  <c r="AF125" i="42"/>
  <c r="AE125" i="42"/>
  <c r="AD125" i="42"/>
  <c r="AC125" i="42"/>
  <c r="AB125" i="42"/>
  <c r="AA125" i="42"/>
  <c r="Z125" i="42"/>
  <c r="S125" i="42"/>
  <c r="R125" i="42"/>
  <c r="Q125" i="42"/>
  <c r="P125" i="42"/>
  <c r="O125" i="42"/>
  <c r="N125" i="42"/>
  <c r="M125" i="42"/>
  <c r="L125" i="42"/>
  <c r="L127" i="42" s="1"/>
  <c r="K125" i="42"/>
  <c r="K127" i="42" s="1"/>
  <c r="J125" i="42"/>
  <c r="J127" i="42" s="1"/>
  <c r="G125" i="42"/>
  <c r="AL124" i="42"/>
  <c r="AK124" i="42"/>
  <c r="AJ124" i="42"/>
  <c r="V124" i="42"/>
  <c r="U124" i="42"/>
  <c r="T124" i="42"/>
  <c r="G124" i="42"/>
  <c r="E124" i="42"/>
  <c r="AW124" i="42" s="1"/>
  <c r="AW123" i="42"/>
  <c r="AQ123" i="42"/>
  <c r="AP123" i="42"/>
  <c r="AO123" i="42"/>
  <c r="AN123" i="42"/>
  <c r="AM123" i="42"/>
  <c r="AL123" i="42"/>
  <c r="AK123" i="42"/>
  <c r="AJ123" i="42"/>
  <c r="AI123" i="42"/>
  <c r="AH123" i="42"/>
  <c r="AG123" i="42"/>
  <c r="AF123" i="42"/>
  <c r="AE123" i="42"/>
  <c r="AD123" i="42"/>
  <c r="AC123" i="42"/>
  <c r="AB123" i="42"/>
  <c r="AA123" i="42"/>
  <c r="Z123" i="42"/>
  <c r="Y123" i="42"/>
  <c r="X123" i="42"/>
  <c r="W123" i="42"/>
  <c r="V123" i="42"/>
  <c r="U123" i="42"/>
  <c r="T123" i="42"/>
  <c r="S123" i="42"/>
  <c r="R123" i="42"/>
  <c r="Q123" i="42"/>
  <c r="P123" i="42"/>
  <c r="O123" i="42"/>
  <c r="O127" i="42" s="1"/>
  <c r="N123" i="42"/>
  <c r="M123" i="42"/>
  <c r="L123" i="42"/>
  <c r="K123" i="42"/>
  <c r="J123" i="42"/>
  <c r="I123" i="42"/>
  <c r="H123" i="42"/>
  <c r="D123" i="42"/>
  <c r="C123" i="42"/>
  <c r="AW122" i="42"/>
  <c r="AR122" i="42"/>
  <c r="AS122" i="42" s="1"/>
  <c r="D122" i="42"/>
  <c r="C122" i="42"/>
  <c r="AW121" i="42"/>
  <c r="AQ121" i="42"/>
  <c r="AP121" i="42"/>
  <c r="AO121" i="42"/>
  <c r="AN121" i="42"/>
  <c r="AM121" i="42"/>
  <c r="AL121" i="42"/>
  <c r="AK121" i="42"/>
  <c r="AJ121" i="42"/>
  <c r="AI121" i="42"/>
  <c r="AH121" i="42"/>
  <c r="AG121" i="42"/>
  <c r="AF121" i="42"/>
  <c r="AE121" i="42"/>
  <c r="AD121" i="42"/>
  <c r="AC121" i="42"/>
  <c r="AB121" i="42"/>
  <c r="AA121" i="42"/>
  <c r="Z121" i="42"/>
  <c r="Y121" i="42"/>
  <c r="X121" i="42"/>
  <c r="W121" i="42"/>
  <c r="V121" i="42"/>
  <c r="U121" i="42"/>
  <c r="T121" i="42"/>
  <c r="S121" i="42"/>
  <c r="R121" i="42"/>
  <c r="Q121" i="42"/>
  <c r="P121" i="42"/>
  <c r="O121" i="42"/>
  <c r="N121" i="42"/>
  <c r="M121" i="42"/>
  <c r="L121" i="42"/>
  <c r="K121" i="42"/>
  <c r="J121" i="42"/>
  <c r="I121" i="42"/>
  <c r="H121" i="42"/>
  <c r="B121" i="42"/>
  <c r="G120" i="42"/>
  <c r="G119" i="42"/>
  <c r="AQ118" i="42"/>
  <c r="AH118" i="42"/>
  <c r="AG118" i="42"/>
  <c r="AF118" i="42"/>
  <c r="AE118" i="42"/>
  <c r="AD118" i="42"/>
  <c r="AC118" i="42"/>
  <c r="AB118" i="42"/>
  <c r="AA118" i="42"/>
  <c r="R118" i="42"/>
  <c r="Q118" i="42"/>
  <c r="P118" i="42"/>
  <c r="O118" i="42"/>
  <c r="N118" i="42"/>
  <c r="M118" i="42"/>
  <c r="L118" i="42"/>
  <c r="K118" i="42"/>
  <c r="G118" i="42"/>
  <c r="U117" i="42"/>
  <c r="G117" i="42"/>
  <c r="E117" i="42"/>
  <c r="AW116" i="42"/>
  <c r="AQ116" i="42"/>
  <c r="AP116" i="42"/>
  <c r="AO116" i="42"/>
  <c r="AN116" i="42"/>
  <c r="AM116" i="42"/>
  <c r="AL116" i="42"/>
  <c r="AK116" i="42"/>
  <c r="AJ116" i="42"/>
  <c r="AI116" i="42"/>
  <c r="AH116" i="42"/>
  <c r="AG116" i="42"/>
  <c r="AF116" i="42"/>
  <c r="AE116" i="42"/>
  <c r="AD116" i="42"/>
  <c r="AC116" i="42"/>
  <c r="AB116" i="42"/>
  <c r="AA116" i="42"/>
  <c r="Z116" i="42"/>
  <c r="Y116" i="42"/>
  <c r="X116" i="42"/>
  <c r="W116" i="42"/>
  <c r="V116" i="42"/>
  <c r="U116" i="42"/>
  <c r="T116" i="42"/>
  <c r="S116" i="42"/>
  <c r="R116" i="42"/>
  <c r="Q116" i="42"/>
  <c r="P116" i="42"/>
  <c r="O116" i="42"/>
  <c r="N116" i="42"/>
  <c r="M116" i="42"/>
  <c r="L116" i="42"/>
  <c r="K116" i="42"/>
  <c r="J116" i="42"/>
  <c r="I116" i="42"/>
  <c r="H116" i="42"/>
  <c r="D116" i="42"/>
  <c r="C116" i="42"/>
  <c r="AW115" i="42"/>
  <c r="AR115" i="42"/>
  <c r="AS115" i="42" s="1"/>
  <c r="D115" i="42"/>
  <c r="V117" i="42" s="1"/>
  <c r="C115" i="42"/>
  <c r="AW114" i="42"/>
  <c r="AQ114" i="42"/>
  <c r="AP114" i="42"/>
  <c r="AO114" i="42"/>
  <c r="AN114" i="42"/>
  <c r="AM114" i="42"/>
  <c r="AL114" i="42"/>
  <c r="AK114" i="42"/>
  <c r="AJ114" i="42"/>
  <c r="AI114" i="42"/>
  <c r="AH114" i="42"/>
  <c r="AG114" i="42"/>
  <c r="AF114" i="42"/>
  <c r="AE114" i="42"/>
  <c r="AD114" i="42"/>
  <c r="AC114" i="42"/>
  <c r="AB114" i="42"/>
  <c r="AA114" i="42"/>
  <c r="Z114" i="42"/>
  <c r="Y114" i="42"/>
  <c r="X114" i="42"/>
  <c r="W114" i="42"/>
  <c r="V114" i="42"/>
  <c r="U114" i="42"/>
  <c r="T114" i="42"/>
  <c r="S114" i="42"/>
  <c r="R114" i="42"/>
  <c r="Q114" i="42"/>
  <c r="P114" i="42"/>
  <c r="O114" i="42"/>
  <c r="N114" i="42"/>
  <c r="M114" i="42"/>
  <c r="L114" i="42"/>
  <c r="K114" i="42"/>
  <c r="J114" i="42"/>
  <c r="I114" i="42"/>
  <c r="H114" i="42"/>
  <c r="B114" i="42"/>
  <c r="G113" i="42"/>
  <c r="G112" i="42"/>
  <c r="AH111" i="42"/>
  <c r="AG111" i="42"/>
  <c r="AF111" i="42"/>
  <c r="AE111" i="42"/>
  <c r="AD111" i="42"/>
  <c r="AC111" i="42"/>
  <c r="AB111" i="42"/>
  <c r="S111" i="42"/>
  <c r="R111" i="42"/>
  <c r="Q111" i="42"/>
  <c r="P111" i="42"/>
  <c r="O111" i="42"/>
  <c r="N111" i="42"/>
  <c r="M111" i="42"/>
  <c r="L111" i="42"/>
  <c r="G111" i="42"/>
  <c r="AO110" i="42"/>
  <c r="Y110" i="42"/>
  <c r="G110" i="42"/>
  <c r="E110" i="42"/>
  <c r="AW110" i="42" s="1"/>
  <c r="AW109" i="42"/>
  <c r="AQ109" i="42"/>
  <c r="AP109" i="42"/>
  <c r="AO109" i="42"/>
  <c r="AN109" i="42"/>
  <c r="AM109" i="42"/>
  <c r="AL109" i="42"/>
  <c r="AK109" i="42"/>
  <c r="AJ109" i="42"/>
  <c r="AI109" i="42"/>
  <c r="AH109" i="42"/>
  <c r="AG109" i="42"/>
  <c r="AF109" i="42"/>
  <c r="AE109" i="42"/>
  <c r="AD109" i="42"/>
  <c r="AC109" i="42"/>
  <c r="AC113" i="42" s="1"/>
  <c r="AB109" i="42"/>
  <c r="AB113" i="42" s="1"/>
  <c r="AA109" i="42"/>
  <c r="Z109" i="42"/>
  <c r="Y109" i="42"/>
  <c r="X109" i="42"/>
  <c r="W109" i="42"/>
  <c r="V109" i="42"/>
  <c r="U109" i="42"/>
  <c r="T109" i="42"/>
  <c r="S109" i="42"/>
  <c r="R109" i="42"/>
  <c r="Q109" i="42"/>
  <c r="P109" i="42"/>
  <c r="O109" i="42"/>
  <c r="N109" i="42"/>
  <c r="M109" i="42"/>
  <c r="L109" i="42"/>
  <c r="K109" i="42"/>
  <c r="J109" i="42"/>
  <c r="I109" i="42"/>
  <c r="H109" i="42"/>
  <c r="D109" i="42"/>
  <c r="C109" i="42"/>
  <c r="AW108" i="42"/>
  <c r="AR108" i="42"/>
  <c r="AS108" i="42" s="1"/>
  <c r="D108" i="42"/>
  <c r="AW107" i="42"/>
  <c r="AQ107" i="42"/>
  <c r="AP107" i="42"/>
  <c r="AO107" i="42"/>
  <c r="AN107" i="42"/>
  <c r="AM107" i="42"/>
  <c r="AL107" i="42"/>
  <c r="AK107" i="42"/>
  <c r="AJ107" i="42"/>
  <c r="AI107" i="42"/>
  <c r="AH107" i="42"/>
  <c r="AG107" i="42"/>
  <c r="AF107" i="42"/>
  <c r="AE107" i="42"/>
  <c r="AD107" i="42"/>
  <c r="AC107" i="42"/>
  <c r="AB107" i="42"/>
  <c r="AA107" i="42"/>
  <c r="Z107" i="42"/>
  <c r="Y107" i="42"/>
  <c r="X107" i="42"/>
  <c r="W107" i="42"/>
  <c r="V107" i="42"/>
  <c r="U107" i="42"/>
  <c r="T107" i="42"/>
  <c r="S107" i="42"/>
  <c r="R107" i="42"/>
  <c r="Q107" i="42"/>
  <c r="P107" i="42"/>
  <c r="O107" i="42"/>
  <c r="N107" i="42"/>
  <c r="M107" i="42"/>
  <c r="L107" i="42"/>
  <c r="K107" i="42"/>
  <c r="J107" i="42"/>
  <c r="I107" i="42"/>
  <c r="H107" i="42"/>
  <c r="B107" i="42"/>
  <c r="G106" i="42"/>
  <c r="G105" i="42"/>
  <c r="AW104" i="42"/>
  <c r="AK104" i="42"/>
  <c r="AE104" i="42"/>
  <c r="AC104" i="42"/>
  <c r="AC106" i="42" s="1"/>
  <c r="U104" i="42"/>
  <c r="T104" i="42"/>
  <c r="N104" i="42"/>
  <c r="G104" i="42"/>
  <c r="AQ103" i="42"/>
  <c r="AP103" i="42"/>
  <c r="AO103" i="42"/>
  <c r="AO105" i="42" s="1"/>
  <c r="AN103" i="42"/>
  <c r="AN105" i="42" s="1"/>
  <c r="AD103" i="42"/>
  <c r="AC103" i="42"/>
  <c r="AB103" i="42"/>
  <c r="AA103" i="42"/>
  <c r="Z103" i="42"/>
  <c r="Y103" i="42"/>
  <c r="Y105" i="42" s="1"/>
  <c r="X103" i="42"/>
  <c r="X105" i="42" s="1"/>
  <c r="W103" i="42"/>
  <c r="W105" i="42" s="1"/>
  <c r="O103" i="42"/>
  <c r="N103" i="42"/>
  <c r="M103" i="42"/>
  <c r="L103" i="42"/>
  <c r="K103" i="42"/>
  <c r="J103" i="42"/>
  <c r="G103" i="42"/>
  <c r="E103" i="42"/>
  <c r="AW103" i="42" s="1"/>
  <c r="AW102" i="42"/>
  <c r="AQ102" i="42"/>
  <c r="AP102" i="42"/>
  <c r="AO102" i="42"/>
  <c r="AN102" i="42"/>
  <c r="AM102" i="42"/>
  <c r="AL102" i="42"/>
  <c r="AK102" i="42"/>
  <c r="AJ102" i="42"/>
  <c r="AI102" i="42"/>
  <c r="AH102" i="42"/>
  <c r="AG102" i="42"/>
  <c r="AF102" i="42"/>
  <c r="AE102" i="42"/>
  <c r="AD102" i="42"/>
  <c r="AC102" i="42"/>
  <c r="AB102" i="42"/>
  <c r="AA102" i="42"/>
  <c r="Z102" i="42"/>
  <c r="Y102" i="42"/>
  <c r="X102" i="42"/>
  <c r="W102" i="42"/>
  <c r="V102" i="42"/>
  <c r="U102" i="42"/>
  <c r="T102" i="42"/>
  <c r="S102" i="42"/>
  <c r="R102" i="42"/>
  <c r="Q102" i="42"/>
  <c r="P102" i="42"/>
  <c r="O102" i="42"/>
  <c r="N102" i="42"/>
  <c r="M102" i="42"/>
  <c r="L102" i="42"/>
  <c r="K102" i="42"/>
  <c r="J102" i="42"/>
  <c r="I102" i="42"/>
  <c r="H102" i="42"/>
  <c r="D102" i="42"/>
  <c r="AW101" i="42"/>
  <c r="AS101" i="42"/>
  <c r="AR101" i="42"/>
  <c r="D101" i="42"/>
  <c r="C101" i="42"/>
  <c r="AW100" i="42"/>
  <c r="AQ100" i="42"/>
  <c r="AP100" i="42"/>
  <c r="AO100" i="42"/>
  <c r="AN100" i="42"/>
  <c r="AM100" i="42"/>
  <c r="AL100" i="42"/>
  <c r="AK100" i="42"/>
  <c r="AJ100" i="42"/>
  <c r="AI100" i="42"/>
  <c r="AH100" i="42"/>
  <c r="AG100" i="42"/>
  <c r="AF100" i="42"/>
  <c r="AE100" i="42"/>
  <c r="AD100" i="42"/>
  <c r="AC100" i="42"/>
  <c r="AB100" i="42"/>
  <c r="AA100" i="42"/>
  <c r="Z100" i="42"/>
  <c r="Y100" i="42"/>
  <c r="X100" i="42"/>
  <c r="W100" i="42"/>
  <c r="V100" i="42"/>
  <c r="U100" i="42"/>
  <c r="T100" i="42"/>
  <c r="S100" i="42"/>
  <c r="R100" i="42"/>
  <c r="Q100" i="42"/>
  <c r="P100" i="42"/>
  <c r="O100" i="42"/>
  <c r="N100" i="42"/>
  <c r="M100" i="42"/>
  <c r="L100" i="42"/>
  <c r="K100" i="42"/>
  <c r="J100" i="42"/>
  <c r="I100" i="42"/>
  <c r="H100" i="42"/>
  <c r="B100" i="42"/>
  <c r="G99" i="42"/>
  <c r="AP98" i="42"/>
  <c r="AB98" i="42"/>
  <c r="AA98" i="42"/>
  <c r="Z98" i="42"/>
  <c r="T98" i="42"/>
  <c r="G98" i="42"/>
  <c r="AI97" i="42"/>
  <c r="T97" i="42"/>
  <c r="G97" i="42"/>
  <c r="AW96" i="42"/>
  <c r="AQ96" i="42"/>
  <c r="AQ98" i="42" s="1"/>
  <c r="AP96" i="42"/>
  <c r="AO96" i="42"/>
  <c r="AO98" i="42" s="1"/>
  <c r="AN96" i="42"/>
  <c r="AN98" i="42" s="1"/>
  <c r="AJ96" i="42"/>
  <c r="AJ98" i="42" s="1"/>
  <c r="AH96" i="42"/>
  <c r="AG96" i="42"/>
  <c r="AF96" i="42"/>
  <c r="AE96" i="42"/>
  <c r="AE98" i="42" s="1"/>
  <c r="AD96" i="42"/>
  <c r="AC96" i="42"/>
  <c r="AC98" i="42" s="1"/>
  <c r="AB96" i="42"/>
  <c r="AA96" i="42"/>
  <c r="Z96" i="42"/>
  <c r="Y96" i="42"/>
  <c r="Y98" i="42" s="1"/>
  <c r="X96" i="42"/>
  <c r="X98" i="42" s="1"/>
  <c r="T96" i="42"/>
  <c r="R96" i="42"/>
  <c r="Q96" i="42"/>
  <c r="P96" i="42"/>
  <c r="O96" i="42"/>
  <c r="O98" i="42" s="1"/>
  <c r="N96" i="42"/>
  <c r="M96" i="42"/>
  <c r="M98" i="42" s="1"/>
  <c r="L96" i="42"/>
  <c r="L98" i="42" s="1"/>
  <c r="K96" i="42"/>
  <c r="K98" i="42" s="1"/>
  <c r="J96" i="42"/>
  <c r="J98" i="42" s="1"/>
  <c r="I96" i="42"/>
  <c r="H96" i="42"/>
  <c r="H98" i="42" s="1"/>
  <c r="G96" i="42"/>
  <c r="E96" i="42"/>
  <c r="E98" i="42" s="1"/>
  <c r="AW98" i="42" s="1"/>
  <c r="AW95" i="42"/>
  <c r="AQ95" i="42"/>
  <c r="AP95" i="42"/>
  <c r="AO95" i="42"/>
  <c r="AN95" i="42"/>
  <c r="AM95" i="42"/>
  <c r="AL95" i="42"/>
  <c r="AK95" i="42"/>
  <c r="AJ95" i="42"/>
  <c r="AI95" i="42"/>
  <c r="AH95" i="42"/>
  <c r="AG95" i="42"/>
  <c r="AF95" i="42"/>
  <c r="AE95" i="42"/>
  <c r="AD95" i="42"/>
  <c r="AC95" i="42"/>
  <c r="AB95" i="42"/>
  <c r="AA95" i="42"/>
  <c r="Z95" i="42"/>
  <c r="Y95" i="42"/>
  <c r="X95" i="42"/>
  <c r="W95" i="42"/>
  <c r="V95" i="42"/>
  <c r="U95" i="42"/>
  <c r="T95" i="42"/>
  <c r="S95" i="42"/>
  <c r="R95" i="42"/>
  <c r="Q95" i="42"/>
  <c r="P95" i="42"/>
  <c r="O95" i="42"/>
  <c r="N95" i="42"/>
  <c r="M95" i="42"/>
  <c r="L95" i="42"/>
  <c r="K95" i="42"/>
  <c r="J95" i="42"/>
  <c r="I95" i="42"/>
  <c r="H95" i="42"/>
  <c r="D95" i="42"/>
  <c r="C95" i="42"/>
  <c r="AW94" i="42"/>
  <c r="AR94" i="42"/>
  <c r="AS94" i="42" s="1"/>
  <c r="D94" i="42"/>
  <c r="AH98" i="42" s="1"/>
  <c r="C94" i="42"/>
  <c r="AW93" i="42"/>
  <c r="AQ93" i="42"/>
  <c r="AP93" i="42"/>
  <c r="AO93" i="42"/>
  <c r="AN93" i="42"/>
  <c r="AM93" i="42"/>
  <c r="AL93" i="42"/>
  <c r="AK93" i="42"/>
  <c r="AJ93" i="42"/>
  <c r="AI93" i="42"/>
  <c r="AH93" i="42"/>
  <c r="AG93" i="42"/>
  <c r="AF93" i="42"/>
  <c r="AE93" i="42"/>
  <c r="AD93" i="42"/>
  <c r="AC93" i="42"/>
  <c r="AB93" i="42"/>
  <c r="AA93" i="42"/>
  <c r="Z93" i="42"/>
  <c r="Y93" i="42"/>
  <c r="X93" i="42"/>
  <c r="W93" i="42"/>
  <c r="V93" i="42"/>
  <c r="U93" i="42"/>
  <c r="T93" i="42"/>
  <c r="S93" i="42"/>
  <c r="R93" i="42"/>
  <c r="Q93" i="42"/>
  <c r="P93" i="42"/>
  <c r="O93" i="42"/>
  <c r="N93" i="42"/>
  <c r="M93" i="42"/>
  <c r="L93" i="42"/>
  <c r="K93" i="42"/>
  <c r="J93" i="42"/>
  <c r="I93" i="42"/>
  <c r="H93" i="42"/>
  <c r="B93" i="42"/>
  <c r="G92" i="42"/>
  <c r="G91" i="42"/>
  <c r="AQ90" i="42"/>
  <c r="AO90" i="42"/>
  <c r="AN90" i="42"/>
  <c r="AM90" i="42"/>
  <c r="AL90" i="42"/>
  <c r="AI90" i="42"/>
  <c r="AH90" i="42"/>
  <c r="AG90" i="42"/>
  <c r="AF90" i="42"/>
  <c r="AE90" i="42"/>
  <c r="AA90" i="42"/>
  <c r="Y90" i="42"/>
  <c r="X90" i="42"/>
  <c r="W90" i="42"/>
  <c r="V90" i="42"/>
  <c r="U90" i="42"/>
  <c r="T90" i="42"/>
  <c r="S90" i="42"/>
  <c r="R90" i="42"/>
  <c r="O90" i="42"/>
  <c r="K90" i="42"/>
  <c r="I90" i="42"/>
  <c r="H90" i="42"/>
  <c r="G90" i="42"/>
  <c r="AW89" i="42"/>
  <c r="AQ89" i="42"/>
  <c r="AQ91" i="42" s="1"/>
  <c r="AP89" i="42"/>
  <c r="AP91" i="42" s="1"/>
  <c r="AO89" i="42"/>
  <c r="AO91" i="42" s="1"/>
  <c r="AK89" i="42"/>
  <c r="AK91" i="42" s="1"/>
  <c r="AI89" i="42"/>
  <c r="AH89" i="42"/>
  <c r="AG89" i="42"/>
  <c r="AF89" i="42"/>
  <c r="AF91" i="42" s="1"/>
  <c r="AE89" i="42"/>
  <c r="AD89" i="42"/>
  <c r="AD91" i="42" s="1"/>
  <c r="AC89" i="42"/>
  <c r="AC91" i="42" s="1"/>
  <c r="AB89" i="42"/>
  <c r="AB91" i="42" s="1"/>
  <c r="AA89" i="42"/>
  <c r="AA91" i="42" s="1"/>
  <c r="Z89" i="42"/>
  <c r="Z91" i="42" s="1"/>
  <c r="Y89" i="42"/>
  <c r="Y91" i="42" s="1"/>
  <c r="U89" i="42"/>
  <c r="U91" i="42" s="1"/>
  <c r="S89" i="42"/>
  <c r="R89" i="42"/>
  <c r="Q89" i="42"/>
  <c r="P89" i="42"/>
  <c r="P91" i="42" s="1"/>
  <c r="O89" i="42"/>
  <c r="N89" i="42"/>
  <c r="N91" i="42" s="1"/>
  <c r="M89" i="42"/>
  <c r="M91" i="42" s="1"/>
  <c r="L89" i="42"/>
  <c r="L91" i="42" s="1"/>
  <c r="K89" i="42"/>
  <c r="K91" i="42" s="1"/>
  <c r="J89" i="42"/>
  <c r="J91" i="42" s="1"/>
  <c r="I89" i="42"/>
  <c r="I91" i="42" s="1"/>
  <c r="G89" i="42"/>
  <c r="E89" i="42"/>
  <c r="E91" i="42" s="1"/>
  <c r="AW88" i="42"/>
  <c r="AQ88" i="42"/>
  <c r="AP88" i="42"/>
  <c r="AO88" i="42"/>
  <c r="AN88" i="42"/>
  <c r="AM88" i="42"/>
  <c r="AL88" i="42"/>
  <c r="AK88" i="42"/>
  <c r="AJ88" i="42"/>
  <c r="AI88" i="42"/>
  <c r="AH88" i="42"/>
  <c r="AG88" i="42"/>
  <c r="AG92" i="42" s="1"/>
  <c r="AF88" i="42"/>
  <c r="AE88" i="42"/>
  <c r="AE92" i="42" s="1"/>
  <c r="AD88" i="42"/>
  <c r="AC88" i="42"/>
  <c r="AB88" i="42"/>
  <c r="AA88" i="42"/>
  <c r="Z88" i="42"/>
  <c r="Y88" i="42"/>
  <c r="X88" i="42"/>
  <c r="W88" i="42"/>
  <c r="V88" i="42"/>
  <c r="U88" i="42"/>
  <c r="U92" i="42" s="1"/>
  <c r="T88" i="42"/>
  <c r="T92" i="42" s="1"/>
  <c r="S88" i="42"/>
  <c r="R88" i="42"/>
  <c r="Q88" i="42"/>
  <c r="P88" i="42"/>
  <c r="O88" i="42"/>
  <c r="N88" i="42"/>
  <c r="M88" i="42"/>
  <c r="L88" i="42"/>
  <c r="K88" i="42"/>
  <c r="J88" i="42"/>
  <c r="I88" i="42"/>
  <c r="H88" i="42"/>
  <c r="D88" i="42"/>
  <c r="C88" i="42"/>
  <c r="AW87" i="42"/>
  <c r="AR87" i="42"/>
  <c r="AS87" i="42" s="1"/>
  <c r="D87" i="42"/>
  <c r="AI91" i="42" s="1"/>
  <c r="C87" i="42"/>
  <c r="AW86" i="42"/>
  <c r="AQ86" i="42"/>
  <c r="AP86" i="42"/>
  <c r="AO86" i="42"/>
  <c r="AN86" i="42"/>
  <c r="AM86" i="42"/>
  <c r="AL86" i="42"/>
  <c r="AK86" i="42"/>
  <c r="AJ86" i="42"/>
  <c r="AI86" i="42"/>
  <c r="AH86" i="42"/>
  <c r="AG86" i="42"/>
  <c r="AF86" i="42"/>
  <c r="AE86" i="42"/>
  <c r="AD86" i="42"/>
  <c r="AC86" i="42"/>
  <c r="AB86" i="42"/>
  <c r="AA86" i="42"/>
  <c r="Z86" i="42"/>
  <c r="Y86" i="42"/>
  <c r="X86" i="42"/>
  <c r="W86" i="42"/>
  <c r="V86" i="42"/>
  <c r="U86" i="42"/>
  <c r="T86" i="42"/>
  <c r="S86" i="42"/>
  <c r="R86" i="42"/>
  <c r="Q86" i="42"/>
  <c r="P86" i="42"/>
  <c r="O86" i="42"/>
  <c r="N86" i="42"/>
  <c r="M86" i="42"/>
  <c r="L86" i="42"/>
  <c r="K86" i="42"/>
  <c r="J86" i="42"/>
  <c r="I86" i="42"/>
  <c r="H86" i="42"/>
  <c r="B86" i="42"/>
  <c r="G85" i="42"/>
  <c r="G84" i="42"/>
  <c r="G83" i="42"/>
  <c r="G82" i="42"/>
  <c r="E82" i="42"/>
  <c r="AW83" i="42" s="1"/>
  <c r="AW81" i="42"/>
  <c r="AQ81" i="42"/>
  <c r="AP81" i="42"/>
  <c r="AO81" i="42"/>
  <c r="AN81" i="42"/>
  <c r="AM81" i="42"/>
  <c r="AL81" i="42"/>
  <c r="AK81" i="42"/>
  <c r="AJ81" i="42"/>
  <c r="AI81" i="42"/>
  <c r="AH81" i="42"/>
  <c r="AG81" i="42"/>
  <c r="AF81" i="42"/>
  <c r="AE81" i="42"/>
  <c r="AD81" i="42"/>
  <c r="AC81" i="42"/>
  <c r="AB81" i="42"/>
  <c r="AA81" i="42"/>
  <c r="Z81" i="42"/>
  <c r="Y81" i="42"/>
  <c r="X81" i="42"/>
  <c r="W81" i="42"/>
  <c r="V81" i="42"/>
  <c r="U81" i="42"/>
  <c r="T81" i="42"/>
  <c r="S81" i="42"/>
  <c r="R81" i="42"/>
  <c r="Q81" i="42"/>
  <c r="P81" i="42"/>
  <c r="O81" i="42"/>
  <c r="N81" i="42"/>
  <c r="M81" i="42"/>
  <c r="L81" i="42"/>
  <c r="K81" i="42"/>
  <c r="J81" i="42"/>
  <c r="I81" i="42"/>
  <c r="H81" i="42"/>
  <c r="C81" i="42"/>
  <c r="AW80" i="42"/>
  <c r="AR80" i="42"/>
  <c r="AS80" i="42" s="1"/>
  <c r="C80" i="42"/>
  <c r="AW79" i="42"/>
  <c r="AQ79" i="42"/>
  <c r="AP79" i="42"/>
  <c r="AO79" i="42"/>
  <c r="AN79" i="42"/>
  <c r="AM79" i="42"/>
  <c r="AL79" i="42"/>
  <c r="AK79" i="42"/>
  <c r="AJ79" i="42"/>
  <c r="AI79" i="42"/>
  <c r="AH79" i="42"/>
  <c r="AG79" i="42"/>
  <c r="AF79" i="42"/>
  <c r="AE79" i="42"/>
  <c r="AD79" i="42"/>
  <c r="AC79" i="42"/>
  <c r="AB79" i="42"/>
  <c r="AA79" i="42"/>
  <c r="Z79" i="42"/>
  <c r="Y79" i="42"/>
  <c r="X79" i="42"/>
  <c r="W79" i="42"/>
  <c r="V79" i="42"/>
  <c r="U79" i="42"/>
  <c r="T79" i="42"/>
  <c r="S79" i="42"/>
  <c r="R79" i="42"/>
  <c r="Q79" i="42"/>
  <c r="P79" i="42"/>
  <c r="O79" i="42"/>
  <c r="N79" i="42"/>
  <c r="M79" i="42"/>
  <c r="L79" i="42"/>
  <c r="K79" i="42"/>
  <c r="J79" i="42"/>
  <c r="I79" i="42"/>
  <c r="H79" i="42"/>
  <c r="B79" i="42"/>
  <c r="G78" i="42"/>
  <c r="G77" i="42"/>
  <c r="E77" i="42"/>
  <c r="AW78" i="42" s="1"/>
  <c r="AW76" i="42"/>
  <c r="O76" i="42"/>
  <c r="O78" i="42" s="1"/>
  <c r="G76" i="42"/>
  <c r="AQ75" i="42"/>
  <c r="AQ77" i="42" s="1"/>
  <c r="AP75" i="42"/>
  <c r="AP77" i="42" s="1"/>
  <c r="AO75" i="42"/>
  <c r="AO77" i="42" s="1"/>
  <c r="AI75" i="42"/>
  <c r="AH75" i="42"/>
  <c r="AG75" i="42"/>
  <c r="AF75" i="42"/>
  <c r="AE75" i="42"/>
  <c r="AD75" i="42"/>
  <c r="AD77" i="42" s="1"/>
  <c r="AC75" i="42"/>
  <c r="AC77" i="42" s="1"/>
  <c r="AB75" i="42"/>
  <c r="AB77" i="42" s="1"/>
  <c r="AA75" i="42"/>
  <c r="AA77" i="42" s="1"/>
  <c r="Z75" i="42"/>
  <c r="Z77" i="42" s="1"/>
  <c r="Y75" i="42"/>
  <c r="Y77" i="42" s="1"/>
  <c r="M75" i="42"/>
  <c r="M77" i="42" s="1"/>
  <c r="G75" i="42"/>
  <c r="E75" i="42"/>
  <c r="J75" i="42" s="1"/>
  <c r="J77" i="42" s="1"/>
  <c r="AW74" i="42"/>
  <c r="AQ74" i="42"/>
  <c r="AP74" i="42"/>
  <c r="AO74" i="42"/>
  <c r="AO76" i="42" s="1"/>
  <c r="AN74" i="42"/>
  <c r="AM74" i="42"/>
  <c r="AL74" i="42"/>
  <c r="AK74" i="42"/>
  <c r="AJ74" i="42"/>
  <c r="AI74" i="42"/>
  <c r="AI76" i="42" s="1"/>
  <c r="AH74" i="42"/>
  <c r="AG74" i="42"/>
  <c r="AG76" i="42" s="1"/>
  <c r="AF74" i="42"/>
  <c r="AF76" i="42" s="1"/>
  <c r="AE74" i="42"/>
  <c r="AE76" i="42" s="1"/>
  <c r="AD74" i="42"/>
  <c r="AC74" i="42"/>
  <c r="AB74" i="42"/>
  <c r="AA74" i="42"/>
  <c r="Z74" i="42"/>
  <c r="Y74" i="42"/>
  <c r="Y76" i="42" s="1"/>
  <c r="X74" i="42"/>
  <c r="W74" i="42"/>
  <c r="V74" i="42"/>
  <c r="U74" i="42"/>
  <c r="T74" i="42"/>
  <c r="S74" i="42"/>
  <c r="R74" i="42"/>
  <c r="Q74" i="42"/>
  <c r="Q76" i="42" s="1"/>
  <c r="P74" i="42"/>
  <c r="O74" i="42"/>
  <c r="N74" i="42"/>
  <c r="M74" i="42"/>
  <c r="L74" i="42"/>
  <c r="K74" i="42"/>
  <c r="J74" i="42"/>
  <c r="I74" i="42"/>
  <c r="I76" i="42" s="1"/>
  <c r="H74" i="42"/>
  <c r="D74" i="42"/>
  <c r="AW73" i="42"/>
  <c r="AR73" i="42"/>
  <c r="AS73" i="42" s="1"/>
  <c r="D73" i="42"/>
  <c r="C73" i="42"/>
  <c r="AW72" i="42"/>
  <c r="AQ72" i="42"/>
  <c r="AP72" i="42"/>
  <c r="AO72" i="42"/>
  <c r="AN72" i="42"/>
  <c r="AM72" i="42"/>
  <c r="AL72" i="42"/>
  <c r="AK72" i="42"/>
  <c r="AJ72" i="42"/>
  <c r="AI72" i="42"/>
  <c r="AH72" i="42"/>
  <c r="AG72" i="42"/>
  <c r="AF72" i="42"/>
  <c r="AE72" i="42"/>
  <c r="AD72" i="42"/>
  <c r="AC72" i="42"/>
  <c r="AB72" i="42"/>
  <c r="AA72" i="42"/>
  <c r="Z72" i="42"/>
  <c r="Y72" i="42"/>
  <c r="X72" i="42"/>
  <c r="W72" i="42"/>
  <c r="V72" i="42"/>
  <c r="U72" i="42"/>
  <c r="T72" i="42"/>
  <c r="S72" i="42"/>
  <c r="R72" i="42"/>
  <c r="Q72" i="42"/>
  <c r="P72" i="42"/>
  <c r="O72" i="42"/>
  <c r="N72" i="42"/>
  <c r="M72" i="42"/>
  <c r="L72" i="42"/>
  <c r="K72" i="42"/>
  <c r="J72" i="42"/>
  <c r="I72" i="42"/>
  <c r="H72" i="42"/>
  <c r="B72" i="42"/>
  <c r="G71" i="42"/>
  <c r="AE70" i="42"/>
  <c r="G70" i="42"/>
  <c r="E70" i="42"/>
  <c r="G69" i="42"/>
  <c r="AQ68" i="42"/>
  <c r="AQ70" i="42" s="1"/>
  <c r="AP68" i="42"/>
  <c r="AP70" i="42" s="1"/>
  <c r="AJ68" i="42"/>
  <c r="AI68" i="42"/>
  <c r="AG68" i="42"/>
  <c r="AF68" i="42"/>
  <c r="AE68" i="42"/>
  <c r="AD68" i="42"/>
  <c r="AD70" i="42" s="1"/>
  <c r="AC68" i="42"/>
  <c r="AB68" i="42"/>
  <c r="AB70" i="42" s="1"/>
  <c r="AA68" i="42"/>
  <c r="AA70" i="42" s="1"/>
  <c r="Z68" i="42"/>
  <c r="Z70" i="42" s="1"/>
  <c r="T68" i="42"/>
  <c r="S68" i="42"/>
  <c r="Q68" i="42"/>
  <c r="P68" i="42"/>
  <c r="O68" i="42"/>
  <c r="O70" i="42" s="1"/>
  <c r="N68" i="42"/>
  <c r="N70" i="42" s="1"/>
  <c r="M68" i="42"/>
  <c r="L68" i="42"/>
  <c r="L70" i="42" s="1"/>
  <c r="K68" i="42"/>
  <c r="K70" i="42" s="1"/>
  <c r="J68" i="42"/>
  <c r="J70" i="42" s="1"/>
  <c r="G68" i="42"/>
  <c r="E68" i="42"/>
  <c r="AW69" i="42" s="1"/>
  <c r="AW67" i="42"/>
  <c r="AQ67" i="42"/>
  <c r="AP67" i="42"/>
  <c r="AO67" i="42"/>
  <c r="AN67" i="42"/>
  <c r="AM67" i="42"/>
  <c r="AL67" i="42"/>
  <c r="AK67" i="42"/>
  <c r="AJ67" i="42"/>
  <c r="AI67" i="42"/>
  <c r="AH67" i="42"/>
  <c r="AG67" i="42"/>
  <c r="AF67" i="42"/>
  <c r="AE67" i="42"/>
  <c r="AD67" i="42"/>
  <c r="AC67" i="42"/>
  <c r="AB67" i="42"/>
  <c r="AA67" i="42"/>
  <c r="Z67" i="42"/>
  <c r="Y67" i="42"/>
  <c r="X67" i="42"/>
  <c r="W67" i="42"/>
  <c r="V67" i="42"/>
  <c r="U67" i="42"/>
  <c r="T67" i="42"/>
  <c r="S67" i="42"/>
  <c r="R67" i="42"/>
  <c r="Q67" i="42"/>
  <c r="P67" i="42"/>
  <c r="O67" i="42"/>
  <c r="N67" i="42"/>
  <c r="M67" i="42"/>
  <c r="L67" i="42"/>
  <c r="K67" i="42"/>
  <c r="J67" i="42"/>
  <c r="I67" i="42"/>
  <c r="H67" i="42"/>
  <c r="D67" i="42"/>
  <c r="C67" i="42"/>
  <c r="AW66" i="42"/>
  <c r="AR66" i="42"/>
  <c r="AS66" i="42" s="1"/>
  <c r="D66" i="42"/>
  <c r="C66" i="42"/>
  <c r="AW65" i="42"/>
  <c r="AQ65" i="42"/>
  <c r="AP65" i="42"/>
  <c r="AO65" i="42"/>
  <c r="AN65" i="42"/>
  <c r="AM65" i="42"/>
  <c r="AL65" i="42"/>
  <c r="AK65" i="42"/>
  <c r="AJ65" i="42"/>
  <c r="AI65" i="42"/>
  <c r="AH65" i="42"/>
  <c r="AG65" i="42"/>
  <c r="AF65" i="42"/>
  <c r="AE65" i="42"/>
  <c r="AD65" i="42"/>
  <c r="AC65" i="42"/>
  <c r="AB65" i="42"/>
  <c r="AA65" i="42"/>
  <c r="Z65" i="42"/>
  <c r="Y65" i="42"/>
  <c r="X65" i="42"/>
  <c r="W65" i="42"/>
  <c r="V65" i="42"/>
  <c r="U65" i="42"/>
  <c r="T65" i="42"/>
  <c r="S65" i="42"/>
  <c r="R65" i="42"/>
  <c r="Q65" i="42"/>
  <c r="P65" i="42"/>
  <c r="O65" i="42"/>
  <c r="N65" i="42"/>
  <c r="M65" i="42"/>
  <c r="L65" i="42"/>
  <c r="K65" i="42"/>
  <c r="J65" i="42"/>
  <c r="I65" i="42"/>
  <c r="H65" i="42"/>
  <c r="B65" i="42"/>
  <c r="G64" i="42"/>
  <c r="G63" i="42"/>
  <c r="G62" i="42"/>
  <c r="AW61" i="42"/>
  <c r="AQ61" i="42"/>
  <c r="AQ63" i="42" s="1"/>
  <c r="AK61" i="42"/>
  <c r="AJ61" i="42"/>
  <c r="AI61" i="42"/>
  <c r="AH61" i="42"/>
  <c r="AG61" i="42"/>
  <c r="AF61" i="42"/>
  <c r="AF63" i="42" s="1"/>
  <c r="AE61" i="42"/>
  <c r="AE63" i="42" s="1"/>
  <c r="AD61" i="42"/>
  <c r="AC61" i="42"/>
  <c r="AC63" i="42" s="1"/>
  <c r="AB61" i="42"/>
  <c r="AB63" i="42" s="1"/>
  <c r="AA61" i="42"/>
  <c r="AA63" i="42" s="1"/>
  <c r="U61" i="42"/>
  <c r="T61" i="42"/>
  <c r="S61" i="42"/>
  <c r="R61" i="42"/>
  <c r="Q61" i="42"/>
  <c r="P61" i="42"/>
  <c r="P63" i="42" s="1"/>
  <c r="O61" i="42"/>
  <c r="O63" i="42" s="1"/>
  <c r="N61" i="42"/>
  <c r="M61" i="42"/>
  <c r="M63" i="42" s="1"/>
  <c r="L61" i="42"/>
  <c r="L63" i="42" s="1"/>
  <c r="K61" i="42"/>
  <c r="K63" i="42" s="1"/>
  <c r="G61" i="42"/>
  <c r="E61" i="42"/>
  <c r="AW62" i="42" s="1"/>
  <c r="AW60" i="42"/>
  <c r="AQ60" i="42"/>
  <c r="AP60" i="42"/>
  <c r="AO60" i="42"/>
  <c r="AN60" i="42"/>
  <c r="AM60" i="42"/>
  <c r="AL60" i="42"/>
  <c r="AK60" i="42"/>
  <c r="AJ60" i="42"/>
  <c r="AI60" i="42"/>
  <c r="AH60" i="42"/>
  <c r="AG60" i="42"/>
  <c r="AF60" i="42"/>
  <c r="AE60" i="42"/>
  <c r="AD60" i="42"/>
  <c r="AC60" i="42"/>
  <c r="AB60" i="42"/>
  <c r="AA60" i="42"/>
  <c r="Z60" i="42"/>
  <c r="Y60" i="42"/>
  <c r="X60" i="42"/>
  <c r="W60" i="42"/>
  <c r="V60" i="42"/>
  <c r="U60" i="42"/>
  <c r="T60" i="42"/>
  <c r="S60" i="42"/>
  <c r="R60" i="42"/>
  <c r="Q60" i="42"/>
  <c r="P60" i="42"/>
  <c r="O60" i="42"/>
  <c r="N60" i="42"/>
  <c r="M60" i="42"/>
  <c r="L60" i="42"/>
  <c r="K60" i="42"/>
  <c r="J60" i="42"/>
  <c r="I60" i="42"/>
  <c r="H60" i="42"/>
  <c r="D60" i="42"/>
  <c r="AW59" i="42"/>
  <c r="AR59" i="42"/>
  <c r="AS59" i="42" s="1"/>
  <c r="D59" i="42"/>
  <c r="AW58" i="42"/>
  <c r="AQ58" i="42"/>
  <c r="AP58" i="42"/>
  <c r="AO58" i="42"/>
  <c r="AN58" i="42"/>
  <c r="AM58" i="42"/>
  <c r="AL58" i="42"/>
  <c r="AK58" i="42"/>
  <c r="AJ58" i="42"/>
  <c r="AI58" i="42"/>
  <c r="AH58" i="42"/>
  <c r="AG58" i="42"/>
  <c r="AF58" i="42"/>
  <c r="AE58" i="42"/>
  <c r="AD58" i="42"/>
  <c r="AC58" i="42"/>
  <c r="AB58" i="42"/>
  <c r="AA58" i="42"/>
  <c r="Z58" i="42"/>
  <c r="Y58" i="42"/>
  <c r="X58" i="42"/>
  <c r="W58" i="42"/>
  <c r="V58" i="42"/>
  <c r="U58" i="42"/>
  <c r="T58" i="42"/>
  <c r="S58" i="42"/>
  <c r="R58" i="42"/>
  <c r="Q58" i="42"/>
  <c r="P58" i="42"/>
  <c r="O58" i="42"/>
  <c r="N58" i="42"/>
  <c r="M58" i="42"/>
  <c r="L58" i="42"/>
  <c r="K58" i="42"/>
  <c r="J58" i="42"/>
  <c r="I58" i="42"/>
  <c r="H58" i="42"/>
  <c r="B58" i="42"/>
  <c r="G57" i="42"/>
  <c r="G56" i="42"/>
  <c r="G55" i="42"/>
  <c r="AL54" i="42"/>
  <c r="AK54" i="42"/>
  <c r="AI54" i="42"/>
  <c r="AH54" i="42"/>
  <c r="AG54" i="42"/>
  <c r="AG56" i="42" s="1"/>
  <c r="AF54" i="42"/>
  <c r="AF56" i="42" s="1"/>
  <c r="AE54" i="42"/>
  <c r="AD54" i="42"/>
  <c r="AC54" i="42"/>
  <c r="AC56" i="42" s="1"/>
  <c r="AB54" i="42"/>
  <c r="AB56" i="42" s="1"/>
  <c r="V54" i="42"/>
  <c r="U54" i="42"/>
  <c r="S54" i="42"/>
  <c r="R54" i="42"/>
  <c r="Q54" i="42"/>
  <c r="Q56" i="42" s="1"/>
  <c r="P54" i="42"/>
  <c r="P56" i="42" s="1"/>
  <c r="O54" i="42"/>
  <c r="N54" i="42"/>
  <c r="M54" i="42"/>
  <c r="M56" i="42" s="1"/>
  <c r="L54" i="42"/>
  <c r="L56" i="42" s="1"/>
  <c r="G54" i="42"/>
  <c r="E54" i="42"/>
  <c r="AW54" i="42" s="1"/>
  <c r="AW53" i="42"/>
  <c r="AQ53" i="42"/>
  <c r="AP53" i="42"/>
  <c r="AO53" i="42"/>
  <c r="AN53" i="42"/>
  <c r="AM53" i="42"/>
  <c r="AL53" i="42"/>
  <c r="AK53" i="42"/>
  <c r="AJ53" i="42"/>
  <c r="AI53" i="42"/>
  <c r="AH53" i="42"/>
  <c r="AG53" i="42"/>
  <c r="AF53" i="42"/>
  <c r="AE53" i="42"/>
  <c r="AD53" i="42"/>
  <c r="AC53" i="42"/>
  <c r="AB53" i="42"/>
  <c r="AA53" i="42"/>
  <c r="Z53" i="42"/>
  <c r="Y53" i="42"/>
  <c r="X53" i="42"/>
  <c r="W53" i="42"/>
  <c r="V53" i="42"/>
  <c r="U53" i="42"/>
  <c r="T53" i="42"/>
  <c r="S53" i="42"/>
  <c r="R53" i="42"/>
  <c r="Q53" i="42"/>
  <c r="P53" i="42"/>
  <c r="O53" i="42"/>
  <c r="N53" i="42"/>
  <c r="M53" i="42"/>
  <c r="L53" i="42"/>
  <c r="K53" i="42"/>
  <c r="J53" i="42"/>
  <c r="I53" i="42"/>
  <c r="H53" i="42"/>
  <c r="D53" i="42"/>
  <c r="C53" i="42"/>
  <c r="AW52" i="42"/>
  <c r="AR52" i="42"/>
  <c r="AS52" i="42" s="1"/>
  <c r="D52" i="42"/>
  <c r="C52" i="42"/>
  <c r="AW51" i="42"/>
  <c r="AQ51" i="42"/>
  <c r="AP51" i="42"/>
  <c r="AO51" i="42"/>
  <c r="AN51" i="42"/>
  <c r="AM51" i="42"/>
  <c r="AL51" i="42"/>
  <c r="AK51" i="42"/>
  <c r="AJ51" i="42"/>
  <c r="AI51" i="42"/>
  <c r="AH51" i="42"/>
  <c r="AG51" i="42"/>
  <c r="AF51" i="42"/>
  <c r="AE51" i="42"/>
  <c r="AD51" i="42"/>
  <c r="AC51" i="42"/>
  <c r="AB51" i="42"/>
  <c r="AA51" i="42"/>
  <c r="Z51" i="42"/>
  <c r="Y51" i="42"/>
  <c r="X51" i="42"/>
  <c r="W51" i="42"/>
  <c r="V51" i="42"/>
  <c r="U51" i="42"/>
  <c r="T51" i="42"/>
  <c r="S51" i="42"/>
  <c r="R51" i="42"/>
  <c r="Q51" i="42"/>
  <c r="P51" i="42"/>
  <c r="O51" i="42"/>
  <c r="N51" i="42"/>
  <c r="M51" i="42"/>
  <c r="L51" i="42"/>
  <c r="K51" i="42"/>
  <c r="J51" i="42"/>
  <c r="I51" i="42"/>
  <c r="H51" i="42"/>
  <c r="B51" i="42"/>
  <c r="G50" i="42"/>
  <c r="G49" i="42"/>
  <c r="AQ48" i="42"/>
  <c r="AP48" i="42"/>
  <c r="AO48" i="42"/>
  <c r="AI48" i="42"/>
  <c r="AB48" i="42"/>
  <c r="AA48" i="42"/>
  <c r="Z48" i="42"/>
  <c r="Y48" i="42"/>
  <c r="X48" i="42"/>
  <c r="X50" i="42" s="1"/>
  <c r="W48" i="42"/>
  <c r="V48" i="42"/>
  <c r="V50" i="42" s="1"/>
  <c r="M48" i="42"/>
  <c r="I48" i="42"/>
  <c r="H48" i="42"/>
  <c r="G48" i="42"/>
  <c r="AJ47" i="42"/>
  <c r="AD47" i="42"/>
  <c r="AA47" i="42"/>
  <c r="Z47" i="42"/>
  <c r="X47" i="42"/>
  <c r="R47" i="42"/>
  <c r="R49" i="42" s="1"/>
  <c r="K47" i="42"/>
  <c r="H47" i="42"/>
  <c r="G47" i="42"/>
  <c r="E47" i="42"/>
  <c r="AW46" i="42"/>
  <c r="AQ46" i="42"/>
  <c r="AP46" i="42"/>
  <c r="AO46" i="42"/>
  <c r="AN46" i="42"/>
  <c r="AM46" i="42"/>
  <c r="AL46" i="42"/>
  <c r="AK46" i="42"/>
  <c r="AJ46" i="42"/>
  <c r="AI46" i="42"/>
  <c r="AI50" i="42" s="1"/>
  <c r="AH46" i="42"/>
  <c r="AG46" i="42"/>
  <c r="AF46" i="42"/>
  <c r="AE46" i="42"/>
  <c r="AD46" i="42"/>
  <c r="AC46" i="42"/>
  <c r="AB46" i="42"/>
  <c r="AA46" i="42"/>
  <c r="Z46" i="42"/>
  <c r="Y46" i="42"/>
  <c r="X46" i="42"/>
  <c r="W46" i="42"/>
  <c r="V46" i="42"/>
  <c r="U46" i="42"/>
  <c r="T46" i="42"/>
  <c r="S46" i="42"/>
  <c r="R46" i="42"/>
  <c r="Q46" i="42"/>
  <c r="P46" i="42"/>
  <c r="O46" i="42"/>
  <c r="N46" i="42"/>
  <c r="M46" i="42"/>
  <c r="L46" i="42"/>
  <c r="K46" i="42"/>
  <c r="J46" i="42"/>
  <c r="I46" i="42"/>
  <c r="H46" i="42"/>
  <c r="D46" i="42"/>
  <c r="C46" i="42"/>
  <c r="AW45" i="42"/>
  <c r="AR45" i="42"/>
  <c r="AS45" i="42" s="1"/>
  <c r="D45" i="42"/>
  <c r="C45" i="42"/>
  <c r="AW44" i="42"/>
  <c r="AQ44" i="42"/>
  <c r="AP44" i="42"/>
  <c r="AO44" i="42"/>
  <c r="AN44" i="42"/>
  <c r="AM44" i="42"/>
  <c r="AL44" i="42"/>
  <c r="AK44" i="42"/>
  <c r="AJ44" i="42"/>
  <c r="AI44" i="42"/>
  <c r="AH44" i="42"/>
  <c r="AG44" i="42"/>
  <c r="AF44" i="42"/>
  <c r="AE44" i="42"/>
  <c r="AD44" i="42"/>
  <c r="AC44" i="42"/>
  <c r="AB44" i="42"/>
  <c r="AA44" i="42"/>
  <c r="Z44" i="42"/>
  <c r="Y44" i="42"/>
  <c r="X44" i="42"/>
  <c r="W44" i="42"/>
  <c r="V44" i="42"/>
  <c r="U44" i="42"/>
  <c r="T44" i="42"/>
  <c r="S44" i="42"/>
  <c r="R44" i="42"/>
  <c r="Q44" i="42"/>
  <c r="P44" i="42"/>
  <c r="O44" i="42"/>
  <c r="N44" i="42"/>
  <c r="M44" i="42"/>
  <c r="L44" i="42"/>
  <c r="K44" i="42"/>
  <c r="J44" i="42"/>
  <c r="I44" i="42"/>
  <c r="H44" i="42"/>
  <c r="B44" i="42"/>
  <c r="G43" i="42"/>
  <c r="G42" i="42"/>
  <c r="AM41" i="42"/>
  <c r="AL41" i="42"/>
  <c r="AK41" i="42"/>
  <c r="AD41" i="42"/>
  <c r="V41" i="42"/>
  <c r="U41" i="42"/>
  <c r="T41" i="42"/>
  <c r="M41" i="42"/>
  <c r="G41" i="42"/>
  <c r="AW40" i="42"/>
  <c r="AL40" i="42"/>
  <c r="AL42" i="42" s="1"/>
  <c r="AK40" i="42"/>
  <c r="AK42" i="42" s="1"/>
  <c r="AJ40" i="42"/>
  <c r="AJ42" i="42" s="1"/>
  <c r="AI40" i="42"/>
  <c r="AI42" i="42" s="1"/>
  <c r="AH40" i="42"/>
  <c r="AH42" i="42" s="1"/>
  <c r="AG40" i="42"/>
  <c r="AG42" i="42" s="1"/>
  <c r="AF40" i="42"/>
  <c r="AF42" i="42" s="1"/>
  <c r="AE40" i="42"/>
  <c r="AE42" i="42" s="1"/>
  <c r="AD40" i="42"/>
  <c r="AD42" i="42" s="1"/>
  <c r="AB40" i="42"/>
  <c r="AB42" i="42" s="1"/>
  <c r="AA40" i="42"/>
  <c r="U40" i="42"/>
  <c r="U42" i="42" s="1"/>
  <c r="T40" i="42"/>
  <c r="T42" i="42" s="1"/>
  <c r="S40" i="42"/>
  <c r="S42" i="42" s="1"/>
  <c r="R40" i="42"/>
  <c r="R42" i="42" s="1"/>
  <c r="Q40" i="42"/>
  <c r="Q42" i="42" s="1"/>
  <c r="P40" i="42"/>
  <c r="P42" i="42" s="1"/>
  <c r="O40" i="42"/>
  <c r="O42" i="42" s="1"/>
  <c r="N40" i="42"/>
  <c r="N42" i="42" s="1"/>
  <c r="L40" i="42"/>
  <c r="L42" i="42" s="1"/>
  <c r="K40" i="42"/>
  <c r="K42" i="42" s="1"/>
  <c r="J40" i="42"/>
  <c r="G40" i="42"/>
  <c r="E40" i="42"/>
  <c r="E42" i="42" s="1"/>
  <c r="AW39" i="42"/>
  <c r="AQ39" i="42"/>
  <c r="AP39" i="42"/>
  <c r="AO39" i="42"/>
  <c r="AN39" i="42"/>
  <c r="AM39" i="42"/>
  <c r="AM43" i="42" s="1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V43" i="42" s="1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D39" i="42"/>
  <c r="C39" i="42"/>
  <c r="AW38" i="42"/>
  <c r="AR38" i="42"/>
  <c r="AS38" i="42" s="1"/>
  <c r="D38" i="42"/>
  <c r="C38" i="42"/>
  <c r="AW37" i="42"/>
  <c r="AQ37" i="42"/>
  <c r="AP37" i="42"/>
  <c r="AO37" i="42"/>
  <c r="AN37" i="42"/>
  <c r="AM37" i="42"/>
  <c r="AL37" i="42"/>
  <c r="AK37" i="42"/>
  <c r="AJ37" i="42"/>
  <c r="AI37" i="42"/>
  <c r="AH37" i="42"/>
  <c r="AG37" i="42"/>
  <c r="AF37" i="42"/>
  <c r="AE37" i="42"/>
  <c r="AD37" i="42"/>
  <c r="AC37" i="42"/>
  <c r="AB37" i="42"/>
  <c r="AA37" i="42"/>
  <c r="Z37" i="42"/>
  <c r="Y37" i="42"/>
  <c r="X37" i="42"/>
  <c r="W37" i="42"/>
  <c r="V37" i="42"/>
  <c r="U37" i="42"/>
  <c r="T37" i="42"/>
  <c r="S37" i="42"/>
  <c r="R37" i="42"/>
  <c r="Q37" i="42"/>
  <c r="P37" i="42"/>
  <c r="O37" i="42"/>
  <c r="N37" i="42"/>
  <c r="M37" i="42"/>
  <c r="L37" i="42"/>
  <c r="K37" i="42"/>
  <c r="J37" i="42"/>
  <c r="I37" i="42"/>
  <c r="H37" i="42"/>
  <c r="B37" i="42"/>
  <c r="G36" i="42"/>
  <c r="G35" i="42"/>
  <c r="AQ34" i="42"/>
  <c r="AK34" i="42"/>
  <c r="AI34" i="42"/>
  <c r="AH34" i="42"/>
  <c r="AG34" i="42"/>
  <c r="AA34" i="42"/>
  <c r="U34" i="42"/>
  <c r="S34" i="42"/>
  <c r="R34" i="42"/>
  <c r="Q34" i="42"/>
  <c r="K34" i="42"/>
  <c r="G34" i="42"/>
  <c r="AQ33" i="42"/>
  <c r="AQ35" i="42" s="1"/>
  <c r="AK33" i="42"/>
  <c r="AJ33" i="42"/>
  <c r="AI33" i="42"/>
  <c r="AH33" i="42"/>
  <c r="AG33" i="42"/>
  <c r="AF33" i="42"/>
  <c r="AF35" i="42" s="1"/>
  <c r="AE33" i="42"/>
  <c r="AD33" i="42"/>
  <c r="AD35" i="42" s="1"/>
  <c r="AC33" i="42"/>
  <c r="AC35" i="42" s="1"/>
  <c r="AB33" i="42"/>
  <c r="AB35" i="42" s="1"/>
  <c r="AA33" i="42"/>
  <c r="AA35" i="42" s="1"/>
  <c r="U33" i="42"/>
  <c r="T33" i="42"/>
  <c r="S33" i="42"/>
  <c r="R33" i="42"/>
  <c r="Q33" i="42"/>
  <c r="P33" i="42"/>
  <c r="P35" i="42" s="1"/>
  <c r="O33" i="42"/>
  <c r="N33" i="42"/>
  <c r="N35" i="42" s="1"/>
  <c r="M33" i="42"/>
  <c r="M35" i="42" s="1"/>
  <c r="L33" i="42"/>
  <c r="L35" i="42" s="1"/>
  <c r="K33" i="42"/>
  <c r="K35" i="42" s="1"/>
  <c r="G33" i="42"/>
  <c r="E33" i="42"/>
  <c r="AW34" i="42" s="1"/>
  <c r="AW32" i="42"/>
  <c r="AQ32" i="42"/>
  <c r="AP32" i="42"/>
  <c r="AO32" i="42"/>
  <c r="AN32" i="42"/>
  <c r="AM32" i="42"/>
  <c r="AL32" i="42"/>
  <c r="AK32" i="42"/>
  <c r="AJ32" i="42"/>
  <c r="AI32" i="42"/>
  <c r="AH32" i="42"/>
  <c r="AG32" i="42"/>
  <c r="AF32" i="42"/>
  <c r="AE32" i="42"/>
  <c r="AD32" i="42"/>
  <c r="AC32" i="42"/>
  <c r="AB32" i="42"/>
  <c r="AA32" i="42"/>
  <c r="Z32" i="42"/>
  <c r="Y32" i="42"/>
  <c r="X32" i="42"/>
  <c r="W32" i="42"/>
  <c r="V32" i="42"/>
  <c r="U32" i="42"/>
  <c r="T32" i="42"/>
  <c r="S32" i="42"/>
  <c r="R32" i="42"/>
  <c r="Q32" i="42"/>
  <c r="P32" i="42"/>
  <c r="O32" i="42"/>
  <c r="N32" i="42"/>
  <c r="M32" i="42"/>
  <c r="L32" i="42"/>
  <c r="K32" i="42"/>
  <c r="J32" i="42"/>
  <c r="I32" i="42"/>
  <c r="H32" i="42"/>
  <c r="D32" i="42"/>
  <c r="C32" i="42"/>
  <c r="AW31" i="42"/>
  <c r="AR31" i="42"/>
  <c r="AS31" i="42" s="1"/>
  <c r="D31" i="42"/>
  <c r="AK35" i="42" s="1"/>
  <c r="C31" i="42"/>
  <c r="AW30" i="42"/>
  <c r="AQ30" i="42"/>
  <c r="AP30" i="42"/>
  <c r="AO30" i="42"/>
  <c r="AN30" i="42"/>
  <c r="AM30" i="42"/>
  <c r="AL30" i="42"/>
  <c r="AK30" i="42"/>
  <c r="AJ30" i="42"/>
  <c r="AI30" i="42"/>
  <c r="AH30" i="42"/>
  <c r="AG30" i="42"/>
  <c r="AF30" i="42"/>
  <c r="AE30" i="42"/>
  <c r="AD30" i="42"/>
  <c r="AC30" i="42"/>
  <c r="AB30" i="42"/>
  <c r="AA30" i="42"/>
  <c r="Z30" i="42"/>
  <c r="Y30" i="42"/>
  <c r="X30" i="42"/>
  <c r="W30" i="42"/>
  <c r="V30" i="42"/>
  <c r="U30" i="42"/>
  <c r="T30" i="42"/>
  <c r="S30" i="42"/>
  <c r="R30" i="42"/>
  <c r="Q30" i="42"/>
  <c r="P30" i="42"/>
  <c r="O30" i="42"/>
  <c r="N30" i="42"/>
  <c r="M30" i="42"/>
  <c r="L30" i="42"/>
  <c r="K30" i="42"/>
  <c r="J30" i="42"/>
  <c r="I30" i="42"/>
  <c r="H30" i="42"/>
  <c r="B30" i="42"/>
  <c r="G29" i="42"/>
  <c r="G28" i="42"/>
  <c r="AI27" i="42"/>
  <c r="AH27" i="42"/>
  <c r="S27" i="42"/>
  <c r="R27" i="42"/>
  <c r="G27" i="42"/>
  <c r="AL26" i="42"/>
  <c r="AK26" i="42"/>
  <c r="AJ26" i="42"/>
  <c r="AI26" i="42"/>
  <c r="AH26" i="42"/>
  <c r="AG26" i="42"/>
  <c r="AG28" i="42" s="1"/>
  <c r="AF26" i="42"/>
  <c r="AF28" i="42" s="1"/>
  <c r="AE26" i="42"/>
  <c r="AE28" i="42" s="1"/>
  <c r="AD26" i="42"/>
  <c r="AD28" i="42" s="1"/>
  <c r="AC26" i="42"/>
  <c r="AC28" i="42" s="1"/>
  <c r="AB26" i="42"/>
  <c r="AB28" i="42" s="1"/>
  <c r="V26" i="42"/>
  <c r="U26" i="42"/>
  <c r="T26" i="42"/>
  <c r="S26" i="42"/>
  <c r="R26" i="42"/>
  <c r="Q26" i="42"/>
  <c r="Q28" i="42" s="1"/>
  <c r="P26" i="42"/>
  <c r="P28" i="42" s="1"/>
  <c r="O26" i="42"/>
  <c r="O28" i="42" s="1"/>
  <c r="N26" i="42"/>
  <c r="N28" i="42" s="1"/>
  <c r="M26" i="42"/>
  <c r="M28" i="42" s="1"/>
  <c r="L26" i="42"/>
  <c r="L28" i="42" s="1"/>
  <c r="G26" i="42"/>
  <c r="E26" i="42"/>
  <c r="E28" i="42" s="1"/>
  <c r="AW25" i="42"/>
  <c r="AQ25" i="42"/>
  <c r="AP25" i="42"/>
  <c r="AO25" i="42"/>
  <c r="AN25" i="42"/>
  <c r="AM25" i="42"/>
  <c r="AL25" i="42"/>
  <c r="AK25" i="42"/>
  <c r="AJ25" i="42"/>
  <c r="AI25" i="42"/>
  <c r="AH25" i="42"/>
  <c r="AG25" i="42"/>
  <c r="AF25" i="42"/>
  <c r="AE25" i="42"/>
  <c r="AD25" i="42"/>
  <c r="AC25" i="42"/>
  <c r="AB25" i="42"/>
  <c r="AA25" i="42"/>
  <c r="Z25" i="42"/>
  <c r="Y25" i="42"/>
  <c r="X25" i="42"/>
  <c r="W25" i="42"/>
  <c r="V25" i="42"/>
  <c r="U25" i="42"/>
  <c r="T25" i="42"/>
  <c r="S25" i="42"/>
  <c r="R25" i="42"/>
  <c r="Q25" i="42"/>
  <c r="P25" i="42"/>
  <c r="O25" i="42"/>
  <c r="N25" i="42"/>
  <c r="M25" i="42"/>
  <c r="L25" i="42"/>
  <c r="K25" i="42"/>
  <c r="J25" i="42"/>
  <c r="I25" i="42"/>
  <c r="H25" i="42"/>
  <c r="D25" i="42"/>
  <c r="C25" i="42"/>
  <c r="AW24" i="42"/>
  <c r="AR24" i="42"/>
  <c r="AS24" i="42" s="1"/>
  <c r="D24" i="42"/>
  <c r="AL28" i="42" s="1"/>
  <c r="C24" i="42"/>
  <c r="AW23" i="42"/>
  <c r="AQ23" i="42"/>
  <c r="AP23" i="42"/>
  <c r="AO23" i="42"/>
  <c r="AN23" i="42"/>
  <c r="AM23" i="42"/>
  <c r="AL23" i="42"/>
  <c r="AK23" i="42"/>
  <c r="AJ23" i="42"/>
  <c r="AI23" i="42"/>
  <c r="AH23" i="42"/>
  <c r="AG23" i="42"/>
  <c r="AF23" i="42"/>
  <c r="AE23" i="42"/>
  <c r="AD23" i="42"/>
  <c r="AC23" i="42"/>
  <c r="AB23" i="42"/>
  <c r="AA23" i="42"/>
  <c r="Z23" i="42"/>
  <c r="Y23" i="42"/>
  <c r="X23" i="42"/>
  <c r="W23" i="42"/>
  <c r="V23" i="42"/>
  <c r="U23" i="42"/>
  <c r="T23" i="42"/>
  <c r="S23" i="42"/>
  <c r="R23" i="42"/>
  <c r="Q23" i="42"/>
  <c r="P23" i="42"/>
  <c r="O23" i="42"/>
  <c r="N23" i="42"/>
  <c r="M23" i="42"/>
  <c r="L23" i="42"/>
  <c r="K23" i="42"/>
  <c r="J23" i="42"/>
  <c r="I23" i="42"/>
  <c r="H23" i="42"/>
  <c r="B23" i="42"/>
  <c r="G22" i="42"/>
  <c r="G21" i="42"/>
  <c r="G20" i="42"/>
  <c r="G19" i="42"/>
  <c r="E19" i="42"/>
  <c r="E21" i="42" s="1"/>
  <c r="AW18" i="42"/>
  <c r="AQ18" i="42"/>
  <c r="AP18" i="42"/>
  <c r="AO18" i="42"/>
  <c r="AN18" i="42"/>
  <c r="AM18" i="42"/>
  <c r="AL18" i="42"/>
  <c r="AK18" i="42"/>
  <c r="AJ18" i="42"/>
  <c r="AI18" i="42"/>
  <c r="AH18" i="42"/>
  <c r="AG18" i="42"/>
  <c r="AF18" i="42"/>
  <c r="AE18" i="42"/>
  <c r="AD18" i="42"/>
  <c r="AC18" i="42"/>
  <c r="AB18" i="42"/>
  <c r="AA18" i="42"/>
  <c r="Z18" i="42"/>
  <c r="Y18" i="42"/>
  <c r="X18" i="42"/>
  <c r="W18" i="42"/>
  <c r="V18" i="42"/>
  <c r="U18" i="42"/>
  <c r="T18" i="42"/>
  <c r="S18" i="42"/>
  <c r="R18" i="42"/>
  <c r="Q18" i="42"/>
  <c r="P18" i="42"/>
  <c r="O18" i="42"/>
  <c r="N18" i="42"/>
  <c r="M18" i="42"/>
  <c r="L18" i="42"/>
  <c r="K18" i="42"/>
  <c r="J18" i="42"/>
  <c r="I18" i="42"/>
  <c r="H18" i="42"/>
  <c r="C18" i="42"/>
  <c r="AW17" i="42"/>
  <c r="AR17" i="42"/>
  <c r="AS17" i="42" s="1"/>
  <c r="C17" i="42"/>
  <c r="AW16" i="42"/>
  <c r="AQ16" i="42"/>
  <c r="AP16" i="42"/>
  <c r="AO16" i="42"/>
  <c r="AN16" i="42"/>
  <c r="AM16" i="42"/>
  <c r="AL16" i="42"/>
  <c r="AK16" i="42"/>
  <c r="AJ16" i="42"/>
  <c r="AI16" i="42"/>
  <c r="AH16" i="42"/>
  <c r="AG16" i="42"/>
  <c r="AF16" i="42"/>
  <c r="AE16" i="42"/>
  <c r="AD16" i="42"/>
  <c r="AC16" i="42"/>
  <c r="AB16" i="42"/>
  <c r="AA16" i="42"/>
  <c r="Z16" i="42"/>
  <c r="Y16" i="42"/>
  <c r="X16" i="42"/>
  <c r="W16" i="42"/>
  <c r="V16" i="42"/>
  <c r="U16" i="42"/>
  <c r="T16" i="42"/>
  <c r="S16" i="42"/>
  <c r="R16" i="42"/>
  <c r="Q16" i="42"/>
  <c r="P16" i="42"/>
  <c r="O16" i="42"/>
  <c r="N16" i="42"/>
  <c r="M16" i="42"/>
  <c r="L16" i="42"/>
  <c r="K16" i="42"/>
  <c r="J16" i="42"/>
  <c r="I16" i="42"/>
  <c r="H16" i="42"/>
  <c r="B16" i="42"/>
  <c r="G15" i="42"/>
  <c r="G14" i="42"/>
  <c r="G13" i="42"/>
  <c r="G12" i="42"/>
  <c r="E12" i="42"/>
  <c r="E14" i="42" s="1"/>
  <c r="AW11" i="42"/>
  <c r="AQ11" i="42"/>
  <c r="AP11" i="42"/>
  <c r="AO11" i="42"/>
  <c r="AN11" i="42"/>
  <c r="AM11" i="42"/>
  <c r="AL11" i="42"/>
  <c r="AK11" i="42"/>
  <c r="AJ11" i="42"/>
  <c r="AI11" i="42"/>
  <c r="AH11" i="42"/>
  <c r="AG11" i="42"/>
  <c r="AF11" i="42"/>
  <c r="AE11" i="42"/>
  <c r="AD11" i="42"/>
  <c r="AC11" i="42"/>
  <c r="AB11" i="42"/>
  <c r="AA11" i="42"/>
  <c r="Z11" i="42"/>
  <c r="Y11" i="42"/>
  <c r="X11" i="42"/>
  <c r="W11" i="42"/>
  <c r="V11" i="42"/>
  <c r="U11" i="42"/>
  <c r="T11" i="42"/>
  <c r="S11" i="42"/>
  <c r="R11" i="42"/>
  <c r="Q11" i="42"/>
  <c r="P11" i="42"/>
  <c r="O11" i="42"/>
  <c r="N11" i="42"/>
  <c r="M11" i="42"/>
  <c r="L11" i="42"/>
  <c r="K11" i="42"/>
  <c r="J11" i="42"/>
  <c r="I11" i="42"/>
  <c r="H11" i="42"/>
  <c r="C11" i="42"/>
  <c r="AW10" i="42"/>
  <c r="AR10" i="42"/>
  <c r="AS10" i="42" s="1"/>
  <c r="C10" i="42"/>
  <c r="AW9" i="42"/>
  <c r="AQ9" i="42"/>
  <c r="AP9" i="42"/>
  <c r="AO9" i="42"/>
  <c r="AN9" i="42"/>
  <c r="AM9" i="42"/>
  <c r="AL9" i="42"/>
  <c r="AK9" i="42"/>
  <c r="AJ9" i="42"/>
  <c r="AI9" i="42"/>
  <c r="AH9" i="42"/>
  <c r="AG9" i="42"/>
  <c r="AF9" i="42"/>
  <c r="AE9" i="42"/>
  <c r="AD9" i="42"/>
  <c r="AC9" i="42"/>
  <c r="AB9" i="42"/>
  <c r="AA9" i="42"/>
  <c r="Z9" i="42"/>
  <c r="Y9" i="42"/>
  <c r="X9" i="42"/>
  <c r="W9" i="42"/>
  <c r="V9" i="42"/>
  <c r="U9" i="42"/>
  <c r="T9" i="42"/>
  <c r="S9" i="42"/>
  <c r="R9" i="42"/>
  <c r="Q9" i="42"/>
  <c r="P9" i="42"/>
  <c r="O9" i="42"/>
  <c r="N9" i="42"/>
  <c r="M9" i="42"/>
  <c r="L9" i="42"/>
  <c r="K9" i="42"/>
  <c r="J9" i="42"/>
  <c r="I9" i="42"/>
  <c r="H9" i="42"/>
  <c r="B9" i="42"/>
  <c r="AT8" i="42"/>
  <c r="J5" i="42"/>
  <c r="H4" i="42"/>
  <c r="D4" i="42"/>
  <c r="A3" i="42"/>
  <c r="AY2" i="42"/>
  <c r="J2" i="42"/>
  <c r="I2" i="42"/>
  <c r="A2" i="42"/>
  <c r="J1" i="42"/>
  <c r="I1" i="42"/>
  <c r="A1" i="42"/>
  <c r="I76" i="40"/>
  <c r="K76" i="40" s="1"/>
  <c r="H76" i="40"/>
  <c r="J76" i="40" s="1"/>
  <c r="G76" i="40"/>
  <c r="L76" i="40" s="1"/>
  <c r="C76" i="40"/>
  <c r="E76" i="40" s="1"/>
  <c r="B76" i="40"/>
  <c r="F76" i="40" s="1"/>
  <c r="L70" i="40"/>
  <c r="K70" i="40"/>
  <c r="F70" i="40"/>
  <c r="E70" i="40"/>
  <c r="G53" i="40"/>
  <c r="H53" i="40" s="1"/>
  <c r="G48" i="40"/>
  <c r="H48" i="40" s="1"/>
  <c r="K39" i="40"/>
  <c r="J39" i="40"/>
  <c r="I39" i="40"/>
  <c r="H39" i="40"/>
  <c r="G39" i="40"/>
  <c r="F39" i="40"/>
  <c r="E39" i="40"/>
  <c r="D39" i="40"/>
  <c r="C39" i="40"/>
  <c r="L38" i="40"/>
  <c r="L39" i="40" s="1"/>
  <c r="K38" i="40"/>
  <c r="J38" i="40"/>
  <c r="I38" i="40"/>
  <c r="H38" i="40"/>
  <c r="G38" i="40"/>
  <c r="F38" i="40"/>
  <c r="E38" i="40"/>
  <c r="D38" i="40"/>
  <c r="C38" i="40"/>
  <c r="I32" i="40"/>
  <c r="K23" i="40"/>
  <c r="J23" i="40"/>
  <c r="J22" i="40"/>
  <c r="K22" i="40" s="1"/>
  <c r="H22" i="40"/>
  <c r="G22" i="40"/>
  <c r="F22" i="40"/>
  <c r="E22" i="40"/>
  <c r="D22" i="40"/>
  <c r="C22" i="40"/>
  <c r="K21" i="40"/>
  <c r="J21" i="40"/>
  <c r="H21" i="40"/>
  <c r="G21" i="40"/>
  <c r="F21" i="40"/>
  <c r="E21" i="40"/>
  <c r="D21" i="40"/>
  <c r="C21" i="40"/>
  <c r="J20" i="40"/>
  <c r="K20" i="40" s="1"/>
  <c r="H20" i="40"/>
  <c r="G20" i="40"/>
  <c r="F20" i="40"/>
  <c r="E20" i="40"/>
  <c r="D20" i="40"/>
  <c r="C20" i="40"/>
  <c r="K19" i="40"/>
  <c r="J19" i="40"/>
  <c r="H19" i="40"/>
  <c r="G19" i="40"/>
  <c r="F19" i="40"/>
  <c r="E19" i="40"/>
  <c r="D19" i="40"/>
  <c r="C19" i="40"/>
  <c r="J18" i="40"/>
  <c r="H18" i="40"/>
  <c r="G18" i="40"/>
  <c r="F18" i="40"/>
  <c r="E18" i="40"/>
  <c r="D18" i="40"/>
  <c r="C18" i="40"/>
  <c r="J17" i="40"/>
  <c r="H17" i="40"/>
  <c r="G17" i="40"/>
  <c r="F17" i="40"/>
  <c r="E17" i="40"/>
  <c r="D17" i="40"/>
  <c r="C17" i="40"/>
  <c r="H16" i="40"/>
  <c r="G16" i="40"/>
  <c r="F16" i="40"/>
  <c r="E16" i="40"/>
  <c r="D16" i="40"/>
  <c r="C16" i="40"/>
  <c r="H15" i="40"/>
  <c r="G15" i="40"/>
  <c r="F15" i="40"/>
  <c r="E15" i="40"/>
  <c r="D15" i="40"/>
  <c r="C15" i="40"/>
  <c r="L14" i="40"/>
  <c r="H14" i="40"/>
  <c r="G14" i="40"/>
  <c r="F14" i="40"/>
  <c r="E14" i="40"/>
  <c r="D14" i="40"/>
  <c r="C14" i="40"/>
  <c r="H13" i="40"/>
  <c r="G13" i="40"/>
  <c r="F13" i="40"/>
  <c r="E13" i="40"/>
  <c r="D13" i="40"/>
  <c r="C13" i="40"/>
  <c r="H12" i="40"/>
  <c r="H25" i="40" s="1"/>
  <c r="G12" i="40"/>
  <c r="G25" i="40" s="1"/>
  <c r="G26" i="40" s="1"/>
  <c r="F12" i="40"/>
  <c r="E12" i="40"/>
  <c r="E25" i="40" s="1"/>
  <c r="E26" i="40" s="1"/>
  <c r="D12" i="40"/>
  <c r="D25" i="40" s="1"/>
  <c r="C36" i="40" s="1"/>
  <c r="C12" i="40"/>
  <c r="C25" i="40" s="1"/>
  <c r="C26" i="40" s="1"/>
  <c r="B2" i="40"/>
  <c r="I87" i="39"/>
  <c r="K87" i="39" s="1"/>
  <c r="H87" i="39"/>
  <c r="J87" i="39" s="1"/>
  <c r="G87" i="39"/>
  <c r="L87" i="39" s="1"/>
  <c r="C87" i="39"/>
  <c r="E87" i="39" s="1"/>
  <c r="B87" i="39"/>
  <c r="F87" i="39" s="1"/>
  <c r="L81" i="39"/>
  <c r="K81" i="39"/>
  <c r="F81" i="39"/>
  <c r="E81" i="39"/>
  <c r="G64" i="39"/>
  <c r="H64" i="39" s="1"/>
  <c r="G59" i="39"/>
  <c r="H59" i="39" s="1"/>
  <c r="Q54" i="39"/>
  <c r="P54" i="39"/>
  <c r="L50" i="39"/>
  <c r="K50" i="39"/>
  <c r="J50" i="39"/>
  <c r="I50" i="39"/>
  <c r="H50" i="39"/>
  <c r="G50" i="39"/>
  <c r="F50" i="39"/>
  <c r="E50" i="39"/>
  <c r="L49" i="39"/>
  <c r="K49" i="39"/>
  <c r="J49" i="39"/>
  <c r="I49" i="39"/>
  <c r="H49" i="39"/>
  <c r="G49" i="39"/>
  <c r="F49" i="39"/>
  <c r="E49" i="39"/>
  <c r="D49" i="39"/>
  <c r="D50" i="39" s="1"/>
  <c r="C49" i="39"/>
  <c r="C50" i="39" s="1"/>
  <c r="I40" i="39"/>
  <c r="H40" i="39"/>
  <c r="G40" i="39"/>
  <c r="F40" i="39"/>
  <c r="E40" i="39"/>
  <c r="D40" i="39"/>
  <c r="C40" i="39"/>
  <c r="L39" i="39"/>
  <c r="L40" i="39" s="1"/>
  <c r="K39" i="39"/>
  <c r="K40" i="39" s="1"/>
  <c r="J39" i="39"/>
  <c r="J40" i="39" s="1"/>
  <c r="I39" i="39"/>
  <c r="H39" i="39"/>
  <c r="G39" i="39"/>
  <c r="F39" i="39"/>
  <c r="E39" i="39"/>
  <c r="D39" i="39"/>
  <c r="C39" i="39"/>
  <c r="J33" i="39"/>
  <c r="J26" i="39"/>
  <c r="K26" i="39" s="1"/>
  <c r="I26" i="39"/>
  <c r="B69" i="39" s="1"/>
  <c r="E69" i="39" s="1"/>
  <c r="G69" i="39" s="1"/>
  <c r="H69" i="39" s="1"/>
  <c r="K22" i="39"/>
  <c r="J22" i="39"/>
  <c r="I22" i="39"/>
  <c r="H22" i="39"/>
  <c r="G22" i="39"/>
  <c r="F22" i="39"/>
  <c r="E22" i="39"/>
  <c r="D22" i="39"/>
  <c r="C22" i="39"/>
  <c r="K21" i="39"/>
  <c r="J21" i="39"/>
  <c r="I21" i="39"/>
  <c r="H21" i="39"/>
  <c r="G21" i="39"/>
  <c r="F21" i="39"/>
  <c r="E21" i="39"/>
  <c r="D21" i="39"/>
  <c r="C21" i="39"/>
  <c r="K20" i="39"/>
  <c r="J20" i="39"/>
  <c r="I20" i="39"/>
  <c r="H20" i="39"/>
  <c r="G20" i="39"/>
  <c r="F20" i="39"/>
  <c r="E20" i="39"/>
  <c r="D20" i="39"/>
  <c r="C20" i="39"/>
  <c r="K19" i="39"/>
  <c r="J19" i="39"/>
  <c r="I19" i="39"/>
  <c r="H19" i="39"/>
  <c r="G19" i="39"/>
  <c r="F19" i="39"/>
  <c r="E19" i="39"/>
  <c r="D19" i="39"/>
  <c r="C19" i="39"/>
  <c r="K18" i="39"/>
  <c r="J18" i="39"/>
  <c r="I18" i="39"/>
  <c r="H18" i="39"/>
  <c r="G18" i="39"/>
  <c r="F18" i="39"/>
  <c r="E18" i="39"/>
  <c r="D18" i="39"/>
  <c r="C18" i="39"/>
  <c r="K17" i="39"/>
  <c r="J17" i="39"/>
  <c r="I17" i="39"/>
  <c r="H17" i="39"/>
  <c r="G17" i="39"/>
  <c r="F17" i="39"/>
  <c r="E17" i="39"/>
  <c r="D17" i="39"/>
  <c r="C17" i="39"/>
  <c r="J16" i="39"/>
  <c r="K16" i="39" s="1"/>
  <c r="I16" i="39"/>
  <c r="H16" i="39"/>
  <c r="G16" i="39"/>
  <c r="E16" i="39"/>
  <c r="D16" i="39"/>
  <c r="C16" i="39"/>
  <c r="I10" i="39"/>
  <c r="G10" i="39"/>
  <c r="I9" i="39"/>
  <c r="G9" i="39"/>
  <c r="I8" i="39"/>
  <c r="G8" i="39"/>
  <c r="B2" i="39"/>
  <c r="L13" i="40"/>
  <c r="J13" i="40"/>
  <c r="L12" i="40"/>
  <c r="J12" i="40"/>
  <c r="O63" i="37"/>
  <c r="U57" i="37"/>
  <c r="U63" i="37" s="1"/>
  <c r="P57" i="37"/>
  <c r="P63" i="37" s="1"/>
  <c r="O57" i="37"/>
  <c r="O59" i="37" s="1"/>
  <c r="O61" i="37" s="1"/>
  <c r="N57" i="37"/>
  <c r="N63" i="37" s="1"/>
  <c r="M57" i="37"/>
  <c r="M63" i="37" s="1"/>
  <c r="E57" i="37"/>
  <c r="E63" i="37" s="1"/>
  <c r="P49" i="37"/>
  <c r="Q41" i="37"/>
  <c r="P41" i="37"/>
  <c r="H41" i="37"/>
  <c r="U39" i="37"/>
  <c r="T39" i="37"/>
  <c r="T57" i="37" s="1"/>
  <c r="S39" i="37"/>
  <c r="S57" i="37" s="1"/>
  <c r="R39" i="37"/>
  <c r="R57" i="37" s="1"/>
  <c r="Q39" i="37"/>
  <c r="Q57" i="37" s="1"/>
  <c r="P39" i="37"/>
  <c r="O39" i="37"/>
  <c r="N39" i="37"/>
  <c r="M39" i="37"/>
  <c r="L39" i="37"/>
  <c r="L57" i="37" s="1"/>
  <c r="K39" i="37"/>
  <c r="K57" i="37" s="1"/>
  <c r="J39" i="37"/>
  <c r="J57" i="37" s="1"/>
  <c r="I39" i="37"/>
  <c r="I57" i="37" s="1"/>
  <c r="H39" i="37"/>
  <c r="H57" i="37" s="1"/>
  <c r="G39" i="37"/>
  <c r="G57" i="37" s="1"/>
  <c r="F39" i="37"/>
  <c r="F57" i="37" s="1"/>
  <c r="E39" i="37"/>
  <c r="U34" i="37"/>
  <c r="T34" i="37"/>
  <c r="L34" i="37"/>
  <c r="E34" i="37"/>
  <c r="E31" i="37"/>
  <c r="P30" i="37"/>
  <c r="I30" i="37"/>
  <c r="I49" i="37" s="1"/>
  <c r="H30" i="37"/>
  <c r="H49" i="37" s="1"/>
  <c r="E30" i="37"/>
  <c r="E32" i="37" s="1"/>
  <c r="U29" i="37"/>
  <c r="S29" i="37"/>
  <c r="S28" i="37"/>
  <c r="S30" i="37" s="1"/>
  <c r="U27" i="37"/>
  <c r="U30" i="37" s="1"/>
  <c r="T26" i="37"/>
  <c r="T30" i="37" s="1"/>
  <c r="R26" i="37"/>
  <c r="F25" i="37"/>
  <c r="R24" i="37"/>
  <c r="R30" i="37" s="1"/>
  <c r="F24" i="37"/>
  <c r="F23" i="37"/>
  <c r="F22" i="37"/>
  <c r="F21" i="37"/>
  <c r="F20" i="37"/>
  <c r="F30" i="37" s="1"/>
  <c r="F19" i="37"/>
  <c r="I18" i="37"/>
  <c r="F18" i="37"/>
  <c r="I17" i="37"/>
  <c r="H17" i="37"/>
  <c r="G17" i="37"/>
  <c r="G30" i="37" s="1"/>
  <c r="I16" i="37"/>
  <c r="I15" i="37"/>
  <c r="I13" i="37"/>
  <c r="J12" i="37"/>
  <c r="F12" i="37"/>
  <c r="J11" i="37"/>
  <c r="J10" i="37"/>
  <c r="K9" i="37"/>
  <c r="K8" i="37"/>
  <c r="L7" i="37"/>
  <c r="K7" i="37"/>
  <c r="K30" i="37" s="1"/>
  <c r="J7" i="37"/>
  <c r="J30" i="37" s="1"/>
  <c r="Q6" i="37"/>
  <c r="Q30" i="37" s="1"/>
  <c r="P6" i="37"/>
  <c r="O6" i="37"/>
  <c r="O30" i="37" s="1"/>
  <c r="N6" i="37"/>
  <c r="N30" i="37" s="1"/>
  <c r="M6" i="37"/>
  <c r="M30" i="37" s="1"/>
  <c r="L6" i="37"/>
  <c r="L30" i="37" s="1"/>
  <c r="U5" i="37"/>
  <c r="U41" i="37" s="1"/>
  <c r="T5" i="37"/>
  <c r="T41" i="37" s="1"/>
  <c r="S5" i="37"/>
  <c r="S34" i="37" s="1"/>
  <c r="R5" i="37"/>
  <c r="Q5" i="37"/>
  <c r="P5" i="37"/>
  <c r="O5" i="37"/>
  <c r="O41" i="37" s="1"/>
  <c r="N5" i="37"/>
  <c r="N41" i="37" s="1"/>
  <c r="M5" i="37"/>
  <c r="M41" i="37" s="1"/>
  <c r="L5" i="37"/>
  <c r="L41" i="37" s="1"/>
  <c r="K5" i="37"/>
  <c r="K41" i="37" s="1"/>
  <c r="J5" i="37"/>
  <c r="J41" i="37" s="1"/>
  <c r="I5" i="37"/>
  <c r="I41" i="37" s="1"/>
  <c r="H5" i="37"/>
  <c r="G5" i="37"/>
  <c r="G41" i="37" s="1"/>
  <c r="F5" i="37"/>
  <c r="F41" i="37" s="1"/>
  <c r="E5" i="37"/>
  <c r="E41" i="37" s="1"/>
  <c r="U4" i="37"/>
  <c r="T4" i="37"/>
  <c r="S4" i="37"/>
  <c r="R4" i="37"/>
  <c r="Q4" i="37"/>
  <c r="P4" i="37"/>
  <c r="O4" i="37"/>
  <c r="N4" i="37"/>
  <c r="M4" i="37"/>
  <c r="L4" i="37"/>
  <c r="K4" i="37"/>
  <c r="J4" i="37"/>
  <c r="I4" i="37"/>
  <c r="H4" i="37"/>
  <c r="G4" i="37"/>
  <c r="F4" i="37"/>
  <c r="E4" i="37"/>
  <c r="U3" i="37"/>
  <c r="T3" i="37"/>
  <c r="S3" i="37"/>
  <c r="R3" i="37"/>
  <c r="Q3" i="37"/>
  <c r="P3" i="37"/>
  <c r="O3" i="37"/>
  <c r="N3" i="37"/>
  <c r="M3" i="37"/>
  <c r="L3" i="37"/>
  <c r="K3" i="37"/>
  <c r="J3" i="37"/>
  <c r="I3" i="37"/>
  <c r="H3" i="37"/>
  <c r="G3" i="37"/>
  <c r="F3" i="37"/>
  <c r="E3" i="37"/>
  <c r="K16" i="35"/>
  <c r="I16" i="35"/>
  <c r="L16" i="35" s="1"/>
  <c r="K15" i="35"/>
  <c r="I15" i="35"/>
  <c r="L15" i="35" s="1"/>
  <c r="K14" i="35"/>
  <c r="I14" i="35"/>
  <c r="L14" i="35" s="1"/>
  <c r="L13" i="35"/>
  <c r="K13" i="35"/>
  <c r="I13" i="35"/>
  <c r="K12" i="35"/>
  <c r="I12" i="35"/>
  <c r="L12" i="35" s="1"/>
  <c r="I59" i="34"/>
  <c r="J59" i="34" s="1"/>
  <c r="I57" i="34"/>
  <c r="J57" i="34" s="1"/>
  <c r="I56" i="34"/>
  <c r="J56" i="34" s="1"/>
  <c r="J55" i="34"/>
  <c r="I55" i="34"/>
  <c r="G51" i="34"/>
  <c r="I45" i="34"/>
  <c r="J45" i="34" s="1"/>
  <c r="G44" i="34"/>
  <c r="F44" i="34"/>
  <c r="J43" i="34"/>
  <c r="G42" i="34"/>
  <c r="G53" i="34" s="1"/>
  <c r="F42" i="34"/>
  <c r="F53" i="34" s="1"/>
  <c r="J41" i="34"/>
  <c r="G40" i="34"/>
  <c r="G49" i="34" s="1"/>
  <c r="F40" i="34"/>
  <c r="F49" i="34" s="1"/>
  <c r="J39" i="34"/>
  <c r="I38" i="34"/>
  <c r="J38" i="34" s="1"/>
  <c r="G33" i="34"/>
  <c r="F33" i="34"/>
  <c r="J32" i="34"/>
  <c r="G28" i="34"/>
  <c r="G37" i="34" s="1"/>
  <c r="F28" i="34"/>
  <c r="G27" i="34"/>
  <c r="F27" i="34"/>
  <c r="G22" i="34"/>
  <c r="F22" i="34"/>
  <c r="F23" i="34" s="1"/>
  <c r="J21" i="34"/>
  <c r="G20" i="34"/>
  <c r="G23" i="34" s="1"/>
  <c r="F20" i="34"/>
  <c r="J20" i="34" s="1"/>
  <c r="G15" i="34"/>
  <c r="J15" i="34" s="1"/>
  <c r="F15" i="34"/>
  <c r="J14" i="34"/>
  <c r="G10" i="34"/>
  <c r="G12" i="34" s="1"/>
  <c r="G9" i="34"/>
  <c r="F9" i="34"/>
  <c r="J9" i="34" s="1"/>
  <c r="G8" i="34"/>
  <c r="J8" i="34" s="1"/>
  <c r="F8" i="34"/>
  <c r="G7" i="34"/>
  <c r="G13" i="34" s="1"/>
  <c r="G16" i="34" s="1"/>
  <c r="G17" i="34" s="1"/>
  <c r="F7" i="34"/>
  <c r="F10" i="34" s="1"/>
  <c r="J6" i="34"/>
  <c r="J5" i="34"/>
  <c r="I4" i="34"/>
  <c r="J4" i="34" s="1"/>
  <c r="I3" i="34"/>
  <c r="J3" i="34" s="1"/>
  <c r="J2" i="34"/>
  <c r="I2" i="34"/>
  <c r="E659" i="33"/>
  <c r="G659" i="33" s="1"/>
  <c r="F582" i="33"/>
  <c r="E582" i="33"/>
  <c r="F577" i="33"/>
  <c r="G577" i="33" s="1"/>
  <c r="K572" i="33"/>
  <c r="J572" i="33"/>
  <c r="J576" i="33" s="1"/>
  <c r="I572" i="33"/>
  <c r="D531" i="33"/>
  <c r="C531" i="33"/>
  <c r="B531" i="33"/>
  <c r="C502" i="33"/>
  <c r="B502" i="33"/>
  <c r="E498" i="33"/>
  <c r="J502" i="33" s="1"/>
  <c r="F476" i="33"/>
  <c r="E476" i="33"/>
  <c r="C459" i="33"/>
  <c r="B459" i="33"/>
  <c r="F434" i="33"/>
  <c r="E434" i="33"/>
  <c r="F413" i="33"/>
  <c r="C417" i="33" s="1"/>
  <c r="D396" i="33"/>
  <c r="C396" i="33"/>
  <c r="B396" i="33"/>
  <c r="F316" i="33"/>
  <c r="E316" i="33"/>
  <c r="F300" i="33"/>
  <c r="B321" i="33" s="1"/>
  <c r="E300" i="33"/>
  <c r="A321" i="33" s="1"/>
  <c r="B283" i="33"/>
  <c r="A283" i="33"/>
  <c r="E263" i="33"/>
  <c r="D263" i="33"/>
  <c r="F240" i="33"/>
  <c r="D240" i="33"/>
  <c r="C240" i="33"/>
  <c r="B240" i="33"/>
  <c r="I236" i="33"/>
  <c r="E236" i="33"/>
  <c r="E240" i="33" s="1"/>
  <c r="G240" i="33" s="1"/>
  <c r="F212" i="33"/>
  <c r="D212" i="33"/>
  <c r="C212" i="33"/>
  <c r="B212" i="33"/>
  <c r="E208" i="33"/>
  <c r="E212" i="33" s="1"/>
  <c r="G212" i="33" s="1"/>
  <c r="F179" i="33"/>
  <c r="E179" i="33"/>
  <c r="C174" i="33"/>
  <c r="E174" i="33" s="1"/>
  <c r="C169" i="33"/>
  <c r="F624" i="33" s="1"/>
  <c r="C164" i="33"/>
  <c r="F619" i="33" s="1"/>
  <c r="G619" i="33" s="1"/>
  <c r="F139" i="33"/>
  <c r="E139" i="33"/>
  <c r="E134" i="33"/>
  <c r="D134" i="33"/>
  <c r="C134" i="33"/>
  <c r="C129" i="33"/>
  <c r="E129" i="33" s="1"/>
  <c r="C124" i="33"/>
  <c r="F572" i="33" s="1"/>
  <c r="G572" i="33" s="1"/>
  <c r="F92" i="33"/>
  <c r="G87" i="33"/>
  <c r="G82" i="33"/>
  <c r="C97" i="33" s="1"/>
  <c r="E97" i="33" s="1"/>
  <c r="F49" i="33"/>
  <c r="I44" i="33"/>
  <c r="G44" i="33"/>
  <c r="G39" i="33"/>
  <c r="K401" i="32"/>
  <c r="L401" i="32" s="1"/>
  <c r="K400" i="32"/>
  <c r="L400" i="32" s="1"/>
  <c r="K399" i="32"/>
  <c r="L399" i="32" s="1"/>
  <c r="K398" i="32"/>
  <c r="L398" i="32" s="1"/>
  <c r="K397" i="32"/>
  <c r="L397" i="32" s="1"/>
  <c r="K396" i="32"/>
  <c r="L396" i="32" s="1"/>
  <c r="K395" i="32"/>
  <c r="L395" i="32" s="1"/>
  <c r="K394" i="32"/>
  <c r="L394" i="32" s="1"/>
  <c r="K393" i="32"/>
  <c r="L393" i="32" s="1"/>
  <c r="K392" i="32"/>
  <c r="L392" i="32" s="1"/>
  <c r="K391" i="32"/>
  <c r="L391" i="32" s="1"/>
  <c r="K390" i="32"/>
  <c r="L390" i="32" s="1"/>
  <c r="I389" i="32"/>
  <c r="H389" i="32"/>
  <c r="G389" i="32"/>
  <c r="K387" i="32"/>
  <c r="L387" i="32" s="1"/>
  <c r="L388" i="32" s="1"/>
  <c r="I386" i="32"/>
  <c r="H386" i="32"/>
  <c r="G386" i="32"/>
  <c r="K384" i="32"/>
  <c r="L384" i="32" s="1"/>
  <c r="L385" i="32" s="1"/>
  <c r="I383" i="32" a="1"/>
  <c r="I383" i="32" s="1"/>
  <c r="H383" i="32" a="1"/>
  <c r="H383" i="32" s="1"/>
  <c r="G383" i="32" a="1"/>
  <c r="G383" i="32" s="1"/>
  <c r="K381" i="32"/>
  <c r="L381" i="32" s="1"/>
  <c r="L382" i="32" s="1"/>
  <c r="K379" i="32"/>
  <c r="L379" i="32" s="1"/>
  <c r="L380" i="32" s="1"/>
  <c r="K377" i="32"/>
  <c r="L377" i="32" s="1"/>
  <c r="L378" i="32" s="1"/>
  <c r="K375" i="32"/>
  <c r="L375" i="32" s="1"/>
  <c r="L376" i="32" s="1"/>
  <c r="K373" i="32"/>
  <c r="L373" i="32" s="1"/>
  <c r="L374" i="32" s="1"/>
  <c r="K371" i="32"/>
  <c r="L371" i="32" s="1"/>
  <c r="L372" i="32" s="1"/>
  <c r="K369" i="32"/>
  <c r="L369" i="32" s="1"/>
  <c r="L370" i="32" s="1"/>
  <c r="K367" i="32"/>
  <c r="L367" i="32" s="1"/>
  <c r="L368" i="32" s="1"/>
  <c r="K365" i="32"/>
  <c r="L365" i="32" s="1"/>
  <c r="L366" i="32" s="1"/>
  <c r="L364" i="32"/>
  <c r="K363" i="32"/>
  <c r="L363" i="32" s="1"/>
  <c r="I362" i="32" a="1"/>
  <c r="I362" i="32" s="1"/>
  <c r="H362" i="32" a="1"/>
  <c r="H362" i="32" s="1"/>
  <c r="G362" i="32" a="1"/>
  <c r="G362" i="32" s="1"/>
  <c r="K360" i="32"/>
  <c r="L360" i="32" s="1"/>
  <c r="L361" i="32" s="1"/>
  <c r="L358" i="32"/>
  <c r="L359" i="32" s="1"/>
  <c r="K358" i="32"/>
  <c r="K356" i="32"/>
  <c r="L356" i="32" s="1"/>
  <c r="L357" i="32" s="1"/>
  <c r="I355" i="32"/>
  <c r="I355" i="32" a="1"/>
  <c r="H355" i="32"/>
  <c r="H355" i="32" a="1"/>
  <c r="G355" i="32"/>
  <c r="K355" i="32" s="1"/>
  <c r="L355" i="32" s="1"/>
  <c r="G355" i="32" a="1"/>
  <c r="K353" i="32"/>
  <c r="L353" i="32" s="1"/>
  <c r="L354" i="32" s="1"/>
  <c r="L352" i="32"/>
  <c r="L351" i="32"/>
  <c r="K351" i="32"/>
  <c r="K349" i="32"/>
  <c r="L349" i="32" s="1"/>
  <c r="L350" i="32" s="1"/>
  <c r="I348" i="32" a="1"/>
  <c r="I348" i="32" s="1"/>
  <c r="H348" i="32" a="1"/>
  <c r="H348" i="32" s="1"/>
  <c r="G348" i="32" a="1"/>
  <c r="G348" i="32" s="1"/>
  <c r="K346" i="32"/>
  <c r="L346" i="32" s="1"/>
  <c r="L347" i="32" s="1"/>
  <c r="K344" i="32"/>
  <c r="L344" i="32" s="1"/>
  <c r="L345" i="32" s="1"/>
  <c r="L342" i="32"/>
  <c r="L343" i="32" s="1"/>
  <c r="K342" i="32"/>
  <c r="K340" i="32"/>
  <c r="L340" i="32" s="1"/>
  <c r="L341" i="32" s="1"/>
  <c r="L338" i="32"/>
  <c r="L339" i="32" s="1"/>
  <c r="K338" i="32"/>
  <c r="K336" i="32"/>
  <c r="L336" i="32" s="1"/>
  <c r="L337" i="32" s="1"/>
  <c r="L335" i="32"/>
  <c r="L334" i="32"/>
  <c r="K334" i="32"/>
  <c r="K332" i="32"/>
  <c r="L332" i="32" s="1"/>
  <c r="L333" i="32" s="1"/>
  <c r="L330" i="32"/>
  <c r="L331" i="32" s="1"/>
  <c r="K330" i="32"/>
  <c r="K328" i="32"/>
  <c r="L328" i="32" s="1"/>
  <c r="L329" i="32" s="1"/>
  <c r="K326" i="32"/>
  <c r="L326" i="32" s="1"/>
  <c r="L327" i="32" s="1"/>
  <c r="K324" i="32"/>
  <c r="L324" i="32" s="1"/>
  <c r="L325" i="32" s="1"/>
  <c r="K322" i="32"/>
  <c r="L322" i="32" s="1"/>
  <c r="L323" i="32" s="1"/>
  <c r="K320" i="32"/>
  <c r="L320" i="32" s="1"/>
  <c r="L321" i="32" s="1"/>
  <c r="L318" i="32"/>
  <c r="L319" i="32" s="1"/>
  <c r="K318" i="32"/>
  <c r="K316" i="32"/>
  <c r="L316" i="32" s="1"/>
  <c r="L317" i="32" s="1"/>
  <c r="I315" i="32"/>
  <c r="H315" i="32"/>
  <c r="G315" i="32"/>
  <c r="K315" i="32" s="1"/>
  <c r="K313" i="32"/>
  <c r="L313" i="32" s="1"/>
  <c r="L314" i="32" s="1"/>
  <c r="L310" i="32"/>
  <c r="L311" i="32" s="1"/>
  <c r="K310" i="32"/>
  <c r="K308" i="32"/>
  <c r="L308" i="32" s="1"/>
  <c r="L309" i="32" s="1"/>
  <c r="L306" i="32"/>
  <c r="L307" i="32" s="1"/>
  <c r="I306" i="32"/>
  <c r="I312" i="32" s="1"/>
  <c r="H306" i="32"/>
  <c r="H312" i="32" s="1"/>
  <c r="G306" i="32"/>
  <c r="G312" i="32" s="1"/>
  <c r="K305" i="32"/>
  <c r="I302" i="32"/>
  <c r="H302" i="32"/>
  <c r="G302" i="32"/>
  <c r="L302" i="32" s="1"/>
  <c r="L303" i="32" s="1"/>
  <c r="K301" i="32"/>
  <c r="I299" i="32"/>
  <c r="I304" i="32" s="1"/>
  <c r="H299" i="32"/>
  <c r="H304" i="32" s="1"/>
  <c r="G299" i="32"/>
  <c r="K296" i="32"/>
  <c r="L296" i="32" s="1"/>
  <c r="L297" i="32" s="1"/>
  <c r="I295" i="32"/>
  <c r="H295" i="32"/>
  <c r="G295" i="32"/>
  <c r="K294" i="32"/>
  <c r="L294" i="32" s="1"/>
  <c r="L293" i="32"/>
  <c r="I293" i="32"/>
  <c r="H293" i="32"/>
  <c r="G293" i="32"/>
  <c r="K293" i="32" s="1"/>
  <c r="I292" i="32"/>
  <c r="H292" i="32"/>
  <c r="G292" i="32"/>
  <c r="I291" i="32"/>
  <c r="H291" i="32"/>
  <c r="G291" i="32"/>
  <c r="I290" i="32" a="1"/>
  <c r="I290" i="32" s="1"/>
  <c r="H290" i="32" a="1"/>
  <c r="H290" i="32" s="1"/>
  <c r="G290" i="32" a="1"/>
  <c r="G290" i="32" s="1"/>
  <c r="K289" i="32"/>
  <c r="I289" i="32"/>
  <c r="H289" i="32"/>
  <c r="G289" i="32"/>
  <c r="L289" i="32" s="1"/>
  <c r="K288" i="32"/>
  <c r="L288" i="32" s="1"/>
  <c r="K287" i="32"/>
  <c r="L287" i="32" s="1"/>
  <c r="L286" i="32"/>
  <c r="K286" i="32"/>
  <c r="K284" i="32"/>
  <c r="L284" i="32" s="1"/>
  <c r="K283" i="32"/>
  <c r="L283" i="32" s="1"/>
  <c r="K282" i="32"/>
  <c r="L282" i="32" s="1"/>
  <c r="L281" i="32" s="1"/>
  <c r="I280" i="32" a="1"/>
  <c r="I280" i="32" s="1"/>
  <c r="H280" i="32" a="1"/>
  <c r="H280" i="32" s="1"/>
  <c r="G280" i="32"/>
  <c r="G280" i="32" a="1"/>
  <c r="I279" i="32"/>
  <c r="H279" i="32"/>
  <c r="G279" i="32"/>
  <c r="I278" i="32"/>
  <c r="H278" i="32"/>
  <c r="G278" i="32"/>
  <c r="K276" i="32"/>
  <c r="L276" i="32" s="1"/>
  <c r="L277" i="32" s="1"/>
  <c r="L275" i="32"/>
  <c r="L274" i="32"/>
  <c r="K274" i="32"/>
  <c r="K272" i="32"/>
  <c r="L272" i="32" s="1"/>
  <c r="L273" i="32" s="1"/>
  <c r="L270" i="32"/>
  <c r="L271" i="32" s="1"/>
  <c r="K270" i="32"/>
  <c r="K268" i="32"/>
  <c r="L268" i="32" s="1"/>
  <c r="L269" i="32" s="1"/>
  <c r="K266" i="32"/>
  <c r="L266" i="32" s="1"/>
  <c r="L267" i="32" s="1"/>
  <c r="K264" i="32"/>
  <c r="L264" i="32" s="1"/>
  <c r="L265" i="32" s="1"/>
  <c r="K262" i="32"/>
  <c r="L262" i="32" s="1"/>
  <c r="L263" i="32" s="1"/>
  <c r="K260" i="32"/>
  <c r="L260" i="32" s="1"/>
  <c r="L261" i="32" s="1"/>
  <c r="K258" i="32"/>
  <c r="L258" i="32" s="1"/>
  <c r="L259" i="32" s="1"/>
  <c r="K256" i="32"/>
  <c r="L256" i="32" s="1"/>
  <c r="L257" i="32" s="1"/>
  <c r="K254" i="32"/>
  <c r="L254" i="32" s="1"/>
  <c r="L255" i="32" s="1"/>
  <c r="L253" i="32"/>
  <c r="K252" i="32"/>
  <c r="L252" i="32" s="1"/>
  <c r="L250" i="32"/>
  <c r="L251" i="32" s="1"/>
  <c r="K250" i="32"/>
  <c r="K248" i="32"/>
  <c r="L248" i="32" s="1"/>
  <c r="L249" i="32" s="1"/>
  <c r="K246" i="32"/>
  <c r="L246" i="32" s="1"/>
  <c r="L247" i="32" s="1"/>
  <c r="K244" i="32"/>
  <c r="L244" i="32" s="1"/>
  <c r="L245" i="32" s="1"/>
  <c r="L242" i="32"/>
  <c r="L243" i="32" s="1"/>
  <c r="K242" i="32"/>
  <c r="K240" i="32"/>
  <c r="L240" i="32" s="1"/>
  <c r="L241" i="32" s="1"/>
  <c r="L238" i="32"/>
  <c r="L239" i="32" s="1"/>
  <c r="K238" i="32"/>
  <c r="K236" i="32"/>
  <c r="L236" i="32" s="1"/>
  <c r="L237" i="32" s="1"/>
  <c r="K234" i="32"/>
  <c r="L234" i="32" s="1"/>
  <c r="L235" i="32" s="1"/>
  <c r="K232" i="32"/>
  <c r="L232" i="32" s="1"/>
  <c r="L233" i="32" s="1"/>
  <c r="K230" i="32"/>
  <c r="L230" i="32" s="1"/>
  <c r="L231" i="32" s="1"/>
  <c r="K228" i="32"/>
  <c r="L228" i="32" s="1"/>
  <c r="L229" i="32" s="1"/>
  <c r="K226" i="32"/>
  <c r="L226" i="32" s="1"/>
  <c r="L227" i="32" s="1"/>
  <c r="K224" i="32"/>
  <c r="L224" i="32" s="1"/>
  <c r="L225" i="32" s="1"/>
  <c r="K222" i="32"/>
  <c r="L222" i="32" s="1"/>
  <c r="L223" i="32" s="1"/>
  <c r="K220" i="32"/>
  <c r="L220" i="32" s="1"/>
  <c r="L221" i="32" s="1"/>
  <c r="L218" i="32"/>
  <c r="L219" i="32" s="1"/>
  <c r="K218" i="32"/>
  <c r="K216" i="32"/>
  <c r="L216" i="32" s="1"/>
  <c r="L217" i="32" s="1"/>
  <c r="K214" i="32"/>
  <c r="L214" i="32" s="1"/>
  <c r="L215" i="32" s="1"/>
  <c r="K212" i="32"/>
  <c r="L212" i="32" s="1"/>
  <c r="L213" i="32" s="1"/>
  <c r="L210" i="32"/>
  <c r="L211" i="32" s="1"/>
  <c r="K210" i="32"/>
  <c r="K208" i="32"/>
  <c r="L208" i="32" s="1"/>
  <c r="L209" i="32" s="1"/>
  <c r="L206" i="32"/>
  <c r="L207" i="32" s="1"/>
  <c r="K206" i="32"/>
  <c r="K204" i="32"/>
  <c r="L204" i="32" s="1"/>
  <c r="L205" i="32" s="1"/>
  <c r="K202" i="32"/>
  <c r="L202" i="32" s="1"/>
  <c r="L203" i="32" s="1"/>
  <c r="L200" i="32"/>
  <c r="L201" i="32" s="1"/>
  <c r="K200" i="32"/>
  <c r="K198" i="32"/>
  <c r="L198" i="32" s="1"/>
  <c r="L199" i="32" s="1"/>
  <c r="K196" i="32"/>
  <c r="L196" i="32" s="1"/>
  <c r="L197" i="32" s="1"/>
  <c r="K194" i="32"/>
  <c r="L194" i="32" s="1"/>
  <c r="L195" i="32" s="1"/>
  <c r="K192" i="32"/>
  <c r="L192" i="32" s="1"/>
  <c r="L193" i="32" s="1"/>
  <c r="K190" i="32"/>
  <c r="L190" i="32" s="1"/>
  <c r="L191" i="32" s="1"/>
  <c r="K188" i="32"/>
  <c r="L188" i="32" s="1"/>
  <c r="L189" i="32" s="1"/>
  <c r="L186" i="32"/>
  <c r="L187" i="32" s="1"/>
  <c r="K186" i="32"/>
  <c r="K184" i="32"/>
  <c r="L184" i="32" s="1"/>
  <c r="L185" i="32" s="1"/>
  <c r="L182" i="32"/>
  <c r="L183" i="32" s="1"/>
  <c r="K182" i="32"/>
  <c r="K180" i="32"/>
  <c r="L180" i="32" s="1"/>
  <c r="L181" i="32" s="1"/>
  <c r="L179" i="32"/>
  <c r="L178" i="32"/>
  <c r="K178" i="32"/>
  <c r="K176" i="32"/>
  <c r="L176" i="32" s="1"/>
  <c r="L177" i="32" s="1"/>
  <c r="L174" i="32"/>
  <c r="L175" i="32" s="1"/>
  <c r="K174" i="32"/>
  <c r="K172" i="32"/>
  <c r="L172" i="32" s="1"/>
  <c r="L173" i="32" s="1"/>
  <c r="K170" i="32"/>
  <c r="L170" i="32" s="1"/>
  <c r="L171" i="32" s="1"/>
  <c r="K168" i="32"/>
  <c r="L168" i="32" s="1"/>
  <c r="L169" i="32" s="1"/>
  <c r="K166" i="32"/>
  <c r="L166" i="32" s="1"/>
  <c r="L167" i="32" s="1"/>
  <c r="K164" i="32"/>
  <c r="L164" i="32" s="1"/>
  <c r="L165" i="32" s="1"/>
  <c r="K162" i="32"/>
  <c r="L162" i="32" s="1"/>
  <c r="L163" i="32" s="1"/>
  <c r="K160" i="32"/>
  <c r="L160" i="32" s="1"/>
  <c r="L161" i="32" s="1"/>
  <c r="K158" i="32"/>
  <c r="L158" i="32" s="1"/>
  <c r="L159" i="32" s="1"/>
  <c r="L157" i="32"/>
  <c r="K156" i="32"/>
  <c r="L156" i="32" s="1"/>
  <c r="L154" i="32"/>
  <c r="L155" i="32" s="1"/>
  <c r="K154" i="32"/>
  <c r="K152" i="32"/>
  <c r="L152" i="32" s="1"/>
  <c r="L153" i="32" s="1"/>
  <c r="K150" i="32"/>
  <c r="L150" i="32" s="1"/>
  <c r="L151" i="32" s="1"/>
  <c r="K148" i="32"/>
  <c r="L148" i="32" s="1"/>
  <c r="L149" i="32" s="1"/>
  <c r="L146" i="32"/>
  <c r="L147" i="32" s="1"/>
  <c r="K146" i="32"/>
  <c r="K144" i="32"/>
  <c r="L144" i="32" s="1"/>
  <c r="L145" i="32" s="1"/>
  <c r="L142" i="32"/>
  <c r="L143" i="32" s="1"/>
  <c r="K142" i="32"/>
  <c r="K140" i="32"/>
  <c r="L140" i="32" s="1"/>
  <c r="L141" i="32" s="1"/>
  <c r="K138" i="32"/>
  <c r="L138" i="32" s="1"/>
  <c r="L139" i="32" s="1"/>
  <c r="L136" i="32"/>
  <c r="L137" i="32" s="1"/>
  <c r="K136" i="32"/>
  <c r="K134" i="32"/>
  <c r="L134" i="32" s="1"/>
  <c r="L135" i="32" s="1"/>
  <c r="K132" i="32"/>
  <c r="L132" i="32" s="1"/>
  <c r="L133" i="32" s="1"/>
  <c r="K130" i="32"/>
  <c r="L130" i="32" s="1"/>
  <c r="L131" i="32" s="1"/>
  <c r="K128" i="32"/>
  <c r="L128" i="32" s="1"/>
  <c r="L129" i="32" s="1"/>
  <c r="K126" i="32"/>
  <c r="L126" i="32" s="1"/>
  <c r="L127" i="32" s="1"/>
  <c r="K124" i="32"/>
  <c r="L124" i="32" s="1"/>
  <c r="L125" i="32" s="1"/>
  <c r="L122" i="32"/>
  <c r="L123" i="32" s="1"/>
  <c r="K122" i="32"/>
  <c r="K120" i="32"/>
  <c r="L120" i="32" s="1"/>
  <c r="L121" i="32" s="1"/>
  <c r="K118" i="32"/>
  <c r="L118" i="32" s="1"/>
  <c r="L119" i="32" s="1"/>
  <c r="K116" i="32"/>
  <c r="L116" i="32" s="1"/>
  <c r="L117" i="32" s="1"/>
  <c r="L114" i="32"/>
  <c r="L115" i="32" s="1"/>
  <c r="K114" i="32"/>
  <c r="K112" i="32"/>
  <c r="L112" i="32" s="1"/>
  <c r="L113" i="32" s="1"/>
  <c r="L110" i="32"/>
  <c r="L111" i="32" s="1"/>
  <c r="K110" i="32"/>
  <c r="K108" i="32"/>
  <c r="L108" i="32" s="1"/>
  <c r="L109" i="32" s="1"/>
  <c r="K106" i="32"/>
  <c r="L106" i="32" s="1"/>
  <c r="L107" i="32" s="1"/>
  <c r="L104" i="32"/>
  <c r="L105" i="32" s="1"/>
  <c r="K104" i="32"/>
  <c r="K102" i="32"/>
  <c r="L102" i="32" s="1"/>
  <c r="L103" i="32" s="1"/>
  <c r="L101" i="32"/>
  <c r="K100" i="32"/>
  <c r="L100" i="32" s="1"/>
  <c r="K98" i="32"/>
  <c r="L98" i="32" s="1"/>
  <c r="L99" i="32" s="1"/>
  <c r="K96" i="32"/>
  <c r="L96" i="32" s="1"/>
  <c r="L97" i="32" s="1"/>
  <c r="K94" i="32"/>
  <c r="L94" i="32" s="1"/>
  <c r="L95" i="32" s="1"/>
  <c r="K92" i="32"/>
  <c r="L92" i="32" s="1"/>
  <c r="L93" i="32" s="1"/>
  <c r="L90" i="32"/>
  <c r="L91" i="32" s="1"/>
  <c r="K90" i="32"/>
  <c r="K88" i="32"/>
  <c r="L88" i="32" s="1"/>
  <c r="L89" i="32" s="1"/>
  <c r="K86" i="32"/>
  <c r="L86" i="32" s="1"/>
  <c r="L87" i="32" s="1"/>
  <c r="K84" i="32"/>
  <c r="L84" i="32" s="1"/>
  <c r="L85" i="32" s="1"/>
  <c r="L82" i="32"/>
  <c r="L83" i="32" s="1"/>
  <c r="K82" i="32"/>
  <c r="K80" i="32"/>
  <c r="L80" i="32" s="1"/>
  <c r="L81" i="32" s="1"/>
  <c r="L78" i="32"/>
  <c r="L79" i="32" s="1"/>
  <c r="K78" i="32"/>
  <c r="K76" i="32"/>
  <c r="L76" i="32" s="1"/>
  <c r="L77" i="32" s="1"/>
  <c r="K74" i="32"/>
  <c r="L74" i="32" s="1"/>
  <c r="L75" i="32" s="1"/>
  <c r="K72" i="32"/>
  <c r="L72" i="32" s="1"/>
  <c r="L73" i="32" s="1"/>
  <c r="K70" i="32"/>
  <c r="L70" i="32" s="1"/>
  <c r="L71" i="32" s="1"/>
  <c r="L69" i="32"/>
  <c r="K68" i="32"/>
  <c r="L68" i="32" s="1"/>
  <c r="K66" i="32"/>
  <c r="L66" i="32" s="1"/>
  <c r="L67" i="32" s="1"/>
  <c r="K64" i="32"/>
  <c r="L64" i="32" s="1"/>
  <c r="L65" i="32" s="1"/>
  <c r="K62" i="32"/>
  <c r="L62" i="32" s="1"/>
  <c r="L63" i="32" s="1"/>
  <c r="K60" i="32"/>
  <c r="L60" i="32" s="1"/>
  <c r="L61" i="32" s="1"/>
  <c r="L58" i="32"/>
  <c r="L59" i="32" s="1"/>
  <c r="K58" i="32"/>
  <c r="K56" i="32"/>
  <c r="L56" i="32" s="1"/>
  <c r="L57" i="32" s="1"/>
  <c r="K54" i="32"/>
  <c r="L54" i="32" s="1"/>
  <c r="L55" i="32" s="1"/>
  <c r="K52" i="32"/>
  <c r="L52" i="32" s="1"/>
  <c r="L53" i="32" s="1"/>
  <c r="L50" i="32"/>
  <c r="L51" i="32" s="1"/>
  <c r="K50" i="32"/>
  <c r="K48" i="32"/>
  <c r="L48" i="32" s="1"/>
  <c r="L49" i="32" s="1"/>
  <c r="L46" i="32"/>
  <c r="L47" i="32" s="1"/>
  <c r="K46" i="32"/>
  <c r="K44" i="32"/>
  <c r="L44" i="32" s="1"/>
  <c r="L45" i="32" s="1"/>
  <c r="K42" i="32"/>
  <c r="L42" i="32" s="1"/>
  <c r="L43" i="32" s="1"/>
  <c r="L40" i="32"/>
  <c r="L41" i="32" s="1"/>
  <c r="K40" i="32"/>
  <c r="K38" i="32"/>
  <c r="L38" i="32" s="1"/>
  <c r="L39" i="32" s="1"/>
  <c r="K36" i="32"/>
  <c r="L36" i="32" s="1"/>
  <c r="L37" i="32" s="1"/>
  <c r="K34" i="32"/>
  <c r="L34" i="32" s="1"/>
  <c r="L35" i="32" s="1"/>
  <c r="K32" i="32"/>
  <c r="L32" i="32" s="1"/>
  <c r="L33" i="32" s="1"/>
  <c r="K30" i="32"/>
  <c r="L30" i="32" s="1"/>
  <c r="L31" i="32" s="1"/>
  <c r="K28" i="32"/>
  <c r="L28" i="32" s="1"/>
  <c r="L29" i="32" s="1"/>
  <c r="L26" i="32"/>
  <c r="L27" i="32" s="1"/>
  <c r="K26" i="32"/>
  <c r="K24" i="32"/>
  <c r="L24" i="32" s="1"/>
  <c r="L25" i="32" s="1"/>
  <c r="K22" i="32"/>
  <c r="L22" i="32" s="1"/>
  <c r="L23" i="32" s="1"/>
  <c r="K20" i="32"/>
  <c r="L20" i="32" s="1"/>
  <c r="L21" i="32" s="1"/>
  <c r="L18" i="32"/>
  <c r="L19" i="32" s="1"/>
  <c r="K18" i="32"/>
  <c r="K16" i="32"/>
  <c r="L16" i="32" s="1"/>
  <c r="L17" i="32" s="1"/>
  <c r="L14" i="32"/>
  <c r="L15" i="32" s="1"/>
  <c r="K14" i="32"/>
  <c r="K12" i="32"/>
  <c r="L12" i="32" s="1"/>
  <c r="L13" i="32" s="1"/>
  <c r="K10" i="32"/>
  <c r="L10" i="32" s="1"/>
  <c r="L11" i="32" s="1"/>
  <c r="K8" i="32"/>
  <c r="L8" i="32" s="1"/>
  <c r="L9" i="32" s="1"/>
  <c r="K6" i="32"/>
  <c r="L6" i="32" s="1"/>
  <c r="L7" i="32" s="1"/>
  <c r="K4" i="32"/>
  <c r="L4" i="32" s="1"/>
  <c r="L5" i="32" s="1"/>
  <c r="K2" i="32"/>
  <c r="L2" i="32" s="1"/>
  <c r="L3" i="32" s="1"/>
  <c r="M1" i="32"/>
  <c r="I1" i="32"/>
  <c r="H1" i="32"/>
  <c r="G1" i="32"/>
  <c r="D19" i="31"/>
  <c r="D18" i="31"/>
  <c r="D17" i="31"/>
  <c r="D16" i="31"/>
  <c r="D15" i="31"/>
  <c r="D14" i="31"/>
  <c r="D13" i="31"/>
  <c r="D12" i="31"/>
  <c r="D11" i="31"/>
  <c r="D10" i="31"/>
  <c r="D9" i="31"/>
  <c r="D8" i="31"/>
  <c r="D7" i="31"/>
  <c r="D6" i="31"/>
  <c r="D5" i="31"/>
  <c r="D4" i="31"/>
  <c r="F42" i="30"/>
  <c r="H42" i="30" s="1"/>
  <c r="G41" i="30"/>
  <c r="F41" i="30"/>
  <c r="H41" i="30" s="1"/>
  <c r="F40" i="30"/>
  <c r="H40" i="30" s="1"/>
  <c r="F39" i="30"/>
  <c r="H39" i="30" s="1"/>
  <c r="F38" i="30"/>
  <c r="H38" i="30" s="1"/>
  <c r="F37" i="30"/>
  <c r="H37" i="30" s="1"/>
  <c r="F36" i="30"/>
  <c r="H36" i="30" s="1"/>
  <c r="F35" i="30"/>
  <c r="H35" i="30" s="1"/>
  <c r="F34" i="30"/>
  <c r="H34" i="30" s="1"/>
  <c r="H33" i="30"/>
  <c r="F33" i="30"/>
  <c r="G33" i="30" s="1"/>
  <c r="F32" i="30"/>
  <c r="H32" i="30" s="1"/>
  <c r="F31" i="30"/>
  <c r="H31" i="30" s="1"/>
  <c r="H30" i="30"/>
  <c r="G30" i="30"/>
  <c r="F30" i="30"/>
  <c r="F29" i="30"/>
  <c r="H29" i="30" s="1"/>
  <c r="H28" i="30"/>
  <c r="F28" i="30"/>
  <c r="G28" i="30" s="1"/>
  <c r="G27" i="30"/>
  <c r="F27" i="30"/>
  <c r="H27" i="30" s="1"/>
  <c r="F26" i="30"/>
  <c r="H26" i="30" s="1"/>
  <c r="G25" i="30"/>
  <c r="F25" i="30"/>
  <c r="H25" i="30" s="1"/>
  <c r="F24" i="30"/>
  <c r="H24" i="30" s="1"/>
  <c r="F23" i="30"/>
  <c r="H23" i="30" s="1"/>
  <c r="F22" i="30"/>
  <c r="H22" i="30" s="1"/>
  <c r="F21" i="30"/>
  <c r="H21" i="30" s="1"/>
  <c r="F20" i="30"/>
  <c r="H20" i="30" s="1"/>
  <c r="G19" i="30"/>
  <c r="F19" i="30"/>
  <c r="H19" i="30" s="1"/>
  <c r="F18" i="30"/>
  <c r="H18" i="30" s="1"/>
  <c r="H17" i="30"/>
  <c r="F17" i="30"/>
  <c r="G17" i="30" s="1"/>
  <c r="F16" i="30"/>
  <c r="H16" i="30" s="1"/>
  <c r="F15" i="30"/>
  <c r="H15" i="30" s="1"/>
  <c r="H14" i="30"/>
  <c r="G14" i="30"/>
  <c r="F14" i="30"/>
  <c r="F13" i="30"/>
  <c r="H13" i="30" s="1"/>
  <c r="H12" i="30"/>
  <c r="F12" i="30"/>
  <c r="G12" i="30" s="1"/>
  <c r="F11" i="30"/>
  <c r="H11" i="30" s="1"/>
  <c r="F10" i="30"/>
  <c r="H10" i="30" s="1"/>
  <c r="G9" i="30"/>
  <c r="F9" i="30"/>
  <c r="H9" i="30" s="1"/>
  <c r="F8" i="30"/>
  <c r="H8" i="30" s="1"/>
  <c r="F7" i="30"/>
  <c r="H7" i="30" s="1"/>
  <c r="F6" i="30"/>
  <c r="H6" i="30" s="1"/>
  <c r="F5" i="30"/>
  <c r="H5" i="30" s="1"/>
  <c r="J5" i="30" s="1"/>
  <c r="J6" i="30" s="1"/>
  <c r="J7" i="30" s="1"/>
  <c r="G126" i="29"/>
  <c r="G143" i="29" s="1"/>
  <c r="J113" i="29"/>
  <c r="G113" i="29"/>
  <c r="G131" i="29" s="1"/>
  <c r="G112" i="29"/>
  <c r="G110" i="29"/>
  <c r="G109" i="29"/>
  <c r="J108" i="29"/>
  <c r="K108" i="29" s="1"/>
  <c r="K107" i="29"/>
  <c r="J107" i="29"/>
  <c r="J106" i="29"/>
  <c r="K106" i="29" s="1"/>
  <c r="J105" i="29"/>
  <c r="K105" i="29" s="1"/>
  <c r="J104" i="29"/>
  <c r="K104" i="29" s="1"/>
  <c r="J103" i="29"/>
  <c r="K103" i="29" s="1"/>
  <c r="K102" i="29"/>
  <c r="J102" i="29"/>
  <c r="J101" i="29"/>
  <c r="K101" i="29" s="1"/>
  <c r="G100" i="29"/>
  <c r="G97" i="29"/>
  <c r="G98" i="29" s="1"/>
  <c r="J96" i="29"/>
  <c r="K96" i="29" s="1"/>
  <c r="K95" i="29"/>
  <c r="J93" i="29"/>
  <c r="G93" i="29"/>
  <c r="G94" i="29" s="1"/>
  <c r="K92" i="29"/>
  <c r="G91" i="29"/>
  <c r="K91" i="29" s="1"/>
  <c r="K90" i="29"/>
  <c r="J90" i="29"/>
  <c r="K83" i="29"/>
  <c r="G81" i="29"/>
  <c r="G82" i="29" s="1"/>
  <c r="K80" i="29"/>
  <c r="K79" i="29"/>
  <c r="J79" i="29"/>
  <c r="G68" i="29"/>
  <c r="J68" i="29" s="1"/>
  <c r="G67" i="29"/>
  <c r="J67" i="29" s="1"/>
  <c r="K67" i="29" s="1"/>
  <c r="J66" i="29"/>
  <c r="J65" i="29"/>
  <c r="J64" i="29"/>
  <c r="J63" i="29"/>
  <c r="K62" i="29"/>
  <c r="K61" i="29"/>
  <c r="K60" i="29"/>
  <c r="K59" i="29"/>
  <c r="K58" i="29"/>
  <c r="K55" i="29"/>
  <c r="G54" i="29"/>
  <c r="K54" i="29" s="1"/>
  <c r="G53" i="29"/>
  <c r="G56" i="29" s="1"/>
  <c r="J49" i="29"/>
  <c r="G49" i="29"/>
  <c r="K49" i="29" s="1"/>
  <c r="G48" i="29"/>
  <c r="G50" i="29" s="1"/>
  <c r="K47" i="29"/>
  <c r="K46" i="29"/>
  <c r="K45" i="29"/>
  <c r="J45" i="29"/>
  <c r="K44" i="29"/>
  <c r="K42" i="29"/>
  <c r="J42" i="29"/>
  <c r="G42" i="29"/>
  <c r="G43" i="29" s="1"/>
  <c r="K41" i="29"/>
  <c r="K40" i="29"/>
  <c r="K39" i="29"/>
  <c r="J39" i="29"/>
  <c r="K38" i="29"/>
  <c r="G37" i="29"/>
  <c r="G36" i="29"/>
  <c r="K35" i="29"/>
  <c r="K34" i="29"/>
  <c r="K33" i="29"/>
  <c r="J33" i="29"/>
  <c r="G30" i="29"/>
  <c r="G32" i="29" s="1"/>
  <c r="G29" i="29"/>
  <c r="K28" i="29"/>
  <c r="K27" i="29"/>
  <c r="K26" i="29"/>
  <c r="J26" i="29"/>
  <c r="J25" i="29"/>
  <c r="K25" i="29" s="1"/>
  <c r="J24" i="29"/>
  <c r="K24" i="29" s="1"/>
  <c r="J23" i="29"/>
  <c r="K23" i="29" s="1"/>
  <c r="J22" i="29"/>
  <c r="K22" i="29" s="1"/>
  <c r="K21" i="29"/>
  <c r="J21" i="29"/>
  <c r="J20" i="29"/>
  <c r="K20" i="29" s="1"/>
  <c r="K19" i="29"/>
  <c r="J19" i="29"/>
  <c r="K18" i="29"/>
  <c r="J18" i="29"/>
  <c r="J17" i="29"/>
  <c r="K17" i="29" s="1"/>
  <c r="J16" i="29"/>
  <c r="K16" i="29" s="1"/>
  <c r="K15" i="29"/>
  <c r="G14" i="29"/>
  <c r="G114" i="29" s="1"/>
  <c r="K13" i="29"/>
  <c r="J13" i="29"/>
  <c r="G13" i="29"/>
  <c r="K12" i="29"/>
  <c r="K11" i="29"/>
  <c r="J10" i="29"/>
  <c r="K10" i="29" s="1"/>
  <c r="G9" i="29"/>
  <c r="K8" i="29"/>
  <c r="K7" i="29"/>
  <c r="J6" i="29"/>
  <c r="K6" i="29" s="1"/>
  <c r="J5" i="29"/>
  <c r="K5" i="29" s="1"/>
  <c r="K4" i="29"/>
  <c r="J4" i="29"/>
  <c r="G4" i="29"/>
  <c r="G75" i="29" s="1"/>
  <c r="J3" i="29"/>
  <c r="K3" i="29" s="1"/>
  <c r="J2" i="29"/>
  <c r="K2" i="29" s="1"/>
  <c r="L1" i="29"/>
  <c r="H251" i="28"/>
  <c r="G251" i="28"/>
  <c r="J240" i="28"/>
  <c r="J251" i="28" s="1"/>
  <c r="I240" i="28"/>
  <c r="L240" i="28" s="1"/>
  <c r="H240" i="28"/>
  <c r="G240" i="28"/>
  <c r="M240" i="28" s="1"/>
  <c r="L236" i="28"/>
  <c r="M236" i="28" s="1"/>
  <c r="J236" i="28"/>
  <c r="I236" i="28"/>
  <c r="H236" i="28"/>
  <c r="G236" i="28"/>
  <c r="I235" i="28"/>
  <c r="H235" i="28"/>
  <c r="G235" i="28"/>
  <c r="H234" i="28"/>
  <c r="G234" i="28"/>
  <c r="I232" i="28"/>
  <c r="I231" i="28"/>
  <c r="I229" i="28"/>
  <c r="G229" i="28"/>
  <c r="G231" i="28" s="1"/>
  <c r="J228" i="28"/>
  <c r="M228" i="28" s="1"/>
  <c r="I228" i="28"/>
  <c r="H228" i="28"/>
  <c r="G228" i="28"/>
  <c r="J227" i="28"/>
  <c r="I227" i="28"/>
  <c r="H227" i="28"/>
  <c r="G227" i="28"/>
  <c r="M227" i="28" s="1"/>
  <c r="J226" i="28"/>
  <c r="M226" i="28" s="1"/>
  <c r="I226" i="28"/>
  <c r="H226" i="28"/>
  <c r="G226" i="28"/>
  <c r="J225" i="28"/>
  <c r="J234" i="28" s="1"/>
  <c r="I225" i="28"/>
  <c r="I234" i="28" s="1"/>
  <c r="H225" i="28"/>
  <c r="G225" i="28"/>
  <c r="J224" i="28"/>
  <c r="J233" i="28" s="1"/>
  <c r="I224" i="28"/>
  <c r="I233" i="28" s="1"/>
  <c r="H224" i="28"/>
  <c r="H233" i="28" s="1"/>
  <c r="G224" i="28"/>
  <c r="M224" i="28" s="1"/>
  <c r="J223" i="28"/>
  <c r="J178" i="28" s="1"/>
  <c r="I223" i="28"/>
  <c r="I178" i="28" s="1"/>
  <c r="H223" i="28"/>
  <c r="H178" i="28" s="1"/>
  <c r="G223" i="28"/>
  <c r="G178" i="28" s="1"/>
  <c r="L222" i="28"/>
  <c r="M222" i="28" s="1"/>
  <c r="L221" i="28"/>
  <c r="J221" i="28"/>
  <c r="I221" i="28"/>
  <c r="H221" i="28"/>
  <c r="G221" i="28"/>
  <c r="J220" i="28"/>
  <c r="I220" i="28"/>
  <c r="H220" i="28"/>
  <c r="G220" i="28"/>
  <c r="L220" i="28" s="1"/>
  <c r="L219" i="28"/>
  <c r="J219" i="28"/>
  <c r="I219" i="28"/>
  <c r="H219" i="28"/>
  <c r="G219" i="28"/>
  <c r="J218" i="28"/>
  <c r="L218" i="28" s="1"/>
  <c r="I218" i="28"/>
  <c r="H218" i="28"/>
  <c r="G218" i="28"/>
  <c r="J217" i="28"/>
  <c r="I217" i="28"/>
  <c r="H217" i="28"/>
  <c r="G217" i="28"/>
  <c r="L217" i="28" s="1"/>
  <c r="J216" i="28"/>
  <c r="L216" i="28" s="1"/>
  <c r="I216" i="28"/>
  <c r="H216" i="28"/>
  <c r="G216" i="28"/>
  <c r="J215" i="28"/>
  <c r="I215" i="28"/>
  <c r="L215" i="28" s="1"/>
  <c r="H215" i="28"/>
  <c r="G215" i="28"/>
  <c r="J214" i="28"/>
  <c r="I214" i="28"/>
  <c r="H214" i="28"/>
  <c r="G214" i="28"/>
  <c r="L214" i="28" s="1"/>
  <c r="J213" i="28"/>
  <c r="I213" i="28"/>
  <c r="L213" i="28" s="1"/>
  <c r="H213" i="28"/>
  <c r="G213" i="28"/>
  <c r="J212" i="28"/>
  <c r="I212" i="28"/>
  <c r="H212" i="28"/>
  <c r="L212" i="28" s="1"/>
  <c r="G212" i="28"/>
  <c r="J211" i="28"/>
  <c r="I211" i="28"/>
  <c r="H211" i="28"/>
  <c r="G211" i="28"/>
  <c r="L210" i="28"/>
  <c r="M210" i="28" s="1"/>
  <c r="AN209" i="28"/>
  <c r="AB209" i="28"/>
  <c r="T209" i="28"/>
  <c r="L209" i="28"/>
  <c r="M209" i="28" s="1"/>
  <c r="L208" i="28"/>
  <c r="M208" i="28" s="1"/>
  <c r="L207" i="28"/>
  <c r="M207" i="28" s="1"/>
  <c r="L206" i="28"/>
  <c r="M206" i="28" s="1"/>
  <c r="F206" i="28"/>
  <c r="L205" i="28"/>
  <c r="M205" i="28" s="1"/>
  <c r="F205" i="28"/>
  <c r="L204" i="28"/>
  <c r="M204" i="28" s="1"/>
  <c r="F204" i="28"/>
  <c r="M203" i="28"/>
  <c r="L203" i="28"/>
  <c r="L202" i="28"/>
  <c r="M202" i="28" s="1"/>
  <c r="F202" i="28"/>
  <c r="L201" i="28"/>
  <c r="M201" i="28" s="1"/>
  <c r="L200" i="28"/>
  <c r="M200" i="28" s="1"/>
  <c r="L199" i="28"/>
  <c r="M199" i="28" s="1"/>
  <c r="L198" i="28"/>
  <c r="M198" i="28" s="1"/>
  <c r="L197" i="28"/>
  <c r="J197" i="28"/>
  <c r="I197" i="28"/>
  <c r="H197" i="28"/>
  <c r="G197" i="28"/>
  <c r="M197" i="28" s="1"/>
  <c r="L196" i="28"/>
  <c r="M196" i="28" s="1"/>
  <c r="M195" i="28"/>
  <c r="M194" i="28"/>
  <c r="M193" i="28"/>
  <c r="J192" i="28"/>
  <c r="I192" i="28"/>
  <c r="H192" i="28"/>
  <c r="G192" i="28"/>
  <c r="M191" i="28"/>
  <c r="M190" i="28"/>
  <c r="M189" i="28"/>
  <c r="L187" i="28"/>
  <c r="M187" i="28" s="1"/>
  <c r="M186" i="28"/>
  <c r="M185" i="28"/>
  <c r="M184" i="28"/>
  <c r="M181" i="28"/>
  <c r="J179" i="28"/>
  <c r="I179" i="28"/>
  <c r="H179" i="28"/>
  <c r="H180" i="28" s="1"/>
  <c r="G179" i="28"/>
  <c r="G180" i="28" s="1"/>
  <c r="L177" i="28"/>
  <c r="M177" i="28" s="1"/>
  <c r="J175" i="28"/>
  <c r="J176" i="28" s="1"/>
  <c r="J238" i="28" s="1"/>
  <c r="J249" i="28" s="1"/>
  <c r="I175" i="28"/>
  <c r="I176" i="28" s="1"/>
  <c r="I238" i="28" s="1"/>
  <c r="I249" i="28" s="1"/>
  <c r="J174" i="28"/>
  <c r="I174" i="28"/>
  <c r="H174" i="28"/>
  <c r="H175" i="28" s="1"/>
  <c r="H176" i="28" s="1"/>
  <c r="H238" i="28" s="1"/>
  <c r="H249" i="28" s="1"/>
  <c r="G174" i="28"/>
  <c r="G175" i="28" s="1"/>
  <c r="M173" i="28"/>
  <c r="M172" i="28"/>
  <c r="L171" i="28"/>
  <c r="M171" i="28" s="1"/>
  <c r="J167" i="28"/>
  <c r="J165" i="28"/>
  <c r="J169" i="28" s="1"/>
  <c r="I165" i="28"/>
  <c r="I169" i="28" s="1"/>
  <c r="I244" i="28" s="1"/>
  <c r="I255" i="28" s="1"/>
  <c r="H165" i="28"/>
  <c r="H169" i="28" s="1"/>
  <c r="H244" i="28" s="1"/>
  <c r="H255" i="28" s="1"/>
  <c r="G165" i="28"/>
  <c r="G169" i="28" s="1"/>
  <c r="L163" i="28"/>
  <c r="M163" i="28" s="1"/>
  <c r="N1" i="28" s="1"/>
  <c r="O161" i="28"/>
  <c r="J158" i="28"/>
  <c r="I158" i="28"/>
  <c r="H158" i="28"/>
  <c r="G158" i="28"/>
  <c r="L158" i="28" s="1"/>
  <c r="M158" i="28" s="1"/>
  <c r="M154" i="28"/>
  <c r="AK152" i="28"/>
  <c r="J245" i="28" s="1"/>
  <c r="J256" i="28" s="1"/>
  <c r="J152" i="28"/>
  <c r="I152" i="28"/>
  <c r="H152" i="28"/>
  <c r="G152" i="28"/>
  <c r="L152" i="28" s="1"/>
  <c r="M152" i="28" s="1"/>
  <c r="J151" i="28"/>
  <c r="I151" i="28"/>
  <c r="H151" i="28"/>
  <c r="G151" i="28"/>
  <c r="J148" i="28"/>
  <c r="J156" i="28" s="1"/>
  <c r="J147" i="28"/>
  <c r="J157" i="28" s="1"/>
  <c r="J239" i="28" s="1"/>
  <c r="J250" i="28" s="1"/>
  <c r="I147" i="28"/>
  <c r="H147" i="28"/>
  <c r="G147" i="28"/>
  <c r="J146" i="28"/>
  <c r="I146" i="28"/>
  <c r="H146" i="28"/>
  <c r="G146" i="28"/>
  <c r="L145" i="28"/>
  <c r="M144" i="28"/>
  <c r="L144" i="28"/>
  <c r="J143" i="28"/>
  <c r="M142" i="28"/>
  <c r="L142" i="28"/>
  <c r="J141" i="28"/>
  <c r="I141" i="28"/>
  <c r="H141" i="28"/>
  <c r="G141" i="28"/>
  <c r="J140" i="28"/>
  <c r="J150" i="28" s="1"/>
  <c r="I140" i="28"/>
  <c r="I167" i="28" s="1"/>
  <c r="I168" i="28" s="1"/>
  <c r="I247" i="28" s="1"/>
  <c r="I258" i="28" s="1"/>
  <c r="H140" i="28"/>
  <c r="H167" i="28" s="1"/>
  <c r="G140" i="28"/>
  <c r="G150" i="28" s="1"/>
  <c r="J139" i="28"/>
  <c r="I139" i="28"/>
  <c r="H139" i="28"/>
  <c r="G139" i="28"/>
  <c r="L138" i="28"/>
  <c r="M138" i="28" s="1"/>
  <c r="M137" i="28"/>
  <c r="L136" i="28"/>
  <c r="M136" i="28" s="1"/>
  <c r="L135" i="28"/>
  <c r="M135" i="28" s="1"/>
  <c r="L134" i="28"/>
  <c r="M134" i="28" s="1"/>
  <c r="L133" i="28"/>
  <c r="M133" i="28" s="1"/>
  <c r="L132" i="28"/>
  <c r="M132" i="28" s="1"/>
  <c r="J131" i="28"/>
  <c r="I131" i="28"/>
  <c r="H131" i="28"/>
  <c r="G131" i="28"/>
  <c r="L130" i="28"/>
  <c r="M130" i="28" s="1"/>
  <c r="M129" i="28"/>
  <c r="M128" i="28"/>
  <c r="L128" i="28"/>
  <c r="M127" i="28"/>
  <c r="L127" i="28"/>
  <c r="J126" i="28"/>
  <c r="I126" i="28"/>
  <c r="H126" i="28"/>
  <c r="G126" i="28"/>
  <c r="J125" i="28"/>
  <c r="I125" i="28"/>
  <c r="H125" i="28"/>
  <c r="G125" i="28"/>
  <c r="F125" i="28"/>
  <c r="L124" i="28"/>
  <c r="M124" i="28" s="1"/>
  <c r="J124" i="28"/>
  <c r="I124" i="28"/>
  <c r="H124" i="28"/>
  <c r="G124" i="28"/>
  <c r="F124" i="28"/>
  <c r="J123" i="28"/>
  <c r="I123" i="28"/>
  <c r="H123" i="28"/>
  <c r="G123" i="28"/>
  <c r="J122" i="28"/>
  <c r="I122" i="28"/>
  <c r="H122" i="28"/>
  <c r="G122" i="28"/>
  <c r="M121" i="28"/>
  <c r="L121" i="28"/>
  <c r="M120" i="28"/>
  <c r="L120" i="28"/>
  <c r="J119" i="28"/>
  <c r="I119" i="28"/>
  <c r="H119" i="28"/>
  <c r="G119" i="28"/>
  <c r="J118" i="28"/>
  <c r="I118" i="28"/>
  <c r="H118" i="28"/>
  <c r="G118" i="28"/>
  <c r="F118" i="28"/>
  <c r="J117" i="28"/>
  <c r="I117" i="28"/>
  <c r="H117" i="28"/>
  <c r="G117" i="28"/>
  <c r="F117" i="28"/>
  <c r="J116" i="28"/>
  <c r="I116" i="28"/>
  <c r="H116" i="28"/>
  <c r="G116" i="28"/>
  <c r="L116" i="28" s="1"/>
  <c r="M116" i="28" s="1"/>
  <c r="M115" i="28"/>
  <c r="L115" i="28"/>
  <c r="M114" i="28"/>
  <c r="L114" i="28"/>
  <c r="M113" i="28"/>
  <c r="L113" i="28"/>
  <c r="J112" i="28"/>
  <c r="I112" i="28"/>
  <c r="H112" i="28"/>
  <c r="G112" i="28"/>
  <c r="J111" i="28"/>
  <c r="I111" i="28"/>
  <c r="H111" i="28"/>
  <c r="G111" i="28"/>
  <c r="F111" i="28"/>
  <c r="J110" i="28"/>
  <c r="I110" i="28"/>
  <c r="H110" i="28"/>
  <c r="G110" i="28"/>
  <c r="F110" i="28"/>
  <c r="J109" i="28"/>
  <c r="I109" i="28"/>
  <c r="H109" i="28"/>
  <c r="G109" i="28"/>
  <c r="L109" i="28" s="1"/>
  <c r="M109" i="28" s="1"/>
  <c r="J108" i="28"/>
  <c r="I108" i="28"/>
  <c r="H108" i="28"/>
  <c r="L108" i="28" s="1"/>
  <c r="M108" i="28" s="1"/>
  <c r="G108" i="28"/>
  <c r="L107" i="28"/>
  <c r="M107" i="28" s="1"/>
  <c r="L106" i="28"/>
  <c r="M106" i="28" s="1"/>
  <c r="J105" i="28"/>
  <c r="I105" i="28"/>
  <c r="H105" i="28"/>
  <c r="G105" i="28"/>
  <c r="L105" i="28" s="1"/>
  <c r="M105" i="28" s="1"/>
  <c r="J104" i="28"/>
  <c r="I104" i="28"/>
  <c r="H104" i="28"/>
  <c r="L104" i="28" s="1"/>
  <c r="M104" i="28" s="1"/>
  <c r="G104" i="28"/>
  <c r="F104" i="28"/>
  <c r="J103" i="28"/>
  <c r="I103" i="28"/>
  <c r="L103" i="28" s="1"/>
  <c r="H103" i="28"/>
  <c r="G103" i="28"/>
  <c r="F103" i="28"/>
  <c r="J102" i="28"/>
  <c r="I102" i="28"/>
  <c r="H102" i="28"/>
  <c r="G102" i="28"/>
  <c r="J101" i="28"/>
  <c r="I101" i="28"/>
  <c r="H101" i="28"/>
  <c r="G101" i="28"/>
  <c r="M100" i="28"/>
  <c r="L100" i="28"/>
  <c r="M99" i="28"/>
  <c r="L99" i="28"/>
  <c r="J98" i="28"/>
  <c r="I98" i="28"/>
  <c r="H98" i="28"/>
  <c r="G98" i="28"/>
  <c r="J97" i="28"/>
  <c r="I97" i="28"/>
  <c r="H97" i="28"/>
  <c r="G97" i="28"/>
  <c r="F97" i="28"/>
  <c r="J96" i="28"/>
  <c r="I96" i="28"/>
  <c r="H96" i="28"/>
  <c r="G96" i="28"/>
  <c r="F96" i="28"/>
  <c r="J95" i="28"/>
  <c r="I95" i="28"/>
  <c r="H95" i="28"/>
  <c r="G95" i="28"/>
  <c r="J94" i="28"/>
  <c r="I94" i="28"/>
  <c r="H94" i="28"/>
  <c r="G94" i="28"/>
  <c r="M93" i="28"/>
  <c r="L93" i="28"/>
  <c r="M92" i="28"/>
  <c r="L92" i="28"/>
  <c r="J91" i="28"/>
  <c r="I91" i="28"/>
  <c r="H91" i="28"/>
  <c r="H89" i="28" s="1"/>
  <c r="G91" i="28"/>
  <c r="J90" i="28"/>
  <c r="I90" i="28"/>
  <c r="H90" i="28"/>
  <c r="G90" i="28"/>
  <c r="J89" i="28"/>
  <c r="I89" i="28"/>
  <c r="F89" i="28"/>
  <c r="J88" i="28"/>
  <c r="I88" i="28"/>
  <c r="H88" i="28"/>
  <c r="G88" i="28"/>
  <c r="F88" i="28"/>
  <c r="J87" i="28"/>
  <c r="I87" i="28"/>
  <c r="H87" i="28"/>
  <c r="G87" i="28"/>
  <c r="J86" i="28"/>
  <c r="I86" i="28"/>
  <c r="H86" i="28"/>
  <c r="G86" i="28"/>
  <c r="L85" i="28"/>
  <c r="M85" i="28" s="1"/>
  <c r="M84" i="28"/>
  <c r="L84" i="28"/>
  <c r="J83" i="28"/>
  <c r="I83" i="28"/>
  <c r="H83" i="28"/>
  <c r="G83" i="28"/>
  <c r="J82" i="28"/>
  <c r="I82" i="28"/>
  <c r="H82" i="28"/>
  <c r="G82" i="28"/>
  <c r="J81" i="28"/>
  <c r="I81" i="28"/>
  <c r="H81" i="28"/>
  <c r="G81" i="28"/>
  <c r="F81" i="28"/>
  <c r="L80" i="28"/>
  <c r="M80" i="28" s="1"/>
  <c r="J80" i="28"/>
  <c r="I80" i="28"/>
  <c r="H80" i="28"/>
  <c r="G80" i="28"/>
  <c r="J79" i="28"/>
  <c r="I79" i="28"/>
  <c r="H79" i="28"/>
  <c r="G79" i="28"/>
  <c r="L78" i="28"/>
  <c r="M78" i="28" s="1"/>
  <c r="L77" i="28"/>
  <c r="M77" i="28" s="1"/>
  <c r="L76" i="28"/>
  <c r="M76" i="28" s="1"/>
  <c r="J76" i="28"/>
  <c r="I76" i="28"/>
  <c r="H76" i="28"/>
  <c r="G76" i="28"/>
  <c r="J75" i="28"/>
  <c r="I75" i="28"/>
  <c r="H75" i="28"/>
  <c r="G75" i="28"/>
  <c r="F75" i="28"/>
  <c r="J74" i="28"/>
  <c r="I74" i="28"/>
  <c r="H74" i="28"/>
  <c r="H148" i="28" s="1"/>
  <c r="G74" i="28"/>
  <c r="F74" i="28"/>
  <c r="J73" i="28"/>
  <c r="I73" i="28"/>
  <c r="H73" i="28"/>
  <c r="G73" i="28"/>
  <c r="L72" i="28"/>
  <c r="M72" i="28" s="1"/>
  <c r="J72" i="28"/>
  <c r="I72" i="28"/>
  <c r="H72" i="28"/>
  <c r="G72" i="28"/>
  <c r="L71" i="28"/>
  <c r="M71" i="28" s="1"/>
  <c r="L70" i="28"/>
  <c r="M70" i="28" s="1"/>
  <c r="J69" i="28"/>
  <c r="I69" i="28"/>
  <c r="H69" i="28"/>
  <c r="G69" i="28"/>
  <c r="L68" i="28"/>
  <c r="M68" i="28" s="1"/>
  <c r="J68" i="28"/>
  <c r="I68" i="28"/>
  <c r="H68" i="28"/>
  <c r="G68" i="28"/>
  <c r="L67" i="28"/>
  <c r="M67" i="28" s="1"/>
  <c r="J67" i="28"/>
  <c r="I67" i="28"/>
  <c r="I148" i="28" s="1"/>
  <c r="H67" i="28"/>
  <c r="G67" i="28"/>
  <c r="F67" i="28"/>
  <c r="J66" i="28"/>
  <c r="I66" i="28"/>
  <c r="H66" i="28"/>
  <c r="G66" i="28"/>
  <c r="J65" i="28"/>
  <c r="I65" i="28"/>
  <c r="H65" i="28"/>
  <c r="G65" i="28"/>
  <c r="M64" i="28"/>
  <c r="L64" i="28"/>
  <c r="M63" i="28"/>
  <c r="L63" i="28"/>
  <c r="J62" i="28"/>
  <c r="I62" i="28"/>
  <c r="H62" i="28"/>
  <c r="G62" i="28"/>
  <c r="J61" i="28"/>
  <c r="I61" i="28"/>
  <c r="H61" i="28"/>
  <c r="G61" i="28"/>
  <c r="F61" i="28"/>
  <c r="J60" i="28"/>
  <c r="I60" i="28"/>
  <c r="H60" i="28"/>
  <c r="G60" i="28"/>
  <c r="L59" i="28"/>
  <c r="M59" i="28" s="1"/>
  <c r="J59" i="28"/>
  <c r="I59" i="28"/>
  <c r="H59" i="28"/>
  <c r="G59" i="28"/>
  <c r="G3" i="28" s="1"/>
  <c r="L58" i="28"/>
  <c r="M58" i="28" s="1"/>
  <c r="J58" i="28"/>
  <c r="I58" i="28"/>
  <c r="H58" i="28"/>
  <c r="G58" i="28"/>
  <c r="L57" i="28"/>
  <c r="M57" i="28" s="1"/>
  <c r="L56" i="28"/>
  <c r="M56" i="28" s="1"/>
  <c r="L55" i="28"/>
  <c r="M55" i="28" s="1"/>
  <c r="J55" i="28"/>
  <c r="I55" i="28"/>
  <c r="H55" i="28"/>
  <c r="G55" i="28"/>
  <c r="L54" i="28"/>
  <c r="M54" i="28" s="1"/>
  <c r="J54" i="28"/>
  <c r="I54" i="28"/>
  <c r="H54" i="28"/>
  <c r="G54" i="28"/>
  <c r="J53" i="28"/>
  <c r="I53" i="28"/>
  <c r="H53" i="28"/>
  <c r="G53" i="28"/>
  <c r="F53" i="28"/>
  <c r="J52" i="28"/>
  <c r="I52" i="28"/>
  <c r="H52" i="28"/>
  <c r="H3" i="28" s="1"/>
  <c r="H5" i="28" s="1"/>
  <c r="G52" i="28"/>
  <c r="J51" i="28"/>
  <c r="I51" i="28"/>
  <c r="H51" i="28"/>
  <c r="G51" i="28"/>
  <c r="L50" i="28"/>
  <c r="M50" i="28" s="1"/>
  <c r="M49" i="28"/>
  <c r="L49" i="28"/>
  <c r="J48" i="28"/>
  <c r="I48" i="28"/>
  <c r="H48" i="28"/>
  <c r="G48" i="28"/>
  <c r="J47" i="28"/>
  <c r="I47" i="28"/>
  <c r="H47" i="28"/>
  <c r="G47" i="28"/>
  <c r="F47" i="28"/>
  <c r="L46" i="28"/>
  <c r="M46" i="28" s="1"/>
  <c r="J46" i="28"/>
  <c r="I46" i="28"/>
  <c r="H46" i="28"/>
  <c r="G46" i="28"/>
  <c r="L45" i="28"/>
  <c r="M45" i="28" s="1"/>
  <c r="J45" i="28"/>
  <c r="I45" i="28"/>
  <c r="H45" i="28"/>
  <c r="G45" i="28"/>
  <c r="J44" i="28"/>
  <c r="J160" i="28" s="1"/>
  <c r="J182" i="28" s="1"/>
  <c r="J183" i="28" s="1"/>
  <c r="J188" i="28" s="1"/>
  <c r="I44" i="28"/>
  <c r="I160" i="28" s="1"/>
  <c r="I182" i="28" s="1"/>
  <c r="I183" i="28" s="1"/>
  <c r="I188" i="28" s="1"/>
  <c r="H44" i="28"/>
  <c r="H160" i="28" s="1"/>
  <c r="H182" i="28" s="1"/>
  <c r="H183" i="28" s="1"/>
  <c r="H188" i="28" s="1"/>
  <c r="G44" i="28"/>
  <c r="L43" i="28"/>
  <c r="M43" i="28" s="1"/>
  <c r="L42" i="28"/>
  <c r="M42" i="28" s="1"/>
  <c r="L41" i="28"/>
  <c r="M41" i="28" s="1"/>
  <c r="J41" i="28"/>
  <c r="I41" i="28"/>
  <c r="I143" i="28" s="1"/>
  <c r="H41" i="28"/>
  <c r="H143" i="28" s="1"/>
  <c r="G41" i="28"/>
  <c r="G143" i="28" s="1"/>
  <c r="J40" i="28"/>
  <c r="I40" i="28"/>
  <c r="H40" i="28"/>
  <c r="G40" i="28"/>
  <c r="F40" i="28"/>
  <c r="J39" i="28"/>
  <c r="J149" i="28" s="1"/>
  <c r="I39" i="28"/>
  <c r="I149" i="28" s="1"/>
  <c r="I157" i="28" s="1"/>
  <c r="H39" i="28"/>
  <c r="G39" i="28"/>
  <c r="J38" i="28"/>
  <c r="I38" i="28"/>
  <c r="H38" i="28"/>
  <c r="G38" i="28"/>
  <c r="L37" i="28"/>
  <c r="M37" i="28" s="1"/>
  <c r="M36" i="28"/>
  <c r="L36" i="28"/>
  <c r="M35" i="28"/>
  <c r="L35" i="28"/>
  <c r="M34" i="28"/>
  <c r="L33" i="28"/>
  <c r="M33" i="28" s="1"/>
  <c r="J33" i="28"/>
  <c r="I33" i="28"/>
  <c r="H33" i="28"/>
  <c r="G33" i="28"/>
  <c r="M32" i="28"/>
  <c r="J31" i="28"/>
  <c r="I31" i="28"/>
  <c r="H31" i="28"/>
  <c r="G31" i="28"/>
  <c r="J30" i="28"/>
  <c r="I30" i="28"/>
  <c r="H30" i="28"/>
  <c r="J29" i="28"/>
  <c r="I29" i="28"/>
  <c r="H29" i="28"/>
  <c r="G29" i="28"/>
  <c r="G30" i="28" s="1"/>
  <c r="L28" i="28"/>
  <c r="M28" i="28" s="1"/>
  <c r="M27" i="28"/>
  <c r="L26" i="28"/>
  <c r="M26" i="28" s="1"/>
  <c r="J25" i="28"/>
  <c r="I25" i="28"/>
  <c r="J24" i="28"/>
  <c r="I24" i="28"/>
  <c r="H24" i="28"/>
  <c r="H25" i="28" s="1"/>
  <c r="G24" i="28"/>
  <c r="G25" i="28" s="1"/>
  <c r="M23" i="28"/>
  <c r="M22" i="28"/>
  <c r="M21" i="28"/>
  <c r="M20" i="28"/>
  <c r="L20" i="28"/>
  <c r="M19" i="28"/>
  <c r="L19" i="28"/>
  <c r="M18" i="28"/>
  <c r="L18" i="28"/>
  <c r="M17" i="28"/>
  <c r="L16" i="28"/>
  <c r="M16" i="28" s="1"/>
  <c r="L15" i="28"/>
  <c r="M15" i="28" s="1"/>
  <c r="L14" i="28"/>
  <c r="M14" i="28" s="1"/>
  <c r="M13" i="28"/>
  <c r="M12" i="28"/>
  <c r="L12" i="28"/>
  <c r="M11" i="28"/>
  <c r="L11" i="28"/>
  <c r="M10" i="28"/>
  <c r="L10" i="28"/>
  <c r="M9" i="28"/>
  <c r="L8" i="28"/>
  <c r="M8" i="28" s="1"/>
  <c r="L7" i="28"/>
  <c r="M7" i="28" s="1"/>
  <c r="M6" i="28"/>
  <c r="M4" i="28"/>
  <c r="I3" i="28"/>
  <c r="I5" i="28" s="1"/>
  <c r="J2" i="28"/>
  <c r="I2" i="28"/>
  <c r="H2" i="28"/>
  <c r="G2" i="28"/>
  <c r="L2" i="28" s="1"/>
  <c r="I1" i="28"/>
  <c r="H1" i="28"/>
  <c r="G1" i="28"/>
  <c r="H71" i="27"/>
  <c r="H65" i="27"/>
  <c r="H74" i="27" s="1"/>
  <c r="H64" i="27"/>
  <c r="H73" i="27" s="1"/>
  <c r="H62" i="27"/>
  <c r="H61" i="27"/>
  <c r="H70" i="27" s="1"/>
  <c r="H60" i="27"/>
  <c r="H69" i="27" s="1"/>
  <c r="H57" i="27"/>
  <c r="H66" i="27" s="1"/>
  <c r="N56" i="27"/>
  <c r="K56" i="27"/>
  <c r="J56" i="27"/>
  <c r="I56" i="27"/>
  <c r="K55" i="27"/>
  <c r="K65" i="27" s="1"/>
  <c r="K74" i="27" s="1"/>
  <c r="J55" i="27"/>
  <c r="J65" i="27" s="1"/>
  <c r="J74" i="27" s="1"/>
  <c r="I55" i="27"/>
  <c r="N55" i="27" s="1"/>
  <c r="N54" i="27"/>
  <c r="K54" i="27"/>
  <c r="J54" i="27"/>
  <c r="I54" i="27"/>
  <c r="K53" i="27"/>
  <c r="K64" i="27" s="1"/>
  <c r="K73" i="27" s="1"/>
  <c r="J53" i="27"/>
  <c r="J64" i="27" s="1"/>
  <c r="J73" i="27" s="1"/>
  <c r="I53" i="27"/>
  <c r="I64" i="27" s="1"/>
  <c r="I73" i="27" s="1"/>
  <c r="N52" i="27"/>
  <c r="K52" i="27"/>
  <c r="J52" i="27"/>
  <c r="I52" i="27"/>
  <c r="K51" i="27"/>
  <c r="J51" i="27"/>
  <c r="I51" i="27"/>
  <c r="N51" i="27" s="1"/>
  <c r="N50" i="27"/>
  <c r="K50" i="27"/>
  <c r="J50" i="27"/>
  <c r="I50" i="27"/>
  <c r="K49" i="27"/>
  <c r="K60" i="27" s="1"/>
  <c r="K69" i="27" s="1"/>
  <c r="J49" i="27"/>
  <c r="J60" i="27" s="1"/>
  <c r="J69" i="27" s="1"/>
  <c r="I49" i="27"/>
  <c r="N49" i="27" s="1"/>
  <c r="K47" i="27"/>
  <c r="K48" i="27" s="1"/>
  <c r="K61" i="27" s="1"/>
  <c r="K70" i="27" s="1"/>
  <c r="J47" i="27"/>
  <c r="J48" i="27" s="1"/>
  <c r="J61" i="27" s="1"/>
  <c r="J70" i="27" s="1"/>
  <c r="I47" i="27"/>
  <c r="I48" i="27" s="1"/>
  <c r="N46" i="27"/>
  <c r="K46" i="27"/>
  <c r="J46" i="27"/>
  <c r="I46" i="27"/>
  <c r="K45" i="27"/>
  <c r="J45" i="27"/>
  <c r="I45" i="27"/>
  <c r="N45" i="27" s="1"/>
  <c r="N44" i="27"/>
  <c r="K44" i="27"/>
  <c r="J44" i="27"/>
  <c r="I44" i="27"/>
  <c r="K43" i="27"/>
  <c r="J43" i="27"/>
  <c r="I43" i="27"/>
  <c r="N43" i="27" s="1"/>
  <c r="N42" i="27"/>
  <c r="K42" i="27"/>
  <c r="J42" i="27"/>
  <c r="I42" i="27"/>
  <c r="K41" i="27"/>
  <c r="J41" i="27"/>
  <c r="I41" i="27"/>
  <c r="N41" i="27" s="1"/>
  <c r="N40" i="27"/>
  <c r="K40" i="27"/>
  <c r="J40" i="27"/>
  <c r="I40" i="27"/>
  <c r="K39" i="27"/>
  <c r="J39" i="27"/>
  <c r="I39" i="27"/>
  <c r="N39" i="27" s="1"/>
  <c r="N38" i="27"/>
  <c r="K38" i="27"/>
  <c r="J38" i="27"/>
  <c r="I38" i="27"/>
  <c r="K37" i="27"/>
  <c r="J37" i="27"/>
  <c r="I37" i="27"/>
  <c r="N37" i="27" s="1"/>
  <c r="N36" i="27"/>
  <c r="K36" i="27"/>
  <c r="J36" i="27"/>
  <c r="I36" i="27"/>
  <c r="K35" i="27"/>
  <c r="J35" i="27"/>
  <c r="I35" i="27"/>
  <c r="N35" i="27" s="1"/>
  <c r="N34" i="27"/>
  <c r="K34" i="27"/>
  <c r="J34" i="27"/>
  <c r="I34" i="27"/>
  <c r="K33" i="27"/>
  <c r="J33" i="27"/>
  <c r="I33" i="27"/>
  <c r="N33" i="27" s="1"/>
  <c r="N32" i="27"/>
  <c r="K32" i="27"/>
  <c r="J32" i="27"/>
  <c r="I32" i="27"/>
  <c r="K31" i="27"/>
  <c r="J31" i="27"/>
  <c r="I31" i="27"/>
  <c r="N31" i="27" s="1"/>
  <c r="N30" i="27"/>
  <c r="K30" i="27"/>
  <c r="J30" i="27"/>
  <c r="I30" i="27"/>
  <c r="K29" i="27"/>
  <c r="J29" i="27"/>
  <c r="I29" i="27"/>
  <c r="F29" i="27"/>
  <c r="K28" i="27"/>
  <c r="J28" i="27"/>
  <c r="I28" i="27"/>
  <c r="F28" i="27"/>
  <c r="K26" i="27"/>
  <c r="K27" i="27" s="1"/>
  <c r="J26" i="27"/>
  <c r="J27" i="27" s="1"/>
  <c r="I26" i="27"/>
  <c r="I27" i="27" s="1"/>
  <c r="N27" i="27" s="1"/>
  <c r="N25" i="27"/>
  <c r="K25" i="27"/>
  <c r="J25" i="27"/>
  <c r="I25" i="27"/>
  <c r="K24" i="27"/>
  <c r="J24" i="27"/>
  <c r="N24" i="27" s="1"/>
  <c r="I24" i="27"/>
  <c r="N23" i="27"/>
  <c r="K23" i="27"/>
  <c r="J23" i="27"/>
  <c r="I23" i="27"/>
  <c r="K22" i="27"/>
  <c r="J22" i="27"/>
  <c r="I22" i="27"/>
  <c r="N22" i="27" s="1"/>
  <c r="N21" i="27"/>
  <c r="K21" i="27"/>
  <c r="J21" i="27"/>
  <c r="I21" i="27"/>
  <c r="H19" i="27"/>
  <c r="N18" i="27"/>
  <c r="K18" i="27"/>
  <c r="J18" i="27"/>
  <c r="I18" i="27"/>
  <c r="K17" i="27"/>
  <c r="J17" i="27"/>
  <c r="I17" i="27"/>
  <c r="N17" i="27" s="1"/>
  <c r="K16" i="27"/>
  <c r="J16" i="27"/>
  <c r="I16" i="27"/>
  <c r="N16" i="27" s="1"/>
  <c r="J15" i="27"/>
  <c r="J62" i="27" s="1"/>
  <c r="J71" i="27" s="1"/>
  <c r="I15" i="27"/>
  <c r="I62" i="27" s="1"/>
  <c r="I71" i="27" s="1"/>
  <c r="N14" i="27"/>
  <c r="K14" i="27"/>
  <c r="J14" i="27"/>
  <c r="I14" i="27"/>
  <c r="K13" i="27"/>
  <c r="J13" i="27"/>
  <c r="I13" i="27"/>
  <c r="N13" i="27" s="1"/>
  <c r="K12" i="27"/>
  <c r="K15" i="27" s="1"/>
  <c r="J12" i="27"/>
  <c r="I12" i="27"/>
  <c r="N12" i="27" s="1"/>
  <c r="K11" i="27"/>
  <c r="J11" i="27"/>
  <c r="I11" i="27"/>
  <c r="N11" i="27" s="1"/>
  <c r="K10" i="27"/>
  <c r="J10" i="27"/>
  <c r="I10" i="27"/>
  <c r="F10" i="27"/>
  <c r="K9" i="27"/>
  <c r="J9" i="27"/>
  <c r="I9" i="27"/>
  <c r="N9" i="27" s="1"/>
  <c r="K8" i="27"/>
  <c r="J8" i="27"/>
  <c r="I8" i="27"/>
  <c r="N8" i="27" s="1"/>
  <c r="K7" i="27"/>
  <c r="J7" i="27"/>
  <c r="N7" i="27" s="1"/>
  <c r="I7" i="27"/>
  <c r="H6" i="27"/>
  <c r="H59" i="27" s="1"/>
  <c r="F6" i="27"/>
  <c r="K5" i="27"/>
  <c r="K59" i="27" s="1"/>
  <c r="K68" i="27" s="1"/>
  <c r="I5" i="27"/>
  <c r="I59" i="27" s="1"/>
  <c r="I68" i="27" s="1"/>
  <c r="F5" i="27"/>
  <c r="N4" i="27"/>
  <c r="K4" i="27"/>
  <c r="J4" i="27"/>
  <c r="I4" i="27"/>
  <c r="K3" i="27"/>
  <c r="J3" i="27"/>
  <c r="I3" i="27"/>
  <c r="N3" i="27" s="1"/>
  <c r="O1" i="27" s="1"/>
  <c r="K2" i="27"/>
  <c r="K6" i="27" s="1"/>
  <c r="J2" i="27"/>
  <c r="J6" i="27" s="1"/>
  <c r="I2" i="27"/>
  <c r="I6" i="27" s="1"/>
  <c r="K1" i="27"/>
  <c r="J1" i="27"/>
  <c r="I1" i="27"/>
  <c r="I119" i="26"/>
  <c r="I133" i="26" s="1"/>
  <c r="I91" i="26"/>
  <c r="I94" i="26" s="1"/>
  <c r="I115" i="26" s="1"/>
  <c r="I90" i="26"/>
  <c r="H90" i="26"/>
  <c r="H91" i="26" s="1"/>
  <c r="G90" i="26"/>
  <c r="G91" i="26" s="1"/>
  <c r="J89" i="26"/>
  <c r="I89" i="26"/>
  <c r="I118" i="26" s="1"/>
  <c r="H89" i="26"/>
  <c r="H118" i="26" s="1"/>
  <c r="G89" i="26"/>
  <c r="G118" i="26" s="1"/>
  <c r="J88" i="26"/>
  <c r="I88" i="26"/>
  <c r="I117" i="26" s="1"/>
  <c r="H88" i="26"/>
  <c r="H117" i="26" s="1"/>
  <c r="G88" i="26"/>
  <c r="G117" i="26" s="1"/>
  <c r="L117" i="26" s="1"/>
  <c r="J87" i="26"/>
  <c r="Q86" i="26"/>
  <c r="M86" i="26"/>
  <c r="H85" i="26"/>
  <c r="H101" i="26" s="1"/>
  <c r="G85" i="26"/>
  <c r="G101" i="26" s="1"/>
  <c r="L84" i="26"/>
  <c r="I84" i="26"/>
  <c r="H84" i="26"/>
  <c r="G84" i="26"/>
  <c r="I83" i="26"/>
  <c r="H83" i="26"/>
  <c r="G83" i="26"/>
  <c r="L83" i="26" s="1"/>
  <c r="I82" i="26"/>
  <c r="I87" i="26" s="1"/>
  <c r="I116" i="26" s="1"/>
  <c r="H82" i="26"/>
  <c r="H119" i="26" s="1"/>
  <c r="H133" i="26" s="1"/>
  <c r="G82" i="26"/>
  <c r="G119" i="26" s="1"/>
  <c r="I81" i="26"/>
  <c r="H81" i="26"/>
  <c r="G81" i="26"/>
  <c r="L81" i="26" s="1"/>
  <c r="I78" i="26"/>
  <c r="I79" i="26" s="1"/>
  <c r="I111" i="26" s="1"/>
  <c r="I132" i="26" s="1"/>
  <c r="H78" i="26"/>
  <c r="H79" i="26" s="1"/>
  <c r="H111" i="26" s="1"/>
  <c r="H132" i="26" s="1"/>
  <c r="G78" i="26"/>
  <c r="G79" i="26" s="1"/>
  <c r="I77" i="26"/>
  <c r="H77" i="26"/>
  <c r="G77" i="26"/>
  <c r="L77" i="26" s="1"/>
  <c r="L76" i="26"/>
  <c r="I76" i="26"/>
  <c r="H76" i="26"/>
  <c r="G76" i="26"/>
  <c r="I75" i="26"/>
  <c r="I80" i="26" s="1"/>
  <c r="H75" i="26"/>
  <c r="H80" i="26" s="1"/>
  <c r="G75" i="26"/>
  <c r="G80" i="26" s="1"/>
  <c r="I74" i="26"/>
  <c r="H74" i="26"/>
  <c r="G74" i="26"/>
  <c r="L74" i="26" s="1"/>
  <c r="I73" i="26"/>
  <c r="I107" i="26" s="1"/>
  <c r="H73" i="26"/>
  <c r="G73" i="26"/>
  <c r="L73" i="26" s="1"/>
  <c r="L72" i="26"/>
  <c r="I72" i="26"/>
  <c r="H72" i="26"/>
  <c r="G72" i="26"/>
  <c r="H71" i="26"/>
  <c r="H114" i="26" s="1"/>
  <c r="G71" i="26"/>
  <c r="I70" i="26"/>
  <c r="I129" i="26" s="1"/>
  <c r="H70" i="26"/>
  <c r="H129" i="26" s="1"/>
  <c r="G70" i="26"/>
  <c r="G129" i="26" s="1"/>
  <c r="I69" i="26"/>
  <c r="I100" i="26" s="1"/>
  <c r="H69" i="26"/>
  <c r="H100" i="26" s="1"/>
  <c r="G69" i="26"/>
  <c r="G124" i="26" s="1"/>
  <c r="L68" i="26"/>
  <c r="I68" i="26"/>
  <c r="I71" i="26" s="1"/>
  <c r="I114" i="26" s="1"/>
  <c r="H68" i="26"/>
  <c r="G68" i="26"/>
  <c r="I66" i="26"/>
  <c r="I67" i="26" s="1"/>
  <c r="I113" i="26" s="1"/>
  <c r="H66" i="26"/>
  <c r="H67" i="26" s="1"/>
  <c r="H113" i="26" s="1"/>
  <c r="G66" i="26"/>
  <c r="G67" i="26" s="1"/>
  <c r="I65" i="26"/>
  <c r="I112" i="26" s="1"/>
  <c r="H65" i="26"/>
  <c r="H112" i="26" s="1"/>
  <c r="G65" i="26"/>
  <c r="L65" i="26" s="1"/>
  <c r="L64" i="26"/>
  <c r="I64" i="26"/>
  <c r="H64" i="26"/>
  <c r="G64" i="26"/>
  <c r="I57" i="26"/>
  <c r="H57" i="26"/>
  <c r="G57" i="26"/>
  <c r="L57" i="26" s="1"/>
  <c r="I49" i="26"/>
  <c r="I52" i="26" s="1"/>
  <c r="H49" i="26"/>
  <c r="H52" i="26" s="1"/>
  <c r="G49" i="26"/>
  <c r="G52" i="26" s="1"/>
  <c r="L48" i="26"/>
  <c r="I48" i="26"/>
  <c r="H48" i="26"/>
  <c r="G48" i="26"/>
  <c r="I47" i="26"/>
  <c r="I56" i="26" s="1"/>
  <c r="H47" i="26"/>
  <c r="H56" i="26" s="1"/>
  <c r="G47" i="26"/>
  <c r="G56" i="26" s="1"/>
  <c r="L56" i="26" s="1"/>
  <c r="I46" i="26"/>
  <c r="I55" i="26" s="1"/>
  <c r="H46" i="26"/>
  <c r="H55" i="26" s="1"/>
  <c r="G46" i="26"/>
  <c r="G55" i="26" s="1"/>
  <c r="L55" i="26" s="1"/>
  <c r="I45" i="26"/>
  <c r="I54" i="26" s="1"/>
  <c r="H45" i="26"/>
  <c r="H54" i="26" s="1"/>
  <c r="G45" i="26"/>
  <c r="G54" i="26" s="1"/>
  <c r="L54" i="26" s="1"/>
  <c r="L44" i="26"/>
  <c r="I44" i="26"/>
  <c r="H44" i="26"/>
  <c r="G44" i="26"/>
  <c r="I42" i="26"/>
  <c r="I43" i="26" s="1"/>
  <c r="H42" i="26"/>
  <c r="H43" i="26" s="1"/>
  <c r="G42" i="26"/>
  <c r="G43" i="26" s="1"/>
  <c r="I41" i="26"/>
  <c r="H41" i="26"/>
  <c r="G41" i="26"/>
  <c r="I40" i="26"/>
  <c r="H40" i="26"/>
  <c r="I39" i="26"/>
  <c r="H39" i="26"/>
  <c r="G39" i="26"/>
  <c r="G40" i="26" s="1"/>
  <c r="L40" i="26" s="1"/>
  <c r="I38" i="26"/>
  <c r="H38" i="26"/>
  <c r="G38" i="26"/>
  <c r="L38" i="26" s="1"/>
  <c r="H29" i="26"/>
  <c r="G29" i="26"/>
  <c r="I28" i="26"/>
  <c r="H26" i="26"/>
  <c r="G26" i="26"/>
  <c r="I25" i="26"/>
  <c r="H25" i="26"/>
  <c r="G25" i="26"/>
  <c r="L25" i="26" s="1"/>
  <c r="I24" i="26"/>
  <c r="I23" i="26"/>
  <c r="I27" i="26" s="1"/>
  <c r="H23" i="26"/>
  <c r="H24" i="26" s="1"/>
  <c r="G23" i="26"/>
  <c r="G24" i="26" s="1"/>
  <c r="I22" i="26"/>
  <c r="I31" i="26" s="1"/>
  <c r="H22" i="26"/>
  <c r="H31" i="26" s="1"/>
  <c r="G22" i="26"/>
  <c r="G31" i="26" s="1"/>
  <c r="L31" i="26" s="1"/>
  <c r="I21" i="26"/>
  <c r="I30" i="26" s="1"/>
  <c r="H21" i="26"/>
  <c r="H30" i="26" s="1"/>
  <c r="G21" i="26"/>
  <c r="G30" i="26" s="1"/>
  <c r="L30" i="26" s="1"/>
  <c r="L20" i="26"/>
  <c r="I20" i="26"/>
  <c r="I29" i="26" s="1"/>
  <c r="H20" i="26"/>
  <c r="G20" i="26"/>
  <c r="I19" i="26"/>
  <c r="H19" i="26"/>
  <c r="G19" i="26"/>
  <c r="L19" i="26" s="1"/>
  <c r="I18" i="26"/>
  <c r="H18" i="26"/>
  <c r="H28" i="26" s="1"/>
  <c r="G18" i="26"/>
  <c r="G28" i="26" s="1"/>
  <c r="I16" i="26"/>
  <c r="I17" i="26" s="1"/>
  <c r="I13" i="26"/>
  <c r="I15" i="26" s="1"/>
  <c r="H13" i="26"/>
  <c r="H16" i="26" s="1"/>
  <c r="H17" i="26" s="1"/>
  <c r="G13" i="26"/>
  <c r="G12" i="26" s="1"/>
  <c r="L12" i="26" s="1"/>
  <c r="I12" i="26"/>
  <c r="H12" i="26"/>
  <c r="I10" i="26"/>
  <c r="I11" i="26" s="1"/>
  <c r="H10" i="26"/>
  <c r="H11" i="26" s="1"/>
  <c r="G10" i="26"/>
  <c r="G11" i="26" s="1"/>
  <c r="L11" i="26" s="1"/>
  <c r="I9" i="26"/>
  <c r="H9" i="26"/>
  <c r="G9" i="26"/>
  <c r="L9" i="26" s="1"/>
  <c r="I8" i="26"/>
  <c r="H8" i="26"/>
  <c r="I7" i="26"/>
  <c r="H7" i="26"/>
  <c r="G7" i="26"/>
  <c r="L7" i="26" s="1"/>
  <c r="I6" i="26"/>
  <c r="H6" i="26"/>
  <c r="G6" i="26"/>
  <c r="L6" i="26" s="1"/>
  <c r="I5" i="26"/>
  <c r="H5" i="26"/>
  <c r="G5" i="26"/>
  <c r="I4" i="26"/>
  <c r="H4" i="26"/>
  <c r="G4" i="26"/>
  <c r="I3" i="26"/>
  <c r="H3" i="26"/>
  <c r="G3" i="26"/>
  <c r="I2" i="26"/>
  <c r="H2" i="26"/>
  <c r="G2" i="26"/>
  <c r="G8" i="26" s="1"/>
  <c r="L8" i="26" s="1"/>
  <c r="M1" i="26"/>
  <c r="I1" i="26"/>
  <c r="H1" i="26"/>
  <c r="G1" i="26"/>
  <c r="H116" i="25"/>
  <c r="G116" i="25"/>
  <c r="H102" i="25"/>
  <c r="H111" i="25" s="1"/>
  <c r="G102" i="25"/>
  <c r="G111" i="25" s="1"/>
  <c r="F102" i="25"/>
  <c r="F116" i="25" s="1"/>
  <c r="K116" i="25" s="1"/>
  <c r="K101" i="25"/>
  <c r="K100" i="25"/>
  <c r="K99" i="25"/>
  <c r="K98" i="25"/>
  <c r="K97" i="25"/>
  <c r="K96" i="25"/>
  <c r="H92" i="25"/>
  <c r="G92" i="25"/>
  <c r="H88" i="25"/>
  <c r="H91" i="25" s="1"/>
  <c r="G88" i="25"/>
  <c r="G91" i="25" s="1"/>
  <c r="F88" i="25"/>
  <c r="F91" i="25" s="1"/>
  <c r="K85" i="25"/>
  <c r="K82" i="25"/>
  <c r="F79" i="25"/>
  <c r="F78" i="25"/>
  <c r="H77" i="25"/>
  <c r="H80" i="25" s="1"/>
  <c r="G77" i="25"/>
  <c r="G78" i="25" s="1"/>
  <c r="F77" i="25"/>
  <c r="F80" i="25" s="1"/>
  <c r="F75" i="25"/>
  <c r="H74" i="25"/>
  <c r="G74" i="25"/>
  <c r="F74" i="25"/>
  <c r="K74" i="25" s="1"/>
  <c r="H73" i="25"/>
  <c r="H75" i="25" s="1"/>
  <c r="G73" i="25"/>
  <c r="K73" i="25" s="1"/>
  <c r="F73" i="25"/>
  <c r="K72" i="25"/>
  <c r="H72" i="25"/>
  <c r="H76" i="25" s="1"/>
  <c r="G72" i="25"/>
  <c r="G76" i="25" s="1"/>
  <c r="F72" i="25"/>
  <c r="F76" i="25" s="1"/>
  <c r="H69" i="25"/>
  <c r="G69" i="25"/>
  <c r="K69" i="25" s="1"/>
  <c r="F69" i="25"/>
  <c r="H67" i="25"/>
  <c r="H68" i="25" s="1"/>
  <c r="H70" i="25" s="1"/>
  <c r="G67" i="25"/>
  <c r="G68" i="25" s="1"/>
  <c r="G70" i="25" s="1"/>
  <c r="F67" i="25"/>
  <c r="K67" i="25" s="1"/>
  <c r="G66" i="25"/>
  <c r="K64" i="25"/>
  <c r="H64" i="25"/>
  <c r="G64" i="25"/>
  <c r="F64" i="25"/>
  <c r="H62" i="25"/>
  <c r="H63" i="25" s="1"/>
  <c r="H65" i="25" s="1"/>
  <c r="G62" i="25"/>
  <c r="G63" i="25" s="1"/>
  <c r="G65" i="25" s="1"/>
  <c r="F62" i="25"/>
  <c r="F66" i="25" s="1"/>
  <c r="H59" i="25"/>
  <c r="G59" i="25"/>
  <c r="F59" i="25"/>
  <c r="K59" i="25" s="1"/>
  <c r="F58" i="25"/>
  <c r="F60" i="25" s="1"/>
  <c r="H57" i="25"/>
  <c r="H61" i="25" s="1"/>
  <c r="G57" i="25"/>
  <c r="K57" i="25" s="1"/>
  <c r="F57" i="25"/>
  <c r="F61" i="25" s="1"/>
  <c r="F55" i="25"/>
  <c r="H54" i="25"/>
  <c r="G54" i="25"/>
  <c r="F54" i="25"/>
  <c r="K54" i="25" s="1"/>
  <c r="H53" i="25"/>
  <c r="H55" i="25" s="1"/>
  <c r="G53" i="25"/>
  <c r="K53" i="25" s="1"/>
  <c r="F53" i="25"/>
  <c r="K52" i="25"/>
  <c r="H52" i="25"/>
  <c r="H56" i="25" s="1"/>
  <c r="G52" i="25"/>
  <c r="G56" i="25" s="1"/>
  <c r="F52" i="25"/>
  <c r="F56" i="25" s="1"/>
  <c r="H49" i="25"/>
  <c r="G49" i="25"/>
  <c r="K49" i="25" s="1"/>
  <c r="F49" i="25"/>
  <c r="H47" i="25"/>
  <c r="H51" i="25" s="1"/>
  <c r="G47" i="25"/>
  <c r="G48" i="25" s="1"/>
  <c r="G50" i="25" s="1"/>
  <c r="F47" i="25"/>
  <c r="K47" i="25" s="1"/>
  <c r="H45" i="25"/>
  <c r="G45" i="25"/>
  <c r="F45" i="25"/>
  <c r="H42" i="25"/>
  <c r="H43" i="25" s="1"/>
  <c r="H46" i="25" s="1"/>
  <c r="G42" i="25"/>
  <c r="G44" i="25" s="1"/>
  <c r="F42" i="25"/>
  <c r="F44" i="25" s="1"/>
  <c r="H37" i="25"/>
  <c r="H40" i="25" s="1"/>
  <c r="G37" i="25"/>
  <c r="G39" i="25" s="1"/>
  <c r="F37" i="25"/>
  <c r="K37" i="25" s="1"/>
  <c r="H33" i="25"/>
  <c r="G33" i="25"/>
  <c r="F33" i="25"/>
  <c r="K33" i="25" s="1"/>
  <c r="H30" i="25"/>
  <c r="H32" i="25" s="1"/>
  <c r="G30" i="25"/>
  <c r="G31" i="25" s="1"/>
  <c r="G34" i="25" s="1"/>
  <c r="F30" i="25"/>
  <c r="F32" i="25" s="1"/>
  <c r="H29" i="25"/>
  <c r="H113" i="25" s="1"/>
  <c r="G29" i="25"/>
  <c r="G113" i="25" s="1"/>
  <c r="F29" i="25"/>
  <c r="F113" i="25" s="1"/>
  <c r="K28" i="25"/>
  <c r="H28" i="25"/>
  <c r="G28" i="25"/>
  <c r="F28" i="25"/>
  <c r="H27" i="25"/>
  <c r="G27" i="25"/>
  <c r="F27" i="25"/>
  <c r="K27" i="25" s="1"/>
  <c r="H26" i="25"/>
  <c r="G26" i="25"/>
  <c r="F26" i="25"/>
  <c r="K26" i="25" s="1"/>
  <c r="H25" i="25"/>
  <c r="G25" i="25"/>
  <c r="F25" i="25"/>
  <c r="K25" i="25" s="1"/>
  <c r="H24" i="25"/>
  <c r="G24" i="25"/>
  <c r="F24" i="25"/>
  <c r="H23" i="25"/>
  <c r="G23" i="25"/>
  <c r="F23" i="25"/>
  <c r="H22" i="25"/>
  <c r="G22" i="25"/>
  <c r="F22" i="25"/>
  <c r="H21" i="25"/>
  <c r="G21" i="25"/>
  <c r="F21" i="25"/>
  <c r="H20" i="25"/>
  <c r="G20" i="25"/>
  <c r="F20" i="25"/>
  <c r="K20" i="25" s="1"/>
  <c r="H19" i="25"/>
  <c r="G19" i="25"/>
  <c r="F19" i="25"/>
  <c r="H18" i="25"/>
  <c r="G18" i="25"/>
  <c r="F18" i="25"/>
  <c r="H17" i="25"/>
  <c r="G17" i="25"/>
  <c r="F17" i="25"/>
  <c r="H16" i="25"/>
  <c r="G16" i="25"/>
  <c r="F16" i="25"/>
  <c r="H15" i="25"/>
  <c r="G15" i="25"/>
  <c r="F15" i="25"/>
  <c r="H14" i="25"/>
  <c r="G14" i="25"/>
  <c r="F14" i="25"/>
  <c r="H11" i="25"/>
  <c r="H12" i="25" s="1"/>
  <c r="G11" i="25"/>
  <c r="G12" i="25" s="1"/>
  <c r="F11" i="25"/>
  <c r="H10" i="25"/>
  <c r="H9" i="25"/>
  <c r="G9" i="25"/>
  <c r="F9" i="25"/>
  <c r="F10" i="25" s="1"/>
  <c r="K10" i="25" s="1"/>
  <c r="H8" i="25"/>
  <c r="H13" i="25" s="1"/>
  <c r="G8" i="25"/>
  <c r="G10" i="25" s="1"/>
  <c r="F8" i="25"/>
  <c r="F13" i="25" s="1"/>
  <c r="H7" i="25"/>
  <c r="G7" i="25"/>
  <c r="F7" i="25"/>
  <c r="K7" i="25" s="1"/>
  <c r="H6" i="25"/>
  <c r="K6" i="25" s="1"/>
  <c r="G6" i="25"/>
  <c r="F6" i="25"/>
  <c r="H5" i="25"/>
  <c r="G5" i="25"/>
  <c r="F5" i="25"/>
  <c r="H4" i="25"/>
  <c r="G4" i="25"/>
  <c r="F4" i="25"/>
  <c r="K4" i="25" s="1"/>
  <c r="H3" i="25"/>
  <c r="G3" i="25"/>
  <c r="F3" i="25"/>
  <c r="K3" i="25" s="1"/>
  <c r="H2" i="25"/>
  <c r="G2" i="25"/>
  <c r="K2" i="25" s="1"/>
  <c r="F2" i="25"/>
  <c r="L1" i="25"/>
  <c r="H1" i="25"/>
  <c r="G1" i="25"/>
  <c r="F1" i="25"/>
  <c r="J113" i="24"/>
  <c r="I113" i="24"/>
  <c r="H113" i="24"/>
  <c r="G113" i="24"/>
  <c r="J78" i="24"/>
  <c r="I78" i="24"/>
  <c r="H78" i="24"/>
  <c r="G78" i="24"/>
  <c r="J29" i="24"/>
  <c r="I29" i="24"/>
  <c r="H29" i="24"/>
  <c r="G29" i="24"/>
  <c r="J25" i="24"/>
  <c r="I25" i="24"/>
  <c r="H25" i="24"/>
  <c r="G25" i="24"/>
  <c r="J20" i="24"/>
  <c r="I20" i="24"/>
  <c r="H20" i="24"/>
  <c r="G20" i="24"/>
  <c r="J19" i="24"/>
  <c r="I19" i="24"/>
  <c r="H19" i="24"/>
  <c r="G19" i="24"/>
  <c r="J18" i="24"/>
  <c r="I18" i="24"/>
  <c r="H18" i="24"/>
  <c r="G18" i="24"/>
  <c r="J16" i="24"/>
  <c r="I16" i="24"/>
  <c r="H16" i="24"/>
  <c r="G16" i="24"/>
  <c r="J15" i="24"/>
  <c r="I15" i="24"/>
  <c r="H15" i="24"/>
  <c r="G15" i="24"/>
  <c r="J14" i="24"/>
  <c r="I14" i="24"/>
  <c r="H14" i="24"/>
  <c r="G14" i="24"/>
  <c r="I94" i="23"/>
  <c r="J94" i="23" s="1"/>
  <c r="I93" i="23"/>
  <c r="J93" i="23" s="1"/>
  <c r="I92" i="23"/>
  <c r="J92" i="23" s="1"/>
  <c r="I91" i="23"/>
  <c r="J91" i="23" s="1"/>
  <c r="I90" i="23"/>
  <c r="J90" i="23" s="1"/>
  <c r="I89" i="23"/>
  <c r="K677" i="44" s="1"/>
  <c r="I88" i="23"/>
  <c r="G29" i="27" s="1"/>
  <c r="I87" i="23"/>
  <c r="J87" i="23" s="1"/>
  <c r="G86" i="23"/>
  <c r="I85" i="23"/>
  <c r="J85" i="23" s="1"/>
  <c r="J84" i="23"/>
  <c r="J82" i="23"/>
  <c r="J80" i="23"/>
  <c r="J78" i="23"/>
  <c r="J75" i="23"/>
  <c r="J73" i="23"/>
  <c r="J71" i="23"/>
  <c r="G62" i="23"/>
  <c r="G66" i="23" s="1"/>
  <c r="G61" i="23"/>
  <c r="G69" i="23" s="1"/>
  <c r="G60" i="23"/>
  <c r="I60" i="23" s="1"/>
  <c r="J60" i="23" s="1"/>
  <c r="G55" i="23"/>
  <c r="G57" i="23" s="1"/>
  <c r="G49" i="23"/>
  <c r="I49" i="23" s="1"/>
  <c r="J49" i="23" s="1"/>
  <c r="G46" i="23"/>
  <c r="G48" i="23" s="1"/>
  <c r="G43" i="23"/>
  <c r="G45" i="23" s="1"/>
  <c r="G40" i="23"/>
  <c r="G42" i="23" s="1"/>
  <c r="J39" i="23"/>
  <c r="J38" i="23"/>
  <c r="G34" i="23"/>
  <c r="G35" i="23" s="1"/>
  <c r="J33" i="23"/>
  <c r="J32" i="23"/>
  <c r="G30" i="23"/>
  <c r="G31" i="23" s="1"/>
  <c r="G29" i="23"/>
  <c r="I29" i="23" s="1"/>
  <c r="J29" i="23" s="1"/>
  <c r="J28" i="23"/>
  <c r="J27" i="23"/>
  <c r="G26" i="23"/>
  <c r="J26" i="23" s="1"/>
  <c r="G25" i="23"/>
  <c r="J24" i="23"/>
  <c r="G24" i="23"/>
  <c r="I23" i="23"/>
  <c r="J23" i="23" s="1"/>
  <c r="J18" i="23"/>
  <c r="J17" i="23"/>
  <c r="J16" i="23"/>
  <c r="J15" i="23"/>
  <c r="J14" i="23"/>
  <c r="J13" i="23"/>
  <c r="J12" i="23"/>
  <c r="J11" i="23"/>
  <c r="G10" i="23"/>
  <c r="J8" i="23"/>
  <c r="G6" i="23"/>
  <c r="I6" i="23" s="1"/>
  <c r="G5" i="23"/>
  <c r="G9" i="23" s="1"/>
  <c r="G4" i="23"/>
  <c r="G7" i="23" s="1"/>
  <c r="J7" i="23" s="1"/>
  <c r="G3" i="23"/>
  <c r="G72" i="23" s="1"/>
  <c r="G2" i="23"/>
  <c r="F133" i="22"/>
  <c r="F118" i="22"/>
  <c r="H118" i="22" s="1"/>
  <c r="F117" i="22"/>
  <c r="F116" i="22"/>
  <c r="F121" i="22" s="1"/>
  <c r="F111" i="22"/>
  <c r="F113" i="22" s="1"/>
  <c r="F110" i="22"/>
  <c r="H110" i="22" s="1"/>
  <c r="I110" i="22" s="1"/>
  <c r="H109" i="22"/>
  <c r="F109" i="22"/>
  <c r="I109" i="22" s="1"/>
  <c r="H107" i="22"/>
  <c r="I107" i="22" s="1"/>
  <c r="F107" i="22"/>
  <c r="I105" i="22"/>
  <c r="I106" i="22" s="1"/>
  <c r="H104" i="22"/>
  <c r="I104" i="22" s="1"/>
  <c r="I103" i="22"/>
  <c r="H103" i="22"/>
  <c r="F100" i="22"/>
  <c r="F99" i="22"/>
  <c r="F101" i="22" s="1"/>
  <c r="F94" i="22"/>
  <c r="F93" i="22"/>
  <c r="I92" i="22"/>
  <c r="H91" i="22"/>
  <c r="I91" i="22" s="1"/>
  <c r="F91" i="22"/>
  <c r="I90" i="22"/>
  <c r="I89" i="22"/>
  <c r="H89" i="22"/>
  <c r="F87" i="22"/>
  <c r="F86" i="22"/>
  <c r="F88" i="22" s="1"/>
  <c r="F85" i="22"/>
  <c r="H85" i="22" s="1"/>
  <c r="I85" i="22" s="1"/>
  <c r="H84" i="22"/>
  <c r="F84" i="22"/>
  <c r="I84" i="22" s="1"/>
  <c r="I81" i="22"/>
  <c r="I82" i="22" s="1"/>
  <c r="F80" i="22"/>
  <c r="I79" i="22"/>
  <c r="H78" i="22"/>
  <c r="I78" i="22" s="1"/>
  <c r="F77" i="22"/>
  <c r="H77" i="22" s="1"/>
  <c r="I77" i="22" s="1"/>
  <c r="H76" i="22"/>
  <c r="F76" i="22"/>
  <c r="I76" i="22" s="1"/>
  <c r="F75" i="22"/>
  <c r="H74" i="22"/>
  <c r="I74" i="22" s="1"/>
  <c r="F74" i="22"/>
  <c r="F73" i="22"/>
  <c r="F134" i="22" s="1"/>
  <c r="H72" i="22"/>
  <c r="I72" i="22" s="1"/>
  <c r="F72" i="22"/>
  <c r="F71" i="22"/>
  <c r="F70" i="22"/>
  <c r="H70" i="22" s="1"/>
  <c r="I70" i="22" s="1"/>
  <c r="F69" i="22"/>
  <c r="I68" i="22"/>
  <c r="H68" i="22"/>
  <c r="H63" i="22"/>
  <c r="I63" i="22" s="1"/>
  <c r="F63" i="22"/>
  <c r="F96" i="22" s="1"/>
  <c r="F60" i="22"/>
  <c r="F61" i="22" s="1"/>
  <c r="F58" i="22"/>
  <c r="F59" i="22" s="1"/>
  <c r="I55" i="22"/>
  <c r="H53" i="22"/>
  <c r="F53" i="22"/>
  <c r="F54" i="22" s="1"/>
  <c r="I52" i="22"/>
  <c r="I51" i="22"/>
  <c r="H50" i="22"/>
  <c r="I50" i="22" s="1"/>
  <c r="F47" i="22"/>
  <c r="F48" i="22" s="1"/>
  <c r="I46" i="22"/>
  <c r="I45" i="22"/>
  <c r="I44" i="22"/>
  <c r="H44" i="22"/>
  <c r="H42" i="22"/>
  <c r="I42" i="22" s="1"/>
  <c r="H41" i="22"/>
  <c r="I41" i="22" s="1"/>
  <c r="F41" i="22"/>
  <c r="I38" i="22"/>
  <c r="H38" i="22"/>
  <c r="I37" i="22"/>
  <c r="H37" i="22"/>
  <c r="F37" i="22"/>
  <c r="H34" i="22"/>
  <c r="I34" i="22" s="1"/>
  <c r="H33" i="22"/>
  <c r="I33" i="22" s="1"/>
  <c r="F33" i="22"/>
  <c r="I30" i="22"/>
  <c r="I29" i="22"/>
  <c r="I27" i="22"/>
  <c r="F26" i="22"/>
  <c r="F39" i="22" s="1"/>
  <c r="I25" i="22"/>
  <c r="I24" i="22"/>
  <c r="H24" i="22"/>
  <c r="I23" i="22"/>
  <c r="H23" i="22"/>
  <c r="F23" i="22"/>
  <c r="I22" i="22"/>
  <c r="F21" i="22"/>
  <c r="H21" i="22" s="1"/>
  <c r="I20" i="22"/>
  <c r="F19" i="22"/>
  <c r="H18" i="22"/>
  <c r="I18" i="22" s="1"/>
  <c r="F17" i="22"/>
  <c r="I17" i="22" s="1"/>
  <c r="I16" i="22"/>
  <c r="I15" i="22"/>
  <c r="H15" i="22"/>
  <c r="F15" i="22"/>
  <c r="H14" i="22"/>
  <c r="I14" i="22" s="1"/>
  <c r="I13" i="22"/>
  <c r="I12" i="22"/>
  <c r="F10" i="22"/>
  <c r="H10" i="22" s="1"/>
  <c r="I9" i="22"/>
  <c r="I8" i="22"/>
  <c r="I7" i="22"/>
  <c r="I6" i="22"/>
  <c r="H6" i="22"/>
  <c r="F6" i="22"/>
  <c r="I5" i="22"/>
  <c r="I4" i="22"/>
  <c r="I3" i="22"/>
  <c r="I2" i="22"/>
  <c r="H2" i="22"/>
  <c r="G106" i="21"/>
  <c r="K106" i="21" s="1"/>
  <c r="K103" i="21"/>
  <c r="G102" i="21"/>
  <c r="K102" i="21" s="1"/>
  <c r="K101" i="21"/>
  <c r="K100" i="21"/>
  <c r="G99" i="21"/>
  <c r="K99" i="21" s="1"/>
  <c r="K98" i="21"/>
  <c r="K97" i="21"/>
  <c r="G96" i="21"/>
  <c r="K96" i="21" s="1"/>
  <c r="K95" i="21"/>
  <c r="K94" i="21"/>
  <c r="K93" i="21"/>
  <c r="K92" i="21"/>
  <c r="K91" i="21"/>
  <c r="K90" i="21"/>
  <c r="K89" i="21"/>
  <c r="G88" i="21"/>
  <c r="K88" i="21" s="1"/>
  <c r="K87" i="21"/>
  <c r="K86" i="21"/>
  <c r="K85" i="21"/>
  <c r="G84" i="21"/>
  <c r="K84" i="21" s="1"/>
  <c r="K83" i="21"/>
  <c r="K82" i="21"/>
  <c r="K81" i="21"/>
  <c r="K80" i="21"/>
  <c r="K79" i="21"/>
  <c r="K78" i="21"/>
  <c r="K77" i="21"/>
  <c r="K76" i="21"/>
  <c r="K75" i="21"/>
  <c r="K74" i="21"/>
  <c r="K73" i="21"/>
  <c r="K72" i="21"/>
  <c r="K71" i="21"/>
  <c r="K70" i="21"/>
  <c r="K69" i="21"/>
  <c r="K68" i="21"/>
  <c r="K67" i="21"/>
  <c r="K66" i="21"/>
  <c r="K65" i="21"/>
  <c r="K64" i="21"/>
  <c r="K63" i="21"/>
  <c r="K62" i="21"/>
  <c r="K61" i="21"/>
  <c r="K60" i="21"/>
  <c r="K59" i="21"/>
  <c r="K58" i="21"/>
  <c r="K57" i="21"/>
  <c r="K56" i="21"/>
  <c r="K55" i="21"/>
  <c r="K54" i="21"/>
  <c r="K53" i="21"/>
  <c r="K52" i="21"/>
  <c r="K51" i="21"/>
  <c r="K50" i="21"/>
  <c r="L49" i="21"/>
  <c r="K49" i="21"/>
  <c r="K48" i="21"/>
  <c r="K47" i="21"/>
  <c r="K46" i="21"/>
  <c r="K45" i="21"/>
  <c r="K44" i="21"/>
  <c r="K43" i="21"/>
  <c r="K42" i="21"/>
  <c r="K41" i="21"/>
  <c r="K40" i="21"/>
  <c r="K39" i="21"/>
  <c r="K35" i="21"/>
  <c r="K32" i="21"/>
  <c r="G31" i="21"/>
  <c r="G107" i="21" s="1"/>
  <c r="K107" i="21" s="1"/>
  <c r="K29" i="21"/>
  <c r="K28" i="21"/>
  <c r="K27" i="21"/>
  <c r="K26" i="21"/>
  <c r="I25" i="21"/>
  <c r="G25" i="21"/>
  <c r="K25" i="21" s="1"/>
  <c r="I23" i="21"/>
  <c r="K23" i="21" s="1"/>
  <c r="G23" i="21"/>
  <c r="K21" i="21"/>
  <c r="K20" i="21"/>
  <c r="K19" i="21"/>
  <c r="K18" i="21"/>
  <c r="K17" i="21"/>
  <c r="I13" i="21"/>
  <c r="K12" i="21"/>
  <c r="I11" i="21"/>
  <c r="G11" i="21"/>
  <c r="G13" i="21" s="1"/>
  <c r="K10" i="21"/>
  <c r="K9" i="21"/>
  <c r="K8" i="21"/>
  <c r="I5" i="21"/>
  <c r="I7" i="21" s="1"/>
  <c r="G5" i="21"/>
  <c r="G38" i="21" s="1"/>
  <c r="K38" i="21" s="1"/>
  <c r="L1" i="21"/>
  <c r="F78" i="20"/>
  <c r="F75" i="20"/>
  <c r="F62" i="20"/>
  <c r="F84" i="20" s="1"/>
  <c r="V56" i="20"/>
  <c r="V54" i="20"/>
  <c r="V52" i="20"/>
  <c r="F51" i="20"/>
  <c r="F50" i="20"/>
  <c r="F68" i="20" s="1"/>
  <c r="F49" i="20"/>
  <c r="F81" i="20" s="1"/>
  <c r="F47" i="20"/>
  <c r="F46" i="20"/>
  <c r="F83" i="20" s="1"/>
  <c r="F100" i="20" s="1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4" i="20"/>
  <c r="F43" i="20"/>
  <c r="F67" i="20" s="1"/>
  <c r="F42" i="20"/>
  <c r="L41" i="20"/>
  <c r="F40" i="20"/>
  <c r="F39" i="20"/>
  <c r="F82" i="20" s="1"/>
  <c r="F33" i="20"/>
  <c r="F79" i="20" s="1"/>
  <c r="F32" i="20"/>
  <c r="F31" i="20"/>
  <c r="F30" i="20"/>
  <c r="F29" i="20"/>
  <c r="F69" i="20" s="1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S24" i="20"/>
  <c r="S21" i="20" s="1"/>
  <c r="R24" i="20"/>
  <c r="R21" i="20" s="1"/>
  <c r="Q24" i="20"/>
  <c r="Q21" i="20" s="1"/>
  <c r="P24" i="20"/>
  <c r="P21" i="20" s="1"/>
  <c r="O24" i="20"/>
  <c r="O21" i="20" s="1"/>
  <c r="N24" i="20"/>
  <c r="N21" i="20" s="1"/>
  <c r="M24" i="20"/>
  <c r="L24" i="20"/>
  <c r="K24" i="20"/>
  <c r="K21" i="20" s="1"/>
  <c r="J24" i="20"/>
  <c r="I24" i="20"/>
  <c r="I21" i="20" s="1"/>
  <c r="H24" i="20"/>
  <c r="G24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M21" i="20"/>
  <c r="L21" i="20"/>
  <c r="J21" i="20"/>
  <c r="H21" i="20"/>
  <c r="G21" i="20"/>
  <c r="F21" i="20"/>
  <c r="S19" i="20"/>
  <c r="S77" i="20" s="1"/>
  <c r="S98" i="20" s="1"/>
  <c r="F18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V17" i="20" s="1"/>
  <c r="F16" i="20"/>
  <c r="L14" i="20"/>
  <c r="S13" i="20"/>
  <c r="R13" i="20"/>
  <c r="Q13" i="20"/>
  <c r="P13" i="20"/>
  <c r="O13" i="20"/>
  <c r="O14" i="20" s="1"/>
  <c r="N13" i="20"/>
  <c r="M13" i="20"/>
  <c r="L13" i="20"/>
  <c r="K13" i="20"/>
  <c r="K14" i="20" s="1"/>
  <c r="J13" i="20"/>
  <c r="I13" i="20"/>
  <c r="H13" i="20"/>
  <c r="G13" i="20"/>
  <c r="O12" i="20"/>
  <c r="N12" i="20"/>
  <c r="M12" i="20"/>
  <c r="L12" i="20"/>
  <c r="K12" i="20"/>
  <c r="M11" i="20"/>
  <c r="L11" i="20"/>
  <c r="K11" i="20"/>
  <c r="S10" i="20"/>
  <c r="S11" i="20" s="1"/>
  <c r="R10" i="20"/>
  <c r="Q10" i="20"/>
  <c r="P10" i="20"/>
  <c r="O10" i="20"/>
  <c r="O11" i="20" s="1"/>
  <c r="N10" i="20"/>
  <c r="M10" i="20"/>
  <c r="L10" i="20"/>
  <c r="K10" i="20"/>
  <c r="J10" i="20"/>
  <c r="I10" i="20"/>
  <c r="H10" i="20"/>
  <c r="G10" i="20"/>
  <c r="S9" i="20"/>
  <c r="O9" i="20"/>
  <c r="N9" i="20"/>
  <c r="N11" i="20" s="1"/>
  <c r="M9" i="20"/>
  <c r="L9" i="20"/>
  <c r="K9" i="20"/>
  <c r="S7" i="20"/>
  <c r="S8" i="20" s="1"/>
  <c r="R7" i="20"/>
  <c r="Q7" i="20"/>
  <c r="P7" i="20"/>
  <c r="O7" i="20"/>
  <c r="N7" i="20"/>
  <c r="N8" i="20" s="1"/>
  <c r="M7" i="20"/>
  <c r="M8" i="20" s="1"/>
  <c r="L7" i="20"/>
  <c r="K7" i="20"/>
  <c r="J7" i="20"/>
  <c r="I7" i="20"/>
  <c r="H7" i="20"/>
  <c r="G7" i="20"/>
  <c r="S6" i="20"/>
  <c r="O6" i="20"/>
  <c r="O8" i="20" s="1"/>
  <c r="N6" i="20"/>
  <c r="M6" i="20"/>
  <c r="L6" i="20"/>
  <c r="K6" i="20"/>
  <c r="K8" i="20" s="1"/>
  <c r="F2" i="20"/>
  <c r="W1" i="20"/>
  <c r="S1" i="20"/>
  <c r="J115" i="19"/>
  <c r="G115" i="19"/>
  <c r="F115" i="19"/>
  <c r="G114" i="19"/>
  <c r="G118" i="19" s="1"/>
  <c r="F114" i="19"/>
  <c r="F118" i="19" s="1"/>
  <c r="J118" i="19" s="1"/>
  <c r="J113" i="19"/>
  <c r="J109" i="19"/>
  <c r="G109" i="19"/>
  <c r="F109" i="19"/>
  <c r="G108" i="19"/>
  <c r="G112" i="19" s="1"/>
  <c r="F108" i="19"/>
  <c r="F110" i="19" s="1"/>
  <c r="J107" i="19"/>
  <c r="J105" i="19"/>
  <c r="G105" i="19"/>
  <c r="G106" i="19" s="1"/>
  <c r="F105" i="19"/>
  <c r="F106" i="19" s="1"/>
  <c r="G104" i="19"/>
  <c r="F104" i="19"/>
  <c r="J104" i="19" s="1"/>
  <c r="G102" i="19"/>
  <c r="F102" i="19"/>
  <c r="J102" i="19" s="1"/>
  <c r="J103" i="19" s="1"/>
  <c r="G100" i="19"/>
  <c r="J100" i="19" s="1"/>
  <c r="J101" i="19" s="1"/>
  <c r="F100" i="19"/>
  <c r="G98" i="19"/>
  <c r="F98" i="19"/>
  <c r="J98" i="19" s="1"/>
  <c r="J99" i="19" s="1"/>
  <c r="J97" i="19"/>
  <c r="G96" i="19"/>
  <c r="F96" i="19"/>
  <c r="J96" i="19" s="1"/>
  <c r="J95" i="19"/>
  <c r="G94" i="19"/>
  <c r="F94" i="19"/>
  <c r="J94" i="19" s="1"/>
  <c r="J93" i="19"/>
  <c r="G92" i="19"/>
  <c r="J92" i="19" s="1"/>
  <c r="F92" i="19"/>
  <c r="G91" i="19"/>
  <c r="F91" i="19"/>
  <c r="J91" i="19" s="1"/>
  <c r="J90" i="19"/>
  <c r="J89" i="19"/>
  <c r="J88" i="19"/>
  <c r="F86" i="19"/>
  <c r="G85" i="19"/>
  <c r="F85" i="19"/>
  <c r="G81" i="19"/>
  <c r="F81" i="19"/>
  <c r="J81" i="19" s="1"/>
  <c r="F76" i="19"/>
  <c r="G75" i="19"/>
  <c r="F75" i="19"/>
  <c r="J75" i="19" s="1"/>
  <c r="G71" i="19"/>
  <c r="F71" i="19"/>
  <c r="J71" i="19" s="1"/>
  <c r="G64" i="19"/>
  <c r="G63" i="19"/>
  <c r="G77" i="19" s="1"/>
  <c r="G87" i="19" s="1"/>
  <c r="F63" i="19"/>
  <c r="F65" i="19" s="1"/>
  <c r="G62" i="19"/>
  <c r="F62" i="19"/>
  <c r="J61" i="19"/>
  <c r="J60" i="19"/>
  <c r="W59" i="19"/>
  <c r="F77" i="19" s="1"/>
  <c r="G59" i="19"/>
  <c r="F59" i="19"/>
  <c r="J59" i="19" s="1"/>
  <c r="J58" i="19"/>
  <c r="G57" i="19"/>
  <c r="G56" i="19"/>
  <c r="F56" i="19"/>
  <c r="F57" i="19" s="1"/>
  <c r="J55" i="19"/>
  <c r="J54" i="19"/>
  <c r="J53" i="19"/>
  <c r="J51" i="19"/>
  <c r="G42" i="19"/>
  <c r="G43" i="19" s="1"/>
  <c r="F42" i="19"/>
  <c r="F43" i="19" s="1"/>
  <c r="G41" i="19"/>
  <c r="F41" i="19"/>
  <c r="J41" i="19" s="1"/>
  <c r="J40" i="19"/>
  <c r="J38" i="19"/>
  <c r="G37" i="19"/>
  <c r="G36" i="19"/>
  <c r="F36" i="19"/>
  <c r="F37" i="19" s="1"/>
  <c r="J37" i="19" s="1"/>
  <c r="G33" i="19"/>
  <c r="G34" i="19" s="1"/>
  <c r="G35" i="19" s="1"/>
  <c r="F33" i="19"/>
  <c r="F34" i="19" s="1"/>
  <c r="G31" i="19"/>
  <c r="F31" i="19"/>
  <c r="J31" i="19" s="1"/>
  <c r="G30" i="19"/>
  <c r="G46" i="19" s="1"/>
  <c r="F30" i="19"/>
  <c r="F46" i="19" s="1"/>
  <c r="J46" i="19" s="1"/>
  <c r="G27" i="19"/>
  <c r="F27" i="19"/>
  <c r="J27" i="19" s="1"/>
  <c r="J26" i="19"/>
  <c r="G26" i="19"/>
  <c r="G29" i="19" s="1"/>
  <c r="F26" i="19"/>
  <c r="F29" i="19" s="1"/>
  <c r="J25" i="19"/>
  <c r="J24" i="19"/>
  <c r="J23" i="19"/>
  <c r="J22" i="19"/>
  <c r="G22" i="19"/>
  <c r="F22" i="19"/>
  <c r="J21" i="19"/>
  <c r="J20" i="19"/>
  <c r="J19" i="19"/>
  <c r="J18" i="19"/>
  <c r="J17" i="19"/>
  <c r="G16" i="19"/>
  <c r="G39" i="19" s="1"/>
  <c r="F16" i="19"/>
  <c r="J16" i="19" s="1"/>
  <c r="J15" i="19"/>
  <c r="F14" i="19"/>
  <c r="J14" i="19" s="1"/>
  <c r="G13" i="19"/>
  <c r="G14" i="19" s="1"/>
  <c r="F13" i="19"/>
  <c r="G12" i="19"/>
  <c r="F12" i="19"/>
  <c r="J12" i="19" s="1"/>
  <c r="G11" i="19"/>
  <c r="F11" i="19"/>
  <c r="J11" i="19" s="1"/>
  <c r="G10" i="19"/>
  <c r="F10" i="19"/>
  <c r="J10" i="19" s="1"/>
  <c r="G9" i="19"/>
  <c r="F9" i="19"/>
  <c r="J9" i="19" s="1"/>
  <c r="J8" i="19"/>
  <c r="J7" i="19"/>
  <c r="J6" i="19"/>
  <c r="J5" i="19"/>
  <c r="J4" i="19"/>
  <c r="J3" i="19"/>
  <c r="J2" i="19"/>
  <c r="K1" i="19"/>
  <c r="G1" i="19"/>
  <c r="F1" i="19"/>
  <c r="AJ173" i="18"/>
  <c r="S169" i="18"/>
  <c r="S159" i="18" s="1"/>
  <c r="S152" i="18"/>
  <c r="R152" i="18"/>
  <c r="Q152" i="18"/>
  <c r="P152" i="18"/>
  <c r="O152" i="18"/>
  <c r="I152" i="18"/>
  <c r="H152" i="18"/>
  <c r="G152" i="18"/>
  <c r="F152" i="18"/>
  <c r="R151" i="18"/>
  <c r="R170" i="18" s="1"/>
  <c r="R160" i="18" s="1"/>
  <c r="I151" i="18"/>
  <c r="I170" i="18" s="1"/>
  <c r="I160" i="18" s="1"/>
  <c r="AH150" i="18"/>
  <c r="AH151" i="18" s="1"/>
  <c r="AG150" i="18"/>
  <c r="AG151" i="18" s="1"/>
  <c r="AF150" i="18"/>
  <c r="AF151" i="18" s="1"/>
  <c r="S150" i="18"/>
  <c r="R150" i="18"/>
  <c r="Q150" i="18"/>
  <c r="Q151" i="18" s="1"/>
  <c r="Q170" i="18" s="1"/>
  <c r="Q160" i="18" s="1"/>
  <c r="P150" i="18"/>
  <c r="P151" i="18" s="1"/>
  <c r="P170" i="18" s="1"/>
  <c r="P160" i="18" s="1"/>
  <c r="O150" i="18"/>
  <c r="O151" i="18" s="1"/>
  <c r="O170" i="18" s="1"/>
  <c r="O160" i="18" s="1"/>
  <c r="I150" i="18"/>
  <c r="H150" i="18"/>
  <c r="H151" i="18" s="1"/>
  <c r="H170" i="18" s="1"/>
  <c r="H160" i="18" s="1"/>
  <c r="G150" i="18"/>
  <c r="G151" i="18" s="1"/>
  <c r="G170" i="18" s="1"/>
  <c r="G160" i="18" s="1"/>
  <c r="F150" i="18"/>
  <c r="F151" i="18" s="1"/>
  <c r="AH149" i="18"/>
  <c r="AG149" i="18"/>
  <c r="AF149" i="18"/>
  <c r="S149" i="18"/>
  <c r="S151" i="18" s="1"/>
  <c r="S170" i="18" s="1"/>
  <c r="S160" i="18" s="1"/>
  <c r="R149" i="18"/>
  <c r="Q149" i="18"/>
  <c r="P149" i="18"/>
  <c r="O149" i="18"/>
  <c r="I149" i="18"/>
  <c r="H149" i="18"/>
  <c r="G149" i="18"/>
  <c r="F149" i="18"/>
  <c r="AG148" i="18"/>
  <c r="AF148" i="18"/>
  <c r="S148" i="18"/>
  <c r="AH147" i="18"/>
  <c r="AH148" i="18" s="1"/>
  <c r="AG147" i="18"/>
  <c r="AF147" i="18"/>
  <c r="S147" i="18"/>
  <c r="R147" i="18"/>
  <c r="Q147" i="18"/>
  <c r="Q148" i="18" s="1"/>
  <c r="P147" i="18"/>
  <c r="O147" i="18"/>
  <c r="I147" i="18"/>
  <c r="H147" i="18"/>
  <c r="H148" i="18" s="1"/>
  <c r="G147" i="18"/>
  <c r="G148" i="18" s="1"/>
  <c r="F147" i="18"/>
  <c r="F148" i="18" s="1"/>
  <c r="AH146" i="18"/>
  <c r="AG146" i="18"/>
  <c r="AF146" i="18"/>
  <c r="S146" i="18"/>
  <c r="R146" i="18"/>
  <c r="R148" i="18" s="1"/>
  <c r="Q146" i="18"/>
  <c r="P146" i="18"/>
  <c r="O146" i="18"/>
  <c r="I146" i="18"/>
  <c r="H146" i="18"/>
  <c r="G146" i="18"/>
  <c r="F146" i="18"/>
  <c r="AH145" i="18"/>
  <c r="AG145" i="18"/>
  <c r="AF145" i="18"/>
  <c r="S145" i="18"/>
  <c r="R145" i="18"/>
  <c r="Q145" i="18"/>
  <c r="P145" i="18"/>
  <c r="O145" i="18"/>
  <c r="I145" i="18"/>
  <c r="H145" i="18"/>
  <c r="G145" i="18"/>
  <c r="F145" i="18"/>
  <c r="AH144" i="18"/>
  <c r="AG144" i="18"/>
  <c r="AF144" i="18"/>
  <c r="AE144" i="18"/>
  <c r="AD144" i="18"/>
  <c r="AC144" i="18"/>
  <c r="AB144" i="18"/>
  <c r="AA144" i="18"/>
  <c r="Z144" i="18"/>
  <c r="Y144" i="18"/>
  <c r="X144" i="18"/>
  <c r="W144" i="18"/>
  <c r="V144" i="18"/>
  <c r="U144" i="18"/>
  <c r="T144" i="18"/>
  <c r="S144" i="18"/>
  <c r="R144" i="18"/>
  <c r="Q144" i="18"/>
  <c r="P144" i="18"/>
  <c r="O144" i="18"/>
  <c r="I144" i="18"/>
  <c r="H144" i="18"/>
  <c r="G144" i="18"/>
  <c r="F144" i="18"/>
  <c r="AH143" i="18"/>
  <c r="AG143" i="18"/>
  <c r="AF143" i="18"/>
  <c r="AE143" i="18"/>
  <c r="AD143" i="18"/>
  <c r="AC143" i="18"/>
  <c r="AB143" i="18"/>
  <c r="AA143" i="18"/>
  <c r="Z143" i="18"/>
  <c r="Y143" i="18"/>
  <c r="X143" i="18"/>
  <c r="W143" i="18"/>
  <c r="V143" i="18"/>
  <c r="U143" i="18"/>
  <c r="T143" i="18"/>
  <c r="S143" i="18"/>
  <c r="R143" i="18"/>
  <c r="Q143" i="18"/>
  <c r="P143" i="18"/>
  <c r="O143" i="18"/>
  <c r="I143" i="18"/>
  <c r="H143" i="18"/>
  <c r="G143" i="18"/>
  <c r="F143" i="18"/>
  <c r="AH142" i="18"/>
  <c r="AG142" i="18"/>
  <c r="AF142" i="18"/>
  <c r="AE142" i="18"/>
  <c r="AD142" i="18"/>
  <c r="AC142" i="18"/>
  <c r="AB142" i="18"/>
  <c r="AA142" i="18"/>
  <c r="Z142" i="18"/>
  <c r="Y142" i="18"/>
  <c r="X142" i="18"/>
  <c r="W142" i="18"/>
  <c r="V142" i="18"/>
  <c r="U142" i="18"/>
  <c r="T142" i="18"/>
  <c r="S142" i="18"/>
  <c r="R142" i="18"/>
  <c r="Q142" i="18"/>
  <c r="P142" i="18"/>
  <c r="O142" i="18"/>
  <c r="I142" i="18"/>
  <c r="H142" i="18"/>
  <c r="G142" i="18"/>
  <c r="F142" i="18"/>
  <c r="AH141" i="18"/>
  <c r="AG141" i="18"/>
  <c r="AF141" i="18"/>
  <c r="AE141" i="18"/>
  <c r="AD141" i="18"/>
  <c r="AC141" i="18"/>
  <c r="AB141" i="18"/>
  <c r="AA141" i="18"/>
  <c r="Z141" i="18"/>
  <c r="Y141" i="18"/>
  <c r="X141" i="18"/>
  <c r="W141" i="18"/>
  <c r="V141" i="18"/>
  <c r="U141" i="18"/>
  <c r="T141" i="18"/>
  <c r="S141" i="18"/>
  <c r="R141" i="18"/>
  <c r="Q141" i="18"/>
  <c r="P141" i="18"/>
  <c r="O141" i="18"/>
  <c r="I141" i="18"/>
  <c r="H141" i="18"/>
  <c r="G141" i="18"/>
  <c r="F141" i="18"/>
  <c r="AH140" i="18"/>
  <c r="AG140" i="18"/>
  <c r="AF140" i="18"/>
  <c r="AE140" i="18"/>
  <c r="AD140" i="18"/>
  <c r="AC140" i="18"/>
  <c r="AB140" i="18"/>
  <c r="AA140" i="18"/>
  <c r="Z140" i="18"/>
  <c r="Y140" i="18"/>
  <c r="X140" i="18"/>
  <c r="W140" i="18"/>
  <c r="V140" i="18"/>
  <c r="U140" i="18"/>
  <c r="T140" i="18"/>
  <c r="S140" i="18"/>
  <c r="R140" i="18"/>
  <c r="Q140" i="18"/>
  <c r="P140" i="18"/>
  <c r="O140" i="18"/>
  <c r="I140" i="18"/>
  <c r="H140" i="18"/>
  <c r="G140" i="18"/>
  <c r="F140" i="18"/>
  <c r="AH139" i="18"/>
  <c r="AG139" i="18"/>
  <c r="AF139" i="18"/>
  <c r="AE139" i="18"/>
  <c r="AD139" i="18"/>
  <c r="AC139" i="18"/>
  <c r="AB139" i="18"/>
  <c r="AA139" i="18"/>
  <c r="Z139" i="18"/>
  <c r="Y139" i="18"/>
  <c r="X139" i="18"/>
  <c r="W139" i="18"/>
  <c r="V139" i="18"/>
  <c r="U139" i="18"/>
  <c r="T139" i="18"/>
  <c r="S139" i="18"/>
  <c r="R139" i="18"/>
  <c r="Q139" i="18"/>
  <c r="P139" i="18"/>
  <c r="O139" i="18"/>
  <c r="I139" i="18"/>
  <c r="H139" i="18"/>
  <c r="G139" i="18"/>
  <c r="F139" i="18"/>
  <c r="S138" i="18"/>
  <c r="R138" i="18"/>
  <c r="Q138" i="18"/>
  <c r="P138" i="18"/>
  <c r="O138" i="18"/>
  <c r="I138" i="18"/>
  <c r="H138" i="18"/>
  <c r="G138" i="18"/>
  <c r="F138" i="18"/>
  <c r="AH137" i="18"/>
  <c r="AG137" i="18"/>
  <c r="AF137" i="18"/>
  <c r="AE137" i="18"/>
  <c r="AD137" i="18"/>
  <c r="AC137" i="18"/>
  <c r="AB137" i="18"/>
  <c r="AA137" i="18"/>
  <c r="Z137" i="18"/>
  <c r="Y137" i="18"/>
  <c r="X137" i="18"/>
  <c r="W137" i="18"/>
  <c r="V137" i="18"/>
  <c r="U137" i="18"/>
  <c r="T137" i="18"/>
  <c r="S137" i="18"/>
  <c r="R137" i="18"/>
  <c r="Q137" i="18"/>
  <c r="P137" i="18"/>
  <c r="O137" i="18"/>
  <c r="I137" i="18"/>
  <c r="H137" i="18"/>
  <c r="G137" i="18"/>
  <c r="F137" i="18"/>
  <c r="AH136" i="18"/>
  <c r="AG136" i="18"/>
  <c r="AF136" i="18"/>
  <c r="AE136" i="18"/>
  <c r="AD136" i="18"/>
  <c r="AC136" i="18"/>
  <c r="AB136" i="18"/>
  <c r="AA136" i="18"/>
  <c r="Z136" i="18"/>
  <c r="Y136" i="18"/>
  <c r="X136" i="18"/>
  <c r="W136" i="18"/>
  <c r="V136" i="18"/>
  <c r="U136" i="18"/>
  <c r="T136" i="18"/>
  <c r="S136" i="18"/>
  <c r="R136" i="18"/>
  <c r="Q136" i="18"/>
  <c r="P136" i="18"/>
  <c r="O136" i="18"/>
  <c r="I136" i="18"/>
  <c r="H136" i="18"/>
  <c r="G136" i="18"/>
  <c r="F136" i="18"/>
  <c r="AH134" i="18"/>
  <c r="AH172" i="18" s="1"/>
  <c r="AG134" i="18"/>
  <c r="AG172" i="18" s="1"/>
  <c r="AF134" i="18"/>
  <c r="AF172" i="18" s="1"/>
  <c r="AE134" i="18"/>
  <c r="AD134" i="18"/>
  <c r="AC134" i="18"/>
  <c r="AB134" i="18"/>
  <c r="AA134" i="18"/>
  <c r="Z134" i="18"/>
  <c r="Y134" i="18"/>
  <c r="X134" i="18"/>
  <c r="W134" i="18"/>
  <c r="V134" i="18"/>
  <c r="U134" i="18"/>
  <c r="T134" i="18"/>
  <c r="S134" i="18"/>
  <c r="R134" i="18"/>
  <c r="Q134" i="18"/>
  <c r="P134" i="18"/>
  <c r="O134" i="18"/>
  <c r="I134" i="18"/>
  <c r="H134" i="18"/>
  <c r="G134" i="18"/>
  <c r="F134" i="18"/>
  <c r="S128" i="18"/>
  <c r="R128" i="18"/>
  <c r="Q128" i="18"/>
  <c r="P128" i="18"/>
  <c r="O128" i="18"/>
  <c r="I128" i="18"/>
  <c r="H128" i="18"/>
  <c r="G128" i="18"/>
  <c r="F128" i="18"/>
  <c r="S127" i="18"/>
  <c r="R127" i="18"/>
  <c r="Q127" i="18"/>
  <c r="P127" i="18"/>
  <c r="O127" i="18"/>
  <c r="I127" i="18"/>
  <c r="H127" i="18"/>
  <c r="G127" i="18"/>
  <c r="F127" i="18"/>
  <c r="S126" i="18"/>
  <c r="R126" i="18"/>
  <c r="Q126" i="18"/>
  <c r="P126" i="18"/>
  <c r="O126" i="18"/>
  <c r="I126" i="18"/>
  <c r="H126" i="18"/>
  <c r="G126" i="18"/>
  <c r="F126" i="18"/>
  <c r="AJ126" i="18" s="1"/>
  <c r="S125" i="18"/>
  <c r="R125" i="18"/>
  <c r="Q125" i="18"/>
  <c r="P125" i="18"/>
  <c r="O125" i="18"/>
  <c r="I125" i="18"/>
  <c r="I133" i="18" s="1"/>
  <c r="H125" i="18"/>
  <c r="G125" i="18"/>
  <c r="F125" i="18"/>
  <c r="S124" i="18"/>
  <c r="S132" i="18" s="1"/>
  <c r="R124" i="18"/>
  <c r="Q124" i="18"/>
  <c r="P124" i="18"/>
  <c r="O124" i="18"/>
  <c r="I124" i="18"/>
  <c r="H124" i="18"/>
  <c r="G124" i="18"/>
  <c r="F124" i="18"/>
  <c r="S123" i="18"/>
  <c r="S133" i="18" s="1"/>
  <c r="R123" i="18"/>
  <c r="Q123" i="18"/>
  <c r="P123" i="18"/>
  <c r="P130" i="18" s="1"/>
  <c r="O123" i="18"/>
  <c r="O130" i="18" s="1"/>
  <c r="I123" i="18"/>
  <c r="H123" i="18"/>
  <c r="G123" i="18"/>
  <c r="F123" i="18"/>
  <c r="S122" i="18"/>
  <c r="R122" i="18"/>
  <c r="Q122" i="18"/>
  <c r="P122" i="18"/>
  <c r="O122" i="18"/>
  <c r="I122" i="18"/>
  <c r="H122" i="18"/>
  <c r="G122" i="18"/>
  <c r="F122" i="18"/>
  <c r="S121" i="18"/>
  <c r="R121" i="18"/>
  <c r="Q121" i="18"/>
  <c r="P121" i="18"/>
  <c r="O121" i="18"/>
  <c r="I121" i="18"/>
  <c r="H121" i="18"/>
  <c r="G121" i="18"/>
  <c r="F121" i="18"/>
  <c r="S120" i="18"/>
  <c r="R120" i="18"/>
  <c r="Q120" i="18"/>
  <c r="P120" i="18"/>
  <c r="O120" i="18"/>
  <c r="I120" i="18"/>
  <c r="H120" i="18"/>
  <c r="G120" i="18"/>
  <c r="F120" i="18"/>
  <c r="S119" i="18"/>
  <c r="AJ119" i="18" s="1"/>
  <c r="R119" i="18"/>
  <c r="Q119" i="18"/>
  <c r="P119" i="18"/>
  <c r="O119" i="18"/>
  <c r="I119" i="18"/>
  <c r="H119" i="18"/>
  <c r="G119" i="18"/>
  <c r="F119" i="18"/>
  <c r="S118" i="18"/>
  <c r="R118" i="18"/>
  <c r="Q118" i="18"/>
  <c r="P118" i="18"/>
  <c r="O118" i="18"/>
  <c r="I118" i="18"/>
  <c r="H118" i="18"/>
  <c r="G118" i="18"/>
  <c r="F118" i="18"/>
  <c r="S117" i="18"/>
  <c r="R117" i="18"/>
  <c r="Q117" i="18"/>
  <c r="P117" i="18"/>
  <c r="O117" i="18"/>
  <c r="I117" i="18"/>
  <c r="H117" i="18"/>
  <c r="G117" i="18"/>
  <c r="F117" i="18"/>
  <c r="S116" i="18"/>
  <c r="R116" i="18"/>
  <c r="Q116" i="18"/>
  <c r="P116" i="18"/>
  <c r="O116" i="18"/>
  <c r="I116" i="18"/>
  <c r="H116" i="18"/>
  <c r="G116" i="18"/>
  <c r="F116" i="18"/>
  <c r="S115" i="18"/>
  <c r="R115" i="18"/>
  <c r="Q115" i="18"/>
  <c r="P115" i="18"/>
  <c r="O115" i="18"/>
  <c r="I115" i="18"/>
  <c r="H115" i="18"/>
  <c r="G115" i="18"/>
  <c r="F115" i="18"/>
  <c r="S114" i="18"/>
  <c r="R114" i="18"/>
  <c r="Q114" i="18"/>
  <c r="P114" i="18"/>
  <c r="O114" i="18"/>
  <c r="I114" i="18"/>
  <c r="H114" i="18"/>
  <c r="G114" i="18"/>
  <c r="F114" i="18"/>
  <c r="S113" i="18"/>
  <c r="R113" i="18"/>
  <c r="Q113" i="18"/>
  <c r="P113" i="18"/>
  <c r="O113" i="18"/>
  <c r="I113" i="18"/>
  <c r="H113" i="18"/>
  <c r="G113" i="18"/>
  <c r="F113" i="18"/>
  <c r="AJ112" i="18"/>
  <c r="S112" i="18"/>
  <c r="R112" i="18"/>
  <c r="Q112" i="18"/>
  <c r="P112" i="18"/>
  <c r="O112" i="18"/>
  <c r="I112" i="18"/>
  <c r="H112" i="18"/>
  <c r="G112" i="18"/>
  <c r="F112" i="18"/>
  <c r="S111" i="18"/>
  <c r="R111" i="18"/>
  <c r="Q111" i="18"/>
  <c r="P111" i="18"/>
  <c r="O111" i="18"/>
  <c r="I111" i="18"/>
  <c r="H111" i="18"/>
  <c r="G111" i="18"/>
  <c r="F111" i="18"/>
  <c r="S110" i="18"/>
  <c r="R110" i="18"/>
  <c r="Q110" i="18"/>
  <c r="P110" i="18"/>
  <c r="O110" i="18"/>
  <c r="I110" i="18"/>
  <c r="H110" i="18"/>
  <c r="G110" i="18"/>
  <c r="F110" i="18"/>
  <c r="S109" i="18"/>
  <c r="R109" i="18"/>
  <c r="Q109" i="18"/>
  <c r="P109" i="18"/>
  <c r="O109" i="18"/>
  <c r="I109" i="18"/>
  <c r="AJ109" i="18" s="1"/>
  <c r="H109" i="18"/>
  <c r="G109" i="18"/>
  <c r="F109" i="18"/>
  <c r="S108" i="18"/>
  <c r="R108" i="18"/>
  <c r="Q108" i="18"/>
  <c r="P108" i="18"/>
  <c r="O108" i="18"/>
  <c r="I108" i="18"/>
  <c r="H108" i="18"/>
  <c r="AJ108" i="18" s="1"/>
  <c r="G108" i="18"/>
  <c r="F108" i="18"/>
  <c r="S107" i="18"/>
  <c r="R107" i="18"/>
  <c r="Q107" i="18"/>
  <c r="P107" i="18"/>
  <c r="O107" i="18"/>
  <c r="I107" i="18"/>
  <c r="H107" i="18"/>
  <c r="G107" i="18"/>
  <c r="F107" i="18"/>
  <c r="S106" i="18"/>
  <c r="R106" i="18"/>
  <c r="Q106" i="18"/>
  <c r="P106" i="18"/>
  <c r="O106" i="18"/>
  <c r="I106" i="18"/>
  <c r="H106" i="18"/>
  <c r="G106" i="18"/>
  <c r="F106" i="18"/>
  <c r="S105" i="18"/>
  <c r="R105" i="18"/>
  <c r="Q105" i="18"/>
  <c r="P105" i="18"/>
  <c r="O105" i="18"/>
  <c r="I105" i="18"/>
  <c r="H105" i="18"/>
  <c r="G105" i="18"/>
  <c r="F105" i="18"/>
  <c r="S104" i="18"/>
  <c r="R104" i="18"/>
  <c r="Q104" i="18"/>
  <c r="P104" i="18"/>
  <c r="O104" i="18"/>
  <c r="I104" i="18"/>
  <c r="H104" i="18"/>
  <c r="G104" i="18"/>
  <c r="F104" i="18"/>
  <c r="AJ104" i="18" s="1"/>
  <c r="S103" i="18"/>
  <c r="R103" i="18"/>
  <c r="Q103" i="18"/>
  <c r="P103" i="18"/>
  <c r="O103" i="18"/>
  <c r="I103" i="18"/>
  <c r="H103" i="18"/>
  <c r="G103" i="18"/>
  <c r="F103" i="18"/>
  <c r="S102" i="18"/>
  <c r="R102" i="18"/>
  <c r="Q102" i="18"/>
  <c r="Q76" i="18" s="1"/>
  <c r="P102" i="18"/>
  <c r="O102" i="18"/>
  <c r="I102" i="18"/>
  <c r="H102" i="18"/>
  <c r="AJ102" i="18" s="1"/>
  <c r="G102" i="18"/>
  <c r="F102" i="18"/>
  <c r="BD101" i="18"/>
  <c r="S101" i="18"/>
  <c r="R101" i="18"/>
  <c r="Q101" i="18"/>
  <c r="P101" i="18"/>
  <c r="O101" i="18"/>
  <c r="I101" i="18"/>
  <c r="H101" i="18"/>
  <c r="G101" i="18"/>
  <c r="F101" i="18"/>
  <c r="AJ101" i="18" s="1"/>
  <c r="BD100" i="18"/>
  <c r="S100" i="18"/>
  <c r="R100" i="18"/>
  <c r="Q100" i="18"/>
  <c r="P100" i="18"/>
  <c r="O100" i="18"/>
  <c r="I100" i="18"/>
  <c r="H100" i="18"/>
  <c r="G100" i="18"/>
  <c r="F100" i="18"/>
  <c r="BD99" i="18"/>
  <c r="S99" i="18"/>
  <c r="R99" i="18"/>
  <c r="Q99" i="18"/>
  <c r="P99" i="18"/>
  <c r="O99" i="18"/>
  <c r="I99" i="18"/>
  <c r="H99" i="18"/>
  <c r="AJ99" i="18" s="1"/>
  <c r="G99" i="18"/>
  <c r="F99" i="18"/>
  <c r="S98" i="18"/>
  <c r="R98" i="18"/>
  <c r="Q98" i="18"/>
  <c r="P98" i="18"/>
  <c r="O98" i="18"/>
  <c r="I98" i="18"/>
  <c r="H98" i="18"/>
  <c r="G98" i="18"/>
  <c r="AJ98" i="18" s="1"/>
  <c r="F98" i="18"/>
  <c r="S97" i="18"/>
  <c r="R97" i="18"/>
  <c r="Q97" i="18"/>
  <c r="P97" i="18"/>
  <c r="O97" i="18"/>
  <c r="I97" i="18"/>
  <c r="H97" i="18"/>
  <c r="G97" i="18"/>
  <c r="F97" i="18"/>
  <c r="S96" i="18"/>
  <c r="R96" i="18"/>
  <c r="Q96" i="18"/>
  <c r="P96" i="18"/>
  <c r="O96" i="18"/>
  <c r="I96" i="18"/>
  <c r="H96" i="18"/>
  <c r="G96" i="18"/>
  <c r="F96" i="18"/>
  <c r="S95" i="18"/>
  <c r="R95" i="18"/>
  <c r="Q95" i="18"/>
  <c r="P95" i="18"/>
  <c r="O95" i="18"/>
  <c r="I95" i="18"/>
  <c r="H95" i="18"/>
  <c r="G95" i="18"/>
  <c r="F95" i="18"/>
  <c r="S94" i="18"/>
  <c r="R94" i="18"/>
  <c r="Q94" i="18"/>
  <c r="P94" i="18"/>
  <c r="O94" i="18"/>
  <c r="I94" i="18"/>
  <c r="H94" i="18"/>
  <c r="G94" i="18"/>
  <c r="F94" i="18"/>
  <c r="AJ94" i="18" s="1"/>
  <c r="S93" i="18"/>
  <c r="R93" i="18"/>
  <c r="Q93" i="18"/>
  <c r="P93" i="18"/>
  <c r="O93" i="18"/>
  <c r="I93" i="18"/>
  <c r="H93" i="18"/>
  <c r="G93" i="18"/>
  <c r="F93" i="18"/>
  <c r="AJ93" i="18" s="1"/>
  <c r="AM90" i="18"/>
  <c r="S90" i="18"/>
  <c r="R90" i="18"/>
  <c r="Q90" i="18"/>
  <c r="P90" i="18"/>
  <c r="O90" i="18"/>
  <c r="I90" i="18"/>
  <c r="H90" i="18"/>
  <c r="G90" i="18"/>
  <c r="F90" i="18"/>
  <c r="AM89" i="18"/>
  <c r="S89" i="18"/>
  <c r="R89" i="18"/>
  <c r="Q89" i="18"/>
  <c r="P89" i="18"/>
  <c r="O89" i="18"/>
  <c r="I89" i="18"/>
  <c r="H89" i="18"/>
  <c r="G89" i="18"/>
  <c r="F89" i="18"/>
  <c r="AM88" i="18"/>
  <c r="S88" i="18"/>
  <c r="R88" i="18"/>
  <c r="Q88" i="18"/>
  <c r="P88" i="18"/>
  <c r="O88" i="18"/>
  <c r="I88" i="18"/>
  <c r="H88" i="18"/>
  <c r="G88" i="18"/>
  <c r="F88" i="18"/>
  <c r="AN87" i="18"/>
  <c r="AM87" i="18"/>
  <c r="AL87" i="18"/>
  <c r="S87" i="18"/>
  <c r="S91" i="18" s="1"/>
  <c r="R87" i="18"/>
  <c r="Q87" i="18"/>
  <c r="P87" i="18"/>
  <c r="O87" i="18"/>
  <c r="I87" i="18"/>
  <c r="H87" i="18"/>
  <c r="G87" i="18"/>
  <c r="F87" i="18"/>
  <c r="AM86" i="18"/>
  <c r="S86" i="18"/>
  <c r="R86" i="18"/>
  <c r="Q86" i="18"/>
  <c r="P86" i="18"/>
  <c r="O86" i="18"/>
  <c r="I86" i="18"/>
  <c r="H86" i="18"/>
  <c r="G86" i="18"/>
  <c r="F86" i="18"/>
  <c r="AN85" i="18"/>
  <c r="AM85" i="18"/>
  <c r="AL85" i="18"/>
  <c r="S85" i="18"/>
  <c r="S92" i="18" s="1"/>
  <c r="R85" i="18"/>
  <c r="Q85" i="18"/>
  <c r="P85" i="18"/>
  <c r="O85" i="18"/>
  <c r="I85" i="18"/>
  <c r="H85" i="18"/>
  <c r="G85" i="18"/>
  <c r="F85" i="18"/>
  <c r="AJ85" i="18" s="1"/>
  <c r="S83" i="18"/>
  <c r="S82" i="18"/>
  <c r="R81" i="18"/>
  <c r="O81" i="18"/>
  <c r="M81" i="18"/>
  <c r="L81" i="18"/>
  <c r="K81" i="18"/>
  <c r="J81" i="18"/>
  <c r="S80" i="18"/>
  <c r="M80" i="18"/>
  <c r="L80" i="18"/>
  <c r="K80" i="18"/>
  <c r="J80" i="18"/>
  <c r="F80" i="18"/>
  <c r="R79" i="18"/>
  <c r="Q79" i="18"/>
  <c r="O79" i="18"/>
  <c r="M79" i="18"/>
  <c r="L79" i="18"/>
  <c r="K79" i="18"/>
  <c r="J79" i="18"/>
  <c r="M78" i="18"/>
  <c r="L78" i="18"/>
  <c r="K78" i="18"/>
  <c r="J78" i="18"/>
  <c r="S77" i="18"/>
  <c r="M77" i="18"/>
  <c r="L77" i="18"/>
  <c r="K77" i="18"/>
  <c r="J77" i="18"/>
  <c r="M76" i="18"/>
  <c r="L76" i="18"/>
  <c r="K76" i="18"/>
  <c r="J76" i="18"/>
  <c r="I76" i="18"/>
  <c r="G76" i="18"/>
  <c r="S74" i="18"/>
  <c r="S73" i="18"/>
  <c r="S72" i="18"/>
  <c r="S71" i="18"/>
  <c r="S69" i="18"/>
  <c r="S67" i="18"/>
  <c r="S75" i="18" s="1"/>
  <c r="BD66" i="18"/>
  <c r="AV66" i="18"/>
  <c r="AU66" i="18"/>
  <c r="S66" i="18"/>
  <c r="R66" i="18"/>
  <c r="Q66" i="18"/>
  <c r="Q81" i="18" s="1"/>
  <c r="P66" i="18"/>
  <c r="P81" i="18" s="1"/>
  <c r="O66" i="18"/>
  <c r="I66" i="18"/>
  <c r="I81" i="18" s="1"/>
  <c r="H66" i="18"/>
  <c r="H81" i="18" s="1"/>
  <c r="G66" i="18"/>
  <c r="G81" i="18" s="1"/>
  <c r="F66" i="18"/>
  <c r="BD65" i="18"/>
  <c r="AV65" i="18"/>
  <c r="AU65" i="18"/>
  <c r="S65" i="18"/>
  <c r="S81" i="18" s="1"/>
  <c r="R65" i="18"/>
  <c r="R80" i="18" s="1"/>
  <c r="Q65" i="18"/>
  <c r="Q80" i="18" s="1"/>
  <c r="P65" i="18"/>
  <c r="P80" i="18" s="1"/>
  <c r="O65" i="18"/>
  <c r="O80" i="18" s="1"/>
  <c r="I65" i="18"/>
  <c r="I80" i="18" s="1"/>
  <c r="H65" i="18"/>
  <c r="H80" i="18" s="1"/>
  <c r="G65" i="18"/>
  <c r="G80" i="18" s="1"/>
  <c r="F65" i="18"/>
  <c r="BD64" i="18"/>
  <c r="AV64" i="18"/>
  <c r="AU64" i="18"/>
  <c r="AJ64" i="18"/>
  <c r="S64" i="18"/>
  <c r="R64" i="18"/>
  <c r="Q64" i="18"/>
  <c r="P64" i="18"/>
  <c r="P79" i="18" s="1"/>
  <c r="O64" i="18"/>
  <c r="I64" i="18"/>
  <c r="I79" i="18" s="1"/>
  <c r="H64" i="18"/>
  <c r="H79" i="18" s="1"/>
  <c r="G64" i="18"/>
  <c r="G79" i="18" s="1"/>
  <c r="F64" i="18"/>
  <c r="F79" i="18" s="1"/>
  <c r="BD63" i="18"/>
  <c r="N165" i="18" s="1"/>
  <c r="AV63" i="18"/>
  <c r="AU63" i="18"/>
  <c r="S63" i="18"/>
  <c r="S79" i="18" s="1"/>
  <c r="R63" i="18"/>
  <c r="R78" i="18" s="1"/>
  <c r="Q63" i="18"/>
  <c r="Q78" i="18" s="1"/>
  <c r="P63" i="18"/>
  <c r="P78" i="18" s="1"/>
  <c r="O63" i="18"/>
  <c r="O78" i="18" s="1"/>
  <c r="I63" i="18"/>
  <c r="I78" i="18" s="1"/>
  <c r="H63" i="18"/>
  <c r="H78" i="18" s="1"/>
  <c r="G63" i="18"/>
  <c r="G78" i="18" s="1"/>
  <c r="F63" i="18"/>
  <c r="F78" i="18" s="1"/>
  <c r="BD62" i="18"/>
  <c r="AV62" i="18"/>
  <c r="AU62" i="18"/>
  <c r="S62" i="18"/>
  <c r="S78" i="18" s="1"/>
  <c r="R62" i="18"/>
  <c r="Q62" i="18"/>
  <c r="Q77" i="18" s="1"/>
  <c r="P62" i="18"/>
  <c r="P77" i="18" s="1"/>
  <c r="O62" i="18"/>
  <c r="O77" i="18" s="1"/>
  <c r="I62" i="18"/>
  <c r="I77" i="18" s="1"/>
  <c r="H62" i="18"/>
  <c r="H77" i="18" s="1"/>
  <c r="G62" i="18"/>
  <c r="G77" i="18" s="1"/>
  <c r="F62" i="18"/>
  <c r="F77" i="18" s="1"/>
  <c r="BD61" i="18"/>
  <c r="AV61" i="18"/>
  <c r="AU61" i="18"/>
  <c r="S61" i="18"/>
  <c r="R61" i="18"/>
  <c r="Q61" i="18"/>
  <c r="P61" i="18"/>
  <c r="O61" i="18"/>
  <c r="I61" i="18"/>
  <c r="H61" i="18"/>
  <c r="H76" i="18" s="1"/>
  <c r="G61" i="18"/>
  <c r="F61" i="18"/>
  <c r="F76" i="18" s="1"/>
  <c r="AV60" i="18"/>
  <c r="S60" i="18"/>
  <c r="S167" i="18" s="1"/>
  <c r="S157" i="18" s="1"/>
  <c r="R60" i="18"/>
  <c r="Q60" i="18"/>
  <c r="P60" i="18"/>
  <c r="O60" i="18"/>
  <c r="I60" i="18"/>
  <c r="H60" i="18"/>
  <c r="G60" i="18"/>
  <c r="F60" i="18"/>
  <c r="S58" i="18"/>
  <c r="S56" i="18"/>
  <c r="S55" i="18"/>
  <c r="S53" i="18"/>
  <c r="S52" i="18"/>
  <c r="S50" i="18"/>
  <c r="S48" i="18"/>
  <c r="S47" i="18"/>
  <c r="S46" i="18"/>
  <c r="S45" i="18"/>
  <c r="S44" i="18"/>
  <c r="S42" i="18"/>
  <c r="S40" i="18"/>
  <c r="S39" i="18"/>
  <c r="S38" i="18"/>
  <c r="S37" i="18"/>
  <c r="S36" i="18"/>
  <c r="S34" i="18"/>
  <c r="S32" i="18"/>
  <c r="S31" i="18"/>
  <c r="S29" i="18"/>
  <c r="S28" i="18"/>
  <c r="S26" i="18"/>
  <c r="S24" i="18"/>
  <c r="S23" i="18"/>
  <c r="S21" i="18"/>
  <c r="S20" i="18"/>
  <c r="S18" i="18"/>
  <c r="S16" i="18"/>
  <c r="S15" i="18"/>
  <c r="S14" i="18"/>
  <c r="S13" i="18"/>
  <c r="S12" i="18"/>
  <c r="S11" i="18"/>
  <c r="S10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H9" i="18"/>
  <c r="F9" i="18"/>
  <c r="BS8" i="18"/>
  <c r="BR8" i="18"/>
  <c r="AE8" i="18"/>
  <c r="AD8" i="18"/>
  <c r="AC8" i="18"/>
  <c r="AB8" i="18"/>
  <c r="AA8" i="18"/>
  <c r="Z8" i="18"/>
  <c r="Y8" i="18"/>
  <c r="X8" i="18"/>
  <c r="W8" i="18"/>
  <c r="V8" i="18"/>
  <c r="U8" i="18"/>
  <c r="T8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S8" i="18" s="1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S59" i="18" s="1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AE4" i="18"/>
  <c r="AD4" i="18"/>
  <c r="AC4" i="18"/>
  <c r="AB4" i="18"/>
  <c r="AA4" i="18"/>
  <c r="Z4" i="18"/>
  <c r="Y4" i="18"/>
  <c r="X4" i="18"/>
  <c r="W4" i="18"/>
  <c r="V4" i="18"/>
  <c r="U4" i="18"/>
  <c r="T4" i="18"/>
  <c r="S4" i="18"/>
  <c r="S51" i="18" s="1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AM2" i="18"/>
  <c r="AH2" i="18"/>
  <c r="AG2" i="18"/>
  <c r="AF2" i="18"/>
  <c r="S2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AH222" i="17"/>
  <c r="AG222" i="17"/>
  <c r="AF222" i="17"/>
  <c r="AE222" i="17"/>
  <c r="AD222" i="17"/>
  <c r="AC222" i="17"/>
  <c r="AB222" i="17"/>
  <c r="AA222" i="17"/>
  <c r="Z222" i="17"/>
  <c r="Y222" i="17"/>
  <c r="X222" i="17"/>
  <c r="W222" i="17"/>
  <c r="V222" i="17"/>
  <c r="U222" i="17"/>
  <c r="T222" i="17"/>
  <c r="S222" i="17"/>
  <c r="R222" i="17"/>
  <c r="Q222" i="17"/>
  <c r="P222" i="17"/>
  <c r="O222" i="17"/>
  <c r="I222" i="17"/>
  <c r="H222" i="17"/>
  <c r="G222" i="17"/>
  <c r="F222" i="17"/>
  <c r="AH221" i="17"/>
  <c r="AH211" i="17" s="1"/>
  <c r="AG221" i="17"/>
  <c r="AG211" i="17" s="1"/>
  <c r="AF221" i="17"/>
  <c r="AH220" i="17"/>
  <c r="AH210" i="17" s="1"/>
  <c r="AG220" i="17"/>
  <c r="AF220" i="17"/>
  <c r="AH219" i="17"/>
  <c r="AH209" i="17" s="1"/>
  <c r="AG219" i="17"/>
  <c r="AG209" i="17" s="1"/>
  <c r="AF219" i="17"/>
  <c r="AH218" i="17"/>
  <c r="AG218" i="17"/>
  <c r="AF218" i="17"/>
  <c r="AH217" i="17"/>
  <c r="AG217" i="17"/>
  <c r="AG207" i="17" s="1"/>
  <c r="AF217" i="17"/>
  <c r="AH216" i="17"/>
  <c r="AG216" i="17"/>
  <c r="AF216" i="17"/>
  <c r="AH215" i="17"/>
  <c r="AG215" i="17"/>
  <c r="AF215" i="17"/>
  <c r="V214" i="17"/>
  <c r="U214" i="17"/>
  <c r="T214" i="17"/>
  <c r="AG213" i="17"/>
  <c r="AF213" i="17"/>
  <c r="U213" i="17"/>
  <c r="AH212" i="17"/>
  <c r="AG212" i="17"/>
  <c r="AF212" i="17"/>
  <c r="AF211" i="17"/>
  <c r="AG210" i="17"/>
  <c r="AF210" i="17"/>
  <c r="AF209" i="17"/>
  <c r="AH208" i="17"/>
  <c r="AG208" i="17"/>
  <c r="AF208" i="17"/>
  <c r="AH207" i="17"/>
  <c r="AF207" i="17"/>
  <c r="AE206" i="17"/>
  <c r="AE214" i="17" s="1"/>
  <c r="AC206" i="17"/>
  <c r="AC214" i="17" s="1"/>
  <c r="AB206" i="17"/>
  <c r="AB214" i="17" s="1"/>
  <c r="AA206" i="17"/>
  <c r="AA214" i="17" s="1"/>
  <c r="AH205" i="17"/>
  <c r="AH213" i="17" s="1"/>
  <c r="AG205" i="17"/>
  <c r="AF205" i="17"/>
  <c r="AH204" i="17"/>
  <c r="AG204" i="17"/>
  <c r="AF204" i="17"/>
  <c r="AG202" i="17"/>
  <c r="AF202" i="17"/>
  <c r="AH201" i="17"/>
  <c r="AG201" i="17"/>
  <c r="AF201" i="17"/>
  <c r="AH200" i="17"/>
  <c r="AG200" i="17"/>
  <c r="AF200" i="17"/>
  <c r="AH199" i="17"/>
  <c r="AH203" i="17" s="1"/>
  <c r="AG199" i="17"/>
  <c r="AG203" i="17" s="1"/>
  <c r="AF199" i="17"/>
  <c r="AF203" i="17" s="1"/>
  <c r="AH198" i="17"/>
  <c r="AH202" i="17" s="1"/>
  <c r="AG198" i="17"/>
  <c r="AF198" i="17"/>
  <c r="AD196" i="17"/>
  <c r="AD197" i="17" s="1"/>
  <c r="AE195" i="17"/>
  <c r="AD195" i="17"/>
  <c r="AC195" i="17"/>
  <c r="AC196" i="17" s="1"/>
  <c r="AC197" i="17" s="1"/>
  <c r="AB195" i="17"/>
  <c r="AA195" i="17"/>
  <c r="Z195" i="17"/>
  <c r="Y195" i="17"/>
  <c r="X195" i="17"/>
  <c r="W195" i="17"/>
  <c r="V195" i="17"/>
  <c r="U195" i="17"/>
  <c r="T195" i="17"/>
  <c r="S195" i="17"/>
  <c r="R195" i="17"/>
  <c r="Q195" i="17"/>
  <c r="P195" i="17"/>
  <c r="O195" i="17"/>
  <c r="I195" i="17"/>
  <c r="H195" i="17"/>
  <c r="G195" i="17"/>
  <c r="F195" i="17"/>
  <c r="AC194" i="17"/>
  <c r="Z194" i="17"/>
  <c r="F194" i="17"/>
  <c r="AE193" i="17"/>
  <c r="AD193" i="17"/>
  <c r="AC193" i="17"/>
  <c r="AB193" i="17"/>
  <c r="AA193" i="17"/>
  <c r="Z193" i="17"/>
  <c r="Y193" i="17"/>
  <c r="X193" i="17"/>
  <c r="W193" i="17"/>
  <c r="V193" i="17"/>
  <c r="U193" i="17"/>
  <c r="T193" i="17"/>
  <c r="S193" i="17"/>
  <c r="R193" i="17"/>
  <c r="Q193" i="17"/>
  <c r="P193" i="17"/>
  <c r="O193" i="17"/>
  <c r="I193" i="17"/>
  <c r="H193" i="17"/>
  <c r="G193" i="17"/>
  <c r="G194" i="17" s="1"/>
  <c r="F193" i="17"/>
  <c r="AE192" i="17"/>
  <c r="AD192" i="17"/>
  <c r="AD194" i="17" s="1"/>
  <c r="AC192" i="17"/>
  <c r="AB192" i="17"/>
  <c r="AA192" i="17"/>
  <c r="Z192" i="17"/>
  <c r="Z196" i="17" s="1"/>
  <c r="Z197" i="17" s="1"/>
  <c r="Y192" i="17"/>
  <c r="X192" i="17"/>
  <c r="W192" i="17"/>
  <c r="W194" i="17" s="1"/>
  <c r="V192" i="17"/>
  <c r="U192" i="17"/>
  <c r="T192" i="17"/>
  <c r="T194" i="17" s="1"/>
  <c r="T196" i="17" s="1"/>
  <c r="T197" i="17" s="1"/>
  <c r="S192" i="17"/>
  <c r="R192" i="17"/>
  <c r="R194" i="17" s="1"/>
  <c r="Q192" i="17"/>
  <c r="P192" i="17"/>
  <c r="O192" i="17"/>
  <c r="O194" i="17" s="1"/>
  <c r="I192" i="17"/>
  <c r="H192" i="17"/>
  <c r="H194" i="17" s="1"/>
  <c r="G192" i="17"/>
  <c r="F192" i="17"/>
  <c r="AH191" i="17"/>
  <c r="AG191" i="17"/>
  <c r="AF191" i="17"/>
  <c r="AH190" i="17"/>
  <c r="AG190" i="17"/>
  <c r="AF190" i="17"/>
  <c r="AF206" i="17" s="1"/>
  <c r="AF214" i="17" s="1"/>
  <c r="AE190" i="17"/>
  <c r="AD190" i="17"/>
  <c r="AC190" i="17"/>
  <c r="AB190" i="17"/>
  <c r="AA190" i="17"/>
  <c r="Z190" i="17"/>
  <c r="Y190" i="17"/>
  <c r="X190" i="17"/>
  <c r="W190" i="17"/>
  <c r="V190" i="17"/>
  <c r="U190" i="17"/>
  <c r="T190" i="17"/>
  <c r="S190" i="17"/>
  <c r="R190" i="17"/>
  <c r="Q190" i="17"/>
  <c r="P190" i="17"/>
  <c r="O190" i="17"/>
  <c r="I190" i="17"/>
  <c r="H190" i="17"/>
  <c r="G190" i="17"/>
  <c r="F190" i="17"/>
  <c r="AH189" i="17"/>
  <c r="AH206" i="17" s="1"/>
  <c r="AH214" i="17" s="1"/>
  <c r="AG189" i="17"/>
  <c r="AF189" i="17"/>
  <c r="AE189" i="17"/>
  <c r="AD189" i="17"/>
  <c r="AC189" i="17"/>
  <c r="AB189" i="17"/>
  <c r="AA189" i="17"/>
  <c r="Z189" i="17"/>
  <c r="Z206" i="17" s="1"/>
  <c r="Z214" i="17" s="1"/>
  <c r="Y189" i="17"/>
  <c r="Y206" i="17" s="1"/>
  <c r="Y214" i="17" s="1"/>
  <c r="X189" i="17"/>
  <c r="W189" i="17"/>
  <c r="W206" i="17" s="1"/>
  <c r="W214" i="17" s="1"/>
  <c r="V189" i="17"/>
  <c r="V206" i="17" s="1"/>
  <c r="U189" i="17"/>
  <c r="U206" i="17" s="1"/>
  <c r="T189" i="17"/>
  <c r="T206" i="17" s="1"/>
  <c r="S189" i="17"/>
  <c r="S206" i="17" s="1"/>
  <c r="S214" i="17" s="1"/>
  <c r="R189" i="17"/>
  <c r="R206" i="17" s="1"/>
  <c r="R214" i="17" s="1"/>
  <c r="Q189" i="17"/>
  <c r="P189" i="17"/>
  <c r="O189" i="17"/>
  <c r="O206" i="17" s="1"/>
  <c r="O214" i="17" s="1"/>
  <c r="I189" i="17"/>
  <c r="H189" i="17"/>
  <c r="H206" i="17" s="1"/>
  <c r="H214" i="17" s="1"/>
  <c r="G189" i="17"/>
  <c r="G206" i="17" s="1"/>
  <c r="G214" i="17" s="1"/>
  <c r="F189" i="17"/>
  <c r="F206" i="17" s="1"/>
  <c r="AE188" i="17"/>
  <c r="AE205" i="17" s="1"/>
  <c r="AE213" i="17" s="1"/>
  <c r="Z188" i="17"/>
  <c r="Z205" i="17" s="1"/>
  <c r="Z213" i="17" s="1"/>
  <c r="X188" i="17"/>
  <c r="X205" i="17" s="1"/>
  <c r="X213" i="17" s="1"/>
  <c r="W188" i="17"/>
  <c r="W205" i="17" s="1"/>
  <c r="W213" i="17" s="1"/>
  <c r="V188" i="17"/>
  <c r="V205" i="17" s="1"/>
  <c r="V213" i="17" s="1"/>
  <c r="AE187" i="17"/>
  <c r="AD187" i="17"/>
  <c r="AD188" i="17" s="1"/>
  <c r="AD205" i="17" s="1"/>
  <c r="AD213" i="17" s="1"/>
  <c r="AC187" i="17"/>
  <c r="AC188" i="17" s="1"/>
  <c r="AC205" i="17" s="1"/>
  <c r="AC213" i="17" s="1"/>
  <c r="AB187" i="17"/>
  <c r="AB188" i="17" s="1"/>
  <c r="AB205" i="17" s="1"/>
  <c r="AB213" i="17" s="1"/>
  <c r="AA187" i="17"/>
  <c r="Z187" i="17"/>
  <c r="Y187" i="17"/>
  <c r="X187" i="17"/>
  <c r="W187" i="17"/>
  <c r="V187" i="17"/>
  <c r="U187" i="17"/>
  <c r="U188" i="17" s="1"/>
  <c r="U205" i="17" s="1"/>
  <c r="T187" i="17"/>
  <c r="T188" i="17" s="1"/>
  <c r="T205" i="17" s="1"/>
  <c r="T213" i="17" s="1"/>
  <c r="S187" i="17"/>
  <c r="R187" i="17"/>
  <c r="Q187" i="17"/>
  <c r="Q188" i="17" s="1"/>
  <c r="Q205" i="17" s="1"/>
  <c r="Q213" i="17" s="1"/>
  <c r="P187" i="17"/>
  <c r="P188" i="17" s="1"/>
  <c r="P205" i="17" s="1"/>
  <c r="P213" i="17" s="1"/>
  <c r="O187" i="17"/>
  <c r="O188" i="17" s="1"/>
  <c r="O205" i="17" s="1"/>
  <c r="O213" i="17" s="1"/>
  <c r="I187" i="17"/>
  <c r="I188" i="17" s="1"/>
  <c r="I205" i="17" s="1"/>
  <c r="I213" i="17" s="1"/>
  <c r="H187" i="17"/>
  <c r="H188" i="17" s="1"/>
  <c r="H205" i="17" s="1"/>
  <c r="H213" i="17" s="1"/>
  <c r="G187" i="17"/>
  <c r="F187" i="17"/>
  <c r="AE186" i="17"/>
  <c r="AD186" i="17"/>
  <c r="AC186" i="17"/>
  <c r="AB186" i="17"/>
  <c r="AA186" i="17"/>
  <c r="AA188" i="17" s="1"/>
  <c r="AA205" i="17" s="1"/>
  <c r="AA213" i="17" s="1"/>
  <c r="Z186" i="17"/>
  <c r="Y186" i="17"/>
  <c r="Y188" i="17" s="1"/>
  <c r="Y205" i="17" s="1"/>
  <c r="Y213" i="17" s="1"/>
  <c r="X186" i="17"/>
  <c r="W186" i="17"/>
  <c r="V186" i="17"/>
  <c r="U186" i="17"/>
  <c r="T186" i="17"/>
  <c r="S186" i="17"/>
  <c r="R186" i="17"/>
  <c r="Q186" i="17"/>
  <c r="P186" i="17"/>
  <c r="O186" i="17"/>
  <c r="I186" i="17"/>
  <c r="H186" i="17"/>
  <c r="G186" i="17"/>
  <c r="F186" i="17"/>
  <c r="AE184" i="17"/>
  <c r="AE185" i="17" s="1"/>
  <c r="AE183" i="17"/>
  <c r="AD183" i="17"/>
  <c r="AC183" i="17"/>
  <c r="AB183" i="17"/>
  <c r="AB184" i="17" s="1"/>
  <c r="AB185" i="17" s="1"/>
  <c r="AA183" i="17"/>
  <c r="AA184" i="17" s="1"/>
  <c r="AA185" i="17" s="1"/>
  <c r="Z183" i="17"/>
  <c r="Y183" i="17"/>
  <c r="Y184" i="17" s="1"/>
  <c r="Y185" i="17" s="1"/>
  <c r="X183" i="17"/>
  <c r="X184" i="17" s="1"/>
  <c r="X185" i="17" s="1"/>
  <c r="W183" i="17"/>
  <c r="W184" i="17" s="1"/>
  <c r="W185" i="17" s="1"/>
  <c r="V183" i="17"/>
  <c r="U183" i="17"/>
  <c r="U184" i="17" s="1"/>
  <c r="U185" i="17" s="1"/>
  <c r="T183" i="17"/>
  <c r="S183" i="17"/>
  <c r="R183" i="17"/>
  <c r="Q183" i="17"/>
  <c r="P183" i="17"/>
  <c r="O183" i="17"/>
  <c r="O184" i="17" s="1"/>
  <c r="O185" i="17" s="1"/>
  <c r="I183" i="17"/>
  <c r="H183" i="17"/>
  <c r="G183" i="17"/>
  <c r="G184" i="17" s="1"/>
  <c r="G185" i="17" s="1"/>
  <c r="F183" i="17"/>
  <c r="AE182" i="17"/>
  <c r="AD182" i="17"/>
  <c r="AD184" i="17" s="1"/>
  <c r="AD185" i="17" s="1"/>
  <c r="AC182" i="17"/>
  <c r="AB182" i="17"/>
  <c r="AA182" i="17"/>
  <c r="Z182" i="17"/>
  <c r="Y182" i="17"/>
  <c r="X182" i="17"/>
  <c r="W182" i="17"/>
  <c r="V182" i="17"/>
  <c r="U182" i="17"/>
  <c r="T182" i="17"/>
  <c r="S182" i="17"/>
  <c r="R182" i="17"/>
  <c r="Q182" i="17"/>
  <c r="Q184" i="17" s="1"/>
  <c r="Q185" i="17" s="1"/>
  <c r="P182" i="17"/>
  <c r="O182" i="17"/>
  <c r="I182" i="17"/>
  <c r="I184" i="17" s="1"/>
  <c r="I185" i="17" s="1"/>
  <c r="H182" i="17"/>
  <c r="G182" i="17"/>
  <c r="F182" i="17"/>
  <c r="AE181" i="17"/>
  <c r="AD181" i="17"/>
  <c r="AC181" i="17"/>
  <c r="AB181" i="17"/>
  <c r="AA181" i="17"/>
  <c r="Z181" i="17"/>
  <c r="Y181" i="17"/>
  <c r="X181" i="17"/>
  <c r="W181" i="17"/>
  <c r="V181" i="17"/>
  <c r="U181" i="17"/>
  <c r="T181" i="17"/>
  <c r="S181" i="17"/>
  <c r="R181" i="17"/>
  <c r="Q181" i="17"/>
  <c r="P181" i="17"/>
  <c r="O181" i="17"/>
  <c r="I181" i="17"/>
  <c r="H181" i="17"/>
  <c r="G181" i="17"/>
  <c r="F181" i="17"/>
  <c r="AB179" i="17"/>
  <c r="AB180" i="17" s="1"/>
  <c r="S179" i="17"/>
  <c r="S180" i="17" s="1"/>
  <c r="AC178" i="17"/>
  <c r="AC179" i="17" s="1"/>
  <c r="AC180" i="17" s="1"/>
  <c r="AB178" i="17"/>
  <c r="AA178" i="17"/>
  <c r="Z178" i="17"/>
  <c r="Z179" i="17" s="1"/>
  <c r="Z180" i="17" s="1"/>
  <c r="Y178" i="17"/>
  <c r="Y179" i="17" s="1"/>
  <c r="Y180" i="17" s="1"/>
  <c r="X178" i="17"/>
  <c r="V178" i="17"/>
  <c r="T178" i="17"/>
  <c r="S178" i="17"/>
  <c r="F178" i="17"/>
  <c r="AC177" i="17"/>
  <c r="AB177" i="17"/>
  <c r="AA177" i="17"/>
  <c r="Z177" i="17"/>
  <c r="Y177" i="17"/>
  <c r="O177" i="17"/>
  <c r="I177" i="17"/>
  <c r="H177" i="17"/>
  <c r="G177" i="17"/>
  <c r="F177" i="17"/>
  <c r="AE176" i="17"/>
  <c r="AE178" i="17" s="1"/>
  <c r="AD176" i="17"/>
  <c r="AD178" i="17" s="1"/>
  <c r="AC176" i="17"/>
  <c r="AB176" i="17"/>
  <c r="AA176" i="17"/>
  <c r="Z176" i="17"/>
  <c r="Y176" i="17"/>
  <c r="X176" i="17"/>
  <c r="X177" i="17" s="1"/>
  <c r="W176" i="17"/>
  <c r="V176" i="17"/>
  <c r="V177" i="17" s="1"/>
  <c r="U176" i="17"/>
  <c r="T176" i="17"/>
  <c r="T177" i="17" s="1"/>
  <c r="S176" i="17"/>
  <c r="S177" i="17" s="1"/>
  <c r="R176" i="17"/>
  <c r="Q176" i="17"/>
  <c r="P176" i="17"/>
  <c r="O176" i="17"/>
  <c r="O178" i="17" s="1"/>
  <c r="I176" i="17"/>
  <c r="I178" i="17" s="1"/>
  <c r="H176" i="17"/>
  <c r="H178" i="17" s="1"/>
  <c r="H179" i="17" s="1"/>
  <c r="H180" i="17" s="1"/>
  <c r="G176" i="17"/>
  <c r="G178" i="17" s="1"/>
  <c r="G179" i="17" s="1"/>
  <c r="G180" i="17" s="1"/>
  <c r="F176" i="17"/>
  <c r="AD174" i="17"/>
  <c r="AB174" i="17"/>
  <c r="AA174" i="17"/>
  <c r="Z174" i="17"/>
  <c r="Z175" i="17" s="1"/>
  <c r="U174" i="17"/>
  <c r="T174" i="17"/>
  <c r="S174" i="17"/>
  <c r="R174" i="17"/>
  <c r="Q174" i="17"/>
  <c r="I174" i="17"/>
  <c r="Z173" i="17"/>
  <c r="T173" i="17"/>
  <c r="T175" i="17" s="1"/>
  <c r="AE172" i="17"/>
  <c r="AD172" i="17"/>
  <c r="AD173" i="17" s="1"/>
  <c r="AD175" i="17" s="1"/>
  <c r="AC172" i="17"/>
  <c r="AB172" i="17"/>
  <c r="AA172" i="17"/>
  <c r="Z172" i="17"/>
  <c r="Y172" i="17"/>
  <c r="Y174" i="17" s="1"/>
  <c r="X172" i="17"/>
  <c r="W172" i="17"/>
  <c r="W174" i="17" s="1"/>
  <c r="V172" i="17"/>
  <c r="V174" i="17" s="1"/>
  <c r="U172" i="17"/>
  <c r="T172" i="17"/>
  <c r="S172" i="17"/>
  <c r="R172" i="17"/>
  <c r="R173" i="17" s="1"/>
  <c r="R175" i="17" s="1"/>
  <c r="Q172" i="17"/>
  <c r="Q173" i="17" s="1"/>
  <c r="P172" i="17"/>
  <c r="P174" i="17" s="1"/>
  <c r="O172" i="17"/>
  <c r="I172" i="17"/>
  <c r="H172" i="17"/>
  <c r="G172" i="17"/>
  <c r="F172" i="17"/>
  <c r="F174" i="17" s="1"/>
  <c r="AE171" i="17"/>
  <c r="AD171" i="17"/>
  <c r="AC171" i="17"/>
  <c r="AB171" i="17"/>
  <c r="AA171" i="17"/>
  <c r="Z171" i="17"/>
  <c r="Y171" i="17"/>
  <c r="X171" i="17"/>
  <c r="W171" i="17"/>
  <c r="V171" i="17"/>
  <c r="U171" i="17"/>
  <c r="U173" i="17" s="1"/>
  <c r="U175" i="17" s="1"/>
  <c r="T171" i="17"/>
  <c r="S171" i="17"/>
  <c r="S173" i="17" s="1"/>
  <c r="S175" i="17" s="1"/>
  <c r="R171" i="17"/>
  <c r="Q171" i="17"/>
  <c r="P171" i="17"/>
  <c r="O171" i="17"/>
  <c r="I171" i="17"/>
  <c r="H171" i="17"/>
  <c r="G171" i="17"/>
  <c r="F171" i="17"/>
  <c r="AE170" i="17"/>
  <c r="AD170" i="17"/>
  <c r="AC170" i="17"/>
  <c r="AB170" i="17"/>
  <c r="AA170" i="17"/>
  <c r="Z170" i="17"/>
  <c r="Y170" i="17"/>
  <c r="Y173" i="17" s="1"/>
  <c r="Y175" i="17" s="1"/>
  <c r="X170" i="17"/>
  <c r="W170" i="17"/>
  <c r="V170" i="17"/>
  <c r="U170" i="17"/>
  <c r="T170" i="17"/>
  <c r="S170" i="17"/>
  <c r="R170" i="17"/>
  <c r="Q170" i="17"/>
  <c r="P170" i="17"/>
  <c r="O170" i="17"/>
  <c r="I170" i="17"/>
  <c r="H170" i="17"/>
  <c r="G170" i="17"/>
  <c r="F170" i="17"/>
  <c r="AD166" i="17"/>
  <c r="AC166" i="17"/>
  <c r="AB166" i="17"/>
  <c r="AA166" i="17"/>
  <c r="Z166" i="17"/>
  <c r="U166" i="17"/>
  <c r="T166" i="17"/>
  <c r="S166" i="17"/>
  <c r="R166" i="17"/>
  <c r="R168" i="17" s="1"/>
  <c r="Q166" i="17"/>
  <c r="V165" i="17"/>
  <c r="U165" i="17"/>
  <c r="T165" i="17"/>
  <c r="S165" i="17"/>
  <c r="Q165" i="17"/>
  <c r="AE164" i="17"/>
  <c r="AD164" i="17"/>
  <c r="AD165" i="17" s="1"/>
  <c r="AC164" i="17"/>
  <c r="AC165" i="17" s="1"/>
  <c r="AB164" i="17"/>
  <c r="AB165" i="17" s="1"/>
  <c r="AA164" i="17"/>
  <c r="AA165" i="17" s="1"/>
  <c r="Z164" i="17"/>
  <c r="Z165" i="17" s="1"/>
  <c r="Y164" i="17"/>
  <c r="Y166" i="17" s="1"/>
  <c r="X164" i="17"/>
  <c r="W164" i="17"/>
  <c r="V164" i="17"/>
  <c r="V166" i="17" s="1"/>
  <c r="U164" i="17"/>
  <c r="T164" i="17"/>
  <c r="S164" i="17"/>
  <c r="R164" i="17"/>
  <c r="R165" i="17" s="1"/>
  <c r="Q164" i="17"/>
  <c r="P164" i="17"/>
  <c r="O164" i="17"/>
  <c r="I164" i="17"/>
  <c r="I165" i="17" s="1"/>
  <c r="H164" i="17"/>
  <c r="H165" i="17" s="1"/>
  <c r="G164" i="17"/>
  <c r="G165" i="17" s="1"/>
  <c r="F164" i="17"/>
  <c r="F165" i="17" s="1"/>
  <c r="AE156" i="17"/>
  <c r="AD156" i="17"/>
  <c r="AC156" i="17"/>
  <c r="AB156" i="17"/>
  <c r="Z156" i="17"/>
  <c r="Y156" i="17"/>
  <c r="W156" i="17"/>
  <c r="I156" i="17"/>
  <c r="I158" i="17" s="1"/>
  <c r="G156" i="17"/>
  <c r="AC155" i="17"/>
  <c r="AB155" i="17"/>
  <c r="S155" i="17"/>
  <c r="AE154" i="17"/>
  <c r="AD154" i="17"/>
  <c r="AC154" i="17"/>
  <c r="AB154" i="17"/>
  <c r="AA154" i="17"/>
  <c r="AA156" i="17" s="1"/>
  <c r="Z154" i="17"/>
  <c r="Y154" i="17"/>
  <c r="X154" i="17"/>
  <c r="X156" i="17" s="1"/>
  <c r="W154" i="17"/>
  <c r="V154" i="17"/>
  <c r="V156" i="17" s="1"/>
  <c r="U154" i="17"/>
  <c r="T154" i="17"/>
  <c r="S154" i="17"/>
  <c r="R154" i="17"/>
  <c r="Q154" i="17"/>
  <c r="Q156" i="17" s="1"/>
  <c r="Q158" i="17" s="1"/>
  <c r="P154" i="17"/>
  <c r="P156" i="17" s="1"/>
  <c r="P158" i="17" s="1"/>
  <c r="O154" i="17"/>
  <c r="O156" i="17" s="1"/>
  <c r="I154" i="17"/>
  <c r="H154" i="17"/>
  <c r="H156" i="17" s="1"/>
  <c r="H158" i="17" s="1"/>
  <c r="G154" i="17"/>
  <c r="F154" i="17"/>
  <c r="AD148" i="17"/>
  <c r="W148" i="17"/>
  <c r="Z146" i="17"/>
  <c r="X146" i="17"/>
  <c r="U146" i="17"/>
  <c r="AD145" i="17"/>
  <c r="AD144" i="17"/>
  <c r="Y144" i="17"/>
  <c r="V136" i="17"/>
  <c r="AA133" i="17"/>
  <c r="Z133" i="17"/>
  <c r="Y133" i="17"/>
  <c r="X133" i="17"/>
  <c r="O133" i="17"/>
  <c r="I133" i="17"/>
  <c r="AE122" i="17"/>
  <c r="AE133" i="17" s="1"/>
  <c r="AD122" i="17"/>
  <c r="AD133" i="17" s="1"/>
  <c r="AC122" i="17"/>
  <c r="AC133" i="17" s="1"/>
  <c r="AB122" i="17"/>
  <c r="AB133" i="17" s="1"/>
  <c r="AA122" i="17"/>
  <c r="Z122" i="17"/>
  <c r="Y122" i="17"/>
  <c r="X122" i="17"/>
  <c r="W122" i="17"/>
  <c r="W133" i="17" s="1"/>
  <c r="V122" i="17"/>
  <c r="V133" i="17" s="1"/>
  <c r="U122" i="17"/>
  <c r="T122" i="17"/>
  <c r="S122" i="17"/>
  <c r="R122" i="17"/>
  <c r="Q122" i="17"/>
  <c r="P122" i="17"/>
  <c r="P133" i="17" s="1"/>
  <c r="O122" i="17"/>
  <c r="I122" i="17"/>
  <c r="H122" i="17"/>
  <c r="G122" i="17"/>
  <c r="G133" i="17" s="1"/>
  <c r="F122" i="17"/>
  <c r="F133" i="17" s="1"/>
  <c r="N113" i="17"/>
  <c r="M113" i="17"/>
  <c r="L113" i="17"/>
  <c r="K113" i="17"/>
  <c r="J113" i="17"/>
  <c r="Z79" i="17"/>
  <c r="S79" i="17"/>
  <c r="R79" i="17"/>
  <c r="Z78" i="17"/>
  <c r="X77" i="17"/>
  <c r="W77" i="17"/>
  <c r="U77" i="17"/>
  <c r="W76" i="17"/>
  <c r="S76" i="17"/>
  <c r="AD75" i="17"/>
  <c r="S75" i="17"/>
  <c r="AD74" i="17"/>
  <c r="AC74" i="17"/>
  <c r="AA74" i="17"/>
  <c r="Z74" i="17"/>
  <c r="S73" i="17"/>
  <c r="AD72" i="17"/>
  <c r="AC72" i="17"/>
  <c r="X72" i="17"/>
  <c r="U72" i="17"/>
  <c r="S72" i="17"/>
  <c r="Z71" i="17"/>
  <c r="Y71" i="17"/>
  <c r="U71" i="17"/>
  <c r="W70" i="17"/>
  <c r="U70" i="17"/>
  <c r="I70" i="17"/>
  <c r="G70" i="17"/>
  <c r="V65" i="17"/>
  <c r="S65" i="17"/>
  <c r="V64" i="17"/>
  <c r="T64" i="17"/>
  <c r="S64" i="17"/>
  <c r="V63" i="17"/>
  <c r="V61" i="17"/>
  <c r="V60" i="17"/>
  <c r="S41" i="17"/>
  <c r="AE38" i="17"/>
  <c r="AE41" i="17" s="1"/>
  <c r="Q38" i="17"/>
  <c r="Q41" i="17" s="1"/>
  <c r="O38" i="17"/>
  <c r="O41" i="17" s="1"/>
  <c r="S37" i="17"/>
  <c r="AE36" i="17"/>
  <c r="AD36" i="17"/>
  <c r="AC36" i="17"/>
  <c r="AB36" i="17"/>
  <c r="AA36" i="17"/>
  <c r="Z36" i="17"/>
  <c r="Y36" i="17"/>
  <c r="X36" i="17"/>
  <c r="W36" i="17"/>
  <c r="V36" i="17"/>
  <c r="U36" i="17"/>
  <c r="T36" i="17"/>
  <c r="S36" i="17"/>
  <c r="R36" i="17"/>
  <c r="Q36" i="17"/>
  <c r="P36" i="17"/>
  <c r="O36" i="17"/>
  <c r="I36" i="17"/>
  <c r="H36" i="17"/>
  <c r="G36" i="17"/>
  <c r="F36" i="17"/>
  <c r="AE29" i="17"/>
  <c r="AD29" i="17"/>
  <c r="AC29" i="17"/>
  <c r="AC77" i="17" s="1"/>
  <c r="AB29" i="17"/>
  <c r="AB77" i="17" s="1"/>
  <c r="AA29" i="17"/>
  <c r="AA77" i="17" s="1"/>
  <c r="Z29" i="17"/>
  <c r="Y29" i="17"/>
  <c r="X29" i="17"/>
  <c r="W29" i="17"/>
  <c r="V29" i="17"/>
  <c r="U29" i="17"/>
  <c r="U149" i="17" s="1"/>
  <c r="T29" i="17"/>
  <c r="S29" i="17"/>
  <c r="S71" i="17" s="1"/>
  <c r="R29" i="17"/>
  <c r="Q29" i="17"/>
  <c r="P29" i="17"/>
  <c r="O29" i="17"/>
  <c r="I29" i="17"/>
  <c r="I9" i="18" s="1"/>
  <c r="H29" i="17"/>
  <c r="H151" i="17" s="1"/>
  <c r="G29" i="17"/>
  <c r="G74" i="17" s="1"/>
  <c r="F29" i="17"/>
  <c r="F70" i="17" s="1"/>
  <c r="AE28" i="17"/>
  <c r="AE88" i="17" s="1"/>
  <c r="AE87" i="17" s="1"/>
  <c r="AD28" i="17"/>
  <c r="AD88" i="17" s="1"/>
  <c r="AD87" i="17" s="1"/>
  <c r="AC28" i="17"/>
  <c r="AB28" i="17"/>
  <c r="AA28" i="17"/>
  <c r="Z28" i="17"/>
  <c r="Y28" i="17"/>
  <c r="Y88" i="17" s="1"/>
  <c r="Y87" i="17" s="1"/>
  <c r="X28" i="17"/>
  <c r="X88" i="17" s="1"/>
  <c r="X87" i="17" s="1"/>
  <c r="W28" i="17"/>
  <c r="V28" i="17"/>
  <c r="U28" i="17"/>
  <c r="T28" i="17"/>
  <c r="S28" i="17"/>
  <c r="R28" i="17"/>
  <c r="Q28" i="17"/>
  <c r="P28" i="17"/>
  <c r="O28" i="17"/>
  <c r="I28" i="17"/>
  <c r="H28" i="17"/>
  <c r="G28" i="17"/>
  <c r="F28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S19" i="17"/>
  <c r="R19" i="17"/>
  <c r="Q19" i="17"/>
  <c r="P19" i="17"/>
  <c r="O19" i="17"/>
  <c r="I19" i="17"/>
  <c r="H19" i="17"/>
  <c r="G19" i="17"/>
  <c r="F19" i="17"/>
  <c r="AE16" i="17"/>
  <c r="AE37" i="17" s="1"/>
  <c r="AD16" i="17"/>
  <c r="AD37" i="17" s="1"/>
  <c r="AC16" i="17"/>
  <c r="AC37" i="17" s="1"/>
  <c r="AB16" i="17"/>
  <c r="AB37" i="17" s="1"/>
  <c r="AA16" i="17"/>
  <c r="AA37" i="17" s="1"/>
  <c r="Z16" i="17"/>
  <c r="Z37" i="17" s="1"/>
  <c r="Y16" i="17"/>
  <c r="Y37" i="17" s="1"/>
  <c r="X16" i="17"/>
  <c r="X37" i="17" s="1"/>
  <c r="W16" i="17"/>
  <c r="W37" i="17" s="1"/>
  <c r="V16" i="17"/>
  <c r="V37" i="17" s="1"/>
  <c r="U16" i="17"/>
  <c r="U37" i="17" s="1"/>
  <c r="T16" i="17"/>
  <c r="T37" i="17" s="1"/>
  <c r="S16" i="17"/>
  <c r="R16" i="17"/>
  <c r="R37" i="17" s="1"/>
  <c r="Q16" i="17"/>
  <c r="Q37" i="17" s="1"/>
  <c r="P16" i="17"/>
  <c r="P37" i="17" s="1"/>
  <c r="O16" i="17"/>
  <c r="O37" i="17" s="1"/>
  <c r="I16" i="17"/>
  <c r="I37" i="17" s="1"/>
  <c r="H16" i="17"/>
  <c r="H37" i="17" s="1"/>
  <c r="G16" i="17"/>
  <c r="F16" i="17"/>
  <c r="F37" i="17" s="1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I15" i="17"/>
  <c r="H15" i="17"/>
  <c r="G15" i="17"/>
  <c r="F15" i="17"/>
  <c r="AE14" i="17"/>
  <c r="AD14" i="17"/>
  <c r="AD38" i="17" s="1"/>
  <c r="AD41" i="17" s="1"/>
  <c r="AC14" i="17"/>
  <c r="AC38" i="17" s="1"/>
  <c r="AC41" i="17" s="1"/>
  <c r="AB14" i="17"/>
  <c r="AB38" i="17" s="1"/>
  <c r="AB41" i="17" s="1"/>
  <c r="AA14" i="17"/>
  <c r="AA38" i="17" s="1"/>
  <c r="AA41" i="17" s="1"/>
  <c r="Z14" i="17"/>
  <c r="Z38" i="17" s="1"/>
  <c r="Z41" i="17" s="1"/>
  <c r="Y14" i="17"/>
  <c r="Y38" i="17" s="1"/>
  <c r="Y41" i="17" s="1"/>
  <c r="X14" i="17"/>
  <c r="X38" i="17" s="1"/>
  <c r="X41" i="17" s="1"/>
  <c r="W14" i="17"/>
  <c r="W38" i="17" s="1"/>
  <c r="W41" i="17" s="1"/>
  <c r="W59" i="17" s="1"/>
  <c r="V14" i="17"/>
  <c r="V38" i="17" s="1"/>
  <c r="V41" i="17" s="1"/>
  <c r="U14" i="17"/>
  <c r="U38" i="17" s="1"/>
  <c r="U41" i="17" s="1"/>
  <c r="T14" i="17"/>
  <c r="T38" i="17" s="1"/>
  <c r="T41" i="17" s="1"/>
  <c r="S14" i="17"/>
  <c r="S38" i="17" s="1"/>
  <c r="R14" i="17"/>
  <c r="R38" i="17" s="1"/>
  <c r="R41" i="17" s="1"/>
  <c r="R198" i="17" s="1"/>
  <c r="R202" i="17" s="1"/>
  <c r="Q14" i="17"/>
  <c r="P14" i="17"/>
  <c r="P38" i="17" s="1"/>
  <c r="P41" i="17" s="1"/>
  <c r="P198" i="17" s="1"/>
  <c r="P202" i="17" s="1"/>
  <c r="O14" i="17"/>
  <c r="I14" i="17"/>
  <c r="I38" i="17" s="1"/>
  <c r="I41" i="17" s="1"/>
  <c r="H14" i="17"/>
  <c r="H38" i="17" s="1"/>
  <c r="H41" i="17" s="1"/>
  <c r="G14" i="17"/>
  <c r="F14" i="17"/>
  <c r="F38" i="17" s="1"/>
  <c r="F41" i="17" s="1"/>
  <c r="W12" i="17"/>
  <c r="V12" i="17"/>
  <c r="T12" i="17"/>
  <c r="S12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AE6" i="17"/>
  <c r="AE160" i="17" s="1"/>
  <c r="AD6" i="17"/>
  <c r="AC6" i="17"/>
  <c r="AB6" i="17"/>
  <c r="AA6" i="17"/>
  <c r="Z6" i="17"/>
  <c r="Y6" i="17"/>
  <c r="X6" i="17"/>
  <c r="X160" i="17" s="1"/>
  <c r="W6" i="17"/>
  <c r="W160" i="17" s="1"/>
  <c r="V6" i="17"/>
  <c r="U6" i="17"/>
  <c r="T6" i="17"/>
  <c r="S6" i="17"/>
  <c r="AE5" i="17"/>
  <c r="AD5" i="17"/>
  <c r="AC5" i="17"/>
  <c r="AB5" i="17"/>
  <c r="AA5" i="17"/>
  <c r="Z5" i="17"/>
  <c r="Y5" i="17"/>
  <c r="X5" i="17"/>
  <c r="W5" i="17"/>
  <c r="V5" i="17"/>
  <c r="U5" i="17"/>
  <c r="T5" i="17"/>
  <c r="S5" i="17"/>
  <c r="AE4" i="17"/>
  <c r="AD4" i="17"/>
  <c r="AD12" i="17" s="1"/>
  <c r="AC4" i="17"/>
  <c r="AB4" i="17"/>
  <c r="AB12" i="17" s="1"/>
  <c r="AA4" i="17"/>
  <c r="AA12" i="17" s="1"/>
  <c r="Z4" i="17"/>
  <c r="Z12" i="17" s="1"/>
  <c r="Y4" i="17"/>
  <c r="X4" i="17"/>
  <c r="W4" i="17"/>
  <c r="V4" i="17"/>
  <c r="U4" i="17"/>
  <c r="U12" i="17" s="1"/>
  <c r="T4" i="17"/>
  <c r="S4" i="17"/>
  <c r="AE3" i="17"/>
  <c r="AD3" i="17"/>
  <c r="AC3" i="17"/>
  <c r="AB3" i="17"/>
  <c r="AA3" i="17"/>
  <c r="Z3" i="17"/>
  <c r="Y3" i="17"/>
  <c r="X3" i="17"/>
  <c r="W3" i="17"/>
  <c r="V3" i="17"/>
  <c r="U3" i="17"/>
  <c r="T3" i="17"/>
  <c r="S3" i="17"/>
  <c r="S2" i="17"/>
  <c r="S8" i="17" s="1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S40" i="16"/>
  <c r="T39" i="16"/>
  <c r="T38" i="16"/>
  <c r="S37" i="16"/>
  <c r="S38" i="16" s="1"/>
  <c r="S39" i="16" s="1"/>
  <c r="AH36" i="16"/>
  <c r="AG36" i="16"/>
  <c r="AF36" i="16"/>
  <c r="AE36" i="16"/>
  <c r="AD36" i="16"/>
  <c r="AC36" i="16"/>
  <c r="AB36" i="16"/>
  <c r="AA36" i="16"/>
  <c r="Z36" i="16"/>
  <c r="Y36" i="16"/>
  <c r="X36" i="16"/>
  <c r="W36" i="16"/>
  <c r="V36" i="16"/>
  <c r="U36" i="16"/>
  <c r="T36" i="16"/>
  <c r="S36" i="16"/>
  <c r="R36" i="16"/>
  <c r="Q36" i="16"/>
  <c r="P36" i="16"/>
  <c r="O36" i="16"/>
  <c r="I36" i="16"/>
  <c r="H36" i="16"/>
  <c r="G36" i="16"/>
  <c r="F36" i="16"/>
  <c r="AH35" i="16"/>
  <c r="AG35" i="16"/>
  <c r="AF35" i="16"/>
  <c r="AE35" i="16"/>
  <c r="AD35" i="16"/>
  <c r="AC35" i="16"/>
  <c r="AB35" i="16"/>
  <c r="AA35" i="16"/>
  <c r="Z35" i="16"/>
  <c r="Y35" i="16"/>
  <c r="X35" i="16"/>
  <c r="W35" i="16"/>
  <c r="V35" i="16"/>
  <c r="U35" i="16"/>
  <c r="T35" i="16"/>
  <c r="S35" i="16"/>
  <c r="R35" i="16"/>
  <c r="Q35" i="16"/>
  <c r="P35" i="16"/>
  <c r="O35" i="16"/>
  <c r="I35" i="16"/>
  <c r="H35" i="16"/>
  <c r="G35" i="16"/>
  <c r="F35" i="16"/>
  <c r="T34" i="16"/>
  <c r="S34" i="16"/>
  <c r="R34" i="16"/>
  <c r="Q34" i="16"/>
  <c r="P34" i="16"/>
  <c r="O34" i="16"/>
  <c r="I34" i="16"/>
  <c r="H34" i="16"/>
  <c r="G34" i="16"/>
  <c r="F34" i="16"/>
  <c r="T33" i="16"/>
  <c r="S33" i="16"/>
  <c r="R33" i="16"/>
  <c r="Q33" i="16"/>
  <c r="P33" i="16"/>
  <c r="O33" i="16"/>
  <c r="I33" i="16"/>
  <c r="H33" i="16"/>
  <c r="G33" i="16"/>
  <c r="F33" i="16"/>
  <c r="AH30" i="16"/>
  <c r="Z30" i="16"/>
  <c r="Y30" i="16"/>
  <c r="X30" i="16"/>
  <c r="W30" i="16"/>
  <c r="V30" i="16"/>
  <c r="U30" i="16"/>
  <c r="T30" i="16"/>
  <c r="S30" i="16"/>
  <c r="AB29" i="16"/>
  <c r="AH27" i="16"/>
  <c r="AG27" i="16"/>
  <c r="AF27" i="16"/>
  <c r="AF23" i="16" s="1"/>
  <c r="AE27" i="16"/>
  <c r="AD27" i="16"/>
  <c r="AC27" i="16"/>
  <c r="AB27" i="16"/>
  <c r="AA27" i="16"/>
  <c r="Z27" i="16"/>
  <c r="Y27" i="16"/>
  <c r="X27" i="16"/>
  <c r="W27" i="16"/>
  <c r="V27" i="16"/>
  <c r="U27" i="16"/>
  <c r="T27" i="16"/>
  <c r="S27" i="16"/>
  <c r="R27" i="16"/>
  <c r="Q27" i="16"/>
  <c r="Q23" i="16" s="1"/>
  <c r="P27" i="16"/>
  <c r="P23" i="16" s="1"/>
  <c r="O27" i="16"/>
  <c r="I27" i="16"/>
  <c r="H27" i="16"/>
  <c r="G27" i="16"/>
  <c r="F27" i="16"/>
  <c r="AB26" i="16"/>
  <c r="X26" i="16"/>
  <c r="W26" i="16"/>
  <c r="V26" i="16"/>
  <c r="AB24" i="16"/>
  <c r="AB25" i="16" s="1"/>
  <c r="AB28" i="16" s="1"/>
  <c r="AA24" i="16"/>
  <c r="AA25" i="16" s="1"/>
  <c r="AA28" i="16" s="1"/>
  <c r="Z24" i="16"/>
  <c r="Z25" i="16" s="1"/>
  <c r="Z28" i="16" s="1"/>
  <c r="Z31" i="16" s="1"/>
  <c r="Y24" i="16"/>
  <c r="Y25" i="16" s="1"/>
  <c r="Y28" i="16" s="1"/>
  <c r="Y31" i="16" s="1"/>
  <c r="X24" i="16"/>
  <c r="X25" i="16" s="1"/>
  <c r="X28" i="16" s="1"/>
  <c r="X31" i="16" s="1"/>
  <c r="AH23" i="16"/>
  <c r="AG23" i="16"/>
  <c r="AB23" i="16"/>
  <c r="AA23" i="16"/>
  <c r="AA26" i="16" s="1"/>
  <c r="Z23" i="16"/>
  <c r="Z26" i="16" s="1"/>
  <c r="Y23" i="16"/>
  <c r="Y26" i="16" s="1"/>
  <c r="X23" i="16"/>
  <c r="W23" i="16"/>
  <c r="W24" i="16" s="1"/>
  <c r="W25" i="16" s="1"/>
  <c r="W28" i="16" s="1"/>
  <c r="V23" i="16"/>
  <c r="V24" i="16" s="1"/>
  <c r="V25" i="16" s="1"/>
  <c r="V28" i="16" s="1"/>
  <c r="U23" i="16"/>
  <c r="U26" i="16" s="1"/>
  <c r="T23" i="16"/>
  <c r="T26" i="16" s="1"/>
  <c r="S23" i="16"/>
  <c r="R23" i="16"/>
  <c r="G23" i="16"/>
  <c r="G24" i="16" s="1"/>
  <c r="G25" i="16" s="1"/>
  <c r="F23" i="16"/>
  <c r="F24" i="16" s="1"/>
  <c r="F25" i="16" s="1"/>
  <c r="G12" i="20" s="1"/>
  <c r="G48" i="20" s="1"/>
  <c r="AA22" i="16"/>
  <c r="AH20" i="16"/>
  <c r="AG20" i="16"/>
  <c r="AF20" i="16"/>
  <c r="AE20" i="16"/>
  <c r="AE16" i="16" s="1"/>
  <c r="AD20" i="16"/>
  <c r="AC20" i="16"/>
  <c r="AB20" i="16"/>
  <c r="AA20" i="16"/>
  <c r="Z20" i="16"/>
  <c r="Y20" i="16"/>
  <c r="Y22" i="16" s="1"/>
  <c r="X20" i="16"/>
  <c r="W20" i="16"/>
  <c r="V20" i="16"/>
  <c r="U20" i="16"/>
  <c r="T20" i="16"/>
  <c r="S20" i="16"/>
  <c r="R20" i="16"/>
  <c r="Q20" i="16"/>
  <c r="P20" i="16"/>
  <c r="P16" i="16" s="1"/>
  <c r="O20" i="16"/>
  <c r="O16" i="16" s="1"/>
  <c r="I20" i="16"/>
  <c r="H20" i="16"/>
  <c r="G20" i="16"/>
  <c r="F20" i="16"/>
  <c r="F16" i="16" s="1"/>
  <c r="AA19" i="16"/>
  <c r="Z19" i="16"/>
  <c r="Y19" i="16"/>
  <c r="X19" i="16"/>
  <c r="W19" i="16"/>
  <c r="V19" i="16"/>
  <c r="U19" i="16"/>
  <c r="AA17" i="16"/>
  <c r="AA18" i="16" s="1"/>
  <c r="AA21" i="16" s="1"/>
  <c r="Z17" i="16"/>
  <c r="Z18" i="16" s="1"/>
  <c r="Z21" i="16" s="1"/>
  <c r="Y17" i="16"/>
  <c r="Y18" i="16" s="1"/>
  <c r="Y21" i="16" s="1"/>
  <c r="X17" i="16"/>
  <c r="X18" i="16" s="1"/>
  <c r="X21" i="16" s="1"/>
  <c r="W17" i="16"/>
  <c r="W18" i="16" s="1"/>
  <c r="W21" i="16" s="1"/>
  <c r="AH16" i="16"/>
  <c r="AG16" i="16"/>
  <c r="AF16" i="16"/>
  <c r="AA16" i="16"/>
  <c r="Z16" i="16"/>
  <c r="Y16" i="16"/>
  <c r="X16" i="16"/>
  <c r="W16" i="16"/>
  <c r="V16" i="16"/>
  <c r="V17" i="16" s="1"/>
  <c r="V18" i="16" s="1"/>
  <c r="V21" i="16" s="1"/>
  <c r="U16" i="16"/>
  <c r="U17" i="16" s="1"/>
  <c r="U18" i="16" s="1"/>
  <c r="U21" i="16" s="1"/>
  <c r="T16" i="16"/>
  <c r="T19" i="16" s="1"/>
  <c r="S16" i="16"/>
  <c r="S19" i="16" s="1"/>
  <c r="R16" i="16"/>
  <c r="Q16" i="16"/>
  <c r="U14" i="16"/>
  <c r="T14" i="16"/>
  <c r="AH13" i="16"/>
  <c r="AG13" i="16"/>
  <c r="AG30" i="16" s="1"/>
  <c r="AF13" i="16"/>
  <c r="AF7" i="16" s="1"/>
  <c r="AE13" i="16"/>
  <c r="AE7" i="16" s="1"/>
  <c r="AD13" i="16"/>
  <c r="AD9" i="16" s="1"/>
  <c r="AC13" i="16"/>
  <c r="AB13" i="16"/>
  <c r="AA13" i="16"/>
  <c r="Z13" i="16"/>
  <c r="Y13" i="16"/>
  <c r="X13" i="16"/>
  <c r="X15" i="16" s="1"/>
  <c r="W13" i="16"/>
  <c r="V13" i="16"/>
  <c r="U13" i="16"/>
  <c r="T13" i="16"/>
  <c r="S13" i="16"/>
  <c r="R13" i="16"/>
  <c r="R7" i="16" s="1"/>
  <c r="Q13" i="16"/>
  <c r="P13" i="16"/>
  <c r="P7" i="16" s="1"/>
  <c r="O13" i="16"/>
  <c r="O7" i="16" s="1"/>
  <c r="I13" i="16"/>
  <c r="H13" i="16"/>
  <c r="G13" i="16"/>
  <c r="F13" i="16"/>
  <c r="Z12" i="16"/>
  <c r="Y12" i="16"/>
  <c r="X12" i="16"/>
  <c r="W12" i="16"/>
  <c r="V12" i="16"/>
  <c r="U12" i="16"/>
  <c r="T12" i="16"/>
  <c r="Z10" i="16"/>
  <c r="Z11" i="16" s="1"/>
  <c r="Z14" i="16" s="1"/>
  <c r="Y10" i="16"/>
  <c r="Y11" i="16" s="1"/>
  <c r="Y14" i="16" s="1"/>
  <c r="X10" i="16"/>
  <c r="X11" i="16" s="1"/>
  <c r="X14" i="16" s="1"/>
  <c r="W10" i="16"/>
  <c r="W11" i="16" s="1"/>
  <c r="W14" i="16" s="1"/>
  <c r="V10" i="16"/>
  <c r="V11" i="16" s="1"/>
  <c r="V14" i="16" s="1"/>
  <c r="AH9" i="16"/>
  <c r="AG9" i="16"/>
  <c r="AF9" i="16"/>
  <c r="AE9" i="16"/>
  <c r="Z9" i="16"/>
  <c r="Y9" i="16"/>
  <c r="X9" i="16"/>
  <c r="W9" i="16"/>
  <c r="V9" i="16"/>
  <c r="U9" i="16"/>
  <c r="U10" i="16" s="1"/>
  <c r="U11" i="16" s="1"/>
  <c r="T9" i="16"/>
  <c r="T10" i="16" s="1"/>
  <c r="T11" i="16" s="1"/>
  <c r="S9" i="16"/>
  <c r="S12" i="16" s="1"/>
  <c r="Q9" i="16"/>
  <c r="P9" i="16"/>
  <c r="O9" i="16"/>
  <c r="AH8" i="16"/>
  <c r="AG8" i="16"/>
  <c r="AF8" i="16"/>
  <c r="AH7" i="16"/>
  <c r="AG7" i="16"/>
  <c r="Z7" i="16"/>
  <c r="Y7" i="16"/>
  <c r="X7" i="16"/>
  <c r="W7" i="16"/>
  <c r="V7" i="16"/>
  <c r="U7" i="16"/>
  <c r="T7" i="16"/>
  <c r="S7" i="16"/>
  <c r="AJ6" i="16"/>
  <c r="AH5" i="16"/>
  <c r="AG5" i="16"/>
  <c r="AF5" i="16"/>
  <c r="AE5" i="16"/>
  <c r="AD5" i="16"/>
  <c r="AC5" i="16"/>
  <c r="AB5" i="16"/>
  <c r="AA5" i="16"/>
  <c r="Z5" i="16"/>
  <c r="Y5" i="16"/>
  <c r="X5" i="16"/>
  <c r="W5" i="16"/>
  <c r="V5" i="16"/>
  <c r="U5" i="16"/>
  <c r="T5" i="16"/>
  <c r="S5" i="16"/>
  <c r="AH4" i="16"/>
  <c r="AG4" i="16"/>
  <c r="AF4" i="16"/>
  <c r="AE4" i="16"/>
  <c r="AD4" i="16"/>
  <c r="AC4" i="16"/>
  <c r="AB4" i="16"/>
  <c r="AA4" i="16"/>
  <c r="Z4" i="16"/>
  <c r="Y4" i="16"/>
  <c r="X4" i="16"/>
  <c r="W4" i="16"/>
  <c r="V4" i="16"/>
  <c r="U4" i="16"/>
  <c r="T4" i="16"/>
  <c r="S4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AH2" i="16"/>
  <c r="AG2" i="16"/>
  <c r="AF2" i="16"/>
  <c r="S2" i="16"/>
  <c r="S41" i="16" s="1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D74" i="15" a="1"/>
  <c r="D74" i="15" s="1"/>
  <c r="F83" i="18" s="1"/>
  <c r="D73" i="15" a="1"/>
  <c r="D73" i="15" s="1"/>
  <c r="F82" i="18" s="1"/>
  <c r="D72" i="15" a="1"/>
  <c r="D72" i="15" s="1"/>
  <c r="D71" i="15" a="1"/>
  <c r="D71" i="15" s="1"/>
  <c r="D70" i="15" a="1"/>
  <c r="D70" i="15" s="1"/>
  <c r="F74" i="18" s="1"/>
  <c r="D69" i="15" a="1"/>
  <c r="D69" i="15" s="1"/>
  <c r="F73" i="18" s="1"/>
  <c r="D68" i="15" a="1"/>
  <c r="D68" i="15" s="1"/>
  <c r="F72" i="18" s="1"/>
  <c r="D67" i="15" a="1"/>
  <c r="D67" i="15" s="1"/>
  <c r="F71" i="18" s="1"/>
  <c r="D66" i="15" a="1"/>
  <c r="D66" i="15" s="1"/>
  <c r="F69" i="18" s="1"/>
  <c r="D65" i="15" a="1"/>
  <c r="D65" i="15" s="1"/>
  <c r="D64" i="15" a="1"/>
  <c r="D64" i="15" s="1"/>
  <c r="F67" i="18" s="1"/>
  <c r="AQ119" i="15"/>
  <c r="BP24" i="15"/>
  <c r="BO24" i="15"/>
  <c r="BN24" i="15"/>
  <c r="BM24" i="15"/>
  <c r="BL24" i="15"/>
  <c r="BK24" i="15"/>
  <c r="BJ24" i="15"/>
  <c r="BI24" i="15"/>
  <c r="BH24" i="15"/>
  <c r="BG24" i="15"/>
  <c r="BF24" i="15"/>
  <c r="BE24" i="15"/>
  <c r="BB24" i="15"/>
  <c r="AZ24" i="15"/>
  <c r="AV24" i="15"/>
  <c r="AR24" i="15"/>
  <c r="AP24" i="15"/>
  <c r="AN24" i="15"/>
  <c r="AL24" i="15"/>
  <c r="AJ24" i="15"/>
  <c r="AF24" i="15"/>
  <c r="AB24" i="15"/>
  <c r="Z24" i="15"/>
  <c r="X24" i="15"/>
  <c r="V24" i="15"/>
  <c r="T24" i="15"/>
  <c r="P24" i="15"/>
  <c r="L24" i="15"/>
  <c r="J24" i="15"/>
  <c r="H24" i="15"/>
  <c r="F24" i="15"/>
  <c r="BP22" i="15"/>
  <c r="BO22" i="15"/>
  <c r="BN22" i="15"/>
  <c r="BM22" i="15"/>
  <c r="BL22" i="15"/>
  <c r="BK22" i="15"/>
  <c r="BJ22" i="15"/>
  <c r="BI22" i="15"/>
  <c r="BH22" i="15"/>
  <c r="BG22" i="15"/>
  <c r="BF22" i="15"/>
  <c r="BE22" i="15"/>
  <c r="BC22" i="15"/>
  <c r="BB22" i="15"/>
  <c r="AZ22" i="15"/>
  <c r="AX22" i="15"/>
  <c r="AV22" i="15"/>
  <c r="AT22" i="15"/>
  <c r="AS22" i="15"/>
  <c r="AQ22" i="15"/>
  <c r="AP22" i="15"/>
  <c r="AO22" i="15"/>
  <c r="AN22" i="15"/>
  <c r="AM22" i="15"/>
  <c r="AL22" i="15"/>
  <c r="AJ22" i="15"/>
  <c r="AH22" i="15"/>
  <c r="AF22" i="15"/>
  <c r="AD22" i="15"/>
  <c r="AC22" i="15"/>
  <c r="AB22" i="15"/>
  <c r="AA22" i="15"/>
  <c r="Z22" i="15"/>
  <c r="Y22" i="15"/>
  <c r="W22" i="15"/>
  <c r="V22" i="15"/>
  <c r="T22" i="15"/>
  <c r="R22" i="15"/>
  <c r="P22" i="15"/>
  <c r="N22" i="15"/>
  <c r="M22" i="15"/>
  <c r="L22" i="15"/>
  <c r="K22" i="15"/>
  <c r="J22" i="15"/>
  <c r="I22" i="15"/>
  <c r="H22" i="15"/>
  <c r="G22" i="15"/>
  <c r="F22" i="15"/>
  <c r="BP20" i="15"/>
  <c r="AE155" i="17" s="1"/>
  <c r="BO20" i="15"/>
  <c r="AD155" i="17" s="1"/>
  <c r="BN20" i="15"/>
  <c r="BM20" i="15"/>
  <c r="BL20" i="15"/>
  <c r="AA155" i="17" s="1"/>
  <c r="BK20" i="15"/>
  <c r="Z155" i="17" s="1"/>
  <c r="BJ20" i="15"/>
  <c r="Y155" i="17" s="1"/>
  <c r="BI20" i="15"/>
  <c r="X155" i="17" s="1"/>
  <c r="BH20" i="15"/>
  <c r="W155" i="17" s="1"/>
  <c r="BG20" i="15"/>
  <c r="V155" i="17" s="1"/>
  <c r="BF20" i="15"/>
  <c r="U155" i="17" s="1"/>
  <c r="BE20" i="15"/>
  <c r="T155" i="17" s="1"/>
  <c r="AL20" i="15"/>
  <c r="D155" i="15"/>
  <c r="AE156" i="15"/>
  <c r="BP13" i="15"/>
  <c r="BO13" i="15"/>
  <c r="BN13" i="15"/>
  <c r="BM13" i="15"/>
  <c r="BL13" i="15"/>
  <c r="BK13" i="15"/>
  <c r="BJ13" i="15"/>
  <c r="BI13" i="15"/>
  <c r="BH13" i="15"/>
  <c r="BH10" i="15" s="1"/>
  <c r="BG13" i="15"/>
  <c r="BF13" i="15"/>
  <c r="BF10" i="15" s="1"/>
  <c r="D12" i="15" a="1"/>
  <c r="D12" i="15" s="1"/>
  <c r="D11" i="15" a="1"/>
  <c r="BJ10" i="15"/>
  <c r="BI10" i="15"/>
  <c r="BG10" i="15"/>
  <c r="D8" i="15" a="1"/>
  <c r="AV9" i="15" s="1"/>
  <c r="D7" i="15" a="1"/>
  <c r="D7" i="15" s="1"/>
  <c r="BI6" i="15"/>
  <c r="BF6" i="15"/>
  <c r="BE6" i="15"/>
  <c r="BE13" i="15" s="1"/>
  <c r="BE10" i="15" s="1"/>
  <c r="D6" i="15" a="1"/>
  <c r="AT13" i="15" s="1"/>
  <c r="D5" i="15" a="1"/>
  <c r="G3" i="18" s="1"/>
  <c r="BS4" i="15"/>
  <c r="BR4" i="15"/>
  <c r="BQ4" i="15"/>
  <c r="BS3" i="15"/>
  <c r="BR3" i="15"/>
  <c r="BQ3" i="15"/>
  <c r="BP3" i="15"/>
  <c r="D3" i="15" a="1"/>
  <c r="AS4" i="15" s="1"/>
  <c r="D2" i="15" a="1"/>
  <c r="D1" i="15" a="1"/>
  <c r="D1" i="15" s="1"/>
  <c r="F1" i="16" s="1"/>
  <c r="H75" i="14"/>
  <c r="G75" i="14"/>
  <c r="F75" i="14"/>
  <c r="K73" i="14"/>
  <c r="J73" i="14"/>
  <c r="I73" i="14"/>
  <c r="H73" i="14"/>
  <c r="G73" i="14"/>
  <c r="F73" i="14"/>
  <c r="K72" i="14"/>
  <c r="J72" i="14"/>
  <c r="I72" i="14"/>
  <c r="H72" i="14"/>
  <c r="G72" i="14"/>
  <c r="F72" i="14"/>
  <c r="K71" i="14"/>
  <c r="J71" i="14"/>
  <c r="I71" i="14"/>
  <c r="H71" i="14"/>
  <c r="G71" i="14"/>
  <c r="F71" i="14"/>
  <c r="K66" i="14"/>
  <c r="K75" i="14" s="1"/>
  <c r="J66" i="14"/>
  <c r="J75" i="14" s="1"/>
  <c r="I66" i="14"/>
  <c r="I75" i="14" s="1"/>
  <c r="K65" i="14"/>
  <c r="J65" i="14"/>
  <c r="M65" i="14" s="1"/>
  <c r="M64" i="14"/>
  <c r="K64" i="14"/>
  <c r="J64" i="14"/>
  <c r="K63" i="14"/>
  <c r="J63" i="14"/>
  <c r="I63" i="14"/>
  <c r="M63" i="14" s="1"/>
  <c r="K62" i="14"/>
  <c r="J62" i="14"/>
  <c r="I62" i="14"/>
  <c r="M62" i="14" s="1"/>
  <c r="K61" i="14"/>
  <c r="J61" i="14"/>
  <c r="M61" i="14" s="1"/>
  <c r="K60" i="14"/>
  <c r="J60" i="14"/>
  <c r="M60" i="14" s="1"/>
  <c r="K59" i="14"/>
  <c r="J59" i="14"/>
  <c r="I59" i="14"/>
  <c r="M59" i="14" s="1"/>
  <c r="K58" i="14"/>
  <c r="J58" i="14"/>
  <c r="M58" i="14" s="1"/>
  <c r="M57" i="14"/>
  <c r="K57" i="14"/>
  <c r="J57" i="14"/>
  <c r="F56" i="14"/>
  <c r="M55" i="14"/>
  <c r="N55" i="14" s="1"/>
  <c r="F55" i="14"/>
  <c r="J54" i="14"/>
  <c r="K53" i="14"/>
  <c r="I53" i="14"/>
  <c r="F53" i="14"/>
  <c r="K50" i="14"/>
  <c r="K69" i="14" s="1"/>
  <c r="J50" i="14"/>
  <c r="J69" i="14" s="1"/>
  <c r="I50" i="14"/>
  <c r="I69" i="14" s="1"/>
  <c r="H50" i="14"/>
  <c r="H69" i="14" s="1"/>
  <c r="G50" i="14"/>
  <c r="G69" i="14" s="1"/>
  <c r="K49" i="14"/>
  <c r="J49" i="14"/>
  <c r="I49" i="14"/>
  <c r="H49" i="14"/>
  <c r="G49" i="14"/>
  <c r="F49" i="14"/>
  <c r="F50" i="14" s="1"/>
  <c r="K48" i="14"/>
  <c r="K51" i="14" s="1"/>
  <c r="K52" i="14" s="1"/>
  <c r="J48" i="14"/>
  <c r="J51" i="14" s="1"/>
  <c r="J52" i="14" s="1"/>
  <c r="I48" i="14"/>
  <c r="I51" i="14" s="1"/>
  <c r="I52" i="14" s="1"/>
  <c r="H48" i="14"/>
  <c r="H51" i="14" s="1"/>
  <c r="H52" i="14" s="1"/>
  <c r="F48" i="14"/>
  <c r="F51" i="14" s="1"/>
  <c r="N47" i="14"/>
  <c r="K46" i="14"/>
  <c r="J46" i="14"/>
  <c r="I46" i="14"/>
  <c r="H46" i="14"/>
  <c r="F46" i="14"/>
  <c r="N45" i="14"/>
  <c r="N44" i="14"/>
  <c r="N43" i="14"/>
  <c r="J42" i="14"/>
  <c r="I42" i="14"/>
  <c r="G42" i="14"/>
  <c r="G51" i="14" s="1"/>
  <c r="G52" i="14" s="1"/>
  <c r="F42" i="14"/>
  <c r="N41" i="14"/>
  <c r="K40" i="14"/>
  <c r="J40" i="14"/>
  <c r="I40" i="14"/>
  <c r="G40" i="14"/>
  <c r="F40" i="14"/>
  <c r="G39" i="14"/>
  <c r="F39" i="14"/>
  <c r="N39" i="14" s="1"/>
  <c r="N38" i="14"/>
  <c r="N37" i="14"/>
  <c r="K36" i="14"/>
  <c r="J36" i="14"/>
  <c r="I36" i="14"/>
  <c r="H36" i="14"/>
  <c r="N35" i="14"/>
  <c r="M34" i="14"/>
  <c r="J34" i="14"/>
  <c r="F34" i="14"/>
  <c r="F36" i="14" s="1"/>
  <c r="N33" i="14"/>
  <c r="N32" i="14"/>
  <c r="N31" i="14"/>
  <c r="K30" i="14"/>
  <c r="J30" i="14"/>
  <c r="I30" i="14"/>
  <c r="H30" i="14"/>
  <c r="F30" i="14"/>
  <c r="N29" i="14"/>
  <c r="N28" i="14"/>
  <c r="N27" i="14"/>
  <c r="N26" i="14"/>
  <c r="K25" i="14"/>
  <c r="J25" i="14"/>
  <c r="H25" i="14"/>
  <c r="F25" i="14"/>
  <c r="N24" i="14"/>
  <c r="N23" i="14"/>
  <c r="N22" i="14"/>
  <c r="N21" i="14"/>
  <c r="K20" i="14"/>
  <c r="J20" i="14"/>
  <c r="I20" i="14"/>
  <c r="H20" i="14"/>
  <c r="F20" i="14"/>
  <c r="N19" i="14"/>
  <c r="N18" i="14"/>
  <c r="N17" i="14"/>
  <c r="N16" i="14"/>
  <c r="K15" i="14"/>
  <c r="J15" i="14"/>
  <c r="I15" i="14"/>
  <c r="H15" i="14"/>
  <c r="F15" i="14"/>
  <c r="N14" i="14"/>
  <c r="N13" i="14"/>
  <c r="N12" i="14"/>
  <c r="N11" i="14"/>
  <c r="K10" i="14"/>
  <c r="J10" i="14"/>
  <c r="I10" i="14"/>
  <c r="F10" i="14"/>
  <c r="N9" i="14"/>
  <c r="N8" i="14"/>
  <c r="N7" i="14"/>
  <c r="N6" i="14"/>
  <c r="K5" i="14"/>
  <c r="F5" i="14"/>
  <c r="N4" i="14"/>
  <c r="N3" i="14"/>
  <c r="N2" i="14"/>
  <c r="O1" i="14"/>
  <c r="C22" i="13"/>
  <c r="C21" i="13"/>
  <c r="I20" i="13"/>
  <c r="C20" i="13"/>
  <c r="C19" i="13"/>
  <c r="C18" i="13"/>
  <c r="I16" i="13"/>
  <c r="I14" i="13"/>
  <c r="I12" i="13"/>
  <c r="I11" i="13"/>
  <c r="I10" i="13"/>
  <c r="C7" i="13"/>
  <c r="I8" i="13" s="1"/>
  <c r="I6" i="13"/>
  <c r="I5" i="13"/>
  <c r="I24" i="13" s="1"/>
  <c r="I25" i="13" s="1"/>
  <c r="I2" i="13"/>
  <c r="I26" i="13" s="1"/>
  <c r="D24" i="12"/>
  <c r="N24" i="12" s="1"/>
  <c r="D23" i="12"/>
  <c r="N23" i="12" s="1"/>
  <c r="D22" i="12"/>
  <c r="N22" i="12" s="1"/>
  <c r="H21" i="12"/>
  <c r="F21" i="12"/>
  <c r="E21" i="12"/>
  <c r="D21" i="12"/>
  <c r="I20" i="12"/>
  <c r="H20" i="12"/>
  <c r="F20" i="12"/>
  <c r="D20" i="12"/>
  <c r="D19" i="12"/>
  <c r="N19" i="12" s="1"/>
  <c r="H18" i="12"/>
  <c r="F18" i="12"/>
  <c r="E18" i="12"/>
  <c r="D18" i="12"/>
  <c r="N17" i="12"/>
  <c r="M17" i="12"/>
  <c r="K17" i="12"/>
  <c r="N16" i="12"/>
  <c r="M15" i="12"/>
  <c r="N15" i="12" s="1"/>
  <c r="N25" i="12" s="1"/>
  <c r="K15" i="12"/>
  <c r="N14" i="12"/>
  <c r="N13" i="12"/>
  <c r="N11" i="12"/>
  <c r="J10" i="12"/>
  <c r="J9" i="12"/>
  <c r="J8" i="12"/>
  <c r="N8" i="12" s="1"/>
  <c r="J7" i="12"/>
  <c r="J6" i="12"/>
  <c r="M6" i="12" s="1"/>
  <c r="J5" i="12"/>
  <c r="N4" i="12"/>
  <c r="N9" i="12" s="1"/>
  <c r="N3" i="12"/>
  <c r="I2" i="12"/>
  <c r="I21" i="12" s="1"/>
  <c r="H2" i="12"/>
  <c r="F2" i="12"/>
  <c r="E2" i="12"/>
  <c r="E20" i="12" s="1"/>
  <c r="D2" i="12"/>
  <c r="E39" i="11"/>
  <c r="D35" i="11"/>
  <c r="D36" i="11" s="1"/>
  <c r="B35" i="11"/>
  <c r="D34" i="11"/>
  <c r="C34" i="11"/>
  <c r="B34" i="11"/>
  <c r="D32" i="11"/>
  <c r="C32" i="11"/>
  <c r="B32" i="11"/>
  <c r="D31" i="11"/>
  <c r="C31" i="11"/>
  <c r="B31" i="11"/>
  <c r="D30" i="11"/>
  <c r="C30" i="11"/>
  <c r="B30" i="11"/>
  <c r="D29" i="11"/>
  <c r="C29" i="11"/>
  <c r="B29" i="11"/>
  <c r="C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D23" i="11"/>
  <c r="C23" i="11"/>
  <c r="B23" i="11"/>
  <c r="D22" i="11"/>
  <c r="D15" i="11" s="1"/>
  <c r="C22" i="11"/>
  <c r="D21" i="11"/>
  <c r="C21" i="11"/>
  <c r="B21" i="11"/>
  <c r="D20" i="11"/>
  <c r="C20" i="11"/>
  <c r="B20" i="11"/>
  <c r="D19" i="11"/>
  <c r="C19" i="11"/>
  <c r="B19" i="11"/>
  <c r="D18" i="11"/>
  <c r="C18" i="11"/>
  <c r="B18" i="11"/>
  <c r="D17" i="11"/>
  <c r="C17" i="11"/>
  <c r="B17" i="11"/>
  <c r="D16" i="11"/>
  <c r="C16" i="11"/>
  <c r="B16" i="11"/>
  <c r="C15" i="11"/>
  <c r="D14" i="11"/>
  <c r="C14" i="11"/>
  <c r="B14" i="11"/>
  <c r="D13" i="11"/>
  <c r="C13" i="11"/>
  <c r="B13" i="11"/>
  <c r="D12" i="11"/>
  <c r="C12" i="11"/>
  <c r="B12" i="11"/>
  <c r="I11" i="11"/>
  <c r="H11" i="11"/>
  <c r="G11" i="11"/>
  <c r="H8" i="11"/>
  <c r="I6" i="11"/>
  <c r="H6" i="11"/>
  <c r="B6" i="11"/>
  <c r="A6" i="11"/>
  <c r="I5" i="11"/>
  <c r="H5" i="11"/>
  <c r="B5" i="11"/>
  <c r="A5" i="11"/>
  <c r="I4" i="11"/>
  <c r="H4" i="11"/>
  <c r="B4" i="11"/>
  <c r="A4" i="11"/>
  <c r="I3" i="11"/>
  <c r="H3" i="11"/>
  <c r="I2" i="11"/>
  <c r="H2" i="11"/>
  <c r="A2" i="11"/>
  <c r="I1" i="11"/>
  <c r="H1" i="11"/>
  <c r="A1" i="11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8" i="10"/>
  <c r="B17" i="10"/>
  <c r="B16" i="10"/>
  <c r="B15" i="10"/>
  <c r="B14" i="10"/>
  <c r="B13" i="10"/>
  <c r="B7" i="10"/>
  <c r="A7" i="10"/>
  <c r="B6" i="10"/>
  <c r="A6" i="10"/>
  <c r="B5" i="10"/>
  <c r="A5" i="10"/>
  <c r="B4" i="10"/>
  <c r="A4" i="10"/>
  <c r="A3" i="10"/>
  <c r="J2" i="10"/>
  <c r="A2" i="10"/>
  <c r="A1" i="10"/>
  <c r="J52" i="8"/>
  <c r="H52" i="8"/>
  <c r="J51" i="8"/>
  <c r="I51" i="8"/>
  <c r="H50" i="8"/>
  <c r="H49" i="8"/>
  <c r="F20" i="6"/>
  <c r="F22" i="6" s="1"/>
  <c r="D7" i="6" s="1"/>
  <c r="C20" i="6"/>
  <c r="C22" i="6" s="1"/>
  <c r="A7" i="6" s="1"/>
  <c r="D3" i="6"/>
  <c r="A3" i="6"/>
  <c r="D2" i="6"/>
  <c r="A2" i="6"/>
  <c r="D1" i="6"/>
  <c r="A1" i="6"/>
  <c r="D175" i="4"/>
  <c r="B175" i="4"/>
  <c r="L173" i="4"/>
  <c r="AW171" i="4"/>
  <c r="AW170" i="4"/>
  <c r="AW167" i="4"/>
  <c r="AW166" i="4"/>
  <c r="AW165" i="4"/>
  <c r="AW164" i="4"/>
  <c r="AW163" i="4"/>
  <c r="AW162" i="4"/>
  <c r="AW158" i="4"/>
  <c r="AW157" i="4"/>
  <c r="AW156" i="4"/>
  <c r="G155" i="4"/>
  <c r="G154" i="4"/>
  <c r="G153" i="4"/>
  <c r="G152" i="4"/>
  <c r="E152" i="4"/>
  <c r="AW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AU150" i="4" s="1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AR151" i="4" s="1"/>
  <c r="AW150" i="4"/>
  <c r="AS150" i="4"/>
  <c r="AR150" i="4"/>
  <c r="AW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B149" i="4"/>
  <c r="G148" i="4"/>
  <c r="G147" i="4"/>
  <c r="G146" i="4"/>
  <c r="G145" i="4"/>
  <c r="AW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AU143" i="4" s="1"/>
  <c r="AW143" i="4"/>
  <c r="AS143" i="4"/>
  <c r="AR143" i="4"/>
  <c r="AW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B142" i="4"/>
  <c r="G141" i="4"/>
  <c r="G140" i="4"/>
  <c r="G139" i="4"/>
  <c r="G138" i="4"/>
  <c r="AW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AW136" i="4"/>
  <c r="AS136" i="4"/>
  <c r="AR136" i="4"/>
  <c r="AW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B135" i="4"/>
  <c r="G134" i="4"/>
  <c r="G133" i="4"/>
  <c r="G132" i="4"/>
  <c r="G131" i="4"/>
  <c r="AW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AW129" i="4"/>
  <c r="AR129" i="4"/>
  <c r="AS129" i="4" s="1"/>
  <c r="AW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B128" i="4"/>
  <c r="G127" i="4"/>
  <c r="G126" i="4"/>
  <c r="AW125" i="4"/>
  <c r="G125" i="4"/>
  <c r="G124" i="4"/>
  <c r="E124" i="4"/>
  <c r="AW124" i="4" s="1"/>
  <c r="AW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AU122" i="4" s="1"/>
  <c r="P123" i="4"/>
  <c r="O123" i="4"/>
  <c r="N123" i="4"/>
  <c r="M123" i="4"/>
  <c r="L123" i="4"/>
  <c r="K123" i="4"/>
  <c r="AR123" i="4" s="1"/>
  <c r="J123" i="4"/>
  <c r="I123" i="4"/>
  <c r="H123" i="4"/>
  <c r="AW122" i="4"/>
  <c r="AR122" i="4"/>
  <c r="AS122" i="4" s="1"/>
  <c r="AW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B121" i="4"/>
  <c r="G120" i="4"/>
  <c r="G119" i="4"/>
  <c r="AW118" i="4"/>
  <c r="G118" i="4"/>
  <c r="AW117" i="4"/>
  <c r="G117" i="4"/>
  <c r="E117" i="4"/>
  <c r="E119" i="4" s="1"/>
  <c r="AW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AR116" i="4" s="1"/>
  <c r="H116" i="4"/>
  <c r="AW115" i="4"/>
  <c r="AS115" i="4"/>
  <c r="AR115" i="4"/>
  <c r="AW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B114" i="4"/>
  <c r="G113" i="4"/>
  <c r="G112" i="4"/>
  <c r="G111" i="4"/>
  <c r="G110" i="4"/>
  <c r="E110" i="4"/>
  <c r="E112" i="4" s="1"/>
  <c r="AW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C109" i="4"/>
  <c r="AW108" i="4"/>
  <c r="AR108" i="4"/>
  <c r="AS108" i="4" s="1"/>
  <c r="AW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B107" i="4"/>
  <c r="G106" i="4"/>
  <c r="G105" i="4"/>
  <c r="E105" i="4"/>
  <c r="AW104" i="4"/>
  <c r="G104" i="4"/>
  <c r="AW103" i="4"/>
  <c r="G103" i="4"/>
  <c r="E103" i="4"/>
  <c r="AW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AU101" i="4" s="1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AW101" i="4"/>
  <c r="AR101" i="4"/>
  <c r="AS101" i="4" s="1"/>
  <c r="C101" i="4"/>
  <c r="AW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B100" i="4"/>
  <c r="G99" i="4"/>
  <c r="G98" i="4"/>
  <c r="G97" i="4"/>
  <c r="G96" i="4"/>
  <c r="E96" i="4"/>
  <c r="AW96" i="4" s="1"/>
  <c r="AW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AR95" i="4" s="1"/>
  <c r="K95" i="4"/>
  <c r="J95" i="4"/>
  <c r="I95" i="4"/>
  <c r="H95" i="4"/>
  <c r="AW94" i="4"/>
  <c r="AR94" i="4"/>
  <c r="AS94" i="4" s="1"/>
  <c r="AW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B93" i="4"/>
  <c r="G92" i="4"/>
  <c r="G91" i="4"/>
  <c r="AW90" i="4"/>
  <c r="G90" i="4"/>
  <c r="G89" i="4"/>
  <c r="E89" i="4"/>
  <c r="E91" i="4" s="1"/>
  <c r="AW91" i="4" s="1"/>
  <c r="AW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AW87" i="4"/>
  <c r="AR87" i="4"/>
  <c r="AS87" i="4" s="1"/>
  <c r="AW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B86" i="4"/>
  <c r="G85" i="4"/>
  <c r="G84" i="4"/>
  <c r="G83" i="4"/>
  <c r="G82" i="4"/>
  <c r="E82" i="4"/>
  <c r="E84" i="4" s="1"/>
  <c r="AW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AU80" i="4" s="1"/>
  <c r="AW80" i="4"/>
  <c r="AS80" i="4"/>
  <c r="AR80" i="4"/>
  <c r="AW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B79" i="4"/>
  <c r="G78" i="4"/>
  <c r="G77" i="4"/>
  <c r="AW76" i="4"/>
  <c r="G76" i="4"/>
  <c r="G75" i="4"/>
  <c r="E75" i="4"/>
  <c r="AW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AW73" i="4"/>
  <c r="AR73" i="4"/>
  <c r="AS73" i="4" s="1"/>
  <c r="C73" i="4"/>
  <c r="AW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B72" i="4"/>
  <c r="G71" i="4"/>
  <c r="G70" i="4"/>
  <c r="G69" i="4"/>
  <c r="AW68" i="4"/>
  <c r="G68" i="4"/>
  <c r="E68" i="4"/>
  <c r="E70" i="4" s="1"/>
  <c r="AW71" i="4" s="1"/>
  <c r="AW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C67" i="4"/>
  <c r="AW66" i="4"/>
  <c r="AR66" i="4"/>
  <c r="AS66" i="4" s="1"/>
  <c r="AW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B65" i="4"/>
  <c r="G64" i="4"/>
  <c r="G63" i="4"/>
  <c r="G62" i="4"/>
  <c r="G61" i="4"/>
  <c r="E61" i="4"/>
  <c r="AW61" i="4" s="1"/>
  <c r="AW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AR60" i="4" s="1"/>
  <c r="K60" i="4"/>
  <c r="J60" i="4"/>
  <c r="I60" i="4"/>
  <c r="H60" i="4"/>
  <c r="AW59" i="4"/>
  <c r="AR59" i="4"/>
  <c r="AS59" i="4" s="1"/>
  <c r="AW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B58" i="4"/>
  <c r="G57" i="4"/>
  <c r="G56" i="4"/>
  <c r="G55" i="4"/>
  <c r="G54" i="4"/>
  <c r="E54" i="4"/>
  <c r="AW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AW52" i="4"/>
  <c r="AS52" i="4"/>
  <c r="AR52" i="4"/>
  <c r="AW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B51" i="4"/>
  <c r="G50" i="4"/>
  <c r="G49" i="4"/>
  <c r="G48" i="4"/>
  <c r="G47" i="4"/>
  <c r="E47" i="4"/>
  <c r="E49" i="4" s="1"/>
  <c r="AW50" i="4" s="1"/>
  <c r="AW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AR46" i="4" s="1"/>
  <c r="K46" i="4"/>
  <c r="J46" i="4"/>
  <c r="I46" i="4"/>
  <c r="H46" i="4"/>
  <c r="AW45" i="4"/>
  <c r="AR45" i="4"/>
  <c r="AS45" i="4" s="1"/>
  <c r="AW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B44" i="4"/>
  <c r="G43" i="4"/>
  <c r="G42" i="4"/>
  <c r="G41" i="4"/>
  <c r="AW40" i="4"/>
  <c r="G40" i="4"/>
  <c r="E40" i="4"/>
  <c r="E42" i="4" s="1"/>
  <c r="AW43" i="4" s="1"/>
  <c r="AW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AR39" i="4" s="1"/>
  <c r="K39" i="4"/>
  <c r="J39" i="4"/>
  <c r="I39" i="4"/>
  <c r="H39" i="4"/>
  <c r="AW38" i="4"/>
  <c r="AR38" i="4"/>
  <c r="AS38" i="4" s="1"/>
  <c r="C38" i="4"/>
  <c r="AW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B37" i="4"/>
  <c r="G36" i="4"/>
  <c r="G35" i="4"/>
  <c r="AW34" i="4"/>
  <c r="G34" i="4"/>
  <c r="G33" i="4"/>
  <c r="E33" i="4"/>
  <c r="AW33" i="4" s="1"/>
  <c r="AW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AU31" i="4" s="1"/>
  <c r="C32" i="4"/>
  <c r="AW31" i="4"/>
  <c r="AR31" i="4"/>
  <c r="AS31" i="4" s="1"/>
  <c r="C31" i="4"/>
  <c r="AW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B30" i="4"/>
  <c r="G29" i="4"/>
  <c r="G28" i="4"/>
  <c r="G27" i="4"/>
  <c r="G26" i="4"/>
  <c r="E26" i="4"/>
  <c r="AW26" i="4" s="1"/>
  <c r="AW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AU24" i="4" s="1"/>
  <c r="I25" i="4"/>
  <c r="H25" i="4"/>
  <c r="C25" i="4"/>
  <c r="AW24" i="4"/>
  <c r="AR24" i="4"/>
  <c r="AS24" i="4" s="1"/>
  <c r="C24" i="4"/>
  <c r="AW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B23" i="4"/>
  <c r="G22" i="4"/>
  <c r="G21" i="4"/>
  <c r="G20" i="4"/>
  <c r="G19" i="4"/>
  <c r="E19" i="4"/>
  <c r="E21" i="4" s="1"/>
  <c r="AW22" i="4" s="1"/>
  <c r="AW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C18" i="4"/>
  <c r="AW17" i="4"/>
  <c r="AU17" i="4"/>
  <c r="AS17" i="4"/>
  <c r="AR17" i="4"/>
  <c r="C17" i="4"/>
  <c r="AW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B16" i="4"/>
  <c r="G15" i="4"/>
  <c r="G14" i="4"/>
  <c r="G13" i="4"/>
  <c r="G12" i="4"/>
  <c r="E12" i="4"/>
  <c r="AW13" i="4" s="1"/>
  <c r="AW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C11" i="4"/>
  <c r="AW10" i="4"/>
  <c r="AR10" i="4"/>
  <c r="AS10" i="4" s="1"/>
  <c r="C10" i="4"/>
  <c r="AW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B9" i="4"/>
  <c r="J5" i="4"/>
  <c r="H4" i="4"/>
  <c r="D4" i="4"/>
  <c r="A3" i="4"/>
  <c r="AY2" i="4"/>
  <c r="J2" i="4"/>
  <c r="I2" i="4"/>
  <c r="A2" i="4"/>
  <c r="J1" i="4"/>
  <c r="I1" i="4"/>
  <c r="A1" i="4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F800" i="3" s="1" a="1"/>
  <c r="F800" i="3" s="1"/>
  <c r="V1267" i="2"/>
  <c r="R1267" i="2"/>
  <c r="U1267" i="2" s="1"/>
  <c r="M1267" i="2"/>
  <c r="L1267" i="2"/>
  <c r="C1267" i="2"/>
  <c r="V1266" i="2"/>
  <c r="R1266" i="2"/>
  <c r="U1266" i="2" s="1"/>
  <c r="W1266" i="2" s="1"/>
  <c r="M1266" i="2"/>
  <c r="L1266" i="2"/>
  <c r="C1266" i="2"/>
  <c r="V1265" i="2"/>
  <c r="R1265" i="2"/>
  <c r="U1265" i="2" s="1"/>
  <c r="M1265" i="2"/>
  <c r="L1265" i="2"/>
  <c r="C1265" i="2"/>
  <c r="V1264" i="2"/>
  <c r="R1264" i="2"/>
  <c r="U1264" i="2" s="1"/>
  <c r="M1264" i="2"/>
  <c r="L1264" i="2"/>
  <c r="C1264" i="2"/>
  <c r="V1263" i="2"/>
  <c r="R1263" i="2"/>
  <c r="U1263" i="2" s="1"/>
  <c r="M1263" i="2"/>
  <c r="L1263" i="2"/>
  <c r="C1263" i="2"/>
  <c r="V1262" i="2"/>
  <c r="R1262" i="2"/>
  <c r="U1262" i="2" s="1"/>
  <c r="W1262" i="2" s="1"/>
  <c r="M1262" i="2"/>
  <c r="L1262" i="2"/>
  <c r="C1262" i="2"/>
  <c r="V1261" i="2"/>
  <c r="R1261" i="2"/>
  <c r="U1261" i="2" s="1"/>
  <c r="W1261" i="2" s="1"/>
  <c r="M1261" i="2"/>
  <c r="L1261" i="2"/>
  <c r="C1261" i="2"/>
  <c r="V1260" i="2"/>
  <c r="R1260" i="2"/>
  <c r="U1260" i="2" s="1"/>
  <c r="W1260" i="2" s="1"/>
  <c r="M1260" i="2"/>
  <c r="L1260" i="2"/>
  <c r="C1260" i="2"/>
  <c r="V1259" i="2"/>
  <c r="R1259" i="2"/>
  <c r="U1259" i="2" s="1"/>
  <c r="M1259" i="2"/>
  <c r="L1259" i="2"/>
  <c r="C1259" i="2"/>
  <c r="V1258" i="2"/>
  <c r="R1258" i="2"/>
  <c r="U1258" i="2" s="1"/>
  <c r="W1258" i="2" s="1"/>
  <c r="M1258" i="2"/>
  <c r="L1258" i="2"/>
  <c r="C1258" i="2"/>
  <c r="V1257" i="2"/>
  <c r="R1257" i="2"/>
  <c r="U1257" i="2" s="1"/>
  <c r="W1257" i="2" s="1"/>
  <c r="M1257" i="2"/>
  <c r="L1257" i="2"/>
  <c r="C1257" i="2"/>
  <c r="V1256" i="2"/>
  <c r="R1256" i="2"/>
  <c r="U1256" i="2" s="1"/>
  <c r="W1256" i="2" s="1"/>
  <c r="M1256" i="2"/>
  <c r="L1256" i="2"/>
  <c r="C1256" i="2"/>
  <c r="V1255" i="2"/>
  <c r="R1255" i="2"/>
  <c r="U1255" i="2" s="1"/>
  <c r="W1255" i="2" s="1"/>
  <c r="M1255" i="2"/>
  <c r="L1255" i="2"/>
  <c r="C1255" i="2"/>
  <c r="V1254" i="2"/>
  <c r="R1254" i="2"/>
  <c r="U1254" i="2" s="1"/>
  <c r="M1254" i="2"/>
  <c r="L1254" i="2"/>
  <c r="C1254" i="2"/>
  <c r="V1253" i="2"/>
  <c r="R1253" i="2"/>
  <c r="U1253" i="2" s="1"/>
  <c r="W1253" i="2" s="1"/>
  <c r="M1253" i="2"/>
  <c r="L1253" i="2"/>
  <c r="C1253" i="2"/>
  <c r="V1252" i="2"/>
  <c r="R1252" i="2"/>
  <c r="U1252" i="2" s="1"/>
  <c r="W1252" i="2" s="1"/>
  <c r="M1252" i="2"/>
  <c r="L1252" i="2"/>
  <c r="C1252" i="2"/>
  <c r="V1251" i="2"/>
  <c r="R1251" i="2"/>
  <c r="U1251" i="2" s="1"/>
  <c r="M1251" i="2"/>
  <c r="L1251" i="2"/>
  <c r="C1251" i="2"/>
  <c r="V1250" i="2"/>
  <c r="R1250" i="2"/>
  <c r="U1250" i="2" s="1"/>
  <c r="M1250" i="2"/>
  <c r="L1250" i="2"/>
  <c r="C1250" i="2"/>
  <c r="V1249" i="2"/>
  <c r="R1249" i="2"/>
  <c r="U1249" i="2" s="1"/>
  <c r="M1249" i="2"/>
  <c r="L1249" i="2"/>
  <c r="C1249" i="2"/>
  <c r="V1248" i="2"/>
  <c r="R1248" i="2"/>
  <c r="U1248" i="2" s="1"/>
  <c r="M1248" i="2"/>
  <c r="L1248" i="2"/>
  <c r="C1248" i="2"/>
  <c r="V1247" i="2"/>
  <c r="R1247" i="2"/>
  <c r="U1247" i="2" s="1"/>
  <c r="M1247" i="2"/>
  <c r="L1247" i="2"/>
  <c r="C1247" i="2"/>
  <c r="V1246" i="2"/>
  <c r="R1246" i="2"/>
  <c r="U1246" i="2" s="1"/>
  <c r="W1246" i="2" s="1"/>
  <c r="M1246" i="2"/>
  <c r="L1246" i="2"/>
  <c r="C1246" i="2"/>
  <c r="V1245" i="2"/>
  <c r="R1245" i="2"/>
  <c r="U1245" i="2" s="1"/>
  <c r="W1245" i="2" s="1"/>
  <c r="M1245" i="2"/>
  <c r="L1245" i="2"/>
  <c r="C1245" i="2"/>
  <c r="V1244" i="2"/>
  <c r="R1244" i="2"/>
  <c r="U1244" i="2" s="1"/>
  <c r="W1244" i="2" s="1"/>
  <c r="M1244" i="2"/>
  <c r="L1244" i="2"/>
  <c r="C1244" i="2"/>
  <c r="V1243" i="2"/>
  <c r="R1243" i="2"/>
  <c r="U1243" i="2" s="1"/>
  <c r="M1243" i="2"/>
  <c r="L1243" i="2"/>
  <c r="C1243" i="2"/>
  <c r="V1242" i="2"/>
  <c r="R1242" i="2"/>
  <c r="U1242" i="2" s="1"/>
  <c r="W1242" i="2" s="1"/>
  <c r="M1242" i="2"/>
  <c r="L1242" i="2"/>
  <c r="C1242" i="2"/>
  <c r="V1241" i="2"/>
  <c r="R1241" i="2"/>
  <c r="U1241" i="2" s="1"/>
  <c r="W1241" i="2" s="1"/>
  <c r="M1241" i="2"/>
  <c r="L1241" i="2"/>
  <c r="C1241" i="2"/>
  <c r="V1240" i="2"/>
  <c r="R1240" i="2"/>
  <c r="U1240" i="2" s="1"/>
  <c r="W1240" i="2" s="1"/>
  <c r="M1240" i="2"/>
  <c r="L1240" i="2"/>
  <c r="C1240" i="2"/>
  <c r="V1239" i="2"/>
  <c r="R1239" i="2"/>
  <c r="U1239" i="2" s="1"/>
  <c r="W1239" i="2" s="1"/>
  <c r="M1239" i="2"/>
  <c r="L1239" i="2"/>
  <c r="C1239" i="2"/>
  <c r="V1238" i="2"/>
  <c r="R1238" i="2"/>
  <c r="U1238" i="2" s="1"/>
  <c r="M1238" i="2"/>
  <c r="L1238" i="2"/>
  <c r="C1238" i="2"/>
  <c r="V1237" i="2"/>
  <c r="R1237" i="2"/>
  <c r="U1237" i="2" s="1"/>
  <c r="W1237" i="2" s="1"/>
  <c r="M1237" i="2"/>
  <c r="L1237" i="2"/>
  <c r="C1237" i="2"/>
  <c r="V1236" i="2"/>
  <c r="R1236" i="2"/>
  <c r="U1236" i="2" s="1"/>
  <c r="M1236" i="2"/>
  <c r="L1236" i="2"/>
  <c r="C1236" i="2"/>
  <c r="V1235" i="2"/>
  <c r="R1235" i="2"/>
  <c r="U1235" i="2" s="1"/>
  <c r="M1235" i="2"/>
  <c r="L1235" i="2"/>
  <c r="C1235" i="2"/>
  <c r="V1234" i="2"/>
  <c r="R1234" i="2"/>
  <c r="U1234" i="2" s="1"/>
  <c r="M1234" i="2"/>
  <c r="L1234" i="2"/>
  <c r="C1234" i="2"/>
  <c r="V1233" i="2"/>
  <c r="R1233" i="2"/>
  <c r="U1233" i="2" s="1"/>
  <c r="M1233" i="2"/>
  <c r="L1233" i="2"/>
  <c r="C1233" i="2"/>
  <c r="V1232" i="2"/>
  <c r="R1232" i="2"/>
  <c r="U1232" i="2" s="1"/>
  <c r="M1232" i="2"/>
  <c r="L1232" i="2"/>
  <c r="C1232" i="2"/>
  <c r="V1231" i="2"/>
  <c r="R1231" i="2"/>
  <c r="U1231" i="2" s="1"/>
  <c r="M1231" i="2"/>
  <c r="L1231" i="2"/>
  <c r="C1231" i="2"/>
  <c r="P1230" i="2" a="1"/>
  <c r="P1230" i="2" s="1"/>
  <c r="E1230" i="2"/>
  <c r="V1228" i="2"/>
  <c r="V1227" i="2" s="1"/>
  <c r="U1228" i="2"/>
  <c r="M1228" i="2"/>
  <c r="L1228" i="2"/>
  <c r="G1228" i="2"/>
  <c r="F1228" i="2"/>
  <c r="E1228" i="2"/>
  <c r="C1228" i="2"/>
  <c r="P1227" i="2" a="1"/>
  <c r="P1227" i="2" s="1"/>
  <c r="E1227" i="2"/>
  <c r="V1225" i="2"/>
  <c r="R1225" i="2"/>
  <c r="U1225" i="2" s="1"/>
  <c r="W1225" i="2" s="1"/>
  <c r="M1225" i="2"/>
  <c r="K1225" i="2"/>
  <c r="L1225" i="2" s="1"/>
  <c r="C1225" i="2"/>
  <c r="V1224" i="2"/>
  <c r="R1224" i="2"/>
  <c r="U1224" i="2" s="1"/>
  <c r="M1224" i="2"/>
  <c r="L1224" i="2"/>
  <c r="K1224" i="2"/>
  <c r="C1224" i="2"/>
  <c r="R1223" i="2"/>
  <c r="U1223" i="2" s="1"/>
  <c r="L1223" i="2"/>
  <c r="K1223" i="2"/>
  <c r="C1223" i="2"/>
  <c r="R1222" i="2"/>
  <c r="U1222" i="2" s="1"/>
  <c r="K1222" i="2"/>
  <c r="C1222" i="2"/>
  <c r="V1221" i="2"/>
  <c r="R1221" i="2"/>
  <c r="U1221" i="2" s="1"/>
  <c r="M1221" i="2"/>
  <c r="L1221" i="2"/>
  <c r="K1221" i="2"/>
  <c r="C1221" i="2"/>
  <c r="R1220" i="2"/>
  <c r="U1220" i="2" s="1"/>
  <c r="M1220" i="2"/>
  <c r="L1220" i="2"/>
  <c r="K1220" i="2"/>
  <c r="V1220" i="2" s="1"/>
  <c r="C1220" i="2"/>
  <c r="V1219" i="2"/>
  <c r="R1219" i="2"/>
  <c r="U1219" i="2" s="1"/>
  <c r="W1219" i="2" s="1"/>
  <c r="M1219" i="2"/>
  <c r="L1219" i="2"/>
  <c r="C1219" i="2"/>
  <c r="V1218" i="2"/>
  <c r="R1218" i="2"/>
  <c r="U1218" i="2" s="1"/>
  <c r="L1218" i="2"/>
  <c r="K1218" i="2"/>
  <c r="C1218" i="2"/>
  <c r="R1217" i="2"/>
  <c r="U1217" i="2" s="1"/>
  <c r="C1217" i="2"/>
  <c r="V1216" i="2"/>
  <c r="R1216" i="2"/>
  <c r="U1216" i="2" s="1"/>
  <c r="W1216" i="2" s="1"/>
  <c r="M1216" i="2"/>
  <c r="L1216" i="2"/>
  <c r="C1216" i="2"/>
  <c r="R1215" i="2"/>
  <c r="U1215" i="2" s="1"/>
  <c r="K1215" i="2"/>
  <c r="C1215" i="2"/>
  <c r="V1214" i="2"/>
  <c r="R1214" i="2"/>
  <c r="U1214" i="2" s="1"/>
  <c r="M1214" i="2"/>
  <c r="L1214" i="2"/>
  <c r="C1214" i="2"/>
  <c r="V1213" i="2"/>
  <c r="R1213" i="2"/>
  <c r="U1213" i="2" s="1"/>
  <c r="M1213" i="2"/>
  <c r="L1213" i="2"/>
  <c r="K1213" i="2"/>
  <c r="C1213" i="2"/>
  <c r="R1212" i="2"/>
  <c r="U1212" i="2" s="1"/>
  <c r="M1212" i="2"/>
  <c r="K1212" i="2"/>
  <c r="C1212" i="2"/>
  <c r="V1211" i="2"/>
  <c r="R1211" i="2"/>
  <c r="U1211" i="2" s="1"/>
  <c r="M1211" i="2"/>
  <c r="K1211" i="2"/>
  <c r="C1211" i="2"/>
  <c r="R1210" i="2"/>
  <c r="U1210" i="2" s="1"/>
  <c r="K1210" i="2"/>
  <c r="C1210" i="2"/>
  <c r="R1209" i="2"/>
  <c r="U1209" i="2" s="1"/>
  <c r="K1209" i="2"/>
  <c r="C1209" i="2"/>
  <c r="V1208" i="2"/>
  <c r="R1208" i="2"/>
  <c r="U1208" i="2" s="1"/>
  <c r="M1208" i="2"/>
  <c r="L1208" i="2"/>
  <c r="K1208" i="2"/>
  <c r="C1208" i="2"/>
  <c r="V1207" i="2"/>
  <c r="R1207" i="2"/>
  <c r="U1207" i="2" s="1"/>
  <c r="W1207" i="2" s="1"/>
  <c r="M1207" i="2"/>
  <c r="L1207" i="2"/>
  <c r="C1207" i="2"/>
  <c r="V1206" i="2"/>
  <c r="R1206" i="2"/>
  <c r="U1206" i="2" s="1"/>
  <c r="K1206" i="2"/>
  <c r="C1206" i="2"/>
  <c r="V1205" i="2"/>
  <c r="R1205" i="2"/>
  <c r="U1205" i="2" s="1"/>
  <c r="W1205" i="2" s="1"/>
  <c r="M1205" i="2"/>
  <c r="L1205" i="2"/>
  <c r="C1205" i="2"/>
  <c r="V1204" i="2"/>
  <c r="R1204" i="2"/>
  <c r="U1204" i="2" s="1"/>
  <c r="K1204" i="2"/>
  <c r="L1204" i="2" s="1"/>
  <c r="C1204" i="2"/>
  <c r="V1203" i="2"/>
  <c r="R1203" i="2"/>
  <c r="U1203" i="2" s="1"/>
  <c r="M1203" i="2"/>
  <c r="L1203" i="2"/>
  <c r="K1203" i="2"/>
  <c r="C1203" i="2"/>
  <c r="R1202" i="2"/>
  <c r="U1202" i="2" s="1"/>
  <c r="M1202" i="2"/>
  <c r="K1202" i="2"/>
  <c r="L1202" i="2" s="1"/>
  <c r="C1202" i="2"/>
  <c r="R1201" i="2"/>
  <c r="U1201" i="2" s="1"/>
  <c r="M1201" i="2"/>
  <c r="K1201" i="2"/>
  <c r="V1201" i="2" s="1"/>
  <c r="C1201" i="2"/>
  <c r="R1200" i="2"/>
  <c r="U1200" i="2" s="1"/>
  <c r="K1200" i="2"/>
  <c r="C1200" i="2"/>
  <c r="V1199" i="2"/>
  <c r="R1199" i="2"/>
  <c r="U1199" i="2" s="1"/>
  <c r="M1199" i="2"/>
  <c r="K1199" i="2"/>
  <c r="C1199" i="2"/>
  <c r="V1198" i="2"/>
  <c r="R1198" i="2"/>
  <c r="U1198" i="2" s="1"/>
  <c r="W1198" i="2" s="1"/>
  <c r="M1198" i="2"/>
  <c r="L1198" i="2"/>
  <c r="K1198" i="2"/>
  <c r="C1198" i="2"/>
  <c r="V1197" i="2"/>
  <c r="R1197" i="2"/>
  <c r="U1197" i="2" s="1"/>
  <c r="M1197" i="2"/>
  <c r="L1197" i="2"/>
  <c r="K1197" i="2"/>
  <c r="C1197" i="2"/>
  <c r="P1196" i="2" a="1"/>
  <c r="P1196" i="2" s="1"/>
  <c r="E1196" i="2"/>
  <c r="U1194" i="2"/>
  <c r="C1194" i="2"/>
  <c r="U1193" i="2"/>
  <c r="F1193" i="2"/>
  <c r="C1193" i="2"/>
  <c r="U1191" i="2"/>
  <c r="K1191" i="2"/>
  <c r="F1191" i="2"/>
  <c r="C1191" i="2"/>
  <c r="U1190" i="2"/>
  <c r="M1190" i="2"/>
  <c r="F1190" i="2"/>
  <c r="K1190" i="2" s="1"/>
  <c r="L1190" i="2" s="1"/>
  <c r="C1190" i="2"/>
  <c r="AI1188" i="2"/>
  <c r="U1188" i="2"/>
  <c r="F1188" i="2"/>
  <c r="K1188" i="2" s="1"/>
  <c r="C1188" i="2"/>
  <c r="AI1187" i="2"/>
  <c r="U1187" i="2"/>
  <c r="K1187" i="2"/>
  <c r="F1187" i="2"/>
  <c r="C1187" i="2"/>
  <c r="AI1185" i="2"/>
  <c r="U1185" i="2"/>
  <c r="M1185" i="2"/>
  <c r="K1185" i="2"/>
  <c r="F1185" i="2"/>
  <c r="C1185" i="2"/>
  <c r="AI1184" i="2"/>
  <c r="U1184" i="2"/>
  <c r="K1184" i="2"/>
  <c r="F1184" i="2"/>
  <c r="C1184" i="2"/>
  <c r="AI1182" i="2"/>
  <c r="U1182" i="2"/>
  <c r="M1182" i="2"/>
  <c r="L1182" i="2"/>
  <c r="K1182" i="2"/>
  <c r="C1182" i="2"/>
  <c r="U1181" i="2"/>
  <c r="M1181" i="2"/>
  <c r="K1181" i="2"/>
  <c r="F1181" i="2"/>
  <c r="F1182" i="2" s="1"/>
  <c r="C1181" i="2"/>
  <c r="U1179" i="2"/>
  <c r="C1179" i="2"/>
  <c r="U1178" i="2"/>
  <c r="K1178" i="2"/>
  <c r="F1178" i="2"/>
  <c r="F1179" i="2" s="1"/>
  <c r="K1179" i="2" s="1"/>
  <c r="C1178" i="2"/>
  <c r="U1176" i="2"/>
  <c r="C1176" i="2"/>
  <c r="U1175" i="2"/>
  <c r="F1175" i="2"/>
  <c r="C1175" i="2"/>
  <c r="U1173" i="2"/>
  <c r="C1173" i="2"/>
  <c r="U1172" i="2"/>
  <c r="K1172" i="2"/>
  <c r="F1172" i="2"/>
  <c r="F1173" i="2" s="1"/>
  <c r="K1173" i="2" s="1"/>
  <c r="C1172" i="2"/>
  <c r="U1170" i="2"/>
  <c r="C1170" i="2"/>
  <c r="AI1169" i="2"/>
  <c r="V1169" i="2"/>
  <c r="U1169" i="2"/>
  <c r="M1169" i="2"/>
  <c r="K1169" i="2"/>
  <c r="F1169" i="2"/>
  <c r="F1170" i="2" s="1"/>
  <c r="K1170" i="2" s="1"/>
  <c r="C1169" i="2"/>
  <c r="U1167" i="2"/>
  <c r="C1167" i="2"/>
  <c r="AI1166" i="2"/>
  <c r="U1166" i="2"/>
  <c r="M1166" i="2"/>
  <c r="L1166" i="2"/>
  <c r="F1166" i="2"/>
  <c r="K1166" i="2" s="1"/>
  <c r="V1166" i="2" s="1"/>
  <c r="C1166" i="2"/>
  <c r="AI1164" i="2"/>
  <c r="V1164" i="2"/>
  <c r="U1164" i="2"/>
  <c r="C1164" i="2"/>
  <c r="AI1163" i="2"/>
  <c r="V1163" i="2"/>
  <c r="U1163" i="2"/>
  <c r="K1163" i="2"/>
  <c r="M1163" i="2" s="1"/>
  <c r="F1163" i="2"/>
  <c r="F1164" i="2" s="1"/>
  <c r="K1164" i="2" s="1"/>
  <c r="C1163" i="2"/>
  <c r="U1161" i="2"/>
  <c r="C1161" i="2"/>
  <c r="V1160" i="2"/>
  <c r="U1160" i="2"/>
  <c r="W1160" i="2" s="1"/>
  <c r="F1160" i="2"/>
  <c r="K1160" i="2" s="1"/>
  <c r="C1160" i="2"/>
  <c r="U1158" i="2"/>
  <c r="F1158" i="2"/>
  <c r="K1158" i="2" s="1"/>
  <c r="C1158" i="2"/>
  <c r="V1157" i="2"/>
  <c r="U1157" i="2"/>
  <c r="W1157" i="2" s="1"/>
  <c r="L1157" i="2"/>
  <c r="F1157" i="2"/>
  <c r="K1157" i="2" s="1"/>
  <c r="M1157" i="2" s="1"/>
  <c r="C1157" i="2"/>
  <c r="U1155" i="2"/>
  <c r="C1155" i="2"/>
  <c r="AI1154" i="2"/>
  <c r="V1154" i="2"/>
  <c r="U1154" i="2"/>
  <c r="M1154" i="2"/>
  <c r="L1154" i="2"/>
  <c r="F1154" i="2"/>
  <c r="K1154" i="2" s="1"/>
  <c r="C1154" i="2"/>
  <c r="V1152" i="2"/>
  <c r="U1152" i="2"/>
  <c r="W1152" i="2" s="1"/>
  <c r="L1152" i="2"/>
  <c r="F1152" i="2"/>
  <c r="K1152" i="2" s="1"/>
  <c r="C1152" i="2"/>
  <c r="AI1151" i="2"/>
  <c r="U1151" i="2"/>
  <c r="L1151" i="2"/>
  <c r="F1151" i="2"/>
  <c r="K1151" i="2" s="1"/>
  <c r="C1151" i="2"/>
  <c r="R1149" i="2"/>
  <c r="U1149" i="2" s="1"/>
  <c r="M1149" i="2"/>
  <c r="L1149" i="2"/>
  <c r="K1149" i="2"/>
  <c r="C1149" i="2"/>
  <c r="V1148" i="2"/>
  <c r="R1148" i="2"/>
  <c r="U1148" i="2" s="1"/>
  <c r="L1148" i="2"/>
  <c r="K1148" i="2"/>
  <c r="C1148" i="2"/>
  <c r="V1147" i="2"/>
  <c r="R1147" i="2"/>
  <c r="U1147" i="2" s="1"/>
  <c r="L1147" i="2"/>
  <c r="K1147" i="2"/>
  <c r="M1147" i="2" s="1"/>
  <c r="C1147" i="2"/>
  <c r="V1146" i="2"/>
  <c r="R1146" i="2"/>
  <c r="U1146" i="2" s="1"/>
  <c r="W1146" i="2" s="1"/>
  <c r="M1146" i="2"/>
  <c r="L1146" i="2"/>
  <c r="K1146" i="2"/>
  <c r="C1146" i="2"/>
  <c r="V1145" i="2"/>
  <c r="R1145" i="2"/>
  <c r="U1145" i="2" s="1"/>
  <c r="K1145" i="2"/>
  <c r="C1145" i="2"/>
  <c r="V1144" i="2"/>
  <c r="R1144" i="2"/>
  <c r="U1144" i="2" s="1"/>
  <c r="M1144" i="2"/>
  <c r="L1144" i="2"/>
  <c r="K1144" i="2"/>
  <c r="C1144" i="2"/>
  <c r="AK1143" i="2"/>
  <c r="V1143" i="2"/>
  <c r="R1143" i="2"/>
  <c r="U1143" i="2" s="1"/>
  <c r="M1143" i="2"/>
  <c r="L1143" i="2"/>
  <c r="K1143" i="2"/>
  <c r="C1143" i="2"/>
  <c r="AK1142" i="2"/>
  <c r="V1142" i="2"/>
  <c r="R1142" i="2"/>
  <c r="U1142" i="2" s="1"/>
  <c r="M1142" i="2"/>
  <c r="L1142" i="2"/>
  <c r="K1142" i="2"/>
  <c r="C1142" i="2"/>
  <c r="AK1141" i="2"/>
  <c r="V1141" i="2"/>
  <c r="R1141" i="2"/>
  <c r="U1141" i="2" s="1"/>
  <c r="M1141" i="2"/>
  <c r="L1141" i="2"/>
  <c r="K1141" i="2"/>
  <c r="C1141" i="2"/>
  <c r="AK1140" i="2"/>
  <c r="V1140" i="2"/>
  <c r="R1140" i="2"/>
  <c r="U1140" i="2" s="1"/>
  <c r="M1140" i="2"/>
  <c r="L1140" i="2"/>
  <c r="K1140" i="2"/>
  <c r="C1140" i="2"/>
  <c r="AK1139" i="2"/>
  <c r="V1139" i="2"/>
  <c r="R1139" i="2"/>
  <c r="U1139" i="2" s="1"/>
  <c r="M1139" i="2"/>
  <c r="L1139" i="2"/>
  <c r="K1139" i="2"/>
  <c r="C1139" i="2"/>
  <c r="V1138" i="2"/>
  <c r="R1138" i="2"/>
  <c r="U1138" i="2" s="1"/>
  <c r="K1138" i="2"/>
  <c r="M1138" i="2" s="1"/>
  <c r="C1138" i="2"/>
  <c r="V1137" i="2"/>
  <c r="R1137" i="2"/>
  <c r="U1137" i="2" s="1"/>
  <c r="M1137" i="2"/>
  <c r="L1137" i="2"/>
  <c r="K1137" i="2"/>
  <c r="C1137" i="2"/>
  <c r="R1136" i="2"/>
  <c r="U1136" i="2" s="1"/>
  <c r="K1136" i="2"/>
  <c r="C1136" i="2"/>
  <c r="V1135" i="2"/>
  <c r="R1135" i="2"/>
  <c r="U1135" i="2" s="1"/>
  <c r="L1135" i="2"/>
  <c r="K1135" i="2"/>
  <c r="C1135" i="2"/>
  <c r="V1134" i="2"/>
  <c r="R1134" i="2"/>
  <c r="U1134" i="2" s="1"/>
  <c r="W1134" i="2" s="1"/>
  <c r="M1134" i="2"/>
  <c r="K1134" i="2"/>
  <c r="L1134" i="2" s="1"/>
  <c r="C1134" i="2"/>
  <c r="R1133" i="2"/>
  <c r="U1133" i="2" s="1"/>
  <c r="K1133" i="2"/>
  <c r="C1133" i="2"/>
  <c r="R1132" i="2"/>
  <c r="U1132" i="2" s="1"/>
  <c r="L1132" i="2"/>
  <c r="K1132" i="2"/>
  <c r="C1132" i="2"/>
  <c r="R1131" i="2"/>
  <c r="U1131" i="2" s="1"/>
  <c r="K1131" i="2"/>
  <c r="C1131" i="2"/>
  <c r="V1130" i="2"/>
  <c r="R1130" i="2"/>
  <c r="U1130" i="2" s="1"/>
  <c r="L1130" i="2"/>
  <c r="K1130" i="2"/>
  <c r="C1130" i="2"/>
  <c r="V1129" i="2"/>
  <c r="R1129" i="2"/>
  <c r="U1129" i="2" s="1"/>
  <c r="W1129" i="2" s="1"/>
  <c r="M1129" i="2"/>
  <c r="L1129" i="2"/>
  <c r="K1129" i="2"/>
  <c r="C1129" i="2"/>
  <c r="AK1128" i="2"/>
  <c r="V1128" i="2"/>
  <c r="R1128" i="2"/>
  <c r="U1128" i="2" s="1"/>
  <c r="W1128" i="2" s="1"/>
  <c r="L1128" i="2"/>
  <c r="K1128" i="2"/>
  <c r="M1128" i="2" s="1"/>
  <c r="C1128" i="2"/>
  <c r="AK1127" i="2"/>
  <c r="V1127" i="2"/>
  <c r="R1127" i="2"/>
  <c r="U1127" i="2" s="1"/>
  <c r="K1127" i="2"/>
  <c r="C1127" i="2"/>
  <c r="R1126" i="2"/>
  <c r="U1126" i="2" s="1"/>
  <c r="M1126" i="2"/>
  <c r="K1126" i="2"/>
  <c r="C1126" i="2"/>
  <c r="R1125" i="2"/>
  <c r="U1125" i="2" s="1"/>
  <c r="K1125" i="2"/>
  <c r="C1125" i="2"/>
  <c r="R1124" i="2"/>
  <c r="U1124" i="2" s="1"/>
  <c r="W1124" i="2" s="1"/>
  <c r="M1124" i="2"/>
  <c r="L1124" i="2"/>
  <c r="K1124" i="2"/>
  <c r="V1124" i="2" s="1"/>
  <c r="C1124" i="2"/>
  <c r="R1123" i="2"/>
  <c r="U1123" i="2" s="1"/>
  <c r="C1123" i="2"/>
  <c r="AK1122" i="2"/>
  <c r="R1122" i="2"/>
  <c r="U1122" i="2" s="1"/>
  <c r="W1122" i="2" s="1"/>
  <c r="M1122" i="2"/>
  <c r="L1122" i="2"/>
  <c r="K1122" i="2"/>
  <c r="V1122" i="2" s="1"/>
  <c r="C1122" i="2"/>
  <c r="AK1121" i="2"/>
  <c r="R1121" i="2"/>
  <c r="U1121" i="2" s="1"/>
  <c r="M1121" i="2"/>
  <c r="L1121" i="2"/>
  <c r="K1121" i="2"/>
  <c r="V1121" i="2" s="1"/>
  <c r="C1121" i="2"/>
  <c r="V1120" i="2"/>
  <c r="R1120" i="2"/>
  <c r="U1120" i="2" s="1"/>
  <c r="L1120" i="2"/>
  <c r="K1120" i="2"/>
  <c r="AK1120" i="2" s="1"/>
  <c r="C1120" i="2"/>
  <c r="R1119" i="2"/>
  <c r="U1119" i="2" s="1"/>
  <c r="K1119" i="2"/>
  <c r="C1119" i="2"/>
  <c r="P1118" i="2" a="1"/>
  <c r="P1118" i="2" s="1"/>
  <c r="E1118" i="2"/>
  <c r="U1116" i="2"/>
  <c r="K1116" i="2"/>
  <c r="C1116" i="2"/>
  <c r="U1115" i="2"/>
  <c r="F1115" i="2"/>
  <c r="F1116" i="2" s="1"/>
  <c r="C1115" i="2"/>
  <c r="U1113" i="2"/>
  <c r="F1113" i="2"/>
  <c r="K1113" i="2" s="1"/>
  <c r="AI1113" i="2" s="1"/>
  <c r="C1113" i="2"/>
  <c r="U1112" i="2"/>
  <c r="L1112" i="2"/>
  <c r="K1112" i="2"/>
  <c r="F1112" i="2"/>
  <c r="C1112" i="2"/>
  <c r="U1110" i="2"/>
  <c r="L1110" i="2"/>
  <c r="K1110" i="2"/>
  <c r="V1110" i="2" s="1"/>
  <c r="C1110" i="2"/>
  <c r="U1109" i="2"/>
  <c r="F1109" i="2"/>
  <c r="F1110" i="2" s="1"/>
  <c r="C1109" i="2"/>
  <c r="U1107" i="2"/>
  <c r="F1107" i="2"/>
  <c r="K1107" i="2" s="1"/>
  <c r="C1107" i="2"/>
  <c r="AI1106" i="2"/>
  <c r="V1106" i="2"/>
  <c r="U1106" i="2"/>
  <c r="M1106" i="2"/>
  <c r="L1106" i="2"/>
  <c r="K1106" i="2"/>
  <c r="F1106" i="2"/>
  <c r="C1106" i="2"/>
  <c r="AI1104" i="2"/>
  <c r="V1104" i="2"/>
  <c r="U1104" i="2"/>
  <c r="M1104" i="2"/>
  <c r="L1104" i="2"/>
  <c r="C1104" i="2"/>
  <c r="AI1103" i="2"/>
  <c r="V1103" i="2"/>
  <c r="U1103" i="2"/>
  <c r="M1103" i="2"/>
  <c r="L1103" i="2"/>
  <c r="F1103" i="2"/>
  <c r="F1104" i="2" s="1"/>
  <c r="C1103" i="2"/>
  <c r="AI1101" i="2"/>
  <c r="V1101" i="2"/>
  <c r="U1101" i="2"/>
  <c r="M1101" i="2"/>
  <c r="L1101" i="2"/>
  <c r="F1101" i="2"/>
  <c r="C1101" i="2"/>
  <c r="AI1100" i="2"/>
  <c r="V1100" i="2"/>
  <c r="U1100" i="2"/>
  <c r="W1100" i="2" s="1"/>
  <c r="M1100" i="2"/>
  <c r="L1100" i="2"/>
  <c r="F1100" i="2"/>
  <c r="C1100" i="2"/>
  <c r="V1098" i="2"/>
  <c r="U1098" i="2"/>
  <c r="W1098" i="2" s="1"/>
  <c r="M1098" i="2"/>
  <c r="L1098" i="2"/>
  <c r="C1098" i="2"/>
  <c r="AE1097" i="2"/>
  <c r="U1096" i="2"/>
  <c r="K1096" i="2"/>
  <c r="C1096" i="2"/>
  <c r="AK1095" i="2"/>
  <c r="V1095" i="2"/>
  <c r="U1095" i="2"/>
  <c r="W1095" i="2" s="1"/>
  <c r="M1095" i="2"/>
  <c r="L1095" i="2"/>
  <c r="C1095" i="2"/>
  <c r="AE1094" i="2"/>
  <c r="V1093" i="2"/>
  <c r="R1093" i="2"/>
  <c r="U1093" i="2" s="1"/>
  <c r="W1093" i="2" s="1"/>
  <c r="M1093" i="2"/>
  <c r="L1093" i="2"/>
  <c r="C1093" i="2"/>
  <c r="V1092" i="2"/>
  <c r="R1092" i="2"/>
  <c r="U1092" i="2" s="1"/>
  <c r="W1092" i="2" s="1"/>
  <c r="M1092" i="2"/>
  <c r="L1092" i="2"/>
  <c r="C1092" i="2"/>
  <c r="V1091" i="2"/>
  <c r="R1091" i="2"/>
  <c r="U1091" i="2" s="1"/>
  <c r="M1091" i="2"/>
  <c r="L1091" i="2"/>
  <c r="C1091" i="2"/>
  <c r="V1090" i="2"/>
  <c r="R1090" i="2"/>
  <c r="U1090" i="2" s="1"/>
  <c r="M1090" i="2"/>
  <c r="L1090" i="2"/>
  <c r="C1090" i="2"/>
  <c r="V1089" i="2"/>
  <c r="R1089" i="2"/>
  <c r="U1089" i="2" s="1"/>
  <c r="M1089" i="2"/>
  <c r="L1089" i="2"/>
  <c r="C1089" i="2"/>
  <c r="V1088" i="2"/>
  <c r="R1088" i="2"/>
  <c r="U1088" i="2" s="1"/>
  <c r="W1088" i="2" s="1"/>
  <c r="M1088" i="2"/>
  <c r="L1088" i="2"/>
  <c r="C1088" i="2"/>
  <c r="V1087" i="2"/>
  <c r="R1087" i="2"/>
  <c r="U1087" i="2" s="1"/>
  <c r="M1087" i="2"/>
  <c r="K1087" i="2"/>
  <c r="C1087" i="2"/>
  <c r="V1086" i="2"/>
  <c r="R1086" i="2"/>
  <c r="U1086" i="2" s="1"/>
  <c r="W1086" i="2" s="1"/>
  <c r="M1086" i="2"/>
  <c r="L1086" i="2"/>
  <c r="C1086" i="2"/>
  <c r="AE1085" i="2"/>
  <c r="V1084" i="2"/>
  <c r="R1084" i="2"/>
  <c r="U1084" i="2" s="1"/>
  <c r="W1084" i="2" s="1"/>
  <c r="M1084" i="2"/>
  <c r="L1084" i="2"/>
  <c r="C1084" i="2"/>
  <c r="V1083" i="2"/>
  <c r="R1083" i="2"/>
  <c r="U1083" i="2" s="1"/>
  <c r="W1083" i="2" s="1"/>
  <c r="M1083" i="2"/>
  <c r="L1083" i="2"/>
  <c r="C1083" i="2"/>
  <c r="V1082" i="2"/>
  <c r="R1082" i="2"/>
  <c r="U1082" i="2" s="1"/>
  <c r="M1082" i="2"/>
  <c r="L1082" i="2"/>
  <c r="C1082" i="2"/>
  <c r="V1081" i="2"/>
  <c r="R1081" i="2"/>
  <c r="U1081" i="2" s="1"/>
  <c r="M1081" i="2"/>
  <c r="L1081" i="2"/>
  <c r="C1081" i="2"/>
  <c r="V1080" i="2"/>
  <c r="R1080" i="2"/>
  <c r="U1080" i="2" s="1"/>
  <c r="W1080" i="2" s="1"/>
  <c r="L1080" i="2"/>
  <c r="K1080" i="2"/>
  <c r="C1080" i="2"/>
  <c r="V1079" i="2"/>
  <c r="R1079" i="2"/>
  <c r="U1079" i="2" s="1"/>
  <c r="W1079" i="2" s="1"/>
  <c r="M1079" i="2"/>
  <c r="L1079" i="2"/>
  <c r="C1079" i="2"/>
  <c r="AE1078" i="2"/>
  <c r="V1077" i="2"/>
  <c r="R1077" i="2"/>
  <c r="U1077" i="2" s="1"/>
  <c r="M1077" i="2"/>
  <c r="L1077" i="2"/>
  <c r="C1077" i="2"/>
  <c r="V1076" i="2"/>
  <c r="R1076" i="2"/>
  <c r="U1076" i="2" s="1"/>
  <c r="W1076" i="2" s="1"/>
  <c r="M1076" i="2"/>
  <c r="L1076" i="2"/>
  <c r="C1076" i="2"/>
  <c r="V1075" i="2"/>
  <c r="R1075" i="2"/>
  <c r="U1075" i="2" s="1"/>
  <c r="M1075" i="2"/>
  <c r="L1075" i="2"/>
  <c r="C1075" i="2"/>
  <c r="V1074" i="2"/>
  <c r="R1074" i="2"/>
  <c r="U1074" i="2" s="1"/>
  <c r="W1074" i="2" s="1"/>
  <c r="M1074" i="2"/>
  <c r="L1074" i="2"/>
  <c r="C1074" i="2"/>
  <c r="V1073" i="2"/>
  <c r="R1073" i="2"/>
  <c r="U1073" i="2" s="1"/>
  <c r="M1073" i="2"/>
  <c r="L1073" i="2"/>
  <c r="C1073" i="2"/>
  <c r="V1072" i="2"/>
  <c r="R1072" i="2"/>
  <c r="U1072" i="2" s="1"/>
  <c r="M1072" i="2"/>
  <c r="L1072" i="2"/>
  <c r="C1072" i="2"/>
  <c r="V1071" i="2"/>
  <c r="R1071" i="2"/>
  <c r="U1071" i="2" s="1"/>
  <c r="W1071" i="2" s="1"/>
  <c r="M1071" i="2"/>
  <c r="L1071" i="2"/>
  <c r="C1071" i="2"/>
  <c r="V1070" i="2"/>
  <c r="R1070" i="2"/>
  <c r="U1070" i="2" s="1"/>
  <c r="W1070" i="2" s="1"/>
  <c r="M1070" i="2"/>
  <c r="L1070" i="2"/>
  <c r="C1070" i="2"/>
  <c r="AQ1069" i="2"/>
  <c r="V1069" i="2"/>
  <c r="R1069" i="2"/>
  <c r="U1069" i="2" s="1"/>
  <c r="M1069" i="2"/>
  <c r="L1069" i="2"/>
  <c r="C1069" i="2"/>
  <c r="V1068" i="2"/>
  <c r="R1068" i="2"/>
  <c r="U1068" i="2" s="1"/>
  <c r="M1068" i="2"/>
  <c r="L1068" i="2"/>
  <c r="C1068" i="2"/>
  <c r="AQ1067" i="2"/>
  <c r="AK1067" i="2"/>
  <c r="V1067" i="2"/>
  <c r="R1067" i="2"/>
  <c r="U1067" i="2" s="1"/>
  <c r="M1067" i="2"/>
  <c r="L1067" i="2"/>
  <c r="C1067" i="2"/>
  <c r="AE1066" i="2"/>
  <c r="V1065" i="2"/>
  <c r="U1065" i="2"/>
  <c r="W1065" i="2" s="1"/>
  <c r="M1065" i="2"/>
  <c r="L1065" i="2"/>
  <c r="C1065" i="2"/>
  <c r="V1064" i="2"/>
  <c r="U1064" i="2"/>
  <c r="W1064" i="2" s="1"/>
  <c r="M1064" i="2"/>
  <c r="L1064" i="2"/>
  <c r="C1064" i="2"/>
  <c r="V1063" i="2"/>
  <c r="U1063" i="2"/>
  <c r="W1063" i="2" s="1"/>
  <c r="M1063" i="2"/>
  <c r="L1063" i="2"/>
  <c r="C1063" i="2"/>
  <c r="V1062" i="2"/>
  <c r="U1062" i="2"/>
  <c r="M1062" i="2"/>
  <c r="L1062" i="2"/>
  <c r="C1062" i="2"/>
  <c r="V1061" i="2"/>
  <c r="U1061" i="2"/>
  <c r="M1061" i="2"/>
  <c r="L1061" i="2"/>
  <c r="C1061" i="2"/>
  <c r="AE1060" i="2"/>
  <c r="V1059" i="2"/>
  <c r="R1059" i="2"/>
  <c r="U1059" i="2" s="1"/>
  <c r="W1059" i="2" s="1"/>
  <c r="M1059" i="2"/>
  <c r="L1059" i="2"/>
  <c r="C1059" i="2"/>
  <c r="V1058" i="2"/>
  <c r="R1058" i="2"/>
  <c r="U1058" i="2" s="1"/>
  <c r="W1058" i="2" s="1"/>
  <c r="M1058" i="2"/>
  <c r="L1058" i="2"/>
  <c r="C1058" i="2"/>
  <c r="V1057" i="2"/>
  <c r="R1057" i="2"/>
  <c r="U1057" i="2" s="1"/>
  <c r="M1057" i="2"/>
  <c r="L1057" i="2"/>
  <c r="C1057" i="2"/>
  <c r="V1056" i="2"/>
  <c r="R1056" i="2"/>
  <c r="U1056" i="2" s="1"/>
  <c r="M1056" i="2"/>
  <c r="L1056" i="2"/>
  <c r="C1056" i="2"/>
  <c r="V1055" i="2"/>
  <c r="R1055" i="2"/>
  <c r="U1055" i="2" s="1"/>
  <c r="M1055" i="2"/>
  <c r="L1055" i="2"/>
  <c r="C1055" i="2"/>
  <c r="V1054" i="2"/>
  <c r="R1054" i="2"/>
  <c r="U1054" i="2" s="1"/>
  <c r="K1054" i="2"/>
  <c r="C1054" i="2"/>
  <c r="V1053" i="2"/>
  <c r="R1053" i="2"/>
  <c r="U1053" i="2" s="1"/>
  <c r="W1053" i="2" s="1"/>
  <c r="M1053" i="2"/>
  <c r="L1053" i="2"/>
  <c r="C1053" i="2"/>
  <c r="AE1052" i="2"/>
  <c r="V1051" i="2"/>
  <c r="R1051" i="2"/>
  <c r="U1051" i="2" s="1"/>
  <c r="M1051" i="2"/>
  <c r="L1051" i="2"/>
  <c r="C1051" i="2"/>
  <c r="V1050" i="2"/>
  <c r="R1050" i="2"/>
  <c r="U1050" i="2" s="1"/>
  <c r="W1050" i="2" s="1"/>
  <c r="M1050" i="2"/>
  <c r="L1050" i="2"/>
  <c r="C1050" i="2"/>
  <c r="V1049" i="2"/>
  <c r="R1049" i="2"/>
  <c r="U1049" i="2" s="1"/>
  <c r="M1049" i="2"/>
  <c r="L1049" i="2"/>
  <c r="C1049" i="2"/>
  <c r="V1048" i="2"/>
  <c r="R1048" i="2"/>
  <c r="U1048" i="2" s="1"/>
  <c r="W1048" i="2" s="1"/>
  <c r="M1048" i="2"/>
  <c r="L1048" i="2"/>
  <c r="C1048" i="2"/>
  <c r="V1047" i="2"/>
  <c r="R1047" i="2"/>
  <c r="U1047" i="2" s="1"/>
  <c r="M1047" i="2"/>
  <c r="L1047" i="2"/>
  <c r="C1047" i="2"/>
  <c r="V1046" i="2"/>
  <c r="R1046" i="2"/>
  <c r="U1046" i="2" s="1"/>
  <c r="W1046" i="2" s="1"/>
  <c r="M1046" i="2"/>
  <c r="L1046" i="2"/>
  <c r="C1046" i="2"/>
  <c r="V1045" i="2"/>
  <c r="R1045" i="2"/>
  <c r="U1045" i="2" s="1"/>
  <c r="M1045" i="2"/>
  <c r="L1045" i="2"/>
  <c r="K1045" i="2"/>
  <c r="C1045" i="2"/>
  <c r="V1044" i="2"/>
  <c r="R1044" i="2"/>
  <c r="U1044" i="2" s="1"/>
  <c r="M1044" i="2"/>
  <c r="L1044" i="2"/>
  <c r="C1044" i="2"/>
  <c r="AE1043" i="2"/>
  <c r="V1042" i="2"/>
  <c r="R1042" i="2"/>
  <c r="U1042" i="2" s="1"/>
  <c r="M1042" i="2"/>
  <c r="L1042" i="2"/>
  <c r="C1042" i="2"/>
  <c r="V1041" i="2"/>
  <c r="R1041" i="2"/>
  <c r="U1041" i="2" s="1"/>
  <c r="W1041" i="2" s="1"/>
  <c r="M1041" i="2"/>
  <c r="L1041" i="2"/>
  <c r="C1041" i="2"/>
  <c r="V1040" i="2"/>
  <c r="R1040" i="2"/>
  <c r="U1040" i="2" s="1"/>
  <c r="W1040" i="2" s="1"/>
  <c r="M1040" i="2"/>
  <c r="L1040" i="2"/>
  <c r="C1040" i="2"/>
  <c r="V1039" i="2"/>
  <c r="R1039" i="2"/>
  <c r="U1039" i="2" s="1"/>
  <c r="M1039" i="2"/>
  <c r="L1039" i="2"/>
  <c r="C1039" i="2"/>
  <c r="V1038" i="2"/>
  <c r="R1038" i="2"/>
  <c r="U1038" i="2" s="1"/>
  <c r="W1038" i="2" s="1"/>
  <c r="M1038" i="2"/>
  <c r="L1038" i="2"/>
  <c r="C1038" i="2"/>
  <c r="R1037" i="2"/>
  <c r="U1037" i="2" s="1"/>
  <c r="M1037" i="2"/>
  <c r="L1037" i="2"/>
  <c r="K1037" i="2"/>
  <c r="C1037" i="2"/>
  <c r="AK1036" i="2"/>
  <c r="V1036" i="2"/>
  <c r="R1036" i="2"/>
  <c r="U1036" i="2" s="1"/>
  <c r="W1036" i="2" s="1"/>
  <c r="M1036" i="2"/>
  <c r="L1036" i="2"/>
  <c r="C1036" i="2"/>
  <c r="AE1035" i="2"/>
  <c r="AE1034" i="2"/>
  <c r="V1033" i="2"/>
  <c r="U1033" i="2"/>
  <c r="M1033" i="2"/>
  <c r="L1033" i="2"/>
  <c r="C1033" i="2"/>
  <c r="V1032" i="2"/>
  <c r="U1032" i="2"/>
  <c r="M1032" i="2"/>
  <c r="L1032" i="2"/>
  <c r="C1032" i="2"/>
  <c r="V1031" i="2"/>
  <c r="U1031" i="2"/>
  <c r="M1031" i="2"/>
  <c r="L1031" i="2"/>
  <c r="C1031" i="2"/>
  <c r="V1030" i="2"/>
  <c r="U1030" i="2"/>
  <c r="M1030" i="2"/>
  <c r="L1030" i="2"/>
  <c r="C1030" i="2"/>
  <c r="AE1029" i="2"/>
  <c r="R1028" i="2"/>
  <c r="U1028" i="2" s="1"/>
  <c r="L1028" i="2"/>
  <c r="K1028" i="2"/>
  <c r="M1028" i="2" s="1"/>
  <c r="F1028" i="2"/>
  <c r="C1028" i="2"/>
  <c r="V1027" i="2"/>
  <c r="R1027" i="2"/>
  <c r="U1027" i="2" s="1"/>
  <c r="M1027" i="2"/>
  <c r="L1027" i="2"/>
  <c r="C1027" i="2"/>
  <c r="V1026" i="2"/>
  <c r="R1026" i="2"/>
  <c r="U1026" i="2" s="1"/>
  <c r="M1026" i="2"/>
  <c r="L1026" i="2"/>
  <c r="C1026" i="2"/>
  <c r="V1025" i="2"/>
  <c r="R1025" i="2"/>
  <c r="U1025" i="2" s="1"/>
  <c r="W1025" i="2" s="1"/>
  <c r="M1025" i="2"/>
  <c r="L1025" i="2"/>
  <c r="C1025" i="2"/>
  <c r="V1024" i="2"/>
  <c r="R1024" i="2"/>
  <c r="U1024" i="2" s="1"/>
  <c r="K1024" i="2"/>
  <c r="C1024" i="2"/>
  <c r="V1023" i="2"/>
  <c r="R1023" i="2"/>
  <c r="U1023" i="2" s="1"/>
  <c r="W1023" i="2" s="1"/>
  <c r="M1023" i="2"/>
  <c r="L1023" i="2"/>
  <c r="C1023" i="2"/>
  <c r="V1022" i="2"/>
  <c r="R1022" i="2"/>
  <c r="U1022" i="2" s="1"/>
  <c r="M1022" i="2"/>
  <c r="K1022" i="2"/>
  <c r="L1022" i="2" s="1"/>
  <c r="C1022" i="2"/>
  <c r="V1021" i="2"/>
  <c r="R1021" i="2"/>
  <c r="U1021" i="2" s="1"/>
  <c r="M1021" i="2"/>
  <c r="L1021" i="2"/>
  <c r="C1021" i="2"/>
  <c r="AE1020" i="2"/>
  <c r="V1019" i="2"/>
  <c r="U1019" i="2"/>
  <c r="W1019" i="2" s="1"/>
  <c r="M1019" i="2"/>
  <c r="L1019" i="2"/>
  <c r="C1019" i="2"/>
  <c r="V1018" i="2"/>
  <c r="U1018" i="2"/>
  <c r="W1018" i="2" s="1"/>
  <c r="M1018" i="2"/>
  <c r="L1018" i="2"/>
  <c r="C1018" i="2"/>
  <c r="V1017" i="2"/>
  <c r="U1017" i="2"/>
  <c r="W1017" i="2" s="1"/>
  <c r="M1017" i="2"/>
  <c r="L1017" i="2"/>
  <c r="C1017" i="2"/>
  <c r="V1016" i="2"/>
  <c r="U1016" i="2"/>
  <c r="W1016" i="2" s="1"/>
  <c r="M1016" i="2"/>
  <c r="L1016" i="2"/>
  <c r="K1016" i="2"/>
  <c r="C1016" i="2"/>
  <c r="V1015" i="2"/>
  <c r="U1015" i="2"/>
  <c r="M1015" i="2"/>
  <c r="L1015" i="2"/>
  <c r="C1015" i="2"/>
  <c r="AE1014" i="2"/>
  <c r="V1013" i="2"/>
  <c r="R1013" i="2"/>
  <c r="U1013" i="2" s="1"/>
  <c r="M1013" i="2"/>
  <c r="L1013" i="2"/>
  <c r="C1013" i="2"/>
  <c r="V1012" i="2"/>
  <c r="R1012" i="2"/>
  <c r="U1012" i="2" s="1"/>
  <c r="M1012" i="2"/>
  <c r="L1012" i="2"/>
  <c r="C1012" i="2"/>
  <c r="V1011" i="2"/>
  <c r="R1011" i="2"/>
  <c r="U1011" i="2" s="1"/>
  <c r="M1011" i="2"/>
  <c r="L1011" i="2"/>
  <c r="C1011" i="2"/>
  <c r="V1010" i="2"/>
  <c r="R1010" i="2"/>
  <c r="U1010" i="2" s="1"/>
  <c r="W1010" i="2" s="1"/>
  <c r="M1010" i="2"/>
  <c r="L1010" i="2"/>
  <c r="C1010" i="2"/>
  <c r="V1009" i="2"/>
  <c r="R1009" i="2"/>
  <c r="U1009" i="2" s="1"/>
  <c r="M1009" i="2"/>
  <c r="K1009" i="2"/>
  <c r="L1009" i="2" s="1"/>
  <c r="C1009" i="2"/>
  <c r="AQ1008" i="2"/>
  <c r="AK1008" i="2"/>
  <c r="V1008" i="2"/>
  <c r="R1008" i="2"/>
  <c r="U1008" i="2" s="1"/>
  <c r="W1008" i="2" s="1"/>
  <c r="M1008" i="2"/>
  <c r="L1008" i="2"/>
  <c r="C1008" i="2"/>
  <c r="AE1007" i="2"/>
  <c r="V1006" i="2"/>
  <c r="R1006" i="2"/>
  <c r="U1006" i="2" s="1"/>
  <c r="M1006" i="2"/>
  <c r="L1006" i="2"/>
  <c r="C1006" i="2"/>
  <c r="V1005" i="2"/>
  <c r="R1005" i="2"/>
  <c r="U1005" i="2" s="1"/>
  <c r="M1005" i="2"/>
  <c r="L1005" i="2"/>
  <c r="C1005" i="2"/>
  <c r="V1004" i="2"/>
  <c r="R1004" i="2"/>
  <c r="U1004" i="2" s="1"/>
  <c r="W1004" i="2" s="1"/>
  <c r="M1004" i="2"/>
  <c r="L1004" i="2"/>
  <c r="C1004" i="2"/>
  <c r="V1003" i="2"/>
  <c r="R1003" i="2"/>
  <c r="U1003" i="2" s="1"/>
  <c r="M1003" i="2"/>
  <c r="L1003" i="2"/>
  <c r="C1003" i="2"/>
  <c r="V1002" i="2"/>
  <c r="R1002" i="2"/>
  <c r="U1002" i="2" s="1"/>
  <c r="M1002" i="2"/>
  <c r="L1002" i="2"/>
  <c r="C1002" i="2"/>
  <c r="AQ1001" i="2"/>
  <c r="AK1001" i="2"/>
  <c r="V1001" i="2"/>
  <c r="R1001" i="2"/>
  <c r="U1001" i="2" s="1"/>
  <c r="M1001" i="2"/>
  <c r="L1001" i="2"/>
  <c r="C1001" i="2"/>
  <c r="AE1000" i="2"/>
  <c r="V999" i="2"/>
  <c r="R999" i="2"/>
  <c r="U999" i="2" s="1"/>
  <c r="W999" i="2" s="1"/>
  <c r="M999" i="2"/>
  <c r="L999" i="2"/>
  <c r="C999" i="2"/>
  <c r="V998" i="2"/>
  <c r="R998" i="2"/>
  <c r="U998" i="2" s="1"/>
  <c r="M998" i="2"/>
  <c r="L998" i="2"/>
  <c r="C998" i="2"/>
  <c r="V997" i="2"/>
  <c r="R997" i="2"/>
  <c r="U997" i="2" s="1"/>
  <c r="M997" i="2"/>
  <c r="L997" i="2"/>
  <c r="C997" i="2"/>
  <c r="V996" i="2"/>
  <c r="R996" i="2"/>
  <c r="U996" i="2" s="1"/>
  <c r="M996" i="2"/>
  <c r="L996" i="2"/>
  <c r="C996" i="2"/>
  <c r="V995" i="2"/>
  <c r="R995" i="2"/>
  <c r="U995" i="2" s="1"/>
  <c r="M995" i="2"/>
  <c r="L995" i="2"/>
  <c r="C995" i="2"/>
  <c r="V994" i="2"/>
  <c r="R994" i="2"/>
  <c r="U994" i="2" s="1"/>
  <c r="M994" i="2"/>
  <c r="L994" i="2"/>
  <c r="C994" i="2"/>
  <c r="AQ993" i="2"/>
  <c r="AK993" i="2"/>
  <c r="V993" i="2"/>
  <c r="R993" i="2"/>
  <c r="U993" i="2" s="1"/>
  <c r="M993" i="2"/>
  <c r="L993" i="2"/>
  <c r="K993" i="2"/>
  <c r="C993" i="2"/>
  <c r="AQ992" i="2"/>
  <c r="AK992" i="2"/>
  <c r="V992" i="2"/>
  <c r="R992" i="2"/>
  <c r="U992" i="2" s="1"/>
  <c r="M992" i="2"/>
  <c r="L992" i="2"/>
  <c r="C992" i="2"/>
  <c r="AE991" i="2"/>
  <c r="AE990" i="2"/>
  <c r="R989" i="2"/>
  <c r="U989" i="2" s="1"/>
  <c r="L989" i="2"/>
  <c r="K989" i="2"/>
  <c r="M989" i="2" s="1"/>
  <c r="C989" i="2"/>
  <c r="V988" i="2"/>
  <c r="R988" i="2"/>
  <c r="U988" i="2" s="1"/>
  <c r="M988" i="2"/>
  <c r="L988" i="2"/>
  <c r="C988" i="2"/>
  <c r="V987" i="2"/>
  <c r="R987" i="2"/>
  <c r="U987" i="2" s="1"/>
  <c r="W987" i="2" s="1"/>
  <c r="M987" i="2"/>
  <c r="L987" i="2"/>
  <c r="C987" i="2"/>
  <c r="V986" i="2"/>
  <c r="R986" i="2"/>
  <c r="U986" i="2" s="1"/>
  <c r="W986" i="2" s="1"/>
  <c r="M986" i="2"/>
  <c r="L986" i="2"/>
  <c r="C986" i="2"/>
  <c r="V985" i="2"/>
  <c r="R985" i="2"/>
  <c r="U985" i="2" s="1"/>
  <c r="W985" i="2" s="1"/>
  <c r="M985" i="2"/>
  <c r="L985" i="2"/>
  <c r="C985" i="2"/>
  <c r="V984" i="2"/>
  <c r="R984" i="2"/>
  <c r="U984" i="2" s="1"/>
  <c r="L984" i="2"/>
  <c r="K984" i="2"/>
  <c r="C984" i="2"/>
  <c r="V983" i="2"/>
  <c r="R983" i="2"/>
  <c r="U983" i="2" s="1"/>
  <c r="W983" i="2" s="1"/>
  <c r="M983" i="2"/>
  <c r="L983" i="2"/>
  <c r="C983" i="2"/>
  <c r="AQ982" i="2"/>
  <c r="AK982" i="2"/>
  <c r="V982" i="2"/>
  <c r="R982" i="2"/>
  <c r="U982" i="2" s="1"/>
  <c r="W982" i="2" s="1"/>
  <c r="L982" i="2"/>
  <c r="K982" i="2"/>
  <c r="M982" i="2" s="1"/>
  <c r="C982" i="2"/>
  <c r="AQ981" i="2"/>
  <c r="AK981" i="2"/>
  <c r="V981" i="2"/>
  <c r="R981" i="2"/>
  <c r="U981" i="2" s="1"/>
  <c r="M981" i="2"/>
  <c r="L981" i="2"/>
  <c r="C981" i="2"/>
  <c r="R980" i="2"/>
  <c r="U980" i="2" s="1"/>
  <c r="M980" i="2"/>
  <c r="F980" i="2"/>
  <c r="K980" i="2" s="1"/>
  <c r="C980" i="2"/>
  <c r="V979" i="2"/>
  <c r="R979" i="2"/>
  <c r="U979" i="2" s="1"/>
  <c r="W979" i="2" s="1"/>
  <c r="M979" i="2"/>
  <c r="L979" i="2"/>
  <c r="C979" i="2"/>
  <c r="V978" i="2"/>
  <c r="R978" i="2"/>
  <c r="U978" i="2" s="1"/>
  <c r="M978" i="2"/>
  <c r="L978" i="2"/>
  <c r="C978" i="2"/>
  <c r="AE977" i="2"/>
  <c r="R976" i="2"/>
  <c r="U976" i="2" s="1"/>
  <c r="K976" i="2"/>
  <c r="V976" i="2" s="1"/>
  <c r="C976" i="2"/>
  <c r="V975" i="2"/>
  <c r="R975" i="2"/>
  <c r="U975" i="2" s="1"/>
  <c r="M975" i="2"/>
  <c r="L975" i="2"/>
  <c r="C975" i="2"/>
  <c r="V974" i="2"/>
  <c r="R974" i="2"/>
  <c r="U974" i="2" s="1"/>
  <c r="W974" i="2" s="1"/>
  <c r="M974" i="2"/>
  <c r="L974" i="2"/>
  <c r="C974" i="2"/>
  <c r="AK973" i="2"/>
  <c r="V973" i="2"/>
  <c r="R973" i="2"/>
  <c r="U973" i="2" s="1"/>
  <c r="W973" i="2" s="1"/>
  <c r="M973" i="2"/>
  <c r="L973" i="2"/>
  <c r="C973" i="2"/>
  <c r="V972" i="2"/>
  <c r="R972" i="2"/>
  <c r="U972" i="2" s="1"/>
  <c r="W972" i="2" s="1"/>
  <c r="M972" i="2"/>
  <c r="L972" i="2"/>
  <c r="C972" i="2"/>
  <c r="AK971" i="2"/>
  <c r="V971" i="2"/>
  <c r="R971" i="2"/>
  <c r="U971" i="2" s="1"/>
  <c r="M971" i="2"/>
  <c r="L971" i="2"/>
  <c r="C971" i="2"/>
  <c r="V970" i="2"/>
  <c r="R970" i="2"/>
  <c r="U970" i="2" s="1"/>
  <c r="W970" i="2" s="1"/>
  <c r="M970" i="2"/>
  <c r="K970" i="2"/>
  <c r="C970" i="2"/>
  <c r="AK969" i="2"/>
  <c r="V969" i="2"/>
  <c r="R969" i="2"/>
  <c r="U969" i="2" s="1"/>
  <c r="M969" i="2"/>
  <c r="L969" i="2"/>
  <c r="C969" i="2"/>
  <c r="R968" i="2"/>
  <c r="U968" i="2" s="1"/>
  <c r="K968" i="2"/>
  <c r="C968" i="2"/>
  <c r="AQ967" i="2"/>
  <c r="AK967" i="2"/>
  <c r="V967" i="2"/>
  <c r="R967" i="2"/>
  <c r="U967" i="2" s="1"/>
  <c r="W967" i="2" s="1"/>
  <c r="M967" i="2"/>
  <c r="L967" i="2"/>
  <c r="C967" i="2"/>
  <c r="R966" i="2"/>
  <c r="U966" i="2" s="1"/>
  <c r="K966" i="2"/>
  <c r="F966" i="2"/>
  <c r="C966" i="2"/>
  <c r="AK965" i="2"/>
  <c r="V965" i="2"/>
  <c r="R965" i="2"/>
  <c r="U965" i="2" s="1"/>
  <c r="M965" i="2"/>
  <c r="L965" i="2"/>
  <c r="C965" i="2"/>
  <c r="AK964" i="2"/>
  <c r="V964" i="2"/>
  <c r="R964" i="2"/>
  <c r="U964" i="2" s="1"/>
  <c r="W964" i="2" s="1"/>
  <c r="M964" i="2"/>
  <c r="L964" i="2"/>
  <c r="C964" i="2"/>
  <c r="AE963" i="2"/>
  <c r="AE962" i="2"/>
  <c r="P961" i="2" a="1"/>
  <c r="P961" i="2" s="1"/>
  <c r="E961" i="2"/>
  <c r="U959" i="2"/>
  <c r="C959" i="2"/>
  <c r="U958" i="2"/>
  <c r="K958" i="2"/>
  <c r="F958" i="2"/>
  <c r="F959" i="2" s="1"/>
  <c r="K959" i="2" s="1"/>
  <c r="C958" i="2"/>
  <c r="AI957" i="2"/>
  <c r="U956" i="2"/>
  <c r="C956" i="2"/>
  <c r="U955" i="2"/>
  <c r="F955" i="2"/>
  <c r="C955" i="2"/>
  <c r="U953" i="2"/>
  <c r="M953" i="2"/>
  <c r="C953" i="2"/>
  <c r="U952" i="2"/>
  <c r="F952" i="2"/>
  <c r="F953" i="2" s="1"/>
  <c r="K953" i="2" s="1"/>
  <c r="C952" i="2"/>
  <c r="U950" i="2"/>
  <c r="F950" i="2"/>
  <c r="K950" i="2" s="1"/>
  <c r="C950" i="2"/>
  <c r="V949" i="2"/>
  <c r="U949" i="2"/>
  <c r="K949" i="2"/>
  <c r="F949" i="2"/>
  <c r="C949" i="2"/>
  <c r="U947" i="2"/>
  <c r="C947" i="2"/>
  <c r="U946" i="2"/>
  <c r="F946" i="2"/>
  <c r="F947" i="2" s="1"/>
  <c r="K947" i="2" s="1"/>
  <c r="L947" i="2" s="1"/>
  <c r="C946" i="2"/>
  <c r="U944" i="2"/>
  <c r="F944" i="2"/>
  <c r="K944" i="2" s="1"/>
  <c r="V944" i="2" s="1"/>
  <c r="C944" i="2"/>
  <c r="U942" i="2"/>
  <c r="F942" i="2"/>
  <c r="K942" i="2" s="1"/>
  <c r="C942" i="2"/>
  <c r="U940" i="2"/>
  <c r="C940" i="2"/>
  <c r="U939" i="2"/>
  <c r="K939" i="2"/>
  <c r="F939" i="2"/>
  <c r="F940" i="2" s="1"/>
  <c r="K940" i="2" s="1"/>
  <c r="C939" i="2"/>
  <c r="U937" i="2"/>
  <c r="C937" i="2"/>
  <c r="U936" i="2"/>
  <c r="M936" i="2"/>
  <c r="K936" i="2"/>
  <c r="V936" i="2" s="1"/>
  <c r="F936" i="2"/>
  <c r="F937" i="2" s="1"/>
  <c r="K937" i="2" s="1"/>
  <c r="C936" i="2"/>
  <c r="R934" i="2"/>
  <c r="U934" i="2" s="1"/>
  <c r="K934" i="2"/>
  <c r="C934" i="2"/>
  <c r="R933" i="2"/>
  <c r="U933" i="2" s="1"/>
  <c r="K933" i="2"/>
  <c r="C933" i="2"/>
  <c r="R932" i="2"/>
  <c r="U932" i="2" s="1"/>
  <c r="K932" i="2"/>
  <c r="C932" i="2"/>
  <c r="R931" i="2"/>
  <c r="U931" i="2" s="1"/>
  <c r="K931" i="2"/>
  <c r="C931" i="2"/>
  <c r="R930" i="2"/>
  <c r="U930" i="2" s="1"/>
  <c r="K930" i="2"/>
  <c r="C930" i="2"/>
  <c r="R929" i="2"/>
  <c r="U929" i="2" s="1"/>
  <c r="K929" i="2"/>
  <c r="C929" i="2"/>
  <c r="V928" i="2"/>
  <c r="R928" i="2"/>
  <c r="U928" i="2" s="1"/>
  <c r="W928" i="2" s="1"/>
  <c r="M928" i="2"/>
  <c r="K928" i="2"/>
  <c r="L928" i="2" s="1"/>
  <c r="C928" i="2"/>
  <c r="R927" i="2"/>
  <c r="U927" i="2" s="1"/>
  <c r="K927" i="2"/>
  <c r="C927" i="2"/>
  <c r="V926" i="2"/>
  <c r="R926" i="2"/>
  <c r="U926" i="2" s="1"/>
  <c r="K926" i="2"/>
  <c r="C926" i="2"/>
  <c r="R925" i="2"/>
  <c r="U925" i="2" s="1"/>
  <c r="W925" i="2" s="1"/>
  <c r="M925" i="2"/>
  <c r="L925" i="2"/>
  <c r="K925" i="2"/>
  <c r="V925" i="2" s="1"/>
  <c r="C925" i="2"/>
  <c r="AK924" i="2"/>
  <c r="R924" i="2"/>
  <c r="U924" i="2" s="1"/>
  <c r="M924" i="2"/>
  <c r="L924" i="2"/>
  <c r="K924" i="2"/>
  <c r="V924" i="2" s="1"/>
  <c r="C924" i="2"/>
  <c r="R923" i="2"/>
  <c r="U923" i="2" s="1"/>
  <c r="K923" i="2"/>
  <c r="C923" i="2"/>
  <c r="V922" i="2"/>
  <c r="R922" i="2"/>
  <c r="U922" i="2" s="1"/>
  <c r="K922" i="2"/>
  <c r="C922" i="2"/>
  <c r="V921" i="2"/>
  <c r="R921" i="2"/>
  <c r="U921" i="2" s="1"/>
  <c r="W921" i="2" s="1"/>
  <c r="M921" i="2"/>
  <c r="L921" i="2"/>
  <c r="K921" i="2"/>
  <c r="C921" i="2"/>
  <c r="R920" i="2"/>
  <c r="U920" i="2" s="1"/>
  <c r="W920" i="2" s="1"/>
  <c r="M920" i="2"/>
  <c r="K920" i="2"/>
  <c r="V920" i="2" s="1"/>
  <c r="C920" i="2"/>
  <c r="V919" i="2"/>
  <c r="R919" i="2"/>
  <c r="U919" i="2" s="1"/>
  <c r="M919" i="2"/>
  <c r="K919" i="2"/>
  <c r="C919" i="2"/>
  <c r="V918" i="2"/>
  <c r="R918" i="2"/>
  <c r="U918" i="2" s="1"/>
  <c r="M918" i="2"/>
  <c r="L918" i="2"/>
  <c r="K918" i="2"/>
  <c r="C918" i="2"/>
  <c r="P917" i="2" a="1"/>
  <c r="P917" i="2" s="1"/>
  <c r="E917" i="2"/>
  <c r="V915" i="2"/>
  <c r="U915" i="2"/>
  <c r="F915" i="2"/>
  <c r="K915" i="2" s="1"/>
  <c r="C915" i="2"/>
  <c r="V914" i="2"/>
  <c r="U914" i="2"/>
  <c r="F914" i="2"/>
  <c r="K914" i="2" s="1"/>
  <c r="C914" i="2"/>
  <c r="U912" i="2"/>
  <c r="C912" i="2"/>
  <c r="U911" i="2"/>
  <c r="F911" i="2"/>
  <c r="K911" i="2" s="1"/>
  <c r="AI911" i="2" s="1"/>
  <c r="C911" i="2"/>
  <c r="V909" i="2"/>
  <c r="U909" i="2"/>
  <c r="L909" i="2"/>
  <c r="K909" i="2"/>
  <c r="AI909" i="2" s="1"/>
  <c r="C909" i="2"/>
  <c r="V908" i="2"/>
  <c r="U908" i="2"/>
  <c r="L908" i="2"/>
  <c r="K908" i="2"/>
  <c r="AI908" i="2" s="1"/>
  <c r="F908" i="2"/>
  <c r="F909" i="2" s="1"/>
  <c r="C908" i="2"/>
  <c r="U906" i="2"/>
  <c r="K906" i="2"/>
  <c r="C906" i="2"/>
  <c r="U905" i="2"/>
  <c r="K905" i="2"/>
  <c r="F905" i="2"/>
  <c r="F906" i="2" s="1"/>
  <c r="C905" i="2"/>
  <c r="U903" i="2"/>
  <c r="K903" i="2"/>
  <c r="F903" i="2"/>
  <c r="C903" i="2"/>
  <c r="U902" i="2"/>
  <c r="K902" i="2"/>
  <c r="F902" i="2"/>
  <c r="C902" i="2"/>
  <c r="V900" i="2"/>
  <c r="R900" i="2"/>
  <c r="U900" i="2" s="1"/>
  <c r="W900" i="2" s="1"/>
  <c r="K900" i="2"/>
  <c r="C900" i="2"/>
  <c r="V899" i="2"/>
  <c r="R899" i="2"/>
  <c r="U899" i="2" s="1"/>
  <c r="M899" i="2"/>
  <c r="L899" i="2"/>
  <c r="K899" i="2"/>
  <c r="C899" i="2"/>
  <c r="V898" i="2"/>
  <c r="R898" i="2"/>
  <c r="U898" i="2" s="1"/>
  <c r="W898" i="2" s="1"/>
  <c r="M898" i="2"/>
  <c r="K898" i="2"/>
  <c r="L898" i="2" s="1"/>
  <c r="C898" i="2"/>
  <c r="R897" i="2"/>
  <c r="U897" i="2" s="1"/>
  <c r="K897" i="2"/>
  <c r="V897" i="2" s="1"/>
  <c r="C897" i="2"/>
  <c r="V896" i="2"/>
  <c r="R896" i="2"/>
  <c r="U896" i="2" s="1"/>
  <c r="L896" i="2"/>
  <c r="K896" i="2"/>
  <c r="M896" i="2" s="1"/>
  <c r="C896" i="2"/>
  <c r="V895" i="2"/>
  <c r="R895" i="2"/>
  <c r="U895" i="2" s="1"/>
  <c r="M895" i="2"/>
  <c r="L895" i="2"/>
  <c r="K895" i="2"/>
  <c r="C895" i="2"/>
  <c r="R894" i="2"/>
  <c r="U894" i="2" s="1"/>
  <c r="M894" i="2"/>
  <c r="L894" i="2"/>
  <c r="K894" i="2"/>
  <c r="V894" i="2" s="1"/>
  <c r="C894" i="2"/>
  <c r="R893" i="2"/>
  <c r="U893" i="2" s="1"/>
  <c r="L893" i="2"/>
  <c r="K893" i="2"/>
  <c r="V893" i="2" s="1"/>
  <c r="C893" i="2"/>
  <c r="V892" i="2"/>
  <c r="R892" i="2"/>
  <c r="U892" i="2" s="1"/>
  <c r="M892" i="2"/>
  <c r="L892" i="2"/>
  <c r="K892" i="2"/>
  <c r="C892" i="2"/>
  <c r="V891" i="2"/>
  <c r="R891" i="2"/>
  <c r="U891" i="2" s="1"/>
  <c r="M891" i="2"/>
  <c r="L891" i="2"/>
  <c r="K891" i="2"/>
  <c r="C891" i="2"/>
  <c r="V890" i="2"/>
  <c r="R890" i="2"/>
  <c r="U890" i="2" s="1"/>
  <c r="W890" i="2" s="1"/>
  <c r="M890" i="2"/>
  <c r="L890" i="2"/>
  <c r="K890" i="2"/>
  <c r="C890" i="2"/>
  <c r="V889" i="2"/>
  <c r="R889" i="2"/>
  <c r="U889" i="2" s="1"/>
  <c r="W889" i="2" s="1"/>
  <c r="M889" i="2"/>
  <c r="L889" i="2"/>
  <c r="K889" i="2"/>
  <c r="C889" i="2"/>
  <c r="V888" i="2"/>
  <c r="R888" i="2"/>
  <c r="U888" i="2" s="1"/>
  <c r="M888" i="2"/>
  <c r="K888" i="2"/>
  <c r="C888" i="2"/>
  <c r="V887" i="2"/>
  <c r="R887" i="2"/>
  <c r="U887" i="2" s="1"/>
  <c r="L887" i="2"/>
  <c r="K887" i="2"/>
  <c r="C887" i="2"/>
  <c r="V886" i="2"/>
  <c r="R886" i="2"/>
  <c r="U886" i="2" s="1"/>
  <c r="W886" i="2" s="1"/>
  <c r="L886" i="2"/>
  <c r="K886" i="2"/>
  <c r="C886" i="2"/>
  <c r="V885" i="2"/>
  <c r="R885" i="2"/>
  <c r="U885" i="2" s="1"/>
  <c r="W885" i="2" s="1"/>
  <c r="M885" i="2"/>
  <c r="L885" i="2"/>
  <c r="K885" i="2"/>
  <c r="C885" i="2"/>
  <c r="V884" i="2"/>
  <c r="R884" i="2"/>
  <c r="U884" i="2" s="1"/>
  <c r="K884" i="2"/>
  <c r="M884" i="2" s="1"/>
  <c r="C884" i="2"/>
  <c r="V883" i="2"/>
  <c r="R883" i="2"/>
  <c r="U883" i="2" s="1"/>
  <c r="L883" i="2"/>
  <c r="K883" i="2"/>
  <c r="M883" i="2" s="1"/>
  <c r="C883" i="2"/>
  <c r="V882" i="2"/>
  <c r="R882" i="2"/>
  <c r="U882" i="2" s="1"/>
  <c r="W882" i="2" s="1"/>
  <c r="M882" i="2"/>
  <c r="L882" i="2"/>
  <c r="K882" i="2"/>
  <c r="C882" i="2"/>
  <c r="V881" i="2"/>
  <c r="R881" i="2"/>
  <c r="U881" i="2" s="1"/>
  <c r="W881" i="2" s="1"/>
  <c r="M881" i="2"/>
  <c r="L881" i="2"/>
  <c r="K881" i="2"/>
  <c r="C881" i="2"/>
  <c r="R880" i="2"/>
  <c r="U880" i="2" s="1"/>
  <c r="L880" i="2"/>
  <c r="K880" i="2"/>
  <c r="V880" i="2" s="1"/>
  <c r="C880" i="2"/>
  <c r="R879" i="2"/>
  <c r="U879" i="2" s="1"/>
  <c r="W879" i="2" s="1"/>
  <c r="M879" i="2"/>
  <c r="L879" i="2"/>
  <c r="K879" i="2"/>
  <c r="V879" i="2" s="1"/>
  <c r="C879" i="2"/>
  <c r="R878" i="2"/>
  <c r="U878" i="2" s="1"/>
  <c r="L878" i="2"/>
  <c r="K878" i="2"/>
  <c r="C878" i="2"/>
  <c r="V877" i="2"/>
  <c r="R877" i="2"/>
  <c r="U877" i="2" s="1"/>
  <c r="L877" i="2"/>
  <c r="K877" i="2"/>
  <c r="C877" i="2"/>
  <c r="R876" i="2"/>
  <c r="U876" i="2" s="1"/>
  <c r="K876" i="2"/>
  <c r="C876" i="2"/>
  <c r="V875" i="2"/>
  <c r="R875" i="2"/>
  <c r="U875" i="2" s="1"/>
  <c r="K875" i="2"/>
  <c r="M875" i="2" s="1"/>
  <c r="C875" i="2"/>
  <c r="V874" i="2"/>
  <c r="R874" i="2"/>
  <c r="U874" i="2" s="1"/>
  <c r="M874" i="2"/>
  <c r="L874" i="2"/>
  <c r="K874" i="2"/>
  <c r="C874" i="2"/>
  <c r="V873" i="2"/>
  <c r="R873" i="2"/>
  <c r="U873" i="2" s="1"/>
  <c r="W873" i="2" s="1"/>
  <c r="M873" i="2"/>
  <c r="L873" i="2"/>
  <c r="K873" i="2"/>
  <c r="C873" i="2"/>
  <c r="V872" i="2"/>
  <c r="R872" i="2"/>
  <c r="U872" i="2" s="1"/>
  <c r="K872" i="2"/>
  <c r="L872" i="2" s="1"/>
  <c r="C872" i="2"/>
  <c r="R871" i="2"/>
  <c r="U871" i="2" s="1"/>
  <c r="K871" i="2"/>
  <c r="M871" i="2" s="1"/>
  <c r="C871" i="2"/>
  <c r="V870" i="2"/>
  <c r="R870" i="2"/>
  <c r="U870" i="2" s="1"/>
  <c r="K870" i="2"/>
  <c r="C870" i="2"/>
  <c r="P869" i="2" a="1"/>
  <c r="P869" i="2" s="1"/>
  <c r="E869" i="2"/>
  <c r="U867" i="2"/>
  <c r="C867" i="2"/>
  <c r="U866" i="2"/>
  <c r="F866" i="2"/>
  <c r="F867" i="2" s="1"/>
  <c r="K867" i="2" s="1"/>
  <c r="C866" i="2"/>
  <c r="V864" i="2"/>
  <c r="R864" i="2"/>
  <c r="U864" i="2" s="1"/>
  <c r="W864" i="2" s="1"/>
  <c r="M864" i="2"/>
  <c r="L864" i="2"/>
  <c r="K864" i="2"/>
  <c r="C864" i="2"/>
  <c r="V863" i="2"/>
  <c r="R863" i="2"/>
  <c r="U863" i="2" s="1"/>
  <c r="W863" i="2" s="1"/>
  <c r="M863" i="2"/>
  <c r="K863" i="2"/>
  <c r="L863" i="2" s="1"/>
  <c r="C863" i="2"/>
  <c r="R862" i="2"/>
  <c r="U862" i="2" s="1"/>
  <c r="K862" i="2"/>
  <c r="V862" i="2" s="1"/>
  <c r="C862" i="2"/>
  <c r="R861" i="2"/>
  <c r="U861" i="2" s="1"/>
  <c r="M861" i="2"/>
  <c r="K861" i="2"/>
  <c r="C861" i="2"/>
  <c r="R860" i="2"/>
  <c r="U860" i="2" s="1"/>
  <c r="W860" i="2" s="1"/>
  <c r="M860" i="2"/>
  <c r="K860" i="2"/>
  <c r="V860" i="2" s="1"/>
  <c r="C860" i="2"/>
  <c r="V859" i="2"/>
  <c r="R859" i="2"/>
  <c r="U859" i="2" s="1"/>
  <c r="M859" i="2"/>
  <c r="L859" i="2"/>
  <c r="K859" i="2"/>
  <c r="C859" i="2"/>
  <c r="R858" i="2"/>
  <c r="U858" i="2" s="1"/>
  <c r="K858" i="2"/>
  <c r="C858" i="2"/>
  <c r="R857" i="2"/>
  <c r="U857" i="2" s="1"/>
  <c r="K857" i="2"/>
  <c r="V857" i="2" s="1"/>
  <c r="C857" i="2"/>
  <c r="R856" i="2"/>
  <c r="U856" i="2" s="1"/>
  <c r="M856" i="2"/>
  <c r="K856" i="2"/>
  <c r="V856" i="2" s="1"/>
  <c r="C856" i="2"/>
  <c r="V855" i="2"/>
  <c r="R855" i="2"/>
  <c r="U855" i="2" s="1"/>
  <c r="W855" i="2" s="1"/>
  <c r="L855" i="2"/>
  <c r="K855" i="2"/>
  <c r="C855" i="2"/>
  <c r="V854" i="2"/>
  <c r="R854" i="2"/>
  <c r="U854" i="2" s="1"/>
  <c r="M854" i="2"/>
  <c r="L854" i="2"/>
  <c r="K854" i="2"/>
  <c r="C854" i="2"/>
  <c r="R853" i="2"/>
  <c r="U853" i="2" s="1"/>
  <c r="K853" i="2"/>
  <c r="M853" i="2" s="1"/>
  <c r="C853" i="2"/>
  <c r="V852" i="2"/>
  <c r="R852" i="2"/>
  <c r="U852" i="2" s="1"/>
  <c r="M852" i="2"/>
  <c r="L852" i="2"/>
  <c r="K852" i="2"/>
  <c r="C852" i="2"/>
  <c r="V851" i="2"/>
  <c r="R851" i="2"/>
  <c r="U851" i="2" s="1"/>
  <c r="M851" i="2"/>
  <c r="L851" i="2"/>
  <c r="K851" i="2"/>
  <c r="C851" i="2"/>
  <c r="R850" i="2"/>
  <c r="U850" i="2" s="1"/>
  <c r="K850" i="2"/>
  <c r="C850" i="2"/>
  <c r="R849" i="2"/>
  <c r="U849" i="2" s="1"/>
  <c r="K849" i="2"/>
  <c r="C849" i="2"/>
  <c r="R848" i="2"/>
  <c r="U848" i="2" s="1"/>
  <c r="M848" i="2"/>
  <c r="K848" i="2"/>
  <c r="V848" i="2" s="1"/>
  <c r="C848" i="2"/>
  <c r="V847" i="2"/>
  <c r="R847" i="2"/>
  <c r="U847" i="2" s="1"/>
  <c r="W847" i="2" s="1"/>
  <c r="L847" i="2"/>
  <c r="K847" i="2"/>
  <c r="C847" i="2"/>
  <c r="V846" i="2"/>
  <c r="R846" i="2"/>
  <c r="U846" i="2" s="1"/>
  <c r="M846" i="2"/>
  <c r="L846" i="2"/>
  <c r="C846" i="2"/>
  <c r="V845" i="2"/>
  <c r="R845" i="2"/>
  <c r="U845" i="2" s="1"/>
  <c r="W845" i="2" s="1"/>
  <c r="M845" i="2"/>
  <c r="K845" i="2"/>
  <c r="L845" i="2" s="1"/>
  <c r="C845" i="2"/>
  <c r="R844" i="2"/>
  <c r="U844" i="2" s="1"/>
  <c r="K844" i="2"/>
  <c r="M844" i="2" s="1"/>
  <c r="C844" i="2"/>
  <c r="V843" i="2"/>
  <c r="R843" i="2"/>
  <c r="U843" i="2" s="1"/>
  <c r="M843" i="2"/>
  <c r="L843" i="2"/>
  <c r="K843" i="2"/>
  <c r="C843" i="2"/>
  <c r="AK842" i="2"/>
  <c r="V842" i="2"/>
  <c r="R842" i="2"/>
  <c r="U842" i="2" s="1"/>
  <c r="M842" i="2"/>
  <c r="L842" i="2"/>
  <c r="K842" i="2"/>
  <c r="C842" i="2"/>
  <c r="AK841" i="2"/>
  <c r="V841" i="2"/>
  <c r="R841" i="2"/>
  <c r="U841" i="2" s="1"/>
  <c r="M841" i="2"/>
  <c r="L841" i="2"/>
  <c r="K841" i="2"/>
  <c r="C841" i="2"/>
  <c r="AK840" i="2"/>
  <c r="V840" i="2"/>
  <c r="R840" i="2"/>
  <c r="U840" i="2" s="1"/>
  <c r="M840" i="2"/>
  <c r="L840" i="2"/>
  <c r="K840" i="2"/>
  <c r="C840" i="2"/>
  <c r="AK839" i="2"/>
  <c r="V839" i="2"/>
  <c r="R839" i="2"/>
  <c r="U839" i="2" s="1"/>
  <c r="M839" i="2"/>
  <c r="L839" i="2"/>
  <c r="K839" i="2"/>
  <c r="C839" i="2"/>
  <c r="AK838" i="2"/>
  <c r="V838" i="2"/>
  <c r="R838" i="2"/>
  <c r="U838" i="2" s="1"/>
  <c r="M838" i="2"/>
  <c r="L838" i="2"/>
  <c r="K838" i="2"/>
  <c r="C838" i="2"/>
  <c r="AK837" i="2"/>
  <c r="V837" i="2"/>
  <c r="R837" i="2"/>
  <c r="U837" i="2" s="1"/>
  <c r="M837" i="2"/>
  <c r="L837" i="2"/>
  <c r="K837" i="2"/>
  <c r="C837" i="2"/>
  <c r="AK836" i="2"/>
  <c r="V836" i="2"/>
  <c r="R836" i="2"/>
  <c r="U836" i="2" s="1"/>
  <c r="M836" i="2"/>
  <c r="L836" i="2"/>
  <c r="K836" i="2"/>
  <c r="C836" i="2"/>
  <c r="P835" i="2" a="1"/>
  <c r="P835" i="2" s="1"/>
  <c r="E835" i="2"/>
  <c r="U833" i="2"/>
  <c r="C833" i="2"/>
  <c r="U832" i="2"/>
  <c r="F832" i="2"/>
  <c r="K832" i="2" s="1"/>
  <c r="L832" i="2" s="1"/>
  <c r="C832" i="2"/>
  <c r="U830" i="2"/>
  <c r="C830" i="2"/>
  <c r="U829" i="2"/>
  <c r="M829" i="2"/>
  <c r="F829" i="2"/>
  <c r="K829" i="2" s="1"/>
  <c r="L829" i="2" s="1"/>
  <c r="C829" i="2"/>
  <c r="U827" i="2"/>
  <c r="C827" i="2"/>
  <c r="V826" i="2"/>
  <c r="U826" i="2"/>
  <c r="F826" i="2"/>
  <c r="K826" i="2" s="1"/>
  <c r="C826" i="2"/>
  <c r="U824" i="2"/>
  <c r="C824" i="2"/>
  <c r="U823" i="2"/>
  <c r="K823" i="2"/>
  <c r="F823" i="2"/>
  <c r="F824" i="2" s="1"/>
  <c r="K824" i="2" s="1"/>
  <c r="C823" i="2"/>
  <c r="U821" i="2"/>
  <c r="C821" i="2"/>
  <c r="V820" i="2"/>
  <c r="U820" i="2"/>
  <c r="F820" i="2"/>
  <c r="K820" i="2" s="1"/>
  <c r="AI820" i="2" s="1"/>
  <c r="C820" i="2"/>
  <c r="U818" i="2"/>
  <c r="K818" i="2"/>
  <c r="AI818" i="2" s="1"/>
  <c r="C818" i="2"/>
  <c r="U817" i="2"/>
  <c r="L817" i="2"/>
  <c r="K817" i="2"/>
  <c r="AI817" i="2" s="1"/>
  <c r="F817" i="2"/>
  <c r="F818" i="2" s="1"/>
  <c r="C817" i="2"/>
  <c r="U815" i="2"/>
  <c r="C815" i="2"/>
  <c r="U814" i="2"/>
  <c r="F814" i="2"/>
  <c r="F815" i="2" s="1"/>
  <c r="K815" i="2" s="1"/>
  <c r="C814" i="2"/>
  <c r="U812" i="2"/>
  <c r="C812" i="2"/>
  <c r="V811" i="2"/>
  <c r="U811" i="2"/>
  <c r="M811" i="2"/>
  <c r="K811" i="2"/>
  <c r="F811" i="2"/>
  <c r="F812" i="2" s="1"/>
  <c r="K812" i="2" s="1"/>
  <c r="C811" i="2"/>
  <c r="AI809" i="2"/>
  <c r="U809" i="2"/>
  <c r="M809" i="2"/>
  <c r="L809" i="2"/>
  <c r="K809" i="2"/>
  <c r="C809" i="2"/>
  <c r="U808" i="2"/>
  <c r="M808" i="2"/>
  <c r="K808" i="2"/>
  <c r="F808" i="2"/>
  <c r="F809" i="2" s="1"/>
  <c r="C808" i="2"/>
  <c r="U806" i="2"/>
  <c r="C806" i="2"/>
  <c r="V805" i="2"/>
  <c r="U805" i="2"/>
  <c r="W805" i="2" s="1"/>
  <c r="M805" i="2"/>
  <c r="L805" i="2"/>
  <c r="F805" i="2"/>
  <c r="K805" i="2" s="1"/>
  <c r="AI805" i="2" s="1"/>
  <c r="C805" i="2"/>
  <c r="U803" i="2"/>
  <c r="C803" i="2"/>
  <c r="U802" i="2"/>
  <c r="F802" i="2"/>
  <c r="K802" i="2" s="1"/>
  <c r="C802" i="2"/>
  <c r="U800" i="2"/>
  <c r="C800" i="2"/>
  <c r="U799" i="2"/>
  <c r="L799" i="2"/>
  <c r="K799" i="2"/>
  <c r="M799" i="2" s="1"/>
  <c r="F799" i="2"/>
  <c r="F800" i="2" s="1"/>
  <c r="K800" i="2" s="1"/>
  <c r="C799" i="2"/>
  <c r="U797" i="2"/>
  <c r="C797" i="2"/>
  <c r="U796" i="2"/>
  <c r="K796" i="2"/>
  <c r="F796" i="2"/>
  <c r="F797" i="2" s="1"/>
  <c r="K797" i="2" s="1"/>
  <c r="C796" i="2"/>
  <c r="U794" i="2"/>
  <c r="C794" i="2"/>
  <c r="U793" i="2"/>
  <c r="F793" i="2"/>
  <c r="C793" i="2"/>
  <c r="U791" i="2"/>
  <c r="F791" i="2"/>
  <c r="K791" i="2" s="1"/>
  <c r="C791" i="2"/>
  <c r="U790" i="2"/>
  <c r="F790" i="2"/>
  <c r="K790" i="2" s="1"/>
  <c r="C790" i="2"/>
  <c r="U788" i="2"/>
  <c r="F788" i="2"/>
  <c r="K788" i="2" s="1"/>
  <c r="C788" i="2"/>
  <c r="U787" i="2"/>
  <c r="F787" i="2"/>
  <c r="K787" i="2" s="1"/>
  <c r="C787" i="2"/>
  <c r="U785" i="2"/>
  <c r="C785" i="2"/>
  <c r="AI784" i="2"/>
  <c r="U784" i="2"/>
  <c r="M784" i="2"/>
  <c r="L784" i="2"/>
  <c r="K784" i="2"/>
  <c r="V784" i="2" s="1"/>
  <c r="F784" i="2"/>
  <c r="F785" i="2" s="1"/>
  <c r="K785" i="2" s="1"/>
  <c r="C784" i="2"/>
  <c r="U782" i="2"/>
  <c r="C782" i="2"/>
  <c r="U781" i="2"/>
  <c r="F781" i="2"/>
  <c r="K781" i="2" s="1"/>
  <c r="C781" i="2"/>
  <c r="U779" i="2"/>
  <c r="C779" i="2"/>
  <c r="AI778" i="2"/>
  <c r="U778" i="2"/>
  <c r="F778" i="2"/>
  <c r="K778" i="2" s="1"/>
  <c r="C778" i="2"/>
  <c r="V776" i="2"/>
  <c r="U776" i="2"/>
  <c r="K776" i="2"/>
  <c r="M776" i="2" s="1"/>
  <c r="F776" i="2"/>
  <c r="C776" i="2"/>
  <c r="U774" i="2"/>
  <c r="C774" i="2"/>
  <c r="U773" i="2"/>
  <c r="F773" i="2"/>
  <c r="K773" i="2" s="1"/>
  <c r="C773" i="2"/>
  <c r="V771" i="2"/>
  <c r="R771" i="2"/>
  <c r="U771" i="2" s="1"/>
  <c r="W771" i="2" s="1"/>
  <c r="K771" i="2"/>
  <c r="M771" i="2" s="1"/>
  <c r="C771" i="2"/>
  <c r="R770" i="2"/>
  <c r="U770" i="2" s="1"/>
  <c r="L770" i="2"/>
  <c r="K770" i="2"/>
  <c r="M770" i="2" s="1"/>
  <c r="C770" i="2"/>
  <c r="V769" i="2"/>
  <c r="R769" i="2"/>
  <c r="U769" i="2" s="1"/>
  <c r="W769" i="2" s="1"/>
  <c r="M769" i="2"/>
  <c r="L769" i="2"/>
  <c r="K769" i="2"/>
  <c r="C769" i="2"/>
  <c r="R768" i="2"/>
  <c r="U768" i="2" s="1"/>
  <c r="M768" i="2"/>
  <c r="L768" i="2"/>
  <c r="K768" i="2"/>
  <c r="V768" i="2" s="1"/>
  <c r="C768" i="2"/>
  <c r="V767" i="2"/>
  <c r="R767" i="2"/>
  <c r="U767" i="2" s="1"/>
  <c r="M767" i="2"/>
  <c r="L767" i="2"/>
  <c r="K767" i="2"/>
  <c r="C767" i="2"/>
  <c r="R766" i="2"/>
  <c r="U766" i="2" s="1"/>
  <c r="M766" i="2"/>
  <c r="L766" i="2"/>
  <c r="K766" i="2"/>
  <c r="V766" i="2" s="1"/>
  <c r="C766" i="2"/>
  <c r="R765" i="2"/>
  <c r="U765" i="2" s="1"/>
  <c r="M765" i="2"/>
  <c r="K765" i="2"/>
  <c r="C765" i="2"/>
  <c r="R764" i="2"/>
  <c r="U764" i="2" s="1"/>
  <c r="M764" i="2"/>
  <c r="K764" i="2"/>
  <c r="C764" i="2"/>
  <c r="R763" i="2"/>
  <c r="U763" i="2" s="1"/>
  <c r="K763" i="2"/>
  <c r="C763" i="2"/>
  <c r="R762" i="2"/>
  <c r="U762" i="2" s="1"/>
  <c r="M762" i="2"/>
  <c r="K762" i="2"/>
  <c r="C762" i="2"/>
  <c r="V761" i="2"/>
  <c r="R761" i="2"/>
  <c r="U761" i="2" s="1"/>
  <c r="M761" i="2"/>
  <c r="K761" i="2"/>
  <c r="C761" i="2"/>
  <c r="R760" i="2"/>
  <c r="U760" i="2" s="1"/>
  <c r="K760" i="2"/>
  <c r="V760" i="2" s="1"/>
  <c r="C760" i="2"/>
  <c r="V759" i="2"/>
  <c r="R759" i="2"/>
  <c r="U759" i="2" s="1"/>
  <c r="M759" i="2"/>
  <c r="L759" i="2"/>
  <c r="K759" i="2"/>
  <c r="C759" i="2"/>
  <c r="AK758" i="2"/>
  <c r="V758" i="2"/>
  <c r="R758" i="2"/>
  <c r="U758" i="2" s="1"/>
  <c r="W758" i="2" s="1"/>
  <c r="M758" i="2"/>
  <c r="L758" i="2"/>
  <c r="K758" i="2"/>
  <c r="C758" i="2"/>
  <c r="AK757" i="2"/>
  <c r="V757" i="2"/>
  <c r="R757" i="2"/>
  <c r="U757" i="2" s="1"/>
  <c r="M757" i="2"/>
  <c r="L757" i="2"/>
  <c r="K757" i="2"/>
  <c r="C757" i="2"/>
  <c r="V756" i="2"/>
  <c r="R756" i="2"/>
  <c r="U756" i="2" s="1"/>
  <c r="L756" i="2"/>
  <c r="K756" i="2"/>
  <c r="M756" i="2" s="1"/>
  <c r="C756" i="2"/>
  <c r="V755" i="2"/>
  <c r="R755" i="2"/>
  <c r="U755" i="2" s="1"/>
  <c r="M755" i="2"/>
  <c r="L755" i="2"/>
  <c r="K755" i="2"/>
  <c r="C755" i="2"/>
  <c r="AK754" i="2"/>
  <c r="V754" i="2"/>
  <c r="R754" i="2"/>
  <c r="U754" i="2" s="1"/>
  <c r="M754" i="2"/>
  <c r="L754" i="2"/>
  <c r="K754" i="2"/>
  <c r="C754" i="2"/>
  <c r="AK753" i="2"/>
  <c r="V753" i="2"/>
  <c r="R753" i="2"/>
  <c r="U753" i="2" s="1"/>
  <c r="M753" i="2"/>
  <c r="L753" i="2"/>
  <c r="K753" i="2"/>
  <c r="C753" i="2"/>
  <c r="AK752" i="2"/>
  <c r="V752" i="2"/>
  <c r="R752" i="2"/>
  <c r="U752" i="2" s="1"/>
  <c r="M752" i="2"/>
  <c r="L752" i="2"/>
  <c r="K752" i="2"/>
  <c r="C752" i="2"/>
  <c r="AK751" i="2"/>
  <c r="V751" i="2"/>
  <c r="R751" i="2"/>
  <c r="U751" i="2" s="1"/>
  <c r="M751" i="2"/>
  <c r="L751" i="2"/>
  <c r="K751" i="2"/>
  <c r="C751" i="2"/>
  <c r="AK750" i="2"/>
  <c r="V750" i="2"/>
  <c r="R750" i="2"/>
  <c r="U750" i="2" s="1"/>
  <c r="M750" i="2"/>
  <c r="L750" i="2"/>
  <c r="K750" i="2"/>
  <c r="C750" i="2"/>
  <c r="AK749" i="2"/>
  <c r="V749" i="2"/>
  <c r="R749" i="2"/>
  <c r="U749" i="2" s="1"/>
  <c r="M749" i="2"/>
  <c r="L749" i="2"/>
  <c r="K749" i="2"/>
  <c r="C749" i="2"/>
  <c r="AK748" i="2"/>
  <c r="V748" i="2"/>
  <c r="R748" i="2"/>
  <c r="U748" i="2" s="1"/>
  <c r="M748" i="2"/>
  <c r="L748" i="2"/>
  <c r="K748" i="2"/>
  <c r="C748" i="2"/>
  <c r="R747" i="2"/>
  <c r="U747" i="2" s="1"/>
  <c r="M747" i="2"/>
  <c r="K747" i="2"/>
  <c r="AK747" i="2" s="1"/>
  <c r="C747" i="2"/>
  <c r="AK746" i="2"/>
  <c r="R746" i="2"/>
  <c r="U746" i="2" s="1"/>
  <c r="K746" i="2"/>
  <c r="C746" i="2"/>
  <c r="P745" i="2" a="1"/>
  <c r="P745" i="2" s="1"/>
  <c r="E745" i="2"/>
  <c r="U743" i="2"/>
  <c r="C743" i="2"/>
  <c r="U742" i="2"/>
  <c r="F742" i="2"/>
  <c r="F743" i="2" s="1"/>
  <c r="K743" i="2" s="1"/>
  <c r="C742" i="2"/>
  <c r="U740" i="2"/>
  <c r="F740" i="2"/>
  <c r="K740" i="2" s="1"/>
  <c r="C740" i="2"/>
  <c r="U739" i="2"/>
  <c r="F739" i="2"/>
  <c r="K739" i="2" s="1"/>
  <c r="C739" i="2"/>
  <c r="U737" i="2"/>
  <c r="C737" i="2"/>
  <c r="U736" i="2"/>
  <c r="F736" i="2"/>
  <c r="F737" i="2" s="1"/>
  <c r="K737" i="2" s="1"/>
  <c r="C736" i="2"/>
  <c r="U734" i="2"/>
  <c r="F734" i="2"/>
  <c r="K734" i="2" s="1"/>
  <c r="C734" i="2"/>
  <c r="U733" i="2"/>
  <c r="F733" i="2"/>
  <c r="K733" i="2" s="1"/>
  <c r="C733" i="2"/>
  <c r="U731" i="2"/>
  <c r="M731" i="2"/>
  <c r="K731" i="2"/>
  <c r="F731" i="2"/>
  <c r="C731" i="2"/>
  <c r="A730" i="2"/>
  <c r="V729" i="2"/>
  <c r="R729" i="2"/>
  <c r="U729" i="2" s="1"/>
  <c r="M729" i="2"/>
  <c r="L729" i="2"/>
  <c r="K729" i="2"/>
  <c r="C729" i="2"/>
  <c r="R728" i="2"/>
  <c r="U728" i="2" s="1"/>
  <c r="K728" i="2"/>
  <c r="C728" i="2"/>
  <c r="V727" i="2"/>
  <c r="R727" i="2"/>
  <c r="U727" i="2" s="1"/>
  <c r="K727" i="2"/>
  <c r="C727" i="2"/>
  <c r="V726" i="2"/>
  <c r="R726" i="2"/>
  <c r="U726" i="2" s="1"/>
  <c r="L726" i="2"/>
  <c r="K726" i="2"/>
  <c r="M726" i="2" s="1"/>
  <c r="C726" i="2"/>
  <c r="V725" i="2"/>
  <c r="R725" i="2"/>
  <c r="U725" i="2" s="1"/>
  <c r="M725" i="2"/>
  <c r="L725" i="2"/>
  <c r="K725" i="2"/>
  <c r="C725" i="2"/>
  <c r="V724" i="2"/>
  <c r="R724" i="2"/>
  <c r="U724" i="2" s="1"/>
  <c r="W724" i="2" s="1"/>
  <c r="M724" i="2"/>
  <c r="L724" i="2"/>
  <c r="K724" i="2"/>
  <c r="C724" i="2"/>
  <c r="AK723" i="2"/>
  <c r="V723" i="2"/>
  <c r="R723" i="2"/>
  <c r="U723" i="2" s="1"/>
  <c r="W723" i="2" s="1"/>
  <c r="M723" i="2"/>
  <c r="L723" i="2"/>
  <c r="K723" i="2"/>
  <c r="C723" i="2"/>
  <c r="AK722" i="2"/>
  <c r="V722" i="2"/>
  <c r="R722" i="2"/>
  <c r="U722" i="2" s="1"/>
  <c r="W722" i="2" s="1"/>
  <c r="M722" i="2"/>
  <c r="L722" i="2"/>
  <c r="K722" i="2"/>
  <c r="C722" i="2"/>
  <c r="R721" i="2"/>
  <c r="U721" i="2" s="1"/>
  <c r="M721" i="2"/>
  <c r="L721" i="2"/>
  <c r="K721" i="2"/>
  <c r="V721" i="2" s="1"/>
  <c r="C721" i="2"/>
  <c r="P720" i="2" a="1"/>
  <c r="P720" i="2" s="1"/>
  <c r="E720" i="2"/>
  <c r="U718" i="2"/>
  <c r="C718" i="2"/>
  <c r="U717" i="2"/>
  <c r="F717" i="2"/>
  <c r="F718" i="2" s="1"/>
  <c r="C717" i="2"/>
  <c r="U715" i="2"/>
  <c r="C715" i="2"/>
  <c r="U714" i="2"/>
  <c r="F714" i="2"/>
  <c r="C714" i="2"/>
  <c r="U712" i="2"/>
  <c r="C712" i="2"/>
  <c r="U711" i="2"/>
  <c r="F711" i="2"/>
  <c r="C711" i="2"/>
  <c r="U709" i="2"/>
  <c r="C709" i="2"/>
  <c r="U708" i="2"/>
  <c r="F708" i="2"/>
  <c r="F709" i="2" s="1"/>
  <c r="C708" i="2"/>
  <c r="U706" i="2"/>
  <c r="F706" i="2"/>
  <c r="C706" i="2"/>
  <c r="U705" i="2"/>
  <c r="F705" i="2"/>
  <c r="C705" i="2"/>
  <c r="U703" i="2"/>
  <c r="C703" i="2"/>
  <c r="U702" i="2"/>
  <c r="F702" i="2"/>
  <c r="C702" i="2"/>
  <c r="U700" i="2"/>
  <c r="C700" i="2"/>
  <c r="U699" i="2"/>
  <c r="F699" i="2"/>
  <c r="F700" i="2" s="1"/>
  <c r="C699" i="2"/>
  <c r="U697" i="2"/>
  <c r="C697" i="2"/>
  <c r="U696" i="2"/>
  <c r="F696" i="2"/>
  <c r="F697" i="2" s="1"/>
  <c r="C696" i="2"/>
  <c r="U694" i="2"/>
  <c r="F694" i="2"/>
  <c r="C694" i="2"/>
  <c r="U693" i="2"/>
  <c r="F693" i="2"/>
  <c r="C693" i="2"/>
  <c r="U691" i="2"/>
  <c r="F691" i="2"/>
  <c r="C691" i="2"/>
  <c r="U690" i="2"/>
  <c r="F690" i="2"/>
  <c r="C690" i="2"/>
  <c r="U688" i="2"/>
  <c r="C688" i="2"/>
  <c r="U687" i="2"/>
  <c r="F687" i="2"/>
  <c r="F688" i="2" s="1"/>
  <c r="C687" i="2"/>
  <c r="U685" i="2"/>
  <c r="C685" i="2"/>
  <c r="U684" i="2"/>
  <c r="F684" i="2"/>
  <c r="F685" i="2" s="1"/>
  <c r="C684" i="2"/>
  <c r="V682" i="2"/>
  <c r="R682" i="2"/>
  <c r="U682" i="2" s="1"/>
  <c r="K682" i="2"/>
  <c r="M682" i="2" s="1"/>
  <c r="C682" i="2"/>
  <c r="R681" i="2"/>
  <c r="U681" i="2" s="1"/>
  <c r="K681" i="2"/>
  <c r="C681" i="2"/>
  <c r="R680" i="2"/>
  <c r="U680" i="2" s="1"/>
  <c r="K680" i="2"/>
  <c r="L680" i="2" s="1"/>
  <c r="C680" i="2"/>
  <c r="R679" i="2"/>
  <c r="U679" i="2" s="1"/>
  <c r="K679" i="2"/>
  <c r="L679" i="2" s="1"/>
  <c r="C679" i="2"/>
  <c r="R678" i="2"/>
  <c r="U678" i="2" s="1"/>
  <c r="K678" i="2"/>
  <c r="C678" i="2"/>
  <c r="R677" i="2"/>
  <c r="U677" i="2" s="1"/>
  <c r="K677" i="2"/>
  <c r="C677" i="2"/>
  <c r="R676" i="2"/>
  <c r="U676" i="2" s="1"/>
  <c r="C676" i="2"/>
  <c r="R675" i="2"/>
  <c r="U675" i="2" s="1"/>
  <c r="C675" i="2"/>
  <c r="R674" i="2"/>
  <c r="U674" i="2" s="1"/>
  <c r="K674" i="2"/>
  <c r="V674" i="2" s="1"/>
  <c r="C674" i="2"/>
  <c r="R673" i="2"/>
  <c r="U673" i="2" s="1"/>
  <c r="C673" i="2"/>
  <c r="R672" i="2"/>
  <c r="U672" i="2" s="1"/>
  <c r="C672" i="2"/>
  <c r="R671" i="2"/>
  <c r="U671" i="2" s="1"/>
  <c r="C671" i="2"/>
  <c r="V670" i="2"/>
  <c r="R670" i="2"/>
  <c r="U670" i="2" s="1"/>
  <c r="M670" i="2"/>
  <c r="K670" i="2"/>
  <c r="C670" i="2"/>
  <c r="R669" i="2"/>
  <c r="U669" i="2" s="1"/>
  <c r="C669" i="2"/>
  <c r="R668" i="2"/>
  <c r="U668" i="2" s="1"/>
  <c r="C668" i="2"/>
  <c r="R667" i="2"/>
  <c r="U667" i="2" s="1"/>
  <c r="C667" i="2"/>
  <c r="P666" i="2" a="1"/>
  <c r="P666" i="2" s="1"/>
  <c r="E666" i="2"/>
  <c r="U664" i="2"/>
  <c r="M664" i="2"/>
  <c r="K664" i="2"/>
  <c r="F664" i="2"/>
  <c r="C664" i="2"/>
  <c r="U663" i="2"/>
  <c r="K663" i="2"/>
  <c r="F663" i="2"/>
  <c r="C663" i="2"/>
  <c r="U661" i="2"/>
  <c r="K661" i="2"/>
  <c r="C661" i="2"/>
  <c r="U660" i="2"/>
  <c r="F660" i="2"/>
  <c r="F661" i="2" s="1"/>
  <c r="C660" i="2"/>
  <c r="U658" i="2"/>
  <c r="C658" i="2"/>
  <c r="V657" i="2"/>
  <c r="U657" i="2"/>
  <c r="M657" i="2"/>
  <c r="F657" i="2"/>
  <c r="K657" i="2" s="1"/>
  <c r="C657" i="2"/>
  <c r="V655" i="2"/>
  <c r="U655" i="2"/>
  <c r="M655" i="2"/>
  <c r="K655" i="2"/>
  <c r="AI655" i="2" s="1"/>
  <c r="C655" i="2"/>
  <c r="AI654" i="2"/>
  <c r="V654" i="2"/>
  <c r="U654" i="2"/>
  <c r="M654" i="2"/>
  <c r="K654" i="2"/>
  <c r="L654" i="2" s="1"/>
  <c r="F654" i="2"/>
  <c r="F655" i="2" s="1"/>
  <c r="C654" i="2"/>
  <c r="U652" i="2"/>
  <c r="C652" i="2"/>
  <c r="U651" i="2"/>
  <c r="F651" i="2"/>
  <c r="K651" i="2" s="1"/>
  <c r="C651" i="2"/>
  <c r="U649" i="2"/>
  <c r="C649" i="2"/>
  <c r="AI648" i="2"/>
  <c r="U648" i="2"/>
  <c r="K648" i="2"/>
  <c r="V648" i="2" s="1"/>
  <c r="F648" i="2"/>
  <c r="F649" i="2" s="1"/>
  <c r="K649" i="2" s="1"/>
  <c r="C648" i="2"/>
  <c r="U646" i="2"/>
  <c r="M646" i="2"/>
  <c r="K646" i="2"/>
  <c r="V646" i="2" s="1"/>
  <c r="F646" i="2"/>
  <c r="C646" i="2"/>
  <c r="U645" i="2"/>
  <c r="K645" i="2"/>
  <c r="V645" i="2" s="1"/>
  <c r="F645" i="2"/>
  <c r="C645" i="2"/>
  <c r="U643" i="2"/>
  <c r="C643" i="2"/>
  <c r="U642" i="2"/>
  <c r="M642" i="2"/>
  <c r="K642" i="2"/>
  <c r="V642" i="2" s="1"/>
  <c r="F642" i="2"/>
  <c r="F643" i="2" s="1"/>
  <c r="K643" i="2" s="1"/>
  <c r="C642" i="2"/>
  <c r="V640" i="2"/>
  <c r="U640" i="2"/>
  <c r="F640" i="2"/>
  <c r="K640" i="2" s="1"/>
  <c r="C640" i="2"/>
  <c r="U639" i="2"/>
  <c r="F639" i="2"/>
  <c r="K639" i="2" s="1"/>
  <c r="V639" i="2" s="1"/>
  <c r="C639" i="2"/>
  <c r="U637" i="2"/>
  <c r="C637" i="2"/>
  <c r="U636" i="2"/>
  <c r="K636" i="2"/>
  <c r="AI636" i="2" s="1"/>
  <c r="F636" i="2"/>
  <c r="F637" i="2" s="1"/>
  <c r="K637" i="2" s="1"/>
  <c r="C636" i="2"/>
  <c r="U634" i="2"/>
  <c r="K634" i="2"/>
  <c r="F634" i="2"/>
  <c r="C634" i="2"/>
  <c r="AI633" i="2"/>
  <c r="V633" i="2"/>
  <c r="U633" i="2"/>
  <c r="K633" i="2"/>
  <c r="M633" i="2" s="1"/>
  <c r="F633" i="2"/>
  <c r="C633" i="2"/>
  <c r="U631" i="2"/>
  <c r="C631" i="2"/>
  <c r="V630" i="2"/>
  <c r="U630" i="2"/>
  <c r="W630" i="2" s="1"/>
  <c r="M630" i="2"/>
  <c r="L630" i="2"/>
  <c r="F630" i="2"/>
  <c r="K630" i="2" s="1"/>
  <c r="AI630" i="2" s="1"/>
  <c r="C630" i="2"/>
  <c r="U628" i="2"/>
  <c r="C628" i="2"/>
  <c r="U627" i="2"/>
  <c r="F627" i="2"/>
  <c r="C627" i="2"/>
  <c r="U625" i="2"/>
  <c r="C625" i="2"/>
  <c r="U624" i="2"/>
  <c r="F624" i="2"/>
  <c r="F625" i="2" s="1"/>
  <c r="K625" i="2" s="1"/>
  <c r="C624" i="2"/>
  <c r="U622" i="2"/>
  <c r="L622" i="2"/>
  <c r="C622" i="2"/>
  <c r="U621" i="2"/>
  <c r="F621" i="2"/>
  <c r="F622" i="2" s="1"/>
  <c r="K622" i="2" s="1"/>
  <c r="C621" i="2"/>
  <c r="U619" i="2"/>
  <c r="C619" i="2"/>
  <c r="U618" i="2"/>
  <c r="K618" i="2"/>
  <c r="M618" i="2" s="1"/>
  <c r="F618" i="2"/>
  <c r="F619" i="2" s="1"/>
  <c r="K619" i="2" s="1"/>
  <c r="C618" i="2"/>
  <c r="V616" i="2"/>
  <c r="U616" i="2"/>
  <c r="L616" i="2"/>
  <c r="K616" i="2"/>
  <c r="F616" i="2"/>
  <c r="C616" i="2"/>
  <c r="U615" i="2"/>
  <c r="K615" i="2"/>
  <c r="F615" i="2"/>
  <c r="C615" i="2"/>
  <c r="U613" i="2"/>
  <c r="F613" i="2"/>
  <c r="K613" i="2" s="1"/>
  <c r="C613" i="2"/>
  <c r="U612" i="2"/>
  <c r="K612" i="2"/>
  <c r="AI612" i="2" s="1"/>
  <c r="F612" i="2"/>
  <c r="C612" i="2"/>
  <c r="U610" i="2"/>
  <c r="C610" i="2"/>
  <c r="U609" i="2"/>
  <c r="F609" i="2"/>
  <c r="K609" i="2" s="1"/>
  <c r="V609" i="2" s="1"/>
  <c r="C609" i="2"/>
  <c r="R607" i="2"/>
  <c r="U607" i="2" s="1"/>
  <c r="K607" i="2"/>
  <c r="C607" i="2"/>
  <c r="V606" i="2"/>
  <c r="R606" i="2"/>
  <c r="U606" i="2" s="1"/>
  <c r="M606" i="2"/>
  <c r="L606" i="2"/>
  <c r="K606" i="2"/>
  <c r="C606" i="2"/>
  <c r="V605" i="2"/>
  <c r="R605" i="2"/>
  <c r="U605" i="2" s="1"/>
  <c r="M605" i="2"/>
  <c r="L605" i="2"/>
  <c r="K605" i="2"/>
  <c r="C605" i="2"/>
  <c r="R604" i="2"/>
  <c r="U604" i="2" s="1"/>
  <c r="M604" i="2"/>
  <c r="K604" i="2"/>
  <c r="V604" i="2" s="1"/>
  <c r="C604" i="2"/>
  <c r="R603" i="2"/>
  <c r="U603" i="2" s="1"/>
  <c r="K603" i="2"/>
  <c r="V603" i="2" s="1"/>
  <c r="C603" i="2"/>
  <c r="V602" i="2"/>
  <c r="R602" i="2"/>
  <c r="U602" i="2" s="1"/>
  <c r="W602" i="2" s="1"/>
  <c r="M602" i="2"/>
  <c r="L602" i="2"/>
  <c r="K602" i="2"/>
  <c r="C602" i="2"/>
  <c r="V601" i="2"/>
  <c r="R601" i="2"/>
  <c r="U601" i="2" s="1"/>
  <c r="K601" i="2"/>
  <c r="M601" i="2" s="1"/>
  <c r="C601" i="2"/>
  <c r="R600" i="2"/>
  <c r="U600" i="2" s="1"/>
  <c r="M600" i="2"/>
  <c r="K600" i="2"/>
  <c r="V600" i="2" s="1"/>
  <c r="C600" i="2"/>
  <c r="R599" i="2"/>
  <c r="U599" i="2" s="1"/>
  <c r="K599" i="2"/>
  <c r="V599" i="2" s="1"/>
  <c r="C599" i="2"/>
  <c r="V598" i="2"/>
  <c r="R598" i="2"/>
  <c r="U598" i="2" s="1"/>
  <c r="M598" i="2"/>
  <c r="L598" i="2"/>
  <c r="K598" i="2"/>
  <c r="C598" i="2"/>
  <c r="V597" i="2"/>
  <c r="R597" i="2"/>
  <c r="U597" i="2" s="1"/>
  <c r="M597" i="2"/>
  <c r="L597" i="2"/>
  <c r="K597" i="2"/>
  <c r="C597" i="2"/>
  <c r="R596" i="2"/>
  <c r="U596" i="2" s="1"/>
  <c r="M596" i="2"/>
  <c r="L596" i="2"/>
  <c r="K596" i="2"/>
  <c r="V596" i="2" s="1"/>
  <c r="C596" i="2"/>
  <c r="V595" i="2"/>
  <c r="R595" i="2"/>
  <c r="U595" i="2" s="1"/>
  <c r="K595" i="2"/>
  <c r="C595" i="2"/>
  <c r="V594" i="2"/>
  <c r="R594" i="2"/>
  <c r="U594" i="2" s="1"/>
  <c r="M594" i="2"/>
  <c r="L594" i="2"/>
  <c r="K594" i="2"/>
  <c r="C594" i="2"/>
  <c r="R593" i="2"/>
  <c r="U593" i="2" s="1"/>
  <c r="K593" i="2"/>
  <c r="C593" i="2"/>
  <c r="R592" i="2"/>
  <c r="U592" i="2" s="1"/>
  <c r="K592" i="2"/>
  <c r="V592" i="2" s="1"/>
  <c r="C592" i="2"/>
  <c r="R591" i="2"/>
  <c r="U591" i="2" s="1"/>
  <c r="M591" i="2"/>
  <c r="K591" i="2"/>
  <c r="V591" i="2" s="1"/>
  <c r="C591" i="2"/>
  <c r="V590" i="2"/>
  <c r="R590" i="2"/>
  <c r="U590" i="2" s="1"/>
  <c r="K590" i="2"/>
  <c r="C590" i="2"/>
  <c r="V589" i="2"/>
  <c r="R589" i="2"/>
  <c r="U589" i="2" s="1"/>
  <c r="L589" i="2"/>
  <c r="K589" i="2"/>
  <c r="C589" i="2"/>
  <c r="R588" i="2"/>
  <c r="U588" i="2" s="1"/>
  <c r="M588" i="2"/>
  <c r="L588" i="2"/>
  <c r="K588" i="2"/>
  <c r="V588" i="2" s="1"/>
  <c r="C588" i="2"/>
  <c r="V587" i="2"/>
  <c r="R587" i="2"/>
  <c r="U587" i="2" s="1"/>
  <c r="K587" i="2"/>
  <c r="M587" i="2" s="1"/>
  <c r="C587" i="2"/>
  <c r="V586" i="2"/>
  <c r="R586" i="2"/>
  <c r="U586" i="2" s="1"/>
  <c r="M586" i="2"/>
  <c r="L586" i="2"/>
  <c r="K586" i="2"/>
  <c r="C586" i="2"/>
  <c r="V585" i="2"/>
  <c r="R585" i="2"/>
  <c r="U585" i="2" s="1"/>
  <c r="M585" i="2"/>
  <c r="L585" i="2"/>
  <c r="K585" i="2"/>
  <c r="C585" i="2"/>
  <c r="R584" i="2"/>
  <c r="U584" i="2" s="1"/>
  <c r="L584" i="2"/>
  <c r="K584" i="2"/>
  <c r="V584" i="2" s="1"/>
  <c r="C584" i="2"/>
  <c r="V583" i="2"/>
  <c r="R583" i="2"/>
  <c r="U583" i="2" s="1"/>
  <c r="M583" i="2"/>
  <c r="K583" i="2"/>
  <c r="L583" i="2" s="1"/>
  <c r="C583" i="2"/>
  <c r="V582" i="2"/>
  <c r="R582" i="2"/>
  <c r="U582" i="2" s="1"/>
  <c r="K582" i="2"/>
  <c r="C582" i="2"/>
  <c r="V581" i="2"/>
  <c r="R581" i="2"/>
  <c r="U581" i="2" s="1"/>
  <c r="L581" i="2"/>
  <c r="K581" i="2"/>
  <c r="C581" i="2"/>
  <c r="R580" i="2"/>
  <c r="U580" i="2" s="1"/>
  <c r="M580" i="2"/>
  <c r="L580" i="2"/>
  <c r="K580" i="2"/>
  <c r="V580" i="2" s="1"/>
  <c r="C580" i="2"/>
  <c r="R579" i="2"/>
  <c r="U579" i="2" s="1"/>
  <c r="K579" i="2"/>
  <c r="M579" i="2" s="1"/>
  <c r="C579" i="2"/>
  <c r="R578" i="2"/>
  <c r="U578" i="2" s="1"/>
  <c r="C578" i="2"/>
  <c r="V577" i="2"/>
  <c r="R577" i="2"/>
  <c r="U577" i="2" s="1"/>
  <c r="W577" i="2" s="1"/>
  <c r="M577" i="2"/>
  <c r="L577" i="2"/>
  <c r="K577" i="2"/>
  <c r="C577" i="2"/>
  <c r="R576" i="2"/>
  <c r="U576" i="2" s="1"/>
  <c r="L576" i="2"/>
  <c r="K576" i="2"/>
  <c r="V576" i="2" s="1"/>
  <c r="C576" i="2"/>
  <c r="V575" i="2"/>
  <c r="R575" i="2"/>
  <c r="U575" i="2" s="1"/>
  <c r="M575" i="2"/>
  <c r="K575" i="2"/>
  <c r="L575" i="2" s="1"/>
  <c r="C575" i="2"/>
  <c r="V574" i="2"/>
  <c r="R574" i="2"/>
  <c r="U574" i="2" s="1"/>
  <c r="K574" i="2"/>
  <c r="C574" i="2"/>
  <c r="V573" i="2"/>
  <c r="R573" i="2"/>
  <c r="U573" i="2" s="1"/>
  <c r="L573" i="2"/>
  <c r="K573" i="2"/>
  <c r="C573" i="2"/>
  <c r="R572" i="2"/>
  <c r="U572" i="2" s="1"/>
  <c r="M572" i="2"/>
  <c r="L572" i="2"/>
  <c r="K572" i="2"/>
  <c r="V572" i="2" s="1"/>
  <c r="C572" i="2"/>
  <c r="P571" i="2" a="1"/>
  <c r="P571" i="2" s="1"/>
  <c r="E571" i="2"/>
  <c r="U569" i="2"/>
  <c r="C569" i="2"/>
  <c r="V568" i="2"/>
  <c r="U568" i="2"/>
  <c r="W568" i="2" s="1"/>
  <c r="F568" i="2"/>
  <c r="K568" i="2" s="1"/>
  <c r="C568" i="2"/>
  <c r="U566" i="2"/>
  <c r="C566" i="2"/>
  <c r="U565" i="2"/>
  <c r="L565" i="2"/>
  <c r="F565" i="2"/>
  <c r="K565" i="2" s="1"/>
  <c r="C565" i="2"/>
  <c r="U563" i="2"/>
  <c r="C563" i="2"/>
  <c r="U562" i="2"/>
  <c r="F562" i="2"/>
  <c r="F563" i="2" s="1"/>
  <c r="K563" i="2" s="1"/>
  <c r="C562" i="2"/>
  <c r="V560" i="2"/>
  <c r="U560" i="2"/>
  <c r="L560" i="2"/>
  <c r="K560" i="2"/>
  <c r="C560" i="2"/>
  <c r="V559" i="2"/>
  <c r="U559" i="2"/>
  <c r="K559" i="2"/>
  <c r="F559" i="2"/>
  <c r="F560" i="2" s="1"/>
  <c r="C559" i="2"/>
  <c r="U557" i="2"/>
  <c r="F557" i="2"/>
  <c r="K557" i="2" s="1"/>
  <c r="C557" i="2"/>
  <c r="U556" i="2"/>
  <c r="F556" i="2"/>
  <c r="K556" i="2" s="1"/>
  <c r="C556" i="2"/>
  <c r="U554" i="2"/>
  <c r="F554" i="2"/>
  <c r="K554" i="2" s="1"/>
  <c r="C554" i="2"/>
  <c r="U553" i="2"/>
  <c r="K553" i="2"/>
  <c r="F553" i="2"/>
  <c r="C553" i="2"/>
  <c r="U551" i="2"/>
  <c r="C551" i="2"/>
  <c r="AI550" i="2"/>
  <c r="U550" i="2"/>
  <c r="M550" i="2"/>
  <c r="L550" i="2"/>
  <c r="K550" i="2"/>
  <c r="F550" i="2"/>
  <c r="F551" i="2" s="1"/>
  <c r="K551" i="2" s="1"/>
  <c r="C550" i="2"/>
  <c r="U548" i="2"/>
  <c r="K548" i="2"/>
  <c r="C548" i="2"/>
  <c r="AI547" i="2"/>
  <c r="U547" i="2"/>
  <c r="M547" i="2"/>
  <c r="K547" i="2"/>
  <c r="F547" i="2"/>
  <c r="F548" i="2" s="1"/>
  <c r="C547" i="2"/>
  <c r="U545" i="2"/>
  <c r="M545" i="2"/>
  <c r="K545" i="2"/>
  <c r="AI545" i="2" s="1"/>
  <c r="F545" i="2"/>
  <c r="C545" i="2"/>
  <c r="V544" i="2"/>
  <c r="U544" i="2"/>
  <c r="W544" i="2" s="1"/>
  <c r="M544" i="2"/>
  <c r="K544" i="2"/>
  <c r="AI544" i="2" s="1"/>
  <c r="F544" i="2"/>
  <c r="C544" i="2"/>
  <c r="AI542" i="2"/>
  <c r="U542" i="2"/>
  <c r="M542" i="2"/>
  <c r="F542" i="2"/>
  <c r="K542" i="2" s="1"/>
  <c r="C542" i="2"/>
  <c r="U541" i="2"/>
  <c r="F541" i="2"/>
  <c r="K541" i="2" s="1"/>
  <c r="C541" i="2"/>
  <c r="U539" i="2"/>
  <c r="K539" i="2"/>
  <c r="F539" i="2"/>
  <c r="C539" i="2"/>
  <c r="U538" i="2"/>
  <c r="F538" i="2"/>
  <c r="K538" i="2" s="1"/>
  <c r="C538" i="2"/>
  <c r="U536" i="2"/>
  <c r="C536" i="2"/>
  <c r="U535" i="2"/>
  <c r="F535" i="2"/>
  <c r="F536" i="2" s="1"/>
  <c r="K536" i="2" s="1"/>
  <c r="M536" i="2" s="1"/>
  <c r="C535" i="2"/>
  <c r="U533" i="2"/>
  <c r="F533" i="2"/>
  <c r="K533" i="2" s="1"/>
  <c r="C533" i="2"/>
  <c r="AI532" i="2"/>
  <c r="V532" i="2"/>
  <c r="U532" i="2"/>
  <c r="W532" i="2" s="1"/>
  <c r="M532" i="2"/>
  <c r="L532" i="2"/>
  <c r="K532" i="2"/>
  <c r="F532" i="2"/>
  <c r="C532" i="2"/>
  <c r="U530" i="2"/>
  <c r="C530" i="2"/>
  <c r="U529" i="2"/>
  <c r="F529" i="2"/>
  <c r="F530" i="2" s="1"/>
  <c r="K530" i="2" s="1"/>
  <c r="C529" i="2"/>
  <c r="U527" i="2"/>
  <c r="F527" i="2"/>
  <c r="K527" i="2" s="1"/>
  <c r="C527" i="2"/>
  <c r="AI526" i="2"/>
  <c r="V526" i="2"/>
  <c r="U526" i="2"/>
  <c r="L526" i="2"/>
  <c r="K526" i="2"/>
  <c r="F526" i="2"/>
  <c r="C526" i="2"/>
  <c r="U524" i="2"/>
  <c r="C524" i="2"/>
  <c r="U523" i="2"/>
  <c r="L523" i="2"/>
  <c r="K523" i="2"/>
  <c r="V523" i="2" s="1"/>
  <c r="F523" i="2"/>
  <c r="F524" i="2" s="1"/>
  <c r="K524" i="2" s="1"/>
  <c r="C523" i="2"/>
  <c r="U521" i="2"/>
  <c r="K521" i="2"/>
  <c r="F521" i="2"/>
  <c r="C521" i="2"/>
  <c r="U520" i="2"/>
  <c r="L520" i="2"/>
  <c r="K520" i="2"/>
  <c r="V520" i="2" s="1"/>
  <c r="F520" i="2"/>
  <c r="C520" i="2"/>
  <c r="U518" i="2"/>
  <c r="C518" i="2"/>
  <c r="U517" i="2"/>
  <c r="L517" i="2"/>
  <c r="F517" i="2"/>
  <c r="K517" i="2" s="1"/>
  <c r="C517" i="2"/>
  <c r="U515" i="2"/>
  <c r="C515" i="2"/>
  <c r="U514" i="2"/>
  <c r="F514" i="2"/>
  <c r="K514" i="2" s="1"/>
  <c r="C514" i="2"/>
  <c r="V512" i="2"/>
  <c r="R512" i="2"/>
  <c r="U512" i="2" s="1"/>
  <c r="K512" i="2"/>
  <c r="M512" i="2" s="1"/>
  <c r="C512" i="2"/>
  <c r="V511" i="2"/>
  <c r="R511" i="2"/>
  <c r="U511" i="2" s="1"/>
  <c r="M511" i="2"/>
  <c r="L511" i="2"/>
  <c r="K511" i="2"/>
  <c r="C511" i="2"/>
  <c r="R510" i="2"/>
  <c r="U510" i="2" s="1"/>
  <c r="K510" i="2"/>
  <c r="C510" i="2"/>
  <c r="V509" i="2"/>
  <c r="R509" i="2"/>
  <c r="U509" i="2" s="1"/>
  <c r="M509" i="2"/>
  <c r="L509" i="2"/>
  <c r="C509" i="2"/>
  <c r="V508" i="2"/>
  <c r="R508" i="2"/>
  <c r="U508" i="2" s="1"/>
  <c r="M508" i="2"/>
  <c r="L508" i="2"/>
  <c r="K508" i="2"/>
  <c r="C508" i="2"/>
  <c r="V507" i="2"/>
  <c r="R507" i="2"/>
  <c r="U507" i="2" s="1"/>
  <c r="M507" i="2"/>
  <c r="L507" i="2"/>
  <c r="K507" i="2"/>
  <c r="C507" i="2"/>
  <c r="R506" i="2"/>
  <c r="U506" i="2" s="1"/>
  <c r="L506" i="2"/>
  <c r="K506" i="2"/>
  <c r="M506" i="2" s="1"/>
  <c r="C506" i="2"/>
  <c r="V505" i="2"/>
  <c r="R505" i="2"/>
  <c r="U505" i="2" s="1"/>
  <c r="K505" i="2"/>
  <c r="M505" i="2" s="1"/>
  <c r="C505" i="2"/>
  <c r="V504" i="2"/>
  <c r="R504" i="2"/>
  <c r="U504" i="2" s="1"/>
  <c r="W504" i="2" s="1"/>
  <c r="M504" i="2"/>
  <c r="L504" i="2"/>
  <c r="C504" i="2"/>
  <c r="R503" i="2"/>
  <c r="U503" i="2" s="1"/>
  <c r="K503" i="2"/>
  <c r="C503" i="2"/>
  <c r="R502" i="2"/>
  <c r="U502" i="2" s="1"/>
  <c r="M502" i="2"/>
  <c r="K502" i="2"/>
  <c r="V502" i="2" s="1"/>
  <c r="C502" i="2"/>
  <c r="R501" i="2"/>
  <c r="U501" i="2" s="1"/>
  <c r="M501" i="2"/>
  <c r="K501" i="2"/>
  <c r="V501" i="2" s="1"/>
  <c r="C501" i="2"/>
  <c r="R500" i="2"/>
  <c r="U500" i="2" s="1"/>
  <c r="K500" i="2"/>
  <c r="C500" i="2"/>
  <c r="R499" i="2"/>
  <c r="U499" i="2" s="1"/>
  <c r="M499" i="2"/>
  <c r="L499" i="2"/>
  <c r="K499" i="2"/>
  <c r="K496" i="2" s="1"/>
  <c r="C499" i="2"/>
  <c r="R498" i="2"/>
  <c r="U498" i="2" s="1"/>
  <c r="K498" i="2"/>
  <c r="C498" i="2"/>
  <c r="V497" i="2"/>
  <c r="R497" i="2"/>
  <c r="U497" i="2" s="1"/>
  <c r="W497" i="2" s="1"/>
  <c r="K497" i="2"/>
  <c r="M497" i="2" s="1"/>
  <c r="C497" i="2"/>
  <c r="R496" i="2"/>
  <c r="U496" i="2" s="1"/>
  <c r="C496" i="2"/>
  <c r="R495" i="2"/>
  <c r="U495" i="2" s="1"/>
  <c r="K495" i="2"/>
  <c r="C495" i="2"/>
  <c r="P494" i="2" a="1"/>
  <c r="P494" i="2" s="1"/>
  <c r="E494" i="2"/>
  <c r="U492" i="2"/>
  <c r="C492" i="2"/>
  <c r="U491" i="2"/>
  <c r="F491" i="2"/>
  <c r="K491" i="2" s="1"/>
  <c r="C491" i="2"/>
  <c r="U489" i="2"/>
  <c r="C489" i="2"/>
  <c r="V488" i="2"/>
  <c r="U488" i="2"/>
  <c r="F488" i="2"/>
  <c r="K488" i="2" s="1"/>
  <c r="C488" i="2"/>
  <c r="U486" i="2"/>
  <c r="C486" i="2"/>
  <c r="U485" i="2"/>
  <c r="K485" i="2"/>
  <c r="F485" i="2"/>
  <c r="F486" i="2" s="1"/>
  <c r="K486" i="2" s="1"/>
  <c r="C485" i="2"/>
  <c r="U483" i="2"/>
  <c r="M483" i="2"/>
  <c r="C483" i="2"/>
  <c r="V482" i="2"/>
  <c r="U482" i="2"/>
  <c r="M482" i="2"/>
  <c r="L482" i="2"/>
  <c r="K482" i="2"/>
  <c r="F482" i="2"/>
  <c r="F483" i="2" s="1"/>
  <c r="K483" i="2" s="1"/>
  <c r="C482" i="2"/>
  <c r="R480" i="2"/>
  <c r="U480" i="2" s="1"/>
  <c r="K480" i="2"/>
  <c r="C480" i="2"/>
  <c r="R479" i="2"/>
  <c r="U479" i="2" s="1"/>
  <c r="M479" i="2"/>
  <c r="L479" i="2"/>
  <c r="K479" i="2"/>
  <c r="V479" i="2" s="1"/>
  <c r="C479" i="2"/>
  <c r="R478" i="2"/>
  <c r="U478" i="2" s="1"/>
  <c r="K478" i="2"/>
  <c r="C478" i="2"/>
  <c r="R477" i="2"/>
  <c r="U477" i="2" s="1"/>
  <c r="C477" i="2"/>
  <c r="V476" i="2"/>
  <c r="R476" i="2"/>
  <c r="U476" i="2" s="1"/>
  <c r="W476" i="2" s="1"/>
  <c r="M476" i="2"/>
  <c r="K476" i="2"/>
  <c r="L476" i="2" s="1"/>
  <c r="C476" i="2"/>
  <c r="R475" i="2"/>
  <c r="U475" i="2" s="1"/>
  <c r="K475" i="2"/>
  <c r="C475" i="2"/>
  <c r="R474" i="2"/>
  <c r="U474" i="2" s="1"/>
  <c r="M474" i="2"/>
  <c r="K474" i="2"/>
  <c r="V474" i="2" s="1"/>
  <c r="C474" i="2"/>
  <c r="R473" i="2"/>
  <c r="U473" i="2" s="1"/>
  <c r="K473" i="2"/>
  <c r="C473" i="2"/>
  <c r="R472" i="2"/>
  <c r="U472" i="2" s="1"/>
  <c r="K472" i="2"/>
  <c r="C472" i="2"/>
  <c r="R471" i="2"/>
  <c r="U471" i="2" s="1"/>
  <c r="C471" i="2"/>
  <c r="R470" i="2"/>
  <c r="U470" i="2" s="1"/>
  <c r="K470" i="2"/>
  <c r="C470" i="2"/>
  <c r="V469" i="2"/>
  <c r="R469" i="2"/>
  <c r="U469" i="2" s="1"/>
  <c r="K469" i="2"/>
  <c r="M469" i="2" s="1"/>
  <c r="C469" i="2"/>
  <c r="V468" i="2"/>
  <c r="R468" i="2"/>
  <c r="U468" i="2" s="1"/>
  <c r="L468" i="2"/>
  <c r="K468" i="2"/>
  <c r="M468" i="2" s="1"/>
  <c r="C468" i="2"/>
  <c r="V467" i="2"/>
  <c r="R467" i="2"/>
  <c r="U467" i="2" s="1"/>
  <c r="M467" i="2"/>
  <c r="K467" i="2"/>
  <c r="L467" i="2" s="1"/>
  <c r="C467" i="2"/>
  <c r="R466" i="2"/>
  <c r="U466" i="2" s="1"/>
  <c r="L466" i="2"/>
  <c r="K466" i="2"/>
  <c r="C466" i="2"/>
  <c r="AK465" i="2"/>
  <c r="R465" i="2"/>
  <c r="U465" i="2" s="1"/>
  <c r="L465" i="2"/>
  <c r="K465" i="2"/>
  <c r="C465" i="2"/>
  <c r="AK464" i="2"/>
  <c r="V464" i="2"/>
  <c r="R464" i="2"/>
  <c r="U464" i="2" s="1"/>
  <c r="M464" i="2"/>
  <c r="L464" i="2"/>
  <c r="K464" i="2"/>
  <c r="C464" i="2"/>
  <c r="AK463" i="2"/>
  <c r="V463" i="2"/>
  <c r="R463" i="2"/>
  <c r="U463" i="2" s="1"/>
  <c r="M463" i="2"/>
  <c r="L463" i="2"/>
  <c r="K463" i="2"/>
  <c r="C463" i="2"/>
  <c r="R462" i="2"/>
  <c r="U462" i="2" s="1"/>
  <c r="K462" i="2"/>
  <c r="C462" i="2"/>
  <c r="R461" i="2"/>
  <c r="U461" i="2" s="1"/>
  <c r="M461" i="2"/>
  <c r="L461" i="2"/>
  <c r="K461" i="2"/>
  <c r="V461" i="2" s="1"/>
  <c r="C461" i="2"/>
  <c r="AK460" i="2"/>
  <c r="R460" i="2"/>
  <c r="U460" i="2" s="1"/>
  <c r="M460" i="2"/>
  <c r="L460" i="2"/>
  <c r="K460" i="2"/>
  <c r="V460" i="2" s="1"/>
  <c r="C460" i="2"/>
  <c r="AK459" i="2"/>
  <c r="R459" i="2"/>
  <c r="U459" i="2" s="1"/>
  <c r="M459" i="2"/>
  <c r="L459" i="2"/>
  <c r="K459" i="2"/>
  <c r="V459" i="2" s="1"/>
  <c r="C459" i="2"/>
  <c r="AK458" i="2"/>
  <c r="R458" i="2"/>
  <c r="U458" i="2" s="1"/>
  <c r="M458" i="2"/>
  <c r="L458" i="2"/>
  <c r="K458" i="2"/>
  <c r="V458" i="2" s="1"/>
  <c r="C458" i="2"/>
  <c r="AK457" i="2"/>
  <c r="R457" i="2"/>
  <c r="U457" i="2" s="1"/>
  <c r="M457" i="2"/>
  <c r="L457" i="2"/>
  <c r="K457" i="2"/>
  <c r="V457" i="2" s="1"/>
  <c r="C457" i="2"/>
  <c r="AK456" i="2"/>
  <c r="R456" i="2"/>
  <c r="U456" i="2" s="1"/>
  <c r="M456" i="2"/>
  <c r="L456" i="2"/>
  <c r="K456" i="2"/>
  <c r="V456" i="2" s="1"/>
  <c r="C456" i="2"/>
  <c r="P455" i="2" a="1"/>
  <c r="P455" i="2" s="1"/>
  <c r="E455" i="2"/>
  <c r="AI453" i="2"/>
  <c r="U453" i="2"/>
  <c r="L453" i="2"/>
  <c r="K453" i="2"/>
  <c r="C453" i="2"/>
  <c r="AI452" i="2"/>
  <c r="U452" i="2"/>
  <c r="M452" i="2"/>
  <c r="L452" i="2"/>
  <c r="K452" i="2"/>
  <c r="V452" i="2" s="1"/>
  <c r="F452" i="2"/>
  <c r="F453" i="2" s="1"/>
  <c r="C452" i="2"/>
  <c r="AI450" i="2"/>
  <c r="U450" i="2"/>
  <c r="M450" i="2"/>
  <c r="K450" i="2"/>
  <c r="F450" i="2"/>
  <c r="C450" i="2"/>
  <c r="U449" i="2"/>
  <c r="K449" i="2"/>
  <c r="F449" i="2"/>
  <c r="C449" i="2"/>
  <c r="V447" i="2"/>
  <c r="U447" i="2"/>
  <c r="M447" i="2"/>
  <c r="K447" i="2"/>
  <c r="AI447" i="2" s="1"/>
  <c r="F447" i="2"/>
  <c r="C447" i="2"/>
  <c r="U445" i="2"/>
  <c r="C445" i="2"/>
  <c r="U444" i="2"/>
  <c r="K444" i="2"/>
  <c r="F444" i="2"/>
  <c r="F445" i="2" s="1"/>
  <c r="K445" i="2" s="1"/>
  <c r="C444" i="2"/>
  <c r="U442" i="2"/>
  <c r="C442" i="2"/>
  <c r="U441" i="2"/>
  <c r="K441" i="2"/>
  <c r="F441" i="2"/>
  <c r="F442" i="2" s="1"/>
  <c r="K442" i="2" s="1"/>
  <c r="C441" i="2"/>
  <c r="U439" i="2"/>
  <c r="L439" i="2"/>
  <c r="C439" i="2"/>
  <c r="U438" i="2"/>
  <c r="K438" i="2"/>
  <c r="F438" i="2"/>
  <c r="F439" i="2" s="1"/>
  <c r="K439" i="2" s="1"/>
  <c r="C438" i="2"/>
  <c r="V436" i="2"/>
  <c r="R436" i="2"/>
  <c r="U436" i="2" s="1"/>
  <c r="W436" i="2" s="1"/>
  <c r="M436" i="2"/>
  <c r="L436" i="2"/>
  <c r="K436" i="2"/>
  <c r="C436" i="2"/>
  <c r="V435" i="2"/>
  <c r="R435" i="2"/>
  <c r="U435" i="2" s="1"/>
  <c r="W435" i="2" s="1"/>
  <c r="L435" i="2"/>
  <c r="K435" i="2"/>
  <c r="C435" i="2"/>
  <c r="V434" i="2"/>
  <c r="R434" i="2"/>
  <c r="U434" i="2" s="1"/>
  <c r="M434" i="2"/>
  <c r="L434" i="2"/>
  <c r="K434" i="2"/>
  <c r="C434" i="2"/>
  <c r="V433" i="2"/>
  <c r="R433" i="2"/>
  <c r="U433" i="2" s="1"/>
  <c r="L433" i="2"/>
  <c r="K433" i="2"/>
  <c r="C433" i="2"/>
  <c r="V432" i="2"/>
  <c r="R432" i="2"/>
  <c r="U432" i="2" s="1"/>
  <c r="M432" i="2"/>
  <c r="L432" i="2"/>
  <c r="K432" i="2"/>
  <c r="C432" i="2"/>
  <c r="V431" i="2"/>
  <c r="R431" i="2"/>
  <c r="U431" i="2" s="1"/>
  <c r="M431" i="2"/>
  <c r="K431" i="2"/>
  <c r="L431" i="2" s="1"/>
  <c r="C431" i="2"/>
  <c r="V430" i="2"/>
  <c r="R430" i="2"/>
  <c r="U430" i="2" s="1"/>
  <c r="M430" i="2"/>
  <c r="L430" i="2"/>
  <c r="K430" i="2"/>
  <c r="C430" i="2"/>
  <c r="V429" i="2"/>
  <c r="R429" i="2"/>
  <c r="U429" i="2" s="1"/>
  <c r="K429" i="2"/>
  <c r="C429" i="2"/>
  <c r="V428" i="2"/>
  <c r="R428" i="2"/>
  <c r="U428" i="2" s="1"/>
  <c r="W428" i="2" s="1"/>
  <c r="M428" i="2"/>
  <c r="L428" i="2"/>
  <c r="K428" i="2"/>
  <c r="C428" i="2"/>
  <c r="V427" i="2"/>
  <c r="R427" i="2"/>
  <c r="U427" i="2" s="1"/>
  <c r="L427" i="2"/>
  <c r="K427" i="2"/>
  <c r="C427" i="2"/>
  <c r="V426" i="2"/>
  <c r="R426" i="2"/>
  <c r="U426" i="2" s="1"/>
  <c r="M426" i="2"/>
  <c r="L426" i="2"/>
  <c r="K426" i="2"/>
  <c r="C426" i="2"/>
  <c r="R425" i="2"/>
  <c r="U425" i="2" s="1"/>
  <c r="L425" i="2"/>
  <c r="K425" i="2"/>
  <c r="C425" i="2"/>
  <c r="V424" i="2"/>
  <c r="R424" i="2"/>
  <c r="U424" i="2" s="1"/>
  <c r="M424" i="2"/>
  <c r="L424" i="2"/>
  <c r="K424" i="2"/>
  <c r="C424" i="2"/>
  <c r="AE423" i="2"/>
  <c r="V422" i="2"/>
  <c r="R422" i="2"/>
  <c r="U422" i="2" s="1"/>
  <c r="M422" i="2"/>
  <c r="L422" i="2"/>
  <c r="K422" i="2"/>
  <c r="C422" i="2"/>
  <c r="V421" i="2"/>
  <c r="R421" i="2"/>
  <c r="U421" i="2" s="1"/>
  <c r="W421" i="2" s="1"/>
  <c r="M421" i="2"/>
  <c r="K421" i="2"/>
  <c r="L421" i="2" s="1"/>
  <c r="C421" i="2"/>
  <c r="V420" i="2"/>
  <c r="R420" i="2"/>
  <c r="U420" i="2" s="1"/>
  <c r="M420" i="2"/>
  <c r="L420" i="2"/>
  <c r="K420" i="2"/>
  <c r="C420" i="2"/>
  <c r="R419" i="2"/>
  <c r="U419" i="2" s="1"/>
  <c r="K419" i="2"/>
  <c r="M419" i="2" s="1"/>
  <c r="C419" i="2"/>
  <c r="V418" i="2"/>
  <c r="R418" i="2"/>
  <c r="U418" i="2" s="1"/>
  <c r="W418" i="2" s="1"/>
  <c r="M418" i="2"/>
  <c r="L418" i="2"/>
  <c r="K418" i="2"/>
  <c r="C418" i="2"/>
  <c r="V417" i="2"/>
  <c r="R417" i="2"/>
  <c r="U417" i="2" s="1"/>
  <c r="W417" i="2" s="1"/>
  <c r="L417" i="2"/>
  <c r="K417" i="2"/>
  <c r="C417" i="2"/>
  <c r="V416" i="2"/>
  <c r="R416" i="2"/>
  <c r="U416" i="2" s="1"/>
  <c r="M416" i="2"/>
  <c r="L416" i="2"/>
  <c r="K416" i="2"/>
  <c r="C416" i="2"/>
  <c r="V415" i="2"/>
  <c r="R415" i="2"/>
  <c r="U415" i="2" s="1"/>
  <c r="L415" i="2"/>
  <c r="K415" i="2"/>
  <c r="M415" i="2" s="1"/>
  <c r="C415" i="2"/>
  <c r="V414" i="2"/>
  <c r="R414" i="2"/>
  <c r="U414" i="2" s="1"/>
  <c r="M414" i="2"/>
  <c r="L414" i="2"/>
  <c r="K414" i="2"/>
  <c r="C414" i="2"/>
  <c r="V413" i="2"/>
  <c r="R413" i="2"/>
  <c r="U413" i="2" s="1"/>
  <c r="M413" i="2"/>
  <c r="K413" i="2"/>
  <c r="L413" i="2" s="1"/>
  <c r="C413" i="2"/>
  <c r="V412" i="2"/>
  <c r="R412" i="2"/>
  <c r="U412" i="2" s="1"/>
  <c r="M412" i="2"/>
  <c r="L412" i="2"/>
  <c r="K412" i="2"/>
  <c r="C412" i="2"/>
  <c r="V411" i="2"/>
  <c r="R411" i="2"/>
  <c r="U411" i="2" s="1"/>
  <c r="L411" i="2"/>
  <c r="K411" i="2"/>
  <c r="M411" i="2" s="1"/>
  <c r="C411" i="2"/>
  <c r="V410" i="2"/>
  <c r="R410" i="2"/>
  <c r="U410" i="2" s="1"/>
  <c r="W410" i="2" s="1"/>
  <c r="M410" i="2"/>
  <c r="L410" i="2"/>
  <c r="K410" i="2"/>
  <c r="C410" i="2"/>
  <c r="V409" i="2"/>
  <c r="R409" i="2"/>
  <c r="U409" i="2" s="1"/>
  <c r="W409" i="2" s="1"/>
  <c r="L409" i="2"/>
  <c r="K409" i="2"/>
  <c r="C409" i="2"/>
  <c r="V408" i="2"/>
  <c r="R408" i="2"/>
  <c r="U408" i="2" s="1"/>
  <c r="M408" i="2"/>
  <c r="L408" i="2"/>
  <c r="K408" i="2"/>
  <c r="C408" i="2"/>
  <c r="V407" i="2"/>
  <c r="R407" i="2"/>
  <c r="U407" i="2" s="1"/>
  <c r="K407" i="2"/>
  <c r="M407" i="2" s="1"/>
  <c r="C407" i="2"/>
  <c r="V406" i="2"/>
  <c r="R406" i="2"/>
  <c r="U406" i="2" s="1"/>
  <c r="M406" i="2"/>
  <c r="L406" i="2"/>
  <c r="K406" i="2"/>
  <c r="C406" i="2"/>
  <c r="V405" i="2"/>
  <c r="R405" i="2"/>
  <c r="U405" i="2" s="1"/>
  <c r="M405" i="2"/>
  <c r="K405" i="2"/>
  <c r="L405" i="2" s="1"/>
  <c r="C405" i="2"/>
  <c r="V404" i="2"/>
  <c r="R404" i="2"/>
  <c r="U404" i="2" s="1"/>
  <c r="M404" i="2"/>
  <c r="K404" i="2"/>
  <c r="C404" i="2"/>
  <c r="R403" i="2"/>
  <c r="U403" i="2" s="1"/>
  <c r="K403" i="2"/>
  <c r="C403" i="2"/>
  <c r="V402" i="2"/>
  <c r="R402" i="2"/>
  <c r="U402" i="2" s="1"/>
  <c r="W402" i="2" s="1"/>
  <c r="M402" i="2"/>
  <c r="L402" i="2"/>
  <c r="K402" i="2"/>
  <c r="C402" i="2"/>
  <c r="V401" i="2"/>
  <c r="R401" i="2"/>
  <c r="U401" i="2" s="1"/>
  <c r="M401" i="2"/>
  <c r="L401" i="2"/>
  <c r="K401" i="2"/>
  <c r="C401" i="2"/>
  <c r="V400" i="2"/>
  <c r="R400" i="2"/>
  <c r="U400" i="2" s="1"/>
  <c r="K400" i="2"/>
  <c r="C400" i="2"/>
  <c r="V399" i="2"/>
  <c r="R399" i="2"/>
  <c r="U399" i="2" s="1"/>
  <c r="L399" i="2"/>
  <c r="K399" i="2"/>
  <c r="M399" i="2" s="1"/>
  <c r="C399" i="2"/>
  <c r="V398" i="2"/>
  <c r="R398" i="2"/>
  <c r="U398" i="2" s="1"/>
  <c r="M398" i="2"/>
  <c r="L398" i="2"/>
  <c r="K398" i="2"/>
  <c r="C398" i="2"/>
  <c r="V397" i="2"/>
  <c r="R397" i="2"/>
  <c r="U397" i="2" s="1"/>
  <c r="W397" i="2" s="1"/>
  <c r="M397" i="2"/>
  <c r="K397" i="2"/>
  <c r="L397" i="2" s="1"/>
  <c r="C397" i="2"/>
  <c r="R396" i="2"/>
  <c r="U396" i="2" s="1"/>
  <c r="M396" i="2"/>
  <c r="K396" i="2"/>
  <c r="L396" i="2" s="1"/>
  <c r="C396" i="2"/>
  <c r="R395" i="2"/>
  <c r="U395" i="2" s="1"/>
  <c r="K395" i="2"/>
  <c r="C395" i="2"/>
  <c r="V394" i="2"/>
  <c r="R394" i="2"/>
  <c r="U394" i="2" s="1"/>
  <c r="K394" i="2"/>
  <c r="C394" i="2"/>
  <c r="V393" i="2"/>
  <c r="R393" i="2"/>
  <c r="U393" i="2" s="1"/>
  <c r="K393" i="2"/>
  <c r="M393" i="2" s="1"/>
  <c r="C393" i="2"/>
  <c r="R392" i="2"/>
  <c r="U392" i="2" s="1"/>
  <c r="M392" i="2"/>
  <c r="L392" i="2"/>
  <c r="K392" i="2"/>
  <c r="V392" i="2" s="1"/>
  <c r="C392" i="2"/>
  <c r="R391" i="2"/>
  <c r="U391" i="2" s="1"/>
  <c r="L391" i="2"/>
  <c r="K391" i="2"/>
  <c r="M391" i="2" s="1"/>
  <c r="C391" i="2"/>
  <c r="V390" i="2"/>
  <c r="R390" i="2"/>
  <c r="U390" i="2" s="1"/>
  <c r="M390" i="2"/>
  <c r="L390" i="2"/>
  <c r="K390" i="2"/>
  <c r="C390" i="2"/>
  <c r="R389" i="2"/>
  <c r="U389" i="2" s="1"/>
  <c r="C389" i="2"/>
  <c r="R388" i="2"/>
  <c r="U388" i="2" s="1"/>
  <c r="C388" i="2"/>
  <c r="R387" i="2"/>
  <c r="U387" i="2" s="1"/>
  <c r="K387" i="2"/>
  <c r="C387" i="2"/>
  <c r="R386" i="2"/>
  <c r="U386" i="2" s="1"/>
  <c r="K386" i="2"/>
  <c r="C386" i="2"/>
  <c r="V385" i="2"/>
  <c r="R385" i="2"/>
  <c r="U385" i="2" s="1"/>
  <c r="W385" i="2" s="1"/>
  <c r="M385" i="2"/>
  <c r="K385" i="2"/>
  <c r="C385" i="2"/>
  <c r="V384" i="2"/>
  <c r="R384" i="2"/>
  <c r="U384" i="2" s="1"/>
  <c r="W384" i="2" s="1"/>
  <c r="M384" i="2"/>
  <c r="L384" i="2"/>
  <c r="K384" i="2"/>
  <c r="C384" i="2"/>
  <c r="R383" i="2"/>
  <c r="U383" i="2" s="1"/>
  <c r="L383" i="2"/>
  <c r="K383" i="2"/>
  <c r="C383" i="2"/>
  <c r="AE382" i="2"/>
  <c r="R381" i="2"/>
  <c r="U381" i="2" s="1"/>
  <c r="K381" i="2"/>
  <c r="M381" i="2" s="1"/>
  <c r="C381" i="2"/>
  <c r="V380" i="2"/>
  <c r="R380" i="2"/>
  <c r="U380" i="2" s="1"/>
  <c r="M380" i="2"/>
  <c r="L380" i="2"/>
  <c r="K380" i="2"/>
  <c r="C380" i="2"/>
  <c r="V379" i="2"/>
  <c r="R379" i="2"/>
  <c r="U379" i="2" s="1"/>
  <c r="W379" i="2" s="1"/>
  <c r="M379" i="2"/>
  <c r="K379" i="2"/>
  <c r="L379" i="2" s="1"/>
  <c r="C379" i="2"/>
  <c r="V378" i="2"/>
  <c r="R378" i="2"/>
  <c r="U378" i="2" s="1"/>
  <c r="M378" i="2"/>
  <c r="L378" i="2"/>
  <c r="K378" i="2"/>
  <c r="C378" i="2"/>
  <c r="R377" i="2"/>
  <c r="U377" i="2" s="1"/>
  <c r="L377" i="2"/>
  <c r="K377" i="2"/>
  <c r="C377" i="2"/>
  <c r="R376" i="2"/>
  <c r="U376" i="2" s="1"/>
  <c r="M376" i="2"/>
  <c r="L376" i="2"/>
  <c r="K376" i="2"/>
  <c r="C376" i="2"/>
  <c r="V375" i="2"/>
  <c r="R375" i="2"/>
  <c r="U375" i="2" s="1"/>
  <c r="K375" i="2"/>
  <c r="C375" i="2"/>
  <c r="V374" i="2"/>
  <c r="R374" i="2"/>
  <c r="U374" i="2" s="1"/>
  <c r="K374" i="2"/>
  <c r="M374" i="2" s="1"/>
  <c r="C374" i="2"/>
  <c r="R373" i="2"/>
  <c r="U373" i="2" s="1"/>
  <c r="L373" i="2"/>
  <c r="K373" i="2"/>
  <c r="M373" i="2" s="1"/>
  <c r="C373" i="2"/>
  <c r="V372" i="2"/>
  <c r="R372" i="2"/>
  <c r="U372" i="2" s="1"/>
  <c r="W372" i="2" s="1"/>
  <c r="M372" i="2"/>
  <c r="L372" i="2"/>
  <c r="K372" i="2"/>
  <c r="C372" i="2"/>
  <c r="V371" i="2"/>
  <c r="R371" i="2"/>
  <c r="U371" i="2" s="1"/>
  <c r="M371" i="2"/>
  <c r="K371" i="2"/>
  <c r="C371" i="2"/>
  <c r="V370" i="2"/>
  <c r="R370" i="2"/>
  <c r="U370" i="2" s="1"/>
  <c r="M370" i="2"/>
  <c r="L370" i="2"/>
  <c r="K370" i="2"/>
  <c r="C370" i="2"/>
  <c r="V369" i="2"/>
  <c r="R369" i="2"/>
  <c r="U369" i="2" s="1"/>
  <c r="L369" i="2"/>
  <c r="K369" i="2"/>
  <c r="M369" i="2" s="1"/>
  <c r="C369" i="2"/>
  <c r="R368" i="2"/>
  <c r="U368" i="2" s="1"/>
  <c r="K368" i="2"/>
  <c r="C368" i="2"/>
  <c r="R367" i="2"/>
  <c r="U367" i="2" s="1"/>
  <c r="K367" i="2"/>
  <c r="C367" i="2"/>
  <c r="V366" i="2"/>
  <c r="R366" i="2"/>
  <c r="U366" i="2" s="1"/>
  <c r="W366" i="2" s="1"/>
  <c r="M366" i="2"/>
  <c r="K366" i="2"/>
  <c r="C366" i="2"/>
  <c r="V365" i="2"/>
  <c r="R365" i="2"/>
  <c r="U365" i="2" s="1"/>
  <c r="W365" i="2" s="1"/>
  <c r="L365" i="2"/>
  <c r="K365" i="2"/>
  <c r="M365" i="2" s="1"/>
  <c r="C365" i="2"/>
  <c r="V364" i="2"/>
  <c r="R364" i="2"/>
  <c r="U364" i="2" s="1"/>
  <c r="W364" i="2" s="1"/>
  <c r="M364" i="2"/>
  <c r="L364" i="2"/>
  <c r="K364" i="2"/>
  <c r="C364" i="2"/>
  <c r="V363" i="2"/>
  <c r="R363" i="2"/>
  <c r="U363" i="2" s="1"/>
  <c r="W363" i="2" s="1"/>
  <c r="M363" i="2"/>
  <c r="L363" i="2"/>
  <c r="K363" i="2"/>
  <c r="C363" i="2"/>
  <c r="V362" i="2"/>
  <c r="R362" i="2"/>
  <c r="U362" i="2" s="1"/>
  <c r="W362" i="2" s="1"/>
  <c r="M362" i="2"/>
  <c r="L362" i="2"/>
  <c r="K362" i="2"/>
  <c r="C362" i="2"/>
  <c r="R361" i="2"/>
  <c r="U361" i="2" s="1"/>
  <c r="M361" i="2"/>
  <c r="L361" i="2"/>
  <c r="K361" i="2"/>
  <c r="C361" i="2"/>
  <c r="R360" i="2"/>
  <c r="U360" i="2" s="1"/>
  <c r="M360" i="2"/>
  <c r="L360" i="2"/>
  <c r="K360" i="2"/>
  <c r="C360" i="2"/>
  <c r="AE359" i="2"/>
  <c r="V358" i="2"/>
  <c r="R358" i="2"/>
  <c r="U358" i="2" s="1"/>
  <c r="M358" i="2"/>
  <c r="L358" i="2"/>
  <c r="K358" i="2"/>
  <c r="C358" i="2"/>
  <c r="R357" i="2"/>
  <c r="U357" i="2" s="1"/>
  <c r="K357" i="2"/>
  <c r="C357" i="2"/>
  <c r="V356" i="2"/>
  <c r="R356" i="2"/>
  <c r="U356" i="2" s="1"/>
  <c r="M356" i="2"/>
  <c r="L356" i="2"/>
  <c r="K356" i="2"/>
  <c r="C356" i="2"/>
  <c r="R355" i="2"/>
  <c r="U355" i="2" s="1"/>
  <c r="L355" i="2"/>
  <c r="K355" i="2"/>
  <c r="C355" i="2"/>
  <c r="R354" i="2"/>
  <c r="U354" i="2" s="1"/>
  <c r="L354" i="2"/>
  <c r="K354" i="2"/>
  <c r="M354" i="2" s="1"/>
  <c r="C354" i="2"/>
  <c r="V353" i="2"/>
  <c r="R353" i="2"/>
  <c r="U353" i="2" s="1"/>
  <c r="M353" i="2"/>
  <c r="L353" i="2"/>
  <c r="K353" i="2"/>
  <c r="C353" i="2"/>
  <c r="AE352" i="2"/>
  <c r="P351" i="2" a="1"/>
  <c r="P351" i="2" s="1"/>
  <c r="E351" i="2"/>
  <c r="V349" i="2"/>
  <c r="R349" i="2"/>
  <c r="U349" i="2" s="1"/>
  <c r="K349" i="2"/>
  <c r="C349" i="2"/>
  <c r="V348" i="2"/>
  <c r="R348" i="2"/>
  <c r="U348" i="2" s="1"/>
  <c r="M348" i="2"/>
  <c r="L348" i="2"/>
  <c r="C348" i="2"/>
  <c r="V347" i="2"/>
  <c r="R347" i="2"/>
  <c r="U347" i="2" s="1"/>
  <c r="L347" i="2"/>
  <c r="K347" i="2"/>
  <c r="C347" i="2"/>
  <c r="V346" i="2"/>
  <c r="R346" i="2"/>
  <c r="U346" i="2" s="1"/>
  <c r="W346" i="2" s="1"/>
  <c r="M346" i="2"/>
  <c r="L346" i="2"/>
  <c r="K346" i="2"/>
  <c r="C346" i="2"/>
  <c r="R345" i="2"/>
  <c r="U345" i="2" s="1"/>
  <c r="M345" i="2"/>
  <c r="K345" i="2"/>
  <c r="V345" i="2" s="1"/>
  <c r="C345" i="2"/>
  <c r="V344" i="2"/>
  <c r="R344" i="2"/>
  <c r="U344" i="2" s="1"/>
  <c r="K344" i="2"/>
  <c r="C344" i="2"/>
  <c r="V343" i="2"/>
  <c r="R343" i="2"/>
  <c r="U343" i="2" s="1"/>
  <c r="W343" i="2" s="1"/>
  <c r="M343" i="2"/>
  <c r="K343" i="2"/>
  <c r="L343" i="2" s="1"/>
  <c r="C343" i="2"/>
  <c r="R342" i="2"/>
  <c r="U342" i="2" s="1"/>
  <c r="M342" i="2"/>
  <c r="K342" i="2"/>
  <c r="V342" i="2" s="1"/>
  <c r="C342" i="2"/>
  <c r="V341" i="2"/>
  <c r="R341" i="2"/>
  <c r="U341" i="2" s="1"/>
  <c r="M341" i="2"/>
  <c r="L341" i="2"/>
  <c r="C341" i="2"/>
  <c r="V340" i="2"/>
  <c r="R340" i="2"/>
  <c r="U340" i="2" s="1"/>
  <c r="W340" i="2" s="1"/>
  <c r="M340" i="2"/>
  <c r="L340" i="2"/>
  <c r="C340" i="2"/>
  <c r="V339" i="2"/>
  <c r="R339" i="2"/>
  <c r="U339" i="2" s="1"/>
  <c r="W339" i="2" s="1"/>
  <c r="M339" i="2"/>
  <c r="L339" i="2"/>
  <c r="C339" i="2"/>
  <c r="V338" i="2"/>
  <c r="R338" i="2"/>
  <c r="U338" i="2" s="1"/>
  <c r="M338" i="2"/>
  <c r="L338" i="2"/>
  <c r="K338" i="2"/>
  <c r="C338" i="2"/>
  <c r="V337" i="2"/>
  <c r="R337" i="2"/>
  <c r="U337" i="2" s="1"/>
  <c r="W337" i="2" s="1"/>
  <c r="K337" i="2"/>
  <c r="C337" i="2"/>
  <c r="R336" i="2"/>
  <c r="U336" i="2" s="1"/>
  <c r="C336" i="2"/>
  <c r="R335" i="2"/>
  <c r="U335" i="2" s="1"/>
  <c r="L335" i="2"/>
  <c r="K335" i="2"/>
  <c r="K336" i="2" s="1"/>
  <c r="M336" i="2" s="1"/>
  <c r="C335" i="2"/>
  <c r="R334" i="2"/>
  <c r="U334" i="2" s="1"/>
  <c r="K334" i="2"/>
  <c r="C334" i="2"/>
  <c r="R333" i="2"/>
  <c r="U333" i="2" s="1"/>
  <c r="C333" i="2"/>
  <c r="V332" i="2"/>
  <c r="R332" i="2"/>
  <c r="U332" i="2" s="1"/>
  <c r="M332" i="2"/>
  <c r="L332" i="2"/>
  <c r="K332" i="2"/>
  <c r="C332" i="2"/>
  <c r="P331" i="2" a="1"/>
  <c r="P331" i="2" s="1"/>
  <c r="E331" i="2"/>
  <c r="U329" i="2"/>
  <c r="F329" i="2"/>
  <c r="K329" i="2" s="1"/>
  <c r="C329" i="2"/>
  <c r="U328" i="2"/>
  <c r="F328" i="2"/>
  <c r="K328" i="2" s="1"/>
  <c r="C328" i="2"/>
  <c r="U326" i="2"/>
  <c r="C326" i="2"/>
  <c r="U325" i="2"/>
  <c r="F325" i="2"/>
  <c r="K325" i="2" s="1"/>
  <c r="C325" i="2"/>
  <c r="V323" i="2"/>
  <c r="R323" i="2"/>
  <c r="U323" i="2" s="1"/>
  <c r="L323" i="2"/>
  <c r="K323" i="2"/>
  <c r="M323" i="2" s="1"/>
  <c r="C323" i="2"/>
  <c r="V322" i="2"/>
  <c r="R322" i="2"/>
  <c r="U322" i="2" s="1"/>
  <c r="M322" i="2"/>
  <c r="L322" i="2"/>
  <c r="K322" i="2"/>
  <c r="C322" i="2"/>
  <c r="R321" i="2"/>
  <c r="U321" i="2" s="1"/>
  <c r="K321" i="2"/>
  <c r="V321" i="2" s="1"/>
  <c r="C321" i="2"/>
  <c r="V320" i="2"/>
  <c r="R320" i="2"/>
  <c r="U320" i="2" s="1"/>
  <c r="M320" i="2"/>
  <c r="K320" i="2"/>
  <c r="L320" i="2" s="1"/>
  <c r="C320" i="2"/>
  <c r="V319" i="2"/>
  <c r="R319" i="2"/>
  <c r="U319" i="2" s="1"/>
  <c r="M319" i="2"/>
  <c r="L319" i="2"/>
  <c r="K319" i="2"/>
  <c r="C319" i="2"/>
  <c r="R318" i="2"/>
  <c r="U318" i="2" s="1"/>
  <c r="K318" i="2"/>
  <c r="V318" i="2" s="1"/>
  <c r="C318" i="2"/>
  <c r="V317" i="2"/>
  <c r="R317" i="2"/>
  <c r="U317" i="2" s="1"/>
  <c r="M317" i="2"/>
  <c r="L317" i="2"/>
  <c r="K317" i="2"/>
  <c r="C317" i="2"/>
  <c r="V316" i="2"/>
  <c r="R316" i="2"/>
  <c r="U316" i="2" s="1"/>
  <c r="K316" i="2"/>
  <c r="C316" i="2"/>
  <c r="V315" i="2"/>
  <c r="R315" i="2"/>
  <c r="U315" i="2" s="1"/>
  <c r="K315" i="2"/>
  <c r="M315" i="2" s="1"/>
  <c r="C315" i="2"/>
  <c r="V314" i="2"/>
  <c r="R314" i="2"/>
  <c r="U314" i="2" s="1"/>
  <c r="M314" i="2"/>
  <c r="L314" i="2"/>
  <c r="K314" i="2"/>
  <c r="C314" i="2"/>
  <c r="V313" i="2"/>
  <c r="R313" i="2"/>
  <c r="U313" i="2" s="1"/>
  <c r="W313" i="2" s="1"/>
  <c r="M313" i="2"/>
  <c r="K313" i="2"/>
  <c r="C313" i="2"/>
  <c r="R312" i="2"/>
  <c r="U312" i="2" s="1"/>
  <c r="K312" i="2"/>
  <c r="C312" i="2"/>
  <c r="R311" i="2"/>
  <c r="U311" i="2" s="1"/>
  <c r="L311" i="2"/>
  <c r="K311" i="2"/>
  <c r="V311" i="2" s="1"/>
  <c r="C311" i="2"/>
  <c r="V310" i="2"/>
  <c r="R310" i="2"/>
  <c r="U310" i="2" s="1"/>
  <c r="W310" i="2" s="1"/>
  <c r="M310" i="2"/>
  <c r="L310" i="2"/>
  <c r="K310" i="2"/>
  <c r="C310" i="2"/>
  <c r="R309" i="2"/>
  <c r="U309" i="2" s="1"/>
  <c r="M309" i="2"/>
  <c r="K309" i="2"/>
  <c r="L309" i="2" s="1"/>
  <c r="C309" i="2"/>
  <c r="V308" i="2"/>
  <c r="R308" i="2"/>
  <c r="U308" i="2" s="1"/>
  <c r="L308" i="2"/>
  <c r="K308" i="2"/>
  <c r="C308" i="2"/>
  <c r="V307" i="2"/>
  <c r="R307" i="2"/>
  <c r="U307" i="2" s="1"/>
  <c r="K307" i="2"/>
  <c r="C307" i="2"/>
  <c r="AK306" i="2"/>
  <c r="V306" i="2"/>
  <c r="R306" i="2"/>
  <c r="U306" i="2" s="1"/>
  <c r="K306" i="2"/>
  <c r="C306" i="2"/>
  <c r="AK305" i="2"/>
  <c r="V305" i="2"/>
  <c r="R305" i="2"/>
  <c r="U305" i="2" s="1"/>
  <c r="K305" i="2"/>
  <c r="C305" i="2"/>
  <c r="AK304" i="2"/>
  <c r="R304" i="2"/>
  <c r="U304" i="2" s="1"/>
  <c r="K304" i="2"/>
  <c r="C304" i="2"/>
  <c r="AK303" i="2"/>
  <c r="R303" i="2"/>
  <c r="U303" i="2" s="1"/>
  <c r="K303" i="2"/>
  <c r="C303" i="2"/>
  <c r="AK302" i="2"/>
  <c r="R302" i="2"/>
  <c r="U302" i="2" s="1"/>
  <c r="K302" i="2"/>
  <c r="C302" i="2"/>
  <c r="AK301" i="2"/>
  <c r="R301" i="2"/>
  <c r="U301" i="2" s="1"/>
  <c r="K301" i="2"/>
  <c r="M301" i="2" s="1"/>
  <c r="C301" i="2"/>
  <c r="R300" i="2"/>
  <c r="U300" i="2" s="1"/>
  <c r="L300" i="2"/>
  <c r="K300" i="2"/>
  <c r="V300" i="2" s="1"/>
  <c r="C300" i="2"/>
  <c r="AK299" i="2"/>
  <c r="V299" i="2"/>
  <c r="R299" i="2"/>
  <c r="U299" i="2" s="1"/>
  <c r="M299" i="2"/>
  <c r="K299" i="2"/>
  <c r="L299" i="2" s="1"/>
  <c r="C299" i="2"/>
  <c r="AK298" i="2"/>
  <c r="V298" i="2"/>
  <c r="R298" i="2"/>
  <c r="U298" i="2" s="1"/>
  <c r="L298" i="2"/>
  <c r="K298" i="2"/>
  <c r="C298" i="2"/>
  <c r="AK297" i="2"/>
  <c r="R297" i="2"/>
  <c r="U297" i="2" s="1"/>
  <c r="M297" i="2"/>
  <c r="L297" i="2"/>
  <c r="K297" i="2"/>
  <c r="V297" i="2" s="1"/>
  <c r="C297" i="2"/>
  <c r="R296" i="2"/>
  <c r="U296" i="2" s="1"/>
  <c r="L296" i="2"/>
  <c r="K296" i="2"/>
  <c r="C296" i="2"/>
  <c r="AK295" i="2"/>
  <c r="V295" i="2"/>
  <c r="R295" i="2"/>
  <c r="U295" i="2" s="1"/>
  <c r="M295" i="2"/>
  <c r="L295" i="2"/>
  <c r="K295" i="2"/>
  <c r="C295" i="2"/>
  <c r="AK294" i="2"/>
  <c r="V294" i="2"/>
  <c r="R294" i="2"/>
  <c r="U294" i="2" s="1"/>
  <c r="M294" i="2"/>
  <c r="L294" i="2"/>
  <c r="K294" i="2"/>
  <c r="C294" i="2"/>
  <c r="R293" i="2"/>
  <c r="U293" i="2" s="1"/>
  <c r="L293" i="2"/>
  <c r="K293" i="2"/>
  <c r="C293" i="2"/>
  <c r="AK292" i="2"/>
  <c r="V292" i="2"/>
  <c r="R292" i="2"/>
  <c r="U292" i="2" s="1"/>
  <c r="M292" i="2"/>
  <c r="K292" i="2"/>
  <c r="L292" i="2" s="1"/>
  <c r="C292" i="2"/>
  <c r="AK291" i="2"/>
  <c r="V291" i="2"/>
  <c r="R291" i="2"/>
  <c r="U291" i="2" s="1"/>
  <c r="M291" i="2"/>
  <c r="L291" i="2"/>
  <c r="K291" i="2"/>
  <c r="C291" i="2"/>
  <c r="AK290" i="2"/>
  <c r="R290" i="2"/>
  <c r="U290" i="2" s="1"/>
  <c r="M290" i="2"/>
  <c r="L290" i="2"/>
  <c r="K290" i="2"/>
  <c r="V290" i="2" s="1"/>
  <c r="C290" i="2"/>
  <c r="AK289" i="2"/>
  <c r="V289" i="2"/>
  <c r="R289" i="2"/>
  <c r="U289" i="2" s="1"/>
  <c r="M289" i="2"/>
  <c r="L289" i="2"/>
  <c r="K289" i="2"/>
  <c r="C289" i="2"/>
  <c r="AK288" i="2"/>
  <c r="R288" i="2"/>
  <c r="U288" i="2" s="1"/>
  <c r="K288" i="2"/>
  <c r="M288" i="2" s="1"/>
  <c r="C288" i="2"/>
  <c r="AK287" i="2"/>
  <c r="R287" i="2"/>
  <c r="U287" i="2" s="1"/>
  <c r="M287" i="2"/>
  <c r="L287" i="2"/>
  <c r="K287" i="2"/>
  <c r="V287" i="2" s="1"/>
  <c r="C287" i="2"/>
  <c r="AK286" i="2"/>
  <c r="V286" i="2"/>
  <c r="R286" i="2"/>
  <c r="U286" i="2" s="1"/>
  <c r="L286" i="2"/>
  <c r="K286" i="2"/>
  <c r="C286" i="2"/>
  <c r="AK285" i="2"/>
  <c r="R285" i="2"/>
  <c r="U285" i="2" s="1"/>
  <c r="M285" i="2"/>
  <c r="K285" i="2"/>
  <c r="V285" i="2" s="1"/>
  <c r="C285" i="2"/>
  <c r="AK284" i="2"/>
  <c r="V284" i="2"/>
  <c r="R284" i="2"/>
  <c r="U284" i="2" s="1"/>
  <c r="L284" i="2"/>
  <c r="K284" i="2"/>
  <c r="C284" i="2"/>
  <c r="AK283" i="2"/>
  <c r="R283" i="2"/>
  <c r="U283" i="2" s="1"/>
  <c r="M283" i="2"/>
  <c r="K283" i="2"/>
  <c r="V283" i="2" s="1"/>
  <c r="C283" i="2"/>
  <c r="AK282" i="2"/>
  <c r="R282" i="2"/>
  <c r="U282" i="2" s="1"/>
  <c r="K282" i="2"/>
  <c r="C282" i="2"/>
  <c r="AK281" i="2"/>
  <c r="V281" i="2"/>
  <c r="R281" i="2"/>
  <c r="U281" i="2" s="1"/>
  <c r="K281" i="2"/>
  <c r="C281" i="2"/>
  <c r="R280" i="2"/>
  <c r="U280" i="2" s="1"/>
  <c r="K280" i="2"/>
  <c r="C280" i="2"/>
  <c r="P279" i="2" a="1"/>
  <c r="P279" i="2" s="1"/>
  <c r="E279" i="2"/>
  <c r="R277" i="2"/>
  <c r="U277" i="2" s="1"/>
  <c r="C277" i="2"/>
  <c r="R276" i="2"/>
  <c r="U276" i="2" s="1"/>
  <c r="C276" i="2"/>
  <c r="R275" i="2"/>
  <c r="U275" i="2" s="1"/>
  <c r="C275" i="2"/>
  <c r="R274" i="2"/>
  <c r="U274" i="2" s="1"/>
  <c r="C274" i="2"/>
  <c r="R273" i="2"/>
  <c r="U273" i="2" s="1"/>
  <c r="C273" i="2"/>
  <c r="R272" i="2"/>
  <c r="U272" i="2" s="1"/>
  <c r="C272" i="2"/>
  <c r="R271" i="2"/>
  <c r="U271" i="2" s="1"/>
  <c r="C271" i="2"/>
  <c r="R270" i="2"/>
  <c r="U270" i="2" s="1"/>
  <c r="C270" i="2"/>
  <c r="R269" i="2"/>
  <c r="U269" i="2" s="1"/>
  <c r="C269" i="2"/>
  <c r="R268" i="2"/>
  <c r="U268" i="2" s="1"/>
  <c r="C268" i="2"/>
  <c r="R267" i="2"/>
  <c r="U267" i="2" s="1"/>
  <c r="C267" i="2"/>
  <c r="R266" i="2"/>
  <c r="U266" i="2" s="1"/>
  <c r="C266" i="2"/>
  <c r="V265" i="2"/>
  <c r="R265" i="2"/>
  <c r="U265" i="2" s="1"/>
  <c r="W265" i="2" s="1"/>
  <c r="M265" i="2"/>
  <c r="L265" i="2"/>
  <c r="C265" i="2"/>
  <c r="R264" i="2"/>
  <c r="U264" i="2" s="1"/>
  <c r="C264" i="2"/>
  <c r="R263" i="2"/>
  <c r="U263" i="2" s="1"/>
  <c r="C263" i="2"/>
  <c r="AK262" i="2"/>
  <c r="R262" i="2"/>
  <c r="U262" i="2" s="1"/>
  <c r="W262" i="2" s="1"/>
  <c r="M262" i="2"/>
  <c r="L262" i="2"/>
  <c r="K262" i="2"/>
  <c r="V262" i="2" s="1"/>
  <c r="C262" i="2"/>
  <c r="AK261" i="2"/>
  <c r="R261" i="2"/>
  <c r="U261" i="2" s="1"/>
  <c r="M261" i="2"/>
  <c r="C261" i="2"/>
  <c r="AK260" i="2"/>
  <c r="R260" i="2"/>
  <c r="U260" i="2" s="1"/>
  <c r="M260" i="2"/>
  <c r="L260" i="2"/>
  <c r="K260" i="2"/>
  <c r="K261" i="2" s="1"/>
  <c r="C260" i="2"/>
  <c r="R259" i="2"/>
  <c r="U259" i="2" s="1"/>
  <c r="C259" i="2"/>
  <c r="R258" i="2"/>
  <c r="U258" i="2" s="1"/>
  <c r="L258" i="2"/>
  <c r="K258" i="2"/>
  <c r="M258" i="2" s="1"/>
  <c r="C258" i="2"/>
  <c r="R257" i="2"/>
  <c r="U257" i="2" s="1"/>
  <c r="K257" i="2"/>
  <c r="C257" i="2"/>
  <c r="AK256" i="2"/>
  <c r="R256" i="2"/>
  <c r="U256" i="2" s="1"/>
  <c r="K256" i="2"/>
  <c r="C256" i="2"/>
  <c r="AK255" i="2"/>
  <c r="V255" i="2"/>
  <c r="R255" i="2"/>
  <c r="U255" i="2" s="1"/>
  <c r="W255" i="2" s="1"/>
  <c r="K255" i="2"/>
  <c r="M255" i="2" s="1"/>
  <c r="C255" i="2"/>
  <c r="AK254" i="2"/>
  <c r="V254" i="2"/>
  <c r="R254" i="2"/>
  <c r="U254" i="2" s="1"/>
  <c r="M254" i="2"/>
  <c r="K254" i="2"/>
  <c r="L254" i="2" s="1"/>
  <c r="C254" i="2"/>
  <c r="AK253" i="2"/>
  <c r="V253" i="2"/>
  <c r="R253" i="2"/>
  <c r="U253" i="2" s="1"/>
  <c r="W253" i="2" s="1"/>
  <c r="M253" i="2"/>
  <c r="L253" i="2"/>
  <c r="K253" i="2"/>
  <c r="C253" i="2"/>
  <c r="V252" i="2"/>
  <c r="R252" i="2"/>
  <c r="U252" i="2" s="1"/>
  <c r="W252" i="2" s="1"/>
  <c r="K252" i="2"/>
  <c r="C252" i="2"/>
  <c r="V251" i="2"/>
  <c r="R251" i="2"/>
  <c r="U251" i="2" s="1"/>
  <c r="K251" i="2"/>
  <c r="C251" i="2"/>
  <c r="AK250" i="2"/>
  <c r="V250" i="2"/>
  <c r="R250" i="2"/>
  <c r="U250" i="2" s="1"/>
  <c r="M250" i="2"/>
  <c r="K250" i="2"/>
  <c r="C250" i="2"/>
  <c r="AK249" i="2"/>
  <c r="R249" i="2"/>
  <c r="U249" i="2" s="1"/>
  <c r="M249" i="2"/>
  <c r="L249" i="2"/>
  <c r="K249" i="2"/>
  <c r="V249" i="2" s="1"/>
  <c r="C249" i="2"/>
  <c r="AK248" i="2"/>
  <c r="R248" i="2"/>
  <c r="U248" i="2" s="1"/>
  <c r="K248" i="2"/>
  <c r="C248" i="2"/>
  <c r="AK247" i="2"/>
  <c r="V247" i="2"/>
  <c r="R247" i="2"/>
  <c r="U247" i="2" s="1"/>
  <c r="W247" i="2" s="1"/>
  <c r="L247" i="2"/>
  <c r="K247" i="2"/>
  <c r="C247" i="2"/>
  <c r="AK246" i="2"/>
  <c r="V246" i="2"/>
  <c r="R246" i="2"/>
  <c r="U246" i="2" s="1"/>
  <c r="M246" i="2"/>
  <c r="K246" i="2"/>
  <c r="C246" i="2"/>
  <c r="V245" i="2"/>
  <c r="R245" i="2"/>
  <c r="U245" i="2" s="1"/>
  <c r="M245" i="2"/>
  <c r="L245" i="2"/>
  <c r="K245" i="2"/>
  <c r="C245" i="2"/>
  <c r="R244" i="2"/>
  <c r="U244" i="2" s="1"/>
  <c r="K244" i="2"/>
  <c r="C244" i="2"/>
  <c r="AK243" i="2"/>
  <c r="V243" i="2"/>
  <c r="R243" i="2"/>
  <c r="U243" i="2" s="1"/>
  <c r="K243" i="2"/>
  <c r="C243" i="2"/>
  <c r="AK242" i="2"/>
  <c r="R242" i="2"/>
  <c r="U242" i="2" s="1"/>
  <c r="M242" i="2"/>
  <c r="L242" i="2"/>
  <c r="K242" i="2"/>
  <c r="V242" i="2" s="1"/>
  <c r="C242" i="2"/>
  <c r="R241" i="2"/>
  <c r="U241" i="2" s="1"/>
  <c r="K241" i="2"/>
  <c r="C241" i="2"/>
  <c r="R240" i="2"/>
  <c r="U240" i="2" s="1"/>
  <c r="K240" i="2"/>
  <c r="C240" i="2"/>
  <c r="R239" i="2"/>
  <c r="U239" i="2" s="1"/>
  <c r="K239" i="2"/>
  <c r="C239" i="2"/>
  <c r="AK238" i="2"/>
  <c r="V238" i="2"/>
  <c r="R238" i="2"/>
  <c r="U238" i="2" s="1"/>
  <c r="M238" i="2"/>
  <c r="K238" i="2"/>
  <c r="L238" i="2" s="1"/>
  <c r="C238" i="2"/>
  <c r="R237" i="2"/>
  <c r="U237" i="2" s="1"/>
  <c r="C237" i="2"/>
  <c r="V236" i="2"/>
  <c r="R236" i="2"/>
  <c r="U236" i="2" s="1"/>
  <c r="L236" i="2"/>
  <c r="K236" i="2"/>
  <c r="M236" i="2" s="1"/>
  <c r="C236" i="2"/>
  <c r="V235" i="2"/>
  <c r="R235" i="2"/>
  <c r="U235" i="2" s="1"/>
  <c r="K235" i="2"/>
  <c r="C235" i="2"/>
  <c r="R234" i="2"/>
  <c r="U234" i="2" s="1"/>
  <c r="C234" i="2"/>
  <c r="R233" i="2"/>
  <c r="U233" i="2" s="1"/>
  <c r="C233" i="2"/>
  <c r="R232" i="2"/>
  <c r="U232" i="2" s="1"/>
  <c r="C232" i="2"/>
  <c r="R231" i="2"/>
  <c r="U231" i="2" s="1"/>
  <c r="C231" i="2"/>
  <c r="V230" i="2"/>
  <c r="R230" i="2"/>
  <c r="U230" i="2" s="1"/>
  <c r="W230" i="2" s="1"/>
  <c r="L230" i="2"/>
  <c r="K230" i="2"/>
  <c r="C230" i="2"/>
  <c r="V229" i="2"/>
  <c r="R229" i="2"/>
  <c r="U229" i="2" s="1"/>
  <c r="M229" i="2"/>
  <c r="K229" i="2"/>
  <c r="C229" i="2"/>
  <c r="R228" i="2"/>
  <c r="U228" i="2" s="1"/>
  <c r="K228" i="2"/>
  <c r="C228" i="2"/>
  <c r="V227" i="2"/>
  <c r="R227" i="2"/>
  <c r="U227" i="2" s="1"/>
  <c r="L227" i="2"/>
  <c r="K227" i="2"/>
  <c r="C227" i="2"/>
  <c r="R226" i="2"/>
  <c r="U226" i="2" s="1"/>
  <c r="M226" i="2"/>
  <c r="L226" i="2"/>
  <c r="K226" i="2"/>
  <c r="C226" i="2"/>
  <c r="R225" i="2"/>
  <c r="U225" i="2" s="1"/>
  <c r="K225" i="2"/>
  <c r="C225" i="2"/>
  <c r="R224" i="2"/>
  <c r="U224" i="2" s="1"/>
  <c r="K224" i="2"/>
  <c r="C224" i="2"/>
  <c r="V223" i="2"/>
  <c r="R223" i="2"/>
  <c r="U223" i="2" s="1"/>
  <c r="M223" i="2"/>
  <c r="L223" i="2"/>
  <c r="K223" i="2"/>
  <c r="C223" i="2"/>
  <c r="R222" i="2"/>
  <c r="U222" i="2" s="1"/>
  <c r="K222" i="2"/>
  <c r="C222" i="2"/>
  <c r="AK221" i="2"/>
  <c r="R221" i="2"/>
  <c r="U221" i="2" s="1"/>
  <c r="K221" i="2"/>
  <c r="C221" i="2"/>
  <c r="AK220" i="2"/>
  <c r="V220" i="2"/>
  <c r="R220" i="2"/>
  <c r="U220" i="2" s="1"/>
  <c r="K220" i="2"/>
  <c r="L220" i="2" s="1"/>
  <c r="C220" i="2"/>
  <c r="AK219" i="2"/>
  <c r="V219" i="2"/>
  <c r="R219" i="2"/>
  <c r="U219" i="2" s="1"/>
  <c r="M219" i="2"/>
  <c r="L219" i="2"/>
  <c r="K219" i="2"/>
  <c r="C219" i="2"/>
  <c r="AK218" i="2"/>
  <c r="R218" i="2"/>
  <c r="U218" i="2" s="1"/>
  <c r="K218" i="2"/>
  <c r="C218" i="2"/>
  <c r="AK217" i="2"/>
  <c r="V217" i="2"/>
  <c r="R217" i="2"/>
  <c r="U217" i="2" s="1"/>
  <c r="M217" i="2"/>
  <c r="L217" i="2"/>
  <c r="K217" i="2"/>
  <c r="C217" i="2"/>
  <c r="V216" i="2"/>
  <c r="R216" i="2"/>
  <c r="U216" i="2" s="1"/>
  <c r="M216" i="2"/>
  <c r="K216" i="2"/>
  <c r="L216" i="2" s="1"/>
  <c r="C216" i="2"/>
  <c r="R215" i="2"/>
  <c r="U215" i="2" s="1"/>
  <c r="M215" i="2"/>
  <c r="K215" i="2"/>
  <c r="V215" i="2" s="1"/>
  <c r="C215" i="2"/>
  <c r="V214" i="2"/>
  <c r="R214" i="2"/>
  <c r="U214" i="2" s="1"/>
  <c r="M214" i="2"/>
  <c r="K214" i="2"/>
  <c r="C214" i="2"/>
  <c r="V213" i="2"/>
  <c r="R213" i="2"/>
  <c r="U213" i="2" s="1"/>
  <c r="K213" i="2"/>
  <c r="C213" i="2"/>
  <c r="R212" i="2"/>
  <c r="U212" i="2" s="1"/>
  <c r="K212" i="2"/>
  <c r="C212" i="2"/>
  <c r="V211" i="2"/>
  <c r="R211" i="2"/>
  <c r="U211" i="2" s="1"/>
  <c r="L211" i="2"/>
  <c r="K211" i="2"/>
  <c r="M211" i="2" s="1"/>
  <c r="C211" i="2"/>
  <c r="V210" i="2"/>
  <c r="R210" i="2"/>
  <c r="U210" i="2" s="1"/>
  <c r="W210" i="2" s="1"/>
  <c r="M210" i="2"/>
  <c r="L210" i="2"/>
  <c r="K210" i="2"/>
  <c r="C210" i="2"/>
  <c r="V209" i="2"/>
  <c r="R209" i="2"/>
  <c r="U209" i="2" s="1"/>
  <c r="K209" i="2"/>
  <c r="C209" i="2"/>
  <c r="V208" i="2"/>
  <c r="R208" i="2"/>
  <c r="U208" i="2" s="1"/>
  <c r="M208" i="2"/>
  <c r="L208" i="2"/>
  <c r="K208" i="2"/>
  <c r="K267" i="2" s="1"/>
  <c r="C208" i="2"/>
  <c r="AK207" i="2"/>
  <c r="R207" i="2"/>
  <c r="U207" i="2" s="1"/>
  <c r="L207" i="2"/>
  <c r="K207" i="2"/>
  <c r="M207" i="2" s="1"/>
  <c r="C207" i="2"/>
  <c r="AJ206" i="2"/>
  <c r="V206" i="2"/>
  <c r="R206" i="2"/>
  <c r="U206" i="2" s="1"/>
  <c r="M206" i="2"/>
  <c r="L206" i="2"/>
  <c r="K206" i="2"/>
  <c r="C206" i="2"/>
  <c r="R205" i="2"/>
  <c r="U205" i="2" s="1"/>
  <c r="M205" i="2"/>
  <c r="K205" i="2"/>
  <c r="C205" i="2"/>
  <c r="P204" i="2" a="1"/>
  <c r="P204" i="2" s="1"/>
  <c r="E204" i="2"/>
  <c r="U202" i="2"/>
  <c r="C202" i="2"/>
  <c r="U201" i="2"/>
  <c r="L201" i="2"/>
  <c r="K201" i="2"/>
  <c r="F201" i="2"/>
  <c r="F202" i="2" s="1"/>
  <c r="K202" i="2" s="1"/>
  <c r="C201" i="2"/>
  <c r="U199" i="2"/>
  <c r="C199" i="2"/>
  <c r="U198" i="2"/>
  <c r="F198" i="2"/>
  <c r="C198" i="2"/>
  <c r="U196" i="2"/>
  <c r="F196" i="2"/>
  <c r="K196" i="2" s="1"/>
  <c r="C196" i="2"/>
  <c r="AI195" i="2"/>
  <c r="V195" i="2"/>
  <c r="U195" i="2"/>
  <c r="M195" i="2"/>
  <c r="L195" i="2"/>
  <c r="F195" i="2"/>
  <c r="K195" i="2" s="1"/>
  <c r="C195" i="2"/>
  <c r="U193" i="2"/>
  <c r="C193" i="2"/>
  <c r="U192" i="2"/>
  <c r="M192" i="2"/>
  <c r="K192" i="2"/>
  <c r="F192" i="2"/>
  <c r="F193" i="2" s="1"/>
  <c r="K193" i="2" s="1"/>
  <c r="C192" i="2"/>
  <c r="U190" i="2"/>
  <c r="K190" i="2"/>
  <c r="C190" i="2"/>
  <c r="U189" i="2"/>
  <c r="K189" i="2"/>
  <c r="F189" i="2"/>
  <c r="F190" i="2" s="1"/>
  <c r="C189" i="2"/>
  <c r="V187" i="2"/>
  <c r="U187" i="2"/>
  <c r="M187" i="2"/>
  <c r="L187" i="2"/>
  <c r="K187" i="2"/>
  <c r="F187" i="2"/>
  <c r="C187" i="2"/>
  <c r="V185" i="2"/>
  <c r="R185" i="2"/>
  <c r="U185" i="2" s="1"/>
  <c r="M185" i="2"/>
  <c r="L185" i="2"/>
  <c r="K185" i="2"/>
  <c r="C185" i="2"/>
  <c r="R184" i="2"/>
  <c r="U184" i="2" s="1"/>
  <c r="K184" i="2"/>
  <c r="C184" i="2"/>
  <c r="R183" i="2"/>
  <c r="U183" i="2" s="1"/>
  <c r="K183" i="2"/>
  <c r="C183" i="2"/>
  <c r="V182" i="2"/>
  <c r="R182" i="2"/>
  <c r="U182" i="2" s="1"/>
  <c r="W182" i="2" s="1"/>
  <c r="M182" i="2"/>
  <c r="L182" i="2"/>
  <c r="K182" i="2"/>
  <c r="C182" i="2"/>
  <c r="R181" i="2"/>
  <c r="U181" i="2" s="1"/>
  <c r="C181" i="2"/>
  <c r="V180" i="2"/>
  <c r="R180" i="2"/>
  <c r="U180" i="2" s="1"/>
  <c r="M180" i="2"/>
  <c r="L180" i="2"/>
  <c r="K180" i="2"/>
  <c r="C180" i="2"/>
  <c r="V179" i="2"/>
  <c r="R179" i="2"/>
  <c r="U179" i="2" s="1"/>
  <c r="K179" i="2"/>
  <c r="C179" i="2"/>
  <c r="V178" i="2"/>
  <c r="R178" i="2"/>
  <c r="U178" i="2" s="1"/>
  <c r="W178" i="2" s="1"/>
  <c r="L178" i="2"/>
  <c r="K178" i="2"/>
  <c r="M178" i="2" s="1"/>
  <c r="C178" i="2"/>
  <c r="R177" i="2"/>
  <c r="U177" i="2" s="1"/>
  <c r="W177" i="2" s="1"/>
  <c r="M177" i="2"/>
  <c r="K177" i="2"/>
  <c r="V177" i="2" s="1"/>
  <c r="C177" i="2"/>
  <c r="V176" i="2"/>
  <c r="R176" i="2"/>
  <c r="U176" i="2" s="1"/>
  <c r="M176" i="2"/>
  <c r="L176" i="2"/>
  <c r="K176" i="2"/>
  <c r="C176" i="2"/>
  <c r="R175" i="2"/>
  <c r="U175" i="2" s="1"/>
  <c r="M175" i="2"/>
  <c r="K175" i="2"/>
  <c r="C175" i="2"/>
  <c r="R174" i="2"/>
  <c r="U174" i="2" s="1"/>
  <c r="K174" i="2"/>
  <c r="C174" i="2"/>
  <c r="V173" i="2"/>
  <c r="R173" i="2"/>
  <c r="U173" i="2" s="1"/>
  <c r="W173" i="2" s="1"/>
  <c r="M173" i="2"/>
  <c r="L173" i="2"/>
  <c r="K173" i="2"/>
  <c r="C173" i="2"/>
  <c r="R172" i="2"/>
  <c r="U172" i="2" s="1"/>
  <c r="K172" i="2"/>
  <c r="C172" i="2"/>
  <c r="V171" i="2"/>
  <c r="R171" i="2"/>
  <c r="U171" i="2" s="1"/>
  <c r="M171" i="2"/>
  <c r="L171" i="2"/>
  <c r="C171" i="2"/>
  <c r="V170" i="2"/>
  <c r="R170" i="2"/>
  <c r="U170" i="2" s="1"/>
  <c r="W170" i="2" s="1"/>
  <c r="M170" i="2"/>
  <c r="L170" i="2"/>
  <c r="C170" i="2"/>
  <c r="R169" i="2"/>
  <c r="U169" i="2" s="1"/>
  <c r="K169" i="2"/>
  <c r="C169" i="2"/>
  <c r="R168" i="2"/>
  <c r="U168" i="2" s="1"/>
  <c r="M168" i="2"/>
  <c r="K168" i="2"/>
  <c r="V168" i="2" s="1"/>
  <c r="C168" i="2"/>
  <c r="V167" i="2"/>
  <c r="R167" i="2"/>
  <c r="U167" i="2" s="1"/>
  <c r="M167" i="2"/>
  <c r="L167" i="2"/>
  <c r="K167" i="2"/>
  <c r="C167" i="2"/>
  <c r="V166" i="2"/>
  <c r="R166" i="2"/>
  <c r="U166" i="2" s="1"/>
  <c r="L166" i="2"/>
  <c r="K166" i="2"/>
  <c r="M166" i="2" s="1"/>
  <c r="C166" i="2"/>
  <c r="R165" i="2"/>
  <c r="U165" i="2" s="1"/>
  <c r="M165" i="2"/>
  <c r="K165" i="2"/>
  <c r="C165" i="2"/>
  <c r="R164" i="2"/>
  <c r="U164" i="2" s="1"/>
  <c r="L164" i="2"/>
  <c r="K164" i="2"/>
  <c r="C164" i="2"/>
  <c r="V163" i="2"/>
  <c r="R163" i="2"/>
  <c r="U163" i="2" s="1"/>
  <c r="W163" i="2" s="1"/>
  <c r="L163" i="2"/>
  <c r="K163" i="2"/>
  <c r="M163" i="2" s="1"/>
  <c r="C163" i="2"/>
  <c r="R162" i="2"/>
  <c r="U162" i="2" s="1"/>
  <c r="M162" i="2"/>
  <c r="K162" i="2"/>
  <c r="C162" i="2"/>
  <c r="R161" i="2"/>
  <c r="U161" i="2" s="1"/>
  <c r="L161" i="2"/>
  <c r="K161" i="2"/>
  <c r="M161" i="2" s="1"/>
  <c r="C161" i="2"/>
  <c r="V160" i="2"/>
  <c r="R160" i="2"/>
  <c r="U160" i="2" s="1"/>
  <c r="W160" i="2" s="1"/>
  <c r="L160" i="2"/>
  <c r="K160" i="2"/>
  <c r="M160" i="2" s="1"/>
  <c r="C160" i="2"/>
  <c r="R159" i="2"/>
  <c r="U159" i="2" s="1"/>
  <c r="W159" i="2" s="1"/>
  <c r="M159" i="2"/>
  <c r="L159" i="2"/>
  <c r="K159" i="2"/>
  <c r="V159" i="2" s="1"/>
  <c r="C159" i="2"/>
  <c r="V158" i="2"/>
  <c r="R158" i="2"/>
  <c r="U158" i="2" s="1"/>
  <c r="M158" i="2"/>
  <c r="L158" i="2"/>
  <c r="K158" i="2"/>
  <c r="C158" i="2"/>
  <c r="V157" i="2"/>
  <c r="R157" i="2"/>
  <c r="U157" i="2" s="1"/>
  <c r="K157" i="2"/>
  <c r="M157" i="2" s="1"/>
  <c r="C157" i="2"/>
  <c r="R156" i="2"/>
  <c r="U156" i="2" s="1"/>
  <c r="K156" i="2"/>
  <c r="C156" i="2"/>
  <c r="R155" i="2"/>
  <c r="U155" i="2" s="1"/>
  <c r="L155" i="2"/>
  <c r="K155" i="2"/>
  <c r="C155" i="2"/>
  <c r="R154" i="2"/>
  <c r="U154" i="2" s="1"/>
  <c r="K154" i="2"/>
  <c r="C154" i="2"/>
  <c r="V153" i="2"/>
  <c r="R153" i="2"/>
  <c r="U153" i="2" s="1"/>
  <c r="W153" i="2" s="1"/>
  <c r="L153" i="2"/>
  <c r="K153" i="2"/>
  <c r="M153" i="2" s="1"/>
  <c r="C153" i="2"/>
  <c r="R152" i="2"/>
  <c r="U152" i="2" s="1"/>
  <c r="K152" i="2"/>
  <c r="C152" i="2"/>
  <c r="R151" i="2"/>
  <c r="U151" i="2" s="1"/>
  <c r="K151" i="2"/>
  <c r="C151" i="2"/>
  <c r="V150" i="2"/>
  <c r="R150" i="2"/>
  <c r="U150" i="2" s="1"/>
  <c r="W150" i="2" s="1"/>
  <c r="M150" i="2"/>
  <c r="L150" i="2"/>
  <c r="K150" i="2"/>
  <c r="C150" i="2"/>
  <c r="R149" i="2"/>
  <c r="U149" i="2" s="1"/>
  <c r="W149" i="2" s="1"/>
  <c r="M149" i="2"/>
  <c r="L149" i="2"/>
  <c r="K149" i="2"/>
  <c r="V149" i="2" s="1"/>
  <c r="C149" i="2"/>
  <c r="V148" i="2"/>
  <c r="R148" i="2"/>
  <c r="U148" i="2" s="1"/>
  <c r="M148" i="2"/>
  <c r="L148" i="2"/>
  <c r="K148" i="2"/>
  <c r="C148" i="2"/>
  <c r="V147" i="2"/>
  <c r="R147" i="2"/>
  <c r="U147" i="2" s="1"/>
  <c r="K147" i="2"/>
  <c r="M147" i="2" s="1"/>
  <c r="C147" i="2"/>
  <c r="V146" i="2"/>
  <c r="R146" i="2"/>
  <c r="U146" i="2" s="1"/>
  <c r="M146" i="2"/>
  <c r="L146" i="2"/>
  <c r="K146" i="2"/>
  <c r="C146" i="2"/>
  <c r="V145" i="2"/>
  <c r="R145" i="2"/>
  <c r="U145" i="2" s="1"/>
  <c r="M145" i="2"/>
  <c r="L145" i="2"/>
  <c r="K145" i="2"/>
  <c r="C145" i="2"/>
  <c r="V144" i="2"/>
  <c r="R144" i="2"/>
  <c r="U144" i="2" s="1"/>
  <c r="W144" i="2" s="1"/>
  <c r="L144" i="2"/>
  <c r="K144" i="2"/>
  <c r="M144" i="2" s="1"/>
  <c r="C144" i="2"/>
  <c r="V143" i="2"/>
  <c r="R143" i="2"/>
  <c r="U143" i="2" s="1"/>
  <c r="K143" i="2"/>
  <c r="M143" i="2" s="1"/>
  <c r="C143" i="2"/>
  <c r="V142" i="2"/>
  <c r="R142" i="2"/>
  <c r="U142" i="2" s="1"/>
  <c r="W142" i="2" s="1"/>
  <c r="M142" i="2"/>
  <c r="L142" i="2"/>
  <c r="K142" i="2"/>
  <c r="C142" i="2"/>
  <c r="AK141" i="2"/>
  <c r="V141" i="2"/>
  <c r="R141" i="2"/>
  <c r="U141" i="2" s="1"/>
  <c r="W141" i="2" s="1"/>
  <c r="M141" i="2"/>
  <c r="L141" i="2"/>
  <c r="K141" i="2"/>
  <c r="C141" i="2"/>
  <c r="AK140" i="2"/>
  <c r="V140" i="2"/>
  <c r="R140" i="2"/>
  <c r="U140" i="2" s="1"/>
  <c r="W140" i="2" s="1"/>
  <c r="M140" i="2"/>
  <c r="L140" i="2"/>
  <c r="K140" i="2"/>
  <c r="C140" i="2"/>
  <c r="AK139" i="2"/>
  <c r="V139" i="2"/>
  <c r="R139" i="2"/>
  <c r="U139" i="2" s="1"/>
  <c r="W139" i="2" s="1"/>
  <c r="M139" i="2"/>
  <c r="L139" i="2"/>
  <c r="K139" i="2"/>
  <c r="C139" i="2"/>
  <c r="AK138" i="2"/>
  <c r="V138" i="2"/>
  <c r="R138" i="2"/>
  <c r="U138" i="2" s="1"/>
  <c r="M138" i="2"/>
  <c r="K138" i="2"/>
  <c r="L138" i="2" s="1"/>
  <c r="C138" i="2"/>
  <c r="AK137" i="2"/>
  <c r="V137" i="2"/>
  <c r="R137" i="2"/>
  <c r="U137" i="2" s="1"/>
  <c r="W137" i="2" s="1"/>
  <c r="M137" i="2"/>
  <c r="L137" i="2"/>
  <c r="K137" i="2"/>
  <c r="C137" i="2"/>
  <c r="AK136" i="2"/>
  <c r="V136" i="2"/>
  <c r="R136" i="2"/>
  <c r="U136" i="2" s="1"/>
  <c r="W136" i="2" s="1"/>
  <c r="M136" i="2"/>
  <c r="L136" i="2"/>
  <c r="K136" i="2"/>
  <c r="C136" i="2"/>
  <c r="AK135" i="2"/>
  <c r="V135" i="2"/>
  <c r="R135" i="2"/>
  <c r="U135" i="2" s="1"/>
  <c r="M135" i="2"/>
  <c r="K135" i="2"/>
  <c r="L135" i="2" s="1"/>
  <c r="C135" i="2"/>
  <c r="AK134" i="2"/>
  <c r="R134" i="2"/>
  <c r="U134" i="2" s="1"/>
  <c r="K134" i="2"/>
  <c r="C134" i="2"/>
  <c r="AK133" i="2"/>
  <c r="V133" i="2"/>
  <c r="R133" i="2"/>
  <c r="U133" i="2" s="1"/>
  <c r="M133" i="2"/>
  <c r="K133" i="2"/>
  <c r="L133" i="2" s="1"/>
  <c r="C133" i="2"/>
  <c r="R132" i="2"/>
  <c r="U132" i="2" s="1"/>
  <c r="L132" i="2"/>
  <c r="K132" i="2"/>
  <c r="AK132" i="2" s="1"/>
  <c r="C132" i="2"/>
  <c r="AK131" i="2"/>
  <c r="V131" i="2"/>
  <c r="R131" i="2"/>
  <c r="U131" i="2" s="1"/>
  <c r="W131" i="2" s="1"/>
  <c r="L131" i="2"/>
  <c r="K131" i="2"/>
  <c r="M131" i="2" s="1"/>
  <c r="C131" i="2"/>
  <c r="AK130" i="2"/>
  <c r="V130" i="2"/>
  <c r="R130" i="2"/>
  <c r="U130" i="2" s="1"/>
  <c r="K130" i="2"/>
  <c r="M130" i="2" s="1"/>
  <c r="C130" i="2"/>
  <c r="V129" i="2"/>
  <c r="R129" i="2"/>
  <c r="U129" i="2" s="1"/>
  <c r="K129" i="2"/>
  <c r="AK129" i="2" s="1"/>
  <c r="C129" i="2"/>
  <c r="V128" i="2"/>
  <c r="R128" i="2"/>
  <c r="U128" i="2" s="1"/>
  <c r="M128" i="2"/>
  <c r="L128" i="2"/>
  <c r="K128" i="2"/>
  <c r="C128" i="2"/>
  <c r="AK127" i="2"/>
  <c r="V127" i="2"/>
  <c r="R127" i="2"/>
  <c r="U127" i="2" s="1"/>
  <c r="W127" i="2" s="1"/>
  <c r="L127" i="2"/>
  <c r="K127" i="2"/>
  <c r="M127" i="2" s="1"/>
  <c r="C127" i="2"/>
  <c r="R126" i="2"/>
  <c r="U126" i="2" s="1"/>
  <c r="K126" i="2"/>
  <c r="C126" i="2"/>
  <c r="R125" i="2"/>
  <c r="U125" i="2" s="1"/>
  <c r="K125" i="2"/>
  <c r="C125" i="2"/>
  <c r="R124" i="2"/>
  <c r="U124" i="2" s="1"/>
  <c r="L124" i="2"/>
  <c r="K124" i="2"/>
  <c r="V124" i="2" s="1"/>
  <c r="C124" i="2"/>
  <c r="R123" i="2"/>
  <c r="U123" i="2" s="1"/>
  <c r="K123" i="2"/>
  <c r="C123" i="2"/>
  <c r="AK122" i="2"/>
  <c r="V122" i="2"/>
  <c r="R122" i="2"/>
  <c r="U122" i="2" s="1"/>
  <c r="W122" i="2" s="1"/>
  <c r="M122" i="2"/>
  <c r="L122" i="2"/>
  <c r="K122" i="2"/>
  <c r="C122" i="2"/>
  <c r="R121" i="2"/>
  <c r="U121" i="2" s="1"/>
  <c r="K121" i="2"/>
  <c r="C121" i="2"/>
  <c r="V120" i="2"/>
  <c r="R120" i="2"/>
  <c r="U120" i="2" s="1"/>
  <c r="M120" i="2"/>
  <c r="L120" i="2"/>
  <c r="K120" i="2"/>
  <c r="C120" i="2"/>
  <c r="R119" i="2"/>
  <c r="U119" i="2" s="1"/>
  <c r="K119" i="2"/>
  <c r="C119" i="2"/>
  <c r="P118" i="2" a="1"/>
  <c r="P118" i="2" s="1"/>
  <c r="E118" i="2"/>
  <c r="V116" i="2"/>
  <c r="U116" i="2"/>
  <c r="M116" i="2"/>
  <c r="F116" i="2"/>
  <c r="K116" i="2" s="1"/>
  <c r="C116" i="2"/>
  <c r="U115" i="2"/>
  <c r="K115" i="2"/>
  <c r="F115" i="2"/>
  <c r="C115" i="2"/>
  <c r="U113" i="2"/>
  <c r="C113" i="2"/>
  <c r="U112" i="2"/>
  <c r="F112" i="2"/>
  <c r="F113" i="2" s="1"/>
  <c r="C112" i="2"/>
  <c r="U110" i="2"/>
  <c r="C110" i="2"/>
  <c r="U109" i="2"/>
  <c r="F109" i="2"/>
  <c r="C109" i="2"/>
  <c r="U107" i="2"/>
  <c r="F107" i="2"/>
  <c r="C107" i="2"/>
  <c r="V105" i="2"/>
  <c r="R105" i="2"/>
  <c r="U105" i="2" s="1"/>
  <c r="M105" i="2"/>
  <c r="L105" i="2"/>
  <c r="K105" i="2"/>
  <c r="C105" i="2"/>
  <c r="R104" i="2"/>
  <c r="U104" i="2" s="1"/>
  <c r="C104" i="2"/>
  <c r="R103" i="2"/>
  <c r="U103" i="2" s="1"/>
  <c r="C103" i="2"/>
  <c r="V102" i="2"/>
  <c r="R102" i="2"/>
  <c r="U102" i="2" s="1"/>
  <c r="M102" i="2"/>
  <c r="L102" i="2"/>
  <c r="K102" i="2"/>
  <c r="C102" i="2"/>
  <c r="V101" i="2"/>
  <c r="R101" i="2"/>
  <c r="U101" i="2" s="1"/>
  <c r="K101" i="2"/>
  <c r="L101" i="2" s="1"/>
  <c r="C101" i="2"/>
  <c r="R100" i="2"/>
  <c r="U100" i="2" s="1"/>
  <c r="M100" i="2"/>
  <c r="K100" i="2"/>
  <c r="C100" i="2"/>
  <c r="R99" i="2"/>
  <c r="U99" i="2" s="1"/>
  <c r="M99" i="2"/>
  <c r="K99" i="2"/>
  <c r="C99" i="2"/>
  <c r="V98" i="2"/>
  <c r="R98" i="2"/>
  <c r="U98" i="2" s="1"/>
  <c r="W98" i="2" s="1"/>
  <c r="M98" i="2"/>
  <c r="K98" i="2"/>
  <c r="L98" i="2" s="1"/>
  <c r="C98" i="2"/>
  <c r="V97" i="2"/>
  <c r="R97" i="2"/>
  <c r="U97" i="2" s="1"/>
  <c r="W97" i="2" s="1"/>
  <c r="M97" i="2"/>
  <c r="L97" i="2"/>
  <c r="K97" i="2"/>
  <c r="C97" i="2"/>
  <c r="R96" i="2"/>
  <c r="U96" i="2" s="1"/>
  <c r="K96" i="2"/>
  <c r="V96" i="2" s="1"/>
  <c r="C96" i="2"/>
  <c r="R95" i="2"/>
  <c r="U95" i="2" s="1"/>
  <c r="K95" i="2"/>
  <c r="C95" i="2"/>
  <c r="R94" i="2"/>
  <c r="U94" i="2" s="1"/>
  <c r="L94" i="2"/>
  <c r="K94" i="2"/>
  <c r="C94" i="2"/>
  <c r="R93" i="2"/>
  <c r="U93" i="2" s="1"/>
  <c r="K93" i="2"/>
  <c r="C93" i="2"/>
  <c r="R92" i="2"/>
  <c r="U92" i="2" s="1"/>
  <c r="M92" i="2"/>
  <c r="L92" i="2"/>
  <c r="K92" i="2"/>
  <c r="C92" i="2"/>
  <c r="R91" i="2"/>
  <c r="U91" i="2" s="1"/>
  <c r="C91" i="2"/>
  <c r="V90" i="2"/>
  <c r="R90" i="2"/>
  <c r="U90" i="2" s="1"/>
  <c r="K90" i="2"/>
  <c r="C90" i="2"/>
  <c r="R89" i="2"/>
  <c r="U89" i="2" s="1"/>
  <c r="K89" i="2"/>
  <c r="M89" i="2" s="1"/>
  <c r="M18" i="2" s="1"/>
  <c r="C89" i="2"/>
  <c r="AK88" i="2"/>
  <c r="R88" i="2"/>
  <c r="U88" i="2" s="1"/>
  <c r="M88" i="2"/>
  <c r="L88" i="2"/>
  <c r="K88" i="2"/>
  <c r="V88" i="2" s="1"/>
  <c r="C88" i="2"/>
  <c r="R87" i="2"/>
  <c r="U87" i="2" s="1"/>
  <c r="K87" i="2"/>
  <c r="C87" i="2"/>
  <c r="AK86" i="2"/>
  <c r="V86" i="2"/>
  <c r="R86" i="2"/>
  <c r="U86" i="2" s="1"/>
  <c r="K86" i="2"/>
  <c r="C86" i="2"/>
  <c r="R85" i="2"/>
  <c r="U85" i="2" s="1"/>
  <c r="K85" i="2"/>
  <c r="L85" i="2" s="1"/>
  <c r="C85" i="2"/>
  <c r="AK84" i="2"/>
  <c r="R84" i="2"/>
  <c r="U84" i="2" s="1"/>
  <c r="M84" i="2"/>
  <c r="L84" i="2"/>
  <c r="K84" i="2"/>
  <c r="V84" i="2" s="1"/>
  <c r="C84" i="2"/>
  <c r="R83" i="2"/>
  <c r="U83" i="2" s="1"/>
  <c r="K83" i="2"/>
  <c r="C83" i="2"/>
  <c r="AK82" i="2"/>
  <c r="V82" i="2"/>
  <c r="R82" i="2"/>
  <c r="U82" i="2" s="1"/>
  <c r="K82" i="2"/>
  <c r="C82" i="2"/>
  <c r="R81" i="2"/>
  <c r="U81" i="2" s="1"/>
  <c r="C81" i="2"/>
  <c r="AK80" i="2"/>
  <c r="R80" i="2"/>
  <c r="U80" i="2" s="1"/>
  <c r="M80" i="2"/>
  <c r="L80" i="2"/>
  <c r="K80" i="2"/>
  <c r="V80" i="2" s="1"/>
  <c r="C80" i="2"/>
  <c r="P79" i="2" a="1"/>
  <c r="P79" i="2" s="1"/>
  <c r="E79" i="2"/>
  <c r="U77" i="2"/>
  <c r="C77" i="2"/>
  <c r="U76" i="2"/>
  <c r="O76" i="2" a="1"/>
  <c r="O76" i="2" s="1"/>
  <c r="F76" i="2"/>
  <c r="C76" i="2"/>
  <c r="U74" i="2"/>
  <c r="F74" i="2"/>
  <c r="C74" i="2"/>
  <c r="U73" i="2"/>
  <c r="F73" i="2"/>
  <c r="K73" i="2" s="1"/>
  <c r="C73" i="2"/>
  <c r="V71" i="2"/>
  <c r="R71" i="2"/>
  <c r="U71" i="2" s="1"/>
  <c r="W71" i="2" s="1"/>
  <c r="K71" i="2"/>
  <c r="C71" i="2"/>
  <c r="V70" i="2"/>
  <c r="R70" i="2"/>
  <c r="U70" i="2" s="1"/>
  <c r="W70" i="2" s="1"/>
  <c r="K70" i="2"/>
  <c r="M70" i="2" s="1"/>
  <c r="C70" i="2"/>
  <c r="R69" i="2"/>
  <c r="U69" i="2" s="1"/>
  <c r="M69" i="2"/>
  <c r="L69" i="2"/>
  <c r="K69" i="2"/>
  <c r="V69" i="2" s="1"/>
  <c r="C69" i="2"/>
  <c r="R68" i="2"/>
  <c r="U68" i="2" s="1"/>
  <c r="L68" i="2"/>
  <c r="K68" i="2"/>
  <c r="C68" i="2"/>
  <c r="V67" i="2"/>
  <c r="R67" i="2"/>
  <c r="U67" i="2" s="1"/>
  <c r="M67" i="2"/>
  <c r="L67" i="2"/>
  <c r="C67" i="2"/>
  <c r="V66" i="2"/>
  <c r="R66" i="2"/>
  <c r="U66" i="2" s="1"/>
  <c r="W66" i="2" s="1"/>
  <c r="M66" i="2"/>
  <c r="L66" i="2"/>
  <c r="C66" i="2"/>
  <c r="R65" i="2"/>
  <c r="U65" i="2" s="1"/>
  <c r="C65" i="2"/>
  <c r="R64" i="2"/>
  <c r="U64" i="2" s="1"/>
  <c r="C64" i="2"/>
  <c r="R63" i="2"/>
  <c r="U63" i="2" s="1"/>
  <c r="K63" i="2"/>
  <c r="C63" i="2"/>
  <c r="R62" i="2"/>
  <c r="U62" i="2" s="1"/>
  <c r="C62" i="2"/>
  <c r="V61" i="2"/>
  <c r="R61" i="2"/>
  <c r="U61" i="2" s="1"/>
  <c r="M61" i="2"/>
  <c r="L61" i="2"/>
  <c r="K61" i="2"/>
  <c r="C61" i="2"/>
  <c r="V60" i="2"/>
  <c r="R60" i="2"/>
  <c r="U60" i="2" s="1"/>
  <c r="M60" i="2"/>
  <c r="L60" i="2"/>
  <c r="C60" i="2"/>
  <c r="V59" i="2"/>
  <c r="R59" i="2"/>
  <c r="U59" i="2" s="1"/>
  <c r="W59" i="2" s="1"/>
  <c r="M59" i="2"/>
  <c r="L59" i="2"/>
  <c r="C59" i="2"/>
  <c r="V58" i="2"/>
  <c r="R58" i="2"/>
  <c r="U58" i="2" s="1"/>
  <c r="W58" i="2" s="1"/>
  <c r="M58" i="2"/>
  <c r="L58" i="2"/>
  <c r="C58" i="2"/>
  <c r="AA57" i="2" a="1"/>
  <c r="AA57" i="2" s="1"/>
  <c r="V57" i="2"/>
  <c r="R57" i="2"/>
  <c r="U57" i="2" s="1"/>
  <c r="W57" i="2" s="1"/>
  <c r="M57" i="2"/>
  <c r="L57" i="2"/>
  <c r="C57" i="2"/>
  <c r="V56" i="2"/>
  <c r="R56" i="2"/>
  <c r="U56" i="2" s="1"/>
  <c r="W56" i="2" s="1"/>
  <c r="O56" i="2" a="1"/>
  <c r="O56" i="2" s="1"/>
  <c r="S56" i="2" s="1"/>
  <c r="M56" i="2"/>
  <c r="L56" i="2"/>
  <c r="C56" i="2"/>
  <c r="V55" i="2"/>
  <c r="R55" i="2"/>
  <c r="U55" i="2" s="1"/>
  <c r="M55" i="2"/>
  <c r="L55" i="2"/>
  <c r="C55" i="2"/>
  <c r="R54" i="2"/>
  <c r="U54" i="2" s="1"/>
  <c r="K54" i="2"/>
  <c r="C54" i="2"/>
  <c r="V53" i="2"/>
  <c r="R53" i="2"/>
  <c r="U53" i="2" s="1"/>
  <c r="M53" i="2"/>
  <c r="L53" i="2"/>
  <c r="C53" i="2"/>
  <c r="V52" i="2"/>
  <c r="R52" i="2"/>
  <c r="U52" i="2" s="1"/>
  <c r="M52" i="2"/>
  <c r="L52" i="2"/>
  <c r="C52" i="2"/>
  <c r="V51" i="2"/>
  <c r="R51" i="2"/>
  <c r="U51" i="2" s="1"/>
  <c r="K51" i="2"/>
  <c r="M51" i="2" s="1"/>
  <c r="C51" i="2"/>
  <c r="R50" i="2"/>
  <c r="U50" i="2" s="1"/>
  <c r="M50" i="2"/>
  <c r="L50" i="2"/>
  <c r="K50" i="2"/>
  <c r="V50" i="2" s="1"/>
  <c r="C50" i="2"/>
  <c r="V49" i="2"/>
  <c r="R49" i="2"/>
  <c r="U49" i="2" s="1"/>
  <c r="M49" i="2"/>
  <c r="L49" i="2"/>
  <c r="K49" i="2"/>
  <c r="C49" i="2"/>
  <c r="R48" i="2"/>
  <c r="U48" i="2" s="1"/>
  <c r="M48" i="2"/>
  <c r="L48" i="2"/>
  <c r="K48" i="2"/>
  <c r="V48" i="2" s="1"/>
  <c r="C48" i="2"/>
  <c r="R47" i="2"/>
  <c r="U47" i="2" s="1"/>
  <c r="O47" i="2" a="1"/>
  <c r="O47" i="2" s="1"/>
  <c r="M47" i="2"/>
  <c r="K47" i="2"/>
  <c r="C47" i="2"/>
  <c r="R46" i="2"/>
  <c r="U46" i="2" s="1"/>
  <c r="K46" i="2"/>
  <c r="V46" i="2" s="1"/>
  <c r="C46" i="2"/>
  <c r="V45" i="2"/>
  <c r="R45" i="2"/>
  <c r="U45" i="2" s="1"/>
  <c r="K45" i="2"/>
  <c r="M45" i="2" s="1"/>
  <c r="C45" i="2"/>
  <c r="AE44" i="2"/>
  <c r="V43" i="2"/>
  <c r="U43" i="2"/>
  <c r="K43" i="2"/>
  <c r="M43" i="2" s="1"/>
  <c r="C43" i="2"/>
  <c r="G17" i="2" s="1"/>
  <c r="E42" i="2"/>
  <c r="M37" i="2"/>
  <c r="L37" i="2"/>
  <c r="K37" i="2"/>
  <c r="J37" i="2"/>
  <c r="G37" i="2"/>
  <c r="V36" i="2"/>
  <c r="M36" i="2"/>
  <c r="L36" i="2"/>
  <c r="K36" i="2"/>
  <c r="J36" i="2"/>
  <c r="K35" i="2"/>
  <c r="J35" i="2"/>
  <c r="G35" i="2"/>
  <c r="AJ34" i="2"/>
  <c r="M34" i="2"/>
  <c r="L34" i="2"/>
  <c r="K34" i="2"/>
  <c r="J34" i="2"/>
  <c r="K31" i="2"/>
  <c r="J31" i="2"/>
  <c r="G31" i="2"/>
  <c r="AJ30" i="2"/>
  <c r="M30" i="2"/>
  <c r="L30" i="2"/>
  <c r="K30" i="2"/>
  <c r="J30" i="2"/>
  <c r="AJ29" i="2"/>
  <c r="M29" i="2"/>
  <c r="L29" i="2"/>
  <c r="K29" i="2"/>
  <c r="J29" i="2"/>
  <c r="G29" i="2"/>
  <c r="AJ28" i="2"/>
  <c r="K28" i="2"/>
  <c r="J28" i="2"/>
  <c r="J27" i="2"/>
  <c r="G27" i="2"/>
  <c r="M26" i="2"/>
  <c r="L26" i="2"/>
  <c r="K26" i="2"/>
  <c r="J26" i="2"/>
  <c r="AJ25" i="2"/>
  <c r="M25" i="2"/>
  <c r="L25" i="2"/>
  <c r="K25" i="2"/>
  <c r="J25" i="2"/>
  <c r="G25" i="2"/>
  <c r="AJ24" i="2"/>
  <c r="M24" i="2"/>
  <c r="L24" i="2"/>
  <c r="K24" i="2"/>
  <c r="J24" i="2"/>
  <c r="G24" i="2"/>
  <c r="M23" i="2"/>
  <c r="L23" i="2"/>
  <c r="K23" i="2"/>
  <c r="J23" i="2"/>
  <c r="G23" i="2"/>
  <c r="K22" i="2"/>
  <c r="J22" i="2"/>
  <c r="G22" i="2"/>
  <c r="K21" i="2"/>
  <c r="J21" i="2"/>
  <c r="J20" i="2"/>
  <c r="G20" i="2"/>
  <c r="AJ19" i="2"/>
  <c r="K19" i="2"/>
  <c r="J19" i="2"/>
  <c r="K18" i="2"/>
  <c r="J18" i="2"/>
  <c r="AJ17" i="2"/>
  <c r="M17" i="2"/>
  <c r="K17" i="2"/>
  <c r="J17" i="2"/>
  <c r="AA54" i="2" a="1"/>
  <c r="AA54" i="2" s="1"/>
  <c r="O65" i="2" a="1"/>
  <c r="O65" i="2" s="1"/>
  <c r="AA92" i="2" a="1"/>
  <c r="AA92" i="2" s="1"/>
  <c r="O91" i="2" a="1"/>
  <c r="O91" i="2" s="1"/>
  <c r="AI1227" i="2"/>
  <c r="M677" i="44" l="1"/>
  <c r="S677" i="44"/>
  <c r="I43" i="23"/>
  <c r="I55" i="23"/>
  <c r="G74" i="23"/>
  <c r="I74" i="23" s="1"/>
  <c r="J74" i="23" s="1"/>
  <c r="T677" i="44"/>
  <c r="L682" i="2"/>
  <c r="I3" i="23"/>
  <c r="J43" i="23"/>
  <c r="G56" i="23"/>
  <c r="K680" i="44"/>
  <c r="G44" i="23"/>
  <c r="I44" i="23" s="1"/>
  <c r="J44" i="23" s="1"/>
  <c r="I86" i="23"/>
  <c r="G20" i="27" s="1"/>
  <c r="N20" i="27" s="1"/>
  <c r="G28" i="27"/>
  <c r="N28" i="27" s="1"/>
  <c r="W682" i="2"/>
  <c r="J4" i="23"/>
  <c r="G76" i="23"/>
  <c r="K113" i="44"/>
  <c r="V113" i="44" s="1"/>
  <c r="W113" i="44" s="1"/>
  <c r="J30" i="23"/>
  <c r="K679" i="44"/>
  <c r="W670" i="2"/>
  <c r="M680" i="2"/>
  <c r="I5" i="23"/>
  <c r="J5" i="23" s="1"/>
  <c r="I61" i="23"/>
  <c r="J88" i="23"/>
  <c r="S680" i="44"/>
  <c r="G81" i="23"/>
  <c r="I81" i="23" s="1"/>
  <c r="K674" i="44"/>
  <c r="V674" i="44" s="1"/>
  <c r="W674" i="44" s="1"/>
  <c r="K682" i="44"/>
  <c r="V680" i="2"/>
  <c r="W680" i="2" s="1"/>
  <c r="G50" i="23"/>
  <c r="I62" i="23"/>
  <c r="J89" i="23"/>
  <c r="K678" i="44"/>
  <c r="M678" i="44" s="1"/>
  <c r="T679" i="44"/>
  <c r="S682" i="44"/>
  <c r="AE682" i="44" s="1"/>
  <c r="AB682" i="44" s="1"/>
  <c r="G68" i="23"/>
  <c r="G83" i="23"/>
  <c r="N29" i="27"/>
  <c r="K670" i="44"/>
  <c r="T682" i="44"/>
  <c r="J6" i="23"/>
  <c r="G51" i="23"/>
  <c r="G104" i="23" s="1"/>
  <c r="M674" i="2"/>
  <c r="G52" i="23"/>
  <c r="K681" i="44"/>
  <c r="M681" i="44" s="1"/>
  <c r="F19" i="16"/>
  <c r="F17" i="16"/>
  <c r="F18" i="16" s="1"/>
  <c r="G9" i="20" s="1"/>
  <c r="AJ33" i="16"/>
  <c r="AJ120" i="18"/>
  <c r="K32" i="20"/>
  <c r="F74" i="17"/>
  <c r="I194" i="17"/>
  <c r="I196" i="17" s="1"/>
  <c r="I197" i="17" s="1"/>
  <c r="H196" i="17"/>
  <c r="H197" i="17" s="1"/>
  <c r="G9" i="18"/>
  <c r="AJ66" i="18"/>
  <c r="AJ88" i="18"/>
  <c r="P184" i="17"/>
  <c r="P185" i="17" s="1"/>
  <c r="AJ106" i="18"/>
  <c r="AJ113" i="18"/>
  <c r="Q130" i="18"/>
  <c r="O129" i="18"/>
  <c r="H74" i="17"/>
  <c r="AJ86" i="18"/>
  <c r="AJ89" i="18"/>
  <c r="P76" i="18"/>
  <c r="AJ118" i="18"/>
  <c r="R130" i="18"/>
  <c r="P129" i="18"/>
  <c r="AJ137" i="18"/>
  <c r="AJ152" i="18"/>
  <c r="AJ61" i="18"/>
  <c r="AJ87" i="18"/>
  <c r="AJ115" i="18"/>
  <c r="AJ134" i="18"/>
  <c r="AJ136" i="18"/>
  <c r="AJ138" i="18"/>
  <c r="Q30" i="16"/>
  <c r="F26" i="16"/>
  <c r="AJ65" i="18"/>
  <c r="AJ140" i="18"/>
  <c r="O32" i="20"/>
  <c r="V25" i="20"/>
  <c r="AJ62" i="18"/>
  <c r="AJ111" i="18"/>
  <c r="I173" i="17"/>
  <c r="I175" i="17" s="1"/>
  <c r="O76" i="18"/>
  <c r="G91" i="18"/>
  <c r="AJ117" i="18"/>
  <c r="AJ127" i="18"/>
  <c r="I148" i="18"/>
  <c r="V29" i="16"/>
  <c r="H91" i="18"/>
  <c r="AJ100" i="18"/>
  <c r="AJ105" i="18"/>
  <c r="O133" i="18"/>
  <c r="AJ128" i="18"/>
  <c r="AJ146" i="18"/>
  <c r="O148" i="18"/>
  <c r="AJ29" i="17"/>
  <c r="P173" i="17"/>
  <c r="P175" i="17" s="1"/>
  <c r="I91" i="18"/>
  <c r="AJ95" i="18"/>
  <c r="AJ96" i="18"/>
  <c r="AJ110" i="18"/>
  <c r="P132" i="18"/>
  <c r="I129" i="18"/>
  <c r="P148" i="18"/>
  <c r="S61" i="20"/>
  <c r="Y29" i="16"/>
  <c r="AJ35" i="16"/>
  <c r="R76" i="18"/>
  <c r="O91" i="18"/>
  <c r="AJ114" i="18"/>
  <c r="AJ122" i="18"/>
  <c r="Q132" i="18"/>
  <c r="V7" i="20"/>
  <c r="Z29" i="16"/>
  <c r="AJ34" i="16"/>
  <c r="G56" i="14" s="1"/>
  <c r="P91" i="18"/>
  <c r="AJ97" i="18"/>
  <c r="AJ107" i="18"/>
  <c r="AJ121" i="18"/>
  <c r="F129" i="18"/>
  <c r="R132" i="18"/>
  <c r="AJ142" i="18"/>
  <c r="AJ144" i="18"/>
  <c r="V26" i="20"/>
  <c r="AJ9" i="18"/>
  <c r="R9" i="16"/>
  <c r="R30" i="16"/>
  <c r="F166" i="17"/>
  <c r="F168" i="17" s="1"/>
  <c r="T179" i="17"/>
  <c r="T180" i="17" s="1"/>
  <c r="Q91" i="18"/>
  <c r="AJ116" i="18"/>
  <c r="G129" i="18"/>
  <c r="AJ141" i="18"/>
  <c r="AJ143" i="18"/>
  <c r="AJ145" i="18"/>
  <c r="AJ193" i="17"/>
  <c r="Q7" i="16"/>
  <c r="H166" i="17"/>
  <c r="O179" i="17"/>
  <c r="O180" i="17" s="1"/>
  <c r="V179" i="17"/>
  <c r="V180" i="17" s="1"/>
  <c r="R92" i="18"/>
  <c r="H132" i="18"/>
  <c r="AJ125" i="18"/>
  <c r="G11" i="20"/>
  <c r="I166" i="17"/>
  <c r="I167" i="17" s="1"/>
  <c r="R184" i="17"/>
  <c r="R185" i="17" s="1"/>
  <c r="AJ90" i="18"/>
  <c r="AJ103" i="18"/>
  <c r="I132" i="18"/>
  <c r="AJ139" i="18"/>
  <c r="AJ149" i="18"/>
  <c r="W1110" i="44"/>
  <c r="W817" i="44"/>
  <c r="W897" i="44"/>
  <c r="W890" i="44"/>
  <c r="W550" i="44"/>
  <c r="W1205" i="44"/>
  <c r="W628" i="44"/>
  <c r="W258" i="44"/>
  <c r="W365" i="44"/>
  <c r="W968" i="44"/>
  <c r="W975" i="44"/>
  <c r="W1113" i="44"/>
  <c r="W115" i="44"/>
  <c r="W403" i="44"/>
  <c r="W838" i="44"/>
  <c r="W1005" i="44"/>
  <c r="W1019" i="44"/>
  <c r="W1264" i="44"/>
  <c r="W101" i="44"/>
  <c r="W883" i="44"/>
  <c r="W987" i="44"/>
  <c r="W1064" i="44"/>
  <c r="W63" i="44"/>
  <c r="W66" i="44"/>
  <c r="W340" i="44"/>
  <c r="W346" i="44"/>
  <c r="W436" i="44"/>
  <c r="W860" i="44"/>
  <c r="W895" i="44"/>
  <c r="W939" i="44"/>
  <c r="W1024" i="44"/>
  <c r="W173" i="44"/>
  <c r="W179" i="44"/>
  <c r="W213" i="44"/>
  <c r="W285" i="44"/>
  <c r="W630" i="44"/>
  <c r="W756" i="44"/>
  <c r="W978" i="44"/>
  <c r="W93" i="44"/>
  <c r="W98" i="44"/>
  <c r="W212" i="44"/>
  <c r="W579" i="44"/>
  <c r="W722" i="44"/>
  <c r="W61" i="44"/>
  <c r="U118" i="44"/>
  <c r="U19" i="44" s="1"/>
  <c r="W495" i="44"/>
  <c r="W726" i="44"/>
  <c r="W933" i="44"/>
  <c r="W1089" i="44"/>
  <c r="W1194" i="44"/>
  <c r="W391" i="44"/>
  <c r="W568" i="44"/>
  <c r="W925" i="44"/>
  <c r="W1027" i="44"/>
  <c r="W132" i="44"/>
  <c r="W461" i="44"/>
  <c r="W581" i="44"/>
  <c r="W610" i="44"/>
  <c r="W724" i="44"/>
  <c r="W742" i="44"/>
  <c r="W879" i="44"/>
  <c r="W887" i="44"/>
  <c r="W1015" i="44"/>
  <c r="W1026" i="44"/>
  <c r="W1051" i="44"/>
  <c r="W1136" i="44"/>
  <c r="W1142" i="44"/>
  <c r="W1257" i="44"/>
  <c r="W122" i="44"/>
  <c r="W139" i="44"/>
  <c r="W345" i="44"/>
  <c r="W983" i="44"/>
  <c r="W1010" i="44"/>
  <c r="W221" i="44"/>
  <c r="W289" i="44"/>
  <c r="W310" i="44"/>
  <c r="W375" i="44"/>
  <c r="W809" i="44"/>
  <c r="W994" i="44"/>
  <c r="W1203" i="44"/>
  <c r="W89" i="44"/>
  <c r="W336" i="44"/>
  <c r="W368" i="44"/>
  <c r="W465" i="44"/>
  <c r="W663" i="44"/>
  <c r="W921" i="44"/>
  <c r="W168" i="44"/>
  <c r="W371" i="44"/>
  <c r="W823" i="44"/>
  <c r="W121" i="44"/>
  <c r="W138" i="44"/>
  <c r="W180" i="44"/>
  <c r="W192" i="44"/>
  <c r="W378" i="44"/>
  <c r="W1030" i="44"/>
  <c r="W1242" i="44"/>
  <c r="W265" i="44"/>
  <c r="W438" i="44"/>
  <c r="W575" i="44"/>
  <c r="W841" i="44"/>
  <c r="W1033" i="44"/>
  <c r="W1039" i="44"/>
  <c r="W1126" i="44"/>
  <c r="W1211" i="44"/>
  <c r="AB301" i="44"/>
  <c r="AE301" i="44"/>
  <c r="AC133" i="44"/>
  <c r="W55" i="44"/>
  <c r="W163" i="44"/>
  <c r="W68" i="44"/>
  <c r="T120" i="44"/>
  <c r="W209" i="44"/>
  <c r="W235" i="44"/>
  <c r="W53" i="44"/>
  <c r="AB142" i="44"/>
  <c r="W183" i="44"/>
  <c r="U331" i="44"/>
  <c r="U22" i="44" s="1"/>
  <c r="AI734" i="44"/>
  <c r="M734" i="44"/>
  <c r="AE59" i="44"/>
  <c r="AB59" i="44" s="1"/>
  <c r="T105" i="44"/>
  <c r="W149" i="44"/>
  <c r="T439" i="44"/>
  <c r="S439" i="44"/>
  <c r="AK82" i="44"/>
  <c r="W99" i="44"/>
  <c r="W160" i="44"/>
  <c r="V234" i="44"/>
  <c r="T251" i="44"/>
  <c r="W316" i="44"/>
  <c r="W463" i="44"/>
  <c r="V808" i="44"/>
  <c r="W808" i="44" s="1"/>
  <c r="L808" i="44"/>
  <c r="W86" i="44"/>
  <c r="T54" i="44"/>
  <c r="W71" i="44"/>
  <c r="W153" i="44"/>
  <c r="W175" i="44"/>
  <c r="T224" i="44"/>
  <c r="AC224" i="44" s="1"/>
  <c r="L231" i="44"/>
  <c r="L232" i="44"/>
  <c r="W312" i="44"/>
  <c r="AC403" i="44"/>
  <c r="AK456" i="44"/>
  <c r="AJ25" i="44" s="1"/>
  <c r="W220" i="44"/>
  <c r="W283" i="44"/>
  <c r="W288" i="44"/>
  <c r="V388" i="44"/>
  <c r="M388" i="44"/>
  <c r="L388" i="44"/>
  <c r="W140" i="44"/>
  <c r="AE142" i="44"/>
  <c r="W177" i="44"/>
  <c r="S181" i="44"/>
  <c r="W226" i="44"/>
  <c r="W228" i="44"/>
  <c r="W252" i="44"/>
  <c r="W369" i="44"/>
  <c r="S388" i="44"/>
  <c r="L542" i="44"/>
  <c r="M542" i="44"/>
  <c r="S48" i="44"/>
  <c r="W67" i="44"/>
  <c r="T181" i="44"/>
  <c r="L202" i="44"/>
  <c r="W225" i="44"/>
  <c r="W227" i="44"/>
  <c r="S231" i="44"/>
  <c r="S232" i="44"/>
  <c r="AE232" i="44" s="1"/>
  <c r="W244" i="44"/>
  <c r="W308" i="44"/>
  <c r="W468" i="44"/>
  <c r="W176" i="44"/>
  <c r="T232" i="44"/>
  <c r="W147" i="44"/>
  <c r="W161" i="44"/>
  <c r="S202" i="44"/>
  <c r="W267" i="44"/>
  <c r="T337" i="44"/>
  <c r="W151" i="44"/>
  <c r="W189" i="44"/>
  <c r="W218" i="44"/>
  <c r="V232" i="44"/>
  <c r="W232" i="44" s="1"/>
  <c r="L235" i="44"/>
  <c r="T236" i="44"/>
  <c r="M115" i="44"/>
  <c r="W133" i="44"/>
  <c r="W193" i="44"/>
  <c r="W224" i="44"/>
  <c r="M235" i="44"/>
  <c r="L236" i="44"/>
  <c r="W248" i="44"/>
  <c r="W256" i="44"/>
  <c r="V325" i="44"/>
  <c r="W325" i="44" s="1"/>
  <c r="L325" i="44"/>
  <c r="W385" i="44"/>
  <c r="V542" i="44"/>
  <c r="W542" i="44" s="1"/>
  <c r="W58" i="44"/>
  <c r="T159" i="44"/>
  <c r="M189" i="44"/>
  <c r="T259" i="44"/>
  <c r="W478" i="44"/>
  <c r="W134" i="44"/>
  <c r="W229" i="44"/>
  <c r="S235" i="44"/>
  <c r="W249" i="44"/>
  <c r="W260" i="44"/>
  <c r="AE370" i="44"/>
  <c r="AB370" i="44" s="1"/>
  <c r="W92" i="44"/>
  <c r="T127" i="44"/>
  <c r="T213" i="44"/>
  <c r="T235" i="44"/>
  <c r="U279" i="44"/>
  <c r="U21" i="44" s="1"/>
  <c r="W294" i="44"/>
  <c r="T373" i="44"/>
  <c r="W342" i="44"/>
  <c r="W344" i="44"/>
  <c r="W364" i="44"/>
  <c r="W434" i="44"/>
  <c r="S466" i="44"/>
  <c r="T499" i="44"/>
  <c r="AI637" i="44"/>
  <c r="T637" i="44"/>
  <c r="M637" i="44"/>
  <c r="W357" i="44"/>
  <c r="W409" i="44"/>
  <c r="T460" i="44"/>
  <c r="M514" i="44"/>
  <c r="V514" i="44"/>
  <c r="W514" i="44" s="1"/>
  <c r="S527" i="44"/>
  <c r="AE527" i="44" s="1"/>
  <c r="AB527" i="44" s="1"/>
  <c r="V547" i="44"/>
  <c r="W547" i="44" s="1"/>
  <c r="M547" i="44"/>
  <c r="AI547" i="44"/>
  <c r="S565" i="44"/>
  <c r="M621" i="44"/>
  <c r="V621" i="44"/>
  <c r="T630" i="44"/>
  <c r="V637" i="44"/>
  <c r="W637" i="44" s="1"/>
  <c r="L725" i="44"/>
  <c r="M725" i="44"/>
  <c r="W293" i="44"/>
  <c r="W301" i="44"/>
  <c r="W408" i="44"/>
  <c r="L560" i="44"/>
  <c r="AI560" i="44"/>
  <c r="W727" i="44"/>
  <c r="V737" i="44"/>
  <c r="W737" i="44" s="1"/>
  <c r="L737" i="44"/>
  <c r="W343" i="44"/>
  <c r="S469" i="44"/>
  <c r="M560" i="44"/>
  <c r="W606" i="44"/>
  <c r="M628" i="44"/>
  <c r="S737" i="44"/>
  <c r="W299" i="44"/>
  <c r="W306" i="44"/>
  <c r="W384" i="44"/>
  <c r="W395" i="44"/>
  <c r="W474" i="44"/>
  <c r="S507" i="44"/>
  <c r="AI529" i="44"/>
  <c r="V529" i="44"/>
  <c r="S529" i="44"/>
  <c r="W645" i="44"/>
  <c r="W503" i="44"/>
  <c r="T648" i="44"/>
  <c r="M648" i="44"/>
  <c r="V793" i="44"/>
  <c r="W793" i="44" s="1"/>
  <c r="T793" i="44"/>
  <c r="M793" i="44"/>
  <c r="T305" i="44"/>
  <c r="T314" i="44"/>
  <c r="T335" i="44"/>
  <c r="W372" i="44"/>
  <c r="W426" i="44"/>
  <c r="W509" i="44"/>
  <c r="W560" i="44"/>
  <c r="L648" i="44"/>
  <c r="W661" i="44"/>
  <c r="M796" i="44"/>
  <c r="V796" i="44"/>
  <c r="W796" i="44" s="1"/>
  <c r="V820" i="44"/>
  <c r="W820" i="44" s="1"/>
  <c r="S820" i="44"/>
  <c r="AE820" i="44" s="1"/>
  <c r="W381" i="44"/>
  <c r="W428" i="44"/>
  <c r="W430" i="44"/>
  <c r="W460" i="44"/>
  <c r="V560" i="44"/>
  <c r="W586" i="44"/>
  <c r="T357" i="44"/>
  <c r="M438" i="44"/>
  <c r="G25" i="44"/>
  <c r="V523" i="44"/>
  <c r="AI523" i="44"/>
  <c r="G28" i="44"/>
  <c r="L743" i="44"/>
  <c r="M915" i="44"/>
  <c r="V915" i="44"/>
  <c r="W915" i="44" s="1"/>
  <c r="L915" i="44"/>
  <c r="T318" i="44"/>
  <c r="AC318" i="44" s="1"/>
  <c r="W366" i="44"/>
  <c r="T404" i="44"/>
  <c r="S438" i="44"/>
  <c r="AE438" i="44" s="1"/>
  <c r="AB438" i="44" s="1"/>
  <c r="AI491" i="44"/>
  <c r="M491" i="44"/>
  <c r="T506" i="44"/>
  <c r="S539" i="44"/>
  <c r="T572" i="44"/>
  <c r="S582" i="44"/>
  <c r="T610" i="44"/>
  <c r="S615" i="44"/>
  <c r="AE615" i="44" s="1"/>
  <c r="AC615" i="44" s="1"/>
  <c r="V615" i="44"/>
  <c r="W615" i="44" s="1"/>
  <c r="T731" i="44"/>
  <c r="L731" i="44"/>
  <c r="M743" i="44"/>
  <c r="T438" i="44"/>
  <c r="V544" i="44"/>
  <c r="W544" i="44" s="1"/>
  <c r="L544" i="44"/>
  <c r="L578" i="44"/>
  <c r="M578" i="44"/>
  <c r="W400" i="44"/>
  <c r="W411" i="44"/>
  <c r="W507" i="44"/>
  <c r="M535" i="44"/>
  <c r="V535" i="44"/>
  <c r="W535" i="44" s="1"/>
  <c r="T539" i="44"/>
  <c r="M544" i="44"/>
  <c r="V559" i="44"/>
  <c r="W559" i="44" s="1"/>
  <c r="W576" i="44"/>
  <c r="L637" i="44"/>
  <c r="AK758" i="44"/>
  <c r="S472" i="44"/>
  <c r="V499" i="44"/>
  <c r="W499" i="44" s="1"/>
  <c r="L499" i="44"/>
  <c r="S578" i="44"/>
  <c r="T633" i="44"/>
  <c r="V633" i="44"/>
  <c r="W633" i="44" s="1"/>
  <c r="M642" i="44"/>
  <c r="V660" i="44"/>
  <c r="W660" i="44" s="1"/>
  <c r="S660" i="44"/>
  <c r="AE660" i="44" s="1"/>
  <c r="L660" i="44"/>
  <c r="T663" i="44"/>
  <c r="S743" i="44"/>
  <c r="AK761" i="44"/>
  <c r="T808" i="44"/>
  <c r="G31" i="44"/>
  <c r="AC1018" i="44"/>
  <c r="M1037" i="44"/>
  <c r="L1037" i="44"/>
  <c r="T796" i="44"/>
  <c r="S824" i="44"/>
  <c r="AI912" i="44"/>
  <c r="S912" i="44"/>
  <c r="W506" i="44"/>
  <c r="W654" i="44"/>
  <c r="S736" i="44"/>
  <c r="S742" i="44"/>
  <c r="AE741" i="44" s="1"/>
  <c r="W769" i="44"/>
  <c r="W874" i="44"/>
  <c r="AK757" i="44"/>
  <c r="W814" i="44"/>
  <c r="S806" i="44"/>
  <c r="AE804" i="44" s="1"/>
  <c r="T806" i="44"/>
  <c r="T606" i="44"/>
  <c r="U720" i="44"/>
  <c r="U28" i="44" s="1"/>
  <c r="W728" i="44"/>
  <c r="W770" i="44"/>
  <c r="W818" i="44"/>
  <c r="V872" i="44"/>
  <c r="K871" i="44"/>
  <c r="L872" i="44"/>
  <c r="M728" i="44"/>
  <c r="T814" i="44"/>
  <c r="M872" i="44"/>
  <c r="W875" i="44"/>
  <c r="W889" i="44"/>
  <c r="W526" i="44"/>
  <c r="W612" i="44"/>
  <c r="S637" i="44"/>
  <c r="S767" i="44"/>
  <c r="AE767" i="44" s="1"/>
  <c r="AC767" i="44" s="1"/>
  <c r="V767" i="44"/>
  <c r="W826" i="44"/>
  <c r="T915" i="44"/>
  <c r="V989" i="44"/>
  <c r="W989" i="44" s="1"/>
  <c r="M989" i="44"/>
  <c r="L989" i="44"/>
  <c r="W1050" i="44"/>
  <c r="W946" i="44"/>
  <c r="T952" i="44"/>
  <c r="M952" i="44"/>
  <c r="L952" i="44"/>
  <c r="W574" i="44"/>
  <c r="T579" i="44"/>
  <c r="S618" i="44"/>
  <c r="T728" i="44"/>
  <c r="W747" i="44"/>
  <c r="W767" i="44"/>
  <c r="W872" i="44"/>
  <c r="W942" i="44"/>
  <c r="W984" i="44"/>
  <c r="W766" i="44"/>
  <c r="W805" i="44"/>
  <c r="S814" i="44"/>
  <c r="W842" i="44"/>
  <c r="S940" i="44"/>
  <c r="W972" i="44"/>
  <c r="AK976" i="44"/>
  <c r="AB1059" i="44"/>
  <c r="S784" i="44"/>
  <c r="W862" i="44"/>
  <c r="W886" i="44"/>
  <c r="W888" i="44"/>
  <c r="S915" i="44"/>
  <c r="L968" i="44"/>
  <c r="AQ968" i="44"/>
  <c r="L982" i="44"/>
  <c r="T982" i="44"/>
  <c r="W1012" i="44"/>
  <c r="W1072" i="44"/>
  <c r="W1084" i="44"/>
  <c r="AI1167" i="44"/>
  <c r="V1167" i="44"/>
  <c r="W1167" i="44" s="1"/>
  <c r="L1167" i="44"/>
  <c r="M1191" i="44"/>
  <c r="L1191" i="44"/>
  <c r="W1245" i="44"/>
  <c r="W1266" i="44"/>
  <c r="W840" i="44"/>
  <c r="W856" i="44"/>
  <c r="W882" i="44"/>
  <c r="W979" i="44"/>
  <c r="W1071" i="44"/>
  <c r="T1152" i="44"/>
  <c r="AC1152" i="44" s="1"/>
  <c r="S1152" i="44"/>
  <c r="T1167" i="44"/>
  <c r="S1187" i="44"/>
  <c r="AE1187" i="44" s="1"/>
  <c r="W852" i="44"/>
  <c r="S872" i="44"/>
  <c r="W873" i="44"/>
  <c r="W923" i="44"/>
  <c r="S944" i="44"/>
  <c r="W995" i="44"/>
  <c r="G37" i="44"/>
  <c r="M944" i="44"/>
  <c r="S953" i="44"/>
  <c r="S968" i="44"/>
  <c r="S1016" i="44"/>
  <c r="AE1016" i="44" s="1"/>
  <c r="AC1016" i="44" s="1"/>
  <c r="W1093" i="44"/>
  <c r="W1103" i="44"/>
  <c r="W1141" i="44"/>
  <c r="S871" i="44"/>
  <c r="T920" i="44"/>
  <c r="W929" i="44"/>
  <c r="W934" i="44"/>
  <c r="W1023" i="44"/>
  <c r="W1088" i="44"/>
  <c r="W1190" i="44"/>
  <c r="W967" i="44"/>
  <c r="W1070" i="44"/>
  <c r="V1166" i="44"/>
  <c r="M1166" i="44"/>
  <c r="L1166" i="44"/>
  <c r="AI1166" i="44"/>
  <c r="W1255" i="44"/>
  <c r="W1101" i="44"/>
  <c r="W876" i="44"/>
  <c r="W922" i="44"/>
  <c r="AB985" i="44"/>
  <c r="T993" i="44"/>
  <c r="W1092" i="44"/>
  <c r="W1137" i="44"/>
  <c r="AI1152" i="44"/>
  <c r="W1262" i="44"/>
  <c r="W844" i="44"/>
  <c r="S874" i="44"/>
  <c r="AE874" i="44" s="1"/>
  <c r="W981" i="44"/>
  <c r="V1022" i="44"/>
  <c r="AK968" i="44"/>
  <c r="W973" i="44"/>
  <c r="W980" i="44"/>
  <c r="S989" i="44"/>
  <c r="W1003" i="44"/>
  <c r="W1021" i="44"/>
  <c r="W1053" i="44"/>
  <c r="W1100" i="44"/>
  <c r="W849" i="44"/>
  <c r="T989" i="44"/>
  <c r="S1009" i="44"/>
  <c r="AB1042" i="44"/>
  <c r="AE1042" i="44"/>
  <c r="W1209" i="44"/>
  <c r="W1011" i="44"/>
  <c r="T1037" i="44"/>
  <c r="W1038" i="44"/>
  <c r="W1056" i="44"/>
  <c r="W1073" i="44"/>
  <c r="T1080" i="44"/>
  <c r="T1113" i="44"/>
  <c r="W1135" i="44"/>
  <c r="W1146" i="44"/>
  <c r="W1148" i="44"/>
  <c r="W1204" i="44"/>
  <c r="W1206" i="44"/>
  <c r="W1214" i="44"/>
  <c r="W1243" i="44"/>
  <c r="W1244" i="44"/>
  <c r="W1261" i="44"/>
  <c r="M1146" i="44"/>
  <c r="W1207" i="44"/>
  <c r="W1252" i="44"/>
  <c r="W1017" i="44"/>
  <c r="W1018" i="44"/>
  <c r="W1048" i="44"/>
  <c r="W1068" i="44"/>
  <c r="W1091" i="44"/>
  <c r="W1121" i="44"/>
  <c r="W1134" i="44"/>
  <c r="W1260" i="44"/>
  <c r="W1032" i="44"/>
  <c r="S1167" i="44"/>
  <c r="W1239" i="44"/>
  <c r="W1241" i="44"/>
  <c r="W1249" i="44"/>
  <c r="W1250" i="44"/>
  <c r="W1009" i="44"/>
  <c r="W1047" i="44"/>
  <c r="W1067" i="44"/>
  <c r="S1124" i="44"/>
  <c r="AE1124" i="44" s="1"/>
  <c r="AC1124" i="44" s="1"/>
  <c r="W1154" i="44"/>
  <c r="W1238" i="44"/>
  <c r="W1259" i="44"/>
  <c r="W1040" i="44"/>
  <c r="L1045" i="44"/>
  <c r="S1080" i="44"/>
  <c r="V1145" i="44"/>
  <c r="W1145" i="44" s="1"/>
  <c r="L1151" i="44"/>
  <c r="W1157" i="44"/>
  <c r="W1247" i="44"/>
  <c r="W1263" i="44"/>
  <c r="T1221" i="44"/>
  <c r="W1237" i="44"/>
  <c r="W1258" i="44"/>
  <c r="U869" i="44"/>
  <c r="U31" i="44" s="1"/>
  <c r="W877" i="44"/>
  <c r="W1001" i="44"/>
  <c r="W1008" i="44"/>
  <c r="W1063" i="44"/>
  <c r="V1080" i="44"/>
  <c r="S1144" i="44"/>
  <c r="T1187" i="44"/>
  <c r="W1228" i="44"/>
  <c r="AE52" i="44"/>
  <c r="AB52" i="44" s="1"/>
  <c r="S73" i="44"/>
  <c r="AI73" i="44"/>
  <c r="M73" i="44"/>
  <c r="L73" i="44"/>
  <c r="V73" i="44"/>
  <c r="W73" i="44" s="1"/>
  <c r="T73" i="44"/>
  <c r="AE93" i="44"/>
  <c r="AC93" i="44" s="1"/>
  <c r="AE144" i="44"/>
  <c r="AC144" i="44" s="1"/>
  <c r="AB144" i="44"/>
  <c r="AE171" i="44"/>
  <c r="AB171" i="44" s="1"/>
  <c r="S87" i="44"/>
  <c r="W51" i="44"/>
  <c r="AE56" i="44"/>
  <c r="AC56" i="44" s="1"/>
  <c r="AB56" i="44"/>
  <c r="T68" i="44"/>
  <c r="T80" i="44"/>
  <c r="W57" i="44"/>
  <c r="AE130" i="44"/>
  <c r="AB130" i="44"/>
  <c r="AE55" i="44"/>
  <c r="AC55" i="44" s="1"/>
  <c r="AB55" i="44"/>
  <c r="AE68" i="44"/>
  <c r="AB68" i="44" s="1"/>
  <c r="AE80" i="44"/>
  <c r="AB80" i="44" s="1"/>
  <c r="AE99" i="44"/>
  <c r="AC99" i="44" s="1"/>
  <c r="AB99" i="44"/>
  <c r="AC131" i="44"/>
  <c r="U42" i="44"/>
  <c r="W45" i="44"/>
  <c r="V77" i="44"/>
  <c r="W77" i="44" s="1"/>
  <c r="T77" i="44"/>
  <c r="AI77" i="44"/>
  <c r="M77" i="44"/>
  <c r="L77" i="44"/>
  <c r="S77" i="44"/>
  <c r="W56" i="44"/>
  <c r="U79" i="44"/>
  <c r="U18" i="44" s="1"/>
  <c r="W80" i="44"/>
  <c r="AE86" i="44"/>
  <c r="AB86" i="44"/>
  <c r="AE98" i="44"/>
  <c r="AB98" i="44" s="1"/>
  <c r="AC120" i="44"/>
  <c r="AC149" i="44"/>
  <c r="AE85" i="44"/>
  <c r="AB85" i="44"/>
  <c r="AC86" i="44"/>
  <c r="AC98" i="44"/>
  <c r="AE63" i="44"/>
  <c r="AC63" i="44" s="1"/>
  <c r="AE120" i="44"/>
  <c r="AB120" i="44" s="1"/>
  <c r="AE139" i="44"/>
  <c r="AC139" i="44" s="1"/>
  <c r="AE140" i="44"/>
  <c r="AB140" i="44" s="1"/>
  <c r="AE54" i="44"/>
  <c r="AC54" i="44" s="1"/>
  <c r="AC85" i="44"/>
  <c r="W95" i="44"/>
  <c r="W47" i="44"/>
  <c r="AE67" i="44"/>
  <c r="AC67" i="44" s="1"/>
  <c r="AE83" i="44"/>
  <c r="AC83" i="44" s="1"/>
  <c r="AB83" i="44"/>
  <c r="AE148" i="44"/>
  <c r="AB148" i="44"/>
  <c r="AB60" i="44"/>
  <c r="S69" i="44"/>
  <c r="W85" i="44"/>
  <c r="AE124" i="44"/>
  <c r="AC124" i="44" s="1"/>
  <c r="AE137" i="44"/>
  <c r="AC137" i="44" s="1"/>
  <c r="AB137" i="44"/>
  <c r="W141" i="44"/>
  <c r="AC60" i="44"/>
  <c r="AE89" i="44"/>
  <c r="AB89" i="44" s="1"/>
  <c r="AE126" i="44"/>
  <c r="AB126" i="44" s="1"/>
  <c r="AC140" i="44"/>
  <c r="W48" i="44"/>
  <c r="W49" i="44"/>
  <c r="AE66" i="44"/>
  <c r="AB66" i="44" s="1"/>
  <c r="W82" i="44"/>
  <c r="W83" i="44"/>
  <c r="L116" i="44"/>
  <c r="T116" i="44"/>
  <c r="S116" i="44"/>
  <c r="M116" i="44"/>
  <c r="V116" i="44"/>
  <c r="W116" i="44" s="1"/>
  <c r="AE53" i="44"/>
  <c r="AB53" i="44" s="1"/>
  <c r="AE58" i="44"/>
  <c r="AB58" i="44" s="1"/>
  <c r="AC59" i="44"/>
  <c r="AE57" i="44"/>
  <c r="AC57" i="44" s="1"/>
  <c r="AC66" i="44"/>
  <c r="W69" i="44"/>
  <c r="V76" i="44"/>
  <c r="W76" i="44" s="1"/>
  <c r="V105" i="44"/>
  <c r="W105" i="44" s="1"/>
  <c r="L69" i="44"/>
  <c r="L82" i="44"/>
  <c r="W87" i="44"/>
  <c r="L92" i="44"/>
  <c r="M95" i="44"/>
  <c r="S96" i="44"/>
  <c r="V102" i="44"/>
  <c r="W102" i="44" s="1"/>
  <c r="L122" i="44"/>
  <c r="S127" i="44"/>
  <c r="T150" i="44"/>
  <c r="S166" i="44"/>
  <c r="M69" i="44"/>
  <c r="M82" i="44"/>
  <c r="M92" i="44"/>
  <c r="T96" i="44"/>
  <c r="M122" i="44"/>
  <c r="M125" i="44"/>
  <c r="S125" i="44"/>
  <c r="W137" i="44"/>
  <c r="S146" i="44"/>
  <c r="L146" i="44"/>
  <c r="T196" i="44"/>
  <c r="M196" i="44"/>
  <c r="L196" i="44"/>
  <c r="V196" i="44"/>
  <c r="W196" i="44" s="1"/>
  <c r="S196" i="44"/>
  <c r="AE223" i="44"/>
  <c r="AB223" i="44" s="1"/>
  <c r="F74" i="44"/>
  <c r="K74" i="44" s="1"/>
  <c r="L88" i="44"/>
  <c r="V96" i="44"/>
  <c r="W96" i="44" s="1"/>
  <c r="L100" i="44"/>
  <c r="L125" i="44"/>
  <c r="S128" i="44"/>
  <c r="V128" i="44"/>
  <c r="W128" i="44" s="1"/>
  <c r="W144" i="44"/>
  <c r="M146" i="44"/>
  <c r="V150" i="44"/>
  <c r="W150" i="44" s="1"/>
  <c r="W152" i="44"/>
  <c r="W167" i="44"/>
  <c r="W178" i="44"/>
  <c r="S43" i="44"/>
  <c r="M47" i="44"/>
  <c r="M51" i="44"/>
  <c r="M61" i="44"/>
  <c r="S70" i="44"/>
  <c r="S84" i="44"/>
  <c r="AK84" i="44"/>
  <c r="M88" i="44"/>
  <c r="T90" i="44"/>
  <c r="L97" i="44"/>
  <c r="M100" i="44"/>
  <c r="S101" i="44"/>
  <c r="S115" i="44"/>
  <c r="M119" i="44"/>
  <c r="T123" i="44"/>
  <c r="V136" i="44"/>
  <c r="W136" i="44" s="1"/>
  <c r="AK136" i="44"/>
  <c r="S136" i="44"/>
  <c r="T153" i="44"/>
  <c r="S153" i="44"/>
  <c r="L153" i="44"/>
  <c r="AE213" i="44"/>
  <c r="AC213" i="44" s="1"/>
  <c r="S222" i="44"/>
  <c r="M222" i="44"/>
  <c r="T222" i="44"/>
  <c r="L222" i="44"/>
  <c r="V222" i="44"/>
  <c r="W222" i="44" s="1"/>
  <c r="AE141" i="44"/>
  <c r="AB141" i="44" s="1"/>
  <c r="V143" i="44"/>
  <c r="W143" i="44" s="1"/>
  <c r="AK143" i="44"/>
  <c r="S143" i="44"/>
  <c r="AB149" i="44"/>
  <c r="M153" i="44"/>
  <c r="W185" i="44"/>
  <c r="T210" i="44"/>
  <c r="M54" i="44"/>
  <c r="M68" i="44"/>
  <c r="L76" i="44"/>
  <c r="M80" i="44"/>
  <c r="V90" i="44"/>
  <c r="W90" i="44" s="1"/>
  <c r="L94" i="44"/>
  <c r="S95" i="44"/>
  <c r="L105" i="44"/>
  <c r="T121" i="44"/>
  <c r="V123" i="44"/>
  <c r="W123" i="44" s="1"/>
  <c r="V130" i="44"/>
  <c r="W130" i="44" s="1"/>
  <c r="L130" i="44"/>
  <c r="AB133" i="44"/>
  <c r="M136" i="44"/>
  <c r="L143" i="44"/>
  <c r="AE162" i="44"/>
  <c r="AC162" i="44" s="1"/>
  <c r="AE163" i="44"/>
  <c r="AC163" i="44" s="1"/>
  <c r="AB163" i="44"/>
  <c r="AE172" i="44"/>
  <c r="AB172" i="44" s="1"/>
  <c r="AE176" i="44"/>
  <c r="AB176" i="44" s="1"/>
  <c r="AE178" i="44"/>
  <c r="AB178" i="44" s="1"/>
  <c r="AE183" i="44"/>
  <c r="AB183" i="44" s="1"/>
  <c r="AE202" i="44"/>
  <c r="AB202" i="44" s="1"/>
  <c r="AE220" i="44"/>
  <c r="AB220" i="44" s="1"/>
  <c r="V43" i="44"/>
  <c r="V70" i="44"/>
  <c r="W70" i="44" s="1"/>
  <c r="M76" i="44"/>
  <c r="V84" i="44"/>
  <c r="W84" i="44" s="1"/>
  <c r="AE97" i="44"/>
  <c r="AB97" i="44" s="1"/>
  <c r="M105" i="44"/>
  <c r="AK122" i="44"/>
  <c r="AJ19" i="44" s="1"/>
  <c r="W129" i="44"/>
  <c r="AB131" i="44"/>
  <c r="AK132" i="44"/>
  <c r="T132" i="44"/>
  <c r="M132" i="44"/>
  <c r="AC183" i="44"/>
  <c r="AC195" i="44"/>
  <c r="W721" i="2"/>
  <c r="K17" i="44"/>
  <c r="S82" i="44"/>
  <c r="S92" i="44"/>
  <c r="L102" i="44"/>
  <c r="S122" i="44"/>
  <c r="AK125" i="44"/>
  <c r="L132" i="44"/>
  <c r="M134" i="44"/>
  <c r="L134" i="44"/>
  <c r="AK134" i="44"/>
  <c r="S134" i="44"/>
  <c r="AE167" i="44"/>
  <c r="AB167" i="44" s="1"/>
  <c r="AC171" i="44"/>
  <c r="V127" i="44"/>
  <c r="W127" i="44" s="1"/>
  <c r="V146" i="44"/>
  <c r="W146" i="44" s="1"/>
  <c r="W148" i="44"/>
  <c r="AE152" i="44"/>
  <c r="AC152" i="44" s="1"/>
  <c r="AE158" i="44"/>
  <c r="AB158" i="44" s="1"/>
  <c r="AE164" i="44"/>
  <c r="AB164" i="44" s="1"/>
  <c r="AE193" i="44"/>
  <c r="AB193" i="44" s="1"/>
  <c r="U204" i="44"/>
  <c r="U20" i="44" s="1"/>
  <c r="AE221" i="44"/>
  <c r="AB221" i="44" s="1"/>
  <c r="AB228" i="44"/>
  <c r="K19" i="44"/>
  <c r="S47" i="44"/>
  <c r="S51" i="44"/>
  <c r="S61" i="44"/>
  <c r="S88" i="44"/>
  <c r="S100" i="44"/>
  <c r="S119" i="44"/>
  <c r="L127" i="44"/>
  <c r="W131" i="44"/>
  <c r="AK137" i="44"/>
  <c r="L137" i="44"/>
  <c r="V154" i="44"/>
  <c r="W154" i="44" s="1"/>
  <c r="M154" i="44"/>
  <c r="L154" i="44"/>
  <c r="M156" i="44"/>
  <c r="L156" i="44"/>
  <c r="V156" i="44"/>
  <c r="W156" i="44" s="1"/>
  <c r="T156" i="44"/>
  <c r="S156" i="44"/>
  <c r="W157" i="44"/>
  <c r="AE161" i="44"/>
  <c r="AB161" i="44" s="1"/>
  <c r="AE209" i="44"/>
  <c r="AB209" i="44" s="1"/>
  <c r="K269" i="44"/>
  <c r="L215" i="44"/>
  <c r="V215" i="44"/>
  <c r="W215" i="44" s="1"/>
  <c r="S215" i="44"/>
  <c r="T215" i="44"/>
  <c r="M215" i="44"/>
  <c r="AE217" i="44"/>
  <c r="AB217" i="44" s="1"/>
  <c r="AC228" i="44"/>
  <c r="V125" i="44"/>
  <c r="W125" i="44" s="1"/>
  <c r="M127" i="44"/>
  <c r="T128" i="44"/>
  <c r="T136" i="44"/>
  <c r="M137" i="44"/>
  <c r="AB145" i="44"/>
  <c r="AC158" i="44"/>
  <c r="W159" i="44"/>
  <c r="W171" i="44"/>
  <c r="AE175" i="44"/>
  <c r="AC175" i="44" s="1"/>
  <c r="T187" i="44"/>
  <c r="L187" i="44"/>
  <c r="V187" i="44"/>
  <c r="W187" i="44" s="1"/>
  <c r="S187" i="44"/>
  <c r="M187" i="44"/>
  <c r="AB218" i="44"/>
  <c r="AE218" i="44"/>
  <c r="AE227" i="44"/>
  <c r="AB227" i="44" s="1"/>
  <c r="AI76" i="44"/>
  <c r="S94" i="44"/>
  <c r="T97" i="44"/>
  <c r="V100" i="44"/>
  <c r="W100" i="44" s="1"/>
  <c r="AE145" i="44"/>
  <c r="AC145" i="44" s="1"/>
  <c r="S150" i="44"/>
  <c r="L150" i="44"/>
  <c r="AE170" i="44"/>
  <c r="AC170" i="44" s="1"/>
  <c r="AE200" i="44"/>
  <c r="AE201" i="44"/>
  <c r="AB201" i="44" s="1"/>
  <c r="AE208" i="44"/>
  <c r="AB208" i="44" s="1"/>
  <c r="AE216" i="44"/>
  <c r="AB216" i="44" s="1"/>
  <c r="AC218" i="44"/>
  <c r="L43" i="44"/>
  <c r="L17" i="44" s="1"/>
  <c r="L70" i="44"/>
  <c r="S76" i="44"/>
  <c r="L84" i="44"/>
  <c r="V88" i="44"/>
  <c r="W88" i="44" s="1"/>
  <c r="L90" i="44"/>
  <c r="AB90" i="44"/>
  <c r="T94" i="44"/>
  <c r="L101" i="44"/>
  <c r="S105" i="44"/>
  <c r="V119" i="44"/>
  <c r="V120" i="44"/>
  <c r="W120" i="44" s="1"/>
  <c r="L123" i="44"/>
  <c r="AE135" i="44"/>
  <c r="AB135" i="44" s="1"/>
  <c r="AE138" i="44"/>
  <c r="AC138" i="44" s="1"/>
  <c r="T143" i="44"/>
  <c r="AC148" i="44"/>
  <c r="M150" i="44"/>
  <c r="AE157" i="44"/>
  <c r="AB157" i="44" s="1"/>
  <c r="AB162" i="44"/>
  <c r="M174" i="44"/>
  <c r="L174" i="44"/>
  <c r="V174" i="44"/>
  <c r="W174" i="44" s="1"/>
  <c r="T174" i="44"/>
  <c r="S174" i="44"/>
  <c r="AE181" i="44"/>
  <c r="AC181" i="44" s="1"/>
  <c r="AB181" i="44"/>
  <c r="T76" i="44"/>
  <c r="V97" i="44"/>
  <c r="W97" i="44" s="1"/>
  <c r="S102" i="44"/>
  <c r="L120" i="44"/>
  <c r="S121" i="44"/>
  <c r="AE123" i="44"/>
  <c r="AB123" i="44" s="1"/>
  <c r="T126" i="44"/>
  <c r="AK127" i="44"/>
  <c r="T129" i="44"/>
  <c r="AK129" i="44"/>
  <c r="S129" i="44"/>
  <c r="T130" i="44"/>
  <c r="S132" i="44"/>
  <c r="T134" i="44"/>
  <c r="AK135" i="44"/>
  <c r="T135" i="44"/>
  <c r="S154" i="44"/>
  <c r="T167" i="44"/>
  <c r="M199" i="44"/>
  <c r="L199" i="44"/>
  <c r="V199" i="44"/>
  <c r="W199" i="44" s="1"/>
  <c r="T199" i="44"/>
  <c r="S199" i="44"/>
  <c r="AE231" i="44"/>
  <c r="AB231" i="44" s="1"/>
  <c r="V94" i="44"/>
  <c r="W94" i="44" s="1"/>
  <c r="T102" i="44"/>
  <c r="T141" i="44"/>
  <c r="M141" i="44"/>
  <c r="AK141" i="44"/>
  <c r="AB152" i="44"/>
  <c r="AE155" i="44"/>
  <c r="AB155" i="44" s="1"/>
  <c r="T179" i="44"/>
  <c r="AC232" i="44"/>
  <c r="M181" i="44"/>
  <c r="S189" i="44"/>
  <c r="F190" i="44"/>
  <c r="K190" i="44" s="1"/>
  <c r="AB195" i="44"/>
  <c r="AI202" i="44"/>
  <c r="V202" i="44"/>
  <c r="W202" i="44" s="1"/>
  <c r="S210" i="44"/>
  <c r="T221" i="44"/>
  <c r="T227" i="44"/>
  <c r="AE250" i="44"/>
  <c r="AB250" i="44" s="1"/>
  <c r="T189" i="44"/>
  <c r="L221" i="44"/>
  <c r="L224" i="44"/>
  <c r="AE235" i="44"/>
  <c r="AC235" i="44" s="1"/>
  <c r="AB235" i="44"/>
  <c r="M155" i="44"/>
  <c r="T157" i="44"/>
  <c r="L159" i="44"/>
  <c r="T161" i="44"/>
  <c r="S165" i="44"/>
  <c r="V166" i="44"/>
  <c r="W166" i="44" s="1"/>
  <c r="L176" i="44"/>
  <c r="T178" i="44"/>
  <c r="S182" i="44"/>
  <c r="L201" i="44"/>
  <c r="V201" i="44"/>
  <c r="W201" i="44" s="1"/>
  <c r="L206" i="44"/>
  <c r="K266" i="44"/>
  <c r="V206" i="44"/>
  <c r="W206" i="44" s="1"/>
  <c r="S206" i="44"/>
  <c r="AC226" i="44"/>
  <c r="M159" i="44"/>
  <c r="T165" i="44"/>
  <c r="T182" i="44"/>
  <c r="L214" i="44"/>
  <c r="V214" i="44"/>
  <c r="W214" i="44" s="1"/>
  <c r="T219" i="44"/>
  <c r="L167" i="44"/>
  <c r="AE168" i="44"/>
  <c r="AB168" i="44" s="1"/>
  <c r="S169" i="44"/>
  <c r="S173" i="44"/>
  <c r="T184" i="44"/>
  <c r="S185" i="44"/>
  <c r="T192" i="44"/>
  <c r="K198" i="44"/>
  <c r="T205" i="44"/>
  <c r="K268" i="44"/>
  <c r="M214" i="44"/>
  <c r="L219" i="44"/>
  <c r="AE225" i="44"/>
  <c r="AB225" i="44" s="1"/>
  <c r="S229" i="44"/>
  <c r="S147" i="44"/>
  <c r="S151" i="44"/>
  <c r="S160" i="44"/>
  <c r="V165" i="44"/>
  <c r="W165" i="44" s="1"/>
  <c r="M167" i="44"/>
  <c r="T169" i="44"/>
  <c r="T173" i="44"/>
  <c r="L175" i="44"/>
  <c r="AC176" i="44"/>
  <c r="S177" i="44"/>
  <c r="V182" i="44"/>
  <c r="W182" i="44" s="1"/>
  <c r="V184" i="44"/>
  <c r="W184" i="44" s="1"/>
  <c r="L185" i="44"/>
  <c r="AE191" i="44"/>
  <c r="L193" i="44"/>
  <c r="AJ206" i="44"/>
  <c r="G20" i="44"/>
  <c r="M219" i="44"/>
  <c r="AK219" i="44"/>
  <c r="M225" i="44"/>
  <c r="T231" i="44"/>
  <c r="W234" i="44"/>
  <c r="AE245" i="44"/>
  <c r="AB245" i="44" s="1"/>
  <c r="AE258" i="44"/>
  <c r="AB258" i="44" s="1"/>
  <c r="M193" i="44"/>
  <c r="V205" i="44"/>
  <c r="T212" i="44"/>
  <c r="T217" i="44"/>
  <c r="AC245" i="44"/>
  <c r="T142" i="44"/>
  <c r="T164" i="44"/>
  <c r="AE180" i="44"/>
  <c r="AC180" i="44" s="1"/>
  <c r="AI189" i="44"/>
  <c r="L212" i="44"/>
  <c r="AB224" i="44"/>
  <c r="AE253" i="44"/>
  <c r="AB253" i="44" s="1"/>
  <c r="V142" i="44"/>
  <c r="W142" i="44" s="1"/>
  <c r="S159" i="44"/>
  <c r="V164" i="44"/>
  <c r="W164" i="44" s="1"/>
  <c r="M166" i="44"/>
  <c r="V181" i="44"/>
  <c r="W181" i="44" s="1"/>
  <c r="L189" i="44"/>
  <c r="T201" i="44"/>
  <c r="T206" i="44"/>
  <c r="S207" i="44"/>
  <c r="M207" i="44"/>
  <c r="V207" i="44"/>
  <c r="W207" i="44" s="1"/>
  <c r="S214" i="44"/>
  <c r="W216" i="44"/>
  <c r="AB252" i="44"/>
  <c r="AE252" i="44"/>
  <c r="L210" i="44"/>
  <c r="V210" i="44"/>
  <c r="W210" i="44" s="1"/>
  <c r="AB219" i="44"/>
  <c r="AB192" i="44"/>
  <c r="T193" i="44"/>
  <c r="V219" i="44"/>
  <c r="W219" i="44" s="1"/>
  <c r="V223" i="44"/>
  <c r="W223" i="44" s="1"/>
  <c r="T223" i="44"/>
  <c r="M223" i="44"/>
  <c r="L173" i="44"/>
  <c r="L192" i="44"/>
  <c r="AE192" i="44"/>
  <c r="K264" i="44"/>
  <c r="M205" i="44"/>
  <c r="S205" i="44"/>
  <c r="K270" i="44"/>
  <c r="T229" i="44"/>
  <c r="AE239" i="44"/>
  <c r="AB239" i="44" s="1"/>
  <c r="AE265" i="44"/>
  <c r="AC265" i="44" s="1"/>
  <c r="AB265" i="44"/>
  <c r="L177" i="44"/>
  <c r="S179" i="44"/>
  <c r="M184" i="44"/>
  <c r="AE184" i="44"/>
  <c r="AB184" i="44" s="1"/>
  <c r="M192" i="44"/>
  <c r="L205" i="44"/>
  <c r="S212" i="44"/>
  <c r="L229" i="44"/>
  <c r="W231" i="44"/>
  <c r="AI192" i="44"/>
  <c r="AI195" i="44"/>
  <c r="L195" i="44"/>
  <c r="T202" i="44"/>
  <c r="T207" i="44"/>
  <c r="L211" i="44"/>
  <c r="V211" i="44"/>
  <c r="W211" i="44" s="1"/>
  <c r="S211" i="44"/>
  <c r="T216" i="44"/>
  <c r="M229" i="44"/>
  <c r="AB232" i="44"/>
  <c r="AE248" i="44"/>
  <c r="AB248" i="44" s="1"/>
  <c r="V237" i="44"/>
  <c r="W237" i="44" s="1"/>
  <c r="S237" i="44"/>
  <c r="M237" i="44"/>
  <c r="L237" i="44"/>
  <c r="T220" i="44"/>
  <c r="V236" i="44"/>
  <c r="W236" i="44" s="1"/>
  <c r="T242" i="44"/>
  <c r="V243" i="44"/>
  <c r="W243" i="44" s="1"/>
  <c r="AK243" i="44"/>
  <c r="L243" i="44"/>
  <c r="AC252" i="44"/>
  <c r="S254" i="44"/>
  <c r="M254" i="44"/>
  <c r="T260" i="44"/>
  <c r="K261" i="44"/>
  <c r="S267" i="44"/>
  <c r="AE374" i="44"/>
  <c r="AB374" i="44" s="1"/>
  <c r="M273" i="44"/>
  <c r="L273" i="44"/>
  <c r="S273" i="44"/>
  <c r="L241" i="44"/>
  <c r="V241" i="44"/>
  <c r="W241" i="44" s="1"/>
  <c r="M243" i="44"/>
  <c r="S251" i="44"/>
  <c r="W253" i="44"/>
  <c r="L254" i="44"/>
  <c r="AK254" i="44"/>
  <c r="AK304" i="44"/>
  <c r="AE318" i="44"/>
  <c r="AB318" i="44"/>
  <c r="AE348" i="44"/>
  <c r="AC348" i="44" s="1"/>
  <c r="V239" i="44"/>
  <c r="W239" i="44" s="1"/>
  <c r="T239" i="44"/>
  <c r="T240" i="44"/>
  <c r="V242" i="44"/>
  <c r="W242" i="44" s="1"/>
  <c r="AE341" i="44"/>
  <c r="AB341" i="44"/>
  <c r="AE363" i="44"/>
  <c r="AB363" i="44" s="1"/>
  <c r="AC378" i="44"/>
  <c r="M267" i="44"/>
  <c r="T267" i="44"/>
  <c r="S234" i="44"/>
  <c r="L239" i="44"/>
  <c r="V251" i="44"/>
  <c r="W251" i="44" s="1"/>
  <c r="T280" i="44"/>
  <c r="S280" i="44"/>
  <c r="AK280" i="44"/>
  <c r="V311" i="44"/>
  <c r="W311" i="44" s="1"/>
  <c r="T311" i="44"/>
  <c r="S311" i="44"/>
  <c r="M311" i="44"/>
  <c r="L311" i="44"/>
  <c r="AC341" i="44"/>
  <c r="AE357" i="44"/>
  <c r="AB357" i="44"/>
  <c r="AE414" i="44"/>
  <c r="AB414" i="44"/>
  <c r="T234" i="44"/>
  <c r="V240" i="44"/>
  <c r="W240" i="44" s="1"/>
  <c r="L280" i="44"/>
  <c r="V290" i="44"/>
  <c r="W290" i="44" s="1"/>
  <c r="T290" i="44"/>
  <c r="S290" i="44"/>
  <c r="M290" i="44"/>
  <c r="L290" i="44"/>
  <c r="AE294" i="44"/>
  <c r="AB294" i="44"/>
  <c r="AE313" i="44"/>
  <c r="AB313" i="44"/>
  <c r="AE355" i="44"/>
  <c r="AB355" i="44"/>
  <c r="AE356" i="44"/>
  <c r="AC356" i="44" s="1"/>
  <c r="AE410" i="44"/>
  <c r="AB410" i="44" s="1"/>
  <c r="V255" i="44"/>
  <c r="W255" i="44" s="1"/>
  <c r="T255" i="44"/>
  <c r="M255" i="44"/>
  <c r="L262" i="44"/>
  <c r="V262" i="44"/>
  <c r="W262" i="44" s="1"/>
  <c r="AE293" i="44"/>
  <c r="AC293" i="44" s="1"/>
  <c r="T304" i="44"/>
  <c r="S304" i="44"/>
  <c r="M304" i="44"/>
  <c r="L304" i="44"/>
  <c r="AE322" i="44"/>
  <c r="AC322" i="44" s="1"/>
  <c r="M326" i="44"/>
  <c r="L326" i="44"/>
  <c r="V326" i="44"/>
  <c r="W326" i="44" s="1"/>
  <c r="T326" i="44"/>
  <c r="S326" i="44"/>
  <c r="AI326" i="44"/>
  <c r="AK239" i="44"/>
  <c r="AE246" i="44"/>
  <c r="AB246" i="44" s="1"/>
  <c r="T254" i="44"/>
  <c r="L255" i="44"/>
  <c r="M262" i="44"/>
  <c r="K272" i="44"/>
  <c r="AE305" i="44"/>
  <c r="AC305" i="44" s="1"/>
  <c r="AC340" i="44"/>
  <c r="U351" i="44"/>
  <c r="U23" i="44" s="1"/>
  <c r="AK217" i="44"/>
  <c r="K230" i="44"/>
  <c r="M236" i="44"/>
  <c r="S243" i="44"/>
  <c r="V247" i="44"/>
  <c r="W247" i="44" s="1"/>
  <c r="T253" i="44"/>
  <c r="AK255" i="44"/>
  <c r="S281" i="44"/>
  <c r="AK282" i="44"/>
  <c r="S287" i="44"/>
  <c r="M287" i="44"/>
  <c r="L287" i="44"/>
  <c r="V287" i="44"/>
  <c r="W287" i="44" s="1"/>
  <c r="AK298" i="44"/>
  <c r="V315" i="44"/>
  <c r="W315" i="44" s="1"/>
  <c r="T315" i="44"/>
  <c r="S315" i="44"/>
  <c r="M315" i="44"/>
  <c r="L315" i="44"/>
  <c r="W334" i="44"/>
  <c r="W354" i="44"/>
  <c r="M276" i="44"/>
  <c r="L276" i="44"/>
  <c r="T276" i="44"/>
  <c r="S241" i="44"/>
  <c r="T243" i="44"/>
  <c r="S244" i="44"/>
  <c r="V254" i="44"/>
  <c r="W254" i="44" s="1"/>
  <c r="AK262" i="44"/>
  <c r="W284" i="44"/>
  <c r="AE288" i="44"/>
  <c r="AC288" i="44" s="1"/>
  <c r="AE317" i="44"/>
  <c r="AB317" i="44"/>
  <c r="AE339" i="44"/>
  <c r="AB339" i="44" s="1"/>
  <c r="AE340" i="44"/>
  <c r="AB340" i="44"/>
  <c r="AC355" i="44"/>
  <c r="AE362" i="44"/>
  <c r="AB362" i="44" s="1"/>
  <c r="T209" i="44"/>
  <c r="S259" i="44"/>
  <c r="K275" i="44"/>
  <c r="AE283" i="44"/>
  <c r="AB283" i="44" s="1"/>
  <c r="AK295" i="44"/>
  <c r="AE299" i="44"/>
  <c r="AB299" i="44" s="1"/>
  <c r="W303" i="44"/>
  <c r="AE310" i="44"/>
  <c r="AC310" i="44" s="1"/>
  <c r="AB310" i="44"/>
  <c r="M329" i="44"/>
  <c r="L329" i="44"/>
  <c r="V329" i="44"/>
  <c r="W329" i="44" s="1"/>
  <c r="T329" i="44"/>
  <c r="S329" i="44"/>
  <c r="AC364" i="44"/>
  <c r="AC371" i="44"/>
  <c r="S242" i="44"/>
  <c r="M242" i="44"/>
  <c r="AK260" i="44"/>
  <c r="S260" i="44"/>
  <c r="M260" i="44"/>
  <c r="K277" i="44"/>
  <c r="V282" i="44"/>
  <c r="W282" i="44" s="1"/>
  <c r="S282" i="44"/>
  <c r="M282" i="44"/>
  <c r="L282" i="44"/>
  <c r="AC291" i="44"/>
  <c r="AE360" i="44"/>
  <c r="AB360" i="44" s="1"/>
  <c r="AE372" i="44"/>
  <c r="AB372" i="44" s="1"/>
  <c r="AE376" i="44"/>
  <c r="AC376" i="44" s="1"/>
  <c r="AE384" i="44"/>
  <c r="AB384" i="44" s="1"/>
  <c r="M240" i="44"/>
  <c r="S240" i="44"/>
  <c r="L242" i="44"/>
  <c r="AK242" i="44"/>
  <c r="L251" i="44"/>
  <c r="W259" i="44"/>
  <c r="L260" i="44"/>
  <c r="S262" i="44"/>
  <c r="T273" i="44"/>
  <c r="AB293" i="44"/>
  <c r="V298" i="44"/>
  <c r="W298" i="44" s="1"/>
  <c r="T298" i="44"/>
  <c r="S298" i="44"/>
  <c r="M298" i="44"/>
  <c r="L298" i="44"/>
  <c r="V319" i="44"/>
  <c r="W319" i="44" s="1"/>
  <c r="T319" i="44"/>
  <c r="S319" i="44"/>
  <c r="M319" i="44"/>
  <c r="L319" i="44"/>
  <c r="W339" i="44"/>
  <c r="AE345" i="44"/>
  <c r="AC345" i="44" s="1"/>
  <c r="AB345" i="44"/>
  <c r="AE366" i="44"/>
  <c r="AB366" i="44" s="1"/>
  <c r="AE422" i="44"/>
  <c r="AB422" i="44" s="1"/>
  <c r="S238" i="44"/>
  <c r="M238" i="44"/>
  <c r="L240" i="44"/>
  <c r="T249" i="44"/>
  <c r="AK249" i="44"/>
  <c r="M251" i="44"/>
  <c r="AK251" i="44"/>
  <c r="S255" i="44"/>
  <c r="M256" i="44"/>
  <c r="K257" i="44"/>
  <c r="AK256" i="44"/>
  <c r="S256" i="44"/>
  <c r="T262" i="44"/>
  <c r="K263" i="44"/>
  <c r="L267" i="44"/>
  <c r="V273" i="44"/>
  <c r="W273" i="44" s="1"/>
  <c r="S276" i="44"/>
  <c r="W280" i="44"/>
  <c r="AE286" i="44"/>
  <c r="AB286" i="44"/>
  <c r="AB291" i="44"/>
  <c r="W297" i="44"/>
  <c r="T299" i="44"/>
  <c r="V304" i="44"/>
  <c r="W304" i="44" s="1"/>
  <c r="AE321" i="44"/>
  <c r="AB321" i="44" s="1"/>
  <c r="W338" i="44"/>
  <c r="S236" i="44"/>
  <c r="AK240" i="44"/>
  <c r="AK247" i="44"/>
  <c r="L247" i="44"/>
  <c r="W281" i="44"/>
  <c r="W286" i="44"/>
  <c r="W291" i="44"/>
  <c r="V307" i="44"/>
  <c r="W307" i="44" s="1"/>
  <c r="T307" i="44"/>
  <c r="S307" i="44"/>
  <c r="M307" i="44"/>
  <c r="L307" i="44"/>
  <c r="AE314" i="44"/>
  <c r="AC314" i="44" s="1"/>
  <c r="AB314" i="44"/>
  <c r="AE343" i="44"/>
  <c r="AC343" i="44" s="1"/>
  <c r="AE406" i="44"/>
  <c r="AB406" i="44"/>
  <c r="K233" i="44"/>
  <c r="L245" i="44"/>
  <c r="V245" i="44"/>
  <c r="W245" i="44" s="1"/>
  <c r="AK245" i="44"/>
  <c r="M247" i="44"/>
  <c r="AE249" i="44"/>
  <c r="AB249" i="44" s="1"/>
  <c r="W250" i="44"/>
  <c r="V276" i="44"/>
  <c r="W276" i="44" s="1"/>
  <c r="AE285" i="44"/>
  <c r="AC285" i="44" s="1"/>
  <c r="T301" i="44"/>
  <c r="M245" i="44"/>
  <c r="AE247" i="44"/>
  <c r="AB247" i="44" s="1"/>
  <c r="T258" i="44"/>
  <c r="T282" i="44"/>
  <c r="W292" i="44"/>
  <c r="T295" i="44"/>
  <c r="S295" i="44"/>
  <c r="M295" i="44"/>
  <c r="L295" i="44"/>
  <c r="V295" i="44"/>
  <c r="W295" i="44" s="1"/>
  <c r="AE296" i="44"/>
  <c r="AC296" i="44" s="1"/>
  <c r="AE309" i="44"/>
  <c r="AB309" i="44"/>
  <c r="V323" i="44"/>
  <c r="W323" i="44" s="1"/>
  <c r="T323" i="44"/>
  <c r="S323" i="44"/>
  <c r="M323" i="44"/>
  <c r="L323" i="44"/>
  <c r="M328" i="44"/>
  <c r="L328" i="44"/>
  <c r="V328" i="44"/>
  <c r="W328" i="44" s="1"/>
  <c r="T328" i="44"/>
  <c r="S328" i="44"/>
  <c r="AE539" i="44"/>
  <c r="AB539" i="44"/>
  <c r="T286" i="44"/>
  <c r="T294" i="44"/>
  <c r="S302" i="44"/>
  <c r="T309" i="44"/>
  <c r="T313" i="44"/>
  <c r="T317" i="44"/>
  <c r="T321" i="44"/>
  <c r="M325" i="44"/>
  <c r="V333" i="44"/>
  <c r="W333" i="44" s="1"/>
  <c r="V337" i="44"/>
  <c r="W337" i="44" s="1"/>
  <c r="M342" i="44"/>
  <c r="V347" i="44"/>
  <c r="W347" i="44" s="1"/>
  <c r="W355" i="44"/>
  <c r="S358" i="44"/>
  <c r="AB365" i="44"/>
  <c r="AE399" i="44"/>
  <c r="AB399" i="44" s="1"/>
  <c r="AE400" i="44"/>
  <c r="AB400" i="44" s="1"/>
  <c r="AE433" i="44"/>
  <c r="AC433" i="44" s="1"/>
  <c r="T302" i="44"/>
  <c r="W376" i="44"/>
  <c r="W379" i="44"/>
  <c r="L306" i="44"/>
  <c r="V309" i="44"/>
  <c r="W309" i="44" s="1"/>
  <c r="V313" i="44"/>
  <c r="W313" i="44" s="1"/>
  <c r="V317" i="44"/>
  <c r="W317" i="44" s="1"/>
  <c r="V321" i="44"/>
  <c r="W321" i="44" s="1"/>
  <c r="T332" i="44"/>
  <c r="L334" i="44"/>
  <c r="AE335" i="44"/>
  <c r="AB335" i="44" s="1"/>
  <c r="T336" i="44"/>
  <c r="L338" i="44"/>
  <c r="M358" i="44"/>
  <c r="T372" i="44"/>
  <c r="M372" i="44"/>
  <c r="AE387" i="44"/>
  <c r="AC387" i="44" s="1"/>
  <c r="W396" i="44"/>
  <c r="M281" i="44"/>
  <c r="S284" i="44"/>
  <c r="M289" i="44"/>
  <c r="S292" i="44"/>
  <c r="M297" i="44"/>
  <c r="S300" i="44"/>
  <c r="V302" i="44"/>
  <c r="W302" i="44" s="1"/>
  <c r="M306" i="44"/>
  <c r="S308" i="44"/>
  <c r="S312" i="44"/>
  <c r="S316" i="44"/>
  <c r="S320" i="44"/>
  <c r="M334" i="44"/>
  <c r="M338" i="44"/>
  <c r="S346" i="44"/>
  <c r="L365" i="44"/>
  <c r="L372" i="44"/>
  <c r="L373" i="44"/>
  <c r="S373" i="44"/>
  <c r="M374" i="44"/>
  <c r="V374" i="44"/>
  <c r="W374" i="44" s="1"/>
  <c r="L374" i="44"/>
  <c r="T405" i="44"/>
  <c r="S405" i="44"/>
  <c r="M405" i="44"/>
  <c r="L405" i="44"/>
  <c r="M425" i="44"/>
  <c r="L425" i="44"/>
  <c r="V425" i="44"/>
  <c r="W425" i="44" s="1"/>
  <c r="T425" i="44"/>
  <c r="S425" i="44"/>
  <c r="AC432" i="44"/>
  <c r="AE463" i="44"/>
  <c r="AB463" i="44" s="1"/>
  <c r="AE390" i="44"/>
  <c r="AB390" i="44"/>
  <c r="AE411" i="44"/>
  <c r="W332" i="44"/>
  <c r="T353" i="44"/>
  <c r="L361" i="44"/>
  <c r="L23" i="44" s="1"/>
  <c r="T361" i="44"/>
  <c r="AK361" i="44"/>
  <c r="S393" i="44"/>
  <c r="M393" i="44"/>
  <c r="L393" i="44"/>
  <c r="AC414" i="44"/>
  <c r="V300" i="44"/>
  <c r="W300" i="44" s="1"/>
  <c r="V320" i="44"/>
  <c r="W320" i="44" s="1"/>
  <c r="S325" i="44"/>
  <c r="L333" i="44"/>
  <c r="L337" i="44"/>
  <c r="S342" i="44"/>
  <c r="M344" i="44"/>
  <c r="L347" i="44"/>
  <c r="L353" i="44"/>
  <c r="M361" i="44"/>
  <c r="M23" i="44" s="1"/>
  <c r="M366" i="44"/>
  <c r="T366" i="44"/>
  <c r="L366" i="44"/>
  <c r="AE391" i="44"/>
  <c r="AC391" i="44" s="1"/>
  <c r="AC406" i="44"/>
  <c r="AC411" i="44"/>
  <c r="AC457" i="44"/>
  <c r="AE464" i="44"/>
  <c r="AC464" i="44" s="1"/>
  <c r="T325" i="44"/>
  <c r="M333" i="44"/>
  <c r="M337" i="44"/>
  <c r="M22" i="44" s="1"/>
  <c r="M347" i="44"/>
  <c r="M353" i="44"/>
  <c r="M381" i="44"/>
  <c r="L381" i="44"/>
  <c r="W387" i="44"/>
  <c r="AE424" i="44"/>
  <c r="AB424" i="44" s="1"/>
  <c r="AE456" i="44"/>
  <c r="AB456" i="44" s="1"/>
  <c r="L309" i="44"/>
  <c r="L313" i="44"/>
  <c r="L317" i="44"/>
  <c r="L321" i="44"/>
  <c r="AC357" i="44"/>
  <c r="M367" i="44"/>
  <c r="L367" i="44"/>
  <c r="S367" i="44"/>
  <c r="S368" i="44"/>
  <c r="M368" i="44"/>
  <c r="T380" i="44"/>
  <c r="V380" i="44"/>
  <c r="W380" i="44" s="1"/>
  <c r="M380" i="44"/>
  <c r="W388" i="44"/>
  <c r="AE407" i="44"/>
  <c r="AC407" i="44" s="1"/>
  <c r="AB407" i="44"/>
  <c r="AC410" i="44"/>
  <c r="AC438" i="44"/>
  <c r="AE439" i="44"/>
  <c r="AB439" i="44" s="1"/>
  <c r="AE460" i="44"/>
  <c r="AB460" i="44"/>
  <c r="S289" i="44"/>
  <c r="S297" i="44"/>
  <c r="L302" i="44"/>
  <c r="S306" i="44"/>
  <c r="S334" i="44"/>
  <c r="S338" i="44"/>
  <c r="L380" i="44"/>
  <c r="AE459" i="44"/>
  <c r="AC459" i="44" s="1"/>
  <c r="AB459" i="44"/>
  <c r="T289" i="44"/>
  <c r="T297" i="44"/>
  <c r="T306" i="44"/>
  <c r="L332" i="44"/>
  <c r="T334" i="44"/>
  <c r="L336" i="44"/>
  <c r="T338" i="44"/>
  <c r="M357" i="44"/>
  <c r="V358" i="44"/>
  <c r="W358" i="44" s="1"/>
  <c r="M362" i="44"/>
  <c r="L362" i="44"/>
  <c r="V362" i="44"/>
  <c r="W362" i="44" s="1"/>
  <c r="T362" i="44"/>
  <c r="T365" i="44"/>
  <c r="S369" i="44"/>
  <c r="L369" i="44"/>
  <c r="V373" i="44"/>
  <c r="W373" i="44" s="1"/>
  <c r="T374" i="44"/>
  <c r="AE402" i="44"/>
  <c r="AC402" i="44" s="1"/>
  <c r="V405" i="44"/>
  <c r="W405" i="44" s="1"/>
  <c r="T420" i="44"/>
  <c r="V420" i="44"/>
  <c r="W420" i="44" s="1"/>
  <c r="S420" i="44"/>
  <c r="M420" i="44"/>
  <c r="L420" i="44"/>
  <c r="F445" i="44"/>
  <c r="K445" i="44" s="1"/>
  <c r="K444" i="44"/>
  <c r="AE303" i="44"/>
  <c r="AC303" i="44" s="1"/>
  <c r="T346" i="44"/>
  <c r="V377" i="44"/>
  <c r="W377" i="44" s="1"/>
  <c r="S377" i="44"/>
  <c r="L377" i="44"/>
  <c r="T379" i="44"/>
  <c r="S379" i="44"/>
  <c r="M379" i="44"/>
  <c r="AB392" i="44"/>
  <c r="T393" i="44"/>
  <c r="AB411" i="44"/>
  <c r="L292" i="44"/>
  <c r="L300" i="44"/>
  <c r="L308" i="44"/>
  <c r="L312" i="44"/>
  <c r="L316" i="44"/>
  <c r="L320" i="44"/>
  <c r="AB332" i="44"/>
  <c r="AB336" i="44"/>
  <c r="S344" i="44"/>
  <c r="L346" i="44"/>
  <c r="M349" i="44"/>
  <c r="S353" i="44"/>
  <c r="S361" i="44"/>
  <c r="M370" i="44"/>
  <c r="V370" i="44"/>
  <c r="W370" i="44" s="1"/>
  <c r="T370" i="44"/>
  <c r="M377" i="44"/>
  <c r="L379" i="44"/>
  <c r="S381" i="44"/>
  <c r="AB387" i="44"/>
  <c r="AE388" i="44"/>
  <c r="AB388" i="44" s="1"/>
  <c r="AC390" i="44"/>
  <c r="AE395" i="44"/>
  <c r="AC395" i="44" s="1"/>
  <c r="T396" i="44"/>
  <c r="S396" i="44"/>
  <c r="M396" i="44"/>
  <c r="L396" i="44"/>
  <c r="L398" i="44"/>
  <c r="V398" i="44"/>
  <c r="W398" i="44" s="1"/>
  <c r="S398" i="44"/>
  <c r="M398" i="44"/>
  <c r="AE404" i="44"/>
  <c r="AC404" i="44" s="1"/>
  <c r="AB404" i="44"/>
  <c r="S333" i="44"/>
  <c r="S337" i="44"/>
  <c r="T344" i="44"/>
  <c r="M346" i="44"/>
  <c r="S347" i="44"/>
  <c r="AE349" i="44"/>
  <c r="AC349" i="44" s="1"/>
  <c r="S354" i="44"/>
  <c r="T367" i="44"/>
  <c r="S380" i="44"/>
  <c r="T381" i="44"/>
  <c r="S385" i="44"/>
  <c r="T385" i="44"/>
  <c r="K389" i="44"/>
  <c r="M385" i="44"/>
  <c r="V393" i="44"/>
  <c r="W393" i="44" s="1"/>
  <c r="AB394" i="44"/>
  <c r="T412" i="44"/>
  <c r="V412" i="44"/>
  <c r="W412" i="44" s="1"/>
  <c r="S412" i="44"/>
  <c r="M412" i="44"/>
  <c r="L412" i="44"/>
  <c r="AE427" i="44"/>
  <c r="AB427" i="44" s="1"/>
  <c r="V353" i="44"/>
  <c r="V361" i="44"/>
  <c r="W361" i="44" s="1"/>
  <c r="AB364" i="44"/>
  <c r="AB378" i="44"/>
  <c r="AC383" i="44"/>
  <c r="V386" i="44"/>
  <c r="W386" i="44" s="1"/>
  <c r="T386" i="44"/>
  <c r="S386" i="44"/>
  <c r="L386" i="44"/>
  <c r="AC399" i="44"/>
  <c r="W401" i="44"/>
  <c r="AE468" i="44"/>
  <c r="AC468" i="44" s="1"/>
  <c r="V413" i="44"/>
  <c r="W413" i="44" s="1"/>
  <c r="AE431" i="44"/>
  <c r="AB431" i="44" s="1"/>
  <c r="V435" i="44"/>
  <c r="W435" i="44" s="1"/>
  <c r="T435" i="44"/>
  <c r="AE495" i="44"/>
  <c r="AC495" i="44" s="1"/>
  <c r="AC539" i="44"/>
  <c r="S418" i="44"/>
  <c r="AE428" i="44"/>
  <c r="AC428" i="44" s="1"/>
  <c r="V450" i="44"/>
  <c r="W450" i="44" s="1"/>
  <c r="S450" i="44"/>
  <c r="AE474" i="44"/>
  <c r="AC474" i="44" s="1"/>
  <c r="AE475" i="44"/>
  <c r="AB475" i="44" s="1"/>
  <c r="T388" i="44"/>
  <c r="L390" i="44"/>
  <c r="V390" i="44"/>
  <c r="W390" i="44" s="1"/>
  <c r="M404" i="44"/>
  <c r="V427" i="44"/>
  <c r="W427" i="44" s="1"/>
  <c r="T427" i="44"/>
  <c r="M435" i="44"/>
  <c r="T441" i="44"/>
  <c r="V452" i="44"/>
  <c r="W452" i="44" s="1"/>
  <c r="S452" i="44"/>
  <c r="AB457" i="44"/>
  <c r="M473" i="44"/>
  <c r="V473" i="44"/>
  <c r="W473" i="44" s="1"/>
  <c r="T473" i="44"/>
  <c r="S473" i="44"/>
  <c r="L473" i="44"/>
  <c r="AE479" i="44"/>
  <c r="AB479" i="44" s="1"/>
  <c r="AE500" i="44"/>
  <c r="AB500" i="44" s="1"/>
  <c r="V447" i="44"/>
  <c r="W447" i="44" s="1"/>
  <c r="T447" i="44"/>
  <c r="S447" i="44"/>
  <c r="M447" i="44"/>
  <c r="V449" i="44"/>
  <c r="W449" i="44" s="1"/>
  <c r="T449" i="44"/>
  <c r="S449" i="44"/>
  <c r="M449" i="44"/>
  <c r="K517" i="44"/>
  <c r="F518" i="44"/>
  <c r="K518" i="44" s="1"/>
  <c r="S375" i="44"/>
  <c r="T392" i="44"/>
  <c r="L394" i="44"/>
  <c r="V394" i="44"/>
  <c r="W394" i="44" s="1"/>
  <c r="T401" i="44"/>
  <c r="L402" i="44"/>
  <c r="V402" i="44"/>
  <c r="W402" i="44" s="1"/>
  <c r="T408" i="44"/>
  <c r="M427" i="44"/>
  <c r="AB436" i="44"/>
  <c r="V441" i="44"/>
  <c r="W441" i="44" s="1"/>
  <c r="L447" i="44"/>
  <c r="L449" i="44"/>
  <c r="M450" i="44"/>
  <c r="L452" i="44"/>
  <c r="U455" i="44"/>
  <c r="U24" i="44" s="1"/>
  <c r="AE466" i="44"/>
  <c r="AB466" i="44" s="1"/>
  <c r="AC504" i="44"/>
  <c r="V421" i="44"/>
  <c r="W421" i="44" s="1"/>
  <c r="T421" i="44"/>
  <c r="S421" i="44"/>
  <c r="M421" i="44"/>
  <c r="AE462" i="44"/>
  <c r="AB462" i="44" s="1"/>
  <c r="T489" i="44"/>
  <c r="S489" i="44"/>
  <c r="L489" i="44"/>
  <c r="V489" i="44"/>
  <c r="W489" i="44" s="1"/>
  <c r="M489" i="44"/>
  <c r="AI489" i="44"/>
  <c r="AE575" i="44"/>
  <c r="AB575" i="44"/>
  <c r="AE419" i="44"/>
  <c r="AC419" i="44" s="1"/>
  <c r="AB419" i="44"/>
  <c r="AB428" i="44"/>
  <c r="M429" i="44"/>
  <c r="L429" i="44"/>
  <c r="V429" i="44"/>
  <c r="W429" i="44" s="1"/>
  <c r="AE592" i="44"/>
  <c r="AB592" i="44" s="1"/>
  <c r="V397" i="44"/>
  <c r="W397" i="44" s="1"/>
  <c r="T400" i="44"/>
  <c r="T409" i="44"/>
  <c r="S409" i="44"/>
  <c r="M409" i="44"/>
  <c r="M416" i="44"/>
  <c r="V417" i="44"/>
  <c r="W417" i="44" s="1"/>
  <c r="T417" i="44"/>
  <c r="S417" i="44"/>
  <c r="M417" i="44"/>
  <c r="AC422" i="44"/>
  <c r="S435" i="44"/>
  <c r="AE437" i="44"/>
  <c r="AE478" i="44"/>
  <c r="AC478" i="44" s="1"/>
  <c r="AB478" i="44"/>
  <c r="V404" i="44"/>
  <c r="W404" i="44" s="1"/>
  <c r="T413" i="44"/>
  <c r="S413" i="44"/>
  <c r="M413" i="44"/>
  <c r="AE415" i="44"/>
  <c r="AC415" i="44" s="1"/>
  <c r="T450" i="44"/>
  <c r="M459" i="44"/>
  <c r="L459" i="44"/>
  <c r="V459" i="44"/>
  <c r="W459" i="44" s="1"/>
  <c r="AB403" i="44"/>
  <c r="L406" i="44"/>
  <c r="V406" i="44"/>
  <c r="W406" i="44" s="1"/>
  <c r="L413" i="44"/>
  <c r="L422" i="44"/>
  <c r="V422" i="44"/>
  <c r="W422" i="44" s="1"/>
  <c r="V431" i="44"/>
  <c r="W431" i="44" s="1"/>
  <c r="T431" i="44"/>
  <c r="M439" i="44"/>
  <c r="L439" i="44"/>
  <c r="V439" i="44"/>
  <c r="W439" i="44" s="1"/>
  <c r="AC460" i="44"/>
  <c r="AE499" i="44"/>
  <c r="AC499" i="44" s="1"/>
  <c r="AE408" i="44"/>
  <c r="AB408" i="44"/>
  <c r="AC463" i="44"/>
  <c r="AC466" i="44"/>
  <c r="S480" i="44"/>
  <c r="L480" i="44"/>
  <c r="V480" i="44"/>
  <c r="W480" i="44" s="1"/>
  <c r="T480" i="44"/>
  <c r="M554" i="44"/>
  <c r="L554" i="44"/>
  <c r="V554" i="44"/>
  <c r="W554" i="44" s="1"/>
  <c r="T554" i="44"/>
  <c r="S554" i="44"/>
  <c r="AI554" i="44"/>
  <c r="AE416" i="44"/>
  <c r="AB416" i="44" s="1"/>
  <c r="L418" i="44"/>
  <c r="V418" i="44"/>
  <c r="W418" i="44" s="1"/>
  <c r="S429" i="44"/>
  <c r="S441" i="44"/>
  <c r="M441" i="44"/>
  <c r="AE458" i="44"/>
  <c r="AC458" i="44" s="1"/>
  <c r="M378" i="44"/>
  <c r="L378" i="44"/>
  <c r="T394" i="44"/>
  <c r="L410" i="44"/>
  <c r="V410" i="44"/>
  <c r="W410" i="44" s="1"/>
  <c r="M418" i="44"/>
  <c r="T429" i="44"/>
  <c r="L441" i="44"/>
  <c r="V442" i="44"/>
  <c r="W442" i="44" s="1"/>
  <c r="T442" i="44"/>
  <c r="S442" i="44"/>
  <c r="L442" i="44"/>
  <c r="S397" i="44"/>
  <c r="S401" i="44"/>
  <c r="M401" i="44"/>
  <c r="L414" i="44"/>
  <c r="V414" i="44"/>
  <c r="W414" i="44" s="1"/>
  <c r="V416" i="44"/>
  <c r="W416" i="44" s="1"/>
  <c r="AB432" i="44"/>
  <c r="M433" i="44"/>
  <c r="L433" i="44"/>
  <c r="V433" i="44"/>
  <c r="W433" i="44" s="1"/>
  <c r="AI447" i="44"/>
  <c r="AI449" i="44"/>
  <c r="AI450" i="44"/>
  <c r="L456" i="44"/>
  <c r="V456" i="44"/>
  <c r="T456" i="44"/>
  <c r="V462" i="44"/>
  <c r="W462" i="44" s="1"/>
  <c r="T462" i="44"/>
  <c r="AE509" i="44"/>
  <c r="AB509" i="44" s="1"/>
  <c r="S465" i="44"/>
  <c r="AK465" i="44"/>
  <c r="S467" i="44"/>
  <c r="T472" i="44"/>
  <c r="M485" i="44"/>
  <c r="L485" i="44"/>
  <c r="V485" i="44"/>
  <c r="W485" i="44" s="1"/>
  <c r="U494" i="44"/>
  <c r="U25" i="44" s="1"/>
  <c r="AB504" i="44"/>
  <c r="W508" i="44"/>
  <c r="M562" i="44"/>
  <c r="L562" i="44"/>
  <c r="V562" i="44"/>
  <c r="W562" i="44" s="1"/>
  <c r="T562" i="44"/>
  <c r="S562" i="44"/>
  <c r="T465" i="44"/>
  <c r="V466" i="44"/>
  <c r="W466" i="44" s="1"/>
  <c r="L467" i="44"/>
  <c r="V472" i="44"/>
  <c r="W472" i="44" s="1"/>
  <c r="AC479" i="44"/>
  <c r="V491" i="44"/>
  <c r="W491" i="44" s="1"/>
  <c r="AE507" i="44"/>
  <c r="AB507" i="44" s="1"/>
  <c r="V524" i="44"/>
  <c r="W524" i="44" s="1"/>
  <c r="T524" i="44"/>
  <c r="S524" i="44"/>
  <c r="AI524" i="44"/>
  <c r="M524" i="44"/>
  <c r="L524" i="44"/>
  <c r="AE529" i="44"/>
  <c r="AB529" i="44" s="1"/>
  <c r="U571" i="44"/>
  <c r="U26" i="44" s="1"/>
  <c r="AE582" i="44"/>
  <c r="AB582" i="44" s="1"/>
  <c r="M477" i="44"/>
  <c r="V477" i="44"/>
  <c r="W477" i="44" s="1"/>
  <c r="W523" i="44"/>
  <c r="W529" i="44"/>
  <c r="AC586" i="44"/>
  <c r="V471" i="44"/>
  <c r="W471" i="44" s="1"/>
  <c r="S486" i="44"/>
  <c r="AI486" i="44"/>
  <c r="M515" i="44"/>
  <c r="L515" i="44"/>
  <c r="V515" i="44"/>
  <c r="W515" i="44" s="1"/>
  <c r="T515" i="44"/>
  <c r="S515" i="44"/>
  <c r="V545" i="44"/>
  <c r="W545" i="44" s="1"/>
  <c r="T545" i="44"/>
  <c r="S545" i="44"/>
  <c r="AI545" i="44"/>
  <c r="M545" i="44"/>
  <c r="L545" i="44"/>
  <c r="W572" i="44"/>
  <c r="L426" i="44"/>
  <c r="L430" i="44"/>
  <c r="L434" i="44"/>
  <c r="L461" i="44"/>
  <c r="L471" i="44"/>
  <c r="V482" i="44"/>
  <c r="W482" i="44" s="1"/>
  <c r="T482" i="44"/>
  <c r="S482" i="44"/>
  <c r="L486" i="44"/>
  <c r="M538" i="44"/>
  <c r="L538" i="44"/>
  <c r="V538" i="44"/>
  <c r="W538" i="44" s="1"/>
  <c r="T538" i="44"/>
  <c r="S538" i="44"/>
  <c r="W470" i="44"/>
  <c r="M471" i="44"/>
  <c r="L482" i="44"/>
  <c r="AI482" i="44"/>
  <c r="M486" i="44"/>
  <c r="M501" i="44"/>
  <c r="L501" i="44"/>
  <c r="S501" i="44"/>
  <c r="AE560" i="44"/>
  <c r="AB560" i="44" s="1"/>
  <c r="AB581" i="44"/>
  <c r="AE581" i="44"/>
  <c r="AC581" i="44" s="1"/>
  <c r="L460" i="44"/>
  <c r="T502" i="44"/>
  <c r="S502" i="44"/>
  <c r="M502" i="44"/>
  <c r="V502" i="44"/>
  <c r="W502" i="44" s="1"/>
  <c r="V521" i="44"/>
  <c r="W521" i="44" s="1"/>
  <c r="T521" i="44"/>
  <c r="S521" i="44"/>
  <c r="L521" i="44"/>
  <c r="M532" i="44"/>
  <c r="L532" i="44"/>
  <c r="V532" i="44"/>
  <c r="W532" i="44" s="1"/>
  <c r="T532" i="44"/>
  <c r="S532" i="44"/>
  <c r="AI532" i="44"/>
  <c r="T566" i="44"/>
  <c r="S566" i="44"/>
  <c r="AI566" i="44"/>
  <c r="M566" i="44"/>
  <c r="L566" i="44"/>
  <c r="K488" i="44"/>
  <c r="K496" i="44"/>
  <c r="M497" i="44"/>
  <c r="L497" i="44"/>
  <c r="S497" i="44"/>
  <c r="L502" i="44"/>
  <c r="V511" i="44"/>
  <c r="W511" i="44" s="1"/>
  <c r="T511" i="44"/>
  <c r="S511" i="44"/>
  <c r="M511" i="44"/>
  <c r="L511" i="44"/>
  <c r="AB514" i="44"/>
  <c r="AE513" i="44"/>
  <c r="AB559" i="44"/>
  <c r="AC560" i="44"/>
  <c r="V566" i="44"/>
  <c r="W566" i="44" s="1"/>
  <c r="AE600" i="44"/>
  <c r="AB600" i="44" s="1"/>
  <c r="AE606" i="44"/>
  <c r="AB606" i="44" s="1"/>
  <c r="M466" i="44"/>
  <c r="F483" i="44"/>
  <c r="K483" i="44" s="1"/>
  <c r="T498" i="44"/>
  <c r="S498" i="44"/>
  <c r="M498" i="44"/>
  <c r="V498" i="44"/>
  <c r="W498" i="44" s="1"/>
  <c r="AE505" i="44"/>
  <c r="AC505" i="44" s="1"/>
  <c r="S520" i="44"/>
  <c r="M520" i="44"/>
  <c r="L520" i="44"/>
  <c r="V520" i="44"/>
  <c r="W520" i="44" s="1"/>
  <c r="V551" i="44"/>
  <c r="W551" i="44" s="1"/>
  <c r="T551" i="44"/>
  <c r="S551" i="44"/>
  <c r="AI551" i="44"/>
  <c r="M551" i="44"/>
  <c r="AE565" i="44"/>
  <c r="AC565" i="44" s="1"/>
  <c r="AB565" i="44"/>
  <c r="AE584" i="44"/>
  <c r="AB584" i="44"/>
  <c r="W591" i="44"/>
  <c r="M599" i="44"/>
  <c r="L599" i="44"/>
  <c r="T599" i="44"/>
  <c r="V599" i="44"/>
  <c r="W599" i="44" s="1"/>
  <c r="S599" i="44"/>
  <c r="L465" i="44"/>
  <c r="T469" i="44"/>
  <c r="L472" i="44"/>
  <c r="AE472" i="44"/>
  <c r="AB472" i="44" s="1"/>
  <c r="V475" i="44"/>
  <c r="W475" i="44" s="1"/>
  <c r="S477" i="44"/>
  <c r="L498" i="44"/>
  <c r="M530" i="44"/>
  <c r="L530" i="44"/>
  <c r="V530" i="44"/>
  <c r="W530" i="44" s="1"/>
  <c r="T530" i="44"/>
  <c r="S530" i="44"/>
  <c r="AE528" i="44" s="1"/>
  <c r="AI530" i="44"/>
  <c r="W553" i="44"/>
  <c r="V573" i="44"/>
  <c r="T573" i="44"/>
  <c r="S573" i="44"/>
  <c r="M573" i="44"/>
  <c r="L573" i="44"/>
  <c r="AE588" i="44"/>
  <c r="AB588" i="44" s="1"/>
  <c r="F453" i="44"/>
  <c r="K453" i="44" s="1"/>
  <c r="V467" i="44"/>
  <c r="W467" i="44" s="1"/>
  <c r="S471" i="44"/>
  <c r="M472" i="44"/>
  <c r="T477" i="44"/>
  <c r="V479" i="44"/>
  <c r="W479" i="44" s="1"/>
  <c r="T486" i="44"/>
  <c r="T491" i="44"/>
  <c r="S491" i="44"/>
  <c r="L491" i="44"/>
  <c r="AE508" i="44"/>
  <c r="AB508" i="44" s="1"/>
  <c r="AE510" i="44"/>
  <c r="AB510" i="44" s="1"/>
  <c r="M536" i="44"/>
  <c r="L536" i="44"/>
  <c r="V536" i="44"/>
  <c r="W536" i="44" s="1"/>
  <c r="T536" i="44"/>
  <c r="S536" i="44"/>
  <c r="AI538" i="44"/>
  <c r="AC575" i="44"/>
  <c r="AC590" i="44"/>
  <c r="V616" i="44"/>
  <c r="W616" i="44" s="1"/>
  <c r="T616" i="44"/>
  <c r="M616" i="44"/>
  <c r="L616" i="44"/>
  <c r="S616" i="44"/>
  <c r="AB618" i="44"/>
  <c r="AE618" i="44"/>
  <c r="AC618" i="44" s="1"/>
  <c r="S426" i="44"/>
  <c r="S430" i="44"/>
  <c r="S434" i="44"/>
  <c r="S461" i="44"/>
  <c r="V469" i="44"/>
  <c r="W469" i="44" s="1"/>
  <c r="S470" i="44"/>
  <c r="T471" i="44"/>
  <c r="AE484" i="44"/>
  <c r="AC500" i="44"/>
  <c r="T501" i="44"/>
  <c r="M556" i="44"/>
  <c r="L556" i="44"/>
  <c r="V556" i="44"/>
  <c r="W556" i="44" s="1"/>
  <c r="T556" i="44"/>
  <c r="S556" i="44"/>
  <c r="AI556" i="44"/>
  <c r="AB578" i="44"/>
  <c r="AE578" i="44"/>
  <c r="AC578" i="44" s="1"/>
  <c r="AC584" i="44"/>
  <c r="T426" i="44"/>
  <c r="T430" i="44"/>
  <c r="T434" i="44"/>
  <c r="T461" i="44"/>
  <c r="L470" i="44"/>
  <c r="S476" i="44"/>
  <c r="M479" i="44"/>
  <c r="V486" i="44"/>
  <c r="W486" i="44" s="1"/>
  <c r="V492" i="44"/>
  <c r="W492" i="44" s="1"/>
  <c r="S492" i="44"/>
  <c r="AI492" i="44"/>
  <c r="L492" i="44"/>
  <c r="V501" i="44"/>
  <c r="W501" i="44" s="1"/>
  <c r="AB503" i="44"/>
  <c r="W504" i="44"/>
  <c r="W512" i="44"/>
  <c r="S541" i="44"/>
  <c r="AE593" i="44"/>
  <c r="AB593" i="44" s="1"/>
  <c r="AE594" i="44"/>
  <c r="AB594" i="44" s="1"/>
  <c r="V548" i="44"/>
  <c r="W548" i="44" s="1"/>
  <c r="T548" i="44"/>
  <c r="S548" i="44"/>
  <c r="AI548" i="44"/>
  <c r="M548" i="44"/>
  <c r="L548" i="44"/>
  <c r="V569" i="44"/>
  <c r="W569" i="44" s="1"/>
  <c r="T569" i="44"/>
  <c r="S569" i="44"/>
  <c r="AI569" i="44"/>
  <c r="M569" i="44"/>
  <c r="L569" i="44"/>
  <c r="AE579" i="44"/>
  <c r="AB579" i="44" s="1"/>
  <c r="M476" i="44"/>
  <c r="AE485" i="44"/>
  <c r="AC485" i="44" s="1"/>
  <c r="M492" i="44"/>
  <c r="V497" i="44"/>
  <c r="W497" i="44" s="1"/>
  <c r="V527" i="44"/>
  <c r="W527" i="44" s="1"/>
  <c r="T527" i="44"/>
  <c r="AI527" i="44"/>
  <c r="M527" i="44"/>
  <c r="AB535" i="44"/>
  <c r="V577" i="44"/>
  <c r="W577" i="44" s="1"/>
  <c r="T577" i="44"/>
  <c r="S577" i="44"/>
  <c r="M577" i="44"/>
  <c r="L577" i="44"/>
  <c r="W578" i="44"/>
  <c r="V587" i="44"/>
  <c r="W587" i="44" s="1"/>
  <c r="AC588" i="44"/>
  <c r="V605" i="44"/>
  <c r="W605" i="44" s="1"/>
  <c r="T605" i="44"/>
  <c r="L605" i="44"/>
  <c r="S612" i="44"/>
  <c r="M664" i="44"/>
  <c r="L664" i="44"/>
  <c r="S664" i="44"/>
  <c r="AI664" i="44"/>
  <c r="V664" i="44"/>
  <c r="W664" i="44" s="1"/>
  <c r="T664" i="44"/>
  <c r="L507" i="44"/>
  <c r="AI514" i="44"/>
  <c r="L526" i="44"/>
  <c r="AI535" i="44"/>
  <c r="V539" i="44"/>
  <c r="W539" i="44" s="1"/>
  <c r="V541" i="44"/>
  <c r="W541" i="44" s="1"/>
  <c r="L550" i="44"/>
  <c r="AI559" i="44"/>
  <c r="V565" i="44"/>
  <c r="W565" i="44" s="1"/>
  <c r="V582" i="44"/>
  <c r="W582" i="44" s="1"/>
  <c r="V596" i="44"/>
  <c r="W596" i="44" s="1"/>
  <c r="L596" i="44"/>
  <c r="AB602" i="44"/>
  <c r="AE602" i="44"/>
  <c r="AC606" i="44"/>
  <c r="W642" i="44"/>
  <c r="M646" i="44"/>
  <c r="V646" i="44"/>
  <c r="W646" i="44" s="1"/>
  <c r="T646" i="44"/>
  <c r="S646" i="44"/>
  <c r="L646" i="44"/>
  <c r="AE648" i="44"/>
  <c r="AC648" i="44" s="1"/>
  <c r="S627" i="44"/>
  <c r="M627" i="44"/>
  <c r="L627" i="44"/>
  <c r="V627" i="44"/>
  <c r="W627" i="44" s="1"/>
  <c r="AE637" i="44"/>
  <c r="AE635" i="44"/>
  <c r="M474" i="44"/>
  <c r="M478" i="44"/>
  <c r="M495" i="44"/>
  <c r="M499" i="44"/>
  <c r="S512" i="44"/>
  <c r="T514" i="44"/>
  <c r="L523" i="44"/>
  <c r="T535" i="44"/>
  <c r="L547" i="44"/>
  <c r="AE553" i="44"/>
  <c r="AB553" i="44" s="1"/>
  <c r="AE558" i="44"/>
  <c r="T559" i="44"/>
  <c r="L580" i="44"/>
  <c r="L585" i="44"/>
  <c r="V593" i="44"/>
  <c r="W593" i="44" s="1"/>
  <c r="T593" i="44"/>
  <c r="L593" i="44"/>
  <c r="S595" i="44"/>
  <c r="V598" i="44"/>
  <c r="W598" i="44" s="1"/>
  <c r="V600" i="44"/>
  <c r="W600" i="44" s="1"/>
  <c r="L600" i="44"/>
  <c r="F563" i="44"/>
  <c r="K563" i="44" s="1"/>
  <c r="M580" i="44"/>
  <c r="M585" i="44"/>
  <c r="AB586" i="44"/>
  <c r="V634" i="44"/>
  <c r="W634" i="44" s="1"/>
  <c r="T634" i="44"/>
  <c r="AI634" i="44"/>
  <c r="M634" i="44"/>
  <c r="L634" i="44"/>
  <c r="AC636" i="44"/>
  <c r="L568" i="44"/>
  <c r="V589" i="44"/>
  <c r="W589" i="44" s="1"/>
  <c r="AB590" i="44"/>
  <c r="V595" i="44"/>
  <c r="W595" i="44" s="1"/>
  <c r="V597" i="44"/>
  <c r="W597" i="44" s="1"/>
  <c r="T597" i="44"/>
  <c r="L597" i="44"/>
  <c r="M607" i="44"/>
  <c r="L607" i="44"/>
  <c r="V607" i="44"/>
  <c r="W607" i="44" s="1"/>
  <c r="T607" i="44"/>
  <c r="K624" i="44"/>
  <c r="F625" i="44"/>
  <c r="K625" i="44" s="1"/>
  <c r="AC637" i="44"/>
  <c r="AE725" i="44"/>
  <c r="AB725" i="44" s="1"/>
  <c r="AI526" i="44"/>
  <c r="T529" i="44"/>
  <c r="L539" i="44"/>
  <c r="L541" i="44"/>
  <c r="AI550" i="44"/>
  <c r="AE552" i="44"/>
  <c r="T553" i="44"/>
  <c r="L565" i="44"/>
  <c r="L582" i="44"/>
  <c r="L587" i="44"/>
  <c r="M589" i="44"/>
  <c r="M591" i="44"/>
  <c r="T591" i="44"/>
  <c r="T594" i="44"/>
  <c r="S596" i="44"/>
  <c r="V601" i="44"/>
  <c r="W601" i="44" s="1"/>
  <c r="T601" i="44"/>
  <c r="L601" i="44"/>
  <c r="S605" i="44"/>
  <c r="S609" i="44"/>
  <c r="M609" i="44"/>
  <c r="AI610" i="44"/>
  <c r="L610" i="44"/>
  <c r="M622" i="44"/>
  <c r="L622" i="44"/>
  <c r="V622" i="44"/>
  <c r="W622" i="44" s="1"/>
  <c r="T622" i="44"/>
  <c r="S622" i="44"/>
  <c r="AC645" i="44"/>
  <c r="V500" i="44"/>
  <c r="W500" i="44" s="1"/>
  <c r="S526" i="44"/>
  <c r="F533" i="44"/>
  <c r="K533" i="44" s="1"/>
  <c r="M539" i="44"/>
  <c r="M541" i="44"/>
  <c r="S550" i="44"/>
  <c r="F557" i="44"/>
  <c r="K557" i="44" s="1"/>
  <c r="M565" i="44"/>
  <c r="M582" i="44"/>
  <c r="S583" i="44"/>
  <c r="V590" i="44"/>
  <c r="W590" i="44" s="1"/>
  <c r="L591" i="44"/>
  <c r="AE591" i="44"/>
  <c r="L594" i="44"/>
  <c r="T596" i="44"/>
  <c r="M601" i="44"/>
  <c r="L609" i="44"/>
  <c r="T627" i="44"/>
  <c r="S634" i="44"/>
  <c r="AE654" i="44"/>
  <c r="AC654" i="44" s="1"/>
  <c r="AB654" i="44"/>
  <c r="AE680" i="44"/>
  <c r="AB680" i="44" s="1"/>
  <c r="S580" i="44"/>
  <c r="T598" i="44"/>
  <c r="T602" i="44"/>
  <c r="AI612" i="44"/>
  <c r="L612" i="44"/>
  <c r="T649" i="44"/>
  <c r="S649" i="44"/>
  <c r="V649" i="44"/>
  <c r="W649" i="44" s="1"/>
  <c r="M649" i="44"/>
  <c r="AI649" i="44"/>
  <c r="L649" i="44"/>
  <c r="S523" i="44"/>
  <c r="S547" i="44"/>
  <c r="T580" i="44"/>
  <c r="V584" i="44"/>
  <c r="W584" i="44" s="1"/>
  <c r="S585" i="44"/>
  <c r="L598" i="44"/>
  <c r="T600" i="44"/>
  <c r="AE603" i="44"/>
  <c r="AB603" i="44" s="1"/>
  <c r="AE614" i="44"/>
  <c r="AB615" i="44"/>
  <c r="T523" i="44"/>
  <c r="L535" i="44"/>
  <c r="AI542" i="44"/>
  <c r="AI544" i="44"/>
  <c r="T547" i="44"/>
  <c r="L559" i="44"/>
  <c r="AI568" i="44"/>
  <c r="S572" i="44"/>
  <c r="S576" i="44"/>
  <c r="V583" i="44"/>
  <c r="W583" i="44" s="1"/>
  <c r="L584" i="44"/>
  <c r="T585" i="44"/>
  <c r="M598" i="44"/>
  <c r="M26" i="44" s="1"/>
  <c r="S607" i="44"/>
  <c r="M612" i="44"/>
  <c r="S630" i="44"/>
  <c r="AI630" i="44"/>
  <c r="L630" i="44"/>
  <c r="AB637" i="44"/>
  <c r="W651" i="44"/>
  <c r="S506" i="44"/>
  <c r="T510" i="44"/>
  <c r="S542" i="44"/>
  <c r="S544" i="44"/>
  <c r="S568" i="44"/>
  <c r="V580" i="44"/>
  <c r="W580" i="44" s="1"/>
  <c r="M584" i="44"/>
  <c r="V585" i="44"/>
  <c r="W585" i="44" s="1"/>
  <c r="S597" i="44"/>
  <c r="AI627" i="44"/>
  <c r="M630" i="44"/>
  <c r="V658" i="44"/>
  <c r="W658" i="44" s="1"/>
  <c r="M658" i="44"/>
  <c r="L658" i="44"/>
  <c r="AI658" i="44"/>
  <c r="T658" i="44"/>
  <c r="S658" i="44"/>
  <c r="AI539" i="44"/>
  <c r="AI541" i="44"/>
  <c r="T542" i="44"/>
  <c r="T544" i="44"/>
  <c r="AI565" i="44"/>
  <c r="T568" i="44"/>
  <c r="S587" i="44"/>
  <c r="S589" i="44"/>
  <c r="V592" i="44"/>
  <c r="W592" i="44" s="1"/>
  <c r="M595" i="44"/>
  <c r="L595" i="44"/>
  <c r="T595" i="44"/>
  <c r="T609" i="44"/>
  <c r="V618" i="44"/>
  <c r="W618" i="44" s="1"/>
  <c r="AI618" i="44"/>
  <c r="M618" i="44"/>
  <c r="T587" i="44"/>
  <c r="V588" i="44"/>
  <c r="W588" i="44" s="1"/>
  <c r="T589" i="44"/>
  <c r="AB591" i="44"/>
  <c r="S601" i="44"/>
  <c r="M603" i="44"/>
  <c r="L603" i="44"/>
  <c r="V603" i="44"/>
  <c r="W603" i="44" s="1"/>
  <c r="T603" i="44"/>
  <c r="V604" i="44"/>
  <c r="W604" i="44" s="1"/>
  <c r="S604" i="44"/>
  <c r="M604" i="44"/>
  <c r="L604" i="44"/>
  <c r="V609" i="44"/>
  <c r="W609" i="44" s="1"/>
  <c r="S610" i="44"/>
  <c r="W621" i="44"/>
  <c r="S628" i="44"/>
  <c r="AI628" i="44"/>
  <c r="L628" i="44"/>
  <c r="F613" i="44"/>
  <c r="K613" i="44" s="1"/>
  <c r="F631" i="44"/>
  <c r="K631" i="44" s="1"/>
  <c r="AI660" i="44"/>
  <c r="F718" i="44"/>
  <c r="AE677" i="44"/>
  <c r="AB677" i="44" s="1"/>
  <c r="L639" i="44"/>
  <c r="AB645" i="44"/>
  <c r="S655" i="44"/>
  <c r="M660" i="44"/>
  <c r="K657" i="44"/>
  <c r="AE721" i="44"/>
  <c r="AC721" i="44" s="1"/>
  <c r="AE727" i="44"/>
  <c r="AB727" i="44" s="1"/>
  <c r="M615" i="44"/>
  <c r="S621" i="44"/>
  <c r="M633" i="44"/>
  <c r="V655" i="44"/>
  <c r="W655" i="44" s="1"/>
  <c r="L661" i="44"/>
  <c r="S661" i="44"/>
  <c r="AE659" i="44" s="1"/>
  <c r="T621" i="44"/>
  <c r="W636" i="44"/>
  <c r="AI639" i="44"/>
  <c r="L642" i="44"/>
  <c r="S642" i="44"/>
  <c r="T651" i="44"/>
  <c r="S651" i="44"/>
  <c r="V670" i="44"/>
  <c r="W670" i="44" s="1"/>
  <c r="S670" i="44"/>
  <c r="AB660" i="44"/>
  <c r="S639" i="44"/>
  <c r="M651" i="44"/>
  <c r="T660" i="44"/>
  <c r="AC682" i="44"/>
  <c r="W721" i="44"/>
  <c r="AE737" i="44"/>
  <c r="AB737" i="44" s="1"/>
  <c r="AI633" i="44"/>
  <c r="T639" i="44"/>
  <c r="F691" i="44"/>
  <c r="F619" i="44"/>
  <c r="K619" i="44" s="1"/>
  <c r="S633" i="44"/>
  <c r="L640" i="44"/>
  <c r="S640" i="44"/>
  <c r="AI642" i="44"/>
  <c r="L663" i="44"/>
  <c r="S663" i="44"/>
  <c r="AE736" i="44"/>
  <c r="AB736" i="44"/>
  <c r="AE735" i="44"/>
  <c r="V639" i="44"/>
  <c r="W639" i="44" s="1"/>
  <c r="M645" i="44"/>
  <c r="AI648" i="44"/>
  <c r="V648" i="44"/>
  <c r="W648" i="44" s="1"/>
  <c r="V652" i="44"/>
  <c r="W652" i="44" s="1"/>
  <c r="AI652" i="44"/>
  <c r="M652" i="44"/>
  <c r="T661" i="44"/>
  <c r="U666" i="44"/>
  <c r="U27" i="44" s="1"/>
  <c r="T670" i="44"/>
  <c r="AE728" i="44"/>
  <c r="AB728" i="44" s="1"/>
  <c r="T655" i="44"/>
  <c r="M655" i="44"/>
  <c r="L655" i="44"/>
  <c r="AI655" i="44"/>
  <c r="F688" i="44"/>
  <c r="F643" i="44"/>
  <c r="K643" i="44" s="1"/>
  <c r="AE749" i="44"/>
  <c r="AC749" i="44" s="1"/>
  <c r="AB749" i="44"/>
  <c r="V677" i="44"/>
  <c r="W677" i="44" s="1"/>
  <c r="U745" i="44"/>
  <c r="U29" i="44" s="1"/>
  <c r="F697" i="44"/>
  <c r="AE722" i="44"/>
  <c r="AB722" i="44" s="1"/>
  <c r="M654" i="44"/>
  <c r="L729" i="44"/>
  <c r="S729" i="44"/>
  <c r="M729" i="44"/>
  <c r="V729" i="44"/>
  <c r="W729" i="44" s="1"/>
  <c r="AE747" i="44"/>
  <c r="AB747" i="44"/>
  <c r="T753" i="44"/>
  <c r="AK753" i="44"/>
  <c r="S753" i="44"/>
  <c r="M753" i="44"/>
  <c r="L753" i="44"/>
  <c r="V753" i="44"/>
  <c r="W753" i="44" s="1"/>
  <c r="W746" i="44"/>
  <c r="AC747" i="44"/>
  <c r="AE743" i="44"/>
  <c r="AB743" i="44" s="1"/>
  <c r="L679" i="44"/>
  <c r="AI654" i="44"/>
  <c r="T674" i="44"/>
  <c r="L677" i="44"/>
  <c r="AE746" i="44"/>
  <c r="AB746" i="44" s="1"/>
  <c r="AE751" i="44"/>
  <c r="AB751" i="44"/>
  <c r="M682" i="44"/>
  <c r="F703" i="44"/>
  <c r="AC724" i="44"/>
  <c r="S679" i="44"/>
  <c r="T680" i="44"/>
  <c r="V723" i="44"/>
  <c r="W723" i="44" s="1"/>
  <c r="T723" i="44"/>
  <c r="AI737" i="44"/>
  <c r="S755" i="44"/>
  <c r="M785" i="44"/>
  <c r="V785" i="44"/>
  <c r="W785" i="44" s="1"/>
  <c r="T785" i="44"/>
  <c r="S785" i="44"/>
  <c r="AI785" i="44"/>
  <c r="L785" i="44"/>
  <c r="M731" i="44"/>
  <c r="V731" i="44"/>
  <c r="W731" i="44" s="1"/>
  <c r="S734" i="44"/>
  <c r="AB750" i="44"/>
  <c r="AE756" i="44"/>
  <c r="AB756" i="44" s="1"/>
  <c r="AE814" i="44"/>
  <c r="AB814" i="44" s="1"/>
  <c r="AE813" i="44"/>
  <c r="T832" i="44"/>
  <c r="M832" i="44"/>
  <c r="L832" i="44"/>
  <c r="V832" i="44"/>
  <c r="W832" i="44" s="1"/>
  <c r="S832" i="44"/>
  <c r="L734" i="44"/>
  <c r="T736" i="44"/>
  <c r="M737" i="44"/>
  <c r="AE750" i="44"/>
  <c r="V755" i="44"/>
  <c r="W755" i="44" s="1"/>
  <c r="AI790" i="44"/>
  <c r="M790" i="44"/>
  <c r="L790" i="44"/>
  <c r="V790" i="44"/>
  <c r="W790" i="44" s="1"/>
  <c r="T790" i="44"/>
  <c r="S790" i="44"/>
  <c r="M774" i="44"/>
  <c r="L774" i="44"/>
  <c r="V774" i="44"/>
  <c r="W774" i="44" s="1"/>
  <c r="T774" i="44"/>
  <c r="S774" i="44"/>
  <c r="AI774" i="44"/>
  <c r="AE784" i="44"/>
  <c r="AB784" i="44" s="1"/>
  <c r="T725" i="44"/>
  <c r="S726" i="44"/>
  <c r="V736" i="44"/>
  <c r="W736" i="44" s="1"/>
  <c r="V754" i="44"/>
  <c r="W754" i="44" s="1"/>
  <c r="AK754" i="44"/>
  <c r="L754" i="44"/>
  <c r="AE769" i="44"/>
  <c r="AC769" i="44" s="1"/>
  <c r="M779" i="44"/>
  <c r="L779" i="44"/>
  <c r="V779" i="44"/>
  <c r="W779" i="44" s="1"/>
  <c r="T779" i="44"/>
  <c r="S779" i="44"/>
  <c r="AI779" i="44"/>
  <c r="AE799" i="44"/>
  <c r="AC799" i="44" s="1"/>
  <c r="M750" i="44"/>
  <c r="V750" i="44"/>
  <c r="W750" i="44" s="1"/>
  <c r="T750" i="44"/>
  <c r="AK750" i="44"/>
  <c r="AI812" i="44"/>
  <c r="V812" i="44"/>
  <c r="W812" i="44" s="1"/>
  <c r="T812" i="44"/>
  <c r="S812" i="44"/>
  <c r="M812" i="44"/>
  <c r="L812" i="44"/>
  <c r="AE818" i="44"/>
  <c r="AB818" i="44" s="1"/>
  <c r="T722" i="44"/>
  <c r="M722" i="44"/>
  <c r="S723" i="44"/>
  <c r="V743" i="44"/>
  <c r="W743" i="44" s="1"/>
  <c r="T743" i="44"/>
  <c r="V751" i="44"/>
  <c r="W751" i="44" s="1"/>
  <c r="T751" i="44"/>
  <c r="AK751" i="44"/>
  <c r="V773" i="44"/>
  <c r="W773" i="44" s="1"/>
  <c r="T773" i="44"/>
  <c r="S773" i="44"/>
  <c r="AI773" i="44"/>
  <c r="M773" i="44"/>
  <c r="L773" i="44"/>
  <c r="M797" i="44"/>
  <c r="V797" i="44"/>
  <c r="W797" i="44" s="1"/>
  <c r="T797" i="44"/>
  <c r="S797" i="44"/>
  <c r="AI797" i="44"/>
  <c r="L797" i="44"/>
  <c r="M763" i="44"/>
  <c r="L763" i="44"/>
  <c r="V763" i="44"/>
  <c r="W763" i="44" s="1"/>
  <c r="T763" i="44"/>
  <c r="AK763" i="44"/>
  <c r="S763" i="44"/>
  <c r="AC784" i="44"/>
  <c r="AB817" i="44"/>
  <c r="AE816" i="44"/>
  <c r="AE817" i="44"/>
  <c r="S731" i="44"/>
  <c r="T734" i="44"/>
  <c r="T742" i="44"/>
  <c r="AI742" i="44"/>
  <c r="M742" i="44"/>
  <c r="L742" i="44"/>
  <c r="T755" i="44"/>
  <c r="L755" i="44"/>
  <c r="L29" i="44" s="1"/>
  <c r="V803" i="44"/>
  <c r="W803" i="44" s="1"/>
  <c r="T803" i="44"/>
  <c r="S803" i="44"/>
  <c r="M803" i="44"/>
  <c r="AI803" i="44"/>
  <c r="L803" i="44"/>
  <c r="K739" i="44"/>
  <c r="F740" i="44"/>
  <c r="K740" i="44" s="1"/>
  <c r="M757" i="44"/>
  <c r="L757" i="44"/>
  <c r="V757" i="44"/>
  <c r="W757" i="44" s="1"/>
  <c r="T757" i="44"/>
  <c r="AE764" i="44"/>
  <c r="AC764" i="44" s="1"/>
  <c r="S771" i="44"/>
  <c r="W784" i="44"/>
  <c r="S815" i="44"/>
  <c r="M815" i="44"/>
  <c r="AI815" i="44"/>
  <c r="L815" i="44"/>
  <c r="V815" i="44"/>
  <c r="W815" i="44" s="1"/>
  <c r="T815" i="44"/>
  <c r="AE824" i="44"/>
  <c r="AB824" i="44" s="1"/>
  <c r="K733" i="44"/>
  <c r="V734" i="44"/>
  <c r="W734" i="44" s="1"/>
  <c r="L736" i="44"/>
  <c r="AE754" i="44"/>
  <c r="AB754" i="44" s="1"/>
  <c r="T759" i="44"/>
  <c r="S759" i="44"/>
  <c r="M759" i="44"/>
  <c r="L759" i="44"/>
  <c r="V759" i="44"/>
  <c r="W759" i="44" s="1"/>
  <c r="M788" i="44"/>
  <c r="L788" i="44"/>
  <c r="V788" i="44"/>
  <c r="W788" i="44" s="1"/>
  <c r="T788" i="44"/>
  <c r="S788" i="44"/>
  <c r="AI788" i="44"/>
  <c r="AK722" i="44"/>
  <c r="AJ28" i="44" s="1"/>
  <c r="T726" i="44"/>
  <c r="T727" i="44"/>
  <c r="M727" i="44"/>
  <c r="M736" i="44"/>
  <c r="AI736" i="44"/>
  <c r="T754" i="44"/>
  <c r="W760" i="44"/>
  <c r="W762" i="44"/>
  <c r="M811" i="44"/>
  <c r="L811" i="44"/>
  <c r="S811" i="44"/>
  <c r="AI811" i="44"/>
  <c r="V811" i="44"/>
  <c r="W811" i="44" s="1"/>
  <c r="T811" i="44"/>
  <c r="A731" i="44"/>
  <c r="A732" i="44" s="1"/>
  <c r="AE748" i="44"/>
  <c r="AC748" i="44" s="1"/>
  <c r="M776" i="44"/>
  <c r="L776" i="44"/>
  <c r="V776" i="44"/>
  <c r="W776" i="44" s="1"/>
  <c r="T776" i="44"/>
  <c r="S776" i="44"/>
  <c r="S830" i="44"/>
  <c r="M830" i="44"/>
  <c r="V830" i="44"/>
  <c r="W830" i="44" s="1"/>
  <c r="L830" i="44"/>
  <c r="T830" i="44"/>
  <c r="S757" i="44"/>
  <c r="M781" i="44"/>
  <c r="L781" i="44"/>
  <c r="V781" i="44"/>
  <c r="W781" i="44" s="1"/>
  <c r="T781" i="44"/>
  <c r="S781" i="44"/>
  <c r="AI781" i="44"/>
  <c r="V800" i="44"/>
  <c r="W800" i="44" s="1"/>
  <c r="M800" i="44"/>
  <c r="T800" i="44"/>
  <c r="S800" i="44"/>
  <c r="AE798" i="44" s="1"/>
  <c r="AI800" i="44"/>
  <c r="L800" i="44"/>
  <c r="W764" i="44"/>
  <c r="AI821" i="44"/>
  <c r="L821" i="44"/>
  <c r="V821" i="44"/>
  <c r="W821" i="44" s="1"/>
  <c r="S821" i="44"/>
  <c r="T821" i="44"/>
  <c r="M821" i="44"/>
  <c r="T758" i="44"/>
  <c r="V802" i="44"/>
  <c r="W802" i="44" s="1"/>
  <c r="M802" i="44"/>
  <c r="L767" i="44"/>
  <c r="L771" i="44"/>
  <c r="L787" i="44"/>
  <c r="L802" i="44"/>
  <c r="AI802" i="44"/>
  <c r="AC814" i="44"/>
  <c r="T826" i="44"/>
  <c r="AI826" i="44"/>
  <c r="AC875" i="44"/>
  <c r="V752" i="44"/>
  <c r="W752" i="44" s="1"/>
  <c r="V758" i="44"/>
  <c r="W758" i="44" s="1"/>
  <c r="M761" i="44"/>
  <c r="M767" i="44"/>
  <c r="M771" i="44"/>
  <c r="AI794" i="44"/>
  <c r="T817" i="44"/>
  <c r="AE838" i="44"/>
  <c r="AI778" i="44"/>
  <c r="L826" i="44"/>
  <c r="AC838" i="44"/>
  <c r="AE846" i="44"/>
  <c r="AC846" i="44" s="1"/>
  <c r="M760" i="44"/>
  <c r="S768" i="44"/>
  <c r="S778" i="44"/>
  <c r="F791" i="44"/>
  <c r="K791" i="44" s="1"/>
  <c r="L793" i="44"/>
  <c r="M826" i="44"/>
  <c r="AC874" i="44"/>
  <c r="T768" i="44"/>
  <c r="T778" i="44"/>
  <c r="T794" i="44"/>
  <c r="M809" i="44"/>
  <c r="L809" i="44"/>
  <c r="S809" i="44"/>
  <c r="S762" i="44"/>
  <c r="AK762" i="44"/>
  <c r="M766" i="44"/>
  <c r="M770" i="44"/>
  <c r="F782" i="44"/>
  <c r="K782" i="44" s="1"/>
  <c r="L784" i="44"/>
  <c r="S802" i="44"/>
  <c r="L806" i="44"/>
  <c r="AI809" i="44"/>
  <c r="T762" i="44"/>
  <c r="AB766" i="44"/>
  <c r="V768" i="44"/>
  <c r="W768" i="44" s="1"/>
  <c r="V778" i="44"/>
  <c r="W778" i="44" s="1"/>
  <c r="M784" i="44"/>
  <c r="S787" i="44"/>
  <c r="AI793" i="44"/>
  <c r="V794" i="44"/>
  <c r="W794" i="44" s="1"/>
  <c r="T802" i="44"/>
  <c r="M806" i="44"/>
  <c r="AI806" i="44"/>
  <c r="V827" i="44"/>
  <c r="W827" i="44" s="1"/>
  <c r="L827" i="44"/>
  <c r="T827" i="44"/>
  <c r="M827" i="44"/>
  <c r="AE851" i="44"/>
  <c r="AB851" i="44" s="1"/>
  <c r="AE855" i="44"/>
  <c r="AB855" i="44" s="1"/>
  <c r="L752" i="44"/>
  <c r="L758" i="44"/>
  <c r="S761" i="44"/>
  <c r="K765" i="44"/>
  <c r="T787" i="44"/>
  <c r="S796" i="44"/>
  <c r="W836" i="44"/>
  <c r="W837" i="44"/>
  <c r="AB838" i="44"/>
  <c r="AB859" i="44"/>
  <c r="AE859" i="44"/>
  <c r="AE766" i="44"/>
  <c r="AE770" i="44"/>
  <c r="AB770" i="44" s="1"/>
  <c r="AI814" i="44"/>
  <c r="AI823" i="44"/>
  <c r="L823" i="44"/>
  <c r="S823" i="44"/>
  <c r="S760" i="44"/>
  <c r="AK760" i="44"/>
  <c r="V787" i="44"/>
  <c r="W787" i="44" s="1"/>
  <c r="S793" i="44"/>
  <c r="L796" i="44"/>
  <c r="L814" i="44"/>
  <c r="M823" i="44"/>
  <c r="S826" i="44"/>
  <c r="T809" i="44"/>
  <c r="M814" i="44"/>
  <c r="F833" i="44"/>
  <c r="K833" i="44" s="1"/>
  <c r="S794" i="44"/>
  <c r="T840" i="44"/>
  <c r="M840" i="44"/>
  <c r="S840" i="44"/>
  <c r="AK840" i="44"/>
  <c r="L840" i="44"/>
  <c r="AB846" i="44"/>
  <c r="AB863" i="44"/>
  <c r="AE863" i="44"/>
  <c r="T746" i="44"/>
  <c r="T766" i="44"/>
  <c r="L768" i="44"/>
  <c r="T770" i="44"/>
  <c r="L778" i="44"/>
  <c r="M799" i="44"/>
  <c r="S808" i="44"/>
  <c r="AB820" i="44"/>
  <c r="T824" i="44"/>
  <c r="V824" i="44"/>
  <c r="W824" i="44" s="1"/>
  <c r="M824" i="44"/>
  <c r="AI824" i="44"/>
  <c r="S827" i="44"/>
  <c r="K829" i="44"/>
  <c r="AE841" i="44"/>
  <c r="AB841" i="44" s="1"/>
  <c r="T853" i="44"/>
  <c r="S853" i="44"/>
  <c r="L853" i="44"/>
  <c r="V853" i="44"/>
  <c r="W853" i="44" s="1"/>
  <c r="M853" i="44"/>
  <c r="L794" i="44"/>
  <c r="AI796" i="44"/>
  <c r="V806" i="44"/>
  <c r="W806" i="44" s="1"/>
  <c r="L820" i="44"/>
  <c r="T820" i="44"/>
  <c r="M820" i="44"/>
  <c r="S752" i="44"/>
  <c r="S758" i="44"/>
  <c r="M794" i="44"/>
  <c r="L799" i="44"/>
  <c r="AE805" i="44"/>
  <c r="AC805" i="44" s="1"/>
  <c r="M808" i="44"/>
  <c r="AI808" i="44"/>
  <c r="AI820" i="44"/>
  <c r="T823" i="44"/>
  <c r="L824" i="44"/>
  <c r="AE848" i="44"/>
  <c r="AB848" i="44" s="1"/>
  <c r="AE876" i="44"/>
  <c r="AB876" i="44"/>
  <c r="U835" i="44"/>
  <c r="U30" i="44" s="1"/>
  <c r="AE850" i="44"/>
  <c r="AB850" i="44" s="1"/>
  <c r="AE887" i="44"/>
  <c r="AC887" i="44" s="1"/>
  <c r="S836" i="44"/>
  <c r="AE843" i="44"/>
  <c r="AC843" i="44" s="1"/>
  <c r="AB843" i="44"/>
  <c r="T844" i="44"/>
  <c r="S844" i="44"/>
  <c r="W846" i="44"/>
  <c r="AE847" i="44"/>
  <c r="AE872" i="44"/>
  <c r="AC872" i="44" s="1"/>
  <c r="AE881" i="44"/>
  <c r="AC881" i="44" s="1"/>
  <c r="AB881" i="44"/>
  <c r="T891" i="44"/>
  <c r="L891" i="44"/>
  <c r="V891" i="44"/>
  <c r="W891" i="44" s="1"/>
  <c r="S891" i="44"/>
  <c r="M891" i="44"/>
  <c r="T837" i="44"/>
  <c r="AK837" i="44"/>
  <c r="S837" i="44"/>
  <c r="AC876" i="44"/>
  <c r="AE886" i="44"/>
  <c r="AC886" i="44" s="1"/>
  <c r="AB886" i="44"/>
  <c r="M837" i="44"/>
  <c r="S845" i="44"/>
  <c r="AE894" i="44"/>
  <c r="AC894" i="44" s="1"/>
  <c r="M817" i="44"/>
  <c r="AE852" i="44"/>
  <c r="AB852" i="44" s="1"/>
  <c r="S854" i="44"/>
  <c r="W880" i="44"/>
  <c r="AE898" i="44"/>
  <c r="AC898" i="44" s="1"/>
  <c r="W902" i="44"/>
  <c r="W839" i="44"/>
  <c r="V857" i="44"/>
  <c r="W857" i="44" s="1"/>
  <c r="T857" i="44"/>
  <c r="S857" i="44"/>
  <c r="L857" i="44"/>
  <c r="S858" i="44"/>
  <c r="M893" i="44"/>
  <c r="L893" i="44"/>
  <c r="S893" i="44"/>
  <c r="V893" i="44"/>
  <c r="W893" i="44" s="1"/>
  <c r="T893" i="44"/>
  <c r="AB847" i="44"/>
  <c r="W850" i="44"/>
  <c r="M857" i="44"/>
  <c r="V861" i="44"/>
  <c r="W861" i="44" s="1"/>
  <c r="T861" i="44"/>
  <c r="S861" i="44"/>
  <c r="L861" i="44"/>
  <c r="S862" i="44"/>
  <c r="S866" i="44"/>
  <c r="M866" i="44"/>
  <c r="L866" i="44"/>
  <c r="V866" i="44"/>
  <c r="W866" i="44" s="1"/>
  <c r="T866" i="44"/>
  <c r="AE856" i="44"/>
  <c r="AC856" i="44" s="1"/>
  <c r="AE864" i="44"/>
  <c r="AB864" i="44" s="1"/>
  <c r="M884" i="44"/>
  <c r="L884" i="44"/>
  <c r="V884" i="44"/>
  <c r="W884" i="44" s="1"/>
  <c r="T884" i="44"/>
  <c r="S884" i="44"/>
  <c r="AE860" i="44"/>
  <c r="AB860" i="44" s="1"/>
  <c r="AE878" i="44"/>
  <c r="AB878" i="44" s="1"/>
  <c r="AC863" i="44"/>
  <c r="AB874" i="44"/>
  <c r="AK836" i="44"/>
  <c r="T842" i="44"/>
  <c r="AK842" i="44"/>
  <c r="S842" i="44"/>
  <c r="M842" i="44"/>
  <c r="L842" i="44"/>
  <c r="W845" i="44"/>
  <c r="W854" i="44"/>
  <c r="S882" i="44"/>
  <c r="W896" i="44"/>
  <c r="T899" i="44"/>
  <c r="M899" i="44"/>
  <c r="L899" i="44"/>
  <c r="V899" i="44"/>
  <c r="W899" i="44" s="1"/>
  <c r="S899" i="44"/>
  <c r="AE932" i="44"/>
  <c r="AB932" i="44" s="1"/>
  <c r="T849" i="44"/>
  <c r="S849" i="44"/>
  <c r="L849" i="44"/>
  <c r="W858" i="44"/>
  <c r="V870" i="44"/>
  <c r="T870" i="44"/>
  <c r="S870" i="44"/>
  <c r="L870" i="44"/>
  <c r="AE877" i="44"/>
  <c r="AB877" i="44" s="1"/>
  <c r="L880" i="44"/>
  <c r="AE969" i="44"/>
  <c r="AB969" i="44" s="1"/>
  <c r="L850" i="44"/>
  <c r="L854" i="44"/>
  <c r="L858" i="44"/>
  <c r="L862" i="44"/>
  <c r="S873" i="44"/>
  <c r="M880" i="44"/>
  <c r="T902" i="44"/>
  <c r="M902" i="44"/>
  <c r="AI902" i="44"/>
  <c r="AE915" i="44"/>
  <c r="AB915" i="44" s="1"/>
  <c r="M966" i="44"/>
  <c r="T966" i="44"/>
  <c r="S966" i="44"/>
  <c r="L966" i="44"/>
  <c r="V966" i="44"/>
  <c r="L841" i="44"/>
  <c r="M850" i="44"/>
  <c r="M854" i="44"/>
  <c r="M858" i="44"/>
  <c r="M862" i="44"/>
  <c r="F867" i="44"/>
  <c r="K867" i="44" s="1"/>
  <c r="L871" i="44"/>
  <c r="T873" i="44"/>
  <c r="L875" i="44"/>
  <c r="V878" i="44"/>
  <c r="W878" i="44" s="1"/>
  <c r="M883" i="44"/>
  <c r="L889" i="44"/>
  <c r="M897" i="44"/>
  <c r="L897" i="44"/>
  <c r="L902" i="44"/>
  <c r="AI908" i="44"/>
  <c r="M908" i="44"/>
  <c r="L908" i="44"/>
  <c r="T908" i="44"/>
  <c r="S908" i="44"/>
  <c r="AE964" i="44"/>
  <c r="AC964" i="44" s="1"/>
  <c r="AB967" i="44"/>
  <c r="AE967" i="44"/>
  <c r="AC967" i="44" s="1"/>
  <c r="S892" i="44"/>
  <c r="M892" i="44"/>
  <c r="T877" i="44"/>
  <c r="L879" i="44"/>
  <c r="L885" i="44"/>
  <c r="L892" i="44"/>
  <c r="V918" i="44"/>
  <c r="M918" i="44"/>
  <c r="L918" i="44"/>
  <c r="S918" i="44"/>
  <c r="T847" i="44"/>
  <c r="T851" i="44"/>
  <c r="T855" i="44"/>
  <c r="T859" i="44"/>
  <c r="M879" i="44"/>
  <c r="AE921" i="44"/>
  <c r="AB921" i="44" s="1"/>
  <c r="V881" i="44"/>
  <c r="W881" i="44" s="1"/>
  <c r="T895" i="44"/>
  <c r="V903" i="44"/>
  <c r="W903" i="44" s="1"/>
  <c r="L903" i="44"/>
  <c r="V906" i="44"/>
  <c r="W906" i="44" s="1"/>
  <c r="T909" i="44"/>
  <c r="M909" i="44"/>
  <c r="S909" i="44"/>
  <c r="AE912" i="44"/>
  <c r="AB912" i="44" s="1"/>
  <c r="AE975" i="44"/>
  <c r="AB975" i="44" s="1"/>
  <c r="AE988" i="44"/>
  <c r="AB988" i="44" s="1"/>
  <c r="M839" i="44"/>
  <c r="M845" i="44"/>
  <c r="V847" i="44"/>
  <c r="W847" i="44" s="1"/>
  <c r="V851" i="44"/>
  <c r="W851" i="44" s="1"/>
  <c r="V855" i="44"/>
  <c r="W855" i="44" s="1"/>
  <c r="V859" i="44"/>
  <c r="W859" i="44" s="1"/>
  <c r="V863" i="44"/>
  <c r="W863" i="44" s="1"/>
  <c r="M874" i="44"/>
  <c r="S880" i="44"/>
  <c r="S889" i="44"/>
  <c r="L895" i="44"/>
  <c r="S897" i="44"/>
  <c r="L909" i="44"/>
  <c r="T911" i="44"/>
  <c r="AI911" i="44"/>
  <c r="V911" i="44"/>
  <c r="W911" i="44" s="1"/>
  <c r="AE953" i="44"/>
  <c r="AB953" i="44" s="1"/>
  <c r="AE965" i="44"/>
  <c r="AB965" i="44" s="1"/>
  <c r="M882" i="44"/>
  <c r="S883" i="44"/>
  <c r="T889" i="44"/>
  <c r="M895" i="44"/>
  <c r="T897" i="44"/>
  <c r="S902" i="44"/>
  <c r="M903" i="44"/>
  <c r="V908" i="44"/>
  <c r="W908" i="44" s="1"/>
  <c r="T918" i="44"/>
  <c r="AC939" i="44"/>
  <c r="S885" i="44"/>
  <c r="S888" i="44"/>
  <c r="M888" i="44"/>
  <c r="V912" i="44"/>
  <c r="W912" i="44" s="1"/>
  <c r="T912" i="44"/>
  <c r="M912" i="44"/>
  <c r="L912" i="44"/>
  <c r="U917" i="44"/>
  <c r="U32" i="44" s="1"/>
  <c r="AC928" i="44"/>
  <c r="AE931" i="44"/>
  <c r="AE939" i="44"/>
  <c r="AB939" i="44"/>
  <c r="AE938" i="44"/>
  <c r="S879" i="44"/>
  <c r="S896" i="44"/>
  <c r="M896" i="44"/>
  <c r="K936" i="44"/>
  <c r="F937" i="44"/>
  <c r="K937" i="44" s="1"/>
  <c r="W953" i="44"/>
  <c r="AK966" i="44"/>
  <c r="L877" i="44"/>
  <c r="V885" i="44"/>
  <c r="W885" i="44" s="1"/>
  <c r="V892" i="44"/>
  <c r="W892" i="44" s="1"/>
  <c r="AI906" i="44"/>
  <c r="L906" i="44"/>
  <c r="T906" i="44"/>
  <c r="S906" i="44"/>
  <c r="T925" i="44"/>
  <c r="S925" i="44"/>
  <c r="M925" i="44"/>
  <c r="L925" i="44"/>
  <c r="S839" i="44"/>
  <c r="L881" i="44"/>
  <c r="S895" i="44"/>
  <c r="V900" i="44"/>
  <c r="W900" i="44" s="1"/>
  <c r="S900" i="44"/>
  <c r="M900" i="44"/>
  <c r="L900" i="44"/>
  <c r="S903" i="44"/>
  <c r="V909" i="44"/>
  <c r="W909" i="44" s="1"/>
  <c r="S911" i="44"/>
  <c r="S970" i="44"/>
  <c r="AE890" i="44"/>
  <c r="AB890" i="44" s="1"/>
  <c r="V914" i="44"/>
  <c r="W914" i="44" s="1"/>
  <c r="S914" i="44"/>
  <c r="M914" i="44"/>
  <c r="L914" i="44"/>
  <c r="W924" i="44"/>
  <c r="AC996" i="44"/>
  <c r="AC1005" i="44"/>
  <c r="K905" i="44"/>
  <c r="V932" i="44"/>
  <c r="W932" i="44" s="1"/>
  <c r="V955" i="44"/>
  <c r="W955" i="44" s="1"/>
  <c r="AE989" i="44"/>
  <c r="AC1003" i="44"/>
  <c r="L923" i="44"/>
  <c r="S923" i="44"/>
  <c r="S927" i="44"/>
  <c r="F959" i="44"/>
  <c r="K959" i="44" s="1"/>
  <c r="K958" i="44"/>
  <c r="AE979" i="44"/>
  <c r="AB979" i="44" s="1"/>
  <c r="AE992" i="44"/>
  <c r="AB992" i="44"/>
  <c r="S930" i="44"/>
  <c r="V931" i="44"/>
  <c r="W931" i="44" s="1"/>
  <c r="L931" i="44"/>
  <c r="M934" i="44"/>
  <c r="L934" i="44"/>
  <c r="T953" i="44"/>
  <c r="M953" i="44"/>
  <c r="L953" i="44"/>
  <c r="AE971" i="44"/>
  <c r="AB971" i="44" s="1"/>
  <c r="AB972" i="44"/>
  <c r="AC992" i="44"/>
  <c r="T930" i="44"/>
  <c r="M931" i="44"/>
  <c r="AE934" i="44"/>
  <c r="K949" i="44"/>
  <c r="F950" i="44"/>
  <c r="K950" i="44" s="1"/>
  <c r="AC972" i="44"/>
  <c r="AC975" i="44"/>
  <c r="W927" i="44"/>
  <c r="V930" i="44"/>
  <c r="W930" i="44" s="1"/>
  <c r="S942" i="44"/>
  <c r="S946" i="44"/>
  <c r="U961" i="44"/>
  <c r="U33" i="44" s="1"/>
  <c r="AE974" i="44"/>
  <c r="AB974" i="44" s="1"/>
  <c r="AE978" i="44"/>
  <c r="AB978" i="44" s="1"/>
  <c r="AC979" i="44"/>
  <c r="AE987" i="44"/>
  <c r="AB987" i="44"/>
  <c r="AC988" i="44"/>
  <c r="AE994" i="44"/>
  <c r="AB994" i="44" s="1"/>
  <c r="M919" i="44"/>
  <c r="T921" i="44"/>
  <c r="T940" i="44"/>
  <c r="T944" i="44"/>
  <c r="S952" i="44"/>
  <c r="AC978" i="44"/>
  <c r="V926" i="44"/>
  <c r="W926" i="44" s="1"/>
  <c r="S926" i="44"/>
  <c r="M926" i="44"/>
  <c r="L942" i="44"/>
  <c r="L946" i="44"/>
  <c r="W964" i="44"/>
  <c r="AB973" i="44"/>
  <c r="W920" i="44"/>
  <c r="L926" i="44"/>
  <c r="T929" i="44"/>
  <c r="V940" i="44"/>
  <c r="W940" i="44" s="1"/>
  <c r="M942" i="44"/>
  <c r="V944" i="44"/>
  <c r="W944" i="44" s="1"/>
  <c r="M946" i="44"/>
  <c r="V952" i="44"/>
  <c r="W952" i="44" s="1"/>
  <c r="AC973" i="44"/>
  <c r="M924" i="44"/>
  <c r="AK924" i="44"/>
  <c r="S924" i="44"/>
  <c r="AB928" i="44"/>
  <c r="M932" i="44"/>
  <c r="T932" i="44"/>
  <c r="T955" i="44"/>
  <c r="M955" i="44"/>
  <c r="L955" i="44"/>
  <c r="AE968" i="44"/>
  <c r="AB968" i="44" s="1"/>
  <c r="W974" i="44"/>
  <c r="AE986" i="44"/>
  <c r="AB986" i="44" s="1"/>
  <c r="S919" i="44"/>
  <c r="AE922" i="44"/>
  <c r="F947" i="44"/>
  <c r="K947" i="44" s="1"/>
  <c r="F956" i="44"/>
  <c r="K956" i="44" s="1"/>
  <c r="AC969" i="44"/>
  <c r="T970" i="44"/>
  <c r="M970" i="44"/>
  <c r="V970" i="44"/>
  <c r="W970" i="44" s="1"/>
  <c r="M930" i="44"/>
  <c r="L930" i="44"/>
  <c r="AE943" i="44"/>
  <c r="T926" i="44"/>
  <c r="T933" i="44"/>
  <c r="AE933" i="44"/>
  <c r="AB933" i="44" s="1"/>
  <c r="T942" i="44"/>
  <c r="T946" i="44"/>
  <c r="AC998" i="44"/>
  <c r="AE1023" i="44"/>
  <c r="V919" i="44"/>
  <c r="W919" i="44" s="1"/>
  <c r="M920" i="44"/>
  <c r="S920" i="44"/>
  <c r="S929" i="44"/>
  <c r="L933" i="44"/>
  <c r="L940" i="44"/>
  <c r="AE940" i="44"/>
  <c r="AB940" i="44" s="1"/>
  <c r="L944" i="44"/>
  <c r="AE944" i="44"/>
  <c r="AB944" i="44" s="1"/>
  <c r="S955" i="44"/>
  <c r="W969" i="44"/>
  <c r="AE981" i="44"/>
  <c r="V982" i="44"/>
  <c r="W982" i="44" s="1"/>
  <c r="AC997" i="44"/>
  <c r="AC1012" i="44"/>
  <c r="AE1019" i="44"/>
  <c r="AC1019" i="44" s="1"/>
  <c r="AB1019" i="44"/>
  <c r="AE1021" i="44"/>
  <c r="AB1021" i="44" s="1"/>
  <c r="AE1030" i="44"/>
  <c r="AB1030" i="44" s="1"/>
  <c r="AC1050" i="44"/>
  <c r="T984" i="44"/>
  <c r="AC985" i="44"/>
  <c r="AC987" i="44"/>
  <c r="W992" i="44"/>
  <c r="AK993" i="44"/>
  <c r="S993" i="44"/>
  <c r="M993" i="44"/>
  <c r="L993" i="44"/>
  <c r="V993" i="44"/>
  <c r="W993" i="44" s="1"/>
  <c r="W1006" i="44"/>
  <c r="AC1021" i="44"/>
  <c r="AC1022" i="44"/>
  <c r="AE1056" i="44"/>
  <c r="AC1056" i="44" s="1"/>
  <c r="AE1095" i="44"/>
  <c r="AB1095" i="44" s="1"/>
  <c r="AE1028" i="44"/>
  <c r="AB1028" i="44"/>
  <c r="AE1044" i="44"/>
  <c r="AC1044" i="44" s="1"/>
  <c r="AB1044" i="44"/>
  <c r="L980" i="44"/>
  <c r="W997" i="44"/>
  <c r="AE1048" i="44"/>
  <c r="AB1048" i="44" s="1"/>
  <c r="L976" i="44"/>
  <c r="M980" i="44"/>
  <c r="AC1028" i="44"/>
  <c r="AE1036" i="44"/>
  <c r="AC1036" i="44" s="1"/>
  <c r="AE1010" i="44"/>
  <c r="AB1010" i="44" s="1"/>
  <c r="AC1042" i="44"/>
  <c r="W965" i="44"/>
  <c r="AC1010" i="44"/>
  <c r="AE1033" i="44"/>
  <c r="AB1033" i="44"/>
  <c r="AE1055" i="44"/>
  <c r="AB1055" i="44" s="1"/>
  <c r="M982" i="44"/>
  <c r="AE1017" i="44"/>
  <c r="AC1017" i="44" s="1"/>
  <c r="AE1025" i="44"/>
  <c r="AE1047" i="44"/>
  <c r="AB1047" i="44" s="1"/>
  <c r="AE1054" i="44"/>
  <c r="AC1054" i="44" s="1"/>
  <c r="AB983" i="44"/>
  <c r="W999" i="44"/>
  <c r="AE1001" i="44"/>
  <c r="AC1001" i="44" s="1"/>
  <c r="AC1032" i="44"/>
  <c r="AE1053" i="44"/>
  <c r="AB1053" i="44" s="1"/>
  <c r="S976" i="44"/>
  <c r="S980" i="44"/>
  <c r="S984" i="44"/>
  <c r="L984" i="44"/>
  <c r="W985" i="44"/>
  <c r="AB995" i="44"/>
  <c r="AC1040" i="44"/>
  <c r="M984" i="44"/>
  <c r="AB1005" i="44"/>
  <c r="AE1006" i="44"/>
  <c r="AC1006" i="44" s="1"/>
  <c r="AB1006" i="44"/>
  <c r="AE1008" i="44"/>
  <c r="AB1008" i="44" s="1"/>
  <c r="AE1013" i="44"/>
  <c r="AC1013" i="44" s="1"/>
  <c r="AB1013" i="44"/>
  <c r="AC1053" i="44"/>
  <c r="AC994" i="44"/>
  <c r="AC995" i="44"/>
  <c r="AB996" i="44"/>
  <c r="AE1004" i="44"/>
  <c r="AC1004" i="44" s="1"/>
  <c r="AE1024" i="44"/>
  <c r="AB1024" i="44"/>
  <c r="AC1031" i="44"/>
  <c r="AE1039" i="44"/>
  <c r="AE1063" i="44"/>
  <c r="AC1063" i="44" s="1"/>
  <c r="V976" i="44"/>
  <c r="W976" i="44" s="1"/>
  <c r="S982" i="44"/>
  <c r="AQ982" i="44"/>
  <c r="AE999" i="44"/>
  <c r="AC999" i="44" s="1"/>
  <c r="AE1002" i="44"/>
  <c r="AC1002" i="44" s="1"/>
  <c r="AB1002" i="44"/>
  <c r="AB1003" i="44"/>
  <c r="AB997" i="44"/>
  <c r="AB998" i="44"/>
  <c r="AE1012" i="44"/>
  <c r="AB1012" i="44"/>
  <c r="AB1009" i="44"/>
  <c r="AE1075" i="44"/>
  <c r="AC1075" i="44" s="1"/>
  <c r="AB1075" i="44"/>
  <c r="AB1040" i="44"/>
  <c r="AE1070" i="44"/>
  <c r="AE1009" i="44"/>
  <c r="AC1009" i="44" s="1"/>
  <c r="T1024" i="44"/>
  <c r="AE1027" i="44"/>
  <c r="AC1027" i="44" s="1"/>
  <c r="W1044" i="44"/>
  <c r="AC1046" i="44"/>
  <c r="W1080" i="44"/>
  <c r="AE1046" i="44"/>
  <c r="AE1121" i="44"/>
  <c r="AB1121" i="44" s="1"/>
  <c r="AE1058" i="44"/>
  <c r="AC1058" i="44" s="1"/>
  <c r="W1074" i="44"/>
  <c r="AB1050" i="44"/>
  <c r="AE1076" i="44"/>
  <c r="AB1076" i="44" s="1"/>
  <c r="AE1015" i="44"/>
  <c r="AC1015" i="44" s="1"/>
  <c r="W1041" i="44"/>
  <c r="AE1084" i="44"/>
  <c r="AB1084" i="44" s="1"/>
  <c r="AE1086" i="44"/>
  <c r="AC1086" i="44" s="1"/>
  <c r="AC1101" i="44"/>
  <c r="AE1128" i="44"/>
  <c r="AB1128" i="44" s="1"/>
  <c r="AE1011" i="44"/>
  <c r="AC1011" i="44" s="1"/>
  <c r="AE1051" i="44"/>
  <c r="AB1051" i="44" s="1"/>
  <c r="W1028" i="44"/>
  <c r="AB1031" i="44"/>
  <c r="AE1049" i="44"/>
  <c r="AC1049" i="44" s="1"/>
  <c r="AE1057" i="44"/>
  <c r="AC1057" i="44" s="1"/>
  <c r="AE1082" i="44"/>
  <c r="AB1082" i="44"/>
  <c r="AC1084" i="44"/>
  <c r="AE1093" i="44"/>
  <c r="AB1093" i="44" s="1"/>
  <c r="AB1022" i="44"/>
  <c r="AE1038" i="44"/>
  <c r="AE1062" i="44"/>
  <c r="AB1062" i="44" s="1"/>
  <c r="AE1069" i="44"/>
  <c r="AC1069" i="44" s="1"/>
  <c r="AE1079" i="44"/>
  <c r="AC1079" i="44" s="1"/>
  <c r="AC1083" i="44"/>
  <c r="AE1099" i="44"/>
  <c r="AE1100" i="44"/>
  <c r="AC1100" i="44" s="1"/>
  <c r="AE1127" i="44"/>
  <c r="AB1127" i="44" s="1"/>
  <c r="AE1064" i="44"/>
  <c r="AC1064" i="44" s="1"/>
  <c r="AB1081" i="44"/>
  <c r="AB1018" i="44"/>
  <c r="AB1046" i="44"/>
  <c r="W1055" i="44"/>
  <c r="AE1061" i="44"/>
  <c r="AB1061" i="44" s="1"/>
  <c r="AC1062" i="44"/>
  <c r="AE1077" i="44"/>
  <c r="AB1077" i="44" s="1"/>
  <c r="AE1092" i="44"/>
  <c r="AB1092" i="44"/>
  <c r="V1016" i="44"/>
  <c r="W1016" i="44" s="1"/>
  <c r="AB1016" i="44"/>
  <c r="W1022" i="44"/>
  <c r="AE1026" i="44"/>
  <c r="AB1026" i="44" s="1"/>
  <c r="AC1047" i="44"/>
  <c r="W1049" i="44"/>
  <c r="W1057" i="44"/>
  <c r="AC1059" i="44"/>
  <c r="AC1077" i="44"/>
  <c r="W1083" i="44"/>
  <c r="W1087" i="44"/>
  <c r="AC1092" i="44"/>
  <c r="L1016" i="44"/>
  <c r="AC1033" i="44"/>
  <c r="AE1041" i="44"/>
  <c r="AC1041" i="44" s="1"/>
  <c r="AE1065" i="44"/>
  <c r="AB1065" i="44" s="1"/>
  <c r="AE1068" i="44"/>
  <c r="AB1068" i="44"/>
  <c r="AE1071" i="44"/>
  <c r="AB1071" i="44" s="1"/>
  <c r="AC1076" i="44"/>
  <c r="W1079" i="44"/>
  <c r="W1082" i="44"/>
  <c r="AC1091" i="44"/>
  <c r="AC1051" i="44"/>
  <c r="AE1067" i="44"/>
  <c r="AC1067" i="44" s="1"/>
  <c r="AC1068" i="44"/>
  <c r="AE1073" i="44"/>
  <c r="AC1073" i="44" s="1"/>
  <c r="AE1090" i="44"/>
  <c r="AC1090" i="44" s="1"/>
  <c r="W1077" i="44"/>
  <c r="L1112" i="44"/>
  <c r="V1112" i="44"/>
  <c r="W1112" i="44" s="1"/>
  <c r="T1112" i="44"/>
  <c r="AI1112" i="44"/>
  <c r="AC1125" i="44"/>
  <c r="AE1072" i="44"/>
  <c r="AB1072" i="44" s="1"/>
  <c r="AB1091" i="44"/>
  <c r="W1098" i="44"/>
  <c r="S1106" i="44"/>
  <c r="T1109" i="44"/>
  <c r="AE1136" i="44"/>
  <c r="AB1136" i="44" s="1"/>
  <c r="AE1080" i="44"/>
  <c r="AC1080" i="44" s="1"/>
  <c r="AB1080" i="44"/>
  <c r="AC1095" i="44"/>
  <c r="V1109" i="44"/>
  <c r="W1109" i="44" s="1"/>
  <c r="AC1136" i="44"/>
  <c r="S1037" i="44"/>
  <c r="S1045" i="44"/>
  <c r="AC1081" i="44"/>
  <c r="V1106" i="44"/>
  <c r="W1106" i="44" s="1"/>
  <c r="W1128" i="44"/>
  <c r="AE1134" i="44"/>
  <c r="AC1134" i="44" s="1"/>
  <c r="V1173" i="44"/>
  <c r="W1173" i="44" s="1"/>
  <c r="L1173" i="44"/>
  <c r="T1173" i="44"/>
  <c r="S1173" i="44"/>
  <c r="AI1173" i="44"/>
  <c r="M1173" i="44"/>
  <c r="T1096" i="44"/>
  <c r="M1096" i="44"/>
  <c r="L1096" i="44"/>
  <c r="V1096" i="44"/>
  <c r="W1096" i="44" s="1"/>
  <c r="AK1096" i="44"/>
  <c r="AE1112" i="44"/>
  <c r="AB1112" i="44" s="1"/>
  <c r="AE1141" i="44"/>
  <c r="AB1141" i="44" s="1"/>
  <c r="V1037" i="44"/>
  <c r="W1037" i="44" s="1"/>
  <c r="V1045" i="44"/>
  <c r="W1045" i="44" s="1"/>
  <c r="W1095" i="44"/>
  <c r="AE1098" i="44"/>
  <c r="AC1098" i="44" s="1"/>
  <c r="L1132" i="44"/>
  <c r="V1132" i="44"/>
  <c r="W1132" i="44" s="1"/>
  <c r="T1132" i="44"/>
  <c r="S1132" i="44"/>
  <c r="AK1132" i="44"/>
  <c r="M1132" i="44"/>
  <c r="AE1102" i="44"/>
  <c r="AE1103" i="44"/>
  <c r="AB1083" i="44"/>
  <c r="S1096" i="44"/>
  <c r="T1110" i="44"/>
  <c r="S1110" i="44"/>
  <c r="L1110" i="44"/>
  <c r="U1118" i="44"/>
  <c r="U34" i="44" s="1"/>
  <c r="AC1121" i="44"/>
  <c r="AC1082" i="44"/>
  <c r="AE1088" i="44"/>
  <c r="AB1088" i="44" s="1"/>
  <c r="AE1104" i="44"/>
  <c r="AC1104" i="44" s="1"/>
  <c r="L1106" i="44"/>
  <c r="T1106" i="44"/>
  <c r="AI1106" i="44"/>
  <c r="S1107" i="44"/>
  <c r="AI1107" i="44"/>
  <c r="M1107" i="44"/>
  <c r="L1107" i="44"/>
  <c r="V1107" i="44"/>
  <c r="W1107" i="44" s="1"/>
  <c r="M1110" i="44"/>
  <c r="W1119" i="44"/>
  <c r="AK1122" i="44"/>
  <c r="AJ34" i="44" s="1"/>
  <c r="S1122" i="44"/>
  <c r="V1122" i="44"/>
  <c r="W1122" i="44" s="1"/>
  <c r="T1122" i="44"/>
  <c r="M1122" i="44"/>
  <c r="K1123" i="44"/>
  <c r="AB1125" i="44"/>
  <c r="W1086" i="44"/>
  <c r="AB1098" i="44"/>
  <c r="S1109" i="44"/>
  <c r="M1109" i="44"/>
  <c r="L1109" i="44"/>
  <c r="AB1134" i="44"/>
  <c r="AE1139" i="44"/>
  <c r="AB1139" i="44" s="1"/>
  <c r="L1182" i="44"/>
  <c r="V1182" i="44"/>
  <c r="W1182" i="44" s="1"/>
  <c r="AI1182" i="44"/>
  <c r="M1182" i="44"/>
  <c r="S1182" i="44"/>
  <c r="T1182" i="44"/>
  <c r="AE1087" i="44"/>
  <c r="AC1087" i="44" s="1"/>
  <c r="AE1089" i="44"/>
  <c r="AB1089" i="44" s="1"/>
  <c r="M1106" i="44"/>
  <c r="M1113" i="44"/>
  <c r="S1113" i="44"/>
  <c r="L1113" i="44"/>
  <c r="AE1120" i="44"/>
  <c r="AC1120" i="44" s="1"/>
  <c r="AE1152" i="44"/>
  <c r="AB1152" i="44"/>
  <c r="AE1074" i="44"/>
  <c r="AC1074" i="44" s="1"/>
  <c r="AB1101" i="44"/>
  <c r="K1115" i="44"/>
  <c r="F1116" i="44"/>
  <c r="K1116" i="44" s="1"/>
  <c r="AC1137" i="44"/>
  <c r="AK1127" i="44"/>
  <c r="V1129" i="44"/>
  <c r="W1129" i="44" s="1"/>
  <c r="W1138" i="44"/>
  <c r="T1140" i="44"/>
  <c r="AK1140" i="44"/>
  <c r="S1140" i="44"/>
  <c r="M1140" i="44"/>
  <c r="L1140" i="44"/>
  <c r="AE1146" i="44"/>
  <c r="AB1146" i="44" s="1"/>
  <c r="W1151" i="44"/>
  <c r="T1172" i="44"/>
  <c r="M1172" i="44"/>
  <c r="V1172" i="44"/>
  <c r="W1172" i="44" s="1"/>
  <c r="S1172" i="44"/>
  <c r="AI1172" i="44"/>
  <c r="L1172" i="44"/>
  <c r="T1181" i="44"/>
  <c r="S1181" i="44"/>
  <c r="L1181" i="44"/>
  <c r="V1181" i="44"/>
  <c r="W1181" i="44" s="1"/>
  <c r="AI1181" i="44"/>
  <c r="M1181" i="44"/>
  <c r="T1158" i="44"/>
  <c r="L1158" i="44"/>
  <c r="V1158" i="44"/>
  <c r="W1158" i="44" s="1"/>
  <c r="S1158" i="44"/>
  <c r="F1164" i="44"/>
  <c r="K1164" i="44" s="1"/>
  <c r="K1163" i="44"/>
  <c r="AE1201" i="44"/>
  <c r="AC1201" i="44" s="1"/>
  <c r="T1179" i="44"/>
  <c r="S1179" i="44"/>
  <c r="AI1179" i="44"/>
  <c r="M1179" i="44"/>
  <c r="L1179" i="44"/>
  <c r="V1179" i="44"/>
  <c r="W1179" i="44" s="1"/>
  <c r="V1130" i="44"/>
  <c r="W1130" i="44" s="1"/>
  <c r="T1131" i="44"/>
  <c r="W1139" i="44"/>
  <c r="AE1144" i="44"/>
  <c r="AB1144" i="44" s="1"/>
  <c r="V1155" i="44"/>
  <c r="W1155" i="44" s="1"/>
  <c r="T1155" i="44"/>
  <c r="S1155" i="44"/>
  <c r="AI1155" i="44"/>
  <c r="M1155" i="44"/>
  <c r="L1155" i="44"/>
  <c r="V1127" i="44"/>
  <c r="W1127" i="44" s="1"/>
  <c r="AK1129" i="44"/>
  <c r="L1131" i="44"/>
  <c r="V1140" i="44"/>
  <c r="W1140" i="44" s="1"/>
  <c r="AI1178" i="44"/>
  <c r="V1178" i="44"/>
  <c r="W1178" i="44" s="1"/>
  <c r="T1178" i="44"/>
  <c r="S1178" i="44"/>
  <c r="L1178" i="44"/>
  <c r="AC1187" i="44"/>
  <c r="AK1126" i="44"/>
  <c r="T1128" i="44"/>
  <c r="M1131" i="44"/>
  <c r="V1133" i="44"/>
  <c r="W1133" i="44" s="1"/>
  <c r="T1135" i="44"/>
  <c r="L1135" i="44"/>
  <c r="AE1135" i="44"/>
  <c r="AB1135" i="44" s="1"/>
  <c r="M1178" i="44"/>
  <c r="V1120" i="44"/>
  <c r="V1124" i="44"/>
  <c r="W1124" i="44" s="1"/>
  <c r="S1126" i="44"/>
  <c r="S1129" i="44"/>
  <c r="AE1131" i="44"/>
  <c r="AB1131" i="44" s="1"/>
  <c r="L1133" i="44"/>
  <c r="M1135" i="44"/>
  <c r="K1169" i="44"/>
  <c r="F1170" i="44"/>
  <c r="K1170" i="44" s="1"/>
  <c r="U1196" i="44"/>
  <c r="U35" i="44" s="1"/>
  <c r="S1119" i="44"/>
  <c r="T1126" i="44"/>
  <c r="T1129" i="44"/>
  <c r="M1138" i="44"/>
  <c r="S1138" i="44"/>
  <c r="AE1147" i="44"/>
  <c r="AB1147" i="44" s="1"/>
  <c r="M1194" i="44"/>
  <c r="T1194" i="44"/>
  <c r="L1194" i="44"/>
  <c r="S1194" i="44"/>
  <c r="M1152" i="44"/>
  <c r="L1152" i="44"/>
  <c r="V1152" i="44"/>
  <c r="W1152" i="44" s="1"/>
  <c r="AK1130" i="44"/>
  <c r="S1130" i="44"/>
  <c r="L1130" i="44"/>
  <c r="M1160" i="44"/>
  <c r="L1160" i="44"/>
  <c r="V1160" i="44"/>
  <c r="W1160" i="44" s="1"/>
  <c r="T1160" i="44"/>
  <c r="S1160" i="44"/>
  <c r="AI1160" i="44"/>
  <c r="AE1197" i="44"/>
  <c r="AC1197" i="44" s="1"/>
  <c r="W1147" i="44"/>
  <c r="W1166" i="44"/>
  <c r="L1124" i="44"/>
  <c r="M1127" i="44"/>
  <c r="V1131" i="44"/>
  <c r="W1131" i="44" s="1"/>
  <c r="W1143" i="44"/>
  <c r="AE1145" i="44"/>
  <c r="AC1145" i="44" s="1"/>
  <c r="AE1148" i="44"/>
  <c r="AC1148" i="44" s="1"/>
  <c r="AE1154" i="44"/>
  <c r="AB1154" i="44" s="1"/>
  <c r="M1158" i="44"/>
  <c r="AE1167" i="44"/>
  <c r="AC1167" i="44" s="1"/>
  <c r="AB1167" i="44"/>
  <c r="AB1209" i="44"/>
  <c r="AE1209" i="44"/>
  <c r="AC1209" i="44" s="1"/>
  <c r="AE1211" i="44"/>
  <c r="AC1211" i="44" s="1"/>
  <c r="S1133" i="44"/>
  <c r="T1138" i="44"/>
  <c r="V1175" i="44"/>
  <c r="W1175" i="44" s="1"/>
  <c r="L1175" i="44"/>
  <c r="M1175" i="44"/>
  <c r="T1175" i="44"/>
  <c r="S1175" i="44"/>
  <c r="AC1219" i="44"/>
  <c r="M1142" i="44"/>
  <c r="T1154" i="44"/>
  <c r="L1184" i="44"/>
  <c r="V1184" i="44"/>
  <c r="W1184" i="44" s="1"/>
  <c r="AI1184" i="44"/>
  <c r="AI1188" i="44"/>
  <c r="L1188" i="44"/>
  <c r="T1188" i="44"/>
  <c r="W1197" i="44"/>
  <c r="AE1216" i="44"/>
  <c r="AC1216" i="44" s="1"/>
  <c r="AE1240" i="44"/>
  <c r="AB1240" i="44" s="1"/>
  <c r="AE1242" i="44"/>
  <c r="AC1242" i="44" s="1"/>
  <c r="AE1251" i="44"/>
  <c r="AB1251" i="44" s="1"/>
  <c r="AE1252" i="44"/>
  <c r="AB1252" i="44" s="1"/>
  <c r="V1213" i="44"/>
  <c r="W1213" i="44" s="1"/>
  <c r="T1213" i="44"/>
  <c r="M1213" i="44"/>
  <c r="L1213" i="44"/>
  <c r="AE1214" i="44"/>
  <c r="AB1214" i="44" s="1"/>
  <c r="AC1252" i="44"/>
  <c r="T1144" i="44"/>
  <c r="AI1151" i="44"/>
  <c r="L1157" i="44"/>
  <c r="F1176" i="44"/>
  <c r="K1176" i="44" s="1"/>
  <c r="AE1199" i="44"/>
  <c r="AC1199" i="44" s="1"/>
  <c r="S1143" i="44"/>
  <c r="AK1143" i="44"/>
  <c r="M1157" i="44"/>
  <c r="F1161" i="44"/>
  <c r="K1161" i="44" s="1"/>
  <c r="S1166" i="44"/>
  <c r="S1191" i="44"/>
  <c r="T1193" i="44"/>
  <c r="S1193" i="44"/>
  <c r="L1193" i="44"/>
  <c r="AE1198" i="44"/>
  <c r="AC1198" i="44" s="1"/>
  <c r="AB1198" i="44"/>
  <c r="T1143" i="44"/>
  <c r="V1144" i="44"/>
  <c r="W1144" i="44" s="1"/>
  <c r="S1151" i="44"/>
  <c r="T1166" i="44"/>
  <c r="F1185" i="44"/>
  <c r="K1185" i="44" s="1"/>
  <c r="T1191" i="44"/>
  <c r="M1193" i="44"/>
  <c r="W1198" i="44"/>
  <c r="T1202" i="44"/>
  <c r="V1202" i="44"/>
  <c r="W1202" i="44" s="1"/>
  <c r="L1202" i="44"/>
  <c r="V1208" i="44"/>
  <c r="W1208" i="44" s="1"/>
  <c r="M1208" i="44"/>
  <c r="L1208" i="44"/>
  <c r="S1208" i="44"/>
  <c r="M1212" i="44"/>
  <c r="L1212" i="44"/>
  <c r="V1212" i="44"/>
  <c r="W1212" i="44" s="1"/>
  <c r="S1212" i="44"/>
  <c r="K1217" i="44"/>
  <c r="T1212" i="44"/>
  <c r="AE1238" i="44"/>
  <c r="AB1238" i="44"/>
  <c r="S1142" i="44"/>
  <c r="AK1142" i="44"/>
  <c r="T1151" i="44"/>
  <c r="G35" i="44"/>
  <c r="M1202" i="44"/>
  <c r="AE1207" i="44"/>
  <c r="AB1207" i="44" s="1"/>
  <c r="AE1215" i="44"/>
  <c r="AC1215" i="44" s="1"/>
  <c r="S1227" i="44"/>
  <c r="AH1228" i="44" s="1"/>
  <c r="AC1264" i="44"/>
  <c r="T1142" i="44"/>
  <c r="S1149" i="44"/>
  <c r="M1167" i="44"/>
  <c r="AE1186" i="44"/>
  <c r="S1188" i="44"/>
  <c r="V1191" i="44"/>
  <c r="W1191" i="44" s="1"/>
  <c r="W1199" i="44"/>
  <c r="AC1204" i="44"/>
  <c r="S1213" i="44"/>
  <c r="AE1237" i="44"/>
  <c r="AB1237" i="44"/>
  <c r="S1184" i="44"/>
  <c r="S1190" i="44"/>
  <c r="M1190" i="44"/>
  <c r="L1190" i="44"/>
  <c r="T1203" i="44"/>
  <c r="S1203" i="44"/>
  <c r="L1203" i="44"/>
  <c r="T1141" i="44"/>
  <c r="T1146" i="44"/>
  <c r="L1154" i="44"/>
  <c r="S1157" i="44"/>
  <c r="T1184" i="44"/>
  <c r="V1188" i="44"/>
  <c r="W1188" i="44" s="1"/>
  <c r="M1197" i="44"/>
  <c r="AB1216" i="44"/>
  <c r="AE1267" i="44"/>
  <c r="AB1267" i="44" s="1"/>
  <c r="V1149" i="44"/>
  <c r="W1149" i="44" s="1"/>
  <c r="M1154" i="44"/>
  <c r="T1157" i="44"/>
  <c r="T1220" i="44"/>
  <c r="M1220" i="44"/>
  <c r="V1220" i="44"/>
  <c r="W1220" i="44" s="1"/>
  <c r="S1220" i="44"/>
  <c r="L1220" i="44"/>
  <c r="L1144" i="44"/>
  <c r="T1147" i="44"/>
  <c r="AB1187" i="44"/>
  <c r="AB1199" i="44"/>
  <c r="AE1236" i="44"/>
  <c r="AB1236" i="44" s="1"/>
  <c r="AH1236" i="44"/>
  <c r="L1187" i="44"/>
  <c r="V1187" i="44"/>
  <c r="W1187" i="44" s="1"/>
  <c r="AI1187" i="44"/>
  <c r="V1193" i="44"/>
  <c r="W1193" i="44" s="1"/>
  <c r="AE1202" i="44"/>
  <c r="AB1202" i="44" s="1"/>
  <c r="AE1204" i="44"/>
  <c r="AB1204" i="44" s="1"/>
  <c r="AE1235" i="44"/>
  <c r="AC1235" i="44" s="1"/>
  <c r="AB1219" i="44"/>
  <c r="AE1219" i="44"/>
  <c r="T1190" i="44"/>
  <c r="AE1263" i="44"/>
  <c r="AC1263" i="44" s="1"/>
  <c r="T1227" i="44"/>
  <c r="AC1238" i="44"/>
  <c r="AE1243" i="44"/>
  <c r="AC1243" i="44" s="1"/>
  <c r="AE1244" i="44"/>
  <c r="AB1244" i="44" s="1"/>
  <c r="AE1249" i="44"/>
  <c r="AB1249" i="44" s="1"/>
  <c r="AE1205" i="44"/>
  <c r="AC1205" i="44" s="1"/>
  <c r="AC1237" i="44"/>
  <c r="AB1248" i="44"/>
  <c r="S1200" i="44"/>
  <c r="W1219" i="44"/>
  <c r="W1223" i="44"/>
  <c r="W1227" i="44"/>
  <c r="W36" i="44" s="1"/>
  <c r="AE1233" i="44"/>
  <c r="AC1233" i="44" s="1"/>
  <c r="AE1234" i="44"/>
  <c r="AB1234" i="44" s="1"/>
  <c r="AE1254" i="44"/>
  <c r="AB1254" i="44" s="1"/>
  <c r="AE1256" i="44"/>
  <c r="AB1256" i="44"/>
  <c r="AB1258" i="44"/>
  <c r="AE1258" i="44"/>
  <c r="AE1260" i="44"/>
  <c r="AB1260" i="44"/>
  <c r="AE1262" i="44"/>
  <c r="AC1262" i="44" s="1"/>
  <c r="AE1210" i="44"/>
  <c r="AC1210" i="44" s="1"/>
  <c r="AE1246" i="44"/>
  <c r="AC1246" i="44" s="1"/>
  <c r="AB1246" i="44"/>
  <c r="W1248" i="44"/>
  <c r="AC1249" i="44"/>
  <c r="AE1253" i="44"/>
  <c r="AB1253" i="44"/>
  <c r="AC1254" i="44"/>
  <c r="AE1257" i="44"/>
  <c r="AC1257" i="44" s="1"/>
  <c r="AE1259" i="44"/>
  <c r="AB1259" i="44" s="1"/>
  <c r="AC1260" i="44"/>
  <c r="V1200" i="44"/>
  <c r="W1200" i="44" s="1"/>
  <c r="V1225" i="44"/>
  <c r="W1225" i="44" s="1"/>
  <c r="T1225" i="44"/>
  <c r="S1225" i="44"/>
  <c r="M1225" i="44"/>
  <c r="L1225" i="44"/>
  <c r="AC1256" i="44"/>
  <c r="AB1205" i="44"/>
  <c r="V1218" i="44"/>
  <c r="W1218" i="44" s="1"/>
  <c r="S1218" i="44"/>
  <c r="W1231" i="44"/>
  <c r="U1230" i="44"/>
  <c r="U37" i="44" s="1"/>
  <c r="W1232" i="44"/>
  <c r="W1236" i="44"/>
  <c r="W1246" i="44"/>
  <c r="AC1253" i="44"/>
  <c r="AC1255" i="44"/>
  <c r="AE1224" i="44"/>
  <c r="AC1224" i="44" s="1"/>
  <c r="M1218" i="44"/>
  <c r="W1221" i="44"/>
  <c r="AE1239" i="44"/>
  <c r="AC1239" i="44" s="1"/>
  <c r="AC1248" i="44"/>
  <c r="W1253" i="44"/>
  <c r="AB1255" i="44"/>
  <c r="AH1266" i="44"/>
  <c r="AE1266" i="44"/>
  <c r="AB1266" i="44" s="1"/>
  <c r="W1267" i="44"/>
  <c r="AE1206" i="44"/>
  <c r="AC1206" i="44" s="1"/>
  <c r="AE1265" i="44"/>
  <c r="AC1265" i="44" s="1"/>
  <c r="AB1265" i="44"/>
  <c r="AE1261" i="44"/>
  <c r="AB1261" i="44" s="1"/>
  <c r="L1200" i="44"/>
  <c r="V1215" i="44"/>
  <c r="W1215" i="44" s="1"/>
  <c r="M1215" i="44"/>
  <c r="L1215" i="44"/>
  <c r="AE1232" i="44"/>
  <c r="AC1232" i="44" s="1"/>
  <c r="AE1245" i="44"/>
  <c r="AB1245" i="44" s="1"/>
  <c r="AC1251" i="44"/>
  <c r="AH1245" i="44"/>
  <c r="AC1258" i="44"/>
  <c r="AB1264" i="44"/>
  <c r="M1221" i="44"/>
  <c r="S1223" i="44"/>
  <c r="S1222" i="44"/>
  <c r="S1230" i="44"/>
  <c r="AH1235" i="44" s="1"/>
  <c r="T1222" i="44"/>
  <c r="T1230" i="44"/>
  <c r="AE1241" i="44"/>
  <c r="AC1241" i="44" s="1"/>
  <c r="S1221" i="44"/>
  <c r="V1222" i="44"/>
  <c r="W1222" i="44" s="1"/>
  <c r="V1230" i="44"/>
  <c r="AE1231" i="44"/>
  <c r="AC1231" i="44" s="1"/>
  <c r="AE1247" i="44"/>
  <c r="AB1247" i="44" s="1"/>
  <c r="AE1250" i="44"/>
  <c r="AC1250" i="44" s="1"/>
  <c r="W1138" i="2"/>
  <c r="W586" i="2"/>
  <c r="AC120" i="42"/>
  <c r="AR144" i="42"/>
  <c r="AU115" i="42"/>
  <c r="AL56" i="42"/>
  <c r="E35" i="42"/>
  <c r="AW35" i="42" s="1"/>
  <c r="E105" i="42"/>
  <c r="K120" i="42"/>
  <c r="AQ120" i="42"/>
  <c r="AQ134" i="42"/>
  <c r="L120" i="42"/>
  <c r="AW19" i="42"/>
  <c r="AU38" i="42"/>
  <c r="K75" i="42"/>
  <c r="K77" i="42" s="1"/>
  <c r="M120" i="42"/>
  <c r="AW33" i="42"/>
  <c r="L75" i="42"/>
  <c r="L77" i="42" s="1"/>
  <c r="AC127" i="42"/>
  <c r="N75" i="42"/>
  <c r="N77" i="42" s="1"/>
  <c r="AE106" i="42"/>
  <c r="M113" i="42"/>
  <c r="AD127" i="42"/>
  <c r="AW138" i="42"/>
  <c r="AI77" i="42"/>
  <c r="S76" i="42"/>
  <c r="O75" i="42"/>
  <c r="AF92" i="42"/>
  <c r="N113" i="42"/>
  <c r="AE127" i="42"/>
  <c r="AJ70" i="42"/>
  <c r="P75" i="42"/>
  <c r="K92" i="42"/>
  <c r="AQ92" i="42"/>
  <c r="Q75" i="42"/>
  <c r="AW75" i="42"/>
  <c r="AU10" i="42"/>
  <c r="AK63" i="42"/>
  <c r="AW68" i="42"/>
  <c r="R75" i="42"/>
  <c r="AW92" i="42"/>
  <c r="AW91" i="42"/>
  <c r="AD113" i="42"/>
  <c r="AU87" i="42"/>
  <c r="AU101" i="42"/>
  <c r="AR123" i="42"/>
  <c r="AU108" i="42"/>
  <c r="AP127" i="42"/>
  <c r="AR130" i="42"/>
  <c r="AU24" i="42"/>
  <c r="AR39" i="42"/>
  <c r="AA92" i="42"/>
  <c r="AQ127" i="42"/>
  <c r="AW12" i="42"/>
  <c r="U43" i="42"/>
  <c r="AR81" i="42"/>
  <c r="E112" i="42"/>
  <c r="AU31" i="42"/>
  <c r="E63" i="42"/>
  <c r="AW77" i="42"/>
  <c r="L113" i="42"/>
  <c r="M127" i="42"/>
  <c r="AR151" i="42"/>
  <c r="AU17" i="42"/>
  <c r="Q36" i="42"/>
  <c r="S75" i="42"/>
  <c r="N127" i="42"/>
  <c r="AU80" i="42"/>
  <c r="AU129" i="42"/>
  <c r="AU150" i="42"/>
  <c r="AL43" i="42"/>
  <c r="Z127" i="42"/>
  <c r="AM155" i="42"/>
  <c r="AR74" i="42"/>
  <c r="P76" i="42"/>
  <c r="S92" i="42"/>
  <c r="AA120" i="42"/>
  <c r="AA127" i="42"/>
  <c r="AM134" i="42"/>
  <c r="AW41" i="42"/>
  <c r="E84" i="42"/>
  <c r="AW85" i="42" s="1"/>
  <c r="AH92" i="42"/>
  <c r="AB120" i="42"/>
  <c r="AB127" i="42"/>
  <c r="AP134" i="42"/>
  <c r="AG36" i="42"/>
  <c r="AI92" i="42"/>
  <c r="AW90" i="42"/>
  <c r="AW97" i="42"/>
  <c r="AU143" i="42"/>
  <c r="AR46" i="42"/>
  <c r="H50" i="42"/>
  <c r="I75" i="42"/>
  <c r="I77" i="42" s="1"/>
  <c r="AU45" i="42"/>
  <c r="AW82" i="42"/>
  <c r="AW15" i="42"/>
  <c r="AW14" i="42"/>
  <c r="AW28" i="42"/>
  <c r="AW29" i="42"/>
  <c r="AW43" i="42"/>
  <c r="AW42" i="42"/>
  <c r="AW22" i="42"/>
  <c r="AW21" i="42"/>
  <c r="E49" i="42"/>
  <c r="AW48" i="42"/>
  <c r="AH55" i="42"/>
  <c r="AG62" i="42"/>
  <c r="AW36" i="42"/>
  <c r="M57" i="42"/>
  <c r="AG55" i="42"/>
  <c r="Q55" i="42"/>
  <c r="Q57" i="42" s="1"/>
  <c r="AF55" i="42"/>
  <c r="P55" i="42"/>
  <c r="P57" i="42" s="1"/>
  <c r="AE55" i="42"/>
  <c r="O55" i="42"/>
  <c r="O57" i="42" s="1"/>
  <c r="AD55" i="42"/>
  <c r="N55" i="42"/>
  <c r="N57" i="42" s="1"/>
  <c r="AC55" i="42"/>
  <c r="AC57" i="42" s="1"/>
  <c r="M55" i="42"/>
  <c r="AQ55" i="42"/>
  <c r="AQ57" i="42" s="1"/>
  <c r="AP55" i="42"/>
  <c r="AP57" i="42" s="1"/>
  <c r="Z55" i="42"/>
  <c r="Z57" i="42" s="1"/>
  <c r="J55" i="42"/>
  <c r="J57" i="42" s="1"/>
  <c r="AO55" i="42"/>
  <c r="AO57" i="42" s="1"/>
  <c r="Y55" i="42"/>
  <c r="Y57" i="42" s="1"/>
  <c r="I55" i="42"/>
  <c r="I57" i="42" s="1"/>
  <c r="AI55" i="42"/>
  <c r="AF62" i="42"/>
  <c r="P62" i="42"/>
  <c r="P64" i="42" s="1"/>
  <c r="AE62" i="42"/>
  <c r="O62" i="42"/>
  <c r="O64" i="42" s="1"/>
  <c r="AD62" i="42"/>
  <c r="N62" i="42"/>
  <c r="N64" i="42" s="1"/>
  <c r="AC62" i="42"/>
  <c r="M62" i="42"/>
  <c r="M64" i="42" s="1"/>
  <c r="AB62" i="42"/>
  <c r="AB64" i="42" s="1"/>
  <c r="L62" i="42"/>
  <c r="L64" i="42" s="1"/>
  <c r="AP62" i="42"/>
  <c r="AP64" i="42" s="1"/>
  <c r="Z62" i="42"/>
  <c r="Z64" i="42" s="1"/>
  <c r="J62" i="42"/>
  <c r="J64" i="42" s="1"/>
  <c r="AO62" i="42"/>
  <c r="AO64" i="42" s="1"/>
  <c r="Y62" i="42"/>
  <c r="Y64" i="42" s="1"/>
  <c r="I62" i="42"/>
  <c r="I64" i="42" s="1"/>
  <c r="AN62" i="42"/>
  <c r="AN64" i="42" s="1"/>
  <c r="X62" i="42"/>
  <c r="X64" i="42" s="1"/>
  <c r="H62" i="42"/>
  <c r="AH62" i="42"/>
  <c r="K71" i="42"/>
  <c r="AE69" i="42"/>
  <c r="AE71" i="42" s="1"/>
  <c r="O69" i="42"/>
  <c r="O71" i="42" s="1"/>
  <c r="AD69" i="42"/>
  <c r="AD71" i="42" s="1"/>
  <c r="N69" i="42"/>
  <c r="N71" i="42" s="1"/>
  <c r="I71" i="42"/>
  <c r="AC69" i="42"/>
  <c r="AC71" i="42" s="1"/>
  <c r="M69" i="42"/>
  <c r="M71" i="42" s="1"/>
  <c r="AB69" i="42"/>
  <c r="AB71" i="42" s="1"/>
  <c r="L69" i="42"/>
  <c r="L71" i="42" s="1"/>
  <c r="AQ69" i="42"/>
  <c r="AQ71" i="42" s="1"/>
  <c r="AA69" i="42"/>
  <c r="AA71" i="42" s="1"/>
  <c r="K69" i="42"/>
  <c r="AO69" i="42"/>
  <c r="AO71" i="42" s="1"/>
  <c r="Y69" i="42"/>
  <c r="Y71" i="42" s="1"/>
  <c r="I69" i="42"/>
  <c r="AN69" i="42"/>
  <c r="AN71" i="42" s="1"/>
  <c r="X69" i="42"/>
  <c r="X71" i="42" s="1"/>
  <c r="H69" i="42"/>
  <c r="S71" i="42"/>
  <c r="AM69" i="42"/>
  <c r="AM71" i="42" s="1"/>
  <c r="W69" i="42"/>
  <c r="W71" i="42" s="1"/>
  <c r="AL69" i="42"/>
  <c r="AL71" i="42" s="1"/>
  <c r="V69" i="42"/>
  <c r="V71" i="42" s="1"/>
  <c r="AK69" i="42"/>
  <c r="AK71" i="42" s="1"/>
  <c r="U69" i="42"/>
  <c r="U71" i="42" s="1"/>
  <c r="AI69" i="42"/>
  <c r="AI71" i="42" s="1"/>
  <c r="S69" i="42"/>
  <c r="AF69" i="42"/>
  <c r="AF71" i="42" s="1"/>
  <c r="P69" i="42"/>
  <c r="T27" i="42"/>
  <c r="T29" i="42" s="1"/>
  <c r="AJ27" i="42"/>
  <c r="AJ29" i="42" s="1"/>
  <c r="AN43" i="42"/>
  <c r="AW47" i="42"/>
  <c r="AU52" i="42"/>
  <c r="AR53" i="42"/>
  <c r="AJ55" i="42"/>
  <c r="AU59" i="42"/>
  <c r="AR60" i="42"/>
  <c r="AI62" i="42"/>
  <c r="AR67" i="42"/>
  <c r="AW26" i="42"/>
  <c r="U27" i="42"/>
  <c r="U29" i="42" s="1"/>
  <c r="AK27" i="42"/>
  <c r="AK29" i="42" s="1"/>
  <c r="T34" i="42"/>
  <c r="T36" i="42" s="1"/>
  <c r="AJ34" i="42"/>
  <c r="AJ36" i="42" s="1"/>
  <c r="W41" i="42"/>
  <c r="W43" i="42" s="1"/>
  <c r="AN41" i="42"/>
  <c r="AB47" i="42"/>
  <c r="AB49" i="42" s="1"/>
  <c r="L47" i="42"/>
  <c r="AQ47" i="42"/>
  <c r="AQ49" i="42" s="1"/>
  <c r="AJ49" i="42"/>
  <c r="AO47" i="42"/>
  <c r="AO49" i="42" s="1"/>
  <c r="Y47" i="42"/>
  <c r="Y49" i="42" s="1"/>
  <c r="I47" i="42"/>
  <c r="J47" i="42"/>
  <c r="J49" i="42" s="1"/>
  <c r="AC47" i="42"/>
  <c r="AC49" i="42" s="1"/>
  <c r="AK55" i="42"/>
  <c r="AK57" i="42" s="1"/>
  <c r="AJ62" i="42"/>
  <c r="AJ64" i="42" s="1"/>
  <c r="J69" i="42"/>
  <c r="J71" i="42" s="1"/>
  <c r="V27" i="42"/>
  <c r="V29" i="42" s="1"/>
  <c r="AL27" i="42"/>
  <c r="AL29" i="42" s="1"/>
  <c r="R29" i="42"/>
  <c r="AH29" i="42"/>
  <c r="AI41" i="42"/>
  <c r="S41" i="42"/>
  <c r="X41" i="42"/>
  <c r="X43" i="42" s="1"/>
  <c r="AO41" i="42"/>
  <c r="AO43" i="42" s="1"/>
  <c r="H55" i="42"/>
  <c r="H57" i="42" s="1"/>
  <c r="AL55" i="42"/>
  <c r="AL57" i="42" s="1"/>
  <c r="AK62" i="42"/>
  <c r="AK64" i="42" s="1"/>
  <c r="Q69" i="42"/>
  <c r="Q71" i="42" s="1"/>
  <c r="I98" i="42"/>
  <c r="AW112" i="42"/>
  <c r="AW113" i="42"/>
  <c r="W599" i="2"/>
  <c r="AR11" i="42"/>
  <c r="W27" i="42"/>
  <c r="AM27" i="42"/>
  <c r="S29" i="42"/>
  <c r="AI29" i="42"/>
  <c r="V34" i="42"/>
  <c r="V36" i="42" s="1"/>
  <c r="AL34" i="42"/>
  <c r="AL36" i="42" s="1"/>
  <c r="R36" i="42"/>
  <c r="AH36" i="42"/>
  <c r="H41" i="42"/>
  <c r="H43" i="42" s="1"/>
  <c r="Y41" i="42"/>
  <c r="Y43" i="42" s="1"/>
  <c r="AP41" i="42"/>
  <c r="AP43" i="42" s="1"/>
  <c r="M47" i="42"/>
  <c r="AE47" i="42"/>
  <c r="AE49" i="42" s="1"/>
  <c r="X49" i="42"/>
  <c r="Y50" i="42"/>
  <c r="K55" i="42"/>
  <c r="K57" i="42" s="1"/>
  <c r="AM55" i="42"/>
  <c r="AM57" i="42" s="1"/>
  <c r="AL62" i="42"/>
  <c r="AL64" i="42" s="1"/>
  <c r="R69" i="42"/>
  <c r="R71" i="42" s="1"/>
  <c r="AR18" i="42"/>
  <c r="H27" i="42"/>
  <c r="H29" i="42" s="1"/>
  <c r="X27" i="42"/>
  <c r="X29" i="42" s="1"/>
  <c r="AN27" i="42"/>
  <c r="AN29" i="42" s="1"/>
  <c r="W34" i="42"/>
  <c r="W36" i="42" s="1"/>
  <c r="AM34" i="42"/>
  <c r="AM36" i="42" s="1"/>
  <c r="S36" i="42"/>
  <c r="AI36" i="42"/>
  <c r="I41" i="42"/>
  <c r="I43" i="42" s="1"/>
  <c r="Z41" i="42"/>
  <c r="Z43" i="42" s="1"/>
  <c r="AQ41" i="42"/>
  <c r="AQ43" i="42" s="1"/>
  <c r="N47" i="42"/>
  <c r="AF47" i="42"/>
  <c r="AF49" i="42" s="1"/>
  <c r="L55" i="42"/>
  <c r="L57" i="42" s="1"/>
  <c r="AN55" i="42"/>
  <c r="AN57" i="42" s="1"/>
  <c r="AM62" i="42"/>
  <c r="T69" i="42"/>
  <c r="T71" i="42" s="1"/>
  <c r="AR25" i="42"/>
  <c r="I27" i="42"/>
  <c r="I29" i="42" s="1"/>
  <c r="Y27" i="42"/>
  <c r="Y29" i="42" s="1"/>
  <c r="AO27" i="42"/>
  <c r="H34" i="42"/>
  <c r="X34" i="42"/>
  <c r="AN34" i="42"/>
  <c r="J41" i="42"/>
  <c r="J43" i="42" s="1"/>
  <c r="AA41" i="42"/>
  <c r="AA43" i="42" s="1"/>
  <c r="O47" i="42"/>
  <c r="AG47" i="42"/>
  <c r="J48" i="42"/>
  <c r="AC48" i="42"/>
  <c r="AC50" i="42" s="1"/>
  <c r="Z49" i="42"/>
  <c r="R55" i="42"/>
  <c r="R57" i="42" s="1"/>
  <c r="K62" i="42"/>
  <c r="K64" i="42" s="1"/>
  <c r="AQ62" i="42"/>
  <c r="AQ64" i="42" s="1"/>
  <c r="Z69" i="42"/>
  <c r="Z71" i="42" s="1"/>
  <c r="J27" i="42"/>
  <c r="Z27" i="42"/>
  <c r="Z29" i="42" s="1"/>
  <c r="AP27" i="42"/>
  <c r="AP29" i="42" s="1"/>
  <c r="AR32" i="42"/>
  <c r="I34" i="42"/>
  <c r="I36" i="42" s="1"/>
  <c r="Y34" i="42"/>
  <c r="AO34" i="42"/>
  <c r="U36" i="42"/>
  <c r="AK36" i="42"/>
  <c r="K41" i="42"/>
  <c r="K43" i="42" s="1"/>
  <c r="AB41" i="42"/>
  <c r="AB43" i="42" s="1"/>
  <c r="AH48" i="42"/>
  <c r="AH50" i="42" s="1"/>
  <c r="R48" i="42"/>
  <c r="M50" i="42"/>
  <c r="AG48" i="42"/>
  <c r="AG50" i="42" s="1"/>
  <c r="Q48" i="42"/>
  <c r="Q50" i="42" s="1"/>
  <c r="AB50" i="42"/>
  <c r="AQ50" i="42"/>
  <c r="AA50" i="42"/>
  <c r="AE48" i="42"/>
  <c r="AE50" i="42" s="1"/>
  <c r="O48" i="42"/>
  <c r="AP50" i="42"/>
  <c r="Z50" i="42"/>
  <c r="J50" i="42"/>
  <c r="W50" i="42"/>
  <c r="P47" i="42"/>
  <c r="P49" i="42" s="1"/>
  <c r="AH47" i="42"/>
  <c r="K48" i="42"/>
  <c r="K50" i="42" s="1"/>
  <c r="AD48" i="42"/>
  <c r="AD50" i="42" s="1"/>
  <c r="H49" i="42"/>
  <c r="AA49" i="42"/>
  <c r="E56" i="42"/>
  <c r="AW55" i="42"/>
  <c r="S55" i="42"/>
  <c r="S57" i="42" s="1"/>
  <c r="Q62" i="42"/>
  <c r="Q64" i="42" s="1"/>
  <c r="AC64" i="42"/>
  <c r="AG69" i="42"/>
  <c r="AG71" i="42" s="1"/>
  <c r="P71" i="42"/>
  <c r="AU73" i="42"/>
  <c r="K27" i="42"/>
  <c r="AA27" i="42"/>
  <c r="AQ27" i="42"/>
  <c r="W29" i="42"/>
  <c r="AM29" i="42"/>
  <c r="J34" i="42"/>
  <c r="J36" i="42" s="1"/>
  <c r="Z34" i="42"/>
  <c r="Z36" i="42" s="1"/>
  <c r="AP34" i="42"/>
  <c r="AP36" i="42" s="1"/>
  <c r="O35" i="42"/>
  <c r="AE35" i="42"/>
  <c r="L41" i="42"/>
  <c r="L43" i="42" s="1"/>
  <c r="AC41" i="42"/>
  <c r="AC43" i="42" s="1"/>
  <c r="M43" i="42"/>
  <c r="AD43" i="42"/>
  <c r="Q47" i="42"/>
  <c r="Q49" i="42" s="1"/>
  <c r="AI47" i="42"/>
  <c r="L48" i="42"/>
  <c r="L50" i="42" s="1"/>
  <c r="AF48" i="42"/>
  <c r="AF50" i="42" s="1"/>
  <c r="I49" i="42"/>
  <c r="T55" i="42"/>
  <c r="T57" i="42" s="1"/>
  <c r="AD57" i="42"/>
  <c r="R62" i="42"/>
  <c r="R64" i="42" s="1"/>
  <c r="AD64" i="42"/>
  <c r="AH69" i="42"/>
  <c r="AH71" i="42" s="1"/>
  <c r="L27" i="42"/>
  <c r="AB27" i="42"/>
  <c r="U55" i="42"/>
  <c r="U57" i="42" s="1"/>
  <c r="AE57" i="42"/>
  <c r="S62" i="42"/>
  <c r="S64" i="42" s="1"/>
  <c r="AE64" i="42"/>
  <c r="AJ69" i="42"/>
  <c r="AJ71" i="42" s="1"/>
  <c r="AW13" i="42"/>
  <c r="W26" i="42"/>
  <c r="W28" i="42" s="1"/>
  <c r="AM26" i="42"/>
  <c r="AM28" i="42" s="1"/>
  <c r="M27" i="42"/>
  <c r="M29" i="42" s="1"/>
  <c r="AC27" i="42"/>
  <c r="R28" i="42"/>
  <c r="AH28" i="42"/>
  <c r="AO29" i="42"/>
  <c r="V33" i="42"/>
  <c r="V35" i="42" s="1"/>
  <c r="AL33" i="42"/>
  <c r="AL35" i="42" s="1"/>
  <c r="L34" i="42"/>
  <c r="AB34" i="42"/>
  <c r="AB36" i="42" s="1"/>
  <c r="Q35" i="42"/>
  <c r="AG35" i="42"/>
  <c r="H36" i="42"/>
  <c r="X36" i="42"/>
  <c r="AN36" i="42"/>
  <c r="V40" i="42"/>
  <c r="V42" i="42" s="1"/>
  <c r="AM40" i="42"/>
  <c r="N41" i="42"/>
  <c r="N43" i="42" s="1"/>
  <c r="AE41" i="42"/>
  <c r="AE43" i="42" s="1"/>
  <c r="AM42" i="42"/>
  <c r="S47" i="42"/>
  <c r="S49" i="42" s="1"/>
  <c r="AK47" i="42"/>
  <c r="AK49" i="42" s="1"/>
  <c r="N48" i="42"/>
  <c r="N50" i="42" s="1"/>
  <c r="AJ48" i="42"/>
  <c r="AJ50" i="42" s="1"/>
  <c r="K49" i="42"/>
  <c r="AD49" i="42"/>
  <c r="I50" i="42"/>
  <c r="V55" i="42"/>
  <c r="V57" i="42" s="1"/>
  <c r="AF57" i="42"/>
  <c r="T62" i="42"/>
  <c r="T64" i="42" s="1"/>
  <c r="AF64" i="42"/>
  <c r="AP69" i="42"/>
  <c r="AP71" i="42" s="1"/>
  <c r="Y99" i="42"/>
  <c r="AC97" i="42"/>
  <c r="M97" i="42"/>
  <c r="M99" i="42" s="1"/>
  <c r="AB97" i="42"/>
  <c r="AB99" i="42" s="1"/>
  <c r="L97" i="42"/>
  <c r="L99" i="42" s="1"/>
  <c r="AQ97" i="42"/>
  <c r="AQ99" i="42" s="1"/>
  <c r="AA97" i="42"/>
  <c r="AA99" i="42" s="1"/>
  <c r="K97" i="42"/>
  <c r="K99" i="42" s="1"/>
  <c r="AP97" i="42"/>
  <c r="AP99" i="42" s="1"/>
  <c r="Z97" i="42"/>
  <c r="Z99" i="42" s="1"/>
  <c r="J97" i="42"/>
  <c r="J99" i="42" s="1"/>
  <c r="AO97" i="42"/>
  <c r="AO99" i="42" s="1"/>
  <c r="Y97" i="42"/>
  <c r="I97" i="42"/>
  <c r="I99" i="42" s="1"/>
  <c r="T99" i="42"/>
  <c r="AN97" i="42"/>
  <c r="AN99" i="42" s="1"/>
  <c r="X97" i="42"/>
  <c r="X99" i="42" s="1"/>
  <c r="H97" i="42"/>
  <c r="H99" i="42" s="1"/>
  <c r="AI99" i="42"/>
  <c r="R97" i="42"/>
  <c r="R99" i="42" s="1"/>
  <c r="AM97" i="42"/>
  <c r="AM99" i="42" s="1"/>
  <c r="Q97" i="42"/>
  <c r="Q99" i="42" s="1"/>
  <c r="AL97" i="42"/>
  <c r="AL99" i="42" s="1"/>
  <c r="P97" i="42"/>
  <c r="AD99" i="42"/>
  <c r="AK97" i="42"/>
  <c r="AK99" i="42" s="1"/>
  <c r="O97" i="42"/>
  <c r="O99" i="42" s="1"/>
  <c r="AC99" i="42"/>
  <c r="AJ97" i="42"/>
  <c r="AJ99" i="42" s="1"/>
  <c r="N97" i="42"/>
  <c r="AH97" i="42"/>
  <c r="AH99" i="42" s="1"/>
  <c r="AG97" i="42"/>
  <c r="AG99" i="42" s="1"/>
  <c r="AF97" i="42"/>
  <c r="AF99" i="42" s="1"/>
  <c r="AE97" i="42"/>
  <c r="AE99" i="42" s="1"/>
  <c r="AD97" i="42"/>
  <c r="P99" i="42"/>
  <c r="W97" i="42"/>
  <c r="W99" i="42" s="1"/>
  <c r="V97" i="42"/>
  <c r="V99" i="42" s="1"/>
  <c r="N99" i="42"/>
  <c r="U97" i="42"/>
  <c r="U99" i="42" s="1"/>
  <c r="S97" i="42"/>
  <c r="S99" i="42" s="1"/>
  <c r="AW20" i="42"/>
  <c r="H26" i="42"/>
  <c r="X26" i="42"/>
  <c r="X28" i="42" s="1"/>
  <c r="AN26" i="42"/>
  <c r="AN28" i="42" s="1"/>
  <c r="N27" i="42"/>
  <c r="N29" i="42" s="1"/>
  <c r="AD27" i="42"/>
  <c r="AD29" i="42" s="1"/>
  <c r="S28" i="42"/>
  <c r="AI28" i="42"/>
  <c r="J29" i="42"/>
  <c r="W33" i="42"/>
  <c r="W35" i="42" s="1"/>
  <c r="AM33" i="42"/>
  <c r="AM35" i="42" s="1"/>
  <c r="M34" i="42"/>
  <c r="M36" i="42" s="1"/>
  <c r="AC34" i="42"/>
  <c r="AC36" i="42" s="1"/>
  <c r="R35" i="42"/>
  <c r="AH35" i="42"/>
  <c r="Y36" i="42"/>
  <c r="AO36" i="42"/>
  <c r="W40" i="42"/>
  <c r="W42" i="42" s="1"/>
  <c r="AN40" i="42"/>
  <c r="AN42" i="42" s="1"/>
  <c r="O41" i="42"/>
  <c r="O43" i="42" s="1"/>
  <c r="AF41" i="42"/>
  <c r="AF43" i="42" s="1"/>
  <c r="T47" i="42"/>
  <c r="AL47" i="42"/>
  <c r="AL49" i="42" s="1"/>
  <c r="P48" i="42"/>
  <c r="P50" i="42" s="1"/>
  <c r="AK48" i="42"/>
  <c r="L49" i="42"/>
  <c r="O50" i="42"/>
  <c r="W55" i="42"/>
  <c r="W57" i="42" s="1"/>
  <c r="AG57" i="42"/>
  <c r="U62" i="42"/>
  <c r="U64" i="42" s="1"/>
  <c r="AG64" i="42"/>
  <c r="AW70" i="42"/>
  <c r="AW71" i="42"/>
  <c r="I26" i="42"/>
  <c r="I28" i="42" s="1"/>
  <c r="Y26" i="42"/>
  <c r="Y28" i="42" s="1"/>
  <c r="AO26" i="42"/>
  <c r="AO28" i="42" s="1"/>
  <c r="O27" i="42"/>
  <c r="O29" i="42" s="1"/>
  <c r="AE27" i="42"/>
  <c r="AE29" i="42" s="1"/>
  <c r="AW27" i="42"/>
  <c r="T28" i="42"/>
  <c r="AJ28" i="42"/>
  <c r="K29" i="42"/>
  <c r="AA29" i="42"/>
  <c r="H33" i="42"/>
  <c r="X33" i="42"/>
  <c r="X35" i="42" s="1"/>
  <c r="AN33" i="42"/>
  <c r="AN35" i="42" s="1"/>
  <c r="N34" i="42"/>
  <c r="N36" i="42" s="1"/>
  <c r="AD34" i="42"/>
  <c r="AD36" i="42" s="1"/>
  <c r="S35" i="42"/>
  <c r="AI35" i="42"/>
  <c r="AC40" i="42"/>
  <c r="AC42" i="42" s="1"/>
  <c r="M40" i="42"/>
  <c r="M42" i="42" s="1"/>
  <c r="X40" i="42"/>
  <c r="X42" i="42" s="1"/>
  <c r="AO40" i="42"/>
  <c r="AO42" i="42" s="1"/>
  <c r="P41" i="42"/>
  <c r="P43" i="42" s="1"/>
  <c r="AG41" i="42"/>
  <c r="AG43" i="42" s="1"/>
  <c r="AI43" i="42"/>
  <c r="U47" i="42"/>
  <c r="AM47" i="42"/>
  <c r="AM49" i="42" s="1"/>
  <c r="S48" i="42"/>
  <c r="S50" i="42" s="1"/>
  <c r="AL48" i="42"/>
  <c r="AL50" i="42" s="1"/>
  <c r="M49" i="42"/>
  <c r="X55" i="42"/>
  <c r="AH57" i="42"/>
  <c r="V62" i="42"/>
  <c r="V64" i="42" s="1"/>
  <c r="AH64" i="42"/>
  <c r="AU66" i="42"/>
  <c r="J26" i="42"/>
  <c r="J28" i="42" s="1"/>
  <c r="Z26" i="42"/>
  <c r="Z28" i="42" s="1"/>
  <c r="AP26" i="42"/>
  <c r="AP28" i="42" s="1"/>
  <c r="P27" i="42"/>
  <c r="P29" i="42" s="1"/>
  <c r="AF27" i="42"/>
  <c r="AF29" i="42" s="1"/>
  <c r="U28" i="42"/>
  <c r="AK28" i="42"/>
  <c r="L29" i="42"/>
  <c r="AB29" i="42"/>
  <c r="I33" i="42"/>
  <c r="I35" i="42" s="1"/>
  <c r="Y33" i="42"/>
  <c r="Y35" i="42" s="1"/>
  <c r="AO33" i="42"/>
  <c r="AO35" i="42" s="1"/>
  <c r="O34" i="42"/>
  <c r="O36" i="42" s="1"/>
  <c r="AE34" i="42"/>
  <c r="AE36" i="42" s="1"/>
  <c r="T35" i="42"/>
  <c r="AJ35" i="42"/>
  <c r="K36" i="42"/>
  <c r="AA36" i="42"/>
  <c r="AQ36" i="42"/>
  <c r="H40" i="42"/>
  <c r="Y40" i="42"/>
  <c r="Y42" i="42" s="1"/>
  <c r="AP40" i="42"/>
  <c r="AP42" i="42" s="1"/>
  <c r="Q41" i="42"/>
  <c r="Q43" i="42" s="1"/>
  <c r="AH41" i="42"/>
  <c r="AH43" i="42" s="1"/>
  <c r="S43" i="42"/>
  <c r="V47" i="42"/>
  <c r="V49" i="42" s="1"/>
  <c r="AN47" i="42"/>
  <c r="AN49" i="42" s="1"/>
  <c r="T48" i="42"/>
  <c r="T50" i="42" s="1"/>
  <c r="AM48" i="42"/>
  <c r="AM50" i="42" s="1"/>
  <c r="N49" i="42"/>
  <c r="AG49" i="42"/>
  <c r="AA55" i="42"/>
  <c r="AA57" i="42" s="1"/>
  <c r="AI57" i="42"/>
  <c r="W62" i="42"/>
  <c r="W64" i="42" s="1"/>
  <c r="AI64" i="42"/>
  <c r="W588" i="2"/>
  <c r="W1249" i="2"/>
  <c r="K26" i="42"/>
  <c r="K28" i="42" s="1"/>
  <c r="AA26" i="42"/>
  <c r="AA28" i="42" s="1"/>
  <c r="AQ26" i="42"/>
  <c r="AQ28" i="42" s="1"/>
  <c r="Q27" i="42"/>
  <c r="Q29" i="42" s="1"/>
  <c r="AG27" i="42"/>
  <c r="AG29" i="42" s="1"/>
  <c r="V28" i="42"/>
  <c r="AC29" i="42"/>
  <c r="J33" i="42"/>
  <c r="J35" i="42" s="1"/>
  <c r="Z33" i="42"/>
  <c r="Z35" i="42" s="1"/>
  <c r="AP33" i="42"/>
  <c r="AP35" i="42" s="1"/>
  <c r="P34" i="42"/>
  <c r="P36" i="42" s="1"/>
  <c r="AF34" i="42"/>
  <c r="AF36" i="42" s="1"/>
  <c r="U35" i="42"/>
  <c r="L36" i="42"/>
  <c r="I40" i="42"/>
  <c r="I42" i="42" s="1"/>
  <c r="Z40" i="42"/>
  <c r="Z42" i="42" s="1"/>
  <c r="AQ40" i="42"/>
  <c r="AQ42" i="42" s="1"/>
  <c r="R41" i="42"/>
  <c r="R43" i="42" s="1"/>
  <c r="AJ41" i="42"/>
  <c r="AJ43" i="42" s="1"/>
  <c r="J42" i="42"/>
  <c r="AA42" i="42"/>
  <c r="T43" i="42"/>
  <c r="AK43" i="42"/>
  <c r="W47" i="42"/>
  <c r="W49" i="42" s="1"/>
  <c r="AP47" i="42"/>
  <c r="AP49" i="42" s="1"/>
  <c r="U48" i="42"/>
  <c r="U50" i="42" s="1"/>
  <c r="AN48" i="42"/>
  <c r="AN50" i="42" s="1"/>
  <c r="O49" i="42"/>
  <c r="AH49" i="42"/>
  <c r="R50" i="42"/>
  <c r="AO50" i="42"/>
  <c r="AB55" i="42"/>
  <c r="AB57" i="42" s="1"/>
  <c r="AJ57" i="42"/>
  <c r="AA62" i="42"/>
  <c r="AA64" i="42" s="1"/>
  <c r="AM64" i="42"/>
  <c r="AN110" i="42"/>
  <c r="AN112" i="42" s="1"/>
  <c r="AR95" i="42"/>
  <c r="H110" i="42"/>
  <c r="H112" i="42" s="1"/>
  <c r="AP110" i="42"/>
  <c r="R76" i="42"/>
  <c r="AH76" i="42"/>
  <c r="AD104" i="42"/>
  <c r="AD106" i="42" s="1"/>
  <c r="AK110" i="42"/>
  <c r="AK112" i="42" s="1"/>
  <c r="U110" i="42"/>
  <c r="U112" i="42" s="1"/>
  <c r="AJ110" i="42"/>
  <c r="AJ112" i="42" s="1"/>
  <c r="T110" i="42"/>
  <c r="T112" i="42" s="1"/>
  <c r="AI110" i="42"/>
  <c r="S110" i="42"/>
  <c r="S112" i="42" s="1"/>
  <c r="AH110" i="42"/>
  <c r="AH112" i="42" s="1"/>
  <c r="R110" i="42"/>
  <c r="R112" i="42" s="1"/>
  <c r="AG110" i="42"/>
  <c r="Q110" i="42"/>
  <c r="Q112" i="42" s="1"/>
  <c r="AF110" i="42"/>
  <c r="AF112" i="42" s="1"/>
  <c r="P110" i="42"/>
  <c r="P112" i="42" s="1"/>
  <c r="AP112" i="42"/>
  <c r="AE110" i="42"/>
  <c r="AE112" i="42" s="1"/>
  <c r="O110" i="42"/>
  <c r="O112" i="42" s="1"/>
  <c r="AO112" i="42"/>
  <c r="Y112" i="42"/>
  <c r="AD110" i="42"/>
  <c r="AD112" i="42" s="1"/>
  <c r="N110" i="42"/>
  <c r="N112" i="42" s="1"/>
  <c r="AC110" i="42"/>
  <c r="AC112" i="42" s="1"/>
  <c r="M110" i="42"/>
  <c r="M112" i="42" s="1"/>
  <c r="I110" i="42"/>
  <c r="I112" i="42" s="1"/>
  <c r="AQ110" i="42"/>
  <c r="AQ112" i="42" s="1"/>
  <c r="AG112" i="42"/>
  <c r="AW117" i="42"/>
  <c r="E119" i="42"/>
  <c r="AW118" i="42"/>
  <c r="AE78" i="42"/>
  <c r="AR88" i="42"/>
  <c r="I106" i="42"/>
  <c r="J110" i="42"/>
  <c r="J112" i="42" s="1"/>
  <c r="T76" i="42"/>
  <c r="T78" i="42" s="1"/>
  <c r="AJ76" i="42"/>
  <c r="AJ78" i="42" s="1"/>
  <c r="P78" i="42"/>
  <c r="AF78" i="42"/>
  <c r="AW99" i="42"/>
  <c r="AF104" i="42"/>
  <c r="AF106" i="42" s="1"/>
  <c r="K110" i="42"/>
  <c r="K112" i="42" s="1"/>
  <c r="AI112" i="42"/>
  <c r="U76" i="42"/>
  <c r="U78" i="42" s="1"/>
  <c r="AK76" i="42"/>
  <c r="AK78" i="42" s="1"/>
  <c r="Q78" i="42"/>
  <c r="AG78" i="42"/>
  <c r="AB104" i="42"/>
  <c r="L104" i="42"/>
  <c r="AQ104" i="42"/>
  <c r="AQ106" i="42" s="1"/>
  <c r="AA104" i="42"/>
  <c r="K104" i="42"/>
  <c r="AP104" i="42"/>
  <c r="AP106" i="42" s="1"/>
  <c r="Z104" i="42"/>
  <c r="Z106" i="42" s="1"/>
  <c r="J104" i="42"/>
  <c r="J106" i="42" s="1"/>
  <c r="AK106" i="42"/>
  <c r="U106" i="42"/>
  <c r="AO104" i="42"/>
  <c r="AO106" i="42" s="1"/>
  <c r="Y104" i="42"/>
  <c r="Y106" i="42" s="1"/>
  <c r="I104" i="42"/>
  <c r="T106" i="42"/>
  <c r="AN104" i="42"/>
  <c r="AN106" i="42" s="1"/>
  <c r="X104" i="42"/>
  <c r="X106" i="42" s="1"/>
  <c r="H104" i="42"/>
  <c r="AM104" i="42"/>
  <c r="AM106" i="42" s="1"/>
  <c r="W104" i="42"/>
  <c r="W106" i="42" s="1"/>
  <c r="AL104" i="42"/>
  <c r="AL106" i="42" s="1"/>
  <c r="V104" i="42"/>
  <c r="V106" i="42" s="1"/>
  <c r="AG104" i="42"/>
  <c r="AG106" i="42" s="1"/>
  <c r="K106" i="42"/>
  <c r="L110" i="42"/>
  <c r="L112" i="42" s="1"/>
  <c r="N56" i="42"/>
  <c r="AD56" i="42"/>
  <c r="V76" i="42"/>
  <c r="V78" i="42" s="1"/>
  <c r="AL76" i="42"/>
  <c r="R78" i="42"/>
  <c r="AH78" i="42"/>
  <c r="AR102" i="42"/>
  <c r="AH104" i="42"/>
  <c r="AH106" i="42" s="1"/>
  <c r="L106" i="42"/>
  <c r="V110" i="42"/>
  <c r="V112" i="42" s="1"/>
  <c r="AJ117" i="42"/>
  <c r="AJ119" i="42" s="1"/>
  <c r="T117" i="42"/>
  <c r="T119" i="42" s="1"/>
  <c r="AI117" i="42"/>
  <c r="AI119" i="42" s="1"/>
  <c r="S117" i="42"/>
  <c r="S119" i="42" s="1"/>
  <c r="AH117" i="42"/>
  <c r="R117" i="42"/>
  <c r="AG117" i="42"/>
  <c r="AG119" i="42" s="1"/>
  <c r="Q117" i="42"/>
  <c r="AF117" i="42"/>
  <c r="AF119" i="42" s="1"/>
  <c r="P117" i="42"/>
  <c r="P119" i="42" s="1"/>
  <c r="AE117" i="42"/>
  <c r="AE119" i="42" s="1"/>
  <c r="O117" i="42"/>
  <c r="O119" i="42" s="1"/>
  <c r="AD117" i="42"/>
  <c r="AD119" i="42" s="1"/>
  <c r="N117" i="42"/>
  <c r="N119" i="42" s="1"/>
  <c r="AC117" i="42"/>
  <c r="AC119" i="42" s="1"/>
  <c r="M117" i="42"/>
  <c r="M119" i="42" s="1"/>
  <c r="AM119" i="42"/>
  <c r="AB117" i="42"/>
  <c r="AB119" i="42" s="1"/>
  <c r="L117" i="42"/>
  <c r="L119" i="42" s="1"/>
  <c r="AL119" i="42"/>
  <c r="V119" i="42"/>
  <c r="AQ117" i="42"/>
  <c r="AQ119" i="42" s="1"/>
  <c r="AA117" i="42"/>
  <c r="AA119" i="42" s="1"/>
  <c r="K117" i="42"/>
  <c r="K119" i="42" s="1"/>
  <c r="U119" i="42"/>
  <c r="AP117" i="42"/>
  <c r="AP119" i="42" s="1"/>
  <c r="Z117" i="42"/>
  <c r="Z119" i="42" s="1"/>
  <c r="J117" i="42"/>
  <c r="J119" i="42" s="1"/>
  <c r="AO117" i="42"/>
  <c r="AO119" i="42" s="1"/>
  <c r="Y117" i="42"/>
  <c r="Y119" i="42" s="1"/>
  <c r="I117" i="42"/>
  <c r="I119" i="42" s="1"/>
  <c r="AN117" i="42"/>
  <c r="AN119" i="42" s="1"/>
  <c r="X117" i="42"/>
  <c r="X119" i="42" s="1"/>
  <c r="H117" i="42"/>
  <c r="H119" i="42" s="1"/>
  <c r="AH119" i="42"/>
  <c r="R119" i="42"/>
  <c r="AM117" i="42"/>
  <c r="W117" i="42"/>
  <c r="W119" i="42" s="1"/>
  <c r="AK117" i="42"/>
  <c r="AK119" i="42" s="1"/>
  <c r="T54" i="42"/>
  <c r="T56" i="42" s="1"/>
  <c r="AJ54" i="42"/>
  <c r="O56" i="42"/>
  <c r="AE56" i="42"/>
  <c r="N63" i="42"/>
  <c r="AD63" i="42"/>
  <c r="R68" i="42"/>
  <c r="R70" i="42" s="1"/>
  <c r="AH68" i="42"/>
  <c r="AH70" i="42" s="1"/>
  <c r="M70" i="42"/>
  <c r="AC70" i="42"/>
  <c r="W76" i="42"/>
  <c r="W78" i="42" s="1"/>
  <c r="AM76" i="42"/>
  <c r="AM78" i="42" s="1"/>
  <c r="S78" i="42"/>
  <c r="AI78" i="42"/>
  <c r="AI104" i="42"/>
  <c r="AI106" i="42" s="1"/>
  <c r="W110" i="42"/>
  <c r="W112" i="42" s="1"/>
  <c r="AW111" i="42"/>
  <c r="AL117" i="42"/>
  <c r="H76" i="42"/>
  <c r="X76" i="42"/>
  <c r="X78" i="42" s="1"/>
  <c r="AN76" i="42"/>
  <c r="M104" i="42"/>
  <c r="M106" i="42" s="1"/>
  <c r="AJ104" i="42"/>
  <c r="AJ106" i="42" s="1"/>
  <c r="N106" i="42"/>
  <c r="X110" i="42"/>
  <c r="X112" i="42" s="1"/>
  <c r="W54" i="42"/>
  <c r="W56" i="42" s="1"/>
  <c r="AM54" i="42"/>
  <c r="AM56" i="42" s="1"/>
  <c r="R56" i="42"/>
  <c r="AH56" i="42"/>
  <c r="V61" i="42"/>
  <c r="V63" i="42" s="1"/>
  <c r="AL61" i="42"/>
  <c r="AL63" i="42" s="1"/>
  <c r="Q63" i="42"/>
  <c r="AG63" i="42"/>
  <c r="U68" i="42"/>
  <c r="U70" i="42" s="1"/>
  <c r="AK68" i="42"/>
  <c r="AK70" i="42" s="1"/>
  <c r="P70" i="42"/>
  <c r="AF70" i="42"/>
  <c r="T75" i="42"/>
  <c r="T77" i="42" s="1"/>
  <c r="AJ75" i="42"/>
  <c r="AJ77" i="42" s="1"/>
  <c r="J76" i="42"/>
  <c r="Z76" i="42"/>
  <c r="Z78" i="42" s="1"/>
  <c r="AP76" i="42"/>
  <c r="AP78" i="42" s="1"/>
  <c r="O77" i="42"/>
  <c r="AE77" i="42"/>
  <c r="AL78" i="42"/>
  <c r="O104" i="42"/>
  <c r="O106" i="42" s="1"/>
  <c r="AR109" i="42"/>
  <c r="Z110" i="42"/>
  <c r="Z112" i="42" s="1"/>
  <c r="H54" i="42"/>
  <c r="X54" i="42"/>
  <c r="X56" i="42" s="1"/>
  <c r="AN54" i="42"/>
  <c r="AN56" i="42" s="1"/>
  <c r="S56" i="42"/>
  <c r="AI56" i="42"/>
  <c r="W61" i="42"/>
  <c r="W63" i="42" s="1"/>
  <c r="AM61" i="42"/>
  <c r="AM63" i="42" s="1"/>
  <c r="R63" i="42"/>
  <c r="AH63" i="42"/>
  <c r="V68" i="42"/>
  <c r="V70" i="42" s="1"/>
  <c r="AL68" i="42"/>
  <c r="AL70" i="42" s="1"/>
  <c r="Q70" i="42"/>
  <c r="AG70" i="42"/>
  <c r="U75" i="42"/>
  <c r="U77" i="42" s="1"/>
  <c r="AK75" i="42"/>
  <c r="AK77" i="42" s="1"/>
  <c r="K76" i="42"/>
  <c r="K78" i="42" s="1"/>
  <c r="AA76" i="42"/>
  <c r="AA78" i="42" s="1"/>
  <c r="AQ76" i="42"/>
  <c r="AQ78" i="42" s="1"/>
  <c r="P77" i="42"/>
  <c r="AF77" i="42"/>
  <c r="O92" i="42"/>
  <c r="P104" i="42"/>
  <c r="P106" i="42" s="1"/>
  <c r="AA110" i="42"/>
  <c r="AA112" i="42" s="1"/>
  <c r="I54" i="42"/>
  <c r="I56" i="42" s="1"/>
  <c r="Y54" i="42"/>
  <c r="Y56" i="42" s="1"/>
  <c r="AO54" i="42"/>
  <c r="AO56" i="42" s="1"/>
  <c r="AJ56" i="42"/>
  <c r="H61" i="42"/>
  <c r="X61" i="42"/>
  <c r="X63" i="42" s="1"/>
  <c r="AN61" i="42"/>
  <c r="AN63" i="42" s="1"/>
  <c r="S63" i="42"/>
  <c r="AI63" i="42"/>
  <c r="W68" i="42"/>
  <c r="W70" i="42" s="1"/>
  <c r="AM68" i="42"/>
  <c r="AM70" i="42" s="1"/>
  <c r="V75" i="42"/>
  <c r="V77" i="42" s="1"/>
  <c r="AL75" i="42"/>
  <c r="AL77" i="42" s="1"/>
  <c r="L76" i="42"/>
  <c r="L78" i="42" s="1"/>
  <c r="AB76" i="42"/>
  <c r="AB78" i="42" s="1"/>
  <c r="Q77" i="42"/>
  <c r="AG77" i="42"/>
  <c r="H78" i="42"/>
  <c r="AN78" i="42"/>
  <c r="AU94" i="42"/>
  <c r="Q104" i="42"/>
  <c r="Q106" i="42" s="1"/>
  <c r="AB110" i="42"/>
  <c r="AB112" i="42" s="1"/>
  <c r="AR116" i="42"/>
  <c r="J54" i="42"/>
  <c r="J56" i="42" s="1"/>
  <c r="Z54" i="42"/>
  <c r="Z56" i="42" s="1"/>
  <c r="AP54" i="42"/>
  <c r="AP56" i="42" s="1"/>
  <c r="U56" i="42"/>
  <c r="AK56" i="42"/>
  <c r="I61" i="42"/>
  <c r="I63" i="42" s="1"/>
  <c r="Y61" i="42"/>
  <c r="Y63" i="42" s="1"/>
  <c r="AO61" i="42"/>
  <c r="AO63" i="42" s="1"/>
  <c r="T63" i="42"/>
  <c r="AJ63" i="42"/>
  <c r="H68" i="42"/>
  <c r="X68" i="42"/>
  <c r="X70" i="42" s="1"/>
  <c r="AN68" i="42"/>
  <c r="AN70" i="42" s="1"/>
  <c r="S70" i="42"/>
  <c r="AI70" i="42"/>
  <c r="W75" i="42"/>
  <c r="W77" i="42" s="1"/>
  <c r="AM75" i="42"/>
  <c r="AM77" i="42" s="1"/>
  <c r="M76" i="42"/>
  <c r="M78" i="42" s="1"/>
  <c r="AC76" i="42"/>
  <c r="AC78" i="42" s="1"/>
  <c r="R77" i="42"/>
  <c r="AH77" i="42"/>
  <c r="I78" i="42"/>
  <c r="Y78" i="42"/>
  <c r="AO78" i="42"/>
  <c r="P90" i="42"/>
  <c r="P92" i="42" s="1"/>
  <c r="AJ90" i="42"/>
  <c r="AJ92" i="42" s="1"/>
  <c r="H103" i="42"/>
  <c r="AE103" i="42"/>
  <c r="R104" i="42"/>
  <c r="R106" i="42" s="1"/>
  <c r="AA106" i="42"/>
  <c r="AL110" i="42"/>
  <c r="AL112" i="42" s="1"/>
  <c r="Q119" i="42"/>
  <c r="K54" i="42"/>
  <c r="K56" i="42" s="1"/>
  <c r="AA54" i="42"/>
  <c r="AA56" i="42" s="1"/>
  <c r="AQ54" i="42"/>
  <c r="AQ56" i="42" s="1"/>
  <c r="V56" i="42"/>
  <c r="J61" i="42"/>
  <c r="J63" i="42" s="1"/>
  <c r="Z61" i="42"/>
  <c r="Z63" i="42" s="1"/>
  <c r="AP61" i="42"/>
  <c r="AP63" i="42" s="1"/>
  <c r="U63" i="42"/>
  <c r="I68" i="42"/>
  <c r="I70" i="42" s="1"/>
  <c r="Y68" i="42"/>
  <c r="Y70" i="42" s="1"/>
  <c r="AO68" i="42"/>
  <c r="AO70" i="42" s="1"/>
  <c r="T70" i="42"/>
  <c r="H75" i="42"/>
  <c r="X75" i="42"/>
  <c r="X77" i="42" s="1"/>
  <c r="AN75" i="42"/>
  <c r="AN77" i="42" s="1"/>
  <c r="N76" i="42"/>
  <c r="N78" i="42" s="1"/>
  <c r="AD76" i="42"/>
  <c r="AD78" i="42" s="1"/>
  <c r="S77" i="42"/>
  <c r="J78" i="42"/>
  <c r="AD90" i="42"/>
  <c r="AD92" i="42" s="1"/>
  <c r="N90" i="42"/>
  <c r="N92" i="42" s="1"/>
  <c r="AO92" i="42"/>
  <c r="Y92" i="42"/>
  <c r="I92" i="42"/>
  <c r="AC90" i="42"/>
  <c r="AC92" i="42" s="1"/>
  <c r="M90" i="42"/>
  <c r="M92" i="42" s="1"/>
  <c r="AN92" i="42"/>
  <c r="X92" i="42"/>
  <c r="H92" i="42"/>
  <c r="AB90" i="42"/>
  <c r="AB92" i="42" s="1"/>
  <c r="L90" i="42"/>
  <c r="L92" i="42" s="1"/>
  <c r="AM92" i="42"/>
  <c r="W92" i="42"/>
  <c r="AL92" i="42"/>
  <c r="V92" i="42"/>
  <c r="AP90" i="42"/>
  <c r="AP92" i="42" s="1"/>
  <c r="Z90" i="42"/>
  <c r="Z92" i="42" s="1"/>
  <c r="J90" i="42"/>
  <c r="J92" i="42" s="1"/>
  <c r="Q90" i="42"/>
  <c r="Q92" i="42" s="1"/>
  <c r="AK90" i="42"/>
  <c r="AK92" i="42" s="1"/>
  <c r="R92" i="42"/>
  <c r="AL103" i="42"/>
  <c r="AL105" i="42" s="1"/>
  <c r="V103" i="42"/>
  <c r="V105" i="42" s="1"/>
  <c r="AK103" i="42"/>
  <c r="AK105" i="42" s="1"/>
  <c r="U103" i="42"/>
  <c r="U105" i="42" s="1"/>
  <c r="AE105" i="42"/>
  <c r="O105" i="42"/>
  <c r="AJ103" i="42"/>
  <c r="AJ105" i="42" s="1"/>
  <c r="T103" i="42"/>
  <c r="T105" i="42" s="1"/>
  <c r="AD105" i="42"/>
  <c r="N105" i="42"/>
  <c r="AI103" i="42"/>
  <c r="AI105" i="42" s="1"/>
  <c r="S103" i="42"/>
  <c r="S105" i="42" s="1"/>
  <c r="AC105" i="42"/>
  <c r="M105" i="42"/>
  <c r="AH103" i="42"/>
  <c r="AH105" i="42" s="1"/>
  <c r="R103" i="42"/>
  <c r="R105" i="42" s="1"/>
  <c r="AB105" i="42"/>
  <c r="L105" i="42"/>
  <c r="AG103" i="42"/>
  <c r="AG105" i="42" s="1"/>
  <c r="Q103" i="42"/>
  <c r="Q105" i="42" s="1"/>
  <c r="AQ105" i="42"/>
  <c r="AA105" i="42"/>
  <c r="K105" i="42"/>
  <c r="AF103" i="42"/>
  <c r="AF105" i="42" s="1"/>
  <c r="P103" i="42"/>
  <c r="AP105" i="42"/>
  <c r="Z105" i="42"/>
  <c r="J105" i="42"/>
  <c r="I103" i="42"/>
  <c r="I105" i="42" s="1"/>
  <c r="AM103" i="42"/>
  <c r="AM105" i="42" s="1"/>
  <c r="S104" i="42"/>
  <c r="S106" i="42" s="1"/>
  <c r="AB106" i="42"/>
  <c r="AM110" i="42"/>
  <c r="AM112" i="42" s="1"/>
  <c r="AI134" i="42"/>
  <c r="AW133" i="42"/>
  <c r="AW134" i="42"/>
  <c r="W131" i="42"/>
  <c r="W133" i="42" s="1"/>
  <c r="AP131" i="42"/>
  <c r="AP133" i="42" s="1"/>
  <c r="W124" i="42"/>
  <c r="AM124" i="42"/>
  <c r="AI131" i="42"/>
  <c r="AH131" i="42"/>
  <c r="V133" i="42"/>
  <c r="AQ131" i="42"/>
  <c r="AQ133" i="42" s="1"/>
  <c r="AA131" i="42"/>
  <c r="AA133" i="42" s="1"/>
  <c r="K131" i="42"/>
  <c r="U133" i="42"/>
  <c r="X131" i="42"/>
  <c r="X133" i="42" s="1"/>
  <c r="H124" i="42"/>
  <c r="H126" i="42" s="1"/>
  <c r="X124" i="42"/>
  <c r="X126" i="42" s="1"/>
  <c r="AN124" i="42"/>
  <c r="AN126" i="42" s="1"/>
  <c r="H131" i="42"/>
  <c r="H133" i="42" s="1"/>
  <c r="Y131" i="42"/>
  <c r="Y133" i="42" s="1"/>
  <c r="AH138" i="42"/>
  <c r="AH140" i="42" s="1"/>
  <c r="R138" i="42"/>
  <c r="R140" i="42" s="1"/>
  <c r="L140" i="42"/>
  <c r="AG138" i="42"/>
  <c r="AG140" i="42" s="1"/>
  <c r="Q138" i="42"/>
  <c r="K140" i="42"/>
  <c r="AF138" i="42"/>
  <c r="AF140" i="42" s="1"/>
  <c r="P138" i="42"/>
  <c r="P140" i="42" s="1"/>
  <c r="AP140" i="42"/>
  <c r="J140" i="42"/>
  <c r="AN140" i="42"/>
  <c r="H140" i="42"/>
  <c r="AC138" i="42"/>
  <c r="AC140" i="42" s="1"/>
  <c r="M138" i="42"/>
  <c r="M140" i="42" s="1"/>
  <c r="AQ138" i="42"/>
  <c r="AQ140" i="42" s="1"/>
  <c r="AA138" i="42"/>
  <c r="AA140" i="42" s="1"/>
  <c r="K138" i="42"/>
  <c r="AP138" i="42"/>
  <c r="Z138" i="42"/>
  <c r="Z140" i="42" s="1"/>
  <c r="J138" i="42"/>
  <c r="AO138" i="42"/>
  <c r="AO140" i="42" s="1"/>
  <c r="Y138" i="42"/>
  <c r="Y140" i="42" s="1"/>
  <c r="I138" i="42"/>
  <c r="Q140" i="42"/>
  <c r="AL138" i="42"/>
  <c r="AL140" i="42" s="1"/>
  <c r="V138" i="42"/>
  <c r="V140" i="42" s="1"/>
  <c r="AK138" i="42"/>
  <c r="AK140" i="42" s="1"/>
  <c r="U138" i="42"/>
  <c r="U140" i="42" s="1"/>
  <c r="O140" i="42"/>
  <c r="N138" i="42"/>
  <c r="N140" i="42" s="1"/>
  <c r="I124" i="42"/>
  <c r="I126" i="42" s="1"/>
  <c r="Y124" i="42"/>
  <c r="Y126" i="42" s="1"/>
  <c r="AO124" i="42"/>
  <c r="AW125" i="42"/>
  <c r="T126" i="42"/>
  <c r="AJ126" i="42"/>
  <c r="I131" i="42"/>
  <c r="I133" i="42" s="1"/>
  <c r="Z131" i="42"/>
  <c r="Z133" i="42" s="1"/>
  <c r="AW132" i="42"/>
  <c r="AU122" i="42"/>
  <c r="J124" i="42"/>
  <c r="J126" i="42" s="1"/>
  <c r="Z124" i="42"/>
  <c r="Z126" i="42" s="1"/>
  <c r="AP124" i="42"/>
  <c r="U126" i="42"/>
  <c r="AK126" i="42"/>
  <c r="J131" i="42"/>
  <c r="J133" i="42" s="1"/>
  <c r="AB131" i="42"/>
  <c r="AB133" i="42" s="1"/>
  <c r="AW131" i="42"/>
  <c r="S138" i="42"/>
  <c r="S140" i="42" s="1"/>
  <c r="AI111" i="42"/>
  <c r="AI113" i="42" s="1"/>
  <c r="O113" i="42"/>
  <c r="AE113" i="42"/>
  <c r="N120" i="42"/>
  <c r="AD120" i="42"/>
  <c r="K124" i="42"/>
  <c r="K126" i="42" s="1"/>
  <c r="AA124" i="42"/>
  <c r="AA126" i="42" s="1"/>
  <c r="AQ124" i="42"/>
  <c r="AQ126" i="42" s="1"/>
  <c r="E126" i="42"/>
  <c r="V126" i="42"/>
  <c r="AL126" i="42"/>
  <c r="L131" i="42"/>
  <c r="AC131" i="42"/>
  <c r="AC133" i="42" s="1"/>
  <c r="T138" i="42"/>
  <c r="T140" i="42" s="1"/>
  <c r="T111" i="42"/>
  <c r="AJ111" i="42"/>
  <c r="P113" i="42"/>
  <c r="AF113" i="42"/>
  <c r="S118" i="42"/>
  <c r="AI118" i="42"/>
  <c r="AI120" i="42" s="1"/>
  <c r="O120" i="42"/>
  <c r="AE120" i="42"/>
  <c r="L124" i="42"/>
  <c r="L126" i="42" s="1"/>
  <c r="AB124" i="42"/>
  <c r="W126" i="42"/>
  <c r="AM126" i="42"/>
  <c r="M131" i="42"/>
  <c r="M133" i="42" s="1"/>
  <c r="AD131" i="42"/>
  <c r="AD133" i="42" s="1"/>
  <c r="W138" i="42"/>
  <c r="W140" i="42" s="1"/>
  <c r="AW140" i="42"/>
  <c r="U111" i="42"/>
  <c r="AK111" i="42"/>
  <c r="AK113" i="42" s="1"/>
  <c r="Q113" i="42"/>
  <c r="AG113" i="42"/>
  <c r="T118" i="42"/>
  <c r="AJ118" i="42"/>
  <c r="AJ120" i="42" s="1"/>
  <c r="P120" i="42"/>
  <c r="AF120" i="42"/>
  <c r="M124" i="42"/>
  <c r="AC124" i="42"/>
  <c r="AC126" i="42" s="1"/>
  <c r="N131" i="42"/>
  <c r="N133" i="42" s="1"/>
  <c r="AE131" i="42"/>
  <c r="AE133" i="42" s="1"/>
  <c r="AH133" i="42"/>
  <c r="AN139" i="42"/>
  <c r="AN141" i="42" s="1"/>
  <c r="X139" i="42"/>
  <c r="X141" i="42" s="1"/>
  <c r="H139" i="42"/>
  <c r="AM139" i="42"/>
  <c r="AM141" i="42" s="1"/>
  <c r="W139" i="42"/>
  <c r="W141" i="42" s="1"/>
  <c r="AL139" i="42"/>
  <c r="AL141" i="42" s="1"/>
  <c r="V139" i="42"/>
  <c r="V141" i="42" s="1"/>
  <c r="Q141" i="42"/>
  <c r="AK139" i="42"/>
  <c r="U139" i="42"/>
  <c r="AJ139" i="42"/>
  <c r="AJ141" i="42" s="1"/>
  <c r="AI139" i="42"/>
  <c r="AI141" i="42" s="1"/>
  <c r="S139" i="42"/>
  <c r="S141" i="42" s="1"/>
  <c r="N141" i="42"/>
  <c r="AH139" i="42"/>
  <c r="AH141" i="42" s="1"/>
  <c r="M141" i="42"/>
  <c r="AG139" i="42"/>
  <c r="AG141" i="42" s="1"/>
  <c r="Q139" i="42"/>
  <c r="AF139" i="42"/>
  <c r="AF141" i="42" s="1"/>
  <c r="P139" i="42"/>
  <c r="P141" i="42" s="1"/>
  <c r="AE139" i="42"/>
  <c r="AE141" i="42" s="1"/>
  <c r="O139" i="42"/>
  <c r="O141" i="42" s="1"/>
  <c r="AB139" i="42"/>
  <c r="AB141" i="42" s="1"/>
  <c r="L139" i="42"/>
  <c r="L141" i="42" s="1"/>
  <c r="AQ139" i="42"/>
  <c r="AQ141" i="42" s="1"/>
  <c r="AA139" i="42"/>
  <c r="AA141" i="42" s="1"/>
  <c r="K139" i="42"/>
  <c r="K141" i="42" s="1"/>
  <c r="AP139" i="42"/>
  <c r="AP141" i="42" s="1"/>
  <c r="Z139" i="42"/>
  <c r="AK141" i="42"/>
  <c r="X138" i="42"/>
  <c r="X140" i="42" s="1"/>
  <c r="R139" i="42"/>
  <c r="R141" i="42" s="1"/>
  <c r="V111" i="42"/>
  <c r="V113" i="42" s="1"/>
  <c r="AL111" i="42"/>
  <c r="R113" i="42"/>
  <c r="AH113" i="42"/>
  <c r="U118" i="42"/>
  <c r="U120" i="42" s="1"/>
  <c r="AK118" i="42"/>
  <c r="AK120" i="42" s="1"/>
  <c r="Q120" i="42"/>
  <c r="AG120" i="42"/>
  <c r="N124" i="42"/>
  <c r="N126" i="42" s="1"/>
  <c r="AD124" i="42"/>
  <c r="AD126" i="42" s="1"/>
  <c r="T125" i="42"/>
  <c r="AJ125" i="42"/>
  <c r="AO126" i="42"/>
  <c r="P127" i="42"/>
  <c r="AF127" i="42"/>
  <c r="U134" i="42"/>
  <c r="AO132" i="42"/>
  <c r="AO134" i="42" s="1"/>
  <c r="Y132" i="42"/>
  <c r="Y134" i="42" s="1"/>
  <c r="I132" i="42"/>
  <c r="I134" i="42" s="1"/>
  <c r="T134" i="42"/>
  <c r="AN132" i="42"/>
  <c r="AN134" i="42" s="1"/>
  <c r="X132" i="42"/>
  <c r="X134" i="42" s="1"/>
  <c r="H132" i="42"/>
  <c r="AD134" i="42"/>
  <c r="AC134" i="42"/>
  <c r="AG132" i="42"/>
  <c r="AG134" i="42" s="1"/>
  <c r="Q132" i="42"/>
  <c r="Q134" i="42" s="1"/>
  <c r="AB132" i="42"/>
  <c r="AB134" i="42" s="1"/>
  <c r="L132" i="42"/>
  <c r="L134" i="42" s="1"/>
  <c r="O131" i="42"/>
  <c r="O133" i="42" s="1"/>
  <c r="AF131" i="42"/>
  <c r="AF133" i="42" s="1"/>
  <c r="K132" i="42"/>
  <c r="K134" i="42" s="1"/>
  <c r="AF132" i="42"/>
  <c r="AF134" i="42" s="1"/>
  <c r="K133" i="42"/>
  <c r="AI133" i="42"/>
  <c r="S134" i="42"/>
  <c r="AU136" i="42"/>
  <c r="AB138" i="42"/>
  <c r="AB140" i="42" s="1"/>
  <c r="T139" i="42"/>
  <c r="T141" i="42" s="1"/>
  <c r="I141" i="42"/>
  <c r="T89" i="42"/>
  <c r="T91" i="42" s="1"/>
  <c r="AJ89" i="42"/>
  <c r="AJ91" i="42" s="1"/>
  <c r="O91" i="42"/>
  <c r="AE91" i="42"/>
  <c r="S96" i="42"/>
  <c r="S98" i="42" s="1"/>
  <c r="AI96" i="42"/>
  <c r="AI98" i="42" s="1"/>
  <c r="N98" i="42"/>
  <c r="AD98" i="42"/>
  <c r="W111" i="42"/>
  <c r="AM111" i="42"/>
  <c r="AM113" i="42" s="1"/>
  <c r="S113" i="42"/>
  <c r="V118" i="42"/>
  <c r="V120" i="42" s="1"/>
  <c r="AL118" i="42"/>
  <c r="AL120" i="42" s="1"/>
  <c r="R120" i="42"/>
  <c r="AH120" i="42"/>
  <c r="O124" i="42"/>
  <c r="O126" i="42" s="1"/>
  <c r="AE124" i="42"/>
  <c r="AE126" i="42" s="1"/>
  <c r="U125" i="42"/>
  <c r="AK125" i="42"/>
  <c r="AK127" i="42" s="1"/>
  <c r="AP126" i="42"/>
  <c r="Q127" i="42"/>
  <c r="AG127" i="42"/>
  <c r="P131" i="42"/>
  <c r="P133" i="42" s="1"/>
  <c r="AG131" i="42"/>
  <c r="AG133" i="42" s="1"/>
  <c r="M132" i="42"/>
  <c r="M134" i="42" s="1"/>
  <c r="AH132" i="42"/>
  <c r="AH134" i="42" s="1"/>
  <c r="L133" i="42"/>
  <c r="V134" i="42"/>
  <c r="AD138" i="42"/>
  <c r="AD140" i="42" s="1"/>
  <c r="Y139" i="42"/>
  <c r="Y141" i="42" s="1"/>
  <c r="J141" i="42"/>
  <c r="H111" i="42"/>
  <c r="X111" i="42"/>
  <c r="X113" i="42" s="1"/>
  <c r="AN111" i="42"/>
  <c r="AN113" i="42" s="1"/>
  <c r="T113" i="42"/>
  <c r="AJ113" i="42"/>
  <c r="W118" i="42"/>
  <c r="W120" i="42" s="1"/>
  <c r="AM118" i="42"/>
  <c r="AM120" i="42" s="1"/>
  <c r="S120" i="42"/>
  <c r="P124" i="42"/>
  <c r="P126" i="42" s="1"/>
  <c r="AF124" i="42"/>
  <c r="AF126" i="42" s="1"/>
  <c r="V125" i="42"/>
  <c r="V127" i="42" s="1"/>
  <c r="AL125" i="42"/>
  <c r="AL127" i="42" s="1"/>
  <c r="R127" i="42"/>
  <c r="AH127" i="42"/>
  <c r="Q131" i="42"/>
  <c r="Q133" i="42" s="1"/>
  <c r="AJ131" i="42"/>
  <c r="AJ133" i="42" s="1"/>
  <c r="N132" i="42"/>
  <c r="N134" i="42" s="1"/>
  <c r="AI132" i="42"/>
  <c r="AN133" i="42"/>
  <c r="W134" i="42"/>
  <c r="AE138" i="42"/>
  <c r="AE140" i="42" s="1"/>
  <c r="AC139" i="42"/>
  <c r="AC141" i="42" s="1"/>
  <c r="U141" i="42"/>
  <c r="V89" i="42"/>
  <c r="V91" i="42" s="1"/>
  <c r="AL89" i="42"/>
  <c r="AL91" i="42" s="1"/>
  <c r="Q91" i="42"/>
  <c r="AG91" i="42"/>
  <c r="U96" i="42"/>
  <c r="U98" i="42" s="1"/>
  <c r="AK96" i="42"/>
  <c r="AK98" i="42" s="1"/>
  <c r="P98" i="42"/>
  <c r="AF98" i="42"/>
  <c r="I111" i="42"/>
  <c r="I113" i="42" s="1"/>
  <c r="Y111" i="42"/>
  <c r="Y113" i="42" s="1"/>
  <c r="AO111" i="42"/>
  <c r="AO113" i="42" s="1"/>
  <c r="U113" i="42"/>
  <c r="H118" i="42"/>
  <c r="X118" i="42"/>
  <c r="X120" i="42" s="1"/>
  <c r="AN118" i="42"/>
  <c r="AN120" i="42" s="1"/>
  <c r="T120" i="42"/>
  <c r="Q124" i="42"/>
  <c r="Q126" i="42" s="1"/>
  <c r="AG124" i="42"/>
  <c r="AG126" i="42" s="1"/>
  <c r="W125" i="42"/>
  <c r="W127" i="42" s="1"/>
  <c r="AM125" i="42"/>
  <c r="AM127" i="42" s="1"/>
  <c r="AB126" i="42"/>
  <c r="S127" i="42"/>
  <c r="AI127" i="42"/>
  <c r="R131" i="42"/>
  <c r="AK131" i="42"/>
  <c r="AK133" i="42" s="1"/>
  <c r="O132" i="42"/>
  <c r="O134" i="42" s="1"/>
  <c r="AJ132" i="42"/>
  <c r="AJ134" i="42" s="1"/>
  <c r="AO133" i="42"/>
  <c r="AI138" i="42"/>
  <c r="AI140" i="42" s="1"/>
  <c r="AD139" i="42"/>
  <c r="AD141" i="42" s="1"/>
  <c r="W89" i="42"/>
  <c r="W91" i="42" s="1"/>
  <c r="AM89" i="42"/>
  <c r="AM91" i="42" s="1"/>
  <c r="R91" i="42"/>
  <c r="AH91" i="42"/>
  <c r="V96" i="42"/>
  <c r="V98" i="42" s="1"/>
  <c r="AL96" i="42"/>
  <c r="AL98" i="42" s="1"/>
  <c r="Q98" i="42"/>
  <c r="AG98" i="42"/>
  <c r="J111" i="42"/>
  <c r="J113" i="42" s="1"/>
  <c r="Z111" i="42"/>
  <c r="Z113" i="42" s="1"/>
  <c r="AP111" i="42"/>
  <c r="AP113" i="42" s="1"/>
  <c r="AL113" i="42"/>
  <c r="I118" i="42"/>
  <c r="I120" i="42" s="1"/>
  <c r="Y118" i="42"/>
  <c r="Y120" i="42" s="1"/>
  <c r="AO118" i="42"/>
  <c r="AO120" i="42" s="1"/>
  <c r="R124" i="42"/>
  <c r="R126" i="42" s="1"/>
  <c r="AH124" i="42"/>
  <c r="AH126" i="42" s="1"/>
  <c r="H125" i="42"/>
  <c r="X125" i="42"/>
  <c r="X127" i="42" s="1"/>
  <c r="AN125" i="42"/>
  <c r="AN127" i="42" s="1"/>
  <c r="M126" i="42"/>
  <c r="T127" i="42"/>
  <c r="AJ127" i="42"/>
  <c r="S131" i="42"/>
  <c r="AL131" i="42"/>
  <c r="AL133" i="42" s="1"/>
  <c r="P132" i="42"/>
  <c r="P134" i="42" s="1"/>
  <c r="AK132" i="42"/>
  <c r="AK134" i="42" s="1"/>
  <c r="R133" i="42"/>
  <c r="Z134" i="42"/>
  <c r="AR137" i="42"/>
  <c r="AJ138" i="42"/>
  <c r="AJ140" i="42" s="1"/>
  <c r="AO139" i="42"/>
  <c r="AO141" i="42" s="1"/>
  <c r="Z141" i="42"/>
  <c r="H89" i="42"/>
  <c r="X89" i="42"/>
  <c r="X91" i="42" s="1"/>
  <c r="AN89" i="42"/>
  <c r="AN91" i="42" s="1"/>
  <c r="S91" i="42"/>
  <c r="W96" i="42"/>
  <c r="W98" i="42" s="1"/>
  <c r="AM96" i="42"/>
  <c r="AM98" i="42" s="1"/>
  <c r="R98" i="42"/>
  <c r="K111" i="42"/>
  <c r="K113" i="42" s="1"/>
  <c r="AA111" i="42"/>
  <c r="AA113" i="42" s="1"/>
  <c r="AQ111" i="42"/>
  <c r="AQ113" i="42" s="1"/>
  <c r="W113" i="42"/>
  <c r="J118" i="42"/>
  <c r="J120" i="42" s="1"/>
  <c r="Z118" i="42"/>
  <c r="Z120" i="42" s="1"/>
  <c r="AP118" i="42"/>
  <c r="AP120" i="42" s="1"/>
  <c r="S124" i="42"/>
  <c r="S126" i="42" s="1"/>
  <c r="AI124" i="42"/>
  <c r="AI126" i="42" s="1"/>
  <c r="I125" i="42"/>
  <c r="I127" i="42" s="1"/>
  <c r="Y125" i="42"/>
  <c r="Y127" i="42" s="1"/>
  <c r="AO125" i="42"/>
  <c r="AO127" i="42" s="1"/>
  <c r="U127" i="42"/>
  <c r="T131" i="42"/>
  <c r="T133" i="42" s="1"/>
  <c r="AM131" i="42"/>
  <c r="AM133" i="42" s="1"/>
  <c r="R132" i="42"/>
  <c r="R134" i="42" s="1"/>
  <c r="AL132" i="42"/>
  <c r="AL134" i="42" s="1"/>
  <c r="S133" i="42"/>
  <c r="AA134" i="42"/>
  <c r="AM138" i="42"/>
  <c r="AM140" i="42" s="1"/>
  <c r="R145" i="42"/>
  <c r="AH145" i="42"/>
  <c r="H146" i="42"/>
  <c r="H148" i="42" s="1"/>
  <c r="S145" i="42"/>
  <c r="AI145" i="42"/>
  <c r="AI147" i="42" s="1"/>
  <c r="I146" i="42"/>
  <c r="I148" i="42" s="1"/>
  <c r="Y146" i="42"/>
  <c r="Y148" i="42" s="1"/>
  <c r="AO146" i="42"/>
  <c r="AO148" i="42" s="1"/>
  <c r="T145" i="42"/>
  <c r="T147" i="42" s="1"/>
  <c r="AJ145" i="42"/>
  <c r="AJ147" i="42" s="1"/>
  <c r="J146" i="42"/>
  <c r="Z146" i="42"/>
  <c r="Z148" i="42" s="1"/>
  <c r="AP146" i="42"/>
  <c r="AP148" i="42" s="1"/>
  <c r="S152" i="42"/>
  <c r="S154" i="42" s="1"/>
  <c r="AI152" i="42"/>
  <c r="AI154" i="42" s="1"/>
  <c r="I153" i="42"/>
  <c r="Y153" i="42"/>
  <c r="Y155" i="42" s="1"/>
  <c r="AO153" i="42"/>
  <c r="AO155" i="42" s="1"/>
  <c r="U145" i="42"/>
  <c r="AK145" i="42"/>
  <c r="K146" i="42"/>
  <c r="AA146" i="42"/>
  <c r="AA148" i="42" s="1"/>
  <c r="AQ146" i="42"/>
  <c r="AQ148" i="42" s="1"/>
  <c r="T152" i="42"/>
  <c r="T154" i="42" s="1"/>
  <c r="AJ152" i="42"/>
  <c r="AJ154" i="42" s="1"/>
  <c r="J153" i="42"/>
  <c r="J155" i="42" s="1"/>
  <c r="Z153" i="42"/>
  <c r="Z155" i="42" s="1"/>
  <c r="AP153" i="42"/>
  <c r="V145" i="42"/>
  <c r="V147" i="42" s="1"/>
  <c r="AL145" i="42"/>
  <c r="AL147" i="42" s="1"/>
  <c r="X148" i="42"/>
  <c r="AN148" i="42"/>
  <c r="W145" i="42"/>
  <c r="W147" i="42" s="1"/>
  <c r="AM145" i="42"/>
  <c r="M146" i="42"/>
  <c r="M148" i="42" s="1"/>
  <c r="R147" i="42"/>
  <c r="AH147" i="42"/>
  <c r="V152" i="42"/>
  <c r="V154" i="42" s="1"/>
  <c r="AL152" i="42"/>
  <c r="AL154" i="42" s="1"/>
  <c r="L153" i="42"/>
  <c r="L155" i="42" s="1"/>
  <c r="AB153" i="42"/>
  <c r="AB155" i="42" s="1"/>
  <c r="Q154" i="42"/>
  <c r="AG154" i="42"/>
  <c r="H155" i="42"/>
  <c r="X155" i="42"/>
  <c r="AN155" i="42"/>
  <c r="AW139" i="42"/>
  <c r="H145" i="42"/>
  <c r="H147" i="42" s="1"/>
  <c r="X145" i="42"/>
  <c r="X147" i="42" s="1"/>
  <c r="AN145" i="42"/>
  <c r="AN147" i="42" s="1"/>
  <c r="N146" i="42"/>
  <c r="N148" i="42" s="1"/>
  <c r="AD146" i="42"/>
  <c r="AD148" i="42" s="1"/>
  <c r="S147" i="42"/>
  <c r="J148" i="42"/>
  <c r="W152" i="42"/>
  <c r="W154" i="42" s="1"/>
  <c r="AM152" i="42"/>
  <c r="M153" i="42"/>
  <c r="M155" i="42" s="1"/>
  <c r="AC153" i="42"/>
  <c r="R154" i="42"/>
  <c r="AH154" i="42"/>
  <c r="I145" i="42"/>
  <c r="Y145" i="42"/>
  <c r="Y147" i="42" s="1"/>
  <c r="AO145" i="42"/>
  <c r="AO147" i="42" s="1"/>
  <c r="O146" i="42"/>
  <c r="O148" i="42" s="1"/>
  <c r="AE146" i="42"/>
  <c r="AE148" i="42" s="1"/>
  <c r="AW146" i="42"/>
  <c r="K148" i="42"/>
  <c r="H152" i="42"/>
  <c r="X152" i="42"/>
  <c r="AN152" i="42"/>
  <c r="N153" i="42"/>
  <c r="AD153" i="42"/>
  <c r="AD155" i="42" s="1"/>
  <c r="AP155" i="42"/>
  <c r="J145" i="42"/>
  <c r="Z145" i="42"/>
  <c r="Z147" i="42" s="1"/>
  <c r="AP145" i="42"/>
  <c r="P146" i="42"/>
  <c r="P148" i="42" s="1"/>
  <c r="AF146" i="42"/>
  <c r="AF148" i="42" s="1"/>
  <c r="U147" i="42"/>
  <c r="AK147" i="42"/>
  <c r="L148" i="42"/>
  <c r="AB148" i="42"/>
  <c r="I152" i="42"/>
  <c r="I154" i="42" s="1"/>
  <c r="Y152" i="42"/>
  <c r="Y154" i="42" s="1"/>
  <c r="AO152" i="42"/>
  <c r="O153" i="42"/>
  <c r="O155" i="42" s="1"/>
  <c r="AE153" i="42"/>
  <c r="AE155" i="42" s="1"/>
  <c r="AW153" i="42"/>
  <c r="K155" i="42"/>
  <c r="AA155" i="42"/>
  <c r="AQ155" i="42"/>
  <c r="K145" i="42"/>
  <c r="K147" i="42" s="1"/>
  <c r="AA145" i="42"/>
  <c r="AA147" i="42" s="1"/>
  <c r="AQ145" i="42"/>
  <c r="AQ147" i="42" s="1"/>
  <c r="Q146" i="42"/>
  <c r="Q148" i="42" s="1"/>
  <c r="AG146" i="42"/>
  <c r="AG148" i="42" s="1"/>
  <c r="E147" i="42"/>
  <c r="AC148" i="42"/>
  <c r="J152" i="42"/>
  <c r="J154" i="42" s="1"/>
  <c r="Z152" i="42"/>
  <c r="Z154" i="42" s="1"/>
  <c r="AP152" i="42"/>
  <c r="P153" i="42"/>
  <c r="P155" i="42" s="1"/>
  <c r="AF153" i="42"/>
  <c r="U154" i="42"/>
  <c r="AK154" i="42"/>
  <c r="L145" i="42"/>
  <c r="L147" i="42" s="1"/>
  <c r="AB145" i="42"/>
  <c r="AB147" i="42" s="1"/>
  <c r="R146" i="42"/>
  <c r="R148" i="42" s="1"/>
  <c r="AH146" i="42"/>
  <c r="AM147" i="42"/>
  <c r="K152" i="42"/>
  <c r="AA152" i="42"/>
  <c r="AA154" i="42" s="1"/>
  <c r="AQ152" i="42"/>
  <c r="AQ154" i="42" s="1"/>
  <c r="Q153" i="42"/>
  <c r="Q155" i="42" s="1"/>
  <c r="AG153" i="42"/>
  <c r="AG155" i="42" s="1"/>
  <c r="E154" i="42"/>
  <c r="AC155" i="42"/>
  <c r="M145" i="42"/>
  <c r="M147" i="42" s="1"/>
  <c r="AC145" i="42"/>
  <c r="AC147" i="42" s="1"/>
  <c r="S146" i="42"/>
  <c r="S148" i="42" s="1"/>
  <c r="AI146" i="42"/>
  <c r="AI148" i="42" s="1"/>
  <c r="L152" i="42"/>
  <c r="L154" i="42" s="1"/>
  <c r="AB152" i="42"/>
  <c r="AB154" i="42" s="1"/>
  <c r="R153" i="42"/>
  <c r="R155" i="42" s="1"/>
  <c r="AH153" i="42"/>
  <c r="AH155" i="42" s="1"/>
  <c r="AM154" i="42"/>
  <c r="N155" i="42"/>
  <c r="N145" i="42"/>
  <c r="N147" i="42" s="1"/>
  <c r="AD145" i="42"/>
  <c r="AD147" i="42" s="1"/>
  <c r="T146" i="42"/>
  <c r="T148" i="42" s="1"/>
  <c r="AJ146" i="42"/>
  <c r="AJ148" i="42" s="1"/>
  <c r="I147" i="42"/>
  <c r="M152" i="42"/>
  <c r="M154" i="42" s="1"/>
  <c r="AC152" i="42"/>
  <c r="AC154" i="42" s="1"/>
  <c r="S153" i="42"/>
  <c r="S155" i="42" s="1"/>
  <c r="AI153" i="42"/>
  <c r="AI155" i="42" s="1"/>
  <c r="X154" i="42"/>
  <c r="AN154" i="42"/>
  <c r="O145" i="42"/>
  <c r="O147" i="42" s="1"/>
  <c r="AE145" i="42"/>
  <c r="AE147" i="42" s="1"/>
  <c r="U146" i="42"/>
  <c r="U148" i="42" s="1"/>
  <c r="AK146" i="42"/>
  <c r="AK148" i="42" s="1"/>
  <c r="J147" i="42"/>
  <c r="AP147" i="42"/>
  <c r="N152" i="42"/>
  <c r="N154" i="42" s="1"/>
  <c r="AD152" i="42"/>
  <c r="AD154" i="42" s="1"/>
  <c r="T153" i="42"/>
  <c r="T155" i="42" s="1"/>
  <c r="AJ153" i="42"/>
  <c r="AJ155" i="42" s="1"/>
  <c r="AO154" i="42"/>
  <c r="AF155" i="42"/>
  <c r="P145" i="42"/>
  <c r="P147" i="42" s="1"/>
  <c r="AF145" i="42"/>
  <c r="AF147" i="42" s="1"/>
  <c r="V146" i="42"/>
  <c r="V148" i="42" s="1"/>
  <c r="AL146" i="42"/>
  <c r="AL148" i="42" s="1"/>
  <c r="AH148" i="42"/>
  <c r="O152" i="42"/>
  <c r="O154" i="42" s="1"/>
  <c r="AE152" i="42"/>
  <c r="AE154" i="42" s="1"/>
  <c r="U153" i="42"/>
  <c r="U155" i="42" s="1"/>
  <c r="AK153" i="42"/>
  <c r="AK155" i="42" s="1"/>
  <c r="AP154" i="42"/>
  <c r="Q145" i="42"/>
  <c r="Q147" i="42" s="1"/>
  <c r="AG145" i="42"/>
  <c r="AG147" i="42" s="1"/>
  <c r="W146" i="42"/>
  <c r="W148" i="42" s="1"/>
  <c r="AM146" i="42"/>
  <c r="AM148" i="42" s="1"/>
  <c r="P152" i="42"/>
  <c r="P154" i="42" s="1"/>
  <c r="AF152" i="42"/>
  <c r="AF154" i="42" s="1"/>
  <c r="V153" i="42"/>
  <c r="V155" i="42" s="1"/>
  <c r="AL153" i="42"/>
  <c r="AL155" i="42" s="1"/>
  <c r="K154" i="42"/>
  <c r="W1250" i="2"/>
  <c r="W460" i="2"/>
  <c r="W642" i="2"/>
  <c r="W851" i="2"/>
  <c r="W1135" i="2"/>
  <c r="W1148" i="2"/>
  <c r="W1203" i="2"/>
  <c r="W587" i="2"/>
  <c r="W751" i="2"/>
  <c r="W761" i="2"/>
  <c r="W1263" i="2"/>
  <c r="W227" i="2"/>
  <c r="W639" i="2"/>
  <c r="W585" i="2"/>
  <c r="W405" i="2"/>
  <c r="W433" i="2"/>
  <c r="W300" i="2"/>
  <c r="W459" i="2"/>
  <c r="W584" i="2"/>
  <c r="W657" i="2"/>
  <c r="W1057" i="2"/>
  <c r="W1068" i="2"/>
  <c r="W1259" i="2"/>
  <c r="W501" i="2"/>
  <c r="W130" i="2"/>
  <c r="W574" i="2"/>
  <c r="AW89" i="4"/>
  <c r="AW19" i="4"/>
  <c r="AW42" i="4"/>
  <c r="AW69" i="4"/>
  <c r="AW92" i="4"/>
  <c r="AW21" i="4"/>
  <c r="AW47" i="4"/>
  <c r="E126" i="4"/>
  <c r="AW27" i="4"/>
  <c r="AW12" i="4"/>
  <c r="AW82" i="4"/>
  <c r="E14" i="4"/>
  <c r="AW14" i="4" s="1"/>
  <c r="AW62" i="4"/>
  <c r="E63" i="4"/>
  <c r="AW83" i="4"/>
  <c r="G28" i="16"/>
  <c r="H12" i="20"/>
  <c r="H14" i="20" s="1"/>
  <c r="P1" i="16"/>
  <c r="P3" i="16"/>
  <c r="P5" i="16"/>
  <c r="I3" i="17"/>
  <c r="O6" i="17"/>
  <c r="AJ16" i="17"/>
  <c r="F1" i="18"/>
  <c r="H3" i="18"/>
  <c r="I6" i="18"/>
  <c r="R69" i="18"/>
  <c r="P72" i="18"/>
  <c r="H74" i="18"/>
  <c r="R1" i="20"/>
  <c r="AN4" i="15"/>
  <c r="Q1" i="16"/>
  <c r="Q3" i="16"/>
  <c r="Q5" i="16"/>
  <c r="O3" i="17"/>
  <c r="P6" i="17"/>
  <c r="P84" i="17"/>
  <c r="G1" i="18"/>
  <c r="I3" i="18"/>
  <c r="O6" i="18"/>
  <c r="G67" i="18"/>
  <c r="Q72" i="18"/>
  <c r="I74" i="18"/>
  <c r="R1" i="16"/>
  <c r="R3" i="16"/>
  <c r="R5" i="16"/>
  <c r="P3" i="17"/>
  <c r="Q6" i="17"/>
  <c r="H1" i="18"/>
  <c r="O3" i="18"/>
  <c r="P6" i="18"/>
  <c r="O169" i="18"/>
  <c r="O159" i="18" s="1"/>
  <c r="H67" i="18"/>
  <c r="R72" i="18"/>
  <c r="O74" i="18"/>
  <c r="AJ74" i="18" s="1"/>
  <c r="F1" i="17"/>
  <c r="Q3" i="17"/>
  <c r="G4" i="17"/>
  <c r="R6" i="17"/>
  <c r="I1" i="18"/>
  <c r="P3" i="18"/>
  <c r="Q6" i="18"/>
  <c r="I67" i="18"/>
  <c r="G71" i="18"/>
  <c r="P74" i="18"/>
  <c r="G4" i="16"/>
  <c r="G1" i="17"/>
  <c r="R3" i="17"/>
  <c r="H4" i="17"/>
  <c r="O1" i="18"/>
  <c r="Q3" i="18"/>
  <c r="G4" i="18"/>
  <c r="R6" i="18"/>
  <c r="O67" i="18"/>
  <c r="H71" i="18"/>
  <c r="Q74" i="18"/>
  <c r="G82" i="18"/>
  <c r="G83" i="18"/>
  <c r="H4" i="16"/>
  <c r="H1" i="17"/>
  <c r="I4" i="17"/>
  <c r="P1" i="18"/>
  <c r="R3" i="18"/>
  <c r="H4" i="18"/>
  <c r="O167" i="18"/>
  <c r="O157" i="18" s="1"/>
  <c r="P67" i="18"/>
  <c r="I71" i="18"/>
  <c r="R74" i="18"/>
  <c r="H82" i="18"/>
  <c r="H83" i="18"/>
  <c r="M165" i="18"/>
  <c r="G1" i="20"/>
  <c r="N9" i="15"/>
  <c r="I4" i="16"/>
  <c r="G26" i="16"/>
  <c r="G29" i="16" s="1"/>
  <c r="I1" i="17"/>
  <c r="O4" i="17"/>
  <c r="Q1" i="18"/>
  <c r="I4" i="18"/>
  <c r="Q67" i="18"/>
  <c r="O71" i="18"/>
  <c r="G73" i="18"/>
  <c r="I82" i="18"/>
  <c r="I83" i="18"/>
  <c r="I167" i="18" s="1"/>
  <c r="I157" i="18" s="1"/>
  <c r="H1" i="20"/>
  <c r="O4" i="15"/>
  <c r="R9" i="15"/>
  <c r="O4" i="16"/>
  <c r="O1" i="17"/>
  <c r="P4" i="17"/>
  <c r="AJ36" i="17"/>
  <c r="R1" i="18"/>
  <c r="O4" i="18"/>
  <c r="R67" i="18"/>
  <c r="P71" i="18"/>
  <c r="H73" i="18"/>
  <c r="O82" i="18"/>
  <c r="O83" i="18"/>
  <c r="I1" i="20"/>
  <c r="Q4" i="15"/>
  <c r="V9" i="15"/>
  <c r="P4" i="16"/>
  <c r="P1" i="17"/>
  <c r="Q4" i="17"/>
  <c r="I179" i="17"/>
  <c r="I180" i="17" s="1"/>
  <c r="P4" i="18"/>
  <c r="Q71" i="18"/>
  <c r="I73" i="18"/>
  <c r="P82" i="18"/>
  <c r="P83" i="18"/>
  <c r="P167" i="18" s="1"/>
  <c r="P157" i="18" s="1"/>
  <c r="J1" i="20"/>
  <c r="AI4" i="15"/>
  <c r="AL9" i="15"/>
  <c r="Q4" i="16"/>
  <c r="Q1" i="17"/>
  <c r="R4" i="17"/>
  <c r="G37" i="17"/>
  <c r="Q4" i="18"/>
  <c r="R71" i="18"/>
  <c r="O73" i="18"/>
  <c r="Q82" i="18"/>
  <c r="Q167" i="18" s="1"/>
  <c r="Q157" i="18" s="1"/>
  <c r="Q83" i="18"/>
  <c r="Q169" i="18" s="1"/>
  <c r="Q159" i="18" s="1"/>
  <c r="K1" i="20"/>
  <c r="AL4" i="15"/>
  <c r="AN9" i="15"/>
  <c r="R4" i="16"/>
  <c r="R1" i="17"/>
  <c r="R4" i="18"/>
  <c r="G69" i="18"/>
  <c r="AJ69" i="18" s="1"/>
  <c r="P73" i="18"/>
  <c r="R82" i="18"/>
  <c r="R83" i="18"/>
  <c r="R169" i="18" s="1"/>
  <c r="R159" i="18" s="1"/>
  <c r="L1" i="20"/>
  <c r="BC4" i="15"/>
  <c r="AP9" i="15"/>
  <c r="H69" i="18"/>
  <c r="Q73" i="18"/>
  <c r="AJ73" i="18" s="1"/>
  <c r="M1" i="20"/>
  <c r="G1" i="16"/>
  <c r="G3" i="16"/>
  <c r="G5" i="16"/>
  <c r="R167" i="17"/>
  <c r="R169" i="17" s="1"/>
  <c r="I69" i="18"/>
  <c r="G72" i="18"/>
  <c r="AJ72" i="18" s="1"/>
  <c r="R73" i="18"/>
  <c r="N1" i="20"/>
  <c r="H1" i="16"/>
  <c r="H3" i="16"/>
  <c r="H5" i="16"/>
  <c r="G6" i="17"/>
  <c r="O69" i="18"/>
  <c r="H72" i="18"/>
  <c r="O1" i="20"/>
  <c r="I1" i="16"/>
  <c r="I3" i="16"/>
  <c r="I5" i="16"/>
  <c r="G3" i="17"/>
  <c r="H6" i="17"/>
  <c r="G6" i="18"/>
  <c r="G58" i="18" s="1"/>
  <c r="P69" i="18"/>
  <c r="I72" i="18"/>
  <c r="P1" i="20"/>
  <c r="AN13" i="15"/>
  <c r="AN10" i="15" s="1"/>
  <c r="O1" i="16"/>
  <c r="O3" i="16"/>
  <c r="O5" i="16"/>
  <c r="H3" i="17"/>
  <c r="I6" i="17"/>
  <c r="H6" i="18"/>
  <c r="Q69" i="18"/>
  <c r="O72" i="18"/>
  <c r="G74" i="18"/>
  <c r="Q1" i="20"/>
  <c r="D23" i="39"/>
  <c r="E23" i="39"/>
  <c r="E26" i="39" s="1"/>
  <c r="H23" i="39"/>
  <c r="K18" i="40"/>
  <c r="C23" i="39"/>
  <c r="C26" i="39" s="1"/>
  <c r="AE56" i="2"/>
  <c r="AB56" i="2" s="1"/>
  <c r="H40" i="40"/>
  <c r="F36" i="40"/>
  <c r="G40" i="40"/>
  <c r="E36" i="40"/>
  <c r="F40" i="40"/>
  <c r="D36" i="40"/>
  <c r="E40" i="40"/>
  <c r="D40" i="40"/>
  <c r="C40" i="40"/>
  <c r="L36" i="40"/>
  <c r="K36" i="40"/>
  <c r="L40" i="40"/>
  <c r="J36" i="40"/>
  <c r="K40" i="40"/>
  <c r="I36" i="40"/>
  <c r="J40" i="40"/>
  <c r="H36" i="40"/>
  <c r="I40" i="40"/>
  <c r="G36" i="40"/>
  <c r="W447" i="2"/>
  <c r="W883" i="2"/>
  <c r="AA48" i="2" a="1"/>
  <c r="AA48" i="2" s="1"/>
  <c r="O50" i="2" a="1"/>
  <c r="O50" i="2" s="1"/>
  <c r="S50" i="2" s="1"/>
  <c r="P54" i="2" a="1"/>
  <c r="P54" i="2" s="1"/>
  <c r="W60" i="2"/>
  <c r="W168" i="2"/>
  <c r="W213" i="2"/>
  <c r="W559" i="2"/>
  <c r="W606" i="2"/>
  <c r="W846" i="2"/>
  <c r="W859" i="2"/>
  <c r="W877" i="2"/>
  <c r="W995" i="2"/>
  <c r="U1118" i="2"/>
  <c r="U34" i="2" s="1"/>
  <c r="W1164" i="2"/>
  <c r="W1206" i="2"/>
  <c r="W1238" i="2"/>
  <c r="W891" i="2"/>
  <c r="O45" i="2" a="1"/>
  <c r="O45" i="2" s="1"/>
  <c r="C39" i="4" s="1"/>
  <c r="W69" i="2"/>
  <c r="W80" i="2"/>
  <c r="Z87" i="2" a="1"/>
  <c r="Z87" i="2" s="1"/>
  <c r="W128" i="2"/>
  <c r="W209" i="2"/>
  <c r="W246" i="2"/>
  <c r="W314" i="2"/>
  <c r="W316" i="2"/>
  <c r="W322" i="2"/>
  <c r="W378" i="2"/>
  <c r="W413" i="2"/>
  <c r="W526" i="2"/>
  <c r="W595" i="2"/>
  <c r="W836" i="2"/>
  <c r="W838" i="2"/>
  <c r="W840" i="2"/>
  <c r="W842" i="2"/>
  <c r="W862" i="2"/>
  <c r="W875" i="2"/>
  <c r="W880" i="2"/>
  <c r="W908" i="2"/>
  <c r="W1022" i="2"/>
  <c r="W1169" i="2"/>
  <c r="W1213" i="2"/>
  <c r="W1234" i="2"/>
  <c r="P45" i="2" a="1"/>
  <c r="P45" i="2" s="1"/>
  <c r="T45" i="2" s="1"/>
  <c r="W52" i="2"/>
  <c r="O54" i="2" a="1"/>
  <c r="O54" i="2" s="1"/>
  <c r="W211" i="2"/>
  <c r="W236" i="2"/>
  <c r="W281" i="2"/>
  <c r="W306" i="2"/>
  <c r="W342" i="2"/>
  <c r="W408" i="2"/>
  <c r="W420" i="2"/>
  <c r="W511" i="2"/>
  <c r="W591" i="2"/>
  <c r="W648" i="2"/>
  <c r="W753" i="2"/>
  <c r="W760" i="2"/>
  <c r="W857" i="2"/>
  <c r="W944" i="2"/>
  <c r="W969" i="2"/>
  <c r="W1003" i="2"/>
  <c r="W482" i="2"/>
  <c r="AA52" i="2" a="1"/>
  <c r="AA52" i="2" s="1"/>
  <c r="W82" i="2"/>
  <c r="P88" i="2" a="1"/>
  <c r="P88" i="2" s="1"/>
  <c r="T88" i="2" s="1"/>
  <c r="W176" i="2"/>
  <c r="W217" i="2"/>
  <c r="W370" i="2"/>
  <c r="W390" i="2"/>
  <c r="W401" i="2"/>
  <c r="W507" i="2"/>
  <c r="W581" i="2"/>
  <c r="W784" i="2"/>
  <c r="W872" i="2"/>
  <c r="W1032" i="2"/>
  <c r="W1042" i="2"/>
  <c r="W1147" i="2"/>
  <c r="W1154" i="2"/>
  <c r="W1166" i="2"/>
  <c r="W394" i="2"/>
  <c r="W479" i="2"/>
  <c r="AA50" i="2" a="1"/>
  <c r="AA50" i="2" s="1"/>
  <c r="Z54" i="2" a="1"/>
  <c r="Z54" i="2" s="1"/>
  <c r="O63" i="2" a="1"/>
  <c r="O63" i="2" s="1"/>
  <c r="W84" i="2"/>
  <c r="W147" i="2"/>
  <c r="W254" i="2"/>
  <c r="W284" i="2"/>
  <c r="W308" i="2"/>
  <c r="W321" i="2"/>
  <c r="W589" i="2"/>
  <c r="W616" i="2"/>
  <c r="W757" i="2"/>
  <c r="W884" i="2"/>
  <c r="W936" i="2"/>
  <c r="W1103" i="2"/>
  <c r="W1106" i="2"/>
  <c r="W1204" i="2"/>
  <c r="W1251" i="2"/>
  <c r="W157" i="2"/>
  <c r="W185" i="2"/>
  <c r="W219" i="2"/>
  <c r="W223" i="2"/>
  <c r="W523" i="2"/>
  <c r="W896" i="2"/>
  <c r="W922" i="2"/>
  <c r="K17" i="40"/>
  <c r="W338" i="2"/>
  <c r="W380" i="2"/>
  <c r="W512" i="2"/>
  <c r="W598" i="2"/>
  <c r="W767" i="2"/>
  <c r="W820" i="2"/>
  <c r="W992" i="2"/>
  <c r="W1015" i="2"/>
  <c r="W1054" i="2"/>
  <c r="W1235" i="2"/>
  <c r="D26" i="40"/>
  <c r="M58" i="40" s="1"/>
  <c r="D76" i="40"/>
  <c r="W166" i="2"/>
  <c r="W229" i="2"/>
  <c r="W294" i="2"/>
  <c r="U351" i="2"/>
  <c r="U23" i="2" s="1"/>
  <c r="W674" i="2"/>
  <c r="P46" i="2" a="1"/>
  <c r="P46" i="2" s="1"/>
  <c r="P56" i="2" a="1"/>
  <c r="P56" i="2" s="1"/>
  <c r="T56" i="2" s="1"/>
  <c r="P68" i="2" a="1"/>
  <c r="P68" i="2" s="1"/>
  <c r="P90" i="2" a="1"/>
  <c r="P90" i="2" s="1"/>
  <c r="W285" i="2"/>
  <c r="W305" i="2"/>
  <c r="W345" i="2"/>
  <c r="W349" i="2"/>
  <c r="W353" i="2"/>
  <c r="W469" i="2"/>
  <c r="W601" i="2"/>
  <c r="W727" i="2"/>
  <c r="W874" i="2"/>
  <c r="W984" i="2"/>
  <c r="W996" i="2"/>
  <c r="W1051" i="2"/>
  <c r="W1220" i="2"/>
  <c r="W158" i="2"/>
  <c r="W171" i="2"/>
  <c r="W45" i="2"/>
  <c r="P48" i="2" a="1"/>
  <c r="P48" i="2" s="1"/>
  <c r="W53" i="2"/>
  <c r="P55" i="2" a="1"/>
  <c r="P55" i="2" s="1"/>
  <c r="T55" i="2" s="1"/>
  <c r="O73" i="2" a="1"/>
  <c r="O73" i="2" s="1"/>
  <c r="W138" i="2"/>
  <c r="W235" i="2"/>
  <c r="W245" i="2"/>
  <c r="W249" i="2"/>
  <c r="W315" i="2"/>
  <c r="W319" i="2"/>
  <c r="W371" i="2"/>
  <c r="W375" i="2"/>
  <c r="W398" i="2"/>
  <c r="W407" i="2"/>
  <c r="W603" i="2"/>
  <c r="W605" i="2"/>
  <c r="W756" i="2"/>
  <c r="W768" i="2"/>
  <c r="W837" i="2"/>
  <c r="W839" i="2"/>
  <c r="W841" i="2"/>
  <c r="W856" i="2"/>
  <c r="W892" i="2"/>
  <c r="W1056" i="2"/>
  <c r="W1233" i="2"/>
  <c r="W344" i="2"/>
  <c r="W1110" i="2"/>
  <c r="W48" i="2"/>
  <c r="AA49" i="2" a="1"/>
  <c r="AA49" i="2" s="1"/>
  <c r="Z51" i="2" a="1"/>
  <c r="Z51" i="2" s="1"/>
  <c r="AA53" i="2" a="1"/>
  <c r="AA53" i="2" s="1"/>
  <c r="W96" i="2"/>
  <c r="W143" i="2"/>
  <c r="W146" i="2"/>
  <c r="W179" i="2"/>
  <c r="W208" i="2"/>
  <c r="W214" i="2"/>
  <c r="W251" i="2"/>
  <c r="W283" i="2"/>
  <c r="W427" i="2"/>
  <c r="W560" i="2"/>
  <c r="W582" i="2"/>
  <c r="W759" i="2"/>
  <c r="W899" i="2"/>
  <c r="W909" i="2"/>
  <c r="W988" i="2"/>
  <c r="W1009" i="2"/>
  <c r="W1072" i="2"/>
  <c r="W1201" i="2"/>
  <c r="H26" i="40"/>
  <c r="B58" i="40" s="1"/>
  <c r="E58" i="40" s="1"/>
  <c r="G58" i="40" s="1"/>
  <c r="H58" i="40" s="1"/>
  <c r="W129" i="2"/>
  <c r="O46" i="2" a="1"/>
  <c r="O46" i="2" s="1"/>
  <c r="AA51" i="2" a="1"/>
  <c r="AA51" i="2" s="1"/>
  <c r="P60" i="2" a="1"/>
  <c r="P60" i="2" s="1"/>
  <c r="T60" i="2" s="1"/>
  <c r="W124" i="2"/>
  <c r="W243" i="2"/>
  <c r="W289" i="2"/>
  <c r="W414" i="2"/>
  <c r="W640" i="2"/>
  <c r="W655" i="2"/>
  <c r="W893" i="2"/>
  <c r="W976" i="2"/>
  <c r="W1021" i="2"/>
  <c r="W1031" i="2"/>
  <c r="W1033" i="2"/>
  <c r="W1101" i="2"/>
  <c r="W1214" i="2"/>
  <c r="W1254" i="2"/>
  <c r="W88" i="2"/>
  <c r="W46" i="2"/>
  <c r="W55" i="2"/>
  <c r="W90" i="2"/>
  <c r="O107" i="2" a="1"/>
  <c r="O107" i="2" s="1"/>
  <c r="W220" i="2"/>
  <c r="W307" i="2"/>
  <c r="W318" i="2"/>
  <c r="W400" i="2"/>
  <c r="W502" i="2"/>
  <c r="W609" i="2"/>
  <c r="W646" i="2"/>
  <c r="W766" i="2"/>
  <c r="W826" i="2"/>
  <c r="W854" i="2"/>
  <c r="W915" i="2"/>
  <c r="W1104" i="2"/>
  <c r="W1127" i="2"/>
  <c r="W1197" i="2"/>
  <c r="W1231" i="2"/>
  <c r="W1243" i="2"/>
  <c r="W50" i="2"/>
  <c r="AA55" i="2" a="1"/>
  <c r="AA55" i="2" s="1"/>
  <c r="O64" i="2" a="1"/>
  <c r="O64" i="2" s="1"/>
  <c r="W116" i="2"/>
  <c r="W356" i="2"/>
  <c r="W358" i="2"/>
  <c r="W429" i="2"/>
  <c r="W508" i="2"/>
  <c r="W848" i="2"/>
  <c r="W895" i="2"/>
  <c r="W1044" i="2"/>
  <c r="W1061" i="2"/>
  <c r="W1075" i="2"/>
  <c r="W1077" i="2"/>
  <c r="J14" i="40"/>
  <c r="W102" i="2"/>
  <c r="W416" i="2"/>
  <c r="Z48" i="2" a="1"/>
  <c r="Z48" i="2" s="1"/>
  <c r="P76" i="2" a="1"/>
  <c r="P76" i="2" s="1"/>
  <c r="W290" i="2"/>
  <c r="W411" i="2"/>
  <c r="W431" i="2"/>
  <c r="W468" i="2"/>
  <c r="W597" i="2"/>
  <c r="W654" i="2"/>
  <c r="W811" i="2"/>
  <c r="W852" i="2"/>
  <c r="W926" i="2"/>
  <c r="U961" i="2"/>
  <c r="U33" i="2" s="1"/>
  <c r="W1011" i="2"/>
  <c r="W1013" i="2"/>
  <c r="W1073" i="2"/>
  <c r="W1087" i="2"/>
  <c r="W1199" i="2"/>
  <c r="W1211" i="2"/>
  <c r="W1236" i="2"/>
  <c r="C37" i="39"/>
  <c r="D26" i="39"/>
  <c r="M69" i="39" s="1"/>
  <c r="F16" i="39"/>
  <c r="D87" i="39"/>
  <c r="C47" i="39"/>
  <c r="S63" i="37"/>
  <c r="S59" i="37"/>
  <c r="S61" i="37" s="1"/>
  <c r="S58" i="37"/>
  <c r="Q63" i="37"/>
  <c r="Q59" i="37"/>
  <c r="Q61" i="37" s="1"/>
  <c r="R63" i="37"/>
  <c r="R59" i="37"/>
  <c r="R61" i="37" s="1"/>
  <c r="R32" i="37"/>
  <c r="R54" i="37" s="1"/>
  <c r="R49" i="37"/>
  <c r="T63" i="37"/>
  <c r="T59" i="37"/>
  <c r="T61" i="37" s="1"/>
  <c r="T58" i="37"/>
  <c r="T60" i="37" s="1"/>
  <c r="F63" i="37"/>
  <c r="F59" i="37"/>
  <c r="F61" i="37" s="1"/>
  <c r="L49" i="37"/>
  <c r="L32" i="37"/>
  <c r="L54" i="37" s="1"/>
  <c r="T33" i="37"/>
  <c r="T50" i="37" s="1"/>
  <c r="T35" i="37" s="1"/>
  <c r="T32" i="37"/>
  <c r="T54" i="37" s="1"/>
  <c r="T49" i="37"/>
  <c r="G59" i="37"/>
  <c r="G61" i="37" s="1"/>
  <c r="G58" i="37"/>
  <c r="G60" i="37" s="1"/>
  <c r="G63" i="37"/>
  <c r="M49" i="37"/>
  <c r="M32" i="37"/>
  <c r="M54" i="37" s="1"/>
  <c r="U32" i="37"/>
  <c r="U54" i="37" s="1"/>
  <c r="U49" i="37"/>
  <c r="H59" i="37"/>
  <c r="H61" i="37" s="1"/>
  <c r="H63" i="37"/>
  <c r="O33" i="37"/>
  <c r="O50" i="37" s="1"/>
  <c r="O35" i="37" s="1"/>
  <c r="O32" i="37"/>
  <c r="O54" i="37" s="1"/>
  <c r="O49" i="37"/>
  <c r="J59" i="37"/>
  <c r="J61" i="37" s="1"/>
  <c r="J58" i="37"/>
  <c r="J63" i="37"/>
  <c r="S32" i="37"/>
  <c r="S54" i="37" s="1"/>
  <c r="S49" i="37"/>
  <c r="K59" i="37"/>
  <c r="K61" i="37" s="1"/>
  <c r="K63" i="37"/>
  <c r="G49" i="37"/>
  <c r="G33" i="37"/>
  <c r="G50" i="37" s="1"/>
  <c r="G32" i="37"/>
  <c r="G54" i="37" s="1"/>
  <c r="Q32" i="37"/>
  <c r="Q54" i="37" s="1"/>
  <c r="Q49" i="37"/>
  <c r="E54" i="37"/>
  <c r="E33" i="37"/>
  <c r="L58" i="37"/>
  <c r="L63" i="37"/>
  <c r="L59" i="37"/>
  <c r="L61" i="37" s="1"/>
  <c r="P36" i="37"/>
  <c r="I59" i="37"/>
  <c r="I61" i="37" s="1"/>
  <c r="I63" i="37"/>
  <c r="J49" i="37"/>
  <c r="J33" i="37"/>
  <c r="J32" i="37"/>
  <c r="J54" i="37" s="1"/>
  <c r="N49" i="37"/>
  <c r="N32" i="37"/>
  <c r="N54" i="37" s="1"/>
  <c r="K49" i="37"/>
  <c r="K32" i="37"/>
  <c r="K54" i="37" s="1"/>
  <c r="F49" i="37"/>
  <c r="F32" i="37"/>
  <c r="F54" i="37" s="1"/>
  <c r="P33" i="37"/>
  <c r="P50" i="37" s="1"/>
  <c r="P35" i="37" s="1"/>
  <c r="H32" i="37"/>
  <c r="H54" i="37" s="1"/>
  <c r="F34" i="37"/>
  <c r="F58" i="37" s="1"/>
  <c r="E35" i="37"/>
  <c r="R41" i="37"/>
  <c r="M59" i="37"/>
  <c r="M61" i="37" s="1"/>
  <c r="I32" i="37"/>
  <c r="I54" i="37" s="1"/>
  <c r="H33" i="37"/>
  <c r="H50" i="37" s="1"/>
  <c r="H35" i="37" s="1"/>
  <c r="G34" i="37"/>
  <c r="E36" i="37"/>
  <c r="S41" i="37"/>
  <c r="O58" i="37"/>
  <c r="N59" i="37"/>
  <c r="N61" i="37" s="1"/>
  <c r="I33" i="37"/>
  <c r="I50" i="37" s="1"/>
  <c r="H34" i="37"/>
  <c r="H58" i="37" s="1"/>
  <c r="H60" i="37" s="1"/>
  <c r="G35" i="37"/>
  <c r="I34" i="37"/>
  <c r="I58" i="37" s="1"/>
  <c r="I60" i="37" s="1"/>
  <c r="I62" i="37" s="1"/>
  <c r="I64" i="37" s="1"/>
  <c r="G36" i="37"/>
  <c r="P59" i="37"/>
  <c r="P61" i="37" s="1"/>
  <c r="J34" i="37"/>
  <c r="I35" i="37"/>
  <c r="E49" i="37"/>
  <c r="K34" i="37"/>
  <c r="K58" i="37" s="1"/>
  <c r="I36" i="37"/>
  <c r="M34" i="37"/>
  <c r="M58" i="37" s="1"/>
  <c r="E58" i="37"/>
  <c r="U58" i="37"/>
  <c r="P32" i="37"/>
  <c r="P54" i="37" s="1"/>
  <c r="N34" i="37"/>
  <c r="N58" i="37" s="1"/>
  <c r="E59" i="37"/>
  <c r="E61" i="37" s="1"/>
  <c r="U59" i="37"/>
  <c r="U61" i="37" s="1"/>
  <c r="O34" i="37"/>
  <c r="P34" i="37"/>
  <c r="P58" i="37" s="1"/>
  <c r="Q34" i="37"/>
  <c r="Q58" i="37" s="1"/>
  <c r="R34" i="37"/>
  <c r="R58" i="37" s="1"/>
  <c r="I49" i="34"/>
  <c r="J49" i="34" s="1"/>
  <c r="G29" i="34"/>
  <c r="G30" i="34" s="1"/>
  <c r="G58" i="34" s="1"/>
  <c r="G24" i="34"/>
  <c r="I53" i="34"/>
  <c r="J53" i="34" s="1"/>
  <c r="F29" i="34"/>
  <c r="F24" i="34"/>
  <c r="I23" i="34"/>
  <c r="J23" i="34" s="1"/>
  <c r="J44" i="34"/>
  <c r="F12" i="34"/>
  <c r="F11" i="34"/>
  <c r="J10" i="34"/>
  <c r="I10" i="34"/>
  <c r="G19" i="34"/>
  <c r="G18" i="34"/>
  <c r="G50" i="34" s="1"/>
  <c r="G47" i="34"/>
  <c r="I40" i="34"/>
  <c r="J40" i="34" s="1"/>
  <c r="G11" i="34"/>
  <c r="G46" i="34" s="1"/>
  <c r="F51" i="34"/>
  <c r="F31" i="34"/>
  <c r="G31" i="34"/>
  <c r="G34" i="34" s="1"/>
  <c r="G35" i="34" s="1"/>
  <c r="I42" i="34"/>
  <c r="J42" i="34" s="1"/>
  <c r="J7" i="34"/>
  <c r="J22" i="34"/>
  <c r="I27" i="34"/>
  <c r="J27" i="34" s="1"/>
  <c r="F52" i="34"/>
  <c r="F37" i="34"/>
  <c r="G52" i="34"/>
  <c r="F13" i="34"/>
  <c r="I28" i="34"/>
  <c r="J28" i="34" s="1"/>
  <c r="J33" i="34"/>
  <c r="I44" i="34"/>
  <c r="D164" i="33"/>
  <c r="E164" i="33"/>
  <c r="D169" i="33"/>
  <c r="E169" i="33"/>
  <c r="I502" i="33"/>
  <c r="D124" i="33"/>
  <c r="E124" i="33"/>
  <c r="D184" i="33" s="1"/>
  <c r="D174" i="33"/>
  <c r="E629" i="33"/>
  <c r="F629" i="33" s="1"/>
  <c r="C633" i="33" s="1"/>
  <c r="D129" i="33"/>
  <c r="B417" i="33"/>
  <c r="K312" i="32"/>
  <c r="L389" i="32"/>
  <c r="K389" i="32"/>
  <c r="K279" i="32"/>
  <c r="L279" i="32" s="1"/>
  <c r="L280" i="32"/>
  <c r="K280" i="32"/>
  <c r="K290" i="32"/>
  <c r="L290" i="32" s="1"/>
  <c r="K348" i="32"/>
  <c r="L348" i="32" s="1"/>
  <c r="L291" i="32"/>
  <c r="K362" i="32"/>
  <c r="L362" i="32" s="1"/>
  <c r="L292" i="32"/>
  <c r="K298" i="32"/>
  <c r="G304" i="32"/>
  <c r="L299" i="32"/>
  <c r="L300" i="32" s="1"/>
  <c r="L285" i="32"/>
  <c r="K383" i="32"/>
  <c r="L383" i="32" s="1"/>
  <c r="L312" i="32"/>
  <c r="K291" i="32"/>
  <c r="K295" i="32"/>
  <c r="L295" i="32" s="1"/>
  <c r="K278" i="32"/>
  <c r="L278" i="32" s="1"/>
  <c r="K292" i="32"/>
  <c r="K386" i="32"/>
  <c r="L386" i="32" s="1"/>
  <c r="J8" i="30"/>
  <c r="J9" i="30" s="1"/>
  <c r="J10" i="30" s="1"/>
  <c r="J11" i="30" s="1"/>
  <c r="J12" i="30" s="1"/>
  <c r="J13" i="30" s="1"/>
  <c r="J14" i="30" s="1"/>
  <c r="J15" i="30" s="1"/>
  <c r="J16" i="30" s="1"/>
  <c r="J17" i="30" s="1"/>
  <c r="J18" i="30" s="1"/>
  <c r="J19" i="30" s="1"/>
  <c r="J20" i="30" s="1"/>
  <c r="J21" i="30" s="1"/>
  <c r="J22" i="30" s="1"/>
  <c r="J23" i="30" s="1"/>
  <c r="J24" i="30" s="1"/>
  <c r="J25" i="30" s="1"/>
  <c r="J26" i="30" s="1"/>
  <c r="J27" i="30" s="1"/>
  <c r="J28" i="30" s="1"/>
  <c r="J29" i="30" s="1"/>
  <c r="J30" i="30" s="1"/>
  <c r="J31" i="30" s="1"/>
  <c r="J32" i="30" s="1"/>
  <c r="J33" i="30" s="1"/>
  <c r="J34" i="30" s="1"/>
  <c r="J35" i="30" s="1"/>
  <c r="J36" i="30" s="1"/>
  <c r="J37" i="30" s="1"/>
  <c r="J38" i="30" s="1"/>
  <c r="J39" i="30" s="1"/>
  <c r="J40" i="30" s="1"/>
  <c r="J41" i="30" s="1"/>
  <c r="J42" i="30" s="1"/>
  <c r="G11" i="30"/>
  <c r="G8" i="30"/>
  <c r="G24" i="30"/>
  <c r="G40" i="30"/>
  <c r="G5" i="30"/>
  <c r="I5" i="30" s="1"/>
  <c r="G21" i="30"/>
  <c r="G37" i="30"/>
  <c r="G18" i="30"/>
  <c r="G34" i="30"/>
  <c r="G15" i="30"/>
  <c r="G31" i="30"/>
  <c r="G6" i="30"/>
  <c r="G22" i="30"/>
  <c r="G38" i="30"/>
  <c r="G35" i="30"/>
  <c r="G16" i="30"/>
  <c r="G32" i="30"/>
  <c r="G13" i="30"/>
  <c r="G29" i="30"/>
  <c r="G10" i="30"/>
  <c r="G26" i="30"/>
  <c r="G42" i="30"/>
  <c r="G7" i="30"/>
  <c r="G23" i="30"/>
  <c r="G39" i="30"/>
  <c r="G20" i="30"/>
  <c r="G36" i="30"/>
  <c r="G51" i="29"/>
  <c r="J50" i="29"/>
  <c r="K50" i="29" s="1"/>
  <c r="G57" i="29"/>
  <c r="J56" i="29"/>
  <c r="K56" i="29" s="1"/>
  <c r="J82" i="29"/>
  <c r="G129" i="29"/>
  <c r="K82" i="29"/>
  <c r="J114" i="29"/>
  <c r="K114" i="29" s="1"/>
  <c r="G132" i="29"/>
  <c r="J43" i="29"/>
  <c r="K43" i="29" s="1"/>
  <c r="J75" i="29"/>
  <c r="K75" i="29" s="1"/>
  <c r="G76" i="29"/>
  <c r="J94" i="29"/>
  <c r="K94" i="29" s="1"/>
  <c r="G124" i="29"/>
  <c r="G118" i="29"/>
  <c r="K110" i="29"/>
  <c r="J32" i="29"/>
  <c r="K32" i="29" s="1"/>
  <c r="K112" i="29"/>
  <c r="G120" i="29"/>
  <c r="G99" i="29"/>
  <c r="J98" i="29"/>
  <c r="K98" i="29" s="1"/>
  <c r="J30" i="29"/>
  <c r="J37" i="29"/>
  <c r="K37" i="29" s="1"/>
  <c r="J110" i="29"/>
  <c r="J126" i="29"/>
  <c r="K126" i="29" s="1"/>
  <c r="J14" i="29"/>
  <c r="K30" i="29"/>
  <c r="K14" i="29"/>
  <c r="G31" i="29"/>
  <c r="J53" i="29"/>
  <c r="K53" i="29" s="1"/>
  <c r="K97" i="29"/>
  <c r="G111" i="29"/>
  <c r="J48" i="29"/>
  <c r="K48" i="29" s="1"/>
  <c r="J112" i="29"/>
  <c r="J9" i="29"/>
  <c r="K9" i="29" s="1"/>
  <c r="K93" i="29"/>
  <c r="J100" i="29"/>
  <c r="K100" i="29" s="1"/>
  <c r="K113" i="29"/>
  <c r="J81" i="29"/>
  <c r="K81" i="29" s="1"/>
  <c r="J29" i="29"/>
  <c r="K29" i="29" s="1"/>
  <c r="J36" i="29"/>
  <c r="K36" i="29" s="1"/>
  <c r="J109" i="29"/>
  <c r="K109" i="29" s="1"/>
  <c r="L30" i="28"/>
  <c r="M30" i="28" s="1"/>
  <c r="M111" i="28"/>
  <c r="M40" i="28"/>
  <c r="G176" i="28"/>
  <c r="L175" i="28"/>
  <c r="M175" i="28" s="1"/>
  <c r="G5" i="28"/>
  <c r="L143" i="28"/>
  <c r="M143" i="28" s="1"/>
  <c r="M94" i="28"/>
  <c r="M103" i="28"/>
  <c r="M117" i="28"/>
  <c r="M51" i="28"/>
  <c r="M86" i="28"/>
  <c r="M95" i="28"/>
  <c r="M141" i="28"/>
  <c r="M211" i="28"/>
  <c r="G244" i="28"/>
  <c r="L169" i="28"/>
  <c r="M169" i="28" s="1"/>
  <c r="M122" i="28"/>
  <c r="J153" i="28"/>
  <c r="J155" i="28" s="1"/>
  <c r="J161" i="28"/>
  <c r="M91" i="28"/>
  <c r="I180" i="28"/>
  <c r="L180" i="28" s="1"/>
  <c r="M180" i="28" s="1"/>
  <c r="J180" i="28"/>
  <c r="G149" i="28"/>
  <c r="M44" i="28"/>
  <c r="M101" i="28"/>
  <c r="J244" i="28"/>
  <c r="J255" i="28" s="1"/>
  <c r="H149" i="28"/>
  <c r="H157" i="28" s="1"/>
  <c r="J159" i="28"/>
  <c r="M79" i="28"/>
  <c r="M110" i="28"/>
  <c r="M61" i="28"/>
  <c r="M98" i="28"/>
  <c r="M25" i="28"/>
  <c r="L25" i="28"/>
  <c r="M125" i="28"/>
  <c r="H150" i="28"/>
  <c r="J3" i="28"/>
  <c r="J5" i="28" s="1"/>
  <c r="L98" i="28"/>
  <c r="L102" i="28"/>
  <c r="M102" i="28" s="1"/>
  <c r="L147" i="28"/>
  <c r="M147" i="28" s="1"/>
  <c r="I150" i="28"/>
  <c r="I156" i="28" s="1"/>
  <c r="G159" i="28"/>
  <c r="H159" i="28"/>
  <c r="G168" i="28"/>
  <c r="M225" i="28"/>
  <c r="G245" i="28"/>
  <c r="I251" i="28"/>
  <c r="L39" i="28"/>
  <c r="L48" i="28"/>
  <c r="M48" i="28" s="1"/>
  <c r="L52" i="28"/>
  <c r="L61" i="28"/>
  <c r="L65" i="28"/>
  <c r="M65" i="28" s="1"/>
  <c r="L74" i="28"/>
  <c r="M74" i="28" s="1"/>
  <c r="L83" i="28"/>
  <c r="M83" i="28" s="1"/>
  <c r="L87" i="28"/>
  <c r="M87" i="28" s="1"/>
  <c r="L111" i="28"/>
  <c r="L118" i="28"/>
  <c r="M118" i="28" s="1"/>
  <c r="L122" i="28"/>
  <c r="L140" i="28"/>
  <c r="M140" i="28" s="1"/>
  <c r="G148" i="28"/>
  <c r="I159" i="28"/>
  <c r="H168" i="28"/>
  <c r="H247" i="28" s="1"/>
  <c r="H258" i="28" s="1"/>
  <c r="H229" i="28"/>
  <c r="H245" i="28"/>
  <c r="H256" i="28" s="1"/>
  <c r="M39" i="28"/>
  <c r="M52" i="28"/>
  <c r="L96" i="28"/>
  <c r="M96" i="28" s="1"/>
  <c r="L179" i="28"/>
  <c r="M179" i="28" s="1"/>
  <c r="G232" i="28"/>
  <c r="L234" i="28"/>
  <c r="M234" i="28" s="1"/>
  <c r="I245" i="28"/>
  <c r="I256" i="28" s="1"/>
  <c r="L165" i="28"/>
  <c r="M165" i="28" s="1"/>
  <c r="J168" i="28"/>
  <c r="J247" i="28" s="1"/>
  <c r="J258" i="28" s="1"/>
  <c r="J229" i="28"/>
  <c r="L81" i="28"/>
  <c r="M81" i="28" s="1"/>
  <c r="L90" i="28"/>
  <c r="M90" i="28" s="1"/>
  <c r="L94" i="28"/>
  <c r="L125" i="28"/>
  <c r="G160" i="28"/>
  <c r="G166" i="28"/>
  <c r="L223" i="28"/>
  <c r="H166" i="28"/>
  <c r="M223" i="28"/>
  <c r="G230" i="28"/>
  <c r="L31" i="28"/>
  <c r="M31" i="28" s="1"/>
  <c r="L62" i="28"/>
  <c r="M62" i="28" s="1"/>
  <c r="L66" i="28"/>
  <c r="M66" i="28" s="1"/>
  <c r="L112" i="28"/>
  <c r="M112" i="28" s="1"/>
  <c r="L119" i="28"/>
  <c r="M119" i="28" s="1"/>
  <c r="L123" i="28"/>
  <c r="M123" i="28" s="1"/>
  <c r="L141" i="28"/>
  <c r="L151" i="28"/>
  <c r="M151" i="28" s="1"/>
  <c r="I166" i="28"/>
  <c r="H230" i="28"/>
  <c r="H237" i="28" s="1"/>
  <c r="H248" i="28" s="1"/>
  <c r="J235" i="28"/>
  <c r="L40" i="28"/>
  <c r="L44" i="28"/>
  <c r="L53" i="28"/>
  <c r="M53" i="28" s="1"/>
  <c r="L75" i="28"/>
  <c r="M75" i="28" s="1"/>
  <c r="L79" i="28"/>
  <c r="L88" i="28"/>
  <c r="M88" i="28" s="1"/>
  <c r="L131" i="28"/>
  <c r="M131" i="28" s="1"/>
  <c r="J166" i="28"/>
  <c r="I230" i="28"/>
  <c r="I237" i="28" s="1"/>
  <c r="I248" i="28" s="1"/>
  <c r="G233" i="28"/>
  <c r="L235" i="28"/>
  <c r="M235" i="28" s="1"/>
  <c r="L97" i="28"/>
  <c r="M97" i="28" s="1"/>
  <c r="L101" i="28"/>
  <c r="L146" i="28"/>
  <c r="M145" i="28" s="1"/>
  <c r="L192" i="28"/>
  <c r="M192" i="28" s="1"/>
  <c r="J230" i="28"/>
  <c r="J237" i="28" s="1"/>
  <c r="J248" i="28" s="1"/>
  <c r="L24" i="28"/>
  <c r="L60" i="28"/>
  <c r="M60" i="28" s="1"/>
  <c r="L69" i="28"/>
  <c r="M69" i="28" s="1"/>
  <c r="L73" i="28"/>
  <c r="M73" i="28" s="1"/>
  <c r="L110" i="28"/>
  <c r="L117" i="28"/>
  <c r="M146" i="28"/>
  <c r="L174" i="28"/>
  <c r="M174" i="28" s="1"/>
  <c r="M24" i="28"/>
  <c r="L29" i="28"/>
  <c r="M29" i="28" s="1"/>
  <c r="L38" i="28"/>
  <c r="M38" i="28" s="1"/>
  <c r="L47" i="28"/>
  <c r="M47" i="28" s="1"/>
  <c r="L51" i="28"/>
  <c r="L82" i="28"/>
  <c r="M82" i="28" s="1"/>
  <c r="L86" i="28"/>
  <c r="G89" i="28"/>
  <c r="L91" i="28"/>
  <c r="L95" i="28"/>
  <c r="L126" i="28"/>
  <c r="M126" i="28" s="1"/>
  <c r="L139" i="28"/>
  <c r="M139" i="28" s="1"/>
  <c r="G167" i="28"/>
  <c r="M167" i="28" s="1"/>
  <c r="L211" i="28"/>
  <c r="H68" i="27"/>
  <c r="J20" i="27"/>
  <c r="K57" i="27"/>
  <c r="K66" i="27" s="1"/>
  <c r="K62" i="27"/>
  <c r="K71" i="27" s="1"/>
  <c r="K19" i="27"/>
  <c r="I20" i="27"/>
  <c r="N48" i="27"/>
  <c r="I61" i="27"/>
  <c r="I70" i="27" s="1"/>
  <c r="K20" i="27"/>
  <c r="I60" i="27"/>
  <c r="I57" i="27"/>
  <c r="I66" i="27" s="1"/>
  <c r="I19" i="27"/>
  <c r="J19" i="27"/>
  <c r="N26" i="27"/>
  <c r="N53" i="27"/>
  <c r="N15" i="27"/>
  <c r="J5" i="27"/>
  <c r="J59" i="27" s="1"/>
  <c r="J68" i="27" s="1"/>
  <c r="N19" i="27"/>
  <c r="H58" i="27"/>
  <c r="I58" i="27"/>
  <c r="I67" i="27" s="1"/>
  <c r="N64" i="27"/>
  <c r="H20" i="27"/>
  <c r="H63" i="27" s="1"/>
  <c r="K58" i="27"/>
  <c r="K67" i="27" s="1"/>
  <c r="N61" i="27"/>
  <c r="I65" i="27"/>
  <c r="I74" i="27" s="1"/>
  <c r="N2" i="27"/>
  <c r="N47" i="27"/>
  <c r="N65" i="27"/>
  <c r="H36" i="26"/>
  <c r="H35" i="26"/>
  <c r="H34" i="26"/>
  <c r="H37" i="26"/>
  <c r="I35" i="26"/>
  <c r="I34" i="26"/>
  <c r="I37" i="26"/>
  <c r="I36" i="26"/>
  <c r="I105" i="26" s="1"/>
  <c r="G95" i="26"/>
  <c r="G110" i="26"/>
  <c r="L28" i="26"/>
  <c r="G32" i="26"/>
  <c r="L24" i="26"/>
  <c r="H95" i="26"/>
  <c r="H110" i="26"/>
  <c r="H131" i="26" s="1"/>
  <c r="G99" i="26"/>
  <c r="L80" i="26"/>
  <c r="G133" i="26"/>
  <c r="L119" i="26"/>
  <c r="H99" i="26"/>
  <c r="I123" i="26"/>
  <c r="I99" i="26"/>
  <c r="L118" i="26"/>
  <c r="L71" i="26"/>
  <c r="L26" i="26"/>
  <c r="G60" i="26"/>
  <c r="L60" i="26" s="1"/>
  <c r="L43" i="26"/>
  <c r="G63" i="26"/>
  <c r="G59" i="26"/>
  <c r="G62" i="26"/>
  <c r="G61" i="26"/>
  <c r="H60" i="26"/>
  <c r="H63" i="26"/>
  <c r="H96" i="26" s="1"/>
  <c r="H59" i="26"/>
  <c r="H62" i="26"/>
  <c r="H61" i="26"/>
  <c r="L67" i="26"/>
  <c r="G113" i="26"/>
  <c r="L113" i="26" s="1"/>
  <c r="G94" i="26"/>
  <c r="G93" i="26"/>
  <c r="G120" i="26"/>
  <c r="G92" i="26"/>
  <c r="L91" i="26"/>
  <c r="I110" i="26"/>
  <c r="I131" i="26" s="1"/>
  <c r="I60" i="26"/>
  <c r="I63" i="26"/>
  <c r="I96" i="26" s="1"/>
  <c r="I59" i="26"/>
  <c r="I62" i="26"/>
  <c r="I61" i="26"/>
  <c r="H94" i="26"/>
  <c r="H115" i="26" s="1"/>
  <c r="H93" i="26"/>
  <c r="H109" i="26" s="1"/>
  <c r="H120" i="26"/>
  <c r="H134" i="26" s="1"/>
  <c r="H92" i="26"/>
  <c r="H102" i="26" s="1"/>
  <c r="L29" i="26"/>
  <c r="L52" i="26"/>
  <c r="G111" i="26"/>
  <c r="L79" i="26"/>
  <c r="I95" i="26"/>
  <c r="H124" i="26"/>
  <c r="G53" i="26"/>
  <c r="I124" i="26"/>
  <c r="H53" i="26"/>
  <c r="G100" i="26"/>
  <c r="L100" i="26" s="1"/>
  <c r="G112" i="26"/>
  <c r="L112" i="26" s="1"/>
  <c r="G125" i="26"/>
  <c r="I53" i="26"/>
  <c r="I85" i="26"/>
  <c r="H125" i="26"/>
  <c r="L45" i="26"/>
  <c r="L49" i="26"/>
  <c r="L69" i="26"/>
  <c r="L85" i="26"/>
  <c r="L88" i="26"/>
  <c r="I92" i="26"/>
  <c r="I102" i="26" s="1"/>
  <c r="I120" i="26"/>
  <c r="I134" i="26" s="1"/>
  <c r="L21" i="26"/>
  <c r="G50" i="26"/>
  <c r="G86" i="26"/>
  <c r="L13" i="26"/>
  <c r="H50" i="26"/>
  <c r="H86" i="26"/>
  <c r="G14" i="26"/>
  <c r="I50" i="26"/>
  <c r="I86" i="26"/>
  <c r="H14" i="26"/>
  <c r="I26" i="26"/>
  <c r="I33" i="26" s="1"/>
  <c r="I97" i="26" s="1"/>
  <c r="I121" i="26" s="1"/>
  <c r="L42" i="26"/>
  <c r="L46" i="26"/>
  <c r="L66" i="26"/>
  <c r="L70" i="26"/>
  <c r="L78" i="26"/>
  <c r="L82" i="26"/>
  <c r="I93" i="26"/>
  <c r="I109" i="26" s="1"/>
  <c r="I14" i="26"/>
  <c r="L18" i="26"/>
  <c r="L22" i="26"/>
  <c r="G51" i="26"/>
  <c r="L89" i="26"/>
  <c r="L10" i="26"/>
  <c r="G27" i="26"/>
  <c r="H51" i="26"/>
  <c r="G114" i="26"/>
  <c r="L114" i="26" s="1"/>
  <c r="G15" i="26"/>
  <c r="H27" i="26"/>
  <c r="H32" i="26" s="1"/>
  <c r="I51" i="26"/>
  <c r="G87" i="26"/>
  <c r="H15" i="26"/>
  <c r="L47" i="26"/>
  <c r="L75" i="26"/>
  <c r="H87" i="26"/>
  <c r="H116" i="26" s="1"/>
  <c r="L2" i="26"/>
  <c r="L23" i="26"/>
  <c r="L39" i="26"/>
  <c r="L90" i="26"/>
  <c r="G16" i="26"/>
  <c r="G107" i="26"/>
  <c r="H107" i="26"/>
  <c r="G114" i="25"/>
  <c r="F119" i="25"/>
  <c r="F110" i="25"/>
  <c r="K113" i="25"/>
  <c r="F12" i="25"/>
  <c r="H114" i="25"/>
  <c r="G119" i="25"/>
  <c r="G110" i="25"/>
  <c r="K91" i="25"/>
  <c r="H110" i="25"/>
  <c r="H119" i="25"/>
  <c r="G36" i="25"/>
  <c r="G35" i="25"/>
  <c r="G112" i="25" s="1"/>
  <c r="G118" i="25" s="1"/>
  <c r="G103" i="25"/>
  <c r="F81" i="25"/>
  <c r="K80" i="25"/>
  <c r="K61" i="25"/>
  <c r="K56" i="25"/>
  <c r="K76" i="25"/>
  <c r="H105" i="25"/>
  <c r="G61" i="25"/>
  <c r="K11" i="25"/>
  <c r="G38" i="25"/>
  <c r="G41" i="25" s="1"/>
  <c r="H58" i="25"/>
  <c r="H60" i="25" s="1"/>
  <c r="H66" i="25"/>
  <c r="K66" i="25" s="1"/>
  <c r="H78" i="25"/>
  <c r="H81" i="25" s="1"/>
  <c r="F89" i="25"/>
  <c r="H38" i="25"/>
  <c r="H41" i="25" s="1"/>
  <c r="K58" i="25"/>
  <c r="K62" i="25"/>
  <c r="G89" i="25"/>
  <c r="G93" i="25" s="1"/>
  <c r="K30" i="25"/>
  <c r="K42" i="25"/>
  <c r="F51" i="25"/>
  <c r="F63" i="25"/>
  <c r="F71" i="25"/>
  <c r="H89" i="25"/>
  <c r="H93" i="25" s="1"/>
  <c r="H94" i="25" s="1"/>
  <c r="F31" i="25"/>
  <c r="F39" i="25"/>
  <c r="K39" i="25" s="1"/>
  <c r="F43" i="25"/>
  <c r="G51" i="25"/>
  <c r="G55" i="25"/>
  <c r="K55" i="25" s="1"/>
  <c r="G71" i="25"/>
  <c r="G75" i="25"/>
  <c r="K75" i="25" s="1"/>
  <c r="G79" i="25"/>
  <c r="F92" i="25"/>
  <c r="K92" i="25" s="1"/>
  <c r="F38" i="25"/>
  <c r="G43" i="25"/>
  <c r="G46" i="25" s="1"/>
  <c r="G13" i="25"/>
  <c r="K13" i="25" s="1"/>
  <c r="F48" i="25"/>
  <c r="F68" i="25"/>
  <c r="H90" i="25"/>
  <c r="F111" i="25"/>
  <c r="K111" i="25" s="1"/>
  <c r="H31" i="25"/>
  <c r="H34" i="25" s="1"/>
  <c r="G90" i="25"/>
  <c r="F40" i="25"/>
  <c r="K40" i="25" s="1"/>
  <c r="G80" i="25"/>
  <c r="G81" i="25" s="1"/>
  <c r="G58" i="25"/>
  <c r="G60" i="25" s="1"/>
  <c r="K60" i="25" s="1"/>
  <c r="K88" i="25"/>
  <c r="K8" i="25"/>
  <c r="H71" i="25"/>
  <c r="H79" i="25"/>
  <c r="K79" i="25" s="1"/>
  <c r="F90" i="25"/>
  <c r="K9" i="25"/>
  <c r="G32" i="25"/>
  <c r="K32" i="25" s="1"/>
  <c r="G40" i="25"/>
  <c r="H48" i="25"/>
  <c r="H50" i="25" s="1"/>
  <c r="K77" i="25"/>
  <c r="K29" i="25"/>
  <c r="H39" i="25"/>
  <c r="K102" i="25"/>
  <c r="H44" i="25"/>
  <c r="K44" i="25" s="1"/>
  <c r="G106" i="23"/>
  <c r="I66" i="23"/>
  <c r="J66" i="23" s="1"/>
  <c r="I48" i="23"/>
  <c r="J48" i="23" s="1"/>
  <c r="I31" i="23"/>
  <c r="J31" i="23" s="1"/>
  <c r="G36" i="23"/>
  <c r="J36" i="23" s="1"/>
  <c r="J35" i="23"/>
  <c r="I72" i="23"/>
  <c r="J72" i="23" s="1"/>
  <c r="G77" i="23"/>
  <c r="I42" i="23"/>
  <c r="J42" i="23" s="1"/>
  <c r="G107" i="23"/>
  <c r="K2" i="23"/>
  <c r="G59" i="23"/>
  <c r="I9" i="23"/>
  <c r="J9" i="23" s="1"/>
  <c r="G58" i="23"/>
  <c r="I69" i="23"/>
  <c r="J69" i="23" s="1"/>
  <c r="G113" i="23"/>
  <c r="I45" i="23"/>
  <c r="J45" i="23" s="1"/>
  <c r="I56" i="23"/>
  <c r="J56" i="23" s="1"/>
  <c r="I40" i="23"/>
  <c r="J40" i="23" s="1"/>
  <c r="G41" i="23"/>
  <c r="I46" i="23"/>
  <c r="I57" i="23"/>
  <c r="J57" i="23" s="1"/>
  <c r="J62" i="23"/>
  <c r="I76" i="23"/>
  <c r="J76" i="23" s="1"/>
  <c r="I52" i="23"/>
  <c r="J52" i="23" s="1"/>
  <c r="G109" i="23"/>
  <c r="G47" i="23"/>
  <c r="G70" i="23"/>
  <c r="G115" i="23"/>
  <c r="G64" i="23"/>
  <c r="I25" i="23"/>
  <c r="J25" i="23" s="1"/>
  <c r="J34" i="23"/>
  <c r="G79" i="23"/>
  <c r="H39" i="22"/>
  <c r="I39" i="22"/>
  <c r="F40" i="22"/>
  <c r="I69" i="22"/>
  <c r="I71" i="22"/>
  <c r="F122" i="22"/>
  <c r="I48" i="22"/>
  <c r="H48" i="22"/>
  <c r="F137" i="22"/>
  <c r="H88" i="22"/>
  <c r="I88" i="22" s="1"/>
  <c r="H134" i="22"/>
  <c r="I134" i="22" s="1"/>
  <c r="H54" i="22"/>
  <c r="I54" i="22"/>
  <c r="F135" i="22"/>
  <c r="H113" i="22"/>
  <c r="I113" i="22" s="1"/>
  <c r="F141" i="22"/>
  <c r="H121" i="22"/>
  <c r="I121" i="22" s="1"/>
  <c r="I59" i="22"/>
  <c r="I117" i="22"/>
  <c r="I61" i="22"/>
  <c r="H61" i="22"/>
  <c r="F62" i="22"/>
  <c r="F102" i="22"/>
  <c r="I101" i="22"/>
  <c r="H101" i="22"/>
  <c r="H96" i="22"/>
  <c r="I96" i="22" s="1"/>
  <c r="F97" i="22"/>
  <c r="I10" i="22"/>
  <c r="I26" i="22"/>
  <c r="H47" i="22"/>
  <c r="F56" i="22"/>
  <c r="H86" i="22"/>
  <c r="I86" i="22" s="1"/>
  <c r="F11" i="22"/>
  <c r="H19" i="22"/>
  <c r="I19" i="22" s="1"/>
  <c r="I47" i="22"/>
  <c r="H73" i="22"/>
  <c r="F28" i="22"/>
  <c r="F35" i="22"/>
  <c r="I73" i="22"/>
  <c r="H99" i="22"/>
  <c r="I99" i="22" s="1"/>
  <c r="F112" i="22"/>
  <c r="H117" i="22"/>
  <c r="F128" i="22"/>
  <c r="H133" i="22"/>
  <c r="I133" i="22" s="1"/>
  <c r="H80" i="22"/>
  <c r="I80" i="22" s="1"/>
  <c r="H87" i="22"/>
  <c r="I87" i="22" s="1"/>
  <c r="H94" i="22"/>
  <c r="I94" i="22" s="1"/>
  <c r="F123" i="22"/>
  <c r="H93" i="22"/>
  <c r="I93" i="22" s="1"/>
  <c r="H58" i="22"/>
  <c r="H59" i="22" s="1"/>
  <c r="H69" i="22"/>
  <c r="F95" i="22"/>
  <c r="H100" i="22"/>
  <c r="I100" i="22" s="1"/>
  <c r="I21" i="22"/>
  <c r="I58" i="22"/>
  <c r="F64" i="22"/>
  <c r="F108" i="22"/>
  <c r="I118" i="22"/>
  <c r="F124" i="22"/>
  <c r="F31" i="22"/>
  <c r="H75" i="22"/>
  <c r="I75" i="22" s="1"/>
  <c r="F83" i="22"/>
  <c r="I83" i="22" s="1"/>
  <c r="F119" i="22"/>
  <c r="H111" i="22"/>
  <c r="I111" i="22" s="1"/>
  <c r="F43" i="22"/>
  <c r="F114" i="22"/>
  <c r="F120" i="22"/>
  <c r="H26" i="22"/>
  <c r="I53" i="22"/>
  <c r="H60" i="22"/>
  <c r="H71" i="22"/>
  <c r="F115" i="22"/>
  <c r="F131" i="22"/>
  <c r="I60" i="22"/>
  <c r="H116" i="22"/>
  <c r="I116" i="22" s="1"/>
  <c r="G109" i="21"/>
  <c r="K109" i="21" s="1"/>
  <c r="K13" i="21"/>
  <c r="K31" i="21"/>
  <c r="G33" i="21"/>
  <c r="G7" i="21"/>
  <c r="G104" i="21" s="1"/>
  <c r="K104" i="21" s="1"/>
  <c r="G37" i="21"/>
  <c r="K11" i="21"/>
  <c r="K15" i="20"/>
  <c r="K16" i="20" s="1"/>
  <c r="K62" i="20" s="1"/>
  <c r="K84" i="20" s="1"/>
  <c r="K18" i="20"/>
  <c r="K38" i="20"/>
  <c r="K33" i="20"/>
  <c r="K79" i="20" s="1"/>
  <c r="K5" i="20"/>
  <c r="K3" i="20"/>
  <c r="K2" i="20"/>
  <c r="K4" i="20"/>
  <c r="O38" i="20"/>
  <c r="O2" i="20"/>
  <c r="O3" i="20"/>
  <c r="O15" i="20"/>
  <c r="O16" i="20" s="1"/>
  <c r="O62" i="20" s="1"/>
  <c r="O84" i="20" s="1"/>
  <c r="O5" i="20"/>
  <c r="O33" i="20"/>
  <c r="O79" i="20" s="1"/>
  <c r="O4" i="20"/>
  <c r="M48" i="20"/>
  <c r="O46" i="20"/>
  <c r="O83" i="20" s="1"/>
  <c r="O100" i="20" s="1"/>
  <c r="N48" i="20"/>
  <c r="N14" i="20"/>
  <c r="N32" i="20" s="1"/>
  <c r="F99" i="20"/>
  <c r="M41" i="20"/>
  <c r="O40" i="20"/>
  <c r="O41" i="20"/>
  <c r="O47" i="20"/>
  <c r="N41" i="20"/>
  <c r="V21" i="20"/>
  <c r="F20" i="20"/>
  <c r="F72" i="20"/>
  <c r="O48" i="20"/>
  <c r="F76" i="20"/>
  <c r="V10" i="20"/>
  <c r="V24" i="20"/>
  <c r="F96" i="20"/>
  <c r="G14" i="20"/>
  <c r="F88" i="20"/>
  <c r="H48" i="20"/>
  <c r="H41" i="20"/>
  <c r="V22" i="20"/>
  <c r="O18" i="20"/>
  <c r="K46" i="20"/>
  <c r="K83" i="20" s="1"/>
  <c r="K100" i="20" s="1"/>
  <c r="V45" i="20"/>
  <c r="V23" i="20"/>
  <c r="F90" i="20"/>
  <c r="M14" i="20"/>
  <c r="M47" i="20" s="1"/>
  <c r="L8" i="20"/>
  <c r="K47" i="20"/>
  <c r="K48" i="20"/>
  <c r="K41" i="20"/>
  <c r="F71" i="20"/>
  <c r="G41" i="20"/>
  <c r="N47" i="20"/>
  <c r="F89" i="20"/>
  <c r="V13" i="20"/>
  <c r="L48" i="20"/>
  <c r="J106" i="19"/>
  <c r="F35" i="19"/>
  <c r="J35" i="19" s="1"/>
  <c r="J34" i="19"/>
  <c r="J57" i="19"/>
  <c r="J110" i="19"/>
  <c r="F87" i="19"/>
  <c r="J87" i="19" s="1"/>
  <c r="J77" i="19"/>
  <c r="F47" i="19"/>
  <c r="J29" i="19"/>
  <c r="F28" i="19"/>
  <c r="G47" i="19"/>
  <c r="G66" i="19" s="1"/>
  <c r="G68" i="19" s="1"/>
  <c r="G78" i="19" s="1"/>
  <c r="G28" i="19"/>
  <c r="G45" i="19" s="1"/>
  <c r="F44" i="19"/>
  <c r="F74" i="19" s="1"/>
  <c r="J43" i="19"/>
  <c r="G44" i="19"/>
  <c r="G74" i="19" s="1"/>
  <c r="G84" i="19" s="1"/>
  <c r="J65" i="19"/>
  <c r="J13" i="19"/>
  <c r="J62" i="19"/>
  <c r="J30" i="19"/>
  <c r="J42" i="19"/>
  <c r="F48" i="19"/>
  <c r="G48" i="19"/>
  <c r="G49" i="19" s="1"/>
  <c r="G67" i="19" s="1"/>
  <c r="G69" i="19" s="1"/>
  <c r="G79" i="19" s="1"/>
  <c r="J108" i="19"/>
  <c r="J114" i="19"/>
  <c r="J36" i="19"/>
  <c r="J56" i="19"/>
  <c r="J63" i="19"/>
  <c r="F64" i="19"/>
  <c r="G110" i="19"/>
  <c r="F39" i="19"/>
  <c r="J39" i="19" s="1"/>
  <c r="G65" i="19"/>
  <c r="G73" i="19" s="1"/>
  <c r="G83" i="19" s="1"/>
  <c r="F32" i="19"/>
  <c r="J32" i="19" s="1"/>
  <c r="G116" i="19"/>
  <c r="G76" i="19"/>
  <c r="G86" i="19" s="1"/>
  <c r="J86" i="19" s="1"/>
  <c r="F111" i="19"/>
  <c r="F117" i="19"/>
  <c r="F116" i="19"/>
  <c r="J33" i="19"/>
  <c r="G111" i="19"/>
  <c r="G117" i="19"/>
  <c r="G32" i="19"/>
  <c r="F112" i="19"/>
  <c r="J112" i="19" s="1"/>
  <c r="AJ78" i="18"/>
  <c r="AJ148" i="18"/>
  <c r="AJ79" i="18"/>
  <c r="AJ80" i="18"/>
  <c r="AJ151" i="18"/>
  <c r="R77" i="18"/>
  <c r="AJ77" i="18" s="1"/>
  <c r="R91" i="18"/>
  <c r="H129" i="18"/>
  <c r="S130" i="18"/>
  <c r="O132" i="18"/>
  <c r="S84" i="18"/>
  <c r="S135" i="18"/>
  <c r="AJ150" i="18"/>
  <c r="F170" i="18"/>
  <c r="F160" i="18" s="1"/>
  <c r="AJ160" i="18" s="1"/>
  <c r="G131" i="18"/>
  <c r="G92" i="18"/>
  <c r="H131" i="18"/>
  <c r="H17" i="18"/>
  <c r="H25" i="18"/>
  <c r="H33" i="18"/>
  <c r="H41" i="18"/>
  <c r="H57" i="18"/>
  <c r="H92" i="18"/>
  <c r="AJ124" i="18"/>
  <c r="R129" i="18"/>
  <c r="I131" i="18"/>
  <c r="L165" i="18"/>
  <c r="J165" i="18"/>
  <c r="G57" i="18"/>
  <c r="K165" i="18"/>
  <c r="I17" i="18"/>
  <c r="P20" i="18"/>
  <c r="G22" i="18"/>
  <c r="R23" i="18"/>
  <c r="I25" i="18"/>
  <c r="P28" i="18"/>
  <c r="G30" i="18"/>
  <c r="I33" i="18"/>
  <c r="I41" i="18"/>
  <c r="P44" i="18"/>
  <c r="R47" i="18"/>
  <c r="P52" i="18"/>
  <c r="G54" i="18"/>
  <c r="R55" i="18"/>
  <c r="I57" i="18"/>
  <c r="I92" i="18"/>
  <c r="S129" i="18"/>
  <c r="O131" i="18"/>
  <c r="F133" i="18"/>
  <c r="F167" i="18"/>
  <c r="F157" i="18" s="1"/>
  <c r="AJ157" i="18" s="1"/>
  <c r="F131" i="18"/>
  <c r="H22" i="18"/>
  <c r="H30" i="18"/>
  <c r="H54" i="18"/>
  <c r="O57" i="18"/>
  <c r="O92" i="18"/>
  <c r="P131" i="18"/>
  <c r="G133" i="18"/>
  <c r="G167" i="18"/>
  <c r="G157" i="18" s="1"/>
  <c r="G19" i="18"/>
  <c r="G27" i="18"/>
  <c r="I30" i="18"/>
  <c r="G35" i="18"/>
  <c r="P41" i="18"/>
  <c r="G43" i="18"/>
  <c r="R44" i="18"/>
  <c r="G51" i="18"/>
  <c r="R52" i="18"/>
  <c r="I54" i="18"/>
  <c r="P57" i="18"/>
  <c r="G59" i="18"/>
  <c r="P92" i="18"/>
  <c r="F130" i="18"/>
  <c r="Q131" i="18"/>
  <c r="H133" i="18"/>
  <c r="H167" i="18"/>
  <c r="H157" i="18" s="1"/>
  <c r="F169" i="18"/>
  <c r="F159" i="18" s="1"/>
  <c r="Q129" i="18"/>
  <c r="H19" i="18"/>
  <c r="H27" i="18"/>
  <c r="H35" i="18"/>
  <c r="H43" i="18"/>
  <c r="H51" i="18"/>
  <c r="Q57" i="18"/>
  <c r="F81" i="18"/>
  <c r="AJ81" i="18" s="1"/>
  <c r="F91" i="18"/>
  <c r="Q92" i="18"/>
  <c r="G130" i="18"/>
  <c r="R131" i="18"/>
  <c r="G169" i="18"/>
  <c r="G159" i="18" s="1"/>
  <c r="R17" i="18"/>
  <c r="I19" i="18"/>
  <c r="P22" i="18"/>
  <c r="G24" i="18"/>
  <c r="R25" i="18"/>
  <c r="I27" i="18"/>
  <c r="P30" i="18"/>
  <c r="G32" i="18"/>
  <c r="R33" i="18"/>
  <c r="I35" i="18"/>
  <c r="G40" i="18"/>
  <c r="R41" i="18"/>
  <c r="I43" i="18"/>
  <c r="I51" i="18"/>
  <c r="P54" i="18"/>
  <c r="G56" i="18"/>
  <c r="R57" i="18"/>
  <c r="I59" i="18"/>
  <c r="AJ60" i="18"/>
  <c r="AJ63" i="18"/>
  <c r="H130" i="18"/>
  <c r="S131" i="18"/>
  <c r="AJ147" i="18"/>
  <c r="H169" i="18"/>
  <c r="H159" i="18" s="1"/>
  <c r="S17" i="18"/>
  <c r="O19" i="18"/>
  <c r="Q22" i="18"/>
  <c r="H24" i="18"/>
  <c r="S25" i="18"/>
  <c r="O27" i="18"/>
  <c r="Q30" i="18"/>
  <c r="H32" i="18"/>
  <c r="S33" i="18"/>
  <c r="O35" i="18"/>
  <c r="H40" i="18"/>
  <c r="S41" i="18"/>
  <c r="O43" i="18"/>
  <c r="S49" i="18"/>
  <c r="O51" i="18"/>
  <c r="Q54" i="18"/>
  <c r="H56" i="18"/>
  <c r="S57" i="18"/>
  <c r="O59" i="18"/>
  <c r="AJ123" i="18"/>
  <c r="I130" i="18"/>
  <c r="P133" i="18"/>
  <c r="I169" i="18"/>
  <c r="I159" i="18" s="1"/>
  <c r="F92" i="18"/>
  <c r="P19" i="18"/>
  <c r="R22" i="18"/>
  <c r="I24" i="18"/>
  <c r="P27" i="18"/>
  <c r="G29" i="18"/>
  <c r="R30" i="18"/>
  <c r="I32" i="18"/>
  <c r="P35" i="18"/>
  <c r="G37" i="18"/>
  <c r="I40" i="18"/>
  <c r="P43" i="18"/>
  <c r="G45" i="18"/>
  <c r="P51" i="18"/>
  <c r="G53" i="18"/>
  <c r="R54" i="18"/>
  <c r="P59" i="18"/>
  <c r="S76" i="18"/>
  <c r="AJ76" i="18" s="1"/>
  <c r="F132" i="18"/>
  <c r="AJ132" i="18" s="1"/>
  <c r="Q133" i="18"/>
  <c r="Q19" i="18"/>
  <c r="S22" i="18"/>
  <c r="O24" i="18"/>
  <c r="Q27" i="18"/>
  <c r="H29" i="18"/>
  <c r="S30" i="18"/>
  <c r="O32" i="18"/>
  <c r="Q35" i="18"/>
  <c r="H37" i="18"/>
  <c r="O40" i="18"/>
  <c r="Q43" i="18"/>
  <c r="H45" i="18"/>
  <c r="Q51" i="18"/>
  <c r="H53" i="18"/>
  <c r="S54" i="18"/>
  <c r="Q59" i="18"/>
  <c r="G132" i="18"/>
  <c r="R133" i="18"/>
  <c r="G18" i="18"/>
  <c r="R19" i="18"/>
  <c r="P24" i="18"/>
  <c r="R27" i="18"/>
  <c r="I29" i="18"/>
  <c r="P32" i="18"/>
  <c r="G34" i="18"/>
  <c r="R35" i="18"/>
  <c r="I37" i="18"/>
  <c r="G42" i="18"/>
  <c r="R43" i="18"/>
  <c r="I45" i="18"/>
  <c r="H18" i="18"/>
  <c r="S19" i="18"/>
  <c r="Q24" i="18"/>
  <c r="S27" i="18"/>
  <c r="O29" i="18"/>
  <c r="Q32" i="18"/>
  <c r="H34" i="18"/>
  <c r="S35" i="18"/>
  <c r="O37" i="18"/>
  <c r="H42" i="18"/>
  <c r="S43" i="18"/>
  <c r="O45" i="18"/>
  <c r="I198" i="17"/>
  <c r="I202" i="17" s="1"/>
  <c r="I84" i="17"/>
  <c r="I59" i="17"/>
  <c r="H198" i="17"/>
  <c r="H202" i="17" s="1"/>
  <c r="H84" i="17"/>
  <c r="H59" i="17"/>
  <c r="AE157" i="17"/>
  <c r="AE149" i="17"/>
  <c r="AE146" i="17"/>
  <c r="AE151" i="17"/>
  <c r="AE158" i="17"/>
  <c r="AE150" i="17"/>
  <c r="AE152" i="17"/>
  <c r="AE153" i="17"/>
  <c r="AE147" i="17"/>
  <c r="AE75" i="17"/>
  <c r="AE144" i="17"/>
  <c r="AE148" i="17"/>
  <c r="AE76" i="17"/>
  <c r="AE71" i="17"/>
  <c r="AE77" i="17"/>
  <c r="AE145" i="17"/>
  <c r="AE70" i="17"/>
  <c r="AE79" i="17"/>
  <c r="AE72" i="17"/>
  <c r="AE74" i="17"/>
  <c r="AC198" i="17"/>
  <c r="AC202" i="17" s="1"/>
  <c r="AC84" i="17"/>
  <c r="AC59" i="17"/>
  <c r="O198" i="17"/>
  <c r="O202" i="17" s="1"/>
  <c r="O59" i="17"/>
  <c r="O84" i="17"/>
  <c r="T198" i="17"/>
  <c r="T202" i="17" s="1"/>
  <c r="T84" i="17"/>
  <c r="T59" i="17"/>
  <c r="AE78" i="17"/>
  <c r="AD198" i="17"/>
  <c r="AD202" i="17" s="1"/>
  <c r="AD84" i="17"/>
  <c r="AD59" i="17"/>
  <c r="U59" i="17"/>
  <c r="U84" i="17"/>
  <c r="AJ182" i="17"/>
  <c r="P146" i="17"/>
  <c r="P151" i="17"/>
  <c r="P153" i="17"/>
  <c r="P148" i="17"/>
  <c r="P147" i="17"/>
  <c r="P145" i="17"/>
  <c r="P150" i="17"/>
  <c r="P149" i="17"/>
  <c r="P144" i="17"/>
  <c r="P152" i="17"/>
  <c r="P75" i="17"/>
  <c r="P70" i="17"/>
  <c r="P72" i="17"/>
  <c r="P73" i="17"/>
  <c r="P74" i="17"/>
  <c r="P78" i="17"/>
  <c r="P71" i="17"/>
  <c r="P79" i="17"/>
  <c r="P76" i="17"/>
  <c r="Q146" i="17"/>
  <c r="Q151" i="17"/>
  <c r="Q148" i="17"/>
  <c r="Q147" i="17"/>
  <c r="Q145" i="17"/>
  <c r="Q150" i="17"/>
  <c r="Q149" i="17"/>
  <c r="Q144" i="17"/>
  <c r="Q152" i="17"/>
  <c r="Q72" i="17"/>
  <c r="Q75" i="17"/>
  <c r="Q70" i="17"/>
  <c r="Q74" i="17"/>
  <c r="Q73" i="17"/>
  <c r="Q78" i="17"/>
  <c r="Q79" i="17"/>
  <c r="Q153" i="17"/>
  <c r="Q71" i="17"/>
  <c r="AJ37" i="17"/>
  <c r="Q76" i="17"/>
  <c r="AJ15" i="17"/>
  <c r="P165" i="17"/>
  <c r="P166" i="17"/>
  <c r="AJ164" i="17"/>
  <c r="X161" i="17"/>
  <c r="X162" i="17"/>
  <c r="T168" i="17"/>
  <c r="T141" i="17"/>
  <c r="T138" i="17"/>
  <c r="T143" i="17"/>
  <c r="T136" i="17"/>
  <c r="T140" i="17"/>
  <c r="T139" i="17"/>
  <c r="T134" i="17"/>
  <c r="T135" i="17"/>
  <c r="T66" i="17"/>
  <c r="T167" i="17"/>
  <c r="T169" i="17" s="1"/>
  <c r="T137" i="17"/>
  <c r="T67" i="17"/>
  <c r="T68" i="17"/>
  <c r="T69" i="17"/>
  <c r="T61" i="17"/>
  <c r="T142" i="17"/>
  <c r="T65" i="17"/>
  <c r="T63" i="17"/>
  <c r="T60" i="17"/>
  <c r="U133" i="17"/>
  <c r="Y160" i="17"/>
  <c r="P77" i="17"/>
  <c r="O149" i="17"/>
  <c r="O146" i="17"/>
  <c r="O151" i="17"/>
  <c r="O148" i="17"/>
  <c r="O147" i="17"/>
  <c r="O145" i="17"/>
  <c r="O150" i="17"/>
  <c r="O144" i="17"/>
  <c r="O152" i="17"/>
  <c r="O75" i="17"/>
  <c r="O76" i="17"/>
  <c r="O79" i="17"/>
  <c r="O78" i="17"/>
  <c r="O77" i="17"/>
  <c r="O73" i="17"/>
  <c r="O74" i="17"/>
  <c r="O70" i="17"/>
  <c r="O153" i="17"/>
  <c r="O71" i="17"/>
  <c r="O72" i="17"/>
  <c r="Z160" i="17"/>
  <c r="X84" i="17"/>
  <c r="X198" i="17"/>
  <c r="X202" i="17" s="1"/>
  <c r="X59" i="17"/>
  <c r="AE73" i="17"/>
  <c r="Q77" i="17"/>
  <c r="Y198" i="17"/>
  <c r="Y202" i="17" s="1"/>
  <c r="Y84" i="17"/>
  <c r="Y59" i="17"/>
  <c r="U198" i="17"/>
  <c r="U202" i="17" s="1"/>
  <c r="G160" i="17"/>
  <c r="AB160" i="17"/>
  <c r="Z84" i="17"/>
  <c r="Z198" i="17"/>
  <c r="Z202" i="17" s="1"/>
  <c r="Z59" i="17"/>
  <c r="X12" i="17"/>
  <c r="H160" i="17"/>
  <c r="AC160" i="17"/>
  <c r="AA198" i="17"/>
  <c r="AA202" i="17" s="1"/>
  <c r="AA59" i="17"/>
  <c r="AA84" i="17"/>
  <c r="R84" i="17"/>
  <c r="R59" i="17"/>
  <c r="Y12" i="17"/>
  <c r="I160" i="17"/>
  <c r="AD160" i="17"/>
  <c r="AJ14" i="17"/>
  <c r="G38" i="17"/>
  <c r="G41" i="17" s="1"/>
  <c r="AB198" i="17"/>
  <c r="AB202" i="17" s="1"/>
  <c r="AB59" i="17"/>
  <c r="AB84" i="17"/>
  <c r="AJ19" i="17"/>
  <c r="S198" i="17"/>
  <c r="S202" i="17" s="1"/>
  <c r="S84" i="17"/>
  <c r="S59" i="17"/>
  <c r="T62" i="17"/>
  <c r="AA160" i="17"/>
  <c r="F59" i="17"/>
  <c r="F84" i="17"/>
  <c r="R151" i="17"/>
  <c r="R148" i="17"/>
  <c r="R147" i="17"/>
  <c r="R145" i="17"/>
  <c r="R150" i="17"/>
  <c r="R149" i="17"/>
  <c r="R146" i="17"/>
  <c r="R144" i="17"/>
  <c r="R152" i="17"/>
  <c r="R72" i="17"/>
  <c r="R77" i="17"/>
  <c r="R153" i="17"/>
  <c r="R75" i="17"/>
  <c r="R70" i="17"/>
  <c r="R74" i="17"/>
  <c r="R73" i="17"/>
  <c r="R78" i="17"/>
  <c r="R76" i="17"/>
  <c r="Q84" i="17"/>
  <c r="Q59" i="17"/>
  <c r="P160" i="17"/>
  <c r="AC12" i="17"/>
  <c r="S9" i="17"/>
  <c r="S10" i="17" s="1"/>
  <c r="P59" i="17"/>
  <c r="F75" i="17"/>
  <c r="R160" i="17"/>
  <c r="Y158" i="17"/>
  <c r="Y150" i="17"/>
  <c r="Y147" i="17"/>
  <c r="Y168" i="17"/>
  <c r="Y152" i="17"/>
  <c r="Y151" i="17"/>
  <c r="Y157" i="17"/>
  <c r="Y145" i="17"/>
  <c r="Y148" i="17"/>
  <c r="Y76" i="17"/>
  <c r="Y153" i="17"/>
  <c r="Y77" i="17"/>
  <c r="Y72" i="17"/>
  <c r="Y146" i="17"/>
  <c r="Y79" i="17"/>
  <c r="Y70" i="17"/>
  <c r="Y74" i="17"/>
  <c r="Y149" i="17"/>
  <c r="Y75" i="17"/>
  <c r="G75" i="17"/>
  <c r="AA151" i="17"/>
  <c r="S160" i="17"/>
  <c r="S82" i="17"/>
  <c r="Z147" i="17"/>
  <c r="Z168" i="17"/>
  <c r="Z152" i="17"/>
  <c r="Z144" i="17"/>
  <c r="Z157" i="17"/>
  <c r="Z151" i="17"/>
  <c r="Z158" i="17"/>
  <c r="Z150" i="17"/>
  <c r="Z145" i="17"/>
  <c r="Z148" i="17"/>
  <c r="Z76" i="17"/>
  <c r="Z153" i="17"/>
  <c r="Z167" i="17"/>
  <c r="Z72" i="17"/>
  <c r="Z149" i="17"/>
  <c r="Z75" i="17"/>
  <c r="Z70" i="17"/>
  <c r="Z77" i="17"/>
  <c r="H173" i="17"/>
  <c r="H174" i="17"/>
  <c r="AJ172" i="17"/>
  <c r="AC173" i="17"/>
  <c r="AC175" i="17" s="1"/>
  <c r="AC174" i="17"/>
  <c r="T160" i="17"/>
  <c r="F147" i="17"/>
  <c r="F152" i="17"/>
  <c r="F144" i="17"/>
  <c r="F149" i="17"/>
  <c r="F153" i="17"/>
  <c r="F148" i="17"/>
  <c r="F146" i="17"/>
  <c r="F73" i="17"/>
  <c r="F145" i="17"/>
  <c r="F150" i="17"/>
  <c r="F78" i="17"/>
  <c r="F77" i="17"/>
  <c r="F79" i="17"/>
  <c r="F76" i="17"/>
  <c r="F71" i="17"/>
  <c r="F151" i="17"/>
  <c r="F72" i="17"/>
  <c r="AA147" i="17"/>
  <c r="AA168" i="17"/>
  <c r="AA152" i="17"/>
  <c r="AA144" i="17"/>
  <c r="AA157" i="17"/>
  <c r="AA149" i="17"/>
  <c r="AA158" i="17"/>
  <c r="AA150" i="17"/>
  <c r="AA145" i="17"/>
  <c r="AA148" i="17"/>
  <c r="AA146" i="17"/>
  <c r="AA153" i="17"/>
  <c r="AA73" i="17"/>
  <c r="AA78" i="17"/>
  <c r="AA167" i="17"/>
  <c r="AA72" i="17"/>
  <c r="AA75" i="17"/>
  <c r="AA70" i="17"/>
  <c r="AA79" i="17"/>
  <c r="AA76" i="17"/>
  <c r="AA71" i="17"/>
  <c r="U160" i="17"/>
  <c r="AE12" i="17"/>
  <c r="G152" i="17"/>
  <c r="G149" i="17"/>
  <c r="G151" i="17"/>
  <c r="G148" i="17"/>
  <c r="G146" i="17"/>
  <c r="G147" i="17"/>
  <c r="G144" i="17"/>
  <c r="G150" i="17"/>
  <c r="G73" i="17"/>
  <c r="G145" i="17"/>
  <c r="G78" i="17"/>
  <c r="G153" i="17"/>
  <c r="G77" i="17"/>
  <c r="G79" i="17"/>
  <c r="G76" i="17"/>
  <c r="G71" i="17"/>
  <c r="G72" i="17"/>
  <c r="AB168" i="17"/>
  <c r="AB152" i="17"/>
  <c r="AB144" i="17"/>
  <c r="AB157" i="17"/>
  <c r="AB159" i="17" s="1"/>
  <c r="AB219" i="17" s="1"/>
  <c r="AB209" i="17" s="1"/>
  <c r="AB149" i="17"/>
  <c r="AB167" i="17"/>
  <c r="AB169" i="17" s="1"/>
  <c r="AB151" i="17"/>
  <c r="AB158" i="17"/>
  <c r="AB150" i="17"/>
  <c r="AB145" i="17"/>
  <c r="AB148" i="17"/>
  <c r="AB146" i="17"/>
  <c r="AB73" i="17"/>
  <c r="AB78" i="17"/>
  <c r="AB147" i="17"/>
  <c r="AB72" i="17"/>
  <c r="AB74" i="17"/>
  <c r="AB70" i="17"/>
  <c r="AB79" i="17"/>
  <c r="AB76" i="17"/>
  <c r="AB71" i="17"/>
  <c r="AE198" i="17"/>
  <c r="AE202" i="17" s="1"/>
  <c r="AE59" i="17"/>
  <c r="AE84" i="17"/>
  <c r="R71" i="17"/>
  <c r="Y73" i="17"/>
  <c r="AB75" i="17"/>
  <c r="AB153" i="17"/>
  <c r="O173" i="17"/>
  <c r="O174" i="17"/>
  <c r="AE173" i="17"/>
  <c r="AE175" i="17" s="1"/>
  <c r="AE174" i="17"/>
  <c r="V160" i="17"/>
  <c r="V198" i="17"/>
  <c r="V202" i="17" s="1"/>
  <c r="V59" i="17"/>
  <c r="V84" i="17"/>
  <c r="H152" i="17"/>
  <c r="H149" i="17"/>
  <c r="H153" i="17"/>
  <c r="H148" i="17"/>
  <c r="H146" i="17"/>
  <c r="H147" i="17"/>
  <c r="H145" i="17"/>
  <c r="H144" i="17"/>
  <c r="H150" i="17"/>
  <c r="H78" i="17"/>
  <c r="H70" i="17"/>
  <c r="H79" i="17"/>
  <c r="H77" i="17"/>
  <c r="H76" i="17"/>
  <c r="H71" i="17"/>
  <c r="H75" i="17"/>
  <c r="H72" i="17"/>
  <c r="H73" i="17"/>
  <c r="AC168" i="17"/>
  <c r="AC152" i="17"/>
  <c r="AC144" i="17"/>
  <c r="AC157" i="17"/>
  <c r="AC149" i="17"/>
  <c r="AC153" i="17"/>
  <c r="AC158" i="17"/>
  <c r="AC148" i="17"/>
  <c r="AC146" i="17"/>
  <c r="AC145" i="17"/>
  <c r="AC78" i="17"/>
  <c r="AC70" i="17"/>
  <c r="AC150" i="17"/>
  <c r="AC147" i="17"/>
  <c r="AC167" i="17"/>
  <c r="AC151" i="17"/>
  <c r="AC79" i="17"/>
  <c r="AC71" i="17"/>
  <c r="AC76" i="17"/>
  <c r="AJ38" i="17"/>
  <c r="Z73" i="17"/>
  <c r="AC75" i="17"/>
  <c r="F198" i="17"/>
  <c r="S11" i="17"/>
  <c r="W161" i="17"/>
  <c r="W162" i="17"/>
  <c r="W163" i="17" s="1"/>
  <c r="W84" i="17"/>
  <c r="W198" i="17"/>
  <c r="W202" i="17" s="1"/>
  <c r="AC73" i="17"/>
  <c r="Y78" i="17"/>
  <c r="Q198" i="17"/>
  <c r="Q202" i="17" s="1"/>
  <c r="I149" i="17"/>
  <c r="I146" i="17"/>
  <c r="I148" i="17"/>
  <c r="I147" i="17"/>
  <c r="I145" i="17"/>
  <c r="I150" i="17"/>
  <c r="I144" i="17"/>
  <c r="I78" i="17"/>
  <c r="I153" i="17"/>
  <c r="I76" i="17"/>
  <c r="I71" i="17"/>
  <c r="I79" i="17"/>
  <c r="I152" i="17"/>
  <c r="I75" i="17"/>
  <c r="I151" i="17"/>
  <c r="I73" i="17"/>
  <c r="AD157" i="17"/>
  <c r="AD149" i="17"/>
  <c r="AD146" i="17"/>
  <c r="AD158" i="17"/>
  <c r="AD152" i="17"/>
  <c r="AD153" i="17"/>
  <c r="AD168" i="17"/>
  <c r="AD78" i="17"/>
  <c r="AD150" i="17"/>
  <c r="AD147" i="17"/>
  <c r="AD167" i="17"/>
  <c r="AD71" i="17"/>
  <c r="AD151" i="17"/>
  <c r="AD77" i="17"/>
  <c r="S60" i="17"/>
  <c r="S62" i="17"/>
  <c r="W72" i="17"/>
  <c r="AD73" i="17"/>
  <c r="W146" i="17"/>
  <c r="U167" i="17"/>
  <c r="F214" i="17"/>
  <c r="S151" i="17"/>
  <c r="S148" i="17"/>
  <c r="S153" i="17"/>
  <c r="S152" i="17"/>
  <c r="S150" i="17"/>
  <c r="S136" i="17"/>
  <c r="S149" i="17"/>
  <c r="S146" i="17"/>
  <c r="S144" i="17"/>
  <c r="S141" i="17"/>
  <c r="S138" i="17"/>
  <c r="S137" i="17"/>
  <c r="S147" i="17"/>
  <c r="S140" i="17"/>
  <c r="S139" i="17"/>
  <c r="S145" i="17"/>
  <c r="S77" i="17"/>
  <c r="S69" i="17"/>
  <c r="S61" i="17"/>
  <c r="S134" i="17"/>
  <c r="S78" i="17"/>
  <c r="S70" i="17"/>
  <c r="S63" i="17"/>
  <c r="S135" i="17"/>
  <c r="S74" i="17"/>
  <c r="S66" i="17"/>
  <c r="S143" i="17"/>
  <c r="S142" i="17"/>
  <c r="S68" i="17"/>
  <c r="X70" i="17"/>
  <c r="I74" i="17"/>
  <c r="U75" i="17"/>
  <c r="S67" i="17"/>
  <c r="V142" i="17"/>
  <c r="AJ170" i="17"/>
  <c r="Q206" i="17"/>
  <c r="Q214" i="17" s="1"/>
  <c r="AJ189" i="17"/>
  <c r="AG206" i="17"/>
  <c r="AG214" i="17" s="1"/>
  <c r="U148" i="17"/>
  <c r="U153" i="17"/>
  <c r="U145" i="17"/>
  <c r="U150" i="17"/>
  <c r="U151" i="17"/>
  <c r="U152" i="17"/>
  <c r="U168" i="17"/>
  <c r="U74" i="17"/>
  <c r="U79" i="17"/>
  <c r="U144" i="17"/>
  <c r="U147" i="17"/>
  <c r="U73" i="17"/>
  <c r="U76" i="17"/>
  <c r="W75" i="17"/>
  <c r="AD79" i="17"/>
  <c r="Q133" i="17"/>
  <c r="W149" i="17"/>
  <c r="O160" i="17"/>
  <c r="AE162" i="17"/>
  <c r="AE161" i="17"/>
  <c r="V158" i="17"/>
  <c r="V168" i="17"/>
  <c r="V138" i="17"/>
  <c r="V157" i="17"/>
  <c r="V143" i="17"/>
  <c r="V135" i="17"/>
  <c r="V140" i="17"/>
  <c r="V139" i="17"/>
  <c r="V141" i="17"/>
  <c r="V134" i="17"/>
  <c r="V137" i="17"/>
  <c r="V66" i="17"/>
  <c r="V69" i="17"/>
  <c r="V62" i="17"/>
  <c r="V167" i="17"/>
  <c r="V68" i="17"/>
  <c r="W74" i="17"/>
  <c r="AD76" i="17"/>
  <c r="U78" i="17"/>
  <c r="R133" i="17"/>
  <c r="S156" i="17"/>
  <c r="W153" i="17"/>
  <c r="W145" i="17"/>
  <c r="W158" i="17"/>
  <c r="W150" i="17"/>
  <c r="W157" i="17"/>
  <c r="W151" i="17"/>
  <c r="W152" i="17"/>
  <c r="W168" i="17"/>
  <c r="W79" i="17"/>
  <c r="W71" i="17"/>
  <c r="W147" i="17"/>
  <c r="W73" i="17"/>
  <c r="V67" i="17"/>
  <c r="AD70" i="17"/>
  <c r="X74" i="17"/>
  <c r="I77" i="17"/>
  <c r="W78" i="17"/>
  <c r="S133" i="17"/>
  <c r="W144" i="17"/>
  <c r="Q160" i="17"/>
  <c r="X158" i="17"/>
  <c r="X150" i="17"/>
  <c r="X147" i="17"/>
  <c r="X157" i="17"/>
  <c r="X159" i="17" s="1"/>
  <c r="X219" i="17" s="1"/>
  <c r="X209" i="17" s="1"/>
  <c r="X151" i="17"/>
  <c r="X152" i="17"/>
  <c r="X145" i="17"/>
  <c r="X148" i="17"/>
  <c r="X79" i="17"/>
  <c r="X71" i="17"/>
  <c r="X76" i="17"/>
  <c r="X153" i="17"/>
  <c r="X73" i="17"/>
  <c r="X149" i="17"/>
  <c r="X75" i="17"/>
  <c r="I72" i="17"/>
  <c r="X78" i="17"/>
  <c r="X144" i="17"/>
  <c r="O165" i="17"/>
  <c r="O166" i="17"/>
  <c r="AE165" i="17"/>
  <c r="AE167" i="17" s="1"/>
  <c r="AE166" i="17"/>
  <c r="AE168" i="17" s="1"/>
  <c r="Y196" i="17"/>
  <c r="Y197" i="17" s="1"/>
  <c r="Y194" i="17"/>
  <c r="R156" i="17"/>
  <c r="T156" i="17"/>
  <c r="T158" i="17" s="1"/>
  <c r="W166" i="17"/>
  <c r="W167" i="17" s="1"/>
  <c r="W165" i="17"/>
  <c r="H168" i="17"/>
  <c r="H167" i="17"/>
  <c r="R177" i="17"/>
  <c r="R178" i="17"/>
  <c r="R179" i="17" s="1"/>
  <c r="R180" i="17" s="1"/>
  <c r="R221" i="17" s="1"/>
  <c r="R211" i="17" s="1"/>
  <c r="I168" i="17"/>
  <c r="AJ181" i="17"/>
  <c r="T133" i="17"/>
  <c r="AJ195" i="17"/>
  <c r="U156" i="17"/>
  <c r="U158" i="17" s="1"/>
  <c r="AE194" i="17"/>
  <c r="AE196" i="17"/>
  <c r="AE197" i="17" s="1"/>
  <c r="O196" i="17"/>
  <c r="O197" i="17" s="1"/>
  <c r="Q167" i="17"/>
  <c r="Q168" i="17"/>
  <c r="U194" i="17"/>
  <c r="U196" i="17"/>
  <c r="U197" i="17" s="1"/>
  <c r="P194" i="17"/>
  <c r="H133" i="17"/>
  <c r="R191" i="17"/>
  <c r="V194" i="17"/>
  <c r="V196" i="17"/>
  <c r="V197" i="17" s="1"/>
  <c r="Q194" i="17"/>
  <c r="Q196" i="17"/>
  <c r="Q197" i="17" s="1"/>
  <c r="G158" i="17"/>
  <c r="Q178" i="17"/>
  <c r="Q177" i="17"/>
  <c r="G188" i="17"/>
  <c r="G205" i="17" s="1"/>
  <c r="G213" i="17" s="1"/>
  <c r="AJ187" i="17"/>
  <c r="P206" i="17"/>
  <c r="P214" i="17" s="1"/>
  <c r="X194" i="17"/>
  <c r="X196" i="17"/>
  <c r="X197" i="17" s="1"/>
  <c r="S194" i="17"/>
  <c r="S196" i="17" s="1"/>
  <c r="S197" i="17" s="1"/>
  <c r="V173" i="17"/>
  <c r="V175" i="17" s="1"/>
  <c r="X179" i="17"/>
  <c r="X180" i="17" s="1"/>
  <c r="AJ171" i="17"/>
  <c r="Z184" i="17"/>
  <c r="Z185" i="17" s="1"/>
  <c r="AJ190" i="17"/>
  <c r="F196" i="17"/>
  <c r="AJ192" i="17"/>
  <c r="AA194" i="17"/>
  <c r="AA196" i="17" s="1"/>
  <c r="AA197" i="17" s="1"/>
  <c r="U177" i="17"/>
  <c r="U178" i="17"/>
  <c r="U179" i="17" s="1"/>
  <c r="U180" i="17" s="1"/>
  <c r="F184" i="17"/>
  <c r="AJ183" i="17"/>
  <c r="W177" i="17"/>
  <c r="AJ177" i="17" s="1"/>
  <c r="W178" i="17"/>
  <c r="S184" i="17"/>
  <c r="S185" i="17" s="1"/>
  <c r="H184" i="17"/>
  <c r="H185" i="17" s="1"/>
  <c r="AC184" i="17"/>
  <c r="AC185" i="17" s="1"/>
  <c r="AJ186" i="17"/>
  <c r="F188" i="17"/>
  <c r="T184" i="17"/>
  <c r="T185" i="17" s="1"/>
  <c r="X206" i="17"/>
  <c r="X214" i="17" s="1"/>
  <c r="S167" i="17"/>
  <c r="S168" i="17"/>
  <c r="Q175" i="17"/>
  <c r="R196" i="17"/>
  <c r="R197" i="17" s="1"/>
  <c r="O158" i="17"/>
  <c r="X166" i="17"/>
  <c r="X168" i="17" s="1"/>
  <c r="X165" i="17"/>
  <c r="X167" i="17" s="1"/>
  <c r="W173" i="17"/>
  <c r="W175" i="17" s="1"/>
  <c r="AA179" i="17"/>
  <c r="AA180" i="17" s="1"/>
  <c r="G196" i="17"/>
  <c r="G197" i="17" s="1"/>
  <c r="Y165" i="17"/>
  <c r="Y167" i="17" s="1"/>
  <c r="X174" i="17"/>
  <c r="X173" i="17"/>
  <c r="X175" i="17" s="1"/>
  <c r="AJ154" i="17"/>
  <c r="F156" i="17"/>
  <c r="AD177" i="17"/>
  <c r="AD179" i="17" s="1"/>
  <c r="AD180" i="17" s="1"/>
  <c r="I206" i="17"/>
  <c r="I214" i="17" s="1"/>
  <c r="AD206" i="17"/>
  <c r="AD214" i="17" s="1"/>
  <c r="F167" i="17"/>
  <c r="F173" i="17"/>
  <c r="AA173" i="17"/>
  <c r="AA175" i="17" s="1"/>
  <c r="AE177" i="17"/>
  <c r="AE179" i="17" s="1"/>
  <c r="AE180" i="17" s="1"/>
  <c r="R188" i="17"/>
  <c r="R205" i="17" s="1"/>
  <c r="R213" i="17" s="1"/>
  <c r="AB194" i="17"/>
  <c r="AB196" i="17" s="1"/>
  <c r="AB197" i="17" s="1"/>
  <c r="G166" i="17"/>
  <c r="G173" i="17"/>
  <c r="AB173" i="17"/>
  <c r="AB175" i="17" s="1"/>
  <c r="G174" i="17"/>
  <c r="AJ174" i="17" s="1"/>
  <c r="P178" i="17"/>
  <c r="P177" i="17"/>
  <c r="AJ176" i="17"/>
  <c r="F179" i="17"/>
  <c r="V184" i="17"/>
  <c r="V185" i="17" s="1"/>
  <c r="S188" i="17"/>
  <c r="S205" i="17" s="1"/>
  <c r="S213" i="17" s="1"/>
  <c r="W196" i="17"/>
  <c r="W197" i="17" s="1"/>
  <c r="AE10" i="16"/>
  <c r="AE11" i="16" s="1"/>
  <c r="AE12" i="16"/>
  <c r="H16" i="16"/>
  <c r="AC16" i="16"/>
  <c r="F28" i="16"/>
  <c r="V31" i="16"/>
  <c r="AF12" i="16"/>
  <c r="AF10" i="16"/>
  <c r="AF11" i="16" s="1"/>
  <c r="T15" i="16"/>
  <c r="I16" i="16"/>
  <c r="AD16" i="16"/>
  <c r="Q24" i="16"/>
  <c r="Q25" i="16" s="1"/>
  <c r="R12" i="20" s="1"/>
  <c r="Q26" i="16"/>
  <c r="F29" i="16"/>
  <c r="AG12" i="16"/>
  <c r="AG15" i="16" s="1"/>
  <c r="AG10" i="16"/>
  <c r="AG11" i="16" s="1"/>
  <c r="AG14" i="16" s="1"/>
  <c r="U15" i="16"/>
  <c r="O17" i="16"/>
  <c r="O18" i="16" s="1"/>
  <c r="P9" i="20" s="1"/>
  <c r="P11" i="20" s="1"/>
  <c r="O19" i="16"/>
  <c r="AE17" i="16"/>
  <c r="AE18" i="16" s="1"/>
  <c r="AE19" i="16"/>
  <c r="R26" i="16"/>
  <c r="R24" i="16"/>
  <c r="R25" i="16" s="1"/>
  <c r="W29" i="16"/>
  <c r="AH12" i="16"/>
  <c r="AH15" i="16" s="1"/>
  <c r="AH10" i="16"/>
  <c r="AH11" i="16" s="1"/>
  <c r="AH14" i="16" s="1"/>
  <c r="V15" i="16"/>
  <c r="V32" i="16" s="1"/>
  <c r="AF22" i="16"/>
  <c r="S26" i="16"/>
  <c r="S29" i="16" s="1"/>
  <c r="S24" i="16"/>
  <c r="S25" i="16" s="1"/>
  <c r="X29" i="16"/>
  <c r="O10" i="16"/>
  <c r="O11" i="16" s="1"/>
  <c r="P6" i="20" s="1"/>
  <c r="P8" i="20" s="1"/>
  <c r="O12" i="16"/>
  <c r="O15" i="16" s="1"/>
  <c r="W15" i="16"/>
  <c r="AG21" i="16"/>
  <c r="Y32" i="16"/>
  <c r="AA29" i="16"/>
  <c r="Q12" i="16"/>
  <c r="Q15" i="16" s="1"/>
  <c r="Q10" i="16"/>
  <c r="Q11" i="16" s="1"/>
  <c r="S22" i="16"/>
  <c r="P12" i="16"/>
  <c r="P15" i="16" s="1"/>
  <c r="P10" i="16"/>
  <c r="P11" i="16" s="1"/>
  <c r="R12" i="16"/>
  <c r="R10" i="16"/>
  <c r="R11" i="16" s="1"/>
  <c r="R14" i="16" s="1"/>
  <c r="Y15" i="16"/>
  <c r="AF17" i="16"/>
  <c r="AF18" i="16" s="1"/>
  <c r="AF19" i="16"/>
  <c r="W31" i="16"/>
  <c r="AJ13" i="16"/>
  <c r="F30" i="16"/>
  <c r="F9" i="16"/>
  <c r="F7" i="16"/>
  <c r="AA9" i="16"/>
  <c r="AA30" i="16"/>
  <c r="AA7" i="16"/>
  <c r="Z15" i="16"/>
  <c r="AG19" i="16"/>
  <c r="AG17" i="16"/>
  <c r="AG18" i="16" s="1"/>
  <c r="U22" i="16"/>
  <c r="H23" i="16"/>
  <c r="AJ27" i="16"/>
  <c r="AC23" i="16"/>
  <c r="G9" i="16"/>
  <c r="G7" i="16"/>
  <c r="G30" i="16"/>
  <c r="AB9" i="16"/>
  <c r="AB7" i="16"/>
  <c r="AB30" i="16"/>
  <c r="AH19" i="16"/>
  <c r="AH17" i="16"/>
  <c r="AH18" i="16" s="1"/>
  <c r="AH21" i="16" s="1"/>
  <c r="V22" i="16"/>
  <c r="I23" i="16"/>
  <c r="AD23" i="16"/>
  <c r="AJ36" i="16"/>
  <c r="H9" i="16"/>
  <c r="H7" i="16"/>
  <c r="H30" i="16"/>
  <c r="AC9" i="16"/>
  <c r="AC7" i="16"/>
  <c r="AC30" i="16"/>
  <c r="F21" i="16"/>
  <c r="W22" i="16"/>
  <c r="F22" i="16"/>
  <c r="O23" i="16"/>
  <c r="AE23" i="16"/>
  <c r="I9" i="16"/>
  <c r="I7" i="16"/>
  <c r="I30" i="16"/>
  <c r="AD10" i="16"/>
  <c r="AD11" i="16" s="1"/>
  <c r="AD12" i="16"/>
  <c r="P17" i="16"/>
  <c r="P18" i="16" s="1"/>
  <c r="P19" i="16"/>
  <c r="P22" i="16" s="1"/>
  <c r="X22" i="16"/>
  <c r="P24" i="16"/>
  <c r="P25" i="16" s="1"/>
  <c r="P26" i="16"/>
  <c r="AF24" i="16"/>
  <c r="AF25" i="16" s="1"/>
  <c r="AF26" i="16"/>
  <c r="Q19" i="16"/>
  <c r="Q17" i="16"/>
  <c r="Q18" i="16" s="1"/>
  <c r="R9" i="20" s="1"/>
  <c r="R11" i="20" s="1"/>
  <c r="Z22" i="16"/>
  <c r="Z32" i="16" s="1"/>
  <c r="R19" i="16"/>
  <c r="R17" i="16"/>
  <c r="R18" i="16" s="1"/>
  <c r="R21" i="16" s="1"/>
  <c r="AG24" i="16"/>
  <c r="AG25" i="16" s="1"/>
  <c r="AG28" i="16" s="1"/>
  <c r="AG31" i="16" s="1"/>
  <c r="AG26" i="16"/>
  <c r="AG29" i="16" s="1"/>
  <c r="AG32" i="16" s="1"/>
  <c r="R28" i="16"/>
  <c r="AH29" i="16"/>
  <c r="AH26" i="16"/>
  <c r="AH24" i="16"/>
  <c r="AH25" i="16" s="1"/>
  <c r="G16" i="16"/>
  <c r="AJ20" i="16"/>
  <c r="AB16" i="16"/>
  <c r="T29" i="16"/>
  <c r="AE15" i="16"/>
  <c r="AG22" i="16"/>
  <c r="AH22" i="16"/>
  <c r="S8" i="16"/>
  <c r="AE22" i="16"/>
  <c r="AF29" i="16"/>
  <c r="AD14" i="16"/>
  <c r="S17" i="16"/>
  <c r="S18" i="16" s="1"/>
  <c r="S21" i="16" s="1"/>
  <c r="O21" i="16"/>
  <c r="AE21" i="16"/>
  <c r="T24" i="16"/>
  <c r="T25" i="16" s="1"/>
  <c r="T28" i="16" s="1"/>
  <c r="AF28" i="16"/>
  <c r="AD30" i="16"/>
  <c r="AD7" i="16"/>
  <c r="S10" i="16"/>
  <c r="S11" i="16" s="1"/>
  <c r="S14" i="16" s="1"/>
  <c r="O14" i="16"/>
  <c r="AE14" i="16"/>
  <c r="T17" i="16"/>
  <c r="T18" i="16" s="1"/>
  <c r="T21" i="16" s="1"/>
  <c r="AF21" i="16"/>
  <c r="U24" i="16"/>
  <c r="U25" i="16" s="1"/>
  <c r="U28" i="16" s="1"/>
  <c r="U31" i="16" s="1"/>
  <c r="O30" i="16"/>
  <c r="AE30" i="16"/>
  <c r="O22" i="16"/>
  <c r="AF14" i="16"/>
  <c r="AH28" i="16"/>
  <c r="P30" i="16"/>
  <c r="AF30" i="16"/>
  <c r="AD15" i="16"/>
  <c r="AF15" i="16"/>
  <c r="P4" i="15"/>
  <c r="AK4" i="15"/>
  <c r="D6" i="15"/>
  <c r="P9" i="15"/>
  <c r="AM9" i="15"/>
  <c r="H13" i="15"/>
  <c r="H10" i="15" s="1"/>
  <c r="AB13" i="15"/>
  <c r="AB10" i="15" s="1"/>
  <c r="AZ13" i="15"/>
  <c r="AZ10" i="15" s="1"/>
  <c r="L20" i="15"/>
  <c r="O155" i="17" s="1"/>
  <c r="O157" i="17" s="1"/>
  <c r="AF20" i="15"/>
  <c r="AY24" i="15"/>
  <c r="AI24" i="15"/>
  <c r="S24" i="15"/>
  <c r="D24" i="15"/>
  <c r="AW24" i="15"/>
  <c r="AG24" i="15"/>
  <c r="Q24" i="15"/>
  <c r="AU24" i="15"/>
  <c r="AE24" i="15"/>
  <c r="O24" i="15"/>
  <c r="AS24" i="15"/>
  <c r="AC24" i="15"/>
  <c r="M24" i="15"/>
  <c r="W24" i="15"/>
  <c r="AQ24" i="15"/>
  <c r="V119" i="15"/>
  <c r="E145" i="15"/>
  <c r="G13" i="18" s="1"/>
  <c r="Z145" i="15"/>
  <c r="AZ145" i="15"/>
  <c r="T146" i="15"/>
  <c r="AT146" i="15"/>
  <c r="N147" i="15"/>
  <c r="Q14" i="18" s="1"/>
  <c r="AN147" i="15"/>
  <c r="H148" i="15"/>
  <c r="AG148" i="15"/>
  <c r="BC148" i="15"/>
  <c r="X149" i="15"/>
  <c r="AW149" i="15"/>
  <c r="Q150" i="15"/>
  <c r="AQ150" i="15"/>
  <c r="K151" i="15"/>
  <c r="AK151" i="15"/>
  <c r="E152" i="15"/>
  <c r="G36" i="18" s="1"/>
  <c r="AE152" i="15"/>
  <c r="AZ152" i="15"/>
  <c r="X153" i="15"/>
  <c r="AT153" i="15"/>
  <c r="O154" i="15"/>
  <c r="AN154" i="15"/>
  <c r="H155" i="15"/>
  <c r="AH155" i="15"/>
  <c r="AD156" i="15"/>
  <c r="BC119" i="15"/>
  <c r="AM119" i="15"/>
  <c r="W119" i="15"/>
  <c r="G119" i="15"/>
  <c r="I135" i="18" s="1"/>
  <c r="BA119" i="15"/>
  <c r="AK119" i="15"/>
  <c r="U119" i="15"/>
  <c r="E119" i="15"/>
  <c r="G135" i="18" s="1"/>
  <c r="AY119" i="15"/>
  <c r="AI119" i="15"/>
  <c r="S119" i="15"/>
  <c r="AW119" i="15"/>
  <c r="AG119" i="15"/>
  <c r="Q119" i="15"/>
  <c r="X119" i="15"/>
  <c r="AR119" i="15"/>
  <c r="F145" i="15"/>
  <c r="H13" i="18" s="1"/>
  <c r="AB145" i="15"/>
  <c r="BA145" i="15"/>
  <c r="U146" i="15"/>
  <c r="AU146" i="15"/>
  <c r="O147" i="15"/>
  <c r="R14" i="18" s="1"/>
  <c r="AO147" i="15"/>
  <c r="I148" i="15"/>
  <c r="AI148" i="15"/>
  <c r="AB149" i="15"/>
  <c r="AX149" i="15"/>
  <c r="S150" i="15"/>
  <c r="AR150" i="15"/>
  <c r="L151" i="15"/>
  <c r="O46" i="18" s="1"/>
  <c r="AL151" i="15"/>
  <c r="F152" i="15"/>
  <c r="AF152" i="15"/>
  <c r="BA152" i="15"/>
  <c r="Z153" i="15"/>
  <c r="AU153" i="15"/>
  <c r="S154" i="15"/>
  <c r="AO154" i="15"/>
  <c r="J155" i="15"/>
  <c r="AI155" i="15"/>
  <c r="E156" i="15"/>
  <c r="S4" i="15"/>
  <c r="AM4" i="15"/>
  <c r="T9" i="15"/>
  <c r="AO9" i="15"/>
  <c r="J13" i="15"/>
  <c r="J10" i="15" s="1"/>
  <c r="AF13" i="15"/>
  <c r="AF10" i="15" s="1"/>
  <c r="BB13" i="15"/>
  <c r="BB10" i="15" s="1"/>
  <c r="AP156" i="15"/>
  <c r="Z156" i="15"/>
  <c r="J156" i="15"/>
  <c r="AU155" i="15"/>
  <c r="AE155" i="15"/>
  <c r="O155" i="15"/>
  <c r="AZ154" i="15"/>
  <c r="AJ154" i="15"/>
  <c r="T154" i="15"/>
  <c r="AO153" i="15"/>
  <c r="Y153" i="15"/>
  <c r="I153" i="15"/>
  <c r="AT152" i="15"/>
  <c r="AD152" i="15"/>
  <c r="N152" i="15"/>
  <c r="Q36" i="18" s="1"/>
  <c r="AY151" i="15"/>
  <c r="AI151" i="15"/>
  <c r="S151" i="15"/>
  <c r="AN150" i="15"/>
  <c r="X150" i="15"/>
  <c r="H150" i="15"/>
  <c r="AS149" i="15"/>
  <c r="AC149" i="15"/>
  <c r="M149" i="15"/>
  <c r="AX148" i="15"/>
  <c r="AH148" i="15"/>
  <c r="R148" i="15"/>
  <c r="BC147" i="15"/>
  <c r="AM147" i="15"/>
  <c r="W147" i="15"/>
  <c r="G147" i="15"/>
  <c r="I14" i="18" s="1"/>
  <c r="AR146" i="15"/>
  <c r="AB146" i="15"/>
  <c r="L146" i="15"/>
  <c r="AW145" i="15"/>
  <c r="AG145" i="15"/>
  <c r="Q145" i="15"/>
  <c r="AN156" i="15"/>
  <c r="X156" i="15"/>
  <c r="H156" i="15"/>
  <c r="AS155" i="15"/>
  <c r="AC155" i="15"/>
  <c r="M155" i="15"/>
  <c r="AX154" i="15"/>
  <c r="AH154" i="15"/>
  <c r="R154" i="15"/>
  <c r="BC153" i="15"/>
  <c r="AM153" i="15"/>
  <c r="W153" i="15"/>
  <c r="G153" i="15"/>
  <c r="I48" i="18" s="1"/>
  <c r="AR152" i="15"/>
  <c r="AB152" i="15"/>
  <c r="L152" i="15"/>
  <c r="O36" i="18" s="1"/>
  <c r="AW151" i="15"/>
  <c r="AG151" i="15"/>
  <c r="Q151" i="15"/>
  <c r="BB150" i="15"/>
  <c r="AL150" i="15"/>
  <c r="V150" i="15"/>
  <c r="F150" i="15"/>
  <c r="AQ149" i="15"/>
  <c r="AA149" i="15"/>
  <c r="K149" i="15"/>
  <c r="AV148" i="15"/>
  <c r="AF148" i="15"/>
  <c r="P148" i="15"/>
  <c r="BA147" i="15"/>
  <c r="AK147" i="15"/>
  <c r="U147" i="15"/>
  <c r="E147" i="15"/>
  <c r="G14" i="18" s="1"/>
  <c r="AP146" i="15"/>
  <c r="Z146" i="15"/>
  <c r="J146" i="15"/>
  <c r="AU145" i="15"/>
  <c r="AE145" i="15"/>
  <c r="O145" i="15"/>
  <c r="R13" i="18" s="1"/>
  <c r="BC156" i="15"/>
  <c r="AM156" i="15"/>
  <c r="W156" i="15"/>
  <c r="G156" i="15"/>
  <c r="AR155" i="15"/>
  <c r="AB155" i="15"/>
  <c r="L155" i="15"/>
  <c r="AW154" i="15"/>
  <c r="AG154" i="15"/>
  <c r="Q154" i="15"/>
  <c r="BB153" i="15"/>
  <c r="AL153" i="15"/>
  <c r="V153" i="15"/>
  <c r="F153" i="15"/>
  <c r="H48" i="18" s="1"/>
  <c r="AQ152" i="15"/>
  <c r="AA152" i="15"/>
  <c r="K152" i="15"/>
  <c r="AV151" i="15"/>
  <c r="AF151" i="15"/>
  <c r="P151" i="15"/>
  <c r="BA150" i="15"/>
  <c r="AK150" i="15"/>
  <c r="U150" i="15"/>
  <c r="E150" i="15"/>
  <c r="AP149" i="15"/>
  <c r="Z149" i="15"/>
  <c r="J149" i="15"/>
  <c r="AU148" i="15"/>
  <c r="AE148" i="15"/>
  <c r="O148" i="15"/>
  <c r="AZ147" i="15"/>
  <c r="AJ147" i="15"/>
  <c r="T147" i="15"/>
  <c r="AO146" i="15"/>
  <c r="Y146" i="15"/>
  <c r="I146" i="15"/>
  <c r="AT145" i="15"/>
  <c r="AD145" i="15"/>
  <c r="N145" i="15"/>
  <c r="Q13" i="18" s="1"/>
  <c r="BB156" i="15"/>
  <c r="AL156" i="15"/>
  <c r="V156" i="15"/>
  <c r="F156" i="15"/>
  <c r="AQ155" i="15"/>
  <c r="AA155" i="15"/>
  <c r="K155" i="15"/>
  <c r="AV154" i="15"/>
  <c r="AF154" i="15"/>
  <c r="P154" i="15"/>
  <c r="BA153" i="15"/>
  <c r="AK153" i="15"/>
  <c r="U153" i="15"/>
  <c r="E153" i="15"/>
  <c r="G48" i="18" s="1"/>
  <c r="AP152" i="15"/>
  <c r="Z152" i="15"/>
  <c r="J152" i="15"/>
  <c r="AU151" i="15"/>
  <c r="AE151" i="15"/>
  <c r="O151" i="15"/>
  <c r="R46" i="18" s="1"/>
  <c r="AZ150" i="15"/>
  <c r="AJ150" i="15"/>
  <c r="T150" i="15"/>
  <c r="AO149" i="15"/>
  <c r="Y149" i="15"/>
  <c r="I149" i="15"/>
  <c r="AT148" i="15"/>
  <c r="AD148" i="15"/>
  <c r="N148" i="15"/>
  <c r="Q11" i="18" s="1"/>
  <c r="AY147" i="15"/>
  <c r="AI147" i="15"/>
  <c r="S147" i="15"/>
  <c r="AN146" i="15"/>
  <c r="X146" i="15"/>
  <c r="H146" i="15"/>
  <c r="AS145" i="15"/>
  <c r="AC145" i="15"/>
  <c r="M145" i="15"/>
  <c r="P13" i="18" s="1"/>
  <c r="AZ156" i="15"/>
  <c r="AJ156" i="15"/>
  <c r="T156" i="15"/>
  <c r="AO155" i="15"/>
  <c r="Y155" i="15"/>
  <c r="I155" i="15"/>
  <c r="AT154" i="15"/>
  <c r="AD154" i="15"/>
  <c r="N154" i="15"/>
  <c r="AY153" i="15"/>
  <c r="AI153" i="15"/>
  <c r="S153" i="15"/>
  <c r="AN152" i="15"/>
  <c r="X152" i="15"/>
  <c r="H152" i="15"/>
  <c r="AS151" i="15"/>
  <c r="AC151" i="15"/>
  <c r="M151" i="15"/>
  <c r="P46" i="18" s="1"/>
  <c r="AX150" i="15"/>
  <c r="AH150" i="15"/>
  <c r="R150" i="15"/>
  <c r="BC149" i="15"/>
  <c r="AM149" i="15"/>
  <c r="W149" i="15"/>
  <c r="G149" i="15"/>
  <c r="AR148" i="15"/>
  <c r="AB148" i="15"/>
  <c r="L148" i="15"/>
  <c r="O11" i="18" s="1"/>
  <c r="AW147" i="15"/>
  <c r="AG147" i="15"/>
  <c r="Q147" i="15"/>
  <c r="BB146" i="15"/>
  <c r="AL146" i="15"/>
  <c r="V146" i="15"/>
  <c r="F146" i="15"/>
  <c r="AQ145" i="15"/>
  <c r="AA145" i="15"/>
  <c r="K145" i="15"/>
  <c r="AV156" i="15"/>
  <c r="AF156" i="15"/>
  <c r="P156" i="15"/>
  <c r="BA155" i="15"/>
  <c r="AT156" i="15"/>
  <c r="N20" i="15"/>
  <c r="Q155" i="17" s="1"/>
  <c r="Q157" i="17" s="1"/>
  <c r="Q159" i="17" s="1"/>
  <c r="Q219" i="17" s="1"/>
  <c r="Q209" i="17" s="1"/>
  <c r="AJ20" i="15"/>
  <c r="E24" i="15"/>
  <c r="Y24" i="15"/>
  <c r="AT24" i="15"/>
  <c r="D119" i="15"/>
  <c r="F135" i="18" s="1"/>
  <c r="Y119" i="15"/>
  <c r="AS119" i="15"/>
  <c r="G145" i="15"/>
  <c r="I13" i="18" s="1"/>
  <c r="AF145" i="15"/>
  <c r="BB145" i="15"/>
  <c r="W146" i="15"/>
  <c r="AV146" i="15"/>
  <c r="P147" i="15"/>
  <c r="AP147" i="15"/>
  <c r="J148" i="15"/>
  <c r="AJ148" i="15"/>
  <c r="D149" i="15"/>
  <c r="AD149" i="15"/>
  <c r="AY149" i="15"/>
  <c r="W150" i="15"/>
  <c r="AS150" i="15"/>
  <c r="N151" i="15"/>
  <c r="Q46" i="18" s="1"/>
  <c r="AM151" i="15"/>
  <c r="G152" i="15"/>
  <c r="I36" i="18" s="1"/>
  <c r="AG152" i="15"/>
  <c r="BB152" i="15"/>
  <c r="AA153" i="15"/>
  <c r="AV153" i="15"/>
  <c r="U154" i="15"/>
  <c r="AP154" i="15"/>
  <c r="N155" i="15"/>
  <c r="AJ155" i="15"/>
  <c r="I156" i="15"/>
  <c r="AG156" i="15"/>
  <c r="Z119" i="15"/>
  <c r="AT119" i="15"/>
  <c r="H145" i="15"/>
  <c r="AH145" i="15"/>
  <c r="BC145" i="15"/>
  <c r="AA146" i="15"/>
  <c r="AW146" i="15"/>
  <c r="R147" i="15"/>
  <c r="AQ147" i="15"/>
  <c r="K148" i="15"/>
  <c r="AK148" i="15"/>
  <c r="E149" i="15"/>
  <c r="AE149" i="15"/>
  <c r="AZ149" i="15"/>
  <c r="Y150" i="15"/>
  <c r="AT150" i="15"/>
  <c r="R151" i="15"/>
  <c r="AN151" i="15"/>
  <c r="I152" i="15"/>
  <c r="AH152" i="15"/>
  <c r="BC152" i="15"/>
  <c r="AB153" i="15"/>
  <c r="AW153" i="15"/>
  <c r="V154" i="15"/>
  <c r="AQ154" i="15"/>
  <c r="P155" i="15"/>
  <c r="AK155" i="15"/>
  <c r="K156" i="15"/>
  <c r="AH156" i="15"/>
  <c r="D2" i="15"/>
  <c r="V4" i="15"/>
  <c r="AO4" i="15"/>
  <c r="W9" i="15"/>
  <c r="AQ9" i="15"/>
  <c r="L13" i="15"/>
  <c r="L10" i="15" s="1"/>
  <c r="AJ13" i="15"/>
  <c r="AJ10" i="15" s="1"/>
  <c r="P20" i="15"/>
  <c r="AN20" i="15"/>
  <c r="G24" i="15"/>
  <c r="AA24" i="15"/>
  <c r="AX24" i="15"/>
  <c r="F119" i="15"/>
  <c r="H135" i="18" s="1"/>
  <c r="AA119" i="15"/>
  <c r="AU119" i="15"/>
  <c r="I145" i="15"/>
  <c r="AI145" i="15"/>
  <c r="AC146" i="15"/>
  <c r="AX146" i="15"/>
  <c r="V147" i="15"/>
  <c r="AR147" i="15"/>
  <c r="M148" i="15"/>
  <c r="P11" i="18" s="1"/>
  <c r="AL148" i="15"/>
  <c r="F149" i="15"/>
  <c r="AF149" i="15"/>
  <c r="BA149" i="15"/>
  <c r="Z150" i="15"/>
  <c r="AU150" i="15"/>
  <c r="T151" i="15"/>
  <c r="AO151" i="15"/>
  <c r="M152" i="15"/>
  <c r="P36" i="18" s="1"/>
  <c r="AI152" i="15"/>
  <c r="D153" i="15"/>
  <c r="F48" i="18" s="1"/>
  <c r="AJ48" i="18" s="1"/>
  <c r="AC153" i="15"/>
  <c r="AX153" i="15"/>
  <c r="W154" i="15"/>
  <c r="AR154" i="15"/>
  <c r="Q155" i="15"/>
  <c r="AL155" i="15"/>
  <c r="L156" i="15"/>
  <c r="AI156" i="15"/>
  <c r="H119" i="15"/>
  <c r="AB119" i="15"/>
  <c r="AV119" i="15"/>
  <c r="J145" i="15"/>
  <c r="AJ145" i="15"/>
  <c r="D146" i="15"/>
  <c r="AD146" i="15"/>
  <c r="AY146" i="15"/>
  <c r="X147" i="15"/>
  <c r="AS147" i="15"/>
  <c r="Q148" i="15"/>
  <c r="AM148" i="15"/>
  <c r="H149" i="15"/>
  <c r="AG149" i="15"/>
  <c r="BB149" i="15"/>
  <c r="AA150" i="15"/>
  <c r="AV150" i="15"/>
  <c r="U151" i="15"/>
  <c r="AP151" i="15"/>
  <c r="O152" i="15"/>
  <c r="AJ152" i="15"/>
  <c r="H153" i="15"/>
  <c r="AD153" i="15"/>
  <c r="AZ153" i="15"/>
  <c r="X154" i="15"/>
  <c r="AS154" i="15"/>
  <c r="R155" i="15"/>
  <c r="AM155" i="15"/>
  <c r="M156" i="15"/>
  <c r="AK156" i="15"/>
  <c r="I13" i="15"/>
  <c r="I10" i="15" s="1"/>
  <c r="AD13" i="15"/>
  <c r="AD10" i="15" s="1"/>
  <c r="BA13" i="15"/>
  <c r="BA10" i="15" s="1"/>
  <c r="M20" i="15"/>
  <c r="P155" i="17" s="1"/>
  <c r="P157" i="17" s="1"/>
  <c r="P159" i="17" s="1"/>
  <c r="P219" i="17" s="1"/>
  <c r="P209" i="17" s="1"/>
  <c r="AH20" i="15"/>
  <c r="D3" i="15"/>
  <c r="E4" i="15"/>
  <c r="X4" i="15"/>
  <c r="AQ4" i="15"/>
  <c r="Y9" i="15"/>
  <c r="AS9" i="15"/>
  <c r="P10" i="15"/>
  <c r="P13" i="15"/>
  <c r="AL13" i="15"/>
  <c r="AL10" i="15" s="1"/>
  <c r="T20" i="15"/>
  <c r="AP20" i="15"/>
  <c r="I24" i="15"/>
  <c r="AD24" i="15"/>
  <c r="BA24" i="15"/>
  <c r="I119" i="15"/>
  <c r="AC119" i="15"/>
  <c r="AX119" i="15"/>
  <c r="L145" i="15"/>
  <c r="O13" i="18" s="1"/>
  <c r="AK145" i="15"/>
  <c r="E146" i="15"/>
  <c r="AE146" i="15"/>
  <c r="AZ146" i="15"/>
  <c r="Y147" i="15"/>
  <c r="AT147" i="15"/>
  <c r="S148" i="15"/>
  <c r="AN148" i="15"/>
  <c r="L149" i="15"/>
  <c r="AH149" i="15"/>
  <c r="AB150" i="15"/>
  <c r="AW150" i="15"/>
  <c r="V151" i="15"/>
  <c r="AQ151" i="15"/>
  <c r="P152" i="15"/>
  <c r="AK152" i="15"/>
  <c r="J153" i="15"/>
  <c r="AE153" i="15"/>
  <c r="Y154" i="15"/>
  <c r="AU154" i="15"/>
  <c r="S155" i="15"/>
  <c r="AN155" i="15"/>
  <c r="N156" i="15"/>
  <c r="AO156" i="15"/>
  <c r="F4" i="15"/>
  <c r="Y4" i="15"/>
  <c r="AR4" i="15"/>
  <c r="F9" i="15"/>
  <c r="Z9" i="15"/>
  <c r="AT9" i="15"/>
  <c r="R13" i="15"/>
  <c r="R10" i="15" s="1"/>
  <c r="AM13" i="15"/>
  <c r="AM10" i="15" s="1"/>
  <c r="V20" i="15"/>
  <c r="AQ20" i="15"/>
  <c r="J119" i="15"/>
  <c r="AD119" i="15"/>
  <c r="AZ119" i="15"/>
  <c r="P145" i="15"/>
  <c r="AL145" i="15"/>
  <c r="G146" i="15"/>
  <c r="I10" i="18" s="1"/>
  <c r="AF146" i="15"/>
  <c r="BA146" i="15"/>
  <c r="Z147" i="15"/>
  <c r="AU147" i="15"/>
  <c r="T148" i="15"/>
  <c r="AO148" i="15"/>
  <c r="N149" i="15"/>
  <c r="AI149" i="15"/>
  <c r="G150" i="15"/>
  <c r="AC150" i="15"/>
  <c r="AY150" i="15"/>
  <c r="W151" i="15"/>
  <c r="AR151" i="15"/>
  <c r="Q152" i="15"/>
  <c r="AL152" i="15"/>
  <c r="K153" i="15"/>
  <c r="AF153" i="15"/>
  <c r="E154" i="15"/>
  <c r="G38" i="18" s="1"/>
  <c r="Z154" i="15"/>
  <c r="AY154" i="15"/>
  <c r="T155" i="15"/>
  <c r="AP155" i="15"/>
  <c r="O156" i="15"/>
  <c r="AQ156" i="15"/>
  <c r="G4" i="15"/>
  <c r="Z4" i="15"/>
  <c r="G9" i="15"/>
  <c r="AA9" i="15"/>
  <c r="T13" i="15"/>
  <c r="T10" i="15" s="1"/>
  <c r="X20" i="15"/>
  <c r="AR20" i="15"/>
  <c r="K24" i="15"/>
  <c r="AH24" i="15"/>
  <c r="BC24" i="15"/>
  <c r="K119" i="15"/>
  <c r="AE119" i="15"/>
  <c r="BB119" i="15"/>
  <c r="R145" i="15"/>
  <c r="AM145" i="15"/>
  <c r="K146" i="15"/>
  <c r="AG146" i="15"/>
  <c r="BC146" i="15"/>
  <c r="AA147" i="15"/>
  <c r="AV147" i="15"/>
  <c r="U148" i="15"/>
  <c r="AP148" i="15"/>
  <c r="O149" i="15"/>
  <c r="AJ149" i="15"/>
  <c r="I150" i="15"/>
  <c r="AD150" i="15"/>
  <c r="BC150" i="15"/>
  <c r="X151" i="15"/>
  <c r="AT151" i="15"/>
  <c r="R152" i="15"/>
  <c r="AM152" i="15"/>
  <c r="L153" i="15"/>
  <c r="O48" i="18" s="1"/>
  <c r="AG153" i="15"/>
  <c r="F154" i="15"/>
  <c r="AA154" i="15"/>
  <c r="BA154" i="15"/>
  <c r="U155" i="15"/>
  <c r="AT155" i="15"/>
  <c r="Q156" i="15"/>
  <c r="AR156" i="15"/>
  <c r="AZ4" i="15"/>
  <c r="AJ4" i="15"/>
  <c r="T4" i="15"/>
  <c r="AX4" i="15"/>
  <c r="AH4" i="15"/>
  <c r="R4" i="15"/>
  <c r="AT4" i="15"/>
  <c r="AD4" i="15"/>
  <c r="N4" i="15"/>
  <c r="W4" i="15"/>
  <c r="AP4" i="15"/>
  <c r="BA9" i="15"/>
  <c r="AK9" i="15"/>
  <c r="U9" i="15"/>
  <c r="E9" i="15"/>
  <c r="AY9" i="15"/>
  <c r="AI9" i="15"/>
  <c r="S9" i="15"/>
  <c r="D8" i="15"/>
  <c r="AW9" i="15"/>
  <c r="AG9" i="15"/>
  <c r="Q9" i="15"/>
  <c r="AU9" i="15"/>
  <c r="AE9" i="15"/>
  <c r="O9" i="15"/>
  <c r="X9" i="15"/>
  <c r="AR9" i="15"/>
  <c r="N13" i="15"/>
  <c r="N10" i="15" s="1"/>
  <c r="AK13" i="15"/>
  <c r="AK10" i="15" s="1"/>
  <c r="R20" i="15"/>
  <c r="AO20" i="15"/>
  <c r="H4" i="15"/>
  <c r="AA4" i="15"/>
  <c r="AU4" i="15"/>
  <c r="H9" i="15"/>
  <c r="AB9" i="15"/>
  <c r="AX9" i="15"/>
  <c r="U13" i="15"/>
  <c r="U10" i="15" s="1"/>
  <c r="AO13" i="15"/>
  <c r="AO10" i="15" s="1"/>
  <c r="S145" i="15"/>
  <c r="AN145" i="15"/>
  <c r="M146" i="15"/>
  <c r="P10" i="18" s="1"/>
  <c r="AH146" i="15"/>
  <c r="F147" i="15"/>
  <c r="H14" i="18" s="1"/>
  <c r="AB147" i="15"/>
  <c r="AX147" i="15"/>
  <c r="V148" i="15"/>
  <c r="AQ148" i="15"/>
  <c r="P149" i="15"/>
  <c r="AK149" i="15"/>
  <c r="J150" i="15"/>
  <c r="AE150" i="15"/>
  <c r="D151" i="15"/>
  <c r="F46" i="18" s="1"/>
  <c r="Y151" i="15"/>
  <c r="AX151" i="15"/>
  <c r="S152" i="15"/>
  <c r="AO152" i="15"/>
  <c r="M153" i="15"/>
  <c r="P48" i="18" s="1"/>
  <c r="AH153" i="15"/>
  <c r="G154" i="15"/>
  <c r="I38" i="18" s="1"/>
  <c r="AB154" i="15"/>
  <c r="BB154" i="15"/>
  <c r="V155" i="15"/>
  <c r="AV155" i="15"/>
  <c r="R156" i="15"/>
  <c r="AS156" i="15"/>
  <c r="L119" i="15"/>
  <c r="O135" i="18" s="1"/>
  <c r="AF119" i="15"/>
  <c r="I4" i="15"/>
  <c r="AB4" i="15"/>
  <c r="AV4" i="15"/>
  <c r="I9" i="15"/>
  <c r="AC9" i="15"/>
  <c r="AZ9" i="15"/>
  <c r="AY13" i="15"/>
  <c r="AY10" i="15" s="1"/>
  <c r="AI13" i="15"/>
  <c r="AI10" i="15" s="1"/>
  <c r="S13" i="15"/>
  <c r="S10" i="15" s="1"/>
  <c r="AW13" i="15"/>
  <c r="AG13" i="15"/>
  <c r="AG10" i="15" s="1"/>
  <c r="Q13" i="15"/>
  <c r="Q10" i="15" s="1"/>
  <c r="D11" i="15"/>
  <c r="D13" i="15" s="1"/>
  <c r="AU13" i="15"/>
  <c r="AE13" i="15"/>
  <c r="O13" i="15"/>
  <c r="AS13" i="15"/>
  <c r="AS10" i="15" s="1"/>
  <c r="AC13" i="15"/>
  <c r="AC10" i="15" s="1"/>
  <c r="M13" i="15"/>
  <c r="V13" i="15"/>
  <c r="AP13" i="15"/>
  <c r="Z20" i="15"/>
  <c r="AT20" i="15"/>
  <c r="N24" i="15"/>
  <c r="AK24" i="15"/>
  <c r="M119" i="15"/>
  <c r="P135" i="18" s="1"/>
  <c r="AH119" i="15"/>
  <c r="T145" i="15"/>
  <c r="AO145" i="15"/>
  <c r="N146" i="15"/>
  <c r="Q10" i="18" s="1"/>
  <c r="AI146" i="15"/>
  <c r="H147" i="15"/>
  <c r="AC147" i="15"/>
  <c r="BB147" i="15"/>
  <c r="W148" i="15"/>
  <c r="AS148" i="15"/>
  <c r="Q149" i="15"/>
  <c r="AL149" i="15"/>
  <c r="K150" i="15"/>
  <c r="AF150" i="15"/>
  <c r="E151" i="15"/>
  <c r="G46" i="18" s="1"/>
  <c r="Z151" i="15"/>
  <c r="AZ151" i="15"/>
  <c r="T152" i="15"/>
  <c r="AS152" i="15"/>
  <c r="N153" i="15"/>
  <c r="Q48" i="18" s="1"/>
  <c r="AJ153" i="15"/>
  <c r="H154" i="15"/>
  <c r="AC154" i="15"/>
  <c r="BC154" i="15"/>
  <c r="W155" i="15"/>
  <c r="AW155" i="15"/>
  <c r="S156" i="15"/>
  <c r="AU156" i="15"/>
  <c r="J4" i="15"/>
  <c r="AC4" i="15"/>
  <c r="AW4" i="15"/>
  <c r="J9" i="15"/>
  <c r="AD9" i="15"/>
  <c r="BB9" i="15"/>
  <c r="V10" i="15"/>
  <c r="AP10" i="15"/>
  <c r="W13" i="15"/>
  <c r="AQ13" i="15"/>
  <c r="F20" i="15"/>
  <c r="H155" i="17" s="1"/>
  <c r="H157" i="17" s="1"/>
  <c r="H159" i="17" s="1"/>
  <c r="H219" i="17" s="1"/>
  <c r="H209" i="17" s="1"/>
  <c r="AA20" i="15"/>
  <c r="AU20" i="15"/>
  <c r="U145" i="15"/>
  <c r="AP145" i="15"/>
  <c r="O146" i="15"/>
  <c r="R10" i="18" s="1"/>
  <c r="AJ146" i="15"/>
  <c r="I147" i="15"/>
  <c r="AD147" i="15"/>
  <c r="X148" i="15"/>
  <c r="AW148" i="15"/>
  <c r="R149" i="15"/>
  <c r="AN149" i="15"/>
  <c r="L150" i="15"/>
  <c r="AG150" i="15"/>
  <c r="F151" i="15"/>
  <c r="H46" i="18" s="1"/>
  <c r="AA151" i="15"/>
  <c r="BA151" i="15"/>
  <c r="U152" i="15"/>
  <c r="AU152" i="15"/>
  <c r="O153" i="15"/>
  <c r="R48" i="18" s="1"/>
  <c r="AN153" i="15"/>
  <c r="I154" i="15"/>
  <c r="AE154" i="15"/>
  <c r="X155" i="15"/>
  <c r="AX155" i="15"/>
  <c r="U156" i="15"/>
  <c r="AW156" i="15"/>
  <c r="G13" i="15"/>
  <c r="G10" i="15" s="1"/>
  <c r="AA13" i="15"/>
  <c r="AX13" i="15"/>
  <c r="AX10" i="15" s="1"/>
  <c r="K20" i="15"/>
  <c r="AE20" i="15"/>
  <c r="BB20" i="15"/>
  <c r="N119" i="15"/>
  <c r="Q135" i="18" s="1"/>
  <c r="AJ119" i="15"/>
  <c r="K4" i="15"/>
  <c r="AE4" i="15"/>
  <c r="AY4" i="15"/>
  <c r="K9" i="15"/>
  <c r="AF9" i="15"/>
  <c r="BC9" i="15"/>
  <c r="W10" i="15"/>
  <c r="X13" i="15"/>
  <c r="X10" i="15" s="1"/>
  <c r="AR13" i="15"/>
  <c r="AR10" i="15" s="1"/>
  <c r="H20" i="15"/>
  <c r="AB20" i="15"/>
  <c r="AV20" i="15"/>
  <c r="BA22" i="15"/>
  <c r="AK22" i="15"/>
  <c r="U22" i="15"/>
  <c r="E22" i="15"/>
  <c r="AY22" i="15"/>
  <c r="AI22" i="15"/>
  <c r="S22" i="15"/>
  <c r="D22" i="15"/>
  <c r="AW22" i="15"/>
  <c r="AG22" i="15"/>
  <c r="Q22" i="15"/>
  <c r="AU22" i="15"/>
  <c r="AE22" i="15"/>
  <c r="O22" i="15"/>
  <c r="X22" i="15"/>
  <c r="AR22" i="15"/>
  <c r="R24" i="15"/>
  <c r="AM24" i="15"/>
  <c r="O119" i="15"/>
  <c r="R135" i="18" s="1"/>
  <c r="AL119" i="15"/>
  <c r="V145" i="15"/>
  <c r="AR145" i="15"/>
  <c r="P146" i="15"/>
  <c r="AK146" i="15"/>
  <c r="J147" i="15"/>
  <c r="AE147" i="15"/>
  <c r="D148" i="15"/>
  <c r="Y148" i="15"/>
  <c r="AY148" i="15"/>
  <c r="S149" i="15"/>
  <c r="AR149" i="15"/>
  <c r="M150" i="15"/>
  <c r="AI150" i="15"/>
  <c r="G151" i="15"/>
  <c r="I46" i="18" s="1"/>
  <c r="AB151" i="15"/>
  <c r="BB151" i="15"/>
  <c r="V152" i="15"/>
  <c r="AV152" i="15"/>
  <c r="P153" i="15"/>
  <c r="AP153" i="15"/>
  <c r="J154" i="15"/>
  <c r="AI154" i="15"/>
  <c r="Z155" i="15"/>
  <c r="AY155" i="15"/>
  <c r="Y156" i="15"/>
  <c r="AX156" i="15"/>
  <c r="U4" i="15"/>
  <c r="K13" i="15"/>
  <c r="AH13" i="15"/>
  <c r="AH10" i="15" s="1"/>
  <c r="BC13" i="15"/>
  <c r="BC10" i="15" s="1"/>
  <c r="D154" i="15"/>
  <c r="F38" i="18" s="1"/>
  <c r="D147" i="15"/>
  <c r="F14" i="18" s="1"/>
  <c r="D150" i="15"/>
  <c r="D156" i="15"/>
  <c r="O20" i="15"/>
  <c r="R155" i="17" s="1"/>
  <c r="W145" i="15"/>
  <c r="AV145" i="15"/>
  <c r="Q146" i="15"/>
  <c r="AM146" i="15"/>
  <c r="K147" i="15"/>
  <c r="AF147" i="15"/>
  <c r="E148" i="15"/>
  <c r="G11" i="18" s="1"/>
  <c r="Z148" i="15"/>
  <c r="AZ148" i="15"/>
  <c r="T149" i="15"/>
  <c r="AT149" i="15"/>
  <c r="N150" i="15"/>
  <c r="AM150" i="15"/>
  <c r="H151" i="15"/>
  <c r="AD151" i="15"/>
  <c r="BC151" i="15"/>
  <c r="W152" i="15"/>
  <c r="AW152" i="15"/>
  <c r="Q153" i="15"/>
  <c r="AQ153" i="15"/>
  <c r="K154" i="15"/>
  <c r="AK154" i="15"/>
  <c r="E155" i="15"/>
  <c r="AD155" i="15"/>
  <c r="AZ155" i="15"/>
  <c r="AA156" i="15"/>
  <c r="AY156" i="15"/>
  <c r="BC20" i="15"/>
  <c r="AM20" i="15"/>
  <c r="W20" i="15"/>
  <c r="G20" i="15"/>
  <c r="I155" i="17" s="1"/>
  <c r="I157" i="17" s="1"/>
  <c r="I159" i="17" s="1"/>
  <c r="I219" i="17" s="1"/>
  <c r="I209" i="17" s="1"/>
  <c r="BA20" i="15"/>
  <c r="AK20" i="15"/>
  <c r="U20" i="15"/>
  <c r="E20" i="15"/>
  <c r="G155" i="17" s="1"/>
  <c r="AY20" i="15"/>
  <c r="AI20" i="15"/>
  <c r="S20" i="15"/>
  <c r="D20" i="15"/>
  <c r="F155" i="17" s="1"/>
  <c r="AW20" i="15"/>
  <c r="AG20" i="15"/>
  <c r="Q20" i="15"/>
  <c r="Y20" i="15"/>
  <c r="AS20" i="15"/>
  <c r="L4" i="15"/>
  <c r="AF4" i="15"/>
  <c r="BA4" i="15"/>
  <c r="AW10" i="15"/>
  <c r="AU10" i="15"/>
  <c r="AE10" i="15"/>
  <c r="O10" i="15"/>
  <c r="M10" i="15"/>
  <c r="AQ10" i="15"/>
  <c r="AA10" i="15"/>
  <c r="K10" i="15"/>
  <c r="L9" i="15"/>
  <c r="AH9" i="15"/>
  <c r="AT10" i="15"/>
  <c r="E13" i="15"/>
  <c r="E10" i="15" s="1"/>
  <c r="Y13" i="15"/>
  <c r="Y10" i="15" s="1"/>
  <c r="I20" i="15"/>
  <c r="AC20" i="15"/>
  <c r="AX20" i="15"/>
  <c r="P119" i="15"/>
  <c r="AN119" i="15"/>
  <c r="M4" i="15"/>
  <c r="AG4" i="15"/>
  <c r="BB4" i="15"/>
  <c r="D5" i="15"/>
  <c r="M9" i="15"/>
  <c r="AJ9" i="15"/>
  <c r="F13" i="15"/>
  <c r="F10" i="15" s="1"/>
  <c r="Z13" i="15"/>
  <c r="Z10" i="15" s="1"/>
  <c r="AV13" i="15"/>
  <c r="AV10" i="15" s="1"/>
  <c r="J20" i="15"/>
  <c r="AD20" i="15"/>
  <c r="AZ20" i="15"/>
  <c r="U24" i="15"/>
  <c r="AO24" i="15"/>
  <c r="R119" i="15"/>
  <c r="AO119" i="15"/>
  <c r="X145" i="15"/>
  <c r="AX145" i="15"/>
  <c r="R146" i="15"/>
  <c r="AQ146" i="15"/>
  <c r="L147" i="15"/>
  <c r="O14" i="18" s="1"/>
  <c r="AH147" i="15"/>
  <c r="F148" i="15"/>
  <c r="H11" i="18" s="1"/>
  <c r="AA148" i="15"/>
  <c r="BA148" i="15"/>
  <c r="U149" i="15"/>
  <c r="AU149" i="15"/>
  <c r="O150" i="15"/>
  <c r="AO150" i="15"/>
  <c r="I151" i="15"/>
  <c r="AH151" i="15"/>
  <c r="Y152" i="15"/>
  <c r="AX152" i="15"/>
  <c r="R153" i="15"/>
  <c r="AR153" i="15"/>
  <c r="L154" i="15"/>
  <c r="O38" i="18" s="1"/>
  <c r="AL154" i="15"/>
  <c r="F155" i="15"/>
  <c r="AF155" i="15"/>
  <c r="BB155" i="15"/>
  <c r="AB156" i="15"/>
  <c r="BA156" i="15"/>
  <c r="T119" i="15"/>
  <c r="AP119" i="15"/>
  <c r="D145" i="15"/>
  <c r="F13" i="18" s="1"/>
  <c r="Y145" i="15"/>
  <c r="AY145" i="15"/>
  <c r="S146" i="15"/>
  <c r="AS146" i="15"/>
  <c r="M147" i="15"/>
  <c r="P14" i="18" s="1"/>
  <c r="AL147" i="15"/>
  <c r="G148" i="15"/>
  <c r="I11" i="18" s="1"/>
  <c r="AC148" i="15"/>
  <c r="BB148" i="15"/>
  <c r="V149" i="15"/>
  <c r="AV149" i="15"/>
  <c r="P150" i="15"/>
  <c r="AP150" i="15"/>
  <c r="J151" i="15"/>
  <c r="AJ151" i="15"/>
  <c r="D152" i="15"/>
  <c r="F36" i="18" s="1"/>
  <c r="AC152" i="15"/>
  <c r="AY152" i="15"/>
  <c r="T153" i="15"/>
  <c r="AS153" i="15"/>
  <c r="M154" i="15"/>
  <c r="P38" i="18" s="1"/>
  <c r="AM154" i="15"/>
  <c r="G155" i="15"/>
  <c r="AG155" i="15"/>
  <c r="BC155" i="15"/>
  <c r="AC156" i="15"/>
  <c r="G74" i="14"/>
  <c r="G70" i="14"/>
  <c r="H74" i="14"/>
  <c r="H70" i="14"/>
  <c r="N30" i="14"/>
  <c r="N40" i="14"/>
  <c r="I74" i="14"/>
  <c r="I70" i="14"/>
  <c r="J74" i="14"/>
  <c r="J70" i="14"/>
  <c r="K74" i="14"/>
  <c r="K70" i="14"/>
  <c r="F52" i="14"/>
  <c r="M51" i="14"/>
  <c r="N51" i="14" s="1"/>
  <c r="N36" i="14"/>
  <c r="M36" i="14"/>
  <c r="N71" i="14"/>
  <c r="N15" i="14"/>
  <c r="N54" i="14"/>
  <c r="N75" i="14"/>
  <c r="F69" i="14"/>
  <c r="M50" i="14"/>
  <c r="N50" i="14" s="1"/>
  <c r="M15" i="14"/>
  <c r="M30" i="14"/>
  <c r="M42" i="14"/>
  <c r="N42" i="14"/>
  <c r="M56" i="14"/>
  <c r="M48" i="14"/>
  <c r="M25" i="14"/>
  <c r="N25" i="14" s="1"/>
  <c r="N48" i="14"/>
  <c r="M72" i="14"/>
  <c r="M66" i="14"/>
  <c r="N34" i="14"/>
  <c r="M53" i="14"/>
  <c r="N53" i="14" s="1"/>
  <c r="M5" i="14"/>
  <c r="N5" i="14" s="1"/>
  <c r="M20" i="14"/>
  <c r="N20" i="14" s="1"/>
  <c r="M40" i="14"/>
  <c r="M46" i="14"/>
  <c r="N46" i="14" s="1"/>
  <c r="M49" i="14"/>
  <c r="M54" i="14"/>
  <c r="N49" i="14"/>
  <c r="M71" i="14"/>
  <c r="M73" i="14"/>
  <c r="N73" i="14" s="1"/>
  <c r="M75" i="14"/>
  <c r="I21" i="13"/>
  <c r="I23" i="13"/>
  <c r="K5" i="12"/>
  <c r="N5" i="12" s="1"/>
  <c r="N12" i="12"/>
  <c r="N10" i="12"/>
  <c r="M5" i="12"/>
  <c r="K6" i="12"/>
  <c r="K7" i="12"/>
  <c r="N7" i="12" s="1"/>
  <c r="I18" i="12"/>
  <c r="N6" i="12"/>
  <c r="M7" i="12"/>
  <c r="AU59" i="4"/>
  <c r="AU10" i="4"/>
  <c r="AR11" i="4"/>
  <c r="AR25" i="4"/>
  <c r="AW41" i="4"/>
  <c r="E28" i="4"/>
  <c r="AU73" i="4"/>
  <c r="AW119" i="4"/>
  <c r="AW120" i="4"/>
  <c r="AW15" i="4"/>
  <c r="AR18" i="4"/>
  <c r="AU45" i="4"/>
  <c r="E56" i="4"/>
  <c r="AW55" i="4"/>
  <c r="AW54" i="4"/>
  <c r="AU66" i="4"/>
  <c r="AR67" i="4"/>
  <c r="AW113" i="4"/>
  <c r="AW112" i="4"/>
  <c r="AR32" i="4"/>
  <c r="AU136" i="4"/>
  <c r="E35" i="4"/>
  <c r="AR109" i="4"/>
  <c r="AU108" i="4"/>
  <c r="AR102" i="4"/>
  <c r="AU52" i="4"/>
  <c r="AU166" i="4" s="1"/>
  <c r="AW20" i="4"/>
  <c r="AU38" i="4"/>
  <c r="AU158" i="4" s="1"/>
  <c r="AR81" i="4"/>
  <c r="AW49" i="4"/>
  <c r="AR53" i="4"/>
  <c r="AW70" i="4"/>
  <c r="AR74" i="4"/>
  <c r="AU129" i="4"/>
  <c r="AR130" i="4"/>
  <c r="AW75" i="4"/>
  <c r="E77" i="4"/>
  <c r="AW85" i="4"/>
  <c r="AW84" i="4"/>
  <c r="AW48" i="4"/>
  <c r="AR88" i="4"/>
  <c r="AU87" i="4"/>
  <c r="AW105" i="4"/>
  <c r="AW106" i="4"/>
  <c r="AU94" i="4"/>
  <c r="AW111" i="4"/>
  <c r="AW110" i="4"/>
  <c r="AR137" i="4"/>
  <c r="E98" i="4"/>
  <c r="AW97" i="4"/>
  <c r="AW152" i="4"/>
  <c r="E154" i="4"/>
  <c r="AW153" i="4"/>
  <c r="AU115" i="4"/>
  <c r="E138" i="4"/>
  <c r="E131" i="4"/>
  <c r="E145" i="4"/>
  <c r="AR144" i="4"/>
  <c r="AW159" i="4"/>
  <c r="C800" i="3" a="1"/>
  <c r="C800" i="3" s="1"/>
  <c r="C801" i="3" s="1"/>
  <c r="D800" i="3" a="1"/>
  <c r="D800" i="3" s="1"/>
  <c r="E800" i="3" a="1"/>
  <c r="E800" i="3" s="1"/>
  <c r="AC56" i="2"/>
  <c r="U79" i="2"/>
  <c r="U18" i="2" s="1"/>
  <c r="S73" i="2"/>
  <c r="AI73" i="2"/>
  <c r="M73" i="2"/>
  <c r="L73" i="2"/>
  <c r="V73" i="2"/>
  <c r="W73" i="2" s="1"/>
  <c r="V47" i="2"/>
  <c r="W47" i="2" s="1"/>
  <c r="S47" i="2"/>
  <c r="L47" i="2"/>
  <c r="W51" i="2"/>
  <c r="P57" i="2" a="1"/>
  <c r="P57" i="2" s="1"/>
  <c r="T57" i="2" s="1"/>
  <c r="O57" i="2" a="1"/>
  <c r="O57" i="2" s="1"/>
  <c r="S57" i="2" s="1"/>
  <c r="W61" i="2"/>
  <c r="F77" i="2"/>
  <c r="K77" i="2" s="1"/>
  <c r="K76" i="2"/>
  <c r="O80" i="2" a="1"/>
  <c r="O80" i="2" s="1"/>
  <c r="S80" i="2" s="1"/>
  <c r="P81" i="2" a="1"/>
  <c r="P81" i="2" s="1"/>
  <c r="AA83" i="2" a="1"/>
  <c r="AA83" i="2" s="1"/>
  <c r="P86" i="2" a="1"/>
  <c r="P86" i="2" s="1"/>
  <c r="T86" i="2" s="1"/>
  <c r="O102" i="2" a="1"/>
  <c r="O102" i="2" s="1"/>
  <c r="S102" i="2" s="1"/>
  <c r="V119" i="2"/>
  <c r="M119" i="2"/>
  <c r="L119" i="2"/>
  <c r="Z96" i="2" a="1"/>
  <c r="Z96" i="2" s="1"/>
  <c r="V99" i="2"/>
  <c r="W99" i="2" s="1"/>
  <c r="L99" i="2"/>
  <c r="O132" i="2" a="1"/>
  <c r="O132" i="2" s="1"/>
  <c r="P112" i="2" a="1"/>
  <c r="P112" i="2" s="1"/>
  <c r="O112" i="2" a="1"/>
  <c r="O112" i="2" s="1"/>
  <c r="AA82" i="2" a="1"/>
  <c r="AA82" i="2" s="1"/>
  <c r="O84" i="2" a="1"/>
  <c r="O84" i="2" s="1"/>
  <c r="S84" i="2" s="1"/>
  <c r="P85" i="2" a="1"/>
  <c r="P85" i="2" s="1"/>
  <c r="T85" i="2" s="1"/>
  <c r="W86" i="2"/>
  <c r="AA87" i="2" a="1"/>
  <c r="AA87" i="2" s="1"/>
  <c r="T90" i="2"/>
  <c r="AA94" i="2" a="1"/>
  <c r="AA94" i="2" s="1"/>
  <c r="U118" i="2"/>
  <c r="U19" i="2" s="1"/>
  <c r="O92" i="2" a="1"/>
  <c r="O92" i="2" s="1"/>
  <c r="Z100" i="2" a="1"/>
  <c r="Z100" i="2" s="1"/>
  <c r="P122" i="2" a="1"/>
  <c r="P122" i="2" s="1"/>
  <c r="T122" i="2" s="1"/>
  <c r="O122" i="2" a="1"/>
  <c r="O122" i="2" s="1"/>
  <c r="S122" i="2" s="1"/>
  <c r="O155" i="2" a="1"/>
  <c r="O155" i="2" s="1"/>
  <c r="L46" i="2"/>
  <c r="V54" i="2"/>
  <c r="W54" i="2" s="1"/>
  <c r="T54" i="2"/>
  <c r="L54" i="2"/>
  <c r="S54" i="2"/>
  <c r="S63" i="2"/>
  <c r="M63" i="2"/>
  <c r="Z68" i="2" a="1"/>
  <c r="Z68" i="2" s="1"/>
  <c r="P43" i="2" a="1"/>
  <c r="P43" i="2" s="1"/>
  <c r="T43" i="2" s="1"/>
  <c r="Z47" i="2" a="1"/>
  <c r="Z47" i="2" s="1"/>
  <c r="P52" i="2" a="1"/>
  <c r="P52" i="2" s="1"/>
  <c r="T52" i="2" s="1"/>
  <c r="O52" i="2" a="1"/>
  <c r="O52" i="2" s="1"/>
  <c r="P53" i="2" a="1"/>
  <c r="P53" i="2" s="1"/>
  <c r="T53" i="2" s="1"/>
  <c r="M54" i="2"/>
  <c r="L63" i="2"/>
  <c r="AA68" i="2" a="1"/>
  <c r="AA68" i="2" s="1"/>
  <c r="O74" i="2" a="1"/>
  <c r="O74" i="2" s="1"/>
  <c r="P89" i="2" a="1"/>
  <c r="P89" i="2" s="1"/>
  <c r="T89" i="2" s="1"/>
  <c r="P92" i="2" a="1"/>
  <c r="P92" i="2" s="1"/>
  <c r="T92" i="2" s="1"/>
  <c r="L95" i="2"/>
  <c r="V95" i="2"/>
  <c r="W95" i="2" s="1"/>
  <c r="M95" i="2"/>
  <c r="P109" i="2" a="1"/>
  <c r="P109" i="2" s="1"/>
  <c r="O109" i="2" a="1"/>
  <c r="O109" i="2" s="1"/>
  <c r="AA124" i="2" a="1"/>
  <c r="AA124" i="2" s="1"/>
  <c r="M126" i="2"/>
  <c r="L126" i="2"/>
  <c r="V126" i="2"/>
  <c r="W126" i="2" s="1"/>
  <c r="O131" i="2" a="1"/>
  <c r="O131" i="2" s="1"/>
  <c r="S131" i="2" s="1"/>
  <c r="Z59" i="2" a="1"/>
  <c r="Z59" i="2" s="1"/>
  <c r="P61" i="2" a="1"/>
  <c r="P61" i="2" s="1"/>
  <c r="T61" i="2" s="1"/>
  <c r="Z64" i="2" a="1"/>
  <c r="Z64" i="2" s="1"/>
  <c r="P74" i="2" a="1"/>
  <c r="P74" i="2" s="1"/>
  <c r="AA86" i="2" a="1"/>
  <c r="AA86" i="2" s="1"/>
  <c r="O95" i="2" a="1"/>
  <c r="O95" i="2" s="1"/>
  <c r="S95" i="2" s="1"/>
  <c r="O98" i="2" a="1"/>
  <c r="O98" i="2" s="1"/>
  <c r="S98" i="2" s="1"/>
  <c r="O104" i="2" a="1"/>
  <c r="O104" i="2" s="1"/>
  <c r="G19" i="2"/>
  <c r="O126" i="2" a="1"/>
  <c r="O126" i="2" s="1"/>
  <c r="S126" i="2" s="1"/>
  <c r="P131" i="2" a="1"/>
  <c r="P131" i="2" s="1"/>
  <c r="T131" i="2" s="1"/>
  <c r="P141" i="2" a="1"/>
  <c r="P141" i="2" s="1"/>
  <c r="T141" i="2" s="1"/>
  <c r="P115" i="2" a="1"/>
  <c r="P115" i="2" s="1"/>
  <c r="T115" i="2" s="1"/>
  <c r="O115" i="2" a="1"/>
  <c r="O115" i="2" s="1"/>
  <c r="P49" i="2" a="1"/>
  <c r="P49" i="2" s="1"/>
  <c r="T49" i="2" s="1"/>
  <c r="AA64" i="2" a="1"/>
  <c r="AA64" i="2" s="1"/>
  <c r="Z76" i="2" a="1"/>
  <c r="Z76" i="2" s="1"/>
  <c r="AK123" i="2"/>
  <c r="L123" i="2"/>
  <c r="V123" i="2"/>
  <c r="W123" i="2" s="1"/>
  <c r="M123" i="2"/>
  <c r="P134" i="2" a="1"/>
  <c r="P134" i="2" s="1"/>
  <c r="T134" i="2" s="1"/>
  <c r="Z58" i="2" a="1"/>
  <c r="Z58" i="2" s="1"/>
  <c r="V63" i="2"/>
  <c r="W63" i="2" s="1"/>
  <c r="W67" i="2"/>
  <c r="P73" i="2" a="1"/>
  <c r="P73" i="2" s="1"/>
  <c r="T73" i="2" s="1"/>
  <c r="Z112" i="2" a="1"/>
  <c r="Z112" i="2" s="1"/>
  <c r="O43" i="2" a="1"/>
  <c r="O43" i="2" s="1"/>
  <c r="P51" i="2" a="1"/>
  <c r="P51" i="2" s="1"/>
  <c r="O51" i="2" a="1"/>
  <c r="O51" i="2" s="1"/>
  <c r="P59" i="2" a="1"/>
  <c r="P59" i="2" s="1"/>
  <c r="T59" i="2" s="1"/>
  <c r="O70" i="2" a="1"/>
  <c r="O70" i="2" s="1"/>
  <c r="S70" i="2" s="1"/>
  <c r="P80" i="2" a="1"/>
  <c r="P80" i="2" s="1"/>
  <c r="T80" i="2" s="1"/>
  <c r="AA90" i="2" a="1"/>
  <c r="AA90" i="2" s="1"/>
  <c r="P128" i="2" a="1"/>
  <c r="P128" i="2" s="1"/>
  <c r="T128" i="2" s="1"/>
  <c r="O71" i="2" a="1"/>
  <c r="O71" i="2" s="1"/>
  <c r="C66" i="4" s="1"/>
  <c r="Z74" i="2" a="1"/>
  <c r="Z74" i="2" s="1"/>
  <c r="P83" i="2" a="1"/>
  <c r="P83" i="2" s="1"/>
  <c r="T83" i="2" s="1"/>
  <c r="P67" i="2" a="1"/>
  <c r="P67" i="2" s="1"/>
  <c r="T67" i="2" s="1"/>
  <c r="O67" i="2" a="1"/>
  <c r="O67" i="2" s="1"/>
  <c r="S67" i="2" s="1"/>
  <c r="P62" i="2" a="1"/>
  <c r="P62" i="2" s="1"/>
  <c r="O62" i="2" a="1"/>
  <c r="O62" i="2" s="1"/>
  <c r="U42" i="2"/>
  <c r="AA46" i="2" a="1"/>
  <c r="AA46" i="2" s="1"/>
  <c r="W43" i="2"/>
  <c r="P71" i="2" a="1"/>
  <c r="P71" i="2" s="1"/>
  <c r="T71" i="2" s="1"/>
  <c r="V83" i="2"/>
  <c r="W83" i="2" s="1"/>
  <c r="AK83" i="2"/>
  <c r="M83" i="2"/>
  <c r="L83" i="2"/>
  <c r="O96" i="2" a="1"/>
  <c r="O96" i="2" s="1"/>
  <c r="S96" i="2" s="1"/>
  <c r="O124" i="2" a="1"/>
  <c r="O124" i="2" s="1"/>
  <c r="S124" i="2" s="1"/>
  <c r="P125" i="2" a="1"/>
  <c r="P125" i="2" s="1"/>
  <c r="T125" i="2" s="1"/>
  <c r="AK126" i="2"/>
  <c r="Z45" i="2" a="1"/>
  <c r="Z45" i="2" s="1"/>
  <c r="P58" i="2" a="1"/>
  <c r="P58" i="2" s="1"/>
  <c r="T58" i="2" s="1"/>
  <c r="AA63" i="2" a="1"/>
  <c r="AA63" i="2" s="1"/>
  <c r="K74" i="2"/>
  <c r="P84" i="2" a="1"/>
  <c r="P84" i="2" s="1"/>
  <c r="T84" i="2" s="1"/>
  <c r="P107" i="2" a="1"/>
  <c r="P107" i="2" s="1"/>
  <c r="O127" i="2" a="1"/>
  <c r="O127" i="2" s="1"/>
  <c r="P127" i="2" a="1"/>
  <c r="P127" i="2" s="1"/>
  <c r="T127" i="2" s="1"/>
  <c r="AA131" i="2" a="1"/>
  <c r="AA131" i="2" s="1"/>
  <c r="P163" i="2" a="1"/>
  <c r="P163" i="2" s="1"/>
  <c r="T163" i="2" s="1"/>
  <c r="O53" i="2" a="1"/>
  <c r="O53" i="2" s="1"/>
  <c r="S53" i="2" s="1"/>
  <c r="O59" i="2" a="1"/>
  <c r="O59" i="2" s="1"/>
  <c r="O68" i="2" a="1"/>
  <c r="O68" i="2" s="1"/>
  <c r="S68" i="2" s="1"/>
  <c r="P82" i="2" a="1"/>
  <c r="P82" i="2" s="1"/>
  <c r="P87" i="2" a="1"/>
  <c r="P87" i="2" s="1"/>
  <c r="T87" i="2" s="1"/>
  <c r="P96" i="2" a="1"/>
  <c r="P96" i="2" s="1"/>
  <c r="T96" i="2" s="1"/>
  <c r="W120" i="2"/>
  <c r="T46" i="2"/>
  <c r="S46" i="2"/>
  <c r="M46" i="2"/>
  <c r="Z1256" i="2" a="1"/>
  <c r="Z1256" i="2" s="1"/>
  <c r="Z1240" i="2" a="1"/>
  <c r="Z1240" i="2" s="1"/>
  <c r="Z1267" i="2" a="1"/>
  <c r="Z1267" i="2" s="1"/>
  <c r="Z1251" i="2" a="1"/>
  <c r="Z1251" i="2" s="1"/>
  <c r="Z1235" i="2" a="1"/>
  <c r="Z1235" i="2" s="1"/>
  <c r="Z1262" i="2" a="1"/>
  <c r="Z1262" i="2" s="1"/>
  <c r="Z1246" i="2" a="1"/>
  <c r="Z1246" i="2" s="1"/>
  <c r="O1242" i="2" a="1"/>
  <c r="O1242" i="2" s="1"/>
  <c r="S1242" i="2" s="1"/>
  <c r="Z1257" i="2" a="1"/>
  <c r="Z1257" i="2" s="1"/>
  <c r="Z1241" i="2" a="1"/>
  <c r="Z1241" i="2" s="1"/>
  <c r="Z1219" i="2" a="1"/>
  <c r="Z1219" i="2" s="1"/>
  <c r="Z1252" i="2" a="1"/>
  <c r="Z1252" i="2" s="1"/>
  <c r="Z1236" i="2" a="1"/>
  <c r="Z1236" i="2" s="1"/>
  <c r="Z1263" i="2" a="1"/>
  <c r="Z1263" i="2" s="1"/>
  <c r="Z1247" i="2" a="1"/>
  <c r="Z1247" i="2" s="1"/>
  <c r="Z1258" i="2" a="1"/>
  <c r="Z1258" i="2" s="1"/>
  <c r="Z1242" i="2" a="1"/>
  <c r="Z1242" i="2" s="1"/>
  <c r="Z1253" i="2" a="1"/>
  <c r="Z1253" i="2" s="1"/>
  <c r="Z1237" i="2" a="1"/>
  <c r="Z1237" i="2" s="1"/>
  <c r="Z1223" i="2" a="1"/>
  <c r="Z1223" i="2" s="1"/>
  <c r="Z1264" i="2" a="1"/>
  <c r="Z1264" i="2" s="1"/>
  <c r="Z1248" i="2" a="1"/>
  <c r="Z1248" i="2" s="1"/>
  <c r="Z1232" i="2" a="1"/>
  <c r="Z1232" i="2" s="1"/>
  <c r="Z1224" i="2" a="1"/>
  <c r="Z1224" i="2" s="1"/>
  <c r="Z1259" i="2" a="1"/>
  <c r="Z1259" i="2" s="1"/>
  <c r="Z1243" i="2" a="1"/>
  <c r="Z1243" i="2" s="1"/>
  <c r="Z1225" i="2" a="1"/>
  <c r="Z1225" i="2" s="1"/>
  <c r="Z1254" i="2" a="1"/>
  <c r="Z1254" i="2" s="1"/>
  <c r="Z1238" i="2" a="1"/>
  <c r="Z1238" i="2" s="1"/>
  <c r="Z1213" i="2" a="1"/>
  <c r="Z1213" i="2" s="1"/>
  <c r="Z1265" i="2" a="1"/>
  <c r="Z1265" i="2" s="1"/>
  <c r="Z1249" i="2" a="1"/>
  <c r="Z1249" i="2" s="1"/>
  <c r="Z1233" i="2" a="1"/>
  <c r="Z1233" i="2" s="1"/>
  <c r="O1240" i="2" a="1"/>
  <c r="O1240" i="2" s="1"/>
  <c r="S1240" i="2" s="1"/>
  <c r="O1241" i="2" a="1"/>
  <c r="O1241" i="2" s="1"/>
  <c r="S1241" i="2" s="1"/>
  <c r="Z1215" i="2" a="1"/>
  <c r="Z1215" i="2" s="1"/>
  <c r="Z1197" i="2" a="1"/>
  <c r="Z1197" i="2" s="1"/>
  <c r="Z1255" i="2" a="1"/>
  <c r="Z1255" i="2" s="1"/>
  <c r="Z1250" i="2" a="1"/>
  <c r="Z1250" i="2" s="1"/>
  <c r="Z1244" i="2" a="1"/>
  <c r="Z1244" i="2" s="1"/>
  <c r="Z1222" i="2" a="1"/>
  <c r="Z1222" i="2" s="1"/>
  <c r="Z1261" i="2" a="1"/>
  <c r="Z1261" i="2" s="1"/>
  <c r="Z1202" i="2" a="1"/>
  <c r="Z1202" i="2" s="1"/>
  <c r="Z1228" i="2" a="1"/>
  <c r="Z1228" i="2" s="1"/>
  <c r="Z1204" i="2" a="1"/>
  <c r="Z1204" i="2" s="1"/>
  <c r="O1256" i="2" a="1"/>
  <c r="O1256" i="2" s="1"/>
  <c r="S1256" i="2" s="1"/>
  <c r="Z1218" i="2" a="1"/>
  <c r="Z1218" i="2" s="1"/>
  <c r="O1257" i="2" a="1"/>
  <c r="O1257" i="2" s="1"/>
  <c r="S1257" i="2" s="1"/>
  <c r="Z1239" i="2" a="1"/>
  <c r="Z1239" i="2" s="1"/>
  <c r="Z1234" i="2" a="1"/>
  <c r="Z1234" i="2" s="1"/>
  <c r="O1219" i="2" a="1"/>
  <c r="O1219" i="2" s="1"/>
  <c r="S1219" i="2" s="1"/>
  <c r="Z1260" i="2" a="1"/>
  <c r="Z1260" i="2" s="1"/>
  <c r="Z1231" i="2" a="1"/>
  <c r="Z1231" i="2" s="1"/>
  <c r="O1212" i="2" a="1"/>
  <c r="O1212" i="2" s="1"/>
  <c r="S1212" i="2" s="1"/>
  <c r="Z1208" i="2" a="1"/>
  <c r="Z1208" i="2" s="1"/>
  <c r="O1210" i="2" a="1"/>
  <c r="O1210" i="2" s="1"/>
  <c r="S1210" i="2" s="1"/>
  <c r="Z1245" i="2" a="1"/>
  <c r="Z1245" i="2" s="1"/>
  <c r="Z1187" i="2" a="1"/>
  <c r="Z1187" i="2" s="1"/>
  <c r="Z1185" i="2" a="1"/>
  <c r="Z1185" i="2" s="1"/>
  <c r="Z1200" i="2" a="1"/>
  <c r="Z1200" i="2" s="1"/>
  <c r="Z1167" i="2" a="1"/>
  <c r="Z1167" i="2" s="1"/>
  <c r="Z1166" i="2" a="1"/>
  <c r="Z1166" i="2" s="1"/>
  <c r="Z1207" i="2" a="1"/>
  <c r="Z1207" i="2" s="1"/>
  <c r="O1193" i="2" a="1"/>
  <c r="O1193" i="2" s="1"/>
  <c r="Z1190" i="2" a="1"/>
  <c r="Z1190" i="2" s="1"/>
  <c r="Z1188" i="2" a="1"/>
  <c r="Z1188" i="2" s="1"/>
  <c r="Z1266" i="2" a="1"/>
  <c r="Z1266" i="2" s="1"/>
  <c r="Z1216" i="2" a="1"/>
  <c r="Z1216" i="2" s="1"/>
  <c r="Z1214" i="2" a="1"/>
  <c r="Z1214" i="2" s="1"/>
  <c r="Z1198" i="2" a="1"/>
  <c r="Z1198" i="2" s="1"/>
  <c r="Z1158" i="2" a="1"/>
  <c r="Z1158" i="2" s="1"/>
  <c r="Z1203" i="2" a="1"/>
  <c r="Z1203" i="2" s="1"/>
  <c r="Z1201" i="2" a="1"/>
  <c r="Z1201" i="2" s="1"/>
  <c r="O1200" i="2" a="1"/>
  <c r="O1200" i="2" s="1"/>
  <c r="S1200" i="2" s="1"/>
  <c r="O1215" i="2" a="1"/>
  <c r="O1215" i="2" s="1"/>
  <c r="S1215" i="2" s="1"/>
  <c r="Z1212" i="2" a="1"/>
  <c r="Z1212" i="2" s="1"/>
  <c r="Z1199" i="2" a="1"/>
  <c r="Z1199" i="2" s="1"/>
  <c r="Z1193" i="2" a="1"/>
  <c r="Z1193" i="2" s="1"/>
  <c r="Z1184" i="2" a="1"/>
  <c r="Z1184" i="2" s="1"/>
  <c r="Z1175" i="2" a="1"/>
  <c r="Z1175" i="2" s="1"/>
  <c r="Z1178" i="2" a="1"/>
  <c r="Z1178" i="2" s="1"/>
  <c r="Z1154" i="2" a="1"/>
  <c r="Z1154" i="2" s="1"/>
  <c r="Z1205" i="2" a="1"/>
  <c r="Z1205" i="2" s="1"/>
  <c r="Z1194" i="2" a="1"/>
  <c r="Z1194" i="2" s="1"/>
  <c r="Z1191" i="2" a="1"/>
  <c r="Z1191" i="2" s="1"/>
  <c r="Z1161" i="2" a="1"/>
  <c r="Z1161" i="2" s="1"/>
  <c r="Z1209" i="2" a="1"/>
  <c r="Z1209" i="2" s="1"/>
  <c r="Z1164" i="2" a="1"/>
  <c r="Z1164" i="2" s="1"/>
  <c r="Z1182" i="2" a="1"/>
  <c r="Z1182" i="2" s="1"/>
  <c r="Z1157" i="2" a="1"/>
  <c r="Z1157" i="2" s="1"/>
  <c r="Z1143" i="2" a="1"/>
  <c r="Z1143" i="2" s="1"/>
  <c r="Z1142" i="2" a="1"/>
  <c r="Z1142" i="2" s="1"/>
  <c r="Z1141" i="2" a="1"/>
  <c r="Z1141" i="2" s="1"/>
  <c r="Z1140" i="2" a="1"/>
  <c r="Z1140" i="2" s="1"/>
  <c r="Z1139" i="2" a="1"/>
  <c r="Z1139" i="2" s="1"/>
  <c r="Z1210" i="2" a="1"/>
  <c r="Z1210" i="2" s="1"/>
  <c r="Z1181" i="2" a="1"/>
  <c r="Z1181" i="2" s="1"/>
  <c r="Z1206" i="2" a="1"/>
  <c r="Z1206" i="2" s="1"/>
  <c r="Z1217" i="2" a="1"/>
  <c r="Z1217" i="2" s="1"/>
  <c r="Z1211" i="2" a="1"/>
  <c r="Z1211" i="2" s="1"/>
  <c r="Z1170" i="2" a="1"/>
  <c r="Z1170" i="2" s="1"/>
  <c r="Z1160" i="2" a="1"/>
  <c r="Z1160" i="2" s="1"/>
  <c r="O1202" i="2" a="1"/>
  <c r="O1202" i="2" s="1"/>
  <c r="S1202" i="2" s="1"/>
  <c r="O1178" i="2" a="1"/>
  <c r="O1178" i="2" s="1"/>
  <c r="S1178" i="2" s="1"/>
  <c r="Z1176" i="2" a="1"/>
  <c r="Z1176" i="2" s="1"/>
  <c r="Z1173" i="2" a="1"/>
  <c r="Z1173" i="2" s="1"/>
  <c r="Z1163" i="2" a="1"/>
  <c r="Z1163" i="2" s="1"/>
  <c r="O1164" i="2" a="1"/>
  <c r="O1164" i="2" s="1"/>
  <c r="S1164" i="2" s="1"/>
  <c r="Z1133" i="2" a="1"/>
  <c r="Z1133" i="2" s="1"/>
  <c r="Z1125" i="2" a="1"/>
  <c r="Z1125" i="2" s="1"/>
  <c r="Z1107" i="2" a="1"/>
  <c r="Z1107" i="2" s="1"/>
  <c r="Z1106" i="2" a="1"/>
  <c r="Z1106" i="2" s="1"/>
  <c r="Z1179" i="2" a="1"/>
  <c r="Z1179" i="2" s="1"/>
  <c r="Z1169" i="2" a="1"/>
  <c r="Z1169" i="2" s="1"/>
  <c r="O1148" i="2" a="1"/>
  <c r="O1148" i="2" s="1"/>
  <c r="Z1137" i="2" a="1"/>
  <c r="Z1137" i="2" s="1"/>
  <c r="Z1134" i="2" a="1"/>
  <c r="Z1134" i="2" s="1"/>
  <c r="Z1126" i="2" a="1"/>
  <c r="Z1126" i="2" s="1"/>
  <c r="Z1104" i="2" a="1"/>
  <c r="Z1104" i="2" s="1"/>
  <c r="Z1101" i="2" a="1"/>
  <c r="Z1101" i="2" s="1"/>
  <c r="O1181" i="2" a="1"/>
  <c r="O1181" i="2" s="1"/>
  <c r="Z1128" i="2" a="1"/>
  <c r="Z1128" i="2" s="1"/>
  <c r="Z1151" i="2" a="1"/>
  <c r="Z1151" i="2" s="1"/>
  <c r="Z1149" i="2" a="1"/>
  <c r="Z1149" i="2" s="1"/>
  <c r="Z1138" i="2" a="1"/>
  <c r="Z1138" i="2" s="1"/>
  <c r="Z1135" i="2" a="1"/>
  <c r="Z1135" i="2" s="1"/>
  <c r="Z1129" i="2" a="1"/>
  <c r="Z1129" i="2" s="1"/>
  <c r="Z1120" i="2" a="1"/>
  <c r="Z1120" i="2" s="1"/>
  <c r="O1182" i="2" a="1"/>
  <c r="O1182" i="2" s="1"/>
  <c r="Z1130" i="2" a="1"/>
  <c r="Z1130" i="2" s="1"/>
  <c r="Z1121" i="2" a="1"/>
  <c r="Z1121" i="2" s="1"/>
  <c r="Z1119" i="2" a="1"/>
  <c r="Z1119" i="2" s="1"/>
  <c r="Z1112" i="2" a="1"/>
  <c r="Z1112" i="2" s="1"/>
  <c r="Z1098" i="2" a="1"/>
  <c r="Z1098" i="2" s="1"/>
  <c r="Z1089" i="2" a="1"/>
  <c r="Z1089" i="2" s="1"/>
  <c r="O1154" i="2" a="1"/>
  <c r="O1154" i="2" s="1"/>
  <c r="S1154" i="2" s="1"/>
  <c r="Z1082" i="2" a="1"/>
  <c r="Z1082" i="2" s="1"/>
  <c r="Z1069" i="2" a="1"/>
  <c r="Z1069" i="2" s="1"/>
  <c r="Z1075" i="2" a="1"/>
  <c r="Z1075" i="2" s="1"/>
  <c r="Z1090" i="2" a="1"/>
  <c r="Z1090" i="2" s="1"/>
  <c r="Z1070" i="2" a="1"/>
  <c r="Z1070" i="2" s="1"/>
  <c r="Z1113" i="2" a="1"/>
  <c r="Z1113" i="2" s="1"/>
  <c r="Z1100" i="2" a="1"/>
  <c r="Z1100" i="2" s="1"/>
  <c r="Z1172" i="2" a="1"/>
  <c r="Z1172" i="2" s="1"/>
  <c r="Z1124" i="2" a="1"/>
  <c r="Z1124" i="2" s="1"/>
  <c r="Z1115" i="2" a="1"/>
  <c r="Z1115" i="2" s="1"/>
  <c r="Z1122" i="2" a="1"/>
  <c r="Z1122" i="2" s="1"/>
  <c r="Z1155" i="2" a="1"/>
  <c r="Z1155" i="2" s="1"/>
  <c r="O1217" i="2" a="1"/>
  <c r="O1217" i="2" s="1"/>
  <c r="Z1109" i="2" a="1"/>
  <c r="Z1109" i="2" s="1"/>
  <c r="Z1148" i="2" a="1"/>
  <c r="Z1148" i="2" s="1"/>
  <c r="Z1116" i="2" a="1"/>
  <c r="Z1116" i="2" s="1"/>
  <c r="O1104" i="2" a="1"/>
  <c r="O1104" i="2" s="1"/>
  <c r="S1104" i="2" s="1"/>
  <c r="Z1093" i="2" a="1"/>
  <c r="Z1093" i="2" s="1"/>
  <c r="Z1088" i="2" a="1"/>
  <c r="Z1088" i="2" s="1"/>
  <c r="Z1056" i="2" a="1"/>
  <c r="Z1056" i="2" s="1"/>
  <c r="Z1076" i="2" a="1"/>
  <c r="Z1076" i="2" s="1"/>
  <c r="Z1071" i="2" a="1"/>
  <c r="Z1071" i="2" s="1"/>
  <c r="Z1068" i="2" a="1"/>
  <c r="Z1068" i="2" s="1"/>
  <c r="Z1123" i="2" a="1"/>
  <c r="Z1123" i="2" s="1"/>
  <c r="Z1096" i="2" a="1"/>
  <c r="Z1096" i="2" s="1"/>
  <c r="Z1127" i="2" a="1"/>
  <c r="Z1127" i="2" s="1"/>
  <c r="Z1092" i="2" a="1"/>
  <c r="Z1092" i="2" s="1"/>
  <c r="Z1131" i="2" a="1"/>
  <c r="Z1131" i="2" s="1"/>
  <c r="Z1110" i="2" a="1"/>
  <c r="Z1110" i="2" s="1"/>
  <c r="O1098" i="2" a="1"/>
  <c r="O1098" i="2" s="1"/>
  <c r="S1098" i="2" s="1"/>
  <c r="Z1084" i="2" a="1"/>
  <c r="Z1084" i="2" s="1"/>
  <c r="Z1152" i="2" a="1"/>
  <c r="Z1152" i="2" s="1"/>
  <c r="Z1132" i="2" a="1"/>
  <c r="Z1132" i="2" s="1"/>
  <c r="Z1080" i="2" a="1"/>
  <c r="Z1080" i="2" s="1"/>
  <c r="Z1072" i="2" a="1"/>
  <c r="Z1072" i="2" s="1"/>
  <c r="Z1053" i="2" a="1"/>
  <c r="Z1053" i="2" s="1"/>
  <c r="Z1046" i="2" a="1"/>
  <c r="Z1046" i="2" s="1"/>
  <c r="Z1091" i="2" a="1"/>
  <c r="Z1091" i="2" s="1"/>
  <c r="O1110" i="2" a="1"/>
  <c r="O1110" i="2" s="1"/>
  <c r="S1110" i="2" s="1"/>
  <c r="Z1103" i="2" a="1"/>
  <c r="Z1103" i="2" s="1"/>
  <c r="Z1061" i="2" a="1"/>
  <c r="Z1061" i="2" s="1"/>
  <c r="Z1136" i="2" a="1"/>
  <c r="Z1136" i="2" s="1"/>
  <c r="Z1083" i="2" a="1"/>
  <c r="Z1083" i="2" s="1"/>
  <c r="O1095" i="2" a="1"/>
  <c r="O1095" i="2" s="1"/>
  <c r="S1095" i="2" s="1"/>
  <c r="Z1086" i="2" a="1"/>
  <c r="Z1086" i="2" s="1"/>
  <c r="Z1049" i="2" a="1"/>
  <c r="Z1049" i="2" s="1"/>
  <c r="Z1026" i="2" a="1"/>
  <c r="Z1026" i="2" s="1"/>
  <c r="Z1074" i="2" a="1"/>
  <c r="Z1074" i="2" s="1"/>
  <c r="Z1064" i="2" a="1"/>
  <c r="Z1064" i="2" s="1"/>
  <c r="Z1044" i="2" a="1"/>
  <c r="Z1044" i="2" s="1"/>
  <c r="Z1039" i="2" a="1"/>
  <c r="Z1039" i="2" s="1"/>
  <c r="Z1047" i="2" a="1"/>
  <c r="Z1047" i="2" s="1"/>
  <c r="Z1027" i="2" a="1"/>
  <c r="Z1027" i="2" s="1"/>
  <c r="Z1021" i="2" a="1"/>
  <c r="Z1021" i="2" s="1"/>
  <c r="O1081" i="2" a="1"/>
  <c r="O1081" i="2" s="1"/>
  <c r="S1081" i="2" s="1"/>
  <c r="Z1067" i="2" a="1"/>
  <c r="Z1067" i="2" s="1"/>
  <c r="Z1058" i="2" a="1"/>
  <c r="Z1058" i="2" s="1"/>
  <c r="Z1054" i="2" a="1"/>
  <c r="Z1054" i="2" s="1"/>
  <c r="Z1050" i="2" a="1"/>
  <c r="Z1050" i="2" s="1"/>
  <c r="Z1040" i="2" a="1"/>
  <c r="Z1040" i="2" s="1"/>
  <c r="Z1013" i="2" a="1"/>
  <c r="Z1013" i="2" s="1"/>
  <c r="Z1073" i="2" a="1"/>
  <c r="Z1073" i="2" s="1"/>
  <c r="Z1095" i="2" a="1"/>
  <c r="Z1095" i="2" s="1"/>
  <c r="Z1063" i="2" a="1"/>
  <c r="Z1063" i="2" s="1"/>
  <c r="Z1045" i="2" a="1"/>
  <c r="Z1045" i="2" s="1"/>
  <c r="Z1023" i="2" a="1"/>
  <c r="Z1023" i="2" s="1"/>
  <c r="O1074" i="2" a="1"/>
  <c r="O1074" i="2" s="1"/>
  <c r="S1074" i="2" s="1"/>
  <c r="O1086" i="2" a="1"/>
  <c r="O1086" i="2" s="1"/>
  <c r="S1086" i="2" s="1"/>
  <c r="Z1065" i="2" a="1"/>
  <c r="Z1065" i="2" s="1"/>
  <c r="Z1087" i="2" a="1"/>
  <c r="Z1087" i="2" s="1"/>
  <c r="Z1057" i="2" a="1"/>
  <c r="Z1057" i="2" s="1"/>
  <c r="O1053" i="2" a="1"/>
  <c r="O1053" i="2" s="1"/>
  <c r="S1053" i="2" s="1"/>
  <c r="O1049" i="2" a="1"/>
  <c r="O1049" i="2" s="1"/>
  <c r="S1049" i="2" s="1"/>
  <c r="Z1051" i="2" a="1"/>
  <c r="Z1051" i="2" s="1"/>
  <c r="Z1037" i="2" a="1"/>
  <c r="Z1037" i="2" s="1"/>
  <c r="Z1079" i="2" a="1"/>
  <c r="Z1079" i="2" s="1"/>
  <c r="Z1062" i="2" a="1"/>
  <c r="Z1062" i="2" s="1"/>
  <c r="Z1055" i="2" a="1"/>
  <c r="Z1055" i="2" s="1"/>
  <c r="Z1036" i="2" a="1"/>
  <c r="Z1036" i="2" s="1"/>
  <c r="Z1025" i="2" a="1"/>
  <c r="Z1025" i="2" s="1"/>
  <c r="Z1081" i="2" a="1"/>
  <c r="Z1081" i="2" s="1"/>
  <c r="Z1077" i="2" a="1"/>
  <c r="Z1077" i="2" s="1"/>
  <c r="O1061" i="2" a="1"/>
  <c r="O1061" i="2" s="1"/>
  <c r="S1061" i="2" s="1"/>
  <c r="Z1059" i="2" a="1"/>
  <c r="Z1059" i="2" s="1"/>
  <c r="Z1042" i="2" a="1"/>
  <c r="Z1042" i="2" s="1"/>
  <c r="O1042" i="2" a="1"/>
  <c r="O1042" i="2" s="1"/>
  <c r="S1042" i="2" s="1"/>
  <c r="O1025" i="2" a="1"/>
  <c r="O1025" i="2" s="1"/>
  <c r="S1025" i="2" s="1"/>
  <c r="Z1022" i="2" a="1"/>
  <c r="Z1022" i="2" s="1"/>
  <c r="Z1018" i="2" a="1"/>
  <c r="Z1018" i="2" s="1"/>
  <c r="Z1006" i="2" a="1"/>
  <c r="Z1006" i="2" s="1"/>
  <c r="Z998" i="2" a="1"/>
  <c r="Z998" i="2" s="1"/>
  <c r="Z1033" i="2" a="1"/>
  <c r="Z1033" i="2" s="1"/>
  <c r="Z1011" i="2" a="1"/>
  <c r="Z1011" i="2" s="1"/>
  <c r="Z1008" i="2" a="1"/>
  <c r="Z1008" i="2" s="1"/>
  <c r="Z987" i="2" a="1"/>
  <c r="Z987" i="2" s="1"/>
  <c r="O1036" i="2" a="1"/>
  <c r="O1036" i="2" s="1"/>
  <c r="S1036" i="2" s="1"/>
  <c r="Z1009" i="2" a="1"/>
  <c r="Z1009" i="2" s="1"/>
  <c r="Z999" i="2" a="1"/>
  <c r="Z999" i="2" s="1"/>
  <c r="Z979" i="2" a="1"/>
  <c r="Z979" i="2" s="1"/>
  <c r="Z1017" i="2" a="1"/>
  <c r="Z1017" i="2" s="1"/>
  <c r="Z1002" i="2" a="1"/>
  <c r="Z1002" i="2" s="1"/>
  <c r="Z1001" i="2" a="1"/>
  <c r="Z1001" i="2" s="1"/>
  <c r="Z994" i="2" a="1"/>
  <c r="Z994" i="2" s="1"/>
  <c r="Z992" i="2" a="1"/>
  <c r="Z992" i="2" s="1"/>
  <c r="Z967" i="2" a="1"/>
  <c r="Z967" i="2" s="1"/>
  <c r="Z965" i="2" a="1"/>
  <c r="Z965" i="2" s="1"/>
  <c r="Z1048" i="2" a="1"/>
  <c r="Z1048" i="2" s="1"/>
  <c r="Z989" i="2" a="1"/>
  <c r="Z989" i="2" s="1"/>
  <c r="Z983" i="2" a="1"/>
  <c r="Z983" i="2" s="1"/>
  <c r="Z982" i="2" a="1"/>
  <c r="Z982" i="2" s="1"/>
  <c r="Z1015" i="2" a="1"/>
  <c r="Z1015" i="2" s="1"/>
  <c r="Z1003" i="2" a="1"/>
  <c r="Z1003" i="2" s="1"/>
  <c r="Z995" i="2" a="1"/>
  <c r="Z995" i="2" s="1"/>
  <c r="Z981" i="2" a="1"/>
  <c r="Z981" i="2" s="1"/>
  <c r="Z1041" i="2" a="1"/>
  <c r="Z1041" i="2" s="1"/>
  <c r="O1027" i="2" a="1"/>
  <c r="O1027" i="2" s="1"/>
  <c r="S1027" i="2" s="1"/>
  <c r="Z1019" i="2" a="1"/>
  <c r="Z1019" i="2" s="1"/>
  <c r="O1018" i="2" a="1"/>
  <c r="O1018" i="2" s="1"/>
  <c r="S1018" i="2" s="1"/>
  <c r="Z1012" i="2" a="1"/>
  <c r="Z1012" i="2" s="1"/>
  <c r="Z1030" i="2" a="1"/>
  <c r="Z1030" i="2" s="1"/>
  <c r="Z1010" i="2" a="1"/>
  <c r="Z1010" i="2" s="1"/>
  <c r="Z1004" i="2" a="1"/>
  <c r="Z1004" i="2" s="1"/>
  <c r="Z996" i="2" a="1"/>
  <c r="Z996" i="2" s="1"/>
  <c r="Z1024" i="2" a="1"/>
  <c r="Z1024" i="2" s="1"/>
  <c r="Z1016" i="2" a="1"/>
  <c r="Z1016" i="2" s="1"/>
  <c r="O1011" i="2" a="1"/>
  <c r="O1011" i="2" s="1"/>
  <c r="S1011" i="2" s="1"/>
  <c r="Z1028" i="2" a="1"/>
  <c r="Z1028" i="2" s="1"/>
  <c r="O1046" i="2" a="1"/>
  <c r="O1046" i="2" s="1"/>
  <c r="S1046" i="2" s="1"/>
  <c r="Z1038" i="2" a="1"/>
  <c r="Z1038" i="2" s="1"/>
  <c r="Z997" i="2" a="1"/>
  <c r="Z997" i="2" s="1"/>
  <c r="Z984" i="2" a="1"/>
  <c r="Z984" i="2" s="1"/>
  <c r="Z993" i="2" a="1"/>
  <c r="Z993" i="2" s="1"/>
  <c r="O987" i="2" a="1"/>
  <c r="O987" i="2" s="1"/>
  <c r="S987" i="2" s="1"/>
  <c r="Z975" i="2" a="1"/>
  <c r="Z975" i="2" s="1"/>
  <c r="Z973" i="2" a="1"/>
  <c r="Z973" i="2" s="1"/>
  <c r="Z968" i="2" a="1"/>
  <c r="Z968" i="2" s="1"/>
  <c r="O1008" i="2" a="1"/>
  <c r="O1008" i="2" s="1"/>
  <c r="S1008" i="2" s="1"/>
  <c r="Z978" i="2" a="1"/>
  <c r="Z978" i="2" s="1"/>
  <c r="Z1005" i="2" a="1"/>
  <c r="Z1005" i="2" s="1"/>
  <c r="Z971" i="2" a="1"/>
  <c r="Z971" i="2" s="1"/>
  <c r="Z980" i="2" a="1"/>
  <c r="Z980" i="2" s="1"/>
  <c r="O966" i="2" a="1"/>
  <c r="O966" i="2" s="1"/>
  <c r="Z927" i="2" a="1"/>
  <c r="Z927" i="2" s="1"/>
  <c r="Z969" i="2" a="1"/>
  <c r="Z969" i="2" s="1"/>
  <c r="Z974" i="2" a="1"/>
  <c r="Z974" i="2" s="1"/>
  <c r="Z972" i="2" a="1"/>
  <c r="Z972" i="2" s="1"/>
  <c r="Z966" i="2" a="1"/>
  <c r="Z966" i="2" s="1"/>
  <c r="Z955" i="2" a="1"/>
  <c r="Z955" i="2" s="1"/>
  <c r="Z953" i="2" a="1"/>
  <c r="Z953" i="2" s="1"/>
  <c r="Z976" i="2" a="1"/>
  <c r="Z976" i="2" s="1"/>
  <c r="Z986" i="2" a="1"/>
  <c r="Z986" i="2" s="1"/>
  <c r="Z985" i="2" a="1"/>
  <c r="Z985" i="2" s="1"/>
  <c r="Z970" i="2" a="1"/>
  <c r="Z970" i="2" s="1"/>
  <c r="Z944" i="2" a="1"/>
  <c r="Z944" i="2" s="1"/>
  <c r="Z956" i="2" a="1"/>
  <c r="Z956" i="2" s="1"/>
  <c r="Z946" i="2" a="1"/>
  <c r="Z946" i="2" s="1"/>
  <c r="Z929" i="2" a="1"/>
  <c r="Z929" i="2" s="1"/>
  <c r="Z922" i="2" a="1"/>
  <c r="Z922" i="2" s="1"/>
  <c r="Z906" i="2" a="1"/>
  <c r="Z906" i="2" s="1"/>
  <c r="Z905" i="2" a="1"/>
  <c r="Z905" i="2" s="1"/>
  <c r="Z939" i="2" a="1"/>
  <c r="Z939" i="2" s="1"/>
  <c r="Z959" i="2" a="1"/>
  <c r="Z959" i="2" s="1"/>
  <c r="Z947" i="2" a="1"/>
  <c r="Z947" i="2" s="1"/>
  <c r="Z988" i="2" a="1"/>
  <c r="Z988" i="2" s="1"/>
  <c r="Z964" i="2" a="1"/>
  <c r="Z964" i="2" s="1"/>
  <c r="Z949" i="2" a="1"/>
  <c r="Z949" i="2" s="1"/>
  <c r="Z933" i="2" a="1"/>
  <c r="Z933" i="2" s="1"/>
  <c r="O928" i="2" a="1"/>
  <c r="O928" i="2" s="1"/>
  <c r="S928" i="2" s="1"/>
  <c r="O971" i="2" a="1"/>
  <c r="O971" i="2" s="1"/>
  <c r="S971" i="2" s="1"/>
  <c r="Z924" i="2" a="1"/>
  <c r="Z924" i="2" s="1"/>
  <c r="Z958" i="2" a="1"/>
  <c r="Z958" i="2" s="1"/>
  <c r="O980" i="2" a="1"/>
  <c r="O980" i="2" s="1"/>
  <c r="S980" i="2" s="1"/>
  <c r="Z950" i="2" a="1"/>
  <c r="Z950" i="2" s="1"/>
  <c r="Z942" i="2" a="1"/>
  <c r="Z942" i="2" s="1"/>
  <c r="Z928" i="2" a="1"/>
  <c r="Z928" i="2" s="1"/>
  <c r="Z925" i="2" a="1"/>
  <c r="Z925" i="2" s="1"/>
  <c r="Z918" i="2" a="1"/>
  <c r="Z918" i="2" s="1"/>
  <c r="O964" i="2" a="1"/>
  <c r="O964" i="2" s="1"/>
  <c r="S964" i="2" s="1"/>
  <c r="Z934" i="2" a="1"/>
  <c r="Z934" i="2" s="1"/>
  <c r="Z919" i="2" a="1"/>
  <c r="Z919" i="2" s="1"/>
  <c r="Z914" i="2" a="1"/>
  <c r="Z914" i="2" s="1"/>
  <c r="Z915" i="2" a="1"/>
  <c r="Z915" i="2" s="1"/>
  <c r="Z936" i="2" a="1"/>
  <c r="Z936" i="2" s="1"/>
  <c r="Z920" i="2" a="1"/>
  <c r="Z920" i="2" s="1"/>
  <c r="O947" i="2" a="1"/>
  <c r="O947" i="2" s="1"/>
  <c r="Z912" i="2" a="1"/>
  <c r="Z912" i="2" s="1"/>
  <c r="Z911" i="2" a="1"/>
  <c r="Z911" i="2" s="1"/>
  <c r="Z909" i="2" a="1"/>
  <c r="Z909" i="2" s="1"/>
  <c r="Z890" i="2" a="1"/>
  <c r="Z890" i="2" s="1"/>
  <c r="Z898" i="2" a="1"/>
  <c r="Z898" i="2" s="1"/>
  <c r="Z902" i="2" a="1"/>
  <c r="Z902" i="2" s="1"/>
  <c r="Z883" i="2" a="1"/>
  <c r="Z883" i="2" s="1"/>
  <c r="Z908" i="2" a="1"/>
  <c r="Z908" i="2" s="1"/>
  <c r="Z894" i="2" a="1"/>
  <c r="Z894" i="2" s="1"/>
  <c r="Z937" i="2" a="1"/>
  <c r="Z937" i="2" s="1"/>
  <c r="Z926" i="2" a="1"/>
  <c r="Z926" i="2" s="1"/>
  <c r="O903" i="2" a="1"/>
  <c r="O903" i="2" s="1"/>
  <c r="S903" i="2" s="1"/>
  <c r="Z891" i="2" a="1"/>
  <c r="Z891" i="2" s="1"/>
  <c r="Z884" i="2" a="1"/>
  <c r="Z884" i="2" s="1"/>
  <c r="Z921" i="2" a="1"/>
  <c r="Z921" i="2" s="1"/>
  <c r="Z897" i="2" a="1"/>
  <c r="Z897" i="2" s="1"/>
  <c r="Z885" i="2" a="1"/>
  <c r="Z885" i="2" s="1"/>
  <c r="Z892" i="2" a="1"/>
  <c r="Z892" i="2" s="1"/>
  <c r="Z900" i="2" a="1"/>
  <c r="Z900" i="2" s="1"/>
  <c r="Z952" i="2" a="1"/>
  <c r="Z952" i="2" s="1"/>
  <c r="O902" i="2" a="1"/>
  <c r="O902" i="2" s="1"/>
  <c r="S902" i="2" s="1"/>
  <c r="Z895" i="2" a="1"/>
  <c r="Z895" i="2" s="1"/>
  <c r="Z887" i="2" a="1"/>
  <c r="Z887" i="2" s="1"/>
  <c r="Z862" i="2" a="1"/>
  <c r="Z862" i="2" s="1"/>
  <c r="Z899" i="2" a="1"/>
  <c r="Z899" i="2" s="1"/>
  <c r="Z893" i="2" a="1"/>
  <c r="Z893" i="2" s="1"/>
  <c r="Z888" i="2" a="1"/>
  <c r="Z888" i="2" s="1"/>
  <c r="O882" i="2" a="1"/>
  <c r="O882" i="2" s="1"/>
  <c r="S882" i="2" s="1"/>
  <c r="Z923" i="2" a="1"/>
  <c r="Z923" i="2" s="1"/>
  <c r="Z880" i="2" a="1"/>
  <c r="Z880" i="2" s="1"/>
  <c r="Z871" i="2" a="1"/>
  <c r="Z871" i="2" s="1"/>
  <c r="Z866" i="2" a="1"/>
  <c r="Z866" i="2" s="1"/>
  <c r="Z940" i="2" a="1"/>
  <c r="Z940" i="2" s="1"/>
  <c r="O883" i="2" a="1"/>
  <c r="O883" i="2" s="1"/>
  <c r="S883" i="2" s="1"/>
  <c r="Z876" i="2" a="1"/>
  <c r="Z876" i="2" s="1"/>
  <c r="Z867" i="2" a="1"/>
  <c r="Z867" i="2" s="1"/>
  <c r="Z858" i="2" a="1"/>
  <c r="Z858" i="2" s="1"/>
  <c r="Z850" i="2" a="1"/>
  <c r="Z850" i="2" s="1"/>
  <c r="Z879" i="2" a="1"/>
  <c r="Z879" i="2" s="1"/>
  <c r="Z874" i="2" a="1"/>
  <c r="Z874" i="2" s="1"/>
  <c r="Z843" i="2" a="1"/>
  <c r="Z843" i="2" s="1"/>
  <c r="Z842" i="2" a="1"/>
  <c r="Z842" i="2" s="1"/>
  <c r="Z841" i="2" a="1"/>
  <c r="Z841" i="2" s="1"/>
  <c r="Z840" i="2" a="1"/>
  <c r="Z840" i="2" s="1"/>
  <c r="Z839" i="2" a="1"/>
  <c r="Z839" i="2" s="1"/>
  <c r="Z838" i="2" a="1"/>
  <c r="Z838" i="2" s="1"/>
  <c r="Z837" i="2" a="1"/>
  <c r="Z837" i="2" s="1"/>
  <c r="Z836" i="2" a="1"/>
  <c r="Z836" i="2" s="1"/>
  <c r="Z859" i="2" a="1"/>
  <c r="Z859" i="2" s="1"/>
  <c r="Z851" i="2" a="1"/>
  <c r="Z851" i="2" s="1"/>
  <c r="Z889" i="2" a="1"/>
  <c r="Z889" i="2" s="1"/>
  <c r="Z844" i="2" a="1"/>
  <c r="Z844" i="2" s="1"/>
  <c r="Z833" i="2" a="1"/>
  <c r="Z833" i="2" s="1"/>
  <c r="Z830" i="2" a="1"/>
  <c r="Z830" i="2" s="1"/>
  <c r="Z878" i="2" a="1"/>
  <c r="Z878" i="2" s="1"/>
  <c r="Z863" i="2" a="1"/>
  <c r="Z863" i="2" s="1"/>
  <c r="Z852" i="2" a="1"/>
  <c r="Z852" i="2" s="1"/>
  <c r="Z827" i="2" a="1"/>
  <c r="Z827" i="2" s="1"/>
  <c r="Z826" i="2" a="1"/>
  <c r="Z826" i="2" s="1"/>
  <c r="Z803" i="2" a="1"/>
  <c r="Z803" i="2" s="1"/>
  <c r="Z802" i="2" a="1"/>
  <c r="Z802" i="2" s="1"/>
  <c r="Z886" i="2" a="1"/>
  <c r="Z886" i="2" s="1"/>
  <c r="Z845" i="2" a="1"/>
  <c r="Z845" i="2" s="1"/>
  <c r="O871" i="2" a="1"/>
  <c r="O871" i="2" s="1"/>
  <c r="Z870" i="2" a="1"/>
  <c r="Z870" i="2" s="1"/>
  <c r="Z860" i="2" a="1"/>
  <c r="Z860" i="2" s="1"/>
  <c r="Z875" i="2" a="1"/>
  <c r="Z875" i="2" s="1"/>
  <c r="Z877" i="2" a="1"/>
  <c r="Z877" i="2" s="1"/>
  <c r="Z864" i="2" a="1"/>
  <c r="Z864" i="2" s="1"/>
  <c r="Z854" i="2" a="1"/>
  <c r="Z854" i="2" s="1"/>
  <c r="O906" i="2" a="1"/>
  <c r="O906" i="2" s="1"/>
  <c r="S906" i="2" s="1"/>
  <c r="Z903" i="2" a="1"/>
  <c r="Z903" i="2" s="1"/>
  <c r="Z882" i="2" a="1"/>
  <c r="Z882" i="2" s="1"/>
  <c r="Z861" i="2" a="1"/>
  <c r="Z861" i="2" s="1"/>
  <c r="Z855" i="2" a="1"/>
  <c r="Z855" i="2" s="1"/>
  <c r="Z847" i="2" a="1"/>
  <c r="Z847" i="2" s="1"/>
  <c r="Z818" i="2" a="1"/>
  <c r="Z818" i="2" s="1"/>
  <c r="Z817" i="2" a="1"/>
  <c r="Z817" i="2" s="1"/>
  <c r="O874" i="2" a="1"/>
  <c r="O874" i="2" s="1"/>
  <c r="Z873" i="2" a="1"/>
  <c r="Z873" i="2" s="1"/>
  <c r="Z856" i="2" a="1"/>
  <c r="Z856" i="2" s="1"/>
  <c r="Z848" i="2" a="1"/>
  <c r="Z848" i="2" s="1"/>
  <c r="Z881" i="2" a="1"/>
  <c r="Z881" i="2" s="1"/>
  <c r="Z857" i="2" a="1"/>
  <c r="Z857" i="2" s="1"/>
  <c r="Z849" i="2" a="1"/>
  <c r="Z849" i="2" s="1"/>
  <c r="Z824" i="2" a="1"/>
  <c r="Z824" i="2" s="1"/>
  <c r="Z781" i="2" a="1"/>
  <c r="Z781" i="2" s="1"/>
  <c r="Z823" i="2" a="1"/>
  <c r="Z823" i="2" s="1"/>
  <c r="Z784" i="2" a="1"/>
  <c r="Z784" i="2" s="1"/>
  <c r="Z829" i="2" a="1"/>
  <c r="Z829" i="2" s="1"/>
  <c r="Z782" i="2" a="1"/>
  <c r="Z782" i="2" s="1"/>
  <c r="Z779" i="2" a="1"/>
  <c r="Z779" i="2" s="1"/>
  <c r="Z778" i="2" a="1"/>
  <c r="Z778" i="2" s="1"/>
  <c r="O818" i="2" a="1"/>
  <c r="O818" i="2" s="1"/>
  <c r="Z806" i="2" a="1"/>
  <c r="Z806" i="2" s="1"/>
  <c r="Z800" i="2" a="1"/>
  <c r="Z800" i="2" s="1"/>
  <c r="Z787" i="2" a="1"/>
  <c r="Z787" i="2" s="1"/>
  <c r="Z785" i="2" a="1"/>
  <c r="Z785" i="2" s="1"/>
  <c r="Z776" i="2" a="1"/>
  <c r="Z776" i="2" s="1"/>
  <c r="Z821" i="2" a="1"/>
  <c r="Z821" i="2" s="1"/>
  <c r="Z812" i="2" a="1"/>
  <c r="Z812" i="2" s="1"/>
  <c r="Z747" i="2" a="1"/>
  <c r="Z747" i="2" s="1"/>
  <c r="Z746" i="2" a="1"/>
  <c r="Z746" i="2" s="1"/>
  <c r="Z809" i="2" a="1"/>
  <c r="Z809" i="2" s="1"/>
  <c r="Z790" i="2" a="1"/>
  <c r="Z790" i="2" s="1"/>
  <c r="Z788" i="2" a="1"/>
  <c r="Z788" i="2" s="1"/>
  <c r="Z774" i="2" a="1"/>
  <c r="Z774" i="2" s="1"/>
  <c r="Z773" i="2" a="1"/>
  <c r="Z773" i="2" s="1"/>
  <c r="Z771" i="2" a="1"/>
  <c r="Z771" i="2" s="1"/>
  <c r="Z743" i="2" a="1"/>
  <c r="Z743" i="2" s="1"/>
  <c r="Z742" i="2" a="1"/>
  <c r="Z742" i="2" s="1"/>
  <c r="Z820" i="2" a="1"/>
  <c r="Z820" i="2" s="1"/>
  <c r="Z815" i="2" a="1"/>
  <c r="Z815" i="2" s="1"/>
  <c r="Z793" i="2" a="1"/>
  <c r="Z793" i="2" s="1"/>
  <c r="Z791" i="2" a="1"/>
  <c r="Z791" i="2" s="1"/>
  <c r="O863" i="2" a="1"/>
  <c r="O863" i="2" s="1"/>
  <c r="S863" i="2" s="1"/>
  <c r="Z846" i="2" a="1"/>
  <c r="Z846" i="2" s="1"/>
  <c r="Z832" i="2" a="1"/>
  <c r="Z832" i="2" s="1"/>
  <c r="Z811" i="2" a="1"/>
  <c r="Z811" i="2" s="1"/>
  <c r="Z808" i="2" a="1"/>
  <c r="Z808" i="2" s="1"/>
  <c r="Z805" i="2" a="1"/>
  <c r="Z805" i="2" s="1"/>
  <c r="Z797" i="2" a="1"/>
  <c r="Z797" i="2" s="1"/>
  <c r="Z853" i="2" a="1"/>
  <c r="Z853" i="2" s="1"/>
  <c r="Z814" i="2" a="1"/>
  <c r="Z814" i="2" s="1"/>
  <c r="O803" i="2" a="1"/>
  <c r="O803" i="2" s="1"/>
  <c r="Z799" i="2" a="1"/>
  <c r="Z799" i="2" s="1"/>
  <c r="O782" i="2" a="1"/>
  <c r="O782" i="2" s="1"/>
  <c r="Z764" i="2" a="1"/>
  <c r="Z764" i="2" s="1"/>
  <c r="Z750" i="2" a="1"/>
  <c r="Z750" i="2" s="1"/>
  <c r="Z729" i="2" a="1"/>
  <c r="Z729" i="2" s="1"/>
  <c r="Z679" i="2" a="1"/>
  <c r="Z679" i="2" s="1"/>
  <c r="Z671" i="2" a="1"/>
  <c r="Z671" i="2" s="1"/>
  <c r="Z739" i="2" a="1"/>
  <c r="Z739" i="2" s="1"/>
  <c r="Z725" i="2" a="1"/>
  <c r="Z725" i="2" s="1"/>
  <c r="Z715" i="2" a="1"/>
  <c r="Z715" i="2" s="1"/>
  <c r="Z714" i="2" a="1"/>
  <c r="Z714" i="2" s="1"/>
  <c r="Z691" i="2" a="1"/>
  <c r="Z691" i="2" s="1"/>
  <c r="Z690" i="2" a="1"/>
  <c r="Z690" i="2" s="1"/>
  <c r="Z765" i="2" a="1"/>
  <c r="Z765" i="2" s="1"/>
  <c r="Z752" i="2" a="1"/>
  <c r="Z752" i="2" s="1"/>
  <c r="Z731" i="2" a="1"/>
  <c r="Z731" i="2" s="1"/>
  <c r="Z712" i="2" a="1"/>
  <c r="Z712" i="2" s="1"/>
  <c r="Z711" i="2" a="1"/>
  <c r="Z711" i="2" s="1"/>
  <c r="Z796" i="2" a="1"/>
  <c r="Z796" i="2" s="1"/>
  <c r="Z754" i="2" a="1"/>
  <c r="Z754" i="2" s="1"/>
  <c r="Z756" i="2" a="1"/>
  <c r="Z756" i="2" s="1"/>
  <c r="Z675" i="2" a="1"/>
  <c r="Z675" i="2" s="1"/>
  <c r="Z667" i="2" a="1"/>
  <c r="Z667" i="2" s="1"/>
  <c r="Z762" i="2" a="1"/>
  <c r="Z762" i="2" s="1"/>
  <c r="Z794" i="2" a="1"/>
  <c r="Z794" i="2" s="1"/>
  <c r="Z755" i="2" a="1"/>
  <c r="Z755" i="2" s="1"/>
  <c r="Z763" i="2" a="1"/>
  <c r="Z763" i="2" s="1"/>
  <c r="Z748" i="2" a="1"/>
  <c r="Z748" i="2" s="1"/>
  <c r="Z737" i="2" a="1"/>
  <c r="Z737" i="2" s="1"/>
  <c r="Z678" i="2" a="1"/>
  <c r="Z678" i="2" s="1"/>
  <c r="Z670" i="2" a="1"/>
  <c r="Z670" i="2" s="1"/>
  <c r="Z759" i="2" a="1"/>
  <c r="Z759" i="2" s="1"/>
  <c r="Z757" i="2" a="1"/>
  <c r="Z757" i="2" s="1"/>
  <c r="Z724" i="2" a="1"/>
  <c r="Z724" i="2" s="1"/>
  <c r="Z693" i="2" a="1"/>
  <c r="Z693" i="2" s="1"/>
  <c r="Z676" i="2" a="1"/>
  <c r="Z676" i="2" s="1"/>
  <c r="Z700" i="2" a="1"/>
  <c r="Z700" i="2" s="1"/>
  <c r="Z631" i="2" a="1"/>
  <c r="Z631" i="2" s="1"/>
  <c r="Z630" i="2" a="1"/>
  <c r="Z630" i="2" s="1"/>
  <c r="Z760" i="2" a="1"/>
  <c r="Z760" i="2" s="1"/>
  <c r="Z749" i="2" a="1"/>
  <c r="Z749" i="2" s="1"/>
  <c r="Z696" i="2" a="1"/>
  <c r="Z696" i="2" s="1"/>
  <c r="Z680" i="2" a="1"/>
  <c r="Z680" i="2" s="1"/>
  <c r="Z602" i="2" a="1"/>
  <c r="Z602" i="2" s="1"/>
  <c r="Z761" i="2" a="1"/>
  <c r="Z761" i="2" s="1"/>
  <c r="Z740" i="2" a="1"/>
  <c r="Z740" i="2" s="1"/>
  <c r="Z706" i="2" a="1"/>
  <c r="Z706" i="2" s="1"/>
  <c r="Z723" i="2" a="1"/>
  <c r="Z723" i="2" s="1"/>
  <c r="Z688" i="2" a="1"/>
  <c r="Z688" i="2" s="1"/>
  <c r="Z751" i="2" a="1"/>
  <c r="Z751" i="2" s="1"/>
  <c r="Z705" i="2" a="1"/>
  <c r="Z705" i="2" s="1"/>
  <c r="Z682" i="2" a="1"/>
  <c r="Z682" i="2" s="1"/>
  <c r="Z753" i="2" a="1"/>
  <c r="Z753" i="2" s="1"/>
  <c r="Z699" i="2" a="1"/>
  <c r="Z699" i="2" s="1"/>
  <c r="Z669" i="2" a="1"/>
  <c r="Z669" i="2" s="1"/>
  <c r="Z736" i="2" a="1"/>
  <c r="Z736" i="2" s="1"/>
  <c r="Z727" i="2" a="1"/>
  <c r="Z727" i="2" s="1"/>
  <c r="Z703" i="2" a="1"/>
  <c r="Z703" i="2" s="1"/>
  <c r="O700" i="2" a="1"/>
  <c r="O700" i="2" s="1"/>
  <c r="Z726" i="2" a="1"/>
  <c r="Z726" i="2" s="1"/>
  <c r="Z722" i="2" a="1"/>
  <c r="Z722" i="2" s="1"/>
  <c r="Z677" i="2" a="1"/>
  <c r="Z677" i="2" s="1"/>
  <c r="Z664" i="2" a="1"/>
  <c r="Z664" i="2" s="1"/>
  <c r="Z643" i="2" a="1"/>
  <c r="Z643" i="2" s="1"/>
  <c r="Z642" i="2" a="1"/>
  <c r="Z642" i="2" s="1"/>
  <c r="Z613" i="2" a="1"/>
  <c r="Z613" i="2" s="1"/>
  <c r="Z612" i="2" a="1"/>
  <c r="Z612" i="2" s="1"/>
  <c r="Z734" i="2" a="1"/>
  <c r="Z734" i="2" s="1"/>
  <c r="Z694" i="2" a="1"/>
  <c r="Z694" i="2" s="1"/>
  <c r="Z687" i="2" a="1"/>
  <c r="Z687" i="2" s="1"/>
  <c r="Z606" i="2" a="1"/>
  <c r="Z606" i="2" s="1"/>
  <c r="Z598" i="2" a="1"/>
  <c r="Z598" i="2" s="1"/>
  <c r="Z758" i="2" a="1"/>
  <c r="Z758" i="2" s="1"/>
  <c r="Z733" i="2" a="1"/>
  <c r="Z733" i="2" s="1"/>
  <c r="Z702" i="2" a="1"/>
  <c r="Z702" i="2" s="1"/>
  <c r="Z684" i="2" a="1"/>
  <c r="Z684" i="2" s="1"/>
  <c r="Z672" i="2" a="1"/>
  <c r="Z672" i="2" s="1"/>
  <c r="Z640" i="2" a="1"/>
  <c r="Z640" i="2" s="1"/>
  <c r="Z639" i="2" a="1"/>
  <c r="Z639" i="2" s="1"/>
  <c r="Z709" i="2" a="1"/>
  <c r="Z709" i="2" s="1"/>
  <c r="Z681" i="2" a="1"/>
  <c r="Z681" i="2" s="1"/>
  <c r="Z721" i="2" a="1"/>
  <c r="Z721" i="2" s="1"/>
  <c r="Z718" i="2" a="1"/>
  <c r="Z718" i="2" s="1"/>
  <c r="O699" i="2" a="1"/>
  <c r="O699" i="2" s="1"/>
  <c r="Z668" i="2" a="1"/>
  <c r="Z668" i="2" s="1"/>
  <c r="O657" i="2" a="1"/>
  <c r="O657" i="2" s="1"/>
  <c r="Z600" i="2" a="1"/>
  <c r="Z600" i="2" s="1"/>
  <c r="O599" i="2" a="1"/>
  <c r="O599" i="2" s="1"/>
  <c r="S599" i="2" s="1"/>
  <c r="Z591" i="2" a="1"/>
  <c r="Z591" i="2" s="1"/>
  <c r="O703" i="2" a="1"/>
  <c r="O703" i="2" s="1"/>
  <c r="Z697" i="2" a="1"/>
  <c r="Z697" i="2" s="1"/>
  <c r="O682" i="2" a="1"/>
  <c r="O682" i="2" s="1"/>
  <c r="S682" i="2" s="1"/>
  <c r="Z627" i="2" a="1"/>
  <c r="Z627" i="2" s="1"/>
  <c r="O586" i="2" a="1"/>
  <c r="O586" i="2" s="1"/>
  <c r="S586" i="2" s="1"/>
  <c r="Z584" i="2" a="1"/>
  <c r="Z584" i="2" s="1"/>
  <c r="Z654" i="2" a="1"/>
  <c r="Z654" i="2" s="1"/>
  <c r="Z649" i="2" a="1"/>
  <c r="Z649" i="2" s="1"/>
  <c r="Z609" i="2" a="1"/>
  <c r="Z609" i="2" s="1"/>
  <c r="Z560" i="2" a="1"/>
  <c r="Z560" i="2" s="1"/>
  <c r="Z559" i="2" a="1"/>
  <c r="Z559" i="2" s="1"/>
  <c r="Z673" i="2" a="1"/>
  <c r="Z673" i="2" s="1"/>
  <c r="Z604" i="2" a="1"/>
  <c r="Z604" i="2" s="1"/>
  <c r="Z585" i="2" a="1"/>
  <c r="Z585" i="2" s="1"/>
  <c r="Z577" i="2" a="1"/>
  <c r="Z577" i="2" s="1"/>
  <c r="O655" i="2" a="1"/>
  <c r="O655" i="2" s="1"/>
  <c r="S655" i="2" s="1"/>
  <c r="Z648" i="2" a="1"/>
  <c r="Z648" i="2" s="1"/>
  <c r="Z619" i="2" a="1"/>
  <c r="Z619" i="2" s="1"/>
  <c r="Z557" i="2" a="1"/>
  <c r="Z557" i="2" s="1"/>
  <c r="Z556" i="2" a="1"/>
  <c r="Z556" i="2" s="1"/>
  <c r="Z533" i="2" a="1"/>
  <c r="Z533" i="2" s="1"/>
  <c r="Z532" i="2" a="1"/>
  <c r="Z532" i="2" s="1"/>
  <c r="Z616" i="2" a="1"/>
  <c r="Z616" i="2" s="1"/>
  <c r="O588" i="2" a="1"/>
  <c r="O588" i="2" s="1"/>
  <c r="S588" i="2" s="1"/>
  <c r="Z586" i="2" a="1"/>
  <c r="Z586" i="2" s="1"/>
  <c r="O580" i="2" a="1"/>
  <c r="O580" i="2" s="1"/>
  <c r="S580" i="2" s="1"/>
  <c r="Z578" i="2" a="1"/>
  <c r="Z578" i="2" s="1"/>
  <c r="O572" i="2" a="1"/>
  <c r="O572" i="2" s="1"/>
  <c r="S572" i="2" s="1"/>
  <c r="Z717" i="2" a="1"/>
  <c r="Z717" i="2" s="1"/>
  <c r="Z674" i="2" a="1"/>
  <c r="Z674" i="2" s="1"/>
  <c r="Z634" i="2" a="1"/>
  <c r="Z634" i="2" s="1"/>
  <c r="Z622" i="2" a="1"/>
  <c r="Z622" i="2" s="1"/>
  <c r="Z599" i="2" a="1"/>
  <c r="Z599" i="2" s="1"/>
  <c r="Z685" i="2" a="1"/>
  <c r="Z685" i="2" s="1"/>
  <c r="Z660" i="2" a="1"/>
  <c r="Z660" i="2" s="1"/>
  <c r="O649" i="2" a="1"/>
  <c r="O649" i="2" s="1"/>
  <c r="S649" i="2" s="1"/>
  <c r="Z597" i="2" a="1"/>
  <c r="Z597" i="2" s="1"/>
  <c r="Z587" i="2" a="1"/>
  <c r="Z587" i="2" s="1"/>
  <c r="Z658" i="2" a="1"/>
  <c r="Z658" i="2" s="1"/>
  <c r="Z657" i="2" a="1"/>
  <c r="Z657" i="2" s="1"/>
  <c r="Z646" i="2" a="1"/>
  <c r="Z646" i="2" s="1"/>
  <c r="Z551" i="2" a="1"/>
  <c r="Z551" i="2" s="1"/>
  <c r="Z550" i="2" a="1"/>
  <c r="Z550" i="2" s="1"/>
  <c r="Z625" i="2" a="1"/>
  <c r="Z625" i="2" s="1"/>
  <c r="Z610" i="2" a="1"/>
  <c r="Z610" i="2" s="1"/>
  <c r="Z603" i="2" a="1"/>
  <c r="Z603" i="2" s="1"/>
  <c r="Z588" i="2" a="1"/>
  <c r="Z588" i="2" s="1"/>
  <c r="Z708" i="2" a="1"/>
  <c r="Z708" i="2" s="1"/>
  <c r="Z663" i="2" a="1"/>
  <c r="Z663" i="2" s="1"/>
  <c r="Z661" i="2" a="1"/>
  <c r="Z661" i="2" s="1"/>
  <c r="Z652" i="2" a="1"/>
  <c r="Z652" i="2" s="1"/>
  <c r="Z601" i="2" a="1"/>
  <c r="Z601" i="2" s="1"/>
  <c r="Z655" i="2" a="1"/>
  <c r="Z655" i="2" s="1"/>
  <c r="Z645" i="2" a="1"/>
  <c r="Z645" i="2" s="1"/>
  <c r="Z637" i="2" a="1"/>
  <c r="Z637" i="2" s="1"/>
  <c r="Z633" i="2" a="1"/>
  <c r="Z633" i="2" s="1"/>
  <c r="Z628" i="2" a="1"/>
  <c r="Z628" i="2" s="1"/>
  <c r="O627" i="2" a="1"/>
  <c r="O627" i="2" s="1"/>
  <c r="Z621" i="2" a="1"/>
  <c r="Z621" i="2" s="1"/>
  <c r="Z618" i="2" a="1"/>
  <c r="Z618" i="2" s="1"/>
  <c r="Z589" i="2" a="1"/>
  <c r="Z589" i="2" s="1"/>
  <c r="Z581" i="2" a="1"/>
  <c r="Z581" i="2" s="1"/>
  <c r="Z573" i="2" a="1"/>
  <c r="Z573" i="2" s="1"/>
  <c r="Z615" i="2" a="1"/>
  <c r="Z615" i="2" s="1"/>
  <c r="Z607" i="2" a="1"/>
  <c r="Z607" i="2" s="1"/>
  <c r="Z651" i="2" a="1"/>
  <c r="Z651" i="2" s="1"/>
  <c r="Z605" i="2" a="1"/>
  <c r="Z605" i="2" s="1"/>
  <c r="Z590" i="2" a="1"/>
  <c r="Z590" i="2" s="1"/>
  <c r="Z582" i="2" a="1"/>
  <c r="Z582" i="2" s="1"/>
  <c r="Z574" i="2" a="1"/>
  <c r="Z574" i="2" s="1"/>
  <c r="O687" i="2" a="1"/>
  <c r="O687" i="2" s="1"/>
  <c r="Z624" i="2" a="1"/>
  <c r="Z624" i="2" s="1"/>
  <c r="Z566" i="2" a="1"/>
  <c r="Z566" i="2" s="1"/>
  <c r="Z565" i="2" a="1"/>
  <c r="Z565" i="2" s="1"/>
  <c r="Z542" i="2" a="1"/>
  <c r="Z542" i="2" s="1"/>
  <c r="Z541" i="2" a="1"/>
  <c r="Z541" i="2" s="1"/>
  <c r="Z521" i="2" a="1"/>
  <c r="Z521" i="2" s="1"/>
  <c r="Z510" i="2" a="1"/>
  <c r="Z510" i="2" s="1"/>
  <c r="Z503" i="2" a="1"/>
  <c r="Z503" i="2" s="1"/>
  <c r="Z495" i="2" a="1"/>
  <c r="Z495" i="2" s="1"/>
  <c r="Z475" i="2" a="1"/>
  <c r="Z475" i="2" s="1"/>
  <c r="Z466" i="2" a="1"/>
  <c r="Z466" i="2" s="1"/>
  <c r="Z465" i="2" a="1"/>
  <c r="Z465" i="2" s="1"/>
  <c r="Z453" i="2" a="1"/>
  <c r="Z453" i="2" s="1"/>
  <c r="Z452" i="2" a="1"/>
  <c r="Z452" i="2" s="1"/>
  <c r="Z547" i="2" a="1"/>
  <c r="Z547" i="2" s="1"/>
  <c r="Z518" i="2" a="1"/>
  <c r="Z518" i="2" s="1"/>
  <c r="Z517" i="2" a="1"/>
  <c r="Z517" i="2" s="1"/>
  <c r="Z464" i="2" a="1"/>
  <c r="Z464" i="2" s="1"/>
  <c r="Z463" i="2" a="1"/>
  <c r="Z463" i="2" s="1"/>
  <c r="Z572" i="2" a="1"/>
  <c r="Z572" i="2" s="1"/>
  <c r="Z539" i="2" a="1"/>
  <c r="Z539" i="2" s="1"/>
  <c r="Z526" i="2" a="1"/>
  <c r="Z526" i="2" s="1"/>
  <c r="Z511" i="2" a="1"/>
  <c r="Z511" i="2" s="1"/>
  <c r="Z496" i="2" a="1"/>
  <c r="Z496" i="2" s="1"/>
  <c r="Z476" i="2" a="1"/>
  <c r="Z476" i="2" s="1"/>
  <c r="Z467" i="2" a="1"/>
  <c r="Z467" i="2" s="1"/>
  <c r="Z583" i="2" a="1"/>
  <c r="Z583" i="2" s="1"/>
  <c r="O578" i="2" a="1"/>
  <c r="O578" i="2" s="1"/>
  <c r="Z553" i="2" a="1"/>
  <c r="Z553" i="2" s="1"/>
  <c r="Z515" i="2" a="1"/>
  <c r="Z515" i="2" s="1"/>
  <c r="Z514" i="2" a="1"/>
  <c r="Z514" i="2" s="1"/>
  <c r="Z504" i="2" a="1"/>
  <c r="Z504" i="2" s="1"/>
  <c r="Z492" i="2" a="1"/>
  <c r="Z492" i="2" s="1"/>
  <c r="Z491" i="2" a="1"/>
  <c r="Z491" i="2" s="1"/>
  <c r="Z468" i="2" a="1"/>
  <c r="Z468" i="2" s="1"/>
  <c r="Z575" i="2" a="1"/>
  <c r="Z575" i="2" s="1"/>
  <c r="Z512" i="2" a="1"/>
  <c r="Z512" i="2" s="1"/>
  <c r="Z477" i="2" a="1"/>
  <c r="Z477" i="2" s="1"/>
  <c r="Z544" i="2" a="1"/>
  <c r="Z544" i="2" s="1"/>
  <c r="Z505" i="2" a="1"/>
  <c r="Z505" i="2" s="1"/>
  <c r="Z536" i="2" a="1"/>
  <c r="Z536" i="2" s="1"/>
  <c r="Z580" i="2" a="1"/>
  <c r="Z580" i="2" s="1"/>
  <c r="Z527" i="2" a="1"/>
  <c r="Z527" i="2" s="1"/>
  <c r="Z506" i="2" a="1"/>
  <c r="Z506" i="2" s="1"/>
  <c r="Z486" i="2" a="1"/>
  <c r="Z486" i="2" s="1"/>
  <c r="Z485" i="2" a="1"/>
  <c r="Z485" i="2" s="1"/>
  <c r="Z636" i="2" a="1"/>
  <c r="Z636" i="2" s="1"/>
  <c r="Z563" i="2" a="1"/>
  <c r="Z563" i="2" s="1"/>
  <c r="Z479" i="2" a="1"/>
  <c r="Z479" i="2" s="1"/>
  <c r="Z471" i="2" a="1"/>
  <c r="Z471" i="2" s="1"/>
  <c r="Z548" i="2" a="1"/>
  <c r="Z548" i="2" s="1"/>
  <c r="Z507" i="2" a="1"/>
  <c r="Z507" i="2" s="1"/>
  <c r="Z576" i="2" a="1"/>
  <c r="Z576" i="2" s="1"/>
  <c r="Z529" i="2" a="1"/>
  <c r="Z529" i="2" s="1"/>
  <c r="Z480" i="2" a="1"/>
  <c r="Z480" i="2" s="1"/>
  <c r="Z538" i="2" a="1"/>
  <c r="Z538" i="2" s="1"/>
  <c r="Z508" i="2" a="1"/>
  <c r="Z508" i="2" s="1"/>
  <c r="Z569" i="2" a="1"/>
  <c r="Z569" i="2" s="1"/>
  <c r="Z568" i="2" a="1"/>
  <c r="Z568" i="2" s="1"/>
  <c r="Z545" i="2" a="1"/>
  <c r="Z545" i="2" s="1"/>
  <c r="Z473" i="2" a="1"/>
  <c r="Z473" i="2" s="1"/>
  <c r="Z562" i="2" a="1"/>
  <c r="Z562" i="2" s="1"/>
  <c r="Z554" i="2" a="1"/>
  <c r="Z554" i="2" s="1"/>
  <c r="Z509" i="2" a="1"/>
  <c r="Z509" i="2" s="1"/>
  <c r="Z502" i="2" a="1"/>
  <c r="Z502" i="2" s="1"/>
  <c r="Z474" i="2" a="1"/>
  <c r="Z474" i="2" s="1"/>
  <c r="O577" i="2" a="1"/>
  <c r="O577" i="2" s="1"/>
  <c r="S577" i="2" s="1"/>
  <c r="O556" i="2" a="1"/>
  <c r="O556" i="2" s="1"/>
  <c r="Z444" i="2" a="1"/>
  <c r="Z444" i="2" s="1"/>
  <c r="Z441" i="2" a="1"/>
  <c r="Z441" i="2" s="1"/>
  <c r="Z438" i="2" a="1"/>
  <c r="Z438" i="2" s="1"/>
  <c r="Z489" i="2" a="1"/>
  <c r="Z489" i="2" s="1"/>
  <c r="O456" i="2" a="1"/>
  <c r="O456" i="2" s="1"/>
  <c r="S456" i="2" s="1"/>
  <c r="Z442" i="2" a="1"/>
  <c r="Z442" i="2" s="1"/>
  <c r="Z439" i="2" a="1"/>
  <c r="Z439" i="2" s="1"/>
  <c r="Z436" i="2" a="1"/>
  <c r="Z436" i="2" s="1"/>
  <c r="Z428" i="2" a="1"/>
  <c r="Z428" i="2" s="1"/>
  <c r="Z469" i="2" a="1"/>
  <c r="Z469" i="2" s="1"/>
  <c r="O461" i="2" a="1"/>
  <c r="O461" i="2" s="1"/>
  <c r="S461" i="2" s="1"/>
  <c r="Z447" i="2" a="1"/>
  <c r="Z447" i="2" s="1"/>
  <c r="Z429" i="2" a="1"/>
  <c r="Z429" i="2" s="1"/>
  <c r="Z457" i="2" a="1"/>
  <c r="Z457" i="2" s="1"/>
  <c r="Z470" i="2" a="1"/>
  <c r="Z470" i="2" s="1"/>
  <c r="Z430" i="2" a="1"/>
  <c r="Z430" i="2" s="1"/>
  <c r="Z420" i="2" a="1"/>
  <c r="Z420" i="2" s="1"/>
  <c r="Z412" i="2" a="1"/>
  <c r="Z412" i="2" s="1"/>
  <c r="Z404" i="2" a="1"/>
  <c r="Z404" i="2" s="1"/>
  <c r="Z396" i="2" a="1"/>
  <c r="Z396" i="2" s="1"/>
  <c r="Z524" i="2" a="1"/>
  <c r="Z524" i="2" s="1"/>
  <c r="Z530" i="2" a="1"/>
  <c r="Z530" i="2" s="1"/>
  <c r="Z520" i="2" a="1"/>
  <c r="Z520" i="2" s="1"/>
  <c r="Z459" i="2" a="1"/>
  <c r="Z459" i="2" s="1"/>
  <c r="Z482" i="2" a="1"/>
  <c r="Z482" i="2" s="1"/>
  <c r="Z523" i="2" a="1"/>
  <c r="Z523" i="2" s="1"/>
  <c r="Z488" i="2" a="1"/>
  <c r="Z488" i="2" s="1"/>
  <c r="Z478" i="2" a="1"/>
  <c r="Z478" i="2" s="1"/>
  <c r="Z461" i="2" a="1"/>
  <c r="Z461" i="2" s="1"/>
  <c r="Z434" i="2" a="1"/>
  <c r="Z434" i="2" s="1"/>
  <c r="Z426" i="2" a="1"/>
  <c r="Z426" i="2" s="1"/>
  <c r="Z416" i="2" a="1"/>
  <c r="Z416" i="2" s="1"/>
  <c r="Z535" i="2" a="1"/>
  <c r="Z535" i="2" s="1"/>
  <c r="Z458" i="2" a="1"/>
  <c r="Z458" i="2" s="1"/>
  <c r="O459" i="2" a="1"/>
  <c r="O459" i="2" s="1"/>
  <c r="S459" i="2" s="1"/>
  <c r="Z432" i="2" a="1"/>
  <c r="Z432" i="2" s="1"/>
  <c r="Z460" i="2" a="1"/>
  <c r="Z460" i="2" s="1"/>
  <c r="Z435" i="2" a="1"/>
  <c r="Z435" i="2" s="1"/>
  <c r="Z433" i="2" a="1"/>
  <c r="Z433" i="2" s="1"/>
  <c r="Z431" i="2" a="1"/>
  <c r="Z431" i="2" s="1"/>
  <c r="O415" i="2" a="1"/>
  <c r="O415" i="2" s="1"/>
  <c r="S415" i="2" s="1"/>
  <c r="Z347" i="2" a="1"/>
  <c r="Z347" i="2" s="1"/>
  <c r="Z328" i="2" a="1"/>
  <c r="Z328" i="2" s="1"/>
  <c r="Z449" i="2" a="1"/>
  <c r="Z449" i="2" s="1"/>
  <c r="Z445" i="2" a="1"/>
  <c r="Z445" i="2" s="1"/>
  <c r="Z427" i="2" a="1"/>
  <c r="Z427" i="2" s="1"/>
  <c r="Z419" i="2" a="1"/>
  <c r="Z419" i="2" s="1"/>
  <c r="Z413" i="2" a="1"/>
  <c r="Z413" i="2" s="1"/>
  <c r="Z406" i="2" a="1"/>
  <c r="Z406" i="2" s="1"/>
  <c r="Z383" i="2" a="1"/>
  <c r="Z383" i="2" s="1"/>
  <c r="O460" i="2" a="1"/>
  <c r="O460" i="2" s="1"/>
  <c r="S460" i="2" s="1"/>
  <c r="O429" i="2" a="1"/>
  <c r="O429" i="2" s="1"/>
  <c r="S429" i="2" s="1"/>
  <c r="Z392" i="2" a="1"/>
  <c r="Z392" i="2" s="1"/>
  <c r="Z483" i="2" a="1"/>
  <c r="Z483" i="2" s="1"/>
  <c r="Z425" i="2" a="1"/>
  <c r="Z425" i="2" s="1"/>
  <c r="Z424" i="2" a="1"/>
  <c r="Z424" i="2" s="1"/>
  <c r="Z418" i="2" a="1"/>
  <c r="Z418" i="2" s="1"/>
  <c r="Z409" i="2" a="1"/>
  <c r="Z409" i="2" s="1"/>
  <c r="O407" i="2" a="1"/>
  <c r="O407" i="2" s="1"/>
  <c r="O433" i="2" a="1"/>
  <c r="O433" i="2" s="1"/>
  <c r="Z403" i="2" a="1"/>
  <c r="Z403" i="2" s="1"/>
  <c r="Z399" i="2" a="1"/>
  <c r="Z399" i="2" s="1"/>
  <c r="Z388" i="2" a="1"/>
  <c r="Z388" i="2" s="1"/>
  <c r="O379" i="2" a="1"/>
  <c r="O379" i="2" s="1"/>
  <c r="S379" i="2" s="1"/>
  <c r="Z369" i="2" a="1"/>
  <c r="Z369" i="2" s="1"/>
  <c r="Z456" i="2" a="1"/>
  <c r="Z456" i="2" s="1"/>
  <c r="Z401" i="2" a="1"/>
  <c r="Z401" i="2" s="1"/>
  <c r="Z384" i="2" a="1"/>
  <c r="Z384" i="2" s="1"/>
  <c r="Z378" i="2" a="1"/>
  <c r="Z378" i="2" s="1"/>
  <c r="Z365" i="2" a="1"/>
  <c r="Z365" i="2" s="1"/>
  <c r="O419" i="2" a="1"/>
  <c r="O419" i="2" s="1"/>
  <c r="S419" i="2" s="1"/>
  <c r="Z393" i="2" a="1"/>
  <c r="Z393" i="2" s="1"/>
  <c r="Z374" i="2" a="1"/>
  <c r="Z374" i="2" s="1"/>
  <c r="Z342" i="2" a="1"/>
  <c r="Z342" i="2" s="1"/>
  <c r="Z450" i="2" a="1"/>
  <c r="Z450" i="2" s="1"/>
  <c r="O425" i="2" a="1"/>
  <c r="O425" i="2" s="1"/>
  <c r="Z417" i="2" a="1"/>
  <c r="Z417" i="2" s="1"/>
  <c r="Z408" i="2" a="1"/>
  <c r="Z408" i="2" s="1"/>
  <c r="Z356" i="2" a="1"/>
  <c r="Z356" i="2" s="1"/>
  <c r="Z336" i="2" a="1"/>
  <c r="Z336" i="2" s="1"/>
  <c r="Z411" i="2" a="1"/>
  <c r="Z411" i="2" s="1"/>
  <c r="Z405" i="2" a="1"/>
  <c r="Z405" i="2" s="1"/>
  <c r="O395" i="2" a="1"/>
  <c r="O395" i="2" s="1"/>
  <c r="S395" i="2" s="1"/>
  <c r="Z389" i="2" a="1"/>
  <c r="Z389" i="2" s="1"/>
  <c r="Z422" i="2" a="1"/>
  <c r="Z422" i="2" s="1"/>
  <c r="O413" i="2" a="1"/>
  <c r="O413" i="2" s="1"/>
  <c r="S413" i="2" s="1"/>
  <c r="Z397" i="2" a="1"/>
  <c r="Z397" i="2" s="1"/>
  <c r="Z385" i="2" a="1"/>
  <c r="Z385" i="2" s="1"/>
  <c r="Z379" i="2" a="1"/>
  <c r="Z379" i="2" s="1"/>
  <c r="Z366" i="2" a="1"/>
  <c r="Z366" i="2" s="1"/>
  <c r="O457" i="2" a="1"/>
  <c r="O457" i="2" s="1"/>
  <c r="S457" i="2" s="1"/>
  <c r="Z394" i="2" a="1"/>
  <c r="Z394" i="2" s="1"/>
  <c r="Z390" i="2" a="1"/>
  <c r="Z390" i="2" s="1"/>
  <c r="Z375" i="2" a="1"/>
  <c r="Z375" i="2" s="1"/>
  <c r="Z415" i="2" a="1"/>
  <c r="Z415" i="2" s="1"/>
  <c r="O409" i="2" a="1"/>
  <c r="O409" i="2" s="1"/>
  <c r="Z402" i="2" a="1"/>
  <c r="Z402" i="2" s="1"/>
  <c r="Z400" i="2" a="1"/>
  <c r="Z400" i="2" s="1"/>
  <c r="Z462" i="2" a="1"/>
  <c r="Z462" i="2" s="1"/>
  <c r="Z410" i="2" a="1"/>
  <c r="Z410" i="2" s="1"/>
  <c r="Z407" i="2" a="1"/>
  <c r="Z407" i="2" s="1"/>
  <c r="O403" i="2" a="1"/>
  <c r="O403" i="2" s="1"/>
  <c r="S403" i="2" s="1"/>
  <c r="Z371" i="2" a="1"/>
  <c r="Z371" i="2" s="1"/>
  <c r="Z421" i="2" a="1"/>
  <c r="Z421" i="2" s="1"/>
  <c r="Z414" i="2" a="1"/>
  <c r="Z414" i="2" s="1"/>
  <c r="Z398" i="2" a="1"/>
  <c r="Z398" i="2" s="1"/>
  <c r="O392" i="2" a="1"/>
  <c r="O392" i="2" s="1"/>
  <c r="S392" i="2" s="1"/>
  <c r="Z386" i="2" a="1"/>
  <c r="Z386" i="2" s="1"/>
  <c r="Z367" i="2" a="1"/>
  <c r="Z367" i="2" s="1"/>
  <c r="Z395" i="2" a="1"/>
  <c r="Z395" i="2" s="1"/>
  <c r="Z343" i="2" a="1"/>
  <c r="Z343" i="2" s="1"/>
  <c r="Z316" i="2" a="1"/>
  <c r="Z316" i="2" s="1"/>
  <c r="Z275" i="2" a="1"/>
  <c r="Z275" i="2" s="1"/>
  <c r="Z372" i="2" a="1"/>
  <c r="Z372" i="2" s="1"/>
  <c r="Z364" i="2" a="1"/>
  <c r="Z364" i="2" s="1"/>
  <c r="Z353" i="2" a="1"/>
  <c r="Z353" i="2" s="1"/>
  <c r="Z313" i="2" a="1"/>
  <c r="Z313" i="2" s="1"/>
  <c r="Z270" i="2" a="1"/>
  <c r="Z270" i="2" s="1"/>
  <c r="Z377" i="2" a="1"/>
  <c r="Z377" i="2" s="1"/>
  <c r="Z341" i="2" a="1"/>
  <c r="Z341" i="2" s="1"/>
  <c r="Z391" i="2" a="1"/>
  <c r="Z391" i="2" s="1"/>
  <c r="O366" i="2" a="1"/>
  <c r="O366" i="2" s="1"/>
  <c r="S366" i="2" s="1"/>
  <c r="O332" i="2" a="1"/>
  <c r="O332" i="2" s="1"/>
  <c r="S332" i="2" s="1"/>
  <c r="Z329" i="2" a="1"/>
  <c r="Z329" i="2" s="1"/>
  <c r="Z345" i="2" a="1"/>
  <c r="Z345" i="2" s="1"/>
  <c r="Z338" i="2" a="1"/>
  <c r="Z338" i="2" s="1"/>
  <c r="Z323" i="2" a="1"/>
  <c r="Z323" i="2" s="1"/>
  <c r="Z317" i="2" a="1"/>
  <c r="Z317" i="2" s="1"/>
  <c r="Z314" i="2" a="1"/>
  <c r="Z314" i="2" s="1"/>
  <c r="Z360" i="2" a="1"/>
  <c r="Z360" i="2" s="1"/>
  <c r="Z320" i="2" a="1"/>
  <c r="Z320" i="2" s="1"/>
  <c r="Z380" i="2" a="1"/>
  <c r="Z380" i="2" s="1"/>
  <c r="Z363" i="2" a="1"/>
  <c r="Z363" i="2" s="1"/>
  <c r="Z308" i="2" a="1"/>
  <c r="Z308" i="2" s="1"/>
  <c r="Z301" i="2" a="1"/>
  <c r="Z301" i="2" s="1"/>
  <c r="Z300" i="2" a="1"/>
  <c r="Z300" i="2" s="1"/>
  <c r="Z299" i="2" a="1"/>
  <c r="Z299" i="2" s="1"/>
  <c r="Z298" i="2" a="1"/>
  <c r="Z298" i="2" s="1"/>
  <c r="Z297" i="2" a="1"/>
  <c r="Z297" i="2" s="1"/>
  <c r="Z296" i="2" a="1"/>
  <c r="Z296" i="2" s="1"/>
  <c r="Z295" i="2" a="1"/>
  <c r="Z295" i="2" s="1"/>
  <c r="Z294" i="2" a="1"/>
  <c r="Z294" i="2" s="1"/>
  <c r="Z293" i="2" a="1"/>
  <c r="Z293" i="2" s="1"/>
  <c r="Z292" i="2" a="1"/>
  <c r="Z292" i="2" s="1"/>
  <c r="Z291" i="2" a="1"/>
  <c r="Z291" i="2" s="1"/>
  <c r="Z290" i="2" a="1"/>
  <c r="Z290" i="2" s="1"/>
  <c r="Z289" i="2" a="1"/>
  <c r="Z289" i="2" s="1"/>
  <c r="Z288" i="2" a="1"/>
  <c r="Z288" i="2" s="1"/>
  <c r="Z287" i="2" a="1"/>
  <c r="Z287" i="2" s="1"/>
  <c r="Z286" i="2" a="1"/>
  <c r="Z286" i="2" s="1"/>
  <c r="Z340" i="2" a="1"/>
  <c r="Z340" i="2" s="1"/>
  <c r="Z334" i="2" a="1"/>
  <c r="Z334" i="2" s="1"/>
  <c r="Z325" i="2" a="1"/>
  <c r="Z325" i="2" s="1"/>
  <c r="O411" i="2" a="1"/>
  <c r="O411" i="2" s="1"/>
  <c r="S411" i="2" s="1"/>
  <c r="Z368" i="2" a="1"/>
  <c r="Z368" i="2" s="1"/>
  <c r="Z349" i="2" a="1"/>
  <c r="Z349" i="2" s="1"/>
  <c r="O337" i="2" a="1"/>
  <c r="O337" i="2" s="1"/>
  <c r="S337" i="2" s="1"/>
  <c r="Z332" i="2" a="1"/>
  <c r="Z332" i="2" s="1"/>
  <c r="Z362" i="2" a="1"/>
  <c r="Z362" i="2" s="1"/>
  <c r="Z355" i="2" a="1"/>
  <c r="Z355" i="2" s="1"/>
  <c r="Z344" i="2" a="1"/>
  <c r="Z344" i="2" s="1"/>
  <c r="Z346" i="2" a="1"/>
  <c r="Z346" i="2" s="1"/>
  <c r="Z326" i="2" a="1"/>
  <c r="Z326" i="2" s="1"/>
  <c r="Z321" i="2" a="1"/>
  <c r="Z321" i="2" s="1"/>
  <c r="O417" i="2" a="1"/>
  <c r="O417" i="2" s="1"/>
  <c r="Z381" i="2" a="1"/>
  <c r="Z381" i="2" s="1"/>
  <c r="Z370" i="2" a="1"/>
  <c r="Z370" i="2" s="1"/>
  <c r="O369" i="2" a="1"/>
  <c r="O369" i="2" s="1"/>
  <c r="S369" i="2" s="1"/>
  <c r="O356" i="2" a="1"/>
  <c r="O356" i="2" s="1"/>
  <c r="S356" i="2" s="1"/>
  <c r="O343" i="2" a="1"/>
  <c r="O343" i="2" s="1"/>
  <c r="S343" i="2" s="1"/>
  <c r="Z311" i="2" a="1"/>
  <c r="Z311" i="2" s="1"/>
  <c r="O399" i="2" a="1"/>
  <c r="O399" i="2" s="1"/>
  <c r="S399" i="2" s="1"/>
  <c r="Z358" i="2" a="1"/>
  <c r="Z358" i="2" s="1"/>
  <c r="Z354" i="2" a="1"/>
  <c r="Z354" i="2" s="1"/>
  <c r="Z348" i="2" a="1"/>
  <c r="Z348" i="2" s="1"/>
  <c r="Z339" i="2" a="1"/>
  <c r="Z339" i="2" s="1"/>
  <c r="Z337" i="2" a="1"/>
  <c r="Z337" i="2" s="1"/>
  <c r="O388" i="2" a="1"/>
  <c r="O388" i="2" s="1"/>
  <c r="O363" i="2" a="1"/>
  <c r="O363" i="2" s="1"/>
  <c r="S363" i="2" s="1"/>
  <c r="Z322" i="2" a="1"/>
  <c r="Z322" i="2" s="1"/>
  <c r="Z312" i="2" a="1"/>
  <c r="Z312" i="2" s="1"/>
  <c r="O381" i="2" a="1"/>
  <c r="O381" i="2" s="1"/>
  <c r="S381" i="2" s="1"/>
  <c r="Z376" i="2" a="1"/>
  <c r="Z376" i="2" s="1"/>
  <c r="Z361" i="2" a="1"/>
  <c r="Z361" i="2" s="1"/>
  <c r="Z333" i="2" a="1"/>
  <c r="Z333" i="2" s="1"/>
  <c r="Z319" i="2" a="1"/>
  <c r="Z319" i="2" s="1"/>
  <c r="Z318" i="2" a="1"/>
  <c r="Z318" i="2" s="1"/>
  <c r="Z273" i="2" a="1"/>
  <c r="Z273" i="2" s="1"/>
  <c r="Z252" i="2" a="1"/>
  <c r="Z252" i="2" s="1"/>
  <c r="Z222" i="2" a="1"/>
  <c r="Z222" i="2" s="1"/>
  <c r="Z253" i="2" a="1"/>
  <c r="Z253" i="2" s="1"/>
  <c r="Z307" i="2" a="1"/>
  <c r="Z307" i="2" s="1"/>
  <c r="Z280" i="2" a="1"/>
  <c r="Z280" i="2" s="1"/>
  <c r="Z254" i="2" a="1"/>
  <c r="Z254" i="2" s="1"/>
  <c r="Z306" i="2" a="1"/>
  <c r="Z306" i="2" s="1"/>
  <c r="Z305" i="2" a="1"/>
  <c r="Z305" i="2" s="1"/>
  <c r="Z268" i="2" a="1"/>
  <c r="Z268" i="2" s="1"/>
  <c r="Z265" i="2" a="1"/>
  <c r="Z265" i="2" s="1"/>
  <c r="Z256" i="2" a="1"/>
  <c r="Z256" i="2" s="1"/>
  <c r="O269" i="2" a="1"/>
  <c r="O269" i="2" s="1"/>
  <c r="Z258" i="2" a="1"/>
  <c r="Z258" i="2" s="1"/>
  <c r="Z241" i="2" a="1"/>
  <c r="Z241" i="2" s="1"/>
  <c r="O316" i="2" a="1"/>
  <c r="O316" i="2" s="1"/>
  <c r="S316" i="2" s="1"/>
  <c r="Z304" i="2" a="1"/>
  <c r="Z304" i="2" s="1"/>
  <c r="Z303" i="2" a="1"/>
  <c r="Z303" i="2" s="1"/>
  <c r="Z302" i="2" a="1"/>
  <c r="Z302" i="2" s="1"/>
  <c r="Z260" i="2" a="1"/>
  <c r="Z260" i="2" s="1"/>
  <c r="Z272" i="2" a="1"/>
  <c r="Z272" i="2" s="1"/>
  <c r="Z277" i="2" a="1"/>
  <c r="Z277" i="2" s="1"/>
  <c r="Z244" i="2" a="1"/>
  <c r="Z244" i="2" s="1"/>
  <c r="Z309" i="2" a="1"/>
  <c r="Z309" i="2" s="1"/>
  <c r="Z266" i="2" a="1"/>
  <c r="Z266" i="2" s="1"/>
  <c r="Z245" i="2" a="1"/>
  <c r="Z245" i="2" s="1"/>
  <c r="O329" i="2" a="1"/>
  <c r="O329" i="2" s="1"/>
  <c r="S329" i="2" s="1"/>
  <c r="Z310" i="2" a="1"/>
  <c r="Z310" i="2" s="1"/>
  <c r="Z274" i="2" a="1"/>
  <c r="Z274" i="2" s="1"/>
  <c r="Z262" i="2" a="1"/>
  <c r="Z262" i="2" s="1"/>
  <c r="Z246" i="2" a="1"/>
  <c r="Z246" i="2" s="1"/>
  <c r="Z285" i="2" a="1"/>
  <c r="Z285" i="2" s="1"/>
  <c r="Z283" i="2" a="1"/>
  <c r="Z283" i="2" s="1"/>
  <c r="Z281" i="2" a="1"/>
  <c r="Z281" i="2" s="1"/>
  <c r="Z271" i="2" a="1"/>
  <c r="Z271" i="2" s="1"/>
  <c r="Z269" i="2" a="1"/>
  <c r="Z269" i="2" s="1"/>
  <c r="Z248" i="2" a="1"/>
  <c r="Z248" i="2" s="1"/>
  <c r="Z218" i="2" a="1"/>
  <c r="Z218" i="2" s="1"/>
  <c r="Z202" i="2" a="1"/>
  <c r="Z202" i="2" s="1"/>
  <c r="Z199" i="2" a="1"/>
  <c r="Z199" i="2" s="1"/>
  <c r="Z198" i="2" a="1"/>
  <c r="Z198" i="2" s="1"/>
  <c r="Z315" i="2" a="1"/>
  <c r="Z315" i="2" s="1"/>
  <c r="Z276" i="2" a="1"/>
  <c r="Z276" i="2" s="1"/>
  <c r="Z249" i="2" a="1"/>
  <c r="Z249" i="2" s="1"/>
  <c r="Z242" i="2" a="1"/>
  <c r="Z242" i="2" s="1"/>
  <c r="Z224" i="2" a="1"/>
  <c r="Z224" i="2" s="1"/>
  <c r="Z170" i="2" a="1"/>
  <c r="Z170" i="2" s="1"/>
  <c r="Z161" i="2" a="1"/>
  <c r="Z161" i="2" s="1"/>
  <c r="Z151" i="2" a="1"/>
  <c r="Z151" i="2" s="1"/>
  <c r="Z115" i="2" a="1"/>
  <c r="Z115" i="2" s="1"/>
  <c r="Z102" i="2" a="1"/>
  <c r="Z102" i="2" s="1"/>
  <c r="Z94" i="2" a="1"/>
  <c r="Z94" i="2" s="1"/>
  <c r="Z264" i="2" a="1"/>
  <c r="Z264" i="2" s="1"/>
  <c r="O255" i="2" a="1"/>
  <c r="O255" i="2" s="1"/>
  <c r="Z201" i="2" a="1"/>
  <c r="Z201" i="2" s="1"/>
  <c r="Z180" i="2" a="1"/>
  <c r="Z180" i="2" s="1"/>
  <c r="O246" i="2" a="1"/>
  <c r="O246" i="2" s="1"/>
  <c r="S246" i="2" s="1"/>
  <c r="O243" i="2" a="1"/>
  <c r="O243" i="2" s="1"/>
  <c r="Z171" i="2" a="1"/>
  <c r="Z171" i="2" s="1"/>
  <c r="Z162" i="2" a="1"/>
  <c r="Z162" i="2" s="1"/>
  <c r="Z152" i="2" a="1"/>
  <c r="Z152" i="2" s="1"/>
  <c r="Z267" i="2" a="1"/>
  <c r="Z267" i="2" s="1"/>
  <c r="Z240" i="2" a="1"/>
  <c r="Z240" i="2" s="1"/>
  <c r="Z172" i="2" a="1"/>
  <c r="Z172" i="2" s="1"/>
  <c r="Z220" i="2" a="1"/>
  <c r="Z220" i="2" s="1"/>
  <c r="Z173" i="2" a="1"/>
  <c r="Z173" i="2" s="1"/>
  <c r="Z164" i="2" a="1"/>
  <c r="Z164" i="2" s="1"/>
  <c r="Z155" i="2" a="1"/>
  <c r="Z155" i="2" s="1"/>
  <c r="Z239" i="2" a="1"/>
  <c r="Z239" i="2" s="1"/>
  <c r="Z225" i="2" a="1"/>
  <c r="Z225" i="2" s="1"/>
  <c r="O185" i="2" a="1"/>
  <c r="O185" i="2" s="1"/>
  <c r="S185" i="2" s="1"/>
  <c r="Z174" i="2" a="1"/>
  <c r="Z174" i="2" s="1"/>
  <c r="Z165" i="2" a="1"/>
  <c r="Z165" i="2" s="1"/>
  <c r="O272" i="2" a="1"/>
  <c r="O272" i="2" s="1"/>
  <c r="Z250" i="2" a="1"/>
  <c r="Z250" i="2" s="1"/>
  <c r="Z247" i="2" a="1"/>
  <c r="Z247" i="2" s="1"/>
  <c r="Z238" i="2" a="1"/>
  <c r="Z238" i="2" s="1"/>
  <c r="Z228" i="2" a="1"/>
  <c r="Z228" i="2" s="1"/>
  <c r="Z193" i="2" a="1"/>
  <c r="Z193" i="2" s="1"/>
  <c r="Z192" i="2" a="1"/>
  <c r="Z192" i="2" s="1"/>
  <c r="Z190" i="2" a="1"/>
  <c r="Z190" i="2" s="1"/>
  <c r="Z189" i="2" a="1"/>
  <c r="Z189" i="2" s="1"/>
  <c r="Z184" i="2" a="1"/>
  <c r="Z184" i="2" s="1"/>
  <c r="Z175" i="2" a="1"/>
  <c r="Z175" i="2" s="1"/>
  <c r="Z195" i="2" a="1"/>
  <c r="Z195" i="2" s="1"/>
  <c r="Z187" i="2" a="1"/>
  <c r="Z187" i="2" s="1"/>
  <c r="Z176" i="2" a="1"/>
  <c r="Z176" i="2" s="1"/>
  <c r="Z167" i="2" a="1"/>
  <c r="Z167" i="2" s="1"/>
  <c r="Z185" i="2" a="1"/>
  <c r="Z185" i="2" s="1"/>
  <c r="Z282" i="2" a="1"/>
  <c r="Z282" i="2" s="1"/>
  <c r="Z255" i="2" a="1"/>
  <c r="Z255" i="2" s="1"/>
  <c r="Z251" i="2" a="1"/>
  <c r="Z251" i="2" s="1"/>
  <c r="Z221" i="2" a="1"/>
  <c r="Z221" i="2" s="1"/>
  <c r="Z196" i="2" a="1"/>
  <c r="Z196" i="2" s="1"/>
  <c r="Z177" i="2" a="1"/>
  <c r="Z177" i="2" s="1"/>
  <c r="Z284" i="2" a="1"/>
  <c r="Z284" i="2" s="1"/>
  <c r="Z243" i="2" a="1"/>
  <c r="Z243" i="2" s="1"/>
  <c r="O239" i="2" a="1"/>
  <c r="O239" i="2" s="1"/>
  <c r="Z169" i="2" a="1"/>
  <c r="Z169" i="2" s="1"/>
  <c r="O247" i="2" a="1"/>
  <c r="O247" i="2" s="1"/>
  <c r="S247" i="2" s="1"/>
  <c r="Z153" i="2" a="1"/>
  <c r="Z153" i="2" s="1"/>
  <c r="O151" i="2" a="1"/>
  <c r="O151" i="2" s="1"/>
  <c r="S151" i="2" s="1"/>
  <c r="Z226" i="2" a="1"/>
  <c r="Z226" i="2" s="1"/>
  <c r="Z178" i="2" a="1"/>
  <c r="Z178" i="2" s="1"/>
  <c r="Z159" i="2" a="1"/>
  <c r="Z159" i="2" s="1"/>
  <c r="Z149" i="2" a="1"/>
  <c r="Z149" i="2" s="1"/>
  <c r="Z95" i="2" a="1"/>
  <c r="Z95" i="2" s="1"/>
  <c r="Z179" i="2" a="1"/>
  <c r="Z179" i="2" s="1"/>
  <c r="O166" i="2" a="1"/>
  <c r="O166" i="2" s="1"/>
  <c r="S166" i="2" s="1"/>
  <c r="Z138" i="2" a="1"/>
  <c r="Z138" i="2" s="1"/>
  <c r="O157" i="2" a="1"/>
  <c r="O157" i="2" s="1"/>
  <c r="S157" i="2" s="1"/>
  <c r="Z223" i="2" a="1"/>
  <c r="Z223" i="2" s="1"/>
  <c r="O221" i="2" a="1"/>
  <c r="O221" i="2" s="1"/>
  <c r="Z217" i="2" a="1"/>
  <c r="Z217" i="2" s="1"/>
  <c r="Z135" i="2" a="1"/>
  <c r="Z135" i="2" s="1"/>
  <c r="Z129" i="2" a="1"/>
  <c r="Z129" i="2" s="1"/>
  <c r="Z158" i="2" a="1"/>
  <c r="Z158" i="2" s="1"/>
  <c r="Z148" i="2" a="1"/>
  <c r="Z148" i="2" s="1"/>
  <c r="Z139" i="2" a="1"/>
  <c r="Z139" i="2" s="1"/>
  <c r="O228" i="2" a="1"/>
  <c r="O228" i="2" s="1"/>
  <c r="S228" i="2" s="1"/>
  <c r="Z219" i="2" a="1"/>
  <c r="Z219" i="2" s="1"/>
  <c r="Z168" i="2" a="1"/>
  <c r="Z168" i="2" s="1"/>
  <c r="Z105" i="2" a="1"/>
  <c r="Z105" i="2" s="1"/>
  <c r="Z145" i="2" a="1"/>
  <c r="Z145" i="2" s="1"/>
  <c r="Z154" i="2" a="1"/>
  <c r="Z154" i="2" s="1"/>
  <c r="Z143" i="2" a="1"/>
  <c r="Z143" i="2" s="1"/>
  <c r="Z140" i="2" a="1"/>
  <c r="Z140" i="2" s="1"/>
  <c r="Z93" i="2" a="1"/>
  <c r="Z93" i="2" s="1"/>
  <c r="Z181" i="2" a="1"/>
  <c r="Z181" i="2" s="1"/>
  <c r="Z166" i="2" a="1"/>
  <c r="Z166" i="2" s="1"/>
  <c r="Z160" i="2" a="1"/>
  <c r="Z160" i="2" s="1"/>
  <c r="Z157" i="2" a="1"/>
  <c r="Z157" i="2" s="1"/>
  <c r="Z136" i="2" a="1"/>
  <c r="Z136" i="2" s="1"/>
  <c r="Z131" i="2" a="1"/>
  <c r="Z131" i="2" s="1"/>
  <c r="Z119" i="2" a="1"/>
  <c r="Z119" i="2" s="1"/>
  <c r="Z49" i="2" a="1"/>
  <c r="Z49" i="2" s="1"/>
  <c r="Z107" i="2" a="1"/>
  <c r="Z107" i="2" s="1"/>
  <c r="Z99" i="2" a="1"/>
  <c r="Z99" i="2" s="1"/>
  <c r="Z69" i="2" a="1"/>
  <c r="Z69" i="2" s="1"/>
  <c r="Z61" i="2" a="1"/>
  <c r="Z61" i="2" s="1"/>
  <c r="Z147" i="2" a="1"/>
  <c r="Z147" i="2" s="1"/>
  <c r="Z128" i="2" a="1"/>
  <c r="Z128" i="2" s="1"/>
  <c r="Z126" i="2" a="1"/>
  <c r="Z126" i="2" s="1"/>
  <c r="Z104" i="2" a="1"/>
  <c r="Z104" i="2" s="1"/>
  <c r="Z146" i="2" a="1"/>
  <c r="Z146" i="2" s="1"/>
  <c r="Z80" i="2" a="1"/>
  <c r="Z80" i="2" s="1"/>
  <c r="Z121" i="2" a="1"/>
  <c r="Z121" i="2" s="1"/>
  <c r="Z110" i="2" a="1"/>
  <c r="Z110" i="2" s="1"/>
  <c r="Z97" i="2" a="1"/>
  <c r="Z97" i="2" s="1"/>
  <c r="Z134" i="2" a="1"/>
  <c r="Z134" i="2" s="1"/>
  <c r="Z113" i="2" a="1"/>
  <c r="Z113" i="2" s="1"/>
  <c r="Z133" i="2" a="1"/>
  <c r="Z133" i="2" s="1"/>
  <c r="Z130" i="2" a="1"/>
  <c r="Z130" i="2" s="1"/>
  <c r="Z123" i="2" a="1"/>
  <c r="Z123" i="2" s="1"/>
  <c r="Z116" i="2" a="1"/>
  <c r="Z116" i="2" s="1"/>
  <c r="Z101" i="2" a="1"/>
  <c r="Z101" i="2" s="1"/>
  <c r="Z70" i="2" a="1"/>
  <c r="Z70" i="2" s="1"/>
  <c r="Z227" i="2" a="1"/>
  <c r="Z227" i="2" s="1"/>
  <c r="Z89" i="2" a="1"/>
  <c r="Z89" i="2" s="1"/>
  <c r="Z85" i="2" a="1"/>
  <c r="Z85" i="2" s="1"/>
  <c r="Z81" i="2" a="1"/>
  <c r="Z81" i="2" s="1"/>
  <c r="O147" i="2" a="1"/>
  <c r="O147" i="2" s="1"/>
  <c r="S147" i="2" s="1"/>
  <c r="Z66" i="2" a="1"/>
  <c r="Z66" i="2" s="1"/>
  <c r="Z62" i="2" a="1"/>
  <c r="Z62" i="2" s="1"/>
  <c r="O119" i="2" a="1"/>
  <c r="O119" i="2" s="1"/>
  <c r="S119" i="2" s="1"/>
  <c r="Z142" i="2" a="1"/>
  <c r="Z142" i="2" s="1"/>
  <c r="Z125" i="2" a="1"/>
  <c r="Z125" i="2" s="1"/>
  <c r="Z163" i="2" a="1"/>
  <c r="Z163" i="2" s="1"/>
  <c r="Z127" i="2" a="1"/>
  <c r="Z127" i="2" s="1"/>
  <c r="Z120" i="2" a="1"/>
  <c r="Z120" i="2" s="1"/>
  <c r="Z103" i="2" a="1"/>
  <c r="Z103" i="2" s="1"/>
  <c r="Z98" i="2" a="1"/>
  <c r="Z98" i="2" s="1"/>
  <c r="Z71" i="2" a="1"/>
  <c r="Z71" i="2" s="1"/>
  <c r="Z109" i="2" a="1"/>
  <c r="Z109" i="2" s="1"/>
  <c r="Z92" i="2" a="1"/>
  <c r="Z92" i="2" s="1"/>
  <c r="Z90" i="2" a="1"/>
  <c r="Z90" i="2" s="1"/>
  <c r="Z86" i="2" a="1"/>
  <c r="Z86" i="2" s="1"/>
  <c r="Z82" i="2" a="1"/>
  <c r="Z82" i="2" s="1"/>
  <c r="Z73" i="2" a="1"/>
  <c r="Z73" i="2" s="1"/>
  <c r="Z67" i="2" a="1"/>
  <c r="Z67" i="2" s="1"/>
  <c r="Z63" i="2" a="1"/>
  <c r="Z63" i="2" s="1"/>
  <c r="Z53" i="2" a="1"/>
  <c r="Z53" i="2" s="1"/>
  <c r="Z46" i="2" a="1"/>
  <c r="Z46" i="2" s="1"/>
  <c r="Z141" i="2" a="1"/>
  <c r="Z141" i="2" s="1"/>
  <c r="O152" i="2" a="1"/>
  <c r="O152" i="2" s="1"/>
  <c r="O133" i="2" a="1"/>
  <c r="O133" i="2" s="1"/>
  <c r="S133" i="2" s="1"/>
  <c r="Z132" i="2" a="1"/>
  <c r="Z132" i="2" s="1"/>
  <c r="Z124" i="2" a="1"/>
  <c r="Z124" i="2" s="1"/>
  <c r="Z122" i="2" a="1"/>
  <c r="Z122" i="2" s="1"/>
  <c r="O116" i="2" a="1"/>
  <c r="O116" i="2" s="1"/>
  <c r="S116" i="2" s="1"/>
  <c r="O97" i="2" a="1"/>
  <c r="O97" i="2" s="1"/>
  <c r="S97" i="2" s="1"/>
  <c r="O69" i="2" a="1"/>
  <c r="O69" i="2" s="1"/>
  <c r="S69" i="2" s="1"/>
  <c r="Z156" i="2" a="1"/>
  <c r="Z156" i="2" s="1"/>
  <c r="Z150" i="2" a="1"/>
  <c r="Z150" i="2" s="1"/>
  <c r="Z144" i="2" a="1"/>
  <c r="Z144" i="2" s="1"/>
  <c r="Z137" i="2" a="1"/>
  <c r="Z137" i="2" s="1"/>
  <c r="Z77" i="2" a="1"/>
  <c r="Z77" i="2" s="1"/>
  <c r="Z91" i="2" a="1"/>
  <c r="Z91" i="2" s="1"/>
  <c r="Z88" i="2" a="1"/>
  <c r="Z88" i="2" s="1"/>
  <c r="Z84" i="2" a="1"/>
  <c r="Z84" i="2" s="1"/>
  <c r="O100" i="2" a="1"/>
  <c r="O100" i="2" s="1"/>
  <c r="C95" i="4" s="1"/>
  <c r="O94" i="2" a="1"/>
  <c r="O94" i="2" s="1"/>
  <c r="S94" i="2" s="1"/>
  <c r="Z43" i="2" a="1"/>
  <c r="Z43" i="2" s="1"/>
  <c r="AA1262" i="2" a="1"/>
  <c r="AA1262" i="2" s="1"/>
  <c r="AA1246" i="2" a="1"/>
  <c r="AA1246" i="2" s="1"/>
  <c r="AA1257" i="2" a="1"/>
  <c r="AA1257" i="2" s="1"/>
  <c r="AA1241" i="2" a="1"/>
  <c r="AA1241" i="2" s="1"/>
  <c r="AA1252" i="2" a="1"/>
  <c r="AA1252" i="2" s="1"/>
  <c r="AA1236" i="2" a="1"/>
  <c r="AA1236" i="2" s="1"/>
  <c r="AA1263" i="2" a="1"/>
  <c r="AA1263" i="2" s="1"/>
  <c r="AA1247" i="2" a="1"/>
  <c r="AA1247" i="2" s="1"/>
  <c r="AA1231" i="2" a="1"/>
  <c r="AA1231" i="2" s="1"/>
  <c r="AA1209" i="2" a="1"/>
  <c r="AA1209" i="2" s="1"/>
  <c r="AA1258" i="2" a="1"/>
  <c r="AA1258" i="2" s="1"/>
  <c r="AA1242" i="2" a="1"/>
  <c r="AA1242" i="2" s="1"/>
  <c r="AA1228" i="2" a="1"/>
  <c r="AA1228" i="2" s="1"/>
  <c r="AA1222" i="2" a="1"/>
  <c r="AA1222" i="2" s="1"/>
  <c r="AA1253" i="2" a="1"/>
  <c r="AA1253" i="2" s="1"/>
  <c r="AA1237" i="2" a="1"/>
  <c r="AA1237" i="2" s="1"/>
  <c r="AA1264" i="2" a="1"/>
  <c r="AA1264" i="2" s="1"/>
  <c r="AA1248" i="2" a="1"/>
  <c r="AA1248" i="2" s="1"/>
  <c r="AA1232" i="2" a="1"/>
  <c r="AA1232" i="2" s="1"/>
  <c r="AA1259" i="2" a="1"/>
  <c r="AA1259" i="2" s="1"/>
  <c r="AA1243" i="2" a="1"/>
  <c r="AA1243" i="2" s="1"/>
  <c r="AA1225" i="2" a="1"/>
  <c r="AA1225" i="2" s="1"/>
  <c r="AA1254" i="2" a="1"/>
  <c r="AA1254" i="2" s="1"/>
  <c r="AA1238" i="2" a="1"/>
  <c r="AA1238" i="2" s="1"/>
  <c r="AA1265" i="2" a="1"/>
  <c r="AA1265" i="2" s="1"/>
  <c r="AA1249" i="2" a="1"/>
  <c r="AA1249" i="2" s="1"/>
  <c r="AA1233" i="2" a="1"/>
  <c r="AA1233" i="2" s="1"/>
  <c r="AA1260" i="2" a="1"/>
  <c r="AA1260" i="2" s="1"/>
  <c r="AA1244" i="2" a="1"/>
  <c r="AA1244" i="2" s="1"/>
  <c r="AA1214" i="2" a="1"/>
  <c r="AA1214" i="2" s="1"/>
  <c r="AA1255" i="2" a="1"/>
  <c r="AA1255" i="2" s="1"/>
  <c r="AA1239" i="2" a="1"/>
  <c r="AA1239" i="2" s="1"/>
  <c r="AA1250" i="2" a="1"/>
  <c r="AA1250" i="2" s="1"/>
  <c r="P1216" i="2" a="1"/>
  <c r="P1216" i="2" s="1"/>
  <c r="T1216" i="2" s="1"/>
  <c r="AA1219" i="2" a="1"/>
  <c r="AA1219" i="2" s="1"/>
  <c r="AA1199" i="2" a="1"/>
  <c r="AA1199" i="2" s="1"/>
  <c r="AA1194" i="2" a="1"/>
  <c r="AA1194" i="2" s="1"/>
  <c r="AA1191" i="2" a="1"/>
  <c r="AA1191" i="2" s="1"/>
  <c r="AA1267" i="2" a="1"/>
  <c r="AA1267" i="2" s="1"/>
  <c r="AA1224" i="2" a="1"/>
  <c r="AA1224" i="2" s="1"/>
  <c r="AA1223" i="2" a="1"/>
  <c r="AA1223" i="2" s="1"/>
  <c r="AA1261" i="2" a="1"/>
  <c r="AA1261" i="2" s="1"/>
  <c r="AA1256" i="2" a="1"/>
  <c r="AA1256" i="2" s="1"/>
  <c r="P1236" i="2" a="1"/>
  <c r="P1236" i="2" s="1"/>
  <c r="T1236" i="2" s="1"/>
  <c r="AA1216" i="2" a="1"/>
  <c r="AA1216" i="2" s="1"/>
  <c r="AA1213" i="2" a="1"/>
  <c r="AA1213" i="2" s="1"/>
  <c r="AA1210" i="2" a="1"/>
  <c r="AA1210" i="2" s="1"/>
  <c r="AA1204" i="2" a="1"/>
  <c r="AA1204" i="2" s="1"/>
  <c r="AA1251" i="2" a="1"/>
  <c r="AA1251" i="2" s="1"/>
  <c r="P1257" i="2" a="1"/>
  <c r="P1257" i="2" s="1"/>
  <c r="T1257" i="2" s="1"/>
  <c r="AA1234" i="2" a="1"/>
  <c r="AA1234" i="2" s="1"/>
  <c r="P1219" i="2" a="1"/>
  <c r="P1219" i="2" s="1"/>
  <c r="T1219" i="2" s="1"/>
  <c r="AA1205" i="2" a="1"/>
  <c r="AA1205" i="2" s="1"/>
  <c r="AA1245" i="2" a="1"/>
  <c r="AA1245" i="2" s="1"/>
  <c r="AA1206" i="2" a="1"/>
  <c r="AA1206" i="2" s="1"/>
  <c r="AA1208" i="2" a="1"/>
  <c r="AA1208" i="2" s="1"/>
  <c r="AA1197" i="2" a="1"/>
  <c r="AA1197" i="2" s="1"/>
  <c r="P1209" i="2" a="1"/>
  <c r="P1209" i="2" s="1"/>
  <c r="T1209" i="2" s="1"/>
  <c r="AA1200" i="2" a="1"/>
  <c r="AA1200" i="2" s="1"/>
  <c r="AA1240" i="2" a="1"/>
  <c r="AA1240" i="2" s="1"/>
  <c r="AA1207" i="2" a="1"/>
  <c r="AA1207" i="2" s="1"/>
  <c r="AA1188" i="2" a="1"/>
  <c r="AA1188" i="2" s="1"/>
  <c r="AA1266" i="2" a="1"/>
  <c r="AA1266" i="2" s="1"/>
  <c r="AA1202" i="2" a="1"/>
  <c r="AA1202" i="2" s="1"/>
  <c r="AA1190" i="2" a="1"/>
  <c r="AA1190" i="2" s="1"/>
  <c r="AA1164" i="2" a="1"/>
  <c r="AA1164" i="2" s="1"/>
  <c r="AA1163" i="2" a="1"/>
  <c r="AA1163" i="2" s="1"/>
  <c r="P1262" i="2" a="1"/>
  <c r="P1262" i="2" s="1"/>
  <c r="T1262" i="2" s="1"/>
  <c r="AA1158" i="2" a="1"/>
  <c r="AA1158" i="2" s="1"/>
  <c r="AA1215" i="2" a="1"/>
  <c r="AA1215" i="2" s="1"/>
  <c r="AA1211" i="2" a="1"/>
  <c r="AA1211" i="2" s="1"/>
  <c r="AA1235" i="2" a="1"/>
  <c r="AA1235" i="2" s="1"/>
  <c r="AA1193" i="2" a="1"/>
  <c r="AA1193" i="2" s="1"/>
  <c r="AA1184" i="2" a="1"/>
  <c r="AA1184" i="2" s="1"/>
  <c r="AA1218" i="2" a="1"/>
  <c r="AA1218" i="2" s="1"/>
  <c r="AA1201" i="2" a="1"/>
  <c r="AA1201" i="2" s="1"/>
  <c r="AA1154" i="2" a="1"/>
  <c r="AA1154" i="2" s="1"/>
  <c r="P1200" i="2" a="1"/>
  <c r="P1200" i="2" s="1"/>
  <c r="AA1161" i="2" a="1"/>
  <c r="AA1161" i="2" s="1"/>
  <c r="P1252" i="2" a="1"/>
  <c r="P1252" i="2" s="1"/>
  <c r="T1252" i="2" s="1"/>
  <c r="AA1182" i="2" a="1"/>
  <c r="AA1182" i="2" s="1"/>
  <c r="AA1157" i="2" a="1"/>
  <c r="AA1157" i="2" s="1"/>
  <c r="AA1151" i="2" a="1"/>
  <c r="AA1151" i="2" s="1"/>
  <c r="AA1181" i="2" a="1"/>
  <c r="AA1181" i="2" s="1"/>
  <c r="P1213" i="2" a="1"/>
  <c r="P1213" i="2" s="1"/>
  <c r="T1213" i="2" s="1"/>
  <c r="P1194" i="2" a="1"/>
  <c r="P1194" i="2" s="1"/>
  <c r="P1241" i="2" a="1"/>
  <c r="P1241" i="2" s="1"/>
  <c r="T1241" i="2" s="1"/>
  <c r="P1197" i="2" a="1"/>
  <c r="P1197" i="2" s="1"/>
  <c r="T1197" i="2" s="1"/>
  <c r="AA1170" i="2" a="1"/>
  <c r="AA1170" i="2" s="1"/>
  <c r="AA1217" i="2" a="1"/>
  <c r="AA1217" i="2" s="1"/>
  <c r="AA1176" i="2" a="1"/>
  <c r="AA1176" i="2" s="1"/>
  <c r="AA1173" i="2" a="1"/>
  <c r="AA1173" i="2" s="1"/>
  <c r="AA1160" i="2" a="1"/>
  <c r="AA1160" i="2" s="1"/>
  <c r="AA1203" i="2" a="1"/>
  <c r="AA1203" i="2" s="1"/>
  <c r="AA1152" i="2" a="1"/>
  <c r="AA1152" i="2" s="1"/>
  <c r="P1207" i="2" a="1"/>
  <c r="P1207" i="2" s="1"/>
  <c r="T1207" i="2" s="1"/>
  <c r="AA1185" i="2" a="1"/>
  <c r="AA1185" i="2" s="1"/>
  <c r="AA1172" i="2" a="1"/>
  <c r="AA1172" i="2" s="1"/>
  <c r="AA1179" i="2" a="1"/>
  <c r="AA1179" i="2" s="1"/>
  <c r="AA1169" i="2" a="1"/>
  <c r="AA1169" i="2" s="1"/>
  <c r="AA1137" i="2" a="1"/>
  <c r="AA1137" i="2" s="1"/>
  <c r="AA1134" i="2" a="1"/>
  <c r="AA1134" i="2" s="1"/>
  <c r="AA1126" i="2" a="1"/>
  <c r="AA1126" i="2" s="1"/>
  <c r="AA1104" i="2" a="1"/>
  <c r="AA1104" i="2" s="1"/>
  <c r="AA1101" i="2" a="1"/>
  <c r="AA1101" i="2" s="1"/>
  <c r="AA1096" i="2" a="1"/>
  <c r="AA1096" i="2" s="1"/>
  <c r="P1161" i="2" a="1"/>
  <c r="P1161" i="2" s="1"/>
  <c r="AA1140" i="2" a="1"/>
  <c r="AA1140" i="2" s="1"/>
  <c r="AA1143" i="2" a="1"/>
  <c r="AA1143" i="2" s="1"/>
  <c r="AA1175" i="2" a="1"/>
  <c r="AA1175" i="2" s="1"/>
  <c r="AA1128" i="2" a="1"/>
  <c r="AA1128" i="2" s="1"/>
  <c r="P1181" i="2" a="1"/>
  <c r="P1181" i="2" s="1"/>
  <c r="AA1149" i="2" a="1"/>
  <c r="AA1149" i="2" s="1"/>
  <c r="AA1138" i="2" a="1"/>
  <c r="AA1138" i="2" s="1"/>
  <c r="AA1135" i="2" a="1"/>
  <c r="AA1135" i="2" s="1"/>
  <c r="AA1129" i="2" a="1"/>
  <c r="AA1129" i="2" s="1"/>
  <c r="AA1166" i="2" a="1"/>
  <c r="AA1166" i="2" s="1"/>
  <c r="AA1148" i="2" a="1"/>
  <c r="AA1148" i="2" s="1"/>
  <c r="AA1141" i="2" a="1"/>
  <c r="AA1141" i="2" s="1"/>
  <c r="AA1198" i="2" a="1"/>
  <c r="AA1198" i="2" s="1"/>
  <c r="P1132" i="2" a="1"/>
  <c r="P1132" i="2" s="1"/>
  <c r="AA1130" i="2" a="1"/>
  <c r="AA1130" i="2" s="1"/>
  <c r="AA1139" i="2" a="1"/>
  <c r="AA1139" i="2" s="1"/>
  <c r="AA1187" i="2" a="1"/>
  <c r="AA1187" i="2" s="1"/>
  <c r="P1120" i="2" a="1"/>
  <c r="P1120" i="2" s="1"/>
  <c r="T1120" i="2" s="1"/>
  <c r="AA1098" i="2" a="1"/>
  <c r="AA1098" i="2" s="1"/>
  <c r="AA1125" i="2" a="1"/>
  <c r="AA1125" i="2" s="1"/>
  <c r="AA1106" i="2" a="1"/>
  <c r="AA1106" i="2" s="1"/>
  <c r="P1176" i="2" a="1"/>
  <c r="P1176" i="2" s="1"/>
  <c r="AA1090" i="2" a="1"/>
  <c r="AA1090" i="2" s="1"/>
  <c r="AA1070" i="2" a="1"/>
  <c r="AA1070" i="2" s="1"/>
  <c r="AA1113" i="2" a="1"/>
  <c r="AA1113" i="2" s="1"/>
  <c r="AA1083" i="2" a="1"/>
  <c r="AA1083" i="2" s="1"/>
  <c r="AA1142" i="2" a="1"/>
  <c r="AA1142" i="2" s="1"/>
  <c r="AA1115" i="2" a="1"/>
  <c r="AA1115" i="2" s="1"/>
  <c r="AA1100" i="2" a="1"/>
  <c r="AA1100" i="2" s="1"/>
  <c r="AA1076" i="2" a="1"/>
  <c r="AA1076" i="2" s="1"/>
  <c r="AA1124" i="2" a="1"/>
  <c r="AA1124" i="2" s="1"/>
  <c r="AA1107" i="2" a="1"/>
  <c r="AA1107" i="2" s="1"/>
  <c r="AA1178" i="2" a="1"/>
  <c r="AA1178" i="2" s="1"/>
  <c r="AA1122" i="2" a="1"/>
  <c r="AA1122" i="2" s="1"/>
  <c r="AA1212" i="2" a="1"/>
  <c r="AA1212" i="2" s="1"/>
  <c r="AA1155" i="2" a="1"/>
  <c r="AA1155" i="2" s="1"/>
  <c r="P1143" i="2" a="1"/>
  <c r="P1143" i="2" s="1"/>
  <c r="T1143" i="2" s="1"/>
  <c r="AA1120" i="2" a="1"/>
  <c r="AA1120" i="2" s="1"/>
  <c r="AA1167" i="2" a="1"/>
  <c r="AA1167" i="2" s="1"/>
  <c r="AA1116" i="2" a="1"/>
  <c r="AA1116" i="2" s="1"/>
  <c r="AA1136" i="2" a="1"/>
  <c r="AA1136" i="2" s="1"/>
  <c r="AA1127" i="2" a="1"/>
  <c r="AA1127" i="2" s="1"/>
  <c r="AA1133" i="2" a="1"/>
  <c r="AA1133" i="2" s="1"/>
  <c r="AA1071" i="2" a="1"/>
  <c r="AA1071" i="2" s="1"/>
  <c r="AA1068" i="2" a="1"/>
  <c r="AA1068" i="2" s="1"/>
  <c r="AA1042" i="2" a="1"/>
  <c r="AA1042" i="2" s="1"/>
  <c r="AA1123" i="2" a="1"/>
  <c r="AA1123" i="2" s="1"/>
  <c r="AA1109" i="2" a="1"/>
  <c r="AA1109" i="2" s="1"/>
  <c r="AA1092" i="2" a="1"/>
  <c r="AA1092" i="2" s="1"/>
  <c r="AA1131" i="2" a="1"/>
  <c r="AA1131" i="2" s="1"/>
  <c r="AA1110" i="2" a="1"/>
  <c r="AA1110" i="2" s="1"/>
  <c r="AA1074" i="2" a="1"/>
  <c r="AA1074" i="2" s="1"/>
  <c r="AA1084" i="2" a="1"/>
  <c r="AA1084" i="2" s="1"/>
  <c r="AA1095" i="2" a="1"/>
  <c r="AA1095" i="2" s="1"/>
  <c r="AA1087" i="2" a="1"/>
  <c r="AA1087" i="2" s="1"/>
  <c r="AA1112" i="2" a="1"/>
  <c r="AA1112" i="2" s="1"/>
  <c r="AA1082" i="2" a="1"/>
  <c r="AA1082" i="2" s="1"/>
  <c r="AA1080" i="2" a="1"/>
  <c r="AA1080" i="2" s="1"/>
  <c r="AA1072" i="2" a="1"/>
  <c r="AA1072" i="2" s="1"/>
  <c r="AA1132" i="2" a="1"/>
  <c r="AA1132" i="2" s="1"/>
  <c r="AA1089" i="2" a="1"/>
  <c r="AA1089" i="2" s="1"/>
  <c r="AA1061" i="2" a="1"/>
  <c r="AA1061" i="2" s="1"/>
  <c r="AA1054" i="2" a="1"/>
  <c r="AA1054" i="2" s="1"/>
  <c r="AA1103" i="2" a="1"/>
  <c r="AA1103" i="2" s="1"/>
  <c r="AA1086" i="2" a="1"/>
  <c r="AA1086" i="2" s="1"/>
  <c r="P1050" i="2" a="1"/>
  <c r="P1050" i="2" s="1"/>
  <c r="T1050" i="2" s="1"/>
  <c r="AA1049" i="2" a="1"/>
  <c r="AA1049" i="2" s="1"/>
  <c r="AA1075" i="2" a="1"/>
  <c r="AA1075" i="2" s="1"/>
  <c r="AA1064" i="2" a="1"/>
  <c r="AA1064" i="2" s="1"/>
  <c r="AA1044" i="2" a="1"/>
  <c r="AA1044" i="2" s="1"/>
  <c r="AA1039" i="2" a="1"/>
  <c r="AA1039" i="2" s="1"/>
  <c r="AA1019" i="2" a="1"/>
  <c r="AA1019" i="2" s="1"/>
  <c r="P1096" i="2" a="1"/>
  <c r="P1096" i="2" s="1"/>
  <c r="T1096" i="2" s="1"/>
  <c r="P1065" i="2" a="1"/>
  <c r="P1065" i="2" s="1"/>
  <c r="T1065" i="2" s="1"/>
  <c r="AA1047" i="2" a="1"/>
  <c r="AA1047" i="2" s="1"/>
  <c r="AA1027" i="2" a="1"/>
  <c r="AA1027" i="2" s="1"/>
  <c r="AA1021" i="2" a="1"/>
  <c r="AA1021" i="2" s="1"/>
  <c r="AA1012" i="2" a="1"/>
  <c r="AA1012" i="2" s="1"/>
  <c r="AA1067" i="2" a="1"/>
  <c r="AA1067" i="2" s="1"/>
  <c r="AA1058" i="2" a="1"/>
  <c r="AA1058" i="2" s="1"/>
  <c r="AA1121" i="2" a="1"/>
  <c r="AA1121" i="2" s="1"/>
  <c r="P1081" i="2" a="1"/>
  <c r="P1081" i="2" s="1"/>
  <c r="T1081" i="2" s="1"/>
  <c r="AA1056" i="2" a="1"/>
  <c r="AA1056" i="2" s="1"/>
  <c r="AA1050" i="2" a="1"/>
  <c r="AA1050" i="2" s="1"/>
  <c r="AA1040" i="2" a="1"/>
  <c r="AA1040" i="2" s="1"/>
  <c r="AA1030" i="2" a="1"/>
  <c r="AA1030" i="2" s="1"/>
  <c r="AA1022" i="2" a="1"/>
  <c r="AA1022" i="2" s="1"/>
  <c r="P1057" i="2" a="1"/>
  <c r="P1057" i="2" s="1"/>
  <c r="T1057" i="2" s="1"/>
  <c r="AA1073" i="2" a="1"/>
  <c r="AA1073" i="2" s="1"/>
  <c r="AA1119" i="2" a="1"/>
  <c r="AA1119" i="2" s="1"/>
  <c r="AA1093" i="2" a="1"/>
  <c r="AA1093" i="2" s="1"/>
  <c r="AA1045" i="2" a="1"/>
  <c r="AA1045" i="2" s="1"/>
  <c r="AA1023" i="2" a="1"/>
  <c r="AA1023" i="2" s="1"/>
  <c r="P1074" i="2" a="1"/>
  <c r="P1074" i="2" s="1"/>
  <c r="T1074" i="2" s="1"/>
  <c r="AA1063" i="2" a="1"/>
  <c r="AA1063" i="2" s="1"/>
  <c r="P1115" i="2" a="1"/>
  <c r="P1115" i="2" s="1"/>
  <c r="AA1048" i="2" a="1"/>
  <c r="AA1048" i="2" s="1"/>
  <c r="AA1041" i="2" a="1"/>
  <c r="AA1041" i="2" s="1"/>
  <c r="AA1024" i="2" a="1"/>
  <c r="AA1024" i="2" s="1"/>
  <c r="AA1009" i="2" a="1"/>
  <c r="AA1009" i="2" s="1"/>
  <c r="AA1065" i="2" a="1"/>
  <c r="AA1065" i="2" s="1"/>
  <c r="P1053" i="2" a="1"/>
  <c r="P1053" i="2" s="1"/>
  <c r="T1053" i="2" s="1"/>
  <c r="P1067" i="2" a="1"/>
  <c r="P1067" i="2" s="1"/>
  <c r="T1067" i="2" s="1"/>
  <c r="P1064" i="2" a="1"/>
  <c r="P1064" i="2" s="1"/>
  <c r="T1064" i="2" s="1"/>
  <c r="AA1057" i="2" a="1"/>
  <c r="AA1057" i="2" s="1"/>
  <c r="P1095" i="2" a="1"/>
  <c r="P1095" i="2" s="1"/>
  <c r="T1095" i="2" s="1"/>
  <c r="AA1062" i="2" a="1"/>
  <c r="AA1062" i="2" s="1"/>
  <c r="AA1055" i="2" a="1"/>
  <c r="AA1055" i="2" s="1"/>
  <c r="P1044" i="2" a="1"/>
  <c r="P1044" i="2" s="1"/>
  <c r="T1044" i="2" s="1"/>
  <c r="AA1091" i="2" a="1"/>
  <c r="AA1091" i="2" s="1"/>
  <c r="AA1079" i="2" a="1"/>
  <c r="AA1079" i="2" s="1"/>
  <c r="AA1046" i="2" a="1"/>
  <c r="AA1046" i="2" s="1"/>
  <c r="AA1033" i="2" a="1"/>
  <c r="AA1033" i="2" s="1"/>
  <c r="AA1088" i="2" a="1"/>
  <c r="AA1088" i="2" s="1"/>
  <c r="AA1081" i="2" a="1"/>
  <c r="AA1081" i="2" s="1"/>
  <c r="AA1077" i="2" a="1"/>
  <c r="AA1077" i="2" s="1"/>
  <c r="AA1059" i="2" a="1"/>
  <c r="AA1059" i="2" s="1"/>
  <c r="AA1038" i="2" a="1"/>
  <c r="AA1038" i="2" s="1"/>
  <c r="AA1069" i="2" a="1"/>
  <c r="AA1069" i="2" s="1"/>
  <c r="AA1053" i="2" a="1"/>
  <c r="AA1053" i="2" s="1"/>
  <c r="P1049" i="2" a="1"/>
  <c r="P1049" i="2" s="1"/>
  <c r="T1049" i="2" s="1"/>
  <c r="AA1018" i="2" a="1"/>
  <c r="AA1018" i="2" s="1"/>
  <c r="AA1006" i="2" a="1"/>
  <c r="AA1006" i="2" s="1"/>
  <c r="AA998" i="2" a="1"/>
  <c r="AA998" i="2" s="1"/>
  <c r="AA1013" i="2" a="1"/>
  <c r="AA1013" i="2" s="1"/>
  <c r="AA1011" i="2" a="1"/>
  <c r="AA1011" i="2" s="1"/>
  <c r="AA1008" i="2" a="1"/>
  <c r="AA1008" i="2" s="1"/>
  <c r="AA987" i="2" a="1"/>
  <c r="AA987" i="2" s="1"/>
  <c r="P1019" i="2" a="1"/>
  <c r="P1019" i="2" s="1"/>
  <c r="T1019" i="2" s="1"/>
  <c r="P1038" i="2" a="1"/>
  <c r="P1038" i="2" s="1"/>
  <c r="T1038" i="2" s="1"/>
  <c r="AA999" i="2" a="1"/>
  <c r="AA999" i="2" s="1"/>
  <c r="AA1017" i="2" a="1"/>
  <c r="AA1017" i="2" s="1"/>
  <c r="AA1002" i="2" a="1"/>
  <c r="AA1002" i="2" s="1"/>
  <c r="AA1001" i="2" a="1"/>
  <c r="AA1001" i="2" s="1"/>
  <c r="AA994" i="2" a="1"/>
  <c r="AA994" i="2" s="1"/>
  <c r="AA993" i="2" a="1"/>
  <c r="AA993" i="2" s="1"/>
  <c r="AA988" i="2" a="1"/>
  <c r="AA988" i="2" s="1"/>
  <c r="AA980" i="2" a="1"/>
  <c r="AA980" i="2" s="1"/>
  <c r="AA970" i="2" a="1"/>
  <c r="AA970" i="2" s="1"/>
  <c r="AA969" i="2" a="1"/>
  <c r="AA969" i="2" s="1"/>
  <c r="AA968" i="2" a="1"/>
  <c r="AA968" i="2" s="1"/>
  <c r="AA966" i="2" a="1"/>
  <c r="AA966" i="2" s="1"/>
  <c r="AA964" i="2" a="1"/>
  <c r="AA964" i="2" s="1"/>
  <c r="AA992" i="2" a="1"/>
  <c r="AA992" i="2" s="1"/>
  <c r="AA1026" i="2" a="1"/>
  <c r="AA1026" i="2" s="1"/>
  <c r="AA1051" i="2" a="1"/>
  <c r="AA1051" i="2" s="1"/>
  <c r="AA1003" i="2" a="1"/>
  <c r="AA1003" i="2" s="1"/>
  <c r="AA995" i="2" a="1"/>
  <c r="AA995" i="2" s="1"/>
  <c r="P985" i="2" a="1"/>
  <c r="P985" i="2" s="1"/>
  <c r="T985" i="2" s="1"/>
  <c r="AA981" i="2" a="1"/>
  <c r="AA981" i="2" s="1"/>
  <c r="AA971" i="2" a="1"/>
  <c r="AA971" i="2" s="1"/>
  <c r="AA1025" i="2" a="1"/>
  <c r="AA1025" i="2" s="1"/>
  <c r="AA1015" i="2" a="1"/>
  <c r="AA1015" i="2" s="1"/>
  <c r="AA984" i="2" a="1"/>
  <c r="AA984" i="2" s="1"/>
  <c r="P1040" i="2" a="1"/>
  <c r="P1040" i="2" s="1"/>
  <c r="T1040" i="2" s="1"/>
  <c r="AA1010" i="2" a="1"/>
  <c r="AA1010" i="2" s="1"/>
  <c r="AA1004" i="2" a="1"/>
  <c r="AA1004" i="2" s="1"/>
  <c r="AA1016" i="2" a="1"/>
  <c r="AA1016" i="2" s="1"/>
  <c r="AA974" i="2" a="1"/>
  <c r="AA974" i="2" s="1"/>
  <c r="AA1037" i="2" a="1"/>
  <c r="AA1037" i="2" s="1"/>
  <c r="AA1028" i="2" a="1"/>
  <c r="AA1028" i="2" s="1"/>
  <c r="P1026" i="2" a="1"/>
  <c r="P1026" i="2" s="1"/>
  <c r="T1026" i="2" s="1"/>
  <c r="P1008" i="2" a="1"/>
  <c r="P1008" i="2" s="1"/>
  <c r="T1008" i="2" s="1"/>
  <c r="AA1005" i="2" a="1"/>
  <c r="AA1005" i="2" s="1"/>
  <c r="AA997" i="2" a="1"/>
  <c r="AA997" i="2" s="1"/>
  <c r="P987" i="2" a="1"/>
  <c r="P987" i="2" s="1"/>
  <c r="T987" i="2" s="1"/>
  <c r="AA1036" i="2" a="1"/>
  <c r="AA1036" i="2" s="1"/>
  <c r="P1009" i="2" a="1"/>
  <c r="P1009" i="2" s="1"/>
  <c r="T1009" i="2" s="1"/>
  <c r="AA989" i="2" a="1"/>
  <c r="AA989" i="2" s="1"/>
  <c r="P986" i="2" a="1"/>
  <c r="P986" i="2" s="1"/>
  <c r="T986" i="2" s="1"/>
  <c r="AA978" i="2" a="1"/>
  <c r="AA978" i="2" s="1"/>
  <c r="AA973" i="2" a="1"/>
  <c r="AA973" i="2" s="1"/>
  <c r="AA983" i="2" a="1"/>
  <c r="AA983" i="2" s="1"/>
  <c r="AA965" i="2" a="1"/>
  <c r="AA965" i="2" s="1"/>
  <c r="AA928" i="2" a="1"/>
  <c r="AA928" i="2" s="1"/>
  <c r="AA996" i="2" a="1"/>
  <c r="AA996" i="2" s="1"/>
  <c r="AA976" i="2" a="1"/>
  <c r="AA976" i="2" s="1"/>
  <c r="AA986" i="2" a="1"/>
  <c r="AA986" i="2" s="1"/>
  <c r="AA982" i="2" a="1"/>
  <c r="AA982" i="2" s="1"/>
  <c r="P999" i="2" a="1"/>
  <c r="P999" i="2" s="1"/>
  <c r="T999" i="2" s="1"/>
  <c r="AA985" i="2" a="1"/>
  <c r="AA985" i="2" s="1"/>
  <c r="P983" i="2" a="1"/>
  <c r="P983" i="2" s="1"/>
  <c r="T983" i="2" s="1"/>
  <c r="AA979" i="2" a="1"/>
  <c r="AA979" i="2" s="1"/>
  <c r="AA967" i="2" a="1"/>
  <c r="AA967" i="2" s="1"/>
  <c r="P964" i="2" a="1"/>
  <c r="P964" i="2" s="1"/>
  <c r="T964" i="2" s="1"/>
  <c r="AA942" i="2" a="1"/>
  <c r="AA942" i="2" s="1"/>
  <c r="AA939" i="2" a="1"/>
  <c r="AA939" i="2" s="1"/>
  <c r="AA923" i="2" a="1"/>
  <c r="AA923" i="2" s="1"/>
  <c r="AA903" i="2" a="1"/>
  <c r="AA903" i="2" s="1"/>
  <c r="AA902" i="2" a="1"/>
  <c r="AA902" i="2" s="1"/>
  <c r="AA975" i="2" a="1"/>
  <c r="AA975" i="2" s="1"/>
  <c r="AA959" i="2" a="1"/>
  <c r="AA959" i="2" s="1"/>
  <c r="AA949" i="2" a="1"/>
  <c r="AA949" i="2" s="1"/>
  <c r="AA933" i="2" a="1"/>
  <c r="AA933" i="2" s="1"/>
  <c r="AA972" i="2" a="1"/>
  <c r="AA972" i="2" s="1"/>
  <c r="AA927" i="2" a="1"/>
  <c r="AA927" i="2" s="1"/>
  <c r="AA924" i="2" a="1"/>
  <c r="AA924" i="2" s="1"/>
  <c r="AA958" i="2" a="1"/>
  <c r="AA958" i="2" s="1"/>
  <c r="AA940" i="2" a="1"/>
  <c r="AA940" i="2" s="1"/>
  <c r="AA934" i="2" a="1"/>
  <c r="AA934" i="2" s="1"/>
  <c r="AA919" i="2" a="1"/>
  <c r="AA919" i="2" s="1"/>
  <c r="AA914" i="2" a="1"/>
  <c r="AA914" i="2" s="1"/>
  <c r="AA915" i="2" a="1"/>
  <c r="AA915" i="2" s="1"/>
  <c r="AA944" i="2" a="1"/>
  <c r="AA944" i="2" s="1"/>
  <c r="AA936" i="2" a="1"/>
  <c r="AA936" i="2" s="1"/>
  <c r="AA920" i="2" a="1"/>
  <c r="AA920" i="2" s="1"/>
  <c r="AA912" i="2" a="1"/>
  <c r="AA912" i="2" s="1"/>
  <c r="AA911" i="2" a="1"/>
  <c r="AA911" i="2" s="1"/>
  <c r="P939" i="2" a="1"/>
  <c r="P939" i="2" s="1"/>
  <c r="T939" i="2" s="1"/>
  <c r="AA897" i="2" a="1"/>
  <c r="AA897" i="2" s="1"/>
  <c r="AA946" i="2" a="1"/>
  <c r="AA946" i="2" s="1"/>
  <c r="AA929" i="2" a="1"/>
  <c r="AA929" i="2" s="1"/>
  <c r="AA921" i="2" a="1"/>
  <c r="AA921" i="2" s="1"/>
  <c r="AA956" i="2" a="1"/>
  <c r="AA956" i="2" s="1"/>
  <c r="AA952" i="2" a="1"/>
  <c r="AA952" i="2" s="1"/>
  <c r="P949" i="2" a="1"/>
  <c r="P949" i="2" s="1"/>
  <c r="T949" i="2" s="1"/>
  <c r="AA926" i="2" a="1"/>
  <c r="AA926" i="2" s="1"/>
  <c r="AA898" i="2" a="1"/>
  <c r="AA898" i="2" s="1"/>
  <c r="AA909" i="2" a="1"/>
  <c r="AA909" i="2" s="1"/>
  <c r="P892" i="2" a="1"/>
  <c r="P892" i="2" s="1"/>
  <c r="T892" i="2" s="1"/>
  <c r="AA918" i="2" a="1"/>
  <c r="AA918" i="2" s="1"/>
  <c r="AA894" i="2" a="1"/>
  <c r="AA894" i="2" s="1"/>
  <c r="P929" i="2" a="1"/>
  <c r="P929" i="2" s="1"/>
  <c r="T929" i="2" s="1"/>
  <c r="AA908" i="2" a="1"/>
  <c r="AA908" i="2" s="1"/>
  <c r="AA891" i="2" a="1"/>
  <c r="AA891" i="2" s="1"/>
  <c r="AA884" i="2" a="1"/>
  <c r="AA884" i="2" s="1"/>
  <c r="AA953" i="2" a="1"/>
  <c r="AA953" i="2" s="1"/>
  <c r="AA937" i="2" a="1"/>
  <c r="AA937" i="2" s="1"/>
  <c r="P903" i="2" a="1"/>
  <c r="P903" i="2" s="1"/>
  <c r="P966" i="2" a="1"/>
  <c r="P966" i="2" s="1"/>
  <c r="T966" i="2" s="1"/>
  <c r="P887" i="2" a="1"/>
  <c r="P887" i="2" s="1"/>
  <c r="T887" i="2" s="1"/>
  <c r="AA885" i="2" a="1"/>
  <c r="AA885" i="2" s="1"/>
  <c r="AA950" i="2" a="1"/>
  <c r="AA950" i="2" s="1"/>
  <c r="AA892" i="2" a="1"/>
  <c r="AA892" i="2" s="1"/>
  <c r="AA906" i="2" a="1"/>
  <c r="AA906" i="2" s="1"/>
  <c r="AA900" i="2" a="1"/>
  <c r="AA900" i="2" s="1"/>
  <c r="AA886" i="2" a="1"/>
  <c r="AA886" i="2" s="1"/>
  <c r="AA922" i="2" a="1"/>
  <c r="AA922" i="2" s="1"/>
  <c r="AA878" i="2" a="1"/>
  <c r="AA878" i="2" s="1"/>
  <c r="AA905" i="2" a="1"/>
  <c r="AA905" i="2" s="1"/>
  <c r="P902" i="2" a="1"/>
  <c r="P902" i="2" s="1"/>
  <c r="T902" i="2" s="1"/>
  <c r="AA895" i="2" a="1"/>
  <c r="AA895" i="2" s="1"/>
  <c r="AA947" i="2" a="1"/>
  <c r="AA947" i="2" s="1"/>
  <c r="AA893" i="2" a="1"/>
  <c r="AA893" i="2" s="1"/>
  <c r="AA888" i="2" a="1"/>
  <c r="AA888" i="2" s="1"/>
  <c r="AA870" i="2" a="1"/>
  <c r="AA870" i="2" s="1"/>
  <c r="AA863" i="2" a="1"/>
  <c r="AA863" i="2" s="1"/>
  <c r="AA899" i="2" a="1"/>
  <c r="AA899" i="2" s="1"/>
  <c r="AA889" i="2" a="1"/>
  <c r="AA889" i="2" s="1"/>
  <c r="AA881" i="2" a="1"/>
  <c r="AA881" i="2" s="1"/>
  <c r="AA925" i="2" a="1"/>
  <c r="AA925" i="2" s="1"/>
  <c r="AA955" i="2" a="1"/>
  <c r="AA955" i="2" s="1"/>
  <c r="AA879" i="2" a="1"/>
  <c r="AA879" i="2" s="1"/>
  <c r="AA874" i="2" a="1"/>
  <c r="AA874" i="2" s="1"/>
  <c r="AA859" i="2" a="1"/>
  <c r="AA859" i="2" s="1"/>
  <c r="AA851" i="2" a="1"/>
  <c r="AA851" i="2" s="1"/>
  <c r="AA832" i="2" a="1"/>
  <c r="AA832" i="2" s="1"/>
  <c r="AA829" i="2" a="1"/>
  <c r="AA829" i="2" s="1"/>
  <c r="AA844" i="2" a="1"/>
  <c r="AA844" i="2" s="1"/>
  <c r="AA833" i="2" a="1"/>
  <c r="AA833" i="2" s="1"/>
  <c r="AA830" i="2" a="1"/>
  <c r="AA830" i="2" s="1"/>
  <c r="AA852" i="2" a="1"/>
  <c r="AA852" i="2" s="1"/>
  <c r="AA845" i="2" a="1"/>
  <c r="AA845" i="2" s="1"/>
  <c r="AA860" i="2" a="1"/>
  <c r="AA860" i="2" s="1"/>
  <c r="AA853" i="2" a="1"/>
  <c r="AA853" i="2" s="1"/>
  <c r="AA824" i="2" a="1"/>
  <c r="AA824" i="2" s="1"/>
  <c r="AA823" i="2" a="1"/>
  <c r="AA823" i="2" s="1"/>
  <c r="AA800" i="2" a="1"/>
  <c r="AA800" i="2" s="1"/>
  <c r="AA875" i="2" a="1"/>
  <c r="AA875" i="2" s="1"/>
  <c r="AA890" i="2" a="1"/>
  <c r="AA890" i="2" s="1"/>
  <c r="P879" i="2" a="1"/>
  <c r="P879" i="2" s="1"/>
  <c r="T879" i="2" s="1"/>
  <c r="AA877" i="2" a="1"/>
  <c r="AA877" i="2" s="1"/>
  <c r="AA864" i="2" a="1"/>
  <c r="AA864" i="2" s="1"/>
  <c r="P862" i="2" a="1"/>
  <c r="P862" i="2" s="1"/>
  <c r="T862" i="2" s="1"/>
  <c r="AA887" i="2" a="1"/>
  <c r="AA887" i="2" s="1"/>
  <c r="P876" i="2" a="1"/>
  <c r="P876" i="2" s="1"/>
  <c r="T876" i="2" s="1"/>
  <c r="AA861" i="2" a="1"/>
  <c r="AA861" i="2" s="1"/>
  <c r="P857" i="2" a="1"/>
  <c r="P857" i="2" s="1"/>
  <c r="AA855" i="2" a="1"/>
  <c r="AA855" i="2" s="1"/>
  <c r="AA883" i="2" a="1"/>
  <c r="AA883" i="2" s="1"/>
  <c r="AA882" i="2" a="1"/>
  <c r="AA882" i="2" s="1"/>
  <c r="AA873" i="2" a="1"/>
  <c r="AA873" i="2" s="1"/>
  <c r="AA871" i="2" a="1"/>
  <c r="AA871" i="2" s="1"/>
  <c r="AA866" i="2" a="1"/>
  <c r="AA866" i="2" s="1"/>
  <c r="AA856" i="2" a="1"/>
  <c r="AA856" i="2" s="1"/>
  <c r="AA848" i="2" a="1"/>
  <c r="AA848" i="2" s="1"/>
  <c r="AA815" i="2" a="1"/>
  <c r="AA815" i="2" s="1"/>
  <c r="AA814" i="2" a="1"/>
  <c r="AA814" i="2" s="1"/>
  <c r="P859" i="2" a="1"/>
  <c r="P859" i="2" s="1"/>
  <c r="T859" i="2" s="1"/>
  <c r="AA857" i="2" a="1"/>
  <c r="AA857" i="2" s="1"/>
  <c r="AA849" i="2" a="1"/>
  <c r="AA849" i="2" s="1"/>
  <c r="AA862" i="2" a="1"/>
  <c r="AA862" i="2" s="1"/>
  <c r="AA880" i="2" a="1"/>
  <c r="AA880" i="2" s="1"/>
  <c r="AA876" i="2" a="1"/>
  <c r="AA876" i="2" s="1"/>
  <c r="AA858" i="2" a="1"/>
  <c r="AA858" i="2" s="1"/>
  <c r="AA850" i="2" a="1"/>
  <c r="AA850" i="2" s="1"/>
  <c r="AA817" i="2" a="1"/>
  <c r="AA817" i="2" s="1"/>
  <c r="AA784" i="2" a="1"/>
  <c r="AA784" i="2" s="1"/>
  <c r="AA847" i="2" a="1"/>
  <c r="AA847" i="2" s="1"/>
  <c r="P826" i="2" a="1"/>
  <c r="P826" i="2" s="1"/>
  <c r="AA782" i="2" a="1"/>
  <c r="AA782" i="2" s="1"/>
  <c r="AA779" i="2" a="1"/>
  <c r="AA779" i="2" s="1"/>
  <c r="AA778" i="2" a="1"/>
  <c r="AA778" i="2" s="1"/>
  <c r="P856" i="2" a="1"/>
  <c r="P856" i="2" s="1"/>
  <c r="T856" i="2" s="1"/>
  <c r="AA787" i="2" a="1"/>
  <c r="AA787" i="2" s="1"/>
  <c r="AA785" i="2" a="1"/>
  <c r="AA785" i="2" s="1"/>
  <c r="AA776" i="2" a="1"/>
  <c r="AA776" i="2" s="1"/>
  <c r="AA867" i="2" a="1"/>
  <c r="AA867" i="2" s="1"/>
  <c r="AA854" i="2" a="1"/>
  <c r="AA854" i="2" s="1"/>
  <c r="AA812" i="2" a="1"/>
  <c r="AA812" i="2" s="1"/>
  <c r="AA806" i="2" a="1"/>
  <c r="AA806" i="2" s="1"/>
  <c r="AA803" i="2" a="1"/>
  <c r="AA803" i="2" s="1"/>
  <c r="AA821" i="2" a="1"/>
  <c r="AA821" i="2" s="1"/>
  <c r="AA809" i="2" a="1"/>
  <c r="AA809" i="2" s="1"/>
  <c r="AA790" i="2" a="1"/>
  <c r="AA790" i="2" s="1"/>
  <c r="AA788" i="2" a="1"/>
  <c r="AA788" i="2" s="1"/>
  <c r="AA774" i="2" a="1"/>
  <c r="AA774" i="2" s="1"/>
  <c r="AA773" i="2" a="1"/>
  <c r="AA773" i="2" s="1"/>
  <c r="AA771" i="2" a="1"/>
  <c r="AA771" i="2" s="1"/>
  <c r="AA743" i="2" a="1"/>
  <c r="AA743" i="2" s="1"/>
  <c r="AA742" i="2" a="1"/>
  <c r="AA742" i="2" s="1"/>
  <c r="AA725" i="2" a="1"/>
  <c r="AA725" i="2" s="1"/>
  <c r="P848" i="2" a="1"/>
  <c r="P848" i="2" s="1"/>
  <c r="T848" i="2" s="1"/>
  <c r="AA793" i="2" a="1"/>
  <c r="AA793" i="2" s="1"/>
  <c r="AA791" i="2" a="1"/>
  <c r="AA791" i="2" s="1"/>
  <c r="AA827" i="2" a="1"/>
  <c r="AA827" i="2" s="1"/>
  <c r="AA820" i="2" a="1"/>
  <c r="AA820" i="2" s="1"/>
  <c r="AA740" i="2" a="1"/>
  <c r="AA740" i="2" s="1"/>
  <c r="AA739" i="2" a="1"/>
  <c r="AA739" i="2" s="1"/>
  <c r="P849" i="2" a="1"/>
  <c r="P849" i="2" s="1"/>
  <c r="P799" i="2" a="1"/>
  <c r="P799" i="2" s="1"/>
  <c r="AA796" i="2" a="1"/>
  <c r="AA796" i="2" s="1"/>
  <c r="AA794" i="2" a="1"/>
  <c r="AA794" i="2" s="1"/>
  <c r="AA765" i="2" a="1"/>
  <c r="AA765" i="2" s="1"/>
  <c r="AA764" i="2" a="1"/>
  <c r="AA764" i="2" s="1"/>
  <c r="AA763" i="2" a="1"/>
  <c r="AA763" i="2" s="1"/>
  <c r="AA762" i="2" a="1"/>
  <c r="AA762" i="2" s="1"/>
  <c r="AA761" i="2" a="1"/>
  <c r="AA761" i="2" s="1"/>
  <c r="AA760" i="2" a="1"/>
  <c r="AA760" i="2" s="1"/>
  <c r="AA846" i="2" a="1"/>
  <c r="AA846" i="2" s="1"/>
  <c r="P845" i="2" a="1"/>
  <c r="P845" i="2" s="1"/>
  <c r="T845" i="2" s="1"/>
  <c r="P812" i="2" a="1"/>
  <c r="P812" i="2" s="1"/>
  <c r="T812" i="2" s="1"/>
  <c r="AA805" i="2" a="1"/>
  <c r="AA805" i="2" s="1"/>
  <c r="P803" i="2" a="1"/>
  <c r="P803" i="2" s="1"/>
  <c r="P784" i="2" a="1"/>
  <c r="P784" i="2" s="1"/>
  <c r="T784" i="2" s="1"/>
  <c r="AA818" i="2" a="1"/>
  <c r="AA818" i="2" s="1"/>
  <c r="AA799" i="2" a="1"/>
  <c r="AA799" i="2" s="1"/>
  <c r="AA842" i="2" a="1"/>
  <c r="AA842" i="2" s="1"/>
  <c r="AA841" i="2" a="1"/>
  <c r="AA841" i="2" s="1"/>
  <c r="AA840" i="2" a="1"/>
  <c r="AA840" i="2" s="1"/>
  <c r="AA839" i="2" a="1"/>
  <c r="AA839" i="2" s="1"/>
  <c r="AA838" i="2" a="1"/>
  <c r="AA838" i="2" s="1"/>
  <c r="AA837" i="2" a="1"/>
  <c r="AA837" i="2" s="1"/>
  <c r="AA836" i="2" a="1"/>
  <c r="AA836" i="2" s="1"/>
  <c r="P779" i="2" a="1"/>
  <c r="P779" i="2" s="1"/>
  <c r="P778" i="2" a="1"/>
  <c r="P778" i="2" s="1"/>
  <c r="T778" i="2" s="1"/>
  <c r="P827" i="2" a="1"/>
  <c r="P827" i="2" s="1"/>
  <c r="AA843" i="2" a="1"/>
  <c r="AA843" i="2" s="1"/>
  <c r="P815" i="2" a="1"/>
  <c r="P815" i="2" s="1"/>
  <c r="T815" i="2" s="1"/>
  <c r="AA781" i="2" a="1"/>
  <c r="AA781" i="2" s="1"/>
  <c r="AA731" i="2" a="1"/>
  <c r="AA731" i="2" s="1"/>
  <c r="AA680" i="2" a="1"/>
  <c r="AA680" i="2" s="1"/>
  <c r="AA672" i="2" a="1"/>
  <c r="AA672" i="2" s="1"/>
  <c r="AA752" i="2" a="1"/>
  <c r="AA752" i="2" s="1"/>
  <c r="AA712" i="2" a="1"/>
  <c r="AA712" i="2" s="1"/>
  <c r="AA711" i="2" a="1"/>
  <c r="AA711" i="2" s="1"/>
  <c r="AA688" i="2" a="1"/>
  <c r="AA688" i="2" s="1"/>
  <c r="AA687" i="2" a="1"/>
  <c r="AA687" i="2" s="1"/>
  <c r="AA733" i="2" a="1"/>
  <c r="AA733" i="2" s="1"/>
  <c r="AA754" i="2" a="1"/>
  <c r="AA754" i="2" s="1"/>
  <c r="AA747" i="2" a="1"/>
  <c r="AA747" i="2" s="1"/>
  <c r="AA726" i="2" a="1"/>
  <c r="AA726" i="2" s="1"/>
  <c r="AA709" i="2" a="1"/>
  <c r="AA709" i="2" s="1"/>
  <c r="AA708" i="2" a="1"/>
  <c r="AA708" i="2" s="1"/>
  <c r="AA756" i="2" a="1"/>
  <c r="AA756" i="2" s="1"/>
  <c r="AA826" i="2" a="1"/>
  <c r="AA826" i="2" s="1"/>
  <c r="AA758" i="2" a="1"/>
  <c r="AA758" i="2" s="1"/>
  <c r="AA802" i="2" a="1"/>
  <c r="AA802" i="2" s="1"/>
  <c r="AA751" i="2" a="1"/>
  <c r="AA751" i="2" s="1"/>
  <c r="AA676" i="2" a="1"/>
  <c r="AA676" i="2" s="1"/>
  <c r="AA668" i="2" a="1"/>
  <c r="AA668" i="2" s="1"/>
  <c r="AA664" i="2" a="1"/>
  <c r="AA664" i="2" s="1"/>
  <c r="AA663" i="2" a="1"/>
  <c r="AA663" i="2" s="1"/>
  <c r="P829" i="2" a="1"/>
  <c r="P829" i="2" s="1"/>
  <c r="AA811" i="2" a="1"/>
  <c r="AA811" i="2" s="1"/>
  <c r="AA808" i="2" a="1"/>
  <c r="AA808" i="2" s="1"/>
  <c r="AA755" i="2" a="1"/>
  <c r="AA755" i="2" s="1"/>
  <c r="AA737" i="2" a="1"/>
  <c r="AA737" i="2" s="1"/>
  <c r="AA797" i="2" a="1"/>
  <c r="AA797" i="2" s="1"/>
  <c r="AA759" i="2" a="1"/>
  <c r="AA759" i="2" s="1"/>
  <c r="AA757" i="2" a="1"/>
  <c r="AA757" i="2" s="1"/>
  <c r="AA729" i="2" a="1"/>
  <c r="AA729" i="2" s="1"/>
  <c r="AA679" i="2" a="1"/>
  <c r="AA679" i="2" s="1"/>
  <c r="AA671" i="2" a="1"/>
  <c r="AA671" i="2" s="1"/>
  <c r="P759" i="2" a="1"/>
  <c r="P759" i="2" s="1"/>
  <c r="T759" i="2" s="1"/>
  <c r="AA749" i="2" a="1"/>
  <c r="AA749" i="2" s="1"/>
  <c r="AA748" i="2" a="1"/>
  <c r="AA748" i="2" s="1"/>
  <c r="AA706" i="2" a="1"/>
  <c r="AA706" i="2" s="1"/>
  <c r="AA696" i="2" a="1"/>
  <c r="AA696" i="2" s="1"/>
  <c r="AA685" i="2" a="1"/>
  <c r="AA685" i="2" s="1"/>
  <c r="AA678" i="2" a="1"/>
  <c r="AA678" i="2" s="1"/>
  <c r="AA657" i="2" a="1"/>
  <c r="AA657" i="2" s="1"/>
  <c r="AA655" i="2" a="1"/>
  <c r="AA655" i="2" s="1"/>
  <c r="AA654" i="2" a="1"/>
  <c r="AA654" i="2" s="1"/>
  <c r="AA628" i="2" a="1"/>
  <c r="AA628" i="2" s="1"/>
  <c r="AA627" i="2" a="1"/>
  <c r="AA627" i="2" s="1"/>
  <c r="AA715" i="2" a="1"/>
  <c r="AA715" i="2" s="1"/>
  <c r="AA603" i="2" a="1"/>
  <c r="AA603" i="2" s="1"/>
  <c r="P781" i="2" a="1"/>
  <c r="P781" i="2" s="1"/>
  <c r="T781" i="2" s="1"/>
  <c r="AA723" i="2" a="1"/>
  <c r="AA723" i="2" s="1"/>
  <c r="P709" i="2" a="1"/>
  <c r="P709" i="2" s="1"/>
  <c r="AA705" i="2" a="1"/>
  <c r="AA705" i="2" s="1"/>
  <c r="AA714" i="2" a="1"/>
  <c r="AA714" i="2" s="1"/>
  <c r="AA699" i="2" a="1"/>
  <c r="AA699" i="2" s="1"/>
  <c r="P697" i="2" a="1"/>
  <c r="P697" i="2" s="1"/>
  <c r="AA753" i="2" a="1"/>
  <c r="AA753" i="2" s="1"/>
  <c r="AA750" i="2" a="1"/>
  <c r="AA750" i="2" s="1"/>
  <c r="P690" i="2" a="1"/>
  <c r="P690" i="2" s="1"/>
  <c r="AA736" i="2" a="1"/>
  <c r="AA736" i="2" s="1"/>
  <c r="P700" i="2" a="1"/>
  <c r="P700" i="2" s="1"/>
  <c r="AA691" i="2" a="1"/>
  <c r="AA691" i="2" s="1"/>
  <c r="AA727" i="2" a="1"/>
  <c r="AA727" i="2" s="1"/>
  <c r="AA703" i="2" a="1"/>
  <c r="AA703" i="2" s="1"/>
  <c r="AA677" i="2" a="1"/>
  <c r="AA677" i="2" s="1"/>
  <c r="AA734" i="2" a="1"/>
  <c r="AA734" i="2" s="1"/>
  <c r="AA722" i="2" a="1"/>
  <c r="AA722" i="2" s="1"/>
  <c r="AA694" i="2" a="1"/>
  <c r="AA694" i="2" s="1"/>
  <c r="AA684" i="2" a="1"/>
  <c r="AA684" i="2" s="1"/>
  <c r="AA667" i="2" a="1"/>
  <c r="AA667" i="2" s="1"/>
  <c r="AA640" i="2" a="1"/>
  <c r="AA640" i="2" s="1"/>
  <c r="AA639" i="2" a="1"/>
  <c r="AA639" i="2" s="1"/>
  <c r="AA610" i="2" a="1"/>
  <c r="AA610" i="2" s="1"/>
  <c r="AA609" i="2" a="1"/>
  <c r="AA609" i="2" s="1"/>
  <c r="P757" i="2" a="1"/>
  <c r="P757" i="2" s="1"/>
  <c r="T757" i="2" s="1"/>
  <c r="AA746" i="2" a="1"/>
  <c r="AA746" i="2" s="1"/>
  <c r="AA702" i="2" a="1"/>
  <c r="AA702" i="2" s="1"/>
  <c r="AA681" i="2" a="1"/>
  <c r="AA681" i="2" s="1"/>
  <c r="AA607" i="2" a="1"/>
  <c r="AA607" i="2" s="1"/>
  <c r="AA599" i="2" a="1"/>
  <c r="AA599" i="2" s="1"/>
  <c r="AA591" i="2" a="1"/>
  <c r="AA591" i="2" s="1"/>
  <c r="P699" i="2" a="1"/>
  <c r="P699" i="2" s="1"/>
  <c r="AA637" i="2" a="1"/>
  <c r="AA637" i="2" s="1"/>
  <c r="AA636" i="2" a="1"/>
  <c r="AA636" i="2" s="1"/>
  <c r="AA721" i="2" a="1"/>
  <c r="AA721" i="2" s="1"/>
  <c r="AA718" i="2" a="1"/>
  <c r="AA718" i="2" s="1"/>
  <c r="AA690" i="2" a="1"/>
  <c r="AA690" i="2" s="1"/>
  <c r="AA674" i="2" a="1"/>
  <c r="AA674" i="2" s="1"/>
  <c r="AA670" i="2" a="1"/>
  <c r="AA670" i="2" s="1"/>
  <c r="AA697" i="2" a="1"/>
  <c r="AA697" i="2" s="1"/>
  <c r="P652" i="2" a="1"/>
  <c r="P652" i="2" s="1"/>
  <c r="AA649" i="2" a="1"/>
  <c r="AA649" i="2" s="1"/>
  <c r="AA643" i="2" a="1"/>
  <c r="AA643" i="2" s="1"/>
  <c r="AA631" i="2" a="1"/>
  <c r="AA631" i="2" s="1"/>
  <c r="P625" i="2" a="1"/>
  <c r="P625" i="2" s="1"/>
  <c r="AA602" i="2" a="1"/>
  <c r="AA602" i="2" s="1"/>
  <c r="AA700" i="2" a="1"/>
  <c r="AA700" i="2" s="1"/>
  <c r="P676" i="2" a="1"/>
  <c r="P676" i="2" s="1"/>
  <c r="AA673" i="2" a="1"/>
  <c r="AA673" i="2" s="1"/>
  <c r="P610" i="2" a="1"/>
  <c r="P610" i="2" s="1"/>
  <c r="AA604" i="2" a="1"/>
  <c r="AA604" i="2" s="1"/>
  <c r="P603" i="2" a="1"/>
  <c r="P603" i="2" s="1"/>
  <c r="P587" i="2" a="1"/>
  <c r="P587" i="2" s="1"/>
  <c r="AA585" i="2" a="1"/>
  <c r="AA585" i="2" s="1"/>
  <c r="P684" i="2" a="1"/>
  <c r="P684" i="2" s="1"/>
  <c r="AA648" i="2" a="1"/>
  <c r="AA648" i="2" s="1"/>
  <c r="P640" i="2" a="1"/>
  <c r="P640" i="2" s="1"/>
  <c r="T640" i="2" s="1"/>
  <c r="AA619" i="2" a="1"/>
  <c r="AA619" i="2" s="1"/>
  <c r="AA557" i="2" a="1"/>
  <c r="AA557" i="2" s="1"/>
  <c r="AA556" i="2" a="1"/>
  <c r="AA556" i="2" s="1"/>
  <c r="P551" i="2" a="1"/>
  <c r="P551" i="2" s="1"/>
  <c r="P550" i="2" a="1"/>
  <c r="P550" i="2" s="1"/>
  <c r="AA669" i="2" a="1"/>
  <c r="AA669" i="2" s="1"/>
  <c r="AA616" i="2" a="1"/>
  <c r="AA616" i="2" s="1"/>
  <c r="AA606" i="2" a="1"/>
  <c r="AA606" i="2" s="1"/>
  <c r="AA586" i="2" a="1"/>
  <c r="AA586" i="2" s="1"/>
  <c r="AA578" i="2" a="1"/>
  <c r="AA578" i="2" s="1"/>
  <c r="AA634" i="2" a="1"/>
  <c r="AA634" i="2" s="1"/>
  <c r="AA622" i="2" a="1"/>
  <c r="AA622" i="2" s="1"/>
  <c r="AA554" i="2" a="1"/>
  <c r="AA554" i="2" s="1"/>
  <c r="AA553" i="2" a="1"/>
  <c r="AA553" i="2" s="1"/>
  <c r="AA530" i="2" a="1"/>
  <c r="AA530" i="2" s="1"/>
  <c r="AA529" i="2" a="1"/>
  <c r="AA529" i="2" s="1"/>
  <c r="AA724" i="2" a="1"/>
  <c r="AA724" i="2" s="1"/>
  <c r="AA717" i="2" a="1"/>
  <c r="AA717" i="2" s="1"/>
  <c r="AA660" i="2" a="1"/>
  <c r="AA660" i="2" s="1"/>
  <c r="AA642" i="2" a="1"/>
  <c r="AA642" i="2" s="1"/>
  <c r="AA630" i="2" a="1"/>
  <c r="AA630" i="2" s="1"/>
  <c r="AA613" i="2" a="1"/>
  <c r="AA613" i="2" s="1"/>
  <c r="AA597" i="2" a="1"/>
  <c r="AA597" i="2" s="1"/>
  <c r="AA587" i="2" a="1"/>
  <c r="AA587" i="2" s="1"/>
  <c r="P691" i="2" a="1"/>
  <c r="P691" i="2" s="1"/>
  <c r="AA658" i="2" a="1"/>
  <c r="AA658" i="2" s="1"/>
  <c r="AA646" i="2" a="1"/>
  <c r="AA646" i="2" s="1"/>
  <c r="P598" i="2" a="1"/>
  <c r="P598" i="2" s="1"/>
  <c r="T598" i="2" s="1"/>
  <c r="P669" i="2" a="1"/>
  <c r="P669" i="2" s="1"/>
  <c r="AA625" i="2" a="1"/>
  <c r="AA625" i="2" s="1"/>
  <c r="AA588" i="2" a="1"/>
  <c r="AA588" i="2" s="1"/>
  <c r="AA661" i="2" a="1"/>
  <c r="AA661" i="2" s="1"/>
  <c r="AA652" i="2" a="1"/>
  <c r="AA652" i="2" s="1"/>
  <c r="AA601" i="2" a="1"/>
  <c r="AA601" i="2" s="1"/>
  <c r="P566" i="2" a="1"/>
  <c r="P566" i="2" s="1"/>
  <c r="P565" i="2" a="1"/>
  <c r="P565" i="2" s="1"/>
  <c r="AA548" i="2" a="1"/>
  <c r="AA548" i="2" s="1"/>
  <c r="AA547" i="2" a="1"/>
  <c r="AA547" i="2" s="1"/>
  <c r="P654" i="2" a="1"/>
  <c r="P654" i="2" s="1"/>
  <c r="T654" i="2" s="1"/>
  <c r="AA645" i="2" a="1"/>
  <c r="AA645" i="2" s="1"/>
  <c r="P639" i="2" a="1"/>
  <c r="P639" i="2" s="1"/>
  <c r="T639" i="2" s="1"/>
  <c r="AA633" i="2" a="1"/>
  <c r="AA633" i="2" s="1"/>
  <c r="P627" i="2" a="1"/>
  <c r="P627" i="2" s="1"/>
  <c r="AA621" i="2" a="1"/>
  <c r="AA621" i="2" s="1"/>
  <c r="AA618" i="2" a="1"/>
  <c r="AA618" i="2" s="1"/>
  <c r="P602" i="2" a="1"/>
  <c r="P602" i="2" s="1"/>
  <c r="T602" i="2" s="1"/>
  <c r="AA589" i="2" a="1"/>
  <c r="AA589" i="2" s="1"/>
  <c r="P722" i="2" a="1"/>
  <c r="P722" i="2" s="1"/>
  <c r="T722" i="2" s="1"/>
  <c r="AA675" i="2" a="1"/>
  <c r="AA675" i="2" s="1"/>
  <c r="AA615" i="2" a="1"/>
  <c r="AA615" i="2" s="1"/>
  <c r="P609" i="2" a="1"/>
  <c r="P609" i="2" s="1"/>
  <c r="AA569" i="2" a="1"/>
  <c r="AA569" i="2" s="1"/>
  <c r="AA568" i="2" a="1"/>
  <c r="AA568" i="2" s="1"/>
  <c r="AA682" i="2" a="1"/>
  <c r="AA682" i="2" s="1"/>
  <c r="AA651" i="2" a="1"/>
  <c r="AA651" i="2" s="1"/>
  <c r="AA605" i="2" a="1"/>
  <c r="AA605" i="2" s="1"/>
  <c r="AA590" i="2" a="1"/>
  <c r="AA590" i="2" s="1"/>
  <c r="AA582" i="2" a="1"/>
  <c r="AA582" i="2" s="1"/>
  <c r="AA574" i="2" a="1"/>
  <c r="AA574" i="2" s="1"/>
  <c r="P660" i="2" a="1"/>
  <c r="P660" i="2" s="1"/>
  <c r="AA624" i="2" a="1"/>
  <c r="AA624" i="2" s="1"/>
  <c r="AA598" i="2" a="1"/>
  <c r="AA598" i="2" s="1"/>
  <c r="AA583" i="2" a="1"/>
  <c r="AA583" i="2" s="1"/>
  <c r="AA575" i="2" a="1"/>
  <c r="AA575" i="2" s="1"/>
  <c r="AA693" i="2" a="1"/>
  <c r="AA693" i="2" s="1"/>
  <c r="P675" i="2" a="1"/>
  <c r="P675" i="2" s="1"/>
  <c r="AA612" i="2" a="1"/>
  <c r="AA612" i="2" s="1"/>
  <c r="AA600" i="2" a="1"/>
  <c r="AA600" i="2" s="1"/>
  <c r="P599" i="2" a="1"/>
  <c r="P599" i="2" s="1"/>
  <c r="T599" i="2" s="1"/>
  <c r="AA563" i="2" a="1"/>
  <c r="AA563" i="2" s="1"/>
  <c r="AA562" i="2" a="1"/>
  <c r="AA562" i="2" s="1"/>
  <c r="AA539" i="2" a="1"/>
  <c r="AA539" i="2" s="1"/>
  <c r="AA538" i="2" a="1"/>
  <c r="AA538" i="2" s="1"/>
  <c r="AA526" i="2" a="1"/>
  <c r="AA526" i="2" s="1"/>
  <c r="AA511" i="2" a="1"/>
  <c r="AA511" i="2" s="1"/>
  <c r="AA496" i="2" a="1"/>
  <c r="AA496" i="2" s="1"/>
  <c r="AA476" i="2" a="1"/>
  <c r="AA476" i="2" s="1"/>
  <c r="AA467" i="2" a="1"/>
  <c r="AA467" i="2" s="1"/>
  <c r="AA450" i="2" a="1"/>
  <c r="AA450" i="2" s="1"/>
  <c r="AA449" i="2" a="1"/>
  <c r="AA449" i="2" s="1"/>
  <c r="AA572" i="2" a="1"/>
  <c r="AA572" i="2" s="1"/>
  <c r="AA515" i="2" a="1"/>
  <c r="AA515" i="2" s="1"/>
  <c r="AA514" i="2" a="1"/>
  <c r="AA514" i="2" s="1"/>
  <c r="AA504" i="2" a="1"/>
  <c r="AA504" i="2" s="1"/>
  <c r="AA492" i="2" a="1"/>
  <c r="AA492" i="2" s="1"/>
  <c r="AA491" i="2" a="1"/>
  <c r="AA491" i="2" s="1"/>
  <c r="AA468" i="2" a="1"/>
  <c r="AA468" i="2" s="1"/>
  <c r="P578" i="2" a="1"/>
  <c r="P578" i="2" s="1"/>
  <c r="AA560" i="2" a="1"/>
  <c r="AA560" i="2" s="1"/>
  <c r="P559" i="2" a="1"/>
  <c r="P559" i="2" s="1"/>
  <c r="AA532" i="2" a="1"/>
  <c r="AA532" i="2" s="1"/>
  <c r="AA512" i="2" a="1"/>
  <c r="AA512" i="2" s="1"/>
  <c r="AA477" i="2" a="1"/>
  <c r="AA477" i="2" s="1"/>
  <c r="AA544" i="2" a="1"/>
  <c r="AA544" i="2" s="1"/>
  <c r="AA505" i="2" a="1"/>
  <c r="AA505" i="2" s="1"/>
  <c r="AA489" i="2" a="1"/>
  <c r="AA489" i="2" s="1"/>
  <c r="AA488" i="2" a="1"/>
  <c r="AA488" i="2" s="1"/>
  <c r="AA469" i="2" a="1"/>
  <c r="AA469" i="2" s="1"/>
  <c r="AA573" i="2" a="1"/>
  <c r="AA573" i="2" s="1"/>
  <c r="AA536" i="2" a="1"/>
  <c r="AA536" i="2" s="1"/>
  <c r="AA478" i="2" a="1"/>
  <c r="AA478" i="2" s="1"/>
  <c r="P586" i="2" a="1"/>
  <c r="P586" i="2" s="1"/>
  <c r="T586" i="2" s="1"/>
  <c r="AA527" i="2" a="1"/>
  <c r="AA527" i="2" s="1"/>
  <c r="P508" i="2" a="1"/>
  <c r="P508" i="2" s="1"/>
  <c r="AA506" i="2" a="1"/>
  <c r="AA506" i="2" s="1"/>
  <c r="AA580" i="2" a="1"/>
  <c r="AA580" i="2" s="1"/>
  <c r="AA541" i="2" a="1"/>
  <c r="AA541" i="2" s="1"/>
  <c r="AA507" i="2" a="1"/>
  <c r="AA507" i="2" s="1"/>
  <c r="AA483" i="2" a="1"/>
  <c r="AA483" i="2" s="1"/>
  <c r="AA482" i="2" a="1"/>
  <c r="AA482" i="2" s="1"/>
  <c r="AA551" i="2" a="1"/>
  <c r="AA551" i="2" s="1"/>
  <c r="AA533" i="2" a="1"/>
  <c r="AA533" i="2" s="1"/>
  <c r="AA480" i="2" a="1"/>
  <c r="AA480" i="2" s="1"/>
  <c r="AA576" i="2" a="1"/>
  <c r="AA576" i="2" s="1"/>
  <c r="AA559" i="2" a="1"/>
  <c r="AA559" i="2" s="1"/>
  <c r="AA508" i="2" a="1"/>
  <c r="AA508" i="2" s="1"/>
  <c r="AA577" i="2" a="1"/>
  <c r="AA577" i="2" s="1"/>
  <c r="P575" i="2" a="1"/>
  <c r="P575" i="2" s="1"/>
  <c r="T575" i="2" s="1"/>
  <c r="P553" i="2" a="1"/>
  <c r="P553" i="2" s="1"/>
  <c r="T553" i="2" s="1"/>
  <c r="AA545" i="2" a="1"/>
  <c r="AA545" i="2" s="1"/>
  <c r="AA473" i="2" a="1"/>
  <c r="AA473" i="2" s="1"/>
  <c r="AA581" i="2" a="1"/>
  <c r="AA581" i="2" s="1"/>
  <c r="P574" i="2" a="1"/>
  <c r="P574" i="2" s="1"/>
  <c r="P560" i="2" a="1"/>
  <c r="P560" i="2" s="1"/>
  <c r="AA584" i="2" a="1"/>
  <c r="AA584" i="2" s="1"/>
  <c r="AA566" i="2" a="1"/>
  <c r="AA566" i="2" s="1"/>
  <c r="AA509" i="2" a="1"/>
  <c r="AA509" i="2" s="1"/>
  <c r="AA502" i="2" a="1"/>
  <c r="AA502" i="2" s="1"/>
  <c r="AA474" i="2" a="1"/>
  <c r="AA474" i="2" s="1"/>
  <c r="AA535" i="2" a="1"/>
  <c r="AA535" i="2" s="1"/>
  <c r="AA524" i="2" a="1"/>
  <c r="AA524" i="2" s="1"/>
  <c r="AA523" i="2" a="1"/>
  <c r="AA523" i="2" s="1"/>
  <c r="AA520" i="2" a="1"/>
  <c r="AA520" i="2" s="1"/>
  <c r="AA542" i="2" a="1"/>
  <c r="AA542" i="2" s="1"/>
  <c r="P536" i="2" a="1"/>
  <c r="P536" i="2" s="1"/>
  <c r="T536" i="2" s="1"/>
  <c r="AA521" i="2" a="1"/>
  <c r="AA521" i="2" s="1"/>
  <c r="AA510" i="2" a="1"/>
  <c r="AA510" i="2" s="1"/>
  <c r="AA503" i="2" a="1"/>
  <c r="AA503" i="2" s="1"/>
  <c r="AA495" i="2" a="1"/>
  <c r="AA495" i="2" s="1"/>
  <c r="AA475" i="2" a="1"/>
  <c r="AA475" i="2" s="1"/>
  <c r="AA445" i="2" a="1"/>
  <c r="AA445" i="2" s="1"/>
  <c r="AA485" i="2" a="1"/>
  <c r="AA485" i="2" s="1"/>
  <c r="AA460" i="2" a="1"/>
  <c r="AA460" i="2" s="1"/>
  <c r="AA447" i="2" a="1"/>
  <c r="AA447" i="2" s="1"/>
  <c r="AA429" i="2" a="1"/>
  <c r="AA429" i="2" s="1"/>
  <c r="AA471" i="2" a="1"/>
  <c r="AA471" i="2" s="1"/>
  <c r="AA470" i="2" a="1"/>
  <c r="AA470" i="2" s="1"/>
  <c r="AA457" i="2" a="1"/>
  <c r="AA457" i="2" s="1"/>
  <c r="AA430" i="2" a="1"/>
  <c r="AA430" i="2" s="1"/>
  <c r="AA463" i="2" a="1"/>
  <c r="AA463" i="2" s="1"/>
  <c r="AA452" i="2" a="1"/>
  <c r="AA452" i="2" s="1"/>
  <c r="AA517" i="2" a="1"/>
  <c r="AA517" i="2" s="1"/>
  <c r="P505" i="2" a="1"/>
  <c r="P505" i="2" s="1"/>
  <c r="T505" i="2" s="1"/>
  <c r="AA431" i="2" a="1"/>
  <c r="AA431" i="2" s="1"/>
  <c r="AA421" i="2" a="1"/>
  <c r="AA421" i="2" s="1"/>
  <c r="AA413" i="2" a="1"/>
  <c r="AA413" i="2" s="1"/>
  <c r="AA405" i="2" a="1"/>
  <c r="AA405" i="2" s="1"/>
  <c r="AA397" i="2" a="1"/>
  <c r="AA397" i="2" s="1"/>
  <c r="AA486" i="2" a="1"/>
  <c r="AA486" i="2" s="1"/>
  <c r="P527" i="2" a="1"/>
  <c r="P527" i="2" s="1"/>
  <c r="T527" i="2" s="1"/>
  <c r="AA462" i="2" a="1"/>
  <c r="AA462" i="2" s="1"/>
  <c r="P460" i="2" a="1"/>
  <c r="P460" i="2" s="1"/>
  <c r="AA459" i="2" a="1"/>
  <c r="AA459" i="2" s="1"/>
  <c r="AA466" i="2" a="1"/>
  <c r="AA466" i="2" s="1"/>
  <c r="AA565" i="2" a="1"/>
  <c r="AA565" i="2" s="1"/>
  <c r="AA465" i="2" a="1"/>
  <c r="AA465" i="2" s="1"/>
  <c r="AA461" i="2" a="1"/>
  <c r="AA461" i="2" s="1"/>
  <c r="AA550" i="2" a="1"/>
  <c r="AA550" i="2" s="1"/>
  <c r="P459" i="2" a="1"/>
  <c r="P459" i="2" s="1"/>
  <c r="AA458" i="2" a="1"/>
  <c r="AA458" i="2" s="1"/>
  <c r="AA435" i="2" a="1"/>
  <c r="AA435" i="2" s="1"/>
  <c r="AA427" i="2" a="1"/>
  <c r="AA427" i="2" s="1"/>
  <c r="AA417" i="2" a="1"/>
  <c r="AA417" i="2" s="1"/>
  <c r="P462" i="2" a="1"/>
  <c r="P462" i="2" s="1"/>
  <c r="T462" i="2" s="1"/>
  <c r="AA453" i="2" a="1"/>
  <c r="AA453" i="2" s="1"/>
  <c r="AA444" i="2" a="1"/>
  <c r="AA444" i="2" s="1"/>
  <c r="AA441" i="2" a="1"/>
  <c r="AA441" i="2" s="1"/>
  <c r="AA438" i="2" a="1"/>
  <c r="AA438" i="2" s="1"/>
  <c r="AA439" i="2" a="1"/>
  <c r="AA439" i="2" s="1"/>
  <c r="AA420" i="2" a="1"/>
  <c r="AA420" i="2" s="1"/>
  <c r="AA419" i="2" a="1"/>
  <c r="AA419" i="2" s="1"/>
  <c r="P405" i="2" a="1"/>
  <c r="P405" i="2" s="1"/>
  <c r="T405" i="2" s="1"/>
  <c r="AA406" i="2" a="1"/>
  <c r="AA406" i="2" s="1"/>
  <c r="AA392" i="2" a="1"/>
  <c r="AA392" i="2" s="1"/>
  <c r="AA364" i="2" a="1"/>
  <c r="AA364" i="2" s="1"/>
  <c r="AA326" i="2" a="1"/>
  <c r="AA326" i="2" s="1"/>
  <c r="AA325" i="2" a="1"/>
  <c r="AA325" i="2" s="1"/>
  <c r="P488" i="2" a="1"/>
  <c r="P488" i="2" s="1"/>
  <c r="AA442" i="2" a="1"/>
  <c r="AA442" i="2" s="1"/>
  <c r="P438" i="2" a="1"/>
  <c r="P438" i="2" s="1"/>
  <c r="AA434" i="2" a="1"/>
  <c r="AA434" i="2" s="1"/>
  <c r="AA425" i="2" a="1"/>
  <c r="AA425" i="2" s="1"/>
  <c r="AA426" i="2" a="1"/>
  <c r="AA426" i="2" s="1"/>
  <c r="AA424" i="2" a="1"/>
  <c r="AA424" i="2" s="1"/>
  <c r="AA418" i="2" a="1"/>
  <c r="AA418" i="2" s="1"/>
  <c r="AA409" i="2" a="1"/>
  <c r="AA409" i="2" s="1"/>
  <c r="AA403" i="2" a="1"/>
  <c r="AA403" i="2" s="1"/>
  <c r="AA399" i="2" a="1"/>
  <c r="AA399" i="2" s="1"/>
  <c r="AA396" i="2" a="1"/>
  <c r="AA396" i="2" s="1"/>
  <c r="AA388" i="2" a="1"/>
  <c r="AA388" i="2" s="1"/>
  <c r="AA369" i="2" a="1"/>
  <c r="AA369" i="2" s="1"/>
  <c r="P436" i="2" a="1"/>
  <c r="P436" i="2" s="1"/>
  <c r="T436" i="2" s="1"/>
  <c r="AA401" i="2" a="1"/>
  <c r="AA401" i="2" s="1"/>
  <c r="AA384" i="2" a="1"/>
  <c r="AA384" i="2" s="1"/>
  <c r="AA378" i="2" a="1"/>
  <c r="AA378" i="2" s="1"/>
  <c r="AA365" i="2" a="1"/>
  <c r="AA365" i="2" s="1"/>
  <c r="AA479" i="2" a="1"/>
  <c r="AA479" i="2" s="1"/>
  <c r="AA456" i="2" a="1"/>
  <c r="AA456" i="2" s="1"/>
  <c r="P435" i="2" a="1"/>
  <c r="P435" i="2" s="1"/>
  <c r="P428" i="2" a="1"/>
  <c r="P428" i="2" s="1"/>
  <c r="T428" i="2" s="1"/>
  <c r="AA393" i="2" a="1"/>
  <c r="AA393" i="2" s="1"/>
  <c r="AA374" i="2" a="1"/>
  <c r="AA374" i="2" s="1"/>
  <c r="P444" i="2" a="1"/>
  <c r="P444" i="2" s="1"/>
  <c r="T444" i="2" s="1"/>
  <c r="AA412" i="2" a="1"/>
  <c r="AA412" i="2" s="1"/>
  <c r="AA411" i="2" a="1"/>
  <c r="AA411" i="2" s="1"/>
  <c r="AA408" i="2" a="1"/>
  <c r="AA408" i="2" s="1"/>
  <c r="AA389" i="2" a="1"/>
  <c r="AA389" i="2" s="1"/>
  <c r="AA370" i="2" a="1"/>
  <c r="AA370" i="2" s="1"/>
  <c r="AA343" i="2" a="1"/>
  <c r="AA343" i="2" s="1"/>
  <c r="AA385" i="2" a="1"/>
  <c r="AA385" i="2" s="1"/>
  <c r="AA379" i="2" a="1"/>
  <c r="AA379" i="2" s="1"/>
  <c r="AA366" i="2" a="1"/>
  <c r="AA366" i="2" s="1"/>
  <c r="AA337" i="2" a="1"/>
  <c r="AA337" i="2" s="1"/>
  <c r="AA518" i="2" a="1"/>
  <c r="AA518" i="2" s="1"/>
  <c r="AA464" i="2" a="1"/>
  <c r="AA464" i="2" s="1"/>
  <c r="P456" i="2" a="1"/>
  <c r="P456" i="2" s="1"/>
  <c r="T456" i="2" s="1"/>
  <c r="AA422" i="2" a="1"/>
  <c r="AA422" i="2" s="1"/>
  <c r="AA394" i="2" a="1"/>
  <c r="AA394" i="2" s="1"/>
  <c r="P391" i="2" a="1"/>
  <c r="P391" i="2" s="1"/>
  <c r="T391" i="2" s="1"/>
  <c r="AA416" i="2" a="1"/>
  <c r="AA416" i="2" s="1"/>
  <c r="AA415" i="2" a="1"/>
  <c r="AA415" i="2" s="1"/>
  <c r="AA400" i="2" a="1"/>
  <c r="AA400" i="2" s="1"/>
  <c r="AA390" i="2" a="1"/>
  <c r="AA390" i="2" s="1"/>
  <c r="AA407" i="2" a="1"/>
  <c r="AA407" i="2" s="1"/>
  <c r="AA402" i="2" a="1"/>
  <c r="AA402" i="2" s="1"/>
  <c r="AA380" i="2" a="1"/>
  <c r="AA380" i="2" s="1"/>
  <c r="P377" i="2" a="1"/>
  <c r="P377" i="2" s="1"/>
  <c r="AA371" i="2" a="1"/>
  <c r="AA371" i="2" s="1"/>
  <c r="AA410" i="2" a="1"/>
  <c r="AA410" i="2" s="1"/>
  <c r="P401" i="2" a="1"/>
  <c r="P401" i="2" s="1"/>
  <c r="T401" i="2" s="1"/>
  <c r="AA414" i="2" a="1"/>
  <c r="AA414" i="2" s="1"/>
  <c r="AA398" i="2" a="1"/>
  <c r="AA398" i="2" s="1"/>
  <c r="AA395" i="2" a="1"/>
  <c r="AA395" i="2" s="1"/>
  <c r="AA391" i="2" a="1"/>
  <c r="AA391" i="2" s="1"/>
  <c r="AA376" i="2" a="1"/>
  <c r="AA376" i="2" s="1"/>
  <c r="AA436" i="2" a="1"/>
  <c r="AA436" i="2" s="1"/>
  <c r="AA428" i="2" a="1"/>
  <c r="AA428" i="2" s="1"/>
  <c r="AA381" i="2" a="1"/>
  <c r="AA381" i="2" s="1"/>
  <c r="AA372" i="2" a="1"/>
  <c r="AA372" i="2" s="1"/>
  <c r="AA363" i="2" a="1"/>
  <c r="AA363" i="2" s="1"/>
  <c r="AA432" i="2" a="1"/>
  <c r="AA432" i="2" s="1"/>
  <c r="AA353" i="2" a="1"/>
  <c r="AA353" i="2" s="1"/>
  <c r="AA341" i="2" a="1"/>
  <c r="AA341" i="2" s="1"/>
  <c r="AA377" i="2" a="1"/>
  <c r="AA377" i="2" s="1"/>
  <c r="AA367" i="2" a="1"/>
  <c r="AA367" i="2" s="1"/>
  <c r="AA276" i="2" a="1"/>
  <c r="AA276" i="2" s="1"/>
  <c r="AA383" i="2" a="1"/>
  <c r="AA383" i="2" s="1"/>
  <c r="AA345" i="2" a="1"/>
  <c r="AA345" i="2" s="1"/>
  <c r="AA338" i="2" a="1"/>
  <c r="AA338" i="2" s="1"/>
  <c r="AA329" i="2" a="1"/>
  <c r="AA329" i="2" s="1"/>
  <c r="AA323" i="2" a="1"/>
  <c r="AA323" i="2" s="1"/>
  <c r="AA307" i="2" a="1"/>
  <c r="AA307" i="2" s="1"/>
  <c r="AA306" i="2" a="1"/>
  <c r="AA306" i="2" s="1"/>
  <c r="AA305" i="2" a="1"/>
  <c r="AA305" i="2" s="1"/>
  <c r="AA271" i="2" a="1"/>
  <c r="AA271" i="2" s="1"/>
  <c r="AA360" i="2" a="1"/>
  <c r="AA360" i="2" s="1"/>
  <c r="P358" i="2" a="1"/>
  <c r="P358" i="2" s="1"/>
  <c r="AA347" i="2" a="1"/>
  <c r="AA347" i="2" s="1"/>
  <c r="AA320" i="2" a="1"/>
  <c r="AA320" i="2" s="1"/>
  <c r="AA356" i="2" a="1"/>
  <c r="AA356" i="2" s="1"/>
  <c r="AA308" i="2" a="1"/>
  <c r="AA308" i="2" s="1"/>
  <c r="AA433" i="2" a="1"/>
  <c r="AA433" i="2" s="1"/>
  <c r="AA336" i="2" a="1"/>
  <c r="AA336" i="2" s="1"/>
  <c r="AA334" i="2" a="1"/>
  <c r="AA334" i="2" s="1"/>
  <c r="P328" i="2" a="1"/>
  <c r="P328" i="2" s="1"/>
  <c r="AA349" i="2" a="1"/>
  <c r="AA349" i="2" s="1"/>
  <c r="AA340" i="2" a="1"/>
  <c r="AA340" i="2" s="1"/>
  <c r="AA309" i="2" a="1"/>
  <c r="AA309" i="2" s="1"/>
  <c r="AA368" i="2" a="1"/>
  <c r="AA368" i="2" s="1"/>
  <c r="AA332" i="2" a="1"/>
  <c r="AA332" i="2" s="1"/>
  <c r="AA362" i="2" a="1"/>
  <c r="AA362" i="2" s="1"/>
  <c r="AA355" i="2" a="1"/>
  <c r="AA355" i="2" s="1"/>
  <c r="P353" i="2" a="1"/>
  <c r="P353" i="2" s="1"/>
  <c r="T353" i="2" s="1"/>
  <c r="AA344" i="2" a="1"/>
  <c r="AA344" i="2" s="1"/>
  <c r="AA318" i="2" a="1"/>
  <c r="AA318" i="2" s="1"/>
  <c r="AA315" i="2" a="1"/>
  <c r="AA315" i="2" s="1"/>
  <c r="AA321" i="2" a="1"/>
  <c r="AA321" i="2" s="1"/>
  <c r="P384" i="2" a="1"/>
  <c r="P384" i="2" s="1"/>
  <c r="T384" i="2" s="1"/>
  <c r="AA346" i="2" a="1"/>
  <c r="AA346" i="2" s="1"/>
  <c r="P343" i="2" a="1"/>
  <c r="P343" i="2" s="1"/>
  <c r="T343" i="2" s="1"/>
  <c r="AA342" i="2" a="1"/>
  <c r="AA342" i="2" s="1"/>
  <c r="AA375" i="2" a="1"/>
  <c r="AA375" i="2" s="1"/>
  <c r="P360" i="2" a="1"/>
  <c r="P360" i="2" s="1"/>
  <c r="T360" i="2" s="1"/>
  <c r="AA358" i="2" a="1"/>
  <c r="AA358" i="2" s="1"/>
  <c r="P356" i="2" a="1"/>
  <c r="P356" i="2" s="1"/>
  <c r="T356" i="2" s="1"/>
  <c r="AA348" i="2" a="1"/>
  <c r="AA348" i="2" s="1"/>
  <c r="P329" i="2" a="1"/>
  <c r="P329" i="2" s="1"/>
  <c r="T329" i="2" s="1"/>
  <c r="P363" i="2" a="1"/>
  <c r="P363" i="2" s="1"/>
  <c r="T363" i="2" s="1"/>
  <c r="AA354" i="2" a="1"/>
  <c r="AA354" i="2" s="1"/>
  <c r="AA339" i="2" a="1"/>
  <c r="AA339" i="2" s="1"/>
  <c r="AA328" i="2" a="1"/>
  <c r="AA328" i="2" s="1"/>
  <c r="AA312" i="2" a="1"/>
  <c r="AA312" i="2" s="1"/>
  <c r="AA404" i="2" a="1"/>
  <c r="AA404" i="2" s="1"/>
  <c r="AA361" i="2" a="1"/>
  <c r="AA361" i="2" s="1"/>
  <c r="P338" i="2" a="1"/>
  <c r="P338" i="2" s="1"/>
  <c r="T338" i="2" s="1"/>
  <c r="AA386" i="2" a="1"/>
  <c r="AA386" i="2" s="1"/>
  <c r="AA333" i="2" a="1"/>
  <c r="AA333" i="2" s="1"/>
  <c r="AA316" i="2" a="1"/>
  <c r="AA316" i="2" s="1"/>
  <c r="P340" i="2" a="1"/>
  <c r="P340" i="2" s="1"/>
  <c r="T340" i="2" s="1"/>
  <c r="AA313" i="2" a="1"/>
  <c r="AA313" i="2" s="1"/>
  <c r="AA292" i="2" a="1"/>
  <c r="AA292" i="2" s="1"/>
  <c r="AA273" i="2" a="1"/>
  <c r="AA273" i="2" s="1"/>
  <c r="AA289" i="2" a="1"/>
  <c r="AA289" i="2" s="1"/>
  <c r="AA280" i="2" a="1"/>
  <c r="AA280" i="2" s="1"/>
  <c r="AA254" i="2" a="1"/>
  <c r="AA254" i="2" s="1"/>
  <c r="AA238" i="2" a="1"/>
  <c r="AA238" i="2" s="1"/>
  <c r="AA319" i="2" a="1"/>
  <c r="AA319" i="2" s="1"/>
  <c r="P315" i="2" a="1"/>
  <c r="P315" i="2" s="1"/>
  <c r="AA298" i="2" a="1"/>
  <c r="AA298" i="2" s="1"/>
  <c r="AA284" i="2" a="1"/>
  <c r="AA284" i="2" s="1"/>
  <c r="AA282" i="2" a="1"/>
  <c r="AA282" i="2" s="1"/>
  <c r="AA255" i="2" a="1"/>
  <c r="AA255" i="2" s="1"/>
  <c r="AA239" i="2" a="1"/>
  <c r="AA239" i="2" s="1"/>
  <c r="AA294" i="2" a="1"/>
  <c r="AA294" i="2" s="1"/>
  <c r="AA286" i="2" a="1"/>
  <c r="AA286" i="2" s="1"/>
  <c r="AA268" i="2" a="1"/>
  <c r="AA268" i="2" s="1"/>
  <c r="AA256" i="2" a="1"/>
  <c r="AA256" i="2" s="1"/>
  <c r="AA322" i="2" a="1"/>
  <c r="AA322" i="2" s="1"/>
  <c r="AA304" i="2" a="1"/>
  <c r="AA304" i="2" s="1"/>
  <c r="AA303" i="2" a="1"/>
  <c r="AA303" i="2" s="1"/>
  <c r="AA302" i="2" a="1"/>
  <c r="AA302" i="2" s="1"/>
  <c r="AA291" i="2" a="1"/>
  <c r="AA291" i="2" s="1"/>
  <c r="AA260" i="2" a="1"/>
  <c r="AA260" i="2" s="1"/>
  <c r="AA297" i="2" a="1"/>
  <c r="AA297" i="2" s="1"/>
  <c r="AA272" i="2" a="1"/>
  <c r="AA272" i="2" s="1"/>
  <c r="P271" i="2" a="1"/>
  <c r="P271" i="2" s="1"/>
  <c r="AA243" i="2" a="1"/>
  <c r="AA243" i="2" s="1"/>
  <c r="AA317" i="2" a="1"/>
  <c r="AA317" i="2" s="1"/>
  <c r="AA301" i="2" a="1"/>
  <c r="AA301" i="2" s="1"/>
  <c r="AA288" i="2" a="1"/>
  <c r="AA288" i="2" s="1"/>
  <c r="AA277" i="2" a="1"/>
  <c r="AA277" i="2" s="1"/>
  <c r="AA266" i="2" a="1"/>
  <c r="AA266" i="2" s="1"/>
  <c r="AA314" i="2" a="1"/>
  <c r="AA314" i="2" s="1"/>
  <c r="AA293" i="2" a="1"/>
  <c r="AA293" i="2" s="1"/>
  <c r="AA274" i="2" a="1"/>
  <c r="AA274" i="2" s="1"/>
  <c r="AA262" i="2" a="1"/>
  <c r="AA262" i="2" s="1"/>
  <c r="AA246" i="2" a="1"/>
  <c r="AA246" i="2" s="1"/>
  <c r="P320" i="2" a="1"/>
  <c r="P320" i="2" s="1"/>
  <c r="T320" i="2" s="1"/>
  <c r="AA310" i="2" a="1"/>
  <c r="AA310" i="2" s="1"/>
  <c r="AA296" i="2" a="1"/>
  <c r="AA296" i="2" s="1"/>
  <c r="AA285" i="2" a="1"/>
  <c r="AA285" i="2" s="1"/>
  <c r="AA283" i="2" a="1"/>
  <c r="AA283" i="2" s="1"/>
  <c r="AA281" i="2" a="1"/>
  <c r="AA281" i="2" s="1"/>
  <c r="AA247" i="2" a="1"/>
  <c r="AA247" i="2" s="1"/>
  <c r="P323" i="2" a="1"/>
  <c r="P323" i="2" s="1"/>
  <c r="AA311" i="2" a="1"/>
  <c r="AA311" i="2" s="1"/>
  <c r="AA300" i="2" a="1"/>
  <c r="AA300" i="2" s="1"/>
  <c r="AA290" i="2" a="1"/>
  <c r="AA290" i="2" s="1"/>
  <c r="AA269" i="2" a="1"/>
  <c r="AA269" i="2" s="1"/>
  <c r="AA248" i="2" a="1"/>
  <c r="AA248" i="2" s="1"/>
  <c r="AA218" i="2" a="1"/>
  <c r="AA218" i="2" s="1"/>
  <c r="P314" i="2" a="1"/>
  <c r="P314" i="2" s="1"/>
  <c r="T314" i="2" s="1"/>
  <c r="AA287" i="2" a="1"/>
  <c r="AA287" i="2" s="1"/>
  <c r="AA267" i="2" a="1"/>
  <c r="AA267" i="2" s="1"/>
  <c r="AA250" i="2" a="1"/>
  <c r="AA250" i="2" s="1"/>
  <c r="AA220" i="2" a="1"/>
  <c r="AA220" i="2" s="1"/>
  <c r="AA193" i="2" a="1"/>
  <c r="AA193" i="2" s="1"/>
  <c r="AA299" i="2" a="1"/>
  <c r="AA299" i="2" s="1"/>
  <c r="AA295" i="2" a="1"/>
  <c r="AA295" i="2" s="1"/>
  <c r="AA264" i="2" a="1"/>
  <c r="AA264" i="2" s="1"/>
  <c r="AA251" i="2" a="1"/>
  <c r="AA251" i="2" s="1"/>
  <c r="AA242" i="2" a="1"/>
  <c r="AA242" i="2" s="1"/>
  <c r="AA241" i="2" a="1"/>
  <c r="AA241" i="2" s="1"/>
  <c r="AA171" i="2" a="1"/>
  <c r="AA171" i="2" s="1"/>
  <c r="AA162" i="2" a="1"/>
  <c r="AA162" i="2" s="1"/>
  <c r="AA152" i="2" a="1"/>
  <c r="AA152" i="2" s="1"/>
  <c r="AA138" i="2" a="1"/>
  <c r="AA138" i="2" s="1"/>
  <c r="AA135" i="2" a="1"/>
  <c r="AA135" i="2" s="1"/>
  <c r="AA134" i="2" a="1"/>
  <c r="AA134" i="2" s="1"/>
  <c r="AA133" i="2" a="1"/>
  <c r="AA133" i="2" s="1"/>
  <c r="AA113" i="2" a="1"/>
  <c r="AA113" i="2" s="1"/>
  <c r="AA112" i="2" a="1"/>
  <c r="AA112" i="2" s="1"/>
  <c r="AA103" i="2" a="1"/>
  <c r="AA103" i="2" s="1"/>
  <c r="AA95" i="2" a="1"/>
  <c r="AA95" i="2" s="1"/>
  <c r="P258" i="2" a="1"/>
  <c r="P258" i="2" s="1"/>
  <c r="T258" i="2" s="1"/>
  <c r="P256" i="2" a="1"/>
  <c r="P256" i="2" s="1"/>
  <c r="T256" i="2" s="1"/>
  <c r="P228" i="2" a="1"/>
  <c r="P228" i="2" s="1"/>
  <c r="AA227" i="2" a="1"/>
  <c r="AA227" i="2" s="1"/>
  <c r="AA222" i="2" a="1"/>
  <c r="AA222" i="2" s="1"/>
  <c r="AA181" i="2" a="1"/>
  <c r="AA181" i="2" s="1"/>
  <c r="AA275" i="2" a="1"/>
  <c r="AA275" i="2" s="1"/>
  <c r="P269" i="2" a="1"/>
  <c r="P269" i="2" s="1"/>
  <c r="AA240" i="2" a="1"/>
  <c r="AA240" i="2" s="1"/>
  <c r="AA217" i="2" a="1"/>
  <c r="AA217" i="2" s="1"/>
  <c r="AA202" i="2" a="1"/>
  <c r="AA202" i="2" s="1"/>
  <c r="AA172" i="2" a="1"/>
  <c r="AA172" i="2" s="1"/>
  <c r="AA154" i="2" a="1"/>
  <c r="AA154" i="2" s="1"/>
  <c r="AA145" i="2" a="1"/>
  <c r="AA145" i="2" s="1"/>
  <c r="AA265" i="2" a="1"/>
  <c r="AA265" i="2" s="1"/>
  <c r="AA225" i="2" a="1"/>
  <c r="AA225" i="2" s="1"/>
  <c r="AA174" i="2" a="1"/>
  <c r="AA174" i="2" s="1"/>
  <c r="AA165" i="2" a="1"/>
  <c r="AA165" i="2" s="1"/>
  <c r="AA156" i="2" a="1"/>
  <c r="AA156" i="2" s="1"/>
  <c r="AA249" i="2" a="1"/>
  <c r="AA249" i="2" s="1"/>
  <c r="P241" i="2" a="1"/>
  <c r="P241" i="2" s="1"/>
  <c r="T241" i="2" s="1"/>
  <c r="AA228" i="2" a="1"/>
  <c r="AA228" i="2" s="1"/>
  <c r="AA223" i="2" a="1"/>
  <c r="AA223" i="2" s="1"/>
  <c r="P198" i="2" a="1"/>
  <c r="P198" i="2" s="1"/>
  <c r="AA192" i="2" a="1"/>
  <c r="AA192" i="2" s="1"/>
  <c r="AA190" i="2" a="1"/>
  <c r="AA190" i="2" s="1"/>
  <c r="AA189" i="2" a="1"/>
  <c r="AA189" i="2" s="1"/>
  <c r="AA184" i="2" a="1"/>
  <c r="AA184" i="2" s="1"/>
  <c r="AA175" i="2" a="1"/>
  <c r="AA175" i="2" s="1"/>
  <c r="AA270" i="2" a="1"/>
  <c r="AA270" i="2" s="1"/>
  <c r="P265" i="2" a="1"/>
  <c r="P265" i="2" s="1"/>
  <c r="T265" i="2" s="1"/>
  <c r="P199" i="2" a="1"/>
  <c r="P199" i="2" s="1"/>
  <c r="AA195" i="2" a="1"/>
  <c r="AA195" i="2" s="1"/>
  <c r="AA185" i="2" a="1"/>
  <c r="AA185" i="2" s="1"/>
  <c r="P227" i="2" a="1"/>
  <c r="P227" i="2" s="1"/>
  <c r="AA221" i="2" a="1"/>
  <c r="AA221" i="2" s="1"/>
  <c r="AA177" i="2" a="1"/>
  <c r="AA177" i="2" s="1"/>
  <c r="AA168" i="2" a="1"/>
  <c r="AA168" i="2" s="1"/>
  <c r="AA252" i="2" a="1"/>
  <c r="AA252" i="2" s="1"/>
  <c r="AA245" i="2" a="1"/>
  <c r="AA245" i="2" s="1"/>
  <c r="AA244" i="2" a="1"/>
  <c r="AA244" i="2" s="1"/>
  <c r="AA196" i="2" a="1"/>
  <c r="AA196" i="2" s="1"/>
  <c r="AA169" i="2" a="1"/>
  <c r="AA169" i="2" s="1"/>
  <c r="AA226" i="2" a="1"/>
  <c r="AA226" i="2" s="1"/>
  <c r="AA198" i="2" a="1"/>
  <c r="AA198" i="2" s="1"/>
  <c r="AA178" i="2" a="1"/>
  <c r="AA178" i="2" s="1"/>
  <c r="AA258" i="2" a="1"/>
  <c r="AA258" i="2" s="1"/>
  <c r="AA253" i="2" a="1"/>
  <c r="AA253" i="2" s="1"/>
  <c r="AA219" i="2" a="1"/>
  <c r="AA219" i="2" s="1"/>
  <c r="AA179" i="2" a="1"/>
  <c r="AA179" i="2" s="1"/>
  <c r="P266" i="2" a="1"/>
  <c r="P266" i="2" s="1"/>
  <c r="P161" i="2" a="1"/>
  <c r="P161" i="2" s="1"/>
  <c r="T161" i="2" s="1"/>
  <c r="P154" i="2" a="1"/>
  <c r="P154" i="2" s="1"/>
  <c r="T154" i="2" s="1"/>
  <c r="AA173" i="2" a="1"/>
  <c r="AA173" i="2" s="1"/>
  <c r="AA163" i="2" a="1"/>
  <c r="AA163" i="2" s="1"/>
  <c r="AA146" i="2" a="1"/>
  <c r="AA146" i="2" s="1"/>
  <c r="AA142" i="2" a="1"/>
  <c r="AA142" i="2" s="1"/>
  <c r="AA104" i="2" a="1"/>
  <c r="AA104" i="2" s="1"/>
  <c r="AA199" i="2" a="1"/>
  <c r="AA199" i="2" s="1"/>
  <c r="AA155" i="2" a="1"/>
  <c r="AA155" i="2" s="1"/>
  <c r="AA187" i="2" a="1"/>
  <c r="AA187" i="2" s="1"/>
  <c r="AA170" i="2" a="1"/>
  <c r="AA170" i="2" s="1"/>
  <c r="P164" i="2" a="1"/>
  <c r="P164" i="2" s="1"/>
  <c r="T164" i="2" s="1"/>
  <c r="AA180" i="2" a="1"/>
  <c r="AA180" i="2" s="1"/>
  <c r="AA158" i="2" a="1"/>
  <c r="AA158" i="2" s="1"/>
  <c r="AA151" i="2" a="1"/>
  <c r="AA151" i="2" s="1"/>
  <c r="AA148" i="2" a="1"/>
  <c r="AA148" i="2" s="1"/>
  <c r="AA139" i="2" a="1"/>
  <c r="AA139" i="2" s="1"/>
  <c r="AA105" i="2" a="1"/>
  <c r="AA105" i="2" s="1"/>
  <c r="AA161" i="2" a="1"/>
  <c r="AA161" i="2" s="1"/>
  <c r="AA201" i="2" a="1"/>
  <c r="AA201" i="2" s="1"/>
  <c r="P174" i="2" a="1"/>
  <c r="P174" i="2" s="1"/>
  <c r="P173" i="2" a="1"/>
  <c r="P173" i="2" s="1"/>
  <c r="AA136" i="2" a="1"/>
  <c r="AA136" i="2" s="1"/>
  <c r="AA130" i="2" a="1"/>
  <c r="AA130" i="2" s="1"/>
  <c r="AA126" i="2" a="1"/>
  <c r="AA126" i="2" s="1"/>
  <c r="AA109" i="2" a="1"/>
  <c r="AA109" i="2" s="1"/>
  <c r="AA97" i="2" a="1"/>
  <c r="AA97" i="2" s="1"/>
  <c r="AA224" i="2" a="1"/>
  <c r="AA224" i="2" s="1"/>
  <c r="AA167" i="2" a="1"/>
  <c r="AA167" i="2" s="1"/>
  <c r="AA143" i="2" a="1"/>
  <c r="AA143" i="2" s="1"/>
  <c r="AA157" i="2" a="1"/>
  <c r="AA157" i="2" s="1"/>
  <c r="AA147" i="2" a="1"/>
  <c r="AA147" i="2" s="1"/>
  <c r="AA140" i="2" a="1"/>
  <c r="AA140" i="2" s="1"/>
  <c r="AA176" i="2" a="1"/>
  <c r="AA176" i="2" s="1"/>
  <c r="AA166" i="2" a="1"/>
  <c r="AA166" i="2" s="1"/>
  <c r="AA150" i="2" a="1"/>
  <c r="AA150" i="2" s="1"/>
  <c r="AA122" i="2" a="1"/>
  <c r="AA122" i="2" s="1"/>
  <c r="AA102" i="2" a="1"/>
  <c r="AA102" i="2" s="1"/>
  <c r="AA98" i="2" a="1"/>
  <c r="AA98" i="2" s="1"/>
  <c r="AA67" i="2" a="1"/>
  <c r="AA67" i="2" s="1"/>
  <c r="P171" i="2" a="1"/>
  <c r="P171" i="2" s="1"/>
  <c r="T171" i="2" s="1"/>
  <c r="AA128" i="2" a="1"/>
  <c r="AA128" i="2" s="1"/>
  <c r="AA99" i="2" a="1"/>
  <c r="AA99" i="2" s="1"/>
  <c r="AA93" i="2" a="1"/>
  <c r="AA93" i="2" s="1"/>
  <c r="AA91" i="2" a="1"/>
  <c r="AA91" i="2" s="1"/>
  <c r="AA88" i="2" a="1"/>
  <c r="AA88" i="2" s="1"/>
  <c r="AA84" i="2" a="1"/>
  <c r="AA84" i="2" s="1"/>
  <c r="AA80" i="2" a="1"/>
  <c r="AA80" i="2" s="1"/>
  <c r="AA69" i="2" a="1"/>
  <c r="AA69" i="2" s="1"/>
  <c r="AA121" i="2" a="1"/>
  <c r="AA121" i="2" s="1"/>
  <c r="P139" i="2" a="1"/>
  <c r="P139" i="2" s="1"/>
  <c r="T139" i="2" s="1"/>
  <c r="AA107" i="2" a="1"/>
  <c r="AA107" i="2" s="1"/>
  <c r="P100" i="2" a="1"/>
  <c r="P100" i="2" s="1"/>
  <c r="T100" i="2" s="1"/>
  <c r="AA61" i="2" a="1"/>
  <c r="AA61" i="2" s="1"/>
  <c r="AA81" i="2" a="1"/>
  <c r="AA81" i="2" s="1"/>
  <c r="AA123" i="2" a="1"/>
  <c r="AA123" i="2" s="1"/>
  <c r="P98" i="2" a="1"/>
  <c r="P98" i="2" s="1"/>
  <c r="T98" i="2" s="1"/>
  <c r="AA85" i="2" a="1"/>
  <c r="AA85" i="2" s="1"/>
  <c r="P162" i="2" a="1"/>
  <c r="P162" i="2" s="1"/>
  <c r="AA160" i="2" a="1"/>
  <c r="AA160" i="2" s="1"/>
  <c r="AA116" i="2" a="1"/>
  <c r="AA116" i="2" s="1"/>
  <c r="AA101" i="2" a="1"/>
  <c r="AA101" i="2" s="1"/>
  <c r="AA89" i="2" a="1"/>
  <c r="AA89" i="2" s="1"/>
  <c r="AA120" i="2" a="1"/>
  <c r="AA120" i="2" s="1"/>
  <c r="P124" i="2" a="1"/>
  <c r="P124" i="2" s="1"/>
  <c r="AA66" i="2" a="1"/>
  <c r="AA66" i="2" s="1"/>
  <c r="AA62" i="2" a="1"/>
  <c r="AA62" i="2" s="1"/>
  <c r="AA127" i="2" a="1"/>
  <c r="AA127" i="2" s="1"/>
  <c r="AA125" i="2" a="1"/>
  <c r="AA125" i="2" s="1"/>
  <c r="AA58" i="2" a="1"/>
  <c r="AA58" i="2" s="1"/>
  <c r="AA45" i="2" a="1"/>
  <c r="AA45" i="2" s="1"/>
  <c r="AA43" i="2" a="1"/>
  <c r="AA43" i="2" s="1"/>
  <c r="P151" i="2" a="1"/>
  <c r="P151" i="2" s="1"/>
  <c r="T151" i="2" s="1"/>
  <c r="AA71" i="2" a="1"/>
  <c r="AA71" i="2" s="1"/>
  <c r="P104" i="2" a="1"/>
  <c r="P104" i="2" s="1"/>
  <c r="P158" i="2" a="1"/>
  <c r="P158" i="2" s="1"/>
  <c r="T158" i="2" s="1"/>
  <c r="P148" i="2" a="1"/>
  <c r="P148" i="2" s="1"/>
  <c r="T148" i="2" s="1"/>
  <c r="AA100" i="2" a="1"/>
  <c r="AA100" i="2" s="1"/>
  <c r="AA141" i="2" a="1"/>
  <c r="AA141" i="2" s="1"/>
  <c r="AA129" i="2" a="1"/>
  <c r="AA129" i="2" s="1"/>
  <c r="AA115" i="2" a="1"/>
  <c r="AA115" i="2" s="1"/>
  <c r="AA96" i="2" a="1"/>
  <c r="AA96" i="2" s="1"/>
  <c r="AA76" i="2" a="1"/>
  <c r="AA76" i="2" s="1"/>
  <c r="AA74" i="2" a="1"/>
  <c r="AA74" i="2" s="1"/>
  <c r="AA59" i="2" a="1"/>
  <c r="AA59" i="2" s="1"/>
  <c r="AA47" i="2" a="1"/>
  <c r="AA47" i="2" s="1"/>
  <c r="AA149" i="2" a="1"/>
  <c r="AA149" i="2" s="1"/>
  <c r="AA132" i="2" a="1"/>
  <c r="AA132" i="2" s="1"/>
  <c r="P225" i="2" a="1"/>
  <c r="P225" i="2" s="1"/>
  <c r="P133" i="2" a="1"/>
  <c r="P133" i="2" s="1"/>
  <c r="T133" i="2" s="1"/>
  <c r="AA164" i="2" a="1"/>
  <c r="AA164" i="2" s="1"/>
  <c r="AA159" i="2" a="1"/>
  <c r="AA159" i="2" s="1"/>
  <c r="AA144" i="2" a="1"/>
  <c r="AA144" i="2" s="1"/>
  <c r="AA77" i="2" a="1"/>
  <c r="AA77" i="2" s="1"/>
  <c r="AA153" i="2" a="1"/>
  <c r="AA153" i="2" s="1"/>
  <c r="AA137" i="2" a="1"/>
  <c r="AA137" i="2" s="1"/>
  <c r="AA119" i="2" a="1"/>
  <c r="AA119" i="2" s="1"/>
  <c r="P70" i="2" a="1"/>
  <c r="P70" i="2" s="1"/>
  <c r="T70" i="2" s="1"/>
  <c r="AA110" i="2" a="1"/>
  <c r="AA110" i="2" s="1"/>
  <c r="AA70" i="2" a="1"/>
  <c r="AA70" i="2" s="1"/>
  <c r="T82" i="2"/>
  <c r="V87" i="2"/>
  <c r="W87" i="2" s="1"/>
  <c r="AK87" i="2"/>
  <c r="M87" i="2"/>
  <c r="L87" i="2"/>
  <c r="P135" i="2" a="1"/>
  <c r="P135" i="2" s="1"/>
  <c r="W49" i="2"/>
  <c r="O77" i="2" a="1"/>
  <c r="O77" i="2" s="1"/>
  <c r="P47" i="2" a="1"/>
  <c r="P47" i="2" s="1"/>
  <c r="T47" i="2" s="1"/>
  <c r="O58" i="2" a="1"/>
  <c r="O58" i="2" s="1"/>
  <c r="P63" i="2" a="1"/>
  <c r="P63" i="2" s="1"/>
  <c r="T63" i="2" s="1"/>
  <c r="P64" i="2" a="1"/>
  <c r="P64" i="2" s="1"/>
  <c r="T68" i="2"/>
  <c r="M68" i="2"/>
  <c r="V68" i="2"/>
  <c r="W68" i="2" s="1"/>
  <c r="AA73" i="2" a="1"/>
  <c r="AA73" i="2" s="1"/>
  <c r="P77" i="2" a="1"/>
  <c r="P77" i="2" s="1"/>
  <c r="Z83" i="2" a="1"/>
  <c r="Z83" i="2" s="1"/>
  <c r="L93" i="2"/>
  <c r="V93" i="2"/>
  <c r="W93" i="2" s="1"/>
  <c r="M93" i="2"/>
  <c r="M121" i="2"/>
  <c r="L121" i="2"/>
  <c r="V121" i="2"/>
  <c r="W121" i="2" s="1"/>
  <c r="O61" i="2" a="1"/>
  <c r="O61" i="2" s="1"/>
  <c r="S61" i="2" s="1"/>
  <c r="P50" i="2" a="1"/>
  <c r="P50" i="2" s="1"/>
  <c r="T50" i="2" s="1"/>
  <c r="L51" i="2"/>
  <c r="S43" i="2"/>
  <c r="AT8" i="4" s="1"/>
  <c r="S45" i="2"/>
  <c r="O48" i="2" a="1"/>
  <c r="O48" i="2" s="1"/>
  <c r="O55" i="2" a="1"/>
  <c r="O55" i="2" s="1"/>
  <c r="S55" i="2" s="1"/>
  <c r="Z55" i="2" a="1"/>
  <c r="Z55" i="2" s="1"/>
  <c r="O60" i="2" a="1"/>
  <c r="O60" i="2" s="1"/>
  <c r="S60" i="2" s="1"/>
  <c r="Z60" i="2" a="1"/>
  <c r="Z60" i="2" s="1"/>
  <c r="AK85" i="2"/>
  <c r="AK89" i="2"/>
  <c r="P91" i="2" a="1"/>
  <c r="P91" i="2" s="1"/>
  <c r="P93" i="2" a="1"/>
  <c r="P93" i="2" s="1"/>
  <c r="T93" i="2" s="1"/>
  <c r="P95" i="2" a="1"/>
  <c r="P95" i="2" s="1"/>
  <c r="T95" i="2" s="1"/>
  <c r="P99" i="2" a="1"/>
  <c r="P99" i="2" s="1"/>
  <c r="T99" i="2" s="1"/>
  <c r="M101" i="2"/>
  <c r="P102" i="2" a="1"/>
  <c r="P102" i="2" s="1"/>
  <c r="T102" i="2" s="1"/>
  <c r="O110" i="2" a="1"/>
  <c r="O110" i="2" s="1"/>
  <c r="L116" i="2"/>
  <c r="O121" i="2" a="1"/>
  <c r="O121" i="2" s="1"/>
  <c r="P123" i="2" a="1"/>
  <c r="P123" i="2" s="1"/>
  <c r="T123" i="2" s="1"/>
  <c r="O161" i="2" a="1"/>
  <c r="O161" i="2" s="1"/>
  <c r="S161" i="2" s="1"/>
  <c r="L152" i="2"/>
  <c r="S152" i="2"/>
  <c r="V152" i="2"/>
  <c r="W152" i="2" s="1"/>
  <c r="M152" i="2"/>
  <c r="O202" i="2" a="1"/>
  <c r="O202" i="2" s="1"/>
  <c r="S202" i="2" s="1"/>
  <c r="O83" i="2" a="1"/>
  <c r="O83" i="2" s="1"/>
  <c r="S83" i="2" s="1"/>
  <c r="O87" i="2" a="1"/>
  <c r="O87" i="2" s="1"/>
  <c r="S87" i="2" s="1"/>
  <c r="W105" i="2"/>
  <c r="AK128" i="2"/>
  <c r="O134" i="2" a="1"/>
  <c r="O134" i="2" s="1"/>
  <c r="P172" i="2" a="1"/>
  <c r="P172" i="2" s="1"/>
  <c r="O212" i="2" a="1"/>
  <c r="O212" i="2" s="1"/>
  <c r="S212" i="2" s="1"/>
  <c r="AA215" i="2" a="1"/>
  <c r="AA215" i="2" s="1"/>
  <c r="L134" i="2"/>
  <c r="M134" i="2"/>
  <c r="P136" i="2" a="1"/>
  <c r="P136" i="2" s="1"/>
  <c r="T136" i="2" s="1"/>
  <c r="O138" i="2" a="1"/>
  <c r="O138" i="2" s="1"/>
  <c r="P160" i="2" a="1"/>
  <c r="P160" i="2" s="1"/>
  <c r="T160" i="2" s="1"/>
  <c r="O160" i="2" a="1"/>
  <c r="O160" i="2" s="1"/>
  <c r="S160" i="2" s="1"/>
  <c r="P185" i="2" a="1"/>
  <c r="P185" i="2" s="1"/>
  <c r="T185" i="2" s="1"/>
  <c r="O214" i="2" a="1"/>
  <c r="O214" i="2" s="1"/>
  <c r="T51" i="2"/>
  <c r="V85" i="2"/>
  <c r="W85" i="2" s="1"/>
  <c r="V89" i="2"/>
  <c r="W89" i="2" s="1"/>
  <c r="P94" i="2" a="1"/>
  <c r="P94" i="2" s="1"/>
  <c r="T94" i="2" s="1"/>
  <c r="O105" i="2" a="1"/>
  <c r="O105" i="2" s="1"/>
  <c r="S105" i="2" s="1"/>
  <c r="O136" i="2" a="1"/>
  <c r="O136" i="2" s="1"/>
  <c r="S136" i="2" s="1"/>
  <c r="O146" i="2" a="1"/>
  <c r="O146" i="2" s="1"/>
  <c r="O165" i="2" a="1"/>
  <c r="O165" i="2" s="1"/>
  <c r="S165" i="2" s="1"/>
  <c r="O82" i="2" a="1"/>
  <c r="O82" i="2" s="1"/>
  <c r="S82" i="2" s="1"/>
  <c r="O86" i="2" a="1"/>
  <c r="O86" i="2" s="1"/>
  <c r="C81" i="4" s="1"/>
  <c r="O90" i="2" a="1"/>
  <c r="O90" i="2" s="1"/>
  <c r="S90" i="2" s="1"/>
  <c r="O120" i="2" a="1"/>
  <c r="O120" i="2" s="1"/>
  <c r="O137" i="2" a="1"/>
  <c r="O137" i="2" s="1"/>
  <c r="S137" i="2" s="1"/>
  <c r="P138" i="2" a="1"/>
  <c r="P138" i="2" s="1"/>
  <c r="T138" i="2" s="1"/>
  <c r="P146" i="2" a="1"/>
  <c r="P146" i="2" s="1"/>
  <c r="T146" i="2" s="1"/>
  <c r="P150" i="2" a="1"/>
  <c r="P150" i="2" s="1"/>
  <c r="T150" i="2" s="1"/>
  <c r="O150" i="2" a="1"/>
  <c r="O150" i="2" s="1"/>
  <c r="S150" i="2" s="1"/>
  <c r="L172" i="2"/>
  <c r="T172" i="2"/>
  <c r="V172" i="2"/>
  <c r="W172" i="2" s="1"/>
  <c r="M172" i="2"/>
  <c r="L193" i="2"/>
  <c r="V193" i="2"/>
  <c r="W193" i="2" s="1"/>
  <c r="M193" i="2"/>
  <c r="P137" i="2" a="1"/>
  <c r="P137" i="2" s="1"/>
  <c r="T137" i="2" s="1"/>
  <c r="M151" i="2"/>
  <c r="L151" i="2"/>
  <c r="V151" i="2"/>
  <c r="W151" i="2" s="1"/>
  <c r="P231" i="2" a="1"/>
  <c r="P231" i="2" s="1"/>
  <c r="Z1220" i="2" a="1"/>
  <c r="Z1220" i="2" s="1"/>
  <c r="Z1221" i="2" a="1"/>
  <c r="Z1221" i="2" s="1"/>
  <c r="Z1144" i="2" a="1"/>
  <c r="Z1144" i="2" s="1"/>
  <c r="O1221" i="2" a="1"/>
  <c r="O1221" i="2" s="1"/>
  <c r="S1221" i="2" s="1"/>
  <c r="Z1146" i="2" a="1"/>
  <c r="Z1146" i="2" s="1"/>
  <c r="Z1145" i="2" a="1"/>
  <c r="Z1145" i="2" s="1"/>
  <c r="Z1147" i="2" a="1"/>
  <c r="Z1147" i="2" s="1"/>
  <c r="Z1031" i="2" a="1"/>
  <c r="Z1031" i="2" s="1"/>
  <c r="Z1032" i="2" a="1"/>
  <c r="Z1032" i="2" s="1"/>
  <c r="Z931" i="2" a="1"/>
  <c r="Z931" i="2" s="1"/>
  <c r="Z930" i="2" a="1"/>
  <c r="Z930" i="2" s="1"/>
  <c r="Z896" i="2" a="1"/>
  <c r="Z896" i="2" s="1"/>
  <c r="Z932" i="2" a="1"/>
  <c r="Z932" i="2" s="1"/>
  <c r="Z872" i="2" a="1"/>
  <c r="Z872" i="2" s="1"/>
  <c r="Z768" i="2" a="1"/>
  <c r="Z768" i="2" s="1"/>
  <c r="Z769" i="2" a="1"/>
  <c r="Z769" i="2" s="1"/>
  <c r="Z770" i="2" a="1"/>
  <c r="Z770" i="2" s="1"/>
  <c r="Z766" i="2" a="1"/>
  <c r="Z766" i="2" s="1"/>
  <c r="Z767" i="2" a="1"/>
  <c r="Z767" i="2" s="1"/>
  <c r="O767" i="2" a="1"/>
  <c r="O767" i="2" s="1"/>
  <c r="S767" i="2" s="1"/>
  <c r="Z728" i="2" a="1"/>
  <c r="Z728" i="2" s="1"/>
  <c r="Z594" i="2" a="1"/>
  <c r="Z594" i="2" s="1"/>
  <c r="Z595" i="2" a="1"/>
  <c r="Z595" i="2" s="1"/>
  <c r="Z593" i="2" a="1"/>
  <c r="Z593" i="2" s="1"/>
  <c r="Z592" i="2" a="1"/>
  <c r="Z592" i="2" s="1"/>
  <c r="Z596" i="2" a="1"/>
  <c r="Z596" i="2" s="1"/>
  <c r="Z579" i="2" a="1"/>
  <c r="Z579" i="2" s="1"/>
  <c r="Z497" i="2" a="1"/>
  <c r="Z497" i="2" s="1"/>
  <c r="Z498" i="2" a="1"/>
  <c r="Z498" i="2" s="1"/>
  <c r="Z499" i="2" a="1"/>
  <c r="Z499" i="2" s="1"/>
  <c r="Z500" i="2" a="1"/>
  <c r="Z500" i="2" s="1"/>
  <c r="Z472" i="2" a="1"/>
  <c r="Z472" i="2" s="1"/>
  <c r="Z501" i="2" a="1"/>
  <c r="Z501" i="2" s="1"/>
  <c r="Z387" i="2" a="1"/>
  <c r="Z387" i="2" s="1"/>
  <c r="Z373" i="2" a="1"/>
  <c r="Z373" i="2" s="1"/>
  <c r="Z357" i="2" a="1"/>
  <c r="Z357" i="2" s="1"/>
  <c r="O387" i="2" a="1"/>
  <c r="O387" i="2" s="1"/>
  <c r="O373" i="2" a="1"/>
  <c r="O373" i="2" s="1"/>
  <c r="S373" i="2" s="1"/>
  <c r="Z335" i="2" a="1"/>
  <c r="Z335" i="2" s="1"/>
  <c r="Z236" i="2" a="1"/>
  <c r="Z236" i="2" s="1"/>
  <c r="Z237" i="2" a="1"/>
  <c r="Z237" i="2" s="1"/>
  <c r="O261" i="2" a="1"/>
  <c r="O261" i="2" s="1"/>
  <c r="S261" i="2" s="1"/>
  <c r="Z257" i="2" a="1"/>
  <c r="Z257" i="2" s="1"/>
  <c r="Z259" i="2" a="1"/>
  <c r="Z259" i="2" s="1"/>
  <c r="Z261" i="2" a="1"/>
  <c r="Z261" i="2" s="1"/>
  <c r="Z230" i="2" a="1"/>
  <c r="Z230" i="2" s="1"/>
  <c r="Z263" i="2" a="1"/>
  <c r="Z263" i="2" s="1"/>
  <c r="Z232" i="2" a="1"/>
  <c r="Z232" i="2" s="1"/>
  <c r="Z233" i="2" a="1"/>
  <c r="Z233" i="2" s="1"/>
  <c r="Z210" i="2" a="1"/>
  <c r="Z210" i="2" s="1"/>
  <c r="Z235" i="2" a="1"/>
  <c r="Z235" i="2" s="1"/>
  <c r="Z214" i="2" a="1"/>
  <c r="Z214" i="2" s="1"/>
  <c r="Z211" i="2" a="1"/>
  <c r="Z211" i="2" s="1"/>
  <c r="Z182" i="2" a="1"/>
  <c r="Z182" i="2" s="1"/>
  <c r="Z183" i="2" a="1"/>
  <c r="Z183" i="2" s="1"/>
  <c r="Z234" i="2" a="1"/>
  <c r="Z234" i="2" s="1"/>
  <c r="Z212" i="2" a="1"/>
  <c r="Z212" i="2" s="1"/>
  <c r="Z207" i="2" a="1"/>
  <c r="Z207" i="2" s="1"/>
  <c r="Z208" i="2" a="1"/>
  <c r="Z208" i="2" s="1"/>
  <c r="Z231" i="2" a="1"/>
  <c r="Z231" i="2" s="1"/>
  <c r="O231" i="2" a="1"/>
  <c r="O231" i="2" s="1"/>
  <c r="Z209" i="2" a="1"/>
  <c r="Z209" i="2" s="1"/>
  <c r="Z215" i="2" a="1"/>
  <c r="Z215" i="2" s="1"/>
  <c r="Z216" i="2" a="1"/>
  <c r="Z216" i="2" s="1"/>
  <c r="O232" i="2" a="1"/>
  <c r="O232" i="2" s="1"/>
  <c r="Z229" i="2" a="1"/>
  <c r="Z229" i="2" s="1"/>
  <c r="Z206" i="2" a="1"/>
  <c r="Z206" i="2" s="1"/>
  <c r="Z205" i="2" a="1"/>
  <c r="Z205" i="2" s="1"/>
  <c r="Z213" i="2" a="1"/>
  <c r="Z213" i="2" s="1"/>
  <c r="Z52" i="2" a="1"/>
  <c r="Z52" i="2" s="1"/>
  <c r="M96" i="2"/>
  <c r="W101" i="2"/>
  <c r="P105" i="2" a="1"/>
  <c r="P105" i="2" s="1"/>
  <c r="T105" i="2" s="1"/>
  <c r="V115" i="2"/>
  <c r="W115" i="2" s="1"/>
  <c r="M115" i="2"/>
  <c r="W133" i="2"/>
  <c r="P140" i="2" a="1"/>
  <c r="P140" i="2" s="1"/>
  <c r="T140" i="2" s="1"/>
  <c r="O140" i="2" a="1"/>
  <c r="O140" i="2" s="1"/>
  <c r="S140" i="2" s="1"/>
  <c r="P145" i="2" a="1"/>
  <c r="P145" i="2" s="1"/>
  <c r="T145" i="2" s="1"/>
  <c r="O162" i="2" a="1"/>
  <c r="O162" i="2" s="1"/>
  <c r="S162" i="2" s="1"/>
  <c r="O174" i="2" a="1"/>
  <c r="O174" i="2" s="1"/>
  <c r="S174" i="2" s="1"/>
  <c r="O201" i="2" a="1"/>
  <c r="O201" i="2" s="1"/>
  <c r="S201" i="2" s="1"/>
  <c r="AA1220" i="2" a="1"/>
  <c r="AA1220" i="2" s="1"/>
  <c r="AA1221" i="2" a="1"/>
  <c r="AA1221" i="2" s="1"/>
  <c r="P1221" i="2" a="1"/>
  <c r="P1221" i="2" s="1"/>
  <c r="T1221" i="2" s="1"/>
  <c r="AA1145" i="2" a="1"/>
  <c r="AA1145" i="2" s="1"/>
  <c r="AA1146" i="2" a="1"/>
  <c r="AA1146" i="2" s="1"/>
  <c r="AA1144" i="2" a="1"/>
  <c r="AA1144" i="2" s="1"/>
  <c r="AA1147" i="2" a="1"/>
  <c r="AA1147" i="2" s="1"/>
  <c r="AA1031" i="2" a="1"/>
  <c r="AA1031" i="2" s="1"/>
  <c r="AA1032" i="2" a="1"/>
  <c r="AA1032" i="2" s="1"/>
  <c r="AA932" i="2" a="1"/>
  <c r="AA932" i="2" s="1"/>
  <c r="AA930" i="2" a="1"/>
  <c r="AA930" i="2" s="1"/>
  <c r="AA931" i="2" a="1"/>
  <c r="AA931" i="2" s="1"/>
  <c r="P896" i="2" a="1"/>
  <c r="P896" i="2" s="1"/>
  <c r="T896" i="2" s="1"/>
  <c r="AA872" i="2" a="1"/>
  <c r="AA872" i="2" s="1"/>
  <c r="AA896" i="2" a="1"/>
  <c r="AA896" i="2" s="1"/>
  <c r="P872" i="2" a="1"/>
  <c r="P872" i="2" s="1"/>
  <c r="T872" i="2" s="1"/>
  <c r="AA769" i="2" a="1"/>
  <c r="AA769" i="2" s="1"/>
  <c r="AA770" i="2" a="1"/>
  <c r="AA770" i="2" s="1"/>
  <c r="AA767" i="2" a="1"/>
  <c r="AA767" i="2" s="1"/>
  <c r="AA768" i="2" a="1"/>
  <c r="AA768" i="2" s="1"/>
  <c r="AA766" i="2" a="1"/>
  <c r="AA766" i="2" s="1"/>
  <c r="AA728" i="2" a="1"/>
  <c r="AA728" i="2" s="1"/>
  <c r="AA595" i="2" a="1"/>
  <c r="AA595" i="2" s="1"/>
  <c r="P728" i="2" a="1"/>
  <c r="P728" i="2" s="1"/>
  <c r="T728" i="2" s="1"/>
  <c r="AA593" i="2" a="1"/>
  <c r="AA593" i="2" s="1"/>
  <c r="P594" i="2" a="1"/>
  <c r="P594" i="2" s="1"/>
  <c r="T594" i="2" s="1"/>
  <c r="AA579" i="2" a="1"/>
  <c r="AA579" i="2" s="1"/>
  <c r="AA592" i="2" a="1"/>
  <c r="AA592" i="2" s="1"/>
  <c r="AA594" i="2" a="1"/>
  <c r="AA594" i="2" s="1"/>
  <c r="AA596" i="2" a="1"/>
  <c r="AA596" i="2" s="1"/>
  <c r="AA497" i="2" a="1"/>
  <c r="AA497" i="2" s="1"/>
  <c r="AA498" i="2" a="1"/>
  <c r="AA498" i="2" s="1"/>
  <c r="AA499" i="2" a="1"/>
  <c r="AA499" i="2" s="1"/>
  <c r="AA500" i="2" a="1"/>
  <c r="AA500" i="2" s="1"/>
  <c r="AA472" i="2" a="1"/>
  <c r="AA472" i="2" s="1"/>
  <c r="AA501" i="2" a="1"/>
  <c r="AA501" i="2" s="1"/>
  <c r="AA373" i="2" a="1"/>
  <c r="AA373" i="2" s="1"/>
  <c r="AA357" i="2" a="1"/>
  <c r="AA357" i="2" s="1"/>
  <c r="AA387" i="2" a="1"/>
  <c r="AA387" i="2" s="1"/>
  <c r="AA335" i="2" a="1"/>
  <c r="AA335" i="2" s="1"/>
  <c r="AA257" i="2" a="1"/>
  <c r="AA257" i="2" s="1"/>
  <c r="AA261" i="2" a="1"/>
  <c r="AA261" i="2" s="1"/>
  <c r="AA263" i="2" a="1"/>
  <c r="AA263" i="2" s="1"/>
  <c r="AA232" i="2" a="1"/>
  <c r="AA232" i="2" s="1"/>
  <c r="AA234" i="2" a="1"/>
  <c r="AA234" i="2" s="1"/>
  <c r="AA235" i="2" a="1"/>
  <c r="AA235" i="2" s="1"/>
  <c r="AA259" i="2" a="1"/>
  <c r="AA259" i="2" s="1"/>
  <c r="P257" i="2" a="1"/>
  <c r="P257" i="2" s="1"/>
  <c r="T257" i="2" s="1"/>
  <c r="AA205" i="2" a="1"/>
  <c r="AA205" i="2" s="1"/>
  <c r="P183" i="2" a="1"/>
  <c r="P183" i="2" s="1"/>
  <c r="AA214" i="2" a="1"/>
  <c r="AA214" i="2" s="1"/>
  <c r="AA211" i="2" a="1"/>
  <c r="AA211" i="2" s="1"/>
  <c r="P259" i="2" a="1"/>
  <c r="P259" i="2" s="1"/>
  <c r="AA206" i="2" a="1"/>
  <c r="AA206" i="2" s="1"/>
  <c r="AA230" i="2" a="1"/>
  <c r="AA230" i="2" s="1"/>
  <c r="AA183" i="2" a="1"/>
  <c r="AA183" i="2" s="1"/>
  <c r="AA212" i="2" a="1"/>
  <c r="AA212" i="2" s="1"/>
  <c r="AA207" i="2" a="1"/>
  <c r="AA207" i="2" s="1"/>
  <c r="AA208" i="2" a="1"/>
  <c r="AA208" i="2" s="1"/>
  <c r="AA237" i="2" a="1"/>
  <c r="AA237" i="2" s="1"/>
  <c r="AA231" i="2" a="1"/>
  <c r="AA231" i="2" s="1"/>
  <c r="AA216" i="2" a="1"/>
  <c r="AA216" i="2" s="1"/>
  <c r="AA209" i="2" a="1"/>
  <c r="AA209" i="2" s="1"/>
  <c r="AA236" i="2" a="1"/>
  <c r="AA236" i="2" s="1"/>
  <c r="AA233" i="2" a="1"/>
  <c r="AA233" i="2" s="1"/>
  <c r="AA229" i="2" a="1"/>
  <c r="AA229" i="2" s="1"/>
  <c r="AA213" i="2" a="1"/>
  <c r="AA213" i="2" s="1"/>
  <c r="P182" i="2" a="1"/>
  <c r="P182" i="2" s="1"/>
  <c r="AA210" i="2" a="1"/>
  <c r="AA210" i="2" s="1"/>
  <c r="AA182" i="2" a="1"/>
  <c r="AA182" i="2" s="1"/>
  <c r="AA60" i="2" a="1"/>
  <c r="AA60" i="2" s="1"/>
  <c r="L43" i="2"/>
  <c r="L17" i="2" s="1"/>
  <c r="L45" i="2"/>
  <c r="O66" i="2" a="1"/>
  <c r="O66" i="2" s="1"/>
  <c r="S66" i="2" s="1"/>
  <c r="L71" i="2"/>
  <c r="L82" i="2"/>
  <c r="L86" i="2"/>
  <c r="G18" i="2"/>
  <c r="L90" i="2"/>
  <c r="V92" i="2"/>
  <c r="W92" i="2" s="1"/>
  <c r="L96" i="2"/>
  <c r="O103" i="2" a="1"/>
  <c r="O103" i="2" s="1"/>
  <c r="K112" i="2"/>
  <c r="L115" i="2"/>
  <c r="P120" i="2" a="1"/>
  <c r="P120" i="2" s="1"/>
  <c r="T120" i="2" s="1"/>
  <c r="O125" i="2" a="1"/>
  <c r="O125" i="2" s="1"/>
  <c r="S125" i="2" s="1"/>
  <c r="P129" i="2" a="1"/>
  <c r="P129" i="2" s="1"/>
  <c r="T129" i="2" s="1"/>
  <c r="V134" i="2"/>
  <c r="W134" i="2" s="1"/>
  <c r="O144" i="2" a="1"/>
  <c r="O144" i="2" s="1"/>
  <c r="S144" i="2" s="1"/>
  <c r="L154" i="2"/>
  <c r="M154" i="2"/>
  <c r="V154" i="2"/>
  <c r="W154" i="2" s="1"/>
  <c r="M124" i="2"/>
  <c r="AK124" i="2"/>
  <c r="O129" i="2" a="1"/>
  <c r="O129" i="2" s="1"/>
  <c r="S48" i="2"/>
  <c r="Z57" i="2" a="1"/>
  <c r="Z57" i="2" s="1"/>
  <c r="P66" i="2" a="1"/>
  <c r="P66" i="2" s="1"/>
  <c r="T66" i="2" s="1"/>
  <c r="M71" i="2"/>
  <c r="O81" i="2" a="1"/>
  <c r="O81" i="2" s="1"/>
  <c r="M82" i="2"/>
  <c r="O85" i="2" a="1"/>
  <c r="O85" i="2" s="1"/>
  <c r="M86" i="2"/>
  <c r="O89" i="2" a="1"/>
  <c r="O89" i="2" s="1"/>
  <c r="S89" i="2" s="1"/>
  <c r="M90" i="2"/>
  <c r="V94" i="2"/>
  <c r="W94" i="2" s="1"/>
  <c r="M94" i="2"/>
  <c r="V100" i="2"/>
  <c r="W100" i="2" s="1"/>
  <c r="L100" i="2"/>
  <c r="S100" i="2"/>
  <c r="P103" i="2" a="1"/>
  <c r="P103" i="2" s="1"/>
  <c r="M129" i="2"/>
  <c r="L129" i="2"/>
  <c r="M132" i="2"/>
  <c r="V132" i="2"/>
  <c r="W132" i="2" s="1"/>
  <c r="S132" i="2"/>
  <c r="O141" i="2" a="1"/>
  <c r="O141" i="2" s="1"/>
  <c r="P144" i="2" a="1"/>
  <c r="P144" i="2" s="1"/>
  <c r="T144" i="2" s="1"/>
  <c r="O153" i="2" a="1"/>
  <c r="O153" i="2" s="1"/>
  <c r="S153" i="2" s="1"/>
  <c r="P211" i="2" a="1"/>
  <c r="P211" i="2" s="1"/>
  <c r="T211" i="2" s="1"/>
  <c r="O217" i="2" a="1"/>
  <c r="O217" i="2" s="1"/>
  <c r="S217" i="2" s="1"/>
  <c r="T48" i="2"/>
  <c r="P110" i="2" a="1"/>
  <c r="P110" i="2" s="1"/>
  <c r="P130" i="2" a="1"/>
  <c r="P130" i="2" s="1"/>
  <c r="T130" i="2" s="1"/>
  <c r="O142" i="2" a="1"/>
  <c r="O142" i="2" s="1"/>
  <c r="P143" i="2" a="1"/>
  <c r="P143" i="2" s="1"/>
  <c r="T143" i="2" s="1"/>
  <c r="O143" i="2" a="1"/>
  <c r="O143" i="2" s="1"/>
  <c r="S143" i="2" s="1"/>
  <c r="P156" i="2" a="1"/>
  <c r="P156" i="2" s="1"/>
  <c r="O159" i="2" a="1"/>
  <c r="O159" i="2" s="1"/>
  <c r="S159" i="2" s="1"/>
  <c r="P101" i="2" a="1"/>
  <c r="P101" i="2" s="1"/>
  <c r="T101" i="2" s="1"/>
  <c r="W135" i="2"/>
  <c r="P142" i="2" a="1"/>
  <c r="P142" i="2" s="1"/>
  <c r="T142" i="2" s="1"/>
  <c r="O149" i="2" a="1"/>
  <c r="O149" i="2" s="1"/>
  <c r="P159" i="2" a="1"/>
  <c r="P159" i="2" s="1"/>
  <c r="T159" i="2" s="1"/>
  <c r="O164" i="2" a="1"/>
  <c r="O164" i="2" s="1"/>
  <c r="S164" i="2" s="1"/>
  <c r="O183" i="2" a="1"/>
  <c r="O183" i="2" s="1"/>
  <c r="S183" i="2" s="1"/>
  <c r="O230" i="2" a="1"/>
  <c r="O230" i="2" s="1"/>
  <c r="Z65" i="2" a="1"/>
  <c r="Z65" i="2" s="1"/>
  <c r="P149" i="2" a="1"/>
  <c r="P149" i="2" s="1"/>
  <c r="T149" i="2" s="1"/>
  <c r="O156" i="2" a="1"/>
  <c r="O156" i="2" s="1"/>
  <c r="O173" i="2" a="1"/>
  <c r="O173" i="2" s="1"/>
  <c r="S173" i="2" s="1"/>
  <c r="L70" i="2"/>
  <c r="L89" i="2"/>
  <c r="L18" i="2" s="1"/>
  <c r="M125" i="2"/>
  <c r="V125" i="2"/>
  <c r="W125" i="2" s="1"/>
  <c r="AK125" i="2"/>
  <c r="O49" i="2" a="1"/>
  <c r="O49" i="2" s="1"/>
  <c r="S49" i="2" s="1"/>
  <c r="P65" i="2" a="1"/>
  <c r="P65" i="2" s="1"/>
  <c r="P69" i="2" a="1"/>
  <c r="P69" i="2" s="1"/>
  <c r="T69" i="2" s="1"/>
  <c r="M85" i="2"/>
  <c r="S86" i="2"/>
  <c r="O88" i="2" a="1"/>
  <c r="O88" i="2" s="1"/>
  <c r="S88" i="2" s="1"/>
  <c r="P97" i="2" a="1"/>
  <c r="P97" i="2" s="1"/>
  <c r="T97" i="2" s="1"/>
  <c r="O101" i="2" a="1"/>
  <c r="O101" i="2" s="1"/>
  <c r="S101" i="2" s="1"/>
  <c r="F110" i="2"/>
  <c r="O113" i="2" a="1"/>
  <c r="O113" i="2" s="1"/>
  <c r="S115" i="2"/>
  <c r="L125" i="2"/>
  <c r="O130" i="2" a="1"/>
  <c r="O130" i="2" s="1"/>
  <c r="S130" i="2" s="1"/>
  <c r="L156" i="2"/>
  <c r="V156" i="2"/>
  <c r="W156" i="2" s="1"/>
  <c r="T156" i="2"/>
  <c r="M156" i="2"/>
  <c r="Z50" i="2" a="1"/>
  <c r="Z50" i="2" s="1"/>
  <c r="Z56" i="2" a="1"/>
  <c r="Z56" i="2" s="1"/>
  <c r="O93" i="2" a="1"/>
  <c r="O93" i="2" s="1"/>
  <c r="P121" i="2" a="1"/>
  <c r="P121" i="2" s="1"/>
  <c r="T121" i="2" s="1"/>
  <c r="T124" i="2"/>
  <c r="O128" i="2" a="1"/>
  <c r="O128" i="2" s="1"/>
  <c r="AA56" i="2" a="1"/>
  <c r="AA56" i="2" s="1"/>
  <c r="AA65" i="2" a="1"/>
  <c r="AA65" i="2" s="1"/>
  <c r="O99" i="2" a="1"/>
  <c r="O99" i="2" s="1"/>
  <c r="P113" i="2" a="1"/>
  <c r="P113" i="2" s="1"/>
  <c r="P116" i="2" a="1"/>
  <c r="P116" i="2" s="1"/>
  <c r="T116" i="2" s="1"/>
  <c r="O123" i="2" a="1"/>
  <c r="O123" i="2" s="1"/>
  <c r="S123" i="2" s="1"/>
  <c r="P126" i="2" a="1"/>
  <c r="P126" i="2" s="1"/>
  <c r="T126" i="2" s="1"/>
  <c r="S129" i="2"/>
  <c r="W145" i="2"/>
  <c r="O163" i="2" a="1"/>
  <c r="O163" i="2" s="1"/>
  <c r="O170" i="2" a="1"/>
  <c r="O170" i="2" s="1"/>
  <c r="S170" i="2" s="1"/>
  <c r="M189" i="2"/>
  <c r="M212" i="2"/>
  <c r="L212" i="2"/>
  <c r="V212" i="2"/>
  <c r="W212" i="2" s="1"/>
  <c r="V218" i="2"/>
  <c r="W218" i="2" s="1"/>
  <c r="L218" i="2"/>
  <c r="M218" i="2"/>
  <c r="S146" i="2"/>
  <c r="O179" i="2" a="1"/>
  <c r="O179" i="2" s="1"/>
  <c r="S179" i="2" s="1"/>
  <c r="V201" i="2"/>
  <c r="W201" i="2" s="1"/>
  <c r="M201" i="2"/>
  <c r="U204" i="2"/>
  <c r="U20" i="2" s="1"/>
  <c r="P210" i="2" a="1"/>
  <c r="P210" i="2" s="1"/>
  <c r="T210" i="2" s="1"/>
  <c r="P217" i="2" a="1"/>
  <c r="P217" i="2" s="1"/>
  <c r="T217" i="2" s="1"/>
  <c r="T173" i="2"/>
  <c r="AK222" i="2"/>
  <c r="M222" i="2"/>
  <c r="O254" i="2" a="1"/>
  <c r="O254" i="2" s="1"/>
  <c r="S254" i="2" s="1"/>
  <c r="T135" i="2"/>
  <c r="P153" i="2" a="1"/>
  <c r="P153" i="2" s="1"/>
  <c r="T153" i="2" s="1"/>
  <c r="V161" i="2"/>
  <c r="W161" i="2" s="1"/>
  <c r="W167" i="2"/>
  <c r="P184" i="2" a="1"/>
  <c r="P184" i="2" s="1"/>
  <c r="T184" i="2" s="1"/>
  <c r="O184" i="2" a="1"/>
  <c r="O184" i="2" s="1"/>
  <c r="P192" i="2" a="1"/>
  <c r="P192" i="2" s="1"/>
  <c r="T192" i="2" s="1"/>
  <c r="O192" i="2" a="1"/>
  <c r="O192" i="2" s="1"/>
  <c r="W195" i="2"/>
  <c r="O199" i="2" a="1"/>
  <c r="O199" i="2" s="1"/>
  <c r="O209" i="2" a="1"/>
  <c r="O209" i="2" s="1"/>
  <c r="L222" i="2"/>
  <c r="P240" i="2" a="1"/>
  <c r="P240" i="2" s="1"/>
  <c r="S138" i="2"/>
  <c r="T162" i="2"/>
  <c r="P165" i="2" a="1"/>
  <c r="P165" i="2" s="1"/>
  <c r="T165" i="2" s="1"/>
  <c r="M174" i="2"/>
  <c r="L174" i="2"/>
  <c r="V174" i="2"/>
  <c r="W174" i="2" s="1"/>
  <c r="T174" i="2"/>
  <c r="S184" i="2"/>
  <c r="L184" i="2"/>
  <c r="V184" i="2"/>
  <c r="W184" i="2" s="1"/>
  <c r="O210" i="2" a="1"/>
  <c r="O210" i="2" s="1"/>
  <c r="S210" i="2" s="1"/>
  <c r="P226" i="2" a="1"/>
  <c r="P226" i="2" s="1"/>
  <c r="O226" i="2" a="1"/>
  <c r="O226" i="2" s="1"/>
  <c r="S226" i="2" s="1"/>
  <c r="O145" i="2" a="1"/>
  <c r="O145" i="2" s="1"/>
  <c r="W148" i="2"/>
  <c r="V162" i="2"/>
  <c r="W162" i="2" s="1"/>
  <c r="V169" i="2"/>
  <c r="W169" i="2" s="1"/>
  <c r="O178" i="2" a="1"/>
  <c r="O178" i="2" s="1"/>
  <c r="S178" i="2" s="1"/>
  <c r="P179" i="2" a="1"/>
  <c r="P179" i="2" s="1"/>
  <c r="T179" i="2" s="1"/>
  <c r="M184" i="2"/>
  <c r="V228" i="2"/>
  <c r="W228" i="2" s="1"/>
  <c r="M228" i="2"/>
  <c r="L228" i="2"/>
  <c r="T228" i="2"/>
  <c r="P234" i="2" a="1"/>
  <c r="P234" i="2" s="1"/>
  <c r="P147" i="2" a="1"/>
  <c r="P147" i="2" s="1"/>
  <c r="O154" i="2" a="1"/>
  <c r="O154" i="2" s="1"/>
  <c r="S154" i="2" s="1"/>
  <c r="P157" i="2" a="1"/>
  <c r="P157" i="2" s="1"/>
  <c r="M164" i="2"/>
  <c r="V164" i="2"/>
  <c r="W164" i="2" s="1"/>
  <c r="L165" i="2"/>
  <c r="V165" i="2"/>
  <c r="W165" i="2" s="1"/>
  <c r="P178" i="2" a="1"/>
  <c r="P178" i="2" s="1"/>
  <c r="T178" i="2" s="1"/>
  <c r="M179" i="2"/>
  <c r="L179" i="2"/>
  <c r="W180" i="2"/>
  <c r="S192" i="2"/>
  <c r="AI192" i="2"/>
  <c r="L192" i="2"/>
  <c r="V192" i="2"/>
  <c r="W192" i="2" s="1"/>
  <c r="F199" i="2"/>
  <c r="K199" i="2" s="1"/>
  <c r="K198" i="2"/>
  <c r="O215" i="2" a="1"/>
  <c r="O215" i="2" s="1"/>
  <c r="S215" i="2" s="1"/>
  <c r="P221" i="2" a="1"/>
  <c r="P221" i="2" s="1"/>
  <c r="T221" i="2" s="1"/>
  <c r="O227" i="2" a="1"/>
  <c r="O227" i="2" s="1"/>
  <c r="O139" i="2" a="1"/>
  <c r="O139" i="2" s="1"/>
  <c r="S139" i="2" s="1"/>
  <c r="P166" i="2" a="1"/>
  <c r="P166" i="2" s="1"/>
  <c r="T166" i="2" s="1"/>
  <c r="P167" i="2" a="1"/>
  <c r="P167" i="2" s="1"/>
  <c r="T167" i="2" s="1"/>
  <c r="O167" i="2" a="1"/>
  <c r="O167" i="2" s="1"/>
  <c r="S167" i="2" s="1"/>
  <c r="P208" i="2" a="1"/>
  <c r="P208" i="2" s="1"/>
  <c r="T208" i="2" s="1"/>
  <c r="O208" i="2" a="1"/>
  <c r="O208" i="2" s="1"/>
  <c r="S208" i="2" s="1"/>
  <c r="P215" i="2" a="1"/>
  <c r="P215" i="2" s="1"/>
  <c r="M221" i="2"/>
  <c r="S221" i="2"/>
  <c r="L221" i="2"/>
  <c r="V222" i="2"/>
  <c r="W222" i="2" s="1"/>
  <c r="L130" i="2"/>
  <c r="L143" i="2"/>
  <c r="L147" i="2"/>
  <c r="O148" i="2" a="1"/>
  <c r="O148" i="2" s="1"/>
  <c r="L157" i="2"/>
  <c r="O158" i="2" a="1"/>
  <c r="O158" i="2" s="1"/>
  <c r="S158" i="2" s="1"/>
  <c r="W187" i="2"/>
  <c r="P190" i="2" a="1"/>
  <c r="P190" i="2" s="1"/>
  <c r="O190" i="2" a="1"/>
  <c r="O190" i="2" s="1"/>
  <c r="P202" i="2" a="1"/>
  <c r="P202" i="2" s="1"/>
  <c r="T202" i="2" s="1"/>
  <c r="P214" i="2" a="1"/>
  <c r="P214" i="2" s="1"/>
  <c r="T214" i="2" s="1"/>
  <c r="W215" i="2"/>
  <c r="P220" i="2" a="1"/>
  <c r="P220" i="2" s="1"/>
  <c r="T220" i="2" s="1"/>
  <c r="T227" i="2"/>
  <c r="M227" i="2"/>
  <c r="O268" i="2" a="1"/>
  <c r="O268" i="2" s="1"/>
  <c r="O168" i="2" a="1"/>
  <c r="O168" i="2" s="1"/>
  <c r="S168" i="2" s="1"/>
  <c r="P176" i="2" a="1"/>
  <c r="P176" i="2" s="1"/>
  <c r="T176" i="2" s="1"/>
  <c r="O176" i="2" a="1"/>
  <c r="O176" i="2" s="1"/>
  <c r="S176" i="2" s="1"/>
  <c r="O182" i="2" a="1"/>
  <c r="O182" i="2" s="1"/>
  <c r="S182" i="2" s="1"/>
  <c r="V196" i="2"/>
  <c r="W196" i="2" s="1"/>
  <c r="M196" i="2"/>
  <c r="L196" i="2"/>
  <c r="O207" i="2" a="1"/>
  <c r="O207" i="2" s="1"/>
  <c r="S207" i="2" s="1"/>
  <c r="O220" i="2" a="1"/>
  <c r="O220" i="2" s="1"/>
  <c r="S220" i="2" s="1"/>
  <c r="P235" i="2" a="1"/>
  <c r="P235" i="2" s="1"/>
  <c r="O135" i="2" a="1"/>
  <c r="O135" i="2" s="1"/>
  <c r="AK143" i="2"/>
  <c r="S145" i="2"/>
  <c r="P155" i="2" a="1"/>
  <c r="P155" i="2" s="1"/>
  <c r="T155" i="2" s="1"/>
  <c r="O181" i="2" a="1"/>
  <c r="O181" i="2" s="1"/>
  <c r="S190" i="2"/>
  <c r="L190" i="2"/>
  <c r="V190" i="2"/>
  <c r="W190" i="2" s="1"/>
  <c r="P195" i="2" a="1"/>
  <c r="P195" i="2" s="1"/>
  <c r="O195" i="2" a="1"/>
  <c r="O195" i="2" s="1"/>
  <c r="S195" i="2" s="1"/>
  <c r="P207" i="2" a="1"/>
  <c r="P207" i="2" s="1"/>
  <c r="T207" i="2" s="1"/>
  <c r="V221" i="2"/>
  <c r="W221" i="2" s="1"/>
  <c r="O225" i="2" a="1"/>
  <c r="O225" i="2" s="1"/>
  <c r="S225" i="2" s="1"/>
  <c r="T182" i="2"/>
  <c r="K181" i="2"/>
  <c r="M183" i="2"/>
  <c r="L183" i="2"/>
  <c r="V183" i="2"/>
  <c r="W183" i="2" s="1"/>
  <c r="T183" i="2"/>
  <c r="M190" i="2"/>
  <c r="P205" i="2" a="1"/>
  <c r="P205" i="2" s="1"/>
  <c r="T205" i="2" s="1"/>
  <c r="O206" i="2" a="1"/>
  <c r="O206" i="2" s="1"/>
  <c r="S206" i="2" s="1"/>
  <c r="O213" i="2" a="1"/>
  <c r="O213" i="2" s="1"/>
  <c r="O219" i="2" a="1"/>
  <c r="O219" i="2" s="1"/>
  <c r="S219" i="2" s="1"/>
  <c r="S227" i="2"/>
  <c r="P119" i="2" a="1"/>
  <c r="P119" i="2" s="1"/>
  <c r="T119" i="2" s="1"/>
  <c r="P132" i="2" a="1"/>
  <c r="P132" i="2" s="1"/>
  <c r="T132" i="2" s="1"/>
  <c r="P152" i="2" a="1"/>
  <c r="P152" i="2" s="1"/>
  <c r="T152" i="2" s="1"/>
  <c r="P168" i="2" a="1"/>
  <c r="P168" i="2" s="1"/>
  <c r="T168" i="2" s="1"/>
  <c r="O171" i="2" a="1"/>
  <c r="O171" i="2" s="1"/>
  <c r="S171" i="2" s="1"/>
  <c r="P181" i="2" a="1"/>
  <c r="P181" i="2" s="1"/>
  <c r="P187" i="2" a="1"/>
  <c r="P187" i="2" s="1"/>
  <c r="T187" i="2" s="1"/>
  <c r="P189" i="2" a="1"/>
  <c r="P189" i="2" s="1"/>
  <c r="T189" i="2" s="1"/>
  <c r="O189" i="2" a="1"/>
  <c r="O189" i="2" s="1"/>
  <c r="S189" i="2" s="1"/>
  <c r="T195" i="2"/>
  <c r="O205" i="2" a="1"/>
  <c r="O205" i="2" s="1"/>
  <c r="S205" i="2" s="1"/>
  <c r="M225" i="2"/>
  <c r="L225" i="2"/>
  <c r="V225" i="2"/>
  <c r="W225" i="2" s="1"/>
  <c r="T225" i="2"/>
  <c r="P230" i="2" a="1"/>
  <c r="P230" i="2" s="1"/>
  <c r="T230" i="2" s="1"/>
  <c r="T147" i="2"/>
  <c r="M155" i="2"/>
  <c r="V155" i="2"/>
  <c r="W155" i="2" s="1"/>
  <c r="T157" i="2"/>
  <c r="O169" i="2" a="1"/>
  <c r="O169" i="2" s="1"/>
  <c r="S169" i="2" s="1"/>
  <c r="P175" i="2" a="1"/>
  <c r="P175" i="2" s="1"/>
  <c r="T175" i="2" s="1"/>
  <c r="O175" i="2" a="1"/>
  <c r="O175" i="2" s="1"/>
  <c r="S175" i="2" s="1"/>
  <c r="P180" i="2" a="1"/>
  <c r="P180" i="2" s="1"/>
  <c r="T180" i="2" s="1"/>
  <c r="O180" i="2" a="1"/>
  <c r="O180" i="2" s="1"/>
  <c r="S180" i="2" s="1"/>
  <c r="T190" i="2"/>
  <c r="O211" i="2" a="1"/>
  <c r="O211" i="2" s="1"/>
  <c r="S211" i="2" s="1"/>
  <c r="O223" i="2" a="1"/>
  <c r="O223" i="2" s="1"/>
  <c r="S223" i="2" s="1"/>
  <c r="O224" i="2" a="1"/>
  <c r="O224" i="2" s="1"/>
  <c r="S224" i="2" s="1"/>
  <c r="O229" i="2" a="1"/>
  <c r="O229" i="2" s="1"/>
  <c r="S229" i="2" s="1"/>
  <c r="P229" i="2" a="1"/>
  <c r="P229" i="2" s="1"/>
  <c r="T229" i="2" s="1"/>
  <c r="L162" i="2"/>
  <c r="M169" i="2"/>
  <c r="L169" i="2"/>
  <c r="P170" i="2" a="1"/>
  <c r="P170" i="2" s="1"/>
  <c r="T170" i="2" s="1"/>
  <c r="L175" i="2"/>
  <c r="V175" i="2"/>
  <c r="W175" i="2" s="1"/>
  <c r="AI189" i="2"/>
  <c r="L189" i="2"/>
  <c r="V189" i="2"/>
  <c r="W189" i="2" s="1"/>
  <c r="P193" i="2" a="1"/>
  <c r="P193" i="2" s="1"/>
  <c r="T193" i="2" s="1"/>
  <c r="O193" i="2" a="1"/>
  <c r="O193" i="2" s="1"/>
  <c r="S193" i="2" s="1"/>
  <c r="M202" i="2"/>
  <c r="L202" i="2"/>
  <c r="V202" i="2"/>
  <c r="W202" i="2" s="1"/>
  <c r="AI202" i="2"/>
  <c r="P212" i="2" a="1"/>
  <c r="P212" i="2" s="1"/>
  <c r="T212" i="2" s="1"/>
  <c r="O216" i="2" a="1"/>
  <c r="O216" i="2" s="1"/>
  <c r="S216" i="2" s="1"/>
  <c r="P216" i="2" a="1"/>
  <c r="P216" i="2" s="1"/>
  <c r="T216" i="2" s="1"/>
  <c r="O218" i="2" a="1"/>
  <c r="O218" i="2" s="1"/>
  <c r="S218" i="2" s="1"/>
  <c r="P223" i="2" a="1"/>
  <c r="P223" i="2" s="1"/>
  <c r="T223" i="2" s="1"/>
  <c r="P233" i="2" a="1"/>
  <c r="P233" i="2" s="1"/>
  <c r="M239" i="2"/>
  <c r="L239" i="2"/>
  <c r="S239" i="2"/>
  <c r="P261" i="2" a="1"/>
  <c r="P261" i="2" s="1"/>
  <c r="T261" i="2" s="1"/>
  <c r="P169" i="2" a="1"/>
  <c r="P169" i="2" s="1"/>
  <c r="T169" i="2" s="1"/>
  <c r="O177" i="2" a="1"/>
  <c r="O177" i="2" s="1"/>
  <c r="S177" i="2" s="1"/>
  <c r="O198" i="2" a="1"/>
  <c r="O198" i="2" s="1"/>
  <c r="P209" i="2" a="1"/>
  <c r="P209" i="2" s="1"/>
  <c r="T209" i="2" s="1"/>
  <c r="P213" i="2" a="1"/>
  <c r="P213" i="2" s="1"/>
  <c r="T213" i="2" s="1"/>
  <c r="P219" i="2" a="1"/>
  <c r="P219" i="2" s="1"/>
  <c r="T219" i="2" s="1"/>
  <c r="P224" i="2" a="1"/>
  <c r="P224" i="2" s="1"/>
  <c r="T224" i="2" s="1"/>
  <c r="K276" i="2"/>
  <c r="M235" i="2"/>
  <c r="L235" i="2"/>
  <c r="M240" i="2"/>
  <c r="V240" i="2"/>
  <c r="W240" i="2" s="1"/>
  <c r="T240" i="2"/>
  <c r="K231" i="2"/>
  <c r="AK240" i="2"/>
  <c r="P268" i="2" a="1"/>
  <c r="P268" i="2" s="1"/>
  <c r="P280" i="2" a="1"/>
  <c r="P280" i="2" s="1"/>
  <c r="P177" i="2" a="1"/>
  <c r="P177" i="2" s="1"/>
  <c r="T177" i="2" s="1"/>
  <c r="O196" i="2" a="1"/>
  <c r="O196" i="2" s="1"/>
  <c r="S196" i="2" s="1"/>
  <c r="V207" i="2"/>
  <c r="W207" i="2" s="1"/>
  <c r="K268" i="2"/>
  <c r="S213" i="2"/>
  <c r="T215" i="2"/>
  <c r="M224" i="2"/>
  <c r="P236" i="2" a="1"/>
  <c r="P236" i="2" s="1"/>
  <c r="T236" i="2" s="1"/>
  <c r="W238" i="2"/>
  <c r="L240" i="2"/>
  <c r="P260" i="2" a="1"/>
  <c r="P260" i="2" s="1"/>
  <c r="T260" i="2" s="1"/>
  <c r="P263" i="2" a="1"/>
  <c r="P263" i="2" s="1"/>
  <c r="O263" i="2" a="1"/>
  <c r="O263" i="2" s="1"/>
  <c r="O265" i="2" a="1"/>
  <c r="O265" i="2" s="1"/>
  <c r="S265" i="2" s="1"/>
  <c r="O187" i="2" a="1"/>
  <c r="O187" i="2" s="1"/>
  <c r="S187" i="2" s="1"/>
  <c r="P196" i="2" a="1"/>
  <c r="P196" i="2" s="1"/>
  <c r="T196" i="2" s="1"/>
  <c r="L209" i="2"/>
  <c r="L213" i="2"/>
  <c r="L224" i="2"/>
  <c r="K270" i="2"/>
  <c r="O241" i="2" a="1"/>
  <c r="O241" i="2" s="1"/>
  <c r="L261" i="2"/>
  <c r="V261" i="2"/>
  <c r="W261" i="2" s="1"/>
  <c r="S163" i="2"/>
  <c r="L168" i="2"/>
  <c r="L177" i="2"/>
  <c r="M209" i="2"/>
  <c r="M213" i="2"/>
  <c r="P218" i="2" a="1"/>
  <c r="P218" i="2" s="1"/>
  <c r="T218" i="2" s="1"/>
  <c r="V226" i="2"/>
  <c r="W226" i="2" s="1"/>
  <c r="T226" i="2"/>
  <c r="L229" i="2"/>
  <c r="O233" i="2" a="1"/>
  <c r="O233" i="2" s="1"/>
  <c r="V239" i="2"/>
  <c r="W239" i="2" s="1"/>
  <c r="O242" i="2" a="1"/>
  <c r="O242" i="2" s="1"/>
  <c r="S242" i="2" s="1"/>
  <c r="W250" i="2"/>
  <c r="P274" i="2" a="1"/>
  <c r="P274" i="2" s="1"/>
  <c r="U279" i="2"/>
  <c r="U21" i="2" s="1"/>
  <c r="W206" i="2"/>
  <c r="V267" i="2"/>
  <c r="W267" i="2" s="1"/>
  <c r="M267" i="2"/>
  <c r="L267" i="2"/>
  <c r="V241" i="2"/>
  <c r="W241" i="2" s="1"/>
  <c r="S241" i="2"/>
  <c r="AK241" i="2"/>
  <c r="P242" i="2" a="1"/>
  <c r="P242" i="2" s="1"/>
  <c r="P253" i="2" a="1"/>
  <c r="P253" i="2" s="1"/>
  <c r="T253" i="2" s="1"/>
  <c r="O253" i="2" a="1"/>
  <c r="O253" i="2" s="1"/>
  <c r="S253" i="2" s="1"/>
  <c r="P254" i="2" a="1"/>
  <c r="P254" i="2" s="1"/>
  <c r="T254" i="2" s="1"/>
  <c r="P272" i="2" a="1"/>
  <c r="P272" i="2" s="1"/>
  <c r="W287" i="2"/>
  <c r="P237" i="2" a="1"/>
  <c r="P237" i="2" s="1"/>
  <c r="L241" i="2"/>
  <c r="W242" i="2"/>
  <c r="P252" i="2" a="1"/>
  <c r="P252" i="2" s="1"/>
  <c r="T235" i="2"/>
  <c r="M241" i="2"/>
  <c r="P244" i="2" a="1"/>
  <c r="P244" i="2" s="1"/>
  <c r="T244" i="2" s="1"/>
  <c r="P245" i="2" a="1"/>
  <c r="P245" i="2" s="1"/>
  <c r="T245" i="2" s="1"/>
  <c r="O245" i="2" a="1"/>
  <c r="O245" i="2" s="1"/>
  <c r="S245" i="2" s="1"/>
  <c r="P246" i="2" a="1"/>
  <c r="P246" i="2" s="1"/>
  <c r="T246" i="2" s="1"/>
  <c r="O267" i="2" a="1"/>
  <c r="O267" i="2" s="1"/>
  <c r="S267" i="2" s="1"/>
  <c r="P317" i="2" a="1"/>
  <c r="P317" i="2" s="1"/>
  <c r="T317" i="2" s="1"/>
  <c r="O259" i="2" a="1"/>
  <c r="O259" i="2" s="1"/>
  <c r="P275" i="2" a="1"/>
  <c r="P275" i="2" s="1"/>
  <c r="O275" i="2" a="1"/>
  <c r="O275" i="2" s="1"/>
  <c r="O172" i="2" a="1"/>
  <c r="O172" i="2" s="1"/>
  <c r="S172" i="2" s="1"/>
  <c r="P206" i="2" a="1"/>
  <c r="P206" i="2" s="1"/>
  <c r="T206" i="2" s="1"/>
  <c r="K269" i="2"/>
  <c r="O237" i="2" a="1"/>
  <c r="O237" i="2" s="1"/>
  <c r="P243" i="2" a="1"/>
  <c r="P243" i="2" s="1"/>
  <c r="T243" i="2" s="1"/>
  <c r="AK244" i="2"/>
  <c r="M244" i="2"/>
  <c r="V244" i="2"/>
  <c r="W244" i="2" s="1"/>
  <c r="O251" i="2" a="1"/>
  <c r="O251" i="2" s="1"/>
  <c r="S251" i="2" s="1"/>
  <c r="O256" i="2" a="1"/>
  <c r="O256" i="2" s="1"/>
  <c r="S256" i="2" s="1"/>
  <c r="O258" i="2" a="1"/>
  <c r="O258" i="2" s="1"/>
  <c r="S258" i="2" s="1"/>
  <c r="O264" i="2" a="1"/>
  <c r="O264" i="2" s="1"/>
  <c r="K266" i="2"/>
  <c r="S209" i="2"/>
  <c r="L215" i="2"/>
  <c r="P222" i="2" a="1"/>
  <c r="P222" i="2" s="1"/>
  <c r="T222" i="2" s="1"/>
  <c r="V224" i="2"/>
  <c r="W224" i="2" s="1"/>
  <c r="O234" i="2" a="1"/>
  <c r="O234" i="2" s="1"/>
  <c r="O238" i="2" a="1"/>
  <c r="O238" i="2" s="1"/>
  <c r="S238" i="2" s="1"/>
  <c r="L243" i="2"/>
  <c r="K234" i="2"/>
  <c r="L244" i="2"/>
  <c r="AK252" i="2"/>
  <c r="M252" i="2"/>
  <c r="O257" i="2" a="1"/>
  <c r="O257" i="2" s="1"/>
  <c r="S257" i="2" s="1"/>
  <c r="P264" i="2" a="1"/>
  <c r="P264" i="2" s="1"/>
  <c r="P238" i="2" a="1"/>
  <c r="P238" i="2" s="1"/>
  <c r="T238" i="2" s="1"/>
  <c r="AK239" i="2"/>
  <c r="M243" i="2"/>
  <c r="P251" i="2" a="1"/>
  <c r="P251" i="2" s="1"/>
  <c r="T251" i="2" s="1"/>
  <c r="L252" i="2"/>
  <c r="P255" i="2" a="1"/>
  <c r="P255" i="2" s="1"/>
  <c r="T255" i="2" s="1"/>
  <c r="M256" i="2"/>
  <c r="L256" i="2"/>
  <c r="V256" i="2"/>
  <c r="W256" i="2" s="1"/>
  <c r="O273" i="2" a="1"/>
  <c r="O273" i="2" s="1"/>
  <c r="P284" i="2" a="1"/>
  <c r="P284" i="2" s="1"/>
  <c r="T284" i="2" s="1"/>
  <c r="O284" i="2" a="1"/>
  <c r="O284" i="2" s="1"/>
  <c r="S284" i="2" s="1"/>
  <c r="P286" i="2" a="1"/>
  <c r="P286" i="2" s="1"/>
  <c r="T286" i="2" s="1"/>
  <c r="O286" i="2" a="1"/>
  <c r="O286" i="2" s="1"/>
  <c r="S286" i="2" s="1"/>
  <c r="S230" i="2"/>
  <c r="K271" i="2"/>
  <c r="AK251" i="2"/>
  <c r="M251" i="2"/>
  <c r="L251" i="2"/>
  <c r="M257" i="2"/>
  <c r="L257" i="2"/>
  <c r="V257" i="2"/>
  <c r="W257" i="2" s="1"/>
  <c r="AK257" i="2"/>
  <c r="P273" i="2" a="1"/>
  <c r="P273" i="2" s="1"/>
  <c r="V205" i="2"/>
  <c r="K264" i="2"/>
  <c r="S214" i="2"/>
  <c r="O235" i="2" a="1"/>
  <c r="O235" i="2" s="1"/>
  <c r="S235" i="2" s="1"/>
  <c r="P247" i="2" a="1"/>
  <c r="P247" i="2" s="1"/>
  <c r="T247" i="2" s="1"/>
  <c r="O249" i="2" a="1"/>
  <c r="O249" i="2" s="1"/>
  <c r="S249" i="2" s="1"/>
  <c r="O250" i="2" a="1"/>
  <c r="O250" i="2" s="1"/>
  <c r="S250" i="2" s="1"/>
  <c r="P276" i="2" a="1"/>
  <c r="P276" i="2" s="1"/>
  <c r="O276" i="2" a="1"/>
  <c r="O276" i="2" s="1"/>
  <c r="O288" i="2" a="1"/>
  <c r="O288" i="2" s="1"/>
  <c r="S288" i="2" s="1"/>
  <c r="P201" i="2" a="1"/>
  <c r="P201" i="2" s="1"/>
  <c r="T201" i="2" s="1"/>
  <c r="L205" i="2"/>
  <c r="L214" i="2"/>
  <c r="W216" i="2"/>
  <c r="M220" i="2"/>
  <c r="O222" i="2" a="1"/>
  <c r="O222" i="2" s="1"/>
  <c r="S222" i="2" s="1"/>
  <c r="M230" i="2"/>
  <c r="K232" i="2"/>
  <c r="O248" i="2" a="1"/>
  <c r="O248" i="2" s="1"/>
  <c r="S248" i="2" s="1"/>
  <c r="P250" i="2" a="1"/>
  <c r="P250" i="2" s="1"/>
  <c r="T250" i="2" s="1"/>
  <c r="T252" i="2"/>
  <c r="P282" i="2" a="1"/>
  <c r="P282" i="2" s="1"/>
  <c r="T282" i="2" s="1"/>
  <c r="O282" i="2" a="1"/>
  <c r="O282" i="2" s="1"/>
  <c r="S282" i="2" s="1"/>
  <c r="W297" i="2"/>
  <c r="P239" i="2" a="1"/>
  <c r="P239" i="2" s="1"/>
  <c r="T239" i="2" s="1"/>
  <c r="O240" i="2" a="1"/>
  <c r="O240" i="2" s="1"/>
  <c r="S240" i="2" s="1"/>
  <c r="S243" i="2"/>
  <c r="V248" i="2"/>
  <c r="W248" i="2" s="1"/>
  <c r="M248" i="2"/>
  <c r="L248" i="2"/>
  <c r="V282" i="2"/>
  <c r="W282" i="2" s="1"/>
  <c r="M282" i="2"/>
  <c r="L282" i="2"/>
  <c r="P249" i="2" a="1"/>
  <c r="P249" i="2" s="1"/>
  <c r="T249" i="2" s="1"/>
  <c r="P267" i="2" a="1"/>
  <c r="P267" i="2" s="1"/>
  <c r="T267" i="2" s="1"/>
  <c r="M280" i="2"/>
  <c r="V280" i="2"/>
  <c r="AK280" i="2"/>
  <c r="O289" i="2" a="1"/>
  <c r="O289" i="2" s="1"/>
  <c r="S289" i="2" s="1"/>
  <c r="V296" i="2"/>
  <c r="W296" i="2" s="1"/>
  <c r="O298" i="2" a="1"/>
  <c r="O298" i="2" s="1"/>
  <c r="S298" i="2" s="1"/>
  <c r="M302" i="2"/>
  <c r="V302" i="2"/>
  <c r="W302" i="2" s="1"/>
  <c r="M303" i="2"/>
  <c r="V303" i="2"/>
  <c r="W303" i="2" s="1"/>
  <c r="M304" i="2"/>
  <c r="V304" i="2"/>
  <c r="W304" i="2" s="1"/>
  <c r="O320" i="2" a="1"/>
  <c r="O320" i="2" s="1"/>
  <c r="S320" i="2" s="1"/>
  <c r="P232" i="2" a="1"/>
  <c r="P232" i="2" s="1"/>
  <c r="K233" i="2"/>
  <c r="T242" i="2"/>
  <c r="P248" i="2" a="1"/>
  <c r="P248" i="2" s="1"/>
  <c r="T248" i="2" s="1"/>
  <c r="L250" i="2"/>
  <c r="AK258" i="2"/>
  <c r="L280" i="2"/>
  <c r="M284" i="2"/>
  <c r="M286" i="2"/>
  <c r="P287" i="2" a="1"/>
  <c r="P287" i="2" s="1"/>
  <c r="T287" i="2" s="1"/>
  <c r="V293" i="2"/>
  <c r="W293" i="2" s="1"/>
  <c r="P295" i="2" a="1"/>
  <c r="P295" i="2" s="1"/>
  <c r="T295" i="2" s="1"/>
  <c r="P299" i="2" a="1"/>
  <c r="P299" i="2" s="1"/>
  <c r="T299" i="2" s="1"/>
  <c r="L302" i="2"/>
  <c r="L303" i="2"/>
  <c r="L304" i="2"/>
  <c r="O305" i="2" a="1"/>
  <c r="O305" i="2" s="1"/>
  <c r="S305" i="2" s="1"/>
  <c r="O326" i="2" a="1"/>
  <c r="O326" i="2" s="1"/>
  <c r="U331" i="2"/>
  <c r="U22" i="2" s="1"/>
  <c r="W332" i="2"/>
  <c r="P372" i="2" a="1"/>
  <c r="P372" i="2" s="1"/>
  <c r="T372" i="2" s="1"/>
  <c r="O292" i="2" a="1"/>
  <c r="O292" i="2" s="1"/>
  <c r="S292" i="2" s="1"/>
  <c r="P305" i="2" a="1"/>
  <c r="P305" i="2" s="1"/>
  <c r="T305" i="2" s="1"/>
  <c r="O306" i="2" a="1"/>
  <c r="O306" i="2" s="1"/>
  <c r="S306" i="2" s="1"/>
  <c r="O357" i="2" a="1"/>
  <c r="O357" i="2" s="1"/>
  <c r="S357" i="2" s="1"/>
  <c r="S255" i="2"/>
  <c r="V260" i="2"/>
  <c r="W260" i="2" s="1"/>
  <c r="O262" i="2" a="1"/>
  <c r="O262" i="2" s="1"/>
  <c r="S262" i="2" s="1"/>
  <c r="K263" i="2"/>
  <c r="V288" i="2"/>
  <c r="W288" i="2" s="1"/>
  <c r="P290" i="2" a="1"/>
  <c r="P290" i="2" s="1"/>
  <c r="M298" i="2"/>
  <c r="V301" i="2"/>
  <c r="W301" i="2" s="1"/>
  <c r="M305" i="2"/>
  <c r="L305" i="2"/>
  <c r="P306" i="2" a="1"/>
  <c r="P306" i="2" s="1"/>
  <c r="T306" i="2" s="1"/>
  <c r="O307" i="2" a="1"/>
  <c r="O307" i="2" s="1"/>
  <c r="S307" i="2" s="1"/>
  <c r="M308" i="2"/>
  <c r="O322" i="2" a="1"/>
  <c r="O322" i="2" s="1"/>
  <c r="S322" i="2" s="1"/>
  <c r="O244" i="2" a="1"/>
  <c r="O244" i="2" s="1"/>
  <c r="S244" i="2" s="1"/>
  <c r="V258" i="2"/>
  <c r="W258" i="2" s="1"/>
  <c r="P262" i="2" a="1"/>
  <c r="P262" i="2" s="1"/>
  <c r="T262" i="2" s="1"/>
  <c r="O266" i="2" a="1"/>
  <c r="O266" i="2" s="1"/>
  <c r="O271" i="2" a="1"/>
  <c r="O271" i="2" s="1"/>
  <c r="O287" i="2" a="1"/>
  <c r="O287" i="2" s="1"/>
  <c r="S287" i="2" s="1"/>
  <c r="O295" i="2" a="1"/>
  <c r="O295" i="2" s="1"/>
  <c r="S295" i="2" s="1"/>
  <c r="O299" i="2" a="1"/>
  <c r="O299" i="2" s="1"/>
  <c r="S299" i="2" s="1"/>
  <c r="M306" i="2"/>
  <c r="L306" i="2"/>
  <c r="P307" i="2" a="1"/>
  <c r="P307" i="2" s="1"/>
  <c r="T307" i="2" s="1"/>
  <c r="P322" i="2" a="1"/>
  <c r="P322" i="2" s="1"/>
  <c r="T322" i="2" s="1"/>
  <c r="P336" i="2" a="1"/>
  <c r="P336" i="2" s="1"/>
  <c r="T336" i="2" s="1"/>
  <c r="P364" i="2" a="1"/>
  <c r="P364" i="2" s="1"/>
  <c r="T364" i="2" s="1"/>
  <c r="P383" i="2" a="1"/>
  <c r="P383" i="2" s="1"/>
  <c r="T383" i="2" s="1"/>
  <c r="L246" i="2"/>
  <c r="M247" i="2"/>
  <c r="O281" i="2" a="1"/>
  <c r="O281" i="2" s="1"/>
  <c r="S281" i="2" s="1"/>
  <c r="O283" i="2" a="1"/>
  <c r="O283" i="2" s="1"/>
  <c r="O285" i="2" a="1"/>
  <c r="O285" i="2" s="1"/>
  <c r="W291" i="2"/>
  <c r="P293" i="2" a="1"/>
  <c r="P293" i="2" s="1"/>
  <c r="T293" i="2" s="1"/>
  <c r="P296" i="2" a="1"/>
  <c r="P296" i="2" s="1"/>
  <c r="T296" i="2" s="1"/>
  <c r="P300" i="2" a="1"/>
  <c r="P300" i="2" s="1"/>
  <c r="T300" i="2" s="1"/>
  <c r="M307" i="2"/>
  <c r="L307" i="2"/>
  <c r="P312" i="2" a="1"/>
  <c r="P312" i="2" s="1"/>
  <c r="T312" i="2" s="1"/>
  <c r="O312" i="2" a="1"/>
  <c r="O312" i="2" s="1"/>
  <c r="S312" i="2" s="1"/>
  <c r="P316" i="2" a="1"/>
  <c r="P316" i="2" s="1"/>
  <c r="O319" i="2" a="1"/>
  <c r="O319" i="2" s="1"/>
  <c r="S319" i="2" s="1"/>
  <c r="O260" i="2" a="1"/>
  <c r="O260" i="2" s="1"/>
  <c r="S260" i="2" s="1"/>
  <c r="O274" i="2" a="1"/>
  <c r="O274" i="2" s="1"/>
  <c r="T280" i="2"/>
  <c r="P281" i="2" a="1"/>
  <c r="P281" i="2" s="1"/>
  <c r="T281" i="2" s="1"/>
  <c r="P283" i="2" a="1"/>
  <c r="P283" i="2" s="1"/>
  <c r="P285" i="2" a="1"/>
  <c r="P285" i="2" s="1"/>
  <c r="T285" i="2" s="1"/>
  <c r="O290" i="2" a="1"/>
  <c r="O290" i="2" s="1"/>
  <c r="S290" i="2" s="1"/>
  <c r="AK300" i="2"/>
  <c r="V312" i="2"/>
  <c r="W312" i="2" s="1"/>
  <c r="M312" i="2"/>
  <c r="L312" i="2"/>
  <c r="T316" i="2"/>
  <c r="M316" i="2"/>
  <c r="L316" i="2"/>
  <c r="W317" i="2"/>
  <c r="P319" i="2" a="1"/>
  <c r="P319" i="2" s="1"/>
  <c r="T319" i="2" s="1"/>
  <c r="P347" i="2" a="1"/>
  <c r="P347" i="2" s="1"/>
  <c r="W286" i="2"/>
  <c r="P288" i="2" a="1"/>
  <c r="P288" i="2" s="1"/>
  <c r="T288" i="2" s="1"/>
  <c r="AK296" i="2"/>
  <c r="O310" i="2" a="1"/>
  <c r="O310" i="2" s="1"/>
  <c r="S310" i="2" s="1"/>
  <c r="O333" i="2" a="1"/>
  <c r="O333" i="2" s="1"/>
  <c r="O336" i="2" a="1"/>
  <c r="O336" i="2" s="1"/>
  <c r="S336" i="2" s="1"/>
  <c r="P349" i="2" a="1"/>
  <c r="P349" i="2" s="1"/>
  <c r="T349" i="2" s="1"/>
  <c r="O277" i="2" a="1"/>
  <c r="O277" i="2" s="1"/>
  <c r="L281" i="2"/>
  <c r="L283" i="2"/>
  <c r="L285" i="2"/>
  <c r="O293" i="2" a="1"/>
  <c r="O293" i="2" s="1"/>
  <c r="S293" i="2" s="1"/>
  <c r="O296" i="2" a="1"/>
  <c r="O296" i="2" s="1"/>
  <c r="S296" i="2" s="1"/>
  <c r="W298" i="2"/>
  <c r="O300" i="2" a="1"/>
  <c r="O300" i="2" s="1"/>
  <c r="S300" i="2" s="1"/>
  <c r="P301" i="2" a="1"/>
  <c r="P301" i="2" s="1"/>
  <c r="T301" i="2" s="1"/>
  <c r="P318" i="2" a="1"/>
  <c r="P318" i="2" s="1"/>
  <c r="O318" i="2" a="1"/>
  <c r="O318" i="2" s="1"/>
  <c r="S318" i="2" s="1"/>
  <c r="O321" i="2" a="1"/>
  <c r="O321" i="2" s="1"/>
  <c r="S321" i="2" s="1"/>
  <c r="P321" i="2" a="1"/>
  <c r="P321" i="2" s="1"/>
  <c r="T321" i="2" s="1"/>
  <c r="T328" i="2"/>
  <c r="V328" i="2"/>
  <c r="W328" i="2" s="1"/>
  <c r="M328" i="2"/>
  <c r="L328" i="2"/>
  <c r="P333" i="2" a="1"/>
  <c r="P333" i="2" s="1"/>
  <c r="K259" i="2"/>
  <c r="P270" i="2" a="1"/>
  <c r="P270" i="2" s="1"/>
  <c r="O270" i="2" a="1"/>
  <c r="O270" i="2" s="1"/>
  <c r="P277" i="2" a="1"/>
  <c r="P277" i="2" s="1"/>
  <c r="M281" i="2"/>
  <c r="P291" i="2" a="1"/>
  <c r="P291" i="2" s="1"/>
  <c r="T291" i="2" s="1"/>
  <c r="AK293" i="2"/>
  <c r="P297" i="2" a="1"/>
  <c r="P297" i="2" s="1"/>
  <c r="T297" i="2" s="1"/>
  <c r="P310" i="2" a="1"/>
  <c r="P310" i="2" s="1"/>
  <c r="T310" i="2" s="1"/>
  <c r="L325" i="2"/>
  <c r="V325" i="2"/>
  <c r="W325" i="2" s="1"/>
  <c r="AI325" i="2"/>
  <c r="M325" i="2"/>
  <c r="O328" i="2" a="1"/>
  <c r="O328" i="2" s="1"/>
  <c r="S328" i="2" s="1"/>
  <c r="O365" i="2" a="1"/>
  <c r="O365" i="2" s="1"/>
  <c r="S365" i="2" s="1"/>
  <c r="W292" i="2"/>
  <c r="M293" i="2"/>
  <c r="P294" i="2" a="1"/>
  <c r="P294" i="2" s="1"/>
  <c r="T294" i="2" s="1"/>
  <c r="M296" i="2"/>
  <c r="M300" i="2"/>
  <c r="O301" i="2" a="1"/>
  <c r="O301" i="2" s="1"/>
  <c r="S301" i="2" s="1"/>
  <c r="O309" i="2" a="1"/>
  <c r="O309" i="2" s="1"/>
  <c r="S309" i="2" s="1"/>
  <c r="O311" i="2" a="1"/>
  <c r="O311" i="2" s="1"/>
  <c r="S311" i="2" s="1"/>
  <c r="O334" i="2" a="1"/>
  <c r="O334" i="2" s="1"/>
  <c r="S334" i="2" s="1"/>
  <c r="W347" i="2"/>
  <c r="O236" i="2" a="1"/>
  <c r="O236" i="2" s="1"/>
  <c r="S236" i="2" s="1"/>
  <c r="AK245" i="2"/>
  <c r="O252" i="2" a="1"/>
  <c r="O252" i="2" s="1"/>
  <c r="S252" i="2" s="1"/>
  <c r="L255" i="2"/>
  <c r="S283" i="2"/>
  <c r="S285" i="2"/>
  <c r="L288" i="2"/>
  <c r="O291" i="2" a="1"/>
  <c r="O291" i="2" s="1"/>
  <c r="S291" i="2" s="1"/>
  <c r="W295" i="2"/>
  <c r="O297" i="2" a="1"/>
  <c r="O297" i="2" s="1"/>
  <c r="S297" i="2" s="1"/>
  <c r="W299" i="2"/>
  <c r="O302" i="2" a="1"/>
  <c r="O302" i="2" s="1"/>
  <c r="S302" i="2" s="1"/>
  <c r="O303" i="2" a="1"/>
  <c r="O303" i="2" s="1"/>
  <c r="S303" i="2" s="1"/>
  <c r="O304" i="2" a="1"/>
  <c r="O304" i="2" s="1"/>
  <c r="S304" i="2" s="1"/>
  <c r="P311" i="2" a="1"/>
  <c r="P311" i="2" s="1"/>
  <c r="O314" i="2" a="1"/>
  <c r="O314" i="2" s="1"/>
  <c r="S314" i="2" s="1"/>
  <c r="P334" i="2" a="1"/>
  <c r="P334" i="2" s="1"/>
  <c r="T334" i="2" s="1"/>
  <c r="P337" i="2" a="1"/>
  <c r="P337" i="2" s="1"/>
  <c r="T337" i="2" s="1"/>
  <c r="P365" i="2" a="1"/>
  <c r="P365" i="2" s="1"/>
  <c r="T365" i="2" s="1"/>
  <c r="K237" i="2"/>
  <c r="K277" i="2" s="1"/>
  <c r="G21" i="2"/>
  <c r="T283" i="2"/>
  <c r="P289" i="2" a="1"/>
  <c r="P289" i="2" s="1"/>
  <c r="T289" i="2" s="1"/>
  <c r="T290" i="2"/>
  <c r="P298" i="2" a="1"/>
  <c r="P298" i="2" s="1"/>
  <c r="T298" i="2" s="1"/>
  <c r="L301" i="2"/>
  <c r="P309" i="2" a="1"/>
  <c r="P309" i="2" s="1"/>
  <c r="T309" i="2" s="1"/>
  <c r="W311" i="2"/>
  <c r="P313" i="2" a="1"/>
  <c r="P313" i="2" s="1"/>
  <c r="T313" i="2" s="1"/>
  <c r="O313" i="2" a="1"/>
  <c r="O313" i="2" s="1"/>
  <c r="S313" i="2" s="1"/>
  <c r="O317" i="2" a="1"/>
  <c r="O317" i="2" s="1"/>
  <c r="S317" i="2" s="1"/>
  <c r="P341" i="2" a="1"/>
  <c r="P341" i="2" s="1"/>
  <c r="T341" i="2" s="1"/>
  <c r="O280" i="2" a="1"/>
  <c r="O280" i="2" s="1"/>
  <c r="S280" i="2" s="1"/>
  <c r="O294" i="2" a="1"/>
  <c r="O294" i="2" s="1"/>
  <c r="S294" i="2" s="1"/>
  <c r="P308" i="2" a="1"/>
  <c r="P308" i="2" s="1"/>
  <c r="T308" i="2" s="1"/>
  <c r="P292" i="2" a="1"/>
  <c r="P292" i="2" s="1"/>
  <c r="T292" i="2" s="1"/>
  <c r="P302" i="2" a="1"/>
  <c r="P302" i="2" s="1"/>
  <c r="T302" i="2" s="1"/>
  <c r="P303" i="2" a="1"/>
  <c r="P303" i="2" s="1"/>
  <c r="T303" i="2" s="1"/>
  <c r="P304" i="2" a="1"/>
  <c r="P304" i="2" s="1"/>
  <c r="T304" i="2" s="1"/>
  <c r="O323" i="2" a="1"/>
  <c r="O323" i="2" s="1"/>
  <c r="S323" i="2" s="1"/>
  <c r="O348" i="2" a="1"/>
  <c r="O348" i="2" s="1"/>
  <c r="S348" i="2" s="1"/>
  <c r="T315" i="2"/>
  <c r="L329" i="2"/>
  <c r="O335" i="2" a="1"/>
  <c r="O335" i="2" s="1"/>
  <c r="S335" i="2" s="1"/>
  <c r="P368" i="2" a="1"/>
  <c r="P368" i="2" s="1"/>
  <c r="P369" i="2" a="1"/>
  <c r="P369" i="2" s="1"/>
  <c r="T369" i="2" s="1"/>
  <c r="P394" i="2" a="1"/>
  <c r="P394" i="2" s="1"/>
  <c r="T394" i="2" s="1"/>
  <c r="O394" i="2" a="1"/>
  <c r="O394" i="2" s="1"/>
  <c r="S394" i="2" s="1"/>
  <c r="P417" i="2" a="1"/>
  <c r="P417" i="2" s="1"/>
  <c r="L313" i="2"/>
  <c r="M329" i="2"/>
  <c r="O341" i="2" a="1"/>
  <c r="O341" i="2" s="1"/>
  <c r="S341" i="2" s="1"/>
  <c r="L345" i="2"/>
  <c r="AK360" i="2"/>
  <c r="AJ23" i="2" s="1"/>
  <c r="P374" i="2" a="1"/>
  <c r="P374" i="2" s="1"/>
  <c r="T374" i="2" s="1"/>
  <c r="P378" i="2" a="1"/>
  <c r="P378" i="2" s="1"/>
  <c r="T378" i="2" s="1"/>
  <c r="O378" i="2" a="1"/>
  <c r="O378" i="2" s="1"/>
  <c r="S378" i="2" s="1"/>
  <c r="O380" i="2" a="1"/>
  <c r="O380" i="2" s="1"/>
  <c r="S380" i="2" s="1"/>
  <c r="O385" i="2" a="1"/>
  <c r="O385" i="2" s="1"/>
  <c r="S385" i="2" s="1"/>
  <c r="P414" i="2" a="1"/>
  <c r="P414" i="2" s="1"/>
  <c r="T414" i="2" s="1"/>
  <c r="P339" i="2" a="1"/>
  <c r="P339" i="2" s="1"/>
  <c r="T339" i="2" s="1"/>
  <c r="O353" i="2" a="1"/>
  <c r="O353" i="2" s="1"/>
  <c r="S353" i="2" s="1"/>
  <c r="O368" i="2" a="1"/>
  <c r="O368" i="2" s="1"/>
  <c r="P379" i="2" a="1"/>
  <c r="P379" i="2" s="1"/>
  <c r="T379" i="2" s="1"/>
  <c r="P380" i="2" a="1"/>
  <c r="P380" i="2" s="1"/>
  <c r="T380" i="2" s="1"/>
  <c r="P385" i="2" a="1"/>
  <c r="P385" i="2" s="1"/>
  <c r="T385" i="2" s="1"/>
  <c r="P392" i="2" a="1"/>
  <c r="P392" i="2" s="1"/>
  <c r="T392" i="2" s="1"/>
  <c r="P422" i="2" a="1"/>
  <c r="P422" i="2" s="1"/>
  <c r="T422" i="2" s="1"/>
  <c r="V309" i="2"/>
  <c r="W309" i="2" s="1"/>
  <c r="F326" i="2"/>
  <c r="K326" i="2" s="1"/>
  <c r="P335" i="2" a="1"/>
  <c r="P335" i="2" s="1"/>
  <c r="T335" i="2" s="1"/>
  <c r="V355" i="2"/>
  <c r="W355" i="2" s="1"/>
  <c r="P357" i="2" a="1"/>
  <c r="P357" i="2" s="1"/>
  <c r="T357" i="2" s="1"/>
  <c r="O364" i="2" a="1"/>
  <c r="O364" i="2" s="1"/>
  <c r="S364" i="2" s="1"/>
  <c r="S368" i="2"/>
  <c r="V368" i="2"/>
  <c r="W368" i="2" s="1"/>
  <c r="T368" i="2"/>
  <c r="M368" i="2"/>
  <c r="O372" i="2" a="1"/>
  <c r="O372" i="2" s="1"/>
  <c r="S372" i="2" s="1"/>
  <c r="W392" i="2"/>
  <c r="O405" i="2" a="1"/>
  <c r="O405" i="2" s="1"/>
  <c r="S405" i="2" s="1"/>
  <c r="O421" i="2" a="1"/>
  <c r="O421" i="2" s="1"/>
  <c r="S421" i="2" s="1"/>
  <c r="O427" i="2" a="1"/>
  <c r="O427" i="2" s="1"/>
  <c r="P342" i="2" a="1"/>
  <c r="P342" i="2" s="1"/>
  <c r="T342" i="2" s="1"/>
  <c r="O342" i="2" a="1"/>
  <c r="O342" i="2" s="1"/>
  <c r="S342" i="2" s="1"/>
  <c r="M357" i="2"/>
  <c r="L357" i="2"/>
  <c r="V357" i="2"/>
  <c r="W357" i="2" s="1"/>
  <c r="P367" i="2" a="1"/>
  <c r="P367" i="2" s="1"/>
  <c r="T367" i="2" s="1"/>
  <c r="O367" i="2" a="1"/>
  <c r="O367" i="2" s="1"/>
  <c r="S367" i="2" s="1"/>
  <c r="L368" i="2"/>
  <c r="W399" i="2"/>
  <c r="P411" i="2" a="1"/>
  <c r="P411" i="2" s="1"/>
  <c r="T411" i="2" s="1"/>
  <c r="O435" i="2" a="1"/>
  <c r="O435" i="2" s="1"/>
  <c r="S435" i="2" s="1"/>
  <c r="O339" i="2" a="1"/>
  <c r="O339" i="2" s="1"/>
  <c r="S339" i="2" s="1"/>
  <c r="O346" i="2" a="1"/>
  <c r="O346" i="2" s="1"/>
  <c r="S346" i="2" s="1"/>
  <c r="O371" i="2" a="1"/>
  <c r="O371" i="2" s="1"/>
  <c r="S371" i="2" s="1"/>
  <c r="P450" i="2" a="1"/>
  <c r="P450" i="2" s="1"/>
  <c r="T450" i="2" s="1"/>
  <c r="M311" i="2"/>
  <c r="O315" i="2" a="1"/>
  <c r="O315" i="2" s="1"/>
  <c r="T323" i="2"/>
  <c r="P326" i="2" a="1"/>
  <c r="P326" i="2" s="1"/>
  <c r="M335" i="2"/>
  <c r="V336" i="2"/>
  <c r="W336" i="2" s="1"/>
  <c r="M337" i="2"/>
  <c r="M22" i="2" s="1"/>
  <c r="L337" i="2"/>
  <c r="P346" i="2" a="1"/>
  <c r="P346" i="2" s="1"/>
  <c r="T346" i="2" s="1"/>
  <c r="P348" i="2" a="1"/>
  <c r="P348" i="2" s="1"/>
  <c r="T348" i="2" s="1"/>
  <c r="O354" i="2" a="1"/>
  <c r="O354" i="2" s="1"/>
  <c r="S354" i="2" s="1"/>
  <c r="O361" i="2" a="1"/>
  <c r="O361" i="2" s="1"/>
  <c r="S361" i="2" s="1"/>
  <c r="W369" i="2"/>
  <c r="P373" i="2" a="1"/>
  <c r="P373" i="2" s="1"/>
  <c r="T373" i="2" s="1"/>
  <c r="O389" i="2" a="1"/>
  <c r="O389" i="2" s="1"/>
  <c r="P389" i="2" a="1"/>
  <c r="P389" i="2" s="1"/>
  <c r="O410" i="2" a="1"/>
  <c r="O410" i="2" s="1"/>
  <c r="S410" i="2" s="1"/>
  <c r="V445" i="2"/>
  <c r="W445" i="2" s="1"/>
  <c r="M445" i="2"/>
  <c r="L445" i="2"/>
  <c r="AI445" i="2"/>
  <c r="W320" i="2"/>
  <c r="P354" i="2" a="1"/>
  <c r="P354" i="2" s="1"/>
  <c r="T354" i="2" s="1"/>
  <c r="O355" i="2" a="1"/>
  <c r="O355" i="2" s="1"/>
  <c r="S355" i="2" s="1"/>
  <c r="O358" i="2" a="1"/>
  <c r="O358" i="2" s="1"/>
  <c r="S358" i="2" s="1"/>
  <c r="P361" i="2" a="1"/>
  <c r="P361" i="2" s="1"/>
  <c r="T361" i="2" s="1"/>
  <c r="M367" i="2"/>
  <c r="L367" i="2"/>
  <c r="P371" i="2" a="1"/>
  <c r="P371" i="2" s="1"/>
  <c r="T371" i="2" s="1"/>
  <c r="O377" i="2" a="1"/>
  <c r="O377" i="2" s="1"/>
  <c r="S377" i="2" s="1"/>
  <c r="P387" i="2" a="1"/>
  <c r="P387" i="2" s="1"/>
  <c r="T387" i="2" s="1"/>
  <c r="O391" i="2" a="1"/>
  <c r="O391" i="2" s="1"/>
  <c r="S391" i="2" s="1"/>
  <c r="P403" i="2" a="1"/>
  <c r="P403" i="2" s="1"/>
  <c r="T403" i="2" s="1"/>
  <c r="P410" i="2" a="1"/>
  <c r="P410" i="2" s="1"/>
  <c r="T410" i="2" s="1"/>
  <c r="P413" i="2" a="1"/>
  <c r="P413" i="2" s="1"/>
  <c r="T413" i="2" s="1"/>
  <c r="P421" i="2" a="1"/>
  <c r="P421" i="2" s="1"/>
  <c r="T421" i="2" s="1"/>
  <c r="P427" i="2" a="1"/>
  <c r="P427" i="2" s="1"/>
  <c r="P441" i="2" a="1"/>
  <c r="P441" i="2" s="1"/>
  <c r="O308" i="2" a="1"/>
  <c r="O308" i="2" s="1"/>
  <c r="S308" i="2" s="1"/>
  <c r="M318" i="2"/>
  <c r="L321" i="2"/>
  <c r="W323" i="2"/>
  <c r="V329" i="2"/>
  <c r="W329" i="2" s="1"/>
  <c r="P332" i="2" a="1"/>
  <c r="P332" i="2" s="1"/>
  <c r="T332" i="2" s="1"/>
  <c r="O344" i="2" a="1"/>
  <c r="O344" i="2" s="1"/>
  <c r="S344" i="2" s="1"/>
  <c r="O349" i="2" a="1"/>
  <c r="O349" i="2" s="1"/>
  <c r="S349" i="2" s="1"/>
  <c r="V360" i="2"/>
  <c r="W360" i="2" s="1"/>
  <c r="AK361" i="2"/>
  <c r="W374" i="2"/>
  <c r="O376" i="2" a="1"/>
  <c r="O376" i="2" s="1"/>
  <c r="S376" i="2" s="1"/>
  <c r="O383" i="2" a="1"/>
  <c r="O383" i="2" s="1"/>
  <c r="S383" i="2" s="1"/>
  <c r="V387" i="2"/>
  <c r="W387" i="2" s="1"/>
  <c r="K389" i="2"/>
  <c r="S387" i="2"/>
  <c r="M387" i="2"/>
  <c r="L387" i="2"/>
  <c r="O397" i="2" a="1"/>
  <c r="O397" i="2" s="1"/>
  <c r="S397" i="2" s="1"/>
  <c r="P397" i="2" a="1"/>
  <c r="P397" i="2" s="1"/>
  <c r="T397" i="2" s="1"/>
  <c r="M403" i="2"/>
  <c r="V403" i="2"/>
  <c r="W403" i="2" s="1"/>
  <c r="L403" i="2"/>
  <c r="L315" i="2"/>
  <c r="L318" i="2"/>
  <c r="M321" i="2"/>
  <c r="O325" i="2" a="1"/>
  <c r="O325" i="2" s="1"/>
  <c r="S325" i="2" s="1"/>
  <c r="L342" i="2"/>
  <c r="P344" i="2" a="1"/>
  <c r="P344" i="2" s="1"/>
  <c r="T344" i="2" s="1"/>
  <c r="P366" i="2" a="1"/>
  <c r="P366" i="2" s="1"/>
  <c r="T366" i="2" s="1"/>
  <c r="V377" i="2"/>
  <c r="W377" i="2" s="1"/>
  <c r="T377" i="2"/>
  <c r="M377" i="2"/>
  <c r="M383" i="2"/>
  <c r="K388" i="2"/>
  <c r="V383" i="2"/>
  <c r="W383" i="2" s="1"/>
  <c r="O400" i="2" a="1"/>
  <c r="O400" i="2" s="1"/>
  <c r="S400" i="2" s="1"/>
  <c r="P325" i="2" a="1"/>
  <c r="P325" i="2" s="1"/>
  <c r="T325" i="2" s="1"/>
  <c r="M344" i="2"/>
  <c r="P355" i="2" a="1"/>
  <c r="P355" i="2" s="1"/>
  <c r="T355" i="2" s="1"/>
  <c r="P370" i="2" a="1"/>
  <c r="P370" i="2" s="1"/>
  <c r="T370" i="2" s="1"/>
  <c r="P390" i="2" a="1"/>
  <c r="P390" i="2" s="1"/>
  <c r="T390" i="2" s="1"/>
  <c r="P393" i="2" a="1"/>
  <c r="P393" i="2" s="1"/>
  <c r="T393" i="2" s="1"/>
  <c r="P400" i="2" a="1"/>
  <c r="P400" i="2" s="1"/>
  <c r="T400" i="2" s="1"/>
  <c r="O402" i="2" a="1"/>
  <c r="O402" i="2" s="1"/>
  <c r="S402" i="2" s="1"/>
  <c r="P418" i="2" a="1"/>
  <c r="P418" i="2" s="1"/>
  <c r="T418" i="2" s="1"/>
  <c r="W341" i="2"/>
  <c r="L344" i="2"/>
  <c r="M355" i="2"/>
  <c r="O362" i="2" a="1"/>
  <c r="O362" i="2" s="1"/>
  <c r="S362" i="2" s="1"/>
  <c r="V367" i="2"/>
  <c r="W367" i="2" s="1"/>
  <c r="O370" i="2" a="1"/>
  <c r="O370" i="2" s="1"/>
  <c r="S370" i="2" s="1"/>
  <c r="P402" i="2" a="1"/>
  <c r="P402" i="2" s="1"/>
  <c r="T402" i="2" s="1"/>
  <c r="M334" i="2"/>
  <c r="K333" i="2"/>
  <c r="V334" i="2"/>
  <c r="W334" i="2" s="1"/>
  <c r="O340" i="2" a="1"/>
  <c r="O340" i="2" s="1"/>
  <c r="S340" i="2" s="1"/>
  <c r="O345" i="2" a="1"/>
  <c r="O345" i="2" s="1"/>
  <c r="S345" i="2" s="1"/>
  <c r="P362" i="2" a="1"/>
  <c r="P362" i="2" s="1"/>
  <c r="T362" i="2" s="1"/>
  <c r="P375" i="2" a="1"/>
  <c r="P375" i="2" s="1"/>
  <c r="T375" i="2" s="1"/>
  <c r="O375" i="2" a="1"/>
  <c r="O375" i="2" s="1"/>
  <c r="S375" i="2" s="1"/>
  <c r="O390" i="2" a="1"/>
  <c r="O390" i="2" s="1"/>
  <c r="S390" i="2" s="1"/>
  <c r="P395" i="2" a="1"/>
  <c r="P395" i="2" s="1"/>
  <c r="T395" i="2" s="1"/>
  <c r="P426" i="2" a="1"/>
  <c r="P426" i="2" s="1"/>
  <c r="T426" i="2" s="1"/>
  <c r="O426" i="2" a="1"/>
  <c r="O426" i="2" s="1"/>
  <c r="S426" i="2" s="1"/>
  <c r="T311" i="2"/>
  <c r="L334" i="2"/>
  <c r="L336" i="2"/>
  <c r="L22" i="2" s="1"/>
  <c r="O338" i="2" a="1"/>
  <c r="O338" i="2" s="1"/>
  <c r="S338" i="2" s="1"/>
  <c r="L349" i="2"/>
  <c r="V386" i="2"/>
  <c r="W386" i="2" s="1"/>
  <c r="M386" i="2"/>
  <c r="L386" i="2"/>
  <c r="V395" i="2"/>
  <c r="W395" i="2" s="1"/>
  <c r="M395" i="2"/>
  <c r="L395" i="2"/>
  <c r="P409" i="2" a="1"/>
  <c r="P409" i="2" s="1"/>
  <c r="T409" i="2" s="1"/>
  <c r="P424" i="2" a="1"/>
  <c r="P424" i="2" s="1"/>
  <c r="T424" i="2" s="1"/>
  <c r="P457" i="2" a="1"/>
  <c r="P457" i="2" s="1"/>
  <c r="V335" i="2"/>
  <c r="W335" i="2" s="1"/>
  <c r="O347" i="2" a="1"/>
  <c r="O347" i="2" s="1"/>
  <c r="S347" i="2" s="1"/>
  <c r="M349" i="2"/>
  <c r="V361" i="2"/>
  <c r="W361" i="2" s="1"/>
  <c r="M375" i="2"/>
  <c r="L375" i="2"/>
  <c r="P381" i="2" a="1"/>
  <c r="P381" i="2" s="1"/>
  <c r="T381" i="2" s="1"/>
  <c r="S315" i="2"/>
  <c r="T318" i="2"/>
  <c r="P345" i="2" a="1"/>
  <c r="P345" i="2" s="1"/>
  <c r="T345" i="2" s="1"/>
  <c r="T347" i="2"/>
  <c r="M347" i="2"/>
  <c r="W348" i="2"/>
  <c r="T358" i="2"/>
  <c r="O360" i="2" a="1"/>
  <c r="O360" i="2" s="1"/>
  <c r="S360" i="2" s="1"/>
  <c r="W393" i="2"/>
  <c r="O401" i="2" a="1"/>
  <c r="O401" i="2" s="1"/>
  <c r="P406" i="2" a="1"/>
  <c r="P406" i="2" s="1"/>
  <c r="T406" i="2" s="1"/>
  <c r="P376" i="2" a="1"/>
  <c r="P376" i="2" s="1"/>
  <c r="T376" i="2" s="1"/>
  <c r="O386" i="2" a="1"/>
  <c r="O386" i="2" s="1"/>
  <c r="S386" i="2" s="1"/>
  <c r="O398" i="2" a="1"/>
  <c r="O398" i="2" s="1"/>
  <c r="S398" i="2" s="1"/>
  <c r="P404" i="2" a="1"/>
  <c r="P404" i="2" s="1"/>
  <c r="T404" i="2" s="1"/>
  <c r="O404" i="2" a="1"/>
  <c r="O404" i="2" s="1"/>
  <c r="S404" i="2" s="1"/>
  <c r="L381" i="2"/>
  <c r="P386" i="2" a="1"/>
  <c r="P386" i="2" s="1"/>
  <c r="T386" i="2" s="1"/>
  <c r="P398" i="2" a="1"/>
  <c r="P398" i="2" s="1"/>
  <c r="T398" i="2" s="1"/>
  <c r="W415" i="2"/>
  <c r="P420" i="2" a="1"/>
  <c r="P420" i="2" s="1"/>
  <c r="T420" i="2" s="1"/>
  <c r="O420" i="2" a="1"/>
  <c r="O420" i="2" s="1"/>
  <c r="W422" i="2"/>
  <c r="O431" i="2" a="1"/>
  <c r="O431" i="2" s="1"/>
  <c r="S431" i="2" s="1"/>
  <c r="P434" i="2" a="1"/>
  <c r="P434" i="2" s="1"/>
  <c r="T434" i="2" s="1"/>
  <c r="O434" i="2" a="1"/>
  <c r="O434" i="2" s="1"/>
  <c r="S434" i="2" s="1"/>
  <c r="L450" i="2"/>
  <c r="V450" i="2"/>
  <c r="W450" i="2" s="1"/>
  <c r="O486" i="2" a="1"/>
  <c r="O486" i="2" s="1"/>
  <c r="P489" i="2" a="1"/>
  <c r="P489" i="2" s="1"/>
  <c r="P425" i="2" a="1"/>
  <c r="P425" i="2" s="1"/>
  <c r="T425" i="2" s="1"/>
  <c r="P430" i="2" a="1"/>
  <c r="P430" i="2" s="1"/>
  <c r="T430" i="2" s="1"/>
  <c r="O430" i="2" a="1"/>
  <c r="O430" i="2" s="1"/>
  <c r="S430" i="2" s="1"/>
  <c r="O432" i="2" a="1"/>
  <c r="O432" i="2" s="1"/>
  <c r="S432" i="2" s="1"/>
  <c r="P445" i="2" a="1"/>
  <c r="P445" i="2" s="1"/>
  <c r="T445" i="2" s="1"/>
  <c r="P449" i="2" a="1"/>
  <c r="P449" i="2" s="1"/>
  <c r="T449" i="2" s="1"/>
  <c r="O449" i="2" a="1"/>
  <c r="O449" i="2" s="1"/>
  <c r="P461" i="2" a="1"/>
  <c r="P461" i="2" s="1"/>
  <c r="O473" i="2" a="1"/>
  <c r="O473" i="2" s="1"/>
  <c r="S473" i="2" s="1"/>
  <c r="P499" i="2" a="1"/>
  <c r="P499" i="2" s="1"/>
  <c r="T499" i="2" s="1"/>
  <c r="P523" i="2" a="1"/>
  <c r="P523" i="2" s="1"/>
  <c r="T523" i="2" s="1"/>
  <c r="L371" i="2"/>
  <c r="L404" i="2"/>
  <c r="O414" i="2" a="1"/>
  <c r="O414" i="2" s="1"/>
  <c r="S414" i="2" s="1"/>
  <c r="P419" i="2" a="1"/>
  <c r="P419" i="2" s="1"/>
  <c r="S420" i="2"/>
  <c r="M425" i="2"/>
  <c r="T427" i="2"/>
  <c r="O428" i="2" a="1"/>
  <c r="O428" i="2" s="1"/>
  <c r="S428" i="2" s="1"/>
  <c r="P432" i="2" a="1"/>
  <c r="P432" i="2" s="1"/>
  <c r="T432" i="2" s="1"/>
  <c r="P442" i="2" a="1"/>
  <c r="P442" i="2" s="1"/>
  <c r="T442" i="2" s="1"/>
  <c r="P491" i="2" a="1"/>
  <c r="P491" i="2" s="1"/>
  <c r="O491" i="2" a="1"/>
  <c r="O491" i="2" s="1"/>
  <c r="S491" i="2" s="1"/>
  <c r="P431" i="2" a="1"/>
  <c r="P431" i="2" s="1"/>
  <c r="T431" i="2" s="1"/>
  <c r="T435" i="2"/>
  <c r="O436" i="2" a="1"/>
  <c r="O436" i="2" s="1"/>
  <c r="S436" i="2" s="1"/>
  <c r="V442" i="2"/>
  <c r="W442" i="2" s="1"/>
  <c r="M442" i="2"/>
  <c r="O442" i="2" a="1"/>
  <c r="O442" i="2" s="1"/>
  <c r="S442" i="2" s="1"/>
  <c r="O444" i="2" a="1"/>
  <c r="O444" i="2" s="1"/>
  <c r="S444" i="2" s="1"/>
  <c r="P582" i="2" a="1"/>
  <c r="P582" i="2" s="1"/>
  <c r="V354" i="2"/>
  <c r="L394" i="2"/>
  <c r="L400" i="2"/>
  <c r="W412" i="2"/>
  <c r="L419" i="2"/>
  <c r="P433" i="2" a="1"/>
  <c r="P433" i="2" s="1"/>
  <c r="T433" i="2" s="1"/>
  <c r="P439" i="2" a="1"/>
  <c r="P439" i="2" s="1"/>
  <c r="T439" i="2" s="1"/>
  <c r="L442" i="2"/>
  <c r="V444" i="2"/>
  <c r="W444" i="2" s="1"/>
  <c r="AI444" i="2"/>
  <c r="M444" i="2"/>
  <c r="L444" i="2"/>
  <c r="O445" i="2" a="1"/>
  <c r="O445" i="2" s="1"/>
  <c r="S445" i="2" s="1"/>
  <c r="L449" i="2"/>
  <c r="AI449" i="2"/>
  <c r="M449" i="2"/>
  <c r="S449" i="2"/>
  <c r="L366" i="2"/>
  <c r="V373" i="2"/>
  <c r="W373" i="2" s="1"/>
  <c r="O374" i="2" a="1"/>
  <c r="O374" i="2" s="1"/>
  <c r="S374" i="2" s="1"/>
  <c r="L385" i="2"/>
  <c r="O393" i="2" a="1"/>
  <c r="O393" i="2" s="1"/>
  <c r="S393" i="2" s="1"/>
  <c r="M394" i="2"/>
  <c r="V396" i="2"/>
  <c r="W396" i="2" s="1"/>
  <c r="M400" i="2"/>
  <c r="P407" i="2" a="1"/>
  <c r="P407" i="2" s="1"/>
  <c r="T407" i="2" s="1"/>
  <c r="O408" i="2" a="1"/>
  <c r="O408" i="2" s="1"/>
  <c r="S408" i="2" s="1"/>
  <c r="P416" i="2" a="1"/>
  <c r="P416" i="2" s="1"/>
  <c r="T416" i="2" s="1"/>
  <c r="O416" i="2" a="1"/>
  <c r="O416" i="2" s="1"/>
  <c r="S416" i="2" s="1"/>
  <c r="W424" i="2"/>
  <c r="M433" i="2"/>
  <c r="V439" i="2"/>
  <c r="W439" i="2" s="1"/>
  <c r="M439" i="2"/>
  <c r="O439" i="2" a="1"/>
  <c r="O439" i="2" s="1"/>
  <c r="S439" i="2" s="1"/>
  <c r="O441" i="2" a="1"/>
  <c r="O441" i="2" s="1"/>
  <c r="S441" i="2" s="1"/>
  <c r="P447" i="2" a="1"/>
  <c r="P447" i="2" s="1"/>
  <c r="T447" i="2" s="1"/>
  <c r="O384" i="2" a="1"/>
  <c r="O384" i="2" s="1"/>
  <c r="S384" i="2" s="1"/>
  <c r="P396" i="2" a="1"/>
  <c r="P396" i="2" s="1"/>
  <c r="T396" i="2" s="1"/>
  <c r="O422" i="2" a="1"/>
  <c r="O422" i="2" s="1"/>
  <c r="S422" i="2" s="1"/>
  <c r="S425" i="2"/>
  <c r="V441" i="2"/>
  <c r="W441" i="2" s="1"/>
  <c r="T441" i="2"/>
  <c r="M441" i="2"/>
  <c r="L441" i="2"/>
  <c r="P474" i="2" a="1"/>
  <c r="P474" i="2" s="1"/>
  <c r="T474" i="2" s="1"/>
  <c r="W406" i="2"/>
  <c r="L407" i="2"/>
  <c r="V425" i="2"/>
  <c r="W425" i="2" s="1"/>
  <c r="W426" i="2"/>
  <c r="P429" i="2" a="1"/>
  <c r="P429" i="2" s="1"/>
  <c r="T429" i="2" s="1"/>
  <c r="O438" i="2" a="1"/>
  <c r="O438" i="2" s="1"/>
  <c r="S438" i="2" s="1"/>
  <c r="P469" i="2" a="1"/>
  <c r="P469" i="2" s="1"/>
  <c r="T469" i="2" s="1"/>
  <c r="P515" i="2" a="1"/>
  <c r="P515" i="2" s="1"/>
  <c r="L374" i="2"/>
  <c r="V381" i="2"/>
  <c r="W381" i="2" s="1"/>
  <c r="P388" i="2" a="1"/>
  <c r="P388" i="2" s="1"/>
  <c r="L393" i="2"/>
  <c r="P408" i="2" a="1"/>
  <c r="P408" i="2" s="1"/>
  <c r="T408" i="2" s="1"/>
  <c r="P415" i="2" a="1"/>
  <c r="P415" i="2" s="1"/>
  <c r="T415" i="2" s="1"/>
  <c r="T419" i="2"/>
  <c r="M429" i="2"/>
  <c r="L429" i="2"/>
  <c r="W434" i="2"/>
  <c r="V438" i="2"/>
  <c r="W438" i="2" s="1"/>
  <c r="T438" i="2"/>
  <c r="M438" i="2"/>
  <c r="L438" i="2"/>
  <c r="O453" i="2" a="1"/>
  <c r="O453" i="2" s="1"/>
  <c r="S453" i="2" s="1"/>
  <c r="V376" i="2"/>
  <c r="W376" i="2" s="1"/>
  <c r="V391" i="2"/>
  <c r="W391" i="2" s="1"/>
  <c r="O396" i="2" a="1"/>
  <c r="O396" i="2" s="1"/>
  <c r="S396" i="2" s="1"/>
  <c r="P412" i="2" a="1"/>
  <c r="P412" i="2" s="1"/>
  <c r="T412" i="2" s="1"/>
  <c r="O412" i="2" a="1"/>
  <c r="O412" i="2" s="1"/>
  <c r="S412" i="2" s="1"/>
  <c r="V419" i="2"/>
  <c r="W419" i="2" s="1"/>
  <c r="W432" i="2"/>
  <c r="S433" i="2"/>
  <c r="V449" i="2"/>
  <c r="W449" i="2" s="1"/>
  <c r="V453" i="2"/>
  <c r="W453" i="2" s="1"/>
  <c r="M453" i="2"/>
  <c r="O462" i="2" a="1"/>
  <c r="O462" i="2" s="1"/>
  <c r="S462" i="2" s="1"/>
  <c r="W467" i="2"/>
  <c r="P399" i="2" a="1"/>
  <c r="P399" i="2" s="1"/>
  <c r="T399" i="2" s="1"/>
  <c r="W404" i="2"/>
  <c r="O458" i="2" a="1"/>
  <c r="O458" i="2" s="1"/>
  <c r="S458" i="2" s="1"/>
  <c r="O472" i="2" a="1"/>
  <c r="O472" i="2" s="1"/>
  <c r="S472" i="2" s="1"/>
  <c r="S401" i="2"/>
  <c r="S407" i="2"/>
  <c r="T417" i="2"/>
  <c r="W430" i="2"/>
  <c r="P458" i="2" a="1"/>
  <c r="P458" i="2" s="1"/>
  <c r="V462" i="2"/>
  <c r="M462" i="2"/>
  <c r="L462" i="2"/>
  <c r="P468" i="2" a="1"/>
  <c r="P468" i="2" s="1"/>
  <c r="T468" i="2" s="1"/>
  <c r="O468" i="2" a="1"/>
  <c r="O468" i="2" s="1"/>
  <c r="S468" i="2" s="1"/>
  <c r="M486" i="2"/>
  <c r="V486" i="2"/>
  <c r="W486" i="2" s="1"/>
  <c r="S486" i="2"/>
  <c r="AI486" i="2"/>
  <c r="L486" i="2"/>
  <c r="O406" i="2" a="1"/>
  <c r="O406" i="2" s="1"/>
  <c r="S406" i="2" s="1"/>
  <c r="O418" i="2" a="1"/>
  <c r="O418" i="2" s="1"/>
  <c r="S418" i="2" s="1"/>
  <c r="O424" i="2" a="1"/>
  <c r="O424" i="2" s="1"/>
  <c r="S424" i="2" s="1"/>
  <c r="O450" i="2" a="1"/>
  <c r="O450" i="2" s="1"/>
  <c r="S450" i="2" s="1"/>
  <c r="W457" i="2"/>
  <c r="O471" i="2" a="1"/>
  <c r="O471" i="2" s="1"/>
  <c r="L472" i="2"/>
  <c r="V473" i="2"/>
  <c r="W473" i="2" s="1"/>
  <c r="L473" i="2"/>
  <c r="W474" i="2"/>
  <c r="P477" i="2" a="1"/>
  <c r="P477" i="2" s="1"/>
  <c r="M491" i="2"/>
  <c r="L491" i="2"/>
  <c r="V491" i="2"/>
  <c r="W491" i="2" s="1"/>
  <c r="AI491" i="2"/>
  <c r="O499" i="2" a="1"/>
  <c r="O499" i="2" s="1"/>
  <c r="S499" i="2" s="1"/>
  <c r="O520" i="2" a="1"/>
  <c r="O520" i="2" s="1"/>
  <c r="S520" i="2" s="1"/>
  <c r="V563" i="2"/>
  <c r="W563" i="2" s="1"/>
  <c r="AI563" i="2"/>
  <c r="M563" i="2"/>
  <c r="L563" i="2"/>
  <c r="P453" i="2" a="1"/>
  <c r="P453" i="2" s="1"/>
  <c r="T453" i="2" s="1"/>
  <c r="U455" i="2"/>
  <c r="U24" i="2" s="1"/>
  <c r="O469" i="2" a="1"/>
  <c r="O469" i="2" s="1"/>
  <c r="S469" i="2" s="1"/>
  <c r="O470" i="2" a="1"/>
  <c r="O470" i="2" s="1"/>
  <c r="S470" i="2" s="1"/>
  <c r="K471" i="2"/>
  <c r="M472" i="2"/>
  <c r="M473" i="2"/>
  <c r="P480" i="2" a="1"/>
  <c r="P480" i="2" s="1"/>
  <c r="T480" i="2" s="1"/>
  <c r="O480" i="2" a="1"/>
  <c r="O480" i="2" s="1"/>
  <c r="S480" i="2" s="1"/>
  <c r="W488" i="2"/>
  <c r="P496" i="2" a="1"/>
  <c r="P496" i="2" s="1"/>
  <c r="T496" i="2" s="1"/>
  <c r="L496" i="2"/>
  <c r="P503" i="2" a="1"/>
  <c r="P503" i="2" s="1"/>
  <c r="T503" i="2" s="1"/>
  <c r="O506" i="2" a="1"/>
  <c r="O506" i="2" s="1"/>
  <c r="O508" i="2" a="1"/>
  <c r="O508" i="2" s="1"/>
  <c r="P539" i="2" a="1"/>
  <c r="P539" i="2" s="1"/>
  <c r="T539" i="2" s="1"/>
  <c r="O562" i="2" a="1"/>
  <c r="O562" i="2" s="1"/>
  <c r="P568" i="2" a="1"/>
  <c r="P568" i="2" s="1"/>
  <c r="M409" i="2"/>
  <c r="M417" i="2"/>
  <c r="M427" i="2"/>
  <c r="M435" i="2"/>
  <c r="P464" i="2" a="1"/>
  <c r="P464" i="2" s="1"/>
  <c r="T464" i="2" s="1"/>
  <c r="O464" i="2" a="1"/>
  <c r="O464" i="2" s="1"/>
  <c r="S464" i="2" s="1"/>
  <c r="P470" i="2" a="1"/>
  <c r="P470" i="2" s="1"/>
  <c r="T470" i="2" s="1"/>
  <c r="O477" i="2" a="1"/>
  <c r="O477" i="2" s="1"/>
  <c r="M480" i="2"/>
  <c r="L480" i="2"/>
  <c r="V480" i="2"/>
  <c r="W480" i="2" s="1"/>
  <c r="P486" i="2" a="1"/>
  <c r="P486" i="2" s="1"/>
  <c r="T486" i="2" s="1"/>
  <c r="O501" i="2" a="1"/>
  <c r="O501" i="2" s="1"/>
  <c r="S501" i="2" s="1"/>
  <c r="V503" i="2"/>
  <c r="W503" i="2" s="1"/>
  <c r="M503" i="2"/>
  <c r="L503" i="2"/>
  <c r="P506" i="2" a="1"/>
  <c r="P506" i="2" s="1"/>
  <c r="W509" i="2"/>
  <c r="P520" i="2" a="1"/>
  <c r="P520" i="2" s="1"/>
  <c r="T520" i="2" s="1"/>
  <c r="O530" i="2" a="1"/>
  <c r="O530" i="2" s="1"/>
  <c r="S530" i="2" s="1"/>
  <c r="L557" i="2"/>
  <c r="V557" i="2"/>
  <c r="W557" i="2" s="1"/>
  <c r="M557" i="2"/>
  <c r="AI557" i="2"/>
  <c r="M470" i="2"/>
  <c r="P476" i="2" a="1"/>
  <c r="P476" i="2" s="1"/>
  <c r="T476" i="2" s="1"/>
  <c r="O485" i="2" a="1"/>
  <c r="O485" i="2" s="1"/>
  <c r="S485" i="2" s="1"/>
  <c r="P512" i="2" a="1"/>
  <c r="P512" i="2" s="1"/>
  <c r="T512" i="2" s="1"/>
  <c r="P517" i="2" a="1"/>
  <c r="P517" i="2" s="1"/>
  <c r="T517" i="2" s="1"/>
  <c r="W520" i="2"/>
  <c r="AI527" i="2"/>
  <c r="M527" i="2"/>
  <c r="L527" i="2"/>
  <c r="V527" i="2"/>
  <c r="W527" i="2" s="1"/>
  <c r="P530" i="2" a="1"/>
  <c r="P530" i="2" s="1"/>
  <c r="T530" i="2" s="1"/>
  <c r="AI533" i="2"/>
  <c r="M533" i="2"/>
  <c r="L533" i="2"/>
  <c r="V533" i="2"/>
  <c r="W533" i="2" s="1"/>
  <c r="O542" i="2" a="1"/>
  <c r="O542" i="2" s="1"/>
  <c r="P545" i="2" a="1"/>
  <c r="P545" i="2" s="1"/>
  <c r="W576" i="2"/>
  <c r="P628" i="2" a="1"/>
  <c r="P628" i="2" s="1"/>
  <c r="L470" i="2"/>
  <c r="T491" i="2"/>
  <c r="M496" i="2"/>
  <c r="P510" i="2" a="1"/>
  <c r="P510" i="2" s="1"/>
  <c r="T510" i="2" s="1"/>
  <c r="O524" i="2" a="1"/>
  <c r="O524" i="2" s="1"/>
  <c r="S524" i="2" s="1"/>
  <c r="L554" i="2"/>
  <c r="V554" i="2"/>
  <c r="W554" i="2" s="1"/>
  <c r="AI554" i="2"/>
  <c r="M554" i="2"/>
  <c r="O557" i="2" a="1"/>
  <c r="O557" i="2" s="1"/>
  <c r="S557" i="2" s="1"/>
  <c r="P479" i="2" a="1"/>
  <c r="P479" i="2" s="1"/>
  <c r="T479" i="2" s="1"/>
  <c r="V510" i="2"/>
  <c r="W510" i="2" s="1"/>
  <c r="M510" i="2"/>
  <c r="L510" i="2"/>
  <c r="P524" i="2" a="1"/>
  <c r="P524" i="2" s="1"/>
  <c r="T524" i="2" s="1"/>
  <c r="O533" i="2" a="1"/>
  <c r="O533" i="2" s="1"/>
  <c r="S533" i="2" s="1"/>
  <c r="P554" i="2" a="1"/>
  <c r="P554" i="2" s="1"/>
  <c r="T554" i="2" s="1"/>
  <c r="W458" i="2"/>
  <c r="V472" i="2"/>
  <c r="W472" i="2" s="1"/>
  <c r="U494" i="2"/>
  <c r="U25" i="2" s="1"/>
  <c r="O498" i="2" a="1"/>
  <c r="O498" i="2" s="1"/>
  <c r="S498" i="2" s="1"/>
  <c r="O505" i="2" a="1"/>
  <c r="O505" i="2" s="1"/>
  <c r="S505" i="2" s="1"/>
  <c r="T508" i="2"/>
  <c r="V517" i="2"/>
  <c r="W517" i="2" s="1"/>
  <c r="AI517" i="2"/>
  <c r="M517" i="2"/>
  <c r="O585" i="2" a="1"/>
  <c r="O585" i="2" s="1"/>
  <c r="S585" i="2" s="1"/>
  <c r="P655" i="2" a="1"/>
  <c r="P655" i="2" s="1"/>
  <c r="T655" i="2" s="1"/>
  <c r="V470" i="2"/>
  <c r="W470" i="2" s="1"/>
  <c r="O479" i="2" a="1"/>
  <c r="O479" i="2" s="1"/>
  <c r="S479" i="2" s="1"/>
  <c r="P485" i="2" a="1"/>
  <c r="P485" i="2" s="1"/>
  <c r="T485" i="2" s="1"/>
  <c r="O489" i="2" a="1"/>
  <c r="O489" i="2" s="1"/>
  <c r="P521" i="2" a="1"/>
  <c r="P521" i="2" s="1"/>
  <c r="T521" i="2" s="1"/>
  <c r="V593" i="2"/>
  <c r="W593" i="2" s="1"/>
  <c r="M593" i="2"/>
  <c r="L593" i="2"/>
  <c r="P622" i="2" a="1"/>
  <c r="P622" i="2" s="1"/>
  <c r="T622" i="2" s="1"/>
  <c r="S409" i="2"/>
  <c r="S417" i="2"/>
  <c r="S427" i="2"/>
  <c r="W461" i="2"/>
  <c r="P465" i="2" a="1"/>
  <c r="P465" i="2" s="1"/>
  <c r="T465" i="2" s="1"/>
  <c r="O465" i="2" a="1"/>
  <c r="O465" i="2" s="1"/>
  <c r="S465" i="2" s="1"/>
  <c r="O483" i="2" a="1"/>
  <c r="O483" i="2" s="1"/>
  <c r="S483" i="2" s="1"/>
  <c r="M485" i="2"/>
  <c r="V485" i="2"/>
  <c r="W485" i="2" s="1"/>
  <c r="P492" i="2" a="1"/>
  <c r="P492" i="2" s="1"/>
  <c r="O492" i="2" a="1"/>
  <c r="O492" i="2" s="1"/>
  <c r="V496" i="2"/>
  <c r="W496" i="2" s="1"/>
  <c r="P498" i="2" a="1"/>
  <c r="P498" i="2" s="1"/>
  <c r="T498" i="2" s="1"/>
  <c r="P504" i="2" a="1"/>
  <c r="P504" i="2" s="1"/>
  <c r="T504" i="2" s="1"/>
  <c r="O507" i="2" a="1"/>
  <c r="O507" i="2" s="1"/>
  <c r="P569" i="2" a="1"/>
  <c r="P569" i="2" s="1"/>
  <c r="P452" i="2" a="1"/>
  <c r="P452" i="2" s="1"/>
  <c r="T452" i="2" s="1"/>
  <c r="W463" i="2"/>
  <c r="V465" i="2"/>
  <c r="W465" i="2" s="1"/>
  <c r="M465" i="2"/>
  <c r="P475" i="2" a="1"/>
  <c r="P475" i="2" s="1"/>
  <c r="T475" i="2" s="1"/>
  <c r="O475" i="2" a="1"/>
  <c r="O475" i="2" s="1"/>
  <c r="S475" i="2" s="1"/>
  <c r="P483" i="2" a="1"/>
  <c r="P483" i="2" s="1"/>
  <c r="T483" i="2" s="1"/>
  <c r="L485" i="2"/>
  <c r="F492" i="2"/>
  <c r="K492" i="2" s="1"/>
  <c r="P495" i="2" a="1"/>
  <c r="P495" i="2" s="1"/>
  <c r="T495" i="2" s="1"/>
  <c r="O495" i="2" a="1"/>
  <c r="O495" i="2" s="1"/>
  <c r="S495" i="2" s="1"/>
  <c r="M498" i="2"/>
  <c r="L498" i="2"/>
  <c r="V498" i="2"/>
  <c r="W498" i="2" s="1"/>
  <c r="P500" i="2" a="1"/>
  <c r="P500" i="2" s="1"/>
  <c r="T500" i="2" s="1"/>
  <c r="O500" i="2" a="1"/>
  <c r="O500" i="2" s="1"/>
  <c r="S500" i="2" s="1"/>
  <c r="O502" i="2" a="1"/>
  <c r="O502" i="2" s="1"/>
  <c r="S502" i="2" s="1"/>
  <c r="P507" i="2" a="1"/>
  <c r="P507" i="2" s="1"/>
  <c r="T507" i="2" s="1"/>
  <c r="P511" i="2" a="1"/>
  <c r="P511" i="2" s="1"/>
  <c r="T511" i="2" s="1"/>
  <c r="V521" i="2"/>
  <c r="W521" i="2" s="1"/>
  <c r="M521" i="2"/>
  <c r="L521" i="2"/>
  <c r="T551" i="2"/>
  <c r="M551" i="2"/>
  <c r="L551" i="2"/>
  <c r="AI551" i="2"/>
  <c r="V551" i="2"/>
  <c r="W551" i="2" s="1"/>
  <c r="W456" i="2"/>
  <c r="P466" i="2" a="1"/>
  <c r="P466" i="2" s="1"/>
  <c r="T466" i="2" s="1"/>
  <c r="O466" i="2" a="1"/>
  <c r="O466" i="2" s="1"/>
  <c r="S466" i="2" s="1"/>
  <c r="P467" i="2" a="1"/>
  <c r="P467" i="2" s="1"/>
  <c r="T467" i="2" s="1"/>
  <c r="O467" i="2" a="1"/>
  <c r="O467" i="2" s="1"/>
  <c r="S467" i="2" s="1"/>
  <c r="V475" i="2"/>
  <c r="W475" i="2" s="1"/>
  <c r="M475" i="2"/>
  <c r="L475" i="2"/>
  <c r="O478" i="2" a="1"/>
  <c r="O478" i="2" s="1"/>
  <c r="S478" i="2" s="1"/>
  <c r="O482" i="2" a="1"/>
  <c r="O482" i="2" s="1"/>
  <c r="V495" i="2"/>
  <c r="M495" i="2"/>
  <c r="L495" i="2"/>
  <c r="M500" i="2"/>
  <c r="L500" i="2"/>
  <c r="V500" i="2"/>
  <c r="W500" i="2" s="1"/>
  <c r="P502" i="2" a="1"/>
  <c r="P502" i="2" s="1"/>
  <c r="T502" i="2" s="1"/>
  <c r="S507" i="2"/>
  <c r="P514" i="2" a="1"/>
  <c r="P514" i="2" s="1"/>
  <c r="T514" i="2" s="1"/>
  <c r="P518" i="2" a="1"/>
  <c r="P518" i="2" s="1"/>
  <c r="P526" i="2" a="1"/>
  <c r="P526" i="2" s="1"/>
  <c r="T526" i="2" s="1"/>
  <c r="P529" i="2" a="1"/>
  <c r="P529" i="2" s="1"/>
  <c r="P589" i="2" a="1"/>
  <c r="P589" i="2" s="1"/>
  <c r="T589" i="2" s="1"/>
  <c r="O447" i="2" a="1"/>
  <c r="O447" i="2" s="1"/>
  <c r="S447" i="2" s="1"/>
  <c r="V466" i="2"/>
  <c r="W466" i="2" s="1"/>
  <c r="M466" i="2"/>
  <c r="AI483" i="2"/>
  <c r="L483" i="2"/>
  <c r="V483" i="2"/>
  <c r="W483" i="2" s="1"/>
  <c r="P497" i="2" a="1"/>
  <c r="P497" i="2" s="1"/>
  <c r="T497" i="2" s="1"/>
  <c r="W505" i="2"/>
  <c r="M514" i="2"/>
  <c r="L514" i="2"/>
  <c r="V514" i="2"/>
  <c r="W514" i="2" s="1"/>
  <c r="AI514" i="2"/>
  <c r="V538" i="2"/>
  <c r="W538" i="2" s="1"/>
  <c r="AI538" i="2"/>
  <c r="M538" i="2"/>
  <c r="L538" i="2"/>
  <c r="O541" i="2" a="1"/>
  <c r="O541" i="2" s="1"/>
  <c r="L556" i="2"/>
  <c r="V556" i="2"/>
  <c r="W556" i="2" s="1"/>
  <c r="M556" i="2"/>
  <c r="AI556" i="2"/>
  <c r="S556" i="2"/>
  <c r="P478" i="2" a="1"/>
  <c r="P478" i="2" s="1"/>
  <c r="T478" i="2" s="1"/>
  <c r="P482" i="2" a="1"/>
  <c r="P482" i="2" s="1"/>
  <c r="T482" i="2" s="1"/>
  <c r="M488" i="2"/>
  <c r="L488" i="2"/>
  <c r="T488" i="2"/>
  <c r="AI488" i="2"/>
  <c r="L530" i="2"/>
  <c r="AI530" i="2"/>
  <c r="V530" i="2"/>
  <c r="W530" i="2" s="1"/>
  <c r="M530" i="2"/>
  <c r="AI536" i="2"/>
  <c r="L536" i="2"/>
  <c r="V536" i="2"/>
  <c r="W536" i="2" s="1"/>
  <c r="O538" i="2" a="1"/>
  <c r="O538" i="2" s="1"/>
  <c r="S538" i="2" s="1"/>
  <c r="O547" i="2" a="1"/>
  <c r="O547" i="2" s="1"/>
  <c r="S547" i="2" s="1"/>
  <c r="P579" i="2" a="1"/>
  <c r="P579" i="2" s="1"/>
  <c r="P583" i="2" a="1"/>
  <c r="P583" i="2" s="1"/>
  <c r="T583" i="2" s="1"/>
  <c r="O452" i="2" a="1"/>
  <c r="O452" i="2" s="1"/>
  <c r="S452" i="2" s="1"/>
  <c r="P463" i="2" a="1"/>
  <c r="P463" i="2" s="1"/>
  <c r="T463" i="2" s="1"/>
  <c r="O463" i="2" a="1"/>
  <c r="O463" i="2" s="1"/>
  <c r="S463" i="2" s="1"/>
  <c r="P472" i="2" a="1"/>
  <c r="P472" i="2" s="1"/>
  <c r="T472" i="2" s="1"/>
  <c r="M478" i="2"/>
  <c r="L478" i="2"/>
  <c r="V478" i="2"/>
  <c r="W478" i="2" s="1"/>
  <c r="S482" i="2"/>
  <c r="O488" i="2" a="1"/>
  <c r="O488" i="2" s="1"/>
  <c r="S488" i="2" s="1"/>
  <c r="O497" i="2" a="1"/>
  <c r="O497" i="2" s="1"/>
  <c r="S497" i="2" s="1"/>
  <c r="O509" i="2" a="1"/>
  <c r="O509" i="2" s="1"/>
  <c r="S509" i="2" s="1"/>
  <c r="O523" i="2" a="1"/>
  <c r="O523" i="2" s="1"/>
  <c r="S523" i="2" s="1"/>
  <c r="O529" i="2" a="1"/>
  <c r="O529" i="2" s="1"/>
  <c r="O553" i="2" a="1"/>
  <c r="O553" i="2" s="1"/>
  <c r="S553" i="2" s="1"/>
  <c r="L447" i="2"/>
  <c r="W452" i="2"/>
  <c r="W464" i="2"/>
  <c r="P471" i="2" a="1"/>
  <c r="P471" i="2" s="1"/>
  <c r="O474" i="2" a="1"/>
  <c r="O474" i="2" s="1"/>
  <c r="S474" i="2" s="1"/>
  <c r="AI485" i="2"/>
  <c r="P509" i="2" a="1"/>
  <c r="P509" i="2" s="1"/>
  <c r="T509" i="2" s="1"/>
  <c r="V524" i="2"/>
  <c r="W524" i="2" s="1"/>
  <c r="AI524" i="2"/>
  <c r="M524" i="2"/>
  <c r="L524" i="2"/>
  <c r="P535" i="2" a="1"/>
  <c r="P535" i="2" s="1"/>
  <c r="S506" i="2"/>
  <c r="V539" i="2"/>
  <c r="W539" i="2" s="1"/>
  <c r="AI539" i="2"/>
  <c r="M539" i="2"/>
  <c r="L539" i="2"/>
  <c r="V545" i="2"/>
  <c r="W545" i="2" s="1"/>
  <c r="T560" i="2"/>
  <c r="AI560" i="2"/>
  <c r="P573" i="2" a="1"/>
  <c r="P573" i="2" s="1"/>
  <c r="T573" i="2" s="1"/>
  <c r="O573" i="2" a="1"/>
  <c r="O573" i="2" s="1"/>
  <c r="O575" i="2" a="1"/>
  <c r="O575" i="2" s="1"/>
  <c r="S575" i="2" s="1"/>
  <c r="V637" i="2"/>
  <c r="W637" i="2" s="1"/>
  <c r="M637" i="2"/>
  <c r="L637" i="2"/>
  <c r="AI637" i="2"/>
  <c r="AI643" i="2"/>
  <c r="V643" i="2"/>
  <c r="W643" i="2" s="1"/>
  <c r="M643" i="2"/>
  <c r="L643" i="2"/>
  <c r="M651" i="2"/>
  <c r="V651" i="2"/>
  <c r="W651" i="2" s="1"/>
  <c r="L651" i="2"/>
  <c r="AI651" i="2"/>
  <c r="AI661" i="2"/>
  <c r="V661" i="2"/>
  <c r="W661" i="2" s="1"/>
  <c r="M661" i="2"/>
  <c r="L661" i="2"/>
  <c r="T506" i="2"/>
  <c r="S541" i="2"/>
  <c r="O545" i="2" a="1"/>
  <c r="O545" i="2" s="1"/>
  <c r="S545" i="2" s="1"/>
  <c r="P547" i="2" a="1"/>
  <c r="P547" i="2" s="1"/>
  <c r="T547" i="2" s="1"/>
  <c r="L553" i="2"/>
  <c r="V553" i="2"/>
  <c r="W553" i="2" s="1"/>
  <c r="AI553" i="2"/>
  <c r="V565" i="2"/>
  <c r="W565" i="2" s="1"/>
  <c r="T565" i="2"/>
  <c r="T574" i="2"/>
  <c r="P580" i="2" a="1"/>
  <c r="P580" i="2" s="1"/>
  <c r="T580" i="2" s="1"/>
  <c r="O654" i="2" a="1"/>
  <c r="O654" i="2" s="1"/>
  <c r="S654" i="2" s="1"/>
  <c r="P473" i="2" a="1"/>
  <c r="P473" i="2" s="1"/>
  <c r="T473" i="2" s="1"/>
  <c r="L474" i="2"/>
  <c r="V499" i="2"/>
  <c r="W499" i="2" s="1"/>
  <c r="P501" i="2" a="1"/>
  <c r="P501" i="2" s="1"/>
  <c r="L502" i="2"/>
  <c r="M520" i="2"/>
  <c r="M523" i="2"/>
  <c r="M526" i="2"/>
  <c r="P533" i="2" a="1"/>
  <c r="P533" i="2" s="1"/>
  <c r="T533" i="2" s="1"/>
  <c r="O535" i="2" a="1"/>
  <c r="O535" i="2" s="1"/>
  <c r="L547" i="2"/>
  <c r="V547" i="2"/>
  <c r="W547" i="2" s="1"/>
  <c r="O550" i="2" a="1"/>
  <c r="O550" i="2" s="1"/>
  <c r="S550" i="2" s="1"/>
  <c r="M553" i="2"/>
  <c r="M560" i="2"/>
  <c r="S573" i="2"/>
  <c r="W580" i="2"/>
  <c r="O591" i="2" a="1"/>
  <c r="O591" i="2" s="1"/>
  <c r="S591" i="2" s="1"/>
  <c r="O595" i="2" a="1"/>
  <c r="O595" i="2" s="1"/>
  <c r="S595" i="2" s="1"/>
  <c r="O639" i="2" a="1"/>
  <c r="O639" i="2" s="1"/>
  <c r="S639" i="2" s="1"/>
  <c r="V506" i="2"/>
  <c r="W506" i="2" s="1"/>
  <c r="V541" i="2"/>
  <c r="W541" i="2" s="1"/>
  <c r="O565" i="2" a="1"/>
  <c r="O565" i="2" s="1"/>
  <c r="S565" i="2" s="1"/>
  <c r="AI565" i="2"/>
  <c r="O579" i="2" a="1"/>
  <c r="O579" i="2" s="1"/>
  <c r="P591" i="2" a="1"/>
  <c r="P591" i="2" s="1"/>
  <c r="T591" i="2" s="1"/>
  <c r="P595" i="2" a="1"/>
  <c r="P595" i="2" s="1"/>
  <c r="O619" i="2" a="1"/>
  <c r="O619" i="2" s="1"/>
  <c r="K627" i="2"/>
  <c r="F628" i="2"/>
  <c r="K628" i="2" s="1"/>
  <c r="P636" i="2" a="1"/>
  <c r="P636" i="2" s="1"/>
  <c r="P651" i="2" a="1"/>
  <c r="P651" i="2" s="1"/>
  <c r="T651" i="2" s="1"/>
  <c r="AI740" i="2"/>
  <c r="L740" i="2"/>
  <c r="M740" i="2"/>
  <c r="V740" i="2"/>
  <c r="W740" i="2" s="1"/>
  <c r="L501" i="2"/>
  <c r="K535" i="2"/>
  <c r="L542" i="2"/>
  <c r="T550" i="2"/>
  <c r="O554" i="2" a="1"/>
  <c r="O554" i="2" s="1"/>
  <c r="S554" i="2" s="1"/>
  <c r="O583" i="2" a="1"/>
  <c r="O583" i="2" s="1"/>
  <c r="S583" i="2" s="1"/>
  <c r="O603" i="2" a="1"/>
  <c r="O603" i="2" s="1"/>
  <c r="S603" i="2" s="1"/>
  <c r="O607" i="2" a="1"/>
  <c r="O607" i="2" s="1"/>
  <c r="AI613" i="2"/>
  <c r="M613" i="2"/>
  <c r="L613" i="2"/>
  <c r="V613" i="2"/>
  <c r="W613" i="2" s="1"/>
  <c r="P619" i="2" a="1"/>
  <c r="P619" i="2" s="1"/>
  <c r="M625" i="2"/>
  <c r="V625" i="2"/>
  <c r="W625" i="2" s="1"/>
  <c r="T625" i="2"/>
  <c r="L625" i="2"/>
  <c r="AI625" i="2"/>
  <c r="P658" i="2" a="1"/>
  <c r="P658" i="2" s="1"/>
  <c r="O663" i="2" a="1"/>
  <c r="O663" i="2" s="1"/>
  <c r="S663" i="2" s="1"/>
  <c r="P541" i="2" a="1"/>
  <c r="P541" i="2" s="1"/>
  <c r="T541" i="2" s="1"/>
  <c r="P572" i="2" a="1"/>
  <c r="P572" i="2" s="1"/>
  <c r="T572" i="2" s="1"/>
  <c r="P607" i="2" a="1"/>
  <c r="P607" i="2" s="1"/>
  <c r="P648" i="2" a="1"/>
  <c r="P648" i="2" s="1"/>
  <c r="F489" i="2"/>
  <c r="K489" i="2" s="1"/>
  <c r="P538" i="2" a="1"/>
  <c r="P538" i="2" s="1"/>
  <c r="T538" i="2" s="1"/>
  <c r="P562" i="2" a="1"/>
  <c r="P562" i="2" s="1"/>
  <c r="M565" i="2"/>
  <c r="O568" i="2" a="1"/>
  <c r="O568" i="2" s="1"/>
  <c r="S568" i="2" s="1"/>
  <c r="O569" i="2" a="1"/>
  <c r="O569" i="2" s="1"/>
  <c r="W572" i="2"/>
  <c r="P590" i="2" a="1"/>
  <c r="P590" i="2" s="1"/>
  <c r="V649" i="2"/>
  <c r="W649" i="2" s="1"/>
  <c r="M649" i="2"/>
  <c r="L649" i="2"/>
  <c r="AI649" i="2"/>
  <c r="L663" i="2"/>
  <c r="AI663" i="2"/>
  <c r="V663" i="2"/>
  <c r="W663" i="2" s="1"/>
  <c r="M663" i="2"/>
  <c r="AI523" i="2"/>
  <c r="K529" i="2"/>
  <c r="L545" i="2"/>
  <c r="O559" i="2" a="1"/>
  <c r="O559" i="2" s="1"/>
  <c r="S559" i="2" s="1"/>
  <c r="K562" i="2"/>
  <c r="F566" i="2"/>
  <c r="K566" i="2" s="1"/>
  <c r="W575" i="2"/>
  <c r="O594" i="2" a="1"/>
  <c r="O594" i="2" s="1"/>
  <c r="S594" i="2" s="1"/>
  <c r="O610" i="2" a="1"/>
  <c r="O610" i="2" s="1"/>
  <c r="P624" i="2" a="1"/>
  <c r="P624" i="2" s="1"/>
  <c r="F515" i="2"/>
  <c r="K515" i="2" s="1"/>
  <c r="P532" i="2" a="1"/>
  <c r="P532" i="2" s="1"/>
  <c r="T532" i="2" s="1"/>
  <c r="O544" i="2" a="1"/>
  <c r="O544" i="2" s="1"/>
  <c r="S544" i="2" s="1"/>
  <c r="O548" i="2" a="1"/>
  <c r="O548" i="2" s="1"/>
  <c r="S548" i="2" s="1"/>
  <c r="P556" i="2" a="1"/>
  <c r="P556" i="2" s="1"/>
  <c r="T556" i="2" s="1"/>
  <c r="P585" i="2" a="1"/>
  <c r="P585" i="2" s="1"/>
  <c r="T585" i="2" s="1"/>
  <c r="O602" i="2" a="1"/>
  <c r="O602" i="2" s="1"/>
  <c r="S602" i="2" s="1"/>
  <c r="P606" i="2" a="1"/>
  <c r="P606" i="2" s="1"/>
  <c r="T606" i="2" s="1"/>
  <c r="V622" i="2"/>
  <c r="W622" i="2" s="1"/>
  <c r="M622" i="2"/>
  <c r="O512" i="2" a="1"/>
  <c r="O512" i="2" s="1"/>
  <c r="S512" i="2" s="1"/>
  <c r="O527" i="2" a="1"/>
  <c r="O527" i="2" s="1"/>
  <c r="S527" i="2" s="1"/>
  <c r="P548" i="2" a="1"/>
  <c r="P548" i="2" s="1"/>
  <c r="T548" i="2" s="1"/>
  <c r="O551" i="2" a="1"/>
  <c r="O551" i="2" s="1"/>
  <c r="S551" i="2" s="1"/>
  <c r="T559" i="2"/>
  <c r="AI559" i="2"/>
  <c r="O566" i="2" a="1"/>
  <c r="O566" i="2" s="1"/>
  <c r="T568" i="2"/>
  <c r="AI568" i="2"/>
  <c r="L568" i="2"/>
  <c r="F569" i="2"/>
  <c r="K569" i="2" s="1"/>
  <c r="U571" i="2"/>
  <c r="U26" i="2" s="1"/>
  <c r="W573" i="2"/>
  <c r="T582" i="2"/>
  <c r="P588" i="2" a="1"/>
  <c r="P588" i="2" s="1"/>
  <c r="T588" i="2" s="1"/>
  <c r="P596" i="2" a="1"/>
  <c r="P596" i="2" s="1"/>
  <c r="T596" i="2" s="1"/>
  <c r="P672" i="2" a="1"/>
  <c r="P672" i="2" s="1"/>
  <c r="O514" i="2" a="1"/>
  <c r="O514" i="2" s="1"/>
  <c r="S514" i="2" s="1"/>
  <c r="O515" i="2" a="1"/>
  <c r="O515" i="2" s="1"/>
  <c r="F518" i="2"/>
  <c r="K518" i="2" s="1"/>
  <c r="S542" i="2"/>
  <c r="AI548" i="2"/>
  <c r="L548" i="2"/>
  <c r="V548" i="2"/>
  <c r="W548" i="2" s="1"/>
  <c r="L559" i="2"/>
  <c r="O563" i="2" a="1"/>
  <c r="O563" i="2" s="1"/>
  <c r="S563" i="2" s="1"/>
  <c r="P581" i="2" a="1"/>
  <c r="P581" i="2" s="1"/>
  <c r="T581" i="2" s="1"/>
  <c r="W583" i="2"/>
  <c r="T590" i="2"/>
  <c r="P600" i="2" a="1"/>
  <c r="P600" i="2" s="1"/>
  <c r="T600" i="2" s="1"/>
  <c r="O600" i="2" a="1"/>
  <c r="O600" i="2" s="1"/>
  <c r="P637" i="2" a="1"/>
  <c r="P637" i="2" s="1"/>
  <c r="T637" i="2" s="1"/>
  <c r="O660" i="2" a="1"/>
  <c r="O660" i="2" s="1"/>
  <c r="T457" i="2"/>
  <c r="T458" i="2"/>
  <c r="T459" i="2"/>
  <c r="T460" i="2"/>
  <c r="T461" i="2"/>
  <c r="L469" i="2"/>
  <c r="O476" i="2" a="1"/>
  <c r="O476" i="2" s="1"/>
  <c r="S476" i="2" s="1"/>
  <c r="K477" i="2"/>
  <c r="O496" i="2" a="1"/>
  <c r="O496" i="2" s="1"/>
  <c r="S496" i="2" s="1"/>
  <c r="O504" i="2" a="1"/>
  <c r="O504" i="2" s="1"/>
  <c r="S504" i="2" s="1"/>
  <c r="L505" i="2"/>
  <c r="O511" i="2" a="1"/>
  <c r="O511" i="2" s="1"/>
  <c r="S511" i="2" s="1"/>
  <c r="O536" i="2" a="1"/>
  <c r="O536" i="2" s="1"/>
  <c r="S536" i="2" s="1"/>
  <c r="L541" i="2"/>
  <c r="M548" i="2"/>
  <c r="V550" i="2"/>
  <c r="W550" i="2" s="1"/>
  <c r="M559" i="2"/>
  <c r="P563" i="2" a="1"/>
  <c r="P563" i="2" s="1"/>
  <c r="T563" i="2" s="1"/>
  <c r="M568" i="2"/>
  <c r="P577" i="2" a="1"/>
  <c r="P577" i="2" s="1"/>
  <c r="T577" i="2" s="1"/>
  <c r="P604" i="2" a="1"/>
  <c r="P604" i="2" s="1"/>
  <c r="T604" i="2" s="1"/>
  <c r="P621" i="2" a="1"/>
  <c r="P621" i="2" s="1"/>
  <c r="O640" i="2" a="1"/>
  <c r="O640" i="2" s="1"/>
  <c r="S640" i="2" s="1"/>
  <c r="L497" i="2"/>
  <c r="T501" i="2"/>
  <c r="S508" i="2"/>
  <c r="L512" i="2"/>
  <c r="O517" i="2" a="1"/>
  <c r="O517" i="2" s="1"/>
  <c r="S517" i="2" s="1"/>
  <c r="O518" i="2" a="1"/>
  <c r="O518" i="2" s="1"/>
  <c r="M541" i="2"/>
  <c r="AI541" i="2"/>
  <c r="V542" i="2"/>
  <c r="W542" i="2" s="1"/>
  <c r="P544" i="2" a="1"/>
  <c r="P544" i="2" s="1"/>
  <c r="T544" i="2" s="1"/>
  <c r="W590" i="2"/>
  <c r="V619" i="2"/>
  <c r="W619" i="2" s="1"/>
  <c r="T619" i="2"/>
  <c r="S619" i="2"/>
  <c r="M619" i="2"/>
  <c r="L619" i="2"/>
  <c r="AI619" i="2"/>
  <c r="AI634" i="2"/>
  <c r="V634" i="2"/>
  <c r="W634" i="2" s="1"/>
  <c r="M634" i="2"/>
  <c r="L634" i="2"/>
  <c r="AI482" i="2"/>
  <c r="O503" i="2" a="1"/>
  <c r="O503" i="2" s="1"/>
  <c r="S503" i="2" s="1"/>
  <c r="O510" i="2" a="1"/>
  <c r="O510" i="2" s="1"/>
  <c r="S510" i="2" s="1"/>
  <c r="O521" i="2" a="1"/>
  <c r="O521" i="2" s="1"/>
  <c r="S521" i="2" s="1"/>
  <c r="O532" i="2" a="1"/>
  <c r="O532" i="2" s="1"/>
  <c r="S532" i="2" s="1"/>
  <c r="P557" i="2" a="1"/>
  <c r="P557" i="2" s="1"/>
  <c r="T557" i="2" s="1"/>
  <c r="O576" i="2" a="1"/>
  <c r="O576" i="2" s="1"/>
  <c r="S576" i="2" s="1"/>
  <c r="O584" i="2" a="1"/>
  <c r="O584" i="2" s="1"/>
  <c r="S584" i="2" s="1"/>
  <c r="W594" i="2"/>
  <c r="O615" i="2" a="1"/>
  <c r="O615" i="2" s="1"/>
  <c r="O526" i="2" a="1"/>
  <c r="O526" i="2" s="1"/>
  <c r="S526" i="2" s="1"/>
  <c r="O539" i="2" a="1"/>
  <c r="O539" i="2" s="1"/>
  <c r="S539" i="2" s="1"/>
  <c r="P542" i="2" a="1"/>
  <c r="P542" i="2" s="1"/>
  <c r="T542" i="2" s="1"/>
  <c r="L544" i="2"/>
  <c r="T545" i="2"/>
  <c r="O560" i="2" a="1"/>
  <c r="O560" i="2" s="1"/>
  <c r="S560" i="2" s="1"/>
  <c r="P576" i="2" a="1"/>
  <c r="P576" i="2" s="1"/>
  <c r="T576" i="2" s="1"/>
  <c r="P584" i="2" a="1"/>
  <c r="P584" i="2" s="1"/>
  <c r="T584" i="2" s="1"/>
  <c r="O587" i="2" a="1"/>
  <c r="O587" i="2" s="1"/>
  <c r="S587" i="2" s="1"/>
  <c r="O609" i="2" a="1"/>
  <c r="O609" i="2" s="1"/>
  <c r="S609" i="2" s="1"/>
  <c r="O628" i="2" a="1"/>
  <c r="O628" i="2" s="1"/>
  <c r="O574" i="2" a="1"/>
  <c r="O574" i="2" s="1"/>
  <c r="S574" i="2" s="1"/>
  <c r="M576" i="2"/>
  <c r="S579" i="2"/>
  <c r="O582" i="2" a="1"/>
  <c r="O582" i="2" s="1"/>
  <c r="S582" i="2" s="1"/>
  <c r="M584" i="2"/>
  <c r="O590" i="2" a="1"/>
  <c r="O590" i="2" s="1"/>
  <c r="M595" i="2"/>
  <c r="L595" i="2"/>
  <c r="T595" i="2"/>
  <c r="W604" i="2"/>
  <c r="V615" i="2"/>
  <c r="W615" i="2" s="1"/>
  <c r="M616" i="2"/>
  <c r="O648" i="2" a="1"/>
  <c r="O648" i="2" s="1"/>
  <c r="S648" i="2" s="1"/>
  <c r="O678" i="2" a="1"/>
  <c r="O678" i="2" s="1"/>
  <c r="S678" i="2" s="1"/>
  <c r="O685" i="2" a="1"/>
  <c r="O685" i="2" s="1"/>
  <c r="P708" i="2" a="1"/>
  <c r="P708" i="2" s="1"/>
  <c r="P715" i="2" a="1"/>
  <c r="P715" i="2" s="1"/>
  <c r="O715" i="2" a="1"/>
  <c r="O715" i="2" s="1"/>
  <c r="O733" i="2" a="1"/>
  <c r="O733" i="2" s="1"/>
  <c r="T579" i="2"/>
  <c r="T587" i="2"/>
  <c r="L591" i="2"/>
  <c r="L604" i="2"/>
  <c r="M609" i="2"/>
  <c r="V618" i="2"/>
  <c r="W618" i="2" s="1"/>
  <c r="F631" i="2"/>
  <c r="K631" i="2" s="1"/>
  <c r="AI639" i="2"/>
  <c r="K660" i="2"/>
  <c r="M678" i="2"/>
  <c r="L678" i="2"/>
  <c r="P696" i="2" a="1"/>
  <c r="P696" i="2" s="1"/>
  <c r="O581" i="2" a="1"/>
  <c r="O581" i="2" s="1"/>
  <c r="S581" i="2" s="1"/>
  <c r="O589" i="2" a="1"/>
  <c r="O589" i="2" s="1"/>
  <c r="S589" i="2" s="1"/>
  <c r="O598" i="2" a="1"/>
  <c r="O598" i="2" s="1"/>
  <c r="S598" i="2" s="1"/>
  <c r="O605" i="2" a="1"/>
  <c r="O605" i="2" s="1"/>
  <c r="S605" i="2" s="1"/>
  <c r="AI609" i="2"/>
  <c r="W633" i="2"/>
  <c r="M639" i="2"/>
  <c r="P667" i="2" a="1"/>
  <c r="P667" i="2" s="1"/>
  <c r="O667" i="2" a="1"/>
  <c r="O667" i="2" s="1"/>
  <c r="O669" i="2" a="1"/>
  <c r="O669" i="2" s="1"/>
  <c r="O680" i="2" a="1"/>
  <c r="O680" i="2" s="1"/>
  <c r="S680" i="2" s="1"/>
  <c r="P685" i="2" a="1"/>
  <c r="P685" i="2" s="1"/>
  <c r="O702" i="2" a="1"/>
  <c r="O702" i="2" s="1"/>
  <c r="W725" i="2"/>
  <c r="L574" i="2"/>
  <c r="V579" i="2"/>
  <c r="W579" i="2" s="1"/>
  <c r="L582" i="2"/>
  <c r="L590" i="2"/>
  <c r="W600" i="2"/>
  <c r="L612" i="2"/>
  <c r="L648" i="2"/>
  <c r="P649" i="2" a="1"/>
  <c r="P649" i="2" s="1"/>
  <c r="T649" i="2" s="1"/>
  <c r="P673" i="2" a="1"/>
  <c r="P673" i="2" s="1"/>
  <c r="O673" i="2" a="1"/>
  <c r="O673" i="2" s="1"/>
  <c r="P705" i="2" a="1"/>
  <c r="P705" i="2" s="1"/>
  <c r="M574" i="2"/>
  <c r="M582" i="2"/>
  <c r="M590" i="2"/>
  <c r="O596" i="2" a="1"/>
  <c r="O596" i="2" s="1"/>
  <c r="S596" i="2" s="1"/>
  <c r="L600" i="2"/>
  <c r="M612" i="2"/>
  <c r="O624" i="2" a="1"/>
  <c r="O624" i="2" s="1"/>
  <c r="O636" i="2" a="1"/>
  <c r="O636" i="2" s="1"/>
  <c r="S636" i="2" s="1"/>
  <c r="M648" i="2"/>
  <c r="V678" i="2"/>
  <c r="W678" i="2" s="1"/>
  <c r="P680" i="2" a="1"/>
  <c r="P680" i="2" s="1"/>
  <c r="T680" i="2" s="1"/>
  <c r="O601" i="2" a="1"/>
  <c r="O601" i="2" s="1"/>
  <c r="S601" i="2" s="1"/>
  <c r="P605" i="2" a="1"/>
  <c r="P605" i="2" s="1"/>
  <c r="T605" i="2" s="1"/>
  <c r="O633" i="2" a="1"/>
  <c r="O633" i="2" s="1"/>
  <c r="S633" i="2" s="1"/>
  <c r="L640" i="2"/>
  <c r="O668" i="2" a="1"/>
  <c r="O668" i="2" s="1"/>
  <c r="P726" i="2" a="1"/>
  <c r="P726" i="2" s="1"/>
  <c r="T726" i="2" s="1"/>
  <c r="M573" i="2"/>
  <c r="M581" i="2"/>
  <c r="M589" i="2"/>
  <c r="W596" i="2"/>
  <c r="F610" i="2"/>
  <c r="K610" i="2" s="1"/>
  <c r="P613" i="2" a="1"/>
  <c r="P613" i="2" s="1"/>
  <c r="T613" i="2" s="1"/>
  <c r="O613" i="2" a="1"/>
  <c r="O613" i="2" s="1"/>
  <c r="S613" i="2" s="1"/>
  <c r="P615" i="2" a="1"/>
  <c r="P615" i="2" s="1"/>
  <c r="T615" i="2" s="1"/>
  <c r="O618" i="2" a="1"/>
  <c r="O618" i="2" s="1"/>
  <c r="S618" i="2" s="1"/>
  <c r="K624" i="2"/>
  <c r="V636" i="2"/>
  <c r="W636" i="2" s="1"/>
  <c r="M636" i="2"/>
  <c r="L636" i="2"/>
  <c r="P668" i="2" a="1"/>
  <c r="P668" i="2" s="1"/>
  <c r="P677" i="2" a="1"/>
  <c r="P677" i="2" s="1"/>
  <c r="T677" i="2" s="1"/>
  <c r="O684" i="2" a="1"/>
  <c r="O684" i="2" s="1"/>
  <c r="P688" i="2" a="1"/>
  <c r="P688" i="2" s="1"/>
  <c r="P694" i="2" a="1"/>
  <c r="P694" i="2" s="1"/>
  <c r="O592" i="2" a="1"/>
  <c r="O592" i="2" s="1"/>
  <c r="S592" i="2" s="1"/>
  <c r="T607" i="2"/>
  <c r="M607" i="2"/>
  <c r="L607" i="2"/>
  <c r="P618" i="2" a="1"/>
  <c r="P618" i="2" s="1"/>
  <c r="T618" i="2" s="1"/>
  <c r="O621" i="2" a="1"/>
  <c r="O621" i="2" s="1"/>
  <c r="O651" i="2" a="1"/>
  <c r="O651" i="2" s="1"/>
  <c r="S651" i="2" s="1"/>
  <c r="P657" i="2" a="1"/>
  <c r="P657" i="2" s="1"/>
  <c r="T657" i="2" s="1"/>
  <c r="V677" i="2"/>
  <c r="W677" i="2" s="1"/>
  <c r="M677" i="2"/>
  <c r="AI734" i="2"/>
  <c r="M734" i="2"/>
  <c r="L734" i="2"/>
  <c r="V734" i="2"/>
  <c r="W734" i="2" s="1"/>
  <c r="L743" i="2"/>
  <c r="M743" i="2"/>
  <c r="AI743" i="2"/>
  <c r="V743" i="2"/>
  <c r="W743" i="2" s="1"/>
  <c r="P592" i="2" a="1"/>
  <c r="P592" i="2" s="1"/>
  <c r="T592" i="2" s="1"/>
  <c r="O597" i="2" a="1"/>
  <c r="O597" i="2" s="1"/>
  <c r="S597" i="2" s="1"/>
  <c r="G26" i="2"/>
  <c r="P601" i="2" a="1"/>
  <c r="P601" i="2" s="1"/>
  <c r="T601" i="2" s="1"/>
  <c r="L615" i="2"/>
  <c r="O637" i="2" a="1"/>
  <c r="O637" i="2" s="1"/>
  <c r="S637" i="2" s="1"/>
  <c r="AI640" i="2"/>
  <c r="O645" i="2" a="1"/>
  <c r="O645" i="2" s="1"/>
  <c r="S645" i="2" s="1"/>
  <c r="T648" i="2"/>
  <c r="F652" i="2"/>
  <c r="K652" i="2" s="1"/>
  <c r="L677" i="2"/>
  <c r="P721" i="2" a="1"/>
  <c r="P721" i="2" s="1"/>
  <c r="T721" i="2" s="1"/>
  <c r="P739" i="2" a="1"/>
  <c r="P739" i="2" s="1"/>
  <c r="T739" i="2" s="1"/>
  <c r="L579" i="2"/>
  <c r="L587" i="2"/>
  <c r="W592" i="2"/>
  <c r="S600" i="2"/>
  <c r="M615" i="2"/>
  <c r="O616" i="2" a="1"/>
  <c r="O616" i="2" s="1"/>
  <c r="S616" i="2" s="1"/>
  <c r="L618" i="2"/>
  <c r="AI618" i="2"/>
  <c r="K621" i="2"/>
  <c r="P630" i="2" a="1"/>
  <c r="P630" i="2" s="1"/>
  <c r="T630" i="2" s="1"/>
  <c r="O630" i="2" a="1"/>
  <c r="O630" i="2" s="1"/>
  <c r="S630" i="2" s="1"/>
  <c r="P633" i="2" a="1"/>
  <c r="P633" i="2" s="1"/>
  <c r="T633" i="2" s="1"/>
  <c r="M640" i="2"/>
  <c r="P642" i="2" a="1"/>
  <c r="P642" i="2" s="1"/>
  <c r="T642" i="2" s="1"/>
  <c r="O642" i="2" a="1"/>
  <c r="O642" i="2" s="1"/>
  <c r="P645" i="2" a="1"/>
  <c r="P645" i="2" s="1"/>
  <c r="T645" i="2" s="1"/>
  <c r="O646" i="2" a="1"/>
  <c r="O646" i="2" s="1"/>
  <c r="S646" i="2" s="1"/>
  <c r="P671" i="2" a="1"/>
  <c r="P671" i="2" s="1"/>
  <c r="K578" i="2"/>
  <c r="S590" i="2"/>
  <c r="L592" i="2"/>
  <c r="L601" i="2"/>
  <c r="M603" i="2"/>
  <c r="L603" i="2"/>
  <c r="T603" i="2"/>
  <c r="O625" i="2" a="1"/>
  <c r="O625" i="2" s="1"/>
  <c r="S625" i="2" s="1"/>
  <c r="O634" i="2" a="1"/>
  <c r="O634" i="2" s="1"/>
  <c r="S634" i="2" s="1"/>
  <c r="W645" i="2"/>
  <c r="O652" i="2" a="1"/>
  <c r="O652" i="2" s="1"/>
  <c r="L657" i="2"/>
  <c r="S657" i="2"/>
  <c r="AI657" i="2"/>
  <c r="P664" i="2" a="1"/>
  <c r="P664" i="2" s="1"/>
  <c r="T664" i="2" s="1"/>
  <c r="O664" i="2" a="1"/>
  <c r="O664" i="2" s="1"/>
  <c r="S664" i="2" s="1"/>
  <c r="O676" i="2" a="1"/>
  <c r="O676" i="2" s="1"/>
  <c r="P723" i="2" a="1"/>
  <c r="P723" i="2" s="1"/>
  <c r="T723" i="2" s="1"/>
  <c r="M592" i="2"/>
  <c r="O593" i="2" a="1"/>
  <c r="O593" i="2" s="1"/>
  <c r="S593" i="2" s="1"/>
  <c r="P597" i="2" a="1"/>
  <c r="P597" i="2" s="1"/>
  <c r="T597" i="2" s="1"/>
  <c r="L633" i="2"/>
  <c r="L645" i="2"/>
  <c r="U666" i="2"/>
  <c r="U27" i="2" s="1"/>
  <c r="O693" i="2" a="1"/>
  <c r="O693" i="2" s="1"/>
  <c r="P693" i="2" a="1"/>
  <c r="P693" i="2" s="1"/>
  <c r="O606" i="2" a="1"/>
  <c r="O606" i="2" s="1"/>
  <c r="S606" i="2" s="1"/>
  <c r="V612" i="2"/>
  <c r="W612" i="2" s="1"/>
  <c r="O622" i="2" a="1"/>
  <c r="O622" i="2" s="1"/>
  <c r="S622" i="2" s="1"/>
  <c r="T636" i="2"/>
  <c r="M645" i="2"/>
  <c r="P646" i="2" a="1"/>
  <c r="P646" i="2" s="1"/>
  <c r="T646" i="2" s="1"/>
  <c r="F658" i="2"/>
  <c r="K658" i="2" s="1"/>
  <c r="L664" i="2"/>
  <c r="AI664" i="2"/>
  <c r="V664" i="2"/>
  <c r="W664" i="2" s="1"/>
  <c r="P718" i="2" a="1"/>
  <c r="P718" i="2" s="1"/>
  <c r="M599" i="2"/>
  <c r="L599" i="2"/>
  <c r="S607" i="2"/>
  <c r="T609" i="2"/>
  <c r="L609" i="2"/>
  <c r="P612" i="2" a="1"/>
  <c r="P612" i="2" s="1"/>
  <c r="T612" i="2" s="1"/>
  <c r="O612" i="2" a="1"/>
  <c r="O612" i="2" s="1"/>
  <c r="S612" i="2" s="1"/>
  <c r="S615" i="2"/>
  <c r="P616" i="2" a="1"/>
  <c r="P616" i="2" s="1"/>
  <c r="T616" i="2" s="1"/>
  <c r="S642" i="2"/>
  <c r="AI642" i="2"/>
  <c r="O661" i="2" a="1"/>
  <c r="O661" i="2" s="1"/>
  <c r="S661" i="2" s="1"/>
  <c r="O675" i="2" a="1"/>
  <c r="O675" i="2" s="1"/>
  <c r="F715" i="2"/>
  <c r="O727" i="2" a="1"/>
  <c r="O727" i="2" s="1"/>
  <c r="S727" i="2" s="1"/>
  <c r="V737" i="2"/>
  <c r="W737" i="2" s="1"/>
  <c r="AI737" i="2"/>
  <c r="M737" i="2"/>
  <c r="L737" i="2"/>
  <c r="P593" i="2" a="1"/>
  <c r="P593" i="2" s="1"/>
  <c r="T593" i="2" s="1"/>
  <c r="O604" i="2" a="1"/>
  <c r="O604" i="2" s="1"/>
  <c r="S604" i="2" s="1"/>
  <c r="V607" i="2"/>
  <c r="W607" i="2" s="1"/>
  <c r="P631" i="2" a="1"/>
  <c r="P631" i="2" s="1"/>
  <c r="O631" i="2" a="1"/>
  <c r="O631" i="2" s="1"/>
  <c r="P634" i="2" a="1"/>
  <c r="P634" i="2" s="1"/>
  <c r="T634" i="2" s="1"/>
  <c r="L639" i="2"/>
  <c r="L642" i="2"/>
  <c r="P643" i="2" a="1"/>
  <c r="P643" i="2" s="1"/>
  <c r="T643" i="2" s="1"/>
  <c r="O643" i="2" a="1"/>
  <c r="O643" i="2" s="1"/>
  <c r="S643" i="2" s="1"/>
  <c r="L646" i="2"/>
  <c r="O658" i="2" a="1"/>
  <c r="O658" i="2" s="1"/>
  <c r="P661" i="2" a="1"/>
  <c r="P661" i="2" s="1"/>
  <c r="T661" i="2" s="1"/>
  <c r="P663" i="2" a="1"/>
  <c r="P663" i="2" s="1"/>
  <c r="T663" i="2" s="1"/>
  <c r="P670" i="2" a="1"/>
  <c r="P670" i="2" s="1"/>
  <c r="T670" i="2" s="1"/>
  <c r="O670" i="2" a="1"/>
  <c r="O670" i="2" s="1"/>
  <c r="S670" i="2" s="1"/>
  <c r="P674" i="2" a="1"/>
  <c r="P674" i="2" s="1"/>
  <c r="T674" i="2" s="1"/>
  <c r="O674" i="2" a="1"/>
  <c r="O674" i="2" s="1"/>
  <c r="S674" i="2" s="1"/>
  <c r="P687" i="2" a="1"/>
  <c r="P687" i="2" s="1"/>
  <c r="O708" i="2" a="1"/>
  <c r="O708" i="2" s="1"/>
  <c r="V679" i="2"/>
  <c r="W679" i="2" s="1"/>
  <c r="V728" i="2"/>
  <c r="W728" i="2" s="1"/>
  <c r="O729" i="2" a="1"/>
  <c r="O729" i="2" s="1"/>
  <c r="S729" i="2" s="1"/>
  <c r="P737" i="2" a="1"/>
  <c r="P737" i="2" s="1"/>
  <c r="T737" i="2" s="1"/>
  <c r="AI739" i="2"/>
  <c r="L739" i="2"/>
  <c r="U745" i="2"/>
  <c r="U29" i="2" s="1"/>
  <c r="P706" i="2" a="1"/>
  <c r="P706" i="2" s="1"/>
  <c r="O724" i="2" a="1"/>
  <c r="O724" i="2" s="1"/>
  <c r="S724" i="2" s="1"/>
  <c r="W726" i="2"/>
  <c r="L728" i="2"/>
  <c r="P729" i="2" a="1"/>
  <c r="P729" i="2" s="1"/>
  <c r="T729" i="2" s="1"/>
  <c r="O740" i="2" a="1"/>
  <c r="O740" i="2" s="1"/>
  <c r="S740" i="2" s="1"/>
  <c r="O749" i="2" a="1"/>
  <c r="O749" i="2" s="1"/>
  <c r="S749" i="2" s="1"/>
  <c r="P749" i="2" a="1"/>
  <c r="P749" i="2" s="1"/>
  <c r="T749" i="2" s="1"/>
  <c r="P679" i="2" a="1"/>
  <c r="P679" i="2" s="1"/>
  <c r="T679" i="2" s="1"/>
  <c r="O679" i="2" a="1"/>
  <c r="O679" i="2" s="1"/>
  <c r="O717" i="2" a="1"/>
  <c r="O717" i="2" s="1"/>
  <c r="P724" i="2" a="1"/>
  <c r="P724" i="2" s="1"/>
  <c r="T724" i="2" s="1"/>
  <c r="M728" i="2"/>
  <c r="M739" i="2"/>
  <c r="P740" i="2" a="1"/>
  <c r="P740" i="2" s="1"/>
  <c r="T740" i="2" s="1"/>
  <c r="K742" i="2"/>
  <c r="O748" i="2" a="1"/>
  <c r="O748" i="2" s="1"/>
  <c r="S748" i="2" s="1"/>
  <c r="O756" i="2" a="1"/>
  <c r="O756" i="2" s="1"/>
  <c r="S756" i="2" s="1"/>
  <c r="P756" i="2" a="1"/>
  <c r="P756" i="2" s="1"/>
  <c r="T756" i="2" s="1"/>
  <c r="O697" i="2" a="1"/>
  <c r="O697" i="2" s="1"/>
  <c r="P731" i="2" a="1"/>
  <c r="P731" i="2" s="1"/>
  <c r="O731" i="2" a="1"/>
  <c r="O731" i="2" s="1"/>
  <c r="S731" i="2" s="1"/>
  <c r="L670" i="2"/>
  <c r="O672" i="2" a="1"/>
  <c r="O672" i="2" s="1"/>
  <c r="L674" i="2"/>
  <c r="O681" i="2" a="1"/>
  <c r="O681" i="2" s="1"/>
  <c r="S681" i="2" s="1"/>
  <c r="O694" i="2" a="1"/>
  <c r="O694" i="2" s="1"/>
  <c r="P725" i="2" a="1"/>
  <c r="P725" i="2" s="1"/>
  <c r="T725" i="2" s="1"/>
  <c r="O725" i="2" a="1"/>
  <c r="O725" i="2" s="1"/>
  <c r="S725" i="2" s="1"/>
  <c r="P733" i="2" a="1"/>
  <c r="P733" i="2" s="1"/>
  <c r="T733" i="2" s="1"/>
  <c r="P748" i="2" a="1"/>
  <c r="P748" i="2" s="1"/>
  <c r="T748" i="2" s="1"/>
  <c r="P681" i="2" a="1"/>
  <c r="P681" i="2" s="1"/>
  <c r="T681" i="2" s="1"/>
  <c r="O690" i="2" a="1"/>
  <c r="O690" i="2" s="1"/>
  <c r="P717" i="2" a="1"/>
  <c r="P717" i="2" s="1"/>
  <c r="O718" i="2" a="1"/>
  <c r="O718" i="2" s="1"/>
  <c r="M681" i="2"/>
  <c r="V681" i="2"/>
  <c r="W681" i="2" s="1"/>
  <c r="AI733" i="2"/>
  <c r="M733" i="2"/>
  <c r="L733" i="2"/>
  <c r="V733" i="2"/>
  <c r="W733" i="2" s="1"/>
  <c r="O677" i="2" a="1"/>
  <c r="O677" i="2" s="1"/>
  <c r="S677" i="2" s="1"/>
  <c r="M679" i="2"/>
  <c r="L681" i="2"/>
  <c r="O709" i="2" a="1"/>
  <c r="O709" i="2" s="1"/>
  <c r="P711" i="2" a="1"/>
  <c r="P711" i="2" s="1"/>
  <c r="O722" i="2" a="1"/>
  <c r="O722" i="2" s="1"/>
  <c r="S722" i="2" s="1"/>
  <c r="G28" i="2"/>
  <c r="P727" i="2" a="1"/>
  <c r="P727" i="2" s="1"/>
  <c r="T727" i="2" s="1"/>
  <c r="A731" i="2"/>
  <c r="A732" i="2" s="1"/>
  <c r="A733" i="2" s="1"/>
  <c r="A734" i="2" s="1"/>
  <c r="A735" i="2" s="1"/>
  <c r="T731" i="2"/>
  <c r="L731" i="2"/>
  <c r="P702" i="2" a="1"/>
  <c r="P702" i="2" s="1"/>
  <c r="O736" i="2" a="1"/>
  <c r="O736" i="2" s="1"/>
  <c r="V739" i="2"/>
  <c r="W739" i="2" s="1"/>
  <c r="P758" i="2" a="1"/>
  <c r="P758" i="2" s="1"/>
  <c r="T758" i="2" s="1"/>
  <c r="O758" i="2" a="1"/>
  <c r="O758" i="2" s="1"/>
  <c r="S758" i="2" s="1"/>
  <c r="O759" i="2" a="1"/>
  <c r="O759" i="2" s="1"/>
  <c r="S759" i="2" s="1"/>
  <c r="P768" i="2" a="1"/>
  <c r="P768" i="2" s="1"/>
  <c r="T768" i="2" s="1"/>
  <c r="P712" i="2" a="1"/>
  <c r="P712" i="2" s="1"/>
  <c r="O726" i="2" a="1"/>
  <c r="O726" i="2" s="1"/>
  <c r="S726" i="2" s="1"/>
  <c r="O734" i="2" a="1"/>
  <c r="O734" i="2" s="1"/>
  <c r="S734" i="2" s="1"/>
  <c r="P746" i="2" a="1"/>
  <c r="P746" i="2" s="1"/>
  <c r="T746" i="2" s="1"/>
  <c r="V747" i="2"/>
  <c r="W747" i="2" s="1"/>
  <c r="L747" i="2"/>
  <c r="P755" i="2" a="1"/>
  <c r="P755" i="2" s="1"/>
  <c r="T755" i="2" s="1"/>
  <c r="P734" i="2" a="1"/>
  <c r="P734" i="2" s="1"/>
  <c r="T734" i="2" s="1"/>
  <c r="O746" i="2" a="1"/>
  <c r="O746" i="2" s="1"/>
  <c r="S746" i="2" s="1"/>
  <c r="W749" i="2"/>
  <c r="P766" i="2" a="1"/>
  <c r="P766" i="2" s="1"/>
  <c r="T766" i="2" s="1"/>
  <c r="O671" i="2" a="1"/>
  <c r="O671" i="2" s="1"/>
  <c r="P682" i="2" a="1"/>
  <c r="P682" i="2" s="1"/>
  <c r="T682" i="2" s="1"/>
  <c r="O691" i="2" a="1"/>
  <c r="O691" i="2" s="1"/>
  <c r="P703" i="2" a="1"/>
  <c r="P703" i="2" s="1"/>
  <c r="O705" i="2" a="1"/>
  <c r="O705" i="2" s="1"/>
  <c r="O711" i="2" a="1"/>
  <c r="O711" i="2" s="1"/>
  <c r="F712" i="2"/>
  <c r="W729" i="2"/>
  <c r="V746" i="2"/>
  <c r="V797" i="2"/>
  <c r="W797" i="2" s="1"/>
  <c r="AI797" i="2"/>
  <c r="M797" i="2"/>
  <c r="L797" i="2"/>
  <c r="L655" i="2"/>
  <c r="P678" i="2" a="1"/>
  <c r="P678" i="2" s="1"/>
  <c r="T678" i="2" s="1"/>
  <c r="O696" i="2" a="1"/>
  <c r="O696" i="2" s="1"/>
  <c r="P714" i="2" a="1"/>
  <c r="P714" i="2" s="1"/>
  <c r="O714" i="2" a="1"/>
  <c r="O714" i="2" s="1"/>
  <c r="O723" i="2" a="1"/>
  <c r="O723" i="2" s="1"/>
  <c r="S723" i="2" s="1"/>
  <c r="L727" i="2"/>
  <c r="L28" i="2" s="1"/>
  <c r="S733" i="2"/>
  <c r="P736" i="2" a="1"/>
  <c r="P736" i="2" s="1"/>
  <c r="L746" i="2"/>
  <c r="S679" i="2"/>
  <c r="O688" i="2" a="1"/>
  <c r="O688" i="2" s="1"/>
  <c r="O706" i="2" a="1"/>
  <c r="O706" i="2" s="1"/>
  <c r="O712" i="2" a="1"/>
  <c r="O712" i="2" s="1"/>
  <c r="U720" i="2"/>
  <c r="U28" i="2" s="1"/>
  <c r="M727" i="2"/>
  <c r="M28" i="2" s="1"/>
  <c r="V731" i="2"/>
  <c r="W731" i="2" s="1"/>
  <c r="K736" i="2"/>
  <c r="M746" i="2"/>
  <c r="O753" i="2" a="1"/>
  <c r="O753" i="2" s="1"/>
  <c r="S753" i="2" s="1"/>
  <c r="O728" i="2" a="1"/>
  <c r="O728" i="2" s="1"/>
  <c r="S728" i="2" s="1"/>
  <c r="O739" i="2" a="1"/>
  <c r="O739" i="2" s="1"/>
  <c r="S739" i="2" s="1"/>
  <c r="P742" i="2" a="1"/>
  <c r="P742" i="2" s="1"/>
  <c r="O742" i="2" a="1"/>
  <c r="O742" i="2" s="1"/>
  <c r="O757" i="2" a="1"/>
  <c r="O757" i="2" s="1"/>
  <c r="S757" i="2" s="1"/>
  <c r="O750" i="2" a="1"/>
  <c r="O750" i="2" s="1"/>
  <c r="S750" i="2" s="1"/>
  <c r="P750" i="2" a="1"/>
  <c r="P750" i="2" s="1"/>
  <c r="T750" i="2" s="1"/>
  <c r="P753" i="2" a="1"/>
  <c r="P753" i="2" s="1"/>
  <c r="T753" i="2" s="1"/>
  <c r="W755" i="2"/>
  <c r="P770" i="2" a="1"/>
  <c r="P770" i="2" s="1"/>
  <c r="T770" i="2" s="1"/>
  <c r="O770" i="2" a="1"/>
  <c r="O770" i="2" s="1"/>
  <c r="S770" i="2" s="1"/>
  <c r="M778" i="2"/>
  <c r="L778" i="2"/>
  <c r="V778" i="2"/>
  <c r="W778" i="2" s="1"/>
  <c r="O781" i="2" a="1"/>
  <c r="O781" i="2" s="1"/>
  <c r="S781" i="2" s="1"/>
  <c r="P791" i="2" a="1"/>
  <c r="P791" i="2" s="1"/>
  <c r="T791" i="2" s="1"/>
  <c r="P814" i="2" a="1"/>
  <c r="P814" i="2" s="1"/>
  <c r="O721" i="2" a="1"/>
  <c r="O721" i="2" s="1"/>
  <c r="S721" i="2" s="1"/>
  <c r="O743" i="2" a="1"/>
  <c r="O743" i="2" s="1"/>
  <c r="S743" i="2" s="1"/>
  <c r="P752" i="2" a="1"/>
  <c r="P752" i="2" s="1"/>
  <c r="T752" i="2" s="1"/>
  <c r="O773" i="2" a="1"/>
  <c r="O773" i="2" s="1"/>
  <c r="S773" i="2" s="1"/>
  <c r="O778" i="2" a="1"/>
  <c r="O778" i="2" s="1"/>
  <c r="S778" i="2" s="1"/>
  <c r="P811" i="2" a="1"/>
  <c r="P811" i="2" s="1"/>
  <c r="V781" i="2"/>
  <c r="W781" i="2" s="1"/>
  <c r="AI781" i="2"/>
  <c r="M781" i="2"/>
  <c r="L781" i="2"/>
  <c r="O784" i="2" a="1"/>
  <c r="O784" i="2" s="1"/>
  <c r="S784" i="2" s="1"/>
  <c r="AI791" i="2"/>
  <c r="M791" i="2"/>
  <c r="L791" i="2"/>
  <c r="V791" i="2"/>
  <c r="W791" i="2" s="1"/>
  <c r="P802" i="2" a="1"/>
  <c r="P802" i="2" s="1"/>
  <c r="T802" i="2" s="1"/>
  <c r="F703" i="2"/>
  <c r="O737" i="2" a="1"/>
  <c r="O737" i="2" s="1"/>
  <c r="S737" i="2" s="1"/>
  <c r="O755" i="2" a="1"/>
  <c r="O755" i="2" s="1"/>
  <c r="S755" i="2" s="1"/>
  <c r="M787" i="2"/>
  <c r="L787" i="2"/>
  <c r="V787" i="2"/>
  <c r="W787" i="2" s="1"/>
  <c r="AI787" i="2"/>
  <c r="P796" i="2" a="1"/>
  <c r="P796" i="2" s="1"/>
  <c r="T796" i="2" s="1"/>
  <c r="P805" i="2" a="1"/>
  <c r="P805" i="2" s="1"/>
  <c r="T805" i="2" s="1"/>
  <c r="P821" i="2" a="1"/>
  <c r="P821" i="2" s="1"/>
  <c r="O766" i="2" a="1"/>
  <c r="O766" i="2" s="1"/>
  <c r="S766" i="2" s="1"/>
  <c r="M773" i="2"/>
  <c r="L773" i="2"/>
  <c r="AI773" i="2"/>
  <c r="P776" i="2" a="1"/>
  <c r="P776" i="2" s="1"/>
  <c r="T776" i="2" s="1"/>
  <c r="O776" i="2" a="1"/>
  <c r="O776" i="2" s="1"/>
  <c r="S776" i="2" s="1"/>
  <c r="M785" i="2"/>
  <c r="L785" i="2"/>
  <c r="V785" i="2"/>
  <c r="W785" i="2" s="1"/>
  <c r="AI785" i="2"/>
  <c r="O815" i="2" a="1"/>
  <c r="O815" i="2" s="1"/>
  <c r="P773" i="2" a="1"/>
  <c r="P773" i="2" s="1"/>
  <c r="T773" i="2" s="1"/>
  <c r="P788" i="2" a="1"/>
  <c r="P788" i="2" s="1"/>
  <c r="T788" i="2" s="1"/>
  <c r="O788" i="2" a="1"/>
  <c r="O788" i="2" s="1"/>
  <c r="S788" i="2" s="1"/>
  <c r="P793" i="2" a="1"/>
  <c r="P793" i="2" s="1"/>
  <c r="M800" i="2"/>
  <c r="V800" i="2"/>
  <c r="W800" i="2" s="1"/>
  <c r="AI800" i="2"/>
  <c r="L800" i="2"/>
  <c r="O751" i="2" a="1"/>
  <c r="O751" i="2" s="1"/>
  <c r="S751" i="2" s="1"/>
  <c r="O765" i="2" a="1"/>
  <c r="O765" i="2" s="1"/>
  <c r="S765" i="2" s="1"/>
  <c r="P769" i="2" a="1"/>
  <c r="P769" i="2" s="1"/>
  <c r="T769" i="2" s="1"/>
  <c r="O769" i="2" a="1"/>
  <c r="O769" i="2" s="1"/>
  <c r="S769" i="2" s="1"/>
  <c r="M788" i="2"/>
  <c r="L788" i="2"/>
  <c r="AI788" i="2"/>
  <c r="O796" i="2" a="1"/>
  <c r="O796" i="2" s="1"/>
  <c r="P765" i="2" a="1"/>
  <c r="P765" i="2" s="1"/>
  <c r="T765" i="2" s="1"/>
  <c r="P771" i="2" a="1"/>
  <c r="P771" i="2" s="1"/>
  <c r="T771" i="2" s="1"/>
  <c r="K793" i="2"/>
  <c r="F794" i="2"/>
  <c r="K794" i="2" s="1"/>
  <c r="O799" i="2" a="1"/>
  <c r="O799" i="2" s="1"/>
  <c r="S799" i="2" s="1"/>
  <c r="M824" i="2"/>
  <c r="L824" i="2"/>
  <c r="V824" i="2"/>
  <c r="W824" i="2" s="1"/>
  <c r="AI824" i="2"/>
  <c r="W754" i="2"/>
  <c r="O764" i="2" a="1"/>
  <c r="O764" i="2" s="1"/>
  <c r="S764" i="2" s="1"/>
  <c r="L765" i="2"/>
  <c r="V765" i="2"/>
  <c r="W765" i="2" s="1"/>
  <c r="V773" i="2"/>
  <c r="W773" i="2" s="1"/>
  <c r="V788" i="2"/>
  <c r="W788" i="2" s="1"/>
  <c r="P751" i="2" a="1"/>
  <c r="P751" i="2" s="1"/>
  <c r="T751" i="2" s="1"/>
  <c r="O760" i="2" a="1"/>
  <c r="O760" i="2" s="1"/>
  <c r="S760" i="2" s="1"/>
  <c r="P764" i="2" a="1"/>
  <c r="P764" i="2" s="1"/>
  <c r="T764" i="2" s="1"/>
  <c r="W776" i="2"/>
  <c r="O779" i="2" a="1"/>
  <c r="O779" i="2" s="1"/>
  <c r="P790" i="2" a="1"/>
  <c r="P790" i="2" s="1"/>
  <c r="T790" i="2" s="1"/>
  <c r="M823" i="2"/>
  <c r="L823" i="2"/>
  <c r="V823" i="2"/>
  <c r="W823" i="2" s="1"/>
  <c r="AI823" i="2"/>
  <c r="W752" i="2"/>
  <c r="P760" i="2" a="1"/>
  <c r="P760" i="2" s="1"/>
  <c r="T760" i="2" s="1"/>
  <c r="O763" i="2" a="1"/>
  <c r="O763" i="2" s="1"/>
  <c r="S763" i="2" s="1"/>
  <c r="AK764" i="2"/>
  <c r="L764" i="2"/>
  <c r="V764" i="2"/>
  <c r="W764" i="2" s="1"/>
  <c r="O771" i="2" a="1"/>
  <c r="O771" i="2" s="1"/>
  <c r="S771" i="2" s="1"/>
  <c r="O774" i="2" a="1"/>
  <c r="O774" i="2" s="1"/>
  <c r="P743" i="2" a="1"/>
  <c r="P743" i="2" s="1"/>
  <c r="T743" i="2" s="1"/>
  <c r="O754" i="2" a="1"/>
  <c r="O754" i="2" s="1"/>
  <c r="S754" i="2" s="1"/>
  <c r="AK760" i="2"/>
  <c r="L760" i="2"/>
  <c r="P763" i="2" a="1"/>
  <c r="P763" i="2" s="1"/>
  <c r="T763" i="2" s="1"/>
  <c r="M790" i="2"/>
  <c r="L790" i="2"/>
  <c r="AI790" i="2"/>
  <c r="P794" i="2" a="1"/>
  <c r="P794" i="2" s="1"/>
  <c r="P747" i="2" a="1"/>
  <c r="P747" i="2" s="1"/>
  <c r="T747" i="2" s="1"/>
  <c r="W750" i="2"/>
  <c r="M760" i="2"/>
  <c r="O761" i="2" a="1"/>
  <c r="O761" i="2" s="1"/>
  <c r="S761" i="2" s="1"/>
  <c r="O762" i="2" a="1"/>
  <c r="O762" i="2" s="1"/>
  <c r="S762" i="2" s="1"/>
  <c r="AK763" i="2"/>
  <c r="L763" i="2"/>
  <c r="V763" i="2"/>
  <c r="W763" i="2" s="1"/>
  <c r="O817" i="2" a="1"/>
  <c r="O817" i="2" s="1"/>
  <c r="S817" i="2" s="1"/>
  <c r="O752" i="2" a="1"/>
  <c r="O752" i="2" s="1"/>
  <c r="S752" i="2" s="1"/>
  <c r="P761" i="2" a="1"/>
  <c r="P761" i="2" s="1"/>
  <c r="T761" i="2" s="1"/>
  <c r="P762" i="2" a="1"/>
  <c r="P762" i="2" s="1"/>
  <c r="T762" i="2" s="1"/>
  <c r="M763" i="2"/>
  <c r="P785" i="2" a="1"/>
  <c r="P785" i="2" s="1"/>
  <c r="T785" i="2" s="1"/>
  <c r="O800" i="2" a="1"/>
  <c r="O800" i="2" s="1"/>
  <c r="S800" i="2" s="1"/>
  <c r="V812" i="2"/>
  <c r="W812" i="2" s="1"/>
  <c r="M812" i="2"/>
  <c r="L812" i="2"/>
  <c r="AI812" i="2"/>
  <c r="V815" i="2"/>
  <c r="W815" i="2" s="1"/>
  <c r="S815" i="2"/>
  <c r="AI815" i="2"/>
  <c r="L815" i="2"/>
  <c r="M815" i="2"/>
  <c r="O848" i="2" a="1"/>
  <c r="O848" i="2" s="1"/>
  <c r="O747" i="2" a="1"/>
  <c r="O747" i="2" s="1"/>
  <c r="S747" i="2" s="1"/>
  <c r="W748" i="2"/>
  <c r="P754" i="2" a="1"/>
  <c r="P754" i="2" s="1"/>
  <c r="T754" i="2" s="1"/>
  <c r="AK761" i="2"/>
  <c r="L761" i="2"/>
  <c r="AK762" i="2"/>
  <c r="L762" i="2"/>
  <c r="V762" i="2"/>
  <c r="W762" i="2" s="1"/>
  <c r="P774" i="2" a="1"/>
  <c r="P774" i="2" s="1"/>
  <c r="V790" i="2"/>
  <c r="W790" i="2" s="1"/>
  <c r="O794" i="2" a="1"/>
  <c r="O794" i="2" s="1"/>
  <c r="P797" i="2" a="1"/>
  <c r="P797" i="2" s="1"/>
  <c r="T797" i="2" s="1"/>
  <c r="O832" i="2" a="1"/>
  <c r="O832" i="2" s="1"/>
  <c r="P832" i="2" a="1"/>
  <c r="P832" i="2" s="1"/>
  <c r="T832" i="2" s="1"/>
  <c r="P767" i="2" a="1"/>
  <c r="P767" i="2" s="1"/>
  <c r="T767" i="2" s="1"/>
  <c r="O845" i="2" a="1"/>
  <c r="O845" i="2" s="1"/>
  <c r="S845" i="2" s="1"/>
  <c r="O875" i="2" a="1"/>
  <c r="O875" i="2" s="1"/>
  <c r="S875" i="2" s="1"/>
  <c r="V796" i="2"/>
  <c r="W796" i="2" s="1"/>
  <c r="O823" i="2" a="1"/>
  <c r="O823" i="2" s="1"/>
  <c r="S823" i="2" s="1"/>
  <c r="P830" i="2" a="1"/>
  <c r="P830" i="2" s="1"/>
  <c r="O830" i="2" a="1"/>
  <c r="O830" i="2" s="1"/>
  <c r="V832" i="2"/>
  <c r="W832" i="2" s="1"/>
  <c r="O870" i="2" a="1"/>
  <c r="O870" i="2" s="1"/>
  <c r="S870" i="2" s="1"/>
  <c r="P875" i="2" a="1"/>
  <c r="P875" i="2" s="1"/>
  <c r="T875" i="2" s="1"/>
  <c r="V802" i="2"/>
  <c r="W802" i="2" s="1"/>
  <c r="P844" i="2" a="1"/>
  <c r="P844" i="2" s="1"/>
  <c r="T844" i="2" s="1"/>
  <c r="O844" i="2" a="1"/>
  <c r="O844" i="2" s="1"/>
  <c r="S844" i="2" s="1"/>
  <c r="P866" i="2" a="1"/>
  <c r="P866" i="2" s="1"/>
  <c r="O866" i="2" a="1"/>
  <c r="O866" i="2" s="1"/>
  <c r="P884" i="2" a="1"/>
  <c r="P884" i="2" s="1"/>
  <c r="O797" i="2" a="1"/>
  <c r="O797" i="2" s="1"/>
  <c r="S797" i="2" s="1"/>
  <c r="P818" i="2" a="1"/>
  <c r="P818" i="2" s="1"/>
  <c r="T818" i="2" s="1"/>
  <c r="O824" i="2" a="1"/>
  <c r="O824" i="2" s="1"/>
  <c r="S824" i="2" s="1"/>
  <c r="F830" i="2"/>
  <c r="K830" i="2" s="1"/>
  <c r="O851" i="2" a="1"/>
  <c r="O851" i="2" s="1"/>
  <c r="S851" i="2" s="1"/>
  <c r="V867" i="2"/>
  <c r="W867" i="2" s="1"/>
  <c r="M867" i="2"/>
  <c r="L867" i="2"/>
  <c r="O880" i="2" a="1"/>
  <c r="O880" i="2" s="1"/>
  <c r="O805" i="2" a="1"/>
  <c r="O805" i="2" s="1"/>
  <c r="S805" i="2" s="1"/>
  <c r="O808" i="2" a="1"/>
  <c r="O808" i="2" s="1"/>
  <c r="S808" i="2" s="1"/>
  <c r="M817" i="2"/>
  <c r="P823" i="2" a="1"/>
  <c r="P823" i="2" s="1"/>
  <c r="T823" i="2" s="1"/>
  <c r="O849" i="2" a="1"/>
  <c r="O849" i="2" s="1"/>
  <c r="S849" i="2" s="1"/>
  <c r="P854" i="2" a="1"/>
  <c r="P854" i="2" s="1"/>
  <c r="T854" i="2" s="1"/>
  <c r="P847" i="2" a="1"/>
  <c r="P847" i="2" s="1"/>
  <c r="T847" i="2" s="1"/>
  <c r="O847" i="2" a="1"/>
  <c r="O847" i="2" s="1"/>
  <c r="S847" i="2" s="1"/>
  <c r="O857" i="2" a="1"/>
  <c r="O857" i="2" s="1"/>
  <c r="P878" i="2" a="1"/>
  <c r="P878" i="2" s="1"/>
  <c r="V770" i="2"/>
  <c r="W770" i="2" s="1"/>
  <c r="F774" i="2"/>
  <c r="K774" i="2" s="1"/>
  <c r="O814" i="2" a="1"/>
  <c r="O814" i="2" s="1"/>
  <c r="P824" i="2" a="1"/>
  <c r="P824" i="2" s="1"/>
  <c r="T824" i="2" s="1"/>
  <c r="V849" i="2"/>
  <c r="W849" i="2" s="1"/>
  <c r="T849" i="2"/>
  <c r="M849" i="2"/>
  <c r="L849" i="2"/>
  <c r="P851" i="2" a="1"/>
  <c r="P851" i="2" s="1"/>
  <c r="T851" i="2" s="1"/>
  <c r="U869" i="2"/>
  <c r="U31" i="2" s="1"/>
  <c r="W870" i="2"/>
  <c r="O791" i="2" a="1"/>
  <c r="O791" i="2" s="1"/>
  <c r="S791" i="2" s="1"/>
  <c r="O793" i="2" a="1"/>
  <c r="O793" i="2" s="1"/>
  <c r="AI799" i="2"/>
  <c r="M802" i="2"/>
  <c r="O811" i="2" a="1"/>
  <c r="O811" i="2" s="1"/>
  <c r="S811" i="2" s="1"/>
  <c r="P836" i="2" a="1"/>
  <c r="P836" i="2" s="1"/>
  <c r="T836" i="2" s="1"/>
  <c r="G30" i="2"/>
  <c r="P837" i="2" a="1"/>
  <c r="P837" i="2" s="1"/>
  <c r="T837" i="2" s="1"/>
  <c r="P838" i="2" a="1"/>
  <c r="P838" i="2" s="1"/>
  <c r="T838" i="2" s="1"/>
  <c r="P839" i="2" a="1"/>
  <c r="P839" i="2" s="1"/>
  <c r="T839" i="2" s="1"/>
  <c r="P840" i="2" a="1"/>
  <c r="P840" i="2" s="1"/>
  <c r="T840" i="2" s="1"/>
  <c r="P841" i="2" a="1"/>
  <c r="P841" i="2" s="1"/>
  <c r="T841" i="2" s="1"/>
  <c r="P842" i="2" a="1"/>
  <c r="P842" i="2" s="1"/>
  <c r="T842" i="2" s="1"/>
  <c r="P843" i="2" a="1"/>
  <c r="P843" i="2" s="1"/>
  <c r="T843" i="2" s="1"/>
  <c r="O843" i="2" a="1"/>
  <c r="O843" i="2" s="1"/>
  <c r="S843" i="2" s="1"/>
  <c r="L796" i="2"/>
  <c r="P808" i="2" a="1"/>
  <c r="P808" i="2" s="1"/>
  <c r="T808" i="2" s="1"/>
  <c r="K814" i="2"/>
  <c r="T829" i="2"/>
  <c r="P833" i="2" a="1"/>
  <c r="P833" i="2" s="1"/>
  <c r="O833" i="2" a="1"/>
  <c r="O833" i="2" s="1"/>
  <c r="O836" i="2" a="1"/>
  <c r="O836" i="2" s="1"/>
  <c r="S836" i="2" s="1"/>
  <c r="O837" i="2" a="1"/>
  <c r="O837" i="2" s="1"/>
  <c r="S837" i="2" s="1"/>
  <c r="O838" i="2" a="1"/>
  <c r="O838" i="2" s="1"/>
  <c r="S838" i="2" s="1"/>
  <c r="O839" i="2" a="1"/>
  <c r="O839" i="2" s="1"/>
  <c r="S839" i="2" s="1"/>
  <c r="O840" i="2" a="1"/>
  <c r="O840" i="2" s="1"/>
  <c r="S840" i="2" s="1"/>
  <c r="O841" i="2" a="1"/>
  <c r="O841" i="2" s="1"/>
  <c r="S841" i="2" s="1"/>
  <c r="O842" i="2" a="1"/>
  <c r="O842" i="2" s="1"/>
  <c r="S842" i="2" s="1"/>
  <c r="O876" i="2" a="1"/>
  <c r="O876" i="2" s="1"/>
  <c r="S876" i="2" s="1"/>
  <c r="F779" i="2"/>
  <c r="K779" i="2" s="1"/>
  <c r="O790" i="2" a="1"/>
  <c r="O790" i="2" s="1"/>
  <c r="S790" i="2" s="1"/>
  <c r="M796" i="2"/>
  <c r="O802" i="2" a="1"/>
  <c r="O802" i="2" s="1"/>
  <c r="S802" i="2" s="1"/>
  <c r="V808" i="2"/>
  <c r="W808" i="2" s="1"/>
  <c r="T811" i="2"/>
  <c r="AI811" i="2"/>
  <c r="S818" i="2"/>
  <c r="M818" i="2"/>
  <c r="M826" i="2"/>
  <c r="T826" i="2"/>
  <c r="AI826" i="2"/>
  <c r="M832" i="2"/>
  <c r="O856" i="2" a="1"/>
  <c r="O856" i="2" s="1"/>
  <c r="S856" i="2" s="1"/>
  <c r="P864" i="2" a="1"/>
  <c r="P864" i="2" s="1"/>
  <c r="T864" i="2" s="1"/>
  <c r="O867" i="2" a="1"/>
  <c r="O867" i="2" s="1"/>
  <c r="S867" i="2" s="1"/>
  <c r="P871" i="2" a="1"/>
  <c r="P871" i="2" s="1"/>
  <c r="T871" i="2" s="1"/>
  <c r="L771" i="2"/>
  <c r="L802" i="2"/>
  <c r="AI802" i="2"/>
  <c r="L808" i="2"/>
  <c r="AI808" i="2"/>
  <c r="L811" i="2"/>
  <c r="V817" i="2"/>
  <c r="W817" i="2" s="1"/>
  <c r="L818" i="2"/>
  <c r="V829" i="2"/>
  <c r="W829" i="2" s="1"/>
  <c r="F833" i="2"/>
  <c r="K833" i="2" s="1"/>
  <c r="P858" i="2" a="1"/>
  <c r="P858" i="2" s="1"/>
  <c r="T858" i="2" s="1"/>
  <c r="P867" i="2" a="1"/>
  <c r="P867" i="2" s="1"/>
  <c r="T867" i="2" s="1"/>
  <c r="P873" i="2" a="1"/>
  <c r="P873" i="2" s="1"/>
  <c r="T873" i="2" s="1"/>
  <c r="P889" i="2" a="1"/>
  <c r="P889" i="2" s="1"/>
  <c r="T889" i="2" s="1"/>
  <c r="F782" i="2"/>
  <c r="K782" i="2" s="1"/>
  <c r="O785" i="2" a="1"/>
  <c r="O785" i="2" s="1"/>
  <c r="S785" i="2" s="1"/>
  <c r="O787" i="2" a="1"/>
  <c r="O787" i="2" s="1"/>
  <c r="S787" i="2" s="1"/>
  <c r="T799" i="2"/>
  <c r="O806" i="2" a="1"/>
  <c r="O806" i="2" s="1"/>
  <c r="O809" i="2" a="1"/>
  <c r="O809" i="2" s="1"/>
  <c r="S809" i="2" s="1"/>
  <c r="O826" i="2" a="1"/>
  <c r="O826" i="2" s="1"/>
  <c r="S826" i="2" s="1"/>
  <c r="P846" i="2" a="1"/>
  <c r="P846" i="2" s="1"/>
  <c r="T846" i="2" s="1"/>
  <c r="O853" i="2" a="1"/>
  <c r="O853" i="2" s="1"/>
  <c r="S853" i="2" s="1"/>
  <c r="V858" i="2"/>
  <c r="W858" i="2" s="1"/>
  <c r="M858" i="2"/>
  <c r="L858" i="2"/>
  <c r="O860" i="2" a="1"/>
  <c r="O860" i="2" s="1"/>
  <c r="S860" i="2" s="1"/>
  <c r="O862" i="2" a="1"/>
  <c r="O862" i="2" s="1"/>
  <c r="P787" i="2" a="1"/>
  <c r="P787" i="2" s="1"/>
  <c r="T787" i="2" s="1"/>
  <c r="AI796" i="2"/>
  <c r="O820" i="2" a="1"/>
  <c r="O820" i="2" s="1"/>
  <c r="S820" i="2" s="1"/>
  <c r="L826" i="2"/>
  <c r="O846" i="2" a="1"/>
  <c r="O846" i="2" s="1"/>
  <c r="S846" i="2" s="1"/>
  <c r="P850" i="2" a="1"/>
  <c r="P850" i="2" s="1"/>
  <c r="T850" i="2" s="1"/>
  <c r="O768" i="2" a="1"/>
  <c r="O768" i="2" s="1"/>
  <c r="S768" i="2" s="1"/>
  <c r="L776" i="2"/>
  <c r="P782" i="2" a="1"/>
  <c r="P782" i="2" s="1"/>
  <c r="V799" i="2"/>
  <c r="W799" i="2" s="1"/>
  <c r="F806" i="2"/>
  <c r="K806" i="2" s="1"/>
  <c r="P820" i="2" a="1"/>
  <c r="P820" i="2" s="1"/>
  <c r="T820" i="2" s="1"/>
  <c r="P855" i="2" a="1"/>
  <c r="P855" i="2" s="1"/>
  <c r="T855" i="2" s="1"/>
  <c r="O855" i="2" a="1"/>
  <c r="O855" i="2" s="1"/>
  <c r="S855" i="2" s="1"/>
  <c r="S796" i="2"/>
  <c r="P800" i="2" a="1"/>
  <c r="P800" i="2" s="1"/>
  <c r="T800" i="2" s="1"/>
  <c r="P806" i="2" a="1"/>
  <c r="P806" i="2" s="1"/>
  <c r="P809" i="2" a="1"/>
  <c r="P809" i="2" s="1"/>
  <c r="T809" i="2" s="1"/>
  <c r="O812" i="2" a="1"/>
  <c r="O812" i="2" s="1"/>
  <c r="S812" i="2" s="1"/>
  <c r="P817" i="2" a="1"/>
  <c r="P817" i="2" s="1"/>
  <c r="T817" i="2" s="1"/>
  <c r="L820" i="2"/>
  <c r="O827" i="2" a="1"/>
  <c r="O827" i="2" s="1"/>
  <c r="O829" i="2" a="1"/>
  <c r="O829" i="2" s="1"/>
  <c r="S829" i="2" s="1"/>
  <c r="S832" i="2"/>
  <c r="V850" i="2"/>
  <c r="W850" i="2" s="1"/>
  <c r="M850" i="2"/>
  <c r="L850" i="2"/>
  <c r="P853" i="2" a="1"/>
  <c r="P853" i="2" s="1"/>
  <c r="T853" i="2" s="1"/>
  <c r="O859" i="2" a="1"/>
  <c r="O859" i="2" s="1"/>
  <c r="S859" i="2" s="1"/>
  <c r="V809" i="2"/>
  <c r="W809" i="2" s="1"/>
  <c r="V818" i="2"/>
  <c r="W818" i="2" s="1"/>
  <c r="M820" i="2"/>
  <c r="O821" i="2" a="1"/>
  <c r="O821" i="2" s="1"/>
  <c r="U835" i="2"/>
  <c r="U30" i="2" s="1"/>
  <c r="W843" i="2"/>
  <c r="P852" i="2" a="1"/>
  <c r="P852" i="2" s="1"/>
  <c r="T852" i="2" s="1"/>
  <c r="V871" i="2"/>
  <c r="W871" i="2" s="1"/>
  <c r="P874" i="2" a="1"/>
  <c r="P874" i="2" s="1"/>
  <c r="T874" i="2" s="1"/>
  <c r="O887" i="2" a="1"/>
  <c r="O887" i="2" s="1"/>
  <c r="S887" i="2" s="1"/>
  <c r="P924" i="2" a="1"/>
  <c r="P924" i="2" s="1"/>
  <c r="T924" i="2" s="1"/>
  <c r="M872" i="2"/>
  <c r="S874" i="2"/>
  <c r="T878" i="2"/>
  <c r="V878" i="2"/>
  <c r="W878" i="2" s="1"/>
  <c r="V861" i="2"/>
  <c r="W861" i="2" s="1"/>
  <c r="O889" i="2" a="1"/>
  <c r="O889" i="2" s="1"/>
  <c r="S889" i="2" s="1"/>
  <c r="O890" i="2" a="1"/>
  <c r="O890" i="2" s="1"/>
  <c r="S890" i="2" s="1"/>
  <c r="L857" i="2"/>
  <c r="O873" i="2" a="1"/>
  <c r="O873" i="2" s="1"/>
  <c r="S873" i="2" s="1"/>
  <c r="M878" i="2"/>
  <c r="O879" i="2" a="1"/>
  <c r="O879" i="2" s="1"/>
  <c r="S879" i="2" s="1"/>
  <c r="O886" i="2" a="1"/>
  <c r="O886" i="2" s="1"/>
  <c r="S886" i="2" s="1"/>
  <c r="P890" i="2" a="1"/>
  <c r="P890" i="2" s="1"/>
  <c r="T890" i="2" s="1"/>
  <c r="F821" i="2"/>
  <c r="K821" i="2" s="1"/>
  <c r="M857" i="2"/>
  <c r="L862" i="2"/>
  <c r="M876" i="2"/>
  <c r="M31" i="2" s="1"/>
  <c r="P885" i="2" a="1"/>
  <c r="P885" i="2" s="1"/>
  <c r="T885" i="2" s="1"/>
  <c r="O885" i="2" a="1"/>
  <c r="O885" i="2" s="1"/>
  <c r="S885" i="2" s="1"/>
  <c r="P886" i="2" a="1"/>
  <c r="P886" i="2" s="1"/>
  <c r="T886" i="2" s="1"/>
  <c r="P894" i="2" a="1"/>
  <c r="P894" i="2" s="1"/>
  <c r="T894" i="2" s="1"/>
  <c r="P914" i="2" a="1"/>
  <c r="P914" i="2" s="1"/>
  <c r="T914" i="2" s="1"/>
  <c r="L848" i="2"/>
  <c r="V853" i="2"/>
  <c r="W853" i="2" s="1"/>
  <c r="L856" i="2"/>
  <c r="O861" i="2" a="1"/>
  <c r="O861" i="2" s="1"/>
  <c r="S861" i="2" s="1"/>
  <c r="M862" i="2"/>
  <c r="L876" i="2"/>
  <c r="L31" i="2" s="1"/>
  <c r="O854" i="2" a="1"/>
  <c r="O854" i="2" s="1"/>
  <c r="S854" i="2" s="1"/>
  <c r="P861" i="2" a="1"/>
  <c r="P861" i="2" s="1"/>
  <c r="T861" i="2" s="1"/>
  <c r="K866" i="2"/>
  <c r="AK876" i="2"/>
  <c r="AJ31" i="2" s="1"/>
  <c r="O881" i="2" a="1"/>
  <c r="O881" i="2" s="1"/>
  <c r="S881" i="2" s="1"/>
  <c r="W887" i="2"/>
  <c r="O864" i="2" a="1"/>
  <c r="O864" i="2" s="1"/>
  <c r="S864" i="2" s="1"/>
  <c r="O892" i="2" a="1"/>
  <c r="O892" i="2" s="1"/>
  <c r="S892" i="2" s="1"/>
  <c r="F803" i="2"/>
  <c r="K803" i="2" s="1"/>
  <c r="F827" i="2"/>
  <c r="K827" i="2" s="1"/>
  <c r="V844" i="2"/>
  <c r="M847" i="2"/>
  <c r="M855" i="2"/>
  <c r="L861" i="2"/>
  <c r="L871" i="2"/>
  <c r="P881" i="2" a="1"/>
  <c r="P881" i="2" s="1"/>
  <c r="T881" i="2" s="1"/>
  <c r="P925" i="2" a="1"/>
  <c r="P925" i="2" s="1"/>
  <c r="T925" i="2" s="1"/>
  <c r="O900" i="2" a="1"/>
  <c r="O900" i="2" s="1"/>
  <c r="S900" i="2" s="1"/>
  <c r="O852" i="2" a="1"/>
  <c r="O852" i="2" s="1"/>
  <c r="S852" i="2" s="1"/>
  <c r="S857" i="2"/>
  <c r="P860" i="2" a="1"/>
  <c r="P860" i="2" s="1"/>
  <c r="T860" i="2" s="1"/>
  <c r="O877" i="2" a="1"/>
  <c r="O877" i="2" s="1"/>
  <c r="S877" i="2" s="1"/>
  <c r="P883" i="2" a="1"/>
  <c r="P883" i="2" s="1"/>
  <c r="T883" i="2" s="1"/>
  <c r="P891" i="2" a="1"/>
  <c r="P891" i="2" s="1"/>
  <c r="T891" i="2" s="1"/>
  <c r="O891" i="2" a="1"/>
  <c r="O891" i="2" s="1"/>
  <c r="S891" i="2" s="1"/>
  <c r="W914" i="2"/>
  <c r="L853" i="2"/>
  <c r="T857" i="2"/>
  <c r="S862" i="2"/>
  <c r="P877" i="2" a="1"/>
  <c r="P877" i="2" s="1"/>
  <c r="T877" i="2" s="1"/>
  <c r="O905" i="2" a="1"/>
  <c r="O905" i="2" s="1"/>
  <c r="S905" i="2" s="1"/>
  <c r="P908" i="2" a="1"/>
  <c r="P908" i="2" s="1"/>
  <c r="T908" i="2" s="1"/>
  <c r="S848" i="2"/>
  <c r="L860" i="2"/>
  <c r="P870" i="2" a="1"/>
  <c r="P870" i="2" s="1"/>
  <c r="T870" i="2" s="1"/>
  <c r="L875" i="2"/>
  <c r="V876" i="2"/>
  <c r="W876" i="2" s="1"/>
  <c r="M877" i="2"/>
  <c r="P882" i="2" a="1"/>
  <c r="P882" i="2" s="1"/>
  <c r="T882" i="2" s="1"/>
  <c r="P928" i="2" a="1"/>
  <c r="P928" i="2" s="1"/>
  <c r="T928" i="2" s="1"/>
  <c r="P863" i="2" a="1"/>
  <c r="P863" i="2" s="1"/>
  <c r="T863" i="2" s="1"/>
  <c r="L870" i="2"/>
  <c r="O878" i="2" a="1"/>
  <c r="O878" i="2" s="1"/>
  <c r="S878" i="2" s="1"/>
  <c r="P895" i="2" a="1"/>
  <c r="P895" i="2" s="1"/>
  <c r="T895" i="2" s="1"/>
  <c r="L844" i="2"/>
  <c r="O850" i="2" a="1"/>
  <c r="O850" i="2" s="1"/>
  <c r="S850" i="2" s="1"/>
  <c r="O858" i="2" a="1"/>
  <c r="O858" i="2" s="1"/>
  <c r="S858" i="2" s="1"/>
  <c r="M870" i="2"/>
  <c r="S871" i="2"/>
  <c r="O872" i="2" a="1"/>
  <c r="O872" i="2" s="1"/>
  <c r="S872" i="2" s="1"/>
  <c r="P893" i="2" a="1"/>
  <c r="P893" i="2" s="1"/>
  <c r="T893" i="2" s="1"/>
  <c r="O893" i="2" a="1"/>
  <c r="O893" i="2" s="1"/>
  <c r="P897" i="2" a="1"/>
  <c r="P897" i="2" s="1"/>
  <c r="T897" i="2" s="1"/>
  <c r="W888" i="2"/>
  <c r="W897" i="2"/>
  <c r="L933" i="2"/>
  <c r="V933" i="2"/>
  <c r="W933" i="2" s="1"/>
  <c r="M940" i="2"/>
  <c r="L940" i="2"/>
  <c r="V940" i="2"/>
  <c r="W940" i="2" s="1"/>
  <c r="P947" i="2" a="1"/>
  <c r="P947" i="2" s="1"/>
  <c r="T947" i="2" s="1"/>
  <c r="P952" i="2" a="1"/>
  <c r="P952" i="2" s="1"/>
  <c r="O959" i="2" a="1"/>
  <c r="O959" i="2" s="1"/>
  <c r="S959" i="2" s="1"/>
  <c r="P880" i="2" a="1"/>
  <c r="P880" i="2" s="1"/>
  <c r="T880" i="2" s="1"/>
  <c r="O888" i="2" a="1"/>
  <c r="O888" i="2" s="1"/>
  <c r="S888" i="2" s="1"/>
  <c r="O896" i="2" a="1"/>
  <c r="O896" i="2" s="1"/>
  <c r="S896" i="2" s="1"/>
  <c r="P919" i="2" a="1"/>
  <c r="P919" i="2" s="1"/>
  <c r="O919" i="2" a="1"/>
  <c r="O919" i="2" s="1"/>
  <c r="S919" i="2" s="1"/>
  <c r="O932" i="2" a="1"/>
  <c r="O932" i="2" s="1"/>
  <c r="M933" i="2"/>
  <c r="P956" i="2" a="1"/>
  <c r="P956" i="2" s="1"/>
  <c r="O956" i="2" a="1"/>
  <c r="O956" i="2" s="1"/>
  <c r="P888" i="2" a="1"/>
  <c r="P888" i="2" s="1"/>
  <c r="T888" i="2" s="1"/>
  <c r="O898" i="2" a="1"/>
  <c r="O898" i="2" s="1"/>
  <c r="S898" i="2" s="1"/>
  <c r="V905" i="2"/>
  <c r="W905" i="2" s="1"/>
  <c r="O909" i="2" a="1"/>
  <c r="O909" i="2" s="1"/>
  <c r="S909" i="2" s="1"/>
  <c r="P918" i="2" a="1"/>
  <c r="P918" i="2" s="1"/>
  <c r="T918" i="2" s="1"/>
  <c r="O918" i="2" a="1"/>
  <c r="O918" i="2" s="1"/>
  <c r="S918" i="2" s="1"/>
  <c r="O939" i="2" a="1"/>
  <c r="O939" i="2" s="1"/>
  <c r="P898" i="2" a="1"/>
  <c r="P898" i="2" s="1"/>
  <c r="T898" i="2" s="1"/>
  <c r="L902" i="2"/>
  <c r="AI902" i="2"/>
  <c r="P909" i="2" a="1"/>
  <c r="P909" i="2" s="1"/>
  <c r="T909" i="2" s="1"/>
  <c r="O911" i="2" a="1"/>
  <c r="O911" i="2" s="1"/>
  <c r="S911" i="2" s="1"/>
  <c r="O912" i="2" a="1"/>
  <c r="O912" i="2" s="1"/>
  <c r="T919" i="2"/>
  <c r="O926" i="2" a="1"/>
  <c r="O926" i="2" s="1"/>
  <c r="S926" i="2" s="1"/>
  <c r="P926" i="2" a="1"/>
  <c r="P926" i="2" s="1"/>
  <c r="T926" i="2" s="1"/>
  <c r="O942" i="2" a="1"/>
  <c r="O942" i="2" s="1"/>
  <c r="M950" i="2"/>
  <c r="L950" i="2"/>
  <c r="V950" i="2"/>
  <c r="W950" i="2" s="1"/>
  <c r="M880" i="2"/>
  <c r="T884" i="2"/>
  <c r="L888" i="2"/>
  <c r="O895" i="2" a="1"/>
  <c r="O895" i="2" s="1"/>
  <c r="S895" i="2" s="1"/>
  <c r="M902" i="2"/>
  <c r="V906" i="2"/>
  <c r="W906" i="2" s="1"/>
  <c r="O930" i="2" a="1"/>
  <c r="O930" i="2" s="1"/>
  <c r="S930" i="2" s="1"/>
  <c r="M939" i="2"/>
  <c r="L939" i="2"/>
  <c r="V939" i="2"/>
  <c r="W939" i="2" s="1"/>
  <c r="S939" i="2"/>
  <c r="P946" i="2" a="1"/>
  <c r="P946" i="2" s="1"/>
  <c r="O946" i="2" a="1"/>
  <c r="O946" i="2" s="1"/>
  <c r="P950" i="2" a="1"/>
  <c r="P950" i="2" s="1"/>
  <c r="T950" i="2" s="1"/>
  <c r="O899" i="2" a="1"/>
  <c r="O899" i="2" s="1"/>
  <c r="S899" i="2" s="1"/>
  <c r="V911" i="2"/>
  <c r="W911" i="2" s="1"/>
  <c r="M911" i="2"/>
  <c r="L911" i="2"/>
  <c r="F912" i="2"/>
  <c r="K912" i="2" s="1"/>
  <c r="P930" i="2" a="1"/>
  <c r="P930" i="2" s="1"/>
  <c r="T930" i="2" s="1"/>
  <c r="S942" i="2"/>
  <c r="L942" i="2"/>
  <c r="M942" i="2"/>
  <c r="V942" i="2"/>
  <c r="W942" i="2" s="1"/>
  <c r="P899" i="2" a="1"/>
  <c r="P899" i="2" s="1"/>
  <c r="T899" i="2" s="1"/>
  <c r="P905" i="2" a="1"/>
  <c r="P905" i="2" s="1"/>
  <c r="T905" i="2" s="1"/>
  <c r="P915" i="2" a="1"/>
  <c r="P915" i="2" s="1"/>
  <c r="T915" i="2" s="1"/>
  <c r="L930" i="2"/>
  <c r="P937" i="2" a="1"/>
  <c r="P937" i="2" s="1"/>
  <c r="T937" i="2" s="1"/>
  <c r="P942" i="2" a="1"/>
  <c r="P942" i="2" s="1"/>
  <c r="T942" i="2" s="1"/>
  <c r="M947" i="2"/>
  <c r="V947" i="2"/>
  <c r="W947" i="2" s="1"/>
  <c r="S947" i="2"/>
  <c r="O953" i="2" a="1"/>
  <c r="O953" i="2" s="1"/>
  <c r="S953" i="2" s="1"/>
  <c r="M887" i="2"/>
  <c r="M893" i="2"/>
  <c r="P911" i="2" a="1"/>
  <c r="P911" i="2" s="1"/>
  <c r="T911" i="2" s="1"/>
  <c r="P912" i="2" a="1"/>
  <c r="P912" i="2" s="1"/>
  <c r="O924" i="2" a="1"/>
  <c r="O924" i="2" s="1"/>
  <c r="S924" i="2" s="1"/>
  <c r="M930" i="2"/>
  <c r="M934" i="2"/>
  <c r="L934" i="2"/>
  <c r="V934" i="2"/>
  <c r="W934" i="2" s="1"/>
  <c r="L903" i="2"/>
  <c r="V903" i="2"/>
  <c r="W903" i="2" s="1"/>
  <c r="T903" i="2"/>
  <c r="AI903" i="2"/>
  <c r="L914" i="2"/>
  <c r="M915" i="2"/>
  <c r="L915" i="2"/>
  <c r="O923" i="2" a="1"/>
  <c r="O923" i="2" s="1"/>
  <c r="S923" i="2" s="1"/>
  <c r="P958" i="2" a="1"/>
  <c r="P958" i="2" s="1"/>
  <c r="T958" i="2" s="1"/>
  <c r="O958" i="2" a="1"/>
  <c r="O958" i="2" s="1"/>
  <c r="O884" i="2" a="1"/>
  <c r="O884" i="2" s="1"/>
  <c r="S884" i="2" s="1"/>
  <c r="M886" i="2"/>
  <c r="V902" i="2"/>
  <c r="W902" i="2" s="1"/>
  <c r="M903" i="2"/>
  <c r="P906" i="2" a="1"/>
  <c r="P906" i="2" s="1"/>
  <c r="T906" i="2" s="1"/>
  <c r="O915" i="2" a="1"/>
  <c r="O915" i="2" s="1"/>
  <c r="S915" i="2" s="1"/>
  <c r="W919" i="2"/>
  <c r="W924" i="2"/>
  <c r="O929" i="2" a="1"/>
  <c r="O929" i="2" s="1"/>
  <c r="S929" i="2" s="1"/>
  <c r="V930" i="2"/>
  <c r="W930" i="2" s="1"/>
  <c r="V959" i="2"/>
  <c r="W959" i="2" s="1"/>
  <c r="M959" i="2"/>
  <c r="L959" i="2"/>
  <c r="S880" i="2"/>
  <c r="O897" i="2" a="1"/>
  <c r="O897" i="2" s="1"/>
  <c r="S897" i="2" s="1"/>
  <c r="M914" i="2"/>
  <c r="P922" i="2" a="1"/>
  <c r="P922" i="2" s="1"/>
  <c r="T922" i="2" s="1"/>
  <c r="P923" i="2" a="1"/>
  <c r="P923" i="2" s="1"/>
  <c r="T923" i="2" s="1"/>
  <c r="S958" i="2"/>
  <c r="M958" i="2"/>
  <c r="L958" i="2"/>
  <c r="V958" i="2"/>
  <c r="W958" i="2" s="1"/>
  <c r="O894" i="2" a="1"/>
  <c r="O894" i="2" s="1"/>
  <c r="S894" i="2" s="1"/>
  <c r="P900" i="2" a="1"/>
  <c r="P900" i="2" s="1"/>
  <c r="U917" i="2"/>
  <c r="U32" i="2" s="1"/>
  <c r="W918" i="2"/>
  <c r="L923" i="2"/>
  <c r="V923" i="2"/>
  <c r="W923" i="2" s="1"/>
  <c r="P927" i="2" a="1"/>
  <c r="P927" i="2" s="1"/>
  <c r="T927" i="2" s="1"/>
  <c r="O927" i="2" a="1"/>
  <c r="O927" i="2" s="1"/>
  <c r="S927" i="2" s="1"/>
  <c r="L884" i="2"/>
  <c r="M897" i="2"/>
  <c r="L897" i="2"/>
  <c r="M900" i="2"/>
  <c r="T900" i="2"/>
  <c r="AI905" i="2"/>
  <c r="M905" i="2"/>
  <c r="M923" i="2"/>
  <c r="M927" i="2"/>
  <c r="V927" i="2"/>
  <c r="W927" i="2" s="1"/>
  <c r="P931" i="2" a="1"/>
  <c r="P931" i="2" s="1"/>
  <c r="T931" i="2" s="1"/>
  <c r="P936" i="2" a="1"/>
  <c r="P936" i="2" s="1"/>
  <c r="T936" i="2" s="1"/>
  <c r="O936" i="2" a="1"/>
  <c r="O936" i="2" s="1"/>
  <c r="S936" i="2" s="1"/>
  <c r="P940" i="2" a="1"/>
  <c r="P940" i="2" s="1"/>
  <c r="T940" i="2" s="1"/>
  <c r="L949" i="2"/>
  <c r="O955" i="2" a="1"/>
  <c r="O955" i="2" s="1"/>
  <c r="P955" i="2" a="1"/>
  <c r="P955" i="2" s="1"/>
  <c r="P974" i="2" a="1"/>
  <c r="P974" i="2" s="1"/>
  <c r="T974" i="2" s="1"/>
  <c r="S893" i="2"/>
  <c r="L900" i="2"/>
  <c r="L905" i="2"/>
  <c r="P920" i="2" a="1"/>
  <c r="P920" i="2" s="1"/>
  <c r="T920" i="2" s="1"/>
  <c r="O920" i="2" a="1"/>
  <c r="O920" i="2" s="1"/>
  <c r="S920" i="2" s="1"/>
  <c r="O921" i="2" a="1"/>
  <c r="O921" i="2" s="1"/>
  <c r="S921" i="2" s="1"/>
  <c r="O922" i="2" a="1"/>
  <c r="O922" i="2" s="1"/>
  <c r="S922" i="2" s="1"/>
  <c r="L927" i="2"/>
  <c r="M931" i="2"/>
  <c r="L931" i="2"/>
  <c r="V931" i="2"/>
  <c r="W931" i="2" s="1"/>
  <c r="V937" i="2"/>
  <c r="W937" i="2" s="1"/>
  <c r="M937" i="2"/>
  <c r="L937" i="2"/>
  <c r="P944" i="2" a="1"/>
  <c r="P944" i="2" s="1"/>
  <c r="T944" i="2" s="1"/>
  <c r="O944" i="2" a="1"/>
  <c r="O944" i="2" s="1"/>
  <c r="S944" i="2" s="1"/>
  <c r="M949" i="2"/>
  <c r="L953" i="2"/>
  <c r="V953" i="2"/>
  <c r="W953" i="2" s="1"/>
  <c r="F956" i="2"/>
  <c r="K956" i="2" s="1"/>
  <c r="K955" i="2"/>
  <c r="AI906" i="2"/>
  <c r="M906" i="2"/>
  <c r="P921" i="2" a="1"/>
  <c r="P921" i="2" s="1"/>
  <c r="T921" i="2" s="1"/>
  <c r="M922" i="2"/>
  <c r="L944" i="2"/>
  <c r="W894" i="2"/>
  <c r="L906" i="2"/>
  <c r="O908" i="2" a="1"/>
  <c r="O908" i="2" s="1"/>
  <c r="S908" i="2" s="1"/>
  <c r="L922" i="2"/>
  <c r="P933" i="2" a="1"/>
  <c r="P933" i="2" s="1"/>
  <c r="T933" i="2" s="1"/>
  <c r="M944" i="2"/>
  <c r="W949" i="2"/>
  <c r="P959" i="2" a="1"/>
  <c r="P959" i="2" s="1"/>
  <c r="T959" i="2" s="1"/>
  <c r="P932" i="2" a="1"/>
  <c r="P932" i="2" s="1"/>
  <c r="T932" i="2" s="1"/>
  <c r="O968" i="2" a="1"/>
  <c r="O968" i="2" s="1"/>
  <c r="S968" i="2" s="1"/>
  <c r="O1005" i="2" a="1"/>
  <c r="O1005" i="2" s="1"/>
  <c r="S1005" i="2" s="1"/>
  <c r="S932" i="2"/>
  <c r="L932" i="2"/>
  <c r="O952" i="2" a="1"/>
  <c r="O952" i="2" s="1"/>
  <c r="M908" i="2"/>
  <c r="M909" i="2"/>
  <c r="O914" i="2" a="1"/>
  <c r="O914" i="2" s="1"/>
  <c r="S914" i="2" s="1"/>
  <c r="L926" i="2"/>
  <c r="M929" i="2"/>
  <c r="V929" i="2"/>
  <c r="W929" i="2" s="1"/>
  <c r="M932" i="2"/>
  <c r="K946" i="2"/>
  <c r="O972" i="2" a="1"/>
  <c r="O972" i="2" s="1"/>
  <c r="S972" i="2" s="1"/>
  <c r="P980" i="2" a="1"/>
  <c r="P980" i="2" s="1"/>
  <c r="T980" i="2" s="1"/>
  <c r="O1010" i="2" a="1"/>
  <c r="O1010" i="2" s="1"/>
  <c r="S1010" i="2" s="1"/>
  <c r="L920" i="2"/>
  <c r="M926" i="2"/>
  <c r="L929" i="2"/>
  <c r="K952" i="2"/>
  <c r="P979" i="2" a="1"/>
  <c r="P979" i="2" s="1"/>
  <c r="T979" i="2" s="1"/>
  <c r="O983" i="2" a="1"/>
  <c r="O983" i="2" s="1"/>
  <c r="S983" i="2" s="1"/>
  <c r="O934" i="2" a="1"/>
  <c r="O934" i="2" s="1"/>
  <c r="S934" i="2" s="1"/>
  <c r="P968" i="2" a="1"/>
  <c r="P968" i="2" s="1"/>
  <c r="T968" i="2" s="1"/>
  <c r="L919" i="2"/>
  <c r="O925" i="2" a="1"/>
  <c r="O925" i="2" s="1"/>
  <c r="S925" i="2" s="1"/>
  <c r="O931" i="2" a="1"/>
  <c r="O931" i="2" s="1"/>
  <c r="S931" i="2" s="1"/>
  <c r="P934" i="2" a="1"/>
  <c r="P934" i="2" s="1"/>
  <c r="T934" i="2" s="1"/>
  <c r="L936" i="2"/>
  <c r="O950" i="2" a="1"/>
  <c r="O950" i="2" s="1"/>
  <c r="S950" i="2" s="1"/>
  <c r="L966" i="2"/>
  <c r="AK966" i="2"/>
  <c r="M966" i="2"/>
  <c r="V966" i="2"/>
  <c r="L968" i="2"/>
  <c r="AQ968" i="2"/>
  <c r="V968" i="2"/>
  <c r="W968" i="2" s="1"/>
  <c r="AK968" i="2"/>
  <c r="M968" i="2"/>
  <c r="P971" i="2" a="1"/>
  <c r="P971" i="2" s="1"/>
  <c r="T971" i="2" s="1"/>
  <c r="O975" i="2" a="1"/>
  <c r="O975" i="2" s="1"/>
  <c r="S975" i="2" s="1"/>
  <c r="P975" i="2" a="1"/>
  <c r="P975" i="2" s="1"/>
  <c r="T975" i="2" s="1"/>
  <c r="O940" i="2" a="1"/>
  <c r="O940" i="2" s="1"/>
  <c r="S940" i="2" s="1"/>
  <c r="W965" i="2"/>
  <c r="S966" i="2"/>
  <c r="O970" i="2" a="1"/>
  <c r="O970" i="2" s="1"/>
  <c r="S970" i="2" s="1"/>
  <c r="P970" i="2" a="1"/>
  <c r="P970" i="2" s="1"/>
  <c r="T970" i="2" s="1"/>
  <c r="P953" i="2" a="1"/>
  <c r="P953" i="2" s="1"/>
  <c r="T953" i="2" s="1"/>
  <c r="P981" i="2" a="1"/>
  <c r="P981" i="2" s="1"/>
  <c r="T981" i="2" s="1"/>
  <c r="O981" i="2" a="1"/>
  <c r="O981" i="2" s="1"/>
  <c r="S981" i="2" s="1"/>
  <c r="P984" i="2" a="1"/>
  <c r="P984" i="2" s="1"/>
  <c r="T984" i="2" s="1"/>
  <c r="O984" i="2" a="1"/>
  <c r="O984" i="2" s="1"/>
  <c r="S984" i="2" s="1"/>
  <c r="V932" i="2"/>
  <c r="W932" i="2" s="1"/>
  <c r="O933" i="2" a="1"/>
  <c r="O933" i="2" s="1"/>
  <c r="S933" i="2" s="1"/>
  <c r="O949" i="2" a="1"/>
  <c r="O949" i="2" s="1"/>
  <c r="S949" i="2" s="1"/>
  <c r="O978" i="2" a="1"/>
  <c r="O978" i="2" s="1"/>
  <c r="S978" i="2" s="1"/>
  <c r="P978" i="2" a="1"/>
  <c r="P978" i="2" s="1"/>
  <c r="T978" i="2" s="1"/>
  <c r="P969" i="2" a="1"/>
  <c r="P969" i="2" s="1"/>
  <c r="T969" i="2" s="1"/>
  <c r="O969" i="2" a="1"/>
  <c r="O969" i="2" s="1"/>
  <c r="S969" i="2" s="1"/>
  <c r="O937" i="2" a="1"/>
  <c r="O937" i="2" s="1"/>
  <c r="S937" i="2" s="1"/>
  <c r="O997" i="2" a="1"/>
  <c r="O997" i="2" s="1"/>
  <c r="S997" i="2" s="1"/>
  <c r="O965" i="2" a="1"/>
  <c r="O965" i="2" s="1"/>
  <c r="S965" i="2" s="1"/>
  <c r="O967" i="2" a="1"/>
  <c r="O967" i="2" s="1"/>
  <c r="S967" i="2" s="1"/>
  <c r="P967" i="2" a="1"/>
  <c r="P967" i="2" s="1"/>
  <c r="T967" i="2" s="1"/>
  <c r="O973" i="2" a="1"/>
  <c r="O973" i="2" s="1"/>
  <c r="S973" i="2" s="1"/>
  <c r="P976" i="2" a="1"/>
  <c r="P976" i="2" s="1"/>
  <c r="T976" i="2" s="1"/>
  <c r="O993" i="2" a="1"/>
  <c r="O993" i="2" s="1"/>
  <c r="S993" i="2" s="1"/>
  <c r="W1006" i="2"/>
  <c r="P1010" i="2" a="1"/>
  <c r="P1010" i="2" s="1"/>
  <c r="T1010" i="2" s="1"/>
  <c r="O992" i="2" a="1"/>
  <c r="O992" i="2" s="1"/>
  <c r="S992" i="2" s="1"/>
  <c r="P994" i="2" a="1"/>
  <c r="P994" i="2" s="1"/>
  <c r="T994" i="2" s="1"/>
  <c r="O994" i="2" a="1"/>
  <c r="O994" i="2" s="1"/>
  <c r="S994" i="2" s="1"/>
  <c r="W1001" i="2"/>
  <c r="P1032" i="2" a="1"/>
  <c r="P1032" i="2" s="1"/>
  <c r="T1032" i="2" s="1"/>
  <c r="P989" i="2" a="1"/>
  <c r="P989" i="2" s="1"/>
  <c r="T989" i="2" s="1"/>
  <c r="P993" i="2" a="1"/>
  <c r="P993" i="2" s="1"/>
  <c r="T993" i="2" s="1"/>
  <c r="P998" i="2" a="1"/>
  <c r="P998" i="2" s="1"/>
  <c r="T998" i="2" s="1"/>
  <c r="O976" i="2" a="1"/>
  <c r="O976" i="2" s="1"/>
  <c r="S976" i="2" s="1"/>
  <c r="P992" i="2" a="1"/>
  <c r="P992" i="2" s="1"/>
  <c r="T992" i="2" s="1"/>
  <c r="P1018" i="2" a="1"/>
  <c r="P1018" i="2" s="1"/>
  <c r="T1018" i="2" s="1"/>
  <c r="L970" i="2"/>
  <c r="P982" i="2" a="1"/>
  <c r="P982" i="2" s="1"/>
  <c r="T982" i="2" s="1"/>
  <c r="O982" i="2" a="1"/>
  <c r="O982" i="2" s="1"/>
  <c r="S982" i="2" s="1"/>
  <c r="O985" i="2" a="1"/>
  <c r="O985" i="2" s="1"/>
  <c r="S985" i="2" s="1"/>
  <c r="O1012" i="2" a="1"/>
  <c r="O1012" i="2" s="1"/>
  <c r="S1012" i="2" s="1"/>
  <c r="O1015" i="2" a="1"/>
  <c r="O1015" i="2" s="1"/>
  <c r="S1015" i="2" s="1"/>
  <c r="P988" i="2" a="1"/>
  <c r="P988" i="2" s="1"/>
  <c r="T988" i="2" s="1"/>
  <c r="W971" i="2"/>
  <c r="P972" i="2" a="1"/>
  <c r="P972" i="2" s="1"/>
  <c r="T972" i="2" s="1"/>
  <c r="V980" i="2"/>
  <c r="W980" i="2" s="1"/>
  <c r="O988" i="2" a="1"/>
  <c r="O988" i="2" s="1"/>
  <c r="S988" i="2" s="1"/>
  <c r="P1002" i="2" a="1"/>
  <c r="P1002" i="2" s="1"/>
  <c r="T1002" i="2" s="1"/>
  <c r="O1002" i="2" a="1"/>
  <c r="O1002" i="2" s="1"/>
  <c r="S1002" i="2" s="1"/>
  <c r="O974" i="2" a="1"/>
  <c r="O974" i="2" s="1"/>
  <c r="S974" i="2" s="1"/>
  <c r="L976" i="2"/>
  <c r="O986" i="2" a="1"/>
  <c r="O986" i="2" s="1"/>
  <c r="S986" i="2" s="1"/>
  <c r="P997" i="2" a="1"/>
  <c r="P997" i="2" s="1"/>
  <c r="T997" i="2" s="1"/>
  <c r="P965" i="2" a="1"/>
  <c r="P965" i="2" s="1"/>
  <c r="T965" i="2" s="1"/>
  <c r="W975" i="2"/>
  <c r="M976" i="2"/>
  <c r="W978" i="2"/>
  <c r="W994" i="2"/>
  <c r="O996" i="2" a="1"/>
  <c r="O996" i="2" s="1"/>
  <c r="S996" i="2" s="1"/>
  <c r="W998" i="2"/>
  <c r="O1004" i="2" a="1"/>
  <c r="O1004" i="2" s="1"/>
  <c r="S1004" i="2" s="1"/>
  <c r="W1005" i="2"/>
  <c r="O1021" i="2" a="1"/>
  <c r="O1021" i="2" s="1"/>
  <c r="S1021" i="2" s="1"/>
  <c r="O1033" i="2" a="1"/>
  <c r="O1033" i="2" s="1"/>
  <c r="S1033" i="2" s="1"/>
  <c r="AK976" i="2"/>
  <c r="P973" i="2" a="1"/>
  <c r="P973" i="2" s="1"/>
  <c r="T973" i="2" s="1"/>
  <c r="W981" i="2"/>
  <c r="W993" i="2"/>
  <c r="P1004" i="2" a="1"/>
  <c r="P1004" i="2" s="1"/>
  <c r="T1004" i="2" s="1"/>
  <c r="P1011" i="2" a="1"/>
  <c r="P1011" i="2" s="1"/>
  <c r="T1011" i="2" s="1"/>
  <c r="L980" i="2"/>
  <c r="P996" i="2" a="1"/>
  <c r="P996" i="2" s="1"/>
  <c r="T996" i="2" s="1"/>
  <c r="P1001" i="2" a="1"/>
  <c r="P1001" i="2" s="1"/>
  <c r="T1001" i="2" s="1"/>
  <c r="O1001" i="2" a="1"/>
  <c r="O1001" i="2" s="1"/>
  <c r="S1001" i="2" s="1"/>
  <c r="P1006" i="2" a="1"/>
  <c r="P1006" i="2" s="1"/>
  <c r="T1006" i="2" s="1"/>
  <c r="P995" i="2" a="1"/>
  <c r="P995" i="2" s="1"/>
  <c r="T995" i="2" s="1"/>
  <c r="W1002" i="2"/>
  <c r="P1013" i="2" a="1"/>
  <c r="P1013" i="2" s="1"/>
  <c r="T1013" i="2" s="1"/>
  <c r="W997" i="2"/>
  <c r="O1016" i="2" a="1"/>
  <c r="O1016" i="2" s="1"/>
  <c r="S1016" i="2" s="1"/>
  <c r="P1003" i="2" a="1"/>
  <c r="P1003" i="2" s="1"/>
  <c r="T1003" i="2" s="1"/>
  <c r="P1016" i="2" a="1"/>
  <c r="P1016" i="2" s="1"/>
  <c r="T1016" i="2" s="1"/>
  <c r="O1019" i="2" a="1"/>
  <c r="O1019" i="2" s="1"/>
  <c r="S1019" i="2" s="1"/>
  <c r="P1021" i="2" a="1"/>
  <c r="P1021" i="2" s="1"/>
  <c r="T1021" i="2" s="1"/>
  <c r="P1045" i="2" a="1"/>
  <c r="P1045" i="2" s="1"/>
  <c r="T1045" i="2" s="1"/>
  <c r="O1045" i="2" a="1"/>
  <c r="O1045" i="2" s="1"/>
  <c r="S1045" i="2" s="1"/>
  <c r="P1005" i="2" a="1"/>
  <c r="P1005" i="2" s="1"/>
  <c r="T1005" i="2" s="1"/>
  <c r="O1022" i="2" a="1"/>
  <c r="O1022" i="2" s="1"/>
  <c r="S1022" i="2" s="1"/>
  <c r="W1049" i="2"/>
  <c r="O1057" i="2" a="1"/>
  <c r="O1057" i="2" s="1"/>
  <c r="S1057" i="2" s="1"/>
  <c r="O1064" i="2" a="1"/>
  <c r="O1064" i="2" s="1"/>
  <c r="S1064" i="2" s="1"/>
  <c r="P1076" i="2" a="1"/>
  <c r="P1076" i="2" s="1"/>
  <c r="T1076" i="2" s="1"/>
  <c r="W1012" i="2"/>
  <c r="P1023" i="2" a="1"/>
  <c r="P1023" i="2" s="1"/>
  <c r="T1023" i="2" s="1"/>
  <c r="O1023" i="2" a="1"/>
  <c r="O1023" i="2" s="1"/>
  <c r="S1023" i="2" s="1"/>
  <c r="P1027" i="2" a="1"/>
  <c r="P1027" i="2" s="1"/>
  <c r="T1027" i="2" s="1"/>
  <c r="O1040" i="2" a="1"/>
  <c r="O1040" i="2" s="1"/>
  <c r="S1040" i="2" s="1"/>
  <c r="O1051" i="2" a="1"/>
  <c r="O1051" i="2" s="1"/>
  <c r="S1051" i="2" s="1"/>
  <c r="O1059" i="2" a="1"/>
  <c r="O1059" i="2" s="1"/>
  <c r="S1059" i="2" s="1"/>
  <c r="V989" i="2"/>
  <c r="W989" i="2" s="1"/>
  <c r="P1022" i="2" a="1"/>
  <c r="P1022" i="2" s="1"/>
  <c r="T1022" i="2" s="1"/>
  <c r="W1030" i="2"/>
  <c r="P1039" i="2" a="1"/>
  <c r="P1039" i="2" s="1"/>
  <c r="T1039" i="2" s="1"/>
  <c r="P1051" i="2" a="1"/>
  <c r="P1051" i="2" s="1"/>
  <c r="T1051" i="2" s="1"/>
  <c r="P1054" i="2" a="1"/>
  <c r="P1054" i="2" s="1"/>
  <c r="T1054" i="2" s="1"/>
  <c r="O1062" i="2" a="1"/>
  <c r="O1062" i="2" s="1"/>
  <c r="S1062" i="2" s="1"/>
  <c r="O1079" i="2" a="1"/>
  <c r="O1079" i="2" s="1"/>
  <c r="S1079" i="2" s="1"/>
  <c r="O1054" i="2" a="1"/>
  <c r="O1054" i="2" s="1"/>
  <c r="S1054" i="2" s="1"/>
  <c r="P1062" i="2" a="1"/>
  <c r="P1062" i="2" s="1"/>
  <c r="T1062" i="2" s="1"/>
  <c r="O989" i="2" a="1"/>
  <c r="O989" i="2" s="1"/>
  <c r="S989" i="2" s="1"/>
  <c r="O995" i="2" a="1"/>
  <c r="O995" i="2" s="1"/>
  <c r="S995" i="2" s="1"/>
  <c r="O1003" i="2" a="1"/>
  <c r="O1003" i="2" s="1"/>
  <c r="S1003" i="2" s="1"/>
  <c r="P1015" i="2" a="1"/>
  <c r="P1015" i="2" s="1"/>
  <c r="T1015" i="2" s="1"/>
  <c r="W1026" i="2"/>
  <c r="O1028" i="2" a="1"/>
  <c r="O1028" i="2" s="1"/>
  <c r="S1028" i="2" s="1"/>
  <c r="O1039" i="2" a="1"/>
  <c r="O1039" i="2" s="1"/>
  <c r="S1039" i="2" s="1"/>
  <c r="O1044" i="2" a="1"/>
  <c r="O1044" i="2" s="1"/>
  <c r="S1044" i="2" s="1"/>
  <c r="P1047" i="2" a="1"/>
  <c r="P1047" i="2" s="1"/>
  <c r="T1047" i="2" s="1"/>
  <c r="P1028" i="2" a="1"/>
  <c r="P1028" i="2" s="1"/>
  <c r="T1028" i="2" s="1"/>
  <c r="O1038" i="2" a="1"/>
  <c r="O1038" i="2" s="1"/>
  <c r="S1038" i="2" s="1"/>
  <c r="P1056" i="2" a="1"/>
  <c r="P1056" i="2" s="1"/>
  <c r="T1056" i="2" s="1"/>
  <c r="M984" i="2"/>
  <c r="P1012" i="2" a="1"/>
  <c r="P1012" i="2" s="1"/>
  <c r="T1012" i="2" s="1"/>
  <c r="O1024" i="2" a="1"/>
  <c r="O1024" i="2" s="1"/>
  <c r="S1024" i="2" s="1"/>
  <c r="P1036" i="2" a="1"/>
  <c r="P1036" i="2" s="1"/>
  <c r="T1036" i="2" s="1"/>
  <c r="P1024" i="2" a="1"/>
  <c r="P1024" i="2" s="1"/>
  <c r="T1024" i="2" s="1"/>
  <c r="O1030" i="2" a="1"/>
  <c r="O1030" i="2" s="1"/>
  <c r="S1030" i="2" s="1"/>
  <c r="P1031" i="2" a="1"/>
  <c r="P1031" i="2" s="1"/>
  <c r="T1031" i="2" s="1"/>
  <c r="O1031" i="2" a="1"/>
  <c r="O1031" i="2" s="1"/>
  <c r="S1031" i="2" s="1"/>
  <c r="O1047" i="2" a="1"/>
  <c r="O1047" i="2" s="1"/>
  <c r="S1047" i="2" s="1"/>
  <c r="O979" i="2" a="1"/>
  <c r="O979" i="2" s="1"/>
  <c r="S979" i="2" s="1"/>
  <c r="O999" i="2" a="1"/>
  <c r="O999" i="2" s="1"/>
  <c r="S999" i="2" s="1"/>
  <c r="M1024" i="2"/>
  <c r="L1024" i="2"/>
  <c r="P1030" i="2" a="1"/>
  <c r="P1030" i="2" s="1"/>
  <c r="T1030" i="2" s="1"/>
  <c r="O1037" i="2" a="1"/>
  <c r="O1037" i="2" s="1"/>
  <c r="S1037" i="2" s="1"/>
  <c r="O1026" i="2" a="1"/>
  <c r="O1026" i="2" s="1"/>
  <c r="S1026" i="2" s="1"/>
  <c r="W1027" i="2"/>
  <c r="P1037" i="2" a="1"/>
  <c r="P1037" i="2" s="1"/>
  <c r="T1037" i="2" s="1"/>
  <c r="W1039" i="2"/>
  <c r="O1065" i="2" a="1"/>
  <c r="O1065" i="2" s="1"/>
  <c r="S1065" i="2" s="1"/>
  <c r="O1009" i="2" a="1"/>
  <c r="O1009" i="2" s="1"/>
  <c r="S1009" i="2" s="1"/>
  <c r="O1017" i="2" a="1"/>
  <c r="O1017" i="2" s="1"/>
  <c r="S1017" i="2" s="1"/>
  <c r="P1025" i="2" a="1"/>
  <c r="P1025" i="2" s="1"/>
  <c r="T1025" i="2" s="1"/>
  <c r="V1037" i="2"/>
  <c r="W1037" i="2" s="1"/>
  <c r="P1042" i="2" a="1"/>
  <c r="P1042" i="2" s="1"/>
  <c r="T1042" i="2" s="1"/>
  <c r="O998" i="2" a="1"/>
  <c r="O998" i="2" s="1"/>
  <c r="S998" i="2" s="1"/>
  <c r="O1006" i="2" a="1"/>
  <c r="O1006" i="2" s="1"/>
  <c r="S1006" i="2" s="1"/>
  <c r="O1013" i="2" a="1"/>
  <c r="O1013" i="2" s="1"/>
  <c r="S1013" i="2" s="1"/>
  <c r="P1017" i="2" a="1"/>
  <c r="P1017" i="2" s="1"/>
  <c r="T1017" i="2" s="1"/>
  <c r="P1046" i="2" a="1"/>
  <c r="P1046" i="2" s="1"/>
  <c r="T1046" i="2" s="1"/>
  <c r="O1055" i="2" a="1"/>
  <c r="O1055" i="2" s="1"/>
  <c r="S1055" i="2" s="1"/>
  <c r="P1082" i="2" a="1"/>
  <c r="P1082" i="2" s="1"/>
  <c r="T1082" i="2" s="1"/>
  <c r="O1041" i="2" a="1"/>
  <c r="O1041" i="2" s="1"/>
  <c r="S1041" i="2" s="1"/>
  <c r="W1047" i="2"/>
  <c r="P1055" i="2" a="1"/>
  <c r="P1055" i="2" s="1"/>
  <c r="T1055" i="2" s="1"/>
  <c r="W1024" i="2"/>
  <c r="O1032" i="2" a="1"/>
  <c r="O1032" i="2" s="1"/>
  <c r="S1032" i="2" s="1"/>
  <c r="P1033" i="2" a="1"/>
  <c r="P1033" i="2" s="1"/>
  <c r="T1033" i="2" s="1"/>
  <c r="P1090" i="2" a="1"/>
  <c r="P1090" i="2" s="1"/>
  <c r="T1090" i="2" s="1"/>
  <c r="O1090" i="2" a="1"/>
  <c r="O1090" i="2" s="1"/>
  <c r="S1090" i="2" s="1"/>
  <c r="W1091" i="2"/>
  <c r="P1059" i="2" a="1"/>
  <c r="P1059" i="2" s="1"/>
  <c r="T1059" i="2" s="1"/>
  <c r="M1107" i="2"/>
  <c r="L1107" i="2"/>
  <c r="V1107" i="2"/>
  <c r="W1107" i="2" s="1"/>
  <c r="AI1107" i="2"/>
  <c r="P1075" i="2" a="1"/>
  <c r="P1075" i="2" s="1"/>
  <c r="T1075" i="2" s="1"/>
  <c r="O1075" i="2" a="1"/>
  <c r="O1075" i="2" s="1"/>
  <c r="S1075" i="2" s="1"/>
  <c r="P1083" i="2" a="1"/>
  <c r="P1083" i="2" s="1"/>
  <c r="T1083" i="2" s="1"/>
  <c r="P1093" i="2" a="1"/>
  <c r="P1093" i="2" s="1"/>
  <c r="T1093" i="2" s="1"/>
  <c r="W1045" i="2"/>
  <c r="O1077" i="2" a="1"/>
  <c r="O1077" i="2" s="1"/>
  <c r="S1077" i="2" s="1"/>
  <c r="P1092" i="2" a="1"/>
  <c r="P1092" i="2" s="1"/>
  <c r="T1092" i="2" s="1"/>
  <c r="O1070" i="2" a="1"/>
  <c r="O1070" i="2" s="1"/>
  <c r="S1070" i="2" s="1"/>
  <c r="O1076" i="2" a="1"/>
  <c r="O1076" i="2" s="1"/>
  <c r="S1076" i="2" s="1"/>
  <c r="P1080" i="2" a="1"/>
  <c r="P1080" i="2" s="1"/>
  <c r="T1080" i="2" s="1"/>
  <c r="O1083" i="2" a="1"/>
  <c r="O1083" i="2" s="1"/>
  <c r="S1083" i="2" s="1"/>
  <c r="O1119" i="2" a="1"/>
  <c r="O1119" i="2" s="1"/>
  <c r="S1119" i="2" s="1"/>
  <c r="P1068" i="2" a="1"/>
  <c r="P1068" i="2" s="1"/>
  <c r="T1068" i="2" s="1"/>
  <c r="O1069" i="2" a="1"/>
  <c r="O1069" i="2" s="1"/>
  <c r="S1069" i="2" s="1"/>
  <c r="P1069" i="2" a="1"/>
  <c r="P1069" i="2" s="1"/>
  <c r="T1069" i="2" s="1"/>
  <c r="P1084" i="2" a="1"/>
  <c r="P1084" i="2" s="1"/>
  <c r="T1084" i="2" s="1"/>
  <c r="P1119" i="2" a="1"/>
  <c r="P1119" i="2" s="1"/>
  <c r="T1119" i="2" s="1"/>
  <c r="O1123" i="2" a="1"/>
  <c r="O1123" i="2" s="1"/>
  <c r="V1028" i="2"/>
  <c r="W1028" i="2" s="1"/>
  <c r="P1041" i="2" a="1"/>
  <c r="P1041" i="2" s="1"/>
  <c r="T1041" i="2" s="1"/>
  <c r="O1048" i="2" a="1"/>
  <c r="O1048" i="2" s="1"/>
  <c r="S1048" i="2" s="1"/>
  <c r="P1077" i="2" a="1"/>
  <c r="P1077" i="2" s="1"/>
  <c r="T1077" i="2" s="1"/>
  <c r="O1080" i="2" a="1"/>
  <c r="O1080" i="2" s="1"/>
  <c r="S1080" i="2" s="1"/>
  <c r="P1089" i="2" a="1"/>
  <c r="P1089" i="2" s="1"/>
  <c r="T1089" i="2" s="1"/>
  <c r="W1090" i="2"/>
  <c r="M1119" i="2"/>
  <c r="V1119" i="2"/>
  <c r="L1119" i="2"/>
  <c r="P1048" i="2" a="1"/>
  <c r="P1048" i="2" s="1"/>
  <c r="T1048" i="2" s="1"/>
  <c r="P1071" i="2" a="1"/>
  <c r="P1071" i="2" s="1"/>
  <c r="T1071" i="2" s="1"/>
  <c r="O1063" i="2" a="1"/>
  <c r="O1063" i="2" s="1"/>
  <c r="S1063" i="2" s="1"/>
  <c r="W1067" i="2"/>
  <c r="P1070" i="2" a="1"/>
  <c r="P1070" i="2" s="1"/>
  <c r="T1070" i="2" s="1"/>
  <c r="P1079" i="2" a="1"/>
  <c r="P1079" i="2" s="1"/>
  <c r="T1079" i="2" s="1"/>
  <c r="O1109" i="2" a="1"/>
  <c r="O1109" i="2" s="1"/>
  <c r="O1056" i="2" a="1"/>
  <c r="O1056" i="2" s="1"/>
  <c r="S1056" i="2" s="1"/>
  <c r="O1071" i="2" a="1"/>
  <c r="O1071" i="2" s="1"/>
  <c r="S1071" i="2" s="1"/>
  <c r="O1088" i="2" a="1"/>
  <c r="O1088" i="2" s="1"/>
  <c r="S1088" i="2" s="1"/>
  <c r="O1050" i="2" a="1"/>
  <c r="O1050" i="2" s="1"/>
  <c r="S1050" i="2" s="1"/>
  <c r="P1072" i="2" a="1"/>
  <c r="P1072" i="2" s="1"/>
  <c r="T1072" i="2" s="1"/>
  <c r="P1088" i="2" a="1"/>
  <c r="P1088" i="2" s="1"/>
  <c r="T1088" i="2" s="1"/>
  <c r="P1091" i="2" a="1"/>
  <c r="P1091" i="2" s="1"/>
  <c r="T1091" i="2" s="1"/>
  <c r="O1096" i="2" a="1"/>
  <c r="O1096" i="2" s="1"/>
  <c r="S1096" i="2" s="1"/>
  <c r="P1063" i="2" a="1"/>
  <c r="P1063" i="2" s="1"/>
  <c r="T1063" i="2" s="1"/>
  <c r="P1087" i="2" a="1"/>
  <c r="P1087" i="2" s="1"/>
  <c r="T1087" i="2" s="1"/>
  <c r="O1087" i="2" a="1"/>
  <c r="O1087" i="2" s="1"/>
  <c r="S1087" i="2" s="1"/>
  <c r="L1054" i="2"/>
  <c r="O1072" i="2" a="1"/>
  <c r="O1072" i="2" s="1"/>
  <c r="S1072" i="2" s="1"/>
  <c r="V1096" i="2"/>
  <c r="W1096" i="2" s="1"/>
  <c r="AK1096" i="2"/>
  <c r="M1096" i="2"/>
  <c r="L1096" i="2"/>
  <c r="M1054" i="2"/>
  <c r="O1058" i="2" a="1"/>
  <c r="O1058" i="2" s="1"/>
  <c r="S1058" i="2" s="1"/>
  <c r="P1061" i="2" a="1"/>
  <c r="P1061" i="2" s="1"/>
  <c r="T1061" i="2" s="1"/>
  <c r="O1073" i="2" a="1"/>
  <c r="O1073" i="2" s="1"/>
  <c r="S1073" i="2" s="1"/>
  <c r="W1055" i="2"/>
  <c r="P1058" i="2" a="1"/>
  <c r="P1058" i="2" s="1"/>
  <c r="T1058" i="2" s="1"/>
  <c r="W1062" i="2"/>
  <c r="W1069" i="2"/>
  <c r="P1073" i="2" a="1"/>
  <c r="P1073" i="2" s="1"/>
  <c r="T1073" i="2" s="1"/>
  <c r="W1082" i="2"/>
  <c r="O1067" i="2" a="1"/>
  <c r="O1067" i="2" s="1"/>
  <c r="S1067" i="2" s="1"/>
  <c r="P1086" i="2" a="1"/>
  <c r="P1086" i="2" s="1"/>
  <c r="T1086" i="2" s="1"/>
  <c r="O1115" i="2" a="1"/>
  <c r="O1115" i="2" s="1"/>
  <c r="V1116" i="2"/>
  <c r="W1116" i="2" s="1"/>
  <c r="O1125" i="2" a="1"/>
  <c r="O1125" i="2" s="1"/>
  <c r="S1125" i="2" s="1"/>
  <c r="O1138" i="2" a="1"/>
  <c r="O1138" i="2" s="1"/>
  <c r="S1138" i="2" s="1"/>
  <c r="P1110" i="2" a="1"/>
  <c r="P1110" i="2" s="1"/>
  <c r="P1112" i="2" a="1"/>
  <c r="P1112" i="2" s="1"/>
  <c r="T1112" i="2" s="1"/>
  <c r="V1125" i="2"/>
  <c r="W1125" i="2" s="1"/>
  <c r="M1125" i="2"/>
  <c r="O1144" i="2" a="1"/>
  <c r="O1144" i="2" s="1"/>
  <c r="S1144" i="2" s="1"/>
  <c r="V1112" i="2"/>
  <c r="W1112" i="2" s="1"/>
  <c r="AI1112" i="2"/>
  <c r="L1125" i="2"/>
  <c r="F1176" i="2"/>
  <c r="K1176" i="2" s="1"/>
  <c r="K1175" i="2"/>
  <c r="W1089" i="2"/>
  <c r="O1093" i="2" a="1"/>
  <c r="O1093" i="2" s="1"/>
  <c r="S1093" i="2" s="1"/>
  <c r="P1109" i="2" a="1"/>
  <c r="P1109" i="2" s="1"/>
  <c r="M1112" i="2"/>
  <c r="P1127" i="2" a="1"/>
  <c r="P1127" i="2" s="1"/>
  <c r="T1127" i="2" s="1"/>
  <c r="O1127" i="2" a="1"/>
  <c r="O1127" i="2" s="1"/>
  <c r="S1127" i="2" s="1"/>
  <c r="O1175" i="2" a="1"/>
  <c r="O1175" i="2" s="1"/>
  <c r="O1101" i="2" a="1"/>
  <c r="O1101" i="2" s="1"/>
  <c r="S1101" i="2" s="1"/>
  <c r="P1123" i="2" a="1"/>
  <c r="P1123" i="2" s="1"/>
  <c r="P1100" i="2" a="1"/>
  <c r="P1100" i="2" s="1"/>
  <c r="T1100" i="2" s="1"/>
  <c r="O1100" i="2" a="1"/>
  <c r="O1100" i="2" s="1"/>
  <c r="S1100" i="2" s="1"/>
  <c r="O1130" i="2" a="1"/>
  <c r="O1130" i="2" s="1"/>
  <c r="S1130" i="2" s="1"/>
  <c r="P1134" i="2" a="1"/>
  <c r="P1134" i="2" s="1"/>
  <c r="T1134" i="2" s="1"/>
  <c r="O1137" i="2" a="1"/>
  <c r="O1137" i="2" s="1"/>
  <c r="S1137" i="2" s="1"/>
  <c r="O1143" i="2" a="1"/>
  <c r="O1143" i="2" s="1"/>
  <c r="S1143" i="2" s="1"/>
  <c r="O1082" i="2" a="1"/>
  <c r="O1082" i="2" s="1"/>
  <c r="S1082" i="2" s="1"/>
  <c r="O1089" i="2" a="1"/>
  <c r="O1089" i="2" s="1"/>
  <c r="S1089" i="2" s="1"/>
  <c r="O1091" i="2" a="1"/>
  <c r="O1091" i="2" s="1"/>
  <c r="S1091" i="2" s="1"/>
  <c r="P1103" i="2" a="1"/>
  <c r="P1103" i="2" s="1"/>
  <c r="T1103" i="2" s="1"/>
  <c r="P1130" i="2" a="1"/>
  <c r="P1130" i="2" s="1"/>
  <c r="O1197" i="2" a="1"/>
  <c r="O1197" i="2" s="1"/>
  <c r="P1101" i="2" a="1"/>
  <c r="P1101" i="2" s="1"/>
  <c r="T1101" i="2" s="1"/>
  <c r="P1116" i="2" a="1"/>
  <c r="P1116" i="2" s="1"/>
  <c r="T1116" i="2" s="1"/>
  <c r="P1126" i="2" a="1"/>
  <c r="P1126" i="2" s="1"/>
  <c r="T1126" i="2" s="1"/>
  <c r="P1133" i="2" a="1"/>
  <c r="P1133" i="2" s="1"/>
  <c r="T1133" i="2" s="1"/>
  <c r="M1080" i="2"/>
  <c r="O1126" i="2" a="1"/>
  <c r="O1126" i="2" s="1"/>
  <c r="P1129" i="2" a="1"/>
  <c r="P1129" i="2" s="1"/>
  <c r="T1129" i="2" s="1"/>
  <c r="P1142" i="2" a="1"/>
  <c r="P1142" i="2" s="1"/>
  <c r="T1142" i="2" s="1"/>
  <c r="O1142" i="2" a="1"/>
  <c r="O1142" i="2" s="1"/>
  <c r="S1142" i="2" s="1"/>
  <c r="W1081" i="2"/>
  <c r="O1084" i="2" a="1"/>
  <c r="O1084" i="2" s="1"/>
  <c r="S1084" i="2" s="1"/>
  <c r="L1087" i="2"/>
  <c r="O1103" i="2" a="1"/>
  <c r="O1103" i="2" s="1"/>
  <c r="S1103" i="2" s="1"/>
  <c r="P1104" i="2" a="1"/>
  <c r="P1104" i="2" s="1"/>
  <c r="T1104" i="2" s="1"/>
  <c r="O1116" i="2" a="1"/>
  <c r="O1116" i="2" s="1"/>
  <c r="S1116" i="2" s="1"/>
  <c r="O1121" i="2" a="1"/>
  <c r="O1121" i="2" s="1"/>
  <c r="S1121" i="2" s="1"/>
  <c r="M1116" i="2"/>
  <c r="L1116" i="2"/>
  <c r="P1121" i="2" a="1"/>
  <c r="P1121" i="2" s="1"/>
  <c r="T1121" i="2" s="1"/>
  <c r="P1184" i="2" a="1"/>
  <c r="P1184" i="2" s="1"/>
  <c r="O1184" i="2" a="1"/>
  <c r="O1184" i="2" s="1"/>
  <c r="S1184" i="2" s="1"/>
  <c r="O1068" i="2" a="1"/>
  <c r="O1068" i="2" s="1"/>
  <c r="S1068" i="2" s="1"/>
  <c r="O1092" i="2" a="1"/>
  <c r="O1092" i="2" s="1"/>
  <c r="S1092" i="2" s="1"/>
  <c r="W1121" i="2"/>
  <c r="V1113" i="2"/>
  <c r="W1113" i="2" s="1"/>
  <c r="M1113" i="2"/>
  <c r="L1113" i="2"/>
  <c r="O1120" i="2" a="1"/>
  <c r="O1120" i="2" s="1"/>
  <c r="S1120" i="2" s="1"/>
  <c r="W1120" i="2"/>
  <c r="P1158" i="2" a="1"/>
  <c r="P1158" i="2" s="1"/>
  <c r="T1158" i="2" s="1"/>
  <c r="O1158" i="2" a="1"/>
  <c r="O1158" i="2" s="1"/>
  <c r="S1158" i="2" s="1"/>
  <c r="P1164" i="2" a="1"/>
  <c r="P1164" i="2" s="1"/>
  <c r="T1164" i="2" s="1"/>
  <c r="P1107" i="2" a="1"/>
  <c r="P1107" i="2" s="1"/>
  <c r="T1107" i="2" s="1"/>
  <c r="M1110" i="2"/>
  <c r="L1126" i="2"/>
  <c r="V1126" i="2"/>
  <c r="W1126" i="2" s="1"/>
  <c r="AK1126" i="2"/>
  <c r="L1158" i="2"/>
  <c r="V1158" i="2"/>
  <c r="W1158" i="2" s="1"/>
  <c r="M1158" i="2"/>
  <c r="P1135" i="2" a="1"/>
  <c r="P1135" i="2" s="1"/>
  <c r="P1141" i="2" a="1"/>
  <c r="P1141" i="2" s="1"/>
  <c r="T1141" i="2" s="1"/>
  <c r="O1141" i="2" a="1"/>
  <c r="O1141" i="2" s="1"/>
  <c r="S1141" i="2" s="1"/>
  <c r="O1131" i="2" a="1"/>
  <c r="O1131" i="2" s="1"/>
  <c r="S1131" i="2" s="1"/>
  <c r="O1134" i="2" a="1"/>
  <c r="O1134" i="2" s="1"/>
  <c r="S1134" i="2" s="1"/>
  <c r="K1109" i="2"/>
  <c r="O1128" i="2" a="1"/>
  <c r="O1128" i="2" s="1"/>
  <c r="S1128" i="2" s="1"/>
  <c r="P1131" i="2" a="1"/>
  <c r="P1131" i="2" s="1"/>
  <c r="T1131" i="2" s="1"/>
  <c r="O1132" i="2" a="1"/>
  <c r="O1132" i="2" s="1"/>
  <c r="S1132" i="2" s="1"/>
  <c r="O1140" i="2" a="1"/>
  <c r="O1140" i="2" s="1"/>
  <c r="S1140" i="2" s="1"/>
  <c r="O1169" i="2" a="1"/>
  <c r="O1169" i="2" s="1"/>
  <c r="S1169" i="2" s="1"/>
  <c r="P1169" i="2" a="1"/>
  <c r="P1169" i="2" s="1"/>
  <c r="T1169" i="2" s="1"/>
  <c r="O1209" i="2" a="1"/>
  <c r="O1209" i="2" s="1"/>
  <c r="S1209" i="2" s="1"/>
  <c r="O1214" i="2" a="1"/>
  <c r="O1214" i="2" s="1"/>
  <c r="S1214" i="2" s="1"/>
  <c r="P1106" i="2" a="1"/>
  <c r="P1106" i="2" s="1"/>
  <c r="T1106" i="2" s="1"/>
  <c r="O1107" i="2" a="1"/>
  <c r="O1107" i="2" s="1"/>
  <c r="S1107" i="2" s="1"/>
  <c r="O1122" i="2" a="1"/>
  <c r="O1122" i="2" s="1"/>
  <c r="S1122" i="2" s="1"/>
  <c r="M1127" i="2"/>
  <c r="L1127" i="2"/>
  <c r="V1131" i="2"/>
  <c r="W1131" i="2" s="1"/>
  <c r="AK1131" i="2"/>
  <c r="M1131" i="2"/>
  <c r="V1133" i="2"/>
  <c r="W1133" i="2" s="1"/>
  <c r="AK1133" i="2"/>
  <c r="L1133" i="2"/>
  <c r="O1135" i="2" a="1"/>
  <c r="O1135" i="2" s="1"/>
  <c r="S1135" i="2" s="1"/>
  <c r="O1139" i="2" a="1"/>
  <c r="O1139" i="2" s="1"/>
  <c r="S1139" i="2" s="1"/>
  <c r="O1113" i="2" a="1"/>
  <c r="O1113" i="2" s="1"/>
  <c r="S1113" i="2" s="1"/>
  <c r="P1122" i="2" a="1"/>
  <c r="P1122" i="2" s="1"/>
  <c r="T1122" i="2" s="1"/>
  <c r="O1124" i="2" a="1"/>
  <c r="O1124" i="2" s="1"/>
  <c r="S1124" i="2" s="1"/>
  <c r="L1131" i="2"/>
  <c r="V1132" i="2"/>
  <c r="W1132" i="2" s="1"/>
  <c r="T1132" i="2"/>
  <c r="AK1132" i="2"/>
  <c r="M1133" i="2"/>
  <c r="O1136" i="2" a="1"/>
  <c r="O1136" i="2" s="1"/>
  <c r="S1136" i="2" s="1"/>
  <c r="P1113" i="2" a="1"/>
  <c r="P1113" i="2" s="1"/>
  <c r="T1113" i="2" s="1"/>
  <c r="K1115" i="2"/>
  <c r="P1124" i="2" a="1"/>
  <c r="P1124" i="2" s="1"/>
  <c r="T1124" i="2" s="1"/>
  <c r="S1126" i="2"/>
  <c r="P1128" i="2" a="1"/>
  <c r="P1128" i="2" s="1"/>
  <c r="T1128" i="2" s="1"/>
  <c r="O1129" i="2" a="1"/>
  <c r="O1129" i="2" s="1"/>
  <c r="S1129" i="2" s="1"/>
  <c r="W1130" i="2"/>
  <c r="P1136" i="2" a="1"/>
  <c r="P1136" i="2" s="1"/>
  <c r="T1136" i="2" s="1"/>
  <c r="P1138" i="2" a="1"/>
  <c r="P1138" i="2" s="1"/>
  <c r="T1138" i="2" s="1"/>
  <c r="P1145" i="2" a="1"/>
  <c r="P1145" i="2" s="1"/>
  <c r="T1145" i="2" s="1"/>
  <c r="P1148" i="2" a="1"/>
  <c r="P1148" i="2" s="1"/>
  <c r="T1148" i="2" s="1"/>
  <c r="P1206" i="2" a="1"/>
  <c r="P1206" i="2" s="1"/>
  <c r="T1206" i="2" s="1"/>
  <c r="O1206" i="2" a="1"/>
  <c r="O1206" i="2" s="1"/>
  <c r="S1206" i="2" s="1"/>
  <c r="P1098" i="2" a="1"/>
  <c r="P1098" i="2" s="1"/>
  <c r="T1098" i="2" s="1"/>
  <c r="T1110" i="2"/>
  <c r="M1120" i="2"/>
  <c r="M1132" i="2"/>
  <c r="V1136" i="2"/>
  <c r="W1136" i="2" s="1"/>
  <c r="L1136" i="2"/>
  <c r="O1147" i="2" a="1"/>
  <c r="O1147" i="2" s="1"/>
  <c r="S1147" i="2" s="1"/>
  <c r="O1106" i="2" a="1"/>
  <c r="O1106" i="2" s="1"/>
  <c r="S1106" i="2" s="1"/>
  <c r="M1136" i="2"/>
  <c r="P1144" i="2" a="1"/>
  <c r="P1144" i="2" s="1"/>
  <c r="T1144" i="2" s="1"/>
  <c r="P1147" i="2" a="1"/>
  <c r="P1147" i="2" s="1"/>
  <c r="T1147" i="2" s="1"/>
  <c r="O1112" i="2" a="1"/>
  <c r="O1112" i="2" s="1"/>
  <c r="S1112" i="2" s="1"/>
  <c r="P1125" i="2" a="1"/>
  <c r="P1125" i="2" s="1"/>
  <c r="T1125" i="2" s="1"/>
  <c r="W1141" i="2"/>
  <c r="O1170" i="2" a="1"/>
  <c r="O1170" i="2" s="1"/>
  <c r="S1170" i="2" s="1"/>
  <c r="P1170" i="2" a="1"/>
  <c r="P1170" i="2" s="1"/>
  <c r="T1170" i="2" s="1"/>
  <c r="M1160" i="2"/>
  <c r="L1160" i="2"/>
  <c r="AI1160" i="2"/>
  <c r="K1123" i="2"/>
  <c r="W1144" i="2"/>
  <c r="P1146" i="2" a="1"/>
  <c r="P1146" i="2" s="1"/>
  <c r="T1146" i="2" s="1"/>
  <c r="O1176" i="2" a="1"/>
  <c r="O1176" i="2" s="1"/>
  <c r="P1217" i="2" a="1"/>
  <c r="P1217" i="2" s="1"/>
  <c r="W1145" i="2"/>
  <c r="O1163" i="2" a="1"/>
  <c r="O1163" i="2" s="1"/>
  <c r="S1163" i="2" s="1"/>
  <c r="P1175" i="2" a="1"/>
  <c r="P1175" i="2" s="1"/>
  <c r="V1181" i="2"/>
  <c r="W1181" i="2" s="1"/>
  <c r="T1181" i="2"/>
  <c r="AI1181" i="2"/>
  <c r="S1181" i="2"/>
  <c r="L1181" i="2"/>
  <c r="AI1170" i="2"/>
  <c r="M1170" i="2"/>
  <c r="L1170" i="2"/>
  <c r="V1170" i="2"/>
  <c r="W1170" i="2" s="1"/>
  <c r="O1191" i="2" a="1"/>
  <c r="O1191" i="2" s="1"/>
  <c r="S1191" i="2" s="1"/>
  <c r="M1130" i="2"/>
  <c r="W1143" i="2"/>
  <c r="O1155" i="2" a="1"/>
  <c r="O1155" i="2" s="1"/>
  <c r="P1163" i="2" a="1"/>
  <c r="P1163" i="2" s="1"/>
  <c r="T1163" i="2" s="1"/>
  <c r="O1179" i="2" a="1"/>
  <c r="O1179" i="2" s="1"/>
  <c r="S1179" i="2" s="1"/>
  <c r="L1191" i="2"/>
  <c r="M1191" i="2"/>
  <c r="V1191" i="2"/>
  <c r="W1191" i="2" s="1"/>
  <c r="U1196" i="2"/>
  <c r="U35" i="2" s="1"/>
  <c r="T1135" i="2"/>
  <c r="W1137" i="2"/>
  <c r="W1140" i="2"/>
  <c r="F1161" i="2"/>
  <c r="K1161" i="2" s="1"/>
  <c r="O1173" i="2" a="1"/>
  <c r="O1173" i="2" s="1"/>
  <c r="S1173" i="2" s="1"/>
  <c r="P1179" i="2" a="1"/>
  <c r="P1179" i="2" s="1"/>
  <c r="T1179" i="2" s="1"/>
  <c r="O1194" i="2" a="1"/>
  <c r="O1194" i="2" s="1"/>
  <c r="P1140" i="2" a="1"/>
  <c r="P1140" i="2" s="1"/>
  <c r="T1140" i="2" s="1"/>
  <c r="O1145" i="2" a="1"/>
  <c r="O1145" i="2" s="1"/>
  <c r="S1145" i="2" s="1"/>
  <c r="P1152" i="2" a="1"/>
  <c r="P1152" i="2" s="1"/>
  <c r="O1152" i="2" a="1"/>
  <c r="O1152" i="2" s="1"/>
  <c r="S1152" i="2" s="1"/>
  <c r="P1157" i="2" a="1"/>
  <c r="P1157" i="2" s="1"/>
  <c r="T1157" i="2" s="1"/>
  <c r="V1179" i="2"/>
  <c r="W1179" i="2" s="1"/>
  <c r="AI1179" i="2"/>
  <c r="M1179" i="2"/>
  <c r="L1179" i="2"/>
  <c r="M1135" i="2"/>
  <c r="L1138" i="2"/>
  <c r="S1148" i="2"/>
  <c r="M1148" i="2"/>
  <c r="P1155" i="2" a="1"/>
  <c r="P1155" i="2" s="1"/>
  <c r="V1173" i="2"/>
  <c r="W1173" i="2" s="1"/>
  <c r="M1173" i="2"/>
  <c r="AI1173" i="2"/>
  <c r="L1173" i="2"/>
  <c r="AK1130" i="2"/>
  <c r="AI1152" i="2"/>
  <c r="M1152" i="2"/>
  <c r="T1152" i="2"/>
  <c r="O1146" i="2" a="1"/>
  <c r="O1146" i="2" s="1"/>
  <c r="S1146" i="2" s="1"/>
  <c r="P1151" i="2" a="1"/>
  <c r="P1151" i="2" s="1"/>
  <c r="T1151" i="2" s="1"/>
  <c r="W1163" i="2"/>
  <c r="O1172" i="2" a="1"/>
  <c r="O1172" i="2" s="1"/>
  <c r="S1172" i="2" s="1"/>
  <c r="P1178" i="2" a="1"/>
  <c r="P1178" i="2" s="1"/>
  <c r="T1178" i="2" s="1"/>
  <c r="AK1129" i="2"/>
  <c r="T1130" i="2"/>
  <c r="O1133" i="2" a="1"/>
  <c r="O1133" i="2" s="1"/>
  <c r="S1133" i="2" s="1"/>
  <c r="P1137" i="2" a="1"/>
  <c r="P1137" i="2" s="1"/>
  <c r="T1137" i="2" s="1"/>
  <c r="W1139" i="2"/>
  <c r="M1145" i="2"/>
  <c r="L1145" i="2"/>
  <c r="O1149" i="2" a="1"/>
  <c r="O1149" i="2" s="1"/>
  <c r="S1149" i="2" s="1"/>
  <c r="P1172" i="2" a="1"/>
  <c r="P1172" i="2" s="1"/>
  <c r="T1172" i="2" s="1"/>
  <c r="AI1178" i="2"/>
  <c r="M1178" i="2"/>
  <c r="V1178" i="2"/>
  <c r="W1178" i="2" s="1"/>
  <c r="P1198" i="2" a="1"/>
  <c r="P1198" i="2" s="1"/>
  <c r="T1198" i="2" s="1"/>
  <c r="O1198" i="2" a="1"/>
  <c r="O1198" i="2" s="1"/>
  <c r="S1198" i="2" s="1"/>
  <c r="P1139" i="2" a="1"/>
  <c r="P1139" i="2" s="1"/>
  <c r="T1139" i="2" s="1"/>
  <c r="W1142" i="2"/>
  <c r="P1149" i="2" a="1"/>
  <c r="P1149" i="2" s="1"/>
  <c r="T1149" i="2" s="1"/>
  <c r="M1151" i="2"/>
  <c r="V1151" i="2"/>
  <c r="W1151" i="2" s="1"/>
  <c r="P1166" i="2" a="1"/>
  <c r="P1166" i="2" s="1"/>
  <c r="T1166" i="2" s="1"/>
  <c r="O1166" i="2" a="1"/>
  <c r="O1166" i="2" s="1"/>
  <c r="S1166" i="2" s="1"/>
  <c r="L1178" i="2"/>
  <c r="K1193" i="2"/>
  <c r="F1194" i="2"/>
  <c r="K1194" i="2" s="1"/>
  <c r="P1205" i="2" a="1"/>
  <c r="P1205" i="2" s="1"/>
  <c r="T1205" i="2" s="1"/>
  <c r="O1205" i="2" a="1"/>
  <c r="O1205" i="2" s="1"/>
  <c r="S1205" i="2" s="1"/>
  <c r="P1154" i="2" a="1"/>
  <c r="P1154" i="2" s="1"/>
  <c r="T1154" i="2" s="1"/>
  <c r="V1182" i="2"/>
  <c r="W1182" i="2" s="1"/>
  <c r="F1155" i="2"/>
  <c r="K1155" i="2" s="1"/>
  <c r="V1172" i="2"/>
  <c r="W1172" i="2" s="1"/>
  <c r="V1184" i="2"/>
  <c r="W1184" i="2" s="1"/>
  <c r="T1184" i="2"/>
  <c r="P1185" i="2" a="1"/>
  <c r="P1185" i="2" s="1"/>
  <c r="T1185" i="2" s="1"/>
  <c r="O1185" i="2" a="1"/>
  <c r="O1185" i="2" s="1"/>
  <c r="S1185" i="2" s="1"/>
  <c r="O1160" i="2" a="1"/>
  <c r="O1160" i="2" s="1"/>
  <c r="S1160" i="2" s="1"/>
  <c r="L1172" i="2"/>
  <c r="AI1172" i="2"/>
  <c r="L1184" i="2"/>
  <c r="P1193" i="2" a="1"/>
  <c r="P1193" i="2" s="1"/>
  <c r="O1199" i="2" a="1"/>
  <c r="O1199" i="2" s="1"/>
  <c r="S1199" i="2" s="1"/>
  <c r="O1201" i="2" a="1"/>
  <c r="O1201" i="2" s="1"/>
  <c r="S1201" i="2" s="1"/>
  <c r="P1201" i="2" a="1"/>
  <c r="P1201" i="2" s="1"/>
  <c r="M1164" i="2"/>
  <c r="L1164" i="2"/>
  <c r="L1169" i="2"/>
  <c r="M1172" i="2"/>
  <c r="M1184" i="2"/>
  <c r="P1199" i="2" a="1"/>
  <c r="P1199" i="2" s="1"/>
  <c r="T1199" i="2" s="1"/>
  <c r="O1216" i="2" a="1"/>
  <c r="O1216" i="2" s="1"/>
  <c r="S1216" i="2" s="1"/>
  <c r="P1223" i="2" a="1"/>
  <c r="P1223" i="2" s="1"/>
  <c r="T1223" i="2" s="1"/>
  <c r="O1223" i="2" a="1"/>
  <c r="O1223" i="2" s="1"/>
  <c r="S1223" i="2" s="1"/>
  <c r="S1182" i="2"/>
  <c r="L1185" i="2"/>
  <c r="V1185" i="2"/>
  <c r="W1185" i="2" s="1"/>
  <c r="P1187" i="2" a="1"/>
  <c r="P1187" i="2" s="1"/>
  <c r="T1187" i="2" s="1"/>
  <c r="O1187" i="2" a="1"/>
  <c r="O1187" i="2" s="1"/>
  <c r="S1187" i="2" s="1"/>
  <c r="O1208" i="2" a="1"/>
  <c r="O1208" i="2" s="1"/>
  <c r="S1208" i="2" s="1"/>
  <c r="V1149" i="2"/>
  <c r="W1149" i="2" s="1"/>
  <c r="O1157" i="2" a="1"/>
  <c r="O1157" i="2" s="1"/>
  <c r="S1157" i="2" s="1"/>
  <c r="P1173" i="2" a="1"/>
  <c r="P1173" i="2" s="1"/>
  <c r="T1173" i="2" s="1"/>
  <c r="P1188" i="2" a="1"/>
  <c r="P1188" i="2" s="1"/>
  <c r="T1188" i="2" s="1"/>
  <c r="O1188" i="2" a="1"/>
  <c r="O1188" i="2" s="1"/>
  <c r="S1188" i="2" s="1"/>
  <c r="M1200" i="2"/>
  <c r="V1200" i="2"/>
  <c r="T1200" i="2"/>
  <c r="P1208" i="2" a="1"/>
  <c r="P1208" i="2" s="1"/>
  <c r="T1208" i="2" s="1"/>
  <c r="O1151" i="2" a="1"/>
  <c r="O1151" i="2" s="1"/>
  <c r="S1151" i="2" s="1"/>
  <c r="P1160" i="2" a="1"/>
  <c r="P1160" i="2" s="1"/>
  <c r="T1160" i="2" s="1"/>
  <c r="P1167" i="2" a="1"/>
  <c r="P1167" i="2" s="1"/>
  <c r="O1167" i="2" a="1"/>
  <c r="O1167" i="2" s="1"/>
  <c r="M1187" i="2"/>
  <c r="L1187" i="2"/>
  <c r="V1187" i="2"/>
  <c r="W1187" i="2" s="1"/>
  <c r="L1200" i="2"/>
  <c r="O1237" i="2" a="1"/>
  <c r="O1237" i="2" s="1"/>
  <c r="S1237" i="2" s="1"/>
  <c r="O1161" i="2" a="1"/>
  <c r="O1161" i="2" s="1"/>
  <c r="M1188" i="2"/>
  <c r="L1188" i="2"/>
  <c r="V1188" i="2"/>
  <c r="W1188" i="2" s="1"/>
  <c r="P1256" i="2" a="1"/>
  <c r="P1256" i="2" s="1"/>
  <c r="T1256" i="2" s="1"/>
  <c r="P1190" i="2" a="1"/>
  <c r="P1190" i="2" s="1"/>
  <c r="T1190" i="2" s="1"/>
  <c r="O1190" i="2" a="1"/>
  <c r="O1190" i="2" s="1"/>
  <c r="S1190" i="2" s="1"/>
  <c r="P1215" i="2" a="1"/>
  <c r="P1215" i="2" s="1"/>
  <c r="T1215" i="2" s="1"/>
  <c r="P1191" i="2" a="1"/>
  <c r="P1191" i="2" s="1"/>
  <c r="T1191" i="2" s="1"/>
  <c r="P1203" i="2" a="1"/>
  <c r="P1203" i="2" s="1"/>
  <c r="T1203" i="2" s="1"/>
  <c r="M1215" i="2"/>
  <c r="V1215" i="2"/>
  <c r="W1215" i="2" s="1"/>
  <c r="L1215" i="2"/>
  <c r="P1182" i="2" a="1"/>
  <c r="P1182" i="2" s="1"/>
  <c r="T1182" i="2" s="1"/>
  <c r="O1203" i="2" a="1"/>
  <c r="O1203" i="2" s="1"/>
  <c r="S1203" i="2" s="1"/>
  <c r="M1223" i="2"/>
  <c r="V1223" i="2"/>
  <c r="W1223" i="2" s="1"/>
  <c r="P1228" i="2" a="1"/>
  <c r="P1228" i="2" s="1"/>
  <c r="T1228" i="2" s="1"/>
  <c r="P1251" i="2" a="1"/>
  <c r="P1251" i="2" s="1"/>
  <c r="T1251" i="2" s="1"/>
  <c r="V1190" i="2"/>
  <c r="W1190" i="2" s="1"/>
  <c r="L1199" i="2"/>
  <c r="W1228" i="2"/>
  <c r="U1227" i="2"/>
  <c r="U36" i="2" s="1"/>
  <c r="P1247" i="2" a="1"/>
  <c r="P1247" i="2" s="1"/>
  <c r="T1247" i="2" s="1"/>
  <c r="P1258" i="2" a="1"/>
  <c r="P1258" i="2" s="1"/>
  <c r="T1258" i="2" s="1"/>
  <c r="F1167" i="2"/>
  <c r="K1167" i="2" s="1"/>
  <c r="L1201" i="2"/>
  <c r="V1202" i="2"/>
  <c r="W1202" i="2" s="1"/>
  <c r="L1209" i="2"/>
  <c r="V1209" i="2"/>
  <c r="W1209" i="2" s="1"/>
  <c r="P1218" i="2" a="1"/>
  <c r="P1218" i="2" s="1"/>
  <c r="T1218" i="2" s="1"/>
  <c r="O1218" i="2" a="1"/>
  <c r="O1218" i="2" s="1"/>
  <c r="O1236" i="2" a="1"/>
  <c r="O1236" i="2" s="1"/>
  <c r="S1236" i="2" s="1"/>
  <c r="P1204" i="2" a="1"/>
  <c r="P1204" i="2" s="1"/>
  <c r="T1204" i="2" s="1"/>
  <c r="O1204" i="2" a="1"/>
  <c r="O1204" i="2" s="1"/>
  <c r="S1204" i="2" s="1"/>
  <c r="M1209" i="2"/>
  <c r="L1163" i="2"/>
  <c r="P1202" i="2" a="1"/>
  <c r="P1202" i="2" s="1"/>
  <c r="T1202" i="2" s="1"/>
  <c r="M1206" i="2"/>
  <c r="L1206" i="2"/>
  <c r="W1208" i="2"/>
  <c r="P1212" i="2" a="1"/>
  <c r="P1212" i="2" s="1"/>
  <c r="T1212" i="2" s="1"/>
  <c r="O1211" i="2" a="1"/>
  <c r="O1211" i="2" s="1"/>
  <c r="S1211" i="2" s="1"/>
  <c r="V1212" i="2"/>
  <c r="W1212" i="2" s="1"/>
  <c r="K1217" i="2"/>
  <c r="L1212" i="2"/>
  <c r="P1263" i="2" a="1"/>
  <c r="P1263" i="2" s="1"/>
  <c r="T1263" i="2" s="1"/>
  <c r="P1211" i="2" a="1"/>
  <c r="P1211" i="2" s="1"/>
  <c r="T1211" i="2" s="1"/>
  <c r="P1214" i="2" a="1"/>
  <c r="P1214" i="2" s="1"/>
  <c r="T1214" i="2" s="1"/>
  <c r="P1222" i="2" a="1"/>
  <c r="P1222" i="2" s="1"/>
  <c r="T1222" i="2" s="1"/>
  <c r="O1244" i="2" a="1"/>
  <c r="O1244" i="2" s="1"/>
  <c r="S1244" i="2" s="1"/>
  <c r="P1246" i="2" a="1"/>
  <c r="P1246" i="2" s="1"/>
  <c r="T1246" i="2" s="1"/>
  <c r="M1222" i="2"/>
  <c r="L1222" i="2"/>
  <c r="V1222" i="2"/>
  <c r="W1222" i="2" s="1"/>
  <c r="P1231" i="2" a="1"/>
  <c r="P1231" i="2" s="1"/>
  <c r="T1231" i="2" s="1"/>
  <c r="O1261" i="2" a="1"/>
  <c r="O1261" i="2" s="1"/>
  <c r="S1261" i="2" s="1"/>
  <c r="S1197" i="2"/>
  <c r="T1201" i="2"/>
  <c r="M1204" i="2"/>
  <c r="O1207" i="2" a="1"/>
  <c r="O1207" i="2" s="1"/>
  <c r="S1207" i="2" s="1"/>
  <c r="W1218" i="2"/>
  <c r="P1261" i="2" a="1"/>
  <c r="P1261" i="2" s="1"/>
  <c r="T1261" i="2" s="1"/>
  <c r="W1265" i="2"/>
  <c r="P1224" i="2" a="1"/>
  <c r="P1224" i="2" s="1"/>
  <c r="T1224" i="2" s="1"/>
  <c r="O1224" i="2" a="1"/>
  <c r="O1224" i="2" s="1"/>
  <c r="S1224" i="2" s="1"/>
  <c r="P1225" i="2" a="1"/>
  <c r="P1225" i="2" s="1"/>
  <c r="T1225" i="2" s="1"/>
  <c r="O1225" i="2" a="1"/>
  <c r="O1225" i="2" s="1"/>
  <c r="S1225" i="2" s="1"/>
  <c r="P1248" i="2" a="1"/>
  <c r="P1248" i="2" s="1"/>
  <c r="T1248" i="2" s="1"/>
  <c r="O1248" i="2" a="1"/>
  <c r="O1248" i="2" s="1"/>
  <c r="S1248" i="2" s="1"/>
  <c r="O1258" i="2" a="1"/>
  <c r="O1258" i="2" s="1"/>
  <c r="S1258" i="2" s="1"/>
  <c r="P1220" i="2" a="1"/>
  <c r="P1220" i="2" s="1"/>
  <c r="T1220" i="2" s="1"/>
  <c r="P1232" i="2" a="1"/>
  <c r="P1232" i="2" s="1"/>
  <c r="T1232" i="2" s="1"/>
  <c r="O1232" i="2" a="1"/>
  <c r="O1232" i="2" s="1"/>
  <c r="S1232" i="2" s="1"/>
  <c r="P1243" i="2" a="1"/>
  <c r="P1243" i="2" s="1"/>
  <c r="T1243" i="2" s="1"/>
  <c r="O1243" i="2" a="1"/>
  <c r="O1243" i="2" s="1"/>
  <c r="S1243" i="2" s="1"/>
  <c r="O1255" i="2" a="1"/>
  <c r="O1255" i="2" s="1"/>
  <c r="S1255" i="2" s="1"/>
  <c r="P1260" i="2" a="1"/>
  <c r="P1260" i="2" s="1"/>
  <c r="T1260" i="2" s="1"/>
  <c r="P1267" i="2" a="1"/>
  <c r="P1267" i="2" s="1"/>
  <c r="T1267" i="2" s="1"/>
  <c r="W1221" i="2"/>
  <c r="P1237" i="2" a="1"/>
  <c r="P1237" i="2" s="1"/>
  <c r="T1237" i="2" s="1"/>
  <c r="O1247" i="2" a="1"/>
  <c r="O1247" i="2" s="1"/>
  <c r="S1247" i="2" s="1"/>
  <c r="O1250" i="2" a="1"/>
  <c r="O1250" i="2" s="1"/>
  <c r="S1250" i="2" s="1"/>
  <c r="P1255" i="2" a="1"/>
  <c r="P1255" i="2" s="1"/>
  <c r="T1255" i="2" s="1"/>
  <c r="P1264" i="2" a="1"/>
  <c r="P1264" i="2" s="1"/>
  <c r="T1264" i="2" s="1"/>
  <c r="O1264" i="2" a="1"/>
  <c r="O1264" i="2" s="1"/>
  <c r="S1264" i="2" s="1"/>
  <c r="L1211" i="2"/>
  <c r="O1220" i="2" a="1"/>
  <c r="O1220" i="2" s="1"/>
  <c r="S1220" i="2" s="1"/>
  <c r="P1250" i="2" a="1"/>
  <c r="P1250" i="2" s="1"/>
  <c r="T1250" i="2" s="1"/>
  <c r="P1254" i="2" a="1"/>
  <c r="P1254" i="2" s="1"/>
  <c r="T1254" i="2" s="1"/>
  <c r="O1254" i="2" a="1"/>
  <c r="O1254" i="2" s="1"/>
  <c r="S1254" i="2" s="1"/>
  <c r="P1235" i="2" a="1"/>
  <c r="P1235" i="2" s="1"/>
  <c r="T1235" i="2" s="1"/>
  <c r="O1235" i="2" a="1"/>
  <c r="O1235" i="2" s="1"/>
  <c r="S1235" i="2" s="1"/>
  <c r="W1248" i="2"/>
  <c r="O1231" i="2" a="1"/>
  <c r="O1231" i="2" s="1"/>
  <c r="S1231" i="2" s="1"/>
  <c r="P1249" i="2" a="1"/>
  <c r="P1249" i="2" s="1"/>
  <c r="T1249" i="2" s="1"/>
  <c r="O1249" i="2" a="1"/>
  <c r="O1249" i="2" s="1"/>
  <c r="S1249" i="2" s="1"/>
  <c r="O1260" i="2" a="1"/>
  <c r="O1260" i="2" s="1"/>
  <c r="S1260" i="2" s="1"/>
  <c r="P1210" i="2" a="1"/>
  <c r="P1210" i="2" s="1"/>
  <c r="T1210" i="2" s="1"/>
  <c r="O1213" i="2" a="1"/>
  <c r="O1213" i="2" s="1"/>
  <c r="S1213" i="2" s="1"/>
  <c r="M1210" i="2"/>
  <c r="V1210" i="2"/>
  <c r="W1210" i="2" s="1"/>
  <c r="W1224" i="2"/>
  <c r="P1242" i="2" a="1"/>
  <c r="P1242" i="2" s="1"/>
  <c r="T1242" i="2" s="1"/>
  <c r="O1253" i="2" a="1"/>
  <c r="O1253" i="2" s="1"/>
  <c r="S1253" i="2" s="1"/>
  <c r="O1263" i="2" a="1"/>
  <c r="O1263" i="2" s="1"/>
  <c r="S1263" i="2" s="1"/>
  <c r="O1266" i="2" a="1"/>
  <c r="O1266" i="2" s="1"/>
  <c r="S1266" i="2" s="1"/>
  <c r="W1267" i="2"/>
  <c r="L1210" i="2"/>
  <c r="S1218" i="2"/>
  <c r="V1230" i="2"/>
  <c r="W1232" i="2"/>
  <c r="P1240" i="2" a="1"/>
  <c r="P1240" i="2" s="1"/>
  <c r="T1240" i="2" s="1"/>
  <c r="O1252" i="2" a="1"/>
  <c r="O1252" i="2" s="1"/>
  <c r="S1252" i="2" s="1"/>
  <c r="P1259" i="2" a="1"/>
  <c r="P1259" i="2" s="1"/>
  <c r="T1259" i="2" s="1"/>
  <c r="O1259" i="2" a="1"/>
  <c r="O1259" i="2" s="1"/>
  <c r="S1259" i="2" s="1"/>
  <c r="P1266" i="2" a="1"/>
  <c r="P1266" i="2" s="1"/>
  <c r="T1266" i="2" s="1"/>
  <c r="O1234" i="2" a="1"/>
  <c r="O1234" i="2" s="1"/>
  <c r="S1234" i="2" s="1"/>
  <c r="O1239" i="2" a="1"/>
  <c r="O1239" i="2" s="1"/>
  <c r="S1239" i="2" s="1"/>
  <c r="W1247" i="2"/>
  <c r="W1264" i="2"/>
  <c r="M1218" i="2"/>
  <c r="U1230" i="2"/>
  <c r="U37" i="2" s="1"/>
  <c r="P1233" i="2" a="1"/>
  <c r="P1233" i="2" s="1"/>
  <c r="T1233" i="2" s="1"/>
  <c r="O1233" i="2" a="1"/>
  <c r="O1233" i="2" s="1"/>
  <c r="S1233" i="2" s="1"/>
  <c r="P1234" i="2" a="1"/>
  <c r="P1234" i="2" s="1"/>
  <c r="T1234" i="2" s="1"/>
  <c r="P1239" i="2" a="1"/>
  <c r="P1239" i="2" s="1"/>
  <c r="T1239" i="2" s="1"/>
  <c r="P1244" i="2" a="1"/>
  <c r="P1244" i="2" s="1"/>
  <c r="T1244" i="2" s="1"/>
  <c r="O1245" i="2" a="1"/>
  <c r="O1245" i="2" s="1"/>
  <c r="S1245" i="2" s="1"/>
  <c r="P1253" i="2" a="1"/>
  <c r="P1253" i="2" s="1"/>
  <c r="T1253" i="2" s="1"/>
  <c r="P1265" i="2" a="1"/>
  <c r="P1265" i="2" s="1"/>
  <c r="T1265" i="2" s="1"/>
  <c r="O1265" i="2" a="1"/>
  <c r="O1265" i="2" s="1"/>
  <c r="S1265" i="2" s="1"/>
  <c r="O1222" i="2" a="1"/>
  <c r="O1222" i="2" s="1"/>
  <c r="S1222" i="2" s="1"/>
  <c r="O1228" i="2" a="1"/>
  <c r="O1228" i="2" s="1"/>
  <c r="S1228" i="2" s="1"/>
  <c r="P1238" i="2" a="1"/>
  <c r="P1238" i="2" s="1"/>
  <c r="T1238" i="2" s="1"/>
  <c r="O1238" i="2" a="1"/>
  <c r="O1238" i="2" s="1"/>
  <c r="S1238" i="2" s="1"/>
  <c r="P1245" i="2" a="1"/>
  <c r="P1245" i="2" s="1"/>
  <c r="T1245" i="2" s="1"/>
  <c r="O1246" i="2" a="1"/>
  <c r="O1246" i="2" s="1"/>
  <c r="S1246" i="2" s="1"/>
  <c r="O1262" i="2" a="1"/>
  <c r="O1262" i="2" s="1"/>
  <c r="S1262" i="2" s="1"/>
  <c r="O1251" i="2" a="1"/>
  <c r="O1251" i="2" s="1"/>
  <c r="S1251" i="2" s="1"/>
  <c r="O1267" i="2" a="1"/>
  <c r="O1267" i="2" s="1"/>
  <c r="S1267" i="2" s="1"/>
  <c r="J46" i="23" l="1"/>
  <c r="K669" i="2"/>
  <c r="K669" i="44"/>
  <c r="I104" i="23"/>
  <c r="AI113" i="44"/>
  <c r="J81" i="23"/>
  <c r="G6" i="27"/>
  <c r="N6" i="27" s="1"/>
  <c r="G124" i="23"/>
  <c r="K697" i="44"/>
  <c r="T678" i="44"/>
  <c r="T113" i="44"/>
  <c r="S669" i="2"/>
  <c r="J51" i="23"/>
  <c r="V678" i="44"/>
  <c r="W678" i="44" s="1"/>
  <c r="K113" i="2"/>
  <c r="S667" i="2"/>
  <c r="L678" i="44"/>
  <c r="K112" i="44"/>
  <c r="M112" i="44" s="1"/>
  <c r="M670" i="44"/>
  <c r="L670" i="44"/>
  <c r="M679" i="44"/>
  <c r="V679" i="44"/>
  <c r="W679" i="44" s="1"/>
  <c r="V680" i="44"/>
  <c r="W680" i="44" s="1"/>
  <c r="M680" i="44"/>
  <c r="L680" i="44"/>
  <c r="T667" i="2"/>
  <c r="T675" i="2"/>
  <c r="I51" i="23"/>
  <c r="S113" i="44"/>
  <c r="T669" i="2"/>
  <c r="T107" i="2"/>
  <c r="K667" i="44"/>
  <c r="K667" i="2"/>
  <c r="L681" i="44"/>
  <c r="J83" i="23"/>
  <c r="I83" i="23"/>
  <c r="G10" i="27" s="1"/>
  <c r="N10" i="27" s="1"/>
  <c r="K676" i="2"/>
  <c r="K676" i="44"/>
  <c r="S681" i="44"/>
  <c r="AE681" i="44" s="1"/>
  <c r="AB681" i="44" s="1"/>
  <c r="L113" i="44"/>
  <c r="G112" i="23"/>
  <c r="I68" i="23"/>
  <c r="G99" i="23"/>
  <c r="I50" i="23"/>
  <c r="J61" i="23"/>
  <c r="K675" i="44"/>
  <c r="K675" i="2"/>
  <c r="J86" i="23"/>
  <c r="J55" i="23"/>
  <c r="K672" i="44"/>
  <c r="K672" i="2"/>
  <c r="T676" i="2"/>
  <c r="N72" i="14"/>
  <c r="K104" i="2"/>
  <c r="S104" i="2" s="1"/>
  <c r="AE104" i="2" s="1"/>
  <c r="K104" i="44"/>
  <c r="T681" i="44"/>
  <c r="K668" i="2"/>
  <c r="K668" i="44"/>
  <c r="L674" i="44"/>
  <c r="M674" i="44"/>
  <c r="K107" i="44"/>
  <c r="K107" i="2"/>
  <c r="V681" i="44"/>
  <c r="W681" i="44" s="1"/>
  <c r="S678" i="44"/>
  <c r="AE678" i="44" s="1"/>
  <c r="AB678" i="44" s="1"/>
  <c r="M113" i="44"/>
  <c r="S674" i="44"/>
  <c r="AE674" i="44" s="1"/>
  <c r="AB674" i="44" s="1"/>
  <c r="L682" i="44"/>
  <c r="V682" i="44"/>
  <c r="W682" i="44" s="1"/>
  <c r="J3" i="23"/>
  <c r="G2" i="12"/>
  <c r="BO155" i="15"/>
  <c r="H10" i="18"/>
  <c r="AJ13" i="18"/>
  <c r="R38" i="18"/>
  <c r="V159" i="17"/>
  <c r="V219" i="17" s="1"/>
  <c r="V209" i="17" s="1"/>
  <c r="U169" i="17"/>
  <c r="AJ129" i="18"/>
  <c r="P29" i="16"/>
  <c r="Y159" i="17"/>
  <c r="Y219" i="17" s="1"/>
  <c r="Y209" i="17" s="1"/>
  <c r="M32" i="20"/>
  <c r="N56" i="14"/>
  <c r="K91" i="2"/>
  <c r="K91" i="44"/>
  <c r="R11" i="18"/>
  <c r="S28" i="16"/>
  <c r="S31" i="16" s="1"/>
  <c r="S12" i="20"/>
  <c r="Z169" i="17"/>
  <c r="X163" i="17"/>
  <c r="F11" i="18"/>
  <c r="AJ11" i="18" s="1"/>
  <c r="Q29" i="16"/>
  <c r="Q21" i="16"/>
  <c r="P21" i="16"/>
  <c r="Q9" i="20"/>
  <c r="Q11" i="20" s="1"/>
  <c r="R15" i="16"/>
  <c r="AJ165" i="17"/>
  <c r="AC169" i="17"/>
  <c r="P14" i="16"/>
  <c r="Q6" i="20"/>
  <c r="Q8" i="20" s="1"/>
  <c r="H38" i="18"/>
  <c r="AJ38" i="18" s="1"/>
  <c r="G10" i="18"/>
  <c r="F10" i="18"/>
  <c r="Q14" i="16"/>
  <c r="R6" i="20"/>
  <c r="R8" i="20" s="1"/>
  <c r="R29" i="16"/>
  <c r="Y169" i="17"/>
  <c r="AD169" i="17"/>
  <c r="AJ14" i="18"/>
  <c r="Q38" i="18"/>
  <c r="O10" i="18"/>
  <c r="R22" i="16"/>
  <c r="AJ194" i="17"/>
  <c r="W159" i="17"/>
  <c r="W219" i="17" s="1"/>
  <c r="W209" i="17" s="1"/>
  <c r="R36" i="18"/>
  <c r="Q28" i="16"/>
  <c r="U29" i="16"/>
  <c r="U32" i="16" s="1"/>
  <c r="AJ166" i="17"/>
  <c r="W179" i="17"/>
  <c r="W180" i="17" s="1"/>
  <c r="H36" i="18"/>
  <c r="AJ36" i="18" s="1"/>
  <c r="AJ46" i="18"/>
  <c r="Q22" i="16"/>
  <c r="T157" i="17"/>
  <c r="AC1267" i="44"/>
  <c r="AC1244" i="44"/>
  <c r="AC1008" i="44"/>
  <c r="AB856" i="44"/>
  <c r="AE742" i="44"/>
  <c r="AB742" i="44" s="1"/>
  <c r="AC592" i="44"/>
  <c r="AC1240" i="44"/>
  <c r="AB1073" i="44"/>
  <c r="AB1056" i="44"/>
  <c r="AB458" i="44"/>
  <c r="AC475" i="44"/>
  <c r="AB433" i="44"/>
  <c r="AB1036" i="44"/>
  <c r="AC1030" i="44"/>
  <c r="AB1067" i="44"/>
  <c r="AB648" i="44"/>
  <c r="AC52" i="44"/>
  <c r="AB767" i="44"/>
  <c r="AC208" i="44"/>
  <c r="AB54" i="44"/>
  <c r="AB1210" i="44"/>
  <c r="AC1259" i="44"/>
  <c r="AC1214" i="44"/>
  <c r="AB1211" i="44"/>
  <c r="AC890" i="44"/>
  <c r="AC818" i="44"/>
  <c r="AB1231" i="44"/>
  <c r="AH1259" i="44"/>
  <c r="AC971" i="44"/>
  <c r="AB415" i="44"/>
  <c r="AB468" i="44"/>
  <c r="AC439" i="44"/>
  <c r="AB170" i="44"/>
  <c r="AB57" i="44"/>
  <c r="AB1057" i="44"/>
  <c r="AC986" i="44"/>
  <c r="M30" i="44"/>
  <c r="AE806" i="44"/>
  <c r="AC806" i="44" s="1"/>
  <c r="AC1071" i="44"/>
  <c r="AC53" i="44"/>
  <c r="AE469" i="44"/>
  <c r="AB469" i="44"/>
  <c r="AB1242" i="44"/>
  <c r="AB1074" i="44"/>
  <c r="AC1055" i="44"/>
  <c r="AB806" i="44"/>
  <c r="AB349" i="44"/>
  <c r="AC89" i="44"/>
  <c r="AB1250" i="44"/>
  <c r="AB1241" i="44"/>
  <c r="AC1236" i="44"/>
  <c r="AB1049" i="44"/>
  <c r="AJ30" i="44"/>
  <c r="AC728" i="44"/>
  <c r="AB721" i="44"/>
  <c r="AH1239" i="44"/>
  <c r="AB1197" i="44"/>
  <c r="AB1027" i="44"/>
  <c r="AB799" i="44"/>
  <c r="AC507" i="44"/>
  <c r="AB495" i="44"/>
  <c r="AB93" i="44"/>
  <c r="AE871" i="44"/>
  <c r="AB871" i="44" s="1"/>
  <c r="AH1241" i="44"/>
  <c r="AC1266" i="44"/>
  <c r="AH1240" i="44"/>
  <c r="AC509" i="44"/>
  <c r="V871" i="44"/>
  <c r="W871" i="44" s="1"/>
  <c r="M871" i="44"/>
  <c r="AH1234" i="44"/>
  <c r="AH1244" i="44"/>
  <c r="AB1058" i="44"/>
  <c r="AC363" i="44"/>
  <c r="T871" i="44"/>
  <c r="AC1139" i="44"/>
  <c r="AB1104" i="44"/>
  <c r="AB1090" i="44"/>
  <c r="AC864" i="44"/>
  <c r="AB894" i="44"/>
  <c r="AC579" i="44"/>
  <c r="AB296" i="44"/>
  <c r="AB67" i="44"/>
  <c r="AE1096" i="44"/>
  <c r="AB1096" i="44" s="1"/>
  <c r="AH1264" i="44"/>
  <c r="AB1206" i="44"/>
  <c r="AB1257" i="44"/>
  <c r="AB1233" i="44"/>
  <c r="AB1263" i="44"/>
  <c r="AC1207" i="44"/>
  <c r="AB1215" i="44"/>
  <c r="AE1166" i="44"/>
  <c r="AB1166" i="44" s="1"/>
  <c r="AE1165" i="44"/>
  <c r="AH1252" i="44"/>
  <c r="AE1133" i="44"/>
  <c r="AC1133" i="44" s="1"/>
  <c r="AE1155" i="44"/>
  <c r="AC1155" i="44" s="1"/>
  <c r="AB1155" i="44"/>
  <c r="AE1153" i="44"/>
  <c r="AE1158" i="44"/>
  <c r="AB1158" i="44" s="1"/>
  <c r="AE1113" i="44"/>
  <c r="AC1113" i="44" s="1"/>
  <c r="AB999" i="44"/>
  <c r="AE883" i="44"/>
  <c r="AC883" i="44" s="1"/>
  <c r="M1115" i="44"/>
  <c r="L1115" i="44"/>
  <c r="T1115" i="44"/>
  <c r="V1115" i="44"/>
  <c r="W1115" i="44" s="1"/>
  <c r="S1115" i="44"/>
  <c r="S961" i="44" s="1"/>
  <c r="AH1255" i="44"/>
  <c r="AH1246" i="44"/>
  <c r="AH1260" i="44"/>
  <c r="AB1239" i="44"/>
  <c r="AH1238" i="44"/>
  <c r="S1161" i="44"/>
  <c r="AI1161" i="44"/>
  <c r="M1161" i="44"/>
  <c r="L1161" i="44"/>
  <c r="V1161" i="44"/>
  <c r="W1161" i="44" s="1"/>
  <c r="T1161" i="44"/>
  <c r="AE1194" i="44"/>
  <c r="AB1194" i="44" s="1"/>
  <c r="AE1171" i="44"/>
  <c r="AE1172" i="44"/>
  <c r="AC1172" i="44" s="1"/>
  <c r="AC1070" i="44"/>
  <c r="AB1070" i="44"/>
  <c r="AE982" i="44"/>
  <c r="AC982" i="44" s="1"/>
  <c r="AB982" i="44"/>
  <c r="M956" i="44"/>
  <c r="L956" i="44"/>
  <c r="V956" i="44"/>
  <c r="W956" i="44" s="1"/>
  <c r="T956" i="44"/>
  <c r="S956" i="44"/>
  <c r="T950" i="44"/>
  <c r="S950" i="44"/>
  <c r="L950" i="44"/>
  <c r="V950" i="44"/>
  <c r="W950" i="44" s="1"/>
  <c r="M950" i="44"/>
  <c r="AE888" i="44"/>
  <c r="AC888" i="44" s="1"/>
  <c r="AH1231" i="44"/>
  <c r="AE1225" i="44"/>
  <c r="AB1225" i="44" s="1"/>
  <c r="AH1257" i="44"/>
  <c r="AH1233" i="44"/>
  <c r="AB1243" i="44"/>
  <c r="AH1263" i="44"/>
  <c r="AB1235" i="44"/>
  <c r="AE1156" i="44"/>
  <c r="AE1157" i="44"/>
  <c r="AB1157" i="44" s="1"/>
  <c r="AE1190" i="44"/>
  <c r="AB1190" i="44" s="1"/>
  <c r="AE1189" i="44"/>
  <c r="AE1188" i="44"/>
  <c r="AC1188" i="44" s="1"/>
  <c r="AC1202" i="44"/>
  <c r="AE1107" i="44"/>
  <c r="AC1107" i="44" s="1"/>
  <c r="AB1107" i="44"/>
  <c r="AB1100" i="44"/>
  <c r="AB1054" i="44"/>
  <c r="AE952" i="44"/>
  <c r="AC952" i="44" s="1"/>
  <c r="AE951" i="44"/>
  <c r="AE885" i="44"/>
  <c r="AC885" i="44" s="1"/>
  <c r="AB885" i="44"/>
  <c r="AC1230" i="44"/>
  <c r="T37" i="44"/>
  <c r="AB1224" i="44"/>
  <c r="AE1218" i="44"/>
  <c r="AC1218" i="44" s="1"/>
  <c r="AB1218" i="44"/>
  <c r="AC1234" i="44"/>
  <c r="AC1147" i="44"/>
  <c r="AC1157" i="44"/>
  <c r="AE1184" i="44"/>
  <c r="AB1184" i="44" s="1"/>
  <c r="AE1175" i="44"/>
  <c r="AB1175" i="44" s="1"/>
  <c r="AC1194" i="44"/>
  <c r="AE1179" i="44"/>
  <c r="AB1179" i="44" s="1"/>
  <c r="AC1112" i="44"/>
  <c r="AC1061" i="44"/>
  <c r="AC1093" i="44"/>
  <c r="AB1011" i="44"/>
  <c r="AC1089" i="44"/>
  <c r="AB1041" i="44"/>
  <c r="AE984" i="44"/>
  <c r="AB984" i="44" s="1"/>
  <c r="AC933" i="44"/>
  <c r="AE910" i="44"/>
  <c r="AE911" i="44"/>
  <c r="AB911" i="44"/>
  <c r="S937" i="44"/>
  <c r="M937" i="44"/>
  <c r="L937" i="44"/>
  <c r="V937" i="44"/>
  <c r="W937" i="44" s="1"/>
  <c r="T937" i="44"/>
  <c r="AB931" i="44"/>
  <c r="AC931" i="44"/>
  <c r="AH1243" i="44"/>
  <c r="AC1146" i="44"/>
  <c r="M1217" i="44"/>
  <c r="V1217" i="44"/>
  <c r="W1217" i="44" s="1"/>
  <c r="T1217" i="44"/>
  <c r="T1196" i="44" s="1"/>
  <c r="S1217" i="44"/>
  <c r="L1217" i="44"/>
  <c r="V1196" i="44"/>
  <c r="AC1175" i="44"/>
  <c r="AB1148" i="44"/>
  <c r="T1170" i="44"/>
  <c r="M1170" i="44"/>
  <c r="AI1170" i="44"/>
  <c r="L1170" i="44"/>
  <c r="V1170" i="44"/>
  <c r="W1170" i="44" s="1"/>
  <c r="S1170" i="44"/>
  <c r="AC1135" i="44"/>
  <c r="AC1158" i="44"/>
  <c r="AE1140" i="44"/>
  <c r="AC1140" i="44" s="1"/>
  <c r="AE1111" i="44"/>
  <c r="AC1072" i="44"/>
  <c r="AB1069" i="44"/>
  <c r="L35" i="44"/>
  <c r="AE1212" i="44"/>
  <c r="AC1212" i="44" s="1"/>
  <c r="AE1143" i="44"/>
  <c r="AB1143" i="44" s="1"/>
  <c r="AI1169" i="44"/>
  <c r="V1169" i="44"/>
  <c r="W1169" i="44" s="1"/>
  <c r="T1169" i="44"/>
  <c r="S1169" i="44"/>
  <c r="M1169" i="44"/>
  <c r="L1169" i="44"/>
  <c r="T1123" i="44"/>
  <c r="S1123" i="44"/>
  <c r="AK1123" i="44"/>
  <c r="L1123" i="44"/>
  <c r="V1123" i="44"/>
  <c r="W1123" i="44" s="1"/>
  <c r="M1123" i="44"/>
  <c r="AE1045" i="44"/>
  <c r="AC1045" i="44" s="1"/>
  <c r="AC1038" i="44"/>
  <c r="AB1038" i="44"/>
  <c r="AE980" i="44"/>
  <c r="AC980" i="44" s="1"/>
  <c r="AB980" i="44"/>
  <c r="AB934" i="44"/>
  <c r="AC934" i="44"/>
  <c r="W1230" i="44"/>
  <c r="W37" i="44" s="1"/>
  <c r="V37" i="44"/>
  <c r="AH1230" i="44"/>
  <c r="AE1230" i="44"/>
  <c r="AE1229" i="44"/>
  <c r="AB1230" i="44"/>
  <c r="AH1258" i="44"/>
  <c r="S37" i="44"/>
  <c r="AB1232" i="44"/>
  <c r="AE1149" i="44"/>
  <c r="AC1149" i="44" s="1"/>
  <c r="AH1251" i="44"/>
  <c r="AC1127" i="44"/>
  <c r="AE1037" i="44"/>
  <c r="AC1037" i="44" s="1"/>
  <c r="AB1037" i="44"/>
  <c r="AB1015" i="44"/>
  <c r="AB1063" i="44"/>
  <c r="AC877" i="44"/>
  <c r="AH1232" i="44"/>
  <c r="AC1227" i="44"/>
  <c r="T36" i="44"/>
  <c r="AC1141" i="44"/>
  <c r="AH1237" i="44"/>
  <c r="L1185" i="44"/>
  <c r="V1185" i="44"/>
  <c r="W1185" i="44" s="1"/>
  <c r="T1185" i="44"/>
  <c r="S1185" i="44"/>
  <c r="M1185" i="44"/>
  <c r="AI1185" i="44"/>
  <c r="AC1065" i="44"/>
  <c r="AC1088" i="44"/>
  <c r="AB922" i="44"/>
  <c r="AC922" i="44"/>
  <c r="AC974" i="44"/>
  <c r="AE946" i="44"/>
  <c r="AB946" i="44" s="1"/>
  <c r="AE1119" i="44"/>
  <c r="AC1119" i="44" s="1"/>
  <c r="AE1222" i="44"/>
  <c r="AC1222" i="44" s="1"/>
  <c r="AH1265" i="44"/>
  <c r="AH1253" i="44"/>
  <c r="AH1256" i="44"/>
  <c r="AE1200" i="44"/>
  <c r="AC1200" i="44" s="1"/>
  <c r="AH1242" i="44"/>
  <c r="AB1145" i="44"/>
  <c r="AC1128" i="44"/>
  <c r="AB1201" i="44"/>
  <c r="AB1124" i="44"/>
  <c r="AB1079" i="44"/>
  <c r="AB1086" i="44"/>
  <c r="AC1026" i="44"/>
  <c r="AC1039" i="44"/>
  <c r="AB1039" i="44"/>
  <c r="AE920" i="44"/>
  <c r="AC920" i="44" s="1"/>
  <c r="AB920" i="44"/>
  <c r="AE941" i="44"/>
  <c r="AB942" i="44"/>
  <c r="AE942" i="44"/>
  <c r="AE901" i="44"/>
  <c r="AE902" i="44"/>
  <c r="AB902" i="44" s="1"/>
  <c r="W966" i="44"/>
  <c r="AH1261" i="44"/>
  <c r="AC1190" i="44"/>
  <c r="AE1220" i="44"/>
  <c r="AB1220" i="44"/>
  <c r="AH1267" i="44"/>
  <c r="AE1213" i="44"/>
  <c r="AB1213" i="44"/>
  <c r="AE1192" i="44"/>
  <c r="AE1193" i="44"/>
  <c r="AC1193" i="44" s="1"/>
  <c r="AB1193" i="44"/>
  <c r="AE1130" i="44"/>
  <c r="AC1130" i="44" s="1"/>
  <c r="AB1130" i="44"/>
  <c r="AE1138" i="44"/>
  <c r="AC1138" i="44" s="1"/>
  <c r="AE1182" i="44"/>
  <c r="AC1182" i="44" s="1"/>
  <c r="AE1122" i="44"/>
  <c r="AC1122" i="44" s="1"/>
  <c r="AB1122" i="44"/>
  <c r="AE1132" i="44"/>
  <c r="AC1132" i="44" s="1"/>
  <c r="AC981" i="44"/>
  <c r="AB981" i="44"/>
  <c r="AC989" i="44"/>
  <c r="AB989" i="44"/>
  <c r="AE896" i="44"/>
  <c r="AC896" i="44" s="1"/>
  <c r="AB896" i="44"/>
  <c r="AE1160" i="44"/>
  <c r="AC1160" i="44" s="1"/>
  <c r="AE1159" i="44"/>
  <c r="AE1221" i="44"/>
  <c r="AC1221" i="44" s="1"/>
  <c r="AH1250" i="44"/>
  <c r="AB1262" i="44"/>
  <c r="AH1254" i="44"/>
  <c r="AC1245" i="44"/>
  <c r="AE1208" i="44"/>
  <c r="AC1208" i="44" s="1"/>
  <c r="AB1208" i="44"/>
  <c r="AI1176" i="44"/>
  <c r="T1176" i="44"/>
  <c r="S1176" i="44"/>
  <c r="M1176" i="44"/>
  <c r="L1176" i="44"/>
  <c r="V1176" i="44"/>
  <c r="W1176" i="44" s="1"/>
  <c r="AE1129" i="44"/>
  <c r="AC1129" i="44" s="1"/>
  <c r="AB1129" i="44"/>
  <c r="AE1106" i="44"/>
  <c r="AC1106" i="44" s="1"/>
  <c r="AB1106" i="44"/>
  <c r="AE1105" i="44"/>
  <c r="AE879" i="44"/>
  <c r="AC879" i="44" s="1"/>
  <c r="AB879" i="44"/>
  <c r="AE873" i="44"/>
  <c r="AB873" i="44" s="1"/>
  <c r="AC1144" i="44"/>
  <c r="V1164" i="44"/>
  <c r="W1164" i="44" s="1"/>
  <c r="T1164" i="44"/>
  <c r="S1164" i="44"/>
  <c r="AI1164" i="44"/>
  <c r="M1164" i="44"/>
  <c r="L1164" i="44"/>
  <c r="W918" i="44"/>
  <c r="AH1249" i="44"/>
  <c r="AB1191" i="44"/>
  <c r="AE1191" i="44"/>
  <c r="AC1191" i="44" s="1"/>
  <c r="AC1131" i="44"/>
  <c r="S1196" i="44"/>
  <c r="AH1221" i="44" s="1"/>
  <c r="AE1108" i="44"/>
  <c r="AE1109" i="44"/>
  <c r="AC1109" i="44" s="1"/>
  <c r="AE1110" i="44"/>
  <c r="AB1110" i="44" s="1"/>
  <c r="AC1096" i="44"/>
  <c r="AE1223" i="44"/>
  <c r="AC1223" i="44" s="1"/>
  <c r="AB1223" i="44"/>
  <c r="AC1247" i="44"/>
  <c r="AH1262" i="44"/>
  <c r="M35" i="44"/>
  <c r="AE1203" i="44"/>
  <c r="AB1203" i="44" s="1"/>
  <c r="AH1227" i="44"/>
  <c r="AB1227" i="44"/>
  <c r="S36" i="44"/>
  <c r="AC1154" i="44"/>
  <c r="AE1126" i="44"/>
  <c r="AB1126" i="44"/>
  <c r="AE1180" i="44"/>
  <c r="AE1181" i="44"/>
  <c r="AC1181" i="44" s="1"/>
  <c r="AB1181" i="44"/>
  <c r="AC1023" i="44"/>
  <c r="AB1023" i="44"/>
  <c r="AE914" i="44"/>
  <c r="AC914" i="44" s="1"/>
  <c r="AE913" i="44"/>
  <c r="AC965" i="44"/>
  <c r="W1120" i="44"/>
  <c r="AH1247" i="44"/>
  <c r="AC1261" i="44"/>
  <c r="AH1248" i="44"/>
  <c r="AC1220" i="44"/>
  <c r="AE1150" i="44"/>
  <c r="AE1151" i="44"/>
  <c r="AB1151" i="44" s="1"/>
  <c r="AC1213" i="44"/>
  <c r="AB1120" i="44"/>
  <c r="AC1025" i="44"/>
  <c r="AB1025" i="44"/>
  <c r="AE1142" i="44"/>
  <c r="AC1142" i="44" s="1"/>
  <c r="AB1142" i="44"/>
  <c r="AC1126" i="44"/>
  <c r="AE1177" i="44"/>
  <c r="AE1178" i="44"/>
  <c r="AB1178" i="44" s="1"/>
  <c r="V1163" i="44"/>
  <c r="W1163" i="44" s="1"/>
  <c r="T1163" i="44"/>
  <c r="S1163" i="44"/>
  <c r="AI1163" i="44"/>
  <c r="M1163" i="44"/>
  <c r="L1163" i="44"/>
  <c r="V1116" i="44"/>
  <c r="W1116" i="44" s="1"/>
  <c r="T1116" i="44"/>
  <c r="L1116" i="44"/>
  <c r="M1116" i="44"/>
  <c r="S1116" i="44"/>
  <c r="AB1087" i="44"/>
  <c r="AC1103" i="44"/>
  <c r="AB1103" i="44"/>
  <c r="AE1173" i="44"/>
  <c r="AC1173" i="44" s="1"/>
  <c r="AB1064" i="44"/>
  <c r="AB1017" i="44"/>
  <c r="AE839" i="44"/>
  <c r="AC839" i="44" s="1"/>
  <c r="AB839" i="44"/>
  <c r="AC847" i="44"/>
  <c r="AE882" i="44"/>
  <c r="AC882" i="44" s="1"/>
  <c r="AE844" i="44"/>
  <c r="AB844" i="44" s="1"/>
  <c r="AC817" i="44"/>
  <c r="AE771" i="44"/>
  <c r="AC771" i="44" s="1"/>
  <c r="AB771" i="44"/>
  <c r="AC736" i="44"/>
  <c r="AE632" i="44"/>
  <c r="AE633" i="44"/>
  <c r="AC633" i="44" s="1"/>
  <c r="AB633" i="44"/>
  <c r="AE604" i="44"/>
  <c r="AC604" i="44" s="1"/>
  <c r="AB604" i="44"/>
  <c r="AC510" i="44"/>
  <c r="AE546" i="44"/>
  <c r="AE547" i="44"/>
  <c r="AC547" i="44" s="1"/>
  <c r="M533" i="44"/>
  <c r="L533" i="44"/>
  <c r="V533" i="44"/>
  <c r="W533" i="44" s="1"/>
  <c r="T533" i="44"/>
  <c r="S533" i="44"/>
  <c r="AI533" i="44"/>
  <c r="L496" i="44"/>
  <c r="V496" i="44"/>
  <c r="T496" i="44"/>
  <c r="S496" i="44"/>
  <c r="M496" i="44"/>
  <c r="AE337" i="44"/>
  <c r="AC337" i="44" s="1"/>
  <c r="AB337" i="44"/>
  <c r="AB303" i="44"/>
  <c r="AC366" i="44"/>
  <c r="AE346" i="44"/>
  <c r="AB346" i="44" s="1"/>
  <c r="AE284" i="44"/>
  <c r="AC284" i="44" s="1"/>
  <c r="AB284" i="44"/>
  <c r="AC301" i="44"/>
  <c r="AE240" i="44"/>
  <c r="AB240" i="44"/>
  <c r="AE259" i="44"/>
  <c r="AC259" i="44" s="1"/>
  <c r="AB259" i="44"/>
  <c r="AE234" i="44"/>
  <c r="AB234" i="44" s="1"/>
  <c r="S261" i="44"/>
  <c r="L261" i="44"/>
  <c r="V261" i="44"/>
  <c r="W261" i="44" s="1"/>
  <c r="T261" i="44"/>
  <c r="AK261" i="44"/>
  <c r="M261" i="44"/>
  <c r="AE212" i="44"/>
  <c r="AB212" i="44"/>
  <c r="AC184" i="44"/>
  <c r="AE165" i="44"/>
  <c r="AB165" i="44"/>
  <c r="AC248" i="44"/>
  <c r="AE136" i="44"/>
  <c r="AB136" i="44" s="1"/>
  <c r="AE929" i="44"/>
  <c r="AB929" i="44" s="1"/>
  <c r="AC942" i="44"/>
  <c r="AE924" i="44"/>
  <c r="AC924" i="44" s="1"/>
  <c r="AB924" i="44"/>
  <c r="V949" i="44"/>
  <c r="W949" i="44" s="1"/>
  <c r="T949" i="44"/>
  <c r="S949" i="44"/>
  <c r="M949" i="44"/>
  <c r="L949" i="44"/>
  <c r="AC953" i="44"/>
  <c r="AE970" i="44"/>
  <c r="AB970" i="44" s="1"/>
  <c r="AC844" i="44"/>
  <c r="AB805" i="44"/>
  <c r="AE800" i="44"/>
  <c r="AB800" i="44" s="1"/>
  <c r="L733" i="44"/>
  <c r="V733" i="44"/>
  <c r="W733" i="44" s="1"/>
  <c r="AI733" i="44"/>
  <c r="M733" i="44"/>
  <c r="T733" i="44"/>
  <c r="S733" i="44"/>
  <c r="A733" i="44"/>
  <c r="A734" i="44" s="1"/>
  <c r="A735" i="44" s="1"/>
  <c r="A736" i="44" s="1"/>
  <c r="A737" i="44" s="1"/>
  <c r="A738" i="44" s="1"/>
  <c r="AC751" i="44"/>
  <c r="M619" i="44"/>
  <c r="T619" i="44"/>
  <c r="S619" i="44"/>
  <c r="S571" i="44" s="1"/>
  <c r="L619" i="44"/>
  <c r="AI619" i="44"/>
  <c r="V619" i="44"/>
  <c r="W619" i="44" s="1"/>
  <c r="T657" i="44"/>
  <c r="M657" i="44"/>
  <c r="L657" i="44"/>
  <c r="V657" i="44"/>
  <c r="W657" i="44" s="1"/>
  <c r="S657" i="44"/>
  <c r="AI657" i="44"/>
  <c r="AB506" i="44"/>
  <c r="AE506" i="44"/>
  <c r="AC506" i="44" s="1"/>
  <c r="AE525" i="44"/>
  <c r="AE526" i="44"/>
  <c r="AC526" i="44" s="1"/>
  <c r="AE612" i="44"/>
  <c r="AC612" i="44" s="1"/>
  <c r="AB492" i="44"/>
  <c r="AE492" i="44"/>
  <c r="AC492" i="44" s="1"/>
  <c r="AE477" i="44"/>
  <c r="AB477" i="44" s="1"/>
  <c r="AE566" i="44"/>
  <c r="AB566" i="44"/>
  <c r="AE564" i="44"/>
  <c r="AE545" i="44"/>
  <c r="AB545" i="44"/>
  <c r="AE409" i="44"/>
  <c r="AC409" i="44" s="1"/>
  <c r="AE473" i="44"/>
  <c r="AB473" i="44" s="1"/>
  <c r="AE333" i="44"/>
  <c r="AC333" i="44" s="1"/>
  <c r="AE396" i="44"/>
  <c r="AB396" i="44" s="1"/>
  <c r="AE369" i="44"/>
  <c r="AC369" i="44" s="1"/>
  <c r="AE324" i="44"/>
  <c r="AE325" i="44"/>
  <c r="AB325" i="44"/>
  <c r="M21" i="44"/>
  <c r="AC384" i="44"/>
  <c r="AE295" i="44"/>
  <c r="AB295" i="44"/>
  <c r="AB343" i="44"/>
  <c r="AC360" i="44"/>
  <c r="AE244" i="44"/>
  <c r="AC244" i="44" s="1"/>
  <c r="AB244" i="44"/>
  <c r="AC253" i="44"/>
  <c r="AB305" i="44"/>
  <c r="V331" i="44"/>
  <c r="AB348" i="44"/>
  <c r="AE160" i="44"/>
  <c r="AC160" i="44" s="1"/>
  <c r="AB160" i="44"/>
  <c r="AC219" i="44"/>
  <c r="AC225" i="44"/>
  <c r="AE101" i="44"/>
  <c r="AC101" i="44" s="1"/>
  <c r="AE196" i="44"/>
  <c r="AB196" i="44" s="1"/>
  <c r="AE194" i="44"/>
  <c r="AE125" i="44"/>
  <c r="AC125" i="44" s="1"/>
  <c r="AB139" i="44"/>
  <c r="AB63" i="44"/>
  <c r="V829" i="44"/>
  <c r="W829" i="44" s="1"/>
  <c r="M829" i="44"/>
  <c r="T829" i="44"/>
  <c r="L829" i="44"/>
  <c r="S829" i="44"/>
  <c r="AC770" i="44"/>
  <c r="AE760" i="44"/>
  <c r="AC760" i="44" s="1"/>
  <c r="AC800" i="44"/>
  <c r="AB748" i="44"/>
  <c r="AC754" i="44"/>
  <c r="AE734" i="44"/>
  <c r="AB734" i="44"/>
  <c r="AC678" i="44"/>
  <c r="AE638" i="44"/>
  <c r="AE639" i="44"/>
  <c r="AB639" i="44"/>
  <c r="T631" i="44"/>
  <c r="S631" i="44"/>
  <c r="AI631" i="44"/>
  <c r="M631" i="44"/>
  <c r="L631" i="44"/>
  <c r="V631" i="44"/>
  <c r="W631" i="44" s="1"/>
  <c r="AC602" i="44"/>
  <c r="AE646" i="44"/>
  <c r="AB646" i="44" s="1"/>
  <c r="AE644" i="44"/>
  <c r="AE536" i="44"/>
  <c r="AB536" i="44" s="1"/>
  <c r="AE520" i="44"/>
  <c r="AC520" i="44" s="1"/>
  <c r="AE519" i="44"/>
  <c r="AC566" i="44"/>
  <c r="AE538" i="44"/>
  <c r="AB538" i="44" s="1"/>
  <c r="AE537" i="44"/>
  <c r="AE482" i="44"/>
  <c r="AB482" i="44"/>
  <c r="AC545" i="44"/>
  <c r="AE554" i="44"/>
  <c r="AC554" i="44" s="1"/>
  <c r="AC396" i="44"/>
  <c r="AE361" i="44"/>
  <c r="AC361" i="44" s="1"/>
  <c r="AB361" i="44"/>
  <c r="AC365" i="44"/>
  <c r="AE368" i="44"/>
  <c r="AC368" i="44" s="1"/>
  <c r="AC336" i="44"/>
  <c r="AC321" i="44"/>
  <c r="AE323" i="44"/>
  <c r="AB323" i="44"/>
  <c r="AC295" i="44"/>
  <c r="AC249" i="44"/>
  <c r="AE260" i="44"/>
  <c r="AC260" i="44" s="1"/>
  <c r="AB260" i="44"/>
  <c r="AC209" i="44"/>
  <c r="L21" i="44"/>
  <c r="AE159" i="44"/>
  <c r="AC159" i="44" s="1"/>
  <c r="AE151" i="44"/>
  <c r="AC151" i="44" s="1"/>
  <c r="L266" i="44"/>
  <c r="V266" i="44"/>
  <c r="W266" i="44" s="1"/>
  <c r="T266" i="44"/>
  <c r="S266" i="44"/>
  <c r="M266" i="44"/>
  <c r="AC161" i="44"/>
  <c r="AE121" i="44"/>
  <c r="AB121" i="44" s="1"/>
  <c r="AC902" i="44"/>
  <c r="AC860" i="44"/>
  <c r="AE845" i="44"/>
  <c r="AC845" i="44" s="1"/>
  <c r="AE827" i="44"/>
  <c r="AB827" i="44" s="1"/>
  <c r="AE822" i="44"/>
  <c r="AE823" i="44"/>
  <c r="AB823" i="44" s="1"/>
  <c r="AC821" i="44"/>
  <c r="AB764" i="44"/>
  <c r="AE763" i="44"/>
  <c r="AB763" i="44" s="1"/>
  <c r="AE797" i="44"/>
  <c r="AB797" i="44" s="1"/>
  <c r="AE832" i="44"/>
  <c r="AB832" i="44" s="1"/>
  <c r="T613" i="44"/>
  <c r="S613" i="44"/>
  <c r="AI613" i="44"/>
  <c r="M613" i="44"/>
  <c r="L613" i="44"/>
  <c r="V613" i="44"/>
  <c r="W613" i="44" s="1"/>
  <c r="AC603" i="44"/>
  <c r="AE522" i="44"/>
  <c r="AE523" i="44"/>
  <c r="AB523" i="44" s="1"/>
  <c r="AE634" i="44"/>
  <c r="AB634" i="44" s="1"/>
  <c r="AC646" i="44"/>
  <c r="AC527" i="44"/>
  <c r="AB505" i="44"/>
  <c r="AC538" i="44"/>
  <c r="AC482" i="44"/>
  <c r="AC400" i="44"/>
  <c r="AE446" i="44"/>
  <c r="AE447" i="44"/>
  <c r="AB447" i="44" s="1"/>
  <c r="AB402" i="44"/>
  <c r="AE297" i="44"/>
  <c r="AB297" i="44" s="1"/>
  <c r="AE367" i="44"/>
  <c r="AB367" i="44" s="1"/>
  <c r="AE405" i="44"/>
  <c r="AC405" i="44" s="1"/>
  <c r="AC317" i="44"/>
  <c r="AC323" i="44"/>
  <c r="AE241" i="44"/>
  <c r="AC241" i="44" s="1"/>
  <c r="AE304" i="44"/>
  <c r="AB304" i="44" s="1"/>
  <c r="AB356" i="44"/>
  <c r="AE254" i="44"/>
  <c r="AB254" i="44" s="1"/>
  <c r="M270" i="44"/>
  <c r="L270" i="44"/>
  <c r="V270" i="44"/>
  <c r="W270" i="44" s="1"/>
  <c r="S270" i="44"/>
  <c r="T270" i="44"/>
  <c r="AE147" i="44"/>
  <c r="AC147" i="44" s="1"/>
  <c r="AB173" i="44"/>
  <c r="AE173" i="44"/>
  <c r="AC227" i="44"/>
  <c r="AB199" i="44"/>
  <c r="AE199" i="44"/>
  <c r="AC199" i="44" s="1"/>
  <c r="M19" i="44"/>
  <c r="AE127" i="44"/>
  <c r="AC127" i="44" s="1"/>
  <c r="AC58" i="44"/>
  <c r="AC172" i="44"/>
  <c r="AB124" i="44"/>
  <c r="AE884" i="44"/>
  <c r="AB884" i="44" s="1"/>
  <c r="AE893" i="44"/>
  <c r="AC893" i="44" s="1"/>
  <c r="AE762" i="44"/>
  <c r="AB762" i="44" s="1"/>
  <c r="AE821" i="44"/>
  <c r="AE819" i="44"/>
  <c r="AB821" i="44"/>
  <c r="AE803" i="44"/>
  <c r="AB803" i="44" s="1"/>
  <c r="AC742" i="44"/>
  <c r="AC743" i="44"/>
  <c r="AE726" i="44"/>
  <c r="AB726" i="44"/>
  <c r="AE655" i="44"/>
  <c r="AB655" i="44"/>
  <c r="AE605" i="44"/>
  <c r="AB605" i="44" s="1"/>
  <c r="AC559" i="44"/>
  <c r="AC477" i="44"/>
  <c r="W573" i="44"/>
  <c r="AE562" i="44"/>
  <c r="AB562" i="44" s="1"/>
  <c r="AC472" i="44"/>
  <c r="T455" i="44"/>
  <c r="AC456" i="44"/>
  <c r="AC447" i="44"/>
  <c r="AC362" i="44"/>
  <c r="AE289" i="44"/>
  <c r="AC289" i="44" s="1"/>
  <c r="AE320" i="44"/>
  <c r="AC320" i="44" s="1"/>
  <c r="AC313" i="44"/>
  <c r="V279" i="44"/>
  <c r="AC304" i="44"/>
  <c r="AC202" i="44"/>
  <c r="AE205" i="44"/>
  <c r="AB205" i="44"/>
  <c r="AE214" i="44"/>
  <c r="AC214" i="44" s="1"/>
  <c r="AB214" i="44"/>
  <c r="AC247" i="44"/>
  <c r="AE169" i="44"/>
  <c r="AB169" i="44" s="1"/>
  <c r="AC221" i="44"/>
  <c r="AE156" i="44"/>
  <c r="AC156" i="44" s="1"/>
  <c r="AE222" i="44"/>
  <c r="AC222" i="44" s="1"/>
  <c r="AE976" i="44"/>
  <c r="AC976" i="44" s="1"/>
  <c r="AC1048" i="44"/>
  <c r="AE993" i="44"/>
  <c r="AC993" i="44" s="1"/>
  <c r="AE903" i="44"/>
  <c r="AC903" i="44" s="1"/>
  <c r="AB903" i="44"/>
  <c r="AC911" i="44"/>
  <c r="AC884" i="44"/>
  <c r="AE866" i="44"/>
  <c r="AB866" i="44" s="1"/>
  <c r="AC766" i="44"/>
  <c r="AC809" i="44"/>
  <c r="AE830" i="44"/>
  <c r="AC830" i="44" s="1"/>
  <c r="AC734" i="44"/>
  <c r="AC763" i="44"/>
  <c r="AE779" i="44"/>
  <c r="AB779" i="44"/>
  <c r="AC725" i="44"/>
  <c r="AE790" i="44"/>
  <c r="AB790" i="44" s="1"/>
  <c r="AC737" i="44"/>
  <c r="AE580" i="44"/>
  <c r="AB580" i="44" s="1"/>
  <c r="AC553" i="44"/>
  <c r="AB485" i="44"/>
  <c r="AE616" i="44"/>
  <c r="AB616" i="44" s="1"/>
  <c r="AE486" i="44"/>
  <c r="AB486" i="44" s="1"/>
  <c r="AE467" i="44"/>
  <c r="AC467" i="44" s="1"/>
  <c r="AC392" i="44"/>
  <c r="AE450" i="44"/>
  <c r="AB450" i="44" s="1"/>
  <c r="AE386" i="44"/>
  <c r="AB386" i="44"/>
  <c r="S389" i="44"/>
  <c r="V389" i="44"/>
  <c r="W389" i="44" s="1"/>
  <c r="T389" i="44"/>
  <c r="M389" i="44"/>
  <c r="L389" i="44"/>
  <c r="AB391" i="44"/>
  <c r="AE316" i="44"/>
  <c r="AC316" i="44" s="1"/>
  <c r="AC309" i="44"/>
  <c r="AE276" i="44"/>
  <c r="AC276" i="44" s="1"/>
  <c r="AE242" i="44"/>
  <c r="AB242" i="44" s="1"/>
  <c r="AE243" i="44"/>
  <c r="AC243" i="44" s="1"/>
  <c r="AE326" i="44"/>
  <c r="AC326" i="44" s="1"/>
  <c r="AC193" i="44"/>
  <c r="AE229" i="44"/>
  <c r="AB229" i="44" s="1"/>
  <c r="AC157" i="44"/>
  <c r="AE210" i="44"/>
  <c r="AB210" i="44" s="1"/>
  <c r="AC135" i="44"/>
  <c r="AC97" i="44"/>
  <c r="AE119" i="44"/>
  <c r="AC119" i="44" s="1"/>
  <c r="W43" i="44"/>
  <c r="AC123" i="44"/>
  <c r="AC90" i="44"/>
  <c r="AE87" i="44"/>
  <c r="AC87" i="44" s="1"/>
  <c r="AE918" i="44"/>
  <c r="AC918" i="44" s="1"/>
  <c r="AB918" i="44"/>
  <c r="AB964" i="44"/>
  <c r="AE862" i="44"/>
  <c r="AC862" i="44" s="1"/>
  <c r="AB862" i="44"/>
  <c r="AB898" i="44"/>
  <c r="AE837" i="44"/>
  <c r="AB837" i="44" s="1"/>
  <c r="AB872" i="44"/>
  <c r="AE836" i="44"/>
  <c r="AC836" i="44" s="1"/>
  <c r="AB836" i="44"/>
  <c r="L30" i="44"/>
  <c r="AE809" i="44"/>
  <c r="AB809" i="44" s="1"/>
  <c r="AE775" i="44"/>
  <c r="AE776" i="44"/>
  <c r="AB776" i="44" s="1"/>
  <c r="AE731" i="44"/>
  <c r="AC731" i="44" s="1"/>
  <c r="AE730" i="44"/>
  <c r="AE723" i="44"/>
  <c r="AC723" i="44" s="1"/>
  <c r="AB723" i="44"/>
  <c r="AC779" i="44"/>
  <c r="AC790" i="44"/>
  <c r="AE663" i="44"/>
  <c r="AC663" i="44" s="1"/>
  <c r="AE662" i="44"/>
  <c r="AE661" i="44"/>
  <c r="AB661" i="44"/>
  <c r="AC523" i="44"/>
  <c r="AC600" i="44"/>
  <c r="S625" i="44"/>
  <c r="M625" i="44"/>
  <c r="L625" i="44"/>
  <c r="V625" i="44"/>
  <c r="W625" i="44" s="1"/>
  <c r="AI625" i="44"/>
  <c r="T625" i="44"/>
  <c r="AE627" i="44"/>
  <c r="AB627" i="44" s="1"/>
  <c r="AE626" i="44"/>
  <c r="AC508" i="44"/>
  <c r="AE541" i="44"/>
  <c r="AC541" i="44" s="1"/>
  <c r="AB541" i="44"/>
  <c r="AE540" i="44"/>
  <c r="AC469" i="44"/>
  <c r="S488" i="44"/>
  <c r="AI488" i="44"/>
  <c r="V488" i="44"/>
  <c r="W488" i="44" s="1"/>
  <c r="T488" i="44"/>
  <c r="M488" i="44"/>
  <c r="L488" i="44"/>
  <c r="AE531" i="44"/>
  <c r="AE532" i="44"/>
  <c r="AC532" i="44" s="1"/>
  <c r="AB532" i="44"/>
  <c r="AE502" i="44"/>
  <c r="AB502" i="44" s="1"/>
  <c r="W456" i="44"/>
  <c r="AB421" i="44"/>
  <c r="AE421" i="44"/>
  <c r="AC386" i="44"/>
  <c r="AE353" i="44"/>
  <c r="AB353" i="44" s="1"/>
  <c r="AE338" i="44"/>
  <c r="AB338" i="44" s="1"/>
  <c r="AB312" i="44"/>
  <c r="AE312" i="44"/>
  <c r="AC312" i="44" s="1"/>
  <c r="AC332" i="44"/>
  <c r="T331" i="44"/>
  <c r="AE302" i="44"/>
  <c r="AB302" i="44" s="1"/>
  <c r="AC283" i="44"/>
  <c r="M264" i="44"/>
  <c r="T264" i="44"/>
  <c r="V264" i="44"/>
  <c r="W264" i="44" s="1"/>
  <c r="S264" i="44"/>
  <c r="L264" i="44"/>
  <c r="AC165" i="44"/>
  <c r="AE92" i="44"/>
  <c r="AC92" i="44" s="1"/>
  <c r="T74" i="44"/>
  <c r="S74" i="44"/>
  <c r="AI74" i="44"/>
  <c r="M74" i="44"/>
  <c r="L74" i="44"/>
  <c r="V74" i="44"/>
  <c r="W74" i="44" s="1"/>
  <c r="AC196" i="44"/>
  <c r="V947" i="44"/>
  <c r="W947" i="44" s="1"/>
  <c r="M947" i="44"/>
  <c r="L947" i="44"/>
  <c r="T947" i="44"/>
  <c r="S947" i="44"/>
  <c r="AC944" i="44"/>
  <c r="AE930" i="44"/>
  <c r="AB930" i="44" s="1"/>
  <c r="AE925" i="44"/>
  <c r="AC925" i="44" s="1"/>
  <c r="AE897" i="44"/>
  <c r="AB897" i="44" s="1"/>
  <c r="AE966" i="44"/>
  <c r="AB966" i="44" s="1"/>
  <c r="AE899" i="44"/>
  <c r="AB899" i="44" s="1"/>
  <c r="AE842" i="44"/>
  <c r="AB842" i="44" s="1"/>
  <c r="AE758" i="44"/>
  <c r="AC758" i="44" s="1"/>
  <c r="AE802" i="44"/>
  <c r="AC802" i="44" s="1"/>
  <c r="AB802" i="44"/>
  <c r="AE801" i="44"/>
  <c r="AC776" i="44"/>
  <c r="AC727" i="44"/>
  <c r="M28" i="44"/>
  <c r="AE622" i="44"/>
  <c r="AB622" i="44" s="1"/>
  <c r="M624" i="44"/>
  <c r="L624" i="44"/>
  <c r="T624" i="44"/>
  <c r="S624" i="44"/>
  <c r="V624" i="44"/>
  <c r="W624" i="44" s="1"/>
  <c r="AI624" i="44"/>
  <c r="AE577" i="44"/>
  <c r="AB577" i="44" s="1"/>
  <c r="AE530" i="44"/>
  <c r="AB530" i="44" s="1"/>
  <c r="AC502" i="44"/>
  <c r="AE465" i="44"/>
  <c r="AB465" i="44" s="1"/>
  <c r="AE435" i="44"/>
  <c r="AB435" i="44" s="1"/>
  <c r="AC421" i="44"/>
  <c r="AE385" i="44"/>
  <c r="AC385" i="44" s="1"/>
  <c r="AE379" i="44"/>
  <c r="AB379" i="44" s="1"/>
  <c r="AE334" i="44"/>
  <c r="AB334" i="44" s="1"/>
  <c r="AE308" i="44"/>
  <c r="AC308" i="44" s="1"/>
  <c r="AE358" i="44"/>
  <c r="AC358" i="44" s="1"/>
  <c r="AC294" i="44"/>
  <c r="AE238" i="44"/>
  <c r="AC238" i="44" s="1"/>
  <c r="K271" i="44"/>
  <c r="M230" i="44"/>
  <c r="T230" i="44"/>
  <c r="V230" i="44"/>
  <c r="W230" i="44" s="1"/>
  <c r="S230" i="44"/>
  <c r="AJ207" i="44"/>
  <c r="L230" i="44"/>
  <c r="K20" i="44"/>
  <c r="AB285" i="44"/>
  <c r="AJ21" i="44"/>
  <c r="AE179" i="44"/>
  <c r="AC179" i="44" s="1"/>
  <c r="AC164" i="44"/>
  <c r="AB180" i="44"/>
  <c r="AE102" i="44"/>
  <c r="AB102" i="44" s="1"/>
  <c r="W119" i="44"/>
  <c r="AB76" i="44"/>
  <c r="AE94" i="44"/>
  <c r="AB94" i="44"/>
  <c r="AE186" i="44"/>
  <c r="AE187" i="44"/>
  <c r="AB187" i="44" s="1"/>
  <c r="AE134" i="44"/>
  <c r="AB134" i="44" s="1"/>
  <c r="AB213" i="44"/>
  <c r="V958" i="44"/>
  <c r="W958" i="44" s="1"/>
  <c r="M958" i="44"/>
  <c r="L958" i="44"/>
  <c r="T958" i="44"/>
  <c r="S958" i="44"/>
  <c r="AE909" i="44"/>
  <c r="AC909" i="44" s="1"/>
  <c r="AB909" i="44"/>
  <c r="T961" i="44"/>
  <c r="AC966" i="44"/>
  <c r="AE870" i="44"/>
  <c r="AB870" i="44" s="1"/>
  <c r="AE861" i="44"/>
  <c r="AB861" i="44" s="1"/>
  <c r="AE752" i="44"/>
  <c r="AC752" i="44" s="1"/>
  <c r="AB752" i="44"/>
  <c r="AC824" i="44"/>
  <c r="AC746" i="44"/>
  <c r="AE840" i="44"/>
  <c r="AB840" i="44"/>
  <c r="AE796" i="44"/>
  <c r="AC796" i="44" s="1"/>
  <c r="AE795" i="44"/>
  <c r="AE786" i="44"/>
  <c r="AE787" i="44"/>
  <c r="AC787" i="44" s="1"/>
  <c r="AE781" i="44"/>
  <c r="AB781" i="44"/>
  <c r="AC726" i="44"/>
  <c r="AC722" i="44"/>
  <c r="AC832" i="44"/>
  <c r="AE729" i="44"/>
  <c r="AC729" i="44" s="1"/>
  <c r="AB729" i="44"/>
  <c r="AC655" i="44"/>
  <c r="AE670" i="44"/>
  <c r="AB670" i="44" s="1"/>
  <c r="AE628" i="44"/>
  <c r="AC628" i="44" s="1"/>
  <c r="AE601" i="44"/>
  <c r="AC601" i="44" s="1"/>
  <c r="AB601" i="44"/>
  <c r="AC622" i="44"/>
  <c r="AC535" i="44"/>
  <c r="AC577" i="44"/>
  <c r="AE569" i="44"/>
  <c r="AB569" i="44" s="1"/>
  <c r="AE511" i="44"/>
  <c r="AC511" i="44" s="1"/>
  <c r="AB511" i="44"/>
  <c r="AC582" i="44"/>
  <c r="AE401" i="44"/>
  <c r="AB401" i="44" s="1"/>
  <c r="AE375" i="44"/>
  <c r="AC375" i="44" s="1"/>
  <c r="AC379" i="44"/>
  <c r="S331" i="44"/>
  <c r="AH333" i="44" s="1"/>
  <c r="AH342" i="44"/>
  <c r="AE342" i="44"/>
  <c r="AC342" i="44" s="1"/>
  <c r="AB342" i="44"/>
  <c r="AE373" i="44"/>
  <c r="AC373" i="44" s="1"/>
  <c r="AC286" i="44"/>
  <c r="AC258" i="44"/>
  <c r="T263" i="44"/>
  <c r="AK263" i="44"/>
  <c r="M263" i="44"/>
  <c r="L263" i="44"/>
  <c r="V263" i="44"/>
  <c r="W263" i="44" s="1"/>
  <c r="S263" i="44"/>
  <c r="AE319" i="44"/>
  <c r="AB319" i="44" s="1"/>
  <c r="AB376" i="44"/>
  <c r="AJ20" i="44"/>
  <c r="V272" i="44"/>
  <c r="W272" i="44" s="1"/>
  <c r="T272" i="44"/>
  <c r="M272" i="44"/>
  <c r="S272" i="44"/>
  <c r="L272" i="44"/>
  <c r="AE280" i="44"/>
  <c r="AB280" i="44" s="1"/>
  <c r="S279" i="44"/>
  <c r="AE251" i="44"/>
  <c r="AC251" i="44" s="1"/>
  <c r="AC142" i="44"/>
  <c r="AE177" i="44"/>
  <c r="AC177" i="44" s="1"/>
  <c r="AB177" i="44"/>
  <c r="AE182" i="44"/>
  <c r="AC182" i="44" s="1"/>
  <c r="AC250" i="44"/>
  <c r="AE215" i="44"/>
  <c r="AC215" i="44" s="1"/>
  <c r="AE100" i="44"/>
  <c r="AC100" i="44" s="1"/>
  <c r="AE82" i="44"/>
  <c r="AC82" i="44" s="1"/>
  <c r="AB82" i="44"/>
  <c r="AE95" i="44"/>
  <c r="AC95" i="44" s="1"/>
  <c r="AE84" i="44"/>
  <c r="AC84" i="44" s="1"/>
  <c r="AE955" i="44"/>
  <c r="AB955" i="44" s="1"/>
  <c r="AE954" i="44"/>
  <c r="AC968" i="44"/>
  <c r="AC940" i="44"/>
  <c r="L959" i="44"/>
  <c r="T959" i="44"/>
  <c r="S959" i="44"/>
  <c r="V959" i="44"/>
  <c r="W959" i="44" s="1"/>
  <c r="M959" i="44"/>
  <c r="AE900" i="44"/>
  <c r="AC900" i="44" s="1"/>
  <c r="AE889" i="44"/>
  <c r="AB889" i="44" s="1"/>
  <c r="AC915" i="44"/>
  <c r="AC870" i="44"/>
  <c r="AC842" i="44"/>
  <c r="AE858" i="44"/>
  <c r="AC858" i="44" s="1"/>
  <c r="AB887" i="44"/>
  <c r="AE825" i="44"/>
  <c r="AE826" i="44"/>
  <c r="AB826" i="44" s="1"/>
  <c r="AC781" i="44"/>
  <c r="AE811" i="44"/>
  <c r="AC811" i="44" s="1"/>
  <c r="AE810" i="44"/>
  <c r="AE785" i="44"/>
  <c r="AB785" i="44" s="1"/>
  <c r="AC674" i="44"/>
  <c r="M643" i="44"/>
  <c r="V643" i="44"/>
  <c r="W643" i="44" s="1"/>
  <c r="T643" i="44"/>
  <c r="T571" i="44" s="1"/>
  <c r="S643" i="44"/>
  <c r="AI643" i="44"/>
  <c r="L643" i="44"/>
  <c r="AE583" i="44"/>
  <c r="AC583" i="44" s="1"/>
  <c r="AE596" i="44"/>
  <c r="AB596" i="44" s="1"/>
  <c r="AC677" i="44"/>
  <c r="AB664" i="44"/>
  <c r="AE664" i="44"/>
  <c r="AC664" i="44" s="1"/>
  <c r="AE476" i="44"/>
  <c r="AC476" i="44" s="1"/>
  <c r="AE471" i="44"/>
  <c r="AC471" i="44" s="1"/>
  <c r="AE498" i="44"/>
  <c r="AB498" i="44"/>
  <c r="AE515" i="44"/>
  <c r="AB515" i="44" s="1"/>
  <c r="AE397" i="44"/>
  <c r="AC397" i="44" s="1"/>
  <c r="AB397" i="44"/>
  <c r="AE441" i="44"/>
  <c r="AB441" i="44" s="1"/>
  <c r="AE440" i="44"/>
  <c r="AC431" i="44"/>
  <c r="S518" i="44"/>
  <c r="AI518" i="44"/>
  <c r="M518" i="44"/>
  <c r="L518" i="44"/>
  <c r="V518" i="44"/>
  <c r="W518" i="44" s="1"/>
  <c r="T518" i="44"/>
  <c r="AE452" i="44"/>
  <c r="AC452" i="44" s="1"/>
  <c r="AB452" i="44"/>
  <c r="AE412" i="44"/>
  <c r="AB412" i="44" s="1"/>
  <c r="AE380" i="44"/>
  <c r="AB380" i="44" s="1"/>
  <c r="AE344" i="44"/>
  <c r="AB344" i="44"/>
  <c r="AC372" i="44"/>
  <c r="AC319" i="44"/>
  <c r="AE262" i="44"/>
  <c r="AB262" i="44" s="1"/>
  <c r="AB288" i="44"/>
  <c r="AE290" i="44"/>
  <c r="AC290" i="44" s="1"/>
  <c r="T279" i="44"/>
  <c r="AC280" i="44"/>
  <c r="AC335" i="44"/>
  <c r="AC242" i="44"/>
  <c r="AC178" i="44"/>
  <c r="AC141" i="44"/>
  <c r="AE132" i="44"/>
  <c r="AB132" i="44" s="1"/>
  <c r="AE88" i="44"/>
  <c r="AC88" i="44" s="1"/>
  <c r="AB88" i="44"/>
  <c r="L19" i="44"/>
  <c r="AE115" i="44"/>
  <c r="AC115" i="44" s="1"/>
  <c r="AE114" i="44"/>
  <c r="AE128" i="44"/>
  <c r="AC128" i="44" s="1"/>
  <c r="AC168" i="44"/>
  <c r="AB891" i="44"/>
  <c r="AE891" i="44"/>
  <c r="AC840" i="44"/>
  <c r="M765" i="44"/>
  <c r="L765" i="44"/>
  <c r="V765" i="44"/>
  <c r="W765" i="44" s="1"/>
  <c r="T765" i="44"/>
  <c r="S765" i="44"/>
  <c r="T791" i="44"/>
  <c r="S791" i="44"/>
  <c r="AE789" i="44" s="1"/>
  <c r="AI791" i="44"/>
  <c r="M791" i="44"/>
  <c r="L791" i="44"/>
  <c r="V791" i="44"/>
  <c r="W791" i="44" s="1"/>
  <c r="AE759" i="44"/>
  <c r="AB759" i="44"/>
  <c r="AC680" i="44"/>
  <c r="AE753" i="44"/>
  <c r="AC753" i="44" s="1"/>
  <c r="AC639" i="44"/>
  <c r="AE567" i="44"/>
  <c r="AE568" i="44"/>
  <c r="AB568" i="44" s="1"/>
  <c r="AE576" i="44"/>
  <c r="AC576" i="44" s="1"/>
  <c r="AB576" i="44"/>
  <c r="AE585" i="44"/>
  <c r="AC585" i="44" s="1"/>
  <c r="AE649" i="44"/>
  <c r="AB649" i="44" s="1"/>
  <c r="AC594" i="44"/>
  <c r="AC514" i="44"/>
  <c r="AE470" i="44"/>
  <c r="AC470" i="44" s="1"/>
  <c r="AE551" i="44"/>
  <c r="AB551" i="44" s="1"/>
  <c r="AC498" i="44"/>
  <c r="AE501" i="44"/>
  <c r="AC501" i="44" s="1"/>
  <c r="AC515" i="44"/>
  <c r="AE429" i="44"/>
  <c r="AC429" i="44" s="1"/>
  <c r="AB429" i="44"/>
  <c r="AE417" i="44"/>
  <c r="AB417" i="44" s="1"/>
  <c r="M517" i="44"/>
  <c r="L517" i="44"/>
  <c r="V517" i="44"/>
  <c r="W517" i="44" s="1"/>
  <c r="T517" i="44"/>
  <c r="S517" i="44"/>
  <c r="AI517" i="44"/>
  <c r="AC388" i="44"/>
  <c r="AC367" i="44"/>
  <c r="AE398" i="44"/>
  <c r="AC398" i="44" s="1"/>
  <c r="AE381" i="44"/>
  <c r="AB381" i="44" s="1"/>
  <c r="AE377" i="44"/>
  <c r="AC377" i="44" s="1"/>
  <c r="T444" i="44"/>
  <c r="S444" i="44"/>
  <c r="AI444" i="44"/>
  <c r="M444" i="44"/>
  <c r="L444" i="44"/>
  <c r="V444" i="44"/>
  <c r="W444" i="44" s="1"/>
  <c r="AC325" i="44"/>
  <c r="AE327" i="44"/>
  <c r="AE328" i="44"/>
  <c r="AC328" i="44" s="1"/>
  <c r="AB328" i="44"/>
  <c r="AE256" i="44"/>
  <c r="AC256" i="44" s="1"/>
  <c r="AC234" i="44"/>
  <c r="AE207" i="44"/>
  <c r="AC207" i="44" s="1"/>
  <c r="AC231" i="44"/>
  <c r="V268" i="44"/>
  <c r="W268" i="44" s="1"/>
  <c r="T268" i="44"/>
  <c r="L268" i="44"/>
  <c r="M268" i="44"/>
  <c r="S268" i="44"/>
  <c r="AC130" i="44"/>
  <c r="AC76" i="44"/>
  <c r="AE150" i="44"/>
  <c r="AB150" i="44" s="1"/>
  <c r="AE113" i="44"/>
  <c r="AC113" i="44" s="1"/>
  <c r="AC210" i="44"/>
  <c r="AE96" i="44"/>
  <c r="AC96" i="44" s="1"/>
  <c r="AB96" i="44"/>
  <c r="U1269" i="44"/>
  <c r="U17" i="44"/>
  <c r="U15" i="44" s="1"/>
  <c r="AE919" i="44"/>
  <c r="AC919" i="44" s="1"/>
  <c r="AC955" i="44"/>
  <c r="M936" i="44"/>
  <c r="L936" i="44"/>
  <c r="V936" i="44"/>
  <c r="W936" i="44" s="1"/>
  <c r="T936" i="44"/>
  <c r="S936" i="44"/>
  <c r="S917" i="44" s="1"/>
  <c r="AE907" i="44"/>
  <c r="AE908" i="44"/>
  <c r="AB908" i="44" s="1"/>
  <c r="W870" i="44"/>
  <c r="AE857" i="44"/>
  <c r="AB857" i="44"/>
  <c r="AC823" i="44"/>
  <c r="AC841" i="44"/>
  <c r="AE808" i="44"/>
  <c r="AC808" i="44" s="1"/>
  <c r="AE807" i="44"/>
  <c r="AE794" i="44"/>
  <c r="AB794" i="44" s="1"/>
  <c r="S782" i="44"/>
  <c r="AE780" i="44" s="1"/>
  <c r="AI782" i="44"/>
  <c r="M782" i="44"/>
  <c r="L782" i="44"/>
  <c r="V782" i="44"/>
  <c r="W782" i="44" s="1"/>
  <c r="T782" i="44"/>
  <c r="AC759" i="44"/>
  <c r="AE772" i="44"/>
  <c r="AE773" i="44"/>
  <c r="AB773" i="44" s="1"/>
  <c r="AC750" i="44"/>
  <c r="AE783" i="44"/>
  <c r="AE679" i="44"/>
  <c r="AC679" i="44" s="1"/>
  <c r="AC661" i="44"/>
  <c r="AE620" i="44"/>
  <c r="AE621" i="44"/>
  <c r="AC621" i="44" s="1"/>
  <c r="AE630" i="44"/>
  <c r="AC630" i="44" s="1"/>
  <c r="AB630" i="44"/>
  <c r="AE629" i="44"/>
  <c r="AE572" i="44"/>
  <c r="AC572" i="44" s="1"/>
  <c r="AC649" i="44"/>
  <c r="AE653" i="44"/>
  <c r="AC591" i="44"/>
  <c r="AE595" i="44"/>
  <c r="AC595" i="44" s="1"/>
  <c r="AE512" i="44"/>
  <c r="AC512" i="44" s="1"/>
  <c r="M453" i="44"/>
  <c r="S453" i="44"/>
  <c r="AE451" i="44" s="1"/>
  <c r="AI453" i="44"/>
  <c r="V453" i="44"/>
  <c r="W453" i="44" s="1"/>
  <c r="T453" i="44"/>
  <c r="L453" i="44"/>
  <c r="AC551" i="44"/>
  <c r="AE524" i="44"/>
  <c r="AB524" i="44"/>
  <c r="AE489" i="44"/>
  <c r="AB489" i="44"/>
  <c r="AC416" i="44"/>
  <c r="AE354" i="44"/>
  <c r="AC354" i="44" s="1"/>
  <c r="V445" i="44"/>
  <c r="W445" i="44" s="1"/>
  <c r="T445" i="44"/>
  <c r="S445" i="44"/>
  <c r="M445" i="44"/>
  <c r="AI445" i="44"/>
  <c r="L445" i="44"/>
  <c r="AC374" i="44"/>
  <c r="AC338" i="44"/>
  <c r="AE425" i="44"/>
  <c r="AB425" i="44"/>
  <c r="AC299" i="44"/>
  <c r="AE282" i="44"/>
  <c r="AC282" i="44" s="1"/>
  <c r="AC339" i="44"/>
  <c r="AE287" i="44"/>
  <c r="AC287" i="44" s="1"/>
  <c r="AB287" i="44"/>
  <c r="AC240" i="44"/>
  <c r="AC217" i="44"/>
  <c r="AC173" i="44"/>
  <c r="AC205" i="44"/>
  <c r="M190" i="44"/>
  <c r="T190" i="44"/>
  <c r="V190" i="44"/>
  <c r="W190" i="44" s="1"/>
  <c r="S190" i="44"/>
  <c r="S118" i="44" s="1"/>
  <c r="L190" i="44"/>
  <c r="AC167" i="44"/>
  <c r="AE129" i="44"/>
  <c r="AB129" i="44" s="1"/>
  <c r="AE174" i="44"/>
  <c r="AB174" i="44" s="1"/>
  <c r="AE105" i="44"/>
  <c r="AC105" i="44" s="1"/>
  <c r="AC187" i="44"/>
  <c r="AB70" i="44"/>
  <c r="AE70" i="44"/>
  <c r="AC70" i="44" s="1"/>
  <c r="AE69" i="44"/>
  <c r="AC69" i="44" s="1"/>
  <c r="AC80" i="44"/>
  <c r="AB1004" i="44"/>
  <c r="AC921" i="44"/>
  <c r="AE906" i="44"/>
  <c r="AB906" i="44" s="1"/>
  <c r="AC912" i="44"/>
  <c r="V867" i="44"/>
  <c r="W867" i="44" s="1"/>
  <c r="T867" i="44"/>
  <c r="T835" i="44" s="1"/>
  <c r="S867" i="44"/>
  <c r="S835" i="44" s="1"/>
  <c r="L867" i="44"/>
  <c r="M867" i="44"/>
  <c r="AC899" i="44"/>
  <c r="AC857" i="44"/>
  <c r="AC848" i="44"/>
  <c r="AE853" i="44"/>
  <c r="AB853" i="44"/>
  <c r="AE761" i="44"/>
  <c r="AC761" i="44" s="1"/>
  <c r="AC827" i="44"/>
  <c r="AE777" i="44"/>
  <c r="AE778" i="44"/>
  <c r="AB778" i="44" s="1"/>
  <c r="AE788" i="44"/>
  <c r="AB788" i="44"/>
  <c r="T740" i="44"/>
  <c r="AI740" i="44"/>
  <c r="M740" i="44"/>
  <c r="L740" i="44"/>
  <c r="V740" i="44"/>
  <c r="W740" i="44" s="1"/>
  <c r="S740" i="44"/>
  <c r="AB769" i="44"/>
  <c r="AC756" i="44"/>
  <c r="AI697" i="44"/>
  <c r="M697" i="44"/>
  <c r="T697" i="44"/>
  <c r="S697" i="44"/>
  <c r="L697" i="44"/>
  <c r="V697" i="44"/>
  <c r="W697" i="44" s="1"/>
  <c r="AC681" i="44"/>
  <c r="AE610" i="44"/>
  <c r="AC610" i="44" s="1"/>
  <c r="AB610" i="44"/>
  <c r="AE589" i="44"/>
  <c r="AB589" i="44" s="1"/>
  <c r="AE543" i="44"/>
  <c r="AE544" i="44"/>
  <c r="AC544" i="44" s="1"/>
  <c r="AB544" i="44"/>
  <c r="M557" i="44"/>
  <c r="L557" i="44"/>
  <c r="V557" i="44"/>
  <c r="W557" i="44" s="1"/>
  <c r="T557" i="44"/>
  <c r="S557" i="44"/>
  <c r="AE555" i="44" s="1"/>
  <c r="AI557" i="44"/>
  <c r="AC529" i="44"/>
  <c r="AE647" i="44"/>
  <c r="AE461" i="44"/>
  <c r="AB461" i="44" s="1"/>
  <c r="M483" i="44"/>
  <c r="L483" i="44"/>
  <c r="V483" i="44"/>
  <c r="W483" i="44" s="1"/>
  <c r="AI483" i="44"/>
  <c r="T483" i="44"/>
  <c r="S483" i="44"/>
  <c r="AE521" i="44"/>
  <c r="AB521" i="44" s="1"/>
  <c r="AC524" i="44"/>
  <c r="AC465" i="44"/>
  <c r="AC424" i="44"/>
  <c r="AC489" i="44"/>
  <c r="AC441" i="44"/>
  <c r="L22" i="44"/>
  <c r="AB464" i="44"/>
  <c r="AE393" i="44"/>
  <c r="AC393" i="44" s="1"/>
  <c r="AC425" i="44"/>
  <c r="AE300" i="44"/>
  <c r="AC300" i="44" s="1"/>
  <c r="V233" i="44"/>
  <c r="W233" i="44" s="1"/>
  <c r="T233" i="44"/>
  <c r="K274" i="44"/>
  <c r="M233" i="44"/>
  <c r="L233" i="44"/>
  <c r="L20" i="44" s="1"/>
  <c r="S233" i="44"/>
  <c r="AE236" i="44"/>
  <c r="AC236" i="44" s="1"/>
  <c r="AK257" i="44"/>
  <c r="V257" i="44"/>
  <c r="W257" i="44" s="1"/>
  <c r="T257" i="44"/>
  <c r="S257" i="44"/>
  <c r="M257" i="44"/>
  <c r="L257" i="44"/>
  <c r="AJ208" i="44"/>
  <c r="AC254" i="44"/>
  <c r="AB322" i="44"/>
  <c r="AE311" i="44"/>
  <c r="AB311" i="44" s="1"/>
  <c r="AC239" i="44"/>
  <c r="AC220" i="44"/>
  <c r="AC201" i="44"/>
  <c r="AC212" i="44"/>
  <c r="S198" i="44"/>
  <c r="L198" i="44"/>
  <c r="V198" i="44"/>
  <c r="W198" i="44" s="1"/>
  <c r="T198" i="44"/>
  <c r="T118" i="44" s="1"/>
  <c r="AI198" i="44"/>
  <c r="M198" i="44"/>
  <c r="AE189" i="44"/>
  <c r="AC189" i="44" s="1"/>
  <c r="AB189" i="44"/>
  <c r="V269" i="44"/>
  <c r="W269" i="44" s="1"/>
  <c r="T269" i="44"/>
  <c r="S269" i="44"/>
  <c r="M269" i="44"/>
  <c r="L269" i="44"/>
  <c r="AC155" i="44"/>
  <c r="AB153" i="44"/>
  <c r="AE153" i="44"/>
  <c r="AC68" i="44"/>
  <c r="AC1024" i="44"/>
  <c r="AB1001" i="44"/>
  <c r="AC932" i="44"/>
  <c r="AE926" i="44"/>
  <c r="AC926" i="44" s="1"/>
  <c r="AE927" i="44"/>
  <c r="AC927" i="44" s="1"/>
  <c r="V905" i="44"/>
  <c r="W905" i="44" s="1"/>
  <c r="AI905" i="44"/>
  <c r="L905" i="44"/>
  <c r="T905" i="44"/>
  <c r="T869" i="44" s="1"/>
  <c r="S905" i="44"/>
  <c r="M905" i="44"/>
  <c r="AE895" i="44"/>
  <c r="AB895" i="44" s="1"/>
  <c r="AC897" i="44"/>
  <c r="AE880" i="44"/>
  <c r="AC880" i="44" s="1"/>
  <c r="AB880" i="44"/>
  <c r="AC859" i="44"/>
  <c r="AC852" i="44"/>
  <c r="AC891" i="44"/>
  <c r="AC853" i="44"/>
  <c r="AE768" i="44"/>
  <c r="AB768" i="44" s="1"/>
  <c r="AC826" i="44"/>
  <c r="AC788" i="44"/>
  <c r="AB815" i="44"/>
  <c r="AE815" i="44"/>
  <c r="AC815" i="44" s="1"/>
  <c r="AI739" i="44"/>
  <c r="A739" i="44"/>
  <c r="A740" i="44" s="1"/>
  <c r="A741" i="44" s="1"/>
  <c r="A742" i="44" s="1"/>
  <c r="A743" i="44" s="1"/>
  <c r="A744" i="44" s="1"/>
  <c r="M739" i="44"/>
  <c r="L739" i="44"/>
  <c r="T739" i="44"/>
  <c r="S739" i="44"/>
  <c r="V739" i="44"/>
  <c r="W739" i="44" s="1"/>
  <c r="AE774" i="44"/>
  <c r="AB774" i="44" s="1"/>
  <c r="AE640" i="44"/>
  <c r="AC640" i="44" s="1"/>
  <c r="AE587" i="44"/>
  <c r="AC587" i="44" s="1"/>
  <c r="AE542" i="44"/>
  <c r="AC542" i="44" s="1"/>
  <c r="AC580" i="44"/>
  <c r="AE549" i="44"/>
  <c r="AE550" i="44"/>
  <c r="AC550" i="44" s="1"/>
  <c r="AB550" i="44"/>
  <c r="AC593" i="44"/>
  <c r="AC461" i="44"/>
  <c r="AE556" i="44"/>
  <c r="AB556" i="44" s="1"/>
  <c r="AE434" i="44"/>
  <c r="AB434" i="44"/>
  <c r="AE497" i="44"/>
  <c r="AC497" i="44" s="1"/>
  <c r="AC521" i="44"/>
  <c r="AC408" i="44"/>
  <c r="AH347" i="44"/>
  <c r="AE347" i="44"/>
  <c r="AC347" i="44" s="1"/>
  <c r="AB347" i="44"/>
  <c r="AE307" i="44"/>
  <c r="AB307" i="44" s="1"/>
  <c r="AE329" i="44"/>
  <c r="AB329" i="44" s="1"/>
  <c r="AE281" i="44"/>
  <c r="AC281" i="44" s="1"/>
  <c r="AC311" i="44"/>
  <c r="W205" i="44"/>
  <c r="AE154" i="44"/>
  <c r="AC154" i="44" s="1"/>
  <c r="AB154" i="44"/>
  <c r="AB138" i="44"/>
  <c r="AB175" i="44"/>
  <c r="AC153" i="44"/>
  <c r="AE923" i="44"/>
  <c r="AC923" i="44" s="1"/>
  <c r="AC855" i="44"/>
  <c r="AC878" i="44"/>
  <c r="AE854" i="44"/>
  <c r="AC854" i="44" s="1"/>
  <c r="AC820" i="44"/>
  <c r="AC850" i="44"/>
  <c r="AE792" i="44"/>
  <c r="AE793" i="44"/>
  <c r="AC793" i="44" s="1"/>
  <c r="AC794" i="44"/>
  <c r="AE755" i="44"/>
  <c r="AB755" i="44"/>
  <c r="AE642" i="44"/>
  <c r="AC642" i="44" s="1"/>
  <c r="AE641" i="44"/>
  <c r="AB642" i="44"/>
  <c r="AC568" i="44"/>
  <c r="AE607" i="44"/>
  <c r="AC607" i="44" s="1"/>
  <c r="L26" i="44"/>
  <c r="AC634" i="44"/>
  <c r="AE534" i="44"/>
  <c r="AC434" i="44"/>
  <c r="AC556" i="44"/>
  <c r="AE430" i="44"/>
  <c r="AB430" i="44" s="1"/>
  <c r="AE490" i="44"/>
  <c r="AE491" i="44"/>
  <c r="AC491" i="44" s="1"/>
  <c r="AC462" i="44"/>
  <c r="AE442" i="44"/>
  <c r="AB442" i="44"/>
  <c r="AC394" i="44"/>
  <c r="AB499" i="44"/>
  <c r="AB413" i="44"/>
  <c r="AE413" i="44"/>
  <c r="AC413" i="44" s="1"/>
  <c r="AE448" i="44"/>
  <c r="AB449" i="44"/>
  <c r="AE449" i="44"/>
  <c r="AC435" i="44"/>
  <c r="AC334" i="44"/>
  <c r="AE292" i="44"/>
  <c r="AC292" i="44" s="1"/>
  <c r="AE255" i="44"/>
  <c r="AC255" i="44" s="1"/>
  <c r="AB255" i="44"/>
  <c r="AE298" i="44"/>
  <c r="AB298" i="44" s="1"/>
  <c r="S277" i="44"/>
  <c r="M277" i="44"/>
  <c r="V277" i="44"/>
  <c r="W277" i="44" s="1"/>
  <c r="T277" i="44"/>
  <c r="L277" i="44"/>
  <c r="AC329" i="44"/>
  <c r="AE315" i="44"/>
  <c r="AB315" i="44" s="1"/>
  <c r="AE273" i="44"/>
  <c r="AB273" i="44" s="1"/>
  <c r="AC216" i="44"/>
  <c r="M20" i="44"/>
  <c r="AC192" i="44"/>
  <c r="AC94" i="44"/>
  <c r="AB146" i="44"/>
  <c r="AE146" i="44"/>
  <c r="AC146" i="44" s="1"/>
  <c r="AE166" i="44"/>
  <c r="AC166" i="44" s="1"/>
  <c r="AC889" i="44"/>
  <c r="AC851" i="44"/>
  <c r="AE892" i="44"/>
  <c r="AC892" i="44" s="1"/>
  <c r="AB849" i="44"/>
  <c r="AE849" i="44"/>
  <c r="AC849" i="44" s="1"/>
  <c r="M833" i="44"/>
  <c r="V833" i="44"/>
  <c r="W833" i="44" s="1"/>
  <c r="S833" i="44"/>
  <c r="L833" i="44"/>
  <c r="T833" i="44"/>
  <c r="AE757" i="44"/>
  <c r="AB757" i="44" s="1"/>
  <c r="AC755" i="44"/>
  <c r="AE812" i="44"/>
  <c r="AB812" i="44" s="1"/>
  <c r="AC660" i="44"/>
  <c r="S563" i="44"/>
  <c r="AE561" i="44" s="1"/>
  <c r="AI563" i="44"/>
  <c r="M563" i="44"/>
  <c r="L563" i="44"/>
  <c r="V563" i="44"/>
  <c r="W563" i="44" s="1"/>
  <c r="T563" i="44"/>
  <c r="AE548" i="44"/>
  <c r="AC548" i="44" s="1"/>
  <c r="AE426" i="44"/>
  <c r="AC426" i="44" s="1"/>
  <c r="AB426" i="44"/>
  <c r="AC442" i="44"/>
  <c r="AE480" i="44"/>
  <c r="AC480" i="44" s="1"/>
  <c r="AC449" i="44"/>
  <c r="AC427" i="44"/>
  <c r="AB474" i="44"/>
  <c r="AE418" i="44"/>
  <c r="AC418" i="44" s="1"/>
  <c r="AB418" i="44"/>
  <c r="V351" i="44"/>
  <c r="W353" i="44"/>
  <c r="AC344" i="44"/>
  <c r="AC370" i="44"/>
  <c r="AC346" i="44"/>
  <c r="AE420" i="44"/>
  <c r="AB420" i="44" s="1"/>
  <c r="AE306" i="44"/>
  <c r="AC306" i="44" s="1"/>
  <c r="AC380" i="44"/>
  <c r="AB395" i="44"/>
  <c r="AC298" i="44"/>
  <c r="V275" i="44"/>
  <c r="W275" i="44" s="1"/>
  <c r="S275" i="44"/>
  <c r="M275" i="44"/>
  <c r="L275" i="44"/>
  <c r="T275" i="44"/>
  <c r="AC315" i="44"/>
  <c r="AE267" i="44"/>
  <c r="AB267" i="44" s="1"/>
  <c r="AE237" i="44"/>
  <c r="AC237" i="44" s="1"/>
  <c r="AE211" i="44"/>
  <c r="AC211" i="44" s="1"/>
  <c r="AC223" i="44"/>
  <c r="AE185" i="44"/>
  <c r="AC185" i="44" s="1"/>
  <c r="AC246" i="44"/>
  <c r="AE206" i="44"/>
  <c r="AC206" i="44" s="1"/>
  <c r="AB206" i="44"/>
  <c r="AC126" i="44"/>
  <c r="AB122" i="44"/>
  <c r="AE122" i="44"/>
  <c r="AC122" i="44" s="1"/>
  <c r="AE143" i="44"/>
  <c r="AB143" i="44" s="1"/>
  <c r="AE116" i="44"/>
  <c r="AC116" i="44" s="1"/>
  <c r="AW105" i="42"/>
  <c r="AW106" i="42"/>
  <c r="AR47" i="42"/>
  <c r="AR98" i="42"/>
  <c r="AQ29" i="42"/>
  <c r="AR153" i="42"/>
  <c r="AW63" i="42"/>
  <c r="AW64" i="42"/>
  <c r="AW84" i="42"/>
  <c r="AU166" i="42"/>
  <c r="AT47" i="42"/>
  <c r="AS47" i="42"/>
  <c r="AT153" i="42"/>
  <c r="AS153" i="42"/>
  <c r="AR99" i="42"/>
  <c r="AR112" i="42"/>
  <c r="AR152" i="42"/>
  <c r="AR92" i="42"/>
  <c r="AR43" i="42"/>
  <c r="AW155" i="42"/>
  <c r="AW154" i="42"/>
  <c r="AR40" i="42"/>
  <c r="AI49" i="42"/>
  <c r="H127" i="42"/>
  <c r="AR127" i="42" s="1"/>
  <c r="AR125" i="42"/>
  <c r="AR126" i="42"/>
  <c r="AR103" i="42"/>
  <c r="H105" i="42"/>
  <c r="H63" i="42"/>
  <c r="AR63" i="42" s="1"/>
  <c r="AR61" i="42"/>
  <c r="AR27" i="42"/>
  <c r="AR69" i="42"/>
  <c r="AR148" i="42"/>
  <c r="AR133" i="42"/>
  <c r="AR131" i="42"/>
  <c r="AR78" i="42"/>
  <c r="AW119" i="42"/>
  <c r="AW120" i="42"/>
  <c r="AK50" i="42"/>
  <c r="X57" i="42"/>
  <c r="AR57" i="42" s="1"/>
  <c r="AR48" i="42"/>
  <c r="H28" i="42"/>
  <c r="AR28" i="42" s="1"/>
  <c r="AR26" i="42"/>
  <c r="AR96" i="42"/>
  <c r="H71" i="42"/>
  <c r="AR71" i="42" s="1"/>
  <c r="T49" i="42"/>
  <c r="AU158" i="42"/>
  <c r="AR132" i="42"/>
  <c r="AR139" i="42"/>
  <c r="AW56" i="42"/>
  <c r="AW57" i="42"/>
  <c r="AR90" i="42"/>
  <c r="AR41" i="42"/>
  <c r="AW50" i="42"/>
  <c r="AW49" i="42"/>
  <c r="AR147" i="42"/>
  <c r="AR138" i="42"/>
  <c r="H70" i="42"/>
  <c r="AR70" i="42" s="1"/>
  <c r="AR68" i="42"/>
  <c r="AR119" i="42"/>
  <c r="AW127" i="42"/>
  <c r="AW126" i="42"/>
  <c r="AR124" i="42"/>
  <c r="AR104" i="42"/>
  <c r="AR36" i="42"/>
  <c r="AR62" i="42"/>
  <c r="H113" i="42"/>
  <c r="AR113" i="42" s="1"/>
  <c r="AR111" i="42"/>
  <c r="H134" i="42"/>
  <c r="AR134" i="42" s="1"/>
  <c r="H64" i="42"/>
  <c r="AR64" i="42" s="1"/>
  <c r="AR146" i="42"/>
  <c r="H35" i="42"/>
  <c r="AR35" i="42" s="1"/>
  <c r="AR33" i="42"/>
  <c r="AR29" i="42"/>
  <c r="AR55" i="42"/>
  <c r="H154" i="42"/>
  <c r="AR154" i="42" s="1"/>
  <c r="P105" i="42"/>
  <c r="AR54" i="42"/>
  <c r="H56" i="42"/>
  <c r="AR56" i="42" s="1"/>
  <c r="AR110" i="42"/>
  <c r="AW148" i="42"/>
  <c r="AW147" i="42"/>
  <c r="I140" i="42"/>
  <c r="AR76" i="42"/>
  <c r="AR117" i="42"/>
  <c r="U49" i="42"/>
  <c r="I155" i="42"/>
  <c r="AR145" i="42"/>
  <c r="AR118" i="42"/>
  <c r="H120" i="42"/>
  <c r="AR120" i="42" s="1"/>
  <c r="H77" i="42"/>
  <c r="AR77" i="42" s="1"/>
  <c r="AR75" i="42"/>
  <c r="H91" i="42"/>
  <c r="AR91" i="42" s="1"/>
  <c r="AR89" i="42"/>
  <c r="H141" i="42"/>
  <c r="AR141" i="42" s="1"/>
  <c r="H106" i="42"/>
  <c r="AR106" i="42" s="1"/>
  <c r="H42" i="42"/>
  <c r="AR42" i="42" s="1"/>
  <c r="AR97" i="42"/>
  <c r="AR34" i="42"/>
  <c r="AW64" i="4"/>
  <c r="AW63" i="4"/>
  <c r="AW126" i="4"/>
  <c r="AW127" i="4"/>
  <c r="O5" i="18"/>
  <c r="O5" i="17"/>
  <c r="P7" i="18"/>
  <c r="P84" i="18" s="1"/>
  <c r="P7" i="17"/>
  <c r="D9" i="15"/>
  <c r="F6" i="18"/>
  <c r="F6" i="17"/>
  <c r="F5" i="16"/>
  <c r="AJ5" i="16" s="1"/>
  <c r="Q40" i="18"/>
  <c r="Q34" i="18"/>
  <c r="Q53" i="18"/>
  <c r="Q44" i="18"/>
  <c r="Q20" i="18"/>
  <c r="Q37" i="18"/>
  <c r="Q29" i="18"/>
  <c r="Q52" i="18"/>
  <c r="Q33" i="18"/>
  <c r="Q23" i="18"/>
  <c r="Q28" i="18"/>
  <c r="Q55" i="18"/>
  <c r="Q42" i="18"/>
  <c r="Q18" i="18"/>
  <c r="Q50" i="18"/>
  <c r="Q47" i="18"/>
  <c r="Q41" i="18"/>
  <c r="Q45" i="18"/>
  <c r="Q25" i="18"/>
  <c r="Q17" i="18"/>
  <c r="I53" i="18"/>
  <c r="I50" i="18"/>
  <c r="I47" i="18"/>
  <c r="I44" i="18"/>
  <c r="I34" i="18"/>
  <c r="I20" i="18"/>
  <c r="I52" i="18"/>
  <c r="I28" i="18"/>
  <c r="I23" i="18"/>
  <c r="I55" i="18"/>
  <c r="I42" i="18"/>
  <c r="I31" i="18"/>
  <c r="I22" i="18"/>
  <c r="I18" i="18"/>
  <c r="D10" i="15"/>
  <c r="F3" i="18"/>
  <c r="AJ3" i="18" s="1"/>
  <c r="F3" i="17"/>
  <c r="F3" i="16"/>
  <c r="AJ3" i="16" s="1"/>
  <c r="I5" i="18"/>
  <c r="I39" i="18" s="1"/>
  <c r="I5" i="17"/>
  <c r="P28" i="16"/>
  <c r="Q12" i="20"/>
  <c r="H50" i="18"/>
  <c r="H47" i="18"/>
  <c r="H44" i="18"/>
  <c r="H20" i="18"/>
  <c r="H52" i="18"/>
  <c r="H28" i="18"/>
  <c r="H23" i="18"/>
  <c r="H55" i="18"/>
  <c r="G75" i="18"/>
  <c r="I56" i="18"/>
  <c r="I58" i="18"/>
  <c r="P5" i="18"/>
  <c r="P5" i="17"/>
  <c r="P12" i="17" s="1"/>
  <c r="H2" i="17"/>
  <c r="H8" i="17" s="1"/>
  <c r="H2" i="18"/>
  <c r="H2" i="16"/>
  <c r="H169" i="17"/>
  <c r="O56" i="18"/>
  <c r="O58" i="18"/>
  <c r="H75" i="18"/>
  <c r="P2" i="17"/>
  <c r="P2" i="18"/>
  <c r="P2" i="16"/>
  <c r="R5" i="18"/>
  <c r="R5" i="17"/>
  <c r="AJ155" i="17"/>
  <c r="G7" i="18"/>
  <c r="G84" i="18" s="1"/>
  <c r="G7" i="17"/>
  <c r="R14" i="20"/>
  <c r="R32" i="20" s="1"/>
  <c r="R46" i="20" s="1"/>
  <c r="R83" i="20" s="1"/>
  <c r="R100" i="20" s="1"/>
  <c r="R48" i="20"/>
  <c r="G157" i="17"/>
  <c r="P56" i="18"/>
  <c r="P58" i="18"/>
  <c r="R51" i="18"/>
  <c r="R34" i="18"/>
  <c r="R21" i="18"/>
  <c r="R53" i="18"/>
  <c r="R20" i="18"/>
  <c r="R40" i="18"/>
  <c r="R37" i="18"/>
  <c r="R29" i="18"/>
  <c r="R24" i="18"/>
  <c r="R28" i="18"/>
  <c r="R42" i="18"/>
  <c r="R18" i="18"/>
  <c r="R32" i="18"/>
  <c r="R50" i="18"/>
  <c r="R45" i="18"/>
  <c r="R2" i="17"/>
  <c r="R2" i="18"/>
  <c r="R2" i="16"/>
  <c r="Q7" i="18"/>
  <c r="Q84" i="18" s="1"/>
  <c r="Q7" i="17"/>
  <c r="Q5" i="18"/>
  <c r="Q5" i="17"/>
  <c r="Q12" i="17" s="1"/>
  <c r="R41" i="20"/>
  <c r="AJ83" i="18"/>
  <c r="I75" i="18"/>
  <c r="I7" i="18"/>
  <c r="I84" i="18" s="1"/>
  <c r="I7" i="17"/>
  <c r="H82" i="17"/>
  <c r="P169" i="18"/>
  <c r="P159" i="18" s="1"/>
  <c r="AJ3" i="17"/>
  <c r="O2" i="17"/>
  <c r="O2" i="18"/>
  <c r="O2" i="16"/>
  <c r="R7" i="18"/>
  <c r="R84" i="18" s="1"/>
  <c r="R7" i="17"/>
  <c r="R12" i="17" s="1"/>
  <c r="Q2" i="17"/>
  <c r="Q2" i="18"/>
  <c r="Q2" i="16"/>
  <c r="I2" i="17"/>
  <c r="I2" i="18"/>
  <c r="I12" i="18" s="1"/>
  <c r="I2" i="16"/>
  <c r="AJ71" i="18"/>
  <c r="Q56" i="18"/>
  <c r="Q58" i="18"/>
  <c r="G5" i="18"/>
  <c r="G5" i="17"/>
  <c r="G2" i="17"/>
  <c r="G8" i="17" s="1"/>
  <c r="G2" i="18"/>
  <c r="G2" i="16"/>
  <c r="AJ82" i="18"/>
  <c r="O75" i="18"/>
  <c r="R167" i="18"/>
  <c r="R157" i="18" s="1"/>
  <c r="R75" i="18"/>
  <c r="H58" i="18"/>
  <c r="H59" i="18"/>
  <c r="P40" i="18"/>
  <c r="P45" i="18"/>
  <c r="P25" i="18"/>
  <c r="P17" i="18"/>
  <c r="P34" i="18"/>
  <c r="P53" i="18"/>
  <c r="P37" i="18"/>
  <c r="P29" i="18"/>
  <c r="P33" i="18"/>
  <c r="P23" i="18"/>
  <c r="P55" i="18"/>
  <c r="P42" i="18"/>
  <c r="P18" i="18"/>
  <c r="P50" i="18"/>
  <c r="P47" i="18"/>
  <c r="R59" i="18"/>
  <c r="R58" i="18"/>
  <c r="R56" i="18"/>
  <c r="H5" i="18"/>
  <c r="H39" i="18" s="1"/>
  <c r="H5" i="17"/>
  <c r="O7" i="18"/>
  <c r="O84" i="18" s="1"/>
  <c r="O7" i="17"/>
  <c r="O53" i="18"/>
  <c r="O47" i="18"/>
  <c r="O30" i="18"/>
  <c r="O25" i="18"/>
  <c r="O17" i="18"/>
  <c r="O44" i="18"/>
  <c r="O34" i="18"/>
  <c r="O20" i="18"/>
  <c r="O39" i="18"/>
  <c r="O52" i="18"/>
  <c r="O15" i="18"/>
  <c r="O33" i="18"/>
  <c r="O28" i="18"/>
  <c r="O23" i="18"/>
  <c r="O55" i="18"/>
  <c r="O42" i="18"/>
  <c r="O31" i="18"/>
  <c r="O22" i="18"/>
  <c r="O18" i="18"/>
  <c r="O54" i="18"/>
  <c r="O50" i="18"/>
  <c r="O41" i="18"/>
  <c r="Q75" i="18"/>
  <c r="P75" i="18"/>
  <c r="G50" i="18"/>
  <c r="G41" i="18"/>
  <c r="G31" i="18"/>
  <c r="G49" i="18"/>
  <c r="G25" i="18"/>
  <c r="G17" i="18"/>
  <c r="G47" i="18"/>
  <c r="G44" i="18"/>
  <c r="G20" i="18"/>
  <c r="G33" i="18"/>
  <c r="G52" i="18"/>
  <c r="G15" i="18"/>
  <c r="G28" i="18"/>
  <c r="G23" i="18"/>
  <c r="G55" i="18"/>
  <c r="G12" i="17"/>
  <c r="H7" i="18"/>
  <c r="H84" i="18" s="1"/>
  <c r="H7" i="17"/>
  <c r="F4" i="18"/>
  <c r="F4" i="16"/>
  <c r="AJ4" i="16" s="1"/>
  <c r="F4" i="17"/>
  <c r="AJ133" i="17"/>
  <c r="AJ67" i="18"/>
  <c r="S155" i="2"/>
  <c r="C150" i="4"/>
  <c r="S121" i="2"/>
  <c r="C116" i="4"/>
  <c r="S142" i="2"/>
  <c r="C137" i="4"/>
  <c r="S92" i="2"/>
  <c r="C87" i="4"/>
  <c r="S134" i="2"/>
  <c r="C129" i="4"/>
  <c r="S128" i="2"/>
  <c r="C123" i="4"/>
  <c r="S156" i="2"/>
  <c r="C151" i="4"/>
  <c r="S51" i="2"/>
  <c r="C45" i="4"/>
  <c r="S127" i="2"/>
  <c r="C122" i="4"/>
  <c r="S113" i="2"/>
  <c r="C108" i="4"/>
  <c r="S135" i="2"/>
  <c r="C130" i="4"/>
  <c r="S93" i="2"/>
  <c r="C88" i="4"/>
  <c r="S141" i="2"/>
  <c r="C136" i="4"/>
  <c r="S59" i="2"/>
  <c r="C53" i="4"/>
  <c r="S52" i="2"/>
  <c r="C46" i="4"/>
  <c r="S58" i="2"/>
  <c r="C52" i="4"/>
  <c r="S149" i="2"/>
  <c r="C144" i="4"/>
  <c r="S85" i="2"/>
  <c r="C80" i="4"/>
  <c r="S71" i="2"/>
  <c r="S107" i="2"/>
  <c r="C102" i="4"/>
  <c r="S148" i="2"/>
  <c r="C143" i="4"/>
  <c r="S99" i="2"/>
  <c r="C94" i="4"/>
  <c r="S120" i="2"/>
  <c r="C115" i="4"/>
  <c r="K41" i="40"/>
  <c r="K42" i="40"/>
  <c r="L41" i="40"/>
  <c r="L42" i="40"/>
  <c r="C42" i="40"/>
  <c r="C41" i="40"/>
  <c r="D42" i="40"/>
  <c r="D41" i="40"/>
  <c r="E41" i="40"/>
  <c r="E42" i="40"/>
  <c r="F41" i="40"/>
  <c r="F42" i="40"/>
  <c r="G41" i="40"/>
  <c r="G42" i="40"/>
  <c r="I41" i="40"/>
  <c r="I42" i="40"/>
  <c r="H41" i="40"/>
  <c r="H42" i="40"/>
  <c r="J41" i="40"/>
  <c r="J42" i="40"/>
  <c r="J51" i="39"/>
  <c r="H47" i="39"/>
  <c r="I51" i="39"/>
  <c r="G47" i="39"/>
  <c r="H51" i="39"/>
  <c r="F47" i="39"/>
  <c r="G51" i="39"/>
  <c r="E47" i="39"/>
  <c r="F51" i="39"/>
  <c r="D47" i="39"/>
  <c r="E51" i="39"/>
  <c r="D51" i="39"/>
  <c r="C51" i="39"/>
  <c r="L47" i="39"/>
  <c r="K47" i="39"/>
  <c r="L51" i="39"/>
  <c r="J47" i="39"/>
  <c r="K51" i="39"/>
  <c r="I47" i="39"/>
  <c r="F41" i="39"/>
  <c r="D37" i="39"/>
  <c r="E41" i="39"/>
  <c r="D41" i="39"/>
  <c r="C41" i="39"/>
  <c r="L37" i="39"/>
  <c r="K37" i="39"/>
  <c r="L41" i="39"/>
  <c r="J37" i="39"/>
  <c r="K41" i="39"/>
  <c r="I37" i="39"/>
  <c r="J41" i="39"/>
  <c r="H37" i="39"/>
  <c r="I41" i="39"/>
  <c r="G37" i="39"/>
  <c r="H41" i="39"/>
  <c r="F37" i="39"/>
  <c r="G41" i="39"/>
  <c r="E37" i="39"/>
  <c r="P60" i="37"/>
  <c r="P62" i="37" s="1"/>
  <c r="P64" i="37" s="1"/>
  <c r="F33" i="37"/>
  <c r="S33" i="37"/>
  <c r="M33" i="37"/>
  <c r="J60" i="37"/>
  <c r="J62" i="37" s="1"/>
  <c r="J64" i="37" s="1"/>
  <c r="G62" i="37"/>
  <c r="G64" i="37" s="1"/>
  <c r="R33" i="37"/>
  <c r="K33" i="37"/>
  <c r="O60" i="37"/>
  <c r="N33" i="37"/>
  <c r="Q33" i="37"/>
  <c r="H36" i="37"/>
  <c r="H62" i="37" s="1"/>
  <c r="H64" i="37" s="1"/>
  <c r="L33" i="37"/>
  <c r="T36" i="37"/>
  <c r="T62" i="37" s="1"/>
  <c r="T64" i="37" s="1"/>
  <c r="J50" i="37"/>
  <c r="J35" i="37" s="1"/>
  <c r="J36" i="37"/>
  <c r="O36" i="37"/>
  <c r="E60" i="37"/>
  <c r="E62" i="37" s="1"/>
  <c r="E64" i="37" s="1"/>
  <c r="U33" i="37"/>
  <c r="I11" i="34"/>
  <c r="J11" i="34" s="1"/>
  <c r="F46" i="34"/>
  <c r="I12" i="34"/>
  <c r="J12" i="34" s="1"/>
  <c r="J31" i="34"/>
  <c r="I51" i="34"/>
  <c r="J51" i="34" s="1"/>
  <c r="I24" i="34"/>
  <c r="F36" i="34"/>
  <c r="F25" i="34"/>
  <c r="J24" i="34"/>
  <c r="F30" i="34"/>
  <c r="I29" i="34"/>
  <c r="J29" i="34" s="1"/>
  <c r="J13" i="34"/>
  <c r="F16" i="34"/>
  <c r="F34" i="34"/>
  <c r="G36" i="34"/>
  <c r="G48" i="34" s="1"/>
  <c r="G25" i="34"/>
  <c r="G54" i="34" s="1"/>
  <c r="I37" i="34"/>
  <c r="J37" i="34" s="1"/>
  <c r="J52" i="34"/>
  <c r="I52" i="34"/>
  <c r="C184" i="33"/>
  <c r="K304" i="32"/>
  <c r="L304" i="32" s="1"/>
  <c r="I6" i="30"/>
  <c r="I7" i="30" s="1"/>
  <c r="I8" i="30" s="1"/>
  <c r="I9" i="30" s="1"/>
  <c r="I10" i="30" s="1"/>
  <c r="I11" i="30" s="1"/>
  <c r="I12" i="30" s="1"/>
  <c r="I13" i="30" s="1"/>
  <c r="I14" i="30" s="1"/>
  <c r="I15" i="30" s="1"/>
  <c r="I16" i="30" s="1"/>
  <c r="I17" i="30" s="1"/>
  <c r="I18" i="30" s="1"/>
  <c r="I19" i="30" s="1"/>
  <c r="I20" i="30" s="1"/>
  <c r="I21" i="30" s="1"/>
  <c r="I22" i="30" s="1"/>
  <c r="I23" i="30" s="1"/>
  <c r="I24" i="30" s="1"/>
  <c r="I25" i="30" s="1"/>
  <c r="I26" i="30" s="1"/>
  <c r="I27" i="30" s="1"/>
  <c r="I28" i="30" s="1"/>
  <c r="I29" i="30" s="1"/>
  <c r="I30" i="30" s="1"/>
  <c r="I31" i="30" s="1"/>
  <c r="I32" i="30" s="1"/>
  <c r="I33" i="30" s="1"/>
  <c r="I34" i="30" s="1"/>
  <c r="I35" i="30" s="1"/>
  <c r="I36" i="30" s="1"/>
  <c r="I37" i="30" s="1"/>
  <c r="I38" i="30" s="1"/>
  <c r="I39" i="30" s="1"/>
  <c r="I40" i="30" s="1"/>
  <c r="I41" i="30" s="1"/>
  <c r="I42" i="30" s="1"/>
  <c r="J31" i="29"/>
  <c r="K31" i="29" s="1"/>
  <c r="G146" i="29"/>
  <c r="J129" i="29"/>
  <c r="K129" i="29" s="1"/>
  <c r="J118" i="29"/>
  <c r="K118" i="29" s="1"/>
  <c r="G136" i="29"/>
  <c r="J124" i="29"/>
  <c r="K124" i="29" s="1"/>
  <c r="G141" i="29"/>
  <c r="G70" i="29"/>
  <c r="G69" i="29"/>
  <c r="J69" i="29" s="1"/>
  <c r="J57" i="29"/>
  <c r="K57" i="29" s="1"/>
  <c r="G74" i="29"/>
  <c r="G73" i="29"/>
  <c r="G72" i="29"/>
  <c r="G71" i="29"/>
  <c r="G77" i="29"/>
  <c r="K76" i="29"/>
  <c r="J99" i="29"/>
  <c r="K99" i="29" s="1"/>
  <c r="G117" i="29"/>
  <c r="J51" i="29"/>
  <c r="K51" i="29" s="1"/>
  <c r="J111" i="29"/>
  <c r="K111" i="29" s="1"/>
  <c r="J120" i="29"/>
  <c r="G138" i="29"/>
  <c r="K120" i="29"/>
  <c r="I161" i="28"/>
  <c r="I153" i="28"/>
  <c r="I155" i="28" s="1"/>
  <c r="I239" i="28"/>
  <c r="I250" i="28" s="1"/>
  <c r="L5" i="28"/>
  <c r="M5" i="28" s="1"/>
  <c r="L233" i="28"/>
  <c r="M233" i="28" s="1"/>
  <c r="J232" i="28"/>
  <c r="J231" i="28"/>
  <c r="I162" i="28"/>
  <c r="L148" i="28"/>
  <c r="M148" i="28" s="1"/>
  <c r="L168" i="28"/>
  <c r="G247" i="28"/>
  <c r="M168" i="28"/>
  <c r="L245" i="28"/>
  <c r="M245" i="28"/>
  <c r="G256" i="28"/>
  <c r="J162" i="28"/>
  <c r="G238" i="28"/>
  <c r="L176" i="28"/>
  <c r="M176" i="28" s="1"/>
  <c r="H239" i="28"/>
  <c r="H250" i="28" s="1"/>
  <c r="L159" i="28"/>
  <c r="M159" i="28" s="1"/>
  <c r="M230" i="28"/>
  <c r="L230" i="28"/>
  <c r="G237" i="28"/>
  <c r="M149" i="28"/>
  <c r="L149" i="28"/>
  <c r="G157" i="28"/>
  <c r="G255" i="28"/>
  <c r="L244" i="28"/>
  <c r="M244" i="28" s="1"/>
  <c r="L89" i="28"/>
  <c r="M89" i="28" s="1"/>
  <c r="M166" i="28"/>
  <c r="L166" i="28"/>
  <c r="H156" i="28"/>
  <c r="G182" i="28"/>
  <c r="M160" i="28"/>
  <c r="L160" i="28"/>
  <c r="G156" i="28"/>
  <c r="L150" i="28"/>
  <c r="M150" i="28" s="1"/>
  <c r="L3" i="28"/>
  <c r="H231" i="28"/>
  <c r="L229" i="28"/>
  <c r="M229" i="28" s="1"/>
  <c r="H232" i="28"/>
  <c r="M3" i="28"/>
  <c r="H72" i="27"/>
  <c r="I69" i="27"/>
  <c r="N60" i="27"/>
  <c r="H67" i="27"/>
  <c r="K63" i="27"/>
  <c r="K72" i="27" s="1"/>
  <c r="J63" i="27"/>
  <c r="J72" i="27" s="1"/>
  <c r="J58" i="27"/>
  <c r="J67" i="27" s="1"/>
  <c r="J57" i="27"/>
  <c r="I63" i="27"/>
  <c r="I72" i="27" s="1"/>
  <c r="N59" i="27"/>
  <c r="G102" i="26"/>
  <c r="L102" i="26" s="1"/>
  <c r="L92" i="26"/>
  <c r="G134" i="26"/>
  <c r="L120" i="26"/>
  <c r="G132" i="26"/>
  <c r="L111" i="26"/>
  <c r="L93" i="26"/>
  <c r="G109" i="26"/>
  <c r="L109" i="26" s="1"/>
  <c r="G115" i="26"/>
  <c r="L115" i="26" s="1"/>
  <c r="L94" i="26"/>
  <c r="L110" i="26"/>
  <c r="G131" i="26"/>
  <c r="L107" i="26"/>
  <c r="L27" i="26"/>
  <c r="I108" i="26"/>
  <c r="I130" i="26"/>
  <c r="L95" i="26"/>
  <c r="G17" i="26"/>
  <c r="L16" i="26"/>
  <c r="I58" i="26"/>
  <c r="I101" i="26"/>
  <c r="L101" i="26" s="1"/>
  <c r="I125" i="26"/>
  <c r="I32" i="26"/>
  <c r="L32" i="26" s="1"/>
  <c r="L14" i="26"/>
  <c r="H123" i="26"/>
  <c r="L51" i="26"/>
  <c r="H108" i="26"/>
  <c r="H130" i="26"/>
  <c r="I106" i="26"/>
  <c r="I127" i="26"/>
  <c r="H58" i="26"/>
  <c r="H98" i="26" s="1"/>
  <c r="H122" i="26" s="1"/>
  <c r="I128" i="26"/>
  <c r="I104" i="26"/>
  <c r="I126" i="26"/>
  <c r="I103" i="26"/>
  <c r="L86" i="26"/>
  <c r="G108" i="26"/>
  <c r="L108" i="26" s="1"/>
  <c r="G130" i="26"/>
  <c r="L61" i="26"/>
  <c r="H33" i="26"/>
  <c r="H97" i="26" s="1"/>
  <c r="H121" i="26" s="1"/>
  <c r="L50" i="26"/>
  <c r="G58" i="26"/>
  <c r="L62" i="26"/>
  <c r="G123" i="26"/>
  <c r="H106" i="26"/>
  <c r="H127" i="26"/>
  <c r="L53" i="26"/>
  <c r="L59" i="26"/>
  <c r="L99" i="26"/>
  <c r="H128" i="26"/>
  <c r="H104" i="26"/>
  <c r="L63" i="26"/>
  <c r="G96" i="26"/>
  <c r="L96" i="26" s="1"/>
  <c r="H103" i="26"/>
  <c r="H126" i="26"/>
  <c r="L87" i="26"/>
  <c r="G116" i="26"/>
  <c r="L116" i="26" s="1"/>
  <c r="H105" i="26"/>
  <c r="H83" i="25"/>
  <c r="H86" i="25" s="1"/>
  <c r="H106" i="25"/>
  <c r="H95" i="25"/>
  <c r="H108" i="25" s="1"/>
  <c r="H117" i="25" s="1"/>
  <c r="H107" i="25"/>
  <c r="H104" i="25"/>
  <c r="F93" i="25"/>
  <c r="K93" i="25" s="1"/>
  <c r="K89" i="25"/>
  <c r="K78" i="25"/>
  <c r="G87" i="25"/>
  <c r="G83" i="25"/>
  <c r="G86" i="25" s="1"/>
  <c r="G104" i="25"/>
  <c r="F83" i="25"/>
  <c r="K81" i="25"/>
  <c r="F87" i="25"/>
  <c r="K43" i="25"/>
  <c r="F46" i="25"/>
  <c r="H35" i="25"/>
  <c r="H36" i="25"/>
  <c r="H103" i="25"/>
  <c r="F34" i="25"/>
  <c r="K31" i="25"/>
  <c r="K12" i="25"/>
  <c r="F114" i="25"/>
  <c r="K114" i="25" s="1"/>
  <c r="K71" i="25"/>
  <c r="G106" i="25"/>
  <c r="K110" i="25"/>
  <c r="K68" i="25"/>
  <c r="F70" i="25"/>
  <c r="F65" i="25"/>
  <c r="K65" i="25" s="1"/>
  <c r="K63" i="25"/>
  <c r="K48" i="25"/>
  <c r="F50" i="25"/>
  <c r="K50" i="25" s="1"/>
  <c r="K51" i="25"/>
  <c r="G94" i="25"/>
  <c r="G105" i="25"/>
  <c r="K90" i="25"/>
  <c r="F41" i="25"/>
  <c r="K38" i="25"/>
  <c r="I41" i="23"/>
  <c r="J41" i="23" s="1"/>
  <c r="G103" i="23"/>
  <c r="I107" i="23"/>
  <c r="G127" i="23"/>
  <c r="J107" i="23"/>
  <c r="I79" i="23"/>
  <c r="G98" i="23"/>
  <c r="G97" i="23"/>
  <c r="G102" i="23"/>
  <c r="I77" i="23"/>
  <c r="G96" i="23"/>
  <c r="G101" i="23"/>
  <c r="I64" i="23"/>
  <c r="J64" i="23" s="1"/>
  <c r="G135" i="23"/>
  <c r="I115" i="23"/>
  <c r="G110" i="23"/>
  <c r="I70" i="23"/>
  <c r="J70" i="23" s="1"/>
  <c r="G133" i="23"/>
  <c r="J113" i="23"/>
  <c r="I113" i="23"/>
  <c r="I47" i="23"/>
  <c r="J47" i="23" s="1"/>
  <c r="G129" i="23"/>
  <c r="J109" i="23"/>
  <c r="I109" i="23"/>
  <c r="J58" i="23"/>
  <c r="I58" i="23"/>
  <c r="G53" i="23"/>
  <c r="I106" i="23"/>
  <c r="G126" i="23"/>
  <c r="J106" i="23"/>
  <c r="G65" i="23"/>
  <c r="I59" i="23"/>
  <c r="G67" i="23"/>
  <c r="G63" i="23"/>
  <c r="G114" i="23"/>
  <c r="H123" i="22"/>
  <c r="I123" i="22" s="1"/>
  <c r="H62" i="22"/>
  <c r="I62" i="22" s="1"/>
  <c r="I119" i="22"/>
  <c r="F130" i="22"/>
  <c r="H119" i="22"/>
  <c r="F32" i="22"/>
  <c r="H31" i="22"/>
  <c r="I31" i="22" s="1"/>
  <c r="F132" i="22"/>
  <c r="F57" i="22"/>
  <c r="H56" i="22"/>
  <c r="H57" i="22" s="1"/>
  <c r="H137" i="22"/>
  <c r="I137" i="22"/>
  <c r="F126" i="22"/>
  <c r="I11" i="22"/>
  <c r="H11" i="22"/>
  <c r="H131" i="22"/>
  <c r="I131" i="22" s="1"/>
  <c r="F150" i="22"/>
  <c r="H124" i="22"/>
  <c r="I124" i="22" s="1"/>
  <c r="I115" i="22"/>
  <c r="H115" i="22"/>
  <c r="F143" i="22"/>
  <c r="I128" i="22"/>
  <c r="F148" i="22"/>
  <c r="H128" i="22"/>
  <c r="F142" i="22"/>
  <c r="I108" i="22"/>
  <c r="H108" i="22"/>
  <c r="H122" i="22"/>
  <c r="I122" i="22" s="1"/>
  <c r="F65" i="22"/>
  <c r="H64" i="22"/>
  <c r="I64" i="22" s="1"/>
  <c r="F129" i="22"/>
  <c r="H112" i="22"/>
  <c r="I112" i="22" s="1"/>
  <c r="H141" i="22"/>
  <c r="I141" i="22" s="1"/>
  <c r="I97" i="22"/>
  <c r="H97" i="22"/>
  <c r="F98" i="22"/>
  <c r="H40" i="22"/>
  <c r="I40" i="22" s="1"/>
  <c r="F127" i="22"/>
  <c r="F36" i="22"/>
  <c r="H35" i="22"/>
  <c r="I35" i="22" s="1"/>
  <c r="H135" i="22"/>
  <c r="I135" i="22" s="1"/>
  <c r="H120" i="22"/>
  <c r="I120" i="22" s="1"/>
  <c r="F136" i="22"/>
  <c r="H95" i="22"/>
  <c r="I95" i="22" s="1"/>
  <c r="I28" i="22"/>
  <c r="H28" i="22"/>
  <c r="H114" i="22"/>
  <c r="I114" i="22" s="1"/>
  <c r="F138" i="22"/>
  <c r="I43" i="22"/>
  <c r="H43" i="22"/>
  <c r="H102" i="22"/>
  <c r="I102" i="22" s="1"/>
  <c r="F140" i="22"/>
  <c r="F125" i="22"/>
  <c r="K37" i="21"/>
  <c r="G105" i="21"/>
  <c r="K105" i="21" s="1"/>
  <c r="G108" i="21"/>
  <c r="K108" i="21" s="1"/>
  <c r="G36" i="21"/>
  <c r="K36" i="21" s="1"/>
  <c r="K33" i="21"/>
  <c r="N18" i="20"/>
  <c r="N38" i="20"/>
  <c r="N2" i="20"/>
  <c r="N3" i="20"/>
  <c r="N5" i="20"/>
  <c r="N46" i="20"/>
  <c r="N83" i="20" s="1"/>
  <c r="N100" i="20" s="1"/>
  <c r="N15" i="20"/>
  <c r="N16" i="20" s="1"/>
  <c r="N62" i="20" s="1"/>
  <c r="N84" i="20" s="1"/>
  <c r="N33" i="20"/>
  <c r="N79" i="20" s="1"/>
  <c r="N4" i="20"/>
  <c r="M49" i="20"/>
  <c r="M81" i="20" s="1"/>
  <c r="M50" i="20"/>
  <c r="M68" i="20" s="1"/>
  <c r="M89" i="20" s="1"/>
  <c r="M51" i="20"/>
  <c r="M76" i="20" s="1"/>
  <c r="M97" i="20" s="1"/>
  <c r="N49" i="20"/>
  <c r="N81" i="20" s="1"/>
  <c r="N50" i="20"/>
  <c r="N68" i="20" s="1"/>
  <c r="N89" i="20" s="1"/>
  <c r="N51" i="20"/>
  <c r="N76" i="20" s="1"/>
  <c r="N97" i="20" s="1"/>
  <c r="O49" i="20"/>
  <c r="O81" i="20" s="1"/>
  <c r="O50" i="20"/>
  <c r="O68" i="20" s="1"/>
  <c r="O89" i="20" s="1"/>
  <c r="O51" i="20"/>
  <c r="O76" i="20" s="1"/>
  <c r="O97" i="20" s="1"/>
  <c r="F92" i="20"/>
  <c r="K35" i="20"/>
  <c r="K66" i="20" s="1"/>
  <c r="K36" i="20"/>
  <c r="K39" i="20"/>
  <c r="R2" i="20"/>
  <c r="R3" i="20"/>
  <c r="R4" i="20"/>
  <c r="R33" i="20"/>
  <c r="R79" i="20" s="1"/>
  <c r="R5" i="20"/>
  <c r="R38" i="20"/>
  <c r="R40" i="20" s="1"/>
  <c r="K27" i="20"/>
  <c r="K63" i="20" s="1"/>
  <c r="K85" i="20" s="1"/>
  <c r="K31" i="20"/>
  <c r="K72" i="20" s="1"/>
  <c r="K93" i="20" s="1"/>
  <c r="K29" i="20"/>
  <c r="K69" i="20" s="1"/>
  <c r="K90" i="20" s="1"/>
  <c r="K19" i="20"/>
  <c r="K28" i="20"/>
  <c r="K70" i="20" s="1"/>
  <c r="K91" i="20" s="1"/>
  <c r="K30" i="20"/>
  <c r="K71" i="20" s="1"/>
  <c r="K92" i="20" s="1"/>
  <c r="K20" i="20"/>
  <c r="F97" i="20"/>
  <c r="M38" i="20"/>
  <c r="M2" i="20"/>
  <c r="M33" i="20"/>
  <c r="M79" i="20" s="1"/>
  <c r="M3" i="20"/>
  <c r="M5" i="20"/>
  <c r="M46" i="20"/>
  <c r="M83" i="20" s="1"/>
  <c r="M100" i="20" s="1"/>
  <c r="M15" i="20"/>
  <c r="M16" i="20" s="1"/>
  <c r="M62" i="20" s="1"/>
  <c r="M84" i="20" s="1"/>
  <c r="M4" i="20"/>
  <c r="K49" i="20"/>
  <c r="K81" i="20" s="1"/>
  <c r="K50" i="20"/>
  <c r="K68" i="20" s="1"/>
  <c r="K89" i="20" s="1"/>
  <c r="K51" i="20"/>
  <c r="K76" i="20" s="1"/>
  <c r="K97" i="20" s="1"/>
  <c r="F93" i="20"/>
  <c r="L32" i="20"/>
  <c r="O27" i="20"/>
  <c r="O63" i="20" s="1"/>
  <c r="O85" i="20" s="1"/>
  <c r="O28" i="20"/>
  <c r="O70" i="20" s="1"/>
  <c r="O91" i="20" s="1"/>
  <c r="O19" i="20"/>
  <c r="O29" i="20"/>
  <c r="O69" i="20" s="1"/>
  <c r="O90" i="20" s="1"/>
  <c r="O20" i="20"/>
  <c r="O30" i="20"/>
  <c r="O71" i="20" s="1"/>
  <c r="O92" i="20" s="1"/>
  <c r="O31" i="20"/>
  <c r="O72" i="20" s="1"/>
  <c r="O93" i="20" s="1"/>
  <c r="O53" i="20"/>
  <c r="O55" i="20"/>
  <c r="O57" i="20"/>
  <c r="L47" i="20"/>
  <c r="O39" i="20"/>
  <c r="O35" i="20"/>
  <c r="O66" i="20" s="1"/>
  <c r="O36" i="20"/>
  <c r="M18" i="20"/>
  <c r="K53" i="20"/>
  <c r="K57" i="20"/>
  <c r="K55" i="20"/>
  <c r="K40" i="20"/>
  <c r="F84" i="19"/>
  <c r="J74" i="19"/>
  <c r="G70" i="19"/>
  <c r="G80" i="19" s="1"/>
  <c r="G50" i="19"/>
  <c r="J116" i="19"/>
  <c r="J117" i="19"/>
  <c r="F66" i="19"/>
  <c r="J47" i="19"/>
  <c r="J28" i="19"/>
  <c r="F45" i="19"/>
  <c r="F49" i="19" s="1"/>
  <c r="J48" i="19"/>
  <c r="J111" i="19"/>
  <c r="J76" i="19"/>
  <c r="G52" i="19"/>
  <c r="G72" i="19"/>
  <c r="G82" i="19" s="1"/>
  <c r="F73" i="19"/>
  <c r="J64" i="19"/>
  <c r="J44" i="19"/>
  <c r="F72" i="19"/>
  <c r="AJ130" i="18"/>
  <c r="AJ131" i="18"/>
  <c r="AJ92" i="18"/>
  <c r="S172" i="18"/>
  <c r="S162" i="18" s="1"/>
  <c r="AJ133" i="18"/>
  <c r="S68" i="18"/>
  <c r="S161" i="18"/>
  <c r="S171" i="18" s="1"/>
  <c r="AJ91" i="18"/>
  <c r="AJ159" i="18"/>
  <c r="Y221" i="17"/>
  <c r="Y211" i="17" s="1"/>
  <c r="Y191" i="17"/>
  <c r="AE169" i="17"/>
  <c r="O162" i="17"/>
  <c r="O161" i="17"/>
  <c r="W217" i="17"/>
  <c r="W207" i="17" s="1"/>
  <c r="W220" i="17"/>
  <c r="W210" i="17" s="1"/>
  <c r="W218" i="17"/>
  <c r="W208" i="17" s="1"/>
  <c r="W40" i="17"/>
  <c r="T221" i="17"/>
  <c r="T211" i="17" s="1"/>
  <c r="T191" i="17"/>
  <c r="I162" i="17"/>
  <c r="I161" i="17"/>
  <c r="H162" i="17"/>
  <c r="H161" i="17"/>
  <c r="U157" i="17"/>
  <c r="U159" i="17" s="1"/>
  <c r="U219" i="17" s="1"/>
  <c r="U209" i="17" s="1"/>
  <c r="T159" i="17"/>
  <c r="T219" i="17" s="1"/>
  <c r="T209" i="17" s="1"/>
  <c r="P167" i="17"/>
  <c r="P168" i="17"/>
  <c r="P179" i="17"/>
  <c r="P180" i="17" s="1"/>
  <c r="F157" i="17"/>
  <c r="F158" i="17"/>
  <c r="AJ156" i="17"/>
  <c r="S169" i="17"/>
  <c r="R158" i="17"/>
  <c r="R157" i="17"/>
  <c r="R159" i="17" s="1"/>
  <c r="R219" i="17" s="1"/>
  <c r="R209" i="17" s="1"/>
  <c r="X169" i="17"/>
  <c r="AJ206" i="17"/>
  <c r="S113" i="17"/>
  <c r="S31" i="17"/>
  <c r="S18" i="17"/>
  <c r="S24" i="17" s="1"/>
  <c r="S13" i="17"/>
  <c r="S20" i="17" s="1"/>
  <c r="AB191" i="17"/>
  <c r="AB221" i="17"/>
  <c r="AB211" i="17" s="1"/>
  <c r="R161" i="17"/>
  <c r="R162" i="17"/>
  <c r="Q179" i="17"/>
  <c r="Q180" i="17" s="1"/>
  <c r="S157" i="17"/>
  <c r="S158" i="17"/>
  <c r="F202" i="17"/>
  <c r="P162" i="17"/>
  <c r="P161" i="17"/>
  <c r="U221" i="17"/>
  <c r="U211" i="17" s="1"/>
  <c r="U191" i="17"/>
  <c r="AD159" i="17"/>
  <c r="AD219" i="17" s="1"/>
  <c r="AD209" i="17" s="1"/>
  <c r="S161" i="17"/>
  <c r="S162" i="17"/>
  <c r="F180" i="17"/>
  <c r="G175" i="17"/>
  <c r="F197" i="17"/>
  <c r="P196" i="17"/>
  <c r="P197" i="17" s="1"/>
  <c r="AD191" i="17"/>
  <c r="AD221" i="17"/>
  <c r="AD211" i="17" s="1"/>
  <c r="G168" i="17"/>
  <c r="G167" i="17"/>
  <c r="G169" i="17" s="1"/>
  <c r="F205" i="17"/>
  <c r="AJ188" i="17"/>
  <c r="V161" i="17"/>
  <c r="V162" i="17"/>
  <c r="I169" i="17"/>
  <c r="O167" i="17"/>
  <c r="O168" i="17"/>
  <c r="T161" i="17"/>
  <c r="T162" i="17"/>
  <c r="Q169" i="17"/>
  <c r="S88" i="17"/>
  <c r="S87" i="17" s="1"/>
  <c r="AC191" i="17"/>
  <c r="AC221" i="17"/>
  <c r="AC211" i="17" s="1"/>
  <c r="G198" i="17"/>
  <c r="G202" i="17" s="1"/>
  <c r="G84" i="17"/>
  <c r="AJ84" i="17" s="1"/>
  <c r="G59" i="17"/>
  <c r="AJ59" i="17" s="1"/>
  <c r="AB162" i="17"/>
  <c r="AB161" i="17"/>
  <c r="S17" i="17"/>
  <c r="AE159" i="17"/>
  <c r="AE219" i="17" s="1"/>
  <c r="AE209" i="17" s="1"/>
  <c r="O175" i="17"/>
  <c r="G159" i="17"/>
  <c r="G219" i="17" s="1"/>
  <c r="G209" i="17" s="1"/>
  <c r="H191" i="17"/>
  <c r="AC159" i="17"/>
  <c r="AC219" i="17" s="1"/>
  <c r="AC209" i="17" s="1"/>
  <c r="Z159" i="17"/>
  <c r="Z219" i="17" s="1"/>
  <c r="Z209" i="17" s="1"/>
  <c r="G162" i="17"/>
  <c r="G163" i="17" s="1"/>
  <c r="G161" i="17"/>
  <c r="Y161" i="17"/>
  <c r="Y162" i="17"/>
  <c r="F175" i="17"/>
  <c r="AJ173" i="17"/>
  <c r="W169" i="17"/>
  <c r="U161" i="17"/>
  <c r="U162" i="17"/>
  <c r="Z221" i="17"/>
  <c r="Z211" i="17" s="1"/>
  <c r="Z191" i="17"/>
  <c r="X217" i="17"/>
  <c r="X207" i="17" s="1"/>
  <c r="X220" i="17"/>
  <c r="X210" i="17" s="1"/>
  <c r="X218" i="17"/>
  <c r="X208" i="17" s="1"/>
  <c r="X40" i="17"/>
  <c r="AJ167" i="17"/>
  <c r="F169" i="17"/>
  <c r="Q162" i="17"/>
  <c r="Q161" i="17"/>
  <c r="V169" i="17"/>
  <c r="AE163" i="17"/>
  <c r="AD162" i="17"/>
  <c r="AD161" i="17"/>
  <c r="AC162" i="17"/>
  <c r="AC161" i="17"/>
  <c r="Z162" i="17"/>
  <c r="Z161" i="17"/>
  <c r="AJ178" i="17"/>
  <c r="O159" i="17"/>
  <c r="O219" i="17" s="1"/>
  <c r="O209" i="17" s="1"/>
  <c r="F185" i="17"/>
  <c r="AJ185" i="17" s="1"/>
  <c r="AJ184" i="17"/>
  <c r="AA169" i="17"/>
  <c r="AA159" i="17"/>
  <c r="AA219" i="17" s="1"/>
  <c r="AA209" i="17" s="1"/>
  <c r="H175" i="17"/>
  <c r="H221" i="17" s="1"/>
  <c r="H211" i="17" s="1"/>
  <c r="AA162" i="17"/>
  <c r="AA161" i="17"/>
  <c r="P31" i="16"/>
  <c r="AH32" i="16"/>
  <c r="AB12" i="16"/>
  <c r="AB10" i="16"/>
  <c r="AB11" i="16" s="1"/>
  <c r="AB14" i="16" s="1"/>
  <c r="P32" i="16"/>
  <c r="R31" i="16"/>
  <c r="O24" i="16"/>
  <c r="O25" i="16" s="1"/>
  <c r="O26" i="16"/>
  <c r="O29" i="16" s="1"/>
  <c r="O32" i="16" s="1"/>
  <c r="T32" i="16"/>
  <c r="AD24" i="16"/>
  <c r="AD25" i="16" s="1"/>
  <c r="AD28" i="16" s="1"/>
  <c r="AD31" i="16" s="1"/>
  <c r="AD26" i="16"/>
  <c r="AJ7" i="16"/>
  <c r="Q32" i="16"/>
  <c r="G10" i="16"/>
  <c r="G11" i="16" s="1"/>
  <c r="G12" i="16"/>
  <c r="AJ9" i="16"/>
  <c r="F10" i="16"/>
  <c r="F12" i="16"/>
  <c r="AH31" i="16"/>
  <c r="AB19" i="16"/>
  <c r="AB17" i="16"/>
  <c r="AB18" i="16" s="1"/>
  <c r="AB21" i="16" s="1"/>
  <c r="AB31" i="16" s="1"/>
  <c r="AJ30" i="16"/>
  <c r="I26" i="16"/>
  <c r="I24" i="16"/>
  <c r="I25" i="16" s="1"/>
  <c r="AC24" i="16"/>
  <c r="AC25" i="16" s="1"/>
  <c r="AC28" i="16" s="1"/>
  <c r="AC26" i="16"/>
  <c r="AJ16" i="16"/>
  <c r="G19" i="16"/>
  <c r="G17" i="16"/>
  <c r="AC19" i="16"/>
  <c r="AC17" i="16"/>
  <c r="AC18" i="16" s="1"/>
  <c r="AC21" i="16" s="1"/>
  <c r="AF31" i="16"/>
  <c r="Q31" i="16"/>
  <c r="W32" i="16"/>
  <c r="I10" i="16"/>
  <c r="I11" i="16" s="1"/>
  <c r="I12" i="16"/>
  <c r="I15" i="16" s="1"/>
  <c r="AC10" i="16"/>
  <c r="AC11" i="16" s="1"/>
  <c r="AC14" i="16" s="1"/>
  <c r="AC12" i="16"/>
  <c r="AD19" i="16"/>
  <c r="AD17" i="16"/>
  <c r="AD18" i="16" s="1"/>
  <c r="AD21" i="16" s="1"/>
  <c r="H17" i="16"/>
  <c r="H18" i="16" s="1"/>
  <c r="H19" i="16"/>
  <c r="T31" i="16"/>
  <c r="H24" i="16"/>
  <c r="H26" i="16"/>
  <c r="AJ23" i="16"/>
  <c r="T22" i="16"/>
  <c r="AA10" i="16"/>
  <c r="AA11" i="16" s="1"/>
  <c r="AA14" i="16" s="1"/>
  <c r="AA31" i="16" s="1"/>
  <c r="AA12" i="16"/>
  <c r="AA15" i="16" s="1"/>
  <c r="AA32" i="16" s="1"/>
  <c r="R32" i="16"/>
  <c r="S15" i="16"/>
  <c r="S32" i="16" s="1"/>
  <c r="I19" i="16"/>
  <c r="I17" i="16"/>
  <c r="I18" i="16" s="1"/>
  <c r="AE26" i="16"/>
  <c r="AE24" i="16"/>
  <c r="AE25" i="16" s="1"/>
  <c r="AE28" i="16" s="1"/>
  <c r="AE31" i="16" s="1"/>
  <c r="AF32" i="16"/>
  <c r="H10" i="16"/>
  <c r="H11" i="16" s="1"/>
  <c r="H12" i="16"/>
  <c r="X32" i="16"/>
  <c r="BO4" i="15"/>
  <c r="BO3" i="15"/>
  <c r="BH148" i="15"/>
  <c r="D4" i="15"/>
  <c r="BP156" i="15"/>
  <c r="BP4" i="15" s="1"/>
  <c r="BJ150" i="15"/>
  <c r="BG147" i="15"/>
  <c r="BN154" i="15"/>
  <c r="BM153" i="15"/>
  <c r="BK151" i="15"/>
  <c r="BF146" i="15"/>
  <c r="BI149" i="15"/>
  <c r="BL152" i="15"/>
  <c r="BE145" i="15"/>
  <c r="N69" i="14"/>
  <c r="M69" i="14"/>
  <c r="F74" i="14"/>
  <c r="F70" i="14"/>
  <c r="M52" i="14"/>
  <c r="E140" i="4"/>
  <c r="AW138" i="4"/>
  <c r="AW139" i="4"/>
  <c r="AW154" i="4"/>
  <c r="AW155" i="4"/>
  <c r="AW77" i="4"/>
  <c r="AW78" i="4"/>
  <c r="AW36" i="4"/>
  <c r="AW35" i="4"/>
  <c r="AW57" i="4"/>
  <c r="AW56" i="4"/>
  <c r="E147" i="4"/>
  <c r="AW146" i="4"/>
  <c r="AW145" i="4"/>
  <c r="E133" i="4"/>
  <c r="AW132" i="4"/>
  <c r="AW131" i="4"/>
  <c r="AW98" i="4"/>
  <c r="AW99" i="4"/>
  <c r="AW28" i="4"/>
  <c r="AW29" i="4"/>
  <c r="AE1173" i="2"/>
  <c r="AB1173" i="2" s="1"/>
  <c r="AE1127" i="2"/>
  <c r="AB1127" i="2" s="1"/>
  <c r="AE968" i="2"/>
  <c r="AB968" i="2" s="1"/>
  <c r="AE872" i="2"/>
  <c r="AB872" i="2" s="1"/>
  <c r="AE788" i="2"/>
  <c r="AB788" i="2" s="1"/>
  <c r="AE734" i="2"/>
  <c r="AB734" i="2" s="1"/>
  <c r="AE536" i="2"/>
  <c r="AB536" i="2" s="1"/>
  <c r="AE222" i="2"/>
  <c r="AB222" i="2" s="1"/>
  <c r="AE284" i="2"/>
  <c r="AC284" i="2" s="1"/>
  <c r="AE175" i="2"/>
  <c r="AB175" i="2" s="1"/>
  <c r="AE934" i="2"/>
  <c r="AB934" i="2" s="1"/>
  <c r="AE943" i="2"/>
  <c r="AE944" i="2"/>
  <c r="AC944" i="2" s="1"/>
  <c r="AE887" i="2"/>
  <c r="AB887" i="2" s="1"/>
  <c r="AE849" i="2"/>
  <c r="AB849" i="2" s="1"/>
  <c r="AE743" i="2"/>
  <c r="AC743" i="2" s="1"/>
  <c r="AB743" i="2"/>
  <c r="AE625" i="2"/>
  <c r="AB625" i="2" s="1"/>
  <c r="AE514" i="2"/>
  <c r="AB514" i="2" s="1"/>
  <c r="AE250" i="2"/>
  <c r="AB250" i="2" s="1"/>
  <c r="AE245" i="2"/>
  <c r="AB245" i="2" s="1"/>
  <c r="AE123" i="2"/>
  <c r="AB123" i="2" s="1"/>
  <c r="AE1132" i="2"/>
  <c r="AB1132" i="2" s="1"/>
  <c r="AE1183" i="2"/>
  <c r="AE1184" i="2"/>
  <c r="AB1184" i="2" s="1"/>
  <c r="AE948" i="2"/>
  <c r="AE949" i="2"/>
  <c r="AB949" i="2" s="1"/>
  <c r="AE622" i="2"/>
  <c r="AB622" i="2" s="1"/>
  <c r="AE589" i="2"/>
  <c r="AB589" i="2" s="1"/>
  <c r="AE524" i="2"/>
  <c r="AB524" i="2" s="1"/>
  <c r="AE430" i="2"/>
  <c r="AB430" i="2" s="1"/>
  <c r="AE342" i="2"/>
  <c r="AB342" i="2" s="1"/>
  <c r="AE193" i="2"/>
  <c r="AB193" i="2" s="1"/>
  <c r="AE229" i="2"/>
  <c r="AB229" i="2" s="1"/>
  <c r="AE169" i="2"/>
  <c r="AB169" i="2" s="1"/>
  <c r="AE1150" i="2"/>
  <c r="AE1151" i="2"/>
  <c r="AC1151" i="2" s="1"/>
  <c r="AE1024" i="2"/>
  <c r="AC1024" i="2" s="1"/>
  <c r="AE858" i="2"/>
  <c r="AB858" i="2" s="1"/>
  <c r="AE811" i="2"/>
  <c r="AB811" i="2" s="1"/>
  <c r="AE810" i="2"/>
  <c r="AE824" i="2"/>
  <c r="AC824" i="2" s="1"/>
  <c r="AE762" i="2"/>
  <c r="AB762" i="2" s="1"/>
  <c r="AE581" i="2"/>
  <c r="AB581" i="2" s="1"/>
  <c r="AE563" i="2"/>
  <c r="AC563" i="2" s="1"/>
  <c r="AE480" i="2"/>
  <c r="AB480" i="2" s="1"/>
  <c r="AE360" i="2"/>
  <c r="AB360" i="2" s="1"/>
  <c r="AE347" i="2"/>
  <c r="AB347" i="2" s="1"/>
  <c r="AE383" i="2"/>
  <c r="AB383" i="2" s="1"/>
  <c r="AC193" i="2"/>
  <c r="AE224" i="2"/>
  <c r="AB224" i="2" s="1"/>
  <c r="AB94" i="2"/>
  <c r="AE94" i="2"/>
  <c r="AE126" i="2"/>
  <c r="AC126" i="2" s="1"/>
  <c r="AE1125" i="2"/>
  <c r="AB1125" i="2" s="1"/>
  <c r="AE1119" i="2"/>
  <c r="AB1119" i="2" s="1"/>
  <c r="AE933" i="2"/>
  <c r="AC933" i="2" s="1"/>
  <c r="AE926" i="2"/>
  <c r="AB926" i="2" s="1"/>
  <c r="AE850" i="2"/>
  <c r="AB850" i="2" s="1"/>
  <c r="AE855" i="2"/>
  <c r="AB855" i="2" s="1"/>
  <c r="AE761" i="2"/>
  <c r="AB761" i="2" s="1"/>
  <c r="AE643" i="2"/>
  <c r="AC643" i="2" s="1"/>
  <c r="AC480" i="2"/>
  <c r="AE472" i="2"/>
  <c r="AB472" i="2" s="1"/>
  <c r="AE445" i="2"/>
  <c r="AB445" i="2" s="1"/>
  <c r="AE358" i="2"/>
  <c r="AB358" i="2" s="1"/>
  <c r="AB304" i="2"/>
  <c r="AE304" i="2"/>
  <c r="AE218" i="2"/>
  <c r="AC218" i="2" s="1"/>
  <c r="AE113" i="2"/>
  <c r="AE1111" i="2"/>
  <c r="AE1112" i="2"/>
  <c r="AC1112" i="2" s="1"/>
  <c r="AE1128" i="2"/>
  <c r="AB1128" i="2" s="1"/>
  <c r="AE802" i="2"/>
  <c r="AB802" i="2" s="1"/>
  <c r="AE808" i="2"/>
  <c r="AB808" i="2" s="1"/>
  <c r="AE807" i="2"/>
  <c r="AE765" i="2"/>
  <c r="AB765" i="2" s="1"/>
  <c r="AC734" i="2"/>
  <c r="AE282" i="2"/>
  <c r="AC282" i="2" s="1"/>
  <c r="AE235" i="2"/>
  <c r="AB235" i="2" s="1"/>
  <c r="AE1113" i="2"/>
  <c r="AB1113" i="2" s="1"/>
  <c r="AE1107" i="2"/>
  <c r="AC1107" i="2" s="1"/>
  <c r="AE613" i="2"/>
  <c r="AC613" i="2" s="1"/>
  <c r="AE539" i="2"/>
  <c r="AB539" i="2" s="1"/>
  <c r="AE521" i="2"/>
  <c r="AC521" i="2" s="1"/>
  <c r="AE533" i="2"/>
  <c r="AC533" i="2" s="1"/>
  <c r="AE396" i="2"/>
  <c r="AC396" i="2" s="1"/>
  <c r="AE308" i="2"/>
  <c r="AC308" i="2" s="1"/>
  <c r="AE303" i="2"/>
  <c r="AB303" i="2" s="1"/>
  <c r="AE225" i="2"/>
  <c r="AB225" i="2" s="1"/>
  <c r="AE121" i="2"/>
  <c r="AB121" i="2" s="1"/>
  <c r="AE984" i="2"/>
  <c r="AB984" i="2" s="1"/>
  <c r="AE861" i="2"/>
  <c r="AB861" i="2" s="1"/>
  <c r="AE790" i="2"/>
  <c r="AB790" i="2" s="1"/>
  <c r="AE789" i="2"/>
  <c r="AE525" i="2"/>
  <c r="AE526" i="2"/>
  <c r="AB526" i="2" s="1"/>
  <c r="AE551" i="2"/>
  <c r="AB551" i="2"/>
  <c r="AE450" i="2"/>
  <c r="AB450" i="2"/>
  <c r="AE440" i="2"/>
  <c r="AE441" i="2"/>
  <c r="AB441" i="2" s="1"/>
  <c r="AE393" i="2"/>
  <c r="AB393" i="2" s="1"/>
  <c r="AE93" i="2"/>
  <c r="AB93" i="2" s="1"/>
  <c r="AE101" i="2"/>
  <c r="AB101" i="2" s="1"/>
  <c r="AE1152" i="2"/>
  <c r="AB1152" i="2" s="1"/>
  <c r="AC1113" i="2"/>
  <c r="AB881" i="2"/>
  <c r="AE881" i="2"/>
  <c r="AE791" i="2"/>
  <c r="AB791" i="2" s="1"/>
  <c r="AE771" i="2"/>
  <c r="AB771" i="2" s="1"/>
  <c r="AE646" i="2"/>
  <c r="AB646" i="2" s="1"/>
  <c r="AE637" i="2"/>
  <c r="AC637" i="2" s="1"/>
  <c r="AE510" i="2"/>
  <c r="AC510" i="2" s="1"/>
  <c r="AE485" i="2"/>
  <c r="AB485" i="2" s="1"/>
  <c r="AE484" i="2"/>
  <c r="AE439" i="2"/>
  <c r="AB439" i="2" s="1"/>
  <c r="AE302" i="2"/>
  <c r="AB302" i="2" s="1"/>
  <c r="AE252" i="2"/>
  <c r="AB252" i="2" s="1"/>
  <c r="AE99" i="2"/>
  <c r="AB99" i="2" s="1"/>
  <c r="AE134" i="2"/>
  <c r="AB134" i="2" s="1"/>
  <c r="AE940" i="2"/>
  <c r="AB940" i="2" s="1"/>
  <c r="AE927" i="2"/>
  <c r="AC927" i="2" s="1"/>
  <c r="AE878" i="2"/>
  <c r="AB878" i="2" s="1"/>
  <c r="AE677" i="2"/>
  <c r="AB677" i="2" s="1"/>
  <c r="AE678" i="2"/>
  <c r="AC678" i="2" s="1"/>
  <c r="AE473" i="2"/>
  <c r="AC473" i="2" s="1"/>
  <c r="AB119" i="2"/>
  <c r="AE119" i="2"/>
  <c r="AC119" i="2" s="1"/>
  <c r="AE1209" i="2"/>
  <c r="AB1209" i="2" s="1"/>
  <c r="AC934" i="2"/>
  <c r="AE876" i="2"/>
  <c r="AB876" i="2" s="1"/>
  <c r="AE661" i="2"/>
  <c r="AB661" i="2" s="1"/>
  <c r="AE593" i="2"/>
  <c r="AC593" i="2" s="1"/>
  <c r="AE636" i="2"/>
  <c r="AB636" i="2" s="1"/>
  <c r="AE635" i="2"/>
  <c r="AE503" i="2"/>
  <c r="AB503" i="2" s="1"/>
  <c r="AE488" i="2"/>
  <c r="AB488" i="2" s="1"/>
  <c r="AE500" i="2"/>
  <c r="AB500" i="2" s="1"/>
  <c r="AE361" i="2"/>
  <c r="AB361" i="2" s="1"/>
  <c r="AE281" i="2"/>
  <c r="AB281" i="2" s="1"/>
  <c r="AE267" i="2"/>
  <c r="AC267" i="2" s="1"/>
  <c r="AE154" i="2"/>
  <c r="AB154" i="2" s="1"/>
  <c r="AC1119" i="2"/>
  <c r="AE931" i="2"/>
  <c r="AB931" i="2" s="1"/>
  <c r="AE812" i="2"/>
  <c r="AB812" i="2" s="1"/>
  <c r="AE517" i="2"/>
  <c r="AB517" i="2" s="1"/>
  <c r="AE527" i="2"/>
  <c r="AB527" i="2" s="1"/>
  <c r="AC503" i="2"/>
  <c r="AE443" i="2"/>
  <c r="AE444" i="2"/>
  <c r="AB444" i="2" s="1"/>
  <c r="AE404" i="2"/>
  <c r="AC404" i="2" s="1"/>
  <c r="AB404" i="2"/>
  <c r="AE345" i="2"/>
  <c r="AB345" i="2" s="1"/>
  <c r="AE344" i="2"/>
  <c r="AB344" i="2" s="1"/>
  <c r="AE286" i="2"/>
  <c r="AB286" i="2" s="1"/>
  <c r="AE1170" i="2"/>
  <c r="AC1170" i="2" s="1"/>
  <c r="AE568" i="2"/>
  <c r="AB568" i="2" s="1"/>
  <c r="AC526" i="2"/>
  <c r="AE557" i="2"/>
  <c r="AB557" i="2" s="1"/>
  <c r="AE374" i="2"/>
  <c r="AB374" i="2" s="1"/>
  <c r="AE442" i="2"/>
  <c r="AB442" i="2" s="1"/>
  <c r="AE394" i="2"/>
  <c r="AB394" i="2" s="1"/>
  <c r="M277" i="2"/>
  <c r="L277" i="2"/>
  <c r="V277" i="2"/>
  <c r="W277" i="2" s="1"/>
  <c r="T277" i="2"/>
  <c r="S277" i="2"/>
  <c r="AE87" i="2"/>
  <c r="AB87" i="2" s="1"/>
  <c r="AE1037" i="2"/>
  <c r="AC1037" i="2" s="1"/>
  <c r="AE778" i="2"/>
  <c r="AB778" i="2" s="1"/>
  <c r="AE738" i="2"/>
  <c r="AE739" i="2"/>
  <c r="AB739" i="2" s="1"/>
  <c r="AE550" i="2"/>
  <c r="AB550" i="2" s="1"/>
  <c r="AE549" i="2"/>
  <c r="AE300" i="2"/>
  <c r="AB300" i="2" s="1"/>
  <c r="AE83" i="2"/>
  <c r="AB83" i="2" s="1"/>
  <c r="AE920" i="2"/>
  <c r="AB920" i="2" s="1"/>
  <c r="AE823" i="2"/>
  <c r="AB823" i="2" s="1"/>
  <c r="AE822" i="2"/>
  <c r="AE817" i="2"/>
  <c r="AC817" i="2" s="1"/>
  <c r="AE816" i="2"/>
  <c r="AE763" i="2"/>
  <c r="AB763" i="2" s="1"/>
  <c r="AE773" i="2"/>
  <c r="AC773" i="2" s="1"/>
  <c r="AE728" i="2"/>
  <c r="AB728" i="2" s="1"/>
  <c r="AC646" i="2"/>
  <c r="AE605" i="2"/>
  <c r="AB605" i="2" s="1"/>
  <c r="AE554" i="2"/>
  <c r="AB554" i="2" s="1"/>
  <c r="AE478" i="2"/>
  <c r="AB478" i="2" s="1"/>
  <c r="AE325" i="2"/>
  <c r="AC325" i="2" s="1"/>
  <c r="AE327" i="2"/>
  <c r="AE328" i="2"/>
  <c r="AB328" i="2" s="1"/>
  <c r="AE725" i="2"/>
  <c r="AB725" i="2" s="1"/>
  <c r="AE740" i="2"/>
  <c r="AB740" i="2" s="1"/>
  <c r="AE611" i="2"/>
  <c r="AE612" i="2"/>
  <c r="AC612" i="2" s="1"/>
  <c r="AE634" i="2"/>
  <c r="AB634" i="2" s="1"/>
  <c r="AE587" i="2"/>
  <c r="AB587" i="2" s="1"/>
  <c r="AC557" i="2"/>
  <c r="AE436" i="2"/>
  <c r="AB436" i="2" s="1"/>
  <c r="AE296" i="2"/>
  <c r="AC296" i="2" s="1"/>
  <c r="AE240" i="2"/>
  <c r="AB240" i="2" s="1"/>
  <c r="AE172" i="2"/>
  <c r="AB172" i="2" s="1"/>
  <c r="AC93" i="2"/>
  <c r="W1230" i="2"/>
  <c r="W37" i="2" s="1"/>
  <c r="V37" i="2"/>
  <c r="AE1182" i="2"/>
  <c r="AB1182" i="2" s="1"/>
  <c r="AE1265" i="2"/>
  <c r="AC1265" i="2" s="1"/>
  <c r="AB1265" i="2"/>
  <c r="AE1234" i="2"/>
  <c r="AB1234" i="2" s="1"/>
  <c r="S1230" i="2"/>
  <c r="AH1231" i="2" s="1"/>
  <c r="AE1231" i="2"/>
  <c r="AB1231" i="2" s="1"/>
  <c r="AE1197" i="2"/>
  <c r="AB1197" i="2" s="1"/>
  <c r="AE1215" i="2"/>
  <c r="AB1215" i="2" s="1"/>
  <c r="AE1177" i="2"/>
  <c r="AE1178" i="2"/>
  <c r="AC1178" i="2" s="1"/>
  <c r="AE1181" i="2"/>
  <c r="AB1181" i="2"/>
  <c r="AE1180" i="2"/>
  <c r="V1123" i="2"/>
  <c r="W1123" i="2" s="1"/>
  <c r="T1123" i="2"/>
  <c r="S1123" i="2"/>
  <c r="M1123" i="2"/>
  <c r="L1123" i="2"/>
  <c r="AK1123" i="2"/>
  <c r="AE1134" i="2"/>
  <c r="AB1134" i="2" s="1"/>
  <c r="AE1091" i="2"/>
  <c r="AC1091" i="2" s="1"/>
  <c r="AE1075" i="2"/>
  <c r="AB1075" i="2" s="1"/>
  <c r="AE985" i="2"/>
  <c r="AB985" i="2" s="1"/>
  <c r="AE969" i="2"/>
  <c r="AB969" i="2" s="1"/>
  <c r="AE891" i="2"/>
  <c r="AC891" i="2" s="1"/>
  <c r="AE904" i="2"/>
  <c r="AE905" i="2"/>
  <c r="AC905" i="2" s="1"/>
  <c r="M827" i="2"/>
  <c r="T827" i="2"/>
  <c r="S827" i="2"/>
  <c r="L827" i="2"/>
  <c r="AI827" i="2"/>
  <c r="V827" i="2"/>
  <c r="W827" i="2" s="1"/>
  <c r="AE854" i="2"/>
  <c r="AB854" i="2" s="1"/>
  <c r="AE795" i="2"/>
  <c r="AE796" i="2"/>
  <c r="AB796" i="2" s="1"/>
  <c r="AE768" i="2"/>
  <c r="AB768" i="2" s="1"/>
  <c r="AE785" i="2"/>
  <c r="AB785" i="2" s="1"/>
  <c r="AE839" i="2"/>
  <c r="AB839" i="2" s="1"/>
  <c r="AE754" i="2"/>
  <c r="AB754" i="2" s="1"/>
  <c r="AE726" i="2"/>
  <c r="AB726" i="2" s="1"/>
  <c r="AE670" i="2"/>
  <c r="AC670" i="2" s="1"/>
  <c r="AE638" i="2"/>
  <c r="AE639" i="2"/>
  <c r="AB639" i="2" s="1"/>
  <c r="AE522" i="2"/>
  <c r="AE523" i="2"/>
  <c r="AB523" i="2" s="1"/>
  <c r="AE556" i="2"/>
  <c r="AC556" i="2" s="1"/>
  <c r="AE555" i="2"/>
  <c r="AE499" i="2"/>
  <c r="AB499" i="2" s="1"/>
  <c r="AC439" i="2"/>
  <c r="AE370" i="2"/>
  <c r="AB370" i="2" s="1"/>
  <c r="M388" i="2"/>
  <c r="L388" i="2"/>
  <c r="V388" i="2"/>
  <c r="W388" i="2" s="1"/>
  <c r="T388" i="2"/>
  <c r="S388" i="2"/>
  <c r="AE357" i="2"/>
  <c r="AC357" i="2" s="1"/>
  <c r="AE323" i="2"/>
  <c r="AB323" i="2" s="1"/>
  <c r="AE314" i="2"/>
  <c r="AB314" i="2" s="1"/>
  <c r="AE285" i="2"/>
  <c r="AB285" i="2" s="1"/>
  <c r="AE312" i="2"/>
  <c r="AB312" i="2" s="1"/>
  <c r="AE289" i="2"/>
  <c r="AB289" i="2" s="1"/>
  <c r="AE238" i="2"/>
  <c r="AB238" i="2" s="1"/>
  <c r="AE253" i="2"/>
  <c r="AB253" i="2" s="1"/>
  <c r="M276" i="2"/>
  <c r="L276" i="2"/>
  <c r="T276" i="2"/>
  <c r="V276" i="2"/>
  <c r="W276" i="2" s="1"/>
  <c r="S276" i="2"/>
  <c r="AE162" i="2"/>
  <c r="AB162" i="2" s="1"/>
  <c r="AE767" i="2"/>
  <c r="AC767" i="2" s="1"/>
  <c r="AE1221" i="2"/>
  <c r="AB1221" i="2" s="1"/>
  <c r="AC94" i="2"/>
  <c r="AE185" i="2"/>
  <c r="AB185" i="2" s="1"/>
  <c r="AE980" i="2"/>
  <c r="AB980" i="2" s="1"/>
  <c r="AE1095" i="2"/>
  <c r="AB1095" i="2" s="1"/>
  <c r="AE98" i="2"/>
  <c r="AB98" i="2" s="1"/>
  <c r="AE1236" i="2"/>
  <c r="AB1236" i="2" s="1"/>
  <c r="AE1106" i="2"/>
  <c r="AB1106" i="2" s="1"/>
  <c r="AE1105" i="2"/>
  <c r="AE1218" i="2"/>
  <c r="AB1218" i="2" s="1"/>
  <c r="AE1246" i="2"/>
  <c r="AB1246" i="2" s="1"/>
  <c r="AE1239" i="2"/>
  <c r="AB1239" i="2" s="1"/>
  <c r="AE1145" i="2"/>
  <c r="AC1145" i="2" s="1"/>
  <c r="AE1266" i="2"/>
  <c r="AC1266" i="2" s="1"/>
  <c r="AE1243" i="2"/>
  <c r="AC1243" i="2" s="1"/>
  <c r="AE1261" i="2"/>
  <c r="AB1261" i="2" s="1"/>
  <c r="T1227" i="2"/>
  <c r="AE1216" i="2"/>
  <c r="AB1216" i="2" s="1"/>
  <c r="AE1185" i="2"/>
  <c r="AB1185" i="2" s="1"/>
  <c r="AE1205" i="2"/>
  <c r="AC1205" i="2" s="1"/>
  <c r="AE1146" i="2"/>
  <c r="AB1146" i="2" s="1"/>
  <c r="AE1142" i="2"/>
  <c r="AB1142" i="2" s="1"/>
  <c r="AE1100" i="2"/>
  <c r="AB1100" i="2" s="1"/>
  <c r="AE1099" i="2"/>
  <c r="AE1056" i="2"/>
  <c r="AB1056" i="2" s="1"/>
  <c r="AE1076" i="2"/>
  <c r="AB1076" i="2" s="1"/>
  <c r="AE1013" i="2"/>
  <c r="AB1013" i="2" s="1"/>
  <c r="AE1065" i="2"/>
  <c r="AB1065" i="2" s="1"/>
  <c r="AE1044" i="2"/>
  <c r="AB1044" i="2" s="1"/>
  <c r="AE1023" i="2"/>
  <c r="AB1023" i="2" s="1"/>
  <c r="AE1045" i="2"/>
  <c r="AB1045" i="2" s="1"/>
  <c r="AE1004" i="2"/>
  <c r="AB1004" i="2" s="1"/>
  <c r="AE922" i="2"/>
  <c r="AB922" i="2" s="1"/>
  <c r="AE847" i="2"/>
  <c r="AB847" i="2" s="1"/>
  <c r="M803" i="2"/>
  <c r="T803" i="2"/>
  <c r="V803" i="2"/>
  <c r="W803" i="2" s="1"/>
  <c r="S803" i="2"/>
  <c r="AE801" i="2" s="1"/>
  <c r="AI803" i="2"/>
  <c r="L803" i="2"/>
  <c r="L782" i="2"/>
  <c r="V782" i="2"/>
  <c r="W782" i="2" s="1"/>
  <c r="T782" i="2"/>
  <c r="S782" i="2"/>
  <c r="M782" i="2"/>
  <c r="AI782" i="2"/>
  <c r="AE838" i="2"/>
  <c r="AC838" i="2" s="1"/>
  <c r="AE758" i="2"/>
  <c r="AB758" i="2" s="1"/>
  <c r="AC639" i="2"/>
  <c r="AE607" i="2"/>
  <c r="AB607" i="2" s="1"/>
  <c r="M477" i="2"/>
  <c r="L477" i="2"/>
  <c r="V477" i="2"/>
  <c r="W477" i="2" s="1"/>
  <c r="T477" i="2"/>
  <c r="S477" i="2"/>
  <c r="AE594" i="2"/>
  <c r="AB594" i="2" s="1"/>
  <c r="AE509" i="2"/>
  <c r="AB509" i="2" s="1"/>
  <c r="AE467" i="2"/>
  <c r="AB467" i="2" s="1"/>
  <c r="AC527" i="2"/>
  <c r="V471" i="2"/>
  <c r="W471" i="2" s="1"/>
  <c r="T471" i="2"/>
  <c r="S471" i="2"/>
  <c r="M471" i="2"/>
  <c r="L471" i="2"/>
  <c r="AE486" i="2"/>
  <c r="AC486" i="2" s="1"/>
  <c r="AC370" i="2"/>
  <c r="AE332" i="2"/>
  <c r="AB332" i="2" s="1"/>
  <c r="AE410" i="2"/>
  <c r="AB410" i="2" s="1"/>
  <c r="AE283" i="2"/>
  <c r="AB283" i="2" s="1"/>
  <c r="AE311" i="2"/>
  <c r="AB311" i="2" s="1"/>
  <c r="M259" i="2"/>
  <c r="V259" i="2"/>
  <c r="W259" i="2" s="1"/>
  <c r="S259" i="2"/>
  <c r="AK259" i="2"/>
  <c r="T259" i="2"/>
  <c r="L259" i="2"/>
  <c r="AJ208" i="2"/>
  <c r="AE299" i="2"/>
  <c r="AC299" i="2" s="1"/>
  <c r="L21" i="2"/>
  <c r="AE320" i="2"/>
  <c r="AB320" i="2" s="1"/>
  <c r="AJ21" i="2"/>
  <c r="AC250" i="2"/>
  <c r="AE249" i="2"/>
  <c r="AB249" i="2" s="1"/>
  <c r="AC235" i="2"/>
  <c r="AC253" i="2"/>
  <c r="AE213" i="2"/>
  <c r="AB213" i="2" s="1"/>
  <c r="AE146" i="2"/>
  <c r="AB146" i="2"/>
  <c r="AC1221" i="2"/>
  <c r="AE151" i="2"/>
  <c r="AB151" i="2" s="1"/>
  <c r="AE572" i="2"/>
  <c r="AB572" i="2" s="1"/>
  <c r="AE883" i="2"/>
  <c r="AB883" i="2" s="1"/>
  <c r="AE1219" i="2"/>
  <c r="AB1219" i="2" s="1"/>
  <c r="AE1241" i="2"/>
  <c r="AB1241" i="2" s="1"/>
  <c r="AB95" i="2"/>
  <c r="AE95" i="2"/>
  <c r="AC95" i="2" s="1"/>
  <c r="AE80" i="2"/>
  <c r="AB80" i="2" s="1"/>
  <c r="AE1248" i="2"/>
  <c r="AC1248" i="2" s="1"/>
  <c r="AE1263" i="2"/>
  <c r="AC1263" i="2" s="1"/>
  <c r="AE1225" i="2"/>
  <c r="AB1225" i="2" s="1"/>
  <c r="T1230" i="2"/>
  <c r="V1217" i="2"/>
  <c r="W1217" i="2" s="1"/>
  <c r="S1217" i="2"/>
  <c r="T1217" i="2"/>
  <c r="T1196" i="2" s="1"/>
  <c r="M1217" i="2"/>
  <c r="L1217" i="2"/>
  <c r="AE1208" i="2"/>
  <c r="AB1208" i="2" s="1"/>
  <c r="AE1149" i="2"/>
  <c r="AB1149" i="2" s="1"/>
  <c r="AE1120" i="2"/>
  <c r="AB1120" i="2" s="1"/>
  <c r="AB1093" i="2"/>
  <c r="AE1093" i="2"/>
  <c r="AE1070" i="2"/>
  <c r="AB1070" i="2" s="1"/>
  <c r="AE1006" i="2"/>
  <c r="AB1006" i="2" s="1"/>
  <c r="AE1039" i="2"/>
  <c r="AB1039" i="2" s="1"/>
  <c r="AC1023" i="2"/>
  <c r="AE1002" i="2"/>
  <c r="AB1002" i="2" s="1"/>
  <c r="AE982" i="2"/>
  <c r="AB982" i="2" s="1"/>
  <c r="AE993" i="2"/>
  <c r="AB993" i="2" s="1"/>
  <c r="AE921" i="2"/>
  <c r="AB921" i="2" s="1"/>
  <c r="AE884" i="2"/>
  <c r="AB884" i="2" s="1"/>
  <c r="AE903" i="2"/>
  <c r="AB903" i="2" s="1"/>
  <c r="AC926" i="2"/>
  <c r="AC850" i="2"/>
  <c r="AC811" i="2"/>
  <c r="AE837" i="2"/>
  <c r="AB837" i="2" s="1"/>
  <c r="AE870" i="2"/>
  <c r="AB870" i="2" s="1"/>
  <c r="AE723" i="2"/>
  <c r="AC723" i="2" s="1"/>
  <c r="AE727" i="2"/>
  <c r="AB727" i="2" s="1"/>
  <c r="AB746" i="2"/>
  <c r="AE746" i="2"/>
  <c r="AE722" i="2"/>
  <c r="AB722" i="2" s="1"/>
  <c r="T610" i="2"/>
  <c r="S610" i="2"/>
  <c r="L610" i="2"/>
  <c r="AI610" i="2"/>
  <c r="M610" i="2"/>
  <c r="V610" i="2"/>
  <c r="W610" i="2" s="1"/>
  <c r="M660" i="2"/>
  <c r="L660" i="2"/>
  <c r="V660" i="2"/>
  <c r="W660" i="2" s="1"/>
  <c r="T660" i="2"/>
  <c r="S660" i="2"/>
  <c r="AI660" i="2"/>
  <c r="AE476" i="2"/>
  <c r="AB476" i="2" s="1"/>
  <c r="T535" i="2"/>
  <c r="V535" i="2"/>
  <c r="W535" i="2" s="1"/>
  <c r="S535" i="2"/>
  <c r="M535" i="2"/>
  <c r="AI535" i="2"/>
  <c r="L535" i="2"/>
  <c r="AE497" i="2"/>
  <c r="AB497" i="2" s="1"/>
  <c r="AE463" i="2"/>
  <c r="AB463" i="2" s="1"/>
  <c r="AC514" i="2"/>
  <c r="AE429" i="2"/>
  <c r="AC429" i="2" s="1"/>
  <c r="AE384" i="2"/>
  <c r="AB384" i="2" s="1"/>
  <c r="AE408" i="2"/>
  <c r="AB408" i="2" s="1"/>
  <c r="AE449" i="2"/>
  <c r="AB449" i="2" s="1"/>
  <c r="AE448" i="2"/>
  <c r="AE375" i="2"/>
  <c r="AC375" i="2" s="1"/>
  <c r="AE317" i="2"/>
  <c r="AB317" i="2" s="1"/>
  <c r="AE310" i="2"/>
  <c r="AB310" i="2" s="1"/>
  <c r="AE255" i="2"/>
  <c r="AB255" i="2" s="1"/>
  <c r="W280" i="2"/>
  <c r="AE248" i="2"/>
  <c r="AB248" i="2" s="1"/>
  <c r="AE242" i="2"/>
  <c r="AB242" i="2" s="1"/>
  <c r="L270" i="2"/>
  <c r="V270" i="2"/>
  <c r="W270" i="2" s="1"/>
  <c r="T270" i="2"/>
  <c r="S270" i="2"/>
  <c r="M270" i="2"/>
  <c r="T268" i="2"/>
  <c r="L268" i="2"/>
  <c r="V268" i="2"/>
  <c r="W268" i="2" s="1"/>
  <c r="S268" i="2"/>
  <c r="M268" i="2"/>
  <c r="AE176" i="2"/>
  <c r="AC176" i="2" s="1"/>
  <c r="L19" i="2"/>
  <c r="AE167" i="2"/>
  <c r="AC167" i="2" s="1"/>
  <c r="AJ20" i="2"/>
  <c r="AE96" i="2"/>
  <c r="AB96" i="2" s="1"/>
  <c r="AE183" i="2"/>
  <c r="AB183" i="2" s="1"/>
  <c r="AE68" i="2"/>
  <c r="AB68" i="2" s="1"/>
  <c r="AC320" i="2"/>
  <c r="AE379" i="2"/>
  <c r="AB379" i="2" s="1"/>
  <c r="AE1240" i="2"/>
  <c r="AB1240" i="2" s="1"/>
  <c r="AE52" i="2"/>
  <c r="AB52" i="2" s="1"/>
  <c r="V76" i="2"/>
  <c r="W76" i="2" s="1"/>
  <c r="T76" i="2"/>
  <c r="S76" i="2"/>
  <c r="AI76" i="2"/>
  <c r="L76" i="2"/>
  <c r="M76" i="2"/>
  <c r="AE1245" i="2"/>
  <c r="AB1245" i="2" s="1"/>
  <c r="AE1253" i="2"/>
  <c r="AC1253" i="2" s="1"/>
  <c r="AE1222" i="2"/>
  <c r="AB1222" i="2" s="1"/>
  <c r="AC1181" i="2"/>
  <c r="AE1116" i="2"/>
  <c r="AC1116" i="2" s="1"/>
  <c r="AB1116" i="2"/>
  <c r="AE1032" i="2"/>
  <c r="AC1032" i="2" s="1"/>
  <c r="AE1028" i="2"/>
  <c r="AB1028" i="2" s="1"/>
  <c r="AC1039" i="2"/>
  <c r="AE1001" i="2"/>
  <c r="AB1001" i="2" s="1"/>
  <c r="AE975" i="2"/>
  <c r="AB975" i="2" s="1"/>
  <c r="AE914" i="2"/>
  <c r="AB914" i="2" s="1"/>
  <c r="AE913" i="2"/>
  <c r="AE894" i="2"/>
  <c r="AB894" i="2" s="1"/>
  <c r="AE899" i="2"/>
  <c r="AB899" i="2" s="1"/>
  <c r="AE911" i="2"/>
  <c r="AC911" i="2" s="1"/>
  <c r="AE892" i="2"/>
  <c r="AB892" i="2" s="1"/>
  <c r="AE846" i="2"/>
  <c r="AB846" i="2" s="1"/>
  <c r="AE798" i="2"/>
  <c r="AE799" i="2"/>
  <c r="AB799" i="2" s="1"/>
  <c r="AE836" i="2"/>
  <c r="AC836" i="2" s="1"/>
  <c r="AE867" i="2"/>
  <c r="AB867" i="2" s="1"/>
  <c r="AE766" i="2"/>
  <c r="AC766" i="2" s="1"/>
  <c r="AC791" i="2"/>
  <c r="M652" i="2"/>
  <c r="V652" i="2"/>
  <c r="W652" i="2" s="1"/>
  <c r="T652" i="2"/>
  <c r="S652" i="2"/>
  <c r="L652" i="2"/>
  <c r="AI652" i="2"/>
  <c r="AE640" i="2"/>
  <c r="AB640" i="2" s="1"/>
  <c r="V566" i="2"/>
  <c r="W566" i="2" s="1"/>
  <c r="T566" i="2"/>
  <c r="S566" i="2"/>
  <c r="M566" i="2"/>
  <c r="L566" i="2"/>
  <c r="AI566" i="2"/>
  <c r="AE663" i="2"/>
  <c r="AC663" i="2" s="1"/>
  <c r="AE662" i="2"/>
  <c r="AE446" i="2"/>
  <c r="AE447" i="2"/>
  <c r="AC447" i="2" s="1"/>
  <c r="AE495" i="2"/>
  <c r="AC495" i="2" s="1"/>
  <c r="AE496" i="2"/>
  <c r="AB496" i="2" s="1"/>
  <c r="AE491" i="2"/>
  <c r="AB491" i="2" s="1"/>
  <c r="AE419" i="2"/>
  <c r="AB419" i="2" s="1"/>
  <c r="AE428" i="2"/>
  <c r="AB428" i="2" s="1"/>
  <c r="AC450" i="2"/>
  <c r="AE315" i="2"/>
  <c r="AB315" i="2" s="1"/>
  <c r="AE355" i="2"/>
  <c r="AC355" i="2" s="1"/>
  <c r="AE367" i="2"/>
  <c r="AC367" i="2" s="1"/>
  <c r="AE377" i="2"/>
  <c r="AB377" i="2" s="1"/>
  <c r="AE397" i="2"/>
  <c r="AC397" i="2" s="1"/>
  <c r="AE368" i="2"/>
  <c r="AC368" i="2" s="1"/>
  <c r="AE295" i="2"/>
  <c r="AB295" i="2" s="1"/>
  <c r="AC304" i="2"/>
  <c r="M21" i="2"/>
  <c r="AE265" i="2"/>
  <c r="AB265" i="2" s="1"/>
  <c r="AE215" i="2"/>
  <c r="AC215" i="2" s="1"/>
  <c r="AC229" i="2"/>
  <c r="AE145" i="2"/>
  <c r="AC145" i="2" s="1"/>
  <c r="AE129" i="2"/>
  <c r="AC129" i="2" s="1"/>
  <c r="AE128" i="2"/>
  <c r="AB128" i="2" s="1"/>
  <c r="AE164" i="2"/>
  <c r="AB164" i="2" s="1"/>
  <c r="AE100" i="2"/>
  <c r="AB100" i="2" s="1"/>
  <c r="AE120" i="2"/>
  <c r="AB120" i="2" s="1"/>
  <c r="AC1044" i="2"/>
  <c r="AE247" i="2"/>
  <c r="AB247" i="2" s="1"/>
  <c r="AE577" i="2"/>
  <c r="AB577" i="2" s="1"/>
  <c r="AE580" i="2"/>
  <c r="AB580" i="2" s="1"/>
  <c r="AE971" i="2"/>
  <c r="AB971" i="2" s="1"/>
  <c r="AE1008" i="2"/>
  <c r="AB1008" i="2" s="1"/>
  <c r="AE1049" i="2"/>
  <c r="AB1049" i="2" s="1"/>
  <c r="AC83" i="2"/>
  <c r="AC52" i="2"/>
  <c r="T77" i="2"/>
  <c r="V77" i="2"/>
  <c r="W77" i="2" s="1"/>
  <c r="S77" i="2"/>
  <c r="M77" i="2"/>
  <c r="AI77" i="2"/>
  <c r="L77" i="2"/>
  <c r="AE1264" i="2"/>
  <c r="AB1264" i="2" s="1"/>
  <c r="AE1223" i="2"/>
  <c r="AB1223" i="2" s="1"/>
  <c r="AC1208" i="2"/>
  <c r="AC1184" i="2"/>
  <c r="AE1131" i="2"/>
  <c r="AB1131" i="2" s="1"/>
  <c r="AC1142" i="2"/>
  <c r="AE1089" i="2"/>
  <c r="AB1089" i="2" s="1"/>
  <c r="T1175" i="2"/>
  <c r="S1175" i="2"/>
  <c r="V1175" i="2"/>
  <c r="W1175" i="2" s="1"/>
  <c r="M1175" i="2"/>
  <c r="L1175" i="2"/>
  <c r="AI1175" i="2"/>
  <c r="AE1096" i="2"/>
  <c r="AB1096" i="2" s="1"/>
  <c r="AE998" i="2"/>
  <c r="AB998" i="2" s="1"/>
  <c r="AE996" i="2"/>
  <c r="AB996" i="2" s="1"/>
  <c r="AE988" i="2"/>
  <c r="AB988" i="2" s="1"/>
  <c r="AE973" i="2"/>
  <c r="AB973" i="2" s="1"/>
  <c r="AC920" i="2"/>
  <c r="AC949" i="2"/>
  <c r="AC883" i="2"/>
  <c r="AE844" i="2"/>
  <c r="AC844" i="2" s="1"/>
  <c r="AE832" i="2"/>
  <c r="AC832" i="2" s="1"/>
  <c r="AE770" i="2"/>
  <c r="AB770" i="2" s="1"/>
  <c r="AC790" i="2"/>
  <c r="AE724" i="2"/>
  <c r="AB724" i="2" s="1"/>
  <c r="AE600" i="2"/>
  <c r="AB600" i="2" s="1"/>
  <c r="AC640" i="2"/>
  <c r="AE667" i="2"/>
  <c r="AB667" i="2" s="1"/>
  <c r="AE542" i="2"/>
  <c r="AC542" i="2" s="1"/>
  <c r="AB452" i="2"/>
  <c r="AE452" i="2"/>
  <c r="AC452" i="2" s="1"/>
  <c r="AE451" i="2"/>
  <c r="AE530" i="2"/>
  <c r="AC530" i="2" s="1"/>
  <c r="AC589" i="2"/>
  <c r="W495" i="2"/>
  <c r="AE465" i="2"/>
  <c r="AB465" i="2" s="1"/>
  <c r="AE371" i="2"/>
  <c r="AB371" i="2"/>
  <c r="AE395" i="2"/>
  <c r="AB395" i="2" s="1"/>
  <c r="AB338" i="2"/>
  <c r="AE338" i="2"/>
  <c r="AE366" i="2"/>
  <c r="AB366" i="2" s="1"/>
  <c r="AE337" i="2"/>
  <c r="AB337" i="2" s="1"/>
  <c r="AE346" i="2"/>
  <c r="AB346" i="2" s="1"/>
  <c r="AE364" i="2"/>
  <c r="AB364" i="2" s="1"/>
  <c r="AE309" i="2"/>
  <c r="AB309" i="2" s="1"/>
  <c r="AE280" i="2"/>
  <c r="AB280" i="2" s="1"/>
  <c r="AE294" i="2"/>
  <c r="AC294" i="2" s="1"/>
  <c r="AE244" i="2"/>
  <c r="AB244" i="2" s="1"/>
  <c r="AE241" i="2"/>
  <c r="AB241" i="2" s="1"/>
  <c r="AE196" i="2"/>
  <c r="AC196" i="2" s="1"/>
  <c r="AE171" i="2"/>
  <c r="AC171" i="2" s="1"/>
  <c r="AE194" i="2"/>
  <c r="AE195" i="2"/>
  <c r="AB195" i="2" s="1"/>
  <c r="AE168" i="2"/>
  <c r="AB168" i="2" s="1"/>
  <c r="AE226" i="2"/>
  <c r="AB226" i="2" s="1"/>
  <c r="AE156" i="2"/>
  <c r="AB156" i="2" s="1"/>
  <c r="AE217" i="2"/>
  <c r="AB217" i="2" s="1"/>
  <c r="AE125" i="2"/>
  <c r="AC125" i="2" s="1"/>
  <c r="AC872" i="2"/>
  <c r="AC314" i="2"/>
  <c r="AE928" i="2"/>
  <c r="AB928" i="2" s="1"/>
  <c r="AE1053" i="2"/>
  <c r="AB1053" i="2" s="1"/>
  <c r="AE1257" i="2"/>
  <c r="AB1257" i="2" s="1"/>
  <c r="AE122" i="2"/>
  <c r="AB122" i="2" s="1"/>
  <c r="AE1212" i="2"/>
  <c r="AB1212" i="2" s="1"/>
  <c r="AH1237" i="2"/>
  <c r="AE1237" i="2"/>
  <c r="AB1237" i="2" s="1"/>
  <c r="AE1199" i="2"/>
  <c r="AC1199" i="2" s="1"/>
  <c r="L1194" i="2"/>
  <c r="V1194" i="2"/>
  <c r="W1194" i="2" s="1"/>
  <c r="T1194" i="2"/>
  <c r="S1194" i="2"/>
  <c r="M1194" i="2"/>
  <c r="M1161" i="2"/>
  <c r="T1161" i="2"/>
  <c r="S1161" i="2"/>
  <c r="AE1159" i="2" s="1"/>
  <c r="L1161" i="2"/>
  <c r="V1161" i="2"/>
  <c r="W1161" i="2" s="1"/>
  <c r="AI1161" i="2"/>
  <c r="AC1128" i="2"/>
  <c r="AE1140" i="2"/>
  <c r="AC1140" i="2" s="1"/>
  <c r="AE1129" i="2"/>
  <c r="AB1129" i="2" s="1"/>
  <c r="T1176" i="2"/>
  <c r="S1176" i="2"/>
  <c r="M1176" i="2"/>
  <c r="L1176" i="2"/>
  <c r="AI1176" i="2"/>
  <c r="V1176" i="2"/>
  <c r="W1176" i="2" s="1"/>
  <c r="AE1138" i="2"/>
  <c r="AC1138" i="2" s="1"/>
  <c r="W1119" i="2"/>
  <c r="AE1019" i="2"/>
  <c r="AB1019" i="2" s="1"/>
  <c r="AE935" i="2"/>
  <c r="AE936" i="2"/>
  <c r="AB936" i="2" s="1"/>
  <c r="AE981" i="2"/>
  <c r="AB981" i="2" s="1"/>
  <c r="AC921" i="2"/>
  <c r="AE877" i="2"/>
  <c r="AC877" i="2" s="1"/>
  <c r="AE864" i="2"/>
  <c r="AB864" i="2" s="1"/>
  <c r="AE889" i="2"/>
  <c r="AB889" i="2" s="1"/>
  <c r="AI821" i="2"/>
  <c r="V821" i="2"/>
  <c r="W821" i="2" s="1"/>
  <c r="T821" i="2"/>
  <c r="M821" i="2"/>
  <c r="L821" i="2"/>
  <c r="S821" i="2"/>
  <c r="AE819" i="2" s="1"/>
  <c r="AE820" i="2"/>
  <c r="AC820" i="2" s="1"/>
  <c r="AC802" i="2"/>
  <c r="AC761" i="2"/>
  <c r="AC788" i="2"/>
  <c r="AE606" i="2"/>
  <c r="AC606" i="2" s="1"/>
  <c r="AE602" i="2"/>
  <c r="AC602" i="2" s="1"/>
  <c r="AE552" i="2"/>
  <c r="AE553" i="2"/>
  <c r="AB553" i="2" s="1"/>
  <c r="AC554" i="2"/>
  <c r="AC496" i="2"/>
  <c r="AE407" i="2"/>
  <c r="AB407" i="2" s="1"/>
  <c r="AE453" i="2"/>
  <c r="AB453" i="2" s="1"/>
  <c r="AC358" i="2"/>
  <c r="AE349" i="2"/>
  <c r="AB349" i="2" s="1"/>
  <c r="AE339" i="2"/>
  <c r="AB339" i="2" s="1"/>
  <c r="AE353" i="2"/>
  <c r="AC353" i="2" s="1"/>
  <c r="AE313" i="2"/>
  <c r="AC313" i="2" s="1"/>
  <c r="AE301" i="2"/>
  <c r="AC301" i="2" s="1"/>
  <c r="AC249" i="2"/>
  <c r="AE243" i="2"/>
  <c r="AC243" i="2" s="1"/>
  <c r="AE214" i="2"/>
  <c r="AC214" i="2" s="1"/>
  <c r="AE257" i="2"/>
  <c r="AB257" i="2" s="1"/>
  <c r="AE163" i="2"/>
  <c r="AB163" i="2" s="1"/>
  <c r="AE220" i="2"/>
  <c r="AB220" i="2" s="1"/>
  <c r="AE135" i="2"/>
  <c r="AB135" i="2"/>
  <c r="AE139" i="2"/>
  <c r="AB139" i="2" s="1"/>
  <c r="AE90" i="2"/>
  <c r="AC90" i="2" s="1"/>
  <c r="AE159" i="2"/>
  <c r="AB159" i="2" s="1"/>
  <c r="AC120" i="2"/>
  <c r="AE147" i="2"/>
  <c r="AB147" i="2" s="1"/>
  <c r="AE588" i="2"/>
  <c r="AB588" i="2" s="1"/>
  <c r="AE1025" i="2"/>
  <c r="AB1025" i="2" s="1"/>
  <c r="AE1081" i="2"/>
  <c r="AB1081" i="2" s="1"/>
  <c r="AE1259" i="2"/>
  <c r="AB1259" i="2" s="1"/>
  <c r="AC1234" i="2"/>
  <c r="AE1252" i="2"/>
  <c r="AB1252" i="2" s="1"/>
  <c r="AE1235" i="2"/>
  <c r="AB1235" i="2" s="1"/>
  <c r="AE1250" i="2"/>
  <c r="AB1250" i="2" s="1"/>
  <c r="AH1232" i="2"/>
  <c r="AE1232" i="2"/>
  <c r="AB1232" i="2" s="1"/>
  <c r="AE1224" i="2"/>
  <c r="AB1224" i="2" s="1"/>
  <c r="AE1211" i="2"/>
  <c r="AB1211" i="2" s="1"/>
  <c r="L1167" i="2"/>
  <c r="V1167" i="2"/>
  <c r="W1167" i="2" s="1"/>
  <c r="T1167" i="2"/>
  <c r="S1167" i="2"/>
  <c r="AE1165" i="2" s="1"/>
  <c r="M1167" i="2"/>
  <c r="AI1167" i="2"/>
  <c r="T1193" i="2"/>
  <c r="S1193" i="2"/>
  <c r="L1193" i="2"/>
  <c r="V1193" i="2"/>
  <c r="W1193" i="2" s="1"/>
  <c r="M1193" i="2"/>
  <c r="AE1137" i="2"/>
  <c r="AB1137" i="2" s="1"/>
  <c r="AE1126" i="2"/>
  <c r="AC1126" i="2" s="1"/>
  <c r="AE1121" i="2"/>
  <c r="AB1121" i="2" s="1"/>
  <c r="AE925" i="2"/>
  <c r="AB925" i="2" s="1"/>
  <c r="AE862" i="2"/>
  <c r="AB862" i="2" s="1"/>
  <c r="AE886" i="2"/>
  <c r="AB886" i="2" s="1"/>
  <c r="AE853" i="2"/>
  <c r="AB853" i="2" s="1"/>
  <c r="AE843" i="2"/>
  <c r="AB843" i="2" s="1"/>
  <c r="AC754" i="2"/>
  <c r="AE764" i="2"/>
  <c r="AB764" i="2" s="1"/>
  <c r="AE645" i="2"/>
  <c r="AC645" i="2" s="1"/>
  <c r="AE644" i="2"/>
  <c r="AE633" i="2"/>
  <c r="AB633" i="2" s="1"/>
  <c r="AE632" i="2"/>
  <c r="V562" i="2"/>
  <c r="W562" i="2" s="1"/>
  <c r="AI562" i="2"/>
  <c r="M562" i="2"/>
  <c r="L562" i="2"/>
  <c r="T562" i="2"/>
  <c r="S562" i="2"/>
  <c r="AE481" i="2"/>
  <c r="AE482" i="2"/>
  <c r="AB482" i="2" s="1"/>
  <c r="AE466" i="2"/>
  <c r="AB466" i="2" s="1"/>
  <c r="AE479" i="2"/>
  <c r="AB479" i="2" s="1"/>
  <c r="AE470" i="2"/>
  <c r="AC470" i="2" s="1"/>
  <c r="AC476" i="2"/>
  <c r="AE376" i="2"/>
  <c r="AB376" i="2" s="1"/>
  <c r="AE387" i="2"/>
  <c r="AC387" i="2" s="1"/>
  <c r="AC283" i="2"/>
  <c r="AE293" i="2"/>
  <c r="AB293" i="2" s="1"/>
  <c r="AE307" i="2"/>
  <c r="AB307" i="2" s="1"/>
  <c r="K273" i="2"/>
  <c r="V232" i="2"/>
  <c r="W232" i="2" s="1"/>
  <c r="L232" i="2"/>
  <c r="M232" i="2"/>
  <c r="S232" i="2"/>
  <c r="T232" i="2"/>
  <c r="V264" i="2"/>
  <c r="W264" i="2" s="1"/>
  <c r="T264" i="2"/>
  <c r="S264" i="2"/>
  <c r="M264" i="2"/>
  <c r="L264" i="2"/>
  <c r="AE209" i="2"/>
  <c r="AC209" i="2" s="1"/>
  <c r="V269" i="2"/>
  <c r="W269" i="2" s="1"/>
  <c r="S269" i="2"/>
  <c r="M269" i="2"/>
  <c r="L269" i="2"/>
  <c r="T269" i="2"/>
  <c r="AC217" i="2"/>
  <c r="AC156" i="2"/>
  <c r="AE88" i="2"/>
  <c r="AC88" i="2" s="1"/>
  <c r="AE153" i="2"/>
  <c r="AB153" i="2" s="1"/>
  <c r="AE66" i="2"/>
  <c r="AB66" i="2" s="1"/>
  <c r="AE174" i="2"/>
  <c r="AB174" i="2" s="1"/>
  <c r="AC172" i="2"/>
  <c r="AE60" i="2"/>
  <c r="AC60" i="2" s="1"/>
  <c r="AC100" i="2"/>
  <c r="AC1095" i="2"/>
  <c r="AC1065" i="2"/>
  <c r="AE69" i="2"/>
  <c r="AB69" i="2" s="1"/>
  <c r="AE399" i="2"/>
  <c r="AC399" i="2" s="1"/>
  <c r="AE1018" i="2"/>
  <c r="AB1018" i="2"/>
  <c r="AE1042" i="2"/>
  <c r="AC1042" i="2" s="1"/>
  <c r="AE1256" i="2"/>
  <c r="AB1256" i="2" s="1"/>
  <c r="AE127" i="2"/>
  <c r="AC127" i="2" s="1"/>
  <c r="AE1267" i="2"/>
  <c r="AC1267" i="2" s="1"/>
  <c r="AE1251" i="2"/>
  <c r="AB1251" i="2" s="1"/>
  <c r="AE1233" i="2"/>
  <c r="AC1233" i="2" s="1"/>
  <c r="AE1247" i="2"/>
  <c r="AB1247" i="2" s="1"/>
  <c r="AE1204" i="2"/>
  <c r="AB1204" i="2" s="1"/>
  <c r="V1196" i="2"/>
  <c r="W1200" i="2"/>
  <c r="AE1172" i="2"/>
  <c r="AB1172" i="2" s="1"/>
  <c r="AE1171" i="2"/>
  <c r="AE1198" i="2"/>
  <c r="AB1198" i="2" s="1"/>
  <c r="AC1137" i="2"/>
  <c r="AE1148" i="2"/>
  <c r="AB1148" i="2" s="1"/>
  <c r="AE1179" i="2"/>
  <c r="AB1179" i="2" s="1"/>
  <c r="AE1124" i="2"/>
  <c r="AC1124" i="2" s="1"/>
  <c r="AE1082" i="2"/>
  <c r="AB1082" i="2" s="1"/>
  <c r="AE1077" i="2"/>
  <c r="AB1077" i="2" s="1"/>
  <c r="AE999" i="2"/>
  <c r="AB999" i="2" s="1"/>
  <c r="AE1064" i="2"/>
  <c r="AB1064" i="2" s="1"/>
  <c r="AE967" i="2"/>
  <c r="AC967" i="2" s="1"/>
  <c r="AE978" i="2"/>
  <c r="AC978" i="2" s="1"/>
  <c r="AE1010" i="2"/>
  <c r="AB1010" i="2" s="1"/>
  <c r="AE958" i="2"/>
  <c r="AC958" i="2" s="1"/>
  <c r="AE957" i="2"/>
  <c r="AE895" i="2"/>
  <c r="AC895" i="2" s="1"/>
  <c r="AE918" i="2"/>
  <c r="AB918" i="2" s="1"/>
  <c r="AE919" i="2"/>
  <c r="AB919" i="2" s="1"/>
  <c r="AC870" i="2"/>
  <c r="W844" i="2"/>
  <c r="AC878" i="2"/>
  <c r="AB829" i="2"/>
  <c r="AE829" i="2"/>
  <c r="AC846" i="2"/>
  <c r="M833" i="2"/>
  <c r="L833" i="2"/>
  <c r="V833" i="2"/>
  <c r="W833" i="2" s="1"/>
  <c r="S833" i="2"/>
  <c r="AE831" i="2" s="1"/>
  <c r="T833" i="2"/>
  <c r="AC829" i="2"/>
  <c r="AE851" i="2"/>
  <c r="AB851" i="2" s="1"/>
  <c r="AC770" i="2"/>
  <c r="AE604" i="2"/>
  <c r="AB604" i="2" s="1"/>
  <c r="AE584" i="2"/>
  <c r="AC584" i="2" s="1"/>
  <c r="AE560" i="2"/>
  <c r="AC560" i="2" s="1"/>
  <c r="AE558" i="2"/>
  <c r="AE559" i="2"/>
  <c r="AB559" i="2" s="1"/>
  <c r="AE547" i="2"/>
  <c r="AB547" i="2" s="1"/>
  <c r="AE546" i="2"/>
  <c r="AE435" i="2"/>
  <c r="AB435" i="2" s="1"/>
  <c r="AE464" i="2"/>
  <c r="AC464" i="2" s="1"/>
  <c r="AB464" i="2"/>
  <c r="AE401" i="2"/>
  <c r="AB401" i="2" s="1"/>
  <c r="AC442" i="2"/>
  <c r="AE434" i="2"/>
  <c r="AC434" i="2" s="1"/>
  <c r="AC366" i="2"/>
  <c r="M389" i="2"/>
  <c r="L389" i="2"/>
  <c r="T389" i="2"/>
  <c r="V389" i="2"/>
  <c r="W389" i="2" s="1"/>
  <c r="S389" i="2"/>
  <c r="AC410" i="2"/>
  <c r="AE329" i="2"/>
  <c r="AB329" i="2" s="1"/>
  <c r="AE341" i="2"/>
  <c r="AC341" i="2" s="1"/>
  <c r="AE287" i="2"/>
  <c r="AB287" i="2" s="1"/>
  <c r="W205" i="2"/>
  <c r="S266" i="2"/>
  <c r="M266" i="2"/>
  <c r="L266" i="2"/>
  <c r="V266" i="2"/>
  <c r="W266" i="2" s="1"/>
  <c r="T266" i="2"/>
  <c r="AE261" i="2"/>
  <c r="AB261" i="2" s="1"/>
  <c r="AE216" i="2"/>
  <c r="AB216" i="2" s="1"/>
  <c r="AE223" i="2"/>
  <c r="AB223" i="2" s="1"/>
  <c r="AC183" i="2"/>
  <c r="AE210" i="2"/>
  <c r="AC210" i="2" s="1"/>
  <c r="AC162" i="2"/>
  <c r="AE116" i="2"/>
  <c r="AE86" i="2"/>
  <c r="AB86" i="2" s="1"/>
  <c r="AE149" i="2"/>
  <c r="AB149" i="2" s="1"/>
  <c r="L112" i="2"/>
  <c r="T112" i="2"/>
  <c r="S112" i="2"/>
  <c r="M112" i="2"/>
  <c r="AI112" i="2"/>
  <c r="V112" i="2"/>
  <c r="W112" i="2" s="1"/>
  <c r="AC1219" i="2"/>
  <c r="AE97" i="2"/>
  <c r="AC97" i="2" s="1"/>
  <c r="AE392" i="2"/>
  <c r="AC392" i="2" s="1"/>
  <c r="AE457" i="2"/>
  <c r="AB457" i="2" s="1"/>
  <c r="AE461" i="2"/>
  <c r="AC461" i="2" s="1"/>
  <c r="AE882" i="2"/>
  <c r="AB882" i="2" s="1"/>
  <c r="AE987" i="2"/>
  <c r="AB987" i="2" s="1"/>
  <c r="AE131" i="2"/>
  <c r="AB131" i="2" s="1"/>
  <c r="AC1225" i="2"/>
  <c r="AE1186" i="2"/>
  <c r="AE1187" i="2"/>
  <c r="AB1187" i="2" s="1"/>
  <c r="AE1220" i="2"/>
  <c r="AC1240" i="2"/>
  <c r="AC1204" i="2"/>
  <c r="AE1203" i="2"/>
  <c r="AC1203" i="2" s="1"/>
  <c r="M35" i="2"/>
  <c r="AC1185" i="2"/>
  <c r="V1115" i="2"/>
  <c r="W1115" i="2" s="1"/>
  <c r="T1115" i="2"/>
  <c r="M1115" i="2"/>
  <c r="L1115" i="2"/>
  <c r="S1115" i="2"/>
  <c r="AE1143" i="2"/>
  <c r="AB1143" i="2" s="1"/>
  <c r="AE1073" i="2"/>
  <c r="AB1073" i="2" s="1"/>
  <c r="AC1070" i="2"/>
  <c r="AE1026" i="2"/>
  <c r="AB1026" i="2" s="1"/>
  <c r="AE1003" i="2"/>
  <c r="AC1003" i="2" s="1"/>
  <c r="AE1057" i="2"/>
  <c r="AB1057" i="2" s="1"/>
  <c r="AE1016" i="2"/>
  <c r="AC1016" i="2" s="1"/>
  <c r="AE994" i="2"/>
  <c r="AC994" i="2" s="1"/>
  <c r="AE965" i="2"/>
  <c r="AB965" i="2" s="1"/>
  <c r="AE932" i="2"/>
  <c r="AB932" i="2" s="1"/>
  <c r="AE929" i="2"/>
  <c r="AC929" i="2" s="1"/>
  <c r="AE950" i="2"/>
  <c r="AC950" i="2" s="1"/>
  <c r="AE874" i="2"/>
  <c r="AB874" i="2" s="1"/>
  <c r="AE800" i="2"/>
  <c r="AC800" i="2" s="1"/>
  <c r="AE679" i="2"/>
  <c r="AB679" i="2"/>
  <c r="AE729" i="2"/>
  <c r="AB729" i="2" s="1"/>
  <c r="AE641" i="2"/>
  <c r="AE642" i="2"/>
  <c r="AB642" i="2" s="1"/>
  <c r="AC605" i="2"/>
  <c r="AB545" i="2"/>
  <c r="AE545" i="2"/>
  <c r="AC545" i="2" s="1"/>
  <c r="AE548" i="2"/>
  <c r="AC548" i="2" s="1"/>
  <c r="AE474" i="2"/>
  <c r="AC474" i="2" s="1"/>
  <c r="AE427" i="2"/>
  <c r="AC427" i="2" s="1"/>
  <c r="AE468" i="2"/>
  <c r="AB468" i="2" s="1"/>
  <c r="AC449" i="2"/>
  <c r="AE340" i="2"/>
  <c r="AB340" i="2" s="1"/>
  <c r="AE321" i="2"/>
  <c r="AC321" i="2" s="1"/>
  <c r="AE322" i="2"/>
  <c r="AB322" i="2" s="1"/>
  <c r="AE292" i="2"/>
  <c r="AC292" i="2" s="1"/>
  <c r="AB292" i="2"/>
  <c r="AE211" i="2"/>
  <c r="AC211" i="2" s="1"/>
  <c r="AE188" i="2"/>
  <c r="AE189" i="2"/>
  <c r="AC189" i="2" s="1"/>
  <c r="AE228" i="2"/>
  <c r="AC228" i="2" s="1"/>
  <c r="AE221" i="2"/>
  <c r="AB221" i="2" s="1"/>
  <c r="AE138" i="2"/>
  <c r="AB138" i="2" s="1"/>
  <c r="AE141" i="2"/>
  <c r="AB141" i="2" s="1"/>
  <c r="AE165" i="2"/>
  <c r="AC165" i="2" s="1"/>
  <c r="AE55" i="2"/>
  <c r="AC55" i="2" s="1"/>
  <c r="AE58" i="2"/>
  <c r="AC58" i="2" s="1"/>
  <c r="AC139" i="2"/>
  <c r="AE157" i="2"/>
  <c r="AC157" i="2" s="1"/>
  <c r="AE343" i="2"/>
  <c r="AB343" i="2" s="1"/>
  <c r="AE411" i="2"/>
  <c r="AE586" i="2"/>
  <c r="AC586" i="2" s="1"/>
  <c r="AE1027" i="2"/>
  <c r="AC1027" i="2" s="1"/>
  <c r="AE1086" i="2"/>
  <c r="AB1086" i="2" s="1"/>
  <c r="AE1164" i="2"/>
  <c r="AC1164" i="2" s="1"/>
  <c r="AC80" i="2"/>
  <c r="AE63" i="2"/>
  <c r="AC63" i="2" s="1"/>
  <c r="AE84" i="2"/>
  <c r="AB84" i="2" s="1"/>
  <c r="AE1254" i="2"/>
  <c r="AB1254" i="2" s="1"/>
  <c r="AC1211" i="2"/>
  <c r="AE1190" i="2"/>
  <c r="AB1190" i="2" s="1"/>
  <c r="AE1189" i="2"/>
  <c r="AC1187" i="2"/>
  <c r="M1155" i="2"/>
  <c r="T1155" i="2"/>
  <c r="S1155" i="2"/>
  <c r="AI1155" i="2"/>
  <c r="V1155" i="2"/>
  <c r="L1155" i="2"/>
  <c r="AE1163" i="2"/>
  <c r="AC1163" i="2" s="1"/>
  <c r="AE1162" i="2"/>
  <c r="AE1141" i="2"/>
  <c r="AB1141" i="2" s="1"/>
  <c r="AE1092" i="2"/>
  <c r="AC1092" i="2" s="1"/>
  <c r="AE1102" i="2"/>
  <c r="AE1103" i="2"/>
  <c r="AB1103" i="2" s="1"/>
  <c r="AB1087" i="2"/>
  <c r="AE1087" i="2"/>
  <c r="AC1087" i="2" s="1"/>
  <c r="AE1101" i="2"/>
  <c r="AE1041" i="2"/>
  <c r="AC1041" i="2" s="1"/>
  <c r="AE995" i="2"/>
  <c r="AB995" i="2" s="1"/>
  <c r="AC1004" i="2"/>
  <c r="AC1018" i="2"/>
  <c r="AE997" i="2"/>
  <c r="AC997" i="2" s="1"/>
  <c r="AB997" i="2"/>
  <c r="AE972" i="2"/>
  <c r="AB972" i="2" s="1"/>
  <c r="AE1005" i="2"/>
  <c r="AB1005" i="2" s="1"/>
  <c r="M955" i="2"/>
  <c r="V955" i="2"/>
  <c r="W955" i="2" s="1"/>
  <c r="S955" i="2"/>
  <c r="L955" i="2"/>
  <c r="T955" i="2"/>
  <c r="AE900" i="2"/>
  <c r="AB900" i="2" s="1"/>
  <c r="AE947" i="2"/>
  <c r="AC947" i="2" s="1"/>
  <c r="AB947" i="2"/>
  <c r="AC884" i="2"/>
  <c r="AE909" i="2"/>
  <c r="AB909" i="2" s="1"/>
  <c r="AC862" i="2"/>
  <c r="AE879" i="2"/>
  <c r="AC879" i="2" s="1"/>
  <c r="M830" i="2"/>
  <c r="L830" i="2"/>
  <c r="V830" i="2"/>
  <c r="W830" i="2" s="1"/>
  <c r="S830" i="2"/>
  <c r="T830" i="2"/>
  <c r="AC763" i="2"/>
  <c r="AC764" i="2"/>
  <c r="AE753" i="2"/>
  <c r="AB753" i="2" s="1"/>
  <c r="AE797" i="2"/>
  <c r="AB797" i="2" s="1"/>
  <c r="AC725" i="2"/>
  <c r="AC675" i="2"/>
  <c r="AB596" i="2"/>
  <c r="AE596" i="2"/>
  <c r="AC596" i="2" s="1"/>
  <c r="AE590" i="2"/>
  <c r="AB590" i="2" s="1"/>
  <c r="AE576" i="2"/>
  <c r="AC576" i="2" s="1"/>
  <c r="AB576" i="2"/>
  <c r="AE680" i="2"/>
  <c r="AC680" i="2" s="1"/>
  <c r="AI631" i="2"/>
  <c r="V631" i="2"/>
  <c r="W631" i="2" s="1"/>
  <c r="T631" i="2"/>
  <c r="S631" i="2"/>
  <c r="AE629" i="2" s="1"/>
  <c r="M631" i="2"/>
  <c r="L631" i="2"/>
  <c r="AE506" i="2"/>
  <c r="AC506" i="2" s="1"/>
  <c r="AC478" i="2"/>
  <c r="AE537" i="2"/>
  <c r="AE538" i="2"/>
  <c r="AC497" i="2"/>
  <c r="AE507" i="2"/>
  <c r="AC507" i="2" s="1"/>
  <c r="AE502" i="2"/>
  <c r="AC502" i="2" s="1"/>
  <c r="AE417" i="2"/>
  <c r="AC417" i="2" s="1"/>
  <c r="AE585" i="2"/>
  <c r="AC585" i="2" s="1"/>
  <c r="AE433" i="2"/>
  <c r="AB433" i="2" s="1"/>
  <c r="AE420" i="2"/>
  <c r="AB420" i="2" s="1"/>
  <c r="AE402" i="2"/>
  <c r="AB402" i="2" s="1"/>
  <c r="AC332" i="2"/>
  <c r="AE391" i="2"/>
  <c r="AC391" i="2" s="1"/>
  <c r="AE336" i="2"/>
  <c r="AC336" i="2" s="1"/>
  <c r="AE262" i="2"/>
  <c r="AB262" i="2" s="1"/>
  <c r="AC338" i="2"/>
  <c r="AE258" i="2"/>
  <c r="AB258" i="2" s="1"/>
  <c r="M271" i="2"/>
  <c r="L271" i="2"/>
  <c r="V271" i="2"/>
  <c r="W271" i="2" s="1"/>
  <c r="T271" i="2"/>
  <c r="S271" i="2"/>
  <c r="T231" i="2"/>
  <c r="K272" i="2"/>
  <c r="V231" i="2"/>
  <c r="S231" i="2"/>
  <c r="AJ207" i="2"/>
  <c r="M231" i="2"/>
  <c r="L231" i="2"/>
  <c r="K20" i="2"/>
  <c r="AE177" i="2"/>
  <c r="AC177" i="2" s="1"/>
  <c r="AE190" i="2"/>
  <c r="AC190" i="2" s="1"/>
  <c r="AE207" i="2"/>
  <c r="AC221" i="2"/>
  <c r="V198" i="2"/>
  <c r="W198" i="2" s="1"/>
  <c r="S198" i="2"/>
  <c r="M198" i="2"/>
  <c r="L198" i="2"/>
  <c r="AI198" i="2"/>
  <c r="T198" i="2"/>
  <c r="AE130" i="2"/>
  <c r="AB130" i="2" s="1"/>
  <c r="AE82" i="2"/>
  <c r="AC82" i="2" s="1"/>
  <c r="AE132" i="2"/>
  <c r="AC132" i="2" s="1"/>
  <c r="AE89" i="2"/>
  <c r="AB89" i="2" s="1"/>
  <c r="AE150" i="2"/>
  <c r="AB150" i="2" s="1"/>
  <c r="AC70" i="2"/>
  <c r="AC154" i="2"/>
  <c r="AC360" i="2"/>
  <c r="AC887" i="2"/>
  <c r="AC1257" i="2"/>
  <c r="AC1216" i="2"/>
  <c r="AE356" i="2"/>
  <c r="AC356" i="2" s="1"/>
  <c r="AE415" i="2"/>
  <c r="AE1061" i="2"/>
  <c r="AB1061" i="2" s="1"/>
  <c r="AE1074" i="2"/>
  <c r="AC1074" i="2" s="1"/>
  <c r="U1269" i="2"/>
  <c r="U17" i="2"/>
  <c r="U15" i="2" s="1"/>
  <c r="AE70" i="2"/>
  <c r="AB70" i="2" s="1"/>
  <c r="M19" i="2"/>
  <c r="AC1212" i="2"/>
  <c r="AE1122" i="2"/>
  <c r="AC1122" i="2" s="1"/>
  <c r="AE1068" i="2"/>
  <c r="AB1068" i="2" s="1"/>
  <c r="AE1080" i="2"/>
  <c r="AB1080" i="2" s="1"/>
  <c r="AC1134" i="2"/>
  <c r="AE1072" i="2"/>
  <c r="AB1072" i="2" s="1"/>
  <c r="AC1089" i="2"/>
  <c r="AE1069" i="2"/>
  <c r="AC1069" i="2" s="1"/>
  <c r="AC1093" i="2"/>
  <c r="AE979" i="2"/>
  <c r="AB979" i="2" s="1"/>
  <c r="AE989" i="2"/>
  <c r="AC989" i="2" s="1"/>
  <c r="AC1013" i="2"/>
  <c r="AE937" i="2"/>
  <c r="AC937" i="2" s="1"/>
  <c r="AC968" i="2"/>
  <c r="AE907" i="2"/>
  <c r="AE908" i="2"/>
  <c r="AB908" i="2" s="1"/>
  <c r="T956" i="2"/>
  <c r="S956" i="2"/>
  <c r="M956" i="2"/>
  <c r="V956" i="2"/>
  <c r="W956" i="2" s="1"/>
  <c r="L956" i="2"/>
  <c r="AE893" i="2"/>
  <c r="AC893" i="2" s="1"/>
  <c r="AC936" i="2"/>
  <c r="AE923" i="2"/>
  <c r="AC923" i="2" s="1"/>
  <c r="AE906" i="2"/>
  <c r="AC906" i="2" s="1"/>
  <c r="AE897" i="2"/>
  <c r="AC897" i="2" s="1"/>
  <c r="AE873" i="2"/>
  <c r="AC873" i="2" s="1"/>
  <c r="AE857" i="2"/>
  <c r="AC857" i="2" s="1"/>
  <c r="AE885" i="2"/>
  <c r="AB885" i="2" s="1"/>
  <c r="AE809" i="2"/>
  <c r="AC809" i="2" s="1"/>
  <c r="AE826" i="2"/>
  <c r="AB826" i="2" s="1"/>
  <c r="AE825" i="2"/>
  <c r="M779" i="2"/>
  <c r="L779" i="2"/>
  <c r="V779" i="2"/>
  <c r="W779" i="2" s="1"/>
  <c r="T779" i="2"/>
  <c r="AI779" i="2"/>
  <c r="S779" i="2"/>
  <c r="V814" i="2"/>
  <c r="W814" i="2" s="1"/>
  <c r="S814" i="2"/>
  <c r="AI814" i="2"/>
  <c r="L814" i="2"/>
  <c r="T814" i="2"/>
  <c r="M814" i="2"/>
  <c r="M774" i="2"/>
  <c r="L774" i="2"/>
  <c r="T774" i="2"/>
  <c r="S774" i="2"/>
  <c r="AI774" i="2"/>
  <c r="V774" i="2"/>
  <c r="W774" i="2" s="1"/>
  <c r="AE783" i="2"/>
  <c r="AE784" i="2"/>
  <c r="AC784" i="2" s="1"/>
  <c r="AE721" i="2"/>
  <c r="AB721" i="2" s="1"/>
  <c r="AE747" i="2"/>
  <c r="AC747" i="2" s="1"/>
  <c r="AE731" i="2"/>
  <c r="AC731" i="2" s="1"/>
  <c r="AE730" i="2"/>
  <c r="AE756" i="2"/>
  <c r="AC756" i="2" s="1"/>
  <c r="AE615" i="2"/>
  <c r="AC615" i="2" s="1"/>
  <c r="AE614" i="2"/>
  <c r="AE664" i="2"/>
  <c r="AB664" i="2" s="1"/>
  <c r="AE630" i="2"/>
  <c r="AC630" i="2" s="1"/>
  <c r="AE601" i="2"/>
  <c r="AC601" i="2" s="1"/>
  <c r="AE669" i="2"/>
  <c r="AC669" i="2" s="1"/>
  <c r="AE648" i="2"/>
  <c r="AC648" i="2" s="1"/>
  <c r="AE647" i="2"/>
  <c r="AE619" i="2"/>
  <c r="AB619" i="2" s="1"/>
  <c r="AE511" i="2"/>
  <c r="AC511" i="2" s="1"/>
  <c r="V518" i="2"/>
  <c r="W518" i="2" s="1"/>
  <c r="T518" i="2"/>
  <c r="S518" i="2"/>
  <c r="AI518" i="2"/>
  <c r="M518" i="2"/>
  <c r="L518" i="2"/>
  <c r="AE543" i="2"/>
  <c r="AE544" i="2"/>
  <c r="AC544" i="2" s="1"/>
  <c r="AE595" i="2"/>
  <c r="AC595" i="2" s="1"/>
  <c r="AE469" i="2"/>
  <c r="AC469" i="2" s="1"/>
  <c r="AC479" i="2"/>
  <c r="AC488" i="2"/>
  <c r="M492" i="2"/>
  <c r="L492" i="2"/>
  <c r="V492" i="2"/>
  <c r="W492" i="2" s="1"/>
  <c r="S492" i="2"/>
  <c r="AI492" i="2"/>
  <c r="T492" i="2"/>
  <c r="AE409" i="2"/>
  <c r="AC409" i="2" s="1"/>
  <c r="AE424" i="2"/>
  <c r="AC424" i="2" s="1"/>
  <c r="AE462" i="2"/>
  <c r="AC462" i="2" s="1"/>
  <c r="AC444" i="2"/>
  <c r="AE432" i="2"/>
  <c r="AC432" i="2" s="1"/>
  <c r="AB432" i="2"/>
  <c r="AE426" i="2"/>
  <c r="AC426" i="2" s="1"/>
  <c r="T333" i="2"/>
  <c r="V333" i="2"/>
  <c r="S333" i="2"/>
  <c r="M333" i="2"/>
  <c r="L333" i="2"/>
  <c r="AE403" i="2"/>
  <c r="AB403" i="2" s="1"/>
  <c r="AE421" i="2"/>
  <c r="AC421" i="2" s="1"/>
  <c r="AE297" i="2"/>
  <c r="AC297" i="2" s="1"/>
  <c r="AE298" i="2"/>
  <c r="AC298" i="2" s="1"/>
  <c r="AE288" i="2"/>
  <c r="AC288" i="2" s="1"/>
  <c r="AE230" i="2"/>
  <c r="AB230" i="2" s="1"/>
  <c r="AE202" i="2"/>
  <c r="AB202" i="2" s="1"/>
  <c r="T199" i="2"/>
  <c r="M199" i="2"/>
  <c r="L199" i="2"/>
  <c r="V199" i="2"/>
  <c r="W199" i="2" s="1"/>
  <c r="S199" i="2"/>
  <c r="AE184" i="2"/>
  <c r="AC184" i="2" s="1"/>
  <c r="AE200" i="2"/>
  <c r="AE201" i="2"/>
  <c r="AC201" i="2" s="1"/>
  <c r="AC69" i="2"/>
  <c r="AE143" i="2"/>
  <c r="AB143" i="2" s="1"/>
  <c r="AC594" i="2"/>
  <c r="AE140" i="2"/>
  <c r="AB140" i="2" s="1"/>
  <c r="AC987" i="2"/>
  <c r="AE166" i="2"/>
  <c r="AC166" i="2" s="1"/>
  <c r="AB166" i="2"/>
  <c r="AE369" i="2"/>
  <c r="AC369" i="2" s="1"/>
  <c r="AE682" i="2"/>
  <c r="AB682" i="2" s="1"/>
  <c r="AE964" i="2"/>
  <c r="AC964" i="2" s="1"/>
  <c r="AE1200" i="2"/>
  <c r="AC1200" i="2" s="1"/>
  <c r="AE1213" i="2"/>
  <c r="AC1213" i="2" s="1"/>
  <c r="AC1182" i="2"/>
  <c r="AE1139" i="2"/>
  <c r="AC1139" i="2" s="1"/>
  <c r="AE1130" i="2"/>
  <c r="AC1130" i="2" s="1"/>
  <c r="AE1063" i="2"/>
  <c r="AC1063" i="2" s="1"/>
  <c r="AE1047" i="2"/>
  <c r="AC1047" i="2" s="1"/>
  <c r="AE1038" i="2"/>
  <c r="AC1038" i="2" s="1"/>
  <c r="AE986" i="2"/>
  <c r="AC986" i="2" s="1"/>
  <c r="T946" i="2"/>
  <c r="S946" i="2"/>
  <c r="M946" i="2"/>
  <c r="L946" i="2"/>
  <c r="V946" i="2"/>
  <c r="AC900" i="2"/>
  <c r="AE938" i="2"/>
  <c r="AE939" i="2"/>
  <c r="AB939" i="2"/>
  <c r="AE896" i="2"/>
  <c r="AC896" i="2" s="1"/>
  <c r="AC928" i="2"/>
  <c r="AE852" i="2"/>
  <c r="AC852" i="2" s="1"/>
  <c r="AI806" i="2"/>
  <c r="L806" i="2"/>
  <c r="V806" i="2"/>
  <c r="W806" i="2" s="1"/>
  <c r="T806" i="2"/>
  <c r="S806" i="2"/>
  <c r="AE804" i="2" s="1"/>
  <c r="M806" i="2"/>
  <c r="AC808" i="2"/>
  <c r="AE760" i="2"/>
  <c r="AC760" i="2" s="1"/>
  <c r="AB760" i="2"/>
  <c r="AC796" i="2"/>
  <c r="AE769" i="2"/>
  <c r="AB769" i="2" s="1"/>
  <c r="AE775" i="2"/>
  <c r="AE776" i="2"/>
  <c r="AC776" i="2" s="1"/>
  <c r="AC797" i="2"/>
  <c r="AC728" i="2"/>
  <c r="AE674" i="2"/>
  <c r="AB674" i="2" s="1"/>
  <c r="AE737" i="2"/>
  <c r="AC737" i="2" s="1"/>
  <c r="AE582" i="2"/>
  <c r="AC582" i="2" s="1"/>
  <c r="AE532" i="2"/>
  <c r="AB532" i="2" s="1"/>
  <c r="AE531" i="2"/>
  <c r="AC581" i="2"/>
  <c r="AC539" i="2"/>
  <c r="M628" i="2"/>
  <c r="L628" i="2"/>
  <c r="T628" i="2"/>
  <c r="S628" i="2"/>
  <c r="AI628" i="2"/>
  <c r="V628" i="2"/>
  <c r="W628" i="2" s="1"/>
  <c r="AE591" i="2"/>
  <c r="AB591" i="2" s="1"/>
  <c r="AE653" i="2"/>
  <c r="AE654" i="2"/>
  <c r="AB654" i="2" s="1"/>
  <c r="AB575" i="2"/>
  <c r="AE575" i="2"/>
  <c r="AC575" i="2" s="1"/>
  <c r="AE418" i="2"/>
  <c r="AC418" i="2" s="1"/>
  <c r="AE414" i="2"/>
  <c r="AB414" i="2" s="1"/>
  <c r="AE431" i="2"/>
  <c r="AC431" i="2" s="1"/>
  <c r="AC347" i="2"/>
  <c r="AE405" i="2"/>
  <c r="AB405" i="2" s="1"/>
  <c r="AE334" i="2"/>
  <c r="AC334" i="2" s="1"/>
  <c r="AE380" i="2"/>
  <c r="AC380" i="2" s="1"/>
  <c r="AB380" i="2"/>
  <c r="AE335" i="2"/>
  <c r="AB335" i="2" s="1"/>
  <c r="V237" i="2"/>
  <c r="W237" i="2" s="1"/>
  <c r="S237" i="2"/>
  <c r="T237" i="2"/>
  <c r="M237" i="2"/>
  <c r="L237" i="2"/>
  <c r="AC280" i="2"/>
  <c r="AC240" i="2"/>
  <c r="M181" i="2"/>
  <c r="L181" i="2"/>
  <c r="V181" i="2"/>
  <c r="W181" i="2" s="1"/>
  <c r="T181" i="2"/>
  <c r="S181" i="2"/>
  <c r="AC164" i="2"/>
  <c r="AE212" i="2"/>
  <c r="AC212" i="2" s="1"/>
  <c r="AE115" i="2"/>
  <c r="AC115" i="2" s="1"/>
  <c r="AE114" i="2"/>
  <c r="AE173" i="2"/>
  <c r="AC173" i="2" s="1"/>
  <c r="AE85" i="2"/>
  <c r="AC85" i="2" s="1"/>
  <c r="AE136" i="2"/>
  <c r="AC136" i="2" s="1"/>
  <c r="AC1143" i="2"/>
  <c r="AE1104" i="2"/>
  <c r="AC1104" i="2" s="1"/>
  <c r="AE54" i="2"/>
  <c r="AB54" i="2" s="1"/>
  <c r="AE1201" i="2"/>
  <c r="AC1201" i="2" s="1"/>
  <c r="AE1258" i="2"/>
  <c r="AC1258" i="2" s="1"/>
  <c r="AE1166" i="2"/>
  <c r="AC1166" i="2" s="1"/>
  <c r="AE1244" i="2"/>
  <c r="AC1244" i="2" s="1"/>
  <c r="AE1147" i="2"/>
  <c r="AC1147" i="2" s="1"/>
  <c r="AE1110" i="2"/>
  <c r="AC1110" i="2" s="1"/>
  <c r="AE1135" i="2"/>
  <c r="AB1135" i="2" s="1"/>
  <c r="AE1084" i="2"/>
  <c r="AC1084" i="2" s="1"/>
  <c r="AC1086" i="2"/>
  <c r="AE1058" i="2"/>
  <c r="AC1058" i="2" s="1"/>
  <c r="AE1050" i="2"/>
  <c r="AB1050" i="2" s="1"/>
  <c r="AC1082" i="2"/>
  <c r="AE1031" i="2"/>
  <c r="AB1031" i="2" s="1"/>
  <c r="AC1028" i="2"/>
  <c r="AE1054" i="2"/>
  <c r="AB1054" i="2" s="1"/>
  <c r="AB970" i="2"/>
  <c r="AE970" i="2"/>
  <c r="AC970" i="2" s="1"/>
  <c r="AE915" i="2"/>
  <c r="AC915" i="2" s="1"/>
  <c r="AE942" i="2"/>
  <c r="AC942" i="2" s="1"/>
  <c r="AE941" i="2"/>
  <c r="AE898" i="2"/>
  <c r="AC898" i="2" s="1"/>
  <c r="AE888" i="2"/>
  <c r="AC888" i="2" s="1"/>
  <c r="AE871" i="2"/>
  <c r="AC871" i="2" s="1"/>
  <c r="AE856" i="2"/>
  <c r="AC856" i="2" s="1"/>
  <c r="AC843" i="2"/>
  <c r="AC851" i="2"/>
  <c r="T794" i="2"/>
  <c r="S794" i="2"/>
  <c r="AI794" i="2"/>
  <c r="M794" i="2"/>
  <c r="L794" i="2"/>
  <c r="V794" i="2"/>
  <c r="W794" i="2" s="1"/>
  <c r="AC769" i="2"/>
  <c r="AC727" i="2"/>
  <c r="AE749" i="2"/>
  <c r="AC749" i="2" s="1"/>
  <c r="M658" i="2"/>
  <c r="L658" i="2"/>
  <c r="V658" i="2"/>
  <c r="W658" i="2" s="1"/>
  <c r="T658" i="2"/>
  <c r="S658" i="2"/>
  <c r="AI658" i="2"/>
  <c r="M578" i="2"/>
  <c r="L578" i="2"/>
  <c r="T578" i="2"/>
  <c r="S578" i="2"/>
  <c r="V578" i="2"/>
  <c r="M621" i="2"/>
  <c r="V621" i="2"/>
  <c r="W621" i="2" s="1"/>
  <c r="T621" i="2"/>
  <c r="L621" i="2"/>
  <c r="S621" i="2"/>
  <c r="AE565" i="2"/>
  <c r="AB565" i="2" s="1"/>
  <c r="AE564" i="2"/>
  <c r="AC532" i="2"/>
  <c r="L529" i="2"/>
  <c r="S529" i="2"/>
  <c r="AI529" i="2"/>
  <c r="T529" i="2"/>
  <c r="M529" i="2"/>
  <c r="V529" i="2"/>
  <c r="W529" i="2" s="1"/>
  <c r="AE603" i="2"/>
  <c r="AC603" i="2" s="1"/>
  <c r="M627" i="2"/>
  <c r="L627" i="2"/>
  <c r="T627" i="2"/>
  <c r="S627" i="2"/>
  <c r="AI627" i="2"/>
  <c r="V627" i="2"/>
  <c r="W627" i="2" s="1"/>
  <c r="AE541" i="2"/>
  <c r="AC541" i="2" s="1"/>
  <c r="AB541" i="2"/>
  <c r="AE540" i="2"/>
  <c r="AE412" i="2"/>
  <c r="AB412" i="2" s="1"/>
  <c r="W354" i="2"/>
  <c r="V351" i="2"/>
  <c r="AE398" i="2"/>
  <c r="AC398" i="2" s="1"/>
  <c r="AC345" i="2"/>
  <c r="AC329" i="2"/>
  <c r="AC371" i="2"/>
  <c r="AE354" i="2"/>
  <c r="AC354" i="2" s="1"/>
  <c r="AB354" i="2"/>
  <c r="L326" i="2"/>
  <c r="V326" i="2"/>
  <c r="T326" i="2"/>
  <c r="S326" i="2"/>
  <c r="AI326" i="2"/>
  <c r="M326" i="2"/>
  <c r="AE246" i="2"/>
  <c r="AC246" i="2" s="1"/>
  <c r="AC307" i="2"/>
  <c r="AE305" i="2"/>
  <c r="AC305" i="2" s="1"/>
  <c r="AE256" i="2"/>
  <c r="AC256" i="2" s="1"/>
  <c r="AC230" i="2"/>
  <c r="K275" i="2"/>
  <c r="L234" i="2"/>
  <c r="M234" i="2"/>
  <c r="V234" i="2"/>
  <c r="W234" i="2" s="1"/>
  <c r="T234" i="2"/>
  <c r="S234" i="2"/>
  <c r="AC220" i="2"/>
  <c r="AE239" i="2"/>
  <c r="AC239" i="2" s="1"/>
  <c r="AE227" i="2"/>
  <c r="AC227" i="2" s="1"/>
  <c r="AE158" i="2"/>
  <c r="AC158" i="2" s="1"/>
  <c r="AC153" i="2"/>
  <c r="AE124" i="2"/>
  <c r="AC124" i="2" s="1"/>
  <c r="AC185" i="2"/>
  <c r="AE152" i="2"/>
  <c r="AC152" i="2" s="1"/>
  <c r="AC343" i="2"/>
  <c r="AC428" i="2"/>
  <c r="AE133" i="2"/>
  <c r="AC133" i="2" s="1"/>
  <c r="AE413" i="2"/>
  <c r="AC413" i="2" s="1"/>
  <c r="AE1046" i="2"/>
  <c r="AB1046" i="2" s="1"/>
  <c r="AE1036" i="2"/>
  <c r="AC1036" i="2" s="1"/>
  <c r="AE1210" i="2"/>
  <c r="AC1210" i="2" s="1"/>
  <c r="AE1242" i="2"/>
  <c r="AC1242" i="2" s="1"/>
  <c r="AC84" i="2"/>
  <c r="W119" i="2"/>
  <c r="AE57" i="2"/>
  <c r="AC57" i="2" s="1"/>
  <c r="AE1133" i="2"/>
  <c r="AB1133" i="2" s="1"/>
  <c r="AC1173" i="2"/>
  <c r="AC1218" i="2"/>
  <c r="AE1160" i="2"/>
  <c r="AC1160" i="2" s="1"/>
  <c r="AC1146" i="2"/>
  <c r="AE1206" i="2"/>
  <c r="AC1206" i="2" s="1"/>
  <c r="AC1106" i="2"/>
  <c r="AE1144" i="2"/>
  <c r="AC1144" i="2" s="1"/>
  <c r="AE1067" i="2"/>
  <c r="AC1067" i="2" s="1"/>
  <c r="AB1067" i="2"/>
  <c r="AC1054" i="2"/>
  <c r="AE1088" i="2"/>
  <c r="AC1088" i="2" s="1"/>
  <c r="AE1083" i="2"/>
  <c r="AC1083" i="2" s="1"/>
  <c r="AB1083" i="2"/>
  <c r="AE1055" i="2"/>
  <c r="AC1055" i="2" s="1"/>
  <c r="AE1017" i="2"/>
  <c r="AB1017" i="2" s="1"/>
  <c r="AE1079" i="2"/>
  <c r="AC1079" i="2" s="1"/>
  <c r="AE1059" i="2"/>
  <c r="AC1059" i="2" s="1"/>
  <c r="AE1022" i="2"/>
  <c r="AC1022" i="2" s="1"/>
  <c r="AE974" i="2"/>
  <c r="AB974" i="2" s="1"/>
  <c r="AC988" i="2"/>
  <c r="AE976" i="2"/>
  <c r="AC976" i="2" s="1"/>
  <c r="AE992" i="2"/>
  <c r="AC992" i="2" s="1"/>
  <c r="AE966" i="2"/>
  <c r="AC966" i="2" s="1"/>
  <c r="W966" i="2"/>
  <c r="AB983" i="2"/>
  <c r="AE983" i="2"/>
  <c r="AC983" i="2" s="1"/>
  <c r="M866" i="2"/>
  <c r="T866" i="2"/>
  <c r="S866" i="2"/>
  <c r="L866" i="2"/>
  <c r="V866" i="2"/>
  <c r="AC876" i="2"/>
  <c r="AE859" i="2"/>
  <c r="AB859" i="2" s="1"/>
  <c r="AE842" i="2"/>
  <c r="AC842" i="2" s="1"/>
  <c r="AI793" i="2"/>
  <c r="M793" i="2"/>
  <c r="L793" i="2"/>
  <c r="V793" i="2"/>
  <c r="W793" i="2" s="1"/>
  <c r="T793" i="2"/>
  <c r="S793" i="2"/>
  <c r="S736" i="2"/>
  <c r="AI736" i="2"/>
  <c r="A736" i="2"/>
  <c r="A737" i="2" s="1"/>
  <c r="A738" i="2" s="1"/>
  <c r="A739" i="2" s="1"/>
  <c r="A740" i="2" s="1"/>
  <c r="A741" i="2" s="1"/>
  <c r="L736" i="2"/>
  <c r="V736" i="2"/>
  <c r="T736" i="2"/>
  <c r="M736" i="2"/>
  <c r="AE732" i="2"/>
  <c r="AE733" i="2"/>
  <c r="AC733" i="2" s="1"/>
  <c r="AC746" i="2"/>
  <c r="AE681" i="2"/>
  <c r="AC681" i="2" s="1"/>
  <c r="M624" i="2"/>
  <c r="V624" i="2"/>
  <c r="W624" i="2" s="1"/>
  <c r="T624" i="2"/>
  <c r="S624" i="2"/>
  <c r="L624" i="2"/>
  <c r="AI624" i="2"/>
  <c r="AC726" i="2"/>
  <c r="AE616" i="2"/>
  <c r="AC616" i="2" s="1"/>
  <c r="AE579" i="2"/>
  <c r="AC579" i="2" s="1"/>
  <c r="AE504" i="2"/>
  <c r="AC504" i="2" s="1"/>
  <c r="AC457" i="2"/>
  <c r="T569" i="2"/>
  <c r="S569" i="2"/>
  <c r="AI569" i="2"/>
  <c r="L569" i="2"/>
  <c r="M569" i="2"/>
  <c r="V569" i="2"/>
  <c r="W569" i="2" s="1"/>
  <c r="M515" i="2"/>
  <c r="L515" i="2"/>
  <c r="V515" i="2"/>
  <c r="T515" i="2"/>
  <c r="S515" i="2"/>
  <c r="AI515" i="2"/>
  <c r="AE649" i="2"/>
  <c r="AC649" i="2" s="1"/>
  <c r="M489" i="2"/>
  <c r="L489" i="2"/>
  <c r="T489" i="2"/>
  <c r="T455" i="2" s="1"/>
  <c r="S489" i="2"/>
  <c r="AI489" i="2"/>
  <c r="V489" i="2"/>
  <c r="W489" i="2" s="1"/>
  <c r="AE583" i="2"/>
  <c r="AC583" i="2" s="1"/>
  <c r="AC580" i="2"/>
  <c r="AE406" i="2"/>
  <c r="AC406" i="2" s="1"/>
  <c r="AE458" i="2"/>
  <c r="AB458" i="2" s="1"/>
  <c r="AC433" i="2"/>
  <c r="AE381" i="2"/>
  <c r="AC381" i="2" s="1"/>
  <c r="AC430" i="2"/>
  <c r="AE386" i="2"/>
  <c r="AC386" i="2" s="1"/>
  <c r="AC383" i="2"/>
  <c r="AE385" i="2"/>
  <c r="AC385" i="2" s="1"/>
  <c r="AC315" i="2"/>
  <c r="AC300" i="2"/>
  <c r="AC337" i="2"/>
  <c r="AE291" i="2"/>
  <c r="AC291" i="2" s="1"/>
  <c r="AE260" i="2"/>
  <c r="AC260" i="2" s="1"/>
  <c r="AE306" i="2"/>
  <c r="AC306" i="2" s="1"/>
  <c r="AC242" i="2"/>
  <c r="AE251" i="2"/>
  <c r="AC251" i="2" s="1"/>
  <c r="AC257" i="2"/>
  <c r="AE205" i="2"/>
  <c r="AC205" i="2" s="1"/>
  <c r="AE186" i="2"/>
  <c r="AE187" i="2"/>
  <c r="AC187" i="2" s="1"/>
  <c r="AC147" i="2"/>
  <c r="AE219" i="2"/>
  <c r="AC219" i="2" s="1"/>
  <c r="AC135" i="2"/>
  <c r="AE179" i="2"/>
  <c r="AC179" i="2" s="1"/>
  <c r="AE170" i="2"/>
  <c r="AC170" i="2" s="1"/>
  <c r="AC149" i="2"/>
  <c r="AE142" i="2"/>
  <c r="AC142" i="2" s="1"/>
  <c r="AC134" i="2"/>
  <c r="AC146" i="2"/>
  <c r="AC258" i="2"/>
  <c r="AC1008" i="2"/>
  <c r="AE456" i="2"/>
  <c r="AB456" i="2" s="1"/>
  <c r="AE655" i="2"/>
  <c r="AC655" i="2" s="1"/>
  <c r="AE1202" i="2"/>
  <c r="AC1202" i="2" s="1"/>
  <c r="AE59" i="2"/>
  <c r="AB59" i="2" s="1"/>
  <c r="S74" i="2"/>
  <c r="V74" i="2"/>
  <c r="T74" i="2"/>
  <c r="AI74" i="2"/>
  <c r="L74" i="2"/>
  <c r="M74" i="2"/>
  <c r="AE102" i="2"/>
  <c r="AC102" i="2" s="1"/>
  <c r="AC1254" i="2"/>
  <c r="AE1188" i="2"/>
  <c r="AC1188" i="2" s="1"/>
  <c r="AE1238" i="2"/>
  <c r="AC1238" i="2" s="1"/>
  <c r="AB1238" i="2"/>
  <c r="AC1246" i="2"/>
  <c r="AE1262" i="2"/>
  <c r="AC1262" i="2" s="1"/>
  <c r="AE1260" i="2"/>
  <c r="AB1260" i="2" s="1"/>
  <c r="W1227" i="2"/>
  <c r="W36" i="2" s="1"/>
  <c r="AE1169" i="2"/>
  <c r="AC1169" i="2" s="1"/>
  <c r="AE1168" i="2"/>
  <c r="AE1207" i="2"/>
  <c r="AC1207" i="2" s="1"/>
  <c r="S1227" i="2"/>
  <c r="AH1228" i="2" s="1"/>
  <c r="AE1249" i="2"/>
  <c r="AB1249" i="2" s="1"/>
  <c r="AE1255" i="2"/>
  <c r="AC1255" i="2" s="1"/>
  <c r="AB1255" i="2"/>
  <c r="L35" i="2"/>
  <c r="AC1256" i="2"/>
  <c r="AE1157" i="2"/>
  <c r="AB1157" i="2" s="1"/>
  <c r="AE1156" i="2"/>
  <c r="AE1154" i="2"/>
  <c r="AC1154" i="2" s="1"/>
  <c r="AE1153" i="2"/>
  <c r="AE1136" i="2"/>
  <c r="AC1136" i="2" s="1"/>
  <c r="AE1214" i="2"/>
  <c r="AB1214" i="2" s="1"/>
  <c r="AE1158" i="2"/>
  <c r="AC1158" i="2" s="1"/>
  <c r="AE1071" i="2"/>
  <c r="AB1071" i="2" s="1"/>
  <c r="AE1090" i="2"/>
  <c r="AC1090" i="2" s="1"/>
  <c r="AC1046" i="2"/>
  <c r="AE1009" i="2"/>
  <c r="AB1009" i="2" s="1"/>
  <c r="AE1030" i="2"/>
  <c r="AB1030" i="2" s="1"/>
  <c r="AE1062" i="2"/>
  <c r="AC1062" i="2" s="1"/>
  <c r="AB1062" i="2"/>
  <c r="AE1051" i="2"/>
  <c r="AC1051" i="2" s="1"/>
  <c r="AC1005" i="2"/>
  <c r="AE1033" i="2"/>
  <c r="AC1033" i="2" s="1"/>
  <c r="AE1015" i="2"/>
  <c r="AC1015" i="2" s="1"/>
  <c r="AC998" i="2"/>
  <c r="AE901" i="2"/>
  <c r="AE902" i="2"/>
  <c r="AC902" i="2" s="1"/>
  <c r="AE959" i="2"/>
  <c r="AC959" i="2" s="1"/>
  <c r="AE848" i="2"/>
  <c r="AB848" i="2" s="1"/>
  <c r="AC925" i="2"/>
  <c r="AC864" i="2"/>
  <c r="AE841" i="2"/>
  <c r="AC841" i="2" s="1"/>
  <c r="AE875" i="2"/>
  <c r="AC875" i="2" s="1"/>
  <c r="AC771" i="2"/>
  <c r="AE755" i="2"/>
  <c r="AC755" i="2" s="1"/>
  <c r="AE750" i="2"/>
  <c r="AB750" i="2" s="1"/>
  <c r="V745" i="2"/>
  <c r="W746" i="2"/>
  <c r="AE759" i="2"/>
  <c r="AC759" i="2" s="1"/>
  <c r="AE748" i="2"/>
  <c r="AC748" i="2" s="1"/>
  <c r="AC679" i="2"/>
  <c r="AE618" i="2"/>
  <c r="AB618" i="2" s="1"/>
  <c r="AE617" i="2"/>
  <c r="AE508" i="2"/>
  <c r="AC508" i="2" s="1"/>
  <c r="AE512" i="2"/>
  <c r="AC512" i="2" s="1"/>
  <c r="AC536" i="2"/>
  <c r="AE483" i="2"/>
  <c r="AC483" i="2" s="1"/>
  <c r="AE475" i="2"/>
  <c r="AC475" i="2" s="1"/>
  <c r="AB475" i="2"/>
  <c r="AC491" i="2"/>
  <c r="W462" i="2"/>
  <c r="V455" i="2"/>
  <c r="AE425" i="2"/>
  <c r="AC425" i="2" s="1"/>
  <c r="AE372" i="2"/>
  <c r="AB372" i="2" s="1"/>
  <c r="AE378" i="2"/>
  <c r="AB378" i="2" s="1"/>
  <c r="AE348" i="2"/>
  <c r="AC348" i="2" s="1"/>
  <c r="AE290" i="2"/>
  <c r="AC290" i="2" s="1"/>
  <c r="AE236" i="2"/>
  <c r="AC236" i="2" s="1"/>
  <c r="AB236" i="2"/>
  <c r="AE316" i="2"/>
  <c r="AC316" i="2" s="1"/>
  <c r="AE319" i="2"/>
  <c r="AC319" i="2" s="1"/>
  <c r="V263" i="2"/>
  <c r="W263" i="2" s="1"/>
  <c r="T263" i="2"/>
  <c r="S263" i="2"/>
  <c r="AK263" i="2"/>
  <c r="M263" i="2"/>
  <c r="L263" i="2"/>
  <c r="AC245" i="2"/>
  <c r="AE180" i="2"/>
  <c r="AB180" i="2" s="1"/>
  <c r="AC143" i="2"/>
  <c r="AE208" i="2"/>
  <c r="AB208" i="2" s="1"/>
  <c r="AE178" i="2"/>
  <c r="AC178" i="2" s="1"/>
  <c r="AE161" i="2"/>
  <c r="AC161" i="2" s="1"/>
  <c r="AC96" i="2"/>
  <c r="AE373" i="2"/>
  <c r="AC373" i="2" s="1"/>
  <c r="AC138" i="2"/>
  <c r="AE105" i="2"/>
  <c r="AC105" i="2" s="1"/>
  <c r="AE160" i="2"/>
  <c r="AB160" i="2" s="1"/>
  <c r="AC384" i="2"/>
  <c r="AC722" i="2"/>
  <c r="AC1081" i="2"/>
  <c r="AE1011" i="2"/>
  <c r="AC1011" i="2" s="1"/>
  <c r="AE1098" i="2"/>
  <c r="AC1098" i="2" s="1"/>
  <c r="AC54" i="2"/>
  <c r="AE92" i="2"/>
  <c r="AC92" i="2" s="1"/>
  <c r="AC1250" i="2"/>
  <c r="AE1191" i="2"/>
  <c r="AC1191" i="2" s="1"/>
  <c r="AC1133" i="2"/>
  <c r="V1109" i="2"/>
  <c r="W1109" i="2" s="1"/>
  <c r="M1109" i="2"/>
  <c r="L1109" i="2"/>
  <c r="S1109" i="2"/>
  <c r="AQ1036" i="2"/>
  <c r="T1109" i="2"/>
  <c r="AC1073" i="2"/>
  <c r="AE1048" i="2"/>
  <c r="AC1048" i="2" s="1"/>
  <c r="AE1040" i="2"/>
  <c r="AC1040" i="2" s="1"/>
  <c r="AC1006" i="2"/>
  <c r="AE1021" i="2"/>
  <c r="AC1021" i="2" s="1"/>
  <c r="AE1012" i="2"/>
  <c r="AC1012" i="2" s="1"/>
  <c r="AC993" i="2"/>
  <c r="AC932" i="2"/>
  <c r="M952" i="2"/>
  <c r="V952" i="2"/>
  <c r="W952" i="2" s="1"/>
  <c r="T952" i="2"/>
  <c r="S952" i="2"/>
  <c r="L952" i="2"/>
  <c r="AE953" i="2"/>
  <c r="AC953" i="2" s="1"/>
  <c r="AE880" i="2"/>
  <c r="AC880" i="2" s="1"/>
  <c r="AB880" i="2"/>
  <c r="AE924" i="2"/>
  <c r="AC924" i="2" s="1"/>
  <c r="AE930" i="2"/>
  <c r="AC930" i="2" s="1"/>
  <c r="V912" i="2"/>
  <c r="W912" i="2" s="1"/>
  <c r="S912" i="2"/>
  <c r="M912" i="2"/>
  <c r="L912" i="2"/>
  <c r="T912" i="2"/>
  <c r="AI912" i="2"/>
  <c r="AC939" i="2"/>
  <c r="AC881" i="2"/>
  <c r="AC861" i="2"/>
  <c r="AE890" i="2"/>
  <c r="AC890" i="2" s="1"/>
  <c r="AC853" i="2"/>
  <c r="AE860" i="2"/>
  <c r="AC860" i="2" s="1"/>
  <c r="AE787" i="2"/>
  <c r="AC787" i="2" s="1"/>
  <c r="AE786" i="2"/>
  <c r="AE818" i="2"/>
  <c r="AC818" i="2" s="1"/>
  <c r="AE840" i="2"/>
  <c r="AC840" i="2" s="1"/>
  <c r="AE805" i="2"/>
  <c r="AC805" i="2" s="1"/>
  <c r="AE845" i="2"/>
  <c r="AC845" i="2" s="1"/>
  <c r="AE815" i="2"/>
  <c r="AC815" i="2" s="1"/>
  <c r="AE752" i="2"/>
  <c r="AC752" i="2" s="1"/>
  <c r="AE751" i="2"/>
  <c r="AB751" i="2" s="1"/>
  <c r="AE780" i="2"/>
  <c r="AE781" i="2"/>
  <c r="AC781" i="2" s="1"/>
  <c r="AE757" i="2"/>
  <c r="AC757" i="2" s="1"/>
  <c r="L742" i="2"/>
  <c r="T742" i="2"/>
  <c r="S742" i="2"/>
  <c r="V742" i="2"/>
  <c r="W742" i="2" s="1"/>
  <c r="A742" i="2"/>
  <c r="A743" i="2" s="1"/>
  <c r="A744" i="2" s="1"/>
  <c r="AI742" i="2"/>
  <c r="M742" i="2"/>
  <c r="AC636" i="2"/>
  <c r="AE592" i="2"/>
  <c r="AC592" i="2" s="1"/>
  <c r="AC667" i="2"/>
  <c r="AE501" i="2"/>
  <c r="AC501" i="2" s="1"/>
  <c r="AC550" i="2"/>
  <c r="AC591" i="2"/>
  <c r="AE505" i="2"/>
  <c r="AC505" i="2" s="1"/>
  <c r="AC551" i="2"/>
  <c r="AE498" i="2"/>
  <c r="AC498" i="2" s="1"/>
  <c r="AE519" i="2"/>
  <c r="AE520" i="2"/>
  <c r="AC520" i="2" s="1"/>
  <c r="AE400" i="2"/>
  <c r="AC400" i="2" s="1"/>
  <c r="AC419" i="2"/>
  <c r="AE437" i="2"/>
  <c r="AE438" i="2"/>
  <c r="AC438" i="2" s="1"/>
  <c r="AE422" i="2"/>
  <c r="AB422" i="2" s="1"/>
  <c r="AE416" i="2"/>
  <c r="AC416" i="2" s="1"/>
  <c r="AC420" i="2"/>
  <c r="AE362" i="2"/>
  <c r="AC362" i="2" s="1"/>
  <c r="AE390" i="2"/>
  <c r="AC390" i="2" s="1"/>
  <c r="AE318" i="2"/>
  <c r="AC318" i="2" s="1"/>
  <c r="AC378" i="2"/>
  <c r="AC309" i="2"/>
  <c r="AE365" i="2"/>
  <c r="AB365" i="2" s="1"/>
  <c r="AC262" i="2"/>
  <c r="V233" i="2"/>
  <c r="W233" i="2" s="1"/>
  <c r="K274" i="2"/>
  <c r="M233" i="2"/>
  <c r="T233" i="2"/>
  <c r="S233" i="2"/>
  <c r="L233" i="2"/>
  <c r="AC208" i="2"/>
  <c r="AC180" i="2"/>
  <c r="AE206" i="2"/>
  <c r="AC206" i="2" s="1"/>
  <c r="AE182" i="2"/>
  <c r="AB182" i="2" s="1"/>
  <c r="AE148" i="2"/>
  <c r="AC148" i="2" s="1"/>
  <c r="AE191" i="2"/>
  <c r="AE192" i="2"/>
  <c r="AC192" i="2" s="1"/>
  <c r="AE254" i="2"/>
  <c r="AC254" i="2" s="1"/>
  <c r="AC130" i="2"/>
  <c r="AE144" i="2"/>
  <c r="AC144" i="2" s="1"/>
  <c r="AE137" i="2"/>
  <c r="AC137" i="2" s="1"/>
  <c r="AE155" i="2"/>
  <c r="AC155" i="2" s="1"/>
  <c r="AC265" i="2"/>
  <c r="AC859" i="2"/>
  <c r="AC1236" i="2"/>
  <c r="AE363" i="2"/>
  <c r="AC363" i="2" s="1"/>
  <c r="AE460" i="2"/>
  <c r="AC460" i="2" s="1"/>
  <c r="AE459" i="2"/>
  <c r="AC459" i="2" s="1"/>
  <c r="AB863" i="2"/>
  <c r="AE863" i="2"/>
  <c r="AC863" i="2" s="1"/>
  <c r="AE53" i="2"/>
  <c r="AC53" i="2" s="1"/>
  <c r="AE67" i="2"/>
  <c r="AC67" i="2" s="1"/>
  <c r="K702" i="2" l="1"/>
  <c r="K702" i="44"/>
  <c r="G20" i="12"/>
  <c r="N20" i="12" s="1"/>
  <c r="G18" i="12"/>
  <c r="J18" i="12" s="1"/>
  <c r="N18" i="12" s="1"/>
  <c r="G21" i="12"/>
  <c r="N21" i="12" s="1"/>
  <c r="N2" i="12"/>
  <c r="L107" i="2"/>
  <c r="M107" i="2"/>
  <c r="C102" i="42"/>
  <c r="V107" i="2"/>
  <c r="W107" i="2" s="1"/>
  <c r="V668" i="44"/>
  <c r="W668" i="44" s="1"/>
  <c r="M668" i="44"/>
  <c r="L668" i="44"/>
  <c r="S668" i="44"/>
  <c r="T668" i="44"/>
  <c r="T104" i="2"/>
  <c r="AC104" i="2" s="1"/>
  <c r="J79" i="23"/>
  <c r="G5" i="27"/>
  <c r="N5" i="27" s="1"/>
  <c r="J115" i="23"/>
  <c r="K709" i="44"/>
  <c r="K709" i="2"/>
  <c r="K708" i="44"/>
  <c r="K708" i="2"/>
  <c r="V107" i="44"/>
  <c r="W107" i="44" s="1"/>
  <c r="S107" i="44"/>
  <c r="T107" i="44"/>
  <c r="L107" i="44"/>
  <c r="M107" i="44"/>
  <c r="L668" i="2"/>
  <c r="M668" i="2"/>
  <c r="V668" i="2"/>
  <c r="W668" i="2" s="1"/>
  <c r="V672" i="2"/>
  <c r="W672" i="2" s="1"/>
  <c r="L672" i="2"/>
  <c r="M672" i="2"/>
  <c r="T672" i="2"/>
  <c r="AC672" i="2" s="1"/>
  <c r="V667" i="44"/>
  <c r="W667" i="44" s="1"/>
  <c r="M667" i="44"/>
  <c r="T667" i="44"/>
  <c r="L667" i="44"/>
  <c r="S667" i="44"/>
  <c r="AE667" i="44" s="1"/>
  <c r="AC667" i="44" s="1"/>
  <c r="V112" i="44"/>
  <c r="W112" i="44" s="1"/>
  <c r="L672" i="44"/>
  <c r="V672" i="44"/>
  <c r="W672" i="44" s="1"/>
  <c r="S672" i="44"/>
  <c r="T672" i="44"/>
  <c r="AC672" i="44" s="1"/>
  <c r="M672" i="44"/>
  <c r="L112" i="44"/>
  <c r="G132" i="23"/>
  <c r="I112" i="23"/>
  <c r="J112" i="23" s="1"/>
  <c r="AI112" i="44"/>
  <c r="M104" i="44"/>
  <c r="L104" i="44"/>
  <c r="V104" i="44"/>
  <c r="W104" i="44" s="1"/>
  <c r="S104" i="44"/>
  <c r="T104" i="44"/>
  <c r="AC104" i="44" s="1"/>
  <c r="S668" i="2"/>
  <c r="AE668" i="2" s="1"/>
  <c r="N52" i="14"/>
  <c r="K103" i="44"/>
  <c r="K103" i="2"/>
  <c r="S112" i="44"/>
  <c r="V104" i="2"/>
  <c r="W104" i="2" s="1"/>
  <c r="M104" i="2"/>
  <c r="L104" i="2"/>
  <c r="L675" i="2"/>
  <c r="V675" i="2"/>
  <c r="W675" i="2" s="1"/>
  <c r="S675" i="2"/>
  <c r="AE675" i="2" s="1"/>
  <c r="AB675" i="2" s="1"/>
  <c r="M675" i="2"/>
  <c r="V676" i="44"/>
  <c r="W676" i="44" s="1"/>
  <c r="M676" i="44"/>
  <c r="L676" i="44"/>
  <c r="S676" i="44"/>
  <c r="AE676" i="44" s="1"/>
  <c r="AB676" i="44" s="1"/>
  <c r="T676" i="44"/>
  <c r="AC676" i="44" s="1"/>
  <c r="K703" i="2"/>
  <c r="T112" i="44"/>
  <c r="V675" i="44"/>
  <c r="W675" i="44" s="1"/>
  <c r="S675" i="44"/>
  <c r="AE675" i="44" s="1"/>
  <c r="AB675" i="44" s="1"/>
  <c r="M675" i="44"/>
  <c r="L675" i="44"/>
  <c r="T675" i="44"/>
  <c r="L676" i="2"/>
  <c r="V676" i="2"/>
  <c r="W676" i="2" s="1"/>
  <c r="M676" i="2"/>
  <c r="C108" i="42"/>
  <c r="L113" i="2"/>
  <c r="V113" i="2"/>
  <c r="W113" i="2" s="1"/>
  <c r="M113" i="2"/>
  <c r="AI113" i="2"/>
  <c r="J77" i="23"/>
  <c r="H10" i="14"/>
  <c r="S672" i="2"/>
  <c r="AE672" i="2" s="1"/>
  <c r="AB672" i="2" s="1"/>
  <c r="J59" i="23"/>
  <c r="K673" i="44"/>
  <c r="K673" i="2"/>
  <c r="T668" i="2"/>
  <c r="K703" i="44"/>
  <c r="K696" i="2"/>
  <c r="K696" i="44"/>
  <c r="K697" i="2"/>
  <c r="G119" i="23"/>
  <c r="I99" i="23"/>
  <c r="T113" i="2"/>
  <c r="AC113" i="2" s="1"/>
  <c r="V669" i="44"/>
  <c r="W669" i="44" s="1"/>
  <c r="L669" i="44"/>
  <c r="S669" i="44"/>
  <c r="M669" i="44"/>
  <c r="T669" i="44"/>
  <c r="AC669" i="44" s="1"/>
  <c r="S676" i="2"/>
  <c r="AE676" i="2" s="1"/>
  <c r="AB676" i="2" s="1"/>
  <c r="L667" i="2"/>
  <c r="V667" i="2"/>
  <c r="M667" i="2"/>
  <c r="V669" i="2"/>
  <c r="W669" i="2" s="1"/>
  <c r="M669" i="2"/>
  <c r="L669" i="2"/>
  <c r="J104" i="23"/>
  <c r="T91" i="44"/>
  <c r="V91" i="44"/>
  <c r="M91" i="44"/>
  <c r="L91" i="44"/>
  <c r="S91" i="44"/>
  <c r="AE91" i="44" s="1"/>
  <c r="AB91" i="44" s="1"/>
  <c r="AJ197" i="17"/>
  <c r="M91" i="2"/>
  <c r="V91" i="2"/>
  <c r="W91" i="2" s="1"/>
  <c r="S91" i="2"/>
  <c r="AE91" i="2" s="1"/>
  <c r="AC91" i="2" s="1"/>
  <c r="L91" i="2"/>
  <c r="AJ180" i="17"/>
  <c r="AJ158" i="17"/>
  <c r="I14" i="16"/>
  <c r="J6" i="20"/>
  <c r="J8" i="20" s="1"/>
  <c r="AC163" i="17"/>
  <c r="I21" i="16"/>
  <c r="J9" i="20"/>
  <c r="J11" i="20" s="1"/>
  <c r="T91" i="2"/>
  <c r="AE2" i="18"/>
  <c r="AE2" i="16"/>
  <c r="AE8" i="16" s="1"/>
  <c r="AE2" i="17"/>
  <c r="G15" i="16"/>
  <c r="AA163" i="17"/>
  <c r="Y163" i="17"/>
  <c r="R18" i="20"/>
  <c r="G14" i="16"/>
  <c r="H6" i="20"/>
  <c r="H8" i="20" s="1"/>
  <c r="AB163" i="17"/>
  <c r="R15" i="20"/>
  <c r="R16" i="20" s="1"/>
  <c r="R62" i="20" s="1"/>
  <c r="R84" i="20" s="1"/>
  <c r="R47" i="20"/>
  <c r="AD2" i="16"/>
  <c r="AD8" i="16" s="1"/>
  <c r="AD2" i="18"/>
  <c r="AD2" i="17"/>
  <c r="AJ10" i="18"/>
  <c r="S14" i="20"/>
  <c r="S32" i="20" s="1"/>
  <c r="S48" i="20"/>
  <c r="S41" i="20"/>
  <c r="AC29" i="16"/>
  <c r="H14" i="16"/>
  <c r="I6" i="20"/>
  <c r="I8" i="20" s="1"/>
  <c r="H21" i="16"/>
  <c r="I9" i="20"/>
  <c r="I11" i="20" s="1"/>
  <c r="AH1113" i="44"/>
  <c r="AH993" i="44"/>
  <c r="AH1109" i="44"/>
  <c r="AH966" i="44"/>
  <c r="AH976" i="44"/>
  <c r="AH1106" i="44"/>
  <c r="AH970" i="44"/>
  <c r="AH577" i="44"/>
  <c r="AH622" i="44"/>
  <c r="AH607" i="44"/>
  <c r="AH572" i="44"/>
  <c r="AH651" i="44"/>
  <c r="AH610" i="44"/>
  <c r="AH621" i="44"/>
  <c r="AH576" i="44"/>
  <c r="AH664" i="44"/>
  <c r="AH589" i="44"/>
  <c r="AH640" i="44"/>
  <c r="AH633" i="44"/>
  <c r="AH630" i="44"/>
  <c r="AH587" i="44"/>
  <c r="AH642" i="44"/>
  <c r="AB753" i="44"/>
  <c r="AC861" i="44"/>
  <c r="T351" i="44"/>
  <c r="AC351" i="44" s="1"/>
  <c r="AB1138" i="44"/>
  <c r="AB1045" i="44"/>
  <c r="AB1212" i="44"/>
  <c r="AB1172" i="44"/>
  <c r="AC1143" i="44"/>
  <c r="AB491" i="44"/>
  <c r="AB927" i="44"/>
  <c r="AB761" i="44"/>
  <c r="AB585" i="44"/>
  <c r="AC785" i="44"/>
  <c r="AB84" i="44"/>
  <c r="AB373" i="44"/>
  <c r="AB787" i="44"/>
  <c r="AB1173" i="44"/>
  <c r="AC302" i="44"/>
  <c r="AC569" i="44"/>
  <c r="AC536" i="44"/>
  <c r="AC1184" i="44"/>
  <c r="AC871" i="44"/>
  <c r="AC174" i="44"/>
  <c r="AC675" i="44"/>
  <c r="AB222" i="44"/>
  <c r="AC797" i="44"/>
  <c r="AC473" i="44"/>
  <c r="AB1222" i="44"/>
  <c r="AC873" i="44"/>
  <c r="AB306" i="44"/>
  <c r="AC778" i="44"/>
  <c r="AC129" i="44"/>
  <c r="AB926" i="44"/>
  <c r="AE188" i="44"/>
  <c r="AB300" i="44"/>
  <c r="AC773" i="44"/>
  <c r="AB621" i="44"/>
  <c r="AB128" i="44"/>
  <c r="AB290" i="44"/>
  <c r="AB628" i="44"/>
  <c r="AH338" i="44"/>
  <c r="AB326" i="44"/>
  <c r="AB241" i="44"/>
  <c r="AC1225" i="44"/>
  <c r="AC930" i="44"/>
  <c r="AB758" i="44"/>
  <c r="AC596" i="44"/>
  <c r="AB393" i="44"/>
  <c r="AB919" i="44"/>
  <c r="S351" i="44"/>
  <c r="AB351" i="44" s="1"/>
  <c r="AB115" i="44"/>
  <c r="AB811" i="44"/>
  <c r="AB179" i="44"/>
  <c r="AB358" i="44"/>
  <c r="AC562" i="44"/>
  <c r="AE865" i="44"/>
  <c r="AB760" i="44"/>
  <c r="AC929" i="44"/>
  <c r="AB1109" i="44"/>
  <c r="T720" i="44"/>
  <c r="AB182" i="44"/>
  <c r="AC768" i="44"/>
  <c r="AC906" i="44"/>
  <c r="AB105" i="44"/>
  <c r="AC412" i="44"/>
  <c r="AB207" i="44"/>
  <c r="AB276" i="44"/>
  <c r="AB320" i="44"/>
  <c r="AB147" i="44"/>
  <c r="AB369" i="44"/>
  <c r="AC984" i="44"/>
  <c r="AB398" i="44"/>
  <c r="S745" i="44"/>
  <c r="AH748" i="44" s="1"/>
  <c r="AH334" i="44"/>
  <c r="AB156" i="44"/>
  <c r="AB893" i="44"/>
  <c r="AB607" i="44"/>
  <c r="AC895" i="44"/>
  <c r="T745" i="44"/>
  <c r="AC745" i="44" s="1"/>
  <c r="AC136" i="44"/>
  <c r="AH344" i="44"/>
  <c r="AC837" i="44"/>
  <c r="AB663" i="44"/>
  <c r="AB116" i="44"/>
  <c r="AB923" i="44"/>
  <c r="AC169" i="44"/>
  <c r="AC417" i="44"/>
  <c r="AB256" i="44"/>
  <c r="AB858" i="44"/>
  <c r="AC530" i="44"/>
  <c r="AB925" i="44"/>
  <c r="S1118" i="44"/>
  <c r="AH1121" i="44" s="1"/>
  <c r="AH835" i="44"/>
  <c r="AH848" i="44"/>
  <c r="AE834" i="44"/>
  <c r="AH860" i="44"/>
  <c r="AE835" i="44"/>
  <c r="AB835" i="44"/>
  <c r="S30" i="44"/>
  <c r="AH838" i="44"/>
  <c r="AH859" i="44"/>
  <c r="AH863" i="44"/>
  <c r="AH847" i="44"/>
  <c r="AH850" i="44"/>
  <c r="AH864" i="44"/>
  <c r="AH856" i="44"/>
  <c r="AH851" i="44"/>
  <c r="AH843" i="44"/>
  <c r="AH846" i="44"/>
  <c r="AH841" i="44"/>
  <c r="AH852" i="44"/>
  <c r="AH855" i="44"/>
  <c r="AH842" i="44"/>
  <c r="AH854" i="44"/>
  <c r="AH861" i="44"/>
  <c r="AH862" i="44"/>
  <c r="AH849" i="44"/>
  <c r="AH837" i="44"/>
  <c r="AH858" i="44"/>
  <c r="AH836" i="44"/>
  <c r="AH845" i="44"/>
  <c r="AH844" i="44"/>
  <c r="AH839" i="44"/>
  <c r="AH866" i="44"/>
  <c r="AH840" i="44"/>
  <c r="AH853" i="44"/>
  <c r="AH857" i="44"/>
  <c r="AE745" i="44"/>
  <c r="AE744" i="44"/>
  <c r="AH745" i="44"/>
  <c r="AH799" i="44"/>
  <c r="AH766" i="44"/>
  <c r="AH749" i="44"/>
  <c r="AH769" i="44"/>
  <c r="AH750" i="44"/>
  <c r="AH754" i="44"/>
  <c r="AH751" i="44"/>
  <c r="AH817" i="44"/>
  <c r="AH805" i="44"/>
  <c r="AH820" i="44"/>
  <c r="AH814" i="44"/>
  <c r="AH824" i="44"/>
  <c r="AH767" i="44"/>
  <c r="AH746" i="44"/>
  <c r="AH764" i="44"/>
  <c r="AH797" i="44"/>
  <c r="AH823" i="44"/>
  <c r="AH796" i="44"/>
  <c r="AH800" i="44"/>
  <c r="AH809" i="44"/>
  <c r="AH808" i="44"/>
  <c r="AH821" i="44"/>
  <c r="AH779" i="44"/>
  <c r="AH811" i="44"/>
  <c r="AH768" i="44"/>
  <c r="AH793" i="44"/>
  <c r="AH760" i="44"/>
  <c r="AH830" i="44"/>
  <c r="AH790" i="44"/>
  <c r="AH776" i="44"/>
  <c r="AH753" i="44"/>
  <c r="AH773" i="44"/>
  <c r="AH812" i="44"/>
  <c r="AH803" i="44"/>
  <c r="AH778" i="44"/>
  <c r="AH794" i="44"/>
  <c r="AH802" i="44"/>
  <c r="AH759" i="44"/>
  <c r="AH788" i="44"/>
  <c r="AH763" i="44"/>
  <c r="AH815" i="44"/>
  <c r="AH757" i="44"/>
  <c r="AH781" i="44"/>
  <c r="AH755" i="44"/>
  <c r="AH827" i="44"/>
  <c r="AH762" i="44"/>
  <c r="AH826" i="44"/>
  <c r="AH1103" i="44"/>
  <c r="AH1127" i="44"/>
  <c r="AH1137" i="44"/>
  <c r="AH1167" i="44"/>
  <c r="AH1146" i="44"/>
  <c r="AH1120" i="44"/>
  <c r="AH1147" i="44"/>
  <c r="AH1145" i="44"/>
  <c r="AH1100" i="44"/>
  <c r="AH1125" i="44"/>
  <c r="AH1131" i="44"/>
  <c r="AH1128" i="44"/>
  <c r="AH1134" i="44"/>
  <c r="AH1154" i="44"/>
  <c r="AH1139" i="44"/>
  <c r="AH1141" i="44"/>
  <c r="AH1166" i="44"/>
  <c r="AH1184" i="44"/>
  <c r="AH1182" i="44"/>
  <c r="AH1179" i="44"/>
  <c r="AH1129" i="44"/>
  <c r="AH1194" i="44"/>
  <c r="AH1122" i="44"/>
  <c r="AH1133" i="44"/>
  <c r="AH1155" i="44"/>
  <c r="AH1172" i="44"/>
  <c r="AH1130" i="44"/>
  <c r="AH1142" i="44"/>
  <c r="AH1132" i="44"/>
  <c r="AH1160" i="44"/>
  <c r="AH1149" i="44"/>
  <c r="AH1151" i="44"/>
  <c r="T23" i="44"/>
  <c r="AB118" i="44"/>
  <c r="AH195" i="44"/>
  <c r="AH118" i="44"/>
  <c r="AE117" i="44"/>
  <c r="S19" i="44"/>
  <c r="AE118" i="44"/>
  <c r="AH202" i="44"/>
  <c r="AH180" i="44"/>
  <c r="AH155" i="44"/>
  <c r="AH149" i="44"/>
  <c r="AH171" i="44"/>
  <c r="AH126" i="44"/>
  <c r="AH152" i="44"/>
  <c r="AH175" i="44"/>
  <c r="AH140" i="44"/>
  <c r="AH141" i="44"/>
  <c r="AH168" i="44"/>
  <c r="AH158" i="44"/>
  <c r="AH163" i="44"/>
  <c r="AH167" i="44"/>
  <c r="AH133" i="44"/>
  <c r="AH176" i="44"/>
  <c r="AH162" i="44"/>
  <c r="AH148" i="44"/>
  <c r="AH192" i="44"/>
  <c r="AH178" i="44"/>
  <c r="AH164" i="44"/>
  <c r="AH145" i="44"/>
  <c r="AH130" i="44"/>
  <c r="AH170" i="44"/>
  <c r="AH181" i="44"/>
  <c r="AH123" i="44"/>
  <c r="AH120" i="44"/>
  <c r="AH124" i="44"/>
  <c r="AH183" i="44"/>
  <c r="AH142" i="44"/>
  <c r="AH157" i="44"/>
  <c r="AH131" i="44"/>
  <c r="AH135" i="44"/>
  <c r="AH144" i="44"/>
  <c r="AH138" i="44"/>
  <c r="AH139" i="44"/>
  <c r="AH161" i="44"/>
  <c r="AH137" i="44"/>
  <c r="AH184" i="44"/>
  <c r="AH201" i="44"/>
  <c r="AH172" i="44"/>
  <c r="AH193" i="44"/>
  <c r="AH326" i="44"/>
  <c r="AH160" i="44"/>
  <c r="AH146" i="44"/>
  <c r="AH189" i="44"/>
  <c r="AH154" i="44"/>
  <c r="AH196" i="44"/>
  <c r="AH199" i="44"/>
  <c r="AH185" i="44"/>
  <c r="AH122" i="44"/>
  <c r="AH173" i="44"/>
  <c r="AH182" i="44"/>
  <c r="AH132" i="44"/>
  <c r="AH128" i="44"/>
  <c r="AH166" i="44"/>
  <c r="AH136" i="44"/>
  <c r="AH179" i="44"/>
  <c r="AH325" i="44"/>
  <c r="AH134" i="44"/>
  <c r="AH129" i="44"/>
  <c r="AH169" i="44"/>
  <c r="AH125" i="44"/>
  <c r="AH150" i="44"/>
  <c r="AH174" i="44"/>
  <c r="AH153" i="44"/>
  <c r="AH143" i="44"/>
  <c r="AH159" i="44"/>
  <c r="AH119" i="44"/>
  <c r="AH121" i="44"/>
  <c r="AH147" i="44"/>
  <c r="AH177" i="44"/>
  <c r="AH165" i="44"/>
  <c r="AH151" i="44"/>
  <c r="AH127" i="44"/>
  <c r="AH156" i="44"/>
  <c r="AH187" i="44"/>
  <c r="AE917" i="44"/>
  <c r="AE916" i="44"/>
  <c r="AB917" i="44"/>
  <c r="S32" i="44"/>
  <c r="AH432" i="44"/>
  <c r="AH431" i="44"/>
  <c r="AH415" i="44"/>
  <c r="AH436" i="44"/>
  <c r="AE351" i="44"/>
  <c r="AH419" i="44"/>
  <c r="AH427" i="44"/>
  <c r="AH403" i="44"/>
  <c r="AH391" i="44"/>
  <c r="AH407" i="44"/>
  <c r="AH351" i="44"/>
  <c r="AE350" i="44"/>
  <c r="S23" i="44"/>
  <c r="AH378" i="44"/>
  <c r="AH406" i="44"/>
  <c r="AH428" i="44"/>
  <c r="AH394" i="44"/>
  <c r="AH414" i="44"/>
  <c r="AH370" i="44"/>
  <c r="AH366" i="44"/>
  <c r="AH371" i="44"/>
  <c r="AH363" i="44"/>
  <c r="AH365" i="44"/>
  <c r="AH424" i="44"/>
  <c r="AH355" i="44"/>
  <c r="AH372" i="44"/>
  <c r="AH422" i="44"/>
  <c r="AH439" i="44"/>
  <c r="AH376" i="44"/>
  <c r="AH400" i="44"/>
  <c r="AH438" i="44"/>
  <c r="AH404" i="44"/>
  <c r="AH362" i="44"/>
  <c r="AH402" i="44"/>
  <c r="AH374" i="44"/>
  <c r="AH364" i="44"/>
  <c r="AH357" i="44"/>
  <c r="AH356" i="44"/>
  <c r="AH387" i="44"/>
  <c r="AH384" i="44"/>
  <c r="AH395" i="44"/>
  <c r="AH410" i="44"/>
  <c r="AH392" i="44"/>
  <c r="AH360" i="44"/>
  <c r="AH433" i="44"/>
  <c r="AH388" i="44"/>
  <c r="AH390" i="44"/>
  <c r="AH416" i="44"/>
  <c r="AH353" i="44"/>
  <c r="AH434" i="44"/>
  <c r="AH442" i="44"/>
  <c r="AH386" i="44"/>
  <c r="AH380" i="44"/>
  <c r="AH429" i="44"/>
  <c r="AH398" i="44"/>
  <c r="AH354" i="44"/>
  <c r="AH425" i="44"/>
  <c r="AH418" i="44"/>
  <c r="AH361" i="44"/>
  <c r="AH367" i="44"/>
  <c r="AH373" i="44"/>
  <c r="AH401" i="44"/>
  <c r="AH417" i="44"/>
  <c r="AH369" i="44"/>
  <c r="AH385" i="44"/>
  <c r="AH375" i="44"/>
  <c r="AH397" i="44"/>
  <c r="AH396" i="44"/>
  <c r="AH447" i="44"/>
  <c r="AH435" i="44"/>
  <c r="AH452" i="44"/>
  <c r="AH381" i="44"/>
  <c r="AH441" i="44"/>
  <c r="AH377" i="44"/>
  <c r="AH413" i="44"/>
  <c r="AH409" i="44"/>
  <c r="AH421" i="44"/>
  <c r="AH426" i="44"/>
  <c r="AH393" i="44"/>
  <c r="AH368" i="44"/>
  <c r="AH358" i="44"/>
  <c r="AH450" i="44"/>
  <c r="AH412" i="44"/>
  <c r="AH449" i="44"/>
  <c r="AH420" i="44"/>
  <c r="AC720" i="44"/>
  <c r="T28" i="44"/>
  <c r="T19" i="44"/>
  <c r="AC118" i="44"/>
  <c r="AC571" i="44"/>
  <c r="T26" i="44"/>
  <c r="AE905" i="44"/>
  <c r="AC905" i="44" s="1"/>
  <c r="AE904" i="44"/>
  <c r="AE269" i="44"/>
  <c r="AB269" i="44" s="1"/>
  <c r="AE697" i="44"/>
  <c r="AB697" i="44" s="1"/>
  <c r="AB595" i="44"/>
  <c r="AB679" i="44"/>
  <c r="AB113" i="44"/>
  <c r="AE272" i="44"/>
  <c r="AB272" i="44"/>
  <c r="AH599" i="44"/>
  <c r="AE230" i="44"/>
  <c r="AB230" i="44" s="1"/>
  <c r="AB385" i="44"/>
  <c r="AC605" i="44"/>
  <c r="AB731" i="44"/>
  <c r="AB243" i="44"/>
  <c r="AH616" i="44"/>
  <c r="AB976" i="44"/>
  <c r="AH605" i="44"/>
  <c r="AB127" i="44"/>
  <c r="AB405" i="44"/>
  <c r="AB151" i="44"/>
  <c r="AB368" i="44"/>
  <c r="AB554" i="44"/>
  <c r="AC401" i="44"/>
  <c r="AH612" i="44"/>
  <c r="AC762" i="44"/>
  <c r="AE496" i="44"/>
  <c r="AB496" i="44" s="1"/>
  <c r="S494" i="44"/>
  <c r="AH533" i="44" s="1"/>
  <c r="AB914" i="44"/>
  <c r="AE1164" i="44"/>
  <c r="AB1164" i="44" s="1"/>
  <c r="AH1164" i="44"/>
  <c r="AE1123" i="44"/>
  <c r="AB1123" i="44" s="1"/>
  <c r="AH1123" i="44"/>
  <c r="AB1140" i="44"/>
  <c r="AC71" i="44"/>
  <c r="AB71" i="44"/>
  <c r="AB883" i="44"/>
  <c r="AE275" i="44"/>
  <c r="AB275" i="44" s="1"/>
  <c r="AB211" i="44"/>
  <c r="AC430" i="44"/>
  <c r="AC774" i="44"/>
  <c r="AB281" i="44"/>
  <c r="AC269" i="44"/>
  <c r="AB236" i="44"/>
  <c r="AC908" i="44"/>
  <c r="AB377" i="44"/>
  <c r="AE517" i="44"/>
  <c r="AB517" i="44"/>
  <c r="AE516" i="44"/>
  <c r="AC381" i="44"/>
  <c r="S869" i="44"/>
  <c r="AC134" i="44"/>
  <c r="AB73" i="44"/>
  <c r="AE264" i="44"/>
  <c r="AB264" i="44" s="1"/>
  <c r="AH646" i="44"/>
  <c r="AH639" i="44"/>
  <c r="V720" i="44"/>
  <c r="T494" i="44"/>
  <c r="AC670" i="44"/>
  <c r="AH1196" i="44"/>
  <c r="AE1195" i="44"/>
  <c r="AE1196" i="44"/>
  <c r="AB1196" i="44"/>
  <c r="AH1207" i="44"/>
  <c r="S35" i="44"/>
  <c r="AH1197" i="44"/>
  <c r="AH1198" i="44"/>
  <c r="AH1202" i="44"/>
  <c r="AH1219" i="44"/>
  <c r="AH1210" i="44"/>
  <c r="AH1204" i="44"/>
  <c r="AH1201" i="44"/>
  <c r="AH1214" i="44"/>
  <c r="AH1209" i="44"/>
  <c r="AH1205" i="44"/>
  <c r="AH1206" i="44"/>
  <c r="AH1211" i="44"/>
  <c r="AH1224" i="44"/>
  <c r="AH1216" i="44"/>
  <c r="AH1215" i="44"/>
  <c r="AH1199" i="44"/>
  <c r="AC1164" i="44"/>
  <c r="AH1220" i="44"/>
  <c r="AC970" i="44"/>
  <c r="AC1196" i="44"/>
  <c r="T35" i="44"/>
  <c r="AC1123" i="44"/>
  <c r="AB1161" i="44"/>
  <c r="AH1161" i="44"/>
  <c r="AE1161" i="44"/>
  <c r="AC869" i="44"/>
  <c r="T31" i="44"/>
  <c r="AH1176" i="44"/>
  <c r="AE1176" i="44"/>
  <c r="AC1176" i="44" s="1"/>
  <c r="AB548" i="44"/>
  <c r="AB542" i="44"/>
  <c r="AE197" i="44"/>
  <c r="AH198" i="44"/>
  <c r="AE198" i="44"/>
  <c r="AB198" i="44" s="1"/>
  <c r="AE557" i="44"/>
  <c r="AB557" i="44" s="1"/>
  <c r="AC517" i="44"/>
  <c r="AC262" i="44"/>
  <c r="AC272" i="44"/>
  <c r="AE74" i="44"/>
  <c r="AB74" i="44" s="1"/>
  <c r="AB119" i="44"/>
  <c r="AB316" i="44"/>
  <c r="AC627" i="44"/>
  <c r="V835" i="44"/>
  <c r="W331" i="44"/>
  <c r="W22" i="44" s="1"/>
  <c r="V22" i="44"/>
  <c r="AC420" i="44"/>
  <c r="AC150" i="44"/>
  <c r="AH604" i="44"/>
  <c r="AB1188" i="44"/>
  <c r="AE950" i="44"/>
  <c r="AC950" i="44" s="1"/>
  <c r="AC307" i="44"/>
  <c r="AE233" i="44"/>
  <c r="AB233" i="44" s="1"/>
  <c r="AE483" i="44"/>
  <c r="AB483" i="44"/>
  <c r="AB282" i="44"/>
  <c r="AH782" i="44"/>
  <c r="AE782" i="44"/>
  <c r="AB782" i="44" s="1"/>
  <c r="AB501" i="44"/>
  <c r="AB471" i="44"/>
  <c r="AB100" i="44"/>
  <c r="AB375" i="44"/>
  <c r="AH601" i="44"/>
  <c r="AC230" i="44"/>
  <c r="AC803" i="44"/>
  <c r="AH634" i="44"/>
  <c r="AH613" i="44"/>
  <c r="AE613" i="44"/>
  <c r="AB613" i="44" s="1"/>
  <c r="AC297" i="44"/>
  <c r="AB409" i="44"/>
  <c r="AE733" i="44"/>
  <c r="AB733" i="44" s="1"/>
  <c r="AE732" i="44"/>
  <c r="AH346" i="44"/>
  <c r="W496" i="44"/>
  <c r="V494" i="44"/>
  <c r="AC1151" i="44"/>
  <c r="B37" i="44"/>
  <c r="AH37" i="44"/>
  <c r="AE1174" i="44"/>
  <c r="AC483" i="44"/>
  <c r="AH649" i="44"/>
  <c r="AC279" i="44"/>
  <c r="T21" i="44"/>
  <c r="AB467" i="44"/>
  <c r="AB289" i="44"/>
  <c r="AC613" i="44"/>
  <c r="AB159" i="44"/>
  <c r="AB520" i="44"/>
  <c r="AB125" i="44"/>
  <c r="AC267" i="44"/>
  <c r="AH573" i="44"/>
  <c r="AC733" i="44"/>
  <c r="AC1203" i="44"/>
  <c r="AC1166" i="44"/>
  <c r="AB1132" i="44"/>
  <c r="AB1119" i="44"/>
  <c r="W1196" i="44"/>
  <c r="W35" i="44" s="1"/>
  <c r="V35" i="44"/>
  <c r="AH984" i="44"/>
  <c r="AE956" i="44"/>
  <c r="AB956" i="44" s="1"/>
  <c r="AB237" i="44"/>
  <c r="AB292" i="44"/>
  <c r="AB793" i="44"/>
  <c r="AC143" i="44"/>
  <c r="AH453" i="44"/>
  <c r="AB453" i="44"/>
  <c r="AE453" i="44"/>
  <c r="AC453" i="44" s="1"/>
  <c r="V869" i="44"/>
  <c r="S271" i="44"/>
  <c r="V271" i="44"/>
  <c r="W271" i="44" s="1"/>
  <c r="T271" i="44"/>
  <c r="M271" i="44"/>
  <c r="L271" i="44"/>
  <c r="AB308" i="44"/>
  <c r="AB92" i="44"/>
  <c r="V455" i="44"/>
  <c r="AE488" i="44"/>
  <c r="AC488" i="44" s="1"/>
  <c r="AE487" i="44"/>
  <c r="AH663" i="44"/>
  <c r="AB830" i="44"/>
  <c r="AH658" i="44"/>
  <c r="AC121" i="44"/>
  <c r="AC353" i="44"/>
  <c r="AB845" i="44"/>
  <c r="AB101" i="44"/>
  <c r="AB526" i="44"/>
  <c r="AB547" i="44"/>
  <c r="AC866" i="44"/>
  <c r="AC1178" i="44"/>
  <c r="AC1110" i="44"/>
  <c r="AH36" i="44"/>
  <c r="AH1223" i="44"/>
  <c r="AB1160" i="44"/>
  <c r="AH980" i="44"/>
  <c r="AE1168" i="44"/>
  <c r="AH1169" i="44"/>
  <c r="AE1169" i="44"/>
  <c r="AB1169" i="44" s="1"/>
  <c r="AH1212" i="44"/>
  <c r="AB952" i="44"/>
  <c r="AH1225" i="44"/>
  <c r="AC946" i="44"/>
  <c r="AH833" i="44"/>
  <c r="AE833" i="44"/>
  <c r="AC833" i="44" s="1"/>
  <c r="T274" i="44"/>
  <c r="S274" i="44"/>
  <c r="V274" i="44"/>
  <c r="W274" i="44" s="1"/>
  <c r="M274" i="44"/>
  <c r="L274" i="44"/>
  <c r="AH445" i="44"/>
  <c r="AE445" i="44"/>
  <c r="AC445" i="44" s="1"/>
  <c r="AC589" i="44"/>
  <c r="AC132" i="44"/>
  <c r="AH619" i="44"/>
  <c r="AE619" i="44"/>
  <c r="AB619" i="44" s="1"/>
  <c r="AE617" i="44"/>
  <c r="AC812" i="44"/>
  <c r="AE1162" i="44"/>
  <c r="AH1163" i="44"/>
  <c r="AE1163" i="44"/>
  <c r="AB1163" i="44" s="1"/>
  <c r="AH1208" i="44"/>
  <c r="V961" i="44"/>
  <c r="AH1200" i="44"/>
  <c r="AC1169" i="44"/>
  <c r="AE1217" i="44"/>
  <c r="AB1217" i="44" s="1"/>
  <c r="AH1217" i="44"/>
  <c r="AB480" i="44"/>
  <c r="V745" i="44"/>
  <c r="AB497" i="44"/>
  <c r="AC233" i="44"/>
  <c r="AH645" i="44"/>
  <c r="AH571" i="44"/>
  <c r="AB571" i="44"/>
  <c r="S26" i="44"/>
  <c r="AH637" i="44"/>
  <c r="AH654" i="44"/>
  <c r="AH603" i="44"/>
  <c r="AH582" i="44"/>
  <c r="AH590" i="44"/>
  <c r="AH588" i="44"/>
  <c r="AH586" i="44"/>
  <c r="AH593" i="44"/>
  <c r="AH574" i="44"/>
  <c r="AH600" i="44"/>
  <c r="AH592" i="44"/>
  <c r="AH594" i="44"/>
  <c r="AH591" i="44"/>
  <c r="AH598" i="44"/>
  <c r="AH575" i="44"/>
  <c r="AH578" i="44"/>
  <c r="AH602" i="44"/>
  <c r="AH660" i="44"/>
  <c r="AH606" i="44"/>
  <c r="AH579" i="44"/>
  <c r="AH618" i="44"/>
  <c r="AH584" i="44"/>
  <c r="AH636" i="44"/>
  <c r="AH652" i="44"/>
  <c r="AH615" i="44"/>
  <c r="AH581" i="44"/>
  <c r="AH648" i="44"/>
  <c r="AB215" i="44"/>
  <c r="AC616" i="44"/>
  <c r="AC961" i="44"/>
  <c r="T33" i="44"/>
  <c r="AC273" i="44"/>
  <c r="AH627" i="44"/>
  <c r="V571" i="44"/>
  <c r="AE270" i="44"/>
  <c r="AB270" i="44" s="1"/>
  <c r="AC486" i="44"/>
  <c r="AB1185" i="44"/>
  <c r="AH1185" i="44"/>
  <c r="AE1185" i="44"/>
  <c r="AC1179" i="44"/>
  <c r="AC1217" i="44"/>
  <c r="S455" i="44"/>
  <c r="W351" i="44"/>
  <c r="W23" i="44" s="1"/>
  <c r="V23" i="44"/>
  <c r="AB166" i="44"/>
  <c r="AB587" i="44"/>
  <c r="AB572" i="44"/>
  <c r="AH791" i="44"/>
  <c r="AE791" i="44"/>
  <c r="AC791" i="44" s="1"/>
  <c r="AH596" i="44"/>
  <c r="AH580" i="44"/>
  <c r="AC229" i="44"/>
  <c r="AH631" i="44"/>
  <c r="AE631" i="44"/>
  <c r="AC631" i="44" s="1"/>
  <c r="AB333" i="44"/>
  <c r="AB1200" i="44"/>
  <c r="AC1185" i="44"/>
  <c r="AH1115" i="44"/>
  <c r="AE1115" i="44"/>
  <c r="AB1115" i="44" s="1"/>
  <c r="AE1114" i="44"/>
  <c r="AB1113" i="44"/>
  <c r="AC455" i="44"/>
  <c r="T24" i="44"/>
  <c r="AB583" i="44"/>
  <c r="AB900" i="44"/>
  <c r="AB251" i="44"/>
  <c r="AH628" i="44"/>
  <c r="AB238" i="44"/>
  <c r="AE947" i="44"/>
  <c r="AB947" i="44" s="1"/>
  <c r="AB107" i="44"/>
  <c r="AH661" i="44"/>
  <c r="AB87" i="44"/>
  <c r="AH389" i="44"/>
  <c r="AE389" i="44"/>
  <c r="AB389" i="44" s="1"/>
  <c r="AH655" i="44"/>
  <c r="AB882" i="44"/>
  <c r="V917" i="44"/>
  <c r="AH1037" i="44"/>
  <c r="AE937" i="44"/>
  <c r="AC937" i="44" s="1"/>
  <c r="AH1218" i="44"/>
  <c r="S720" i="44"/>
  <c r="AH739" i="44" s="1"/>
  <c r="AB1133" i="44"/>
  <c r="AE261" i="44"/>
  <c r="AB261" i="44" s="1"/>
  <c r="AB185" i="44"/>
  <c r="AE277" i="44"/>
  <c r="AC277" i="44" s="1"/>
  <c r="AB277" i="44"/>
  <c r="AE739" i="44"/>
  <c r="AB739" i="44" s="1"/>
  <c r="AE738" i="44"/>
  <c r="AE257" i="44"/>
  <c r="AB257" i="44" s="1"/>
  <c r="AH585" i="44"/>
  <c r="AC835" i="44"/>
  <c r="T30" i="44"/>
  <c r="AE279" i="44"/>
  <c r="AE278" i="44"/>
  <c r="AB279" i="44"/>
  <c r="S21" i="44"/>
  <c r="V118" i="44"/>
  <c r="AH624" i="44"/>
  <c r="AE623" i="44"/>
  <c r="AE624" i="44"/>
  <c r="AB624" i="44" s="1"/>
  <c r="AC947" i="44"/>
  <c r="W279" i="44"/>
  <c r="W21" i="44" s="1"/>
  <c r="V21" i="44"/>
  <c r="AE266" i="44"/>
  <c r="AB266" i="44" s="1"/>
  <c r="AE481" i="44"/>
  <c r="V1118" i="44"/>
  <c r="AH1110" i="44"/>
  <c r="AH1213" i="44"/>
  <c r="AE945" i="44"/>
  <c r="AH1170" i="44"/>
  <c r="AE1170" i="44"/>
  <c r="AB1170" i="44" s="1"/>
  <c r="AC198" i="44"/>
  <c r="AE958" i="44"/>
  <c r="AC958" i="44" s="1"/>
  <c r="AE957" i="44"/>
  <c r="AE740" i="44"/>
  <c r="AC740" i="44" s="1"/>
  <c r="AB808" i="44"/>
  <c r="AE936" i="44"/>
  <c r="AC936" i="44" s="1"/>
  <c r="AE935" i="44"/>
  <c r="AH765" i="44"/>
  <c r="AE765" i="44"/>
  <c r="AB765" i="44"/>
  <c r="AB476" i="44"/>
  <c r="AH583" i="44"/>
  <c r="AB95" i="44"/>
  <c r="AE263" i="44"/>
  <c r="AB263" i="44" s="1"/>
  <c r="AB796" i="44"/>
  <c r="AC624" i="44"/>
  <c r="AE111" i="44"/>
  <c r="AC450" i="44"/>
  <c r="AE831" i="44"/>
  <c r="AH1091" i="44"/>
  <c r="AH1032" i="44"/>
  <c r="AH1065" i="44"/>
  <c r="AH1071" i="44"/>
  <c r="AH1022" i="44"/>
  <c r="AH1042" i="44"/>
  <c r="AH1079" i="44"/>
  <c r="AH1038" i="44"/>
  <c r="AH1009" i="44"/>
  <c r="AH1083" i="44"/>
  <c r="AH998" i="44"/>
  <c r="AH996" i="44"/>
  <c r="AH1002" i="44"/>
  <c r="AQ961" i="44"/>
  <c r="AH961" i="44"/>
  <c r="AE961" i="44"/>
  <c r="AH972" i="44"/>
  <c r="AH981" i="44"/>
  <c r="AE960" i="44"/>
  <c r="AB961" i="44"/>
  <c r="S33" i="44"/>
  <c r="AH974" i="44"/>
  <c r="AH988" i="44"/>
  <c r="AH994" i="44"/>
  <c r="AH986" i="44"/>
  <c r="AH1027" i="44"/>
  <c r="AH992" i="44"/>
  <c r="AH971" i="44"/>
  <c r="AH1028" i="44"/>
  <c r="AH1039" i="44"/>
  <c r="AH1003" i="44"/>
  <c r="AH1051" i="44"/>
  <c r="AH978" i="44"/>
  <c r="AH1017" i="44"/>
  <c r="AH1058" i="44"/>
  <c r="AH1086" i="44"/>
  <c r="AH1077" i="44"/>
  <c r="AH1044" i="44"/>
  <c r="AH1010" i="44"/>
  <c r="AH1011" i="44"/>
  <c r="AH1063" i="44"/>
  <c r="AH997" i="44"/>
  <c r="AH1074" i="44"/>
  <c r="AH964" i="44"/>
  <c r="AH1025" i="44"/>
  <c r="AH987" i="44"/>
  <c r="AH973" i="44"/>
  <c r="AH968" i="44"/>
  <c r="AH965" i="44"/>
  <c r="AH1056" i="44"/>
  <c r="AH969" i="44"/>
  <c r="AH999" i="44"/>
  <c r="AH1033" i="44"/>
  <c r="AH967" i="44"/>
  <c r="AH1021" i="44"/>
  <c r="AH1049" i="44"/>
  <c r="AH979" i="44"/>
  <c r="AH1023" i="44"/>
  <c r="AH1001" i="44"/>
  <c r="AH1084" i="44"/>
  <c r="AH1090" i="44"/>
  <c r="AH1024" i="44"/>
  <c r="AH1050" i="44"/>
  <c r="AH1093" i="44"/>
  <c r="AH1089" i="44"/>
  <c r="AH1069" i="44"/>
  <c r="AH1040" i="44"/>
  <c r="AH1092" i="44"/>
  <c r="AH1046" i="44"/>
  <c r="AH989" i="44"/>
  <c r="AH1005" i="44"/>
  <c r="AH1016" i="44"/>
  <c r="AH1030" i="44"/>
  <c r="AH1036" i="44"/>
  <c r="AH1064" i="44"/>
  <c r="AH1112" i="44"/>
  <c r="AH1053" i="44"/>
  <c r="AH1026" i="44"/>
  <c r="AH1067" i="44"/>
  <c r="AH983" i="44"/>
  <c r="AH1057" i="44"/>
  <c r="AH1059" i="44"/>
  <c r="AH1068" i="44"/>
  <c r="AH1072" i="44"/>
  <c r="AH995" i="44"/>
  <c r="AH1006" i="44"/>
  <c r="AH1098" i="44"/>
  <c r="AH1081" i="44"/>
  <c r="AH985" i="44"/>
  <c r="AH1047" i="44"/>
  <c r="AH1080" i="44"/>
  <c r="AH1048" i="44"/>
  <c r="AH1054" i="44"/>
  <c r="AH1041" i="44"/>
  <c r="AH1088" i="44"/>
  <c r="AH1087" i="44"/>
  <c r="AH1008" i="44"/>
  <c r="AH1004" i="44"/>
  <c r="AH1075" i="44"/>
  <c r="AH1082" i="44"/>
  <c r="AH1015" i="44"/>
  <c r="AH1055" i="44"/>
  <c r="AH1070" i="44"/>
  <c r="AH1095" i="44"/>
  <c r="AH1061" i="44"/>
  <c r="AH1031" i="44"/>
  <c r="AH1062" i="44"/>
  <c r="AH1073" i="44"/>
  <c r="AH1012" i="44"/>
  <c r="AH1019" i="44"/>
  <c r="AH1013" i="44"/>
  <c r="AH1076" i="44"/>
  <c r="AH1018" i="44"/>
  <c r="AH975" i="44"/>
  <c r="AH1045" i="44"/>
  <c r="AE563" i="44"/>
  <c r="AC563" i="44" s="1"/>
  <c r="AB354" i="44"/>
  <c r="AB512" i="44"/>
  <c r="AC765" i="44"/>
  <c r="AE518" i="44"/>
  <c r="AC518" i="44" s="1"/>
  <c r="AB518" i="44"/>
  <c r="AH643" i="44"/>
  <c r="AE643" i="44"/>
  <c r="AB643" i="44" s="1"/>
  <c r="AE959" i="44"/>
  <c r="AB959" i="44" s="1"/>
  <c r="AC757" i="44"/>
  <c r="AH609" i="44"/>
  <c r="AE829" i="44"/>
  <c r="AC829" i="44" s="1"/>
  <c r="AE828" i="44"/>
  <c r="AH829" i="44"/>
  <c r="AB612" i="44"/>
  <c r="AH657" i="44"/>
  <c r="T1118" i="44"/>
  <c r="AH1203" i="44"/>
  <c r="AB1182" i="44"/>
  <c r="AH1222" i="44"/>
  <c r="AH1107" i="44"/>
  <c r="AB888" i="44"/>
  <c r="AH982" i="44"/>
  <c r="AC1161" i="44"/>
  <c r="AB854" i="44"/>
  <c r="AE867" i="44"/>
  <c r="AB867" i="44"/>
  <c r="AH867" i="44"/>
  <c r="AC782" i="44"/>
  <c r="AC102" i="44"/>
  <c r="AE443" i="44"/>
  <c r="AH444" i="44"/>
  <c r="AE444" i="44"/>
  <c r="AB444" i="44" s="1"/>
  <c r="AC643" i="44"/>
  <c r="T917" i="44"/>
  <c r="AB993" i="44"/>
  <c r="AE611" i="44"/>
  <c r="AH1116" i="44"/>
  <c r="AE1116" i="44"/>
  <c r="AC1116" i="44" s="1"/>
  <c r="AB1116" i="44"/>
  <c r="AE1183" i="44"/>
  <c r="AB892" i="44"/>
  <c r="V204" i="44"/>
  <c r="AB640" i="44"/>
  <c r="AC867" i="44"/>
  <c r="AB69" i="44"/>
  <c r="AE190" i="44"/>
  <c r="AC190" i="44" s="1"/>
  <c r="AB190" i="44"/>
  <c r="AH595" i="44"/>
  <c r="AE268" i="44"/>
  <c r="AC268" i="44" s="1"/>
  <c r="AB268" i="44"/>
  <c r="AB470" i="44"/>
  <c r="AH331" i="44"/>
  <c r="AE331" i="44"/>
  <c r="AE330" i="44"/>
  <c r="AB331" i="44"/>
  <c r="AH336" i="44"/>
  <c r="AH332" i="44"/>
  <c r="AH343" i="44"/>
  <c r="S22" i="44"/>
  <c r="AH339" i="44"/>
  <c r="AH349" i="44"/>
  <c r="AH340" i="44"/>
  <c r="AH348" i="44"/>
  <c r="AH335" i="44"/>
  <c r="AH345" i="44"/>
  <c r="AH341" i="44"/>
  <c r="AC331" i="44"/>
  <c r="T22" i="44"/>
  <c r="AH625" i="44"/>
  <c r="AE625" i="44"/>
  <c r="AB625" i="44" s="1"/>
  <c r="AH597" i="44"/>
  <c r="AE948" i="44"/>
  <c r="AE949" i="44"/>
  <c r="AC949" i="44" s="1"/>
  <c r="AH337" i="44"/>
  <c r="AE533" i="44"/>
  <c r="AC533" i="44" s="1"/>
  <c r="AB1221" i="44"/>
  <c r="AB1149" i="44"/>
  <c r="AH1096" i="44"/>
  <c r="AR140" i="42"/>
  <c r="AT104" i="42"/>
  <c r="AS104" i="42"/>
  <c r="AS100" i="42"/>
  <c r="AS106" i="42"/>
  <c r="AR105" i="42"/>
  <c r="AS105" i="42" s="1"/>
  <c r="AT146" i="42"/>
  <c r="AS146" i="42"/>
  <c r="AS142" i="42"/>
  <c r="AS148" i="42"/>
  <c r="AT124" i="42"/>
  <c r="AS124" i="42"/>
  <c r="AS126" i="42"/>
  <c r="AT103" i="42"/>
  <c r="AS103" i="42"/>
  <c r="AT89" i="42"/>
  <c r="AS91" i="42"/>
  <c r="AS89" i="42"/>
  <c r="AS127" i="42"/>
  <c r="AT125" i="42"/>
  <c r="AS125" i="42"/>
  <c r="AS121" i="42"/>
  <c r="AS98" i="42"/>
  <c r="AT96" i="42"/>
  <c r="AS96" i="42"/>
  <c r="AT41" i="42"/>
  <c r="AS41" i="42"/>
  <c r="AS37" i="42"/>
  <c r="AS43" i="42"/>
  <c r="AR155" i="42"/>
  <c r="AS77" i="42"/>
  <c r="AT75" i="42"/>
  <c r="AS75" i="42"/>
  <c r="AT110" i="42"/>
  <c r="AS110" i="42"/>
  <c r="AS112" i="42"/>
  <c r="AT90" i="42"/>
  <c r="AS90" i="42"/>
  <c r="AS86" i="42"/>
  <c r="AS92" i="42"/>
  <c r="AR49" i="42"/>
  <c r="AS49" i="42" s="1"/>
  <c r="AT152" i="42"/>
  <c r="AS152" i="42"/>
  <c r="AS154" i="42"/>
  <c r="AS54" i="42"/>
  <c r="AS56" i="42"/>
  <c r="AT54" i="42"/>
  <c r="AT131" i="42"/>
  <c r="AS131" i="42"/>
  <c r="AS133" i="42"/>
  <c r="AS120" i="42"/>
  <c r="AT118" i="42"/>
  <c r="AS118" i="42"/>
  <c r="AS114" i="42"/>
  <c r="AS113" i="42"/>
  <c r="AT111" i="42"/>
  <c r="AS111" i="42"/>
  <c r="AS107" i="42"/>
  <c r="AT145" i="42"/>
  <c r="AS145" i="42"/>
  <c r="AS147" i="42"/>
  <c r="AS28" i="42"/>
  <c r="AT26" i="42"/>
  <c r="AS26" i="42"/>
  <c r="AT55" i="42"/>
  <c r="AS55" i="42"/>
  <c r="AS57" i="42"/>
  <c r="AS51" i="42"/>
  <c r="AT69" i="42"/>
  <c r="AS69" i="42"/>
  <c r="AS71" i="42"/>
  <c r="AS65" i="42"/>
  <c r="AT34" i="42"/>
  <c r="AS34" i="42"/>
  <c r="AS36" i="42"/>
  <c r="AS30" i="42"/>
  <c r="AT62" i="42"/>
  <c r="AS62" i="42"/>
  <c r="AS58" i="42"/>
  <c r="AS64" i="42"/>
  <c r="AS139" i="42"/>
  <c r="AS135" i="42"/>
  <c r="AT139" i="42"/>
  <c r="AS141" i="42"/>
  <c r="AT27" i="42"/>
  <c r="AS27" i="42"/>
  <c r="AS29" i="42"/>
  <c r="AS23" i="42"/>
  <c r="AS40" i="42"/>
  <c r="AT40" i="42"/>
  <c r="AS42" i="42"/>
  <c r="AR50" i="42"/>
  <c r="AT117" i="42"/>
  <c r="AS117" i="42"/>
  <c r="AS119" i="42"/>
  <c r="AS68" i="42"/>
  <c r="AT68" i="42"/>
  <c r="AS70" i="42"/>
  <c r="AT132" i="42"/>
  <c r="AS132" i="42"/>
  <c r="AS128" i="42"/>
  <c r="AS134" i="42"/>
  <c r="AT48" i="42"/>
  <c r="AS48" i="42"/>
  <c r="AS50" i="42"/>
  <c r="AS44" i="42"/>
  <c r="AS97" i="42"/>
  <c r="AT97" i="42"/>
  <c r="AS93" i="42"/>
  <c r="AS99" i="42"/>
  <c r="AT76" i="42"/>
  <c r="AS76" i="42"/>
  <c r="AS72" i="42"/>
  <c r="AS78" i="42"/>
  <c r="AS63" i="42"/>
  <c r="AT61" i="42"/>
  <c r="AS61" i="42"/>
  <c r="AS35" i="42"/>
  <c r="AT33" i="42"/>
  <c r="AS33" i="42"/>
  <c r="AS138" i="42"/>
  <c r="AT138" i="42"/>
  <c r="AS140" i="42"/>
  <c r="I28" i="16"/>
  <c r="I31" i="16" s="1"/>
  <c r="J12" i="20"/>
  <c r="F5" i="18"/>
  <c r="AJ5" i="18" s="1"/>
  <c r="F5" i="17"/>
  <c r="I29" i="16"/>
  <c r="G40" i="16"/>
  <c r="G8" i="16"/>
  <c r="G37" i="16"/>
  <c r="G38" i="16" s="1"/>
  <c r="G39" i="16" s="1"/>
  <c r="G41" i="16"/>
  <c r="R68" i="18"/>
  <c r="R161" i="18"/>
  <c r="R171" i="18" s="1"/>
  <c r="H15" i="18"/>
  <c r="F12" i="17"/>
  <c r="AJ4" i="17"/>
  <c r="O41" i="16"/>
  <c r="O40" i="16"/>
  <c r="O37" i="16"/>
  <c r="O38" i="16" s="1"/>
  <c r="O39" i="16" s="1"/>
  <c r="O8" i="16"/>
  <c r="O28" i="16"/>
  <c r="O31" i="16" s="1"/>
  <c r="P12" i="20"/>
  <c r="G9" i="17"/>
  <c r="G68" i="18"/>
  <c r="G161" i="18"/>
  <c r="G171" i="18" s="1"/>
  <c r="F55" i="18"/>
  <c r="AJ55" i="18" s="1"/>
  <c r="F41" i="18"/>
  <c r="AJ41" i="18" s="1"/>
  <c r="F25" i="18"/>
  <c r="AJ25" i="18" s="1"/>
  <c r="F17" i="18"/>
  <c r="AJ17" i="18" s="1"/>
  <c r="F44" i="18"/>
  <c r="AJ44" i="18" s="1"/>
  <c r="F20" i="18"/>
  <c r="AJ20" i="18" s="1"/>
  <c r="F33" i="18"/>
  <c r="AJ33" i="18" s="1"/>
  <c r="F52" i="18"/>
  <c r="AJ52" i="18" s="1"/>
  <c r="F28" i="18"/>
  <c r="AJ28" i="18" s="1"/>
  <c r="F31" i="18"/>
  <c r="AJ31" i="18" s="1"/>
  <c r="F22" i="18"/>
  <c r="AJ22" i="18" s="1"/>
  <c r="F26" i="18"/>
  <c r="F37" i="18"/>
  <c r="AJ37" i="18" s="1"/>
  <c r="F30" i="18"/>
  <c r="AJ30" i="18" s="1"/>
  <c r="F19" i="18"/>
  <c r="AJ19" i="18" s="1"/>
  <c r="AJ4" i="18"/>
  <c r="F27" i="18"/>
  <c r="AJ27" i="18" s="1"/>
  <c r="F45" i="18"/>
  <c r="AJ45" i="18" s="1"/>
  <c r="F34" i="18"/>
  <c r="AJ34" i="18" s="1"/>
  <c r="F16" i="18"/>
  <c r="F35" i="18"/>
  <c r="AJ35" i="18" s="1"/>
  <c r="F21" i="18"/>
  <c r="F47" i="18"/>
  <c r="AJ47" i="18" s="1"/>
  <c r="F54" i="18"/>
  <c r="AJ54" i="18" s="1"/>
  <c r="F43" i="18"/>
  <c r="AJ43" i="18" s="1"/>
  <c r="F24" i="18"/>
  <c r="AJ24" i="18" s="1"/>
  <c r="F53" i="18"/>
  <c r="AJ53" i="18" s="1"/>
  <c r="F51" i="18"/>
  <c r="AJ51" i="18" s="1"/>
  <c r="F42" i="18"/>
  <c r="AJ42" i="18" s="1"/>
  <c r="F23" i="18"/>
  <c r="AJ23" i="18" s="1"/>
  <c r="F32" i="18"/>
  <c r="AJ32" i="18" s="1"/>
  <c r="F18" i="18"/>
  <c r="AJ18" i="18" s="1"/>
  <c r="F40" i="18"/>
  <c r="AJ40" i="18" s="1"/>
  <c r="F29" i="18"/>
  <c r="AJ29" i="18" s="1"/>
  <c r="F50" i="18"/>
  <c r="AJ50" i="18" s="1"/>
  <c r="O68" i="18"/>
  <c r="O161" i="18"/>
  <c r="O171" i="18" s="1"/>
  <c r="O8" i="17"/>
  <c r="O82" i="17"/>
  <c r="Q26" i="18"/>
  <c r="Q15" i="18"/>
  <c r="Q49" i="18"/>
  <c r="Q21" i="18"/>
  <c r="Q12" i="18"/>
  <c r="Q31" i="18"/>
  <c r="Q39" i="18"/>
  <c r="Q16" i="18"/>
  <c r="H12" i="17"/>
  <c r="G21" i="18"/>
  <c r="G16" i="18"/>
  <c r="G26" i="18"/>
  <c r="H40" i="16"/>
  <c r="H8" i="16"/>
  <c r="H37" i="16"/>
  <c r="H38" i="16" s="1"/>
  <c r="H39" i="16" s="1"/>
  <c r="H41" i="16"/>
  <c r="H68" i="18"/>
  <c r="H161" i="18"/>
  <c r="H171" i="18" s="1"/>
  <c r="H16" i="18"/>
  <c r="H49" i="18"/>
  <c r="H26" i="18"/>
  <c r="H21" i="18"/>
  <c r="Q68" i="18"/>
  <c r="Q161" i="18"/>
  <c r="Q171" i="18" s="1"/>
  <c r="R12" i="18"/>
  <c r="R39" i="18"/>
  <c r="R15" i="18"/>
  <c r="R16" i="18"/>
  <c r="R49" i="18"/>
  <c r="R26" i="18"/>
  <c r="R31" i="18"/>
  <c r="G82" i="17"/>
  <c r="R41" i="16"/>
  <c r="R37" i="16"/>
  <c r="R38" i="16" s="1"/>
  <c r="R39" i="16" s="1"/>
  <c r="R8" i="16"/>
  <c r="R40" i="16"/>
  <c r="P41" i="16"/>
  <c r="P40" i="16"/>
  <c r="P37" i="16"/>
  <c r="P38" i="16" s="1"/>
  <c r="P39" i="16" s="1"/>
  <c r="P8" i="16"/>
  <c r="H9" i="17"/>
  <c r="H8" i="18" s="1"/>
  <c r="H10" i="17"/>
  <c r="H11" i="17" s="1"/>
  <c r="F2" i="17"/>
  <c r="F2" i="18"/>
  <c r="F12" i="18" s="1"/>
  <c r="F2" i="16"/>
  <c r="I15" i="18"/>
  <c r="F160" i="17"/>
  <c r="F82" i="17"/>
  <c r="AJ6" i="17"/>
  <c r="R8" i="17"/>
  <c r="R82" i="17"/>
  <c r="P8" i="17"/>
  <c r="P82" i="17"/>
  <c r="P26" i="18"/>
  <c r="P15" i="18"/>
  <c r="P39" i="18"/>
  <c r="P12" i="18"/>
  <c r="P16" i="18"/>
  <c r="P21" i="18"/>
  <c r="P49" i="18"/>
  <c r="P31" i="18"/>
  <c r="Q14" i="20"/>
  <c r="Q48" i="20"/>
  <c r="Q41" i="20"/>
  <c r="F58" i="18"/>
  <c r="AJ58" i="18" s="1"/>
  <c r="F56" i="18"/>
  <c r="AJ56" i="18" s="1"/>
  <c r="AJ6" i="18"/>
  <c r="F75" i="18"/>
  <c r="AJ75" i="18" s="1"/>
  <c r="F57" i="18"/>
  <c r="AJ57" i="18" s="1"/>
  <c r="F59" i="18"/>
  <c r="AJ59" i="18" s="1"/>
  <c r="I40" i="16"/>
  <c r="I8" i="16"/>
  <c r="I41" i="16"/>
  <c r="I37" i="16"/>
  <c r="I38" i="16" s="1"/>
  <c r="I39" i="16" s="1"/>
  <c r="F7" i="18"/>
  <c r="F7" i="17"/>
  <c r="AJ7" i="17" s="1"/>
  <c r="AJ179" i="17"/>
  <c r="AJ5" i="17"/>
  <c r="I8" i="17"/>
  <c r="I82" i="17"/>
  <c r="I26" i="18"/>
  <c r="I49" i="18"/>
  <c r="I16" i="18"/>
  <c r="I21" i="18"/>
  <c r="P68" i="18"/>
  <c r="P161" i="18"/>
  <c r="P171" i="18" s="1"/>
  <c r="Q41" i="16"/>
  <c r="Q37" i="16"/>
  <c r="Q38" i="16" s="1"/>
  <c r="Q39" i="16" s="1"/>
  <c r="Q8" i="16"/>
  <c r="Q40" i="16"/>
  <c r="H31" i="18"/>
  <c r="O12" i="17"/>
  <c r="H163" i="17"/>
  <c r="G39" i="18"/>
  <c r="I68" i="18"/>
  <c r="I161" i="18"/>
  <c r="I171" i="18" s="1"/>
  <c r="H12" i="18"/>
  <c r="O49" i="18"/>
  <c r="O26" i="18"/>
  <c r="O21" i="18"/>
  <c r="O16" i="18"/>
  <c r="O12" i="18"/>
  <c r="Q8" i="17"/>
  <c r="Q82" i="17"/>
  <c r="I12" i="17"/>
  <c r="G12" i="18"/>
  <c r="AC985" i="2"/>
  <c r="AB560" i="2"/>
  <c r="AC1132" i="2"/>
  <c r="AB381" i="2"/>
  <c r="AB1200" i="2"/>
  <c r="AC340" i="2"/>
  <c r="AC128" i="2"/>
  <c r="AC379" i="2"/>
  <c r="AB447" i="2"/>
  <c r="AC568" i="2"/>
  <c r="AC661" i="2"/>
  <c r="AB752" i="2"/>
  <c r="AB316" i="2"/>
  <c r="AB1051" i="2"/>
  <c r="AB630" i="2"/>
  <c r="AB267" i="2"/>
  <c r="AB308" i="2"/>
  <c r="AC674" i="2"/>
  <c r="AC785" i="2"/>
  <c r="AB1205" i="2"/>
  <c r="AC252" i="2"/>
  <c r="AC855" i="2"/>
  <c r="AB563" i="2"/>
  <c r="AB994" i="2"/>
  <c r="AC302" i="2"/>
  <c r="AB845" i="2"/>
  <c r="AC482" i="2"/>
  <c r="AB986" i="2"/>
  <c r="AC839" i="2"/>
  <c r="AC1100" i="2"/>
  <c r="AC174" i="2"/>
  <c r="AC654" i="2"/>
  <c r="AC999" i="2"/>
  <c r="AB288" i="2"/>
  <c r="AC453" i="2"/>
  <c r="AB184" i="2"/>
  <c r="AC607" i="2"/>
  <c r="AC973" i="2"/>
  <c r="AC812" i="2"/>
  <c r="AB145" i="2"/>
  <c r="AC758" i="2"/>
  <c r="AC99" i="2"/>
  <c r="AC66" i="2"/>
  <c r="AC995" i="2"/>
  <c r="AB852" i="2"/>
  <c r="AB189" i="2"/>
  <c r="AC395" i="2"/>
  <c r="AC225" i="2"/>
  <c r="AC98" i="2"/>
  <c r="AB113" i="2"/>
  <c r="AC1120" i="2"/>
  <c r="AC346" i="2"/>
  <c r="AC882" i="2"/>
  <c r="AB1059" i="2"/>
  <c r="AC1072" i="2"/>
  <c r="AC1056" i="2"/>
  <c r="AC1239" i="2"/>
  <c r="AC676" i="2"/>
  <c r="AC169" i="2"/>
  <c r="AC762" i="2"/>
  <c r="AC456" i="2"/>
  <c r="AC1050" i="2"/>
  <c r="S455" i="2"/>
  <c r="AH475" i="2" s="1"/>
  <c r="AC89" i="2"/>
  <c r="AC1241" i="2"/>
  <c r="AC634" i="2"/>
  <c r="AB1266" i="2"/>
  <c r="AB505" i="2"/>
  <c r="AC141" i="2"/>
  <c r="AC577" i="2"/>
  <c r="AC1245" i="2"/>
  <c r="AC1031" i="2"/>
  <c r="AC753" i="2"/>
  <c r="AC87" i="2"/>
  <c r="AC289" i="2"/>
  <c r="AC1152" i="2"/>
  <c r="AC238" i="2"/>
  <c r="AC903" i="2"/>
  <c r="AC739" i="2"/>
  <c r="T745" i="2"/>
  <c r="T29" i="2" s="1"/>
  <c r="D95" i="4" s="1"/>
  <c r="AB416" i="2"/>
  <c r="AB902" i="2"/>
  <c r="AB142" i="2"/>
  <c r="AB1244" i="2"/>
  <c r="AC322" i="2"/>
  <c r="AB1038" i="2"/>
  <c r="AB469" i="2"/>
  <c r="AB784" i="2"/>
  <c r="AH1251" i="2"/>
  <c r="AH1253" i="2"/>
  <c r="AC1045" i="2"/>
  <c r="AB1024" i="2"/>
  <c r="AC1049" i="2"/>
  <c r="AC721" i="2"/>
  <c r="AC226" i="2"/>
  <c r="AC468" i="2"/>
  <c r="AC1237" i="2"/>
  <c r="AH1250" i="2"/>
  <c r="AC1231" i="2"/>
  <c r="AC500" i="2"/>
  <c r="AC1190" i="2"/>
  <c r="AC441" i="2"/>
  <c r="AB73" i="2"/>
  <c r="AB137" i="2"/>
  <c r="AH1242" i="2"/>
  <c r="AH1244" i="2"/>
  <c r="AC140" i="2"/>
  <c r="AC1068" i="2"/>
  <c r="AC394" i="2"/>
  <c r="AH1267" i="2"/>
  <c r="AC600" i="2"/>
  <c r="AC285" i="2"/>
  <c r="AB215" i="2"/>
  <c r="AC393" i="2"/>
  <c r="AC1002" i="2"/>
  <c r="AC101" i="2"/>
  <c r="AB533" i="2"/>
  <c r="AB776" i="2"/>
  <c r="AH1254" i="2"/>
  <c r="AH1235" i="2"/>
  <c r="AH1257" i="2"/>
  <c r="AC1222" i="2"/>
  <c r="AC854" i="2"/>
  <c r="AC224" i="2"/>
  <c r="AB1151" i="2"/>
  <c r="AC1071" i="2"/>
  <c r="AH1260" i="2"/>
  <c r="AB90" i="2"/>
  <c r="AC996" i="2"/>
  <c r="AC1001" i="2"/>
  <c r="AC1264" i="2"/>
  <c r="AC778" i="2"/>
  <c r="AB438" i="2"/>
  <c r="AB890" i="2"/>
  <c r="AC1103" i="2"/>
  <c r="AB668" i="2"/>
  <c r="AB1210" i="2"/>
  <c r="AC202" i="2"/>
  <c r="AC1025" i="2"/>
  <c r="AH1258" i="2"/>
  <c r="AC1061" i="2"/>
  <c r="AB424" i="2"/>
  <c r="AC633" i="2"/>
  <c r="AC1148" i="2"/>
  <c r="AH1252" i="2"/>
  <c r="AB353" i="2"/>
  <c r="AC837" i="2"/>
  <c r="AC317" i="2"/>
  <c r="AB176" i="2"/>
  <c r="AC847" i="2"/>
  <c r="AC849" i="2"/>
  <c r="AC969" i="2"/>
  <c r="AH1246" i="2"/>
  <c r="AB905" i="2"/>
  <c r="AB593" i="2"/>
  <c r="AC175" i="2"/>
  <c r="AH1256" i="2"/>
  <c r="AB400" i="2"/>
  <c r="AB842" i="2"/>
  <c r="AB1206" i="2"/>
  <c r="AB856" i="2"/>
  <c r="AB115" i="2"/>
  <c r="AB756" i="2"/>
  <c r="AB1164" i="2"/>
  <c r="AB958" i="2"/>
  <c r="AC255" i="2"/>
  <c r="AC472" i="2"/>
  <c r="AB1032" i="2"/>
  <c r="AC940" i="2"/>
  <c r="AB1037" i="2"/>
  <c r="AC894" i="2"/>
  <c r="AC168" i="2"/>
  <c r="AH1262" i="2"/>
  <c r="AC826" i="2"/>
  <c r="AH1259" i="2"/>
  <c r="AC68" i="2"/>
  <c r="AC523" i="2"/>
  <c r="AB891" i="2"/>
  <c r="AE106" i="2"/>
  <c r="AE107" i="2"/>
  <c r="AB460" i="2"/>
  <c r="AB318" i="2"/>
  <c r="AC874" i="2"/>
  <c r="AH1238" i="2"/>
  <c r="AB385" i="2"/>
  <c r="AC1080" i="2"/>
  <c r="AB334" i="2"/>
  <c r="AB336" i="2"/>
  <c r="AB228" i="2"/>
  <c r="AC572" i="2"/>
  <c r="AB392" i="2"/>
  <c r="AB967" i="2"/>
  <c r="AB399" i="2"/>
  <c r="AC312" i="2"/>
  <c r="AC587" i="2"/>
  <c r="AB911" i="2"/>
  <c r="AH1241" i="2"/>
  <c r="AC361" i="2"/>
  <c r="AC984" i="2"/>
  <c r="AC445" i="2"/>
  <c r="AC765" i="2"/>
  <c r="AH1255" i="2"/>
  <c r="AB1188" i="2"/>
  <c r="AC682" i="2"/>
  <c r="AB989" i="2"/>
  <c r="AC604" i="2"/>
  <c r="AB548" i="2"/>
  <c r="AC122" i="2"/>
  <c r="AC858" i="2"/>
  <c r="AB206" i="2"/>
  <c r="AB1074" i="2"/>
  <c r="AB97" i="2"/>
  <c r="AH1247" i="2"/>
  <c r="AC339" i="2"/>
  <c r="AC981" i="2"/>
  <c r="AB1199" i="2"/>
  <c r="AB129" i="2"/>
  <c r="AC622" i="2"/>
  <c r="AB748" i="2"/>
  <c r="AH1249" i="2"/>
  <c r="AB187" i="2"/>
  <c r="AB1110" i="2"/>
  <c r="AB1104" i="2"/>
  <c r="AC1076" i="2"/>
  <c r="AC1075" i="2"/>
  <c r="AH1261" i="2"/>
  <c r="AC376" i="2"/>
  <c r="AB1021" i="2"/>
  <c r="AB1191" i="2"/>
  <c r="AB431" i="2"/>
  <c r="AH1233" i="2"/>
  <c r="AB243" i="2"/>
  <c r="AB510" i="2"/>
  <c r="AH483" i="2"/>
  <c r="AH460" i="2"/>
  <c r="AC885" i="2"/>
  <c r="AC1224" i="2"/>
  <c r="AC980" i="2"/>
  <c r="AC524" i="2"/>
  <c r="AC625" i="2"/>
  <c r="AB144" i="2"/>
  <c r="AB757" i="2"/>
  <c r="AB1012" i="2"/>
  <c r="AB104" i="2"/>
  <c r="AC799" i="2"/>
  <c r="AB219" i="2"/>
  <c r="AB57" i="2"/>
  <c r="AB506" i="2"/>
  <c r="AB427" i="2"/>
  <c r="AC1247" i="2"/>
  <c r="AC310" i="2"/>
  <c r="AC1232" i="2"/>
  <c r="AB1042" i="2"/>
  <c r="AB645" i="2"/>
  <c r="AB313" i="2"/>
  <c r="AB1091" i="2"/>
  <c r="AB282" i="2"/>
  <c r="AB218" i="2"/>
  <c r="AB944" i="2"/>
  <c r="AC131" i="2"/>
  <c r="AC619" i="2"/>
  <c r="AB190" i="2"/>
  <c r="AC588" i="2"/>
  <c r="AB1163" i="2"/>
  <c r="AB474" i="2"/>
  <c r="AB294" i="2"/>
  <c r="AB766" i="2"/>
  <c r="AB1243" i="2"/>
  <c r="AB325" i="2"/>
  <c r="AB396" i="2"/>
  <c r="AC485" i="2"/>
  <c r="AB933" i="2"/>
  <c r="AC1096" i="2"/>
  <c r="AC1053" i="2"/>
  <c r="AC590" i="2"/>
  <c r="AC965" i="2"/>
  <c r="AC1057" i="2"/>
  <c r="AB924" i="2"/>
  <c r="AC1249" i="2"/>
  <c r="AC71" i="2"/>
  <c r="AC1141" i="2"/>
  <c r="AB1069" i="2"/>
  <c r="AB132" i="2"/>
  <c r="AC401" i="2"/>
  <c r="AC1064" i="2"/>
  <c r="AC918" i="2"/>
  <c r="S351" i="2"/>
  <c r="AB895" i="2"/>
  <c r="AC1131" i="2"/>
  <c r="AH1240" i="2"/>
  <c r="AH1243" i="2"/>
  <c r="AC303" i="2"/>
  <c r="AC971" i="2"/>
  <c r="AB418" i="2"/>
  <c r="AC1026" i="2"/>
  <c r="AC1252" i="2"/>
  <c r="AC364" i="2"/>
  <c r="AC553" i="2"/>
  <c r="AC377" i="2"/>
  <c r="AC499" i="2"/>
  <c r="AH1236" i="2"/>
  <c r="AB178" i="2"/>
  <c r="AB787" i="2"/>
  <c r="AC565" i="2"/>
  <c r="AC1017" i="2"/>
  <c r="AB959" i="2"/>
  <c r="AC664" i="2"/>
  <c r="AC1223" i="2"/>
  <c r="AB678" i="2"/>
  <c r="AB284" i="2"/>
  <c r="AB192" i="2"/>
  <c r="AB1048" i="2"/>
  <c r="AC402" i="2"/>
  <c r="AC931" i="2"/>
  <c r="AC1030" i="2"/>
  <c r="AB749" i="2"/>
  <c r="AC195" i="2"/>
  <c r="AB1213" i="2"/>
  <c r="AB809" i="2"/>
  <c r="AC328" i="2"/>
  <c r="AB417" i="2"/>
  <c r="AC729" i="2"/>
  <c r="AB1041" i="2"/>
  <c r="AB55" i="2"/>
  <c r="AB368" i="2"/>
  <c r="AB1253" i="2"/>
  <c r="AH1266" i="2"/>
  <c r="AC222" i="2"/>
  <c r="AB613" i="2"/>
  <c r="AB781" i="2"/>
  <c r="AC1019" i="2"/>
  <c r="AB815" i="2"/>
  <c r="AB655" i="2"/>
  <c r="AB386" i="2"/>
  <c r="AC768" i="2"/>
  <c r="AB582" i="2"/>
  <c r="AB298" i="2"/>
  <c r="AC1259" i="2"/>
  <c r="AB495" i="2"/>
  <c r="AC982" i="2"/>
  <c r="AH1263" i="2"/>
  <c r="AB299" i="2"/>
  <c r="AB486" i="2"/>
  <c r="AC286" i="2"/>
  <c r="AB824" i="2"/>
  <c r="AB148" i="2"/>
  <c r="AC908" i="2"/>
  <c r="AC979" i="2"/>
  <c r="AB681" i="2"/>
  <c r="AB1055" i="2"/>
  <c r="AB305" i="2"/>
  <c r="AC287" i="2"/>
  <c r="AC403" i="2"/>
  <c r="AB201" i="2"/>
  <c r="AB857" i="2"/>
  <c r="AC311" i="2"/>
  <c r="AB584" i="2"/>
  <c r="AB978" i="2"/>
  <c r="AB60" i="2"/>
  <c r="AB209" i="2"/>
  <c r="AB387" i="2"/>
  <c r="AB542" i="2"/>
  <c r="AB1248" i="2"/>
  <c r="AC1209" i="2"/>
  <c r="AB1145" i="2"/>
  <c r="AB155" i="2"/>
  <c r="AC1127" i="2"/>
  <c r="AB92" i="2"/>
  <c r="AC1010" i="2"/>
  <c r="AB966" i="2"/>
  <c r="AB227" i="2"/>
  <c r="AB398" i="2"/>
  <c r="AC1077" i="2"/>
  <c r="AB173" i="2"/>
  <c r="AB391" i="2"/>
  <c r="AC374" i="2"/>
  <c r="AC151" i="2"/>
  <c r="AB832" i="2"/>
  <c r="AH1245" i="2"/>
  <c r="AB429" i="2"/>
  <c r="AB556" i="2"/>
  <c r="AB927" i="2"/>
  <c r="AB1112" i="2"/>
  <c r="AB306" i="2"/>
  <c r="AB579" i="2"/>
  <c r="AC750" i="2"/>
  <c r="AC972" i="2"/>
  <c r="AC899" i="2"/>
  <c r="AC892" i="2"/>
  <c r="AC213" i="2"/>
  <c r="AH1248" i="2"/>
  <c r="AH1239" i="2"/>
  <c r="AC160" i="2"/>
  <c r="AB501" i="2"/>
  <c r="AB841" i="2"/>
  <c r="AB102" i="2"/>
  <c r="AB260" i="2"/>
  <c r="AB992" i="2"/>
  <c r="AB133" i="2"/>
  <c r="AB942" i="2"/>
  <c r="AB1201" i="2"/>
  <c r="AB964" i="2"/>
  <c r="AC323" i="2"/>
  <c r="AB669" i="2"/>
  <c r="AC295" i="2"/>
  <c r="AB434" i="2"/>
  <c r="AB301" i="2"/>
  <c r="AC465" i="2"/>
  <c r="AC436" i="2"/>
  <c r="AH1264" i="2"/>
  <c r="AC1197" i="2"/>
  <c r="AC463" i="2"/>
  <c r="AC677" i="2"/>
  <c r="AC467" i="2"/>
  <c r="AC1261" i="2"/>
  <c r="AB767" i="2"/>
  <c r="AB1178" i="2"/>
  <c r="AB390" i="2"/>
  <c r="AB840" i="2"/>
  <c r="AB1098" i="2"/>
  <c r="AB1033" i="2"/>
  <c r="AB1154" i="2"/>
  <c r="AB1088" i="2"/>
  <c r="AC1198" i="2"/>
  <c r="AB239" i="2"/>
  <c r="AC909" i="2"/>
  <c r="AB1063" i="2"/>
  <c r="AB906" i="2"/>
  <c r="AB1203" i="2"/>
  <c r="AB461" i="2"/>
  <c r="AC509" i="2"/>
  <c r="AB167" i="2"/>
  <c r="AB296" i="2"/>
  <c r="AB773" i="2"/>
  <c r="AC123" i="2"/>
  <c r="J42" i="39"/>
  <c r="J43" i="39"/>
  <c r="L52" i="39"/>
  <c r="L53" i="39"/>
  <c r="K42" i="39"/>
  <c r="K43" i="39"/>
  <c r="C53" i="39"/>
  <c r="C52" i="39"/>
  <c r="D53" i="39"/>
  <c r="D52" i="39"/>
  <c r="L42" i="39"/>
  <c r="L43" i="39"/>
  <c r="E53" i="39"/>
  <c r="E52" i="39"/>
  <c r="F53" i="39"/>
  <c r="F52" i="39"/>
  <c r="C42" i="39"/>
  <c r="C43" i="39"/>
  <c r="D42" i="39"/>
  <c r="D43" i="39"/>
  <c r="G52" i="39"/>
  <c r="G53" i="39"/>
  <c r="E42" i="39"/>
  <c r="E43" i="39"/>
  <c r="G42" i="39"/>
  <c r="G43" i="39"/>
  <c r="H52" i="39"/>
  <c r="H53" i="39"/>
  <c r="F42" i="39"/>
  <c r="F43" i="39"/>
  <c r="H42" i="39"/>
  <c r="H43" i="39"/>
  <c r="I52" i="39"/>
  <c r="I53" i="39"/>
  <c r="K52" i="39"/>
  <c r="K53" i="39"/>
  <c r="I42" i="39"/>
  <c r="I43" i="39"/>
  <c r="J52" i="39"/>
  <c r="J53" i="39"/>
  <c r="R36" i="37"/>
  <c r="R50" i="37"/>
  <c r="R35" i="37" s="1"/>
  <c r="R60" i="37" s="1"/>
  <c r="R62" i="37" s="1"/>
  <c r="R64" i="37" s="1"/>
  <c r="U50" i="37"/>
  <c r="U35" i="37" s="1"/>
  <c r="U60" i="37" s="1"/>
  <c r="U62" i="37" s="1"/>
  <c r="U64" i="37" s="1"/>
  <c r="U36" i="37"/>
  <c r="K50" i="37"/>
  <c r="K35" i="37" s="1"/>
  <c r="K60" i="37" s="1"/>
  <c r="K62" i="37" s="1"/>
  <c r="K64" i="37" s="1"/>
  <c r="K36" i="37"/>
  <c r="M50" i="37"/>
  <c r="M35" i="37" s="1"/>
  <c r="M60" i="37" s="1"/>
  <c r="M62" i="37" s="1"/>
  <c r="M64" i="37" s="1"/>
  <c r="M36" i="37"/>
  <c r="S50" i="37"/>
  <c r="S35" i="37" s="1"/>
  <c r="S60" i="37" s="1"/>
  <c r="S62" i="37" s="1"/>
  <c r="S64" i="37" s="1"/>
  <c r="S36" i="37"/>
  <c r="F50" i="37"/>
  <c r="F35" i="37" s="1"/>
  <c r="F60" i="37" s="1"/>
  <c r="F36" i="37"/>
  <c r="L50" i="37"/>
  <c r="L35" i="37" s="1"/>
  <c r="L60" i="37" s="1"/>
  <c r="L62" i="37" s="1"/>
  <c r="L64" i="37" s="1"/>
  <c r="L36" i="37"/>
  <c r="Q50" i="37"/>
  <c r="Q35" i="37" s="1"/>
  <c r="Q60" i="37" s="1"/>
  <c r="Q36" i="37"/>
  <c r="N50" i="37"/>
  <c r="N35" i="37" s="1"/>
  <c r="N60" i="37" s="1"/>
  <c r="N36" i="37"/>
  <c r="O62" i="37"/>
  <c r="O64" i="37" s="1"/>
  <c r="F58" i="34"/>
  <c r="I30" i="34"/>
  <c r="J30" i="34" s="1"/>
  <c r="I25" i="34"/>
  <c r="J25" i="34" s="1"/>
  <c r="J26" i="34" s="1"/>
  <c r="F54" i="34"/>
  <c r="F48" i="34"/>
  <c r="I36" i="34"/>
  <c r="J36" i="34" s="1"/>
  <c r="I46" i="34"/>
  <c r="J46" i="34" s="1"/>
  <c r="I34" i="34"/>
  <c r="F35" i="34"/>
  <c r="J34" i="34"/>
  <c r="F17" i="34"/>
  <c r="J16" i="34"/>
  <c r="I16" i="34"/>
  <c r="J74" i="29"/>
  <c r="K74" i="29" s="1"/>
  <c r="G123" i="29"/>
  <c r="J70" i="29"/>
  <c r="K70" i="29"/>
  <c r="G116" i="29"/>
  <c r="J117" i="29"/>
  <c r="K117" i="29" s="1"/>
  <c r="G135" i="29"/>
  <c r="G52" i="29"/>
  <c r="G78" i="29"/>
  <c r="J77" i="29"/>
  <c r="K77" i="29" s="1"/>
  <c r="G84" i="29"/>
  <c r="K71" i="29"/>
  <c r="J71" i="29"/>
  <c r="G115" i="29"/>
  <c r="J72" i="29"/>
  <c r="K72" i="29" s="1"/>
  <c r="G122" i="29"/>
  <c r="J73" i="29"/>
  <c r="K73" i="29" s="1"/>
  <c r="G121" i="29"/>
  <c r="G258" i="28"/>
  <c r="M247" i="28"/>
  <c r="L247" i="28"/>
  <c r="L237" i="28"/>
  <c r="M237" i="28"/>
  <c r="G248" i="28"/>
  <c r="G183" i="28"/>
  <c r="M182" i="28"/>
  <c r="L182" i="28"/>
  <c r="H161" i="28"/>
  <c r="H162" i="28" s="1"/>
  <c r="H153" i="28"/>
  <c r="H155" i="28" s="1"/>
  <c r="I164" i="28"/>
  <c r="I170" i="28"/>
  <c r="G161" i="28"/>
  <c r="M156" i="28"/>
  <c r="L156" i="28"/>
  <c r="G153" i="28"/>
  <c r="M238" i="28"/>
  <c r="L238" i="28"/>
  <c r="G249" i="28"/>
  <c r="J164" i="28"/>
  <c r="J170" i="28"/>
  <c r="L231" i="28"/>
  <c r="M231" i="28" s="1"/>
  <c r="L232" i="28"/>
  <c r="M232" i="28" s="1"/>
  <c r="G239" i="28"/>
  <c r="M157" i="28"/>
  <c r="L157" i="28"/>
  <c r="J66" i="27"/>
  <c r="N57" i="27"/>
  <c r="N58" i="27"/>
  <c r="N63" i="27"/>
  <c r="L58" i="26"/>
  <c r="I98" i="26"/>
  <c r="I122" i="26" s="1"/>
  <c r="G98" i="26"/>
  <c r="G36" i="26"/>
  <c r="G35" i="26"/>
  <c r="G34" i="26"/>
  <c r="L17" i="26"/>
  <c r="G37" i="26"/>
  <c r="G33" i="26"/>
  <c r="F86" i="25"/>
  <c r="K86" i="25" s="1"/>
  <c r="K83" i="25"/>
  <c r="F106" i="25"/>
  <c r="K106" i="25" s="1"/>
  <c r="K70" i="25"/>
  <c r="G120" i="25"/>
  <c r="G115" i="25"/>
  <c r="G109" i="25"/>
  <c r="F104" i="25"/>
  <c r="K41" i="25"/>
  <c r="H120" i="25"/>
  <c r="H115" i="25"/>
  <c r="H109" i="25"/>
  <c r="F36" i="25"/>
  <c r="K36" i="25" s="1"/>
  <c r="F103" i="25"/>
  <c r="K103" i="25" s="1"/>
  <c r="F35" i="25"/>
  <c r="K34" i="25"/>
  <c r="G95" i="25"/>
  <c r="G108" i="25" s="1"/>
  <c r="G117" i="25" s="1"/>
  <c r="G107" i="25"/>
  <c r="H112" i="25"/>
  <c r="H118" i="25" s="1"/>
  <c r="F105" i="25"/>
  <c r="K105" i="25" s="1"/>
  <c r="F94" i="25"/>
  <c r="K46" i="25"/>
  <c r="H87" i="25"/>
  <c r="K87" i="25" s="1"/>
  <c r="G121" i="23"/>
  <c r="I101" i="23"/>
  <c r="G95" i="23"/>
  <c r="G116" i="23"/>
  <c r="J96" i="23"/>
  <c r="I96" i="23"/>
  <c r="G134" i="23"/>
  <c r="I114" i="23"/>
  <c r="G122" i="23"/>
  <c r="I102" i="23"/>
  <c r="J102" i="23" s="1"/>
  <c r="G100" i="23"/>
  <c r="I63" i="23"/>
  <c r="J63" i="23" s="1"/>
  <c r="G117" i="23"/>
  <c r="I97" i="23"/>
  <c r="J97" i="23" s="1"/>
  <c r="G111" i="23"/>
  <c r="I67" i="23"/>
  <c r="G118" i="23"/>
  <c r="I98" i="23"/>
  <c r="J98" i="23" s="1"/>
  <c r="I65" i="23"/>
  <c r="G105" i="23"/>
  <c r="I110" i="23"/>
  <c r="G130" i="23"/>
  <c r="I103" i="23"/>
  <c r="G123" i="23"/>
  <c r="G54" i="23"/>
  <c r="I53" i="23"/>
  <c r="H138" i="22"/>
  <c r="F151" i="22"/>
  <c r="I138" i="22"/>
  <c r="H142" i="22"/>
  <c r="F154" i="22"/>
  <c r="I142" i="22"/>
  <c r="H98" i="22"/>
  <c r="I98" i="22" s="1"/>
  <c r="F139" i="22"/>
  <c r="H132" i="22"/>
  <c r="I132" i="22"/>
  <c r="F147" i="22"/>
  <c r="F155" i="22"/>
  <c r="H143" i="22"/>
  <c r="I143" i="22" s="1"/>
  <c r="F149" i="22"/>
  <c r="H129" i="22"/>
  <c r="I129" i="22" s="1"/>
  <c r="H130" i="22"/>
  <c r="I130" i="22" s="1"/>
  <c r="H125" i="22"/>
  <c r="I125" i="22" s="1"/>
  <c r="F144" i="22"/>
  <c r="F153" i="22"/>
  <c r="H140" i="22"/>
  <c r="I140" i="22" s="1"/>
  <c r="I32" i="22"/>
  <c r="H32" i="22"/>
  <c r="F66" i="22"/>
  <c r="H65" i="22"/>
  <c r="I65" i="22" s="1"/>
  <c r="I136" i="22"/>
  <c r="H136" i="22"/>
  <c r="H36" i="22"/>
  <c r="I36" i="22" s="1"/>
  <c r="F146" i="22"/>
  <c r="H127" i="22"/>
  <c r="I127" i="22"/>
  <c r="H126" i="22"/>
  <c r="I126" i="22"/>
  <c r="F145" i="22"/>
  <c r="M27" i="20"/>
  <c r="M63" i="20" s="1"/>
  <c r="M85" i="20" s="1"/>
  <c r="M28" i="20"/>
  <c r="M70" i="20" s="1"/>
  <c r="M91" i="20" s="1"/>
  <c r="M19" i="20"/>
  <c r="M29" i="20"/>
  <c r="M69" i="20" s="1"/>
  <c r="M90" i="20" s="1"/>
  <c r="M20" i="20"/>
  <c r="M31" i="20"/>
  <c r="M72" i="20" s="1"/>
  <c r="M93" i="20" s="1"/>
  <c r="M30" i="20"/>
  <c r="M71" i="20" s="1"/>
  <c r="M92" i="20" s="1"/>
  <c r="L49" i="20"/>
  <c r="L81" i="20" s="1"/>
  <c r="L50" i="20"/>
  <c r="L68" i="20" s="1"/>
  <c r="L89" i="20" s="1"/>
  <c r="L51" i="20"/>
  <c r="L76" i="20" s="1"/>
  <c r="L97" i="20" s="1"/>
  <c r="O60" i="20"/>
  <c r="O74" i="20" s="1"/>
  <c r="O95" i="20" s="1"/>
  <c r="O59" i="20"/>
  <c r="O65" i="20" s="1"/>
  <c r="O87" i="20" s="1"/>
  <c r="O58" i="20"/>
  <c r="O64" i="20" s="1"/>
  <c r="O86" i="20" s="1"/>
  <c r="O37" i="20"/>
  <c r="O80" i="20" s="1"/>
  <c r="O34" i="20"/>
  <c r="O73" i="20"/>
  <c r="O94" i="20" s="1"/>
  <c r="M53" i="20"/>
  <c r="M55" i="20"/>
  <c r="M57" i="20"/>
  <c r="R53" i="20"/>
  <c r="R55" i="20"/>
  <c r="R57" i="20"/>
  <c r="O77" i="20"/>
  <c r="O98" i="20" s="1"/>
  <c r="O61" i="20"/>
  <c r="M36" i="20"/>
  <c r="M39" i="20"/>
  <c r="M35" i="20"/>
  <c r="M66" i="20" s="1"/>
  <c r="M40" i="20"/>
  <c r="K43" i="20"/>
  <c r="K67" i="20" s="1"/>
  <c r="K88" i="20" s="1"/>
  <c r="K44" i="20"/>
  <c r="K75" i="20" s="1"/>
  <c r="K96" i="20" s="1"/>
  <c r="K42" i="20"/>
  <c r="K78" i="20" s="1"/>
  <c r="K82" i="20"/>
  <c r="K99" i="20" s="1"/>
  <c r="K59" i="20"/>
  <c r="K65" i="20" s="1"/>
  <c r="K87" i="20" s="1"/>
  <c r="K60" i="20"/>
  <c r="K74" i="20" s="1"/>
  <c r="K95" i="20" s="1"/>
  <c r="K58" i="20"/>
  <c r="K64" i="20" s="1"/>
  <c r="K86" i="20" s="1"/>
  <c r="O43" i="20"/>
  <c r="O67" i="20" s="1"/>
  <c r="O88" i="20" s="1"/>
  <c r="O42" i="20"/>
  <c r="O78" i="20" s="1"/>
  <c r="O44" i="20"/>
  <c r="O75" i="20" s="1"/>
  <c r="O96" i="20" s="1"/>
  <c r="O82" i="20"/>
  <c r="O99" i="20" s="1"/>
  <c r="N53" i="20"/>
  <c r="N55" i="20"/>
  <c r="N57" i="20"/>
  <c r="K73" i="20"/>
  <c r="K94" i="20" s="1"/>
  <c r="K37" i="20"/>
  <c r="K80" i="20" s="1"/>
  <c r="K34" i="20"/>
  <c r="L15" i="20"/>
  <c r="L16" i="20" s="1"/>
  <c r="L62" i="20" s="1"/>
  <c r="L84" i="20" s="1"/>
  <c r="L38" i="20"/>
  <c r="L2" i="20"/>
  <c r="L4" i="20"/>
  <c r="L5" i="20"/>
  <c r="L3" i="20"/>
  <c r="L46" i="20"/>
  <c r="L83" i="20" s="1"/>
  <c r="L100" i="20" s="1"/>
  <c r="L33" i="20"/>
  <c r="L79" i="20" s="1"/>
  <c r="L18" i="20"/>
  <c r="R28" i="20"/>
  <c r="R70" i="20" s="1"/>
  <c r="R91" i="20" s="1"/>
  <c r="R19" i="20"/>
  <c r="R29" i="20"/>
  <c r="R69" i="20" s="1"/>
  <c r="R90" i="20" s="1"/>
  <c r="R20" i="20"/>
  <c r="R30" i="20"/>
  <c r="R71" i="20" s="1"/>
  <c r="R92" i="20" s="1"/>
  <c r="R31" i="20"/>
  <c r="R72" i="20" s="1"/>
  <c r="R93" i="20" s="1"/>
  <c r="R27" i="20"/>
  <c r="R63" i="20" s="1"/>
  <c r="R85" i="20" s="1"/>
  <c r="N39" i="20"/>
  <c r="N35" i="20"/>
  <c r="N66" i="20" s="1"/>
  <c r="N36" i="20"/>
  <c r="N40" i="20"/>
  <c r="K61" i="20"/>
  <c r="K77" i="20"/>
  <c r="K98" i="20" s="1"/>
  <c r="R39" i="20"/>
  <c r="R36" i="20"/>
  <c r="R35" i="20"/>
  <c r="R66" i="20" s="1"/>
  <c r="N27" i="20"/>
  <c r="N63" i="20" s="1"/>
  <c r="N85" i="20" s="1"/>
  <c r="N28" i="20"/>
  <c r="N70" i="20" s="1"/>
  <c r="N91" i="20" s="1"/>
  <c r="N19" i="20"/>
  <c r="N29" i="20"/>
  <c r="N69" i="20" s="1"/>
  <c r="N90" i="20" s="1"/>
  <c r="N20" i="20"/>
  <c r="N30" i="20"/>
  <c r="N71" i="20" s="1"/>
  <c r="N92" i="20" s="1"/>
  <c r="N31" i="20"/>
  <c r="N72" i="20" s="1"/>
  <c r="N93" i="20" s="1"/>
  <c r="F67" i="19"/>
  <c r="J49" i="19"/>
  <c r="F50" i="19"/>
  <c r="J50" i="19" s="1"/>
  <c r="J45" i="19"/>
  <c r="F70" i="19"/>
  <c r="F52" i="19"/>
  <c r="J52" i="19" s="1"/>
  <c r="J66" i="19"/>
  <c r="F68" i="19"/>
  <c r="J72" i="19"/>
  <c r="F82" i="19"/>
  <c r="J82" i="19" s="1"/>
  <c r="F83" i="19"/>
  <c r="J83" i="19" s="1"/>
  <c r="J73" i="19"/>
  <c r="S70" i="18"/>
  <c r="S164" i="18" s="1"/>
  <c r="S154" i="18" s="1"/>
  <c r="S166" i="18"/>
  <c r="S156" i="18" s="1"/>
  <c r="S165" i="18"/>
  <c r="S155" i="18" s="1"/>
  <c r="S168" i="18"/>
  <c r="S158" i="18" s="1"/>
  <c r="S163" i="18"/>
  <c r="S153" i="18" s="1"/>
  <c r="Q191" i="17"/>
  <c r="Q221" i="17"/>
  <c r="Q211" i="17" s="1"/>
  <c r="I191" i="17"/>
  <c r="I221" i="17"/>
  <c r="I211" i="17" s="1"/>
  <c r="W221" i="17"/>
  <c r="W211" i="17" s="1"/>
  <c r="W191" i="17"/>
  <c r="O163" i="17"/>
  <c r="S221" i="17"/>
  <c r="S211" i="17" s="1"/>
  <c r="S191" i="17"/>
  <c r="Z163" i="17"/>
  <c r="Q163" i="17"/>
  <c r="AJ175" i="17"/>
  <c r="V163" i="17"/>
  <c r="S163" i="17"/>
  <c r="AA220" i="17"/>
  <c r="AA210" i="17" s="1"/>
  <c r="AA218" i="17"/>
  <c r="AA208" i="17" s="1"/>
  <c r="AA217" i="17"/>
  <c r="AA207" i="17" s="1"/>
  <c r="AA40" i="17"/>
  <c r="F191" i="17"/>
  <c r="F221" i="17"/>
  <c r="F211" i="17" s="1"/>
  <c r="S57" i="17"/>
  <c r="S42" i="17"/>
  <c r="S56" i="17"/>
  <c r="S22" i="17"/>
  <c r="S23" i="17" s="1"/>
  <c r="S21" i="17"/>
  <c r="F159" i="17"/>
  <c r="AJ157" i="17"/>
  <c r="AE191" i="17"/>
  <c r="AE221" i="17"/>
  <c r="AE211" i="17" s="1"/>
  <c r="T163" i="17"/>
  <c r="F213" i="17"/>
  <c r="AJ205" i="17"/>
  <c r="AJ198" i="17"/>
  <c r="S26" i="17"/>
  <c r="S25" i="17"/>
  <c r="S27" i="17" s="1"/>
  <c r="AA191" i="17"/>
  <c r="AA221" i="17"/>
  <c r="AA211" i="17" s="1"/>
  <c r="AC217" i="17"/>
  <c r="AC207" i="17" s="1"/>
  <c r="AC220" i="17"/>
  <c r="AC210" i="17" s="1"/>
  <c r="AC218" i="17"/>
  <c r="AC208" i="17" s="1"/>
  <c r="AC40" i="17"/>
  <c r="Y217" i="17"/>
  <c r="Y207" i="17" s="1"/>
  <c r="Y218" i="17"/>
  <c r="Y208" i="17" s="1"/>
  <c r="Y220" i="17"/>
  <c r="Y210" i="17" s="1"/>
  <c r="Y40" i="17"/>
  <c r="G191" i="17"/>
  <c r="G221" i="17"/>
  <c r="G211" i="17" s="1"/>
  <c r="AJ202" i="17"/>
  <c r="H218" i="17"/>
  <c r="H208" i="17" s="1"/>
  <c r="H217" i="17"/>
  <c r="H207" i="17" s="1"/>
  <c r="H220" i="17"/>
  <c r="H210" i="17" s="1"/>
  <c r="H40" i="17"/>
  <c r="AJ168" i="17"/>
  <c r="S33" i="17"/>
  <c r="S32" i="17"/>
  <c r="S34" i="17" s="1"/>
  <c r="P169" i="17"/>
  <c r="S159" i="17"/>
  <c r="S219" i="17" s="1"/>
  <c r="S209" i="17" s="1"/>
  <c r="S114" i="17"/>
  <c r="S115" i="17"/>
  <c r="AD163" i="17"/>
  <c r="I163" i="17"/>
  <c r="G218" i="17"/>
  <c r="G208" i="17" s="1"/>
  <c r="G217" i="17"/>
  <c r="G207" i="17" s="1"/>
  <c r="G220" i="17"/>
  <c r="G210" i="17" s="1"/>
  <c r="G40" i="17"/>
  <c r="S97" i="17"/>
  <c r="AE220" i="17"/>
  <c r="AE210" i="17" s="1"/>
  <c r="AE218" i="17"/>
  <c r="AE208" i="17" s="1"/>
  <c r="AE217" i="17"/>
  <c r="AE207" i="17" s="1"/>
  <c r="AE40" i="17"/>
  <c r="AB217" i="17"/>
  <c r="AB207" i="17" s="1"/>
  <c r="AB220" i="17"/>
  <c r="AB210" i="17" s="1"/>
  <c r="AB40" i="17"/>
  <c r="AB218" i="17"/>
  <c r="AB208" i="17" s="1"/>
  <c r="V221" i="17"/>
  <c r="V211" i="17" s="1"/>
  <c r="V191" i="17"/>
  <c r="U163" i="17"/>
  <c r="O169" i="17"/>
  <c r="AJ196" i="17"/>
  <c r="P163" i="17"/>
  <c r="R163" i="17"/>
  <c r="X221" i="17"/>
  <c r="X211" i="17" s="1"/>
  <c r="X191" i="17"/>
  <c r="I22" i="16"/>
  <c r="I32" i="16" s="1"/>
  <c r="AD29" i="16"/>
  <c r="AB22" i="16"/>
  <c r="AC22" i="16"/>
  <c r="AJ26" i="16"/>
  <c r="H25" i="16"/>
  <c r="I12" i="20" s="1"/>
  <c r="AJ24" i="16"/>
  <c r="G18" i="16"/>
  <c r="AJ17" i="16"/>
  <c r="H15" i="16"/>
  <c r="AJ19" i="16"/>
  <c r="AJ12" i="16"/>
  <c r="H22" i="16"/>
  <c r="F11" i="16"/>
  <c r="G6" i="20" s="1"/>
  <c r="AJ10" i="16"/>
  <c r="AB15" i="16"/>
  <c r="AE29" i="16"/>
  <c r="AE32" i="16" s="1"/>
  <c r="AD22" i="16"/>
  <c r="AC31" i="16"/>
  <c r="AC15" i="16"/>
  <c r="AC32" i="16" s="1"/>
  <c r="BE3" i="15"/>
  <c r="BE4" i="15"/>
  <c r="AJ205" i="2" s="1"/>
  <c r="BL3" i="15"/>
  <c r="BL4" i="15"/>
  <c r="BI3" i="15"/>
  <c r="BI4" i="15"/>
  <c r="BF3" i="15"/>
  <c r="BF4" i="15"/>
  <c r="BK4" i="15"/>
  <c r="BK3" i="15"/>
  <c r="BM4" i="15"/>
  <c r="BM3" i="15"/>
  <c r="BN4" i="15"/>
  <c r="BN3" i="15"/>
  <c r="BG3" i="15"/>
  <c r="BG4" i="15"/>
  <c r="BJ3" i="15"/>
  <c r="BJ4" i="15"/>
  <c r="BH4" i="15"/>
  <c r="BH3" i="15"/>
  <c r="M70" i="14"/>
  <c r="M74" i="14"/>
  <c r="N74" i="14" s="1"/>
  <c r="AW134" i="4"/>
  <c r="AW133" i="4"/>
  <c r="AW147" i="4"/>
  <c r="AW148" i="4"/>
  <c r="AW141" i="4"/>
  <c r="AW140" i="4"/>
  <c r="AB362" i="2"/>
  <c r="AB498" i="2"/>
  <c r="AB161" i="2"/>
  <c r="AB508" i="2"/>
  <c r="AB875" i="2"/>
  <c r="AB1136" i="2"/>
  <c r="AB256" i="2"/>
  <c r="AB1166" i="2"/>
  <c r="AE237" i="2"/>
  <c r="AB237" i="2" s="1"/>
  <c r="AC335" i="2"/>
  <c r="AE197" i="2"/>
  <c r="AE198" i="2"/>
  <c r="AB198" i="2" s="1"/>
  <c r="AB879" i="2"/>
  <c r="AB425" i="2"/>
  <c r="AB483" i="2"/>
  <c r="AC1214" i="2"/>
  <c r="AB1207" i="2"/>
  <c r="AB205" i="2"/>
  <c r="AB649" i="2"/>
  <c r="AE569" i="2"/>
  <c r="AB569" i="2" s="1"/>
  <c r="AE567" i="2"/>
  <c r="AE528" i="2"/>
  <c r="AE529" i="2"/>
  <c r="AB529" i="2" s="1"/>
  <c r="AC458" i="2"/>
  <c r="AB369" i="2"/>
  <c r="AB544" i="2"/>
  <c r="AB893" i="2"/>
  <c r="L20" i="2"/>
  <c r="AB502" i="2"/>
  <c r="AC1135" i="2"/>
  <c r="AB63" i="2"/>
  <c r="AB165" i="2"/>
  <c r="AB459" i="2"/>
  <c r="AC455" i="2"/>
  <c r="T24" i="2"/>
  <c r="D60" i="4" s="1"/>
  <c r="AB860" i="2"/>
  <c r="AB1040" i="2"/>
  <c r="AB319" i="2"/>
  <c r="AB348" i="2"/>
  <c r="AB1090" i="2"/>
  <c r="AB1202" i="2"/>
  <c r="AC848" i="2"/>
  <c r="AB976" i="2"/>
  <c r="AB158" i="2"/>
  <c r="AE326" i="2"/>
  <c r="AC326" i="2" s="1"/>
  <c r="S279" i="2"/>
  <c r="AE324" i="2"/>
  <c r="AB888" i="2"/>
  <c r="AB1058" i="2"/>
  <c r="AB85" i="2"/>
  <c r="AB421" i="2"/>
  <c r="AB426" i="2"/>
  <c r="AB731" i="2"/>
  <c r="AB897" i="2"/>
  <c r="M20" i="2"/>
  <c r="AC1009" i="2"/>
  <c r="S1118" i="2"/>
  <c r="AH1175" i="2" s="1"/>
  <c r="AC974" i="2"/>
  <c r="AE181" i="2"/>
  <c r="AC181" i="2" s="1"/>
  <c r="S118" i="2"/>
  <c r="AH199" i="2" s="1"/>
  <c r="AE813" i="2"/>
  <c r="AE814" i="2"/>
  <c r="AB814" i="2" s="1"/>
  <c r="AC751" i="2"/>
  <c r="AB586" i="2"/>
  <c r="AE112" i="2"/>
  <c r="AB112" i="2" s="1"/>
  <c r="AE111" i="2"/>
  <c r="W745" i="2"/>
  <c r="W29" i="2" s="1"/>
  <c r="V29" i="2"/>
  <c r="W736" i="2"/>
  <c r="V720" i="2"/>
  <c r="AB1079" i="2"/>
  <c r="AB1160" i="2"/>
  <c r="AE234" i="2"/>
  <c r="AB234" i="2" s="1"/>
  <c r="W326" i="2"/>
  <c r="V279" i="2"/>
  <c r="W351" i="2"/>
  <c r="W23" i="2" s="1"/>
  <c r="V23" i="2"/>
  <c r="AE626" i="2"/>
  <c r="AE627" i="2"/>
  <c r="AC627" i="2" s="1"/>
  <c r="AE621" i="2"/>
  <c r="AC621" i="2" s="1"/>
  <c r="AE620" i="2"/>
  <c r="AB1147" i="2"/>
  <c r="AC618" i="2"/>
  <c r="AB82" i="2"/>
  <c r="AC207" i="2"/>
  <c r="AB207" i="2"/>
  <c r="AE231" i="2"/>
  <c r="AB231" i="2" s="1"/>
  <c r="AB411" i="2"/>
  <c r="AC411" i="2"/>
  <c r="AE233" i="2"/>
  <c r="AC233" i="2" s="1"/>
  <c r="AB1015" i="2"/>
  <c r="AC1260" i="2"/>
  <c r="AB67" i="2"/>
  <c r="AC422" i="2"/>
  <c r="T869" i="2"/>
  <c r="AE1109" i="2"/>
  <c r="AB1109" i="2" s="1"/>
  <c r="AE1108" i="2"/>
  <c r="AB105" i="2"/>
  <c r="AB1169" i="2"/>
  <c r="AB504" i="2"/>
  <c r="AB1144" i="2"/>
  <c r="V118" i="2"/>
  <c r="AB1036" i="2"/>
  <c r="AC182" i="2"/>
  <c r="AB1258" i="2"/>
  <c r="T118" i="2"/>
  <c r="AC150" i="2"/>
  <c r="W231" i="2"/>
  <c r="AB507" i="2"/>
  <c r="AB680" i="2"/>
  <c r="AB1092" i="2"/>
  <c r="W1155" i="2"/>
  <c r="V1118" i="2"/>
  <c r="AB124" i="2"/>
  <c r="AB898" i="2"/>
  <c r="AE628" i="2"/>
  <c r="AB628" i="2" s="1"/>
  <c r="AE779" i="2"/>
  <c r="AC779" i="2" s="1"/>
  <c r="AE777" i="2"/>
  <c r="M272" i="2"/>
  <c r="L272" i="2"/>
  <c r="V272" i="2"/>
  <c r="W272" i="2" s="1"/>
  <c r="T272" i="2"/>
  <c r="S272" i="2"/>
  <c r="AC414" i="2"/>
  <c r="V274" i="2"/>
  <c r="W274" i="2" s="1"/>
  <c r="L274" i="2"/>
  <c r="T274" i="2"/>
  <c r="S274" i="2"/>
  <c r="M274" i="2"/>
  <c r="AB583" i="2"/>
  <c r="AE515" i="2"/>
  <c r="AB515" i="2" s="1"/>
  <c r="AE513" i="2"/>
  <c r="S494" i="2"/>
  <c r="AH529" i="2" s="1"/>
  <c r="AB648" i="2"/>
  <c r="AE956" i="2"/>
  <c r="AB956" i="2" s="1"/>
  <c r="AC372" i="2"/>
  <c r="AC405" i="2"/>
  <c r="AB254" i="2"/>
  <c r="AB363" i="2"/>
  <c r="AB818" i="2"/>
  <c r="AB953" i="2"/>
  <c r="AC412" i="2"/>
  <c r="AB251" i="2"/>
  <c r="AB291" i="2"/>
  <c r="AH458" i="2"/>
  <c r="AC515" i="2"/>
  <c r="T494" i="2"/>
  <c r="AE624" i="2"/>
  <c r="AC624" i="2" s="1"/>
  <c r="AE623" i="2"/>
  <c r="AE736" i="2"/>
  <c r="AB736" i="2" s="1"/>
  <c r="AE735" i="2"/>
  <c r="V869" i="2"/>
  <c r="S961" i="2"/>
  <c r="AH1109" i="2" s="1"/>
  <c r="AB409" i="2"/>
  <c r="AB747" i="2"/>
  <c r="AB1122" i="2"/>
  <c r="AE955" i="2"/>
  <c r="AC955" i="2" s="1"/>
  <c r="AE954" i="2"/>
  <c r="AE1155" i="2"/>
  <c r="AC1155" i="2" s="1"/>
  <c r="AB1220" i="2"/>
  <c r="AC1220" i="2"/>
  <c r="AC116" i="2"/>
  <c r="AB116" i="2"/>
  <c r="AB53" i="2"/>
  <c r="AB520" i="2"/>
  <c r="AE912" i="2"/>
  <c r="AB912" i="2" s="1"/>
  <c r="S869" i="2"/>
  <c r="AH952" i="2" s="1"/>
  <c r="AE910" i="2"/>
  <c r="W455" i="2"/>
  <c r="W24" i="2" s="1"/>
  <c r="V24" i="2"/>
  <c r="AB755" i="2"/>
  <c r="AB1158" i="2"/>
  <c r="W515" i="2"/>
  <c r="V494" i="2"/>
  <c r="AE793" i="2"/>
  <c r="AB793" i="2" s="1"/>
  <c r="AE792" i="2"/>
  <c r="V961" i="2"/>
  <c r="AB246" i="2"/>
  <c r="AB603" i="2"/>
  <c r="AB1084" i="2"/>
  <c r="W946" i="2"/>
  <c r="V917" i="2"/>
  <c r="AE518" i="2"/>
  <c r="AB518" i="2" s="1"/>
  <c r="AE516" i="2"/>
  <c r="T331" i="2"/>
  <c r="AB1101" i="2"/>
  <c r="AC1101" i="2"/>
  <c r="AB1011" i="2"/>
  <c r="AB373" i="2"/>
  <c r="AC1157" i="2"/>
  <c r="AB170" i="2"/>
  <c r="W866" i="2"/>
  <c r="V835" i="2"/>
  <c r="L275" i="2"/>
  <c r="V275" i="2"/>
  <c r="W275" i="2" s="1"/>
  <c r="T275" i="2"/>
  <c r="S275" i="2"/>
  <c r="M275" i="2"/>
  <c r="W578" i="2"/>
  <c r="V571" i="2"/>
  <c r="T279" i="2"/>
  <c r="AB737" i="2"/>
  <c r="AB896" i="2"/>
  <c r="AB1130" i="2"/>
  <c r="AE774" i="2"/>
  <c r="AB774" i="2" s="1"/>
  <c r="S745" i="2"/>
  <c r="AH814" i="2" s="1"/>
  <c r="AE772" i="2"/>
  <c r="AB585" i="2"/>
  <c r="AE830" i="2"/>
  <c r="AC830" i="2" s="1"/>
  <c r="AE828" i="2"/>
  <c r="AE742" i="2"/>
  <c r="AC742" i="2" s="1"/>
  <c r="AE741" i="2"/>
  <c r="W74" i="2"/>
  <c r="AC745" i="2"/>
  <c r="AE578" i="2"/>
  <c r="AC578" i="2" s="1"/>
  <c r="S571" i="2"/>
  <c r="AH631" i="2" s="1"/>
  <c r="AC59" i="2"/>
  <c r="AB538" i="2"/>
  <c r="AC538" i="2"/>
  <c r="AB157" i="2"/>
  <c r="AB58" i="2"/>
  <c r="AB930" i="2"/>
  <c r="AB759" i="2"/>
  <c r="AB1227" i="2"/>
  <c r="AH1227" i="2"/>
  <c r="S36" i="2"/>
  <c r="AE865" i="2"/>
  <c r="AE866" i="2"/>
  <c r="AB866" i="2" s="1"/>
  <c r="S835" i="2"/>
  <c r="AE806" i="2"/>
  <c r="AB806" i="2" s="1"/>
  <c r="AE945" i="2"/>
  <c r="AE946" i="2"/>
  <c r="AC946" i="2" s="1"/>
  <c r="S917" i="2"/>
  <c r="AB1047" i="2"/>
  <c r="AB511" i="2"/>
  <c r="AB923" i="2"/>
  <c r="AC415" i="2"/>
  <c r="AB415" i="2"/>
  <c r="AC198" i="2"/>
  <c r="AB177" i="2"/>
  <c r="AB592" i="2"/>
  <c r="AE951" i="2"/>
  <c r="AE952" i="2"/>
  <c r="AC952" i="2" s="1"/>
  <c r="AE263" i="2"/>
  <c r="AB263" i="2" s="1"/>
  <c r="AE74" i="2"/>
  <c r="AC74" i="2" s="1"/>
  <c r="AB406" i="2"/>
  <c r="AH489" i="2"/>
  <c r="AE489" i="2"/>
  <c r="AC489" i="2" s="1"/>
  <c r="AE487" i="2"/>
  <c r="T835" i="2"/>
  <c r="AB152" i="2"/>
  <c r="AC365" i="2"/>
  <c r="T571" i="2"/>
  <c r="AB136" i="2"/>
  <c r="T917" i="2"/>
  <c r="AE199" i="2"/>
  <c r="AB199" i="2" s="1"/>
  <c r="AB297" i="2"/>
  <c r="AE333" i="2"/>
  <c r="AC333" i="2" s="1"/>
  <c r="S331" i="2"/>
  <c r="AB595" i="2"/>
  <c r="AB271" i="2"/>
  <c r="AE271" i="2"/>
  <c r="AC271" i="2" s="1"/>
  <c r="AE631" i="2"/>
  <c r="AC631" i="2" s="1"/>
  <c r="AB805" i="2"/>
  <c r="AC263" i="2"/>
  <c r="AB512" i="2"/>
  <c r="AH455" i="2"/>
  <c r="AE455" i="2"/>
  <c r="AB455" i="2"/>
  <c r="AE454" i="2"/>
  <c r="S24" i="2"/>
  <c r="AH491" i="2"/>
  <c r="AH485" i="2"/>
  <c r="AH488" i="2"/>
  <c r="AH467" i="2"/>
  <c r="AH464" i="2"/>
  <c r="AH465" i="2"/>
  <c r="AH466" i="2"/>
  <c r="AH479" i="2"/>
  <c r="AH457" i="2"/>
  <c r="AH478" i="2"/>
  <c r="AH461" i="2"/>
  <c r="AH480" i="2"/>
  <c r="AH470" i="2"/>
  <c r="AH468" i="2"/>
  <c r="AH473" i="2"/>
  <c r="AH463" i="2"/>
  <c r="AH472" i="2"/>
  <c r="AH476" i="2"/>
  <c r="AH482" i="2"/>
  <c r="AH486" i="2"/>
  <c r="AH474" i="2"/>
  <c r="AB871" i="2"/>
  <c r="AB915" i="2"/>
  <c r="AB212" i="2"/>
  <c r="W333" i="2"/>
  <c r="V331" i="2"/>
  <c r="AH492" i="2"/>
  <c r="AE492" i="2"/>
  <c r="AC492" i="2" s="1"/>
  <c r="AE490" i="2"/>
  <c r="AB1027" i="2"/>
  <c r="T961" i="2"/>
  <c r="AB290" i="2"/>
  <c r="AB1262" i="2"/>
  <c r="AB179" i="2"/>
  <c r="AB616" i="2"/>
  <c r="AB733" i="2"/>
  <c r="AB1022" i="2"/>
  <c r="AB1242" i="2"/>
  <c r="AB413" i="2"/>
  <c r="AH794" i="2"/>
  <c r="AE794" i="2"/>
  <c r="AB794" i="2" s="1"/>
  <c r="AC237" i="2"/>
  <c r="T720" i="2"/>
  <c r="AB1139" i="2"/>
  <c r="AB91" i="2"/>
  <c r="AB462" i="2"/>
  <c r="AB601" i="2"/>
  <c r="AB615" i="2"/>
  <c r="S720" i="2"/>
  <c r="AB873" i="2"/>
  <c r="AB937" i="2"/>
  <c r="AB356" i="2"/>
  <c r="AE350" i="2"/>
  <c r="AB351" i="2"/>
  <c r="AH351" i="2"/>
  <c r="AE351" i="2"/>
  <c r="S23" i="2"/>
  <c r="AH396" i="2"/>
  <c r="AH444" i="2"/>
  <c r="AH428" i="2"/>
  <c r="AH367" i="2"/>
  <c r="AH353" i="2"/>
  <c r="AH433" i="2"/>
  <c r="AH391" i="2"/>
  <c r="AH394" i="2"/>
  <c r="AH395" i="2"/>
  <c r="AH392" i="2"/>
  <c r="AH410" i="2"/>
  <c r="AH407" i="2"/>
  <c r="AH404" i="2"/>
  <c r="AH376" i="2"/>
  <c r="AH447" i="2"/>
  <c r="AH370" i="2"/>
  <c r="AH449" i="2"/>
  <c r="AH377" i="2"/>
  <c r="AH445" i="2"/>
  <c r="AH383" i="2"/>
  <c r="AH374" i="2"/>
  <c r="AH429" i="2"/>
  <c r="AH452" i="2"/>
  <c r="AH453" i="2"/>
  <c r="AH379" i="2"/>
  <c r="AH397" i="2"/>
  <c r="AH371" i="2"/>
  <c r="AH364" i="2"/>
  <c r="AH399" i="2"/>
  <c r="AH401" i="2"/>
  <c r="AH402" i="2"/>
  <c r="AH450" i="2"/>
  <c r="AH439" i="2"/>
  <c r="AH436" i="2"/>
  <c r="AH419" i="2"/>
  <c r="AH387" i="2"/>
  <c r="AH366" i="2"/>
  <c r="AH430" i="2"/>
  <c r="AH358" i="2"/>
  <c r="AH441" i="2"/>
  <c r="AH357" i="2"/>
  <c r="AH361" i="2"/>
  <c r="AH442" i="2"/>
  <c r="AH384" i="2"/>
  <c r="AH375" i="2"/>
  <c r="AH355" i="2"/>
  <c r="AH368" i="2"/>
  <c r="AH408" i="2"/>
  <c r="AH434" i="2"/>
  <c r="AH360" i="2"/>
  <c r="AH393" i="2"/>
  <c r="AH435" i="2"/>
  <c r="AB1016" i="2"/>
  <c r="AB210" i="2"/>
  <c r="AB1126" i="2"/>
  <c r="AB602" i="2"/>
  <c r="AB1138" i="2"/>
  <c r="AB125" i="2"/>
  <c r="AB355" i="2"/>
  <c r="AB836" i="2"/>
  <c r="AB375" i="2"/>
  <c r="AC1121" i="2"/>
  <c r="AB817" i="2"/>
  <c r="AC922" i="2"/>
  <c r="AB126" i="2"/>
  <c r="AC1235" i="2"/>
  <c r="AC919" i="2"/>
  <c r="AB606" i="2"/>
  <c r="AC247" i="2"/>
  <c r="AE566" i="2"/>
  <c r="AC566" i="2" s="1"/>
  <c r="AH566" i="2"/>
  <c r="AC1251" i="2"/>
  <c r="AC1179" i="2"/>
  <c r="AC1215" i="2"/>
  <c r="AC293" i="2"/>
  <c r="AC121" i="2"/>
  <c r="AC547" i="2"/>
  <c r="AE1115" i="2"/>
  <c r="AB1115" i="2" s="1"/>
  <c r="AE1114" i="2"/>
  <c r="AH389" i="2"/>
  <c r="AE389" i="2"/>
  <c r="AB389" i="2" s="1"/>
  <c r="W1196" i="2"/>
  <c r="W35" i="2" s="1"/>
  <c r="V35" i="2"/>
  <c r="AC86" i="2"/>
  <c r="AC216" i="2"/>
  <c r="AB820" i="2"/>
  <c r="AB530" i="2"/>
  <c r="AB844" i="2"/>
  <c r="AC223" i="2"/>
  <c r="AE276" i="2"/>
  <c r="AB276" i="2" s="1"/>
  <c r="AB357" i="2"/>
  <c r="AC344" i="2"/>
  <c r="AC517" i="2"/>
  <c r="AC248" i="2"/>
  <c r="AB950" i="2"/>
  <c r="AB470" i="2"/>
  <c r="AB1140" i="2"/>
  <c r="AC1172" i="2"/>
  <c r="AC244" i="2"/>
  <c r="AC407" i="2"/>
  <c r="AH610" i="2"/>
  <c r="AE610" i="2"/>
  <c r="AB610" i="2" s="1"/>
  <c r="AB723" i="2"/>
  <c r="AB1263" i="2"/>
  <c r="AH471" i="2"/>
  <c r="AE471" i="2"/>
  <c r="AB471" i="2" s="1"/>
  <c r="AH1234" i="2"/>
  <c r="AC466" i="2"/>
  <c r="AE1167" i="2"/>
  <c r="AC1167" i="2" s="1"/>
  <c r="AE1194" i="2"/>
  <c r="AB1194" i="2" s="1"/>
  <c r="AC349" i="2"/>
  <c r="AH388" i="2"/>
  <c r="AE388" i="2"/>
  <c r="AC388" i="2" s="1"/>
  <c r="AB1170" i="2"/>
  <c r="AB473" i="2"/>
  <c r="AB643" i="2"/>
  <c r="AC823" i="2"/>
  <c r="AB321" i="2"/>
  <c r="AB341" i="2"/>
  <c r="AB1233" i="2"/>
  <c r="AC435" i="2"/>
  <c r="AC559" i="2"/>
  <c r="AH821" i="2"/>
  <c r="AE821" i="2"/>
  <c r="AB821" i="2" s="1"/>
  <c r="AB877" i="2"/>
  <c r="AC159" i="2"/>
  <c r="AE1174" i="2"/>
  <c r="AE1175" i="2"/>
  <c r="AC1175" i="2" s="1"/>
  <c r="AB397" i="2"/>
  <c r="AE1217" i="2"/>
  <c r="AB1217" i="2" s="1"/>
  <c r="AC241" i="2"/>
  <c r="AH782" i="2"/>
  <c r="AE782" i="2"/>
  <c r="AC782" i="2" s="1"/>
  <c r="AC276" i="2"/>
  <c r="AB612" i="2"/>
  <c r="AE277" i="2"/>
  <c r="AC277" i="2" s="1"/>
  <c r="AB637" i="2"/>
  <c r="AC342" i="2"/>
  <c r="AE264" i="2"/>
  <c r="AB264" i="2" s="1"/>
  <c r="AC724" i="2"/>
  <c r="AE268" i="2"/>
  <c r="AC268" i="2" s="1"/>
  <c r="AE660" i="2"/>
  <c r="AC660" i="2" s="1"/>
  <c r="AE659" i="2"/>
  <c r="AH660" i="2"/>
  <c r="AC642" i="2"/>
  <c r="AB211" i="2"/>
  <c r="AB800" i="2"/>
  <c r="AB929" i="2"/>
  <c r="AE266" i="2"/>
  <c r="AB266" i="2" s="1"/>
  <c r="AB127" i="2"/>
  <c r="AB196" i="2"/>
  <c r="AB670" i="2"/>
  <c r="S1196" i="2"/>
  <c r="AC261" i="2"/>
  <c r="AB1003" i="2"/>
  <c r="AB1124" i="2"/>
  <c r="AE1176" i="2"/>
  <c r="AB1176" i="2" s="1"/>
  <c r="AB663" i="2"/>
  <c r="AC1230" i="2"/>
  <c r="T37" i="2"/>
  <c r="D151" i="4" s="1"/>
  <c r="AH827" i="2"/>
  <c r="AE827" i="2"/>
  <c r="AB827" i="2" s="1"/>
  <c r="AH1265" i="2"/>
  <c r="AC867" i="2"/>
  <c r="AC1149" i="2"/>
  <c r="AB521" i="2"/>
  <c r="AB1107" i="2"/>
  <c r="AC281" i="2"/>
  <c r="AH833" i="2"/>
  <c r="AE833" i="2"/>
  <c r="AB833" i="2" s="1"/>
  <c r="AC886" i="2"/>
  <c r="AC269" i="2"/>
  <c r="AE561" i="2"/>
  <c r="AE562" i="2"/>
  <c r="AC562" i="2" s="1"/>
  <c r="AH562" i="2"/>
  <c r="AB562" i="2"/>
  <c r="AB214" i="2"/>
  <c r="AC1176" i="2"/>
  <c r="AH652" i="2"/>
  <c r="AC163" i="2"/>
  <c r="AE232" i="2"/>
  <c r="AC232" i="2" s="1"/>
  <c r="AB77" i="2"/>
  <c r="AC76" i="2"/>
  <c r="AC975" i="2"/>
  <c r="AC914" i="2"/>
  <c r="AC1125" i="2"/>
  <c r="AC1129" i="2"/>
  <c r="AC889" i="2"/>
  <c r="AE534" i="2"/>
  <c r="AH535" i="2"/>
  <c r="AE535" i="2"/>
  <c r="AB535" i="2" s="1"/>
  <c r="AC259" i="2"/>
  <c r="AH477" i="2"/>
  <c r="AE477" i="2"/>
  <c r="AB477" i="2" s="1"/>
  <c r="AC740" i="2"/>
  <c r="AC112" i="2"/>
  <c r="AC1196" i="2"/>
  <c r="T35" i="2"/>
  <c r="D137" i="4" s="1"/>
  <c r="AE270" i="2"/>
  <c r="AB270" i="2" s="1"/>
  <c r="AC408" i="2"/>
  <c r="AE803" i="2"/>
  <c r="AB803" i="2" s="1"/>
  <c r="AH803" i="2"/>
  <c r="AB1267" i="2"/>
  <c r="AB88" i="2"/>
  <c r="AE269" i="2"/>
  <c r="AB269" i="2"/>
  <c r="AB367" i="2"/>
  <c r="AE259" i="2"/>
  <c r="AB259" i="2" s="1"/>
  <c r="AE1192" i="2"/>
  <c r="AE1193" i="2"/>
  <c r="AB1193" i="2"/>
  <c r="AC1227" i="2"/>
  <c r="T36" i="2"/>
  <c r="D144" i="4" s="1"/>
  <c r="AE1123" i="2"/>
  <c r="AC1123" i="2" s="1"/>
  <c r="AH1123" i="2"/>
  <c r="AH1230" i="2"/>
  <c r="AE1229" i="2"/>
  <c r="AE1230" i="2"/>
  <c r="AB1230" i="2"/>
  <c r="S37" i="2"/>
  <c r="T273" i="2"/>
  <c r="S273" i="2"/>
  <c r="V273" i="2"/>
  <c r="W273" i="2" s="1"/>
  <c r="M273" i="2"/>
  <c r="L273" i="2"/>
  <c r="AC1193" i="2"/>
  <c r="AE1161" i="2"/>
  <c r="AB1161" i="2" s="1"/>
  <c r="AB171" i="2"/>
  <c r="T351" i="2"/>
  <c r="AB838" i="2"/>
  <c r="T1118" i="2"/>
  <c r="L708" i="44" l="1"/>
  <c r="T708" i="44"/>
  <c r="S708" i="44"/>
  <c r="M708" i="44"/>
  <c r="V708" i="44"/>
  <c r="W708" i="44" s="1"/>
  <c r="AI708" i="44"/>
  <c r="K705" i="44"/>
  <c r="K705" i="2"/>
  <c r="K706" i="2"/>
  <c r="K706" i="44"/>
  <c r="N10" i="14"/>
  <c r="M10" i="14"/>
  <c r="AI709" i="2"/>
  <c r="V709" i="2"/>
  <c r="W709" i="2" s="1"/>
  <c r="M709" i="2"/>
  <c r="L709" i="2"/>
  <c r="S709" i="2"/>
  <c r="AE709" i="2" s="1"/>
  <c r="AB709" i="2" s="1"/>
  <c r="T709" i="2"/>
  <c r="AC709" i="2" s="1"/>
  <c r="J114" i="23"/>
  <c r="AB112" i="44"/>
  <c r="L709" i="44"/>
  <c r="T709" i="44"/>
  <c r="AC709" i="44" s="1"/>
  <c r="S709" i="44"/>
  <c r="AE709" i="44" s="1"/>
  <c r="AB709" i="44" s="1"/>
  <c r="M709" i="44"/>
  <c r="AI709" i="44"/>
  <c r="V709" i="44"/>
  <c r="W709" i="44" s="1"/>
  <c r="AE112" i="44"/>
  <c r="AC112" i="44" s="1"/>
  <c r="J99" i="23"/>
  <c r="K684" i="2"/>
  <c r="K685" i="2"/>
  <c r="K685" i="44"/>
  <c r="K684" i="44"/>
  <c r="W667" i="2"/>
  <c r="V697" i="2"/>
  <c r="W697" i="2" s="1"/>
  <c r="T697" i="2"/>
  <c r="AC697" i="2" s="1"/>
  <c r="M697" i="2"/>
  <c r="L697" i="2"/>
  <c r="AI697" i="2"/>
  <c r="S697" i="2"/>
  <c r="AE697" i="2" s="1"/>
  <c r="AB697" i="2" s="1"/>
  <c r="AI696" i="44"/>
  <c r="L696" i="44"/>
  <c r="T696" i="44"/>
  <c r="AC696" i="44" s="1"/>
  <c r="S696" i="44"/>
  <c r="M696" i="44"/>
  <c r="V696" i="44"/>
  <c r="W696" i="44" s="1"/>
  <c r="S703" i="2"/>
  <c r="AI703" i="2"/>
  <c r="M703" i="2"/>
  <c r="L703" i="2"/>
  <c r="V703" i="2"/>
  <c r="W703" i="2" s="1"/>
  <c r="T703" i="2"/>
  <c r="K65" i="44"/>
  <c r="K65" i="2"/>
  <c r="K62" i="2"/>
  <c r="K62" i="44"/>
  <c r="J53" i="23"/>
  <c r="K671" i="2"/>
  <c r="K671" i="44"/>
  <c r="V696" i="2"/>
  <c r="W696" i="2" s="1"/>
  <c r="AI696" i="2"/>
  <c r="M696" i="2"/>
  <c r="L696" i="2"/>
  <c r="S696" i="2"/>
  <c r="T696" i="2"/>
  <c r="AC696" i="2" s="1"/>
  <c r="N70" i="14"/>
  <c r="K109" i="44"/>
  <c r="K109" i="2"/>
  <c r="K110" i="44"/>
  <c r="K110" i="2"/>
  <c r="V703" i="44"/>
  <c r="W703" i="44" s="1"/>
  <c r="AI703" i="44"/>
  <c r="T703" i="44"/>
  <c r="S703" i="44"/>
  <c r="M703" i="44"/>
  <c r="L703" i="44"/>
  <c r="V103" i="2"/>
  <c r="W103" i="2" s="1"/>
  <c r="M103" i="2"/>
  <c r="L103" i="2"/>
  <c r="S103" i="2"/>
  <c r="T103" i="2"/>
  <c r="AC103" i="2" s="1"/>
  <c r="K64" i="44"/>
  <c r="K64" i="2"/>
  <c r="AE104" i="44"/>
  <c r="AB104" i="44"/>
  <c r="J101" i="23"/>
  <c r="K690" i="2"/>
  <c r="K690" i="44"/>
  <c r="K691" i="2"/>
  <c r="K691" i="44"/>
  <c r="M103" i="44"/>
  <c r="L103" i="44"/>
  <c r="V103" i="44"/>
  <c r="W103" i="44" s="1"/>
  <c r="T103" i="44"/>
  <c r="S103" i="44"/>
  <c r="AE106" i="44"/>
  <c r="AE107" i="44"/>
  <c r="AC107" i="44" s="1"/>
  <c r="AE668" i="44"/>
  <c r="AC668" i="44" s="1"/>
  <c r="AB668" i="44"/>
  <c r="L702" i="44"/>
  <c r="M702" i="44"/>
  <c r="V702" i="44"/>
  <c r="W702" i="44" s="1"/>
  <c r="S702" i="44"/>
  <c r="T702" i="44"/>
  <c r="AI702" i="44"/>
  <c r="K693" i="44"/>
  <c r="K693" i="2"/>
  <c r="K694" i="44"/>
  <c r="K694" i="2"/>
  <c r="AE669" i="44"/>
  <c r="AB669" i="44"/>
  <c r="L673" i="2"/>
  <c r="S673" i="2"/>
  <c r="AE673" i="2" s="1"/>
  <c r="AB673" i="2" s="1"/>
  <c r="M673" i="2"/>
  <c r="V673" i="2"/>
  <c r="W673" i="2" s="1"/>
  <c r="T673" i="2"/>
  <c r="AC673" i="2" s="1"/>
  <c r="M702" i="2"/>
  <c r="L702" i="2"/>
  <c r="V702" i="2"/>
  <c r="W702" i="2" s="1"/>
  <c r="AI702" i="2"/>
  <c r="T702" i="2"/>
  <c r="AC702" i="2" s="1"/>
  <c r="S702" i="2"/>
  <c r="J103" i="23"/>
  <c r="M673" i="44"/>
  <c r="V673" i="44"/>
  <c r="W673" i="44" s="1"/>
  <c r="S673" i="44"/>
  <c r="AE673" i="44" s="1"/>
  <c r="AB673" i="44" s="1"/>
  <c r="T673" i="44"/>
  <c r="AC673" i="44" s="1"/>
  <c r="L673" i="44"/>
  <c r="AC668" i="2"/>
  <c r="AE672" i="44"/>
  <c r="AB672" i="44"/>
  <c r="J110" i="23"/>
  <c r="K714" i="2"/>
  <c r="K715" i="44"/>
  <c r="K714" i="44"/>
  <c r="K715" i="2"/>
  <c r="AB667" i="44"/>
  <c r="AI708" i="2"/>
  <c r="V708" i="2"/>
  <c r="W708" i="2" s="1"/>
  <c r="M708" i="2"/>
  <c r="L708" i="2"/>
  <c r="S708" i="2"/>
  <c r="T708" i="2"/>
  <c r="S4" i="20"/>
  <c r="S3" i="20"/>
  <c r="S33" i="20"/>
  <c r="S79" i="20" s="1"/>
  <c r="S5" i="20"/>
  <c r="S46" i="20"/>
  <c r="S83" i="20" s="1"/>
  <c r="S100" i="20" s="1"/>
  <c r="S18" i="20"/>
  <c r="S15" i="20"/>
  <c r="S16" i="20" s="1"/>
  <c r="S62" i="20" s="1"/>
  <c r="S84" i="20" s="1"/>
  <c r="S2" i="20"/>
  <c r="S38" i="20"/>
  <c r="AC2" i="16"/>
  <c r="AC8" i="16" s="1"/>
  <c r="AC2" i="18"/>
  <c r="AC2" i="17"/>
  <c r="AB2" i="17"/>
  <c r="AB2" i="16"/>
  <c r="AB8" i="16" s="1"/>
  <c r="AB2" i="18"/>
  <c r="Z2" i="17"/>
  <c r="Z2" i="18"/>
  <c r="Z2" i="16"/>
  <c r="Z8" i="16" s="1"/>
  <c r="BT4" i="15"/>
  <c r="AJ204" i="2" s="1"/>
  <c r="U2" i="16"/>
  <c r="U8" i="16" s="1"/>
  <c r="U2" i="17"/>
  <c r="U2" i="18"/>
  <c r="G8" i="20"/>
  <c r="V6" i="20"/>
  <c r="I172" i="18"/>
  <c r="I162" i="18" s="1"/>
  <c r="AD8" i="17"/>
  <c r="AD82" i="17"/>
  <c r="X2" i="17"/>
  <c r="X2" i="18"/>
  <c r="X2" i="16"/>
  <c r="X8" i="16" s="1"/>
  <c r="AA2" i="17"/>
  <c r="AA2" i="18"/>
  <c r="AA2" i="16"/>
  <c r="AA8" i="16" s="1"/>
  <c r="W2" i="17"/>
  <c r="W2" i="18"/>
  <c r="W2" i="16"/>
  <c r="W8" i="16" s="1"/>
  <c r="Y2" i="18"/>
  <c r="Y2" i="17"/>
  <c r="Y2" i="16"/>
  <c r="Y8" i="16" s="1"/>
  <c r="T2" i="17"/>
  <c r="T2" i="16"/>
  <c r="T8" i="16" s="1"/>
  <c r="AJ205" i="44"/>
  <c r="T2" i="18"/>
  <c r="AJ204" i="44"/>
  <c r="G22" i="16"/>
  <c r="H9" i="20"/>
  <c r="R49" i="20"/>
  <c r="R81" i="20" s="1"/>
  <c r="R51" i="20"/>
  <c r="R76" i="20" s="1"/>
  <c r="R97" i="20" s="1"/>
  <c r="R50" i="20"/>
  <c r="R68" i="20" s="1"/>
  <c r="R89" i="20" s="1"/>
  <c r="AE8" i="17"/>
  <c r="AE82" i="17"/>
  <c r="V2" i="17"/>
  <c r="V2" i="18"/>
  <c r="V2" i="16"/>
  <c r="V8" i="16" s="1"/>
  <c r="S47" i="20"/>
  <c r="W91" i="44"/>
  <c r="AC91" i="44"/>
  <c r="AH518" i="44"/>
  <c r="AC257" i="44"/>
  <c r="AB445" i="44"/>
  <c r="AC739" i="44"/>
  <c r="AB958" i="44"/>
  <c r="AB563" i="44"/>
  <c r="AH563" i="44"/>
  <c r="AH1119" i="44"/>
  <c r="AH1188" i="44"/>
  <c r="AH1148" i="44"/>
  <c r="S34" i="44"/>
  <c r="AB829" i="44"/>
  <c r="AC1115" i="44"/>
  <c r="AC1163" i="44"/>
  <c r="AH1140" i="44"/>
  <c r="AH1126" i="44"/>
  <c r="AH1144" i="44"/>
  <c r="AH1101" i="44"/>
  <c r="AC557" i="44"/>
  <c r="AH1193" i="44"/>
  <c r="AH1157" i="44"/>
  <c r="AH1124" i="44"/>
  <c r="AE1118" i="44"/>
  <c r="AH1190" i="44"/>
  <c r="AH1178" i="44"/>
  <c r="AH1152" i="44"/>
  <c r="AE1117" i="44"/>
  <c r="AH747" i="44"/>
  <c r="AC444" i="44"/>
  <c r="T204" i="44"/>
  <c r="AC204" i="44" s="1"/>
  <c r="AC264" i="44"/>
  <c r="AH1173" i="44"/>
  <c r="AH1158" i="44"/>
  <c r="AH1104" i="44"/>
  <c r="AB1118" i="44"/>
  <c r="AH785" i="44"/>
  <c r="AH832" i="44"/>
  <c r="AH770" i="44"/>
  <c r="S29" i="44"/>
  <c r="AC266" i="44"/>
  <c r="AC956" i="44"/>
  <c r="AH399" i="44"/>
  <c r="AH383" i="44"/>
  <c r="AH1181" i="44"/>
  <c r="AH1138" i="44"/>
  <c r="AH1135" i="44"/>
  <c r="AH1118" i="44"/>
  <c r="AH787" i="44"/>
  <c r="AH771" i="44"/>
  <c r="AH784" i="44"/>
  <c r="AH756" i="44"/>
  <c r="AC697" i="44"/>
  <c r="AH1191" i="44"/>
  <c r="AH1143" i="44"/>
  <c r="AH1136" i="44"/>
  <c r="T29" i="44"/>
  <c r="AH761" i="44"/>
  <c r="AH752" i="44"/>
  <c r="AH806" i="44"/>
  <c r="AB745" i="44"/>
  <c r="AB533" i="44"/>
  <c r="AC496" i="44"/>
  <c r="AH405" i="44"/>
  <c r="AH430" i="44"/>
  <c r="AH379" i="44"/>
  <c r="AH411" i="44"/>
  <c r="AH408" i="44"/>
  <c r="AH1175" i="44"/>
  <c r="AH1187" i="44"/>
  <c r="AH774" i="44"/>
  <c r="AH758" i="44"/>
  <c r="AH818" i="44"/>
  <c r="AB77" i="44"/>
  <c r="AC77" i="44"/>
  <c r="W118" i="44"/>
  <c r="W19" i="44" s="1"/>
  <c r="V19" i="44"/>
  <c r="AB631" i="44"/>
  <c r="AC494" i="44"/>
  <c r="T25" i="44"/>
  <c r="AB905" i="44"/>
  <c r="AE271" i="44"/>
  <c r="AB271" i="44"/>
  <c r="S204" i="44"/>
  <c r="AC917" i="44"/>
  <c r="T32" i="44"/>
  <c r="B21" i="44"/>
  <c r="AH21" i="44"/>
  <c r="AB937" i="44"/>
  <c r="W869" i="44"/>
  <c r="W31" i="44" s="1"/>
  <c r="V31" i="44"/>
  <c r="AH954" i="44"/>
  <c r="AH951" i="44"/>
  <c r="AH957" i="44"/>
  <c r="AH922" i="44"/>
  <c r="AH943" i="44"/>
  <c r="AH935" i="44"/>
  <c r="AH938" i="44"/>
  <c r="AH945" i="44"/>
  <c r="AH941" i="44"/>
  <c r="AH948" i="44"/>
  <c r="AH940" i="44"/>
  <c r="AE869" i="44"/>
  <c r="AE868" i="44"/>
  <c r="AH944" i="44"/>
  <c r="AH869" i="44"/>
  <c r="AB869" i="44"/>
  <c r="AH915" i="44"/>
  <c r="S31" i="44"/>
  <c r="AH890" i="44"/>
  <c r="AH886" i="44"/>
  <c r="AH887" i="44"/>
  <c r="AH953" i="44"/>
  <c r="AH939" i="44"/>
  <c r="AH871" i="44"/>
  <c r="AH872" i="44"/>
  <c r="AH894" i="44"/>
  <c r="AH878" i="44"/>
  <c r="AH876" i="44"/>
  <c r="AH875" i="44"/>
  <c r="AH921" i="44"/>
  <c r="AH933" i="44"/>
  <c r="AH898" i="44"/>
  <c r="AH877" i="44"/>
  <c r="AH932" i="44"/>
  <c r="AH874" i="44"/>
  <c r="AH912" i="44"/>
  <c r="AH931" i="44"/>
  <c r="AH881" i="44"/>
  <c r="AH934" i="44"/>
  <c r="AH928" i="44"/>
  <c r="AH942" i="44"/>
  <c r="AH895" i="44"/>
  <c r="AH888" i="44"/>
  <c r="AH911" i="44"/>
  <c r="AH914" i="44"/>
  <c r="AH929" i="44"/>
  <c r="AH926" i="44"/>
  <c r="AH897" i="44"/>
  <c r="AH879" i="44"/>
  <c r="AH873" i="44"/>
  <c r="AH882" i="44"/>
  <c r="AH884" i="44"/>
  <c r="AH896" i="44"/>
  <c r="AH927" i="44"/>
  <c r="AH946" i="44"/>
  <c r="AH902" i="44"/>
  <c r="AH903" i="44"/>
  <c r="AH923" i="44"/>
  <c r="AH900" i="44"/>
  <c r="AH952" i="44"/>
  <c r="AH893" i="44"/>
  <c r="AH891" i="44"/>
  <c r="AH919" i="44"/>
  <c r="AH906" i="44"/>
  <c r="AH930" i="44"/>
  <c r="AH889" i="44"/>
  <c r="AH880" i="44"/>
  <c r="AH924" i="44"/>
  <c r="AH918" i="44"/>
  <c r="AH883" i="44"/>
  <c r="AH920" i="44"/>
  <c r="AH870" i="44"/>
  <c r="AH885" i="44"/>
  <c r="AH925" i="44"/>
  <c r="AH899" i="44"/>
  <c r="AH892" i="44"/>
  <c r="W204" i="44"/>
  <c r="W20" i="44" s="1"/>
  <c r="V20" i="44"/>
  <c r="AC959" i="44"/>
  <c r="W1118" i="44"/>
  <c r="W34" i="44" s="1"/>
  <c r="V34" i="44"/>
  <c r="AH937" i="44"/>
  <c r="AB703" i="44"/>
  <c r="W835" i="44"/>
  <c r="W30" i="44" s="1"/>
  <c r="V30" i="44"/>
  <c r="AC263" i="44"/>
  <c r="AH905" i="44"/>
  <c r="B23" i="44"/>
  <c r="AH23" i="44"/>
  <c r="AH32" i="44"/>
  <c r="B32" i="44"/>
  <c r="AH949" i="44"/>
  <c r="AC275" i="44"/>
  <c r="AC619" i="44"/>
  <c r="A1230" i="44"/>
  <c r="AE37" i="44"/>
  <c r="W720" i="44"/>
  <c r="W28" i="44" s="1"/>
  <c r="V28" i="44"/>
  <c r="B29" i="44"/>
  <c r="AH29" i="44"/>
  <c r="AE719" i="44"/>
  <c r="AE720" i="44"/>
  <c r="AH720" i="44"/>
  <c r="AB720" i="44"/>
  <c r="AH722" i="44"/>
  <c r="S28" i="44"/>
  <c r="AH737" i="44"/>
  <c r="AH736" i="44"/>
  <c r="AH728" i="44"/>
  <c r="AH743" i="44"/>
  <c r="AH725" i="44"/>
  <c r="AH742" i="44"/>
  <c r="AH724" i="44"/>
  <c r="AH721" i="44"/>
  <c r="AH727" i="44"/>
  <c r="AH734" i="44"/>
  <c r="AH723" i="44"/>
  <c r="AH909" i="44"/>
  <c r="AH726" i="44"/>
  <c r="AH908" i="44"/>
  <c r="AH729" i="44"/>
  <c r="AH731" i="44"/>
  <c r="AB949" i="44"/>
  <c r="AE455" i="44"/>
  <c r="AB455" i="44"/>
  <c r="AH455" i="44"/>
  <c r="AE454" i="44"/>
  <c r="AH464" i="44"/>
  <c r="AH457" i="44"/>
  <c r="S24" i="44"/>
  <c r="AH479" i="44"/>
  <c r="AH475" i="44"/>
  <c r="AH458" i="44"/>
  <c r="AH460" i="44"/>
  <c r="AH468" i="44"/>
  <c r="AH456" i="44"/>
  <c r="AH472" i="44"/>
  <c r="AH463" i="44"/>
  <c r="AH485" i="44"/>
  <c r="AH459" i="44"/>
  <c r="AH478" i="44"/>
  <c r="AH469" i="44"/>
  <c r="AH474" i="44"/>
  <c r="AH466" i="44"/>
  <c r="AH462" i="44"/>
  <c r="AH486" i="44"/>
  <c r="AH470" i="44"/>
  <c r="AH461" i="44"/>
  <c r="AH473" i="44"/>
  <c r="AH465" i="44"/>
  <c r="AH477" i="44"/>
  <c r="AH492" i="44"/>
  <c r="AH476" i="44"/>
  <c r="AH482" i="44"/>
  <c r="AH467" i="44"/>
  <c r="AH471" i="44"/>
  <c r="AH489" i="44"/>
  <c r="AH480" i="44"/>
  <c r="AH491" i="44"/>
  <c r="AH494" i="44"/>
  <c r="AE494" i="44"/>
  <c r="AB494" i="44"/>
  <c r="AE493" i="44"/>
  <c r="AH510" i="44"/>
  <c r="S25" i="44"/>
  <c r="AH539" i="44"/>
  <c r="AH535" i="44"/>
  <c r="AH503" i="44"/>
  <c r="AH559" i="44"/>
  <c r="AH509" i="44"/>
  <c r="AH508" i="44"/>
  <c r="AH500" i="44"/>
  <c r="AH495" i="44"/>
  <c r="AH507" i="44"/>
  <c r="AH527" i="44"/>
  <c r="AH560" i="44"/>
  <c r="AH565" i="44"/>
  <c r="AH529" i="44"/>
  <c r="AH505" i="44"/>
  <c r="AH514" i="44"/>
  <c r="AH499" i="44"/>
  <c r="AH504" i="44"/>
  <c r="AH553" i="44"/>
  <c r="AH566" i="44"/>
  <c r="AH541" i="44"/>
  <c r="AH532" i="44"/>
  <c r="AH506" i="44"/>
  <c r="AH536" i="44"/>
  <c r="AH511" i="44"/>
  <c r="AH550" i="44"/>
  <c r="AH569" i="44"/>
  <c r="AH515" i="44"/>
  <c r="AH544" i="44"/>
  <c r="AH556" i="44"/>
  <c r="AH523" i="44"/>
  <c r="AH502" i="44"/>
  <c r="AH512" i="44"/>
  <c r="AH538" i="44"/>
  <c r="AH551" i="44"/>
  <c r="AH524" i="44"/>
  <c r="AH545" i="44"/>
  <c r="AH547" i="44"/>
  <c r="AH520" i="44"/>
  <c r="AH562" i="44"/>
  <c r="AH497" i="44"/>
  <c r="AH526" i="44"/>
  <c r="AH542" i="44"/>
  <c r="AH548" i="44"/>
  <c r="AH568" i="44"/>
  <c r="AH554" i="44"/>
  <c r="AH530" i="44"/>
  <c r="AH521" i="44"/>
  <c r="AH498" i="44"/>
  <c r="AH501" i="44"/>
  <c r="AH947" i="44"/>
  <c r="W961" i="44"/>
  <c r="W33" i="44" s="1"/>
  <c r="V33" i="44"/>
  <c r="AB488" i="44"/>
  <c r="W494" i="44"/>
  <c r="W25" i="44" s="1"/>
  <c r="V25" i="44"/>
  <c r="AB1176" i="44"/>
  <c r="AC1170" i="44"/>
  <c r="B33" i="44"/>
  <c r="AH33" i="44"/>
  <c r="AB936" i="44"/>
  <c r="W917" i="44"/>
  <c r="W32" i="44" s="1"/>
  <c r="V32" i="44"/>
  <c r="AH488" i="44"/>
  <c r="AB950" i="44"/>
  <c r="AC625" i="44"/>
  <c r="AC270" i="44"/>
  <c r="AE274" i="44"/>
  <c r="AB274" i="44" s="1"/>
  <c r="W455" i="44"/>
  <c r="W24" i="44" s="1"/>
  <c r="V24" i="44"/>
  <c r="AH950" i="44"/>
  <c r="AH517" i="44"/>
  <c r="AH496" i="44"/>
  <c r="AH917" i="44"/>
  <c r="B30" i="44"/>
  <c r="AH30" i="44"/>
  <c r="AH35" i="44"/>
  <c r="B35" i="44"/>
  <c r="B19" i="44"/>
  <c r="AH19" i="44"/>
  <c r="AH936" i="44"/>
  <c r="AH557" i="44"/>
  <c r="AH26" i="44"/>
  <c r="AB791" i="44"/>
  <c r="B22" i="44"/>
  <c r="AH22" i="44"/>
  <c r="W571" i="44"/>
  <c r="W26" i="44" s="1"/>
  <c r="V26" i="44"/>
  <c r="AC389" i="44"/>
  <c r="AH733" i="44"/>
  <c r="AC261" i="44"/>
  <c r="AB740" i="44"/>
  <c r="W745" i="44"/>
  <c r="W29" i="44" s="1"/>
  <c r="V29" i="44"/>
  <c r="AC74" i="44"/>
  <c r="AB833" i="44"/>
  <c r="AC271" i="44"/>
  <c r="B34" i="44"/>
  <c r="AH34" i="44"/>
  <c r="AC1118" i="44"/>
  <c r="T34" i="44"/>
  <c r="AH740" i="44"/>
  <c r="AH483" i="44"/>
  <c r="AS155" i="42"/>
  <c r="AS149" i="42"/>
  <c r="AJ12" i="18"/>
  <c r="P70" i="18"/>
  <c r="P166" i="18" s="1"/>
  <c r="P156" i="18" s="1"/>
  <c r="P168" i="18"/>
  <c r="P158" i="18" s="1"/>
  <c r="Q70" i="18"/>
  <c r="Q168" i="18" s="1"/>
  <c r="Q158" i="18" s="1"/>
  <c r="Q165" i="18"/>
  <c r="Q155" i="18" s="1"/>
  <c r="AJ12" i="17"/>
  <c r="P10" i="17"/>
  <c r="P11" i="17" s="1"/>
  <c r="P9" i="17"/>
  <c r="P8" i="18" s="1"/>
  <c r="I164" i="18"/>
  <c r="I154" i="18" s="1"/>
  <c r="R9" i="17"/>
  <c r="R10" i="17" s="1"/>
  <c r="R11" i="17" s="1"/>
  <c r="G70" i="18"/>
  <c r="G168" i="18" s="1"/>
  <c r="G158" i="18" s="1"/>
  <c r="G165" i="18"/>
  <c r="G155" i="18" s="1"/>
  <c r="R70" i="18"/>
  <c r="R163" i="18" s="1"/>
  <c r="R153" i="18" s="1"/>
  <c r="R168" i="18"/>
  <c r="R158" i="18" s="1"/>
  <c r="R166" i="18"/>
  <c r="R156" i="18" s="1"/>
  <c r="H172" i="18"/>
  <c r="H162" i="18" s="1"/>
  <c r="AJ26" i="18"/>
  <c r="I41" i="20"/>
  <c r="I14" i="20"/>
  <c r="I48" i="20"/>
  <c r="V12" i="20"/>
  <c r="I47" i="20"/>
  <c r="I70" i="18"/>
  <c r="I166" i="18" s="1"/>
  <c r="I156" i="18" s="1"/>
  <c r="I168" i="18"/>
  <c r="I158" i="18" s="1"/>
  <c r="G10" i="17"/>
  <c r="G11" i="17" s="1"/>
  <c r="I9" i="17"/>
  <c r="I8" i="18"/>
  <c r="I10" i="17"/>
  <c r="I11" i="17" s="1"/>
  <c r="F161" i="17"/>
  <c r="AJ161" i="17" s="1"/>
  <c r="AJ160" i="17"/>
  <c r="F162" i="17"/>
  <c r="H70" i="18"/>
  <c r="H164" i="18" s="1"/>
  <c r="H154" i="18" s="1"/>
  <c r="H168" i="18"/>
  <c r="H158" i="18" s="1"/>
  <c r="H165" i="18"/>
  <c r="H155" i="18" s="1"/>
  <c r="H166" i="18"/>
  <c r="H156" i="18" s="1"/>
  <c r="G8" i="18"/>
  <c r="Q32" i="20"/>
  <c r="Q47" i="20"/>
  <c r="P48" i="20"/>
  <c r="P41" i="20"/>
  <c r="P14" i="20"/>
  <c r="P47" i="20" s="1"/>
  <c r="F8" i="16"/>
  <c r="AJ8" i="16" s="1"/>
  <c r="F41" i="16"/>
  <c r="AJ41" i="16" s="1"/>
  <c r="AJ2" i="16"/>
  <c r="F37" i="16"/>
  <c r="F40" i="16"/>
  <c r="AJ40" i="16" s="1"/>
  <c r="O9" i="17"/>
  <c r="O8" i="18"/>
  <c r="O10" i="17"/>
  <c r="AJ21" i="18"/>
  <c r="O11" i="17"/>
  <c r="O17" i="17" s="1"/>
  <c r="O18" i="17" s="1"/>
  <c r="O24" i="17" s="1"/>
  <c r="O25" i="17" s="1"/>
  <c r="O26" i="17" s="1"/>
  <c r="O27" i="17" s="1"/>
  <c r="G164" i="18"/>
  <c r="G154" i="18" s="1"/>
  <c r="G172" i="18"/>
  <c r="G162" i="18" s="1"/>
  <c r="AJ7" i="18"/>
  <c r="F84" i="18"/>
  <c r="AL2" i="18"/>
  <c r="AM1" i="18" s="1"/>
  <c r="AJ2" i="18"/>
  <c r="O70" i="18"/>
  <c r="O166" i="18" s="1"/>
  <c r="O156" i="18" s="1"/>
  <c r="AJ16" i="18"/>
  <c r="F8" i="17"/>
  <c r="AJ2" i="17"/>
  <c r="J41" i="20"/>
  <c r="J14" i="20"/>
  <c r="J32" i="20" s="1"/>
  <c r="J48" i="20"/>
  <c r="P172" i="18"/>
  <c r="P162" i="18" s="1"/>
  <c r="H97" i="17"/>
  <c r="H31" i="17"/>
  <c r="H13" i="17"/>
  <c r="H20" i="17" s="1"/>
  <c r="H88" i="17"/>
  <c r="H87" i="17" s="1"/>
  <c r="H124" i="17"/>
  <c r="H135" i="17" s="1"/>
  <c r="H125" i="17"/>
  <c r="H136" i="17" s="1"/>
  <c r="H113" i="17"/>
  <c r="H123" i="17"/>
  <c r="H134" i="17" s="1"/>
  <c r="R172" i="18"/>
  <c r="R162" i="18" s="1"/>
  <c r="G163" i="18"/>
  <c r="G153" i="18" s="1"/>
  <c r="Q8" i="18"/>
  <c r="Q9" i="17"/>
  <c r="Q10" i="17" s="1"/>
  <c r="Q11" i="17" s="1"/>
  <c r="O172" i="18"/>
  <c r="O162" i="18" s="1"/>
  <c r="H17" i="17"/>
  <c r="H18" i="17" s="1"/>
  <c r="H24" i="17" s="1"/>
  <c r="F15" i="18"/>
  <c r="AJ15" i="18" s="1"/>
  <c r="I163" i="18"/>
  <c r="I153" i="18" s="1"/>
  <c r="Q172" i="18"/>
  <c r="Q162" i="18" s="1"/>
  <c r="F39" i="18"/>
  <c r="AJ39" i="18" s="1"/>
  <c r="F49" i="18"/>
  <c r="AJ49" i="18" s="1"/>
  <c r="AH1115" i="2"/>
  <c r="AH456" i="2"/>
  <c r="AH469" i="2"/>
  <c r="AB326" i="2"/>
  <c r="AC529" i="2"/>
  <c r="AC866" i="2"/>
  <c r="AH462" i="2"/>
  <c r="AH806" i="2"/>
  <c r="AC793" i="2"/>
  <c r="AH459" i="2"/>
  <c r="AC535" i="2"/>
  <c r="AC821" i="2"/>
  <c r="AC1194" i="2"/>
  <c r="T204" i="2"/>
  <c r="AK97" i="4"/>
  <c r="AK99" i="4" s="1"/>
  <c r="L97" i="4"/>
  <c r="L99" i="4" s="1"/>
  <c r="AI97" i="4"/>
  <c r="AI99" i="4" s="1"/>
  <c r="AG97" i="4"/>
  <c r="AG99" i="4" s="1"/>
  <c r="AD97" i="4"/>
  <c r="AD99" i="4" s="1"/>
  <c r="Y97" i="4"/>
  <c r="Y99" i="4" s="1"/>
  <c r="K97" i="4"/>
  <c r="K99" i="4" s="1"/>
  <c r="H97" i="4"/>
  <c r="O97" i="4"/>
  <c r="O99" i="4" s="1"/>
  <c r="W97" i="4"/>
  <c r="W99" i="4" s="1"/>
  <c r="AN97" i="4"/>
  <c r="AN99" i="4" s="1"/>
  <c r="V97" i="4"/>
  <c r="V99" i="4" s="1"/>
  <c r="AJ97" i="4"/>
  <c r="AJ99" i="4" s="1"/>
  <c r="AP97" i="4"/>
  <c r="AP99" i="4" s="1"/>
  <c r="Z97" i="4"/>
  <c r="Z99" i="4" s="1"/>
  <c r="S97" i="4"/>
  <c r="S99" i="4" s="1"/>
  <c r="AH97" i="4"/>
  <c r="AH99" i="4" s="1"/>
  <c r="J97" i="4"/>
  <c r="J99" i="4" s="1"/>
  <c r="T97" i="4"/>
  <c r="T99" i="4" s="1"/>
  <c r="X97" i="4"/>
  <c r="X99" i="4" s="1"/>
  <c r="I99" i="4"/>
  <c r="AF97" i="4"/>
  <c r="AF99" i="4" s="1"/>
  <c r="R97" i="4"/>
  <c r="R99" i="4" s="1"/>
  <c r="N97" i="4"/>
  <c r="N99" i="4" s="1"/>
  <c r="M97" i="4"/>
  <c r="M99" i="4" s="1"/>
  <c r="AO97" i="4"/>
  <c r="AO99" i="4" s="1"/>
  <c r="Q97" i="4"/>
  <c r="Q99" i="4" s="1"/>
  <c r="U97" i="4"/>
  <c r="U99" i="4" s="1"/>
  <c r="AC97" i="4"/>
  <c r="AC99" i="4" s="1"/>
  <c r="H99" i="4"/>
  <c r="I97" i="4"/>
  <c r="AM97" i="4"/>
  <c r="AM99" i="4" s="1"/>
  <c r="AQ97" i="4"/>
  <c r="AQ99" i="4" s="1"/>
  <c r="P97" i="4"/>
  <c r="P99" i="4" s="1"/>
  <c r="AA97" i="4"/>
  <c r="AA99" i="4" s="1"/>
  <c r="AB97" i="4"/>
  <c r="AB99" i="4" s="1"/>
  <c r="AL97" i="4"/>
  <c r="AL99" i="4" s="1"/>
  <c r="AE97" i="4"/>
  <c r="AE99" i="4"/>
  <c r="R62" i="4"/>
  <c r="R64" i="4" s="1"/>
  <c r="Q62" i="4"/>
  <c r="Q64" i="4" s="1"/>
  <c r="P62" i="4"/>
  <c r="P64" i="4" s="1"/>
  <c r="J62" i="4"/>
  <c r="J64" i="4" s="1"/>
  <c r="AP62" i="4"/>
  <c r="AP64" i="4" s="1"/>
  <c r="AO62" i="4"/>
  <c r="AO64" i="4" s="1"/>
  <c r="Y62" i="4"/>
  <c r="Y64" i="4" s="1"/>
  <c r="AF62" i="4"/>
  <c r="AF64" i="4" s="1"/>
  <c r="AE62" i="4"/>
  <c r="AE64" i="4" s="1"/>
  <c r="AB62" i="4"/>
  <c r="AB64" i="4" s="1"/>
  <c r="Z62" i="4"/>
  <c r="Z64" i="4" s="1"/>
  <c r="V62" i="4"/>
  <c r="V64" i="4" s="1"/>
  <c r="T62" i="4"/>
  <c r="H62" i="4"/>
  <c r="H64" i="4" s="1"/>
  <c r="AJ62" i="4"/>
  <c r="AJ64" i="4" s="1"/>
  <c r="N62" i="4"/>
  <c r="N64" i="4" s="1"/>
  <c r="AM62" i="4"/>
  <c r="AM64" i="4" s="1"/>
  <c r="U64" i="4"/>
  <c r="W62" i="4"/>
  <c r="W64" i="4" s="1"/>
  <c r="AH62" i="4"/>
  <c r="AH64" i="4" s="1"/>
  <c r="AG64" i="4"/>
  <c r="M62" i="4"/>
  <c r="M64" i="4" s="1"/>
  <c r="AK62" i="4"/>
  <c r="AK64" i="4" s="1"/>
  <c r="U62" i="4"/>
  <c r="AG62" i="4"/>
  <c r="L62" i="4"/>
  <c r="L64" i="4" s="1"/>
  <c r="AQ62" i="4"/>
  <c r="AQ64" i="4" s="1"/>
  <c r="AI62" i="4"/>
  <c r="AI64" i="4" s="1"/>
  <c r="AD62" i="4"/>
  <c r="AD64" i="4" s="1"/>
  <c r="AA62" i="4"/>
  <c r="AA64" i="4" s="1"/>
  <c r="S62" i="4"/>
  <c r="S64" i="4" s="1"/>
  <c r="AC62" i="4"/>
  <c r="AC64" i="4" s="1"/>
  <c r="K62" i="4"/>
  <c r="K64" i="4" s="1"/>
  <c r="I62" i="4"/>
  <c r="I64" i="4" s="1"/>
  <c r="T64" i="4"/>
  <c r="AL62" i="4"/>
  <c r="AL64" i="4" s="1"/>
  <c r="AN62" i="4"/>
  <c r="AN64" i="4" s="1"/>
  <c r="O62" i="4"/>
  <c r="O64" i="4" s="1"/>
  <c r="X62" i="4"/>
  <c r="X64" i="4" s="1"/>
  <c r="AM146" i="4"/>
  <c r="AM148" i="4" s="1"/>
  <c r="Y146" i="4"/>
  <c r="AL146" i="4"/>
  <c r="AL148" i="4" s="1"/>
  <c r="U146" i="4"/>
  <c r="U148" i="4" s="1"/>
  <c r="V146" i="4"/>
  <c r="V148" i="4" s="1"/>
  <c r="AI146" i="4"/>
  <c r="AI148" i="4" s="1"/>
  <c r="AE146" i="4"/>
  <c r="AE148" i="4" s="1"/>
  <c r="S146" i="4"/>
  <c r="S148" i="4" s="1"/>
  <c r="T146" i="4"/>
  <c r="T148" i="4" s="1"/>
  <c r="AD146" i="4"/>
  <c r="AD148" i="4" s="1"/>
  <c r="AQ146" i="4"/>
  <c r="AQ148" i="4" s="1"/>
  <c r="AG146" i="4"/>
  <c r="AG148" i="4" s="1"/>
  <c r="AA146" i="4"/>
  <c r="AA148" i="4" s="1"/>
  <c r="R146" i="4"/>
  <c r="R148" i="4" s="1"/>
  <c r="AC146" i="4"/>
  <c r="AC148" i="4" s="1"/>
  <c r="AK146" i="4"/>
  <c r="AK148" i="4" s="1"/>
  <c r="AB146" i="4"/>
  <c r="AB148" i="4" s="1"/>
  <c r="AP146" i="4"/>
  <c r="AP148" i="4" s="1"/>
  <c r="AF146" i="4"/>
  <c r="AF148" i="4" s="1"/>
  <c r="Q146" i="4"/>
  <c r="Q148" i="4" s="1"/>
  <c r="Z146" i="4"/>
  <c r="Z148" i="4" s="1"/>
  <c r="H146" i="4"/>
  <c r="AN146" i="4"/>
  <c r="AN148" i="4" s="1"/>
  <c r="J146" i="4"/>
  <c r="J148" i="4" s="1"/>
  <c r="AJ146" i="4"/>
  <c r="AJ148" i="4" s="1"/>
  <c r="X146" i="4"/>
  <c r="X148" i="4" s="1"/>
  <c r="AH146" i="4"/>
  <c r="AH148" i="4" s="1"/>
  <c r="AO146" i="4"/>
  <c r="AO148" i="4" s="1"/>
  <c r="W146" i="4"/>
  <c r="W148" i="4" s="1"/>
  <c r="Y148" i="4"/>
  <c r="N146" i="4"/>
  <c r="N148" i="4" s="1"/>
  <c r="I146" i="4"/>
  <c r="I148" i="4" s="1"/>
  <c r="M146" i="4"/>
  <c r="M148" i="4" s="1"/>
  <c r="P146" i="4"/>
  <c r="P148" i="4" s="1"/>
  <c r="O146" i="4"/>
  <c r="O148" i="4" s="1"/>
  <c r="L146" i="4"/>
  <c r="L148" i="4" s="1"/>
  <c r="K146" i="4"/>
  <c r="K148" i="4" s="1"/>
  <c r="N153" i="4"/>
  <c r="N155" i="4" s="1"/>
  <c r="S153" i="4"/>
  <c r="S155" i="4" s="1"/>
  <c r="Q153" i="4"/>
  <c r="Q155" i="4" s="1"/>
  <c r="K153" i="4"/>
  <c r="K155" i="4" s="1"/>
  <c r="AN153" i="4"/>
  <c r="AN155" i="4" s="1"/>
  <c r="AM153" i="4"/>
  <c r="AM155" i="4" s="1"/>
  <c r="AE153" i="4"/>
  <c r="AE155" i="4" s="1"/>
  <c r="X153" i="4"/>
  <c r="X155" i="4" s="1"/>
  <c r="P153" i="4"/>
  <c r="P155" i="4" s="1"/>
  <c r="AC153" i="4"/>
  <c r="AC155" i="4" s="1"/>
  <c r="H153" i="4"/>
  <c r="H155" i="4" s="1"/>
  <c r="W153" i="4"/>
  <c r="W155" i="4" s="1"/>
  <c r="AL153" i="4"/>
  <c r="AL155" i="4" s="1"/>
  <c r="V153" i="4"/>
  <c r="V155" i="4" s="1"/>
  <c r="AK153" i="4"/>
  <c r="AK155" i="4" s="1"/>
  <c r="O153" i="4"/>
  <c r="O155" i="4" s="1"/>
  <c r="M153" i="4"/>
  <c r="M155" i="4" s="1"/>
  <c r="U153" i="4"/>
  <c r="U155" i="4" s="1"/>
  <c r="AQ153" i="4"/>
  <c r="AQ155" i="4" s="1"/>
  <c r="AJ153" i="4"/>
  <c r="AJ155" i="4" s="1"/>
  <c r="AH153" i="4"/>
  <c r="AH155" i="4" s="1"/>
  <c r="AP153" i="4"/>
  <c r="AP155" i="4" s="1"/>
  <c r="R153" i="4"/>
  <c r="R155" i="4" s="1"/>
  <c r="AI153" i="4"/>
  <c r="AI155" i="4" s="1"/>
  <c r="J153" i="4"/>
  <c r="J155" i="4" s="1"/>
  <c r="AB153" i="4"/>
  <c r="AB155" i="4" s="1"/>
  <c r="AG153" i="4"/>
  <c r="AG155" i="4" s="1"/>
  <c r="AA153" i="4"/>
  <c r="AA155" i="4" s="1"/>
  <c r="L153" i="4"/>
  <c r="L155" i="4" s="1"/>
  <c r="AF153" i="4"/>
  <c r="AF155" i="4" s="1"/>
  <c r="AO153" i="4"/>
  <c r="AO155" i="4" s="1"/>
  <c r="Y153" i="4"/>
  <c r="Y155" i="4" s="1"/>
  <c r="T153" i="4"/>
  <c r="T155" i="4" s="1"/>
  <c r="AD153" i="4"/>
  <c r="AD155" i="4" s="1"/>
  <c r="I153" i="4"/>
  <c r="I155" i="4" s="1"/>
  <c r="Z153" i="4"/>
  <c r="Z155" i="4" s="1"/>
  <c r="AL139" i="4"/>
  <c r="AL141" i="4" s="1"/>
  <c r="P139" i="4"/>
  <c r="P141" i="4" s="1"/>
  <c r="AK139" i="4"/>
  <c r="AK141" i="4" s="1"/>
  <c r="O139" i="4"/>
  <c r="O141" i="4" s="1"/>
  <c r="AI139" i="4"/>
  <c r="AI141" i="4" s="1"/>
  <c r="N139" i="4"/>
  <c r="AH139" i="4"/>
  <c r="M139" i="4"/>
  <c r="M141" i="4" s="1"/>
  <c r="AG139" i="4"/>
  <c r="AG141" i="4" s="1"/>
  <c r="I139" i="4"/>
  <c r="I141" i="4" s="1"/>
  <c r="AH141" i="4"/>
  <c r="AF139" i="4"/>
  <c r="AF141" i="4" s="1"/>
  <c r="H139" i="4"/>
  <c r="AE139" i="4"/>
  <c r="AE141" i="4" s="1"/>
  <c r="AD139" i="4"/>
  <c r="AD141" i="4" s="1"/>
  <c r="S139" i="4"/>
  <c r="S141" i="4" s="1"/>
  <c r="AC139" i="4"/>
  <c r="AC141" i="4" s="1"/>
  <c r="Y139" i="4"/>
  <c r="Y141" i="4" s="1"/>
  <c r="N141" i="4"/>
  <c r="X139" i="4"/>
  <c r="X141" i="4" s="1"/>
  <c r="V139" i="4"/>
  <c r="V141" i="4" s="1"/>
  <c r="U139" i="4"/>
  <c r="U141" i="4" s="1"/>
  <c r="AO139" i="4"/>
  <c r="AO141" i="4" s="1"/>
  <c r="R139" i="4"/>
  <c r="R141" i="4" s="1"/>
  <c r="AN139" i="4"/>
  <c r="AN141" i="4" s="1"/>
  <c r="Q139" i="4"/>
  <c r="Q141" i="4" s="1"/>
  <c r="J139" i="4"/>
  <c r="J141" i="4" s="1"/>
  <c r="Z139" i="4"/>
  <c r="Z141" i="4" s="1"/>
  <c r="AP139" i="4"/>
  <c r="AP141" i="4" s="1"/>
  <c r="K139" i="4"/>
  <c r="K141" i="4" s="1"/>
  <c r="T139" i="4"/>
  <c r="T141" i="4" s="1"/>
  <c r="AA139" i="4"/>
  <c r="AA141" i="4" s="1"/>
  <c r="AQ139" i="4"/>
  <c r="AQ141" i="4" s="1"/>
  <c r="AJ139" i="4"/>
  <c r="AJ141" i="4" s="1"/>
  <c r="L139" i="4"/>
  <c r="L141" i="4" s="1"/>
  <c r="AB139" i="4"/>
  <c r="AB141" i="4" s="1"/>
  <c r="W139" i="4"/>
  <c r="AM139" i="4"/>
  <c r="AM141" i="4" s="1"/>
  <c r="W141" i="4"/>
  <c r="AB233" i="2"/>
  <c r="AB1155" i="2"/>
  <c r="D143" i="4"/>
  <c r="E13" i="11"/>
  <c r="AH1161" i="2"/>
  <c r="AC264" i="2"/>
  <c r="AC814" i="2"/>
  <c r="AB742" i="2"/>
  <c r="AH518" i="2"/>
  <c r="AH1155" i="2"/>
  <c r="AB181" i="2"/>
  <c r="AH1194" i="2"/>
  <c r="AB1167" i="2"/>
  <c r="AB333" i="2"/>
  <c r="AH912" i="2"/>
  <c r="AB107" i="2"/>
  <c r="AC107" i="2"/>
  <c r="AH1167" i="2"/>
  <c r="AB74" i="2"/>
  <c r="AH1193" i="2"/>
  <c r="AH946" i="2"/>
  <c r="AC774" i="2"/>
  <c r="D59" i="4"/>
  <c r="E30" i="11"/>
  <c r="AC1115" i="2"/>
  <c r="E14" i="11"/>
  <c r="D150" i="4"/>
  <c r="AH1176" i="2"/>
  <c r="AB1175" i="2"/>
  <c r="E20" i="11"/>
  <c r="D52" i="4"/>
  <c r="AB660" i="2"/>
  <c r="AC234" i="2"/>
  <c r="AC833" i="2"/>
  <c r="AB277" i="2"/>
  <c r="AB388" i="2"/>
  <c r="AC266" i="2"/>
  <c r="AC803" i="2"/>
  <c r="AC471" i="2"/>
  <c r="AC628" i="2"/>
  <c r="AC610" i="2"/>
  <c r="AB492" i="2"/>
  <c r="AB779" i="2"/>
  <c r="AC703" i="2"/>
  <c r="AH830" i="2"/>
  <c r="AH779" i="2"/>
  <c r="AC912" i="2"/>
  <c r="AC569" i="2"/>
  <c r="AB1123" i="2"/>
  <c r="AC827" i="2"/>
  <c r="AH411" i="2"/>
  <c r="AH431" i="2"/>
  <c r="AH381" i="2"/>
  <c r="AH421" i="2"/>
  <c r="AH413" i="2"/>
  <c r="AH373" i="2"/>
  <c r="AH425" i="2"/>
  <c r="AH438" i="2"/>
  <c r="AH417" i="2"/>
  <c r="AH356" i="2"/>
  <c r="AH398" i="2"/>
  <c r="AH386" i="2"/>
  <c r="AH415" i="2"/>
  <c r="AH432" i="2"/>
  <c r="AH365" i="2"/>
  <c r="AH422" i="2"/>
  <c r="AH426" i="2"/>
  <c r="AH372" i="2"/>
  <c r="AH416" i="2"/>
  <c r="AH400" i="2"/>
  <c r="AH378" i="2"/>
  <c r="AH363" i="2"/>
  <c r="AH380" i="2"/>
  <c r="AH354" i="2"/>
  <c r="AH385" i="2"/>
  <c r="AH420" i="2"/>
  <c r="AH405" i="2"/>
  <c r="AH409" i="2"/>
  <c r="AH418" i="2"/>
  <c r="AH406" i="2"/>
  <c r="AH427" i="2"/>
  <c r="AH362" i="2"/>
  <c r="AH403" i="2"/>
  <c r="AH369" i="2"/>
  <c r="AH414" i="2"/>
  <c r="AH412" i="2"/>
  <c r="AH390" i="2"/>
  <c r="AH424" i="2"/>
  <c r="AB955" i="2"/>
  <c r="AC231" i="2"/>
  <c r="AB631" i="2"/>
  <c r="AC518" i="2"/>
  <c r="AC389" i="2"/>
  <c r="Q62" i="37"/>
  <c r="Q64" i="37" s="1"/>
  <c r="F62" i="37"/>
  <c r="F64" i="37" s="1"/>
  <c r="N62" i="37"/>
  <c r="N64" i="37" s="1"/>
  <c r="F19" i="34"/>
  <c r="F18" i="34"/>
  <c r="I17" i="34"/>
  <c r="J17" i="34" s="1"/>
  <c r="F47" i="34"/>
  <c r="J35" i="34"/>
  <c r="I35" i="34"/>
  <c r="J48" i="34"/>
  <c r="I48" i="34"/>
  <c r="I54" i="34"/>
  <c r="J54" i="34" s="1"/>
  <c r="I58" i="34"/>
  <c r="J58" i="34" s="1"/>
  <c r="G85" i="29"/>
  <c r="J84" i="29"/>
  <c r="K84" i="29" s="1"/>
  <c r="G128" i="29"/>
  <c r="J78" i="29"/>
  <c r="K78" i="29" s="1"/>
  <c r="J52" i="29"/>
  <c r="K52" i="29" s="1"/>
  <c r="G139" i="29"/>
  <c r="J121" i="29"/>
  <c r="K121" i="29" s="1"/>
  <c r="J116" i="29"/>
  <c r="K116" i="29" s="1"/>
  <c r="G134" i="29"/>
  <c r="G140" i="29"/>
  <c r="K122" i="29"/>
  <c r="J122" i="29"/>
  <c r="J123" i="29"/>
  <c r="K123" i="29" s="1"/>
  <c r="G133" i="29"/>
  <c r="J115" i="29"/>
  <c r="K115" i="29" s="1"/>
  <c r="I241" i="28"/>
  <c r="I252" i="28" s="1"/>
  <c r="I246" i="28"/>
  <c r="I257" i="28" s="1"/>
  <c r="I243" i="28"/>
  <c r="I254" i="28" s="1"/>
  <c r="I242" i="28"/>
  <c r="I253" i="28" s="1"/>
  <c r="G250" i="28"/>
  <c r="L239" i="28"/>
  <c r="M239" i="28" s="1"/>
  <c r="H170" i="28"/>
  <c r="H164" i="28"/>
  <c r="M161" i="28"/>
  <c r="G162" i="28"/>
  <c r="G188" i="28"/>
  <c r="L183" i="28"/>
  <c r="M183" i="28" s="1"/>
  <c r="J241" i="28"/>
  <c r="J252" i="28" s="1"/>
  <c r="J246" i="28"/>
  <c r="J257" i="28" s="1"/>
  <c r="J243" i="28"/>
  <c r="J254" i="28" s="1"/>
  <c r="J242" i="28"/>
  <c r="J253" i="28" s="1"/>
  <c r="L153" i="28"/>
  <c r="M153" i="28" s="1"/>
  <c r="G155" i="28"/>
  <c r="G97" i="26"/>
  <c r="L33" i="26"/>
  <c r="G106" i="26"/>
  <c r="L106" i="26" s="1"/>
  <c r="G127" i="26"/>
  <c r="L37" i="26"/>
  <c r="G128" i="26"/>
  <c r="L34" i="26"/>
  <c r="G104" i="26"/>
  <c r="L104" i="26" s="1"/>
  <c r="G103" i="26"/>
  <c r="L103" i="26" s="1"/>
  <c r="L35" i="26"/>
  <c r="G126" i="26"/>
  <c r="G105" i="26"/>
  <c r="L105" i="26" s="1"/>
  <c r="L36" i="26"/>
  <c r="L98" i="26"/>
  <c r="G122" i="26"/>
  <c r="K104" i="25"/>
  <c r="F115" i="25"/>
  <c r="K115" i="25" s="1"/>
  <c r="F109" i="25"/>
  <c r="K109" i="25" s="1"/>
  <c r="F112" i="25"/>
  <c r="K35" i="25"/>
  <c r="F95" i="25"/>
  <c r="K94" i="25"/>
  <c r="F107" i="25"/>
  <c r="K107" i="25" s="1"/>
  <c r="I100" i="23"/>
  <c r="G120" i="23"/>
  <c r="I105" i="23"/>
  <c r="G125" i="23"/>
  <c r="I111" i="23"/>
  <c r="G131" i="23"/>
  <c r="I95" i="23"/>
  <c r="J95" i="23" s="1"/>
  <c r="I54" i="23"/>
  <c r="J54" i="23" s="1"/>
  <c r="G108" i="23"/>
  <c r="H66" i="22"/>
  <c r="H67" i="22" s="1"/>
  <c r="F67" i="22"/>
  <c r="I67" i="22" s="1"/>
  <c r="H139" i="22"/>
  <c r="I139" i="22" s="1"/>
  <c r="J1" i="22" s="1"/>
  <c r="F152" i="22"/>
  <c r="N73" i="20"/>
  <c r="N94" i="20" s="1"/>
  <c r="N37" i="20"/>
  <c r="N80" i="20" s="1"/>
  <c r="N34" i="20"/>
  <c r="L53" i="20"/>
  <c r="L57" i="20"/>
  <c r="L55" i="20"/>
  <c r="R58" i="20"/>
  <c r="R64" i="20" s="1"/>
  <c r="R86" i="20" s="1"/>
  <c r="R59" i="20"/>
  <c r="R65" i="20" s="1"/>
  <c r="R87" i="20" s="1"/>
  <c r="R60" i="20"/>
  <c r="R74" i="20" s="1"/>
  <c r="R95" i="20" s="1"/>
  <c r="L36" i="20"/>
  <c r="L39" i="20"/>
  <c r="L35" i="20"/>
  <c r="L66" i="20" s="1"/>
  <c r="L40" i="20"/>
  <c r="N44" i="20"/>
  <c r="N75" i="20" s="1"/>
  <c r="N96" i="20" s="1"/>
  <c r="N82" i="20"/>
  <c r="N99" i="20" s="1"/>
  <c r="N43" i="20"/>
  <c r="N67" i="20" s="1"/>
  <c r="N88" i="20" s="1"/>
  <c r="N42" i="20"/>
  <c r="N78" i="20" s="1"/>
  <c r="M60" i="20"/>
  <c r="M74" i="20" s="1"/>
  <c r="M95" i="20" s="1"/>
  <c r="M58" i="20"/>
  <c r="M64" i="20" s="1"/>
  <c r="M86" i="20" s="1"/>
  <c r="M59" i="20"/>
  <c r="M65" i="20" s="1"/>
  <c r="M87" i="20" s="1"/>
  <c r="N77" i="20"/>
  <c r="N98" i="20" s="1"/>
  <c r="N61" i="20"/>
  <c r="M73" i="20"/>
  <c r="M94" i="20" s="1"/>
  <c r="M37" i="20"/>
  <c r="M80" i="20" s="1"/>
  <c r="M34" i="20"/>
  <c r="R73" i="20"/>
  <c r="R94" i="20" s="1"/>
  <c r="R37" i="20"/>
  <c r="R80" i="20" s="1"/>
  <c r="R34" i="20"/>
  <c r="R77" i="20"/>
  <c r="R98" i="20" s="1"/>
  <c r="R61" i="20"/>
  <c r="R42" i="20"/>
  <c r="R78" i="20" s="1"/>
  <c r="R43" i="20"/>
  <c r="R67" i="20" s="1"/>
  <c r="R88" i="20" s="1"/>
  <c r="R44" i="20"/>
  <c r="R75" i="20" s="1"/>
  <c r="R96" i="20" s="1"/>
  <c r="R82" i="20"/>
  <c r="R99" i="20" s="1"/>
  <c r="L27" i="20"/>
  <c r="L63" i="20" s="1"/>
  <c r="L85" i="20" s="1"/>
  <c r="L28" i="20"/>
  <c r="L70" i="20" s="1"/>
  <c r="L91" i="20" s="1"/>
  <c r="L19" i="20"/>
  <c r="L31" i="20"/>
  <c r="L72" i="20" s="1"/>
  <c r="L93" i="20" s="1"/>
  <c r="L29" i="20"/>
  <c r="L69" i="20" s="1"/>
  <c r="L90" i="20" s="1"/>
  <c r="L30" i="20"/>
  <c r="L71" i="20" s="1"/>
  <c r="L92" i="20" s="1"/>
  <c r="L20" i="20"/>
  <c r="N59" i="20"/>
  <c r="N65" i="20" s="1"/>
  <c r="N87" i="20" s="1"/>
  <c r="N60" i="20"/>
  <c r="N74" i="20" s="1"/>
  <c r="N95" i="20" s="1"/>
  <c r="N58" i="20"/>
  <c r="N64" i="20" s="1"/>
  <c r="N86" i="20" s="1"/>
  <c r="M43" i="20"/>
  <c r="M67" i="20" s="1"/>
  <c r="M88" i="20" s="1"/>
  <c r="M82" i="20"/>
  <c r="M99" i="20" s="1"/>
  <c r="M42" i="20"/>
  <c r="M78" i="20" s="1"/>
  <c r="M44" i="20"/>
  <c r="M75" i="20" s="1"/>
  <c r="M96" i="20" s="1"/>
  <c r="M61" i="20"/>
  <c r="M77" i="20"/>
  <c r="M98" i="20" s="1"/>
  <c r="F78" i="19"/>
  <c r="J68" i="19"/>
  <c r="J70" i="19"/>
  <c r="F80" i="19"/>
  <c r="J67" i="19"/>
  <c r="F69" i="19"/>
  <c r="S50" i="17"/>
  <c r="S49" i="17"/>
  <c r="S48" i="17"/>
  <c r="S45" i="17"/>
  <c r="S35" i="17"/>
  <c r="S119" i="17"/>
  <c r="S118" i="17"/>
  <c r="S39" i="17"/>
  <c r="S217" i="17"/>
  <c r="S207" i="17" s="1"/>
  <c r="S218" i="17"/>
  <c r="S208" i="17" s="1"/>
  <c r="S220" i="17"/>
  <c r="S210" i="17" s="1"/>
  <c r="S40" i="17"/>
  <c r="V217" i="17"/>
  <c r="V207" i="17" s="1"/>
  <c r="V218" i="17"/>
  <c r="V208" i="17" s="1"/>
  <c r="V220" i="17"/>
  <c r="V210" i="17" s="1"/>
  <c r="V40" i="17"/>
  <c r="P221" i="17"/>
  <c r="P211" i="17" s="1"/>
  <c r="P191" i="17"/>
  <c r="S104" i="17"/>
  <c r="S99" i="17"/>
  <c r="S98" i="17"/>
  <c r="O191" i="17"/>
  <c r="O221" i="17"/>
  <c r="O211" i="17" s="1"/>
  <c r="I220" i="17"/>
  <c r="I210" i="17" s="1"/>
  <c r="I218" i="17"/>
  <c r="I208" i="17" s="1"/>
  <c r="I217" i="17"/>
  <c r="I207" i="17" s="1"/>
  <c r="I40" i="17"/>
  <c r="AJ159" i="17"/>
  <c r="F219" i="17"/>
  <c r="F209" i="17" s="1"/>
  <c r="AJ209" i="17" s="1"/>
  <c r="O220" i="17"/>
  <c r="O210" i="17" s="1"/>
  <c r="O218" i="17"/>
  <c r="O208" i="17" s="1"/>
  <c r="O217" i="17"/>
  <c r="O207" i="17" s="1"/>
  <c r="O40" i="17"/>
  <c r="U218" i="17"/>
  <c r="U208" i="17" s="1"/>
  <c r="U220" i="17"/>
  <c r="U210" i="17" s="1"/>
  <c r="U217" i="17"/>
  <c r="U207" i="17" s="1"/>
  <c r="U40" i="17"/>
  <c r="S55" i="17"/>
  <c r="S54" i="17"/>
  <c r="S43" i="17"/>
  <c r="T218" i="17"/>
  <c r="T208" i="17" s="1"/>
  <c r="T220" i="17"/>
  <c r="T210" i="17" s="1"/>
  <c r="T217" i="17"/>
  <c r="T207" i="17" s="1"/>
  <c r="T40" i="17"/>
  <c r="Z217" i="17"/>
  <c r="Z207" i="17" s="1"/>
  <c r="Z218" i="17"/>
  <c r="Z208" i="17" s="1"/>
  <c r="Z220" i="17"/>
  <c r="Z210" i="17" s="1"/>
  <c r="Z40" i="17"/>
  <c r="R220" i="17"/>
  <c r="R210" i="17" s="1"/>
  <c r="R218" i="17"/>
  <c r="R208" i="17" s="1"/>
  <c r="R217" i="17"/>
  <c r="R207" i="17" s="1"/>
  <c r="R40" i="17"/>
  <c r="P220" i="17"/>
  <c r="P210" i="17" s="1"/>
  <c r="P218" i="17"/>
  <c r="P208" i="17" s="1"/>
  <c r="P217" i="17"/>
  <c r="P207" i="17" s="1"/>
  <c r="P40" i="17"/>
  <c r="S117" i="17"/>
  <c r="S116" i="17"/>
  <c r="AJ169" i="17"/>
  <c r="S51" i="17"/>
  <c r="S53" i="17"/>
  <c r="S52" i="17"/>
  <c r="S44" i="17"/>
  <c r="Q220" i="17"/>
  <c r="Q210" i="17" s="1"/>
  <c r="Q218" i="17"/>
  <c r="Q208" i="17" s="1"/>
  <c r="Q217" i="17"/>
  <c r="Q207" i="17" s="1"/>
  <c r="Q40" i="17"/>
  <c r="AD220" i="17"/>
  <c r="AD210" i="17" s="1"/>
  <c r="AD218" i="17"/>
  <c r="AD208" i="17" s="1"/>
  <c r="AD217" i="17"/>
  <c r="AD207" i="17" s="1"/>
  <c r="AD40" i="17"/>
  <c r="AJ191" i="17"/>
  <c r="G32" i="16"/>
  <c r="AJ22" i="16"/>
  <c r="G21" i="16"/>
  <c r="AJ18" i="16"/>
  <c r="H28" i="16"/>
  <c r="AJ25" i="16"/>
  <c r="H29" i="16"/>
  <c r="AB32" i="16"/>
  <c r="AD32" i="16"/>
  <c r="AJ11" i="16"/>
  <c r="F14" i="16"/>
  <c r="F15" i="16"/>
  <c r="BT3" i="15"/>
  <c r="AC204" i="2"/>
  <c r="T20" i="2"/>
  <c r="D32" i="4" s="1"/>
  <c r="AB232" i="2"/>
  <c r="AB566" i="2"/>
  <c r="AC1161" i="2"/>
  <c r="AC835" i="2"/>
  <c r="T30" i="2"/>
  <c r="D102" i="4" s="1"/>
  <c r="AB946" i="2"/>
  <c r="W917" i="2"/>
  <c r="W32" i="2" s="1"/>
  <c r="V32" i="2"/>
  <c r="AE273" i="2"/>
  <c r="AB273" i="2" s="1"/>
  <c r="AC270" i="2"/>
  <c r="AB571" i="2"/>
  <c r="AH571" i="2"/>
  <c r="S26" i="2"/>
  <c r="AH625" i="2"/>
  <c r="AH651" i="2"/>
  <c r="AH600" i="2"/>
  <c r="AH606" i="2"/>
  <c r="AH589" i="2"/>
  <c r="AH645" i="2"/>
  <c r="AH663" i="2"/>
  <c r="AH588" i="2"/>
  <c r="AH584" i="2"/>
  <c r="AH607" i="2"/>
  <c r="AH646" i="2"/>
  <c r="AH636" i="2"/>
  <c r="AH605" i="2"/>
  <c r="AH612" i="2"/>
  <c r="AH594" i="2"/>
  <c r="AH643" i="2"/>
  <c r="AH598" i="2"/>
  <c r="AH633" i="2"/>
  <c r="AH581" i="2"/>
  <c r="AH637" i="2"/>
  <c r="AH661" i="2"/>
  <c r="AH577" i="2"/>
  <c r="AH613" i="2"/>
  <c r="AH639" i="2"/>
  <c r="AH640" i="2"/>
  <c r="AH587" i="2"/>
  <c r="AH602" i="2"/>
  <c r="AH622" i="2"/>
  <c r="AH609" i="2"/>
  <c r="AH634" i="2"/>
  <c r="AH572" i="2"/>
  <c r="AH580" i="2"/>
  <c r="AH604" i="2"/>
  <c r="AH593" i="2"/>
  <c r="AH642" i="2"/>
  <c r="AH574" i="2"/>
  <c r="AH590" i="2"/>
  <c r="AH599" i="2"/>
  <c r="AH654" i="2"/>
  <c r="AH585" i="2"/>
  <c r="AH664" i="2"/>
  <c r="AH579" i="2"/>
  <c r="AH592" i="2"/>
  <c r="AH595" i="2"/>
  <c r="AH603" i="2"/>
  <c r="AH648" i="2"/>
  <c r="AH655" i="2"/>
  <c r="AH618" i="2"/>
  <c r="AH576" i="2"/>
  <c r="AH630" i="2"/>
  <c r="AH583" i="2"/>
  <c r="AH582" i="2"/>
  <c r="AH575" i="2"/>
  <c r="AH573" i="2"/>
  <c r="AH649" i="2"/>
  <c r="AH597" i="2"/>
  <c r="AH596" i="2"/>
  <c r="AH619" i="2"/>
  <c r="AH616" i="2"/>
  <c r="AH657" i="2"/>
  <c r="AH586" i="2"/>
  <c r="AH601" i="2"/>
  <c r="AH591" i="2"/>
  <c r="AH615" i="2"/>
  <c r="AC736" i="2"/>
  <c r="AE279" i="2"/>
  <c r="AB279" i="2"/>
  <c r="AE278" i="2"/>
  <c r="S21" i="2"/>
  <c r="AC794" i="2"/>
  <c r="AC1217" i="2"/>
  <c r="B24" i="2"/>
  <c r="AH24" i="2"/>
  <c r="AC917" i="2"/>
  <c r="T32" i="2"/>
  <c r="D116" i="4" s="1"/>
  <c r="AH624" i="2"/>
  <c r="AE274" i="2"/>
  <c r="AC274" i="2" s="1"/>
  <c r="V204" i="2"/>
  <c r="AC869" i="2"/>
  <c r="T31" i="2"/>
  <c r="D109" i="4" s="1"/>
  <c r="AB578" i="2"/>
  <c r="AB830" i="2"/>
  <c r="AC279" i="2"/>
  <c r="T21" i="2"/>
  <c r="D39" i="4" s="1"/>
  <c r="W118" i="2"/>
  <c r="W19" i="2" s="1"/>
  <c r="V19" i="2"/>
  <c r="AH621" i="2"/>
  <c r="AC1109" i="2"/>
  <c r="AE719" i="2"/>
  <c r="AH720" i="2"/>
  <c r="AE720" i="2"/>
  <c r="AB720" i="2"/>
  <c r="S28" i="2"/>
  <c r="AH729" i="2"/>
  <c r="AH740" i="2"/>
  <c r="AH724" i="2"/>
  <c r="AH743" i="2"/>
  <c r="AH722" i="2"/>
  <c r="AH723" i="2"/>
  <c r="AH734" i="2"/>
  <c r="AH726" i="2"/>
  <c r="AH728" i="2"/>
  <c r="AH725" i="2"/>
  <c r="AH727" i="2"/>
  <c r="AH739" i="2"/>
  <c r="AH721" i="2"/>
  <c r="AH733" i="2"/>
  <c r="AH908" i="2"/>
  <c r="AH737" i="2"/>
  <c r="AH909" i="2"/>
  <c r="AH731" i="2"/>
  <c r="W331" i="2"/>
  <c r="W22" i="2" s="1"/>
  <c r="V22" i="2"/>
  <c r="AB952" i="2"/>
  <c r="W571" i="2"/>
  <c r="W26" i="2" s="1"/>
  <c r="V26" i="2"/>
  <c r="W961" i="2"/>
  <c r="W33" i="2" s="1"/>
  <c r="V33" i="2"/>
  <c r="AC956" i="2"/>
  <c r="AB624" i="2"/>
  <c r="AB621" i="2"/>
  <c r="W720" i="2"/>
  <c r="W28" i="2" s="1"/>
  <c r="V28" i="2"/>
  <c r="AH118" i="2"/>
  <c r="AB118" i="2"/>
  <c r="AE118" i="2"/>
  <c r="S19" i="2"/>
  <c r="AE117" i="2"/>
  <c r="AH126" i="2"/>
  <c r="AH134" i="2"/>
  <c r="AH183" i="2"/>
  <c r="AH125" i="2"/>
  <c r="AH147" i="2"/>
  <c r="AH159" i="2"/>
  <c r="AH195" i="2"/>
  <c r="AH122" i="2"/>
  <c r="AH163" i="2"/>
  <c r="AH135" i="2"/>
  <c r="AH169" i="2"/>
  <c r="AH176" i="2"/>
  <c r="AH129" i="2"/>
  <c r="AH121" i="2"/>
  <c r="AH156" i="2"/>
  <c r="AH139" i="2"/>
  <c r="AH168" i="2"/>
  <c r="AH167" i="2"/>
  <c r="AH128" i="2"/>
  <c r="AH153" i="2"/>
  <c r="AH175" i="2"/>
  <c r="AH172" i="2"/>
  <c r="AH150" i="2"/>
  <c r="AH196" i="2"/>
  <c r="AH127" i="2"/>
  <c r="AH131" i="2"/>
  <c r="AH325" i="2"/>
  <c r="AH185" i="2"/>
  <c r="AH146" i="2"/>
  <c r="AH123" i="2"/>
  <c r="AH193" i="2"/>
  <c r="AH119" i="2"/>
  <c r="AH151" i="2"/>
  <c r="AH164" i="2"/>
  <c r="AH120" i="2"/>
  <c r="AH154" i="2"/>
  <c r="AH149" i="2"/>
  <c r="AH145" i="2"/>
  <c r="AH174" i="2"/>
  <c r="AH162" i="2"/>
  <c r="AH171" i="2"/>
  <c r="AH143" i="2"/>
  <c r="AH142" i="2"/>
  <c r="AH192" i="2"/>
  <c r="AH144" i="2"/>
  <c r="AH177" i="2"/>
  <c r="AH152" i="2"/>
  <c r="AH179" i="2"/>
  <c r="AH189" i="2"/>
  <c r="AH157" i="2"/>
  <c r="AH132" i="2"/>
  <c r="AH184" i="2"/>
  <c r="AH136" i="2"/>
  <c r="AH170" i="2"/>
  <c r="AH137" i="2"/>
  <c r="AH141" i="2"/>
  <c r="AH187" i="2"/>
  <c r="AH140" i="2"/>
  <c r="AH178" i="2"/>
  <c r="AH182" i="2"/>
  <c r="AH202" i="2"/>
  <c r="AH130" i="2"/>
  <c r="AH201" i="2"/>
  <c r="AH173" i="2"/>
  <c r="AH124" i="2"/>
  <c r="AH180" i="2"/>
  <c r="AH155" i="2"/>
  <c r="AH148" i="2"/>
  <c r="AH165" i="2"/>
  <c r="AH166" i="2"/>
  <c r="AH158" i="2"/>
  <c r="AH133" i="2"/>
  <c r="AH161" i="2"/>
  <c r="AH160" i="2"/>
  <c r="AH138" i="2"/>
  <c r="AH1118" i="2"/>
  <c r="AE1117" i="2"/>
  <c r="AE1118" i="2"/>
  <c r="AB1118" i="2"/>
  <c r="S34" i="2"/>
  <c r="AH1131" i="2"/>
  <c r="AH1138" i="2"/>
  <c r="AH1164" i="2"/>
  <c r="AH1129" i="2"/>
  <c r="AH1187" i="2"/>
  <c r="AH1121" i="2"/>
  <c r="AH1182" i="2"/>
  <c r="AH1143" i="2"/>
  <c r="AH1173" i="2"/>
  <c r="AH1125" i="2"/>
  <c r="AH1149" i="2"/>
  <c r="AH1142" i="2"/>
  <c r="AH1124" i="2"/>
  <c r="AH1128" i="2"/>
  <c r="AH1178" i="2"/>
  <c r="AH1185" i="2"/>
  <c r="AH1137" i="2"/>
  <c r="AH1132" i="2"/>
  <c r="AH1119" i="2"/>
  <c r="AH1127" i="2"/>
  <c r="AH1170" i="2"/>
  <c r="AH1181" i="2"/>
  <c r="AH1134" i="2"/>
  <c r="AH1148" i="2"/>
  <c r="AH1145" i="2"/>
  <c r="AH1184" i="2"/>
  <c r="AH1151" i="2"/>
  <c r="AH1152" i="2"/>
  <c r="AH1120" i="2"/>
  <c r="AH1126" i="2"/>
  <c r="AH1146" i="2"/>
  <c r="AH1100" i="2"/>
  <c r="AH1140" i="2"/>
  <c r="AH1172" i="2"/>
  <c r="AH1179" i="2"/>
  <c r="AH1135" i="2"/>
  <c r="AH1163" i="2"/>
  <c r="AH1133" i="2"/>
  <c r="AH1188" i="2"/>
  <c r="AH1157" i="2"/>
  <c r="AH1141" i="2"/>
  <c r="AH1101" i="2"/>
  <c r="AH1122" i="2"/>
  <c r="AH1130" i="2"/>
  <c r="AH1104" i="2"/>
  <c r="AH1169" i="2"/>
  <c r="AH1144" i="2"/>
  <c r="AH1158" i="2"/>
  <c r="AH1147" i="2"/>
  <c r="AH1154" i="2"/>
  <c r="AH1191" i="2"/>
  <c r="AH1103" i="2"/>
  <c r="AH1166" i="2"/>
  <c r="AH1136" i="2"/>
  <c r="AH1139" i="2"/>
  <c r="AH1190" i="2"/>
  <c r="AH1160" i="2"/>
  <c r="AC806" i="2"/>
  <c r="AH578" i="2"/>
  <c r="AH957" i="2"/>
  <c r="AH941" i="2"/>
  <c r="AH951" i="2"/>
  <c r="AH954" i="2"/>
  <c r="AH945" i="2"/>
  <c r="AH938" i="2"/>
  <c r="AH948" i="2"/>
  <c r="AH943" i="2"/>
  <c r="AH935" i="2"/>
  <c r="AH869" i="2"/>
  <c r="AE868" i="2"/>
  <c r="AE869" i="2"/>
  <c r="AB869" i="2"/>
  <c r="S31" i="2"/>
  <c r="AH949" i="2"/>
  <c r="AH889" i="2"/>
  <c r="AH905" i="2"/>
  <c r="AH914" i="2"/>
  <c r="AH872" i="2"/>
  <c r="AH931" i="2"/>
  <c r="AH926" i="2"/>
  <c r="AH928" i="2"/>
  <c r="AH895" i="2"/>
  <c r="AH870" i="2"/>
  <c r="AH911" i="2"/>
  <c r="AH886" i="2"/>
  <c r="AH874" i="2"/>
  <c r="AH934" i="2"/>
  <c r="AH881" i="2"/>
  <c r="AH878" i="2"/>
  <c r="AH922" i="2"/>
  <c r="AH883" i="2"/>
  <c r="AH929" i="2"/>
  <c r="AH944" i="2"/>
  <c r="AH940" i="2"/>
  <c r="AH894" i="2"/>
  <c r="AH877" i="2"/>
  <c r="AH925" i="2"/>
  <c r="AH892" i="2"/>
  <c r="AH950" i="2"/>
  <c r="AH921" i="2"/>
  <c r="AH918" i="2"/>
  <c r="AH927" i="2"/>
  <c r="AH876" i="2"/>
  <c r="AH919" i="2"/>
  <c r="AH920" i="2"/>
  <c r="AH884" i="2"/>
  <c r="AH899" i="2"/>
  <c r="AH936" i="2"/>
  <c r="AH887" i="2"/>
  <c r="AH933" i="2"/>
  <c r="AH932" i="2"/>
  <c r="AH891" i="2"/>
  <c r="AH903" i="2"/>
  <c r="AH882" i="2"/>
  <c r="AH947" i="2"/>
  <c r="AH923" i="2"/>
  <c r="AH942" i="2"/>
  <c r="AH930" i="2"/>
  <c r="AH896" i="2"/>
  <c r="AH902" i="2"/>
  <c r="AH953" i="2"/>
  <c r="AH890" i="2"/>
  <c r="AH906" i="2"/>
  <c r="AH885" i="2"/>
  <c r="AH898" i="2"/>
  <c r="AH900" i="2"/>
  <c r="AH897" i="2"/>
  <c r="AH888" i="2"/>
  <c r="AH880" i="2"/>
  <c r="AH893" i="2"/>
  <c r="AH939" i="2"/>
  <c r="AH875" i="2"/>
  <c r="AH879" i="2"/>
  <c r="AH937" i="2"/>
  <c r="AH873" i="2"/>
  <c r="AH915" i="2"/>
  <c r="AH871" i="2"/>
  <c r="AH924" i="2"/>
  <c r="AC494" i="2"/>
  <c r="T25" i="2"/>
  <c r="D67" i="4" s="1"/>
  <c r="AH326" i="2"/>
  <c r="AB268" i="2"/>
  <c r="AB489" i="2"/>
  <c r="AH627" i="2"/>
  <c r="AC351" i="2"/>
  <c r="T23" i="2"/>
  <c r="D53" i="4" s="1"/>
  <c r="AB782" i="2"/>
  <c r="AE275" i="2"/>
  <c r="AB275" i="2" s="1"/>
  <c r="AC118" i="2"/>
  <c r="T19" i="2"/>
  <c r="D25" i="4" s="1"/>
  <c r="AH181" i="2"/>
  <c r="AH198" i="2"/>
  <c r="AH331" i="2"/>
  <c r="AE331" i="2"/>
  <c r="AE330" i="2"/>
  <c r="AB331" i="2"/>
  <c r="S22" i="2"/>
  <c r="AH342" i="2"/>
  <c r="AH349" i="2"/>
  <c r="AH346" i="2"/>
  <c r="AH340" i="2"/>
  <c r="AH347" i="2"/>
  <c r="AH338" i="2"/>
  <c r="AH345" i="2"/>
  <c r="AH339" i="2"/>
  <c r="AH341" i="2"/>
  <c r="AH344" i="2"/>
  <c r="AH332" i="2"/>
  <c r="AH337" i="2"/>
  <c r="AH334" i="2"/>
  <c r="AH343" i="2"/>
  <c r="AH336" i="2"/>
  <c r="AH348" i="2"/>
  <c r="AH335" i="2"/>
  <c r="AC571" i="2"/>
  <c r="T26" i="2"/>
  <c r="D74" i="4" s="1"/>
  <c r="AE834" i="2"/>
  <c r="AB835" i="2"/>
  <c r="AH835" i="2"/>
  <c r="AE835" i="2"/>
  <c r="S30" i="2"/>
  <c r="AH839" i="2"/>
  <c r="AH843" i="2"/>
  <c r="AH862" i="2"/>
  <c r="AH849" i="2"/>
  <c r="AH867" i="2"/>
  <c r="AH850" i="2"/>
  <c r="AH858" i="2"/>
  <c r="AH855" i="2"/>
  <c r="AH847" i="2"/>
  <c r="AH844" i="2"/>
  <c r="AH854" i="2"/>
  <c r="AH851" i="2"/>
  <c r="AH861" i="2"/>
  <c r="AH836" i="2"/>
  <c r="AH864" i="2"/>
  <c r="AH838" i="2"/>
  <c r="AH837" i="2"/>
  <c r="AH853" i="2"/>
  <c r="AH846" i="2"/>
  <c r="AH863" i="2"/>
  <c r="AH856" i="2"/>
  <c r="AH857" i="2"/>
  <c r="AH845" i="2"/>
  <c r="AH852" i="2"/>
  <c r="AH859" i="2"/>
  <c r="AH841" i="2"/>
  <c r="AH840" i="2"/>
  <c r="AH842" i="2"/>
  <c r="AH848" i="2"/>
  <c r="AH860" i="2"/>
  <c r="AH628" i="2"/>
  <c r="AB627" i="2"/>
  <c r="AH23" i="2"/>
  <c r="B23" i="2"/>
  <c r="AC961" i="2"/>
  <c r="T33" i="2"/>
  <c r="D123" i="4" s="1"/>
  <c r="AE745" i="2"/>
  <c r="AB745" i="2"/>
  <c r="AH745" i="2"/>
  <c r="AE744" i="2"/>
  <c r="S29" i="2"/>
  <c r="AH761" i="2"/>
  <c r="AH802" i="2"/>
  <c r="AH763" i="2"/>
  <c r="AH832" i="2"/>
  <c r="AH824" i="2"/>
  <c r="AH796" i="2"/>
  <c r="AH754" i="2"/>
  <c r="AH746" i="2"/>
  <c r="AH762" i="2"/>
  <c r="AH764" i="2"/>
  <c r="AH808" i="2"/>
  <c r="AH800" i="2"/>
  <c r="AH773" i="2"/>
  <c r="AH799" i="2"/>
  <c r="AH770" i="2"/>
  <c r="AH790" i="2"/>
  <c r="AH812" i="2"/>
  <c r="AH778" i="2"/>
  <c r="AH788" i="2"/>
  <c r="AH791" i="2"/>
  <c r="AH768" i="2"/>
  <c r="AH766" i="2"/>
  <c r="AH823" i="2"/>
  <c r="AH767" i="2"/>
  <c r="AH817" i="2"/>
  <c r="AH811" i="2"/>
  <c r="AH765" i="2"/>
  <c r="AH820" i="2"/>
  <c r="AH771" i="2"/>
  <c r="AH785" i="2"/>
  <c r="AH758" i="2"/>
  <c r="AH829" i="2"/>
  <c r="AH826" i="2"/>
  <c r="AH769" i="2"/>
  <c r="AH753" i="2"/>
  <c r="AH749" i="2"/>
  <c r="AH787" i="2"/>
  <c r="AH797" i="2"/>
  <c r="AH759" i="2"/>
  <c r="AH755" i="2"/>
  <c r="AH818" i="2"/>
  <c r="AH781" i="2"/>
  <c r="AH776" i="2"/>
  <c r="AH815" i="2"/>
  <c r="AH756" i="2"/>
  <c r="AH748" i="2"/>
  <c r="AH747" i="2"/>
  <c r="AH760" i="2"/>
  <c r="AH750" i="2"/>
  <c r="AH757" i="2"/>
  <c r="AH809" i="2"/>
  <c r="AH752" i="2"/>
  <c r="AH784" i="2"/>
  <c r="AH805" i="2"/>
  <c r="AH751" i="2"/>
  <c r="AC331" i="2"/>
  <c r="T22" i="2"/>
  <c r="AH793" i="2"/>
  <c r="AB961" i="2"/>
  <c r="AH961" i="2"/>
  <c r="AE960" i="2"/>
  <c r="AE961" i="2"/>
  <c r="AQ961" i="2"/>
  <c r="S33" i="2"/>
  <c r="AH1039" i="2"/>
  <c r="AH981" i="2"/>
  <c r="AH1042" i="2"/>
  <c r="AH1077" i="2"/>
  <c r="AH1074" i="2"/>
  <c r="AH980" i="2"/>
  <c r="AH987" i="2"/>
  <c r="AH1026" i="2"/>
  <c r="AH1024" i="2"/>
  <c r="AH1113" i="2"/>
  <c r="AH1091" i="2"/>
  <c r="AH1056" i="2"/>
  <c r="AH1093" i="2"/>
  <c r="AH1037" i="2"/>
  <c r="AH1095" i="2"/>
  <c r="AH1044" i="2"/>
  <c r="AH993" i="2"/>
  <c r="AH1019" i="2"/>
  <c r="AH967" i="2"/>
  <c r="AH1112" i="2"/>
  <c r="AH985" i="2"/>
  <c r="AH1001" i="2"/>
  <c r="AH971" i="2"/>
  <c r="AH996" i="2"/>
  <c r="AH1107" i="2"/>
  <c r="AH1076" i="2"/>
  <c r="AH1023" i="2"/>
  <c r="AH1096" i="2"/>
  <c r="AH969" i="2"/>
  <c r="AH1089" i="2"/>
  <c r="AH1106" i="2"/>
  <c r="AH1032" i="2"/>
  <c r="AH1008" i="2"/>
  <c r="AH1025" i="2"/>
  <c r="AH1073" i="2"/>
  <c r="AH994" i="2"/>
  <c r="AH1053" i="2"/>
  <c r="AH999" i="2"/>
  <c r="AH978" i="2"/>
  <c r="AH1027" i="2"/>
  <c r="AH995" i="2"/>
  <c r="AH1075" i="2"/>
  <c r="AH1045" i="2"/>
  <c r="AH1070" i="2"/>
  <c r="AH1057" i="2"/>
  <c r="AH965" i="2"/>
  <c r="AH984" i="2"/>
  <c r="AH1013" i="2"/>
  <c r="AH988" i="2"/>
  <c r="AH1010" i="2"/>
  <c r="AH1081" i="2"/>
  <c r="AH1002" i="2"/>
  <c r="AH1018" i="2"/>
  <c r="AH1082" i="2"/>
  <c r="AH968" i="2"/>
  <c r="AH1065" i="2"/>
  <c r="AH1004" i="2"/>
  <c r="AH982" i="2"/>
  <c r="AH1028" i="2"/>
  <c r="AH1049" i="2"/>
  <c r="AH1016" i="2"/>
  <c r="AH1006" i="2"/>
  <c r="AH975" i="2"/>
  <c r="AH998" i="2"/>
  <c r="AH973" i="2"/>
  <c r="AH1116" i="2"/>
  <c r="AH1064" i="2"/>
  <c r="AH1054" i="2"/>
  <c r="AH1087" i="2"/>
  <c r="AH1005" i="2"/>
  <c r="AH1050" i="2"/>
  <c r="AH992" i="2"/>
  <c r="AH1088" i="2"/>
  <c r="AH1017" i="2"/>
  <c r="AH1022" i="2"/>
  <c r="AH966" i="2"/>
  <c r="AH1086" i="2"/>
  <c r="AH1072" i="2"/>
  <c r="AH1011" i="2"/>
  <c r="AH989" i="2"/>
  <c r="AH1084" i="2"/>
  <c r="AH1046" i="2"/>
  <c r="AH974" i="2"/>
  <c r="AH1021" i="2"/>
  <c r="AH1047" i="2"/>
  <c r="AH1083" i="2"/>
  <c r="AH1009" i="2"/>
  <c r="AH1033" i="2"/>
  <c r="AH1036" i="2"/>
  <c r="AH1048" i="2"/>
  <c r="AH1012" i="2"/>
  <c r="AH1092" i="2"/>
  <c r="AH1061" i="2"/>
  <c r="AH964" i="2"/>
  <c r="AH1038" i="2"/>
  <c r="AH970" i="2"/>
  <c r="AH1079" i="2"/>
  <c r="AH983" i="2"/>
  <c r="AH997" i="2"/>
  <c r="AH1068" i="2"/>
  <c r="AH1069" i="2"/>
  <c r="AH1071" i="2"/>
  <c r="AH1030" i="2"/>
  <c r="AH1098" i="2"/>
  <c r="AH1003" i="2"/>
  <c r="AH1041" i="2"/>
  <c r="AH1031" i="2"/>
  <c r="AH1015" i="2"/>
  <c r="AH976" i="2"/>
  <c r="AH1110" i="2"/>
  <c r="AH1059" i="2"/>
  <c r="AH1062" i="2"/>
  <c r="AH1055" i="2"/>
  <c r="AH972" i="2"/>
  <c r="AH1080" i="2"/>
  <c r="AH1063" i="2"/>
  <c r="AH986" i="2"/>
  <c r="AH1090" i="2"/>
  <c r="AH979" i="2"/>
  <c r="AH1058" i="2"/>
  <c r="AH1067" i="2"/>
  <c r="AH1051" i="2"/>
  <c r="AH1040" i="2"/>
  <c r="AC720" i="2"/>
  <c r="T28" i="2"/>
  <c r="AH774" i="2"/>
  <c r="W869" i="2"/>
  <c r="W31" i="2" s="1"/>
  <c r="V31" i="2"/>
  <c r="AH494" i="2"/>
  <c r="AE494" i="2"/>
  <c r="AB494" i="2"/>
  <c r="AE493" i="2"/>
  <c r="S25" i="2"/>
  <c r="AH499" i="2"/>
  <c r="AH563" i="2"/>
  <c r="AH557" i="2"/>
  <c r="AH542" i="2"/>
  <c r="AH559" i="2"/>
  <c r="AH539" i="2"/>
  <c r="AH517" i="2"/>
  <c r="AH554" i="2"/>
  <c r="AH551" i="2"/>
  <c r="AH553" i="2"/>
  <c r="AH500" i="2"/>
  <c r="AH548" i="2"/>
  <c r="AH521" i="2"/>
  <c r="AH527" i="2"/>
  <c r="AH523" i="2"/>
  <c r="AH514" i="2"/>
  <c r="AH536" i="2"/>
  <c r="AH533" i="2"/>
  <c r="AH547" i="2"/>
  <c r="AH524" i="2"/>
  <c r="AH556" i="2"/>
  <c r="AH497" i="2"/>
  <c r="AH560" i="2"/>
  <c r="AH495" i="2"/>
  <c r="AH568" i="2"/>
  <c r="AH530" i="2"/>
  <c r="AH503" i="2"/>
  <c r="AH496" i="2"/>
  <c r="AH550" i="2"/>
  <c r="AH526" i="2"/>
  <c r="AH509" i="2"/>
  <c r="AH510" i="2"/>
  <c r="AH545" i="2"/>
  <c r="AH541" i="2"/>
  <c r="AH511" i="2"/>
  <c r="AH544" i="2"/>
  <c r="AH498" i="2"/>
  <c r="AH538" i="2"/>
  <c r="AH512" i="2"/>
  <c r="AH520" i="2"/>
  <c r="AH505" i="2"/>
  <c r="AH532" i="2"/>
  <c r="AH507" i="2"/>
  <c r="AH504" i="2"/>
  <c r="AH501" i="2"/>
  <c r="AH565" i="2"/>
  <c r="AH506" i="2"/>
  <c r="AH502" i="2"/>
  <c r="AH508" i="2"/>
  <c r="AE272" i="2"/>
  <c r="AB272" i="2" s="1"/>
  <c r="AH333" i="2"/>
  <c r="AH658" i="2"/>
  <c r="AC199" i="2"/>
  <c r="AH569" i="2"/>
  <c r="AC273" i="2"/>
  <c r="AH37" i="2"/>
  <c r="B37" i="2"/>
  <c r="AH1196" i="2"/>
  <c r="AE1196" i="2"/>
  <c r="AE1195" i="2"/>
  <c r="AB1196" i="2"/>
  <c r="S35" i="2"/>
  <c r="AH1209" i="2"/>
  <c r="AH1215" i="2"/>
  <c r="AH1216" i="2"/>
  <c r="AH1225" i="2"/>
  <c r="AH1224" i="2"/>
  <c r="AH1203" i="2"/>
  <c r="AH1199" i="2"/>
  <c r="AH1211" i="2"/>
  <c r="AH1198" i="2"/>
  <c r="AH1220" i="2"/>
  <c r="AH1222" i="2"/>
  <c r="AH1219" i="2"/>
  <c r="AH1204" i="2"/>
  <c r="AH1197" i="2"/>
  <c r="AH1212" i="2"/>
  <c r="AH1218" i="2"/>
  <c r="AH1221" i="2"/>
  <c r="AH1205" i="2"/>
  <c r="AH1208" i="2"/>
  <c r="AH1223" i="2"/>
  <c r="AH1214" i="2"/>
  <c r="AH1206" i="2"/>
  <c r="AH1201" i="2"/>
  <c r="AH1213" i="2"/>
  <c r="AH1202" i="2"/>
  <c r="AH1210" i="2"/>
  <c r="AH1200" i="2"/>
  <c r="AH1207" i="2"/>
  <c r="AH866" i="2"/>
  <c r="W835" i="2"/>
  <c r="W30" i="2" s="1"/>
  <c r="V30" i="2"/>
  <c r="W494" i="2"/>
  <c r="W25" i="2" s="1"/>
  <c r="V25" i="2"/>
  <c r="W279" i="2"/>
  <c r="W21" i="2" s="1"/>
  <c r="V21" i="2"/>
  <c r="AH1217" i="2"/>
  <c r="AH736" i="2"/>
  <c r="W1118" i="2"/>
  <c r="W34" i="2" s="1"/>
  <c r="V34" i="2"/>
  <c r="AC1118" i="2"/>
  <c r="T34" i="2"/>
  <c r="AC477" i="2"/>
  <c r="AH917" i="2"/>
  <c r="AB917" i="2"/>
  <c r="AE916" i="2"/>
  <c r="AE917" i="2"/>
  <c r="S32" i="2"/>
  <c r="D115" i="4" s="1"/>
  <c r="AH36" i="2"/>
  <c r="AH742" i="2"/>
  <c r="AH515" i="2"/>
  <c r="S204" i="2"/>
  <c r="M706" i="44" l="1"/>
  <c r="L706" i="44"/>
  <c r="AI706" i="44"/>
  <c r="S706" i="44"/>
  <c r="V706" i="44"/>
  <c r="W706" i="44" s="1"/>
  <c r="T706" i="44"/>
  <c r="AC706" i="44" s="1"/>
  <c r="AE702" i="44"/>
  <c r="AC702" i="44" s="1"/>
  <c r="AB702" i="44"/>
  <c r="AE103" i="2"/>
  <c r="AB103" i="2"/>
  <c r="M109" i="2"/>
  <c r="L109" i="2"/>
  <c r="AI109" i="2"/>
  <c r="V109" i="2"/>
  <c r="W109" i="2" s="1"/>
  <c r="S109" i="2"/>
  <c r="T109" i="2"/>
  <c r="A62" i="44"/>
  <c r="A63" i="44" s="1"/>
  <c r="A64" i="44" s="1"/>
  <c r="V62" i="44"/>
  <c r="M62" i="44"/>
  <c r="L62" i="44"/>
  <c r="T62" i="44"/>
  <c r="S62" i="44"/>
  <c r="AE696" i="44"/>
  <c r="AB696" i="44" s="1"/>
  <c r="AE695" i="44"/>
  <c r="V706" i="2"/>
  <c r="W706" i="2" s="1"/>
  <c r="M706" i="2"/>
  <c r="L706" i="2"/>
  <c r="AI706" i="2"/>
  <c r="S706" i="2"/>
  <c r="T706" i="2"/>
  <c r="M109" i="44"/>
  <c r="L109" i="44"/>
  <c r="AI109" i="44"/>
  <c r="V109" i="44"/>
  <c r="W109" i="44" s="1"/>
  <c r="T109" i="44"/>
  <c r="S109" i="44"/>
  <c r="M62" i="2"/>
  <c r="V62" i="2"/>
  <c r="L62" i="2"/>
  <c r="A62" i="2"/>
  <c r="A63" i="2" s="1"/>
  <c r="A64" i="2" s="1"/>
  <c r="A65" i="2" s="1"/>
  <c r="A66" i="2" s="1"/>
  <c r="A67" i="2" s="1"/>
  <c r="A68" i="2" s="1"/>
  <c r="A69" i="2" s="1"/>
  <c r="A70" i="2" s="1"/>
  <c r="A71" i="2" s="1"/>
  <c r="T62" i="2"/>
  <c r="S62" i="2"/>
  <c r="V684" i="44"/>
  <c r="W684" i="44" s="1"/>
  <c r="AI684" i="44"/>
  <c r="M684" i="44"/>
  <c r="T684" i="44"/>
  <c r="AC684" i="44" s="1"/>
  <c r="S684" i="44"/>
  <c r="L684" i="44"/>
  <c r="AI705" i="2"/>
  <c r="L705" i="2"/>
  <c r="V705" i="2"/>
  <c r="W705" i="2" s="1"/>
  <c r="T705" i="2"/>
  <c r="AC705" i="2" s="1"/>
  <c r="M705" i="2"/>
  <c r="S705" i="2"/>
  <c r="L671" i="2"/>
  <c r="L27" i="2" s="1"/>
  <c r="V671" i="2"/>
  <c r="M671" i="2"/>
  <c r="M27" i="2" s="1"/>
  <c r="K27" i="2"/>
  <c r="C35" i="11" s="1"/>
  <c r="C36" i="11" s="1"/>
  <c r="T671" i="2"/>
  <c r="S671" i="2"/>
  <c r="J111" i="23"/>
  <c r="K718" i="2"/>
  <c r="K717" i="44"/>
  <c r="K717" i="2"/>
  <c r="K718" i="44"/>
  <c r="M715" i="2"/>
  <c r="V715" i="2"/>
  <c r="W715" i="2" s="1"/>
  <c r="T715" i="2"/>
  <c r="L715" i="2"/>
  <c r="AI715" i="2"/>
  <c r="S715" i="2"/>
  <c r="S691" i="44"/>
  <c r="M691" i="44"/>
  <c r="L691" i="44"/>
  <c r="T691" i="44"/>
  <c r="AC691" i="44" s="1"/>
  <c r="V691" i="44"/>
  <c r="W691" i="44" s="1"/>
  <c r="AI691" i="44"/>
  <c r="V65" i="2"/>
  <c r="W65" i="2" s="1"/>
  <c r="M65" i="2"/>
  <c r="L65" i="2"/>
  <c r="C60" i="42"/>
  <c r="C60" i="4"/>
  <c r="S65" i="2"/>
  <c r="T65" i="2"/>
  <c r="L685" i="44"/>
  <c r="V685" i="44"/>
  <c r="W685" i="44" s="1"/>
  <c r="S685" i="44"/>
  <c r="T685" i="44"/>
  <c r="AI685" i="44"/>
  <c r="M685" i="44"/>
  <c r="V705" i="44"/>
  <c r="W705" i="44" s="1"/>
  <c r="M705" i="44"/>
  <c r="S705" i="44"/>
  <c r="T705" i="44"/>
  <c r="AC705" i="44" s="1"/>
  <c r="L705" i="44"/>
  <c r="AI705" i="44"/>
  <c r="T110" i="2"/>
  <c r="AC110" i="2" s="1"/>
  <c r="M110" i="2"/>
  <c r="V110" i="2"/>
  <c r="W110" i="2" s="1"/>
  <c r="S110" i="2"/>
  <c r="L110" i="2"/>
  <c r="AI110" i="2"/>
  <c r="T714" i="44"/>
  <c r="AC714" i="44" s="1"/>
  <c r="AI714" i="44"/>
  <c r="M714" i="44"/>
  <c r="V714" i="44"/>
  <c r="W714" i="44" s="1"/>
  <c r="S714" i="44"/>
  <c r="L714" i="44"/>
  <c r="V691" i="2"/>
  <c r="W691" i="2" s="1"/>
  <c r="T691" i="2"/>
  <c r="AC691" i="2" s="1"/>
  <c r="AI691" i="2"/>
  <c r="L691" i="2"/>
  <c r="M691" i="2"/>
  <c r="S691" i="2"/>
  <c r="V65" i="44"/>
  <c r="W65" i="44" s="1"/>
  <c r="L65" i="44"/>
  <c r="A65" i="44"/>
  <c r="A66" i="44" s="1"/>
  <c r="A67" i="44" s="1"/>
  <c r="A68" i="44" s="1"/>
  <c r="A69" i="44" s="1"/>
  <c r="A70" i="44" s="1"/>
  <c r="A71" i="44" s="1"/>
  <c r="M65" i="44"/>
  <c r="S65" i="44"/>
  <c r="T65" i="44"/>
  <c r="L685" i="2"/>
  <c r="AI685" i="2"/>
  <c r="V685" i="2"/>
  <c r="W685" i="2" s="1"/>
  <c r="M685" i="2"/>
  <c r="S685" i="2"/>
  <c r="T685" i="2"/>
  <c r="M715" i="44"/>
  <c r="V715" i="44"/>
  <c r="W715" i="44" s="1"/>
  <c r="T715" i="44"/>
  <c r="S715" i="44"/>
  <c r="L715" i="44"/>
  <c r="AI715" i="44"/>
  <c r="AE702" i="2"/>
  <c r="AB702" i="2" s="1"/>
  <c r="AE701" i="2"/>
  <c r="M690" i="44"/>
  <c r="L690" i="44"/>
  <c r="AI690" i="44"/>
  <c r="T690" i="44"/>
  <c r="AC690" i="44" s="1"/>
  <c r="V690" i="44"/>
  <c r="W690" i="44" s="1"/>
  <c r="S690" i="44"/>
  <c r="AE695" i="2"/>
  <c r="AE696" i="2"/>
  <c r="AB696" i="2" s="1"/>
  <c r="V684" i="2"/>
  <c r="W684" i="2" s="1"/>
  <c r="M684" i="2"/>
  <c r="L684" i="2"/>
  <c r="T684" i="2"/>
  <c r="AC684" i="2" s="1"/>
  <c r="AI684" i="2"/>
  <c r="S684" i="2"/>
  <c r="J105" i="23"/>
  <c r="K699" i="44"/>
  <c r="K700" i="44"/>
  <c r="K699" i="2"/>
  <c r="K700" i="2"/>
  <c r="S714" i="2"/>
  <c r="M714" i="2"/>
  <c r="AI714" i="2"/>
  <c r="V714" i="2"/>
  <c r="W714" i="2" s="1"/>
  <c r="T714" i="2"/>
  <c r="AC714" i="2" s="1"/>
  <c r="L714" i="2"/>
  <c r="AI690" i="2"/>
  <c r="V690" i="2"/>
  <c r="W690" i="2" s="1"/>
  <c r="L690" i="2"/>
  <c r="M690" i="2"/>
  <c r="S690" i="2"/>
  <c r="T690" i="2"/>
  <c r="AC690" i="2" s="1"/>
  <c r="J100" i="23"/>
  <c r="K688" i="2"/>
  <c r="K687" i="2"/>
  <c r="K687" i="44"/>
  <c r="K688" i="44"/>
  <c r="M694" i="2"/>
  <c r="AI694" i="2"/>
  <c r="L694" i="2"/>
  <c r="V694" i="2"/>
  <c r="W694" i="2" s="1"/>
  <c r="S694" i="2"/>
  <c r="T694" i="2"/>
  <c r="AE701" i="44"/>
  <c r="AE703" i="44"/>
  <c r="AC703" i="44" s="1"/>
  <c r="AE707" i="44"/>
  <c r="AE708" i="44"/>
  <c r="AC708" i="44" s="1"/>
  <c r="AB708" i="44"/>
  <c r="S110" i="44"/>
  <c r="M110" i="44"/>
  <c r="AI110" i="44"/>
  <c r="T110" i="44"/>
  <c r="L110" i="44"/>
  <c r="V110" i="44"/>
  <c r="W110" i="44" s="1"/>
  <c r="L694" i="44"/>
  <c r="AI694" i="44"/>
  <c r="V694" i="44"/>
  <c r="W694" i="44" s="1"/>
  <c r="T694" i="44"/>
  <c r="S694" i="44"/>
  <c r="M694" i="44"/>
  <c r="L64" i="44"/>
  <c r="V64" i="44"/>
  <c r="W64" i="44" s="1"/>
  <c r="M64" i="44"/>
  <c r="T64" i="44"/>
  <c r="S64" i="44"/>
  <c r="AE708" i="2"/>
  <c r="AC708" i="2" s="1"/>
  <c r="AE707" i="2"/>
  <c r="AB708" i="2"/>
  <c r="M693" i="2"/>
  <c r="V693" i="2"/>
  <c r="W693" i="2" s="1"/>
  <c r="AI693" i="2"/>
  <c r="L693" i="2"/>
  <c r="T693" i="2"/>
  <c r="S693" i="2"/>
  <c r="AE103" i="44"/>
  <c r="AC103" i="44" s="1"/>
  <c r="AB103" i="44"/>
  <c r="V693" i="44"/>
  <c r="W693" i="44" s="1"/>
  <c r="M693" i="44"/>
  <c r="L693" i="44"/>
  <c r="AI693" i="44"/>
  <c r="S693" i="44"/>
  <c r="T693" i="44"/>
  <c r="L64" i="2"/>
  <c r="C59" i="42"/>
  <c r="M64" i="2"/>
  <c r="S64" i="2"/>
  <c r="V64" i="2"/>
  <c r="W64" i="2" s="1"/>
  <c r="C59" i="4"/>
  <c r="T64" i="2"/>
  <c r="K27" i="44"/>
  <c r="S671" i="44"/>
  <c r="L671" i="44"/>
  <c r="L27" i="44" s="1"/>
  <c r="T671" i="44"/>
  <c r="V671" i="44"/>
  <c r="M671" i="44"/>
  <c r="M27" i="44" s="1"/>
  <c r="AE703" i="2"/>
  <c r="AB703" i="2" s="1"/>
  <c r="K81" i="2"/>
  <c r="K81" i="44"/>
  <c r="Z8" i="17"/>
  <c r="Z82" i="17"/>
  <c r="AB8" i="17"/>
  <c r="AB82" i="17"/>
  <c r="X8" i="17"/>
  <c r="X82" i="17"/>
  <c r="AC8" i="17"/>
  <c r="AC82" i="17"/>
  <c r="S49" i="20"/>
  <c r="S81" i="20" s="1"/>
  <c r="S50" i="20"/>
  <c r="S68" i="20" s="1"/>
  <c r="S89" i="20" s="1"/>
  <c r="S51" i="20"/>
  <c r="S76" i="20" s="1"/>
  <c r="S97" i="20" s="1"/>
  <c r="T8" i="17"/>
  <c r="T9" i="17" s="1"/>
  <c r="T10" i="17" s="1"/>
  <c r="T11" i="17" s="1"/>
  <c r="T82" i="17"/>
  <c r="AD9" i="17"/>
  <c r="AD10" i="17" s="1"/>
  <c r="AD11" i="17" s="1"/>
  <c r="P164" i="18"/>
  <c r="P154" i="18" s="1"/>
  <c r="S36" i="20"/>
  <c r="S39" i="20"/>
  <c r="S35" i="20"/>
  <c r="S66" i="20" s="1"/>
  <c r="S40" i="20"/>
  <c r="P163" i="18"/>
  <c r="P153" i="18" s="1"/>
  <c r="V8" i="17"/>
  <c r="V82" i="17"/>
  <c r="Y8" i="17"/>
  <c r="Y82" i="17"/>
  <c r="S55" i="20"/>
  <c r="S57" i="20"/>
  <c r="S53" i="20"/>
  <c r="V8" i="20"/>
  <c r="G47" i="20"/>
  <c r="G32" i="20"/>
  <c r="AE9" i="17"/>
  <c r="AE10" i="17"/>
  <c r="AE11" i="17" s="1"/>
  <c r="S29" i="20"/>
  <c r="S69" i="20" s="1"/>
  <c r="S90" i="20" s="1"/>
  <c r="S20" i="20"/>
  <c r="S30" i="20"/>
  <c r="S71" i="20" s="1"/>
  <c r="S92" i="20" s="1"/>
  <c r="S31" i="20"/>
  <c r="S72" i="20" s="1"/>
  <c r="S93" i="20" s="1"/>
  <c r="S27" i="20"/>
  <c r="S63" i="20" s="1"/>
  <c r="S85" i="20" s="1"/>
  <c r="S28" i="20"/>
  <c r="S70" i="20" s="1"/>
  <c r="S91" i="20" s="1"/>
  <c r="P165" i="18"/>
  <c r="P155" i="18" s="1"/>
  <c r="U8" i="17"/>
  <c r="U9" i="17" s="1"/>
  <c r="U10" i="17" s="1"/>
  <c r="U11" i="17" s="1"/>
  <c r="U82" i="17"/>
  <c r="W8" i="17"/>
  <c r="W9" i="17" s="1"/>
  <c r="W10" i="17" s="1"/>
  <c r="W11" i="17" s="1"/>
  <c r="W82" i="17"/>
  <c r="H11" i="20"/>
  <c r="V9" i="20"/>
  <c r="R165" i="18"/>
  <c r="R155" i="18" s="1"/>
  <c r="AA8" i="17"/>
  <c r="AA82" i="17"/>
  <c r="T20" i="44"/>
  <c r="AC274" i="44"/>
  <c r="A745" i="44"/>
  <c r="AE29" i="44"/>
  <c r="A835" i="44"/>
  <c r="AE30" i="44"/>
  <c r="AH31" i="44"/>
  <c r="B31" i="44"/>
  <c r="A279" i="44"/>
  <c r="AE21" i="44"/>
  <c r="A1231" i="44"/>
  <c r="A1232" i="44" s="1"/>
  <c r="A1233" i="44" s="1"/>
  <c r="A1234" i="44" s="1"/>
  <c r="A1235" i="44" s="1"/>
  <c r="A1236" i="44" s="1"/>
  <c r="A1237" i="44" s="1"/>
  <c r="A1238" i="44" s="1"/>
  <c r="A1239" i="44" s="1"/>
  <c r="A1240" i="44" s="1"/>
  <c r="A1241" i="44" s="1"/>
  <c r="A1242" i="44" s="1"/>
  <c r="A1243" i="44" s="1"/>
  <c r="A1244" i="44" s="1"/>
  <c r="A1245" i="44" s="1"/>
  <c r="A1246" i="44" s="1"/>
  <c r="A1247" i="44" s="1"/>
  <c r="A1248" i="44" s="1"/>
  <c r="A1249" i="44" s="1"/>
  <c r="A1250" i="44" s="1"/>
  <c r="A1251" i="44" s="1"/>
  <c r="A1252" i="44" s="1"/>
  <c r="A1253" i="44" s="1"/>
  <c r="A1254" i="44" s="1"/>
  <c r="A1255" i="44" s="1"/>
  <c r="A1256" i="44" s="1"/>
  <c r="A1257" i="44" s="1"/>
  <c r="A1258" i="44" s="1"/>
  <c r="A1259" i="44" s="1"/>
  <c r="A1260" i="44" s="1"/>
  <c r="A1261" i="44" s="1"/>
  <c r="A1262" i="44" s="1"/>
  <c r="A1263" i="44" s="1"/>
  <c r="A1264" i="44" s="1"/>
  <c r="A1265" i="44" s="1"/>
  <c r="A1266" i="44" s="1"/>
  <c r="A1267" i="44" s="1"/>
  <c r="A1268" i="44" s="1"/>
  <c r="Q1230" i="44"/>
  <c r="O1230" i="44"/>
  <c r="B28" i="44"/>
  <c r="AH28" i="44"/>
  <c r="A118" i="44"/>
  <c r="AE19" i="44"/>
  <c r="A917" i="44"/>
  <c r="AE32" i="44"/>
  <c r="A1118" i="44"/>
  <c r="AE34" i="44"/>
  <c r="B25" i="44"/>
  <c r="AH25" i="44"/>
  <c r="A1196" i="44"/>
  <c r="AE35" i="44"/>
  <c r="AH301" i="44"/>
  <c r="AE204" i="44"/>
  <c r="AE203" i="44"/>
  <c r="AH204" i="44"/>
  <c r="AB204" i="44"/>
  <c r="S20" i="44"/>
  <c r="AH217" i="44"/>
  <c r="AH231" i="44"/>
  <c r="AH239" i="44"/>
  <c r="AH283" i="44"/>
  <c r="AH313" i="44"/>
  <c r="AH209" i="44"/>
  <c r="AH208" i="44"/>
  <c r="AH250" i="44"/>
  <c r="AH226" i="44"/>
  <c r="AH224" i="44"/>
  <c r="AH322" i="44"/>
  <c r="AH291" i="44"/>
  <c r="AH220" i="44"/>
  <c r="AH247" i="44"/>
  <c r="AH235" i="44"/>
  <c r="AH296" i="44"/>
  <c r="AH288" i="44"/>
  <c r="AH232" i="44"/>
  <c r="AH314" i="44"/>
  <c r="AH249" i="44"/>
  <c r="AH221" i="44"/>
  <c r="AH310" i="44"/>
  <c r="AH309" i="44"/>
  <c r="AH228" i="44"/>
  <c r="AH216" i="44"/>
  <c r="AH253" i="44"/>
  <c r="AH213" i="44"/>
  <c r="AH245" i="44"/>
  <c r="AH219" i="44"/>
  <c r="AH294" i="44"/>
  <c r="AH321" i="44"/>
  <c r="AH218" i="44"/>
  <c r="AH293" i="44"/>
  <c r="AH248" i="44"/>
  <c r="AH225" i="44"/>
  <c r="AH246" i="44"/>
  <c r="AH317" i="44"/>
  <c r="AH285" i="44"/>
  <c r="AH299" i="44"/>
  <c r="AH305" i="44"/>
  <c r="AH303" i="44"/>
  <c r="AH286" i="44"/>
  <c r="AH258" i="44"/>
  <c r="AH223" i="44"/>
  <c r="AH227" i="44"/>
  <c r="AH252" i="44"/>
  <c r="AH318" i="44"/>
  <c r="AH320" i="44"/>
  <c r="AH210" i="44"/>
  <c r="AH280" i="44"/>
  <c r="AH214" i="44"/>
  <c r="AH262" i="44"/>
  <c r="AH298" i="44"/>
  <c r="AH211" i="44"/>
  <c r="AH297" i="44"/>
  <c r="AH302" i="44"/>
  <c r="AH240" i="44"/>
  <c r="AH244" i="44"/>
  <c r="AH238" i="44"/>
  <c r="AH300" i="44"/>
  <c r="AH307" i="44"/>
  <c r="AH306" i="44"/>
  <c r="AH319" i="44"/>
  <c r="AH215" i="44"/>
  <c r="AH323" i="44"/>
  <c r="AH241" i="44"/>
  <c r="AH290" i="44"/>
  <c r="AH242" i="44"/>
  <c r="AH229" i="44"/>
  <c r="AH251" i="44"/>
  <c r="AH292" i="44"/>
  <c r="AH304" i="44"/>
  <c r="AH289" i="44"/>
  <c r="AH222" i="44"/>
  <c r="AH207" i="44"/>
  <c r="AH212" i="44"/>
  <c r="AH282" i="44"/>
  <c r="AH329" i="44"/>
  <c r="AH206" i="44"/>
  <c r="AH259" i="44"/>
  <c r="AH328" i="44"/>
  <c r="AH281" i="44"/>
  <c r="AH308" i="44"/>
  <c r="AH237" i="44"/>
  <c r="AH205" i="44"/>
  <c r="AH236" i="44"/>
  <c r="AH284" i="44"/>
  <c r="AH234" i="44"/>
  <c r="AH295" i="44"/>
  <c r="AH260" i="44"/>
  <c r="AH254" i="44"/>
  <c r="AH243" i="44"/>
  <c r="AH312" i="44"/>
  <c r="AH287" i="44"/>
  <c r="AH315" i="44"/>
  <c r="AH316" i="44"/>
  <c r="AH256" i="44"/>
  <c r="AH311" i="44"/>
  <c r="AH255" i="44"/>
  <c r="AH257" i="44"/>
  <c r="AH263" i="44"/>
  <c r="AH261" i="44"/>
  <c r="AH279" i="44"/>
  <c r="AH233" i="44"/>
  <c r="AH230" i="44"/>
  <c r="A961" i="44"/>
  <c r="AE33" i="44"/>
  <c r="A331" i="44"/>
  <c r="AE22" i="44"/>
  <c r="A351" i="44"/>
  <c r="AE23" i="44"/>
  <c r="AH24" i="44"/>
  <c r="B24" i="44"/>
  <c r="A149" i="42"/>
  <c r="A51" i="42"/>
  <c r="A58" i="42"/>
  <c r="H25" i="17"/>
  <c r="H26" i="17"/>
  <c r="H98" i="17"/>
  <c r="H104" i="17"/>
  <c r="H99" i="17"/>
  <c r="O164" i="18"/>
  <c r="O154" i="18" s="1"/>
  <c r="I113" i="17"/>
  <c r="I124" i="17"/>
  <c r="I135" i="17" s="1"/>
  <c r="I123" i="17"/>
  <c r="I134" i="17" s="1"/>
  <c r="I31" i="17"/>
  <c r="I125" i="17"/>
  <c r="I136" i="17" s="1"/>
  <c r="I13" i="17"/>
  <c r="I20" i="17" s="1"/>
  <c r="I88" i="17"/>
  <c r="I87" i="17" s="1"/>
  <c r="I97" i="17"/>
  <c r="P124" i="17"/>
  <c r="P135" i="17" s="1"/>
  <c r="P125" i="17"/>
  <c r="P136" i="17" s="1"/>
  <c r="P123" i="17"/>
  <c r="P134" i="17" s="1"/>
  <c r="P113" i="17"/>
  <c r="P31" i="17"/>
  <c r="P13" i="17"/>
  <c r="P20" i="17" s="1"/>
  <c r="P88" i="17"/>
  <c r="P87" i="17" s="1"/>
  <c r="P17" i="17"/>
  <c r="P18" i="17" s="1"/>
  <c r="P24" i="17" s="1"/>
  <c r="P97" i="17"/>
  <c r="F161" i="18"/>
  <c r="AJ84" i="18"/>
  <c r="F68" i="18"/>
  <c r="P32" i="20"/>
  <c r="Q13" i="17"/>
  <c r="Q20" i="17" s="1"/>
  <c r="Q88" i="17"/>
  <c r="Q87" i="17" s="1"/>
  <c r="Q125" i="17"/>
  <c r="Q136" i="17" s="1"/>
  <c r="Q124" i="17"/>
  <c r="Q135" i="17" s="1"/>
  <c r="Q31" i="17"/>
  <c r="Q113" i="17"/>
  <c r="Q123" i="17"/>
  <c r="Q134" i="17" s="1"/>
  <c r="Q17" i="17"/>
  <c r="Q18" i="17" s="1"/>
  <c r="Q24" i="17" s="1"/>
  <c r="P50" i="20"/>
  <c r="P68" i="20" s="1"/>
  <c r="P89" i="20" s="1"/>
  <c r="P51" i="20"/>
  <c r="P76" i="20" s="1"/>
  <c r="P97" i="20" s="1"/>
  <c r="P49" i="20"/>
  <c r="P81" i="20" s="1"/>
  <c r="G123" i="17"/>
  <c r="G134" i="17" s="1"/>
  <c r="G125" i="17"/>
  <c r="G136" i="17" s="1"/>
  <c r="G31" i="17"/>
  <c r="G13" i="17"/>
  <c r="G20" i="17" s="1"/>
  <c r="G88" i="17"/>
  <c r="G87" i="17" s="1"/>
  <c r="G124" i="17"/>
  <c r="G135" i="17" s="1"/>
  <c r="G17" i="17"/>
  <c r="G18" i="17" s="1"/>
  <c r="G24" i="17" s="1"/>
  <c r="G113" i="17"/>
  <c r="AJ211" i="17"/>
  <c r="I165" i="18"/>
  <c r="I155" i="18" s="1"/>
  <c r="G166" i="18"/>
  <c r="G156" i="18" s="1"/>
  <c r="Q166" i="18"/>
  <c r="Q156" i="18" s="1"/>
  <c r="J47" i="20"/>
  <c r="Q51" i="20"/>
  <c r="Q76" i="20" s="1"/>
  <c r="Q97" i="20" s="1"/>
  <c r="Q49" i="20"/>
  <c r="Q81" i="20" s="1"/>
  <c r="Q50" i="20"/>
  <c r="Q68" i="20" s="1"/>
  <c r="Q89" i="20" s="1"/>
  <c r="J5" i="20"/>
  <c r="J2" i="20"/>
  <c r="J46" i="20"/>
  <c r="J83" i="20" s="1"/>
  <c r="J100" i="20" s="1"/>
  <c r="J15" i="20"/>
  <c r="J16" i="20" s="1"/>
  <c r="J62" i="20" s="1"/>
  <c r="J84" i="20" s="1"/>
  <c r="J3" i="20"/>
  <c r="J18" i="20"/>
  <c r="J4" i="20"/>
  <c r="J33" i="20"/>
  <c r="J79" i="20" s="1"/>
  <c r="J38" i="20"/>
  <c r="O124" i="17"/>
  <c r="O135" i="17" s="1"/>
  <c r="O123" i="17"/>
  <c r="O134" i="17" s="1"/>
  <c r="O31" i="17"/>
  <c r="O88" i="17"/>
  <c r="O87" i="17" s="1"/>
  <c r="O13" i="17"/>
  <c r="O20" i="17" s="1"/>
  <c r="O125" i="17"/>
  <c r="O136" i="17" s="1"/>
  <c r="O113" i="17"/>
  <c r="Q38" i="20"/>
  <c r="Q2" i="20"/>
  <c r="Q3" i="20"/>
  <c r="Q4" i="20"/>
  <c r="Q33" i="20"/>
  <c r="Q79" i="20" s="1"/>
  <c r="Q18" i="20"/>
  <c r="Q15" i="20"/>
  <c r="Q16" i="20" s="1"/>
  <c r="Q62" i="20" s="1"/>
  <c r="Q84" i="20" s="1"/>
  <c r="Q5" i="20"/>
  <c r="Q46" i="20"/>
  <c r="Q83" i="20" s="1"/>
  <c r="Q100" i="20" s="1"/>
  <c r="H115" i="17"/>
  <c r="H109" i="17"/>
  <c r="H110" i="17" s="1"/>
  <c r="H114" i="17"/>
  <c r="I50" i="20"/>
  <c r="I49" i="20"/>
  <c r="I51" i="20"/>
  <c r="R125" i="17"/>
  <c r="R136" i="17" s="1"/>
  <c r="R123" i="17"/>
  <c r="R134" i="17" s="1"/>
  <c r="R31" i="17"/>
  <c r="R13" i="17"/>
  <c r="R20" i="17" s="1"/>
  <c r="R113" i="17"/>
  <c r="R17" i="17"/>
  <c r="R18" i="17" s="1"/>
  <c r="R24" i="17" s="1"/>
  <c r="R88" i="17"/>
  <c r="R87" i="17" s="1"/>
  <c r="R124" i="17"/>
  <c r="R135" i="17" s="1"/>
  <c r="R97" i="17"/>
  <c r="F9" i="17"/>
  <c r="F10" i="17"/>
  <c r="F8" i="18"/>
  <c r="V48" i="20"/>
  <c r="R8" i="18"/>
  <c r="I17" i="17"/>
  <c r="I18" i="17" s="1"/>
  <c r="I24" i="17" s="1"/>
  <c r="I25" i="17" s="1"/>
  <c r="I26" i="17" s="1"/>
  <c r="I27" i="17" s="1"/>
  <c r="I32" i="20"/>
  <c r="V14" i="20"/>
  <c r="H163" i="18"/>
  <c r="H153" i="18" s="1"/>
  <c r="R164" i="18"/>
  <c r="R154" i="18" s="1"/>
  <c r="H57" i="17"/>
  <c r="H69" i="17" s="1"/>
  <c r="H56" i="17"/>
  <c r="H68" i="17" s="1"/>
  <c r="H42" i="17"/>
  <c r="H21" i="17"/>
  <c r="H22" i="17" s="1"/>
  <c r="V41" i="20"/>
  <c r="Q164" i="18"/>
  <c r="Q154" i="18" s="1"/>
  <c r="O168" i="18"/>
  <c r="O158" i="18" s="1"/>
  <c r="F163" i="17"/>
  <c r="AJ162" i="17"/>
  <c r="Q163" i="18"/>
  <c r="Q153" i="18" s="1"/>
  <c r="F172" i="18"/>
  <c r="F162" i="18" s="1"/>
  <c r="AJ162" i="18" s="1"/>
  <c r="O163" i="18"/>
  <c r="O153" i="18" s="1"/>
  <c r="H32" i="17"/>
  <c r="H34" i="17" s="1"/>
  <c r="H33" i="17"/>
  <c r="O165" i="18"/>
  <c r="O155" i="18" s="1"/>
  <c r="AJ37" i="16"/>
  <c r="F38" i="16"/>
  <c r="AC275" i="2"/>
  <c r="K111" i="4"/>
  <c r="K113" i="4" s="1"/>
  <c r="J111" i="4"/>
  <c r="J113" i="4" s="1"/>
  <c r="AL111" i="4"/>
  <c r="AL113" i="4" s="1"/>
  <c r="AK111" i="4"/>
  <c r="AK113" i="4" s="1"/>
  <c r="N111" i="4"/>
  <c r="N113" i="4" s="1"/>
  <c r="AD111" i="4"/>
  <c r="AD113" i="4" s="1"/>
  <c r="AC111" i="4"/>
  <c r="AC113" i="4" s="1"/>
  <c r="AA111" i="4"/>
  <c r="AA113" i="4" s="1"/>
  <c r="R111" i="4"/>
  <c r="R113" i="4" s="1"/>
  <c r="Q111" i="4"/>
  <c r="Q113" i="4" s="1"/>
  <c r="M111" i="4"/>
  <c r="M113" i="4" s="1"/>
  <c r="L111" i="4"/>
  <c r="L113" i="4" s="1"/>
  <c r="X111" i="4"/>
  <c r="X113" i="4" s="1"/>
  <c r="AI111" i="4"/>
  <c r="AI113" i="4" s="1"/>
  <c r="AH111" i="4"/>
  <c r="AH113" i="4" s="1"/>
  <c r="P111" i="4"/>
  <c r="P113" i="4" s="1"/>
  <c r="AB111" i="4"/>
  <c r="AB113" i="4" s="1"/>
  <c r="AE111" i="4"/>
  <c r="AE113" i="4" s="1"/>
  <c r="AJ111" i="4"/>
  <c r="AJ113" i="4" s="1"/>
  <c r="O111" i="4"/>
  <c r="O113" i="4" s="1"/>
  <c r="W111" i="4"/>
  <c r="W113" i="4" s="1"/>
  <c r="AO111" i="4"/>
  <c r="AO113" i="4" s="1"/>
  <c r="AF111" i="4"/>
  <c r="AF113" i="4" s="1"/>
  <c r="AQ111" i="4"/>
  <c r="AQ113" i="4" s="1"/>
  <c r="V111" i="4"/>
  <c r="V113" i="4" s="1"/>
  <c r="Z111" i="4"/>
  <c r="Z113" i="4" s="1"/>
  <c r="AN111" i="4"/>
  <c r="AN113" i="4" s="1"/>
  <c r="U111" i="4"/>
  <c r="U113" i="4" s="1"/>
  <c r="S111" i="4"/>
  <c r="S113" i="4" s="1"/>
  <c r="AP111" i="4"/>
  <c r="AP113" i="4" s="1"/>
  <c r="AG111" i="4"/>
  <c r="AG113" i="4" s="1"/>
  <c r="Y111" i="4"/>
  <c r="Y113" i="4" s="1"/>
  <c r="H111" i="4"/>
  <c r="H113" i="4" s="1"/>
  <c r="AM111" i="4"/>
  <c r="AM113" i="4" s="1"/>
  <c r="T111" i="4"/>
  <c r="T113" i="4" s="1"/>
  <c r="I111" i="4"/>
  <c r="I113" i="4" s="1"/>
  <c r="AE34" i="4"/>
  <c r="AE36" i="4" s="1"/>
  <c r="N34" i="4"/>
  <c r="AD34" i="4"/>
  <c r="M34" i="4"/>
  <c r="AC34" i="4"/>
  <c r="AC36" i="4" s="1"/>
  <c r="L34" i="4"/>
  <c r="L36" i="4" s="1"/>
  <c r="AB34" i="4"/>
  <c r="AB36" i="4" s="1"/>
  <c r="K34" i="4"/>
  <c r="K36" i="4" s="1"/>
  <c r="AA34" i="4"/>
  <c r="AA36" i="4" s="1"/>
  <c r="J34" i="4"/>
  <c r="J36" i="4" s="1"/>
  <c r="Y34" i="4"/>
  <c r="Y36" i="4" s="1"/>
  <c r="AQ34" i="4"/>
  <c r="AQ36" i="4" s="1"/>
  <c r="Z34" i="4"/>
  <c r="Z36" i="4" s="1"/>
  <c r="I34" i="4"/>
  <c r="I36" i="4" s="1"/>
  <c r="AP34" i="4"/>
  <c r="H34" i="4"/>
  <c r="AO34" i="4"/>
  <c r="AO36" i="4" s="1"/>
  <c r="X34" i="4"/>
  <c r="X36" i="4" s="1"/>
  <c r="AH34" i="4"/>
  <c r="AN34" i="4"/>
  <c r="AN36" i="4" s="1"/>
  <c r="W34" i="4"/>
  <c r="W36" i="4" s="1"/>
  <c r="R36" i="4"/>
  <c r="AM34" i="4"/>
  <c r="AM36" i="4" s="1"/>
  <c r="V34" i="4"/>
  <c r="V36" i="4" s="1"/>
  <c r="AH36" i="4"/>
  <c r="AL34" i="4"/>
  <c r="AL36" i="4" s="1"/>
  <c r="U34" i="4"/>
  <c r="U36" i="4" s="1"/>
  <c r="AK34" i="4"/>
  <c r="S34" i="4"/>
  <c r="S36" i="4" s="1"/>
  <c r="Q34" i="4"/>
  <c r="AI34" i="4"/>
  <c r="AI36" i="4" s="1"/>
  <c r="R34" i="4"/>
  <c r="Q36" i="4"/>
  <c r="AG34" i="4"/>
  <c r="AG36" i="4" s="1"/>
  <c r="P34" i="4"/>
  <c r="P36" i="4" s="1"/>
  <c r="N36" i="4"/>
  <c r="AF34" i="4"/>
  <c r="AF36" i="4" s="1"/>
  <c r="O34" i="4"/>
  <c r="O36" i="4" s="1"/>
  <c r="M36" i="4"/>
  <c r="T34" i="4"/>
  <c r="T36" i="4" s="1"/>
  <c r="AK36" i="4"/>
  <c r="AJ34" i="4"/>
  <c r="AJ36" i="4" s="1"/>
  <c r="AD36" i="4"/>
  <c r="AP36" i="4"/>
  <c r="H36" i="4"/>
  <c r="AR97" i="4"/>
  <c r="AR139" i="4"/>
  <c r="AR155" i="4"/>
  <c r="AR64" i="4"/>
  <c r="D130" i="4"/>
  <c r="AR99" i="4"/>
  <c r="AM69" i="4"/>
  <c r="AM71" i="4" s="1"/>
  <c r="U69" i="4"/>
  <c r="U71" i="4" s="1"/>
  <c r="AL69" i="4"/>
  <c r="AL71" i="4" s="1"/>
  <c r="S69" i="4"/>
  <c r="AK69" i="4"/>
  <c r="AK71" i="4" s="1"/>
  <c r="Q69" i="4"/>
  <c r="Q71" i="4" s="1"/>
  <c r="AI69" i="4"/>
  <c r="AI71" i="4" s="1"/>
  <c r="P69" i="4"/>
  <c r="P71" i="4" s="1"/>
  <c r="AG69" i="4"/>
  <c r="AG71" i="4" s="1"/>
  <c r="O69" i="4"/>
  <c r="O71" i="4" s="1"/>
  <c r="M69" i="4"/>
  <c r="M71" i="4" s="1"/>
  <c r="AF69" i="4"/>
  <c r="AF71" i="4" s="1"/>
  <c r="N69" i="4"/>
  <c r="N71" i="4" s="1"/>
  <c r="AE69" i="4"/>
  <c r="AE71" i="4" s="1"/>
  <c r="AD69" i="4"/>
  <c r="AD71" i="4" s="1"/>
  <c r="L69" i="4"/>
  <c r="L71" i="4" s="1"/>
  <c r="AP69" i="4"/>
  <c r="AP71" i="4" s="1"/>
  <c r="AC69" i="4"/>
  <c r="AC71" i="4" s="1"/>
  <c r="K69" i="4"/>
  <c r="AB69" i="4"/>
  <c r="AB71" i="4" s="1"/>
  <c r="J69" i="4"/>
  <c r="J71" i="4" s="1"/>
  <c r="AA69" i="4"/>
  <c r="I69" i="4"/>
  <c r="I71" i="4" s="1"/>
  <c r="Z69" i="4"/>
  <c r="Z71" i="4" s="1"/>
  <c r="H69" i="4"/>
  <c r="H71" i="4" s="1"/>
  <c r="X69" i="4"/>
  <c r="X71" i="4" s="1"/>
  <c r="AQ69" i="4"/>
  <c r="AQ71" i="4" s="1"/>
  <c r="Y69" i="4"/>
  <c r="Y71" i="4" s="1"/>
  <c r="AO69" i="4"/>
  <c r="AO71" i="4" s="1"/>
  <c r="W69" i="4"/>
  <c r="W71" i="4" s="1"/>
  <c r="AN69" i="4"/>
  <c r="AN71" i="4" s="1"/>
  <c r="V69" i="4"/>
  <c r="V71" i="4" s="1"/>
  <c r="AJ69" i="4"/>
  <c r="AJ71" i="4" s="1"/>
  <c r="K71" i="4"/>
  <c r="AA71" i="4"/>
  <c r="S71" i="4"/>
  <c r="AH69" i="4"/>
  <c r="AH71" i="4" s="1"/>
  <c r="R69" i="4"/>
  <c r="T69" i="4"/>
  <c r="T71" i="4" s="1"/>
  <c r="AB27" i="4"/>
  <c r="AB29" i="4" s="1"/>
  <c r="AA27" i="4"/>
  <c r="AA29" i="4" s="1"/>
  <c r="W27" i="4"/>
  <c r="W29" i="4" s="1"/>
  <c r="V27" i="4"/>
  <c r="V29" i="4" s="1"/>
  <c r="T27" i="4"/>
  <c r="T29" i="4" s="1"/>
  <c r="Q27" i="4"/>
  <c r="Q29" i="4" s="1"/>
  <c r="R27" i="4"/>
  <c r="R29" i="4" s="1"/>
  <c r="AN27" i="4"/>
  <c r="AM27" i="4"/>
  <c r="AM29" i="4" s="1"/>
  <c r="P27" i="4"/>
  <c r="P29" i="4" s="1"/>
  <c r="AL27" i="4"/>
  <c r="AL29" i="4" s="1"/>
  <c r="O27" i="4"/>
  <c r="O29" i="4" s="1"/>
  <c r="AE27" i="4"/>
  <c r="AE29" i="4" s="1"/>
  <c r="AI27" i="4"/>
  <c r="AI29" i="4" s="1"/>
  <c r="N27" i="4"/>
  <c r="N29" i="4" s="1"/>
  <c r="AN29" i="4"/>
  <c r="AH27" i="4"/>
  <c r="AH29" i="4" s="1"/>
  <c r="M27" i="4"/>
  <c r="M29" i="4" s="1"/>
  <c r="J27" i="4"/>
  <c r="J29" i="4" s="1"/>
  <c r="AG27" i="4"/>
  <c r="AG29" i="4" s="1"/>
  <c r="L27" i="4"/>
  <c r="L29" i="4" s="1"/>
  <c r="AF27" i="4"/>
  <c r="AF29" i="4" s="1"/>
  <c r="K27" i="4"/>
  <c r="K29" i="4" s="1"/>
  <c r="AD27" i="4"/>
  <c r="AD29" i="4" s="1"/>
  <c r="AC27" i="4"/>
  <c r="AC29" i="4" s="1"/>
  <c r="AJ27" i="4"/>
  <c r="AJ29" i="4" s="1"/>
  <c r="Y27" i="4"/>
  <c r="Y29" i="4" s="1"/>
  <c r="AP27" i="4"/>
  <c r="AP29" i="4" s="1"/>
  <c r="AK27" i="4"/>
  <c r="AK29" i="4" s="1"/>
  <c r="U27" i="4"/>
  <c r="X27" i="4"/>
  <c r="X29" i="4" s="1"/>
  <c r="AO27" i="4"/>
  <c r="AO29" i="4" s="1"/>
  <c r="I27" i="4"/>
  <c r="I29" i="4" s="1"/>
  <c r="Z27" i="4"/>
  <c r="AQ27" i="4"/>
  <c r="AQ29" i="4" s="1"/>
  <c r="S27" i="4"/>
  <c r="S29" i="4" s="1"/>
  <c r="H27" i="4"/>
  <c r="H29" i="4" s="1"/>
  <c r="M120" i="4"/>
  <c r="AI118" i="4"/>
  <c r="AI120" i="4" s="1"/>
  <c r="AF118" i="4"/>
  <c r="AF120" i="4" s="1"/>
  <c r="O118" i="4"/>
  <c r="O120" i="4" s="1"/>
  <c r="AC118" i="4"/>
  <c r="AC120" i="4" s="1"/>
  <c r="T118" i="4"/>
  <c r="T120" i="4" s="1"/>
  <c r="S118" i="4"/>
  <c r="S120" i="4" s="1"/>
  <c r="R118" i="4"/>
  <c r="P118" i="4"/>
  <c r="P120" i="4" s="1"/>
  <c r="M118" i="4"/>
  <c r="AH118" i="4"/>
  <c r="J118" i="4"/>
  <c r="J120" i="4" s="1"/>
  <c r="U118" i="4"/>
  <c r="AM118" i="4"/>
  <c r="AM120" i="4" s="1"/>
  <c r="AB118" i="4"/>
  <c r="H118" i="4"/>
  <c r="H120" i="4" s="1"/>
  <c r="AD118" i="4"/>
  <c r="AD120" i="4" s="1"/>
  <c r="AA118" i="4"/>
  <c r="AA120" i="4" s="1"/>
  <c r="AG118" i="4"/>
  <c r="AG120" i="4" s="1"/>
  <c r="N118" i="4"/>
  <c r="N120" i="4" s="1"/>
  <c r="Z118" i="4"/>
  <c r="Z120" i="4" s="1"/>
  <c r="AH120" i="4"/>
  <c r="L118" i="4"/>
  <c r="L120" i="4" s="1"/>
  <c r="R120" i="4"/>
  <c r="Y118" i="4"/>
  <c r="Y120" i="4" s="1"/>
  <c r="AQ118" i="4"/>
  <c r="X118" i="4"/>
  <c r="X120" i="4" s="1"/>
  <c r="AL118" i="4"/>
  <c r="AL120" i="4" s="1"/>
  <c r="AQ120" i="4"/>
  <c r="AB120" i="4"/>
  <c r="V118" i="4"/>
  <c r="V120" i="4" s="1"/>
  <c r="I118" i="4"/>
  <c r="I120" i="4" s="1"/>
  <c r="AJ118" i="4"/>
  <c r="AJ120" i="4" s="1"/>
  <c r="AO118" i="4"/>
  <c r="AO120" i="4" s="1"/>
  <c r="AK118" i="4"/>
  <c r="AK120" i="4" s="1"/>
  <c r="W118" i="4"/>
  <c r="W120" i="4" s="1"/>
  <c r="Q118" i="4"/>
  <c r="Q120" i="4" s="1"/>
  <c r="AE118" i="4"/>
  <c r="AE120" i="4" s="1"/>
  <c r="K118" i="4"/>
  <c r="K120" i="4" s="1"/>
  <c r="AP118" i="4"/>
  <c r="AP120" i="4" s="1"/>
  <c r="AN118" i="4"/>
  <c r="AN120" i="4" s="1"/>
  <c r="U120" i="4"/>
  <c r="AF76" i="4"/>
  <c r="AQ76" i="4"/>
  <c r="AQ78" i="4" s="1"/>
  <c r="AP76" i="4"/>
  <c r="AP78" i="4" s="1"/>
  <c r="AD76" i="4"/>
  <c r="AD78" i="4" s="1"/>
  <c r="J76" i="4"/>
  <c r="J78" i="4" s="1"/>
  <c r="R76" i="4"/>
  <c r="R78" i="4" s="1"/>
  <c r="M76" i="4"/>
  <c r="M78" i="4" s="1"/>
  <c r="L76" i="4"/>
  <c r="L78" i="4" s="1"/>
  <c r="K76" i="4"/>
  <c r="K78" i="4" s="1"/>
  <c r="I76" i="4"/>
  <c r="I78" i="4" s="1"/>
  <c r="S76" i="4"/>
  <c r="S78" i="4" s="1"/>
  <c r="P76" i="4"/>
  <c r="P78" i="4" s="1"/>
  <c r="AJ76" i="4"/>
  <c r="AJ78" i="4" s="1"/>
  <c r="O76" i="4"/>
  <c r="O78" i="4" s="1"/>
  <c r="AN76" i="4"/>
  <c r="AG76" i="4"/>
  <c r="AG78" i="4" s="1"/>
  <c r="AH76" i="4"/>
  <c r="AH78" i="4" s="1"/>
  <c r="X76" i="4"/>
  <c r="X78" i="4" s="1"/>
  <c r="Q76" i="4"/>
  <c r="Q78" i="4" s="1"/>
  <c r="H76" i="4"/>
  <c r="H78" i="4" s="1"/>
  <c r="AF78" i="4"/>
  <c r="AE76" i="4"/>
  <c r="AE78" i="4" s="1"/>
  <c r="U78" i="4"/>
  <c r="AC76" i="4"/>
  <c r="AC78" i="4" s="1"/>
  <c r="AL76" i="4"/>
  <c r="AL78" i="4" s="1"/>
  <c r="AM76" i="4"/>
  <c r="N76" i="4"/>
  <c r="N78" i="4" s="1"/>
  <c r="W76" i="4"/>
  <c r="W78" i="4" s="1"/>
  <c r="AB76" i="4"/>
  <c r="AB78" i="4" s="1"/>
  <c r="AM78" i="4"/>
  <c r="V76" i="4"/>
  <c r="V78" i="4" s="1"/>
  <c r="AA76" i="4"/>
  <c r="AA78" i="4" s="1"/>
  <c r="AK76" i="4"/>
  <c r="AK78" i="4" s="1"/>
  <c r="U76" i="4"/>
  <c r="Z76" i="4"/>
  <c r="Z78" i="4" s="1"/>
  <c r="AO76" i="4"/>
  <c r="AO78" i="4" s="1"/>
  <c r="T76" i="4"/>
  <c r="T78" i="4" s="1"/>
  <c r="Y76" i="4"/>
  <c r="Y78" i="4" s="1"/>
  <c r="AI76" i="4"/>
  <c r="AI78" i="4" s="1"/>
  <c r="AR153" i="4"/>
  <c r="AR146" i="4"/>
  <c r="Y55" i="4"/>
  <c r="U55" i="4"/>
  <c r="U57" i="4" s="1"/>
  <c r="T55" i="4"/>
  <c r="T57" i="4" s="1"/>
  <c r="S55" i="4"/>
  <c r="S57" i="4" s="1"/>
  <c r="R55" i="4"/>
  <c r="R57" i="4" s="1"/>
  <c r="M55" i="4"/>
  <c r="M57" i="4" s="1"/>
  <c r="L55" i="4"/>
  <c r="L57" i="4" s="1"/>
  <c r="J55" i="4"/>
  <c r="J57" i="4" s="1"/>
  <c r="AP55" i="4"/>
  <c r="AP57" i="4" s="1"/>
  <c r="I55" i="4"/>
  <c r="I57" i="4" s="1"/>
  <c r="AO55" i="4"/>
  <c r="AO57" i="4" s="1"/>
  <c r="AK55" i="4"/>
  <c r="AK57" i="4" s="1"/>
  <c r="AN55" i="4"/>
  <c r="AN57" i="4" s="1"/>
  <c r="AM55" i="4"/>
  <c r="AM57" i="4" s="1"/>
  <c r="AL55" i="4"/>
  <c r="AL57" i="4" s="1"/>
  <c r="AJ55" i="4"/>
  <c r="AJ57" i="4" s="1"/>
  <c r="AI55" i="4"/>
  <c r="AI57" i="4" s="1"/>
  <c r="AD55" i="4"/>
  <c r="AD57" i="4" s="1"/>
  <c r="N55" i="4"/>
  <c r="N57" i="4" s="1"/>
  <c r="Y57" i="4"/>
  <c r="AQ55" i="4"/>
  <c r="H55" i="4"/>
  <c r="AA55" i="4"/>
  <c r="AA57" i="4" s="1"/>
  <c r="AH55" i="4"/>
  <c r="AH57" i="4" s="1"/>
  <c r="W55" i="4"/>
  <c r="W57" i="4" s="1"/>
  <c r="K55" i="4"/>
  <c r="K57" i="4" s="1"/>
  <c r="AG55" i="4"/>
  <c r="AG57" i="4" s="1"/>
  <c r="X55" i="4"/>
  <c r="X57" i="4" s="1"/>
  <c r="AC55" i="4"/>
  <c r="AC57" i="4" s="1"/>
  <c r="AQ57" i="4"/>
  <c r="V55" i="4"/>
  <c r="V57" i="4" s="1"/>
  <c r="Q55" i="4"/>
  <c r="Q57" i="4" s="1"/>
  <c r="AF55" i="4"/>
  <c r="AF57" i="4" s="1"/>
  <c r="P55" i="4"/>
  <c r="P57" i="4" s="1"/>
  <c r="AB55" i="4"/>
  <c r="AE55" i="4"/>
  <c r="AE57" i="4" s="1"/>
  <c r="Z55" i="4"/>
  <c r="Z57" i="4" s="1"/>
  <c r="O55" i="4"/>
  <c r="O57" i="4" s="1"/>
  <c r="AB57" i="4"/>
  <c r="H141" i="4"/>
  <c r="AR141" i="4" s="1"/>
  <c r="H148" i="4"/>
  <c r="AR148" i="4" s="1"/>
  <c r="AS142" i="4" s="1"/>
  <c r="AO125" i="4"/>
  <c r="AO127" i="4" s="1"/>
  <c r="AJ125" i="4"/>
  <c r="AJ127" i="4" s="1"/>
  <c r="AG125" i="4"/>
  <c r="AF125" i="4"/>
  <c r="AE125" i="4"/>
  <c r="AE127" i="4" s="1"/>
  <c r="Z125" i="4"/>
  <c r="Z127" i="4" s="1"/>
  <c r="K125" i="4"/>
  <c r="K127" i="4" s="1"/>
  <c r="V125" i="4"/>
  <c r="V127" i="4" s="1"/>
  <c r="S125" i="4"/>
  <c r="R125" i="4"/>
  <c r="R127" i="4" s="1"/>
  <c r="Q125" i="4"/>
  <c r="Q127" i="4" s="1"/>
  <c r="P125" i="4"/>
  <c r="P127" i="4" s="1"/>
  <c r="H125" i="4"/>
  <c r="H127" i="4" s="1"/>
  <c r="AA125" i="4"/>
  <c r="AA127" i="4" s="1"/>
  <c r="AH125" i="4"/>
  <c r="AH127" i="4" s="1"/>
  <c r="Y125" i="4"/>
  <c r="Y127" i="4" s="1"/>
  <c r="AQ125" i="4"/>
  <c r="AQ127" i="4" s="1"/>
  <c r="O125" i="4"/>
  <c r="O127" i="4" s="1"/>
  <c r="X125" i="4"/>
  <c r="X127" i="4" s="1"/>
  <c r="AM125" i="4"/>
  <c r="AM127" i="4" s="1"/>
  <c r="AP125" i="4"/>
  <c r="AP127" i="4" s="1"/>
  <c r="AC125" i="4"/>
  <c r="AC127" i="4" s="1"/>
  <c r="W125" i="4"/>
  <c r="W127" i="4" s="1"/>
  <c r="M125" i="4"/>
  <c r="M127" i="4" s="1"/>
  <c r="T125" i="4"/>
  <c r="T127" i="4" s="1"/>
  <c r="AB125" i="4"/>
  <c r="AB127" i="4" s="1"/>
  <c r="AN125" i="4"/>
  <c r="AN127" i="4" s="1"/>
  <c r="J125" i="4"/>
  <c r="J127" i="4" s="1"/>
  <c r="S127" i="4"/>
  <c r="AI125" i="4"/>
  <c r="AI127" i="4" s="1"/>
  <c r="AK125" i="4"/>
  <c r="AK127" i="4" s="1"/>
  <c r="AF127" i="4"/>
  <c r="U125" i="4"/>
  <c r="U127" i="4" s="1"/>
  <c r="AG127" i="4"/>
  <c r="AD125" i="4"/>
  <c r="AD127" i="4" s="1"/>
  <c r="N125" i="4"/>
  <c r="N127" i="4" s="1"/>
  <c r="I125" i="4"/>
  <c r="AL125" i="4"/>
  <c r="AL127" i="4" s="1"/>
  <c r="L125" i="4"/>
  <c r="L127" i="4" s="1"/>
  <c r="I127" i="4"/>
  <c r="X41" i="4"/>
  <c r="X43" i="4" s="1"/>
  <c r="W41" i="4"/>
  <c r="W43" i="4" s="1"/>
  <c r="V41" i="4"/>
  <c r="V43" i="4" s="1"/>
  <c r="I41" i="4"/>
  <c r="I43" i="4" s="1"/>
  <c r="H41" i="4"/>
  <c r="AA41" i="4"/>
  <c r="AA43" i="4" s="1"/>
  <c r="AQ41" i="4"/>
  <c r="AQ43" i="4" s="1"/>
  <c r="AP41" i="4"/>
  <c r="AP43" i="4" s="1"/>
  <c r="AC41" i="4"/>
  <c r="AC43" i="4" s="1"/>
  <c r="AB41" i="4"/>
  <c r="AB43" i="4" s="1"/>
  <c r="Z41" i="4"/>
  <c r="Z43" i="4" s="1"/>
  <c r="Y41" i="4"/>
  <c r="Y43" i="4" s="1"/>
  <c r="AO41" i="4"/>
  <c r="AO43" i="4" s="1"/>
  <c r="AG41" i="4"/>
  <c r="K41" i="4"/>
  <c r="K43" i="4" s="1"/>
  <c r="L41" i="4"/>
  <c r="Q41" i="4"/>
  <c r="AE41" i="4"/>
  <c r="AE43" i="4" s="1"/>
  <c r="AJ41" i="4"/>
  <c r="AJ43" i="4" s="1"/>
  <c r="J41" i="4"/>
  <c r="J43" i="4"/>
  <c r="L43" i="4"/>
  <c r="T41" i="4"/>
  <c r="T43" i="4" s="1"/>
  <c r="AD41" i="4"/>
  <c r="AD43" i="4" s="1"/>
  <c r="AF41" i="4"/>
  <c r="AF43" i="4" s="1"/>
  <c r="AN41" i="4"/>
  <c r="AN43" i="4" s="1"/>
  <c r="P41" i="4"/>
  <c r="P43" i="4"/>
  <c r="O41" i="4"/>
  <c r="O43" i="4" s="1"/>
  <c r="AG43" i="4"/>
  <c r="M41" i="4"/>
  <c r="M43" i="4" s="1"/>
  <c r="AK41" i="4"/>
  <c r="AK43" i="4" s="1"/>
  <c r="N41" i="4"/>
  <c r="N43" i="4" s="1"/>
  <c r="AM41" i="4"/>
  <c r="AM43" i="4" s="1"/>
  <c r="AL41" i="4"/>
  <c r="AI41" i="4"/>
  <c r="AI43" i="4" s="1"/>
  <c r="Q43" i="4"/>
  <c r="S41" i="4"/>
  <c r="S43" i="4" s="1"/>
  <c r="AH41" i="4"/>
  <c r="AH43" i="4" s="1"/>
  <c r="R41" i="4"/>
  <c r="R43" i="4" s="1"/>
  <c r="U41" i="4"/>
  <c r="U43" i="4" s="1"/>
  <c r="AN104" i="4"/>
  <c r="AC104" i="4"/>
  <c r="AA104" i="4"/>
  <c r="AA106" i="4" s="1"/>
  <c r="X104" i="4"/>
  <c r="X106" i="4" s="1"/>
  <c r="AC106" i="4"/>
  <c r="AB104" i="4"/>
  <c r="AB106" i="4" s="1"/>
  <c r="S104" i="4"/>
  <c r="S106" i="4" s="1"/>
  <c r="AJ104" i="4"/>
  <c r="AJ106" i="4" s="1"/>
  <c r="AE104" i="4"/>
  <c r="AE106" i="4" s="1"/>
  <c r="AG104" i="4"/>
  <c r="AG106" i="4" s="1"/>
  <c r="AQ104" i="4"/>
  <c r="AQ106" i="4" s="1"/>
  <c r="AP104" i="4"/>
  <c r="AP106" i="4" s="1"/>
  <c r="O104" i="4"/>
  <c r="O106" i="4" s="1"/>
  <c r="P104" i="4"/>
  <c r="P106" i="4" s="1"/>
  <c r="Z104" i="4"/>
  <c r="Z106" i="4" s="1"/>
  <c r="AN106" i="4"/>
  <c r="J104" i="4"/>
  <c r="J106" i="4" s="1"/>
  <c r="AM104" i="4"/>
  <c r="AM106" i="4" s="1"/>
  <c r="AO104" i="4"/>
  <c r="AO106" i="4" s="1"/>
  <c r="AF104" i="4"/>
  <c r="AF106" i="4" s="1"/>
  <c r="L104" i="4"/>
  <c r="L106" i="4" s="1"/>
  <c r="W104" i="4"/>
  <c r="W106" i="4" s="1"/>
  <c r="Y104" i="4"/>
  <c r="Y106" i="4" s="1"/>
  <c r="N104" i="4"/>
  <c r="N106" i="4" s="1"/>
  <c r="I104" i="4"/>
  <c r="I106" i="4" s="1"/>
  <c r="AK104" i="4"/>
  <c r="AK106" i="4" s="1"/>
  <c r="R104" i="4"/>
  <c r="R106" i="4" s="1"/>
  <c r="H104" i="4"/>
  <c r="AL104" i="4"/>
  <c r="AL106" i="4" s="1"/>
  <c r="AH104" i="4"/>
  <c r="AH106" i="4" s="1"/>
  <c r="AD104" i="4"/>
  <c r="AD106" i="4" s="1"/>
  <c r="V104" i="4"/>
  <c r="V106" i="4" s="1"/>
  <c r="M104" i="4"/>
  <c r="M106" i="4" s="1"/>
  <c r="AI104" i="4"/>
  <c r="AI106" i="4" s="1"/>
  <c r="Q104" i="4"/>
  <c r="Q106" i="4" s="1"/>
  <c r="U104" i="4"/>
  <c r="U106" i="4" s="1"/>
  <c r="K104" i="4"/>
  <c r="K106" i="4" s="1"/>
  <c r="T104" i="4"/>
  <c r="T106" i="4" s="1"/>
  <c r="H106" i="4"/>
  <c r="D46" i="4"/>
  <c r="AR62" i="4"/>
  <c r="D88" i="4"/>
  <c r="D24" i="4"/>
  <c r="E16" i="11"/>
  <c r="D73" i="4"/>
  <c r="E34" i="11"/>
  <c r="E23" i="11"/>
  <c r="D87" i="4"/>
  <c r="AA152" i="4"/>
  <c r="AA154" i="4" s="1"/>
  <c r="Z152" i="4"/>
  <c r="Z154" i="4" s="1"/>
  <c r="Y152" i="4"/>
  <c r="X152" i="4"/>
  <c r="X154" i="4" s="1"/>
  <c r="U152" i="4"/>
  <c r="U154" i="4" s="1"/>
  <c r="AM152" i="4"/>
  <c r="AM154" i="4" s="1"/>
  <c r="Q152" i="4"/>
  <c r="Q154" i="4" s="1"/>
  <c r="H152" i="4"/>
  <c r="AP152" i="4"/>
  <c r="AP154" i="4" s="1"/>
  <c r="AF152" i="4"/>
  <c r="AF154" i="4" s="1"/>
  <c r="AD152" i="4"/>
  <c r="AD154" i="4" s="1"/>
  <c r="AC152" i="4"/>
  <c r="AE152" i="4"/>
  <c r="AE154" i="4" s="1"/>
  <c r="AG152" i="4"/>
  <c r="AG154" i="4" s="1"/>
  <c r="O152" i="4"/>
  <c r="O154" i="4" s="1"/>
  <c r="J152" i="4"/>
  <c r="J154" i="4" s="1"/>
  <c r="AL152" i="4"/>
  <c r="AL154" i="4" s="1"/>
  <c r="I152" i="4"/>
  <c r="I154" i="4" s="1"/>
  <c r="AB152" i="4"/>
  <c r="AB154" i="4" s="1"/>
  <c r="AJ152" i="4"/>
  <c r="AJ154" i="4" s="1"/>
  <c r="L152" i="4"/>
  <c r="L154" i="4" s="1"/>
  <c r="T152" i="4"/>
  <c r="T154" i="4" s="1"/>
  <c r="W152" i="4"/>
  <c r="W154" i="4" s="1"/>
  <c r="M152" i="4"/>
  <c r="M154" i="4" s="1"/>
  <c r="AQ152" i="4"/>
  <c r="AQ154" i="4" s="1"/>
  <c r="AI152" i="4"/>
  <c r="AI154" i="4" s="1"/>
  <c r="V152" i="4"/>
  <c r="V154" i="4" s="1"/>
  <c r="S152" i="4"/>
  <c r="S154" i="4" s="1"/>
  <c r="Y154" i="4"/>
  <c r="AC154" i="4"/>
  <c r="AN152" i="4"/>
  <c r="AN154" i="4" s="1"/>
  <c r="P152" i="4"/>
  <c r="P154" i="4" s="1"/>
  <c r="AH152" i="4"/>
  <c r="AH154" i="4" s="1"/>
  <c r="AK152" i="4"/>
  <c r="AK154" i="4" s="1"/>
  <c r="N152" i="4"/>
  <c r="N154" i="4" s="1"/>
  <c r="R152" i="4"/>
  <c r="R154" i="4" s="1"/>
  <c r="K152" i="4"/>
  <c r="K154" i="4" s="1"/>
  <c r="AO152" i="4"/>
  <c r="AO154" i="4" s="1"/>
  <c r="E25" i="11"/>
  <c r="D101" i="4"/>
  <c r="AB274" i="2"/>
  <c r="E32" i="11"/>
  <c r="D122" i="4"/>
  <c r="E24" i="11"/>
  <c r="I25" i="11" s="1"/>
  <c r="D94" i="4"/>
  <c r="D108" i="4"/>
  <c r="E26" i="11"/>
  <c r="AL61" i="4"/>
  <c r="AL63" i="4" s="1"/>
  <c r="AD61" i="4"/>
  <c r="AD63" i="4" s="1"/>
  <c r="AB61" i="4"/>
  <c r="AB63" i="4" s="1"/>
  <c r="Z61" i="4"/>
  <c r="Y61" i="4"/>
  <c r="Y63" i="4" s="1"/>
  <c r="AP61" i="4"/>
  <c r="AP63" i="4" s="1"/>
  <c r="X61" i="4"/>
  <c r="W61" i="4"/>
  <c r="W63" i="4" s="1"/>
  <c r="V61" i="4"/>
  <c r="V63" i="4" s="1"/>
  <c r="U61" i="4"/>
  <c r="U63" i="4" s="1"/>
  <c r="T61" i="4"/>
  <c r="T63" i="4" s="1"/>
  <c r="I61" i="4"/>
  <c r="I63" i="4" s="1"/>
  <c r="S61" i="4"/>
  <c r="S63" i="4" s="1"/>
  <c r="AQ61" i="4"/>
  <c r="AQ63" i="4" s="1"/>
  <c r="P61" i="4"/>
  <c r="P63" i="4" s="1"/>
  <c r="AO61" i="4"/>
  <c r="AO63" i="4" s="1"/>
  <c r="H61" i="4"/>
  <c r="H63" i="4" s="1"/>
  <c r="AN61" i="4"/>
  <c r="AM61" i="4"/>
  <c r="AM63" i="4" s="1"/>
  <c r="M61" i="4"/>
  <c r="M63" i="4" s="1"/>
  <c r="AH61" i="4"/>
  <c r="AA61" i="4"/>
  <c r="AA63" i="4" s="1"/>
  <c r="R61" i="4"/>
  <c r="R63" i="4" s="1"/>
  <c r="AH63" i="4"/>
  <c r="AG61" i="4"/>
  <c r="AG63" i="4" s="1"/>
  <c r="Q61" i="4"/>
  <c r="Q63" i="4" s="1"/>
  <c r="N61" i="4"/>
  <c r="N63" i="4" s="1"/>
  <c r="Z63" i="4"/>
  <c r="AK61" i="4"/>
  <c r="AK63" i="4" s="1"/>
  <c r="AE61" i="4"/>
  <c r="AE63" i="4" s="1"/>
  <c r="L61" i="4"/>
  <c r="L63" i="4" s="1"/>
  <c r="O61" i="4"/>
  <c r="O63" i="4" s="1"/>
  <c r="AJ61" i="4"/>
  <c r="AJ63" i="4" s="1"/>
  <c r="AN63" i="4"/>
  <c r="X63" i="4"/>
  <c r="J61" i="4"/>
  <c r="K61" i="4"/>
  <c r="K63" i="4" s="1"/>
  <c r="AF61" i="4"/>
  <c r="AF63" i="4" s="1"/>
  <c r="AI61" i="4"/>
  <c r="AI63" i="4" s="1"/>
  <c r="AC61" i="4"/>
  <c r="AC63" i="4" s="1"/>
  <c r="E21" i="11"/>
  <c r="D66" i="4"/>
  <c r="O117" i="4"/>
  <c r="AE117" i="4"/>
  <c r="AE119" i="4" s="1"/>
  <c r="I117" i="4"/>
  <c r="I119" i="4" s="1"/>
  <c r="W117" i="4"/>
  <c r="W119" i="4" s="1"/>
  <c r="AN117" i="4"/>
  <c r="AN119" i="4" s="1"/>
  <c r="AQ117" i="4"/>
  <c r="AM117" i="4"/>
  <c r="AM119" i="4" s="1"/>
  <c r="X117" i="4"/>
  <c r="X119" i="4" s="1"/>
  <c r="V117" i="4"/>
  <c r="V119" i="4" s="1"/>
  <c r="L117" i="4"/>
  <c r="H117" i="4"/>
  <c r="L119" i="4"/>
  <c r="AG117" i="4"/>
  <c r="AG119" i="4" s="1"/>
  <c r="AQ119" i="4"/>
  <c r="AL117" i="4"/>
  <c r="AL119" i="4" s="1"/>
  <c r="AF117" i="4"/>
  <c r="R117" i="4"/>
  <c r="R119" i="4" s="1"/>
  <c r="AB117" i="4"/>
  <c r="AB119" i="4" s="1"/>
  <c r="AF119" i="4"/>
  <c r="AO117" i="4"/>
  <c r="AO119" i="4" s="1"/>
  <c r="K117" i="4"/>
  <c r="K119" i="4" s="1"/>
  <c r="U117" i="4"/>
  <c r="U119" i="4" s="1"/>
  <c r="AK117" i="4"/>
  <c r="AK119" i="4" s="1"/>
  <c r="O119" i="4"/>
  <c r="AJ117" i="4"/>
  <c r="AJ119" i="4" s="1"/>
  <c r="AA117" i="4"/>
  <c r="AA119" i="4" s="1"/>
  <c r="T117" i="4"/>
  <c r="T119" i="4" s="1"/>
  <c r="AI117" i="4"/>
  <c r="AI119" i="4" s="1"/>
  <c r="M117" i="4"/>
  <c r="M119" i="4" s="1"/>
  <c r="J117" i="4"/>
  <c r="J119" i="4" s="1"/>
  <c r="AH117" i="4"/>
  <c r="AH119" i="4" s="1"/>
  <c r="AC117" i="4"/>
  <c r="AC119" i="4" s="1"/>
  <c r="S117" i="4"/>
  <c r="S119" i="4" s="1"/>
  <c r="AD117" i="4"/>
  <c r="AD119" i="4" s="1"/>
  <c r="Q117" i="4"/>
  <c r="Q119" i="4" s="1"/>
  <c r="Z117" i="4"/>
  <c r="Z119" i="4" s="1"/>
  <c r="P117" i="4"/>
  <c r="P119" i="4" s="1"/>
  <c r="Y117" i="4"/>
  <c r="Y119" i="4" s="1"/>
  <c r="AP117" i="4"/>
  <c r="AP119" i="4" s="1"/>
  <c r="N117" i="4"/>
  <c r="N119" i="4" s="1"/>
  <c r="E19" i="11"/>
  <c r="D45" i="4"/>
  <c r="E18" i="11"/>
  <c r="D38" i="4"/>
  <c r="AQ145" i="4"/>
  <c r="AQ147" i="4" s="1"/>
  <c r="AP145" i="4"/>
  <c r="AP147" i="4" s="1"/>
  <c r="AO145" i="4"/>
  <c r="AO147" i="4" s="1"/>
  <c r="AL145" i="4"/>
  <c r="AL147" i="4" s="1"/>
  <c r="AH145" i="4"/>
  <c r="AH147" i="4" s="1"/>
  <c r="Y145" i="4"/>
  <c r="Y147" i="4" s="1"/>
  <c r="Q145" i="4"/>
  <c r="Q147" i="4" s="1"/>
  <c r="AN145" i="4"/>
  <c r="AN147" i="4" s="1"/>
  <c r="W145" i="4"/>
  <c r="W147" i="4" s="1"/>
  <c r="O145" i="4"/>
  <c r="O147" i="4" s="1"/>
  <c r="AK145" i="4"/>
  <c r="AK147" i="4" s="1"/>
  <c r="U145" i="4"/>
  <c r="U147" i="4" s="1"/>
  <c r="AM145" i="4"/>
  <c r="AM147" i="4" s="1"/>
  <c r="N145" i="4"/>
  <c r="N147" i="4" s="1"/>
  <c r="AJ145" i="4"/>
  <c r="AJ147" i="4" s="1"/>
  <c r="T145" i="4"/>
  <c r="T147" i="4" s="1"/>
  <c r="AG145" i="4"/>
  <c r="AG147" i="4" s="1"/>
  <c r="K145" i="4"/>
  <c r="K147" i="4" s="1"/>
  <c r="AB145" i="4"/>
  <c r="AB147" i="4" s="1"/>
  <c r="R145" i="4"/>
  <c r="R147" i="4" s="1"/>
  <c r="AI145" i="4"/>
  <c r="AI147" i="4" s="1"/>
  <c r="AA145" i="4"/>
  <c r="AA147" i="4" s="1"/>
  <c r="S145" i="4"/>
  <c r="S147" i="4" s="1"/>
  <c r="AE145" i="4"/>
  <c r="AE147" i="4" s="1"/>
  <c r="AF145" i="4"/>
  <c r="AF147" i="4" s="1"/>
  <c r="AD145" i="4"/>
  <c r="AD147" i="4" s="1"/>
  <c r="Z145" i="4"/>
  <c r="Z147" i="4" s="1"/>
  <c r="AC145" i="4"/>
  <c r="AC147" i="4" s="1"/>
  <c r="X145" i="4"/>
  <c r="X147" i="4" s="1"/>
  <c r="M145" i="4"/>
  <c r="M147" i="4" s="1"/>
  <c r="V145" i="4"/>
  <c r="V147" i="4" s="1"/>
  <c r="J145" i="4"/>
  <c r="J147" i="4" s="1"/>
  <c r="P145" i="4"/>
  <c r="P147" i="4" s="1"/>
  <c r="I145" i="4"/>
  <c r="I147" i="4" s="1"/>
  <c r="H145" i="4"/>
  <c r="H147" i="4" s="1"/>
  <c r="L145" i="4"/>
  <c r="L147" i="4" s="1"/>
  <c r="N54" i="4"/>
  <c r="N56" i="4" s="1"/>
  <c r="AJ54" i="4"/>
  <c r="AJ56" i="4" s="1"/>
  <c r="AH54" i="4"/>
  <c r="AH56" i="4" s="1"/>
  <c r="AG54" i="4"/>
  <c r="AF54" i="4"/>
  <c r="AF56" i="4" s="1"/>
  <c r="AE54" i="4"/>
  <c r="AE56" i="4" s="1"/>
  <c r="AD54" i="4"/>
  <c r="AD56" i="4" s="1"/>
  <c r="AQ54" i="4"/>
  <c r="AQ56" i="4" s="1"/>
  <c r="T54" i="4"/>
  <c r="T56" i="4" s="1"/>
  <c r="AA54" i="4"/>
  <c r="AA56" i="4" s="1"/>
  <c r="AK54" i="4"/>
  <c r="AB56" i="4"/>
  <c r="K54" i="4"/>
  <c r="K56" i="4" s="1"/>
  <c r="U54" i="4"/>
  <c r="S54" i="4"/>
  <c r="S56" i="4" s="1"/>
  <c r="AK56" i="4"/>
  <c r="U56" i="4"/>
  <c r="R54" i="4"/>
  <c r="R56" i="4" s="1"/>
  <c r="AP54" i="4"/>
  <c r="AP56" i="4" s="1"/>
  <c r="AC54" i="4"/>
  <c r="AC56" i="4" s="1"/>
  <c r="AL54" i="4"/>
  <c r="J54" i="4"/>
  <c r="J56" i="4" s="1"/>
  <c r="AB54" i="4"/>
  <c r="Q54" i="4"/>
  <c r="Q56" i="4" s="1"/>
  <c r="O54" i="4"/>
  <c r="AO54" i="4"/>
  <c r="AO56" i="4" s="1"/>
  <c r="W54" i="4"/>
  <c r="W56" i="4"/>
  <c r="L54" i="4"/>
  <c r="L56" i="4" s="1"/>
  <c r="Y54" i="4"/>
  <c r="Y56" i="4" s="1"/>
  <c r="P54" i="4"/>
  <c r="P56" i="4" s="1"/>
  <c r="O56" i="4"/>
  <c r="M54" i="4"/>
  <c r="M56" i="4" s="1"/>
  <c r="I54" i="4"/>
  <c r="I56" i="4" s="1"/>
  <c r="AN54" i="4"/>
  <c r="AN56" i="4" s="1"/>
  <c r="X54" i="4"/>
  <c r="X56" i="4" s="1"/>
  <c r="V54" i="4"/>
  <c r="V56" i="4" s="1"/>
  <c r="H54" i="4"/>
  <c r="H56" i="4" s="1"/>
  <c r="AI54" i="4"/>
  <c r="AI56" i="4" s="1"/>
  <c r="AL56" i="4"/>
  <c r="Z54" i="4"/>
  <c r="Z56" i="4" s="1"/>
  <c r="AG56" i="4"/>
  <c r="AM54" i="4"/>
  <c r="AM56" i="4" s="1"/>
  <c r="D136" i="4"/>
  <c r="E27" i="11"/>
  <c r="E31" i="11"/>
  <c r="D129" i="4"/>
  <c r="I47" i="34"/>
  <c r="J47" i="34" s="1"/>
  <c r="I18" i="34"/>
  <c r="J18" i="34" s="1"/>
  <c r="F50" i="34"/>
  <c r="I19" i="34"/>
  <c r="J19" i="34" s="1"/>
  <c r="G145" i="29"/>
  <c r="J128" i="29"/>
  <c r="K128" i="29" s="1"/>
  <c r="G86" i="29"/>
  <c r="J85" i="29"/>
  <c r="K85" i="29" s="1"/>
  <c r="L188" i="28"/>
  <c r="M188" i="28" s="1"/>
  <c r="G170" i="28"/>
  <c r="G164" i="28"/>
  <c r="L162" i="28"/>
  <c r="M162" i="28" s="1"/>
  <c r="L155" i="28"/>
  <c r="M155" i="28" s="1"/>
  <c r="H241" i="28"/>
  <c r="H252" i="28" s="1"/>
  <c r="H246" i="28"/>
  <c r="H257" i="28" s="1"/>
  <c r="H243" i="28"/>
  <c r="H254" i="28" s="1"/>
  <c r="H242" i="28"/>
  <c r="H253" i="28" s="1"/>
  <c r="L97" i="26"/>
  <c r="G121" i="26"/>
  <c r="F108" i="25"/>
  <c r="K95" i="25"/>
  <c r="K112" i="25"/>
  <c r="F118" i="25"/>
  <c r="G128" i="23"/>
  <c r="I108" i="23"/>
  <c r="I66" i="22"/>
  <c r="L61" i="20"/>
  <c r="L77" i="20"/>
  <c r="L98" i="20" s="1"/>
  <c r="L58" i="20"/>
  <c r="L64" i="20" s="1"/>
  <c r="L86" i="20" s="1"/>
  <c r="L59" i="20"/>
  <c r="L65" i="20" s="1"/>
  <c r="L87" i="20" s="1"/>
  <c r="L60" i="20"/>
  <c r="L74" i="20" s="1"/>
  <c r="L95" i="20" s="1"/>
  <c r="L42" i="20"/>
  <c r="L78" i="20" s="1"/>
  <c r="L44" i="20"/>
  <c r="L75" i="20" s="1"/>
  <c r="L96" i="20" s="1"/>
  <c r="L82" i="20"/>
  <c r="L99" i="20" s="1"/>
  <c r="L43" i="20"/>
  <c r="L67" i="20" s="1"/>
  <c r="L88" i="20" s="1"/>
  <c r="L73" i="20"/>
  <c r="L94" i="20" s="1"/>
  <c r="L37" i="20"/>
  <c r="L80" i="20" s="1"/>
  <c r="L34" i="20"/>
  <c r="F79" i="19"/>
  <c r="J78" i="19" s="1"/>
  <c r="J69" i="19"/>
  <c r="S46" i="17"/>
  <c r="S58" i="17"/>
  <c r="S47" i="17"/>
  <c r="S102" i="17"/>
  <c r="S103" i="17"/>
  <c r="S100" i="17"/>
  <c r="S101" i="17"/>
  <c r="S80" i="17"/>
  <c r="S81" i="17" s="1"/>
  <c r="S105" i="17"/>
  <c r="S106" i="17"/>
  <c r="S109" i="17"/>
  <c r="S110" i="17" s="1"/>
  <c r="S83" i="17"/>
  <c r="S125" i="17"/>
  <c r="S124" i="17"/>
  <c r="H32" i="16"/>
  <c r="AJ29" i="16"/>
  <c r="AJ15" i="16"/>
  <c r="F32" i="16"/>
  <c r="H31" i="16"/>
  <c r="AJ28" i="16"/>
  <c r="AJ14" i="16"/>
  <c r="F31" i="16"/>
  <c r="G31" i="16"/>
  <c r="AJ21" i="16"/>
  <c r="AH33" i="2"/>
  <c r="B33" i="2"/>
  <c r="AC272" i="2"/>
  <c r="B29" i="2"/>
  <c r="AH29" i="2"/>
  <c r="B30" i="2"/>
  <c r="AH30" i="2"/>
  <c r="W204" i="2"/>
  <c r="W20" i="2" s="1"/>
  <c r="V20" i="2"/>
  <c r="AH35" i="2"/>
  <c r="B35" i="2"/>
  <c r="AH279" i="2"/>
  <c r="AH34" i="2"/>
  <c r="B34" i="2"/>
  <c r="AH26" i="2"/>
  <c r="A1230" i="2"/>
  <c r="AE37" i="2"/>
  <c r="AH19" i="2"/>
  <c r="B19" i="2"/>
  <c r="B25" i="2"/>
  <c r="AH25" i="2"/>
  <c r="AH204" i="2"/>
  <c r="AE204" i="2"/>
  <c r="AE203" i="2"/>
  <c r="AB204" i="2"/>
  <c r="S20" i="2"/>
  <c r="AH229" i="2"/>
  <c r="AH302" i="2"/>
  <c r="AH300" i="2"/>
  <c r="AH285" i="2"/>
  <c r="AH253" i="2"/>
  <c r="AH213" i="2"/>
  <c r="AH310" i="2"/>
  <c r="AH224" i="2"/>
  <c r="AH226" i="2"/>
  <c r="AH322" i="2"/>
  <c r="AH245" i="2"/>
  <c r="AH282" i="2"/>
  <c r="AH286" i="2"/>
  <c r="AH255" i="2"/>
  <c r="AH243" i="2"/>
  <c r="AH216" i="2"/>
  <c r="AH228" i="2"/>
  <c r="AH222" i="2"/>
  <c r="AH312" i="2"/>
  <c r="AH329" i="2"/>
  <c r="AH287" i="2"/>
  <c r="AH218" i="2"/>
  <c r="AH252" i="2"/>
  <c r="AH281" i="2"/>
  <c r="AH328" i="2"/>
  <c r="AH240" i="2"/>
  <c r="AH215" i="2"/>
  <c r="AH280" i="2"/>
  <c r="AH313" i="2"/>
  <c r="AH235" i="2"/>
  <c r="AH317" i="2"/>
  <c r="AH241" i="2"/>
  <c r="AH284" i="2"/>
  <c r="AH308" i="2"/>
  <c r="AH323" i="2"/>
  <c r="AH295" i="2"/>
  <c r="AH220" i="2"/>
  <c r="AH223" i="2"/>
  <c r="AH248" i="2"/>
  <c r="AH294" i="2"/>
  <c r="AH214" i="2"/>
  <c r="AH292" i="2"/>
  <c r="AH289" i="2"/>
  <c r="AH249" i="2"/>
  <c r="AH315" i="2"/>
  <c r="AH247" i="2"/>
  <c r="AH293" i="2"/>
  <c r="AH321" i="2"/>
  <c r="AH303" i="2"/>
  <c r="AH211" i="2"/>
  <c r="AH283" i="2"/>
  <c r="AH299" i="2"/>
  <c r="AH301" i="2"/>
  <c r="AH314" i="2"/>
  <c r="AH309" i="2"/>
  <c r="AH250" i="2"/>
  <c r="AH238" i="2"/>
  <c r="AH320" i="2"/>
  <c r="AH242" i="2"/>
  <c r="AH244" i="2"/>
  <c r="AH217" i="2"/>
  <c r="AH257" i="2"/>
  <c r="AH307" i="2"/>
  <c r="AH209" i="2"/>
  <c r="AH210" i="2"/>
  <c r="AH225" i="2"/>
  <c r="AH261" i="2"/>
  <c r="AH304" i="2"/>
  <c r="AH296" i="2"/>
  <c r="AH311" i="2"/>
  <c r="AH262" i="2"/>
  <c r="AH230" i="2"/>
  <c r="AH256" i="2"/>
  <c r="AH306" i="2"/>
  <c r="AH290" i="2"/>
  <c r="AH208" i="2"/>
  <c r="AH297" i="2"/>
  <c r="AH246" i="2"/>
  <c r="AH251" i="2"/>
  <c r="AH206" i="2"/>
  <c r="AH227" i="2"/>
  <c r="AH236" i="2"/>
  <c r="AH318" i="2"/>
  <c r="AH254" i="2"/>
  <c r="AH291" i="2"/>
  <c r="AH221" i="2"/>
  <c r="AH298" i="2"/>
  <c r="AH219" i="2"/>
  <c r="AH207" i="2"/>
  <c r="AH316" i="2"/>
  <c r="AH205" i="2"/>
  <c r="AH258" i="2"/>
  <c r="AH319" i="2"/>
  <c r="AH288" i="2"/>
  <c r="AH260" i="2"/>
  <c r="AH305" i="2"/>
  <c r="AH212" i="2"/>
  <c r="AH239" i="2"/>
  <c r="AH259" i="2"/>
  <c r="AH233" i="2"/>
  <c r="AH231" i="2"/>
  <c r="AH232" i="2"/>
  <c r="AH237" i="2"/>
  <c r="AH234" i="2"/>
  <c r="AH263" i="2"/>
  <c r="B32" i="2"/>
  <c r="AH32" i="2"/>
  <c r="A351" i="2"/>
  <c r="AE23" i="2"/>
  <c r="AH28" i="2"/>
  <c r="B28" i="2"/>
  <c r="AH22" i="2"/>
  <c r="B22" i="2"/>
  <c r="B31" i="2"/>
  <c r="AH31" i="2"/>
  <c r="A455" i="2"/>
  <c r="AE24" i="2"/>
  <c r="AH21" i="2"/>
  <c r="B21" i="2"/>
  <c r="AE684" i="44" l="1"/>
  <c r="AB684" i="44" s="1"/>
  <c r="AE683" i="44"/>
  <c r="AC65" i="2"/>
  <c r="AE713" i="2"/>
  <c r="AE714" i="2"/>
  <c r="AB714" i="2" s="1"/>
  <c r="AE715" i="2"/>
  <c r="AC715" i="2" s="1"/>
  <c r="AB715" i="2"/>
  <c r="AE691" i="44"/>
  <c r="AB691" i="44" s="1"/>
  <c r="AE65" i="44"/>
  <c r="AC65" i="44" s="1"/>
  <c r="AB65" i="44"/>
  <c r="AE65" i="2"/>
  <c r="AB65" i="2"/>
  <c r="AH65" i="2"/>
  <c r="AC109" i="44"/>
  <c r="AE671" i="2"/>
  <c r="AC671" i="2" s="1"/>
  <c r="AB671" i="2"/>
  <c r="AE109" i="44"/>
  <c r="AB109" i="44"/>
  <c r="AE108" i="44"/>
  <c r="AE714" i="44"/>
  <c r="AB714" i="44" s="1"/>
  <c r="AE713" i="44"/>
  <c r="AB671" i="44"/>
  <c r="AE671" i="44"/>
  <c r="AC671" i="44" s="1"/>
  <c r="J108" i="23"/>
  <c r="K712" i="2"/>
  <c r="K711" i="44"/>
  <c r="K711" i="2"/>
  <c r="K712" i="44"/>
  <c r="AE690" i="2"/>
  <c r="AB690" i="2" s="1"/>
  <c r="AE689" i="2"/>
  <c r="AE715" i="44"/>
  <c r="AC715" i="44" s="1"/>
  <c r="AB715" i="44"/>
  <c r="AE62" i="44"/>
  <c r="AB62" i="44" s="1"/>
  <c r="S42" i="44"/>
  <c r="AH62" i="44" s="1"/>
  <c r="AE64" i="44"/>
  <c r="AC64" i="44" s="1"/>
  <c r="AB64" i="44"/>
  <c r="AE694" i="2"/>
  <c r="AC694" i="2" s="1"/>
  <c r="AB694" i="2"/>
  <c r="AI700" i="2"/>
  <c r="M700" i="2"/>
  <c r="V700" i="2"/>
  <c r="W700" i="2" s="1"/>
  <c r="L700" i="2"/>
  <c r="S700" i="2"/>
  <c r="T700" i="2"/>
  <c r="A72" i="44"/>
  <c r="AE71" i="44"/>
  <c r="AE705" i="44"/>
  <c r="AB705" i="44" s="1"/>
  <c r="AE704" i="44"/>
  <c r="T42" i="44"/>
  <c r="AC62" i="44"/>
  <c r="V81" i="44"/>
  <c r="L81" i="44"/>
  <c r="M81" i="44"/>
  <c r="T81" i="44"/>
  <c r="AK81" i="44"/>
  <c r="AJ18" i="44" s="1"/>
  <c r="S81" i="44"/>
  <c r="L699" i="2"/>
  <c r="S699" i="2"/>
  <c r="AI699" i="2"/>
  <c r="M699" i="2"/>
  <c r="V699" i="2"/>
  <c r="W699" i="2" s="1"/>
  <c r="T699" i="2"/>
  <c r="AE689" i="44"/>
  <c r="AE690" i="44"/>
  <c r="AB690" i="44" s="1"/>
  <c r="W671" i="2"/>
  <c r="M81" i="2"/>
  <c r="AK81" i="2"/>
  <c r="AJ18" i="2" s="1"/>
  <c r="V81" i="2"/>
  <c r="L81" i="2"/>
  <c r="S81" i="2"/>
  <c r="T81" i="2"/>
  <c r="AE64" i="2"/>
  <c r="AC64" i="2" s="1"/>
  <c r="AH64" i="2"/>
  <c r="AB64" i="2"/>
  <c r="S700" i="44"/>
  <c r="M700" i="44"/>
  <c r="T700" i="44"/>
  <c r="V700" i="44"/>
  <c r="W700" i="44" s="1"/>
  <c r="AI700" i="44"/>
  <c r="L700" i="44"/>
  <c r="AE693" i="2"/>
  <c r="AC693" i="2" s="1"/>
  <c r="AE692" i="2"/>
  <c r="AB693" i="2"/>
  <c r="L699" i="44"/>
  <c r="T699" i="44"/>
  <c r="M699" i="44"/>
  <c r="S699" i="44"/>
  <c r="AI699" i="44"/>
  <c r="V699" i="44"/>
  <c r="W699" i="44" s="1"/>
  <c r="AE691" i="2"/>
  <c r="AB691" i="2" s="1"/>
  <c r="AE705" i="2"/>
  <c r="AB705" i="2" s="1"/>
  <c r="AE704" i="2"/>
  <c r="AE62" i="2"/>
  <c r="AB62" i="2" s="1"/>
  <c r="AH62" i="2"/>
  <c r="S42" i="2"/>
  <c r="W62" i="44"/>
  <c r="W42" i="44" s="1"/>
  <c r="W17" i="44" s="1"/>
  <c r="V42" i="44"/>
  <c r="AE110" i="44"/>
  <c r="AC110" i="44" s="1"/>
  <c r="AB110" i="44"/>
  <c r="AE685" i="2"/>
  <c r="AC685" i="2" s="1"/>
  <c r="AB685" i="2"/>
  <c r="AI718" i="44"/>
  <c r="M718" i="44"/>
  <c r="L718" i="44"/>
  <c r="V718" i="44"/>
  <c r="W718" i="44" s="1"/>
  <c r="S718" i="44"/>
  <c r="T718" i="44"/>
  <c r="AC62" i="2"/>
  <c r="T42" i="2"/>
  <c r="AE706" i="2"/>
  <c r="AC706" i="2" s="1"/>
  <c r="AB706" i="2"/>
  <c r="T688" i="44"/>
  <c r="S688" i="44"/>
  <c r="AI688" i="44"/>
  <c r="M688" i="44"/>
  <c r="L688" i="44"/>
  <c r="V688" i="44"/>
  <c r="W688" i="44" s="1"/>
  <c r="AE684" i="2"/>
  <c r="AB684" i="2" s="1"/>
  <c r="AE683" i="2"/>
  <c r="AE108" i="2"/>
  <c r="AE110" i="2"/>
  <c r="AB110" i="2" s="1"/>
  <c r="V717" i="2"/>
  <c r="W717" i="2" s="1"/>
  <c r="M717" i="2"/>
  <c r="AI717" i="2"/>
  <c r="T717" i="2"/>
  <c r="S717" i="2"/>
  <c r="L717" i="2"/>
  <c r="A72" i="2"/>
  <c r="AE71" i="2"/>
  <c r="AB71" i="2" s="1"/>
  <c r="AE706" i="44"/>
  <c r="AB706" i="44" s="1"/>
  <c r="W671" i="44"/>
  <c r="AE694" i="44"/>
  <c r="AC694" i="44" s="1"/>
  <c r="AB694" i="44"/>
  <c r="AI687" i="44"/>
  <c r="T687" i="44"/>
  <c r="L687" i="44"/>
  <c r="M687" i="44"/>
  <c r="V687" i="44"/>
  <c r="W687" i="44" s="1"/>
  <c r="S687" i="44"/>
  <c r="AE685" i="44"/>
  <c r="AC685" i="44" s="1"/>
  <c r="AB685" i="44"/>
  <c r="AI717" i="44"/>
  <c r="T717" i="44"/>
  <c r="S717" i="44"/>
  <c r="M717" i="44"/>
  <c r="L717" i="44"/>
  <c r="V717" i="44"/>
  <c r="W717" i="44" s="1"/>
  <c r="AE109" i="2"/>
  <c r="AC109" i="2" s="1"/>
  <c r="AB109" i="2"/>
  <c r="AE693" i="44"/>
  <c r="AC693" i="44" s="1"/>
  <c r="AE692" i="44"/>
  <c r="AB693" i="44"/>
  <c r="AI687" i="2"/>
  <c r="M687" i="2"/>
  <c r="V687" i="2"/>
  <c r="W687" i="2" s="1"/>
  <c r="L687" i="2"/>
  <c r="S687" i="2"/>
  <c r="T687" i="2"/>
  <c r="AI718" i="2"/>
  <c r="L718" i="2"/>
  <c r="V718" i="2"/>
  <c r="W718" i="2" s="1"/>
  <c r="M718" i="2"/>
  <c r="S718" i="2"/>
  <c r="T718" i="2"/>
  <c r="W62" i="2"/>
  <c r="W42" i="2" s="1"/>
  <c r="W17" i="2" s="1"/>
  <c r="V42" i="2"/>
  <c r="M688" i="2"/>
  <c r="L688" i="2"/>
  <c r="AI688" i="2"/>
  <c r="V688" i="2"/>
  <c r="W688" i="2" s="1"/>
  <c r="T688" i="2"/>
  <c r="S688" i="2"/>
  <c r="AD113" i="17"/>
  <c r="AD97" i="17"/>
  <c r="AD31" i="17"/>
  <c r="AD13" i="17"/>
  <c r="AD20" i="17" s="1"/>
  <c r="AD17" i="17"/>
  <c r="AD18" i="17" s="1"/>
  <c r="AD24" i="17" s="1"/>
  <c r="AJ8" i="17"/>
  <c r="U113" i="17"/>
  <c r="U13" i="17"/>
  <c r="U20" i="17" s="1"/>
  <c r="U88" i="17"/>
  <c r="U87" i="17" s="1"/>
  <c r="U31" i="17"/>
  <c r="U17" i="17"/>
  <c r="U18" i="17" s="1"/>
  <c r="U24" i="17" s="1"/>
  <c r="Z9" i="17"/>
  <c r="Z10" i="17"/>
  <c r="Z11" i="17" s="1"/>
  <c r="AJ82" i="17"/>
  <c r="AA9" i="17"/>
  <c r="AA10" i="17"/>
  <c r="AA11" i="17" s="1"/>
  <c r="S59" i="20"/>
  <c r="S65" i="20" s="1"/>
  <c r="S87" i="20" s="1"/>
  <c r="S60" i="20"/>
  <c r="S74" i="20" s="1"/>
  <c r="S95" i="20" s="1"/>
  <c r="S58" i="20"/>
  <c r="S64" i="20" s="1"/>
  <c r="S86" i="20" s="1"/>
  <c r="T113" i="17"/>
  <c r="T13" i="17"/>
  <c r="T20" i="17" s="1"/>
  <c r="T31" i="17"/>
  <c r="T88" i="17"/>
  <c r="T87" i="17" s="1"/>
  <c r="T17" i="17"/>
  <c r="T18" i="17" s="1"/>
  <c r="T24" i="17" s="1"/>
  <c r="T97" i="17"/>
  <c r="Y9" i="17"/>
  <c r="Y10" i="17"/>
  <c r="Y11" i="17" s="1"/>
  <c r="AC9" i="17"/>
  <c r="AC10" i="17"/>
  <c r="AC11" i="17" s="1"/>
  <c r="V9" i="17"/>
  <c r="AJ9" i="17" s="1"/>
  <c r="V10" i="17"/>
  <c r="V11" i="17" s="1"/>
  <c r="X9" i="17"/>
  <c r="X10" i="17" s="1"/>
  <c r="AE97" i="17"/>
  <c r="AE13" i="17"/>
  <c r="AE20" i="17" s="1"/>
  <c r="AE17" i="17"/>
  <c r="AE18" i="17" s="1"/>
  <c r="AE24" i="17" s="1"/>
  <c r="AE25" i="17" s="1"/>
  <c r="AE26" i="17" s="1"/>
  <c r="AE27" i="17" s="1"/>
  <c r="AE113" i="17"/>
  <c r="AE31" i="17"/>
  <c r="AB9" i="17"/>
  <c r="AB10" i="17"/>
  <c r="AB11" i="17" s="1"/>
  <c r="V11" i="20"/>
  <c r="H32" i="20"/>
  <c r="H47" i="20"/>
  <c r="G18" i="20"/>
  <c r="G33" i="20"/>
  <c r="G79" i="20" s="1"/>
  <c r="G5" i="20"/>
  <c r="G15" i="20"/>
  <c r="G16" i="20" s="1"/>
  <c r="G62" i="20" s="1"/>
  <c r="G38" i="20"/>
  <c r="G4" i="20"/>
  <c r="G3" i="20"/>
  <c r="G2" i="20"/>
  <c r="G46" i="20"/>
  <c r="G83" i="20" s="1"/>
  <c r="G100" i="20" s="1"/>
  <c r="S42" i="20"/>
  <c r="S78" i="20" s="1"/>
  <c r="S43" i="20"/>
  <c r="S67" i="20" s="1"/>
  <c r="S88" i="20" s="1"/>
  <c r="S44" i="20"/>
  <c r="S75" i="20" s="1"/>
  <c r="S96" i="20" s="1"/>
  <c r="S82" i="20"/>
  <c r="S99" i="20" s="1"/>
  <c r="G51" i="20"/>
  <c r="G76" i="20" s="1"/>
  <c r="G97" i="20" s="1"/>
  <c r="G50" i="20"/>
  <c r="G68" i="20" s="1"/>
  <c r="G89" i="20" s="1"/>
  <c r="G49" i="20"/>
  <c r="G81" i="20" s="1"/>
  <c r="S73" i="20"/>
  <c r="S94" i="20" s="1"/>
  <c r="S34" i="20"/>
  <c r="S37" i="20"/>
  <c r="S80" i="20" s="1"/>
  <c r="W113" i="17"/>
  <c r="W97" i="17"/>
  <c r="W13" i="17"/>
  <c r="W20" i="17" s="1"/>
  <c r="W31" i="17"/>
  <c r="W17" i="17"/>
  <c r="W18" i="17" s="1"/>
  <c r="W24" i="17" s="1"/>
  <c r="W88" i="17"/>
  <c r="W87" i="17" s="1"/>
  <c r="Q1118" i="44"/>
  <c r="O1118" i="44"/>
  <c r="A1119" i="44"/>
  <c r="A1120" i="44" s="1"/>
  <c r="A1121" i="44" s="1"/>
  <c r="A1122" i="44" s="1"/>
  <c r="A1123" i="44" s="1"/>
  <c r="A1124" i="44" s="1"/>
  <c r="A1125" i="44" s="1"/>
  <c r="A1126" i="44" s="1"/>
  <c r="A1127" i="44" s="1"/>
  <c r="A1128" i="44" s="1"/>
  <c r="A1129" i="44" s="1"/>
  <c r="A1130" i="44" s="1"/>
  <c r="A1131" i="44" s="1"/>
  <c r="A1132" i="44" s="1"/>
  <c r="A1133" i="44" s="1"/>
  <c r="A1134" i="44" s="1"/>
  <c r="A1135" i="44" s="1"/>
  <c r="A1136" i="44" s="1"/>
  <c r="A1137" i="44" s="1"/>
  <c r="A1138" i="44" s="1"/>
  <c r="A1139" i="44" s="1"/>
  <c r="A1140" i="44" s="1"/>
  <c r="A1141" i="44" s="1"/>
  <c r="A1142" i="44" s="1"/>
  <c r="A1143" i="44" s="1"/>
  <c r="A1144" i="44" s="1"/>
  <c r="A1145" i="44" s="1"/>
  <c r="A1146" i="44" s="1"/>
  <c r="A1147" i="44" s="1"/>
  <c r="A1148" i="44" s="1"/>
  <c r="A1149" i="44" s="1"/>
  <c r="A1150" i="44" s="1"/>
  <c r="A1151" i="44" s="1"/>
  <c r="A1152" i="44" s="1"/>
  <c r="A1153" i="44" s="1"/>
  <c r="A1154" i="44" s="1"/>
  <c r="A1155" i="44" s="1"/>
  <c r="A1156" i="44" s="1"/>
  <c r="A1157" i="44" s="1"/>
  <c r="A1158" i="44" s="1"/>
  <c r="A1159" i="44" s="1"/>
  <c r="A1160" i="44" s="1"/>
  <c r="A1161" i="44" s="1"/>
  <c r="A1162" i="44" s="1"/>
  <c r="A1163" i="44" s="1"/>
  <c r="A1164" i="44" s="1"/>
  <c r="A1165" i="44" s="1"/>
  <c r="A1166" i="44" s="1"/>
  <c r="A1167" i="44" s="1"/>
  <c r="A1168" i="44" s="1"/>
  <c r="A1169" i="44" s="1"/>
  <c r="A1170" i="44" s="1"/>
  <c r="A1171" i="44" s="1"/>
  <c r="A1172" i="44" s="1"/>
  <c r="A1173" i="44" s="1"/>
  <c r="A1174" i="44" s="1"/>
  <c r="A1175" i="44" s="1"/>
  <c r="A1176" i="44" s="1"/>
  <c r="A1177" i="44" s="1"/>
  <c r="A1178" i="44" s="1"/>
  <c r="A1179" i="44" s="1"/>
  <c r="A1180" i="44" s="1"/>
  <c r="A1181" i="44" s="1"/>
  <c r="A1182" i="44" s="1"/>
  <c r="A1183" i="44" s="1"/>
  <c r="A1184" i="44" s="1"/>
  <c r="A1185" i="44" s="1"/>
  <c r="A1186" i="44" s="1"/>
  <c r="A1187" i="44" s="1"/>
  <c r="A1188" i="44" s="1"/>
  <c r="A1189" i="44" s="1"/>
  <c r="A1190" i="44" s="1"/>
  <c r="A1191" i="44" s="1"/>
  <c r="A1192" i="44" s="1"/>
  <c r="A1193" i="44" s="1"/>
  <c r="A1194" i="44" s="1"/>
  <c r="A1195" i="44" s="1"/>
  <c r="Q917" i="44"/>
  <c r="O917" i="44"/>
  <c r="A918" i="44"/>
  <c r="A919" i="44" s="1"/>
  <c r="A920" i="44" s="1"/>
  <c r="A921" i="44" s="1"/>
  <c r="A922" i="44" s="1"/>
  <c r="A923" i="44" s="1"/>
  <c r="A924" i="44" s="1"/>
  <c r="A925" i="44" s="1"/>
  <c r="A926" i="44" s="1"/>
  <c r="A927" i="44" s="1"/>
  <c r="A928" i="44" s="1"/>
  <c r="A929" i="44" s="1"/>
  <c r="A930" i="44" s="1"/>
  <c r="A931" i="44" s="1"/>
  <c r="A932" i="44" s="1"/>
  <c r="A933" i="44" s="1"/>
  <c r="A934" i="44" s="1"/>
  <c r="A935" i="44" s="1"/>
  <c r="A936" i="44" s="1"/>
  <c r="A937" i="44" s="1"/>
  <c r="A938" i="44" s="1"/>
  <c r="A939" i="44" s="1"/>
  <c r="A940" i="44" s="1"/>
  <c r="A941" i="44" s="1"/>
  <c r="A942" i="44" s="1"/>
  <c r="A943" i="44" s="1"/>
  <c r="A944" i="44" s="1"/>
  <c r="A945" i="44" s="1"/>
  <c r="A946" i="44" s="1"/>
  <c r="A947" i="44" s="1"/>
  <c r="A948" i="44" s="1"/>
  <c r="A949" i="44" s="1"/>
  <c r="A950" i="44" s="1"/>
  <c r="A951" i="44" s="1"/>
  <c r="A952" i="44" s="1"/>
  <c r="A953" i="44" s="1"/>
  <c r="A954" i="44" s="1"/>
  <c r="A955" i="44" s="1"/>
  <c r="A956" i="44" s="1"/>
  <c r="A957" i="44" s="1"/>
  <c r="A958" i="44" s="1"/>
  <c r="A959" i="44" s="1"/>
  <c r="B20" i="44"/>
  <c r="AH20" i="44"/>
  <c r="AH6" i="44"/>
  <c r="A455" i="44"/>
  <c r="AE24" i="44"/>
  <c r="Q118" i="44"/>
  <c r="O118" i="44"/>
  <c r="A119" i="44"/>
  <c r="A120" i="44" s="1"/>
  <c r="A121" i="44" s="1"/>
  <c r="A122" i="44" s="1"/>
  <c r="A123" i="44" s="1"/>
  <c r="A124" i="44" s="1"/>
  <c r="A125" i="44" s="1"/>
  <c r="A126" i="44" s="1"/>
  <c r="A127" i="44" s="1"/>
  <c r="A128" i="44" s="1"/>
  <c r="A129" i="44" s="1"/>
  <c r="A130" i="44" s="1"/>
  <c r="A131" i="44" s="1"/>
  <c r="A132" i="44" s="1"/>
  <c r="A133" i="44" s="1"/>
  <c r="A134" i="44" s="1"/>
  <c r="A135" i="44" s="1"/>
  <c r="A136" i="44" s="1"/>
  <c r="A137" i="44" s="1"/>
  <c r="A138" i="44" s="1"/>
  <c r="A139" i="44" s="1"/>
  <c r="A140" i="44" s="1"/>
  <c r="A141" i="44" s="1"/>
  <c r="A142" i="44" s="1"/>
  <c r="A143" i="44" s="1"/>
  <c r="A144" i="44" s="1"/>
  <c r="A145" i="44" s="1"/>
  <c r="A146" i="44" s="1"/>
  <c r="A147" i="44" s="1"/>
  <c r="A148" i="44" s="1"/>
  <c r="A149" i="44" s="1"/>
  <c r="A150" i="44" s="1"/>
  <c r="A151" i="44" s="1"/>
  <c r="A152" i="44" s="1"/>
  <c r="A153" i="44" s="1"/>
  <c r="A154" i="44" s="1"/>
  <c r="A155" i="44" s="1"/>
  <c r="A156" i="44" s="1"/>
  <c r="A157" i="44" s="1"/>
  <c r="A158" i="44" s="1"/>
  <c r="A159" i="44" s="1"/>
  <c r="A160" i="44" s="1"/>
  <c r="A161" i="44" s="1"/>
  <c r="A162" i="44" s="1"/>
  <c r="A163" i="44" s="1"/>
  <c r="A164" i="44" s="1"/>
  <c r="A165" i="44" s="1"/>
  <c r="A166" i="44" s="1"/>
  <c r="A167" i="44" s="1"/>
  <c r="A168" i="44" s="1"/>
  <c r="A169" i="44" s="1"/>
  <c r="A170" i="44" s="1"/>
  <c r="A171" i="44" s="1"/>
  <c r="A172" i="44" s="1"/>
  <c r="A173" i="44" s="1"/>
  <c r="A174" i="44" s="1"/>
  <c r="A175" i="44" s="1"/>
  <c r="A176" i="44" s="1"/>
  <c r="A177" i="44" s="1"/>
  <c r="A178" i="44" s="1"/>
  <c r="A179" i="44" s="1"/>
  <c r="A180" i="44" s="1"/>
  <c r="A181" i="44" s="1"/>
  <c r="A182" i="44" s="1"/>
  <c r="A183" i="44" s="1"/>
  <c r="A184" i="44" s="1"/>
  <c r="A185" i="44" s="1"/>
  <c r="A186" i="44" s="1"/>
  <c r="A187" i="44" s="1"/>
  <c r="A188" i="44" s="1"/>
  <c r="A189" i="44" s="1"/>
  <c r="A190" i="44" s="1"/>
  <c r="A191" i="44" s="1"/>
  <c r="A192" i="44" s="1"/>
  <c r="A193" i="44" s="1"/>
  <c r="A194" i="44" s="1"/>
  <c r="A195" i="44" s="1"/>
  <c r="A196" i="44" s="1"/>
  <c r="A197" i="44" s="1"/>
  <c r="A198" i="44" s="1"/>
  <c r="A199" i="44" s="1"/>
  <c r="A200" i="44" s="1"/>
  <c r="A201" i="44" s="1"/>
  <c r="A202" i="44" s="1"/>
  <c r="A203" i="44" s="1"/>
  <c r="Q279" i="44"/>
  <c r="O279" i="44"/>
  <c r="A280" i="44"/>
  <c r="A281" i="44" s="1"/>
  <c r="A282" i="44" s="1"/>
  <c r="A283" i="44" s="1"/>
  <c r="A284" i="44" s="1"/>
  <c r="A285" i="44" s="1"/>
  <c r="A286" i="44" s="1"/>
  <c r="A287" i="44" s="1"/>
  <c r="A288" i="44" s="1"/>
  <c r="A289" i="44" s="1"/>
  <c r="A290" i="44" s="1"/>
  <c r="A291" i="44" s="1"/>
  <c r="A292" i="44" s="1"/>
  <c r="A293" i="44" s="1"/>
  <c r="A294" i="44" s="1"/>
  <c r="A295" i="44" s="1"/>
  <c r="A296" i="44" s="1"/>
  <c r="A297" i="44" s="1"/>
  <c r="A298" i="44" s="1"/>
  <c r="A299" i="44" s="1"/>
  <c r="A300" i="44" s="1"/>
  <c r="A301" i="44" s="1"/>
  <c r="A302" i="44" s="1"/>
  <c r="A303" i="44" s="1"/>
  <c r="A304" i="44" s="1"/>
  <c r="A305" i="44" s="1"/>
  <c r="A306" i="44" s="1"/>
  <c r="A307" i="44" s="1"/>
  <c r="A308" i="44" s="1"/>
  <c r="A309" i="44" s="1"/>
  <c r="A310" i="44" s="1"/>
  <c r="A311" i="44" s="1"/>
  <c r="A312" i="44" s="1"/>
  <c r="A313" i="44" s="1"/>
  <c r="A314" i="44" s="1"/>
  <c r="A315" i="44" s="1"/>
  <c r="A316" i="44" s="1"/>
  <c r="A317" i="44" s="1"/>
  <c r="A318" i="44" s="1"/>
  <c r="A319" i="44" s="1"/>
  <c r="A320" i="44" s="1"/>
  <c r="A321" i="44" s="1"/>
  <c r="A322" i="44" s="1"/>
  <c r="A323" i="44" s="1"/>
  <c r="A324" i="44" s="1"/>
  <c r="A325" i="44" s="1"/>
  <c r="A326" i="44" s="1"/>
  <c r="A327" i="44" s="1"/>
  <c r="A328" i="44" s="1"/>
  <c r="A329" i="44" s="1"/>
  <c r="A330" i="44" s="1"/>
  <c r="Q961" i="44"/>
  <c r="A964" i="44"/>
  <c r="A967" i="44" s="1"/>
  <c r="A970" i="44" s="1"/>
  <c r="A973" i="44" s="1"/>
  <c r="A976" i="44" s="1"/>
  <c r="A979" i="44" s="1"/>
  <c r="A982" i="44" s="1"/>
  <c r="A985" i="44" s="1"/>
  <c r="A988" i="44" s="1"/>
  <c r="A991" i="44" s="1"/>
  <c r="A994" i="44" s="1"/>
  <c r="A997" i="44" s="1"/>
  <c r="A1000" i="44" s="1"/>
  <c r="A1003" i="44" s="1"/>
  <c r="A1006" i="44" s="1"/>
  <c r="A1009" i="44" s="1"/>
  <c r="A1012" i="44" s="1"/>
  <c r="A1015" i="44" s="1"/>
  <c r="A1018" i="44" s="1"/>
  <c r="A1021" i="44" s="1"/>
  <c r="A1024" i="44" s="1"/>
  <c r="A1027" i="44" s="1"/>
  <c r="A1030" i="44" s="1"/>
  <c r="A1033" i="44" s="1"/>
  <c r="A1036" i="44" s="1"/>
  <c r="A1039" i="44" s="1"/>
  <c r="A1042" i="44" s="1"/>
  <c r="A1045" i="44" s="1"/>
  <c r="A1048" i="44" s="1"/>
  <c r="A1051" i="44" s="1"/>
  <c r="A1054" i="44" s="1"/>
  <c r="A1057" i="44" s="1"/>
  <c r="A1060" i="44" s="1"/>
  <c r="A1063" i="44" s="1"/>
  <c r="A1066" i="44" s="1"/>
  <c r="A1069" i="44" s="1"/>
  <c r="A1072" i="44" s="1"/>
  <c r="A1075" i="44" s="1"/>
  <c r="A1078" i="44" s="1"/>
  <c r="A1081" i="44" s="1"/>
  <c r="A1084" i="44" s="1"/>
  <c r="A1087" i="44" s="1"/>
  <c r="A1090" i="44" s="1"/>
  <c r="A1093" i="44" s="1"/>
  <c r="A1096" i="44" s="1"/>
  <c r="A1099" i="44" s="1"/>
  <c r="A1102" i="44" s="1"/>
  <c r="A1105" i="44" s="1"/>
  <c r="A1108" i="44" s="1"/>
  <c r="A1111" i="44" s="1"/>
  <c r="A1114" i="44" s="1"/>
  <c r="A1117" i="44" s="1"/>
  <c r="O961" i="44"/>
  <c r="A869" i="44"/>
  <c r="AE31" i="44"/>
  <c r="O1196" i="44"/>
  <c r="Q1196" i="44"/>
  <c r="A1197" i="44"/>
  <c r="A1198" i="44" s="1"/>
  <c r="A1199" i="44" s="1"/>
  <c r="A1200" i="44" s="1"/>
  <c r="A1201" i="44" s="1"/>
  <c r="A1202" i="44" s="1"/>
  <c r="A1203" i="44" s="1"/>
  <c r="A1204" i="44" s="1"/>
  <c r="A1205" i="44" s="1"/>
  <c r="A1206" i="44" s="1"/>
  <c r="A1207" i="44" s="1"/>
  <c r="A1208" i="44" s="1"/>
  <c r="A1209" i="44" s="1"/>
  <c r="A1210" i="44" s="1"/>
  <c r="A1211" i="44" s="1"/>
  <c r="A1212" i="44" s="1"/>
  <c r="A1213" i="44" s="1"/>
  <c r="A1214" i="44" s="1"/>
  <c r="A1215" i="44" s="1"/>
  <c r="A1216" i="44" s="1"/>
  <c r="A1217" i="44" s="1"/>
  <c r="A1218" i="44" s="1"/>
  <c r="A1219" i="44" s="1"/>
  <c r="A1220" i="44" s="1"/>
  <c r="A1221" i="44" s="1"/>
  <c r="A1222" i="44" s="1"/>
  <c r="A1223" i="44" s="1"/>
  <c r="A1224" i="44" s="1"/>
  <c r="A1225" i="44" s="1"/>
  <c r="A1226" i="44" s="1"/>
  <c r="A352" i="44"/>
  <c r="A353" i="44" s="1"/>
  <c r="A354" i="44" s="1"/>
  <c r="A355" i="44" s="1"/>
  <c r="A356" i="44" s="1"/>
  <c r="A357" i="44" s="1"/>
  <c r="A358" i="44" s="1"/>
  <c r="A359" i="44" s="1"/>
  <c r="A360" i="44" s="1"/>
  <c r="A361" i="44" s="1"/>
  <c r="A362" i="44" s="1"/>
  <c r="A363" i="44" s="1"/>
  <c r="A364" i="44" s="1"/>
  <c r="A365" i="44" s="1"/>
  <c r="A366" i="44" s="1"/>
  <c r="A367" i="44" s="1"/>
  <c r="A368" i="44" s="1"/>
  <c r="A369" i="44" s="1"/>
  <c r="A370" i="44" s="1"/>
  <c r="A371" i="44" s="1"/>
  <c r="A372" i="44" s="1"/>
  <c r="A373" i="44" s="1"/>
  <c r="A374" i="44" s="1"/>
  <c r="A375" i="44" s="1"/>
  <c r="A376" i="44" s="1"/>
  <c r="A377" i="44" s="1"/>
  <c r="A378" i="44" s="1"/>
  <c r="A379" i="44" s="1"/>
  <c r="A380" i="44" s="1"/>
  <c r="A381" i="44" s="1"/>
  <c r="A382" i="44" s="1"/>
  <c r="A383" i="44" s="1"/>
  <c r="A384" i="44" s="1"/>
  <c r="A385" i="44" s="1"/>
  <c r="A386" i="44" s="1"/>
  <c r="A387" i="44" s="1"/>
  <c r="A388" i="44" s="1"/>
  <c r="A389" i="44" s="1"/>
  <c r="A390" i="44" s="1"/>
  <c r="A391" i="44" s="1"/>
  <c r="A392" i="44" s="1"/>
  <c r="A393" i="44" s="1"/>
  <c r="A394" i="44" s="1"/>
  <c r="A395" i="44" s="1"/>
  <c r="A396" i="44" s="1"/>
  <c r="A397" i="44" s="1"/>
  <c r="A398" i="44" s="1"/>
  <c r="A399" i="44" s="1"/>
  <c r="A400" i="44" s="1"/>
  <c r="A401" i="44" s="1"/>
  <c r="A402" i="44" s="1"/>
  <c r="A403" i="44" s="1"/>
  <c r="A404" i="44" s="1"/>
  <c r="A405" i="44" s="1"/>
  <c r="A406" i="44" s="1"/>
  <c r="A407" i="44" s="1"/>
  <c r="A408" i="44" s="1"/>
  <c r="A409" i="44" s="1"/>
  <c r="A410" i="44" s="1"/>
  <c r="A411" i="44" s="1"/>
  <c r="A412" i="44" s="1"/>
  <c r="A413" i="44" s="1"/>
  <c r="A414" i="44" s="1"/>
  <c r="A415" i="44" s="1"/>
  <c r="A416" i="44" s="1"/>
  <c r="A417" i="44" s="1"/>
  <c r="A418" i="44" s="1"/>
  <c r="A419" i="44" s="1"/>
  <c r="A420" i="44" s="1"/>
  <c r="A421" i="44" s="1"/>
  <c r="A422" i="44" s="1"/>
  <c r="A423" i="44" s="1"/>
  <c r="A424" i="44" s="1"/>
  <c r="A425" i="44" s="1"/>
  <c r="A426" i="44" s="1"/>
  <c r="A427" i="44" s="1"/>
  <c r="A428" i="44" s="1"/>
  <c r="A429" i="44" s="1"/>
  <c r="A430" i="44" s="1"/>
  <c r="A431" i="44" s="1"/>
  <c r="A432" i="44" s="1"/>
  <c r="A433" i="44" s="1"/>
  <c r="A434" i="44" s="1"/>
  <c r="A435" i="44" s="1"/>
  <c r="A436" i="44" s="1"/>
  <c r="A437" i="44" s="1"/>
  <c r="A438" i="44" s="1"/>
  <c r="A439" i="44" s="1"/>
  <c r="A440" i="44" s="1"/>
  <c r="A441" i="44" s="1"/>
  <c r="A442" i="44" s="1"/>
  <c r="A443" i="44" s="1"/>
  <c r="A444" i="44" s="1"/>
  <c r="A445" i="44" s="1"/>
  <c r="A446" i="44" s="1"/>
  <c r="A447" i="44" s="1"/>
  <c r="A448" i="44" s="1"/>
  <c r="A449" i="44" s="1"/>
  <c r="A450" i="44" s="1"/>
  <c r="A451" i="44" s="1"/>
  <c r="A452" i="44" s="1"/>
  <c r="A453" i="44" s="1"/>
  <c r="A454" i="44" s="1"/>
  <c r="Q351" i="44"/>
  <c r="O351" i="44"/>
  <c r="O835" i="44"/>
  <c r="Q835" i="44"/>
  <c r="A836" i="44"/>
  <c r="A837" i="44" s="1"/>
  <c r="A838" i="44" s="1"/>
  <c r="A839" i="44" s="1"/>
  <c r="A840" i="44" s="1"/>
  <c r="A841" i="44" s="1"/>
  <c r="A842" i="44" s="1"/>
  <c r="A843" i="44" s="1"/>
  <c r="A844" i="44" s="1"/>
  <c r="A845" i="44" s="1"/>
  <c r="A846" i="44" s="1"/>
  <c r="A847" i="44" s="1"/>
  <c r="A848" i="44" s="1"/>
  <c r="A849" i="44" s="1"/>
  <c r="A850" i="44" s="1"/>
  <c r="A851" i="44" s="1"/>
  <c r="A852" i="44" s="1"/>
  <c r="A853" i="44" s="1"/>
  <c r="A854" i="44" s="1"/>
  <c r="A855" i="44" s="1"/>
  <c r="A856" i="44" s="1"/>
  <c r="A857" i="44" s="1"/>
  <c r="A858" i="44" s="1"/>
  <c r="A859" i="44" s="1"/>
  <c r="A860" i="44" s="1"/>
  <c r="A861" i="44" s="1"/>
  <c r="A862" i="44" s="1"/>
  <c r="A863" i="44" s="1"/>
  <c r="A864" i="44" s="1"/>
  <c r="A865" i="44" s="1"/>
  <c r="A866" i="44" s="1"/>
  <c r="A867" i="44" s="1"/>
  <c r="A868" i="44" s="1"/>
  <c r="A720" i="44"/>
  <c r="AE28" i="44"/>
  <c r="Q331" i="44"/>
  <c r="O331" i="44"/>
  <c r="A332" i="44"/>
  <c r="A333" i="44" s="1"/>
  <c r="A334" i="44" s="1"/>
  <c r="A335" i="44" s="1"/>
  <c r="A336" i="44" s="1"/>
  <c r="A337" i="44" s="1"/>
  <c r="A338" i="44" s="1"/>
  <c r="A339" i="44" s="1"/>
  <c r="A340" i="44" s="1"/>
  <c r="A341" i="44" s="1"/>
  <c r="A342" i="44" s="1"/>
  <c r="A343" i="44" s="1"/>
  <c r="A344" i="44" s="1"/>
  <c r="A345" i="44" s="1"/>
  <c r="A346" i="44" s="1"/>
  <c r="A347" i="44" s="1"/>
  <c r="A348" i="44" s="1"/>
  <c r="A349" i="44" s="1"/>
  <c r="A350" i="44" s="1"/>
  <c r="Q745" i="44"/>
  <c r="O745" i="44"/>
  <c r="A746" i="44"/>
  <c r="A747" i="44" s="1"/>
  <c r="A748" i="44" s="1"/>
  <c r="A749" i="44" s="1"/>
  <c r="A750" i="44" s="1"/>
  <c r="A751" i="44" s="1"/>
  <c r="A752" i="44" s="1"/>
  <c r="A753" i="44" s="1"/>
  <c r="A754" i="44" s="1"/>
  <c r="A755" i="44" s="1"/>
  <c r="A756" i="44" s="1"/>
  <c r="A757" i="44" s="1"/>
  <c r="A758" i="44" s="1"/>
  <c r="A759" i="44" s="1"/>
  <c r="A760" i="44" s="1"/>
  <c r="A761" i="44" s="1"/>
  <c r="A762" i="44" s="1"/>
  <c r="A763" i="44" s="1"/>
  <c r="A764" i="44" s="1"/>
  <c r="A765" i="44" s="1"/>
  <c r="A766" i="44" s="1"/>
  <c r="A767" i="44" s="1"/>
  <c r="A768" i="44" s="1"/>
  <c r="A769" i="44" s="1"/>
  <c r="A770" i="44" s="1"/>
  <c r="A771" i="44" s="1"/>
  <c r="A772" i="44" s="1"/>
  <c r="A773" i="44" s="1"/>
  <c r="A774" i="44" s="1"/>
  <c r="A775" i="44" s="1"/>
  <c r="A776" i="44" s="1"/>
  <c r="A777" i="44" s="1"/>
  <c r="A778" i="44" s="1"/>
  <c r="A779" i="44" s="1"/>
  <c r="A780" i="44" s="1"/>
  <c r="A781" i="44" s="1"/>
  <c r="A782" i="44" s="1"/>
  <c r="A783" i="44" s="1"/>
  <c r="A784" i="44" s="1"/>
  <c r="A785" i="44" s="1"/>
  <c r="A786" i="44" s="1"/>
  <c r="A787" i="44" s="1"/>
  <c r="A788" i="44" s="1"/>
  <c r="A789" i="44" s="1"/>
  <c r="A790" i="44" s="1"/>
  <c r="A791" i="44" s="1"/>
  <c r="A792" i="44" s="1"/>
  <c r="A793" i="44" s="1"/>
  <c r="A794" i="44" s="1"/>
  <c r="A795" i="44" s="1"/>
  <c r="A796" i="44" s="1"/>
  <c r="A797" i="44" s="1"/>
  <c r="A798" i="44" s="1"/>
  <c r="A799" i="44" s="1"/>
  <c r="A800" i="44" s="1"/>
  <c r="A801" i="44" s="1"/>
  <c r="A802" i="44" s="1"/>
  <c r="A803" i="44" s="1"/>
  <c r="A804" i="44" s="1"/>
  <c r="A805" i="44" s="1"/>
  <c r="A806" i="44" s="1"/>
  <c r="A807" i="44" s="1"/>
  <c r="A808" i="44" s="1"/>
  <c r="A809" i="44" s="1"/>
  <c r="A810" i="44" s="1"/>
  <c r="A811" i="44" s="1"/>
  <c r="A812" i="44" s="1"/>
  <c r="A813" i="44" s="1"/>
  <c r="A814" i="44" s="1"/>
  <c r="A815" i="44" s="1"/>
  <c r="A816" i="44" s="1"/>
  <c r="A817" i="44" s="1"/>
  <c r="A818" i="44" s="1"/>
  <c r="A819" i="44" s="1"/>
  <c r="A820" i="44" s="1"/>
  <c r="A821" i="44" s="1"/>
  <c r="A822" i="44" s="1"/>
  <c r="A823" i="44" s="1"/>
  <c r="A824" i="44" s="1"/>
  <c r="A825" i="44" s="1"/>
  <c r="A826" i="44" s="1"/>
  <c r="A827" i="44" s="1"/>
  <c r="A828" i="44" s="1"/>
  <c r="A829" i="44" s="1"/>
  <c r="A830" i="44" s="1"/>
  <c r="A831" i="44" s="1"/>
  <c r="A832" i="44" s="1"/>
  <c r="A833" i="44" s="1"/>
  <c r="A834" i="44" s="1"/>
  <c r="A494" i="44"/>
  <c r="AE25" i="44"/>
  <c r="A114" i="42"/>
  <c r="A65" i="42"/>
  <c r="A128" i="42"/>
  <c r="AX62" i="42"/>
  <c r="AX63" i="42"/>
  <c r="AX59" i="42"/>
  <c r="AX58" i="42"/>
  <c r="AX60" i="42"/>
  <c r="AX61" i="42"/>
  <c r="AX64" i="42"/>
  <c r="A44" i="42"/>
  <c r="A107" i="42"/>
  <c r="A100" i="42"/>
  <c r="A23" i="42"/>
  <c r="A86" i="42"/>
  <c r="A93" i="42"/>
  <c r="AX55" i="42"/>
  <c r="AX56" i="42"/>
  <c r="AX52" i="42"/>
  <c r="AX51" i="42"/>
  <c r="AX53" i="42"/>
  <c r="AX57" i="42"/>
  <c r="AX54" i="42"/>
  <c r="A121" i="42"/>
  <c r="A135" i="42"/>
  <c r="AX152" i="42"/>
  <c r="AX155" i="42"/>
  <c r="AX150" i="42"/>
  <c r="AX153" i="42"/>
  <c r="AX151" i="42"/>
  <c r="AX149" i="42"/>
  <c r="AX154" i="42"/>
  <c r="A37" i="42"/>
  <c r="H23" i="17"/>
  <c r="P25" i="17"/>
  <c r="P26" i="17" s="1"/>
  <c r="R33" i="17"/>
  <c r="R32" i="17"/>
  <c r="R34" i="17" s="1"/>
  <c r="Q56" i="17"/>
  <c r="Q68" i="17" s="1"/>
  <c r="Q42" i="17"/>
  <c r="Q57" i="17"/>
  <c r="Q69" i="17" s="1"/>
  <c r="Q21" i="17"/>
  <c r="Q22" i="17" s="1"/>
  <c r="F220" i="17"/>
  <c r="F210" i="17" s="1"/>
  <c r="AJ210" i="17" s="1"/>
  <c r="F218" i="17"/>
  <c r="F208" i="17" s="1"/>
  <c r="AJ208" i="17" s="1"/>
  <c r="AJ163" i="17"/>
  <c r="F217" i="17"/>
  <c r="F207" i="17" s="1"/>
  <c r="AJ207" i="17" s="1"/>
  <c r="F40" i="17"/>
  <c r="I3" i="20"/>
  <c r="I5" i="20"/>
  <c r="I18" i="20"/>
  <c r="I33" i="20"/>
  <c r="I46" i="20"/>
  <c r="I4" i="20"/>
  <c r="I15" i="20"/>
  <c r="I2" i="20"/>
  <c r="I38" i="20"/>
  <c r="V32" i="20"/>
  <c r="Q53" i="20"/>
  <c r="Q55" i="20"/>
  <c r="Q57" i="20"/>
  <c r="G42" i="17"/>
  <c r="G56" i="17"/>
  <c r="G68" i="17" s="1"/>
  <c r="G57" i="17"/>
  <c r="G69" i="17" s="1"/>
  <c r="G21" i="17"/>
  <c r="G22" i="17"/>
  <c r="Q39" i="20"/>
  <c r="Q35" i="20"/>
  <c r="Q66" i="20" s="1"/>
  <c r="Q36" i="20"/>
  <c r="Q40" i="20"/>
  <c r="J57" i="20"/>
  <c r="J53" i="20"/>
  <c r="J55" i="20"/>
  <c r="G33" i="17"/>
  <c r="G32" i="17"/>
  <c r="G34" i="17" s="1"/>
  <c r="I98" i="17"/>
  <c r="I104" i="17"/>
  <c r="I99" i="17"/>
  <c r="O115" i="17"/>
  <c r="O114" i="17"/>
  <c r="I76" i="20"/>
  <c r="P18" i="20"/>
  <c r="P38" i="20"/>
  <c r="P2" i="20"/>
  <c r="P3" i="20"/>
  <c r="P4" i="20"/>
  <c r="P15" i="20"/>
  <c r="P16" i="20" s="1"/>
  <c r="P62" i="20" s="1"/>
  <c r="P84" i="20" s="1"/>
  <c r="P46" i="20"/>
  <c r="P83" i="20" s="1"/>
  <c r="P100" i="20" s="1"/>
  <c r="P33" i="20"/>
  <c r="P79" i="20" s="1"/>
  <c r="P5" i="20"/>
  <c r="I56" i="17"/>
  <c r="I68" i="17" s="1"/>
  <c r="I42" i="17"/>
  <c r="I22" i="17"/>
  <c r="I57" i="17"/>
  <c r="I69" i="17" s="1"/>
  <c r="I21" i="17"/>
  <c r="AJ31" i="16"/>
  <c r="I81" i="20"/>
  <c r="O56" i="17"/>
  <c r="O68" i="17" s="1"/>
  <c r="O42" i="17"/>
  <c r="O21" i="17"/>
  <c r="O57" i="17"/>
  <c r="O69" i="17" s="1"/>
  <c r="O22" i="17"/>
  <c r="O23" i="17" s="1"/>
  <c r="AJ68" i="18"/>
  <c r="F70" i="18"/>
  <c r="F168" i="18"/>
  <c r="F158" i="18" s="1"/>
  <c r="AJ158" i="18" s="1"/>
  <c r="F166" i="18"/>
  <c r="F156" i="18" s="1"/>
  <c r="AJ156" i="18" s="1"/>
  <c r="F165" i="18"/>
  <c r="F155" i="18" s="1"/>
  <c r="AJ155" i="18" s="1"/>
  <c r="I68" i="20"/>
  <c r="I32" i="17"/>
  <c r="I34" i="17" s="1"/>
  <c r="I33" i="17"/>
  <c r="F39" i="16"/>
  <c r="AJ39" i="16" s="1"/>
  <c r="AJ38" i="16"/>
  <c r="AJ8" i="18"/>
  <c r="H116" i="17"/>
  <c r="H117" i="17"/>
  <c r="O33" i="17"/>
  <c r="O32" i="17"/>
  <c r="O34" i="17" s="1"/>
  <c r="J49" i="20"/>
  <c r="J81" i="20" s="1"/>
  <c r="J50" i="20"/>
  <c r="J68" i="20" s="1"/>
  <c r="J89" i="20" s="1"/>
  <c r="J51" i="20"/>
  <c r="J76" i="20" s="1"/>
  <c r="J97" i="20" s="1"/>
  <c r="AJ161" i="18"/>
  <c r="F171" i="18"/>
  <c r="H54" i="17"/>
  <c r="H66" i="17" s="1"/>
  <c r="H55" i="17"/>
  <c r="H67" i="17" s="1"/>
  <c r="H43" i="17"/>
  <c r="F11" i="17"/>
  <c r="O97" i="17"/>
  <c r="Q25" i="17"/>
  <c r="Q26" i="17"/>
  <c r="Q27" i="17" s="1"/>
  <c r="P98" i="17"/>
  <c r="P99" i="17"/>
  <c r="P104" i="17"/>
  <c r="AJ32" i="16"/>
  <c r="I115" i="17"/>
  <c r="I114" i="17"/>
  <c r="H35" i="17"/>
  <c r="H39" i="17"/>
  <c r="H118" i="17"/>
  <c r="H119" i="17"/>
  <c r="R99" i="17"/>
  <c r="R98" i="17"/>
  <c r="R104" i="17"/>
  <c r="Q115" i="17"/>
  <c r="Q114" i="17"/>
  <c r="J36" i="20"/>
  <c r="J35" i="20"/>
  <c r="J66" i="20" s="1"/>
  <c r="J39" i="20"/>
  <c r="J40" i="20"/>
  <c r="Q33" i="17"/>
  <c r="Q32" i="17"/>
  <c r="Q34" i="17" s="1"/>
  <c r="P42" i="17"/>
  <c r="P57" i="17"/>
  <c r="P69" i="17" s="1"/>
  <c r="P21" i="17"/>
  <c r="P22" i="17" s="1"/>
  <c r="P56" i="17"/>
  <c r="P68" i="17" s="1"/>
  <c r="H106" i="17"/>
  <c r="H105" i="17"/>
  <c r="F164" i="18"/>
  <c r="F154" i="18" s="1"/>
  <c r="AJ154" i="18" s="1"/>
  <c r="R25" i="17"/>
  <c r="Q27" i="20"/>
  <c r="Q63" i="20" s="1"/>
  <c r="Q85" i="20" s="1"/>
  <c r="Q29" i="20"/>
  <c r="Q69" i="20" s="1"/>
  <c r="Q90" i="20" s="1"/>
  <c r="Q28" i="20"/>
  <c r="Q70" i="20" s="1"/>
  <c r="Q91" i="20" s="1"/>
  <c r="Q19" i="20"/>
  <c r="Q20" i="20"/>
  <c r="Q30" i="20"/>
  <c r="Q71" i="20" s="1"/>
  <c r="Q92" i="20" s="1"/>
  <c r="Q31" i="20"/>
  <c r="Q72" i="20" s="1"/>
  <c r="Q93" i="20" s="1"/>
  <c r="G97" i="17"/>
  <c r="G115" i="17"/>
  <c r="G114" i="17"/>
  <c r="P32" i="17"/>
  <c r="P34" i="17" s="1"/>
  <c r="P33" i="17"/>
  <c r="H103" i="17"/>
  <c r="H101" i="17"/>
  <c r="H100" i="17"/>
  <c r="H102" i="17"/>
  <c r="R114" i="17"/>
  <c r="R115" i="17"/>
  <c r="J29" i="20"/>
  <c r="J69" i="20" s="1"/>
  <c r="J90" i="20" s="1"/>
  <c r="J28" i="20"/>
  <c r="J70" i="20" s="1"/>
  <c r="J91" i="20" s="1"/>
  <c r="J20" i="20"/>
  <c r="J31" i="20"/>
  <c r="J72" i="20" s="1"/>
  <c r="J93" i="20" s="1"/>
  <c r="J19" i="20"/>
  <c r="J27" i="20"/>
  <c r="J63" i="20" s="1"/>
  <c r="J85" i="20" s="1"/>
  <c r="J30" i="20"/>
  <c r="J71" i="20" s="1"/>
  <c r="J92" i="20" s="1"/>
  <c r="G25" i="17"/>
  <c r="Q97" i="17"/>
  <c r="P115" i="17"/>
  <c r="P114" i="17"/>
  <c r="R21" i="17"/>
  <c r="R22" i="17" s="1"/>
  <c r="R56" i="17"/>
  <c r="R68" i="17" s="1"/>
  <c r="R42" i="17"/>
  <c r="R57" i="17"/>
  <c r="R69" i="17" s="1"/>
  <c r="H27" i="17"/>
  <c r="AR61" i="4"/>
  <c r="AS148" i="4"/>
  <c r="AR69" i="4"/>
  <c r="AR106" i="4"/>
  <c r="AR127" i="4"/>
  <c r="R71" i="4"/>
  <c r="AR71" i="4" s="1"/>
  <c r="AS58" i="4"/>
  <c r="AR113" i="4"/>
  <c r="AS69" i="4"/>
  <c r="AT69" i="4"/>
  <c r="AR104" i="4"/>
  <c r="AR118" i="4"/>
  <c r="AR125" i="4"/>
  <c r="AS146" i="4"/>
  <c r="AT146" i="4"/>
  <c r="AT139" i="4"/>
  <c r="AS141" i="4"/>
  <c r="AS139" i="4"/>
  <c r="AS135" i="4"/>
  <c r="AH90" i="4"/>
  <c r="K90" i="4"/>
  <c r="T90" i="4"/>
  <c r="T92" i="4" s="1"/>
  <c r="O90" i="4"/>
  <c r="O92" i="4" s="1"/>
  <c r="N90" i="4"/>
  <c r="N92" i="4" s="1"/>
  <c r="M90" i="4"/>
  <c r="M92" i="4" s="1"/>
  <c r="L90" i="4"/>
  <c r="AL90" i="4"/>
  <c r="AL92" i="4" s="1"/>
  <c r="AN90" i="4"/>
  <c r="AN92" i="4" s="1"/>
  <c r="AJ90" i="4"/>
  <c r="AJ92" i="4" s="1"/>
  <c r="AI90" i="4"/>
  <c r="AO92" i="4"/>
  <c r="AM90" i="4"/>
  <c r="AM92" i="4" s="1"/>
  <c r="AB90" i="4"/>
  <c r="AB92" i="4" s="1"/>
  <c r="U90" i="4"/>
  <c r="U92" i="4" s="1"/>
  <c r="J90" i="4"/>
  <c r="J92" i="4" s="1"/>
  <c r="R90" i="4"/>
  <c r="R92" i="4" s="1"/>
  <c r="AK90" i="4"/>
  <c r="AK92" i="4" s="1"/>
  <c r="AA90" i="4"/>
  <c r="AA92" i="4" s="1"/>
  <c r="S90" i="4"/>
  <c r="S92" i="4" s="1"/>
  <c r="AF90" i="4"/>
  <c r="AF92" i="4" s="1"/>
  <c r="H90" i="4"/>
  <c r="H92" i="4" s="1"/>
  <c r="V90" i="4"/>
  <c r="V92" i="4" s="1"/>
  <c r="Z90" i="4"/>
  <c r="Z92" i="4" s="1"/>
  <c r="I90" i="4"/>
  <c r="I92" i="4" s="1"/>
  <c r="AO90" i="4"/>
  <c r="Y90" i="4"/>
  <c r="Y92" i="4" s="1"/>
  <c r="AD90" i="4"/>
  <c r="AD92" i="4" s="1"/>
  <c r="X90" i="4"/>
  <c r="X92" i="4" s="1"/>
  <c r="AC90" i="4"/>
  <c r="AC92" i="4" s="1"/>
  <c r="AP90" i="4"/>
  <c r="AP92" i="4" s="1"/>
  <c r="P90" i="4"/>
  <c r="P92" i="4" s="1"/>
  <c r="AG90" i="4"/>
  <c r="AG92" i="4" s="1"/>
  <c r="W90" i="4"/>
  <c r="W92" i="4" s="1"/>
  <c r="AE90" i="4"/>
  <c r="AE92" i="4" s="1"/>
  <c r="AH92" i="4"/>
  <c r="Q90" i="4"/>
  <c r="Q92" i="4" s="1"/>
  <c r="L92" i="4"/>
  <c r="AQ90" i="4"/>
  <c r="AQ92" i="4" s="1"/>
  <c r="AS153" i="4"/>
  <c r="AT153" i="4"/>
  <c r="AS149" i="4"/>
  <c r="AS155" i="4"/>
  <c r="H43" i="4"/>
  <c r="AR41" i="4"/>
  <c r="U29" i="4"/>
  <c r="AR29" i="4" s="1"/>
  <c r="AS99" i="4"/>
  <c r="AT97" i="4"/>
  <c r="AS97" i="4"/>
  <c r="AS93" i="4"/>
  <c r="AR111" i="4"/>
  <c r="AT62" i="4"/>
  <c r="AS62" i="4"/>
  <c r="AS64" i="4"/>
  <c r="AL43" i="4"/>
  <c r="AR27" i="4"/>
  <c r="Z29" i="4"/>
  <c r="AR76" i="4"/>
  <c r="AR36" i="4"/>
  <c r="AA48" i="4"/>
  <c r="W48" i="4"/>
  <c r="W50" i="4" s="1"/>
  <c r="H48" i="4"/>
  <c r="H50" i="4" s="1"/>
  <c r="AC48" i="4"/>
  <c r="AC50" i="4" s="1"/>
  <c r="Z48" i="4"/>
  <c r="Z50" i="4" s="1"/>
  <c r="X48" i="4"/>
  <c r="AE48" i="4"/>
  <c r="AM50" i="4"/>
  <c r="O48" i="4"/>
  <c r="AN48" i="4"/>
  <c r="AN50" i="4" s="1"/>
  <c r="AD48" i="4"/>
  <c r="AD50" i="4" s="1"/>
  <c r="S48" i="4"/>
  <c r="S50" i="4" s="1"/>
  <c r="AM48" i="4"/>
  <c r="AI48" i="4"/>
  <c r="AI50" i="4" s="1"/>
  <c r="AB48" i="4"/>
  <c r="AB50" i="4" s="1"/>
  <c r="N48" i="4"/>
  <c r="N50" i="4" s="1"/>
  <c r="AG48" i="4"/>
  <c r="AG50" i="4" s="1"/>
  <c r="L48" i="4"/>
  <c r="I48" i="4"/>
  <c r="AH48" i="4"/>
  <c r="AH50" i="4" s="1"/>
  <c r="AE50" i="4"/>
  <c r="Y48" i="4"/>
  <c r="Y50" i="4" s="1"/>
  <c r="R48" i="4"/>
  <c r="R50" i="4" s="1"/>
  <c r="AQ48" i="4"/>
  <c r="AQ50" i="4" s="1"/>
  <c r="AL48" i="4"/>
  <c r="AL50" i="4" s="1"/>
  <c r="V48" i="4"/>
  <c r="V50" i="4" s="1"/>
  <c r="M48" i="4"/>
  <c r="M50" i="4" s="1"/>
  <c r="Q48" i="4"/>
  <c r="Q50" i="4" s="1"/>
  <c r="AP48" i="4"/>
  <c r="AP50" i="4" s="1"/>
  <c r="AK48" i="4"/>
  <c r="AK50" i="4" s="1"/>
  <c r="L50" i="4"/>
  <c r="U48" i="4"/>
  <c r="K48" i="4"/>
  <c r="K50" i="4" s="1"/>
  <c r="AF48" i="4"/>
  <c r="AF50" i="4" s="1"/>
  <c r="P48" i="4"/>
  <c r="P50" i="4" s="1"/>
  <c r="AO48" i="4"/>
  <c r="AJ48" i="4"/>
  <c r="AJ50" i="4" s="1"/>
  <c r="AA50" i="4"/>
  <c r="T48" i="4"/>
  <c r="T50" i="4" s="1"/>
  <c r="J48" i="4"/>
  <c r="J50" i="4" s="1"/>
  <c r="H57" i="4"/>
  <c r="AR57" i="4" s="1"/>
  <c r="AR55" i="4"/>
  <c r="AN78" i="4"/>
  <c r="AR78" i="4" s="1"/>
  <c r="AJ132" i="4"/>
  <c r="AJ134" i="4" s="1"/>
  <c r="AH132" i="4"/>
  <c r="AA132" i="4"/>
  <c r="AA134" i="4" s="1"/>
  <c r="T132" i="4"/>
  <c r="K132" i="4"/>
  <c r="K134" i="4" s="1"/>
  <c r="Y132" i="4"/>
  <c r="Y134" i="4" s="1"/>
  <c r="AI132" i="4"/>
  <c r="AI134" i="4" s="1"/>
  <c r="T134" i="4"/>
  <c r="W132" i="4"/>
  <c r="W134" i="4" s="1"/>
  <c r="AN132" i="4"/>
  <c r="AN134" i="4" s="1"/>
  <c r="V132" i="4"/>
  <c r="V134" i="4" s="1"/>
  <c r="AD132" i="4"/>
  <c r="AD134" i="4" s="1"/>
  <c r="X132" i="4"/>
  <c r="Z132" i="4"/>
  <c r="Z134" i="4" s="1"/>
  <c r="AC132" i="4"/>
  <c r="AC134" i="4" s="1"/>
  <c r="AK132" i="4"/>
  <c r="AK134" i="4" s="1"/>
  <c r="R132" i="4"/>
  <c r="R134" i="4" s="1"/>
  <c r="S132" i="4"/>
  <c r="S134" i="4" s="1"/>
  <c r="X134" i="4"/>
  <c r="AO132" i="4"/>
  <c r="AO134" i="4" s="1"/>
  <c r="M132" i="4"/>
  <c r="U132" i="4"/>
  <c r="U134" i="4" s="1"/>
  <c r="AP132" i="4"/>
  <c r="AP134" i="4" s="1"/>
  <c r="Q132" i="4"/>
  <c r="Q134" i="4" s="1"/>
  <c r="P132" i="4"/>
  <c r="P134" i="4" s="1"/>
  <c r="O132" i="4"/>
  <c r="O134" i="4" s="1"/>
  <c r="I132" i="4"/>
  <c r="I134" i="4" s="1"/>
  <c r="AM132" i="4"/>
  <c r="AM134" i="4" s="1"/>
  <c r="AB132" i="4"/>
  <c r="AB134" i="4" s="1"/>
  <c r="AL134" i="4"/>
  <c r="AL132" i="4"/>
  <c r="L132" i="4"/>
  <c r="L134" i="4" s="1"/>
  <c r="AF132" i="4"/>
  <c r="AF134" i="4" s="1"/>
  <c r="AE132" i="4"/>
  <c r="AE134" i="4" s="1"/>
  <c r="H132" i="4"/>
  <c r="H134" i="4" s="1"/>
  <c r="J132" i="4"/>
  <c r="J134" i="4" s="1"/>
  <c r="AH134" i="4"/>
  <c r="AQ132" i="4"/>
  <c r="AQ134" i="4" s="1"/>
  <c r="AG132" i="4"/>
  <c r="AG134" i="4" s="1"/>
  <c r="N132" i="4"/>
  <c r="N134" i="4" s="1"/>
  <c r="AR34" i="4"/>
  <c r="AR120" i="4"/>
  <c r="AS61" i="4"/>
  <c r="AT61" i="4"/>
  <c r="AR152" i="4"/>
  <c r="AC103" i="4"/>
  <c r="AC105" i="4" s="1"/>
  <c r="AA103" i="4"/>
  <c r="Y103" i="4"/>
  <c r="Y105" i="4" s="1"/>
  <c r="V103" i="4"/>
  <c r="V105" i="4" s="1"/>
  <c r="Q103" i="4"/>
  <c r="Q105" i="4" s="1"/>
  <c r="P103" i="4"/>
  <c r="P105" i="4" s="1"/>
  <c r="O103" i="4"/>
  <c r="O105" i="4" s="1"/>
  <c r="M103" i="4"/>
  <c r="M105" i="4" s="1"/>
  <c r="L103" i="4"/>
  <c r="L105" i="4" s="1"/>
  <c r="J103" i="4"/>
  <c r="AQ103" i="4"/>
  <c r="AQ105" i="4" s="1"/>
  <c r="AN103" i="4"/>
  <c r="AN105" i="4" s="1"/>
  <c r="AH103" i="4"/>
  <c r="AH105" i="4" s="1"/>
  <c r="Z103" i="4"/>
  <c r="Z105" i="4" s="1"/>
  <c r="J105" i="4"/>
  <c r="AA105" i="4"/>
  <c r="AO103" i="4"/>
  <c r="AO105" i="4" s="1"/>
  <c r="W103" i="4"/>
  <c r="W105" i="4" s="1"/>
  <c r="AD103" i="4"/>
  <c r="AD105" i="4" s="1"/>
  <c r="AM103" i="4"/>
  <c r="AM105" i="4" s="1"/>
  <c r="U103" i="4"/>
  <c r="U105" i="4" s="1"/>
  <c r="AJ103" i="4"/>
  <c r="AJ105" i="4" s="1"/>
  <c r="T103" i="4"/>
  <c r="T105" i="4" s="1"/>
  <c r="AL103" i="4"/>
  <c r="AL105" i="4" s="1"/>
  <c r="AI103" i="4"/>
  <c r="AI105" i="4" s="1"/>
  <c r="R103" i="4"/>
  <c r="R105" i="4" s="1"/>
  <c r="S103" i="4"/>
  <c r="S105" i="4" s="1"/>
  <c r="AF103" i="4"/>
  <c r="AF105" i="4" s="1"/>
  <c r="AB103" i="4"/>
  <c r="AB105" i="4" s="1"/>
  <c r="AP103" i="4"/>
  <c r="AP105" i="4" s="1"/>
  <c r="N103" i="4"/>
  <c r="N105" i="4" s="1"/>
  <c r="H103" i="4"/>
  <c r="H105" i="4" s="1"/>
  <c r="X103" i="4"/>
  <c r="X105" i="4" s="1"/>
  <c r="I103" i="4"/>
  <c r="I105" i="4" s="1"/>
  <c r="K103" i="4"/>
  <c r="K105" i="4" s="1"/>
  <c r="AE103" i="4"/>
  <c r="AE105" i="4" s="1"/>
  <c r="AG103" i="4"/>
  <c r="AG105" i="4" s="1"/>
  <c r="AK103" i="4"/>
  <c r="AK105" i="4" s="1"/>
  <c r="D31" i="4"/>
  <c r="E17" i="11"/>
  <c r="AR56" i="4"/>
  <c r="I26" i="11"/>
  <c r="G26" i="11"/>
  <c r="AE110" i="4"/>
  <c r="AE112" i="4" s="1"/>
  <c r="AD110" i="4"/>
  <c r="AD112" i="4" s="1"/>
  <c r="AA110" i="4"/>
  <c r="AA112" i="4" s="1"/>
  <c r="X110" i="4"/>
  <c r="X112" i="4" s="1"/>
  <c r="W110" i="4"/>
  <c r="W112" i="4" s="1"/>
  <c r="V110" i="4"/>
  <c r="V112" i="4" s="1"/>
  <c r="T110" i="4"/>
  <c r="T112" i="4" s="1"/>
  <c r="Q110" i="4"/>
  <c r="Q112" i="4" s="1"/>
  <c r="AK110" i="4"/>
  <c r="AK112" i="4" s="1"/>
  <c r="AP110" i="4"/>
  <c r="AP112" i="4" s="1"/>
  <c r="P110" i="4"/>
  <c r="P112" i="4" s="1"/>
  <c r="AO110" i="4"/>
  <c r="AO112" i="4" s="1"/>
  <c r="O110" i="4"/>
  <c r="AN110" i="4"/>
  <c r="N110" i="4"/>
  <c r="N112" i="4" s="1"/>
  <c r="AL110" i="4"/>
  <c r="AL112" i="4" s="1"/>
  <c r="M110" i="4"/>
  <c r="M112" i="4" s="1"/>
  <c r="AJ110" i="4"/>
  <c r="AJ112" i="4" s="1"/>
  <c r="I110" i="4"/>
  <c r="I112" i="4" s="1"/>
  <c r="AG110" i="4"/>
  <c r="AG112" i="4" s="1"/>
  <c r="AF110" i="4"/>
  <c r="AF112" i="4" s="1"/>
  <c r="L110" i="4"/>
  <c r="L112" i="4" s="1"/>
  <c r="AH110" i="4"/>
  <c r="AH112" i="4" s="1"/>
  <c r="J110" i="4"/>
  <c r="J112" i="4" s="1"/>
  <c r="R110" i="4"/>
  <c r="R112" i="4" s="1"/>
  <c r="AB110" i="4"/>
  <c r="AB112" i="4" s="1"/>
  <c r="Y110" i="4"/>
  <c r="Y112" i="4" s="1"/>
  <c r="H110" i="4"/>
  <c r="H112" i="4" s="1"/>
  <c r="AQ110" i="4"/>
  <c r="AQ112" i="4" s="1"/>
  <c r="Z110" i="4"/>
  <c r="Z112" i="4" s="1"/>
  <c r="AN112" i="4"/>
  <c r="O112" i="4"/>
  <c r="K110" i="4"/>
  <c r="K112" i="4" s="1"/>
  <c r="AC110" i="4"/>
  <c r="AC112" i="4" s="1"/>
  <c r="AI110" i="4"/>
  <c r="AI112" i="4" s="1"/>
  <c r="U110" i="4"/>
  <c r="U112" i="4" s="1"/>
  <c r="S110" i="4"/>
  <c r="S112" i="4" s="1"/>
  <c r="AM110" i="4"/>
  <c r="AM112" i="4" s="1"/>
  <c r="AE96" i="4"/>
  <c r="N98" i="4"/>
  <c r="AD96" i="4"/>
  <c r="H98" i="4"/>
  <c r="AA96" i="4"/>
  <c r="AA98" i="4" s="1"/>
  <c r="Z96" i="4"/>
  <c r="Z98" i="4" s="1"/>
  <c r="X96" i="4"/>
  <c r="X98" i="4" s="1"/>
  <c r="H96" i="4"/>
  <c r="V96" i="4"/>
  <c r="V98" i="4" s="1"/>
  <c r="T96" i="4"/>
  <c r="T98" i="4" s="1"/>
  <c r="Q96" i="4"/>
  <c r="AP96" i="4"/>
  <c r="AP98" i="4" s="1"/>
  <c r="N96" i="4"/>
  <c r="M96" i="4"/>
  <c r="M98" i="4" s="1"/>
  <c r="L96" i="4"/>
  <c r="L98" i="4" s="1"/>
  <c r="AQ96" i="4"/>
  <c r="J96" i="4"/>
  <c r="J98" i="4" s="1"/>
  <c r="AO96" i="4"/>
  <c r="AO98" i="4" s="1"/>
  <c r="AN96" i="4"/>
  <c r="AN98" i="4" s="1"/>
  <c r="AD98" i="4"/>
  <c r="AM96" i="4"/>
  <c r="AM98" i="4" s="1"/>
  <c r="R96" i="4"/>
  <c r="R98" i="4" s="1"/>
  <c r="AG96" i="4"/>
  <c r="AG98" i="4" s="1"/>
  <c r="P96" i="4"/>
  <c r="P98" i="4" s="1"/>
  <c r="AK96" i="4"/>
  <c r="AK98" i="4" s="1"/>
  <c r="AF96" i="4"/>
  <c r="AF98" i="4" s="1"/>
  <c r="U96" i="4"/>
  <c r="U98" i="4" s="1"/>
  <c r="O96" i="4"/>
  <c r="O98" i="4" s="1"/>
  <c r="W98" i="4"/>
  <c r="AE98" i="4"/>
  <c r="Q98" i="4"/>
  <c r="AJ96" i="4"/>
  <c r="AJ98" i="4" s="1"/>
  <c r="AB96" i="4"/>
  <c r="AB98" i="4" s="1"/>
  <c r="AQ98" i="4"/>
  <c r="K96" i="4"/>
  <c r="K98" i="4" s="1"/>
  <c r="AL96" i="4"/>
  <c r="AL98" i="4" s="1"/>
  <c r="I96" i="4"/>
  <c r="I98" i="4" s="1"/>
  <c r="Y96" i="4"/>
  <c r="Y98" i="4" s="1"/>
  <c r="S96" i="4"/>
  <c r="S98" i="4" s="1"/>
  <c r="AH96" i="4"/>
  <c r="AH98" i="4" s="1"/>
  <c r="W96" i="4"/>
  <c r="AC96" i="4"/>
  <c r="AC98" i="4" s="1"/>
  <c r="AI96" i="4"/>
  <c r="AI98" i="4" s="1"/>
  <c r="H154" i="4"/>
  <c r="AR154" i="4" s="1"/>
  <c r="AH124" i="4"/>
  <c r="AH126" i="4" s="1"/>
  <c r="Q124" i="4"/>
  <c r="Q126" i="4" s="1"/>
  <c r="AG124" i="4"/>
  <c r="AG126" i="4" s="1"/>
  <c r="P124" i="4"/>
  <c r="P126" i="4" s="1"/>
  <c r="AF124" i="4"/>
  <c r="AF126" i="4" s="1"/>
  <c r="O124" i="4"/>
  <c r="O126" i="4" s="1"/>
  <c r="AE124" i="4"/>
  <c r="AE126" i="4" s="1"/>
  <c r="N124" i="4"/>
  <c r="N126" i="4" s="1"/>
  <c r="AD124" i="4"/>
  <c r="M124" i="4"/>
  <c r="M126" i="4" s="1"/>
  <c r="AL124" i="4"/>
  <c r="AL126" i="4" s="1"/>
  <c r="AC124" i="4"/>
  <c r="AC126" i="4" s="1"/>
  <c r="L124" i="4"/>
  <c r="L126" i="4" s="1"/>
  <c r="AB124" i="4"/>
  <c r="AB126" i="4" s="1"/>
  <c r="K124" i="4"/>
  <c r="K126" i="4" s="1"/>
  <c r="AA124" i="4"/>
  <c r="AA126" i="4" s="1"/>
  <c r="J124" i="4"/>
  <c r="J126" i="4" s="1"/>
  <c r="AQ124" i="4"/>
  <c r="AQ126" i="4" s="1"/>
  <c r="Z124" i="4"/>
  <c r="Z126" i="4" s="1"/>
  <c r="I124" i="4"/>
  <c r="I126" i="4" s="1"/>
  <c r="U124" i="4"/>
  <c r="U126" i="4" s="1"/>
  <c r="AP124" i="4"/>
  <c r="AP126" i="4" s="1"/>
  <c r="Y124" i="4"/>
  <c r="Y126" i="4" s="1"/>
  <c r="H124" i="4"/>
  <c r="AO124" i="4"/>
  <c r="AO126" i="4" s="1"/>
  <c r="X124" i="4"/>
  <c r="X126" i="4" s="1"/>
  <c r="AN124" i="4"/>
  <c r="AN126" i="4" s="1"/>
  <c r="V124" i="4"/>
  <c r="V126" i="4" s="1"/>
  <c r="AD126" i="4"/>
  <c r="AK124" i="4"/>
  <c r="AK126" i="4" s="1"/>
  <c r="T124" i="4"/>
  <c r="T126" i="4" s="1"/>
  <c r="AJ124" i="4"/>
  <c r="AJ126" i="4" s="1"/>
  <c r="S124" i="4"/>
  <c r="S126" i="4" s="1"/>
  <c r="AI124" i="4"/>
  <c r="AI126" i="4" s="1"/>
  <c r="R124" i="4"/>
  <c r="W124" i="4"/>
  <c r="W126" i="4" s="1"/>
  <c r="AM124" i="4"/>
  <c r="AM126" i="4" s="1"/>
  <c r="R126" i="4"/>
  <c r="AR54" i="4"/>
  <c r="AR147" i="4"/>
  <c r="AR117" i="4"/>
  <c r="AQ68" i="4"/>
  <c r="AP68" i="4"/>
  <c r="AP70" i="4" s="1"/>
  <c r="R68" i="4"/>
  <c r="R70" i="4" s="1"/>
  <c r="AO68" i="4"/>
  <c r="AN68" i="4"/>
  <c r="AN70" i="4" s="1"/>
  <c r="AM68" i="4"/>
  <c r="AM70" i="4" s="1"/>
  <c r="AC68" i="4"/>
  <c r="AC70" i="4" s="1"/>
  <c r="Y68" i="4"/>
  <c r="Y70" i="4" s="1"/>
  <c r="X68" i="4"/>
  <c r="X70" i="4" s="1"/>
  <c r="W68" i="4"/>
  <c r="W70" i="4" s="1"/>
  <c r="O68" i="4"/>
  <c r="O70" i="4" s="1"/>
  <c r="AD68" i="4"/>
  <c r="AD70" i="4" s="1"/>
  <c r="AH68" i="4"/>
  <c r="AH70" i="4" s="1"/>
  <c r="N68" i="4"/>
  <c r="N70" i="4" s="1"/>
  <c r="I68" i="4"/>
  <c r="I70" i="4" s="1"/>
  <c r="AE68" i="4"/>
  <c r="AE70" i="4" s="1"/>
  <c r="H68" i="4"/>
  <c r="H70" i="4" s="1"/>
  <c r="AB68" i="4"/>
  <c r="AB70" i="4" s="1"/>
  <c r="AA68" i="4"/>
  <c r="AA70" i="4" s="1"/>
  <c r="L68" i="4"/>
  <c r="L70" i="4" s="1"/>
  <c r="AJ68" i="4"/>
  <c r="AJ70" i="4" s="1"/>
  <c r="Z68" i="4"/>
  <c r="Z70" i="4" s="1"/>
  <c r="T68" i="4"/>
  <c r="T70" i="4" s="1"/>
  <c r="U68" i="4"/>
  <c r="U70" i="4" s="1"/>
  <c r="AG68" i="4"/>
  <c r="AG70" i="4" s="1"/>
  <c r="AL68" i="4"/>
  <c r="AL70" i="4" s="1"/>
  <c r="S68" i="4"/>
  <c r="S70" i="4" s="1"/>
  <c r="Q68" i="4"/>
  <c r="Q70" i="4" s="1"/>
  <c r="M68" i="4"/>
  <c r="M70" i="4" s="1"/>
  <c r="AQ70" i="4"/>
  <c r="AK68" i="4"/>
  <c r="AK70" i="4" s="1"/>
  <c r="AF68" i="4"/>
  <c r="AF70" i="4" s="1"/>
  <c r="K68" i="4"/>
  <c r="V68" i="4"/>
  <c r="V70" i="4" s="1"/>
  <c r="P68" i="4"/>
  <c r="P70" i="4" s="1"/>
  <c r="AO70" i="4"/>
  <c r="AI68" i="4"/>
  <c r="AI70" i="4" s="1"/>
  <c r="J68" i="4"/>
  <c r="J70" i="4" s="1"/>
  <c r="AR145" i="4"/>
  <c r="AQ40" i="4"/>
  <c r="AQ42" i="4" s="1"/>
  <c r="X40" i="4"/>
  <c r="X42" i="4" s="1"/>
  <c r="AH42" i="4"/>
  <c r="N40" i="4"/>
  <c r="N42" i="4" s="1"/>
  <c r="AB40" i="4"/>
  <c r="AB42" i="4" s="1"/>
  <c r="AK40" i="4"/>
  <c r="AK42" i="4" s="1"/>
  <c r="K40" i="4"/>
  <c r="K42" i="4" s="1"/>
  <c r="W40" i="4"/>
  <c r="W42" i="4" s="1"/>
  <c r="L40" i="4"/>
  <c r="L42" i="4" s="1"/>
  <c r="R40" i="4"/>
  <c r="R42" i="4" s="1"/>
  <c r="H40" i="4"/>
  <c r="H42" i="4" s="1"/>
  <c r="AP40" i="4"/>
  <c r="AP42" i="4" s="1"/>
  <c r="AJ40" i="4"/>
  <c r="AJ42" i="4" s="1"/>
  <c r="Z40" i="4"/>
  <c r="Z42" i="4" s="1"/>
  <c r="Q40" i="4"/>
  <c r="Q42" i="4" s="1"/>
  <c r="J40" i="4"/>
  <c r="J42" i="4" s="1"/>
  <c r="AD40" i="4"/>
  <c r="AD42" i="4" s="1"/>
  <c r="AA40" i="4"/>
  <c r="AA42" i="4" s="1"/>
  <c r="AI40" i="4"/>
  <c r="AI42" i="4" s="1"/>
  <c r="V40" i="4"/>
  <c r="V42" i="4" s="1"/>
  <c r="AN40" i="4"/>
  <c r="AN42" i="4" s="1"/>
  <c r="P40" i="4"/>
  <c r="P42" i="4" s="1"/>
  <c r="AE40" i="4"/>
  <c r="AE42" i="4" s="1"/>
  <c r="I40" i="4"/>
  <c r="I42" i="4" s="1"/>
  <c r="U40" i="4"/>
  <c r="U42" i="4" s="1"/>
  <c r="AH40" i="4"/>
  <c r="O40" i="4"/>
  <c r="O42" i="4" s="1"/>
  <c r="AM40" i="4"/>
  <c r="AM42" i="4" s="1"/>
  <c r="AF40" i="4"/>
  <c r="AF42" i="4" s="1"/>
  <c r="T42" i="4"/>
  <c r="T40" i="4"/>
  <c r="AO40" i="4"/>
  <c r="AO42" i="4" s="1"/>
  <c r="Y40" i="4"/>
  <c r="Y42" i="4" s="1"/>
  <c r="AC40" i="4"/>
  <c r="AC42" i="4" s="1"/>
  <c r="AL40" i="4"/>
  <c r="AL42" i="4" s="1"/>
  <c r="M40" i="4"/>
  <c r="M42" i="4" s="1"/>
  <c r="S40" i="4"/>
  <c r="S42" i="4" s="1"/>
  <c r="AG40" i="4"/>
  <c r="AG42" i="4" s="1"/>
  <c r="N131" i="4"/>
  <c r="N133" i="4" s="1"/>
  <c r="J131" i="4"/>
  <c r="J133" i="4" s="1"/>
  <c r="AN131" i="4"/>
  <c r="AN133" i="4" s="1"/>
  <c r="I131" i="4"/>
  <c r="I133" i="4" s="1"/>
  <c r="AJ131" i="4"/>
  <c r="AJ133" i="4" s="1"/>
  <c r="H131" i="4"/>
  <c r="H133" i="4" s="1"/>
  <c r="AH131" i="4"/>
  <c r="AH133" i="4" s="1"/>
  <c r="AG131" i="4"/>
  <c r="AG133" i="4" s="1"/>
  <c r="AD131" i="4"/>
  <c r="AD133" i="4" s="1"/>
  <c r="AC131" i="4"/>
  <c r="AB131" i="4"/>
  <c r="AB133" i="4" s="1"/>
  <c r="AA131" i="4"/>
  <c r="AA133" i="4" s="1"/>
  <c r="Z131" i="4"/>
  <c r="Z133" i="4" s="1"/>
  <c r="Y131" i="4"/>
  <c r="Y133" i="4" s="1"/>
  <c r="T131" i="4"/>
  <c r="T133" i="4" s="1"/>
  <c r="S131" i="4"/>
  <c r="S133" i="4" s="1"/>
  <c r="R131" i="4"/>
  <c r="R133" i="4" s="1"/>
  <c r="O131" i="4"/>
  <c r="O133" i="4" s="1"/>
  <c r="P131" i="4"/>
  <c r="P133" i="4" s="1"/>
  <c r="AF131" i="4"/>
  <c r="AF133" i="4" s="1"/>
  <c r="AO131" i="4"/>
  <c r="AO133" i="4" s="1"/>
  <c r="M131" i="4"/>
  <c r="M133" i="4" s="1"/>
  <c r="AM131" i="4"/>
  <c r="AM133" i="4" s="1"/>
  <c r="W131" i="4"/>
  <c r="W133" i="4" s="1"/>
  <c r="AE131" i="4"/>
  <c r="AE133" i="4" s="1"/>
  <c r="L131" i="4"/>
  <c r="L133" i="4" s="1"/>
  <c r="Q131" i="4"/>
  <c r="Q133" i="4" s="1"/>
  <c r="AL131" i="4"/>
  <c r="AL133" i="4" s="1"/>
  <c r="AQ131" i="4"/>
  <c r="AQ133" i="4" s="1"/>
  <c r="AP131" i="4"/>
  <c r="AP133" i="4" s="1"/>
  <c r="V131" i="4"/>
  <c r="V133" i="4" s="1"/>
  <c r="X131" i="4"/>
  <c r="X133" i="4" s="1"/>
  <c r="AK131" i="4"/>
  <c r="AK133" i="4" s="1"/>
  <c r="K131" i="4"/>
  <c r="K133" i="4" s="1"/>
  <c r="U131" i="4"/>
  <c r="U133" i="4" s="1"/>
  <c r="AI131" i="4"/>
  <c r="AI133" i="4" s="1"/>
  <c r="AC133" i="4"/>
  <c r="J63" i="4"/>
  <c r="AR63" i="4" s="1"/>
  <c r="AS63" i="4" s="1"/>
  <c r="AF89" i="4"/>
  <c r="AF91" i="4" s="1"/>
  <c r="L89" i="4"/>
  <c r="L91" i="4" s="1"/>
  <c r="AE89" i="4"/>
  <c r="AE91" i="4" s="1"/>
  <c r="J89" i="4"/>
  <c r="J91" i="4" s="1"/>
  <c r="AD89" i="4"/>
  <c r="AD91" i="4" s="1"/>
  <c r="I89" i="4"/>
  <c r="I91" i="4" s="1"/>
  <c r="AC89" i="4"/>
  <c r="AC91" i="4" s="1"/>
  <c r="AB89" i="4"/>
  <c r="Y89" i="4"/>
  <c r="Y91" i="4" s="1"/>
  <c r="AB91" i="4"/>
  <c r="W89" i="4"/>
  <c r="W91" i="4" s="1"/>
  <c r="P89" i="4"/>
  <c r="P91" i="4" s="1"/>
  <c r="V89" i="4"/>
  <c r="V91" i="4" s="1"/>
  <c r="AO89" i="4"/>
  <c r="AO91" i="4" s="1"/>
  <c r="U89" i="4"/>
  <c r="U91" i="4" s="1"/>
  <c r="AN89" i="4"/>
  <c r="AN91" i="4" s="1"/>
  <c r="T89" i="4"/>
  <c r="T91" i="4" s="1"/>
  <c r="AM89" i="4"/>
  <c r="AM91" i="4" s="1"/>
  <c r="R89" i="4"/>
  <c r="R91" i="4" s="1"/>
  <c r="AK89" i="4"/>
  <c r="AK91" i="4" s="1"/>
  <c r="AL89" i="4"/>
  <c r="AL91" i="4" s="1"/>
  <c r="Q89" i="4"/>
  <c r="Q91" i="4" s="1"/>
  <c r="AJ89" i="4"/>
  <c r="AJ91" i="4" s="1"/>
  <c r="O89" i="4"/>
  <c r="O91" i="4" s="1"/>
  <c r="AH89" i="4"/>
  <c r="AH91" i="4" s="1"/>
  <c r="N89" i="4"/>
  <c r="N91" i="4" s="1"/>
  <c r="AG89" i="4"/>
  <c r="AG91" i="4" s="1"/>
  <c r="M89" i="4"/>
  <c r="M91" i="4" s="1"/>
  <c r="S89" i="4"/>
  <c r="S91" i="4" s="1"/>
  <c r="AQ89" i="4"/>
  <c r="AQ91" i="4" s="1"/>
  <c r="AA89" i="4"/>
  <c r="AA91" i="4" s="1"/>
  <c r="K89" i="4"/>
  <c r="K91" i="4" s="1"/>
  <c r="H89" i="4"/>
  <c r="Z89" i="4"/>
  <c r="Z91" i="4" s="1"/>
  <c r="X89" i="4"/>
  <c r="X91" i="4" s="1"/>
  <c r="AP89" i="4"/>
  <c r="AP91" i="4" s="1"/>
  <c r="AI89" i="4"/>
  <c r="AI91" i="4" s="1"/>
  <c r="AC47" i="4"/>
  <c r="AC49" i="4" s="1"/>
  <c r="X47" i="4"/>
  <c r="X49" i="4" s="1"/>
  <c r="W47" i="4"/>
  <c r="W49" i="4" s="1"/>
  <c r="U47" i="4"/>
  <c r="T47" i="4"/>
  <c r="T49" i="4" s="1"/>
  <c r="S47" i="4"/>
  <c r="S49" i="4" s="1"/>
  <c r="R47" i="4"/>
  <c r="M47" i="4"/>
  <c r="M49" i="4" s="1"/>
  <c r="AN47" i="4"/>
  <c r="AN49" i="4" s="1"/>
  <c r="AH47" i="4"/>
  <c r="AH49" i="4" s="1"/>
  <c r="AD47" i="4"/>
  <c r="AD49" i="4" s="1"/>
  <c r="Z47" i="4"/>
  <c r="Z49" i="4" s="1"/>
  <c r="J47" i="4"/>
  <c r="J49" i="4" s="1"/>
  <c r="AO47" i="4"/>
  <c r="O47" i="4"/>
  <c r="O49" i="4" s="1"/>
  <c r="AE47" i="4"/>
  <c r="AE49" i="4" s="1"/>
  <c r="Y47" i="4"/>
  <c r="Y49" i="4" s="1"/>
  <c r="AJ47" i="4"/>
  <c r="AJ49" i="4" s="1"/>
  <c r="H47" i="4"/>
  <c r="I47" i="4"/>
  <c r="I49" i="4" s="1"/>
  <c r="AG47" i="4"/>
  <c r="AG49" i="4" s="1"/>
  <c r="AB47" i="4"/>
  <c r="AB49" i="4" s="1"/>
  <c r="L47" i="4"/>
  <c r="L49" i="4" s="1"/>
  <c r="AL47" i="4"/>
  <c r="AL49" i="4" s="1"/>
  <c r="V47" i="4"/>
  <c r="V49" i="4" s="1"/>
  <c r="N47" i="4"/>
  <c r="N49" i="4" s="1"/>
  <c r="AQ47" i="4"/>
  <c r="AQ49" i="4" s="1"/>
  <c r="AI47" i="4"/>
  <c r="AI49" i="4" s="1"/>
  <c r="AA47" i="4"/>
  <c r="AA49" i="4" s="1"/>
  <c r="R49" i="4"/>
  <c r="K47" i="4"/>
  <c r="K49" i="4" s="1"/>
  <c r="Q47" i="4"/>
  <c r="Q49" i="4" s="1"/>
  <c r="U49" i="4"/>
  <c r="P47" i="4"/>
  <c r="P49" i="4" s="1"/>
  <c r="AM47" i="4"/>
  <c r="AM49" i="4" s="1"/>
  <c r="AF47" i="4"/>
  <c r="AF49" i="4" s="1"/>
  <c r="AP47" i="4"/>
  <c r="AP49" i="4" s="1"/>
  <c r="AK47" i="4"/>
  <c r="AK49" i="4" s="1"/>
  <c r="AO49" i="4"/>
  <c r="E28" i="11"/>
  <c r="I27" i="11"/>
  <c r="G27" i="11"/>
  <c r="E22" i="11"/>
  <c r="AQ138" i="4"/>
  <c r="AQ140" i="4" s="1"/>
  <c r="O138" i="4"/>
  <c r="O140" i="4" s="1"/>
  <c r="AP138" i="4"/>
  <c r="AP140" i="4" s="1"/>
  <c r="M138" i="4"/>
  <c r="M140" i="4" s="1"/>
  <c r="AO138" i="4"/>
  <c r="AO140" i="4" s="1"/>
  <c r="L138" i="4"/>
  <c r="L140" i="4" s="1"/>
  <c r="AN138" i="4"/>
  <c r="AN140" i="4" s="1"/>
  <c r="K138" i="4"/>
  <c r="K140" i="4" s="1"/>
  <c r="AM138" i="4"/>
  <c r="AM140" i="4" s="1"/>
  <c r="H138" i="4"/>
  <c r="H140" i="4" s="1"/>
  <c r="AI138" i="4"/>
  <c r="AI140" i="4" s="1"/>
  <c r="AH138" i="4"/>
  <c r="AH140" i="4" s="1"/>
  <c r="AC138" i="4"/>
  <c r="AC140" i="4" s="1"/>
  <c r="X138" i="4"/>
  <c r="X140" i="4" s="1"/>
  <c r="AB138" i="4"/>
  <c r="AB140" i="4" s="1"/>
  <c r="AA138" i="4"/>
  <c r="AA140" i="4" s="1"/>
  <c r="Z138" i="4"/>
  <c r="Z140" i="4" s="1"/>
  <c r="Y138" i="4"/>
  <c r="Y140" i="4" s="1"/>
  <c r="S138" i="4"/>
  <c r="S140" i="4" s="1"/>
  <c r="R138" i="4"/>
  <c r="R140" i="4" s="1"/>
  <c r="P138" i="4"/>
  <c r="P140" i="4" s="1"/>
  <c r="AL138" i="4"/>
  <c r="AL140" i="4" s="1"/>
  <c r="AD138" i="4"/>
  <c r="AD140" i="4" s="1"/>
  <c r="V138" i="4"/>
  <c r="V140" i="4" s="1"/>
  <c r="N138" i="4"/>
  <c r="I138" i="4"/>
  <c r="AK138" i="4"/>
  <c r="AK140" i="4" s="1"/>
  <c r="AE138" i="4"/>
  <c r="U138" i="4"/>
  <c r="U140" i="4" s="1"/>
  <c r="N140" i="4"/>
  <c r="AE140" i="4"/>
  <c r="AJ138" i="4"/>
  <c r="AJ140" i="4" s="1"/>
  <c r="T138" i="4"/>
  <c r="T140" i="4" s="1"/>
  <c r="J138" i="4"/>
  <c r="J140" i="4" s="1"/>
  <c r="AG138" i="4"/>
  <c r="AG140" i="4" s="1"/>
  <c r="AF138" i="4"/>
  <c r="AF140" i="4" s="1"/>
  <c r="Q138" i="4"/>
  <c r="Q140" i="4" s="1"/>
  <c r="W138" i="4"/>
  <c r="W140" i="4" s="1"/>
  <c r="I140" i="4"/>
  <c r="T75" i="4"/>
  <c r="T77" i="4" s="1"/>
  <c r="H75" i="4"/>
  <c r="H77" i="4" s="1"/>
  <c r="X75" i="4"/>
  <c r="X77" i="4" s="1"/>
  <c r="AL75" i="4"/>
  <c r="AL77" i="4" s="1"/>
  <c r="AK75" i="4"/>
  <c r="AK77" i="4" s="1"/>
  <c r="AD75" i="4"/>
  <c r="AD77" i="4" s="1"/>
  <c r="AB75" i="4"/>
  <c r="AB77" i="4" s="1"/>
  <c r="Z75" i="4"/>
  <c r="Z77" i="4" s="1"/>
  <c r="Y75" i="4"/>
  <c r="Y77" i="4" s="1"/>
  <c r="W75" i="4"/>
  <c r="W77" i="4" s="1"/>
  <c r="V75" i="4"/>
  <c r="V77" i="4" s="1"/>
  <c r="U75" i="4"/>
  <c r="U77" i="4" s="1"/>
  <c r="AE75" i="4"/>
  <c r="AE77" i="4" s="1"/>
  <c r="J75" i="4"/>
  <c r="J77" i="4" s="1"/>
  <c r="O75" i="4"/>
  <c r="O77" i="4" s="1"/>
  <c r="AN75" i="4"/>
  <c r="AN77" i="4" s="1"/>
  <c r="AI75" i="4"/>
  <c r="AI77" i="4" s="1"/>
  <c r="S75" i="4"/>
  <c r="S77" i="4" s="1"/>
  <c r="AH75" i="4"/>
  <c r="AH77" i="4" s="1"/>
  <c r="AC75" i="4"/>
  <c r="AC77" i="4" s="1"/>
  <c r="AJ75" i="4"/>
  <c r="AJ77" i="4" s="1"/>
  <c r="R75" i="4"/>
  <c r="R77" i="4" s="1"/>
  <c r="M75" i="4"/>
  <c r="M77" i="4" s="1"/>
  <c r="AG75" i="4"/>
  <c r="AG77" i="4" s="1"/>
  <c r="AQ75" i="4"/>
  <c r="AQ77" i="4" s="1"/>
  <c r="Q75" i="4"/>
  <c r="Q77" i="4" s="1"/>
  <c r="AA75" i="4"/>
  <c r="AA77" i="4" s="1"/>
  <c r="K75" i="4"/>
  <c r="K77" i="4" s="1"/>
  <c r="N75" i="4"/>
  <c r="N77" i="4" s="1"/>
  <c r="I75" i="4"/>
  <c r="I77" i="4" s="1"/>
  <c r="AP75" i="4"/>
  <c r="AP77" i="4" s="1"/>
  <c r="AF75" i="4"/>
  <c r="AF77" i="4" s="1"/>
  <c r="AM75" i="4"/>
  <c r="AM77" i="4" s="1"/>
  <c r="L75" i="4"/>
  <c r="L77" i="4" s="1"/>
  <c r="P77" i="4"/>
  <c r="P75" i="4"/>
  <c r="AO75" i="4"/>
  <c r="AO77" i="4" s="1"/>
  <c r="H119" i="4"/>
  <c r="AR119" i="4" s="1"/>
  <c r="AO26" i="4"/>
  <c r="AO28" i="4" s="1"/>
  <c r="AN26" i="4"/>
  <c r="AN28" i="4" s="1"/>
  <c r="AM28" i="4"/>
  <c r="AM26" i="4"/>
  <c r="AL26" i="4"/>
  <c r="AL28" i="4" s="1"/>
  <c r="AK26" i="4"/>
  <c r="AK28" i="4" s="1"/>
  <c r="AJ26" i="4"/>
  <c r="AJ28" i="4" s="1"/>
  <c r="AI26" i="4"/>
  <c r="AI28" i="4" s="1"/>
  <c r="X26" i="4"/>
  <c r="X28" i="4" s="1"/>
  <c r="W26" i="4"/>
  <c r="R26" i="4"/>
  <c r="R28" i="4" s="1"/>
  <c r="AH26" i="4"/>
  <c r="AH28" i="4" s="1"/>
  <c r="Y26" i="4"/>
  <c r="Q26" i="4"/>
  <c r="Q28" i="4" s="1"/>
  <c r="AB26" i="4"/>
  <c r="AB28" i="4" s="1"/>
  <c r="K26" i="4"/>
  <c r="K28" i="4" s="1"/>
  <c r="AG26" i="4"/>
  <c r="AG28" i="4" s="1"/>
  <c r="P26" i="4"/>
  <c r="P28" i="4" s="1"/>
  <c r="AA26" i="4"/>
  <c r="AA28" i="4" s="1"/>
  <c r="V26" i="4"/>
  <c r="V28" i="4" s="1"/>
  <c r="AF26" i="4"/>
  <c r="AF28" i="4" s="1"/>
  <c r="J26" i="4"/>
  <c r="J28" i="4" s="1"/>
  <c r="U26" i="4"/>
  <c r="U28" i="4" s="1"/>
  <c r="N26" i="4"/>
  <c r="H26" i="4"/>
  <c r="W28" i="4"/>
  <c r="N28" i="4"/>
  <c r="I28" i="4"/>
  <c r="AD26" i="4"/>
  <c r="AQ26" i="4"/>
  <c r="M26" i="4"/>
  <c r="M28" i="4" s="1"/>
  <c r="Z26" i="4"/>
  <c r="Z28" i="4" s="1"/>
  <c r="I26" i="4"/>
  <c r="AP26" i="4"/>
  <c r="AP28" i="4" s="1"/>
  <c r="S26" i="4"/>
  <c r="S28" i="4" s="1"/>
  <c r="AE26" i="4"/>
  <c r="AE28" i="4" s="1"/>
  <c r="AC26" i="4"/>
  <c r="AC28" i="4" s="1"/>
  <c r="T26" i="4"/>
  <c r="T28" i="4" s="1"/>
  <c r="O26" i="4"/>
  <c r="O28" i="4" s="1"/>
  <c r="L26" i="4"/>
  <c r="L28" i="4" s="1"/>
  <c r="Y28" i="4"/>
  <c r="AQ28" i="4"/>
  <c r="I50" i="34"/>
  <c r="J50" i="34" s="1"/>
  <c r="G88" i="29"/>
  <c r="G130" i="29"/>
  <c r="G87" i="29"/>
  <c r="J86" i="29"/>
  <c r="K86" i="29" s="1"/>
  <c r="G89" i="29"/>
  <c r="L164" i="28"/>
  <c r="G243" i="28"/>
  <c r="G241" i="28"/>
  <c r="G246" i="28"/>
  <c r="M164" i="28"/>
  <c r="G242" i="28"/>
  <c r="L170" i="28"/>
  <c r="M170" i="28" s="1"/>
  <c r="F117" i="25"/>
  <c r="K117" i="25" s="1"/>
  <c r="K108" i="25"/>
  <c r="F120" i="25"/>
  <c r="G84" i="20"/>
  <c r="S93" i="17"/>
  <c r="S85" i="17"/>
  <c r="S203" i="17"/>
  <c r="S112" i="17"/>
  <c r="S111" i="17"/>
  <c r="S107" i="17"/>
  <c r="S108" i="17"/>
  <c r="S199" i="17"/>
  <c r="S120" i="17"/>
  <c r="A352" i="2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Q351" i="2"/>
  <c r="O351" i="2"/>
  <c r="A745" i="2"/>
  <c r="AE29" i="2"/>
  <c r="A917" i="2"/>
  <c r="AE32" i="2"/>
  <c r="A961" i="2"/>
  <c r="AE33" i="2"/>
  <c r="A279" i="2"/>
  <c r="AE21" i="2"/>
  <c r="O455" i="2"/>
  <c r="Q455" i="2"/>
  <c r="A456" i="2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1196" i="2"/>
  <c r="AE35" i="2"/>
  <c r="O1230" i="2"/>
  <c r="A1231" i="2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Q1230" i="2"/>
  <c r="A869" i="2"/>
  <c r="AE31" i="2"/>
  <c r="A494" i="2"/>
  <c r="AE25" i="2"/>
  <c r="A331" i="2"/>
  <c r="AE22" i="2"/>
  <c r="A1118" i="2"/>
  <c r="AE34" i="2"/>
  <c r="A118" i="2"/>
  <c r="AE19" i="2"/>
  <c r="A720" i="2"/>
  <c r="AE28" i="2"/>
  <c r="AH20" i="2"/>
  <c r="B20" i="2"/>
  <c r="AH6" i="2"/>
  <c r="A835" i="2"/>
  <c r="AE30" i="2"/>
  <c r="AC688" i="2" l="1"/>
  <c r="AE686" i="44"/>
  <c r="AE687" i="44"/>
  <c r="AC687" i="44" s="1"/>
  <c r="AB687" i="44"/>
  <c r="AC42" i="2"/>
  <c r="T17" i="2"/>
  <c r="AE81" i="44"/>
  <c r="AC81" i="44" s="1"/>
  <c r="S79" i="44"/>
  <c r="AH81" i="44" s="1"/>
  <c r="AB81" i="44"/>
  <c r="A73" i="44"/>
  <c r="AE72" i="44"/>
  <c r="L711" i="44"/>
  <c r="V711" i="44"/>
  <c r="W711" i="44" s="1"/>
  <c r="T711" i="44"/>
  <c r="AI711" i="44"/>
  <c r="S711" i="44"/>
  <c r="M711" i="44"/>
  <c r="AC700" i="44"/>
  <c r="V666" i="2"/>
  <c r="AC700" i="2"/>
  <c r="T712" i="2"/>
  <c r="S712" i="2"/>
  <c r="AI712" i="2"/>
  <c r="M712" i="2"/>
  <c r="V712" i="2"/>
  <c r="W712" i="2" s="1"/>
  <c r="L712" i="2"/>
  <c r="AE687" i="2"/>
  <c r="AC687" i="2" s="1"/>
  <c r="AE686" i="2"/>
  <c r="AB687" i="2"/>
  <c r="A73" i="2"/>
  <c r="AE72" i="2"/>
  <c r="V17" i="44"/>
  <c r="AE698" i="44"/>
  <c r="AE699" i="44"/>
  <c r="AC699" i="44" s="1"/>
  <c r="AB699" i="44"/>
  <c r="T79" i="44"/>
  <c r="AE700" i="2"/>
  <c r="AB700" i="2" s="1"/>
  <c r="AH63" i="44"/>
  <c r="AH67" i="44"/>
  <c r="AH76" i="44"/>
  <c r="AH53" i="44"/>
  <c r="AH66" i="44"/>
  <c r="AH70" i="44"/>
  <c r="AH46" i="44"/>
  <c r="AH56" i="44"/>
  <c r="AH73" i="44"/>
  <c r="AH47" i="44"/>
  <c r="AH68" i="44"/>
  <c r="AH59" i="44"/>
  <c r="AH61" i="44"/>
  <c r="AH74" i="44"/>
  <c r="AH71" i="44"/>
  <c r="AH48" i="44"/>
  <c r="AH55" i="44"/>
  <c r="AH51" i="44"/>
  <c r="AH58" i="44"/>
  <c r="AH60" i="44"/>
  <c r="AH52" i="44"/>
  <c r="AH43" i="44"/>
  <c r="S17" i="44"/>
  <c r="AH42" i="44"/>
  <c r="AH50" i="44"/>
  <c r="AH77" i="44"/>
  <c r="AH69" i="44"/>
  <c r="AB42" i="44"/>
  <c r="AH49" i="44"/>
  <c r="AH57" i="44"/>
  <c r="AH45" i="44"/>
  <c r="AH54" i="44"/>
  <c r="AE718" i="44"/>
  <c r="AC718" i="44" s="1"/>
  <c r="AB718" i="44"/>
  <c r="AE700" i="44"/>
  <c r="AB700" i="44" s="1"/>
  <c r="AE716" i="2"/>
  <c r="AE717" i="2"/>
  <c r="AB717" i="2" s="1"/>
  <c r="AB42" i="2"/>
  <c r="AH60" i="2"/>
  <c r="AH67" i="2"/>
  <c r="AH73" i="2"/>
  <c r="S17" i="2"/>
  <c r="AH61" i="2"/>
  <c r="AH50" i="2"/>
  <c r="AH46" i="2"/>
  <c r="AH42" i="2"/>
  <c r="AH66" i="2"/>
  <c r="AH45" i="2"/>
  <c r="AH76" i="2"/>
  <c r="AH71" i="2"/>
  <c r="AH47" i="2"/>
  <c r="AH51" i="2"/>
  <c r="AH56" i="2"/>
  <c r="AH68" i="2"/>
  <c r="AH57" i="2"/>
  <c r="AH74" i="2"/>
  <c r="AH59" i="2"/>
  <c r="AH52" i="2"/>
  <c r="AH55" i="2"/>
  <c r="AH70" i="2"/>
  <c r="AH63" i="2"/>
  <c r="AH69" i="2"/>
  <c r="AH49" i="2"/>
  <c r="AH54" i="2"/>
  <c r="AH48" i="2"/>
  <c r="AH58" i="2"/>
  <c r="AH77" i="2"/>
  <c r="AH53" i="2"/>
  <c r="AH43" i="2"/>
  <c r="T666" i="2"/>
  <c r="V17" i="2"/>
  <c r="AC717" i="2"/>
  <c r="W81" i="44"/>
  <c r="V79" i="44"/>
  <c r="AH65" i="44"/>
  <c r="AE717" i="44"/>
  <c r="AC717" i="44" s="1"/>
  <c r="AE716" i="44"/>
  <c r="AB717" i="44"/>
  <c r="AC699" i="2"/>
  <c r="AE688" i="44"/>
  <c r="AC688" i="44" s="1"/>
  <c r="AB688" i="44"/>
  <c r="T79" i="2"/>
  <c r="AC42" i="44"/>
  <c r="T17" i="44"/>
  <c r="AE718" i="2"/>
  <c r="AC718" i="2" s="1"/>
  <c r="AB718" i="2"/>
  <c r="AE81" i="2"/>
  <c r="AC81" i="2" s="1"/>
  <c r="AB81" i="2"/>
  <c r="S79" i="2"/>
  <c r="AH81" i="2"/>
  <c r="V666" i="44"/>
  <c r="W81" i="2"/>
  <c r="V79" i="2"/>
  <c r="AE698" i="2"/>
  <c r="AE699" i="2"/>
  <c r="AB699" i="2" s="1"/>
  <c r="AH64" i="44"/>
  <c r="V712" i="44"/>
  <c r="W712" i="44" s="1"/>
  <c r="L712" i="44"/>
  <c r="AI712" i="44"/>
  <c r="T712" i="44"/>
  <c r="S712" i="44"/>
  <c r="S666" i="44" s="1"/>
  <c r="M712" i="44"/>
  <c r="AE688" i="2"/>
  <c r="AB688" i="2" s="1"/>
  <c r="AI711" i="2"/>
  <c r="M711" i="2"/>
  <c r="L711" i="2"/>
  <c r="V711" i="2"/>
  <c r="W711" i="2" s="1"/>
  <c r="S711" i="2"/>
  <c r="T711" i="2"/>
  <c r="X11" i="17"/>
  <c r="AJ10" i="17"/>
  <c r="AE104" i="17"/>
  <c r="AE99" i="17"/>
  <c r="AE98" i="17"/>
  <c r="U42" i="17"/>
  <c r="U21" i="17"/>
  <c r="U56" i="17"/>
  <c r="U68" i="17" s="1"/>
  <c r="U57" i="17"/>
  <c r="U69" i="17" s="1"/>
  <c r="U22" i="17"/>
  <c r="U23" i="17"/>
  <c r="G29" i="20"/>
  <c r="G69" i="20" s="1"/>
  <c r="G90" i="20" s="1"/>
  <c r="G20" i="20"/>
  <c r="G30" i="20"/>
  <c r="G71" i="20" s="1"/>
  <c r="G92" i="20" s="1"/>
  <c r="G27" i="20"/>
  <c r="G63" i="20" s="1"/>
  <c r="G85" i="20" s="1"/>
  <c r="G19" i="20"/>
  <c r="G31" i="20"/>
  <c r="G72" i="20" s="1"/>
  <c r="G93" i="20" s="1"/>
  <c r="G28" i="20"/>
  <c r="G70" i="20" s="1"/>
  <c r="G91" i="20" s="1"/>
  <c r="U114" i="17"/>
  <c r="U115" i="17"/>
  <c r="H49" i="20"/>
  <c r="H81" i="20" s="1"/>
  <c r="H51" i="20"/>
  <c r="H76" i="20" s="1"/>
  <c r="H97" i="20" s="1"/>
  <c r="H50" i="20"/>
  <c r="V47" i="20"/>
  <c r="U97" i="17"/>
  <c r="H5" i="20"/>
  <c r="V5" i="20" s="1"/>
  <c r="H3" i="20"/>
  <c r="H18" i="20"/>
  <c r="H33" i="20"/>
  <c r="H79" i="20" s="1"/>
  <c r="H4" i="20"/>
  <c r="H15" i="20"/>
  <c r="H16" i="20" s="1"/>
  <c r="H62" i="20" s="1"/>
  <c r="H84" i="20" s="1"/>
  <c r="H46" i="20"/>
  <c r="H83" i="20" s="1"/>
  <c r="H100" i="20" s="1"/>
  <c r="H2" i="20"/>
  <c r="H38" i="20"/>
  <c r="AB17" i="17"/>
  <c r="AB18" i="17" s="1"/>
  <c r="AB24" i="17" s="1"/>
  <c r="AB113" i="17"/>
  <c r="AB13" i="17"/>
  <c r="AB20" i="17" s="1"/>
  <c r="AB31" i="17"/>
  <c r="AB88" i="17"/>
  <c r="AB87" i="17" s="1"/>
  <c r="AB97" i="17"/>
  <c r="W26" i="17"/>
  <c r="W27" i="17" s="1"/>
  <c r="W25" i="17"/>
  <c r="AC17" i="17"/>
  <c r="AC18" i="17" s="1"/>
  <c r="AC24" i="17" s="1"/>
  <c r="AC13" i="17"/>
  <c r="AC20" i="17" s="1"/>
  <c r="AC31" i="17"/>
  <c r="AC113" i="17"/>
  <c r="AC88" i="17"/>
  <c r="AC87" i="17" s="1"/>
  <c r="AC97" i="17"/>
  <c r="Y17" i="17"/>
  <c r="Y18" i="17" s="1"/>
  <c r="Y24" i="17" s="1"/>
  <c r="Y113" i="17"/>
  <c r="Y97" i="17" s="1"/>
  <c r="Y31" i="17"/>
  <c r="Y13" i="17"/>
  <c r="Y20" i="17" s="1"/>
  <c r="W32" i="17"/>
  <c r="W34" i="17" s="1"/>
  <c r="W33" i="17"/>
  <c r="W56" i="17"/>
  <c r="W68" i="17" s="1"/>
  <c r="W21" i="17"/>
  <c r="W57" i="17"/>
  <c r="W69" i="17" s="1"/>
  <c r="W42" i="17"/>
  <c r="AA113" i="17"/>
  <c r="AA97" i="17"/>
  <c r="AA13" i="17"/>
  <c r="AA20" i="17" s="1"/>
  <c r="AA31" i="17"/>
  <c r="AA88" i="17"/>
  <c r="AA87" i="17" s="1"/>
  <c r="AA17" i="17"/>
  <c r="AA18" i="17" s="1"/>
  <c r="AA24" i="17" s="1"/>
  <c r="W99" i="17"/>
  <c r="W104" i="17"/>
  <c r="W98" i="17"/>
  <c r="T104" i="17"/>
  <c r="T99" i="17"/>
  <c r="T98" i="17"/>
  <c r="Z13" i="17"/>
  <c r="Z20" i="17" s="1"/>
  <c r="Z31" i="17"/>
  <c r="Z113" i="17"/>
  <c r="Z97" i="17" s="1"/>
  <c r="Z17" i="17"/>
  <c r="Z18" i="17" s="1"/>
  <c r="Z24" i="17" s="1"/>
  <c r="Z88" i="17"/>
  <c r="Z87" i="17" s="1"/>
  <c r="W109" i="17"/>
  <c r="W110" i="17" s="1"/>
  <c r="W112" i="17" s="1"/>
  <c r="W114" i="17"/>
  <c r="W115" i="17"/>
  <c r="V17" i="17"/>
  <c r="V113" i="17"/>
  <c r="V97" i="17" s="1"/>
  <c r="V13" i="17"/>
  <c r="V20" i="17" s="1"/>
  <c r="V31" i="17"/>
  <c r="V18" i="17"/>
  <c r="V24" i="17" s="1"/>
  <c r="V88" i="17"/>
  <c r="V87" i="17" s="1"/>
  <c r="T25" i="17"/>
  <c r="T26" i="17" s="1"/>
  <c r="T27" i="17"/>
  <c r="G55" i="20"/>
  <c r="G57" i="20"/>
  <c r="G53" i="20"/>
  <c r="AE32" i="17"/>
  <c r="AE34" i="17" s="1"/>
  <c r="AE33" i="17"/>
  <c r="T32" i="17"/>
  <c r="T34" i="17" s="1"/>
  <c r="T33" i="17"/>
  <c r="AD25" i="17"/>
  <c r="AD26" i="17"/>
  <c r="AD27" i="17" s="1"/>
  <c r="T42" i="17"/>
  <c r="T56" i="17"/>
  <c r="T78" i="17" s="1"/>
  <c r="T57" i="17"/>
  <c r="T79" i="17" s="1"/>
  <c r="T21" i="17"/>
  <c r="AD56" i="17"/>
  <c r="AD68" i="17" s="1"/>
  <c r="AD57" i="17"/>
  <c r="AD69" i="17" s="1"/>
  <c r="AD42" i="17"/>
  <c r="AD22" i="17"/>
  <c r="AD21" i="17"/>
  <c r="AD23" i="17" s="1"/>
  <c r="G39" i="20"/>
  <c r="G40" i="20"/>
  <c r="G35" i="20"/>
  <c r="G66" i="20" s="1"/>
  <c r="G36" i="20"/>
  <c r="AE114" i="17"/>
  <c r="AE115" i="17"/>
  <c r="AE109" i="17"/>
  <c r="AE110" i="17" s="1"/>
  <c r="AE112" i="17" s="1"/>
  <c r="T114" i="17"/>
  <c r="T115" i="17"/>
  <c r="T109" i="17"/>
  <c r="T110" i="17" s="1"/>
  <c r="T112" i="17" s="1"/>
  <c r="U25" i="17"/>
  <c r="U26" i="17"/>
  <c r="U27" i="17" s="1"/>
  <c r="AD32" i="17"/>
  <c r="AD34" i="17" s="1"/>
  <c r="AD33" i="17"/>
  <c r="U32" i="17"/>
  <c r="U34" i="17" s="1"/>
  <c r="U33" i="17"/>
  <c r="AD104" i="17"/>
  <c r="AD109" i="17" s="1"/>
  <c r="AD110" i="17" s="1"/>
  <c r="AD112" i="17" s="1"/>
  <c r="AD99" i="17"/>
  <c r="AD98" i="17"/>
  <c r="AE56" i="17"/>
  <c r="AE68" i="17" s="1"/>
  <c r="AE42" i="17"/>
  <c r="AE21" i="17"/>
  <c r="AE22" i="17" s="1"/>
  <c r="AE57" i="17"/>
  <c r="AE69" i="17" s="1"/>
  <c r="AD115" i="17"/>
  <c r="AD114" i="17"/>
  <c r="Q869" i="44"/>
  <c r="O869" i="44"/>
  <c r="A870" i="44"/>
  <c r="A871" i="44" s="1"/>
  <c r="A872" i="44" s="1"/>
  <c r="A873" i="44" s="1"/>
  <c r="A874" i="44" s="1"/>
  <c r="A875" i="44" s="1"/>
  <c r="A876" i="44" s="1"/>
  <c r="A877" i="44" s="1"/>
  <c r="A878" i="44" s="1"/>
  <c r="A879" i="44" s="1"/>
  <c r="A880" i="44" s="1"/>
  <c r="A881" i="44" s="1"/>
  <c r="A882" i="44" s="1"/>
  <c r="A883" i="44" s="1"/>
  <c r="A884" i="44" s="1"/>
  <c r="A885" i="44" s="1"/>
  <c r="A886" i="44" s="1"/>
  <c r="A887" i="44" s="1"/>
  <c r="A888" i="44" s="1"/>
  <c r="A889" i="44" s="1"/>
  <c r="A890" i="44" s="1"/>
  <c r="A891" i="44" s="1"/>
  <c r="A892" i="44" s="1"/>
  <c r="A893" i="44" s="1"/>
  <c r="A894" i="44" s="1"/>
  <c r="A895" i="44" s="1"/>
  <c r="A896" i="44" s="1"/>
  <c r="A897" i="44" s="1"/>
  <c r="A898" i="44" s="1"/>
  <c r="A899" i="44" s="1"/>
  <c r="A900" i="44" s="1"/>
  <c r="A901" i="44" s="1"/>
  <c r="A902" i="44" s="1"/>
  <c r="A903" i="44" s="1"/>
  <c r="A904" i="44" s="1"/>
  <c r="A905" i="44" s="1"/>
  <c r="A906" i="44" s="1"/>
  <c r="A907" i="44" s="1"/>
  <c r="A908" i="44" s="1"/>
  <c r="A909" i="44" s="1"/>
  <c r="A910" i="44" s="1"/>
  <c r="A911" i="44" s="1"/>
  <c r="A912" i="44" s="1"/>
  <c r="A913" i="44" s="1"/>
  <c r="A914" i="44" s="1"/>
  <c r="A915" i="44" s="1"/>
  <c r="A916" i="44" s="1"/>
  <c r="A204" i="44"/>
  <c r="AE20" i="44"/>
  <c r="O494" i="44"/>
  <c r="Q494" i="44"/>
  <c r="A495" i="44"/>
  <c r="A496" i="44" s="1"/>
  <c r="A497" i="44" s="1"/>
  <c r="A498" i="44" s="1"/>
  <c r="A499" i="44" s="1"/>
  <c r="A500" i="44" s="1"/>
  <c r="A501" i="44" s="1"/>
  <c r="A502" i="44" s="1"/>
  <c r="A503" i="44" s="1"/>
  <c r="A504" i="44" s="1"/>
  <c r="A505" i="44" s="1"/>
  <c r="A506" i="44" s="1"/>
  <c r="A507" i="44" s="1"/>
  <c r="A508" i="44" s="1"/>
  <c r="A509" i="44" s="1"/>
  <c r="A510" i="44" s="1"/>
  <c r="A511" i="44" s="1"/>
  <c r="A512" i="44" s="1"/>
  <c r="A513" i="44" s="1"/>
  <c r="A514" i="44" s="1"/>
  <c r="A515" i="44" s="1"/>
  <c r="A516" i="44" s="1"/>
  <c r="A517" i="44" s="1"/>
  <c r="A518" i="44" s="1"/>
  <c r="A519" i="44" s="1"/>
  <c r="A520" i="44" s="1"/>
  <c r="A521" i="44" s="1"/>
  <c r="A522" i="44" s="1"/>
  <c r="A523" i="44" s="1"/>
  <c r="A524" i="44" s="1"/>
  <c r="A525" i="44" s="1"/>
  <c r="A526" i="44" s="1"/>
  <c r="A527" i="44" s="1"/>
  <c r="A528" i="44" s="1"/>
  <c r="A529" i="44" s="1"/>
  <c r="A530" i="44" s="1"/>
  <c r="A531" i="44" s="1"/>
  <c r="A532" i="44" s="1"/>
  <c r="A533" i="44" s="1"/>
  <c r="A534" i="44" s="1"/>
  <c r="A535" i="44" s="1"/>
  <c r="A536" i="44" s="1"/>
  <c r="A537" i="44" s="1"/>
  <c r="A538" i="44" s="1"/>
  <c r="A539" i="44" s="1"/>
  <c r="A540" i="44" s="1"/>
  <c r="A541" i="44" s="1"/>
  <c r="A542" i="44" s="1"/>
  <c r="A543" i="44" s="1"/>
  <c r="A544" i="44" s="1"/>
  <c r="A545" i="44" s="1"/>
  <c r="A546" i="44" s="1"/>
  <c r="A547" i="44" s="1"/>
  <c r="A548" i="44" s="1"/>
  <c r="A549" i="44" s="1"/>
  <c r="A550" i="44" s="1"/>
  <c r="A551" i="44" s="1"/>
  <c r="A552" i="44" s="1"/>
  <c r="A553" i="44" s="1"/>
  <c r="A554" i="44" s="1"/>
  <c r="A555" i="44" s="1"/>
  <c r="A556" i="44" s="1"/>
  <c r="A557" i="44" s="1"/>
  <c r="A558" i="44" s="1"/>
  <c r="A559" i="44" s="1"/>
  <c r="A560" i="44" s="1"/>
  <c r="A561" i="44" s="1"/>
  <c r="A562" i="44" s="1"/>
  <c r="A563" i="44" s="1"/>
  <c r="A564" i="44" s="1"/>
  <c r="A565" i="44" s="1"/>
  <c r="A566" i="44" s="1"/>
  <c r="A567" i="44" s="1"/>
  <c r="A568" i="44" s="1"/>
  <c r="A569" i="44" s="1"/>
  <c r="A570" i="44" s="1"/>
  <c r="A960" i="44"/>
  <c r="A963" i="44" s="1"/>
  <c r="A966" i="44" s="1"/>
  <c r="A969" i="44" s="1"/>
  <c r="A972" i="44" s="1"/>
  <c r="A975" i="44" s="1"/>
  <c r="A978" i="44" s="1"/>
  <c r="A981" i="44" s="1"/>
  <c r="A984" i="44" s="1"/>
  <c r="A987" i="44" s="1"/>
  <c r="A990" i="44" s="1"/>
  <c r="A993" i="44" s="1"/>
  <c r="A996" i="44" s="1"/>
  <c r="A999" i="44" s="1"/>
  <c r="A1002" i="44" s="1"/>
  <c r="A1005" i="44" s="1"/>
  <c r="A1008" i="44" s="1"/>
  <c r="A1011" i="44" s="1"/>
  <c r="A1014" i="44" s="1"/>
  <c r="A1017" i="44" s="1"/>
  <c r="A1020" i="44" s="1"/>
  <c r="A1023" i="44" s="1"/>
  <c r="A1026" i="44" s="1"/>
  <c r="A1029" i="44" s="1"/>
  <c r="A1032" i="44" s="1"/>
  <c r="A1035" i="44" s="1"/>
  <c r="A1038" i="44" s="1"/>
  <c r="A1041" i="44" s="1"/>
  <c r="A1044" i="44" s="1"/>
  <c r="A1047" i="44" s="1"/>
  <c r="A1050" i="44" s="1"/>
  <c r="A1053" i="44" s="1"/>
  <c r="A1056" i="44" s="1"/>
  <c r="A1059" i="44" s="1"/>
  <c r="A1062" i="44" s="1"/>
  <c r="A1065" i="44" s="1"/>
  <c r="A1068" i="44" s="1"/>
  <c r="A1071" i="44" s="1"/>
  <c r="A1074" i="44" s="1"/>
  <c r="A1077" i="44" s="1"/>
  <c r="A1080" i="44" s="1"/>
  <c r="A1083" i="44" s="1"/>
  <c r="A1086" i="44" s="1"/>
  <c r="A1089" i="44" s="1"/>
  <c r="A1092" i="44" s="1"/>
  <c r="A1095" i="44" s="1"/>
  <c r="A1098" i="44" s="1"/>
  <c r="A1101" i="44" s="1"/>
  <c r="A1104" i="44" s="1"/>
  <c r="A1107" i="44" s="1"/>
  <c r="A1110" i="44" s="1"/>
  <c r="A1113" i="44" s="1"/>
  <c r="A1116" i="44" s="1"/>
  <c r="A962" i="44"/>
  <c r="A965" i="44" s="1"/>
  <c r="A968" i="44" s="1"/>
  <c r="A971" i="44" s="1"/>
  <c r="A974" i="44" s="1"/>
  <c r="A977" i="44" s="1"/>
  <c r="A980" i="44" s="1"/>
  <c r="A983" i="44" s="1"/>
  <c r="A986" i="44" s="1"/>
  <c r="A989" i="44" s="1"/>
  <c r="A992" i="44" s="1"/>
  <c r="A995" i="44" s="1"/>
  <c r="A998" i="44" s="1"/>
  <c r="A1001" i="44" s="1"/>
  <c r="A1004" i="44" s="1"/>
  <c r="A1007" i="44" s="1"/>
  <c r="A1010" i="44" s="1"/>
  <c r="A1013" i="44" s="1"/>
  <c r="A1016" i="44" s="1"/>
  <c r="A1019" i="44" s="1"/>
  <c r="A1022" i="44" s="1"/>
  <c r="A1025" i="44" s="1"/>
  <c r="A1028" i="44" s="1"/>
  <c r="A1031" i="44" s="1"/>
  <c r="A1034" i="44" s="1"/>
  <c r="A1037" i="44" s="1"/>
  <c r="A1040" i="44" s="1"/>
  <c r="A1043" i="44" s="1"/>
  <c r="A1046" i="44" s="1"/>
  <c r="A1049" i="44" s="1"/>
  <c r="A1052" i="44" s="1"/>
  <c r="A1055" i="44" s="1"/>
  <c r="A1058" i="44" s="1"/>
  <c r="A1061" i="44" s="1"/>
  <c r="A1064" i="44" s="1"/>
  <c r="A1067" i="44" s="1"/>
  <c r="A1070" i="44" s="1"/>
  <c r="A1073" i="44" s="1"/>
  <c r="A1076" i="44" s="1"/>
  <c r="A1079" i="44" s="1"/>
  <c r="A1082" i="44" s="1"/>
  <c r="A1085" i="44" s="1"/>
  <c r="A1088" i="44" s="1"/>
  <c r="A1091" i="44" s="1"/>
  <c r="A1094" i="44" s="1"/>
  <c r="A1097" i="44" s="1"/>
  <c r="A1100" i="44" s="1"/>
  <c r="A1103" i="44" s="1"/>
  <c r="A1106" i="44" s="1"/>
  <c r="A1109" i="44" s="1"/>
  <c r="A1112" i="44" s="1"/>
  <c r="A1115" i="44" s="1"/>
  <c r="Q720" i="44"/>
  <c r="O720" i="44"/>
  <c r="A721" i="44"/>
  <c r="A722" i="44" s="1"/>
  <c r="A723" i="44" s="1"/>
  <c r="A724" i="44" s="1"/>
  <c r="A725" i="44" s="1"/>
  <c r="A726" i="44" s="1"/>
  <c r="A727" i="44" s="1"/>
  <c r="A728" i="44" s="1"/>
  <c r="A729" i="44" s="1"/>
  <c r="Q455" i="44"/>
  <c r="O455" i="44"/>
  <c r="A456" i="44"/>
  <c r="A457" i="44" s="1"/>
  <c r="A458" i="44" s="1"/>
  <c r="A459" i="44" s="1"/>
  <c r="A460" i="44" s="1"/>
  <c r="A461" i="44" s="1"/>
  <c r="A462" i="44" s="1"/>
  <c r="A463" i="44" s="1"/>
  <c r="A464" i="44" s="1"/>
  <c r="A465" i="44" s="1"/>
  <c r="A466" i="44" s="1"/>
  <c r="A467" i="44" s="1"/>
  <c r="A468" i="44" s="1"/>
  <c r="A469" i="44" s="1"/>
  <c r="A470" i="44" s="1"/>
  <c r="A471" i="44" s="1"/>
  <c r="A472" i="44" s="1"/>
  <c r="A473" i="44" s="1"/>
  <c r="A474" i="44" s="1"/>
  <c r="A475" i="44" s="1"/>
  <c r="A476" i="44" s="1"/>
  <c r="A477" i="44" s="1"/>
  <c r="A478" i="44" s="1"/>
  <c r="A479" i="44" s="1"/>
  <c r="A480" i="44" s="1"/>
  <c r="A481" i="44" s="1"/>
  <c r="A482" i="44" s="1"/>
  <c r="A483" i="44" s="1"/>
  <c r="A484" i="44" s="1"/>
  <c r="A485" i="44" s="1"/>
  <c r="A486" i="44" s="1"/>
  <c r="A487" i="44" s="1"/>
  <c r="A488" i="44" s="1"/>
  <c r="A489" i="44" s="1"/>
  <c r="A490" i="44" s="1"/>
  <c r="A491" i="44" s="1"/>
  <c r="A492" i="44" s="1"/>
  <c r="A493" i="44" s="1"/>
  <c r="AX43" i="42"/>
  <c r="AX41" i="42"/>
  <c r="AX39" i="42"/>
  <c r="AX37" i="42"/>
  <c r="AX40" i="42"/>
  <c r="AX42" i="42"/>
  <c r="AX38" i="42"/>
  <c r="AX27" i="42"/>
  <c r="AX25" i="42"/>
  <c r="AX23" i="42"/>
  <c r="AX28" i="42"/>
  <c r="AX26" i="42"/>
  <c r="AX29" i="42"/>
  <c r="AX24" i="42"/>
  <c r="A30" i="42"/>
  <c r="AX95" i="42"/>
  <c r="AX93" i="42"/>
  <c r="AX98" i="42"/>
  <c r="AX94" i="42"/>
  <c r="AX96" i="42"/>
  <c r="AX99" i="42"/>
  <c r="AX97" i="42"/>
  <c r="AX132" i="42"/>
  <c r="AX134" i="42"/>
  <c r="AX129" i="42"/>
  <c r="AX131" i="42"/>
  <c r="AX133" i="42"/>
  <c r="AX130" i="42"/>
  <c r="AX128" i="42"/>
  <c r="AX102" i="42"/>
  <c r="AX100" i="42"/>
  <c r="AX105" i="42"/>
  <c r="AX103" i="42"/>
  <c r="AX104" i="42"/>
  <c r="AX101" i="42"/>
  <c r="AX106" i="42"/>
  <c r="AX138" i="42"/>
  <c r="AX141" i="42"/>
  <c r="AX139" i="42"/>
  <c r="AX137" i="42"/>
  <c r="AX135" i="42"/>
  <c r="AX140" i="42"/>
  <c r="AX136" i="42"/>
  <c r="AX67" i="42"/>
  <c r="AX65" i="42"/>
  <c r="AX68" i="42"/>
  <c r="AX71" i="42"/>
  <c r="AX69" i="42"/>
  <c r="AX66" i="42"/>
  <c r="AX70" i="42"/>
  <c r="AX109" i="42"/>
  <c r="AX107" i="42"/>
  <c r="AX112" i="42"/>
  <c r="AX110" i="42"/>
  <c r="AX113" i="42"/>
  <c r="AX111" i="42"/>
  <c r="AX108" i="42"/>
  <c r="AX91" i="42"/>
  <c r="AX87" i="42"/>
  <c r="AX89" i="42"/>
  <c r="AX90" i="42"/>
  <c r="AX88" i="42"/>
  <c r="AX86" i="42"/>
  <c r="AX92" i="42"/>
  <c r="AX119" i="42"/>
  <c r="AX117" i="42"/>
  <c r="AX120" i="42"/>
  <c r="AX115" i="42"/>
  <c r="AX118" i="42"/>
  <c r="AX114" i="42"/>
  <c r="AX116" i="42"/>
  <c r="AX124" i="42"/>
  <c r="AX127" i="42"/>
  <c r="AX122" i="42"/>
  <c r="AX125" i="42"/>
  <c r="AX123" i="42"/>
  <c r="AX126" i="42"/>
  <c r="AX121" i="42"/>
  <c r="AX45" i="42"/>
  <c r="AX46" i="42"/>
  <c r="AX49" i="42"/>
  <c r="AX48" i="42"/>
  <c r="AX47" i="42"/>
  <c r="AX44" i="42"/>
  <c r="AX50" i="42"/>
  <c r="P23" i="17"/>
  <c r="O50" i="17"/>
  <c r="O62" i="17" s="1"/>
  <c r="O45" i="17"/>
  <c r="O48" i="17"/>
  <c r="O60" i="17" s="1"/>
  <c r="O49" i="17"/>
  <c r="O61" i="17" s="1"/>
  <c r="Q99" i="17"/>
  <c r="Q104" i="17"/>
  <c r="Q98" i="17"/>
  <c r="R26" i="17"/>
  <c r="R27" i="17" s="1"/>
  <c r="J82" i="20"/>
  <c r="J99" i="20" s="1"/>
  <c r="J42" i="20"/>
  <c r="J78" i="20" s="1"/>
  <c r="J43" i="20"/>
  <c r="J67" i="20" s="1"/>
  <c r="J88" i="20" s="1"/>
  <c r="J44" i="20"/>
  <c r="J75" i="20" s="1"/>
  <c r="J96" i="20" s="1"/>
  <c r="P106" i="17"/>
  <c r="P105" i="17"/>
  <c r="P109" i="17"/>
  <c r="P110" i="17" s="1"/>
  <c r="G26" i="17"/>
  <c r="G27" i="17" s="1"/>
  <c r="I106" i="17"/>
  <c r="I105" i="17"/>
  <c r="I109" i="17"/>
  <c r="I110" i="17" s="1"/>
  <c r="I103" i="17"/>
  <c r="I100" i="17"/>
  <c r="I101" i="17"/>
  <c r="I102" i="17"/>
  <c r="P39" i="17"/>
  <c r="P35" i="17"/>
  <c r="P119" i="17"/>
  <c r="P118" i="17"/>
  <c r="Q117" i="17"/>
  <c r="Q116" i="17"/>
  <c r="Q58" i="20"/>
  <c r="Q64" i="20" s="1"/>
  <c r="Q86" i="20" s="1"/>
  <c r="Q60" i="20"/>
  <c r="Q74" i="20" s="1"/>
  <c r="Q95" i="20" s="1"/>
  <c r="Q59" i="20"/>
  <c r="Q65" i="20" s="1"/>
  <c r="Q87" i="20" s="1"/>
  <c r="O43" i="17"/>
  <c r="O55" i="17"/>
  <c r="O67" i="17" s="1"/>
  <c r="O54" i="17"/>
  <c r="O66" i="17" s="1"/>
  <c r="G35" i="17"/>
  <c r="G118" i="17"/>
  <c r="G119" i="17"/>
  <c r="G39" i="17"/>
  <c r="G44" i="17" s="1"/>
  <c r="G53" i="17" s="1"/>
  <c r="G65" i="17" s="1"/>
  <c r="Q43" i="17"/>
  <c r="Q54" i="17"/>
  <c r="Q66" i="17" s="1"/>
  <c r="Q55" i="17"/>
  <c r="Q67" i="17" s="1"/>
  <c r="Q23" i="17"/>
  <c r="G116" i="17"/>
  <c r="G117" i="17"/>
  <c r="H108" i="17"/>
  <c r="H107" i="17"/>
  <c r="O98" i="17"/>
  <c r="O99" i="17"/>
  <c r="O104" i="17"/>
  <c r="P53" i="20"/>
  <c r="P55" i="20"/>
  <c r="P57" i="20"/>
  <c r="I35" i="20"/>
  <c r="I36" i="20"/>
  <c r="I39" i="20"/>
  <c r="V38" i="20"/>
  <c r="I40" i="20"/>
  <c r="J61" i="20"/>
  <c r="J77" i="20"/>
  <c r="J98" i="20" s="1"/>
  <c r="H111" i="17"/>
  <c r="H112" i="17"/>
  <c r="R106" i="17"/>
  <c r="R105" i="17"/>
  <c r="R109" i="17"/>
  <c r="R110" i="17" s="1"/>
  <c r="F88" i="17"/>
  <c r="F125" i="17"/>
  <c r="F136" i="17" s="1"/>
  <c r="F113" i="17"/>
  <c r="F124" i="17"/>
  <c r="F135" i="17" s="1"/>
  <c r="F123" i="17"/>
  <c r="F97" i="17"/>
  <c r="F13" i="17"/>
  <c r="AJ11" i="17"/>
  <c r="F31" i="17"/>
  <c r="F18" i="17"/>
  <c r="F17" i="17"/>
  <c r="AK1" i="16"/>
  <c r="P39" i="20"/>
  <c r="P36" i="20"/>
  <c r="P35" i="20"/>
  <c r="P66" i="20" s="1"/>
  <c r="P40" i="20"/>
  <c r="J60" i="20"/>
  <c r="J74" i="20" s="1"/>
  <c r="J95" i="20" s="1"/>
  <c r="J58" i="20"/>
  <c r="J64" i="20" s="1"/>
  <c r="J86" i="20" s="1"/>
  <c r="J59" i="20"/>
  <c r="J65" i="20" s="1"/>
  <c r="J87" i="20" s="1"/>
  <c r="I55" i="20"/>
  <c r="I53" i="20"/>
  <c r="I57" i="20"/>
  <c r="V2" i="20"/>
  <c r="O51" i="17"/>
  <c r="O63" i="17" s="1"/>
  <c r="R102" i="17"/>
  <c r="R101" i="17"/>
  <c r="R100" i="17"/>
  <c r="R103" i="17"/>
  <c r="V49" i="20"/>
  <c r="P27" i="20"/>
  <c r="P63" i="20" s="1"/>
  <c r="P85" i="20" s="1"/>
  <c r="P28" i="20"/>
  <c r="P70" i="20" s="1"/>
  <c r="P91" i="20" s="1"/>
  <c r="P19" i="20"/>
  <c r="P29" i="20"/>
  <c r="P69" i="20" s="1"/>
  <c r="P90" i="20" s="1"/>
  <c r="P20" i="20"/>
  <c r="P30" i="20"/>
  <c r="P71" i="20" s="1"/>
  <c r="P92" i="20" s="1"/>
  <c r="P31" i="20"/>
  <c r="P72" i="20" s="1"/>
  <c r="P93" i="20" s="1"/>
  <c r="I16" i="20"/>
  <c r="V15" i="20"/>
  <c r="G104" i="17"/>
  <c r="G99" i="17"/>
  <c r="G98" i="17"/>
  <c r="I119" i="17"/>
  <c r="I35" i="17"/>
  <c r="I39" i="17"/>
  <c r="I44" i="17" s="1"/>
  <c r="I53" i="17" s="1"/>
  <c r="I65" i="17" s="1"/>
  <c r="I118" i="17"/>
  <c r="V81" i="20"/>
  <c r="V51" i="20"/>
  <c r="V4" i="20"/>
  <c r="I97" i="20"/>
  <c r="V76" i="20"/>
  <c r="Q73" i="20"/>
  <c r="Q94" i="20" s="1"/>
  <c r="Q34" i="20"/>
  <c r="Q37" i="20"/>
  <c r="Q80" i="20" s="1"/>
  <c r="I83" i="20"/>
  <c r="V46" i="20"/>
  <c r="R35" i="17"/>
  <c r="R119" i="17"/>
  <c r="R39" i="17"/>
  <c r="R118" i="17"/>
  <c r="P54" i="17"/>
  <c r="P66" i="17" s="1"/>
  <c r="P55" i="17"/>
  <c r="P67" i="17" s="1"/>
  <c r="P43" i="17"/>
  <c r="I43" i="17"/>
  <c r="I54" i="17"/>
  <c r="I66" i="17" s="1"/>
  <c r="I55" i="17"/>
  <c r="I67" i="17" s="1"/>
  <c r="I79" i="20"/>
  <c r="V79" i="20" s="1"/>
  <c r="V33" i="20"/>
  <c r="H44" i="17"/>
  <c r="H46" i="17" s="1"/>
  <c r="H126" i="17"/>
  <c r="H83" i="17"/>
  <c r="I89" i="20"/>
  <c r="Q42" i="20"/>
  <c r="Q78" i="20" s="1"/>
  <c r="Q43" i="20"/>
  <c r="Q67" i="20" s="1"/>
  <c r="Q88" i="20" s="1"/>
  <c r="Q44" i="20"/>
  <c r="Q75" i="20" s="1"/>
  <c r="Q96" i="20" s="1"/>
  <c r="Q82" i="20"/>
  <c r="Q99" i="20" s="1"/>
  <c r="I30" i="20"/>
  <c r="I27" i="20"/>
  <c r="I19" i="20"/>
  <c r="I28" i="20"/>
  <c r="I29" i="20"/>
  <c r="I20" i="20"/>
  <c r="I31" i="20"/>
  <c r="V18" i="20"/>
  <c r="O35" i="17"/>
  <c r="O119" i="17"/>
  <c r="O39" i="17"/>
  <c r="O118" i="17"/>
  <c r="R116" i="17"/>
  <c r="R117" i="17"/>
  <c r="Q77" i="20"/>
  <c r="Q98" i="20" s="1"/>
  <c r="Q61" i="20"/>
  <c r="I23" i="17"/>
  <c r="O116" i="17"/>
  <c r="O117" i="17"/>
  <c r="P27" i="17"/>
  <c r="P101" i="17"/>
  <c r="P103" i="17"/>
  <c r="P102" i="17"/>
  <c r="P100" i="17"/>
  <c r="R55" i="17"/>
  <c r="R67" i="17" s="1"/>
  <c r="R54" i="17"/>
  <c r="R66" i="17" s="1"/>
  <c r="R43" i="17"/>
  <c r="R23" i="17"/>
  <c r="I117" i="17"/>
  <c r="I116" i="17"/>
  <c r="G54" i="17"/>
  <c r="G66" i="17" s="1"/>
  <c r="G43" i="17"/>
  <c r="G55" i="17"/>
  <c r="G67" i="17" s="1"/>
  <c r="G23" i="17"/>
  <c r="V3" i="20"/>
  <c r="H53" i="17"/>
  <c r="H65" i="17" s="1"/>
  <c r="P117" i="17"/>
  <c r="P116" i="17"/>
  <c r="Q35" i="17"/>
  <c r="Q39" i="17"/>
  <c r="Q119" i="17"/>
  <c r="Q118" i="17"/>
  <c r="H49" i="17"/>
  <c r="H61" i="17" s="1"/>
  <c r="H48" i="17"/>
  <c r="H60" i="17" s="1"/>
  <c r="H50" i="17"/>
  <c r="H62" i="17" s="1"/>
  <c r="H45" i="17"/>
  <c r="J73" i="20"/>
  <c r="J94" i="20" s="1"/>
  <c r="J37" i="20"/>
  <c r="J80" i="20" s="1"/>
  <c r="J34" i="20"/>
  <c r="AJ70" i="18"/>
  <c r="F163" i="18"/>
  <c r="F153" i="18" s="1"/>
  <c r="AJ153" i="18" s="1"/>
  <c r="H51" i="17"/>
  <c r="M134" i="4"/>
  <c r="AO50" i="4"/>
  <c r="AS65" i="4"/>
  <c r="AS71" i="4"/>
  <c r="AR43" i="4"/>
  <c r="AS43" i="4" s="1"/>
  <c r="AI92" i="4"/>
  <c r="X50" i="4"/>
  <c r="AT34" i="4"/>
  <c r="AS34" i="4"/>
  <c r="AS36" i="4"/>
  <c r="AS30" i="4"/>
  <c r="U50" i="4"/>
  <c r="AT76" i="4"/>
  <c r="AS76" i="4"/>
  <c r="AS78" i="4"/>
  <c r="AS72" i="4"/>
  <c r="AT41" i="4"/>
  <c r="AS41" i="4"/>
  <c r="K92" i="4"/>
  <c r="AT55" i="4"/>
  <c r="AS55" i="4"/>
  <c r="AS57" i="4"/>
  <c r="AS51" i="4"/>
  <c r="AR48" i="4"/>
  <c r="AT27" i="4"/>
  <c r="AS27" i="4"/>
  <c r="AS23" i="4"/>
  <c r="AS29" i="4"/>
  <c r="AR134" i="4"/>
  <c r="I50" i="4"/>
  <c r="AS111" i="4"/>
  <c r="AT111" i="4"/>
  <c r="AS107" i="4"/>
  <c r="AS113" i="4"/>
  <c r="AS125" i="4"/>
  <c r="AT125" i="4"/>
  <c r="AS127" i="4"/>
  <c r="AS121" i="4"/>
  <c r="AT118" i="4"/>
  <c r="AS118" i="4"/>
  <c r="AS120" i="4"/>
  <c r="AS114" i="4"/>
  <c r="O50" i="4"/>
  <c r="AR132" i="4"/>
  <c r="AR90" i="4"/>
  <c r="AT104" i="4"/>
  <c r="AS104" i="4"/>
  <c r="AS100" i="4"/>
  <c r="AS106" i="4"/>
  <c r="AR133" i="4"/>
  <c r="AR42" i="4"/>
  <c r="AR105" i="4"/>
  <c r="AR98" i="4"/>
  <c r="I22" i="11"/>
  <c r="H22" i="11"/>
  <c r="G22" i="11"/>
  <c r="AR89" i="4"/>
  <c r="AR112" i="4"/>
  <c r="AS152" i="4"/>
  <c r="AT152" i="4"/>
  <c r="AS154" i="4"/>
  <c r="AR77" i="4"/>
  <c r="AL33" i="4"/>
  <c r="P33" i="4"/>
  <c r="P35" i="4" s="1"/>
  <c r="AK33" i="4"/>
  <c r="O33" i="4"/>
  <c r="O35" i="4" s="1"/>
  <c r="T35" i="4"/>
  <c r="AJ33" i="4"/>
  <c r="AJ35" i="4" s="1"/>
  <c r="L33" i="4"/>
  <c r="AI33" i="4"/>
  <c r="AI35" i="4" s="1"/>
  <c r="K33" i="4"/>
  <c r="K35" i="4" s="1"/>
  <c r="AH33" i="4"/>
  <c r="J33" i="4"/>
  <c r="J35" i="4" s="1"/>
  <c r="AG33" i="4"/>
  <c r="T33" i="4"/>
  <c r="AF33" i="4"/>
  <c r="AE33" i="4"/>
  <c r="AB33" i="4"/>
  <c r="AB35" i="4" s="1"/>
  <c r="X33" i="4"/>
  <c r="X35" i="4" s="1"/>
  <c r="W33" i="4"/>
  <c r="V33" i="4"/>
  <c r="AP33" i="4"/>
  <c r="AP35" i="4" s="1"/>
  <c r="S33" i="4"/>
  <c r="S35" i="4" s="1"/>
  <c r="AO33" i="4"/>
  <c r="AO35" i="4" s="1"/>
  <c r="R33" i="4"/>
  <c r="R35" i="4" s="1"/>
  <c r="AH35" i="4"/>
  <c r="AN33" i="4"/>
  <c r="AN35" i="4" s="1"/>
  <c r="Q33" i="4"/>
  <c r="Q35" i="4" s="1"/>
  <c r="AD33" i="4"/>
  <c r="AD35" i="4" s="1"/>
  <c r="I33" i="4"/>
  <c r="I35" i="4" s="1"/>
  <c r="U33" i="4"/>
  <c r="U35" i="4" s="1"/>
  <c r="N33" i="4"/>
  <c r="AA33" i="4"/>
  <c r="AA35" i="4" s="1"/>
  <c r="AM33" i="4"/>
  <c r="AM35" i="4" s="1"/>
  <c r="H33" i="4"/>
  <c r="H35" i="4" s="1"/>
  <c r="Z33" i="4"/>
  <c r="Z35" i="4" s="1"/>
  <c r="AC33" i="4"/>
  <c r="AC35" i="4" s="1"/>
  <c r="M33" i="4"/>
  <c r="M35" i="4" s="1"/>
  <c r="Y33" i="4"/>
  <c r="Y35" i="4" s="1"/>
  <c r="AQ33" i="4"/>
  <c r="AQ35" i="4" s="1"/>
  <c r="AR26" i="4"/>
  <c r="K70" i="4"/>
  <c r="I28" i="11"/>
  <c r="G28" i="11"/>
  <c r="AR110" i="4"/>
  <c r="AS145" i="4"/>
  <c r="AT145" i="4"/>
  <c r="AS147" i="4"/>
  <c r="AR68" i="4"/>
  <c r="AR47" i="4"/>
  <c r="H126" i="4"/>
  <c r="AR126" i="4" s="1"/>
  <c r="AR124" i="4"/>
  <c r="H91" i="4"/>
  <c r="AR91" i="4" s="1"/>
  <c r="AR40" i="4"/>
  <c r="AD28" i="4"/>
  <c r="AS117" i="4"/>
  <c r="AT117" i="4"/>
  <c r="AS119" i="4"/>
  <c r="AR75" i="4"/>
  <c r="AR138" i="4"/>
  <c r="H49" i="4"/>
  <c r="AR49" i="4" s="1"/>
  <c r="AR70" i="4"/>
  <c r="H28" i="4"/>
  <c r="AR28" i="4" s="1"/>
  <c r="AR140" i="4"/>
  <c r="AS140" i="4" s="1"/>
  <c r="AS54" i="4"/>
  <c r="AT54" i="4"/>
  <c r="AS56" i="4"/>
  <c r="AR103" i="4"/>
  <c r="AR131" i="4"/>
  <c r="AR96" i="4"/>
  <c r="G125" i="29"/>
  <c r="J89" i="29"/>
  <c r="K89" i="29" s="1"/>
  <c r="J87" i="29"/>
  <c r="K87" i="29" s="1"/>
  <c r="G127" i="29"/>
  <c r="G147" i="29"/>
  <c r="J130" i="29"/>
  <c r="K130" i="29" s="1"/>
  <c r="J88" i="29"/>
  <c r="G119" i="29"/>
  <c r="K88" i="29"/>
  <c r="G253" i="28"/>
  <c r="L242" i="28"/>
  <c r="M242" i="28" s="1"/>
  <c r="L246" i="28"/>
  <c r="M246" i="28" s="1"/>
  <c r="G257" i="28"/>
  <c r="L241" i="28"/>
  <c r="M241" i="28" s="1"/>
  <c r="G252" i="28"/>
  <c r="G254" i="28"/>
  <c r="L243" i="28"/>
  <c r="M243" i="28" s="1"/>
  <c r="S89" i="17"/>
  <c r="S123" i="17"/>
  <c r="S216" i="17"/>
  <c r="S86" i="17"/>
  <c r="S94" i="17"/>
  <c r="S92" i="17"/>
  <c r="O720" i="2"/>
  <c r="A721" i="2"/>
  <c r="A722" i="2" s="1"/>
  <c r="A723" i="2" s="1"/>
  <c r="A724" i="2" s="1"/>
  <c r="A725" i="2" s="1"/>
  <c r="A726" i="2" s="1"/>
  <c r="A727" i="2" s="1"/>
  <c r="A728" i="2" s="1"/>
  <c r="A729" i="2" s="1"/>
  <c r="Q720" i="2"/>
  <c r="Q869" i="2"/>
  <c r="O869" i="2"/>
  <c r="A870" i="2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O279" i="2"/>
  <c r="Q279" i="2"/>
  <c r="A280" i="2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Q118" i="2"/>
  <c r="O118" i="2"/>
  <c r="A119" i="2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Q961" i="2"/>
  <c r="A964" i="2"/>
  <c r="A967" i="2" s="1"/>
  <c r="A970" i="2" s="1"/>
  <c r="A973" i="2" s="1"/>
  <c r="A976" i="2" s="1"/>
  <c r="A979" i="2" s="1"/>
  <c r="A982" i="2" s="1"/>
  <c r="A985" i="2" s="1"/>
  <c r="A988" i="2" s="1"/>
  <c r="A991" i="2" s="1"/>
  <c r="A994" i="2" s="1"/>
  <c r="A997" i="2" s="1"/>
  <c r="A1000" i="2" s="1"/>
  <c r="A1003" i="2" s="1"/>
  <c r="A1006" i="2" s="1"/>
  <c r="A1009" i="2" s="1"/>
  <c r="A1012" i="2" s="1"/>
  <c r="A1015" i="2" s="1"/>
  <c r="A1018" i="2" s="1"/>
  <c r="A1021" i="2" s="1"/>
  <c r="A1024" i="2" s="1"/>
  <c r="A1027" i="2" s="1"/>
  <c r="A1030" i="2" s="1"/>
  <c r="A1033" i="2" s="1"/>
  <c r="A1036" i="2" s="1"/>
  <c r="A1039" i="2" s="1"/>
  <c r="A1042" i="2" s="1"/>
  <c r="A1045" i="2" s="1"/>
  <c r="A1048" i="2" s="1"/>
  <c r="A1051" i="2" s="1"/>
  <c r="A1054" i="2" s="1"/>
  <c r="A1057" i="2" s="1"/>
  <c r="A1060" i="2" s="1"/>
  <c r="A1063" i="2" s="1"/>
  <c r="A1066" i="2" s="1"/>
  <c r="A1069" i="2" s="1"/>
  <c r="A1072" i="2" s="1"/>
  <c r="A1075" i="2" s="1"/>
  <c r="A1078" i="2" s="1"/>
  <c r="A1081" i="2" s="1"/>
  <c r="A1084" i="2" s="1"/>
  <c r="A1087" i="2" s="1"/>
  <c r="A1090" i="2" s="1"/>
  <c r="A1093" i="2" s="1"/>
  <c r="A1096" i="2" s="1"/>
  <c r="A1099" i="2" s="1"/>
  <c r="A1102" i="2" s="1"/>
  <c r="A1105" i="2" s="1"/>
  <c r="A1108" i="2" s="1"/>
  <c r="A1111" i="2" s="1"/>
  <c r="A1114" i="2" s="1"/>
  <c r="A1117" i="2" s="1"/>
  <c r="O961" i="2"/>
  <c r="Q1196" i="2"/>
  <c r="O1196" i="2"/>
  <c r="A1197" i="2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O1118" i="2"/>
  <c r="Q1118" i="2"/>
  <c r="A1119" i="2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Q917" i="2"/>
  <c r="O917" i="2"/>
  <c r="A918" i="2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Q331" i="2"/>
  <c r="O331" i="2"/>
  <c r="A332" i="2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Q835" i="2"/>
  <c r="O835" i="2"/>
  <c r="A836" i="2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Q745" i="2"/>
  <c r="A746" i="2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O745" i="2"/>
  <c r="A204" i="2"/>
  <c r="AE20" i="2"/>
  <c r="Q494" i="2"/>
  <c r="O494" i="2"/>
  <c r="A495" i="2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H678" i="44" l="1"/>
  <c r="AH672" i="44"/>
  <c r="AH702" i="44"/>
  <c r="AH676" i="44"/>
  <c r="AH680" i="44"/>
  <c r="AH697" i="44"/>
  <c r="AH669" i="44"/>
  <c r="AH670" i="44"/>
  <c r="AH673" i="44"/>
  <c r="AH666" i="44"/>
  <c r="AH682" i="44"/>
  <c r="AH679" i="44"/>
  <c r="AH696" i="44"/>
  <c r="AB666" i="44"/>
  <c r="AH668" i="44"/>
  <c r="AH675" i="44"/>
  <c r="AE666" i="44"/>
  <c r="AH708" i="44"/>
  <c r="AH681" i="44"/>
  <c r="AH677" i="44"/>
  <c r="AH667" i="44"/>
  <c r="S27" i="44"/>
  <c r="AE665" i="44"/>
  <c r="AH674" i="44"/>
  <c r="AH703" i="44"/>
  <c r="AH709" i="44"/>
  <c r="AH706" i="44"/>
  <c r="AH684" i="44"/>
  <c r="AH685" i="44"/>
  <c r="AH691" i="44"/>
  <c r="AH714" i="44"/>
  <c r="AH705" i="44"/>
  <c r="AH693" i="44"/>
  <c r="AH694" i="44"/>
  <c r="AH715" i="44"/>
  <c r="AH671" i="44"/>
  <c r="AH690" i="44"/>
  <c r="AH687" i="44"/>
  <c r="AH718" i="44"/>
  <c r="AH700" i="44"/>
  <c r="AH688" i="44"/>
  <c r="AH717" i="44"/>
  <c r="AH699" i="44"/>
  <c r="S1269" i="44"/>
  <c r="W666" i="2"/>
  <c r="W27" i="2" s="1"/>
  <c r="V27" i="2"/>
  <c r="V15" i="2" s="1"/>
  <c r="AE73" i="44"/>
  <c r="AC73" i="44" s="1"/>
  <c r="A74" i="44"/>
  <c r="A75" i="44" s="1"/>
  <c r="AC711" i="2"/>
  <c r="T18" i="44"/>
  <c r="AC79" i="44"/>
  <c r="AE711" i="2"/>
  <c r="AB711" i="2" s="1"/>
  <c r="AE710" i="2"/>
  <c r="AH79" i="2"/>
  <c r="AH101" i="2"/>
  <c r="AH91" i="2"/>
  <c r="AH100" i="2"/>
  <c r="AB79" i="2"/>
  <c r="AH86" i="2"/>
  <c r="AH115" i="2"/>
  <c r="AH113" i="2"/>
  <c r="AH80" i="2"/>
  <c r="AE79" i="2"/>
  <c r="AH84" i="2"/>
  <c r="AE78" i="2"/>
  <c r="S18" i="2"/>
  <c r="AH94" i="2"/>
  <c r="AH112" i="2"/>
  <c r="AH107" i="2"/>
  <c r="AH98" i="2"/>
  <c r="AH89" i="2"/>
  <c r="AH103" i="2"/>
  <c r="AH88" i="2"/>
  <c r="AH99" i="2"/>
  <c r="AH102" i="2"/>
  <c r="AH85" i="2"/>
  <c r="AH95" i="2"/>
  <c r="AH90" i="2"/>
  <c r="AH105" i="2"/>
  <c r="AH92" i="2"/>
  <c r="AH83" i="2"/>
  <c r="AH96" i="2"/>
  <c r="AH82" i="2"/>
  <c r="AH116" i="2"/>
  <c r="AH87" i="2"/>
  <c r="AH104" i="2"/>
  <c r="AH97" i="2"/>
  <c r="AH93" i="2"/>
  <c r="AH110" i="2"/>
  <c r="AH109" i="2"/>
  <c r="AH93" i="44"/>
  <c r="AH79" i="44"/>
  <c r="AH89" i="44"/>
  <c r="AH100" i="44"/>
  <c r="AH101" i="44"/>
  <c r="AE79" i="44"/>
  <c r="AH83" i="44"/>
  <c r="AH116" i="44"/>
  <c r="AH102" i="44"/>
  <c r="AE78" i="44"/>
  <c r="AH97" i="44"/>
  <c r="S18" i="44"/>
  <c r="AH95" i="44"/>
  <c r="AH94" i="44"/>
  <c r="AH91" i="44"/>
  <c r="AH90" i="44"/>
  <c r="AH96" i="44"/>
  <c r="AH88" i="44"/>
  <c r="AH86" i="44"/>
  <c r="AH115" i="44"/>
  <c r="AH107" i="44"/>
  <c r="AH113" i="44"/>
  <c r="AH85" i="44"/>
  <c r="AH80" i="44"/>
  <c r="AH105" i="44"/>
  <c r="AH84" i="44"/>
  <c r="AB79" i="44"/>
  <c r="AH98" i="44"/>
  <c r="AH87" i="44"/>
  <c r="AH82" i="44"/>
  <c r="AH99" i="44"/>
  <c r="AH92" i="44"/>
  <c r="AH112" i="44"/>
  <c r="AH104" i="44"/>
  <c r="AH103" i="44"/>
  <c r="AH109" i="44"/>
  <c r="AH110" i="44"/>
  <c r="AC79" i="2"/>
  <c r="T18" i="2"/>
  <c r="W79" i="44"/>
  <c r="W18" i="44" s="1"/>
  <c r="V18" i="44"/>
  <c r="V15" i="44" s="1"/>
  <c r="V1269" i="44"/>
  <c r="W1269" i="44" s="1"/>
  <c r="AB711" i="44"/>
  <c r="AE711" i="44"/>
  <c r="AH711" i="44"/>
  <c r="X711" i="44"/>
  <c r="T1269" i="2"/>
  <c r="Y711" i="2" s="1"/>
  <c r="W666" i="44"/>
  <c r="W27" i="44" s="1"/>
  <c r="V27" i="44"/>
  <c r="AC666" i="2"/>
  <c r="T27" i="2"/>
  <c r="T666" i="44"/>
  <c r="D11" i="4"/>
  <c r="D11" i="42"/>
  <c r="T15" i="2"/>
  <c r="D10" i="42"/>
  <c r="D10" i="4"/>
  <c r="E12" i="11"/>
  <c r="E15" i="11" s="1"/>
  <c r="B17" i="2"/>
  <c r="AH17" i="2"/>
  <c r="AE712" i="2"/>
  <c r="AC712" i="2" s="1"/>
  <c r="AB712" i="2"/>
  <c r="AC711" i="44"/>
  <c r="AE710" i="44"/>
  <c r="AE712" i="44"/>
  <c r="AC712" i="44" s="1"/>
  <c r="AB712" i="44"/>
  <c r="AH712" i="44"/>
  <c r="W79" i="2"/>
  <c r="W18" i="2" s="1"/>
  <c r="W15" i="2" s="1"/>
  <c r="V18" i="2"/>
  <c r="V1269" i="2"/>
  <c r="W1269" i="2" s="1"/>
  <c r="B17" i="44"/>
  <c r="AH17" i="44"/>
  <c r="A74" i="2"/>
  <c r="A75" i="2" s="1"/>
  <c r="AE73" i="2"/>
  <c r="AC73" i="2" s="1"/>
  <c r="S666" i="2"/>
  <c r="V104" i="17"/>
  <c r="V98" i="17"/>
  <c r="V99" i="17"/>
  <c r="Y99" i="17"/>
  <c r="Y104" i="17"/>
  <c r="Y98" i="17"/>
  <c r="AE44" i="17"/>
  <c r="AE53" i="17"/>
  <c r="AE65" i="17" s="1"/>
  <c r="AE51" i="17"/>
  <c r="AE63" i="17" s="1"/>
  <c r="AE52" i="17"/>
  <c r="AE64" i="17" s="1"/>
  <c r="AE23" i="17"/>
  <c r="Z99" i="17"/>
  <c r="Z98" i="17"/>
  <c r="Z104" i="17"/>
  <c r="AC25" i="17"/>
  <c r="AC26" i="17"/>
  <c r="AC27" i="17" s="1"/>
  <c r="AE103" i="17"/>
  <c r="AE100" i="17"/>
  <c r="AE102" i="17"/>
  <c r="AE101" i="17"/>
  <c r="AD44" i="17"/>
  <c r="AD52" i="17"/>
  <c r="AD64" i="17" s="1"/>
  <c r="AD53" i="17"/>
  <c r="AD65" i="17" s="1"/>
  <c r="AD51" i="17"/>
  <c r="AD63" i="17" s="1"/>
  <c r="W54" i="17"/>
  <c r="W66" i="17" s="1"/>
  <c r="W55" i="17"/>
  <c r="W67" i="17" s="1"/>
  <c r="W43" i="17"/>
  <c r="H40" i="20"/>
  <c r="H35" i="20"/>
  <c r="H66" i="20" s="1"/>
  <c r="H36" i="20"/>
  <c r="H39" i="20"/>
  <c r="H68" i="20"/>
  <c r="V50" i="20"/>
  <c r="AB104" i="17"/>
  <c r="AB99" i="17"/>
  <c r="AB98" i="17"/>
  <c r="H53" i="20"/>
  <c r="H55" i="20"/>
  <c r="V55" i="20" s="1"/>
  <c r="H57" i="20"/>
  <c r="AE106" i="17"/>
  <c r="AE105" i="17"/>
  <c r="Z25" i="17"/>
  <c r="Z26" i="17"/>
  <c r="Z27" i="17"/>
  <c r="AC98" i="17"/>
  <c r="AC104" i="17"/>
  <c r="AC99" i="17"/>
  <c r="G61" i="20"/>
  <c r="G77" i="20"/>
  <c r="G98" i="20" s="1"/>
  <c r="T54" i="17"/>
  <c r="T76" i="17" s="1"/>
  <c r="T55" i="17"/>
  <c r="T77" i="17" s="1"/>
  <c r="T43" i="17"/>
  <c r="Z114" i="17"/>
  <c r="Z115" i="17"/>
  <c r="Z109" i="17"/>
  <c r="Z110" i="17" s="1"/>
  <c r="Z112" i="17" s="1"/>
  <c r="AB33" i="17"/>
  <c r="AB32" i="17"/>
  <c r="AB34" i="17" s="1"/>
  <c r="G51" i="17"/>
  <c r="T22" i="17"/>
  <c r="Z33" i="17"/>
  <c r="Z32" i="17"/>
  <c r="Z34" i="17" s="1"/>
  <c r="AB56" i="17"/>
  <c r="AB68" i="17" s="1"/>
  <c r="AB42" i="17"/>
  <c r="AB57" i="17"/>
  <c r="AB69" i="17" s="1"/>
  <c r="AB21" i="17"/>
  <c r="AD101" i="17"/>
  <c r="AD103" i="17"/>
  <c r="AD100" i="17"/>
  <c r="AD102" i="17"/>
  <c r="Z42" i="17"/>
  <c r="Z56" i="17"/>
  <c r="Z68" i="17" s="1"/>
  <c r="Z57" i="17"/>
  <c r="Z69" i="17" s="1"/>
  <c r="Z21" i="17"/>
  <c r="Z22" i="17"/>
  <c r="Z23" i="17"/>
  <c r="AA25" i="17"/>
  <c r="AA26" i="17" s="1"/>
  <c r="AA27" i="17" s="1"/>
  <c r="AC114" i="17"/>
  <c r="AC115" i="17"/>
  <c r="AC109" i="17"/>
  <c r="AC110" i="17" s="1"/>
  <c r="AC112" i="17" s="1"/>
  <c r="AB115" i="17"/>
  <c r="AB114" i="17"/>
  <c r="AB109" i="17"/>
  <c r="AB110" i="17" s="1"/>
  <c r="AB112" i="17" s="1"/>
  <c r="AE43" i="17"/>
  <c r="AE54" i="17"/>
  <c r="AE66" i="17" s="1"/>
  <c r="AE55" i="17"/>
  <c r="AE67" i="17" s="1"/>
  <c r="AD35" i="17"/>
  <c r="AD118" i="17"/>
  <c r="AD119" i="17"/>
  <c r="AD39" i="17"/>
  <c r="AJ78" i="17"/>
  <c r="T102" i="17"/>
  <c r="T101" i="17"/>
  <c r="T100" i="17"/>
  <c r="T103" i="17"/>
  <c r="AC32" i="17"/>
  <c r="AC34" i="17" s="1"/>
  <c r="AC33" i="17"/>
  <c r="AB25" i="17"/>
  <c r="AB26" i="17" s="1"/>
  <c r="AB27" i="17" s="1"/>
  <c r="H28" i="20"/>
  <c r="H70" i="20" s="1"/>
  <c r="H91" i="20" s="1"/>
  <c r="H30" i="20"/>
  <c r="H71" i="20" s="1"/>
  <c r="H92" i="20" s="1"/>
  <c r="H19" i="20"/>
  <c r="H31" i="20"/>
  <c r="H72" i="20" s="1"/>
  <c r="H93" i="20" s="1"/>
  <c r="H27" i="20"/>
  <c r="H63" i="20" s="1"/>
  <c r="H85" i="20" s="1"/>
  <c r="H20" i="20"/>
  <c r="V20" i="20" s="1"/>
  <c r="H29" i="20"/>
  <c r="H69" i="20" s="1"/>
  <c r="H90" i="20" s="1"/>
  <c r="AD105" i="17"/>
  <c r="AD106" i="17"/>
  <c r="G34" i="20"/>
  <c r="G73" i="20"/>
  <c r="G94" i="20" s="1"/>
  <c r="G37" i="20"/>
  <c r="G80" i="20" s="1"/>
  <c r="AA32" i="17"/>
  <c r="AA34" i="17" s="1"/>
  <c r="AA33" i="17"/>
  <c r="AC57" i="17"/>
  <c r="AC69" i="17" s="1"/>
  <c r="AC42" i="17"/>
  <c r="AC21" i="17"/>
  <c r="AC22" i="17" s="1"/>
  <c r="AC56" i="17"/>
  <c r="AC68" i="17" s="1"/>
  <c r="U118" i="17"/>
  <c r="U35" i="17"/>
  <c r="U119" i="17"/>
  <c r="U39" i="17"/>
  <c r="T35" i="17"/>
  <c r="T118" i="17"/>
  <c r="T119" i="17"/>
  <c r="T39" i="17"/>
  <c r="V25" i="17"/>
  <c r="V26" i="17" s="1"/>
  <c r="T106" i="17"/>
  <c r="T105" i="17"/>
  <c r="AA57" i="17"/>
  <c r="AA69" i="17" s="1"/>
  <c r="AA21" i="17"/>
  <c r="AA56" i="17"/>
  <c r="AA68" i="17" s="1"/>
  <c r="AA42" i="17"/>
  <c r="AA22" i="17"/>
  <c r="U116" i="17"/>
  <c r="U117" i="17"/>
  <c r="AE116" i="17"/>
  <c r="AE117" i="17"/>
  <c r="V33" i="17"/>
  <c r="V32" i="17"/>
  <c r="V34" i="17" s="1"/>
  <c r="AA98" i="17"/>
  <c r="AA104" i="17"/>
  <c r="AA99" i="17"/>
  <c r="U50" i="17"/>
  <c r="U48" i="17"/>
  <c r="U60" i="17" s="1"/>
  <c r="G43" i="20"/>
  <c r="G67" i="20" s="1"/>
  <c r="G88" i="20" s="1"/>
  <c r="G44" i="20"/>
  <c r="G75" i="20" s="1"/>
  <c r="G96" i="20" s="1"/>
  <c r="G82" i="20"/>
  <c r="G99" i="20" s="1"/>
  <c r="G42" i="20"/>
  <c r="G78" i="20" s="1"/>
  <c r="G58" i="20"/>
  <c r="G64" i="20" s="1"/>
  <c r="G86" i="20" s="1"/>
  <c r="G59" i="20"/>
  <c r="G65" i="20" s="1"/>
  <c r="G87" i="20" s="1"/>
  <c r="G60" i="20"/>
  <c r="G74" i="20" s="1"/>
  <c r="G95" i="20" s="1"/>
  <c r="V42" i="17"/>
  <c r="V57" i="17"/>
  <c r="V79" i="17" s="1"/>
  <c r="AJ79" i="17" s="1"/>
  <c r="V21" i="17"/>
  <c r="V56" i="17"/>
  <c r="V78" i="17" s="1"/>
  <c r="V22" i="17"/>
  <c r="V23" i="17" s="1"/>
  <c r="AA114" i="17"/>
  <c r="AA115" i="17"/>
  <c r="AA109" i="17"/>
  <c r="AA110" i="17" s="1"/>
  <c r="AA112" i="17" s="1"/>
  <c r="U53" i="17"/>
  <c r="U65" i="17" s="1"/>
  <c r="U52" i="17"/>
  <c r="U64" i="17" s="1"/>
  <c r="U51" i="17"/>
  <c r="U63" i="17" s="1"/>
  <c r="U44" i="17"/>
  <c r="V115" i="17"/>
  <c r="V114" i="17"/>
  <c r="V109" i="17"/>
  <c r="V110" i="17" s="1"/>
  <c r="V112" i="17" s="1"/>
  <c r="W116" i="17"/>
  <c r="W117" i="17"/>
  <c r="Y57" i="17"/>
  <c r="Y69" i="17" s="1"/>
  <c r="Y56" i="17"/>
  <c r="Y68" i="17" s="1"/>
  <c r="Y21" i="17"/>
  <c r="Y23" i="17" s="1"/>
  <c r="Y42" i="17"/>
  <c r="Y22" i="17"/>
  <c r="AJ17" i="17"/>
  <c r="T116" i="17"/>
  <c r="T117" i="17"/>
  <c r="Y33" i="17"/>
  <c r="Y32" i="17"/>
  <c r="Y34" i="17" s="1"/>
  <c r="W101" i="17"/>
  <c r="W102" i="17"/>
  <c r="W100" i="17"/>
  <c r="W103" i="17"/>
  <c r="W22" i="17"/>
  <c r="W35" i="17"/>
  <c r="W118" i="17"/>
  <c r="W119" i="17"/>
  <c r="W39" i="17"/>
  <c r="Y114" i="17"/>
  <c r="Y115" i="17"/>
  <c r="Y109" i="17"/>
  <c r="Y110" i="17" s="1"/>
  <c r="Y112" i="17" s="1"/>
  <c r="U98" i="17"/>
  <c r="U104" i="17"/>
  <c r="U99" i="17"/>
  <c r="U55" i="17"/>
  <c r="U67" i="17" s="1"/>
  <c r="U54" i="17"/>
  <c r="U66" i="17" s="1"/>
  <c r="U43" i="17"/>
  <c r="V40" i="20"/>
  <c r="AD116" i="17"/>
  <c r="AD117" i="17"/>
  <c r="AD54" i="17"/>
  <c r="AD66" i="17" s="1"/>
  <c r="AD43" i="17"/>
  <c r="AD55" i="17"/>
  <c r="AD67" i="17" s="1"/>
  <c r="AE35" i="17"/>
  <c r="AE119" i="17"/>
  <c r="AE118" i="17"/>
  <c r="AE39" i="17"/>
  <c r="W106" i="17"/>
  <c r="W105" i="17"/>
  <c r="Y25" i="17"/>
  <c r="X17" i="17"/>
  <c r="X18" i="17" s="1"/>
  <c r="X13" i="17"/>
  <c r="X20" i="17" s="1"/>
  <c r="X31" i="17"/>
  <c r="X113" i="17"/>
  <c r="AC43" i="44"/>
  <c r="AB43" i="44"/>
  <c r="Q204" i="44"/>
  <c r="O204" i="44"/>
  <c r="A205" i="44"/>
  <c r="A206" i="44" s="1"/>
  <c r="A207" i="44" s="1"/>
  <c r="A208" i="44" s="1"/>
  <c r="A209" i="44" s="1"/>
  <c r="A210" i="44" s="1"/>
  <c r="A211" i="44" s="1"/>
  <c r="A212" i="44" s="1"/>
  <c r="A213" i="44" s="1"/>
  <c r="A214" i="44" s="1"/>
  <c r="A215" i="44" s="1"/>
  <c r="A216" i="44" s="1"/>
  <c r="A217" i="44" s="1"/>
  <c r="A218" i="44" s="1"/>
  <c r="A219" i="44" s="1"/>
  <c r="A220" i="44" s="1"/>
  <c r="A221" i="44" s="1"/>
  <c r="A222" i="44" s="1"/>
  <c r="A223" i="44" s="1"/>
  <c r="A224" i="44" s="1"/>
  <c r="A225" i="44" s="1"/>
  <c r="A226" i="44" s="1"/>
  <c r="A227" i="44" s="1"/>
  <c r="A228" i="44" s="1"/>
  <c r="A229" i="44" s="1"/>
  <c r="A230" i="44" s="1"/>
  <c r="A231" i="44" s="1"/>
  <c r="A232" i="44" s="1"/>
  <c r="A233" i="44" s="1"/>
  <c r="A234" i="44" s="1"/>
  <c r="A235" i="44" s="1"/>
  <c r="A236" i="44" s="1"/>
  <c r="A237" i="44" s="1"/>
  <c r="A238" i="44" s="1"/>
  <c r="A239" i="44" s="1"/>
  <c r="A240" i="44" s="1"/>
  <c r="A241" i="44" s="1"/>
  <c r="A242" i="44" s="1"/>
  <c r="A243" i="44" s="1"/>
  <c r="A244" i="44" s="1"/>
  <c r="A245" i="44" s="1"/>
  <c r="A246" i="44" s="1"/>
  <c r="A247" i="44" s="1"/>
  <c r="A248" i="44" s="1"/>
  <c r="A249" i="44" s="1"/>
  <c r="A250" i="44" s="1"/>
  <c r="A251" i="44" s="1"/>
  <c r="A252" i="44" s="1"/>
  <c r="A253" i="44" s="1"/>
  <c r="A254" i="44" s="1"/>
  <c r="A255" i="44" s="1"/>
  <c r="A256" i="44" s="1"/>
  <c r="A257" i="44" s="1"/>
  <c r="A258" i="44" s="1"/>
  <c r="A259" i="44" s="1"/>
  <c r="A260" i="44" s="1"/>
  <c r="A261" i="44" s="1"/>
  <c r="A262" i="44" s="1"/>
  <c r="A263" i="44" s="1"/>
  <c r="A264" i="44" s="1"/>
  <c r="A265" i="44" s="1"/>
  <c r="A266" i="44" s="1"/>
  <c r="A267" i="44" s="1"/>
  <c r="A268" i="44" s="1"/>
  <c r="A269" i="44" s="1"/>
  <c r="A270" i="44" s="1"/>
  <c r="A271" i="44" s="1"/>
  <c r="A272" i="44" s="1"/>
  <c r="A273" i="44" s="1"/>
  <c r="A274" i="44" s="1"/>
  <c r="A275" i="44" s="1"/>
  <c r="A276" i="44" s="1"/>
  <c r="A277" i="44" s="1"/>
  <c r="A278" i="44" s="1"/>
  <c r="AX34" i="42"/>
  <c r="AX32" i="42"/>
  <c r="AX30" i="42"/>
  <c r="AX35" i="42"/>
  <c r="AX33" i="42"/>
  <c r="AX36" i="42"/>
  <c r="AX31" i="42"/>
  <c r="AS28" i="4"/>
  <c r="AS37" i="4"/>
  <c r="O106" i="17"/>
  <c r="O105" i="17"/>
  <c r="O109" i="17"/>
  <c r="O110" i="17" s="1"/>
  <c r="I108" i="17"/>
  <c r="I107" i="17"/>
  <c r="R83" i="17"/>
  <c r="R126" i="17"/>
  <c r="P34" i="20"/>
  <c r="P37" i="20"/>
  <c r="P80" i="20" s="1"/>
  <c r="P73" i="20"/>
  <c r="P94" i="20" s="1"/>
  <c r="R108" i="17"/>
  <c r="R107" i="17"/>
  <c r="I112" i="17"/>
  <c r="I111" i="17"/>
  <c r="G103" i="17"/>
  <c r="G100" i="17"/>
  <c r="G101" i="17"/>
  <c r="G102" i="17"/>
  <c r="P42" i="20"/>
  <c r="P78" i="20" s="1"/>
  <c r="P82" i="20"/>
  <c r="P99" i="20" s="1"/>
  <c r="P44" i="20"/>
  <c r="P75" i="20" s="1"/>
  <c r="P96" i="20" s="1"/>
  <c r="P43" i="20"/>
  <c r="P67" i="20" s="1"/>
  <c r="P88" i="20" s="1"/>
  <c r="R112" i="17"/>
  <c r="R111" i="17"/>
  <c r="O103" i="17"/>
  <c r="O100" i="17"/>
  <c r="O101" i="17"/>
  <c r="O102" i="17"/>
  <c r="Q83" i="17"/>
  <c r="Q126" i="17"/>
  <c r="O83" i="17"/>
  <c r="O126" i="17"/>
  <c r="G106" i="17"/>
  <c r="G105" i="17"/>
  <c r="G109" i="17"/>
  <c r="G110" i="17" s="1"/>
  <c r="H93" i="17"/>
  <c r="H85" i="17"/>
  <c r="H203" i="17"/>
  <c r="I100" i="20"/>
  <c r="V83" i="20"/>
  <c r="O44" i="17"/>
  <c r="O53" i="17" s="1"/>
  <c r="O65" i="17" s="1"/>
  <c r="P107" i="17"/>
  <c r="P108" i="17"/>
  <c r="H137" i="17"/>
  <c r="H127" i="17"/>
  <c r="I62" i="20"/>
  <c r="V16" i="20"/>
  <c r="F24" i="17"/>
  <c r="P111" i="17"/>
  <c r="P112" i="17"/>
  <c r="Q44" i="17"/>
  <c r="Q53" i="17" s="1"/>
  <c r="Q65" i="17" s="1"/>
  <c r="H63" i="17"/>
  <c r="H52" i="17"/>
  <c r="H64" i="17" s="1"/>
  <c r="H47" i="17" s="1"/>
  <c r="H120" i="17"/>
  <c r="H89" i="17" s="1"/>
  <c r="H90" i="17" s="1"/>
  <c r="H91" i="17" s="1"/>
  <c r="F33" i="17"/>
  <c r="F32" i="17"/>
  <c r="F34" i="17" s="1"/>
  <c r="Q49" i="17"/>
  <c r="Q61" i="17" s="1"/>
  <c r="Q50" i="17"/>
  <c r="Q62" i="17" s="1"/>
  <c r="Q45" i="17"/>
  <c r="Q48" i="17"/>
  <c r="Q51" i="17"/>
  <c r="G63" i="17"/>
  <c r="G52" i="17"/>
  <c r="G64" i="17" s="1"/>
  <c r="I72" i="20"/>
  <c r="V31" i="20"/>
  <c r="P50" i="17"/>
  <c r="P62" i="17" s="1"/>
  <c r="P48" i="17"/>
  <c r="P49" i="17"/>
  <c r="P61" i="17" s="1"/>
  <c r="P45" i="17"/>
  <c r="P46" i="17" s="1"/>
  <c r="AK1" i="18"/>
  <c r="G49" i="17"/>
  <c r="G61" i="17" s="1"/>
  <c r="G50" i="17"/>
  <c r="G62" i="17" s="1"/>
  <c r="G48" i="17"/>
  <c r="G45" i="17"/>
  <c r="G46" i="17" s="1"/>
  <c r="G120" i="17" s="1"/>
  <c r="F20" i="17"/>
  <c r="AJ13" i="17"/>
  <c r="I82" i="20"/>
  <c r="I42" i="20"/>
  <c r="I43" i="20"/>
  <c r="I44" i="20"/>
  <c r="V39" i="20"/>
  <c r="I69" i="20"/>
  <c r="V29" i="20"/>
  <c r="I60" i="20"/>
  <c r="I58" i="20"/>
  <c r="I59" i="20"/>
  <c r="V53" i="20"/>
  <c r="F104" i="17"/>
  <c r="F99" i="17"/>
  <c r="F98" i="17"/>
  <c r="I34" i="20"/>
  <c r="I73" i="20"/>
  <c r="I37" i="20"/>
  <c r="V36" i="20"/>
  <c r="P83" i="17"/>
  <c r="P126" i="17"/>
  <c r="P44" i="17"/>
  <c r="P53" i="17" s="1"/>
  <c r="P65" i="17" s="1"/>
  <c r="I70" i="20"/>
  <c r="V28" i="20"/>
  <c r="P77" i="20"/>
  <c r="P98" i="20" s="1"/>
  <c r="P61" i="20"/>
  <c r="F134" i="17"/>
  <c r="I66" i="20"/>
  <c r="V66" i="20" s="1"/>
  <c r="V35" i="20"/>
  <c r="G126" i="17"/>
  <c r="G83" i="17"/>
  <c r="P51" i="17"/>
  <c r="I61" i="20"/>
  <c r="I77" i="20"/>
  <c r="V19" i="20"/>
  <c r="Q100" i="17"/>
  <c r="Q103" i="17"/>
  <c r="Q102" i="17"/>
  <c r="Q101" i="17"/>
  <c r="I48" i="17"/>
  <c r="I50" i="17"/>
  <c r="I62" i="17" s="1"/>
  <c r="I45" i="17"/>
  <c r="I46" i="17" s="1"/>
  <c r="I49" i="17"/>
  <c r="I61" i="17" s="1"/>
  <c r="I63" i="20"/>
  <c r="V27" i="20"/>
  <c r="F114" i="17"/>
  <c r="F109" i="17"/>
  <c r="F115" i="17"/>
  <c r="AJ113" i="17"/>
  <c r="Q105" i="17"/>
  <c r="Q106" i="17"/>
  <c r="Q109" i="17"/>
  <c r="Q110" i="17" s="1"/>
  <c r="R44" i="17"/>
  <c r="R53" i="17" s="1"/>
  <c r="R65" i="17" s="1"/>
  <c r="I71" i="20"/>
  <c r="V30" i="20"/>
  <c r="P58" i="20"/>
  <c r="P64" i="20" s="1"/>
  <c r="P86" i="20" s="1"/>
  <c r="P60" i="20"/>
  <c r="P74" i="20" s="1"/>
  <c r="P95" i="20" s="1"/>
  <c r="P59" i="20"/>
  <c r="P65" i="20" s="1"/>
  <c r="P87" i="20" s="1"/>
  <c r="R51" i="17"/>
  <c r="R49" i="17"/>
  <c r="R61" i="17" s="1"/>
  <c r="R45" i="17"/>
  <c r="R48" i="17"/>
  <c r="R50" i="17"/>
  <c r="R62" i="17" s="1"/>
  <c r="I51" i="17"/>
  <c r="I83" i="17"/>
  <c r="I126" i="17"/>
  <c r="F87" i="17"/>
  <c r="AJ87" i="17" s="1"/>
  <c r="AJ88" i="17"/>
  <c r="AL35" i="4"/>
  <c r="AS132" i="4"/>
  <c r="AT132" i="4"/>
  <c r="AS134" i="4"/>
  <c r="AS128" i="4"/>
  <c r="AR92" i="4"/>
  <c r="AT48" i="4"/>
  <c r="AS48" i="4"/>
  <c r="AS90" i="4"/>
  <c r="AT90" i="4"/>
  <c r="AS86" i="4"/>
  <c r="AS92" i="4"/>
  <c r="AR50" i="4"/>
  <c r="AS50" i="4" s="1"/>
  <c r="W35" i="4"/>
  <c r="AS89" i="4"/>
  <c r="AT89" i="4"/>
  <c r="AS91" i="4"/>
  <c r="AT68" i="4"/>
  <c r="AS68" i="4"/>
  <c r="AS70" i="4"/>
  <c r="AT131" i="4"/>
  <c r="AS131" i="4"/>
  <c r="AS133" i="4"/>
  <c r="AS42" i="4"/>
  <c r="AE35" i="4"/>
  <c r="L35" i="4"/>
  <c r="V35" i="4"/>
  <c r="AS40" i="4"/>
  <c r="AT40" i="4"/>
  <c r="AS47" i="4"/>
  <c r="AT47" i="4"/>
  <c r="AS49" i="4"/>
  <c r="AT138" i="4"/>
  <c r="AS138" i="4"/>
  <c r="AS75" i="4"/>
  <c r="AT75" i="4"/>
  <c r="AS77" i="4"/>
  <c r="AS110" i="4"/>
  <c r="AT110" i="4"/>
  <c r="AS112" i="4"/>
  <c r="AF35" i="4"/>
  <c r="AG35" i="4"/>
  <c r="AT103" i="4"/>
  <c r="AS103" i="4"/>
  <c r="AS105" i="4"/>
  <c r="AT96" i="4"/>
  <c r="AS96" i="4"/>
  <c r="AS98" i="4"/>
  <c r="N35" i="4"/>
  <c r="AK35" i="4"/>
  <c r="AT124" i="4"/>
  <c r="AS124" i="4"/>
  <c r="AS126" i="4"/>
  <c r="AR33" i="4"/>
  <c r="AT26" i="4"/>
  <c r="AS26" i="4"/>
  <c r="J119" i="29"/>
  <c r="K119" i="29" s="1"/>
  <c r="G137" i="29"/>
  <c r="G144" i="29"/>
  <c r="J127" i="29"/>
  <c r="K127" i="29" s="1"/>
  <c r="K125" i="29"/>
  <c r="J125" i="29"/>
  <c r="G142" i="29"/>
  <c r="S90" i="17"/>
  <c r="S91" i="17" s="1"/>
  <c r="H200" i="17"/>
  <c r="H215" i="17"/>
  <c r="H201" i="17"/>
  <c r="H58" i="17"/>
  <c r="S126" i="17"/>
  <c r="S95" i="17"/>
  <c r="S96" i="17" s="1"/>
  <c r="S212" i="17" s="1"/>
  <c r="S204" i="17" s="1"/>
  <c r="G89" i="17"/>
  <c r="G199" i="17"/>
  <c r="AC43" i="2"/>
  <c r="AB43" i="2"/>
  <c r="Q204" i="2"/>
  <c r="O204" i="2"/>
  <c r="A205" i="2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960" i="2"/>
  <c r="A963" i="2" s="1"/>
  <c r="A966" i="2" s="1"/>
  <c r="A969" i="2" s="1"/>
  <c r="A972" i="2" s="1"/>
  <c r="A975" i="2" s="1"/>
  <c r="A978" i="2" s="1"/>
  <c r="A981" i="2" s="1"/>
  <c r="A984" i="2" s="1"/>
  <c r="A987" i="2" s="1"/>
  <c r="A990" i="2" s="1"/>
  <c r="A993" i="2" s="1"/>
  <c r="A996" i="2" s="1"/>
  <c r="A999" i="2" s="1"/>
  <c r="A1002" i="2" s="1"/>
  <c r="A1005" i="2" s="1"/>
  <c r="A1008" i="2" s="1"/>
  <c r="A1011" i="2" s="1"/>
  <c r="A1014" i="2" s="1"/>
  <c r="A1017" i="2" s="1"/>
  <c r="A1020" i="2" s="1"/>
  <c r="A1023" i="2" s="1"/>
  <c r="A1026" i="2" s="1"/>
  <c r="A1029" i="2" s="1"/>
  <c r="A1032" i="2" s="1"/>
  <c r="A1035" i="2" s="1"/>
  <c r="A1038" i="2" s="1"/>
  <c r="A1041" i="2" s="1"/>
  <c r="A1044" i="2" s="1"/>
  <c r="A1047" i="2" s="1"/>
  <c r="A1050" i="2" s="1"/>
  <c r="A1053" i="2" s="1"/>
  <c r="A1056" i="2" s="1"/>
  <c r="A1059" i="2" s="1"/>
  <c r="A1062" i="2" s="1"/>
  <c r="A1065" i="2" s="1"/>
  <c r="A1068" i="2" s="1"/>
  <c r="A1071" i="2" s="1"/>
  <c r="A1074" i="2" s="1"/>
  <c r="A1077" i="2" s="1"/>
  <c r="A1080" i="2" s="1"/>
  <c r="A1083" i="2" s="1"/>
  <c r="A1086" i="2" s="1"/>
  <c r="A1089" i="2" s="1"/>
  <c r="A1092" i="2" s="1"/>
  <c r="A1095" i="2" s="1"/>
  <c r="A1098" i="2" s="1"/>
  <c r="A1101" i="2" s="1"/>
  <c r="A1104" i="2" s="1"/>
  <c r="A1107" i="2" s="1"/>
  <c r="A1110" i="2" s="1"/>
  <c r="A1113" i="2" s="1"/>
  <c r="A1116" i="2" s="1"/>
  <c r="A962" i="2"/>
  <c r="A965" i="2" s="1"/>
  <c r="A968" i="2" s="1"/>
  <c r="A971" i="2" s="1"/>
  <c r="A974" i="2" s="1"/>
  <c r="A977" i="2" s="1"/>
  <c r="A980" i="2" s="1"/>
  <c r="A983" i="2" s="1"/>
  <c r="A986" i="2" s="1"/>
  <c r="A989" i="2" s="1"/>
  <c r="A992" i="2" s="1"/>
  <c r="A995" i="2" s="1"/>
  <c r="A998" i="2" s="1"/>
  <c r="A1001" i="2" s="1"/>
  <c r="A1004" i="2" s="1"/>
  <c r="A1007" i="2" s="1"/>
  <c r="A1010" i="2" s="1"/>
  <c r="A1013" i="2" s="1"/>
  <c r="A1016" i="2" s="1"/>
  <c r="A1019" i="2" s="1"/>
  <c r="A1022" i="2" s="1"/>
  <c r="A1025" i="2" s="1"/>
  <c r="A1028" i="2" s="1"/>
  <c r="A1031" i="2" s="1"/>
  <c r="A1034" i="2" s="1"/>
  <c r="A1037" i="2" s="1"/>
  <c r="A1040" i="2" s="1"/>
  <c r="A1043" i="2" s="1"/>
  <c r="A1046" i="2" s="1"/>
  <c r="A1049" i="2" s="1"/>
  <c r="A1052" i="2" s="1"/>
  <c r="A1055" i="2" s="1"/>
  <c r="A1058" i="2" s="1"/>
  <c r="A1061" i="2" s="1"/>
  <c r="A1064" i="2" s="1"/>
  <c r="A1067" i="2" s="1"/>
  <c r="A1070" i="2" s="1"/>
  <c r="A1073" i="2" s="1"/>
  <c r="A1076" i="2" s="1"/>
  <c r="A1079" i="2" s="1"/>
  <c r="A1082" i="2" s="1"/>
  <c r="A1085" i="2" s="1"/>
  <c r="A1088" i="2" s="1"/>
  <c r="A1091" i="2" s="1"/>
  <c r="A1094" i="2" s="1"/>
  <c r="A1097" i="2" s="1"/>
  <c r="A1100" i="2" s="1"/>
  <c r="A1103" i="2" s="1"/>
  <c r="A1106" i="2" s="1"/>
  <c r="A1109" i="2" s="1"/>
  <c r="A1112" i="2" s="1"/>
  <c r="A1115" i="2" s="1"/>
  <c r="W7" i="2" l="1"/>
  <c r="V7" i="2"/>
  <c r="AH709" i="2"/>
  <c r="AH668" i="2"/>
  <c r="AH666" i="2"/>
  <c r="AH678" i="2"/>
  <c r="AH697" i="2"/>
  <c r="AE665" i="2"/>
  <c r="AH702" i="2"/>
  <c r="AH680" i="2"/>
  <c r="AH673" i="2"/>
  <c r="AE666" i="2"/>
  <c r="AH670" i="2"/>
  <c r="AH679" i="2"/>
  <c r="AB666" i="2"/>
  <c r="AH696" i="2"/>
  <c r="AH672" i="2"/>
  <c r="S27" i="2"/>
  <c r="AH675" i="2"/>
  <c r="AH674" i="2"/>
  <c r="AH667" i="2"/>
  <c r="AH676" i="2"/>
  <c r="AH708" i="2"/>
  <c r="AH669" i="2"/>
  <c r="AH682" i="2"/>
  <c r="AH681" i="2"/>
  <c r="AH677" i="2"/>
  <c r="AH703" i="2"/>
  <c r="AH691" i="2"/>
  <c r="AH706" i="2"/>
  <c r="AH685" i="2"/>
  <c r="AH690" i="2"/>
  <c r="AH694" i="2"/>
  <c r="AH705" i="2"/>
  <c r="AH671" i="2"/>
  <c r="AH693" i="2"/>
  <c r="AH714" i="2"/>
  <c r="AH715" i="2"/>
  <c r="AH684" i="2"/>
  <c r="AH700" i="2"/>
  <c r="AH688" i="2"/>
  <c r="AH718" i="2"/>
  <c r="AH699" i="2"/>
  <c r="AH717" i="2"/>
  <c r="AH687" i="2"/>
  <c r="B18" i="44"/>
  <c r="B26" i="44" s="1"/>
  <c r="AH18" i="44"/>
  <c r="X18" i="44"/>
  <c r="AI18" i="44" s="1"/>
  <c r="I15" i="11"/>
  <c r="J28" i="11" s="1"/>
  <c r="G15" i="11"/>
  <c r="V7" i="44"/>
  <c r="W7" i="44"/>
  <c r="X27" i="44"/>
  <c r="AI27" i="44" s="1"/>
  <c r="X1145" i="44"/>
  <c r="X890" i="44"/>
  <c r="X472" i="44"/>
  <c r="X309" i="44"/>
  <c r="X360" i="44"/>
  <c r="X852" i="44"/>
  <c r="X428" i="44"/>
  <c r="X123" i="44"/>
  <c r="X1017" i="44"/>
  <c r="X574" i="44"/>
  <c r="X1001" i="44"/>
  <c r="X464" i="44"/>
  <c r="X232" i="44"/>
  <c r="X59" i="44"/>
  <c r="X590" i="44"/>
  <c r="X456" i="44"/>
  <c r="X944" i="44"/>
  <c r="X247" i="44"/>
  <c r="X770" i="44"/>
  <c r="X314" i="44"/>
  <c r="X89" i="44"/>
  <c r="X460" i="44"/>
  <c r="X877" i="44"/>
  <c r="X384" i="44"/>
  <c r="X139" i="44"/>
  <c r="X1088" i="44"/>
  <c r="X875" i="44"/>
  <c r="X408" i="44"/>
  <c r="X157" i="44"/>
  <c r="X394" i="44"/>
  <c r="X994" i="44"/>
  <c r="X806" i="44"/>
  <c r="X588" i="44"/>
  <c r="X58" i="44"/>
  <c r="X728" i="44"/>
  <c r="X167" i="44"/>
  <c r="X438" i="44"/>
  <c r="X669" i="44"/>
  <c r="X246" i="44"/>
  <c r="X818" i="44"/>
  <c r="X527" i="44"/>
  <c r="X1047" i="44"/>
  <c r="X457" i="44"/>
  <c r="X138" i="44"/>
  <c r="X660" i="44"/>
  <c r="X217" i="44"/>
  <c r="X427" i="44"/>
  <c r="X1054" i="44"/>
  <c r="X560" i="44"/>
  <c r="X293" i="44"/>
  <c r="X258" i="44"/>
  <c r="X764" i="44"/>
  <c r="X388" i="44"/>
  <c r="X1095" i="44"/>
  <c r="X305" i="44"/>
  <c r="X978" i="44"/>
  <c r="X1093" i="44"/>
  <c r="X1147" i="44"/>
  <c r="X1261" i="44"/>
  <c r="X1242" i="44"/>
  <c r="X940" i="44"/>
  <c r="X1006" i="44"/>
  <c r="X1206" i="44"/>
  <c r="X998" i="44"/>
  <c r="X1068" i="44"/>
  <c r="X1061" i="44"/>
  <c r="X1008" i="44"/>
  <c r="X1101" i="44"/>
  <c r="X1126" i="44"/>
  <c r="X866" i="44"/>
  <c r="X146" i="44"/>
  <c r="X723" i="44"/>
  <c r="X449" i="44"/>
  <c r="X823" i="44"/>
  <c r="X630" i="44"/>
  <c r="X946" i="44"/>
  <c r="X1138" i="44"/>
  <c r="X655" i="44"/>
  <c r="X681" i="44"/>
  <c r="X1208" i="44"/>
  <c r="X837" i="44"/>
  <c r="X753" i="44"/>
  <c r="X1133" i="44"/>
  <c r="X169" i="44"/>
  <c r="X544" i="44"/>
  <c r="X696" i="44"/>
  <c r="X811" i="44"/>
  <c r="X267" i="44"/>
  <c r="X159" i="44"/>
  <c r="X785" i="44"/>
  <c r="X1230" i="44"/>
  <c r="X452" i="44"/>
  <c r="X1269" i="44"/>
  <c r="X1026" i="44"/>
  <c r="X645" i="44"/>
  <c r="X387" i="44"/>
  <c r="X56" i="44"/>
  <c r="X535" i="44"/>
  <c r="X202" i="44"/>
  <c r="X754" i="44"/>
  <c r="X648" i="44"/>
  <c r="X250" i="44"/>
  <c r="X838" i="44"/>
  <c r="X149" i="44"/>
  <c r="X652" i="44"/>
  <c r="X886" i="44"/>
  <c r="X296" i="44"/>
  <c r="X213" i="44"/>
  <c r="X603" i="44"/>
  <c r="X50" i="44"/>
  <c r="X529" i="44"/>
  <c r="X131" i="44"/>
  <c r="X987" i="44"/>
  <c r="X170" i="44"/>
  <c r="X485" i="44"/>
  <c r="X141" i="44"/>
  <c r="X618" i="44"/>
  <c r="X343" i="44"/>
  <c r="X248" i="44"/>
  <c r="X967" i="44"/>
  <c r="X478" i="44"/>
  <c r="X140" i="44"/>
  <c r="X406" i="44"/>
  <c r="X1042" i="44"/>
  <c r="X1098" i="44"/>
  <c r="X1240" i="44"/>
  <c r="X999" i="44"/>
  <c r="X1204" i="44"/>
  <c r="X1005" i="44"/>
  <c r="X1031" i="44"/>
  <c r="X985" i="44"/>
  <c r="X1136" i="44"/>
  <c r="X1134" i="44"/>
  <c r="X1257" i="44"/>
  <c r="X1141" i="44"/>
  <c r="X1103" i="44"/>
  <c r="X1178" i="44"/>
  <c r="X385" i="44"/>
  <c r="X757" i="44"/>
  <c r="X102" i="44"/>
  <c r="X420" i="44"/>
  <c r="X726" i="44"/>
  <c r="X425" i="44"/>
  <c r="X337" i="44"/>
  <c r="X646" i="44"/>
  <c r="X776" i="44"/>
  <c r="X461" i="44"/>
  <c r="X800" i="44"/>
  <c r="X897" i="44"/>
  <c r="X808" i="44"/>
  <c r="X1181" i="44"/>
  <c r="X353" i="44"/>
  <c r="X793" i="44"/>
  <c r="X367" i="44"/>
  <c r="X397" i="44"/>
  <c r="X320" i="44"/>
  <c r="X663" i="44"/>
  <c r="X649" i="44"/>
  <c r="X1122" i="44"/>
  <c r="X88" i="44"/>
  <c r="X1205" i="44"/>
  <c r="X1070" i="44"/>
  <c r="X615" i="44"/>
  <c r="X349" i="44"/>
  <c r="X145" i="44"/>
  <c r="X749" i="44"/>
  <c r="X225" i="44"/>
  <c r="X53" i="44"/>
  <c r="X727" i="44"/>
  <c r="X313" i="44"/>
  <c r="X871" i="44"/>
  <c r="X372" i="44"/>
  <c r="X68" i="44"/>
  <c r="X45" i="44"/>
  <c r="X468" i="44"/>
  <c r="X245" i="44"/>
  <c r="X743" i="44"/>
  <c r="X62" i="44"/>
  <c r="X578" i="44"/>
  <c r="X253" i="44"/>
  <c r="X130" i="44"/>
  <c r="X184" i="44"/>
  <c r="X682" i="44"/>
  <c r="X183" i="44"/>
  <c r="X748" i="44"/>
  <c r="X431" i="44"/>
  <c r="X345" i="44"/>
  <c r="X99" i="44"/>
  <c r="X581" i="44"/>
  <c r="X126" i="44"/>
  <c r="X432" i="44"/>
  <c r="X1167" i="44"/>
  <c r="X979" i="44"/>
  <c r="X1245" i="44"/>
  <c r="X986" i="44"/>
  <c r="X933" i="44"/>
  <c r="X1072" i="44"/>
  <c r="X1081" i="44"/>
  <c r="X1075" i="44"/>
  <c r="X1137" i="44"/>
  <c r="X1207" i="44"/>
  <c r="X1058" i="44"/>
  <c r="X1252" i="44"/>
  <c r="X1154" i="44"/>
  <c r="X612" i="44"/>
  <c r="X840" i="44"/>
  <c r="X982" i="44"/>
  <c r="X670" i="44"/>
  <c r="X326" i="44"/>
  <c r="X779" i="44"/>
  <c r="X307" i="44"/>
  <c r="X486" i="44"/>
  <c r="X896" i="44"/>
  <c r="X541" i="44"/>
  <c r="X768" i="44"/>
  <c r="X196" i="44"/>
  <c r="X465" i="44"/>
  <c r="X778" i="44"/>
  <c r="X882" i="44"/>
  <c r="X238" i="44"/>
  <c r="X292" i="44"/>
  <c r="X580" i="44"/>
  <c r="X381" i="44"/>
  <c r="X1218" i="44"/>
  <c r="X930" i="44"/>
  <c r="X908" i="44"/>
  <c r="X104" i="44"/>
  <c r="X1131" i="44"/>
  <c r="X591" i="44"/>
  <c r="X218" i="44"/>
  <c r="X859" i="44"/>
  <c r="X676" i="44"/>
  <c r="X805" i="44"/>
  <c r="X654" i="44"/>
  <c r="X422" i="44"/>
  <c r="X419" i="44"/>
  <c r="X507" i="44"/>
  <c r="X436" i="44"/>
  <c r="X90" i="44"/>
  <c r="X120" i="44"/>
  <c r="X80" i="44"/>
  <c r="X402" i="44"/>
  <c r="X348" i="44"/>
  <c r="X201" i="44"/>
  <c r="X410" i="44"/>
  <c r="X164" i="44"/>
  <c r="X881" i="44"/>
  <c r="X392" i="44"/>
  <c r="X1246" i="44"/>
  <c r="X1049" i="44"/>
  <c r="X972" i="44"/>
  <c r="X1187" i="44"/>
  <c r="X1232" i="44"/>
  <c r="X997" i="44"/>
  <c r="X953" i="44"/>
  <c r="X1027" i="44"/>
  <c r="X1083" i="44"/>
  <c r="X1239" i="44"/>
  <c r="X827" i="44"/>
  <c r="X1166" i="44"/>
  <c r="X412" i="44"/>
  <c r="X706" i="44"/>
  <c r="X300" i="44"/>
  <c r="X585" i="44"/>
  <c r="X672" i="44"/>
  <c r="X926" i="44"/>
  <c r="X323" i="44"/>
  <c r="X476" i="44"/>
  <c r="X1173" i="44"/>
  <c r="X251" i="44"/>
  <c r="X125" i="44"/>
  <c r="X675" i="44"/>
  <c r="X1191" i="44"/>
  <c r="X373" i="44"/>
  <c r="X259" i="44"/>
  <c r="X413" i="44"/>
  <c r="X101" i="44"/>
  <c r="X889" i="44"/>
  <c r="X1132" i="44"/>
  <c r="X870" i="44"/>
  <c r="X1225" i="44"/>
  <c r="X731" i="44"/>
  <c r="X315" i="44"/>
  <c r="X616" i="44"/>
  <c r="X165" i="44"/>
  <c r="X664" i="44"/>
  <c r="X697" i="44"/>
  <c r="X936" i="44"/>
  <c r="X496" i="44"/>
  <c r="X272" i="44"/>
  <c r="X277" i="44"/>
  <c r="X765" i="44"/>
  <c r="X959" i="44"/>
  <c r="X33" i="44"/>
  <c r="AI33" i="44" s="1"/>
  <c r="X1089" i="44"/>
  <c r="X505" i="44"/>
  <c r="X161" i="44"/>
  <c r="X863" i="44"/>
  <c r="X817" i="44"/>
  <c r="X939" i="44"/>
  <c r="X736" i="44"/>
  <c r="X336" i="44"/>
  <c r="X594" i="44"/>
  <c r="X600" i="44"/>
  <c r="X509" i="44"/>
  <c r="X142" i="44"/>
  <c r="X67" i="44"/>
  <c r="X85" i="44"/>
  <c r="X404" i="44"/>
  <c r="X299" i="44"/>
  <c r="X374" i="44"/>
  <c r="X399" i="44"/>
  <c r="X357" i="44"/>
  <c r="X969" i="44"/>
  <c r="X674" i="44"/>
  <c r="X1028" i="44"/>
  <c r="X1120" i="44"/>
  <c r="X1030" i="44"/>
  <c r="X1263" i="44"/>
  <c r="X1053" i="44"/>
  <c r="X1059" i="44"/>
  <c r="X1004" i="44"/>
  <c r="X1016" i="44"/>
  <c r="X1243" i="44"/>
  <c r="X1158" i="44"/>
  <c r="X214" i="44"/>
  <c r="X1179" i="44"/>
  <c r="X354" i="44"/>
  <c r="X538" i="44"/>
  <c r="X849" i="44"/>
  <c r="X96" i="44"/>
  <c r="X609" i="44"/>
  <c r="X64" i="44"/>
  <c r="X77" i="44"/>
  <c r="X290" i="44"/>
  <c r="X240" i="44"/>
  <c r="X215" i="44"/>
  <c r="X832" i="44"/>
  <c r="X207" i="44"/>
  <c r="X1227" i="44"/>
  <c r="X100" i="44"/>
  <c r="X924" i="44"/>
  <c r="X548" i="44"/>
  <c r="X121" i="44"/>
  <c r="X891" i="44"/>
  <c r="X1106" i="44"/>
  <c r="X177" i="44"/>
  <c r="X984" i="44"/>
  <c r="X312" i="44"/>
  <c r="X597" i="44"/>
  <c r="X450" i="44"/>
  <c r="X542" i="44"/>
  <c r="X477" i="44"/>
  <c r="X441" i="44"/>
  <c r="X230" i="44"/>
  <c r="X956" i="44"/>
  <c r="X1164" i="44"/>
  <c r="X270" i="44"/>
  <c r="X950" i="44"/>
  <c r="X112" i="44"/>
  <c r="X867" i="44"/>
  <c r="X1217" i="44"/>
  <c r="X35" i="44"/>
  <c r="AI35" i="44" s="1"/>
  <c r="X1041" i="44"/>
  <c r="X504" i="44"/>
  <c r="X48" i="44"/>
  <c r="X850" i="44"/>
  <c r="X750" i="44"/>
  <c r="X1036" i="44"/>
  <c r="X751" i="44"/>
  <c r="X371" i="44"/>
  <c r="X766" i="44"/>
  <c r="X725" i="44"/>
  <c r="X510" i="44"/>
  <c r="X219" i="44"/>
  <c r="X178" i="44"/>
  <c r="X54" i="44"/>
  <c r="X458" i="44"/>
  <c r="X294" i="44"/>
  <c r="X321" i="44"/>
  <c r="X462" i="44"/>
  <c r="X317" i="44"/>
  <c r="X63" i="44"/>
  <c r="X747" i="44"/>
  <c r="X1013" i="44"/>
  <c r="X1135" i="44"/>
  <c r="X1015" i="44"/>
  <c r="X1262" i="44"/>
  <c r="X1039" i="44"/>
  <c r="X1144" i="44"/>
  <c r="X1082" i="44"/>
  <c r="X1071" i="44"/>
  <c r="X1264" i="44"/>
  <c r="X885" i="44"/>
  <c r="X862" i="44"/>
  <c r="X879" i="44"/>
  <c r="X589" i="44"/>
  <c r="X821" i="44"/>
  <c r="X426" i="44"/>
  <c r="X512" i="44"/>
  <c r="X386" i="44"/>
  <c r="X1143" i="44"/>
  <c r="X241" i="44"/>
  <c r="X398" i="44"/>
  <c r="X526" i="44"/>
  <c r="X900" i="44"/>
  <c r="X523" i="44"/>
  <c r="X150" i="44"/>
  <c r="X212" i="44"/>
  <c r="X596" i="44"/>
  <c r="X573" i="44"/>
  <c r="X480" i="44"/>
  <c r="X845" i="44"/>
  <c r="X174" i="44"/>
  <c r="X844" i="44"/>
  <c r="X955" i="44"/>
  <c r="X1212" i="44"/>
  <c r="X925" i="44"/>
  <c r="X976" i="44"/>
  <c r="X316" i="44"/>
  <c r="X556" i="44"/>
  <c r="X369" i="44"/>
  <c r="X568" i="44"/>
  <c r="X688" i="44"/>
  <c r="X351" i="44"/>
  <c r="X198" i="44"/>
  <c r="X958" i="44"/>
  <c r="X453" i="44"/>
  <c r="X905" i="44"/>
  <c r="X389" i="44"/>
  <c r="X631" i="44"/>
  <c r="X1018" i="44"/>
  <c r="X508" i="44"/>
  <c r="X60" i="44"/>
  <c r="X860" i="44"/>
  <c r="X841" i="44"/>
  <c r="X996" i="44"/>
  <c r="X887" i="44"/>
  <c r="X439" i="44"/>
  <c r="X864" i="44"/>
  <c r="X678" i="44"/>
  <c r="X700" i="44"/>
  <c r="X355" i="44"/>
  <c r="X135" i="44"/>
  <c r="X57" i="44"/>
  <c r="X598" i="44"/>
  <c r="X301" i="44"/>
  <c r="X407" i="44"/>
  <c r="X668" i="44"/>
  <c r="X286" i="44"/>
  <c r="X137" i="44"/>
  <c r="X756" i="44"/>
  <c r="X1024" i="44"/>
  <c r="X1219" i="44"/>
  <c r="X1086" i="44"/>
  <c r="X1256" i="44"/>
  <c r="X1121" i="44"/>
  <c r="X1211" i="44"/>
  <c r="X1038" i="44"/>
  <c r="X1010" i="44"/>
  <c r="X1233" i="44"/>
  <c r="X1140" i="44"/>
  <c r="X861" i="44"/>
  <c r="X1203" i="44"/>
  <c r="X65" i="44"/>
  <c r="X993" i="44"/>
  <c r="X418" i="44"/>
  <c r="X895" i="44"/>
  <c r="X661" i="44"/>
  <c r="X759" i="44"/>
  <c r="X903" i="44"/>
  <c r="X129" i="44"/>
  <c r="X492" i="44"/>
  <c r="X515" i="44"/>
  <c r="X830" i="44"/>
  <c r="X651" i="44"/>
  <c r="X482" i="44"/>
  <c r="X328" i="44"/>
  <c r="X545" i="44"/>
  <c r="X127" i="44"/>
  <c r="X634" i="44"/>
  <c r="X906" i="44"/>
  <c r="X396" i="44"/>
  <c r="X715" i="44"/>
  <c r="X980" i="44"/>
  <c r="X601" i="44"/>
  <c r="X511" i="44"/>
  <c r="X358" i="44"/>
  <c r="X255" i="44"/>
  <c r="X639" i="44"/>
  <c r="X377" i="44"/>
  <c r="X717" i="44"/>
  <c r="X264" i="44"/>
  <c r="X1169" i="44"/>
  <c r="X1176" i="44"/>
  <c r="X703" i="44"/>
  <c r="X517" i="44"/>
  <c r="X1118" i="44"/>
  <c r="X740" i="44"/>
  <c r="X32" i="44"/>
  <c r="AI32" i="44" s="1"/>
  <c r="X1077" i="44"/>
  <c r="X474" i="44"/>
  <c r="X193" i="44"/>
  <c r="X874" i="44"/>
  <c r="X168" i="44"/>
  <c r="X86" i="44"/>
  <c r="X856" i="44"/>
  <c r="X928" i="44"/>
  <c r="X469" i="44"/>
  <c r="X224" i="44"/>
  <c r="X931" i="44"/>
  <c r="X223" i="44"/>
  <c r="X91" i="44"/>
  <c r="X934" i="44"/>
  <c r="X500" i="44"/>
  <c r="X71" i="44"/>
  <c r="X814" i="44"/>
  <c r="X922" i="44"/>
  <c r="X463" i="44"/>
  <c r="X285" i="44"/>
  <c r="X228" i="44"/>
  <c r="X894" i="44"/>
  <c r="X395" i="44"/>
  <c r="X565" i="44"/>
  <c r="X559" i="44"/>
  <c r="X364" i="44"/>
  <c r="X133" i="44"/>
  <c r="X843" i="44"/>
  <c r="X1084" i="44"/>
  <c r="X1266" i="44"/>
  <c r="X1050" i="44"/>
  <c r="X981" i="44"/>
  <c r="X1022" i="44"/>
  <c r="X1210" i="44"/>
  <c r="X1074" i="44"/>
  <c r="X1125" i="44"/>
  <c r="X975" i="44"/>
  <c r="X914" i="44"/>
  <c r="X262" i="44"/>
  <c r="X297" i="44"/>
  <c r="X273" i="44"/>
  <c r="X182" i="44"/>
  <c r="X888" i="44"/>
  <c r="X43" i="44"/>
  <c r="X796" i="44"/>
  <c r="X1107" i="44"/>
  <c r="X302" i="44"/>
  <c r="X434" i="44"/>
  <c r="X199" i="44"/>
  <c r="X774" i="44"/>
  <c r="X87" i="44"/>
  <c r="X927" i="44"/>
  <c r="X658" i="44"/>
  <c r="X621" i="44"/>
  <c r="X790" i="44"/>
  <c r="X1175" i="44"/>
  <c r="X893" i="44"/>
  <c r="X430" i="44"/>
  <c r="X554" i="44"/>
  <c r="X919" i="44"/>
  <c r="X1223" i="44"/>
  <c r="X82" i="44"/>
  <c r="X1188" i="44"/>
  <c r="X781" i="44"/>
  <c r="X47" i="44"/>
  <c r="X205" i="44"/>
  <c r="X521" i="44"/>
  <c r="X74" i="44"/>
  <c r="X261" i="44"/>
  <c r="X691" i="44"/>
  <c r="X829" i="44"/>
  <c r="X518" i="44"/>
  <c r="X36" i="44"/>
  <c r="AI36" i="44" s="1"/>
  <c r="X619" i="44"/>
  <c r="X29" i="44"/>
  <c r="AI29" i="44" s="1"/>
  <c r="X869" i="44"/>
  <c r="X24" i="44"/>
  <c r="AI24" i="44" s="1"/>
  <c r="X204" i="44"/>
  <c r="X971" i="44"/>
  <c r="X416" i="44"/>
  <c r="X339" i="44"/>
  <c r="X171" i="44"/>
  <c r="X176" i="44"/>
  <c r="X175" i="44"/>
  <c r="X1048" i="44"/>
  <c r="X582" i="44"/>
  <c r="X66" i="44"/>
  <c r="X1011" i="44"/>
  <c r="X968" i="44"/>
  <c r="X592" i="44"/>
  <c r="X376" i="44"/>
  <c r="X152" i="44"/>
  <c r="X878" i="44"/>
  <c r="X514" i="44"/>
  <c r="X721" i="44"/>
  <c r="X499" i="44"/>
  <c r="X209" i="44"/>
  <c r="X915" i="44"/>
  <c r="X1139" i="44"/>
  <c r="X989" i="44"/>
  <c r="X1065" i="44"/>
  <c r="X995" i="44"/>
  <c r="X1091" i="44"/>
  <c r="X1056" i="44"/>
  <c r="X1152" i="44"/>
  <c r="X1238" i="44"/>
  <c r="X1012" i="44"/>
  <c r="X284" i="44"/>
  <c r="X115" i="44"/>
  <c r="X605" i="44"/>
  <c r="X122" i="44"/>
  <c r="X583" i="44"/>
  <c r="X1157" i="44"/>
  <c r="X210" i="44"/>
  <c r="X401" i="44"/>
  <c r="X902" i="44"/>
  <c r="X758" i="44"/>
  <c r="X923" i="44"/>
  <c r="X884" i="44"/>
  <c r="X642" i="44"/>
  <c r="X502" i="44"/>
  <c r="X685" i="44"/>
  <c r="X110" i="44"/>
  <c r="X572" i="44"/>
  <c r="X119" i="44"/>
  <c r="X1130" i="44"/>
  <c r="X242" i="44"/>
  <c r="X51" i="44"/>
  <c r="X304" i="44"/>
  <c r="X788" i="44"/>
  <c r="X1151" i="44"/>
  <c r="X826" i="44"/>
  <c r="X1149" i="44"/>
  <c r="X702" i="44"/>
  <c r="X254" i="44"/>
  <c r="X156" i="44"/>
  <c r="X236" i="44"/>
  <c r="X483" i="44"/>
  <c r="X1170" i="44"/>
  <c r="X733" i="44"/>
  <c r="X268" i="44"/>
  <c r="X745" i="44"/>
  <c r="X947" i="44"/>
  <c r="X949" i="44"/>
  <c r="X720" i="44"/>
  <c r="X34" i="44"/>
  <c r="AI34" i="44" s="1"/>
  <c r="X28" i="44"/>
  <c r="AI28" i="44" s="1"/>
  <c r="X20" i="44"/>
  <c r="AI20" i="44" s="1"/>
  <c r="X1231" i="44"/>
  <c r="X921" i="44"/>
  <c r="X370" i="44"/>
  <c r="X366" i="44"/>
  <c r="X252" i="44"/>
  <c r="X208" i="44"/>
  <c r="X265" i="44"/>
  <c r="X1076" i="44"/>
  <c r="X769" i="44"/>
  <c r="X221" i="44"/>
  <c r="X216" i="44"/>
  <c r="X1023" i="44"/>
  <c r="X553" i="44"/>
  <c r="X415" i="44"/>
  <c r="X155" i="44"/>
  <c r="X965" i="44"/>
  <c r="X586" i="44"/>
  <c r="X846" i="44"/>
  <c r="X673" i="44"/>
  <c r="X579" i="44"/>
  <c r="X231" i="44"/>
  <c r="X988" i="44"/>
  <c r="X1025" i="44"/>
  <c r="X974" i="44"/>
  <c r="X1209" i="44"/>
  <c r="X1104" i="44"/>
  <c r="X1201" i="44"/>
  <c r="X1063" i="44"/>
  <c r="X1237" i="44"/>
  <c r="X1234" i="44"/>
  <c r="X1128" i="44"/>
  <c r="X295" i="44"/>
  <c r="X256" i="44"/>
  <c r="X809" i="44"/>
  <c r="X1096" i="44"/>
  <c r="X380" i="44"/>
  <c r="X911" i="44"/>
  <c r="X771" i="44"/>
  <c r="X319" i="44"/>
  <c r="X1182" i="44"/>
  <c r="X334" i="44"/>
  <c r="X442" i="44"/>
  <c r="X803" i="44"/>
  <c r="X1113" i="44"/>
  <c r="X338" i="44"/>
  <c r="X166" i="44"/>
  <c r="X179" i="44"/>
  <c r="X282" i="44"/>
  <c r="X375" i="44"/>
  <c r="X1160" i="44"/>
  <c r="X627" i="44"/>
  <c r="X694" i="44"/>
  <c r="X562" i="44"/>
  <c r="X393" i="44"/>
  <c r="X839" i="44"/>
  <c r="X471" i="44"/>
  <c r="X942" i="44"/>
  <c r="X857" i="44"/>
  <c r="X842" i="44"/>
  <c r="X699" i="44"/>
  <c r="X347" i="44"/>
  <c r="X624" i="44"/>
  <c r="X961" i="44"/>
  <c r="X791" i="44"/>
  <c r="X690" i="44"/>
  <c r="X118" i="44"/>
  <c r="X279" i="44"/>
  <c r="X445" i="44"/>
  <c r="X274" i="44"/>
  <c r="X19" i="44"/>
  <c r="AI19" i="44" s="1"/>
  <c r="X25" i="44"/>
  <c r="AI25" i="44" s="1"/>
  <c r="X31" i="44"/>
  <c r="AI31" i="44" s="1"/>
  <c r="X1253" i="44"/>
  <c r="X872" i="44"/>
  <c r="X383" i="44"/>
  <c r="X291" i="44"/>
  <c r="X414" i="44"/>
  <c r="X226" i="44"/>
  <c r="X539" i="44"/>
  <c r="X52" i="44"/>
  <c r="X49" i="44"/>
  <c r="X181" i="44"/>
  <c r="X363" i="44"/>
  <c r="X1019" i="44"/>
  <c r="X709" i="44"/>
  <c r="X606" i="44"/>
  <c r="X356" i="44"/>
  <c r="X973" i="44"/>
  <c r="X851" i="44"/>
  <c r="X898" i="44"/>
  <c r="X824" i="44"/>
  <c r="X722" i="44"/>
  <c r="X239" i="44"/>
  <c r="X1040" i="44"/>
  <c r="X1002" i="44"/>
  <c r="X1003" i="44"/>
  <c r="X1267" i="44"/>
  <c r="X1214" i="44"/>
  <c r="X1148" i="44"/>
  <c r="X1067" i="44"/>
  <c r="X1258" i="44"/>
  <c r="X1260" i="44"/>
  <c r="X1080" i="44"/>
  <c r="X160" i="44"/>
  <c r="X287" i="44"/>
  <c r="X107" i="44"/>
  <c r="X1184" i="44"/>
  <c r="X576" i="44"/>
  <c r="X1110" i="44"/>
  <c r="X136" i="44"/>
  <c r="X551" i="44"/>
  <c r="X1129" i="44"/>
  <c r="X909" i="44"/>
  <c r="X812" i="44"/>
  <c r="X229" i="44"/>
  <c r="X1193" i="44"/>
  <c r="X966" i="44"/>
  <c r="X143" i="44"/>
  <c r="X76" i="44"/>
  <c r="X880" i="44"/>
  <c r="X344" i="44"/>
  <c r="X1142" i="44"/>
  <c r="X421" i="44"/>
  <c r="X237" i="44"/>
  <c r="X289" i="44"/>
  <c r="X281" i="44"/>
  <c r="X234" i="44"/>
  <c r="X501" i="44"/>
  <c r="X1221" i="44"/>
  <c r="X489" i="44"/>
  <c r="X679" i="44"/>
  <c r="X918" i="44"/>
  <c r="X854" i="44"/>
  <c r="X263" i="44"/>
  <c r="X835" i="44"/>
  <c r="X1116" i="44"/>
  <c r="X718" i="44"/>
  <c r="X917" i="44"/>
  <c r="X643" i="44"/>
  <c r="X739" i="44"/>
  <c r="X23" i="44"/>
  <c r="AI23" i="44" s="1"/>
  <c r="X455" i="44"/>
  <c r="X1224" i="44"/>
  <c r="X847" i="44"/>
  <c r="X341" i="44"/>
  <c r="X584" i="44"/>
  <c r="X466" i="44"/>
  <c r="X503" i="44"/>
  <c r="X479" i="44"/>
  <c r="X220" i="44"/>
  <c r="X158" i="44"/>
  <c r="X340" i="44"/>
  <c r="X411" i="44"/>
  <c r="X109" i="44"/>
  <c r="X784" i="44"/>
  <c r="X742" i="44"/>
  <c r="X310" i="44"/>
  <c r="X1064" i="44"/>
  <c r="X55" i="44"/>
  <c r="X227" i="44"/>
  <c r="X83" i="44"/>
  <c r="X799" i="44"/>
  <c r="X283" i="44"/>
  <c r="X1248" i="44"/>
  <c r="X1127" i="44"/>
  <c r="X1228" i="44"/>
  <c r="X1009" i="44"/>
  <c r="X1202" i="44"/>
  <c r="X1198" i="44"/>
  <c r="X1235" i="44"/>
  <c r="X1055" i="44"/>
  <c r="X1087" i="44"/>
  <c r="X1216" i="44"/>
  <c r="X368" i="44"/>
  <c r="X298" i="44"/>
  <c r="X342" i="44"/>
  <c r="X1109" i="44"/>
  <c r="X429" i="44"/>
  <c r="X280" i="44"/>
  <c r="X566" i="44"/>
  <c r="X773" i="44"/>
  <c r="X760" i="44"/>
  <c r="X84" i="44"/>
  <c r="X151" i="44"/>
  <c r="X787" i="44"/>
  <c r="X970" i="44"/>
  <c r="X435" i="44"/>
  <c r="X1037" i="44"/>
  <c r="X729" i="44"/>
  <c r="X206" i="44"/>
  <c r="X587" i="44"/>
  <c r="X346" i="44"/>
  <c r="X308" i="44"/>
  <c r="X1190" i="44"/>
  <c r="X899" i="44"/>
  <c r="X797" i="44"/>
  <c r="X405" i="44"/>
  <c r="X815" i="44"/>
  <c r="X447" i="44"/>
  <c r="X610" i="44"/>
  <c r="X1172" i="44"/>
  <c r="X73" i="44"/>
  <c r="X211" i="44"/>
  <c r="X625" i="44"/>
  <c r="X557" i="44"/>
  <c r="X833" i="44"/>
  <c r="X444" i="44"/>
  <c r="X488" i="44"/>
  <c r="X331" i="44"/>
  <c r="X275" i="44"/>
  <c r="X22" i="44"/>
  <c r="AI22" i="44" s="1"/>
  <c r="X30" i="44"/>
  <c r="AI30" i="44" s="1"/>
  <c r="X318" i="44"/>
  <c r="X724" i="44"/>
  <c r="X162" i="44"/>
  <c r="X602" i="44"/>
  <c r="X1046" i="44"/>
  <c r="X1124" i="44"/>
  <c r="X964" i="44"/>
  <c r="X640" i="44"/>
  <c r="X379" i="44"/>
  <c r="X244" i="44"/>
  <c r="X361" i="44"/>
  <c r="X147" i="44"/>
  <c r="X1220" i="44"/>
  <c r="X892" i="44"/>
  <c r="X1161" i="44"/>
  <c r="X613" i="44"/>
  <c r="X952" i="44"/>
  <c r="X409" i="44"/>
  <c r="X677" i="44"/>
  <c r="X288" i="44"/>
  <c r="X362" i="44"/>
  <c r="X144" i="44"/>
  <c r="X1069" i="44"/>
  <c r="X1251" i="44"/>
  <c r="X1146" i="44"/>
  <c r="X1213" i="44"/>
  <c r="X417" i="44"/>
  <c r="X92" i="44"/>
  <c r="X134" i="44"/>
  <c r="X802" i="44"/>
  <c r="X763" i="44"/>
  <c r="X1155" i="44"/>
  <c r="X1196" i="44"/>
  <c r="X657" i="44"/>
  <c r="X98" i="44"/>
  <c r="X1100" i="44"/>
  <c r="X1247" i="44"/>
  <c r="X424" i="44"/>
  <c r="X495" i="44"/>
  <c r="X459" i="44"/>
  <c r="X172" i="44"/>
  <c r="X1092" i="44"/>
  <c r="X992" i="44"/>
  <c r="X1244" i="44"/>
  <c r="X633" i="44"/>
  <c r="X81" i="44"/>
  <c r="X569" i="44"/>
  <c r="X628" i="44"/>
  <c r="X705" i="44"/>
  <c r="X243" i="44"/>
  <c r="X604" i="44"/>
  <c r="X1185" i="44"/>
  <c r="X233" i="44"/>
  <c r="X154" i="44"/>
  <c r="X533" i="44"/>
  <c r="X1197" i="44"/>
  <c r="X637" i="44"/>
  <c r="X912" i="44"/>
  <c r="X767" i="44"/>
  <c r="X433" i="44"/>
  <c r="X1259" i="44"/>
  <c r="X1236" i="44"/>
  <c r="X1222" i="44"/>
  <c r="X693" i="44"/>
  <c r="X1194" i="44"/>
  <c r="X132" i="44"/>
  <c r="X794" i="44"/>
  <c r="X61" i="44"/>
  <c r="X599" i="44"/>
  <c r="X173" i="44"/>
  <c r="X1123" i="44"/>
  <c r="X37" i="44"/>
  <c r="AI37" i="44" s="1"/>
  <c r="X876" i="44"/>
  <c r="X93" i="44"/>
  <c r="X1033" i="44"/>
  <c r="X1021" i="44"/>
  <c r="X746" i="44"/>
  <c r="X1057" i="44"/>
  <c r="X1112" i="44"/>
  <c r="X734" i="44"/>
  <c r="X470" i="44"/>
  <c r="X714" i="44"/>
  <c r="X873" i="44"/>
  <c r="X329" i="44"/>
  <c r="X883" i="44"/>
  <c r="X853" i="44"/>
  <c r="X836" i="44"/>
  <c r="X269" i="44"/>
  <c r="X42" i="44"/>
  <c r="X1073" i="44"/>
  <c r="X532" i="44"/>
  <c r="X636" i="44"/>
  <c r="X322" i="44"/>
  <c r="X148" i="44"/>
  <c r="X163" i="44"/>
  <c r="X855" i="44"/>
  <c r="X1254" i="44"/>
  <c r="X1265" i="44"/>
  <c r="X260" i="44"/>
  <c r="X524" i="44"/>
  <c r="X536" i="44"/>
  <c r="X333" i="44"/>
  <c r="X1200" i="44"/>
  <c r="X920" i="44"/>
  <c r="X607" i="44"/>
  <c r="X622" i="44"/>
  <c r="X563" i="44"/>
  <c r="X571" i="44"/>
  <c r="X575" i="44"/>
  <c r="X403" i="44"/>
  <c r="X475" i="44"/>
  <c r="X400" i="44"/>
  <c r="X391" i="44"/>
  <c r="X46" i="44"/>
  <c r="X1079" i="44"/>
  <c r="X1032" i="44"/>
  <c r="X498" i="44"/>
  <c r="X306" i="44"/>
  <c r="X276" i="44"/>
  <c r="X467" i="44"/>
  <c r="X667" i="44"/>
  <c r="X520" i="44"/>
  <c r="X491" i="44"/>
  <c r="X761" i="44"/>
  <c r="X1163" i="44"/>
  <c r="X271" i="44"/>
  <c r="X192" i="44"/>
  <c r="X195" i="44"/>
  <c r="X180" i="44"/>
  <c r="X680" i="44"/>
  <c r="X932" i="44"/>
  <c r="X365" i="44"/>
  <c r="X1062" i="44"/>
  <c r="X983" i="44"/>
  <c r="X550" i="44"/>
  <c r="X929" i="44"/>
  <c r="X752" i="44"/>
  <c r="X577" i="44"/>
  <c r="X70" i="44"/>
  <c r="X222" i="44"/>
  <c r="X103" i="44"/>
  <c r="X755" i="44"/>
  <c r="X266" i="44"/>
  <c r="X494" i="44"/>
  <c r="X820" i="44"/>
  <c r="X325" i="44"/>
  <c r="X390" i="44"/>
  <c r="X378" i="44"/>
  <c r="X848" i="44"/>
  <c r="X97" i="44"/>
  <c r="X335" i="44"/>
  <c r="X1199" i="44"/>
  <c r="X1051" i="44"/>
  <c r="X595" i="44"/>
  <c r="X128" i="44"/>
  <c r="X858" i="44"/>
  <c r="X671" i="44"/>
  <c r="X497" i="44"/>
  <c r="X530" i="44"/>
  <c r="X762" i="44"/>
  <c r="X105" i="44"/>
  <c r="X687" i="44"/>
  <c r="X737" i="44"/>
  <c r="X249" i="44"/>
  <c r="X1250" i="44"/>
  <c r="X473" i="44"/>
  <c r="X189" i="44"/>
  <c r="X153" i="44"/>
  <c r="X113" i="44"/>
  <c r="X94" i="44"/>
  <c r="X257" i="44"/>
  <c r="X1115" i="44"/>
  <c r="X1241" i="44"/>
  <c r="X332" i="44"/>
  <c r="X235" i="44"/>
  <c r="X708" i="44"/>
  <c r="X124" i="44"/>
  <c r="X1090" i="44"/>
  <c r="X1215" i="44"/>
  <c r="X1255" i="44"/>
  <c r="X187" i="44"/>
  <c r="X506" i="44"/>
  <c r="X185" i="44"/>
  <c r="X684" i="44"/>
  <c r="X547" i="44"/>
  <c r="X116" i="44"/>
  <c r="X69" i="44"/>
  <c r="X190" i="44"/>
  <c r="X782" i="44"/>
  <c r="X21" i="44"/>
  <c r="AI21" i="44" s="1"/>
  <c r="X593" i="44"/>
  <c r="X303" i="44"/>
  <c r="X1044" i="44"/>
  <c r="X1249" i="44"/>
  <c r="X95" i="44"/>
  <c r="X1045" i="44"/>
  <c r="X1119" i="44"/>
  <c r="X311" i="44"/>
  <c r="X937" i="44"/>
  <c r="X26" i="44"/>
  <c r="AI26" i="44" s="1"/>
  <c r="Y666" i="2"/>
  <c r="O12" i="4"/>
  <c r="X12" i="4"/>
  <c r="AE12" i="4"/>
  <c r="L12" i="4"/>
  <c r="AN12" i="4"/>
  <c r="N14" i="4"/>
  <c r="AL12" i="4"/>
  <c r="N12" i="4"/>
  <c r="J12" i="4"/>
  <c r="T12" i="4"/>
  <c r="AD12" i="4"/>
  <c r="AQ12" i="4"/>
  <c r="Z12" i="4"/>
  <c r="AK12" i="4"/>
  <c r="AC12" i="4"/>
  <c r="M12" i="4"/>
  <c r="S12" i="4"/>
  <c r="R14" i="4"/>
  <c r="AB12" i="4"/>
  <c r="AH12" i="4"/>
  <c r="W12" i="4"/>
  <c r="W14" i="4" s="1"/>
  <c r="AO12" i="4"/>
  <c r="K12" i="4"/>
  <c r="I12" i="4"/>
  <c r="AJ12" i="4"/>
  <c r="AA12" i="4"/>
  <c r="AG12" i="4"/>
  <c r="AP12" i="4"/>
  <c r="V12" i="4"/>
  <c r="AQ14" i="4"/>
  <c r="AI12" i="4"/>
  <c r="AF12" i="4"/>
  <c r="AK14" i="4"/>
  <c r="H12" i="4"/>
  <c r="U12" i="4"/>
  <c r="U14" i="4" s="1"/>
  <c r="AM12" i="4"/>
  <c r="Y12" i="4"/>
  <c r="R12" i="4"/>
  <c r="Q12" i="4"/>
  <c r="P12" i="4"/>
  <c r="J14" i="4"/>
  <c r="AM14" i="4"/>
  <c r="AP14" i="4"/>
  <c r="T14" i="4"/>
  <c r="P14" i="4"/>
  <c r="S14" i="4"/>
  <c r="Q14" i="4"/>
  <c r="L14" i="4"/>
  <c r="AA14" i="4"/>
  <c r="Z14" i="4"/>
  <c r="X14" i="4"/>
  <c r="AI14" i="4"/>
  <c r="H14" i="4"/>
  <c r="M14" i="4"/>
  <c r="AN14" i="4"/>
  <c r="Y14" i="4"/>
  <c r="AJ14" i="4"/>
  <c r="Y17" i="2"/>
  <c r="D81" i="4"/>
  <c r="D81" i="42"/>
  <c r="Y27" i="2"/>
  <c r="W15" i="44"/>
  <c r="A9" i="42"/>
  <c r="A42" i="2"/>
  <c r="AE17" i="2"/>
  <c r="B27" i="44"/>
  <c r="AH27" i="44"/>
  <c r="A76" i="2"/>
  <c r="AE75" i="2"/>
  <c r="AN12" i="42"/>
  <c r="AN14" i="42" s="1"/>
  <c r="AI12" i="42"/>
  <c r="AH12" i="42"/>
  <c r="AG12" i="42"/>
  <c r="AF12" i="42"/>
  <c r="AE12" i="42"/>
  <c r="AD12" i="42"/>
  <c r="AD14" i="42" s="1"/>
  <c r="X12" i="42"/>
  <c r="T12" i="42"/>
  <c r="T14" i="42" s="1"/>
  <c r="U12" i="42"/>
  <c r="U14" i="42" s="1"/>
  <c r="AQ12" i="42"/>
  <c r="M12" i="42"/>
  <c r="M14" i="42" s="1"/>
  <c r="N12" i="42"/>
  <c r="N14" i="42" s="1"/>
  <c r="AJ12" i="42"/>
  <c r="AJ14" i="42" s="1"/>
  <c r="AK12" i="42"/>
  <c r="AK14" i="42" s="1"/>
  <c r="V12" i="42"/>
  <c r="V14" i="42" s="1"/>
  <c r="AC12" i="42"/>
  <c r="AC14" i="42" s="1"/>
  <c r="K12" i="42"/>
  <c r="AA12" i="42"/>
  <c r="AL12" i="42"/>
  <c r="R14" i="42"/>
  <c r="AM12" i="42"/>
  <c r="Q12" i="42"/>
  <c r="Q14" i="42" s="1"/>
  <c r="AH14" i="42"/>
  <c r="AL14" i="42"/>
  <c r="L12" i="42"/>
  <c r="S12" i="42"/>
  <c r="S14" i="42" s="1"/>
  <c r="O14" i="42"/>
  <c r="AG14" i="42"/>
  <c r="AB12" i="42"/>
  <c r="X14" i="42"/>
  <c r="R12" i="42"/>
  <c r="H12" i="42"/>
  <c r="H14" i="42" s="1"/>
  <c r="O12" i="42"/>
  <c r="AE14" i="42"/>
  <c r="AF14" i="42"/>
  <c r="I12" i="42"/>
  <c r="J12" i="42"/>
  <c r="Y12" i="42"/>
  <c r="Z12" i="42"/>
  <c r="P12" i="42"/>
  <c r="P14" i="42" s="1"/>
  <c r="AO12" i="42"/>
  <c r="AP12" i="42"/>
  <c r="W14" i="42"/>
  <c r="W12" i="42"/>
  <c r="T13" i="42"/>
  <c r="T15" i="42" s="1"/>
  <c r="M13" i="42"/>
  <c r="M15" i="42" s="1"/>
  <c r="AJ13" i="42"/>
  <c r="I13" i="42"/>
  <c r="AC13" i="42"/>
  <c r="AA15" i="42"/>
  <c r="Q13" i="42"/>
  <c r="AE13" i="42"/>
  <c r="Y13" i="42"/>
  <c r="Y15" i="42" s="1"/>
  <c r="J13" i="42"/>
  <c r="K13" i="42"/>
  <c r="K15" i="42" s="1"/>
  <c r="AG13" i="42"/>
  <c r="S13" i="42"/>
  <c r="S15" i="42" s="1"/>
  <c r="AB15" i="42"/>
  <c r="AO13" i="42"/>
  <c r="Z13" i="42"/>
  <c r="Z15" i="42" s="1"/>
  <c r="AA13" i="42"/>
  <c r="L13" i="42"/>
  <c r="AI13" i="42"/>
  <c r="AF13" i="42"/>
  <c r="H13" i="42"/>
  <c r="AP13" i="42"/>
  <c r="AP15" i="42" s="1"/>
  <c r="AQ13" i="42"/>
  <c r="AB13" i="42"/>
  <c r="I15" i="42"/>
  <c r="X13" i="42"/>
  <c r="X15" i="42" s="1"/>
  <c r="AO15" i="42"/>
  <c r="U13" i="42"/>
  <c r="V13" i="42"/>
  <c r="AN13" i="42"/>
  <c r="AN15" i="42" s="1"/>
  <c r="N13" i="42"/>
  <c r="R13" i="42"/>
  <c r="AK13" i="42"/>
  <c r="AL13" i="42"/>
  <c r="AL15" i="42" s="1"/>
  <c r="W13" i="42"/>
  <c r="W15" i="42" s="1"/>
  <c r="AJ15" i="42"/>
  <c r="AD13" i="42"/>
  <c r="AH13" i="42"/>
  <c r="AM13" i="42"/>
  <c r="AM15" i="42" s="1"/>
  <c r="J15" i="42"/>
  <c r="AV8" i="42"/>
  <c r="O13" i="42"/>
  <c r="P13" i="42"/>
  <c r="N15" i="42"/>
  <c r="P15" i="42"/>
  <c r="AF15" i="42"/>
  <c r="AI15" i="42"/>
  <c r="H15" i="42"/>
  <c r="Y79" i="2"/>
  <c r="X17" i="44"/>
  <c r="X712" i="44"/>
  <c r="AD13" i="4"/>
  <c r="AO13" i="4"/>
  <c r="W13" i="4"/>
  <c r="AV8" i="4"/>
  <c r="AJ13" i="4"/>
  <c r="Y13" i="4"/>
  <c r="P13" i="4"/>
  <c r="N13" i="4"/>
  <c r="AC13" i="4"/>
  <c r="AP13" i="4"/>
  <c r="I13" i="4"/>
  <c r="AE13" i="4"/>
  <c r="AI13" i="4"/>
  <c r="L13" i="4"/>
  <c r="AQ13" i="4"/>
  <c r="AQ15" i="4" s="1"/>
  <c r="AN13" i="4"/>
  <c r="M13" i="4"/>
  <c r="AH13" i="4"/>
  <c r="Z13" i="4"/>
  <c r="H13" i="4"/>
  <c r="O13" i="4"/>
  <c r="V13" i="4"/>
  <c r="AB13" i="4"/>
  <c r="AA13" i="4"/>
  <c r="AK13" i="4"/>
  <c r="AG13" i="4"/>
  <c r="Q13" i="4"/>
  <c r="S13" i="4"/>
  <c r="S15" i="4" s="1"/>
  <c r="AF13" i="4"/>
  <c r="X13" i="4"/>
  <c r="K13" i="4"/>
  <c r="T13" i="4"/>
  <c r="AM13" i="4"/>
  <c r="AL13" i="4"/>
  <c r="J13" i="4"/>
  <c r="R13" i="4"/>
  <c r="U13" i="4"/>
  <c r="AD15" i="4"/>
  <c r="T15" i="4"/>
  <c r="P15" i="4"/>
  <c r="AF15" i="4"/>
  <c r="AA15" i="4"/>
  <c r="AC15" i="4"/>
  <c r="AH15" i="4"/>
  <c r="AP15" i="4"/>
  <c r="X15" i="4"/>
  <c r="AO15" i="4"/>
  <c r="D18" i="4"/>
  <c r="D18" i="42"/>
  <c r="Y18" i="2"/>
  <c r="S15" i="44"/>
  <c r="AI3" i="44" s="1"/>
  <c r="AC666" i="44"/>
  <c r="T27" i="44"/>
  <c r="Y666" i="44"/>
  <c r="T1269" i="44"/>
  <c r="D17" i="42"/>
  <c r="E29" i="11"/>
  <c r="E33" i="11" s="1"/>
  <c r="D17" i="4"/>
  <c r="AH18" i="2"/>
  <c r="B18" i="2"/>
  <c r="B26" i="2" s="1"/>
  <c r="S1269" i="2"/>
  <c r="A42" i="44"/>
  <c r="AE17" i="44"/>
  <c r="Y274" i="2"/>
  <c r="D164" i="42"/>
  <c r="D166" i="42" s="1"/>
  <c r="D168" i="42" s="1"/>
  <c r="Y34" i="2"/>
  <c r="Y26" i="2"/>
  <c r="Y273" i="2"/>
  <c r="Y22" i="2"/>
  <c r="Y571" i="2"/>
  <c r="Y275" i="2"/>
  <c r="Y272" i="2"/>
  <c r="Y33" i="2"/>
  <c r="Y1118" i="2"/>
  <c r="Y28" i="2"/>
  <c r="Y961" i="2"/>
  <c r="AC1269" i="2"/>
  <c r="Y355" i="2"/>
  <c r="Y379" i="2"/>
  <c r="Y1122" i="2"/>
  <c r="Y129" i="2"/>
  <c r="Y133" i="2"/>
  <c r="Y837" i="2"/>
  <c r="Y612" i="2"/>
  <c r="Y467" i="2"/>
  <c r="Y596" i="2"/>
  <c r="Y766" i="2"/>
  <c r="Y889" i="2"/>
  <c r="Y292" i="2"/>
  <c r="Y914" i="2"/>
  <c r="Y450" i="2"/>
  <c r="Y1259" i="2"/>
  <c r="Y132" i="2"/>
  <c r="Y504" i="2"/>
  <c r="Y1101" i="2"/>
  <c r="Y867" i="2"/>
  <c r="Y512" i="2"/>
  <c r="Y36" i="2"/>
  <c r="AB1269" i="2"/>
  <c r="Y313" i="2"/>
  <c r="Y238" i="2"/>
  <c r="Y863" i="2"/>
  <c r="Y959" i="2"/>
  <c r="Y1210" i="2"/>
  <c r="Y249" i="2"/>
  <c r="Y1112" i="2"/>
  <c r="Y873" i="2"/>
  <c r="Y854" i="2"/>
  <c r="Y357" i="2"/>
  <c r="Y625" i="2"/>
  <c r="Y432" i="2"/>
  <c r="Y1124" i="2"/>
  <c r="Y622" i="2"/>
  <c r="Y1197" i="2"/>
  <c r="Y1232" i="2"/>
  <c r="Y740" i="2"/>
  <c r="Y523" i="2"/>
  <c r="Y967" i="2"/>
  <c r="Y215" i="2"/>
  <c r="Y37" i="2"/>
  <c r="Y1269" i="2"/>
  <c r="Y404" i="2"/>
  <c r="Y978" i="2"/>
  <c r="Y1009" i="2"/>
  <c r="Y678" i="2"/>
  <c r="Y1243" i="2"/>
  <c r="Y1016" i="2"/>
  <c r="Y824" i="2"/>
  <c r="Y308" i="2"/>
  <c r="Y1244" i="2"/>
  <c r="Y396" i="2"/>
  <c r="Y392" i="2"/>
  <c r="Y312" i="2"/>
  <c r="Y475" i="2"/>
  <c r="Y1041" i="2"/>
  <c r="Y1264" i="2"/>
  <c r="Y709" i="2"/>
  <c r="Y486" i="2"/>
  <c r="Y926" i="2"/>
  <c r="Y283" i="2"/>
  <c r="Y602" i="2"/>
  <c r="Y90" i="2"/>
  <c r="Y45" i="2"/>
  <c r="Y1027" i="2"/>
  <c r="Y892" i="2"/>
  <c r="Y1018" i="2"/>
  <c r="Y820" i="2"/>
  <c r="Y397" i="2"/>
  <c r="Y172" i="2"/>
  <c r="Y64" i="2"/>
  <c r="Y288" i="2"/>
  <c r="Y317" i="2"/>
  <c r="Y734" i="2"/>
  <c r="Y1140" i="2"/>
  <c r="Y1142" i="2"/>
  <c r="Y374" i="2"/>
  <c r="Y462" i="2"/>
  <c r="Y920" i="2"/>
  <c r="Y373" i="2"/>
  <c r="Y934" i="2"/>
  <c r="Y107" i="2"/>
  <c r="Y1055" i="2"/>
  <c r="Y875" i="2"/>
  <c r="Y88" i="2"/>
  <c r="Y852" i="2"/>
  <c r="Y600" i="2"/>
  <c r="Y597" i="2"/>
  <c r="Y838" i="2"/>
  <c r="Y171" i="2"/>
  <c r="Y1003" i="2"/>
  <c r="Y1107" i="2"/>
  <c r="Y1130" i="2"/>
  <c r="Y1200" i="2"/>
  <c r="Y386" i="2"/>
  <c r="Y969" i="2"/>
  <c r="Y1001" i="2"/>
  <c r="Y964" i="2"/>
  <c r="Y1138" i="2"/>
  <c r="Y606" i="2"/>
  <c r="Y972" i="2"/>
  <c r="Y222" i="2"/>
  <c r="Y598" i="2"/>
  <c r="Y298" i="2"/>
  <c r="Y502" i="2"/>
  <c r="D164" i="4"/>
  <c r="D166" i="4" s="1"/>
  <c r="D168" i="4" s="1"/>
  <c r="Y56" i="2"/>
  <c r="Y694" i="2"/>
  <c r="Y431" i="2"/>
  <c r="Y338" i="2"/>
  <c r="Y800" i="2"/>
  <c r="Y587" i="2"/>
  <c r="Y870" i="2"/>
  <c r="Y196" i="2"/>
  <c r="Y681" i="2"/>
  <c r="Y980" i="2"/>
  <c r="Y923" i="2"/>
  <c r="Y639" i="2"/>
  <c r="Y971" i="2"/>
  <c r="Y507" i="2"/>
  <c r="Y849" i="2"/>
  <c r="Y124" i="2"/>
  <c r="Y937" i="2"/>
  <c r="Y733" i="2"/>
  <c r="Y472" i="2"/>
  <c r="Y970" i="2"/>
  <c r="Y19" i="2"/>
  <c r="Y55" i="2"/>
  <c r="Y368" i="2"/>
  <c r="Y369" i="2"/>
  <c r="Y70" i="2"/>
  <c r="Y940" i="2"/>
  <c r="Y192" i="2"/>
  <c r="Y672" i="2"/>
  <c r="Y787" i="2"/>
  <c r="Y104" i="2"/>
  <c r="Y1213" i="2"/>
  <c r="Y1170" i="2"/>
  <c r="Y250" i="2"/>
  <c r="Y858" i="2"/>
  <c r="Y649" i="2"/>
  <c r="Y408" i="2"/>
  <c r="Y872" i="2"/>
  <c r="Y877" i="2"/>
  <c r="Y616" i="2"/>
  <c r="Y1222" i="2"/>
  <c r="Y1149" i="2"/>
  <c r="Y1023" i="2"/>
  <c r="Y1239" i="2"/>
  <c r="Y720" i="2"/>
  <c r="Y869" i="2"/>
  <c r="Y60" i="2"/>
  <c r="Y1265" i="2"/>
  <c r="Y156" i="2"/>
  <c r="Y1216" i="2"/>
  <c r="Y557" i="2"/>
  <c r="Y1044" i="2"/>
  <c r="Y162" i="2"/>
  <c r="Y1113" i="2"/>
  <c r="Y1266" i="2"/>
  <c r="Y846" i="2"/>
  <c r="Y765" i="2"/>
  <c r="Y669" i="2"/>
  <c r="Y648" i="2"/>
  <c r="Y1125" i="2"/>
  <c r="Y201" i="2"/>
  <c r="Y1147" i="2"/>
  <c r="Y685" i="2"/>
  <c r="Y841" i="2"/>
  <c r="Y673" i="2"/>
  <c r="Y212" i="2"/>
  <c r="Y975" i="2"/>
  <c r="Y395" i="2"/>
  <c r="Y331" i="2"/>
  <c r="Y593" i="2"/>
  <c r="Y1228" i="2"/>
  <c r="Y893" i="2"/>
  <c r="Y997" i="2"/>
  <c r="Y361" i="2"/>
  <c r="Y52" i="2"/>
  <c r="Y1104" i="2"/>
  <c r="Y915" i="2"/>
  <c r="Y989" i="2"/>
  <c r="Y770" i="2"/>
  <c r="Y661" i="2"/>
  <c r="Y1051" i="2"/>
  <c r="Y921" i="2"/>
  <c r="Y533" i="2"/>
  <c r="Y224" i="2"/>
  <c r="Y944" i="2"/>
  <c r="Y930" i="2"/>
  <c r="Y530" i="2"/>
  <c r="Y1129" i="2"/>
  <c r="Y49" i="2"/>
  <c r="Y1002" i="2"/>
  <c r="Y47" i="2"/>
  <c r="Y847" i="2"/>
  <c r="Y668" i="2"/>
  <c r="Y214" i="2"/>
  <c r="Y897" i="2"/>
  <c r="Y1185" i="2"/>
  <c r="Y163" i="2"/>
  <c r="Y895" i="2"/>
  <c r="Y981" i="2"/>
  <c r="Y817" i="2"/>
  <c r="Y1045" i="2"/>
  <c r="Y151" i="2"/>
  <c r="Y604" i="2"/>
  <c r="Y261" i="2"/>
  <c r="Y697" i="2"/>
  <c r="Y177" i="2"/>
  <c r="Y818" i="2"/>
  <c r="Y1032" i="2"/>
  <c r="Y43" i="2"/>
  <c r="Y1037" i="2"/>
  <c r="Y1253" i="2"/>
  <c r="Y1172" i="2"/>
  <c r="Y1088" i="2"/>
  <c r="Y560" i="2"/>
  <c r="Y759" i="2"/>
  <c r="Y126" i="2"/>
  <c r="Y439" i="2"/>
  <c r="Y576" i="2"/>
  <c r="Y73" i="2"/>
  <c r="Y436" i="2"/>
  <c r="Y1070" i="2"/>
  <c r="Y1119" i="2"/>
  <c r="Y568" i="2"/>
  <c r="Y585" i="2"/>
  <c r="Y335" i="2"/>
  <c r="Y1187" i="2"/>
  <c r="Y1146" i="2"/>
  <c r="Y1006" i="2"/>
  <c r="Y1207" i="2"/>
  <c r="Y1056" i="2"/>
  <c r="Y491" i="2"/>
  <c r="Y190" i="2"/>
  <c r="Y797" i="2"/>
  <c r="Y174" i="2"/>
  <c r="Y696" i="2"/>
  <c r="Y705" i="2"/>
  <c r="Y322" i="2"/>
  <c r="Y383" i="2"/>
  <c r="Y441" i="2"/>
  <c r="Y590" i="2"/>
  <c r="Y311" i="2"/>
  <c r="Y843" i="2"/>
  <c r="Y679" i="2"/>
  <c r="Y1257" i="2"/>
  <c r="Y882" i="2"/>
  <c r="Y1062" i="2"/>
  <c r="Y993" i="2"/>
  <c r="Y931" i="2"/>
  <c r="Y1064" i="2"/>
  <c r="Y664" i="2"/>
  <c r="Y1028" i="2"/>
  <c r="Y208" i="2"/>
  <c r="Y277" i="2"/>
  <c r="Y1196" i="2"/>
  <c r="Y1176" i="2"/>
  <c r="Y922" i="2"/>
  <c r="Y784" i="2"/>
  <c r="Y377" i="2"/>
  <c r="Y521" i="2"/>
  <c r="Y417" i="2"/>
  <c r="Y175" i="2"/>
  <c r="Y1075" i="2"/>
  <c r="Y785" i="2"/>
  <c r="Y157" i="2"/>
  <c r="Y409" i="2"/>
  <c r="Y499" i="2"/>
  <c r="Y1242" i="2"/>
  <c r="Y1212" i="2"/>
  <c r="Y760" i="2"/>
  <c r="Y301" i="2"/>
  <c r="Y178" i="2"/>
  <c r="Y743" i="2"/>
  <c r="Y903" i="2"/>
  <c r="Y1255" i="2"/>
  <c r="Y556" i="2"/>
  <c r="Y1132" i="2"/>
  <c r="Y1131" i="2"/>
  <c r="Y545" i="2"/>
  <c r="Y370" i="2"/>
  <c r="Y122" i="2"/>
  <c r="Y855" i="2"/>
  <c r="Y832" i="2"/>
  <c r="Y217" i="2"/>
  <c r="Y1121" i="2"/>
  <c r="Y554" i="2"/>
  <c r="Y918" i="2"/>
  <c r="Y526" i="2"/>
  <c r="Y98" i="2"/>
  <c r="Y339" i="2"/>
  <c r="Y1143" i="2"/>
  <c r="Y478" i="2"/>
  <c r="Y1054" i="2"/>
  <c r="Y908" i="2"/>
  <c r="Y329" i="2"/>
  <c r="Y438" i="2"/>
  <c r="Y384" i="2"/>
  <c r="Y371" i="2"/>
  <c r="Y195" i="2"/>
  <c r="Y468" i="2"/>
  <c r="Y280" i="2"/>
  <c r="Y574" i="2"/>
  <c r="Y776" i="2"/>
  <c r="Y134" i="2"/>
  <c r="Y291" i="2"/>
  <c r="Y372" i="2"/>
  <c r="Y414" i="2"/>
  <c r="Y750" i="2"/>
  <c r="Y1188" i="2"/>
  <c r="Y479" i="2"/>
  <c r="Y853" i="2"/>
  <c r="Y630" i="2"/>
  <c r="Y1148" i="2"/>
  <c r="Y654" i="2"/>
  <c r="Y958" i="2"/>
  <c r="Y848" i="2"/>
  <c r="Y185" i="2"/>
  <c r="Y1236" i="2"/>
  <c r="Y199" i="2"/>
  <c r="Y333" i="2"/>
  <c r="Y955" i="2"/>
  <c r="Y742" i="2"/>
  <c r="Y58" i="2"/>
  <c r="Y1058" i="2"/>
  <c r="Y210" i="2"/>
  <c r="Y643" i="2"/>
  <c r="Y1248" i="2"/>
  <c r="Y1063" i="2"/>
  <c r="Y840" i="2"/>
  <c r="Y385" i="2"/>
  <c r="Y748" i="2"/>
  <c r="Y886" i="2"/>
  <c r="Y642" i="2"/>
  <c r="Y724" i="2"/>
  <c r="Y1079" i="2"/>
  <c r="Y968" i="2"/>
  <c r="Y1151" i="2"/>
  <c r="Y105" i="2"/>
  <c r="Y100" i="2"/>
  <c r="Y189" i="2"/>
  <c r="Y676" i="2"/>
  <c r="Y1042" i="2"/>
  <c r="Y113" i="2"/>
  <c r="Y1181" i="2"/>
  <c r="Y755" i="2"/>
  <c r="Y248" i="2"/>
  <c r="Y235" i="2"/>
  <c r="Y1139" i="2"/>
  <c r="Y485" i="2"/>
  <c r="Y495" i="2"/>
  <c r="Y1235" i="2"/>
  <c r="Y609" i="2"/>
  <c r="Y358" i="2"/>
  <c r="Y731" i="2"/>
  <c r="Y387" i="2"/>
  <c r="Y1039" i="2"/>
  <c r="Y260" i="2"/>
  <c r="Y89" i="2"/>
  <c r="Y482" i="2"/>
  <c r="Y684" i="2"/>
  <c r="Y202" i="2"/>
  <c r="Y594" i="2"/>
  <c r="Y1249" i="2"/>
  <c r="Y230" i="2"/>
  <c r="Y1077" i="2"/>
  <c r="Y364" i="2"/>
  <c r="Y1166" i="2"/>
  <c r="Y245" i="2"/>
  <c r="Y864" i="2"/>
  <c r="Y428" i="2"/>
  <c r="Y1013" i="2"/>
  <c r="Y575" i="2"/>
  <c r="Y307" i="2"/>
  <c r="Y419" i="2"/>
  <c r="Y227" i="2"/>
  <c r="Y420" i="2"/>
  <c r="Y287" i="2"/>
  <c r="Y860" i="2"/>
  <c r="Y135" i="2"/>
  <c r="Y729" i="2"/>
  <c r="Y57" i="2"/>
  <c r="Y880" i="2"/>
  <c r="Y326" i="2"/>
  <c r="Y774" i="2"/>
  <c r="Y624" i="2"/>
  <c r="Y621" i="2"/>
  <c r="Y806" i="2"/>
  <c r="Y956" i="2"/>
  <c r="Y389" i="2"/>
  <c r="Y492" i="2"/>
  <c r="Y514" i="2"/>
  <c r="Y1021" i="2"/>
  <c r="Y356" i="2"/>
  <c r="Y950" i="2"/>
  <c r="Y399" i="2"/>
  <c r="Y68" i="2"/>
  <c r="Y510" i="2"/>
  <c r="Y207" i="2"/>
  <c r="Y595" i="2"/>
  <c r="Y366" i="2"/>
  <c r="Y592" i="2"/>
  <c r="Y634" i="2"/>
  <c r="Y894" i="2"/>
  <c r="Y152" i="2"/>
  <c r="Y856" i="2"/>
  <c r="Y1208" i="2"/>
  <c r="Y1126" i="2"/>
  <c r="Y933" i="2"/>
  <c r="Y677" i="2"/>
  <c r="Y752" i="2"/>
  <c r="Y503" i="2"/>
  <c r="Y976" i="2"/>
  <c r="Y559" i="2"/>
  <c r="Y823" i="2"/>
  <c r="Y97" i="2"/>
  <c r="Y702" i="2"/>
  <c r="Y103" i="2"/>
  <c r="Y247" i="2"/>
  <c r="Y548" i="2"/>
  <c r="Y501" i="2"/>
  <c r="Y1040" i="2"/>
  <c r="Y1179" i="2"/>
  <c r="Y463" i="2"/>
  <c r="Y1065" i="2"/>
  <c r="Y655" i="2"/>
  <c r="Y161" i="2"/>
  <c r="Y430" i="2"/>
  <c r="Y180" i="2"/>
  <c r="Y708" i="2"/>
  <c r="Y59" i="2"/>
  <c r="Y965" i="2"/>
  <c r="Y722" i="2"/>
  <c r="Y995" i="2"/>
  <c r="Y226" i="2"/>
  <c r="Y1082" i="2"/>
  <c r="Y405" i="2"/>
  <c r="Y1031" i="2"/>
  <c r="Y506" i="2"/>
  <c r="Y131" i="2"/>
  <c r="Y137" i="2"/>
  <c r="Y80" i="2"/>
  <c r="Y999" i="2"/>
  <c r="Y422" i="2"/>
  <c r="Y150" i="2"/>
  <c r="Y586" i="2"/>
  <c r="Y845" i="2"/>
  <c r="Y751" i="2"/>
  <c r="Y149" i="2"/>
  <c r="Y102" i="2"/>
  <c r="Y902" i="2"/>
  <c r="Y580" i="2"/>
  <c r="Y627" i="2"/>
  <c r="Y631" i="2"/>
  <c r="Y1194" i="2"/>
  <c r="Y652" i="2"/>
  <c r="Y946" i="2"/>
  <c r="Y1167" i="2"/>
  <c r="Y266" i="2"/>
  <c r="Y31" i="2"/>
  <c r="Y130" i="2"/>
  <c r="Y998" i="2"/>
  <c r="Y309" i="2"/>
  <c r="Y830" i="2"/>
  <c r="Y562" i="2"/>
  <c r="Y1175" i="2"/>
  <c r="Y112" i="2"/>
  <c r="Y232" i="2"/>
  <c r="Y205" i="2"/>
  <c r="Y1241" i="2"/>
  <c r="Y906" i="2"/>
  <c r="Y303" i="2"/>
  <c r="Y211" i="2"/>
  <c r="Y1110" i="2"/>
  <c r="Y737" i="2"/>
  <c r="Y929" i="2"/>
  <c r="Y393" i="2"/>
  <c r="Y1098" i="2"/>
  <c r="Y99" i="2"/>
  <c r="Y229" i="2"/>
  <c r="Y82" i="2"/>
  <c r="Y342" i="2"/>
  <c r="Y67" i="2"/>
  <c r="Y1084" i="2"/>
  <c r="Y829" i="2"/>
  <c r="Y498" i="2"/>
  <c r="Y544" i="2"/>
  <c r="Y158" i="2"/>
  <c r="Y325" i="2"/>
  <c r="Y839" i="2"/>
  <c r="Y465" i="2"/>
  <c r="Y63" i="2"/>
  <c r="Y811" i="2"/>
  <c r="Y579" i="2"/>
  <c r="Y282" i="2"/>
  <c r="Y645" i="2"/>
  <c r="Y442" i="2"/>
  <c r="Y253" i="2"/>
  <c r="Y1234" i="2"/>
  <c r="Y239" i="2"/>
  <c r="Y1047" i="2"/>
  <c r="Y83" i="2"/>
  <c r="Y1091" i="2"/>
  <c r="Y153" i="2"/>
  <c r="Y1068" i="2"/>
  <c r="Y315" i="2"/>
  <c r="Y1019" i="2"/>
  <c r="Y979" i="2"/>
  <c r="Y541" i="2"/>
  <c r="Y884" i="2"/>
  <c r="Y1245" i="2"/>
  <c r="Y769" i="2"/>
  <c r="Y115" i="2"/>
  <c r="Y973" i="2"/>
  <c r="Y994" i="2"/>
  <c r="Y876" i="2"/>
  <c r="Y565" i="2"/>
  <c r="Y1218" i="2"/>
  <c r="Y347" i="2"/>
  <c r="Y862" i="2"/>
  <c r="Y1154" i="2"/>
  <c r="Y1182" i="2"/>
  <c r="Y221" i="2"/>
  <c r="Y851" i="2"/>
  <c r="Y488" i="2"/>
  <c r="Y577" i="2"/>
  <c r="Y218" i="2"/>
  <c r="Y569" i="2"/>
  <c r="Y1217" i="2"/>
  <c r="Y812" i="2"/>
  <c r="Y1011" i="2"/>
  <c r="Y169" i="2"/>
  <c r="Y879" i="2"/>
  <c r="Y761" i="2"/>
  <c r="Y509" i="2"/>
  <c r="Y615" i="2"/>
  <c r="Y1163" i="2"/>
  <c r="Y949" i="2"/>
  <c r="Y418" i="2"/>
  <c r="Y680" i="2"/>
  <c r="Y1223" i="2"/>
  <c r="Y1137" i="2"/>
  <c r="Y425" i="2"/>
  <c r="Y1201" i="2"/>
  <c r="Y362" i="2"/>
  <c r="Y336" i="2"/>
  <c r="Y500" i="2"/>
  <c r="Y524" i="2"/>
  <c r="Y1015" i="2"/>
  <c r="Y1024" i="2"/>
  <c r="Y304" i="2"/>
  <c r="Y427" i="2"/>
  <c r="Y296" i="2"/>
  <c r="Y318" i="2"/>
  <c r="Y413" i="2"/>
  <c r="Y888" i="2"/>
  <c r="Y91" i="2"/>
  <c r="Y223" i="2"/>
  <c r="Y1169" i="2"/>
  <c r="Y121" i="2"/>
  <c r="Y778" i="2"/>
  <c r="Y589" i="2"/>
  <c r="Y410" i="2"/>
  <c r="Y1198" i="2"/>
  <c r="Y909" i="2"/>
  <c r="Y1256" i="2"/>
  <c r="Y449" i="2"/>
  <c r="Y925" i="2"/>
  <c r="Y1252" i="2"/>
  <c r="Y332" i="2"/>
  <c r="Y1133" i="2"/>
  <c r="Y170" i="2"/>
  <c r="Y391" i="2"/>
  <c r="Y674" i="2"/>
  <c r="Y725" i="2"/>
  <c r="Y402" i="2"/>
  <c r="Y636" i="2"/>
  <c r="Y257" i="2"/>
  <c r="Y1080" i="2"/>
  <c r="Y1067" i="2"/>
  <c r="Y768" i="2"/>
  <c r="Y66" i="2"/>
  <c r="Y426" i="2"/>
  <c r="Y1093" i="2"/>
  <c r="Y682" i="2"/>
  <c r="Y885" i="2"/>
  <c r="Y1103" i="2"/>
  <c r="Y796" i="2"/>
  <c r="Y859" i="2"/>
  <c r="Y1008" i="2"/>
  <c r="Y110" i="2"/>
  <c r="Y658" i="2"/>
  <c r="Y233" i="2"/>
  <c r="Y1155" i="2"/>
  <c r="Y144" i="2"/>
  <c r="Y434" i="2"/>
  <c r="Y739" i="2"/>
  <c r="Y520" i="2"/>
  <c r="Y421" i="2"/>
  <c r="Y61" i="2"/>
  <c r="Y927" i="2"/>
  <c r="Y844" i="2"/>
  <c r="Y640" i="2"/>
  <c r="Y281" i="2"/>
  <c r="Y429" i="2"/>
  <c r="Y883" i="2"/>
  <c r="Y890" i="2"/>
  <c r="Y542" i="2"/>
  <c r="Y898" i="2"/>
  <c r="Y255" i="2"/>
  <c r="Y896" i="2"/>
  <c r="Y95" i="2"/>
  <c r="Y790" i="2"/>
  <c r="Y460" i="2"/>
  <c r="Y445" i="2"/>
  <c r="Y225" i="2"/>
  <c r="Y173" i="2"/>
  <c r="Y480" i="2"/>
  <c r="Y349" i="2"/>
  <c r="Y228" i="2"/>
  <c r="Y646" i="2"/>
  <c r="Y407" i="2"/>
  <c r="Y267" i="2"/>
  <c r="Y1116" i="2"/>
  <c r="Y476" i="2"/>
  <c r="Y871" i="2"/>
  <c r="Y508" i="2"/>
  <c r="Y125" i="2"/>
  <c r="Y1247" i="2"/>
  <c r="Y1254" i="2"/>
  <c r="Y581" i="2"/>
  <c r="Y1046" i="2"/>
  <c r="Y116" i="2"/>
  <c r="Y771" i="2"/>
  <c r="Y84" i="2"/>
  <c r="Y328" i="2"/>
  <c r="Y1071" i="2"/>
  <c r="Y343" i="2"/>
  <c r="Y1089" i="2"/>
  <c r="Y62" i="2"/>
  <c r="Y459" i="2"/>
  <c r="Y138" i="2"/>
  <c r="Y334" i="2"/>
  <c r="Y412" i="2"/>
  <c r="Y1025" i="2"/>
  <c r="Y815" i="2"/>
  <c r="Y146" i="2"/>
  <c r="Y1211" i="2"/>
  <c r="Y1086" i="2"/>
  <c r="Y992" i="2"/>
  <c r="Y726" i="2"/>
  <c r="Y691" i="2"/>
  <c r="Y932" i="2"/>
  <c r="Y206" i="2"/>
  <c r="Y1135" i="2"/>
  <c r="Y1214" i="2"/>
  <c r="Y1161" i="2"/>
  <c r="Y181" i="2"/>
  <c r="Y515" i="2"/>
  <c r="Y1115" i="2"/>
  <c r="Y1109" i="2"/>
  <c r="Y535" i="2"/>
  <c r="Y268" i="2"/>
  <c r="Y109" i="2"/>
  <c r="Y1178" i="2"/>
  <c r="Y891" i="2"/>
  <c r="Y380" i="2"/>
  <c r="Y120" i="2"/>
  <c r="Y1224" i="2"/>
  <c r="Y243" i="2"/>
  <c r="Y758" i="2"/>
  <c r="Y942" i="2"/>
  <c r="Y167" i="2"/>
  <c r="Y341" i="2"/>
  <c r="Y87" i="2"/>
  <c r="Y1262" i="2"/>
  <c r="Y176" i="2"/>
  <c r="Y321" i="2"/>
  <c r="Y159" i="2"/>
  <c r="Y1233" i="2"/>
  <c r="Y252" i="2"/>
  <c r="Y166" i="2"/>
  <c r="Y466" i="2"/>
  <c r="Y93" i="2"/>
  <c r="Y1092" i="2"/>
  <c r="Y1144" i="2"/>
  <c r="Y517" i="2"/>
  <c r="Y219" i="2"/>
  <c r="Y1258" i="2"/>
  <c r="Y1202" i="2"/>
  <c r="Y599" i="2"/>
  <c r="Y767" i="2"/>
  <c r="Y791" i="2"/>
  <c r="Y1095" i="2"/>
  <c r="Y293" i="2"/>
  <c r="Y424" i="2"/>
  <c r="Y496" i="2"/>
  <c r="Y1069" i="2"/>
  <c r="Y1010" i="2"/>
  <c r="Y240" i="2"/>
  <c r="Y96" i="2"/>
  <c r="Y1004" i="2"/>
  <c r="Y346" i="2"/>
  <c r="Y300" i="2"/>
  <c r="Y256" i="2"/>
  <c r="Y633" i="2"/>
  <c r="Y1030" i="2"/>
  <c r="Y753" i="2"/>
  <c r="Y1173" i="2"/>
  <c r="Y497" i="2"/>
  <c r="Y757" i="2"/>
  <c r="Y1059" i="2"/>
  <c r="Y1026" i="2"/>
  <c r="Y924" i="2"/>
  <c r="Y323" i="2"/>
  <c r="Y536" i="2"/>
  <c r="Y857" i="2"/>
  <c r="Y532" i="2"/>
  <c r="Y749" i="2"/>
  <c r="Y457" i="2"/>
  <c r="Y619" i="2"/>
  <c r="Y939" i="2"/>
  <c r="Y164" i="2"/>
  <c r="Y142" i="2"/>
  <c r="Y143" i="2"/>
  <c r="Y259" i="2"/>
  <c r="Y952" i="2"/>
  <c r="Y745" i="2"/>
  <c r="Y198" i="2"/>
  <c r="Y276" i="2"/>
  <c r="Y814" i="2"/>
  <c r="Y1199" i="2"/>
  <c r="Y706" i="2"/>
  <c r="Y911" i="2"/>
  <c r="Y584" i="2"/>
  <c r="Y663" i="2"/>
  <c r="Y747" i="2"/>
  <c r="Y905" i="2"/>
  <c r="Y723" i="2"/>
  <c r="Y788" i="2"/>
  <c r="Y119" i="2"/>
  <c r="Y527" i="2"/>
  <c r="Y996" i="2"/>
  <c r="Y553" i="2"/>
  <c r="Y762" i="2"/>
  <c r="Y1206" i="2"/>
  <c r="Y1128" i="2"/>
  <c r="Y605" i="2"/>
  <c r="Y603" i="2"/>
  <c r="Y314" i="2"/>
  <c r="Y1219" i="2"/>
  <c r="Y1033" i="2"/>
  <c r="Y289" i="2"/>
  <c r="Y986" i="2"/>
  <c r="Y1191" i="2"/>
  <c r="Y447" i="2"/>
  <c r="Y511" i="2"/>
  <c r="Y1251" i="2"/>
  <c r="Y305" i="2"/>
  <c r="Y344" i="2"/>
  <c r="Y48" i="2"/>
  <c r="Y86" i="2"/>
  <c r="Y123" i="2"/>
  <c r="Y53" i="2"/>
  <c r="Y299" i="2"/>
  <c r="Y46" i="2"/>
  <c r="Y390" i="2"/>
  <c r="Y140" i="2"/>
  <c r="Y50" i="2"/>
  <c r="Y297" i="2"/>
  <c r="Y881" i="2"/>
  <c r="Y242" i="2"/>
  <c r="Y246" i="2"/>
  <c r="Y148" i="2"/>
  <c r="Y746" i="2"/>
  <c r="Y319" i="2"/>
  <c r="Y1106" i="2"/>
  <c r="Y928" i="2"/>
  <c r="Y1190" i="2"/>
  <c r="Y401" i="2"/>
  <c r="Y295" i="2"/>
  <c r="Y988" i="2"/>
  <c r="Y155" i="2"/>
  <c r="Y469" i="2"/>
  <c r="Y764" i="2"/>
  <c r="Y182" i="2"/>
  <c r="Y618" i="2"/>
  <c r="Y258" i="2"/>
  <c r="Y403" i="2"/>
  <c r="Y551" i="2"/>
  <c r="Y985" i="2"/>
  <c r="Y728" i="2"/>
  <c r="Y1050" i="2"/>
  <c r="Y1123" i="2"/>
  <c r="Y489" i="2"/>
  <c r="Y578" i="2"/>
  <c r="Y821" i="2"/>
  <c r="Y833" i="2"/>
  <c r="Y566" i="2"/>
  <c r="Y736" i="2"/>
  <c r="Y76" i="2"/>
  <c r="Y204" i="2"/>
  <c r="Y367" i="2"/>
  <c r="Y453" i="2"/>
  <c r="Y294" i="2"/>
  <c r="Y613" i="2"/>
  <c r="Y398" i="2"/>
  <c r="Y244" i="2"/>
  <c r="Y85" i="2"/>
  <c r="Y353" i="2"/>
  <c r="Y168" i="2"/>
  <c r="Y1120" i="2"/>
  <c r="Y983" i="2"/>
  <c r="Y147" i="2"/>
  <c r="Y145" i="2"/>
  <c r="Y675" i="2"/>
  <c r="Y141" i="2"/>
  <c r="Y54" i="2"/>
  <c r="Y270" i="2"/>
  <c r="Y803" i="2"/>
  <c r="Y1152" i="2"/>
  <c r="Y1238" i="2"/>
  <c r="Y1157" i="2"/>
  <c r="Y588" i="2"/>
  <c r="Y974" i="2"/>
  <c r="Y628" i="2"/>
  <c r="Y1227" i="2"/>
  <c r="Y1038" i="2"/>
  <c r="Y285" i="2"/>
  <c r="Y92" i="2"/>
  <c r="Y94" i="2"/>
  <c r="Y607" i="2"/>
  <c r="Y601" i="2"/>
  <c r="Y411" i="2"/>
  <c r="Y637" i="2"/>
  <c r="Y670" i="2"/>
  <c r="Y290" i="2"/>
  <c r="Y213" i="2"/>
  <c r="Y1204" i="2"/>
  <c r="Y1076" i="2"/>
  <c r="Y1087" i="2"/>
  <c r="Y1237" i="2"/>
  <c r="Y1127" i="2"/>
  <c r="Y32" i="2"/>
  <c r="Y35" i="2"/>
  <c r="Y416" i="2"/>
  <c r="Y573" i="2"/>
  <c r="Y703" i="2"/>
  <c r="Y1048" i="2"/>
  <c r="Y826" i="2"/>
  <c r="Y782" i="2"/>
  <c r="Y1261" i="2"/>
  <c r="Y1049" i="2"/>
  <c r="Y187" i="2"/>
  <c r="Y400" i="2"/>
  <c r="Y1022" i="2"/>
  <c r="Y363" i="2"/>
  <c r="Y547" i="2"/>
  <c r="Y381" i="2"/>
  <c r="Y919" i="2"/>
  <c r="Y1073" i="2"/>
  <c r="Y539" i="2"/>
  <c r="Y799" i="2"/>
  <c r="Y763" i="2"/>
  <c r="Y51" i="2"/>
  <c r="Y220" i="2"/>
  <c r="Y456" i="2"/>
  <c r="Y779" i="2"/>
  <c r="Y231" i="2"/>
  <c r="Y23" i="2"/>
  <c r="Y378" i="2"/>
  <c r="Y77" i="2"/>
  <c r="Y835" i="2"/>
  <c r="Y505" i="2"/>
  <c r="Y936" i="2"/>
  <c r="Y444" i="2"/>
  <c r="Y1090" i="2"/>
  <c r="Y271" i="2"/>
  <c r="Y279" i="2"/>
  <c r="Y452" i="2"/>
  <c r="Y984" i="2"/>
  <c r="Y1005" i="2"/>
  <c r="Y1260" i="2"/>
  <c r="Y179" i="2"/>
  <c r="Y458" i="2"/>
  <c r="Y1096" i="2"/>
  <c r="Y1220" i="2"/>
  <c r="Y827" i="2"/>
  <c r="Y320" i="2"/>
  <c r="Y1145" i="2"/>
  <c r="Y406" i="2"/>
  <c r="Y1136" i="2"/>
  <c r="Y251" i="2"/>
  <c r="Y128" i="2"/>
  <c r="Y1158" i="2"/>
  <c r="Y310" i="2"/>
  <c r="Y154" i="2"/>
  <c r="Y394" i="2"/>
  <c r="Y360" i="2"/>
  <c r="Y808" i="2"/>
  <c r="Y254" i="2"/>
  <c r="Y1083" i="2"/>
  <c r="Y376" i="2"/>
  <c r="Y1193" i="2"/>
  <c r="Y793" i="2"/>
  <c r="Y715" i="2"/>
  <c r="Y917" i="2"/>
  <c r="Y1205" i="2"/>
  <c r="Y1141" i="2"/>
  <c r="Y1246" i="2"/>
  <c r="Y74" i="2"/>
  <c r="Y1160" i="2"/>
  <c r="Y887" i="2"/>
  <c r="Y836" i="2"/>
  <c r="Y529" i="2"/>
  <c r="Y773" i="2"/>
  <c r="Y365" i="2"/>
  <c r="Y236" i="2"/>
  <c r="Y1100" i="2"/>
  <c r="Y415" i="2"/>
  <c r="Y1209" i="2"/>
  <c r="Y850" i="2"/>
  <c r="Y209" i="2"/>
  <c r="Y878" i="2"/>
  <c r="Y1036" i="2"/>
  <c r="Y136" i="2"/>
  <c r="Y1134" i="2"/>
  <c r="Y966" i="2"/>
  <c r="Y947" i="2"/>
  <c r="Y1250" i="2"/>
  <c r="Y348" i="2"/>
  <c r="Y714" i="2"/>
  <c r="Y794" i="2"/>
  <c r="Y781" i="2"/>
  <c r="Y265" i="2"/>
  <c r="Y470" i="2"/>
  <c r="Y874" i="2"/>
  <c r="Y802" i="2"/>
  <c r="Y101" i="2"/>
  <c r="Y1231" i="2"/>
  <c r="Y183" i="2"/>
  <c r="Y1225" i="2"/>
  <c r="Y651" i="2"/>
  <c r="Y455" i="2"/>
  <c r="Y563" i="2"/>
  <c r="Y518" i="2"/>
  <c r="Y284" i="2"/>
  <c r="Y809" i="2"/>
  <c r="Y1053" i="2"/>
  <c r="Y30" i="2"/>
  <c r="Y216" i="2"/>
  <c r="Y1230" i="2"/>
  <c r="Y127" i="2"/>
  <c r="Y1074" i="2"/>
  <c r="Y805" i="2"/>
  <c r="Y474" i="2"/>
  <c r="Y1240" i="2"/>
  <c r="Y375" i="2"/>
  <c r="Y1012" i="2"/>
  <c r="Y1215" i="2"/>
  <c r="Y550" i="2"/>
  <c r="Y591" i="2"/>
  <c r="Y337" i="2"/>
  <c r="Y667" i="2"/>
  <c r="Y1061" i="2"/>
  <c r="Y582" i="2"/>
  <c r="Y727" i="2"/>
  <c r="Y237" i="2"/>
  <c r="Y912" i="2"/>
  <c r="Y866" i="2"/>
  <c r="Y900" i="2"/>
  <c r="Y660" i="2"/>
  <c r="Y471" i="2"/>
  <c r="Y351" i="2"/>
  <c r="Y461" i="2"/>
  <c r="Y987" i="2"/>
  <c r="Y263" i="2"/>
  <c r="Y657" i="2"/>
  <c r="Y345" i="2"/>
  <c r="Y264" i="2"/>
  <c r="Y241" i="2"/>
  <c r="Y433" i="2"/>
  <c r="Y24" i="2"/>
  <c r="Y754" i="2"/>
  <c r="Y1203" i="2"/>
  <c r="Y483" i="2"/>
  <c r="Y583" i="2"/>
  <c r="Y572" i="2"/>
  <c r="Y286" i="2"/>
  <c r="Y899" i="2"/>
  <c r="Y842" i="2"/>
  <c r="Y184" i="2"/>
  <c r="Y1164" i="2"/>
  <c r="Y861" i="2"/>
  <c r="Y262" i="2"/>
  <c r="Y69" i="2"/>
  <c r="Y693" i="2"/>
  <c r="Y610" i="2"/>
  <c r="Y464" i="2"/>
  <c r="Y1267" i="2"/>
  <c r="Y269" i="2"/>
  <c r="Y118" i="2"/>
  <c r="Y1221" i="2"/>
  <c r="Y20" i="2"/>
  <c r="Y756" i="2"/>
  <c r="Y953" i="2"/>
  <c r="Y494" i="2"/>
  <c r="Y29" i="2"/>
  <c r="Y193" i="2"/>
  <c r="Y473" i="2"/>
  <c r="Y982" i="2"/>
  <c r="Y354" i="2"/>
  <c r="Y435" i="2"/>
  <c r="Y538" i="2"/>
  <c r="Y1263" i="2"/>
  <c r="Y302" i="2"/>
  <c r="Y1057" i="2"/>
  <c r="Y340" i="2"/>
  <c r="Y316" i="2"/>
  <c r="Y160" i="2"/>
  <c r="Y306" i="2"/>
  <c r="Y1072" i="2"/>
  <c r="Y71" i="2"/>
  <c r="Y477" i="2"/>
  <c r="Y388" i="2"/>
  <c r="Y234" i="2"/>
  <c r="Y21" i="2"/>
  <c r="Y1184" i="2"/>
  <c r="Y721" i="2"/>
  <c r="Y139" i="2"/>
  <c r="Y1081" i="2"/>
  <c r="Y165" i="2"/>
  <c r="Y1017" i="2"/>
  <c r="Y25" i="2"/>
  <c r="Y65" i="2"/>
  <c r="Y671" i="2"/>
  <c r="Y690" i="2"/>
  <c r="Y699" i="2"/>
  <c r="Y700" i="2"/>
  <c r="Y718" i="2"/>
  <c r="Y717" i="2"/>
  <c r="Y42" i="2"/>
  <c r="Y81" i="2"/>
  <c r="Y687" i="2"/>
  <c r="Y688" i="2"/>
  <c r="AH711" i="2"/>
  <c r="AH712" i="2"/>
  <c r="A76" i="44"/>
  <c r="AE75" i="44"/>
  <c r="X666" i="44"/>
  <c r="Y712" i="2"/>
  <c r="S15" i="2"/>
  <c r="AI3" i="2" s="1"/>
  <c r="X79" i="44"/>
  <c r="AC53" i="17"/>
  <c r="AC65" i="17" s="1"/>
  <c r="AC52" i="17"/>
  <c r="AC64" i="17" s="1"/>
  <c r="AC44" i="17"/>
  <c r="AC51" i="17"/>
  <c r="AC63" i="17" s="1"/>
  <c r="X24" i="17"/>
  <c r="X25" i="17" s="1"/>
  <c r="X26" i="17" s="1"/>
  <c r="X27" i="17" s="1"/>
  <c r="AJ18" i="17"/>
  <c r="P120" i="17"/>
  <c r="P89" i="17" s="1"/>
  <c r="O52" i="17"/>
  <c r="O64" i="17" s="1"/>
  <c r="O58" i="17" s="1"/>
  <c r="Y35" i="17"/>
  <c r="Y118" i="17"/>
  <c r="Y119" i="17"/>
  <c r="Y39" i="17"/>
  <c r="Y45" i="17" s="1"/>
  <c r="Y46" i="17" s="1"/>
  <c r="AD108" i="17"/>
  <c r="AD107" i="17"/>
  <c r="AB43" i="17"/>
  <c r="AB55" i="17"/>
  <c r="AB67" i="17" s="1"/>
  <c r="AB54" i="17"/>
  <c r="AB66" i="17" s="1"/>
  <c r="AE108" i="17"/>
  <c r="AE107" i="17"/>
  <c r="H89" i="20"/>
  <c r="V68" i="20"/>
  <c r="AE83" i="17"/>
  <c r="AE123" i="17"/>
  <c r="AE134" i="17" s="1"/>
  <c r="AE125" i="17"/>
  <c r="AE136" i="17" s="1"/>
  <c r="U106" i="17"/>
  <c r="U105" i="17"/>
  <c r="U109" i="17"/>
  <c r="U110" i="17" s="1"/>
  <c r="U112" i="17" s="1"/>
  <c r="AC43" i="17"/>
  <c r="AC55" i="17"/>
  <c r="AC67" i="17" s="1"/>
  <c r="AC54" i="17"/>
  <c r="AC66" i="17" s="1"/>
  <c r="AB118" i="17"/>
  <c r="AB119" i="17"/>
  <c r="AB35" i="17"/>
  <c r="AB39" i="17"/>
  <c r="H44" i="20"/>
  <c r="H75" i="20" s="1"/>
  <c r="H96" i="20" s="1"/>
  <c r="H82" i="20"/>
  <c r="H99" i="20" s="1"/>
  <c r="H43" i="20"/>
  <c r="H67" i="20" s="1"/>
  <c r="H88" i="20" s="1"/>
  <c r="H42" i="20"/>
  <c r="H78" i="20" s="1"/>
  <c r="AE48" i="17"/>
  <c r="AE50" i="17"/>
  <c r="AE62" i="17" s="1"/>
  <c r="AE45" i="17"/>
  <c r="AE46" i="17" s="1"/>
  <c r="AE49" i="17"/>
  <c r="AE61" i="17" s="1"/>
  <c r="U100" i="17"/>
  <c r="U103" i="17"/>
  <c r="U102" i="17"/>
  <c r="U101" i="17"/>
  <c r="V117" i="17"/>
  <c r="V116" i="17"/>
  <c r="H34" i="20"/>
  <c r="V34" i="20" s="1"/>
  <c r="H73" i="20"/>
  <c r="H94" i="20" s="1"/>
  <c r="H37" i="20"/>
  <c r="H80" i="20" s="1"/>
  <c r="T83" i="17"/>
  <c r="T125" i="17"/>
  <c r="T146" i="17" s="1"/>
  <c r="T123" i="17"/>
  <c r="AB117" i="17"/>
  <c r="AB116" i="17"/>
  <c r="H60" i="20"/>
  <c r="H74" i="20" s="1"/>
  <c r="H95" i="20" s="1"/>
  <c r="V61" i="20"/>
  <c r="O46" i="17"/>
  <c r="X114" i="17"/>
  <c r="X115" i="17"/>
  <c r="AJ115" i="17" s="1"/>
  <c r="AA118" i="17"/>
  <c r="AA35" i="17"/>
  <c r="AA119" i="17"/>
  <c r="AA39" i="17"/>
  <c r="X33" i="17"/>
  <c r="X32" i="17"/>
  <c r="X34" i="17" s="1"/>
  <c r="AA23" i="17"/>
  <c r="AA44" i="17"/>
  <c r="AA52" i="17"/>
  <c r="AA64" i="17" s="1"/>
  <c r="AA53" i="17"/>
  <c r="AA65" i="17" s="1"/>
  <c r="AA51" i="17"/>
  <c r="AA63" i="17" s="1"/>
  <c r="H59" i="20"/>
  <c r="H65" i="20" s="1"/>
  <c r="H87" i="20" s="1"/>
  <c r="H58" i="20"/>
  <c r="H64" i="20" s="1"/>
  <c r="H86" i="20" s="1"/>
  <c r="X42" i="17"/>
  <c r="X21" i="17"/>
  <c r="X57" i="17"/>
  <c r="X69" i="17" s="1"/>
  <c r="X56" i="17"/>
  <c r="X68" i="17" s="1"/>
  <c r="AD83" i="17"/>
  <c r="AD125" i="17"/>
  <c r="AD136" i="17" s="1"/>
  <c r="AD123" i="17"/>
  <c r="Z117" i="17"/>
  <c r="Z116" i="17"/>
  <c r="AC106" i="17"/>
  <c r="AC105" i="17"/>
  <c r="AB100" i="17"/>
  <c r="AB101" i="17"/>
  <c r="AB103" i="17"/>
  <c r="AB102" i="17"/>
  <c r="Y101" i="17"/>
  <c r="Y100" i="17"/>
  <c r="Y103" i="17"/>
  <c r="Y102" i="17"/>
  <c r="X97" i="17"/>
  <c r="Y117" i="17"/>
  <c r="Y116" i="17"/>
  <c r="AA106" i="17"/>
  <c r="AA105" i="17"/>
  <c r="U83" i="17"/>
  <c r="U123" i="17"/>
  <c r="U134" i="17" s="1"/>
  <c r="U125" i="17"/>
  <c r="U136" i="17" s="1"/>
  <c r="AC116" i="17"/>
  <c r="AC117" i="17"/>
  <c r="AC103" i="17"/>
  <c r="AC101" i="17"/>
  <c r="AC102" i="17"/>
  <c r="AC100" i="17"/>
  <c r="Y106" i="17"/>
  <c r="Y105" i="17"/>
  <c r="W83" i="17"/>
  <c r="W123" i="17"/>
  <c r="W125" i="17"/>
  <c r="W136" i="17" s="1"/>
  <c r="Y53" i="17"/>
  <c r="Y65" i="17" s="1"/>
  <c r="Y44" i="17"/>
  <c r="Y51" i="17"/>
  <c r="Y63" i="17" s="1"/>
  <c r="Y52" i="17"/>
  <c r="Y64" i="17" s="1"/>
  <c r="AA100" i="17"/>
  <c r="AA102" i="17"/>
  <c r="AA103" i="17"/>
  <c r="AA101" i="17"/>
  <c r="AA55" i="17"/>
  <c r="AA67" i="17" s="1"/>
  <c r="AA43" i="17"/>
  <c r="AA54" i="17"/>
  <c r="AA66" i="17" s="1"/>
  <c r="H61" i="20"/>
  <c r="H77" i="20"/>
  <c r="H98" i="20" s="1"/>
  <c r="Z119" i="17"/>
  <c r="Z35" i="17"/>
  <c r="Z118" i="17"/>
  <c r="Z39" i="17"/>
  <c r="AB106" i="17"/>
  <c r="AB105" i="17"/>
  <c r="T23" i="17"/>
  <c r="T52" i="17"/>
  <c r="T74" i="17" s="1"/>
  <c r="T44" i="17"/>
  <c r="T53" i="17"/>
  <c r="T75" i="17" s="1"/>
  <c r="T51" i="17"/>
  <c r="T73" i="17" s="1"/>
  <c r="AJ34" i="17"/>
  <c r="Y55" i="17"/>
  <c r="Y67" i="17" s="1"/>
  <c r="Y43" i="17"/>
  <c r="Y54" i="17"/>
  <c r="Y66" i="17" s="1"/>
  <c r="T107" i="17"/>
  <c r="T108" i="17"/>
  <c r="V102" i="17"/>
  <c r="V101" i="17"/>
  <c r="V100" i="17"/>
  <c r="V103" i="17"/>
  <c r="AA117" i="17"/>
  <c r="AA116" i="17"/>
  <c r="AJ76" i="17"/>
  <c r="V106" i="17"/>
  <c r="V105" i="17"/>
  <c r="H80" i="17"/>
  <c r="H81" i="17" s="1"/>
  <c r="W51" i="17"/>
  <c r="W63" i="17" s="1"/>
  <c r="W53" i="17"/>
  <c r="W65" i="17" s="1"/>
  <c r="W44" i="17"/>
  <c r="W52" i="17"/>
  <c r="W64" i="17" s="1"/>
  <c r="W23" i="17"/>
  <c r="V35" i="17"/>
  <c r="V119" i="17"/>
  <c r="V118" i="17"/>
  <c r="V39" i="17"/>
  <c r="V48" i="17" s="1"/>
  <c r="V27" i="17"/>
  <c r="Z45" i="17"/>
  <c r="Z50" i="17"/>
  <c r="Z62" i="17" s="1"/>
  <c r="Z48" i="17"/>
  <c r="AD48" i="17"/>
  <c r="Y27" i="17"/>
  <c r="V44" i="17"/>
  <c r="V51" i="17"/>
  <c r="V73" i="17" s="1"/>
  <c r="AJ73" i="17" s="1"/>
  <c r="V52" i="17"/>
  <c r="V74" i="17" s="1"/>
  <c r="AJ74" i="17" s="1"/>
  <c r="V53" i="17"/>
  <c r="V75" i="17" s="1"/>
  <c r="AJ75" i="17" s="1"/>
  <c r="U62" i="17"/>
  <c r="AC35" i="17"/>
  <c r="AC118" i="17"/>
  <c r="AC119" i="17"/>
  <c r="AC39" i="17"/>
  <c r="Z44" i="17"/>
  <c r="Z53" i="17"/>
  <c r="Z65" i="17" s="1"/>
  <c r="Z51" i="17"/>
  <c r="Z63" i="17" s="1"/>
  <c r="Z52" i="17"/>
  <c r="Z64" i="17" s="1"/>
  <c r="Y26" i="17"/>
  <c r="U45" i="17"/>
  <c r="U46" i="17" s="1"/>
  <c r="U120" i="17" s="1"/>
  <c r="AC23" i="17"/>
  <c r="Z43" i="17"/>
  <c r="Z46" i="17" s="1"/>
  <c r="Z55" i="17"/>
  <c r="Z67" i="17" s="1"/>
  <c r="Z54" i="17"/>
  <c r="Z66" i="17" s="1"/>
  <c r="AB23" i="17"/>
  <c r="V57" i="20"/>
  <c r="Z105" i="17"/>
  <c r="Z106" i="17"/>
  <c r="AD50" i="17"/>
  <c r="W107" i="17"/>
  <c r="W108" i="17"/>
  <c r="V55" i="17"/>
  <c r="V77" i="17" s="1"/>
  <c r="AJ77" i="17" s="1"/>
  <c r="V43" i="17"/>
  <c r="V54" i="17"/>
  <c r="V76" i="17" s="1"/>
  <c r="AB22" i="17"/>
  <c r="Z100" i="17"/>
  <c r="Z103" i="17"/>
  <c r="Z101" i="17"/>
  <c r="Z102" i="17"/>
  <c r="AD45" i="17"/>
  <c r="AD46" i="17" s="1"/>
  <c r="AC45" i="44"/>
  <c r="AB45" i="44"/>
  <c r="I120" i="17"/>
  <c r="I89" i="17" s="1"/>
  <c r="F110" i="17"/>
  <c r="I98" i="20"/>
  <c r="V77" i="20"/>
  <c r="I90" i="20"/>
  <c r="V69" i="20"/>
  <c r="P60" i="17"/>
  <c r="F116" i="17"/>
  <c r="F117" i="17"/>
  <c r="AJ114" i="17"/>
  <c r="P137" i="17"/>
  <c r="P127" i="17"/>
  <c r="R63" i="17"/>
  <c r="R52" i="17"/>
  <c r="R64" i="17" s="1"/>
  <c r="P63" i="17"/>
  <c r="P52" i="17"/>
  <c r="P64" i="17" s="1"/>
  <c r="P85" i="17"/>
  <c r="P93" i="17"/>
  <c r="P203" i="17"/>
  <c r="I75" i="20"/>
  <c r="V44" i="20"/>
  <c r="I67" i="20"/>
  <c r="V43" i="20"/>
  <c r="I93" i="20"/>
  <c r="V72" i="20"/>
  <c r="H86" i="17"/>
  <c r="H216" i="17"/>
  <c r="I85" i="20"/>
  <c r="V63" i="20"/>
  <c r="G93" i="17"/>
  <c r="G203" i="17"/>
  <c r="G85" i="17"/>
  <c r="I80" i="20"/>
  <c r="V80" i="20" s="1"/>
  <c r="V37" i="20"/>
  <c r="I78" i="20"/>
  <c r="V78" i="20" s="1"/>
  <c r="V42" i="20"/>
  <c r="H94" i="17"/>
  <c r="H92" i="17"/>
  <c r="G137" i="17"/>
  <c r="G127" i="17"/>
  <c r="G138" i="17" s="1"/>
  <c r="I94" i="20"/>
  <c r="V73" i="20"/>
  <c r="I99" i="20"/>
  <c r="V82" i="20"/>
  <c r="R137" i="17"/>
  <c r="R127" i="17"/>
  <c r="Q63" i="17"/>
  <c r="Q52" i="17"/>
  <c r="Q64" i="17" s="1"/>
  <c r="AJ24" i="17"/>
  <c r="F25" i="17"/>
  <c r="AJ25" i="17" s="1"/>
  <c r="R93" i="17"/>
  <c r="R85" i="17"/>
  <c r="R203" i="17"/>
  <c r="F57" i="17"/>
  <c r="F69" i="17" s="1"/>
  <c r="F42" i="17"/>
  <c r="F56" i="17"/>
  <c r="F68" i="17" s="1"/>
  <c r="AJ68" i="17" s="1"/>
  <c r="F21" i="17"/>
  <c r="AJ20" i="17"/>
  <c r="Q60" i="17"/>
  <c r="I92" i="20"/>
  <c r="V71" i="20"/>
  <c r="I60" i="17"/>
  <c r="I80" i="17"/>
  <c r="I81" i="17" s="1"/>
  <c r="F101" i="17"/>
  <c r="F103" i="17"/>
  <c r="F102" i="17"/>
  <c r="F100" i="17"/>
  <c r="Q46" i="17"/>
  <c r="Q120" i="17" s="1"/>
  <c r="I84" i="20"/>
  <c r="V62" i="20"/>
  <c r="G108" i="17"/>
  <c r="G107" i="17"/>
  <c r="G60" i="17"/>
  <c r="G80" i="17"/>
  <c r="G81" i="17" s="1"/>
  <c r="H138" i="17"/>
  <c r="G112" i="17"/>
  <c r="G111" i="17"/>
  <c r="F106" i="17"/>
  <c r="F105" i="17"/>
  <c r="H128" i="17"/>
  <c r="H129" i="17" s="1"/>
  <c r="H140" i="17" s="1"/>
  <c r="O137" i="17"/>
  <c r="O127" i="17"/>
  <c r="I127" i="17"/>
  <c r="I137" i="17"/>
  <c r="Q111" i="17"/>
  <c r="Q112" i="17"/>
  <c r="O93" i="17"/>
  <c r="O85" i="17"/>
  <c r="O203" i="17"/>
  <c r="O108" i="17"/>
  <c r="O107" i="17"/>
  <c r="I93" i="17"/>
  <c r="I203" i="17"/>
  <c r="I85" i="17"/>
  <c r="Q108" i="17"/>
  <c r="Q107" i="17"/>
  <c r="I65" i="20"/>
  <c r="V59" i="20"/>
  <c r="F35" i="17"/>
  <c r="AJ33" i="17"/>
  <c r="F118" i="17"/>
  <c r="F119" i="17"/>
  <c r="F39" i="17"/>
  <c r="Q127" i="17"/>
  <c r="Q137" i="17"/>
  <c r="O80" i="17"/>
  <c r="O81" i="17" s="1"/>
  <c r="O111" i="17"/>
  <c r="O112" i="17"/>
  <c r="I63" i="17"/>
  <c r="I52" i="17"/>
  <c r="I64" i="17" s="1"/>
  <c r="I64" i="20"/>
  <c r="V58" i="20"/>
  <c r="Q93" i="17"/>
  <c r="Q203" i="17"/>
  <c r="R46" i="17"/>
  <c r="R120" i="17" s="1"/>
  <c r="I91" i="20"/>
  <c r="V70" i="20"/>
  <c r="I74" i="20"/>
  <c r="V60" i="20"/>
  <c r="H199" i="17"/>
  <c r="O120" i="17"/>
  <c r="O89" i="17" s="1"/>
  <c r="R80" i="17"/>
  <c r="R81" i="17" s="1"/>
  <c r="R60" i="17"/>
  <c r="O47" i="17"/>
  <c r="AS44" i="4"/>
  <c r="AR35" i="4"/>
  <c r="AS35" i="4" s="1"/>
  <c r="AT33" i="4"/>
  <c r="AS33" i="4"/>
  <c r="G90" i="17"/>
  <c r="G91" i="17" s="1"/>
  <c r="S215" i="17"/>
  <c r="S200" i="17"/>
  <c r="S201" i="17"/>
  <c r="P90" i="17"/>
  <c r="P91" i="17" s="1"/>
  <c r="P201" i="17" s="1"/>
  <c r="S127" i="17"/>
  <c r="AC45" i="2"/>
  <c r="AB45" i="2"/>
  <c r="F28" i="11" l="1"/>
  <c r="F22" i="11"/>
  <c r="I33" i="11"/>
  <c r="G33" i="11"/>
  <c r="F15" i="11"/>
  <c r="AW168" i="4"/>
  <c r="AW169" i="4"/>
  <c r="AW169" i="42"/>
  <c r="AW168" i="42"/>
  <c r="AF19" i="42"/>
  <c r="AH19" i="42"/>
  <c r="N19" i="42"/>
  <c r="Y19" i="42"/>
  <c r="T19" i="42"/>
  <c r="AI19" i="42"/>
  <c r="AL19" i="42"/>
  <c r="J19" i="42"/>
  <c r="AB19" i="42"/>
  <c r="K19" i="42"/>
  <c r="H19" i="42"/>
  <c r="P19" i="42"/>
  <c r="P21" i="42" s="1"/>
  <c r="L19" i="42"/>
  <c r="AK19" i="42"/>
  <c r="AK21" i="42" s="1"/>
  <c r="W19" i="42"/>
  <c r="W21" i="42" s="1"/>
  <c r="AJ19" i="42"/>
  <c r="AM19" i="42"/>
  <c r="AJ21" i="42"/>
  <c r="I19" i="42"/>
  <c r="I21" i="42" s="1"/>
  <c r="S19" i="42"/>
  <c r="AO19" i="42"/>
  <c r="AO21" i="42" s="1"/>
  <c r="X19" i="42"/>
  <c r="Z19" i="42"/>
  <c r="AC19" i="42"/>
  <c r="AC21" i="42" s="1"/>
  <c r="R19" i="42"/>
  <c r="Q19" i="42"/>
  <c r="Q21" i="42" s="1"/>
  <c r="AD19" i="42"/>
  <c r="AP19" i="42"/>
  <c r="O19" i="42"/>
  <c r="O21" i="42" s="1"/>
  <c r="U19" i="42"/>
  <c r="U21" i="42" s="1"/>
  <c r="AG19" i="42"/>
  <c r="AE19" i="42"/>
  <c r="AA19" i="42"/>
  <c r="AQ19" i="42"/>
  <c r="AN19" i="42"/>
  <c r="V19" i="42"/>
  <c r="M19" i="42"/>
  <c r="M21" i="42" s="1"/>
  <c r="AP21" i="42"/>
  <c r="K21" i="42"/>
  <c r="AH21" i="42"/>
  <c r="AM21" i="42"/>
  <c r="AN21" i="42"/>
  <c r="L21" i="42"/>
  <c r="AA21" i="42"/>
  <c r="AF21" i="42"/>
  <c r="R21" i="42"/>
  <c r="T21" i="42"/>
  <c r="AB21" i="42"/>
  <c r="Z21" i="42"/>
  <c r="Y21" i="42"/>
  <c r="AI21" i="42"/>
  <c r="AL21" i="42"/>
  <c r="J21" i="42"/>
  <c r="AG21" i="42"/>
  <c r="AQ21" i="42"/>
  <c r="J15" i="4"/>
  <c r="J168" i="4" s="1"/>
  <c r="J169" i="4" s="1"/>
  <c r="AA166" i="4"/>
  <c r="AE15" i="4"/>
  <c r="Z14" i="42"/>
  <c r="Y15" i="2"/>
  <c r="AG166" i="4"/>
  <c r="AQ14" i="42"/>
  <c r="AB14" i="4"/>
  <c r="AI15" i="4"/>
  <c r="Y31" i="44"/>
  <c r="AC1269" i="44"/>
  <c r="Y1069" i="44"/>
  <c r="Y974" i="44"/>
  <c r="Y505" i="44"/>
  <c r="Y211" i="44"/>
  <c r="Y316" i="44"/>
  <c r="Y127" i="44"/>
  <c r="Y808" i="44"/>
  <c r="Y101" i="44"/>
  <c r="Y862" i="44"/>
  <c r="Y95" i="44"/>
  <c r="Y339" i="44"/>
  <c r="Y854" i="44"/>
  <c r="Y103" i="44"/>
  <c r="Y654" i="44"/>
  <c r="Y183" i="44"/>
  <c r="Y586" i="44"/>
  <c r="Y468" i="44"/>
  <c r="Y872" i="44"/>
  <c r="Y342" i="44"/>
  <c r="Y839" i="44"/>
  <c r="Y250" i="44"/>
  <c r="Y992" i="44"/>
  <c r="Y452" i="44"/>
  <c r="Y924" i="44"/>
  <c r="Y320" i="44"/>
  <c r="Y987" i="44"/>
  <c r="Y318" i="44"/>
  <c r="Y378" i="44"/>
  <c r="Y149" i="44"/>
  <c r="Y539" i="44"/>
  <c r="Y66" i="44"/>
  <c r="Y1003" i="44"/>
  <c r="Y470" i="44"/>
  <c r="Y1016" i="44"/>
  <c r="Y1011" i="44"/>
  <c r="Y1201" i="44"/>
  <c r="Y1200" i="44"/>
  <c r="Y1049" i="44"/>
  <c r="Y1247" i="44"/>
  <c r="Y1262" i="44"/>
  <c r="Y976" i="44"/>
  <c r="Y982" i="44"/>
  <c r="Y1101" i="44"/>
  <c r="Y1252" i="44"/>
  <c r="Y1223" i="44"/>
  <c r="Y456" i="44"/>
  <c r="Y210" i="44"/>
  <c r="Y909" i="44"/>
  <c r="Y385" i="44"/>
  <c r="Y240" i="44"/>
  <c r="Y1213" i="44"/>
  <c r="Y282" i="44"/>
  <c r="Y1112" i="44"/>
  <c r="Y696" i="44"/>
  <c r="Y661" i="44"/>
  <c r="Y601" i="44"/>
  <c r="Y193" i="44"/>
  <c r="Y1126" i="44"/>
  <c r="Y832" i="44"/>
  <c r="Y942" i="44"/>
  <c r="Y921" i="44"/>
  <c r="Y802" i="44"/>
  <c r="Y380" i="44"/>
  <c r="Y304" i="44"/>
  <c r="Y1158" i="44"/>
  <c r="Y930" i="44"/>
  <c r="Y753" i="44"/>
  <c r="Y946" i="44"/>
  <c r="Y121" i="44"/>
  <c r="Y750" i="44"/>
  <c r="Y267" i="44"/>
  <c r="Y794" i="44"/>
  <c r="Y844" i="44"/>
  <c r="Y381" i="44"/>
  <c r="Y1109" i="44"/>
  <c r="Y30" i="44"/>
  <c r="AB1269" i="44"/>
  <c r="Y1076" i="44"/>
  <c r="Y898" i="44"/>
  <c r="Y479" i="44"/>
  <c r="Y99" i="44"/>
  <c r="Y395" i="44"/>
  <c r="Y51" i="44"/>
  <c r="Y882" i="44"/>
  <c r="Y155" i="44"/>
  <c r="Y879" i="44"/>
  <c r="Y67" i="44"/>
  <c r="Y402" i="44"/>
  <c r="Y871" i="44"/>
  <c r="Y115" i="44"/>
  <c r="Y615" i="44"/>
  <c r="Y133" i="44"/>
  <c r="Y506" i="44"/>
  <c r="Y436" i="44"/>
  <c r="Y894" i="44"/>
  <c r="Y341" i="44"/>
  <c r="Y892" i="44"/>
  <c r="Y283" i="44"/>
  <c r="Y57" i="44"/>
  <c r="Y476" i="44"/>
  <c r="Y980" i="44"/>
  <c r="Y475" i="44"/>
  <c r="Y1036" i="44"/>
  <c r="Y358" i="44"/>
  <c r="Y300" i="44"/>
  <c r="Y86" i="44"/>
  <c r="Y463" i="44"/>
  <c r="Y146" i="44"/>
  <c r="Y978" i="44"/>
  <c r="Y565" i="44"/>
  <c r="Y1087" i="44"/>
  <c r="Y1042" i="44"/>
  <c r="Y1127" i="44"/>
  <c r="Y1149" i="44"/>
  <c r="Y1032" i="44"/>
  <c r="Y952" i="44"/>
  <c r="Y1257" i="44"/>
  <c r="Y1044" i="44"/>
  <c r="Y1088" i="44"/>
  <c r="Y1240" i="44"/>
  <c r="Y1242" i="44"/>
  <c r="Y1086" i="44"/>
  <c r="Y123" i="44"/>
  <c r="Y823" i="44"/>
  <c r="Y1141" i="44"/>
  <c r="Y332" i="44"/>
  <c r="Y676" i="44"/>
  <c r="Y830" i="44"/>
  <c r="Y196" i="44"/>
  <c r="Y1188" i="44"/>
  <c r="Y559" i="44"/>
  <c r="Y206" i="44"/>
  <c r="Y787" i="44"/>
  <c r="Y135" i="44"/>
  <c r="Y762" i="44"/>
  <c r="Y489" i="44"/>
  <c r="Y573" i="44"/>
  <c r="Y899" i="44"/>
  <c r="Y132" i="44"/>
  <c r="Y379" i="44"/>
  <c r="Y273" i="44"/>
  <c r="Y1166" i="44"/>
  <c r="Y609" i="44"/>
  <c r="Y254" i="44"/>
  <c r="Y1225" i="44"/>
  <c r="Y742" i="44"/>
  <c r="Y143" i="44"/>
  <c r="Y678" i="44"/>
  <c r="Y329" i="44"/>
  <c r="Y297" i="44"/>
  <c r="Y258" i="44"/>
  <c r="Y73" i="44"/>
  <c r="Y274" i="44"/>
  <c r="Y1269" i="44"/>
  <c r="Y1084" i="44"/>
  <c r="Y852" i="44"/>
  <c r="Y474" i="44"/>
  <c r="Y137" i="44"/>
  <c r="Y457" i="44"/>
  <c r="Y151" i="44"/>
  <c r="Y900" i="44"/>
  <c r="Y340" i="44"/>
  <c r="Y878" i="44"/>
  <c r="Y46" i="44"/>
  <c r="Y376" i="44"/>
  <c r="Y927" i="44"/>
  <c r="Y237" i="44"/>
  <c r="Y663" i="44"/>
  <c r="Y175" i="44"/>
  <c r="Y818" i="44"/>
  <c r="Y550" i="44"/>
  <c r="Y993" i="44"/>
  <c r="Y377" i="44"/>
  <c r="Y885" i="44"/>
  <c r="Y364" i="44"/>
  <c r="Y93" i="44"/>
  <c r="Y604" i="44"/>
  <c r="Y1057" i="44"/>
  <c r="Y464" i="44"/>
  <c r="Y1013" i="44"/>
  <c r="Y422" i="44"/>
  <c r="Y373" i="44"/>
  <c r="Y49" i="44"/>
  <c r="Y466" i="44"/>
  <c r="Y170" i="44"/>
  <c r="Y985" i="44"/>
  <c r="Y478" i="44"/>
  <c r="Y1079" i="44"/>
  <c r="Y1067" i="44"/>
  <c r="Y1237" i="44"/>
  <c r="Y1246" i="44"/>
  <c r="Y1130" i="44"/>
  <c r="Y1030" i="44"/>
  <c r="Y1224" i="44"/>
  <c r="Y1010" i="44"/>
  <c r="Y1083" i="44"/>
  <c r="Y1232" i="44"/>
  <c r="Y1008" i="44"/>
  <c r="Y971" i="44"/>
  <c r="Y165" i="44"/>
  <c r="Y551" i="44"/>
  <c r="Y847" i="44"/>
  <c r="Y502" i="44"/>
  <c r="Y239" i="44"/>
  <c r="Y301" i="44"/>
  <c r="Y294" i="44"/>
  <c r="Y1140" i="44"/>
  <c r="Y313" i="44"/>
  <c r="Y167" i="44"/>
  <c r="Y219" i="44"/>
  <c r="Y96" i="44"/>
  <c r="Y401" i="44"/>
  <c r="Y587" i="44"/>
  <c r="Y276" i="44"/>
  <c r="Y201" i="44"/>
  <c r="Y362" i="44"/>
  <c r="Y515" i="44"/>
  <c r="Y616" i="44"/>
  <c r="Y1220" i="44"/>
  <c r="Y595" i="44"/>
  <c r="Y169" i="44"/>
  <c r="Y1142" i="44"/>
  <c r="Y202" i="44"/>
  <c r="Y788" i="44"/>
  <c r="Y602" i="44"/>
  <c r="Y778" i="44"/>
  <c r="Y249" i="44"/>
  <c r="Y674" i="44"/>
  <c r="Y409" i="44"/>
  <c r="Y23" i="44"/>
  <c r="Y1250" i="44"/>
  <c r="Y1070" i="44"/>
  <c r="Y846" i="44"/>
  <c r="Y419" i="44"/>
  <c r="Y160" i="44"/>
  <c r="Y560" i="44"/>
  <c r="Y185" i="44"/>
  <c r="Y890" i="44"/>
  <c r="Y390" i="44"/>
  <c r="Y923" i="44"/>
  <c r="Y166" i="44"/>
  <c r="Y424" i="44"/>
  <c r="Y1015" i="44"/>
  <c r="Y226" i="44"/>
  <c r="Y760" i="44"/>
  <c r="Y181" i="44"/>
  <c r="Y841" i="44"/>
  <c r="Y526" i="44"/>
  <c r="Y979" i="44"/>
  <c r="Y371" i="44"/>
  <c r="Y919" i="44"/>
  <c r="Y348" i="44"/>
  <c r="Y55" i="44"/>
  <c r="Y579" i="44"/>
  <c r="Y48" i="44"/>
  <c r="Y500" i="44"/>
  <c r="Y1033" i="44"/>
  <c r="Y460" i="44"/>
  <c r="Y314" i="44"/>
  <c r="Y124" i="44"/>
  <c r="Y576" i="44"/>
  <c r="Y236" i="44"/>
  <c r="Y100" i="44"/>
  <c r="Y492" i="44"/>
  <c r="Y1103" i="44"/>
  <c r="Y1074" i="44"/>
  <c r="Y1233" i="44"/>
  <c r="Y1243" i="44"/>
  <c r="Y1092" i="44"/>
  <c r="Y1031" i="44"/>
  <c r="Y1214" i="44"/>
  <c r="Y1025" i="44"/>
  <c r="Y1205" i="44"/>
  <c r="Y1068" i="44"/>
  <c r="Y1098" i="44"/>
  <c r="Y1019" i="44"/>
  <c r="Y918" i="44"/>
  <c r="Y412" i="44"/>
  <c r="Y817" i="44"/>
  <c r="Y925" i="44"/>
  <c r="Y634" i="44"/>
  <c r="Y621" i="44"/>
  <c r="Y781" i="44"/>
  <c r="Y1173" i="44"/>
  <c r="Y766" i="44"/>
  <c r="Y80" i="44"/>
  <c r="Y770" i="44"/>
  <c r="Y215" i="44"/>
  <c r="Y260" i="44"/>
  <c r="Y593" i="44"/>
  <c r="Y562" i="44"/>
  <c r="Y897" i="44"/>
  <c r="Y156" i="44"/>
  <c r="Y1179" i="44"/>
  <c r="Y471" i="44"/>
  <c r="Y812" i="44"/>
  <c r="Y164" i="44"/>
  <c r="Y94" i="44"/>
  <c r="Y1190" i="44"/>
  <c r="Y803" i="44"/>
  <c r="Y895" i="44"/>
  <c r="Y501" i="44"/>
  <c r="Y370" i="44"/>
  <c r="Y405" i="44"/>
  <c r="Y374" i="44"/>
  <c r="Y19" i="44"/>
  <c r="Y22" i="44"/>
  <c r="Y1221" i="44"/>
  <c r="Y1006" i="44"/>
  <c r="Y864" i="44"/>
  <c r="Y345" i="44"/>
  <c r="Y52" i="44"/>
  <c r="Y708" i="44"/>
  <c r="Y246" i="44"/>
  <c r="Y1005" i="44"/>
  <c r="Y504" i="44"/>
  <c r="Y931" i="44"/>
  <c r="Y152" i="44"/>
  <c r="Y467" i="44"/>
  <c r="Y1012" i="44"/>
  <c r="Y241" i="44"/>
  <c r="Y875" i="44"/>
  <c r="Y265" i="44"/>
  <c r="Y582" i="44"/>
  <c r="Y88" i="44"/>
  <c r="Y291" i="44"/>
  <c r="Y920" i="44"/>
  <c r="Y391" i="44"/>
  <c r="Y120" i="44"/>
  <c r="Y642" i="44"/>
  <c r="Y69" i="44"/>
  <c r="Y633" i="44"/>
  <c r="Y125" i="44"/>
  <c r="Y497" i="44"/>
  <c r="Y333" i="44"/>
  <c r="Y139" i="44"/>
  <c r="Y618" i="44"/>
  <c r="Y247" i="44"/>
  <c r="Y87" i="44"/>
  <c r="Y588" i="44"/>
  <c r="Y1219" i="44"/>
  <c r="Y1075" i="44"/>
  <c r="Y1048" i="44"/>
  <c r="Y1058" i="44"/>
  <c r="Y1136" i="44"/>
  <c r="Y1113" i="44"/>
  <c r="Y934" i="44"/>
  <c r="Y995" i="44"/>
  <c r="Y1238" i="44"/>
  <c r="Y1218" i="44"/>
  <c r="Y1077" i="44"/>
  <c r="Y1071" i="44"/>
  <c r="Y815" i="44"/>
  <c r="Y187" i="44"/>
  <c r="Y544" i="44"/>
  <c r="Y577" i="44"/>
  <c r="Y462" i="44"/>
  <c r="Y336" i="44"/>
  <c r="Y569" i="44"/>
  <c r="Y1181" i="44"/>
  <c r="Y90" i="44"/>
  <c r="Y827" i="44"/>
  <c r="Y396" i="44"/>
  <c r="Y861" i="44"/>
  <c r="Y743" i="44"/>
  <c r="Y556" i="44"/>
  <c r="Y326" i="44"/>
  <c r="Y442" i="44"/>
  <c r="Y790" i="44"/>
  <c r="Y1132" i="44"/>
  <c r="Y136" i="44"/>
  <c r="Y426" i="44"/>
  <c r="Y824" i="44"/>
  <c r="Y889" i="44"/>
  <c r="Y1144" i="44"/>
  <c r="Y553" i="44"/>
  <c r="Y568" i="44"/>
  <c r="Y353" i="44"/>
  <c r="Y298" i="44"/>
  <c r="Y199" i="44"/>
  <c r="Y912" i="44"/>
  <c r="Y1244" i="44"/>
  <c r="Y1121" i="44"/>
  <c r="Y858" i="44"/>
  <c r="Y363" i="44"/>
  <c r="Y92" i="44"/>
  <c r="Y731" i="44"/>
  <c r="Y407" i="44"/>
  <c r="Y989" i="44"/>
  <c r="Y592" i="44"/>
  <c r="Y964" i="44"/>
  <c r="Y162" i="44"/>
  <c r="Y583" i="44"/>
  <c r="Y1050" i="44"/>
  <c r="Y296" i="44"/>
  <c r="Y764" i="44"/>
  <c r="Y335" i="44"/>
  <c r="Y110" i="44"/>
  <c r="Y572" i="44"/>
  <c r="Y83" i="44"/>
  <c r="Y337" i="44"/>
  <c r="Y972" i="44"/>
  <c r="Y459" i="44"/>
  <c r="Y84" i="44"/>
  <c r="Y89" i="44"/>
  <c r="Y796" i="44"/>
  <c r="Y62" i="44"/>
  <c r="Y637" i="44"/>
  <c r="Y406" i="44"/>
  <c r="Y177" i="44"/>
  <c r="Y578" i="44"/>
  <c r="Y418" i="44"/>
  <c r="Y50" i="44"/>
  <c r="Y606" i="44"/>
  <c r="Y1208" i="44"/>
  <c r="Y1045" i="44"/>
  <c r="Y1081" i="44"/>
  <c r="Y1053" i="44"/>
  <c r="Y1264" i="44"/>
  <c r="Y1055" i="44"/>
  <c r="Y981" i="44"/>
  <c r="Y1054" i="44"/>
  <c r="Y1267" i="44"/>
  <c r="Y1235" i="44"/>
  <c r="Y1038" i="44"/>
  <c r="Y1204" i="44"/>
  <c r="Y726" i="44"/>
  <c r="Y524" i="44"/>
  <c r="Y113" i="44"/>
  <c r="Y842" i="44"/>
  <c r="Y755" i="44"/>
  <c r="Y209" i="44"/>
  <c r="Y680" i="44"/>
  <c r="Y849" i="44"/>
  <c r="Y757" i="44"/>
  <c r="Y681" i="44"/>
  <c r="Y321" i="44"/>
  <c r="Y328" i="44"/>
  <c r="Y547" i="44"/>
  <c r="Y334" i="44"/>
  <c r="Y669" i="44"/>
  <c r="Y1138" i="44"/>
  <c r="Y469" i="44"/>
  <c r="Y1178" i="44"/>
  <c r="Y498" i="44"/>
  <c r="Y361" i="44"/>
  <c r="Y530" i="44"/>
  <c r="Y344" i="44"/>
  <c r="Y1151" i="44"/>
  <c r="Y182" i="44"/>
  <c r="Y307" i="44"/>
  <c r="Y884" i="44"/>
  <c r="Y126" i="44"/>
  <c r="Y734" i="44"/>
  <c r="Y255" i="44"/>
  <c r="Y24" i="44"/>
  <c r="Y494" i="44"/>
  <c r="Y1266" i="44"/>
  <c r="Y1004" i="44"/>
  <c r="Y856" i="44"/>
  <c r="Y357" i="44"/>
  <c r="Y144" i="44"/>
  <c r="Y771" i="44"/>
  <c r="Y343" i="44"/>
  <c r="Y1021" i="44"/>
  <c r="Y574" i="44"/>
  <c r="Y986" i="44"/>
  <c r="Y303" i="44"/>
  <c r="Y590" i="44"/>
  <c r="Y1041" i="44"/>
  <c r="Y322" i="44"/>
  <c r="Y886" i="44"/>
  <c r="Y356" i="44"/>
  <c r="Y107" i="44"/>
  <c r="Y667" i="44"/>
  <c r="Y60" i="44"/>
  <c r="Y414" i="44"/>
  <c r="Y154" i="44"/>
  <c r="Y520" i="44"/>
  <c r="Y163" i="44"/>
  <c r="Y682" i="44"/>
  <c r="Y140" i="44"/>
  <c r="Y838" i="44"/>
  <c r="Y172" i="44"/>
  <c r="Y645" i="44"/>
  <c r="Y354" i="44"/>
  <c r="Y225" i="44"/>
  <c r="Y648" i="44"/>
  <c r="Y411" i="44"/>
  <c r="Y91" i="44"/>
  <c r="Y673" i="44"/>
  <c r="Y1241" i="44"/>
  <c r="Y1018" i="44"/>
  <c r="Y1028" i="44"/>
  <c r="Y1051" i="44"/>
  <c r="Y1209" i="44"/>
  <c r="Y1107" i="44"/>
  <c r="Y1017" i="44"/>
  <c r="Y1104" i="44"/>
  <c r="Y1080" i="44"/>
  <c r="Y915" i="44"/>
  <c r="Y1124" i="44"/>
  <c r="Y1265" i="44"/>
  <c r="Y655" i="44"/>
  <c r="Y425" i="44"/>
  <c r="Y758" i="44"/>
  <c r="Y511" i="44"/>
  <c r="Y597" i="44"/>
  <c r="Y603" i="44"/>
  <c r="Y367" i="44"/>
  <c r="Y694" i="44"/>
  <c r="Y837" i="44"/>
  <c r="Y465" i="44"/>
  <c r="Y429" i="44"/>
  <c r="Y773" i="44"/>
  <c r="Y393" i="44"/>
  <c r="Y1222" i="44"/>
  <c r="Y966" i="44"/>
  <c r="Y1096" i="44"/>
  <c r="Y944" i="44"/>
  <c r="Y866" i="44"/>
  <c r="Y857" i="44"/>
  <c r="Y365" i="44"/>
  <c r="Y280" i="44"/>
  <c r="Y302" i="44"/>
  <c r="Y1110" i="44"/>
  <c r="Y811" i="44"/>
  <c r="Y727" i="44"/>
  <c r="Y585" i="44"/>
  <c r="Y1175" i="44"/>
  <c r="Y271" i="44"/>
  <c r="Y1206" i="44"/>
  <c r="Y1046" i="44"/>
  <c r="Y836" i="44"/>
  <c r="Y403" i="44"/>
  <c r="Y228" i="44"/>
  <c r="Y883" i="44"/>
  <c r="Y397" i="44"/>
  <c r="Y999" i="44"/>
  <c r="Y512" i="44"/>
  <c r="Y997" i="44"/>
  <c r="Y281" i="44"/>
  <c r="Y581" i="44"/>
  <c r="Y1009" i="44"/>
  <c r="Y415" i="44"/>
  <c r="Y975" i="44"/>
  <c r="Y308" i="44"/>
  <c r="Y63" i="44"/>
  <c r="Y636" i="44"/>
  <c r="Y147" i="44"/>
  <c r="Y439" i="44"/>
  <c r="Y59" i="44"/>
  <c r="Y508" i="44"/>
  <c r="Y70" i="44"/>
  <c r="Y737" i="44"/>
  <c r="Y218" i="44"/>
  <c r="Y860" i="44"/>
  <c r="Y58" i="44"/>
  <c r="Y640" i="44"/>
  <c r="Y433" i="44"/>
  <c r="Y252" i="44"/>
  <c r="Y693" i="44"/>
  <c r="Y509" i="44"/>
  <c r="Y43" i="44"/>
  <c r="Y729" i="44"/>
  <c r="Y1261" i="44"/>
  <c r="Y1027" i="44"/>
  <c r="Y1090" i="44"/>
  <c r="Y1187" i="44"/>
  <c r="Y1211" i="44"/>
  <c r="Y1064" i="44"/>
  <c r="Y994" i="44"/>
  <c r="Y1133" i="44"/>
  <c r="Y1059" i="44"/>
  <c r="Y1002" i="44"/>
  <c r="Y1082" i="44"/>
  <c r="Y1239" i="44"/>
  <c r="Y535" i="44"/>
  <c r="Y932" i="44"/>
  <c r="Y473" i="44"/>
  <c r="Y431" i="44"/>
  <c r="Y223" i="44"/>
  <c r="Y482" i="44"/>
  <c r="Y102" i="44"/>
  <c r="Y510" i="44"/>
  <c r="Y722" i="44"/>
  <c r="Y820" i="44"/>
  <c r="Y709" i="44"/>
  <c r="Y220" i="44"/>
  <c r="Y646" i="44"/>
  <c r="Y338" i="44"/>
  <c r="Y325" i="44"/>
  <c r="Y366" i="44"/>
  <c r="Y173" i="44"/>
  <c r="Y486" i="44"/>
  <c r="Y441" i="44"/>
  <c r="Y821" i="44"/>
  <c r="Y589" i="44"/>
  <c r="Y532" i="44"/>
  <c r="Y736" i="44"/>
  <c r="Y523" i="44"/>
  <c r="Y1193" i="44"/>
  <c r="Y746" i="44"/>
  <c r="Y1172" i="44"/>
  <c r="Y392" i="44"/>
  <c r="Y461" i="44"/>
  <c r="Y35" i="44"/>
  <c r="Y21" i="44"/>
  <c r="Y1210" i="44"/>
  <c r="Y1001" i="44"/>
  <c r="Y848" i="44"/>
  <c r="Y259" i="44"/>
  <c r="Y232" i="44"/>
  <c r="Y888" i="44"/>
  <c r="Y355" i="44"/>
  <c r="Y1040" i="44"/>
  <c r="Y612" i="44"/>
  <c r="Y1022" i="44"/>
  <c r="Y244" i="44"/>
  <c r="Y652" i="44"/>
  <c r="Y1023" i="44"/>
  <c r="Y507" i="44"/>
  <c r="Y105" i="44"/>
  <c r="Y432" i="44"/>
  <c r="Y119" i="44"/>
  <c r="Y728" i="44"/>
  <c r="Y53" i="44"/>
  <c r="Y503" i="44"/>
  <c r="Y214" i="44"/>
  <c r="Y575" i="44"/>
  <c r="Y238" i="44"/>
  <c r="Y805" i="44"/>
  <c r="Y213" i="44"/>
  <c r="Y880" i="44"/>
  <c r="Y145" i="44"/>
  <c r="Y799" i="44"/>
  <c r="Y584" i="44"/>
  <c r="Y312" i="44"/>
  <c r="Y769" i="44"/>
  <c r="Y495" i="44"/>
  <c r="Y293" i="44"/>
  <c r="Y784" i="44"/>
  <c r="Y1236" i="44"/>
  <c r="Y1100" i="44"/>
  <c r="Y1047" i="44"/>
  <c r="Y1245" i="44"/>
  <c r="Y1251" i="44"/>
  <c r="Y1197" i="44"/>
  <c r="Y1056" i="44"/>
  <c r="Y1216" i="44"/>
  <c r="Y1199" i="44"/>
  <c r="Y1089" i="44"/>
  <c r="Y1072" i="44"/>
  <c r="Y1260" i="44"/>
  <c r="Y870" i="44"/>
  <c r="Y891" i="44"/>
  <c r="Y222" i="44"/>
  <c r="Y141" i="44"/>
  <c r="Y1230" i="44"/>
  <c r="Y323" i="44"/>
  <c r="Y128" i="44"/>
  <c r="Y953" i="44"/>
  <c r="Y684" i="44"/>
  <c r="Y435" i="44"/>
  <c r="Y477" i="44"/>
  <c r="Y906" i="44"/>
  <c r="Y554" i="44"/>
  <c r="Y1212" i="44"/>
  <c r="Y76" i="44"/>
  <c r="Y179" i="44"/>
  <c r="Y826" i="44"/>
  <c r="Y253" i="44"/>
  <c r="Y212" i="44"/>
  <c r="Y671" i="44"/>
  <c r="Y231" i="44"/>
  <c r="Y599" i="44"/>
  <c r="Y893" i="44"/>
  <c r="Y77" i="44"/>
  <c r="Y1203" i="44"/>
  <c r="Y607" i="44"/>
  <c r="Y877" i="44"/>
  <c r="Y157" i="44"/>
  <c r="Y855" i="44"/>
  <c r="Y34" i="44"/>
  <c r="Y1134" i="44"/>
  <c r="Y973" i="44"/>
  <c r="Y749" i="44"/>
  <c r="Y251" i="44"/>
  <c r="Y248" i="44"/>
  <c r="Y914" i="44"/>
  <c r="Y438" i="44"/>
  <c r="Y131" i="44"/>
  <c r="Y767" i="44"/>
  <c r="Y61" i="44"/>
  <c r="Y349" i="44"/>
  <c r="Y721" i="44"/>
  <c r="Y1065" i="44"/>
  <c r="Y541" i="44"/>
  <c r="Y82" i="44"/>
  <c r="Y416" i="44"/>
  <c r="Y195" i="44"/>
  <c r="Y887" i="44"/>
  <c r="Y235" i="44"/>
  <c r="Y610" i="44"/>
  <c r="Y180" i="44"/>
  <c r="Y748" i="44"/>
  <c r="Y369" i="44"/>
  <c r="Y761" i="44"/>
  <c r="Y347" i="44"/>
  <c r="Y967" i="44"/>
  <c r="Y176" i="44"/>
  <c r="Y896" i="44"/>
  <c r="Y843" i="44"/>
  <c r="Y368" i="44"/>
  <c r="Y876" i="44"/>
  <c r="Y628" i="44"/>
  <c r="Y305" i="44"/>
  <c r="Y881" i="44"/>
  <c r="Y988" i="44"/>
  <c r="Y1119" i="44"/>
  <c r="Y1026" i="44"/>
  <c r="Y1248" i="44"/>
  <c r="Y1249" i="44"/>
  <c r="Y1125" i="44"/>
  <c r="Y1139" i="44"/>
  <c r="Y1258" i="44"/>
  <c r="Y1228" i="44"/>
  <c r="Y1062" i="44"/>
  <c r="Y1198" i="44"/>
  <c r="Y873" i="44"/>
  <c r="Y178" i="44"/>
  <c r="Y427" i="44"/>
  <c r="Y317" i="44"/>
  <c r="Y715" i="44"/>
  <c r="Y1146" i="44"/>
  <c r="Y207" i="44"/>
  <c r="Y853" i="44"/>
  <c r="Y306" i="44"/>
  <c r="Y234" i="44"/>
  <c r="Y216" i="44"/>
  <c r="Y447" i="44"/>
  <c r="Y434" i="44"/>
  <c r="Y725" i="44"/>
  <c r="Y1135" i="44"/>
  <c r="Y480" i="44"/>
  <c r="Y229" i="44"/>
  <c r="Y129" i="44"/>
  <c r="Y598" i="44"/>
  <c r="Y174" i="44"/>
  <c r="Y221" i="44"/>
  <c r="Y649" i="44"/>
  <c r="Y104" i="44"/>
  <c r="Y800" i="44"/>
  <c r="Y286" i="44"/>
  <c r="Y184" i="44"/>
  <c r="Y594" i="44"/>
  <c r="Y1122" i="44"/>
  <c r="Y600" i="44"/>
  <c r="Y774" i="44"/>
  <c r="Y1145" i="44"/>
  <c r="Y399" i="44"/>
  <c r="Y1063" i="44"/>
  <c r="Y159" i="44"/>
  <c r="Y284" i="44"/>
  <c r="Y122" i="44"/>
  <c r="Y1039" i="44"/>
  <c r="Y1254" i="44"/>
  <c r="Y672" i="44"/>
  <c r="Y130" i="44"/>
  <c r="Y299" i="44"/>
  <c r="Y417" i="44"/>
  <c r="Y1131" i="44"/>
  <c r="Y1154" i="44"/>
  <c r="Y840" i="44"/>
  <c r="Y1129" i="44"/>
  <c r="Y639" i="44"/>
  <c r="Y690" i="44"/>
  <c r="Y869" i="44"/>
  <c r="Y949" i="44"/>
  <c r="Y905" i="44"/>
  <c r="Y264" i="44"/>
  <c r="Y455" i="44"/>
  <c r="Y613" i="44"/>
  <c r="Y1148" i="44"/>
  <c r="Y485" i="44"/>
  <c r="Y285" i="44"/>
  <c r="Y287" i="44"/>
  <c r="Y85" i="44"/>
  <c r="Y1091" i="44"/>
  <c r="Y996" i="44"/>
  <c r="Y309" i="44"/>
  <c r="Y759" i="44"/>
  <c r="Y217" i="44"/>
  <c r="Y205" i="44"/>
  <c r="Y670" i="44"/>
  <c r="Y542" i="44"/>
  <c r="Y955" i="44"/>
  <c r="Y768" i="44"/>
  <c r="Y514" i="44"/>
  <c r="Y720" i="44"/>
  <c r="Y1176" i="44"/>
  <c r="Y557" i="44"/>
  <c r="Y703" i="44"/>
  <c r="Y733" i="44"/>
  <c r="Y739" i="44"/>
  <c r="Y961" i="44"/>
  <c r="Y33" i="44"/>
  <c r="Y29" i="44"/>
  <c r="Y28" i="44"/>
  <c r="Y965" i="44"/>
  <c r="Y71" i="44"/>
  <c r="Y630" i="44"/>
  <c r="Y677" i="44"/>
  <c r="Y939" i="44"/>
  <c r="Y806" i="44"/>
  <c r="Y1231" i="44"/>
  <c r="Y1061" i="44"/>
  <c r="Y290" i="44"/>
  <c r="Y491" i="44"/>
  <c r="Y161" i="44"/>
  <c r="Y1184" i="44"/>
  <c r="Y776" i="44"/>
  <c r="Y685" i="44"/>
  <c r="Y591" i="44"/>
  <c r="Y116" i="44"/>
  <c r="Y675" i="44"/>
  <c r="Y230" i="44"/>
  <c r="Y488" i="44"/>
  <c r="Y277" i="44"/>
  <c r="Y937" i="44"/>
  <c r="Y625" i="44"/>
  <c r="Y956" i="44"/>
  <c r="Y331" i="44"/>
  <c r="Y257" i="44"/>
  <c r="Y204" i="44"/>
  <c r="Y1118" i="44"/>
  <c r="Y968" i="44"/>
  <c r="Y138" i="44"/>
  <c r="Y668" i="44"/>
  <c r="Y679" i="44"/>
  <c r="Y983" i="44"/>
  <c r="Y874" i="44"/>
  <c r="Y1120" i="44"/>
  <c r="Y1095" i="44"/>
  <c r="Y702" i="44"/>
  <c r="Y315" i="44"/>
  <c r="Y902" i="44"/>
  <c r="Y1160" i="44"/>
  <c r="Y421" i="44"/>
  <c r="Y420" i="44"/>
  <c r="Y859" i="44"/>
  <c r="Y751" i="44"/>
  <c r="Y908" i="44"/>
  <c r="Y74" i="44"/>
  <c r="Y233" i="44"/>
  <c r="Y270" i="44"/>
  <c r="Y1161" i="44"/>
  <c r="Y619" i="44"/>
  <c r="Y867" i="44"/>
  <c r="Y752" i="44"/>
  <c r="Y756" i="44"/>
  <c r="Y47" i="44"/>
  <c r="Y171" i="44"/>
  <c r="Y208" i="44"/>
  <c r="Y360" i="44"/>
  <c r="Y1256" i="44"/>
  <c r="Y1215" i="44"/>
  <c r="Y1106" i="44"/>
  <c r="Y809" i="44"/>
  <c r="Y394" i="44"/>
  <c r="Y545" i="44"/>
  <c r="Y1024" i="44"/>
  <c r="Y754" i="44"/>
  <c r="Y408" i="44"/>
  <c r="Y566" i="44"/>
  <c r="Y529" i="44"/>
  <c r="Y791" i="44"/>
  <c r="Y936" i="44"/>
  <c r="Y1185" i="44"/>
  <c r="Y533" i="44"/>
  <c r="Y745" i="44"/>
  <c r="Y275" i="44"/>
  <c r="Y263" i="44"/>
  <c r="Y32" i="44"/>
  <c r="Y747" i="44"/>
  <c r="Y850" i="44"/>
  <c r="Y168" i="44"/>
  <c r="Y148" i="44"/>
  <c r="Y292" i="44"/>
  <c r="Y384" i="44"/>
  <c r="Y1253" i="44"/>
  <c r="Y1207" i="44"/>
  <c r="Y1182" i="44"/>
  <c r="Y658" i="44"/>
  <c r="Y192" i="44"/>
  <c r="Y295" i="44"/>
  <c r="Y851" i="44"/>
  <c r="Y536" i="44"/>
  <c r="Y449" i="44"/>
  <c r="Y596" i="44"/>
  <c r="Y311" i="44"/>
  <c r="Y261" i="44"/>
  <c r="Y112" i="44"/>
  <c r="Y631" i="44"/>
  <c r="Y624" i="44"/>
  <c r="Y1217" i="44"/>
  <c r="Y1196" i="44"/>
  <c r="Y917" i="44"/>
  <c r="Y375" i="44"/>
  <c r="Y54" i="44"/>
  <c r="Y428" i="44"/>
  <c r="Y863" i="44"/>
  <c r="Y922" i="44"/>
  <c r="Y1167" i="44"/>
  <c r="Y705" i="44"/>
  <c r="Y227" i="44"/>
  <c r="Y1227" i="44"/>
  <c r="Y527" i="44"/>
  <c r="Y142" i="44"/>
  <c r="Y413" i="44"/>
  <c r="Y797" i="44"/>
  <c r="Y346" i="44"/>
  <c r="Y763" i="44"/>
  <c r="Y153" i="44"/>
  <c r="Y829" i="44"/>
  <c r="Y657" i="44"/>
  <c r="Y835" i="44"/>
  <c r="Y1164" i="44"/>
  <c r="Y1115" i="44"/>
  <c r="Y1169" i="44"/>
  <c r="Y563" i="44"/>
  <c r="Y25" i="44"/>
  <c r="Y224" i="44"/>
  <c r="Y98" i="44"/>
  <c r="Y499" i="44"/>
  <c r="Y928" i="44"/>
  <c r="Y158" i="44"/>
  <c r="Y1073" i="44"/>
  <c r="Y1263" i="44"/>
  <c r="Y538" i="44"/>
  <c r="Y450" i="44"/>
  <c r="Y1128" i="44"/>
  <c r="Y400" i="44"/>
  <c r="Y372" i="44"/>
  <c r="Y580" i="44"/>
  <c r="Y627" i="44"/>
  <c r="Y289" i="44"/>
  <c r="Y189" i="44"/>
  <c r="Y706" i="44"/>
  <c r="Y190" i="44"/>
  <c r="Y268" i="44"/>
  <c r="Y947" i="44"/>
  <c r="Y453" i="44"/>
  <c r="Y643" i="44"/>
  <c r="Y959" i="44"/>
  <c r="Y950" i="44"/>
  <c r="Y26" i="44"/>
  <c r="Y387" i="44"/>
  <c r="Y256" i="44"/>
  <c r="Y245" i="44"/>
  <c r="Y398" i="44"/>
  <c r="Y969" i="44"/>
  <c r="Y998" i="44"/>
  <c r="Y1152" i="44"/>
  <c r="Y785" i="44"/>
  <c r="Y651" i="44"/>
  <c r="Y97" i="44"/>
  <c r="Y660" i="44"/>
  <c r="Y150" i="44"/>
  <c r="Y1143" i="44"/>
  <c r="Y472" i="44"/>
  <c r="Y386" i="44"/>
  <c r="Y134" i="44"/>
  <c r="Y430" i="44"/>
  <c r="Y833" i="44"/>
  <c r="Y483" i="44"/>
  <c r="Y198" i="44"/>
  <c r="Y279" i="44"/>
  <c r="Y444" i="44"/>
  <c r="Y691" i="44"/>
  <c r="Y793" i="44"/>
  <c r="Y1202" i="44"/>
  <c r="Y521" i="44"/>
  <c r="Y242" i="44"/>
  <c r="Y740" i="44"/>
  <c r="Y1123" i="44"/>
  <c r="Y310" i="44"/>
  <c r="Y64" i="44"/>
  <c r="Y1147" i="44"/>
  <c r="Y605" i="44"/>
  <c r="Y445" i="44"/>
  <c r="Y45" i="44"/>
  <c r="Y383" i="44"/>
  <c r="Y723" i="44"/>
  <c r="Y1194" i="44"/>
  <c r="Y37" i="44"/>
  <c r="Y56" i="44"/>
  <c r="Y410" i="44"/>
  <c r="Y243" i="44"/>
  <c r="Y933" i="44"/>
  <c r="Y266" i="44"/>
  <c r="Y571" i="44"/>
  <c r="Y288" i="44"/>
  <c r="Y1037" i="44"/>
  <c r="Y779" i="44"/>
  <c r="Y664" i="44"/>
  <c r="Y518" i="44"/>
  <c r="Y1170" i="44"/>
  <c r="Y1093" i="44"/>
  <c r="Y926" i="44"/>
  <c r="Y622" i="44"/>
  <c r="Y1163" i="44"/>
  <c r="Y269" i="44"/>
  <c r="Y20" i="44"/>
  <c r="Y724" i="44"/>
  <c r="Y1137" i="44"/>
  <c r="Y548" i="44"/>
  <c r="Y262" i="44"/>
  <c r="Y782" i="44"/>
  <c r="Y517" i="44"/>
  <c r="Y458" i="44"/>
  <c r="Y1259" i="44"/>
  <c r="Y1155" i="44"/>
  <c r="Y1191" i="44"/>
  <c r="Y389" i="44"/>
  <c r="Y1116" i="44"/>
  <c r="Y845" i="44"/>
  <c r="Y1255" i="44"/>
  <c r="Y911" i="44"/>
  <c r="Y984" i="44"/>
  <c r="Y351" i="44"/>
  <c r="Y496" i="44"/>
  <c r="Y814" i="44"/>
  <c r="Y36" i="44"/>
  <c r="Y1234" i="44"/>
  <c r="Y272" i="44"/>
  <c r="Y388" i="44"/>
  <c r="Y958" i="44"/>
  <c r="Y1157" i="44"/>
  <c r="Y697" i="44"/>
  <c r="Y714" i="44"/>
  <c r="Y929" i="44"/>
  <c r="Y68" i="44"/>
  <c r="Y970" i="44"/>
  <c r="Y940" i="44"/>
  <c r="Y319" i="44"/>
  <c r="Y118" i="44"/>
  <c r="Y765" i="44"/>
  <c r="Y404" i="44"/>
  <c r="Y903" i="44"/>
  <c r="Y65" i="44"/>
  <c r="Y109" i="44"/>
  <c r="Y717" i="44"/>
  <c r="Y718" i="44"/>
  <c r="Y688" i="44"/>
  <c r="Y687" i="44"/>
  <c r="Y699" i="44"/>
  <c r="Y42" i="44"/>
  <c r="Y700" i="44"/>
  <c r="Y81" i="44"/>
  <c r="Y17" i="44"/>
  <c r="Y79" i="44"/>
  <c r="Y712" i="44"/>
  <c r="Y711" i="44"/>
  <c r="AL15" i="4"/>
  <c r="AB15" i="4"/>
  <c r="I15" i="4"/>
  <c r="Y14" i="42"/>
  <c r="A666" i="44"/>
  <c r="AE27" i="44"/>
  <c r="V14" i="4"/>
  <c r="R19" i="4"/>
  <c r="R21" i="4" s="1"/>
  <c r="L19" i="4"/>
  <c r="L21" i="4" s="1"/>
  <c r="T19" i="4"/>
  <c r="T21" i="4" s="1"/>
  <c r="Q19" i="4"/>
  <c r="Q21" i="4" s="1"/>
  <c r="AE19" i="4"/>
  <c r="AE21" i="4" s="1"/>
  <c r="AO19" i="4"/>
  <c r="AO21" i="4" s="1"/>
  <c r="AJ19" i="4"/>
  <c r="AJ21" i="4" s="1"/>
  <c r="J19" i="4"/>
  <c r="J21" i="4" s="1"/>
  <c r="AI19" i="4"/>
  <c r="AI21" i="4" s="1"/>
  <c r="AH19" i="4"/>
  <c r="AH21" i="4" s="1"/>
  <c r="AB19" i="4"/>
  <c r="AB21" i="4" s="1"/>
  <c r="W19" i="4"/>
  <c r="W21" i="4" s="1"/>
  <c r="N19" i="4"/>
  <c r="N21" i="4" s="1"/>
  <c r="AA19" i="4"/>
  <c r="AA21" i="4" s="1"/>
  <c r="AM19" i="4"/>
  <c r="AM21" i="4" s="1"/>
  <c r="M19" i="4"/>
  <c r="M21" i="4" s="1"/>
  <c r="U19" i="4"/>
  <c r="U21" i="4" s="1"/>
  <c r="H19" i="4"/>
  <c r="AG19" i="4"/>
  <c r="AG21" i="4" s="1"/>
  <c r="I19" i="4"/>
  <c r="I21" i="4" s="1"/>
  <c r="AF19" i="4"/>
  <c r="AF21" i="4" s="1"/>
  <c r="Y19" i="4"/>
  <c r="Y21" i="4" s="1"/>
  <c r="Z19" i="4"/>
  <c r="Z21" i="4" s="1"/>
  <c r="K19" i="4"/>
  <c r="AD19" i="4"/>
  <c r="AD21" i="4" s="1"/>
  <c r="AC19" i="4"/>
  <c r="AC21" i="4" s="1"/>
  <c r="V19" i="4"/>
  <c r="V21" i="4" s="1"/>
  <c r="AP19" i="4"/>
  <c r="AP21" i="4" s="1"/>
  <c r="AQ19" i="4"/>
  <c r="AQ21" i="4" s="1"/>
  <c r="O19" i="4"/>
  <c r="O21" i="4" s="1"/>
  <c r="AL19" i="4"/>
  <c r="AL21" i="4" s="1"/>
  <c r="X19" i="4"/>
  <c r="X21" i="4" s="1"/>
  <c r="AK19" i="4"/>
  <c r="AK21" i="4" s="1"/>
  <c r="AN19" i="4"/>
  <c r="AN21" i="4" s="1"/>
  <c r="P19" i="4"/>
  <c r="P21" i="4" s="1"/>
  <c r="S19" i="4"/>
  <c r="S21" i="4" s="1"/>
  <c r="U15" i="4"/>
  <c r="A77" i="2"/>
  <c r="AE76" i="2"/>
  <c r="AB76" i="2" s="1"/>
  <c r="Q83" i="4"/>
  <c r="Q85" i="4" s="1"/>
  <c r="AE83" i="4"/>
  <c r="AE85" i="4" s="1"/>
  <c r="S83" i="4"/>
  <c r="S85" i="4" s="1"/>
  <c r="X83" i="4"/>
  <c r="X85" i="4" s="1"/>
  <c r="U83" i="4"/>
  <c r="U85" i="4" s="1"/>
  <c r="AC83" i="4"/>
  <c r="AC85" i="4" s="1"/>
  <c r="N83" i="4"/>
  <c r="N85" i="4" s="1"/>
  <c r="M83" i="4"/>
  <c r="M85" i="4" s="1"/>
  <c r="P83" i="4"/>
  <c r="P85" i="4" s="1"/>
  <c r="W83" i="4"/>
  <c r="W85" i="4" s="1"/>
  <c r="H83" i="4"/>
  <c r="J83" i="4"/>
  <c r="J85" i="4" s="1"/>
  <c r="AA83" i="4"/>
  <c r="AA85" i="4" s="1"/>
  <c r="AM83" i="4"/>
  <c r="AM85" i="4" s="1"/>
  <c r="AI83" i="4"/>
  <c r="AI85" i="4" s="1"/>
  <c r="I83" i="4"/>
  <c r="I85" i="4" s="1"/>
  <c r="AB83" i="4"/>
  <c r="AB85" i="4" s="1"/>
  <c r="R83" i="4"/>
  <c r="R85" i="4" s="1"/>
  <c r="AN83" i="4"/>
  <c r="AN85" i="4" s="1"/>
  <c r="K83" i="4"/>
  <c r="K85" i="4" s="1"/>
  <c r="AO83" i="4"/>
  <c r="AO85" i="4" s="1"/>
  <c r="AG83" i="4"/>
  <c r="AG85" i="4" s="1"/>
  <c r="AL83" i="4"/>
  <c r="AL85" i="4" s="1"/>
  <c r="AF83" i="4"/>
  <c r="AF85" i="4" s="1"/>
  <c r="AQ83" i="4"/>
  <c r="AQ85" i="4" s="1"/>
  <c r="L83" i="4"/>
  <c r="L85" i="4" s="1"/>
  <c r="T83" i="4"/>
  <c r="T85" i="4" s="1"/>
  <c r="Y83" i="4"/>
  <c r="Y85" i="4" s="1"/>
  <c r="Z83" i="4"/>
  <c r="Z85" i="4" s="1"/>
  <c r="AH83" i="4"/>
  <c r="AH85" i="4" s="1"/>
  <c r="V83" i="4"/>
  <c r="AD83" i="4"/>
  <c r="AD85" i="4" s="1"/>
  <c r="AJ83" i="4"/>
  <c r="AJ85" i="4" s="1"/>
  <c r="O83" i="4"/>
  <c r="O85" i="4" s="1"/>
  <c r="AP83" i="4"/>
  <c r="AP85" i="4" s="1"/>
  <c r="AK83" i="4"/>
  <c r="AK85" i="4" s="1"/>
  <c r="V85" i="4"/>
  <c r="B36" i="44"/>
  <c r="A571" i="44"/>
  <c r="AE26" i="44"/>
  <c r="AM15" i="4"/>
  <c r="V15" i="4"/>
  <c r="AK15" i="42"/>
  <c r="AK166" i="42"/>
  <c r="J14" i="42"/>
  <c r="AA14" i="42"/>
  <c r="A72" i="42"/>
  <c r="AE26" i="2"/>
  <c r="A571" i="2"/>
  <c r="AE14" i="4"/>
  <c r="AM14" i="42"/>
  <c r="A77" i="44"/>
  <c r="AE76" i="44"/>
  <c r="Y27" i="44"/>
  <c r="T166" i="4"/>
  <c r="O15" i="4"/>
  <c r="O166" i="4"/>
  <c r="W15" i="4"/>
  <c r="X15" i="44"/>
  <c r="AI17" i="44"/>
  <c r="R15" i="42"/>
  <c r="AG15" i="42"/>
  <c r="I14" i="42"/>
  <c r="AR14" i="42" s="1"/>
  <c r="AS14" i="42" s="1"/>
  <c r="K14" i="42"/>
  <c r="AL14" i="4"/>
  <c r="P42" i="44"/>
  <c r="R42" i="44"/>
  <c r="Q42" i="44"/>
  <c r="A43" i="44"/>
  <c r="O42" i="44"/>
  <c r="AE42" i="44"/>
  <c r="H15" i="4"/>
  <c r="AR13" i="4"/>
  <c r="O15" i="42"/>
  <c r="N166" i="42"/>
  <c r="AR13" i="42"/>
  <c r="AQ15" i="42"/>
  <c r="R42" i="2"/>
  <c r="O42" i="2"/>
  <c r="AE42" i="2"/>
  <c r="Q42" i="2"/>
  <c r="P42" i="2"/>
  <c r="A43" i="2"/>
  <c r="AC14" i="4"/>
  <c r="D80" i="42"/>
  <c r="E35" i="11"/>
  <c r="E36" i="11" s="1"/>
  <c r="D80" i="4"/>
  <c r="AH27" i="2"/>
  <c r="B27" i="2"/>
  <c r="X27" i="2"/>
  <c r="AO14" i="42"/>
  <c r="P83" i="42"/>
  <c r="P85" i="42" s="1"/>
  <c r="N83" i="42"/>
  <c r="H83" i="42"/>
  <c r="AP83" i="42"/>
  <c r="AJ83" i="42"/>
  <c r="AH83" i="42"/>
  <c r="AH85" i="42" s="1"/>
  <c r="AG83" i="42"/>
  <c r="AF83" i="42"/>
  <c r="Y83" i="42"/>
  <c r="Y85" i="42" s="1"/>
  <c r="S83" i="42"/>
  <c r="Q83" i="42"/>
  <c r="Q85" i="42" s="1"/>
  <c r="AI83" i="42"/>
  <c r="AI85" i="42" s="1"/>
  <c r="AM83" i="42"/>
  <c r="AM85" i="42" s="1"/>
  <c r="I83" i="42"/>
  <c r="I85" i="42" s="1"/>
  <c r="S85" i="42"/>
  <c r="AE83" i="42"/>
  <c r="Z83" i="42"/>
  <c r="Z85" i="42" s="1"/>
  <c r="N85" i="42"/>
  <c r="AF85" i="42"/>
  <c r="AJ85" i="42"/>
  <c r="O83" i="42"/>
  <c r="O85" i="42" s="1"/>
  <c r="AQ83" i="42"/>
  <c r="AQ85" i="42" s="1"/>
  <c r="J83" i="42"/>
  <c r="J85" i="42" s="1"/>
  <c r="AE85" i="42"/>
  <c r="L83" i="42"/>
  <c r="L85" i="42" s="1"/>
  <c r="T83" i="42"/>
  <c r="T85" i="42" s="1"/>
  <c r="U83" i="42"/>
  <c r="U85" i="42" s="1"/>
  <c r="AA83" i="42"/>
  <c r="AA85" i="42" s="1"/>
  <c r="R83" i="42"/>
  <c r="R85" i="42" s="1"/>
  <c r="AN83" i="42"/>
  <c r="AN85" i="42" s="1"/>
  <c r="AC83" i="42"/>
  <c r="AC85" i="42" s="1"/>
  <c r="AK83" i="42"/>
  <c r="AK85" i="42" s="1"/>
  <c r="AL83" i="42"/>
  <c r="AL85" i="42" s="1"/>
  <c r="K83" i="42"/>
  <c r="K85" i="42" s="1"/>
  <c r="AB83" i="42"/>
  <c r="AB85" i="42" s="1"/>
  <c r="X83" i="42"/>
  <c r="X85" i="42" s="1"/>
  <c r="W83" i="42"/>
  <c r="W85" i="42" s="1"/>
  <c r="AO83" i="42"/>
  <c r="AO85" i="42" s="1"/>
  <c r="M83" i="42"/>
  <c r="M85" i="42" s="1"/>
  <c r="AG85" i="42"/>
  <c r="H85" i="42"/>
  <c r="V83" i="42"/>
  <c r="V85" i="42" s="1"/>
  <c r="AP85" i="42"/>
  <c r="AD83" i="42"/>
  <c r="AD85" i="42" s="1"/>
  <c r="D156" i="42"/>
  <c r="D158" i="42" s="1"/>
  <c r="D160" i="42" s="1"/>
  <c r="D156" i="4"/>
  <c r="X622" i="2"/>
  <c r="X1231" i="2"/>
  <c r="X1237" i="2"/>
  <c r="X261" i="2"/>
  <c r="X872" i="2"/>
  <c r="X467" i="2"/>
  <c r="X1179" i="2"/>
  <c r="X404" i="2"/>
  <c r="X1253" i="2"/>
  <c r="X147" i="2"/>
  <c r="X761" i="2"/>
  <c r="X499" i="2"/>
  <c r="X100" i="2"/>
  <c r="X169" i="2"/>
  <c r="X1225" i="2"/>
  <c r="X243" i="2"/>
  <c r="X383" i="2"/>
  <c r="X914" i="2"/>
  <c r="X536" i="2"/>
  <c r="X1106" i="2"/>
  <c r="X1137" i="2"/>
  <c r="X1132" i="2"/>
  <c r="X768" i="2"/>
  <c r="X247" i="2"/>
  <c r="X524" i="2"/>
  <c r="X773" i="2"/>
  <c r="X1212" i="2"/>
  <c r="X984" i="2"/>
  <c r="X667" i="2"/>
  <c r="X677" i="2"/>
  <c r="X1219" i="2"/>
  <c r="X936" i="2"/>
  <c r="X303" i="2"/>
  <c r="X1241" i="2"/>
  <c r="X1257" i="2"/>
  <c r="X321" i="2"/>
  <c r="X609" i="2"/>
  <c r="X384" i="2"/>
  <c r="X602" i="2"/>
  <c r="X123" i="2"/>
  <c r="X847" i="2"/>
  <c r="X1138" i="2"/>
  <c r="X933" i="2"/>
  <c r="X311" i="2"/>
  <c r="X545" i="2"/>
  <c r="X920" i="2"/>
  <c r="X428" i="2"/>
  <c r="X1042" i="2"/>
  <c r="X472" i="2"/>
  <c r="X162" i="2"/>
  <c r="X163" i="2"/>
  <c r="X392" i="2"/>
  <c r="X949" i="2"/>
  <c r="X332" i="2"/>
  <c r="X329" i="2"/>
  <c r="X312" i="2"/>
  <c r="X1116" i="2"/>
  <c r="X46" i="2"/>
  <c r="X802" i="2"/>
  <c r="X253" i="2"/>
  <c r="X971" i="2"/>
  <c r="X235" i="2"/>
  <c r="X1149" i="2"/>
  <c r="X220" i="2"/>
  <c r="X445" i="2"/>
  <c r="X799" i="2"/>
  <c r="X850" i="2"/>
  <c r="X1185" i="2"/>
  <c r="X633" i="2"/>
  <c r="X1119" i="2"/>
  <c r="X1142" i="2"/>
  <c r="X996" i="2"/>
  <c r="X61" i="2"/>
  <c r="X612" i="2"/>
  <c r="X214" i="2"/>
  <c r="X503" i="2"/>
  <c r="X168" i="2"/>
  <c r="X119" i="2"/>
  <c r="X1070" i="2"/>
  <c r="X1025" i="2"/>
  <c r="X812" i="2"/>
  <c r="X1006" i="2"/>
  <c r="X877" i="2"/>
  <c r="X968" i="2"/>
  <c r="X598" i="2"/>
  <c r="X242" i="2"/>
  <c r="X1081" i="2"/>
  <c r="X430" i="2"/>
  <c r="X838" i="2"/>
  <c r="X64" i="2"/>
  <c r="X113" i="2"/>
  <c r="X145" i="2"/>
  <c r="X1151" i="2"/>
  <c r="X676" i="2"/>
  <c r="X1267" i="2"/>
  <c r="X1113" i="2"/>
  <c r="X980" i="2"/>
  <c r="X90" i="2"/>
  <c r="X987" i="2"/>
  <c r="X304" i="2"/>
  <c r="X213" i="2"/>
  <c r="X1203" i="2"/>
  <c r="X49" i="2"/>
  <c r="X911" i="2"/>
  <c r="X466" i="2"/>
  <c r="X282" i="2"/>
  <c r="X1236" i="2"/>
  <c r="X673" i="2"/>
  <c r="X1107" i="2"/>
  <c r="X1093" i="2"/>
  <c r="X159" i="2"/>
  <c r="X705" i="2"/>
  <c r="X663" i="2"/>
  <c r="X790" i="2"/>
  <c r="X429" i="2"/>
  <c r="X978" i="2"/>
  <c r="X218" i="2"/>
  <c r="X607" i="2"/>
  <c r="X1053" i="2"/>
  <c r="X858" i="2"/>
  <c r="X702" i="2"/>
  <c r="X764" i="2"/>
  <c r="X823" i="2"/>
  <c r="X339" i="2"/>
  <c r="X876" i="2"/>
  <c r="X248" i="2"/>
  <c r="X399" i="2"/>
  <c r="X442" i="2"/>
  <c r="X1002" i="2"/>
  <c r="X301" i="2"/>
  <c r="X944" i="2"/>
  <c r="X785" i="2"/>
  <c r="X1240" i="2"/>
  <c r="X1126" i="2"/>
  <c r="X229" i="2"/>
  <c r="X509" i="2"/>
  <c r="X853" i="2"/>
  <c r="X441" i="2"/>
  <c r="X1223" i="2"/>
  <c r="X811" i="2"/>
  <c r="X1215" i="2"/>
  <c r="X600" i="2"/>
  <c r="X149" i="2"/>
  <c r="X225" i="2"/>
  <c r="X1065" i="2"/>
  <c r="X1252" i="2"/>
  <c r="X1187" i="2"/>
  <c r="X1112" i="2"/>
  <c r="X1208" i="2"/>
  <c r="X222" i="2"/>
  <c r="X1095" i="2"/>
  <c r="X846" i="2"/>
  <c r="X376" i="2"/>
  <c r="X121" i="2"/>
  <c r="X1266" i="2"/>
  <c r="X1129" i="2"/>
  <c r="X521" i="2"/>
  <c r="X1222" i="2"/>
  <c r="X1259" i="2"/>
  <c r="X485" i="2"/>
  <c r="X1089" i="2"/>
  <c r="X450" i="2"/>
  <c r="X1032" i="2"/>
  <c r="X560" i="2"/>
  <c r="X308" i="2"/>
  <c r="X80" i="2"/>
  <c r="X139" i="2"/>
  <c r="X762" i="2"/>
  <c r="X1075" i="2"/>
  <c r="X387" i="2"/>
  <c r="X605" i="2"/>
  <c r="X479" i="2"/>
  <c r="X374" i="2"/>
  <c r="X167" i="2"/>
  <c r="X127" i="2"/>
  <c r="X550" i="2"/>
  <c r="X884" i="2"/>
  <c r="X925" i="2"/>
  <c r="X250" i="2"/>
  <c r="X726" i="2"/>
  <c r="X1028" i="2"/>
  <c r="X66" i="2"/>
  <c r="X581" i="2"/>
  <c r="X1263" i="2"/>
  <c r="X470" i="2"/>
  <c r="X510" i="2"/>
  <c r="X832" i="2"/>
  <c r="X563" i="2"/>
  <c r="X854" i="2"/>
  <c r="X309" i="2"/>
  <c r="X211" i="2"/>
  <c r="X771" i="2"/>
  <c r="X1004" i="2"/>
  <c r="X1121" i="2"/>
  <c r="X1016" i="2"/>
  <c r="X539" i="2"/>
  <c r="X408" i="2"/>
  <c r="X625" i="2"/>
  <c r="X1044" i="2"/>
  <c r="X1077" i="2"/>
  <c r="X93" i="2"/>
  <c r="X883" i="2"/>
  <c r="X889" i="2"/>
  <c r="X557" i="2"/>
  <c r="X867" i="2"/>
  <c r="X69" i="2"/>
  <c r="X636" i="2"/>
  <c r="X452" i="2"/>
  <c r="X1037" i="2"/>
  <c r="X1008" i="2"/>
  <c r="X547" i="2"/>
  <c r="X101" i="2"/>
  <c r="X1248" i="2"/>
  <c r="X1250" i="2"/>
  <c r="X1128" i="2"/>
  <c r="X767" i="2"/>
  <c r="X1003" i="2"/>
  <c r="X1134" i="2"/>
  <c r="X293" i="2"/>
  <c r="X728" i="2"/>
  <c r="X164" i="2"/>
  <c r="X1204" i="2"/>
  <c r="X634" i="2"/>
  <c r="X476" i="2"/>
  <c r="X94" i="2"/>
  <c r="X1221" i="2"/>
  <c r="X892" i="2"/>
  <c r="X1233" i="2"/>
  <c r="X637" i="2"/>
  <c r="X837" i="2"/>
  <c r="X1148" i="2"/>
  <c r="X473" i="2"/>
  <c r="X820" i="2"/>
  <c r="X765" i="2"/>
  <c r="X839" i="2"/>
  <c r="X244" i="2"/>
  <c r="X63" i="2"/>
  <c r="X697" i="2"/>
  <c r="X1120" i="2"/>
  <c r="X862" i="2"/>
  <c r="X932" i="2"/>
  <c r="X87" i="2"/>
  <c r="X255" i="2"/>
  <c r="X342" i="2"/>
  <c r="X486" i="2"/>
  <c r="X265" i="2"/>
  <c r="X895" i="2"/>
  <c r="X252" i="2"/>
  <c r="X176" i="2"/>
  <c r="X1235" i="2"/>
  <c r="X394" i="2"/>
  <c r="X377" i="2"/>
  <c r="X1124" i="2"/>
  <c r="X281" i="2"/>
  <c r="X195" i="2"/>
  <c r="X83" i="2"/>
  <c r="X770" i="2"/>
  <c r="X1220" i="2"/>
  <c r="X439" i="2"/>
  <c r="X921" i="2"/>
  <c r="X886" i="2"/>
  <c r="X881" i="2"/>
  <c r="X1239" i="2"/>
  <c r="X157" i="2"/>
  <c r="X969" i="2"/>
  <c r="X918" i="2"/>
  <c r="X725" i="2"/>
  <c r="X577" i="2"/>
  <c r="X1082" i="2"/>
  <c r="X1234" i="2"/>
  <c r="X497" i="2"/>
  <c r="X307" i="2"/>
  <c r="X855" i="2"/>
  <c r="X1205" i="2"/>
  <c r="X836" i="2"/>
  <c r="X829" i="2"/>
  <c r="X661" i="2"/>
  <c r="X96" i="2"/>
  <c r="X1010" i="2"/>
  <c r="X593" i="2"/>
  <c r="X353" i="2"/>
  <c r="X613" i="2"/>
  <c r="X238" i="2"/>
  <c r="X226" i="2"/>
  <c r="X1103" i="2"/>
  <c r="X1269" i="2"/>
  <c r="X1209" i="2"/>
  <c r="X982" i="2"/>
  <c r="X482" i="2"/>
  <c r="X729" i="2"/>
  <c r="X300" i="2"/>
  <c r="X580" i="2"/>
  <c r="X824" i="2"/>
  <c r="X572" i="2"/>
  <c r="X1096" i="2"/>
  <c r="X584" i="2"/>
  <c r="X678" i="2"/>
  <c r="X52" i="2"/>
  <c r="X645" i="2"/>
  <c r="X1182" i="2"/>
  <c r="X48" i="2"/>
  <c r="X1026" i="2"/>
  <c r="X931" i="2"/>
  <c r="X453" i="2"/>
  <c r="X478" i="2"/>
  <c r="X338" i="2"/>
  <c r="X1143" i="2"/>
  <c r="X940" i="2"/>
  <c r="X870" i="2"/>
  <c r="X1198" i="2"/>
  <c r="X646" i="2"/>
  <c r="X1023" i="2"/>
  <c r="X576" i="2"/>
  <c r="X289" i="2"/>
  <c r="X708" i="2"/>
  <c r="X172" i="2"/>
  <c r="X1049" i="2"/>
  <c r="X461" i="2"/>
  <c r="X314" i="2"/>
  <c r="X68" i="2"/>
  <c r="X1018" i="2"/>
  <c r="X861" i="2"/>
  <c r="X1100" i="2"/>
  <c r="X766" i="2"/>
  <c r="X210" i="2"/>
  <c r="X568" i="2"/>
  <c r="X975" i="2"/>
  <c r="X919" i="2"/>
  <c r="X154" i="2"/>
  <c r="X1232" i="2"/>
  <c r="X396" i="2"/>
  <c r="X1056" i="2"/>
  <c r="X981" i="2"/>
  <c r="X995" i="2"/>
  <c r="X488" i="2"/>
  <c r="X903" i="2"/>
  <c r="X209" i="2"/>
  <c r="X322" i="2"/>
  <c r="X554" i="2"/>
  <c r="X1131" i="2"/>
  <c r="X224" i="2"/>
  <c r="X95" i="2"/>
  <c r="X465" i="2"/>
  <c r="X464" i="2"/>
  <c r="X286" i="2"/>
  <c r="X1001" i="2"/>
  <c r="X88" i="2"/>
  <c r="X905" i="2"/>
  <c r="X724" i="2"/>
  <c r="X427" i="2"/>
  <c r="X740" i="2"/>
  <c r="X1211" i="2"/>
  <c r="X240" i="2"/>
  <c r="X364" i="2"/>
  <c r="X994" i="2"/>
  <c r="X706" i="2"/>
  <c r="X317" i="2"/>
  <c r="X999" i="2"/>
  <c r="X878" i="2"/>
  <c r="X922" i="2"/>
  <c r="X585" i="2"/>
  <c r="X1013" i="2"/>
  <c r="X223" i="2"/>
  <c r="X1265" i="2"/>
  <c r="X844" i="2"/>
  <c r="X1073" i="2"/>
  <c r="X1218" i="2"/>
  <c r="X379" i="2"/>
  <c r="X851" i="2"/>
  <c r="X526" i="2"/>
  <c r="X1045" i="2"/>
  <c r="X355" i="2"/>
  <c r="X882" i="2"/>
  <c r="X325" i="2"/>
  <c r="X120" i="2"/>
  <c r="X604" i="2"/>
  <c r="X739" i="2"/>
  <c r="X174" i="2"/>
  <c r="X1152" i="2"/>
  <c r="X320" i="2"/>
  <c r="X864" i="2"/>
  <c r="X56" i="2"/>
  <c r="X517" i="2"/>
  <c r="X727" i="2"/>
  <c r="X1247" i="2"/>
  <c r="X1141" i="2"/>
  <c r="X285" i="2"/>
  <c r="X337" i="2"/>
  <c r="X926" i="2"/>
  <c r="X993" i="2"/>
  <c r="X346" i="2"/>
  <c r="X287" i="2"/>
  <c r="X691" i="2"/>
  <c r="X447" i="2"/>
  <c r="X60" i="2"/>
  <c r="X523" i="2"/>
  <c r="X241" i="2"/>
  <c r="X141" i="2"/>
  <c r="X985" i="2"/>
  <c r="X153" i="2"/>
  <c r="X1197" i="2"/>
  <c r="X156" i="2"/>
  <c r="X642" i="2"/>
  <c r="X500" i="2"/>
  <c r="X894" i="2"/>
  <c r="X116" i="2"/>
  <c r="X267" i="2"/>
  <c r="X722" i="2"/>
  <c r="X130" i="2"/>
  <c r="X249" i="2"/>
  <c r="X800" i="2"/>
  <c r="X639" i="2"/>
  <c r="X675" i="2"/>
  <c r="X1127" i="2"/>
  <c r="X1261" i="2"/>
  <c r="X1245" i="2"/>
  <c r="X401" i="2"/>
  <c r="X791" i="2"/>
  <c r="X368" i="2"/>
  <c r="X1057" i="2"/>
  <c r="X891" i="2"/>
  <c r="X973" i="2"/>
  <c r="X468" i="2"/>
  <c r="X817" i="2"/>
  <c r="X1064" i="2"/>
  <c r="X134" i="2"/>
  <c r="X1039" i="2"/>
  <c r="X606" i="2"/>
  <c r="X50" i="2"/>
  <c r="X502" i="2"/>
  <c r="X449" i="2"/>
  <c r="X367" i="2"/>
  <c r="X245" i="2"/>
  <c r="X1019" i="2"/>
  <c r="X788" i="2"/>
  <c r="X71" i="2"/>
  <c r="X358" i="2"/>
  <c r="X927" i="2"/>
  <c r="X185" i="2"/>
  <c r="X435" i="2"/>
  <c r="X947" i="2"/>
  <c r="X508" i="2"/>
  <c r="X1022" i="2"/>
  <c r="X873" i="2"/>
  <c r="X142" i="2"/>
  <c r="X857" i="2"/>
  <c r="X406" i="2"/>
  <c r="X923" i="2"/>
  <c r="X1260" i="2"/>
  <c r="X184" i="2"/>
  <c r="X618" i="2"/>
  <c r="X202" i="2"/>
  <c r="X1098" i="2"/>
  <c r="X140" i="2"/>
  <c r="X378" i="2"/>
  <c r="X1068" i="2"/>
  <c r="X750" i="2"/>
  <c r="X681" i="2"/>
  <c r="X155" i="2"/>
  <c r="X970" i="2"/>
  <c r="X319" i="2"/>
  <c r="X939" i="2"/>
  <c r="X760" i="2"/>
  <c r="X1015" i="2"/>
  <c r="X601" i="2"/>
  <c r="X1255" i="2"/>
  <c r="X979" i="2"/>
  <c r="X239" i="2"/>
  <c r="X596" i="2"/>
  <c r="X418" i="2"/>
  <c r="X233" i="2"/>
  <c r="X263" i="2"/>
  <c r="X74" i="2"/>
  <c r="X1155" i="2"/>
  <c r="X624" i="2"/>
  <c r="X1109" i="2"/>
  <c r="X742" i="2"/>
  <c r="X24" i="2"/>
  <c r="X887" i="2"/>
  <c r="X177" i="2"/>
  <c r="X183" i="2"/>
  <c r="X129" i="2"/>
  <c r="X1024" i="2"/>
  <c r="X588" i="2"/>
  <c r="X743" i="2"/>
  <c r="X988" i="2"/>
  <c r="X533" i="2"/>
  <c r="X361" i="2"/>
  <c r="X98" i="2"/>
  <c r="X97" i="2"/>
  <c r="X879" i="2"/>
  <c r="X208" i="2"/>
  <c r="X759" i="2"/>
  <c r="X826" i="2"/>
  <c r="X1051" i="2"/>
  <c r="X595" i="2"/>
  <c r="X187" i="2"/>
  <c r="X721" i="2"/>
  <c r="X1228" i="2"/>
  <c r="X334" i="2"/>
  <c r="X236" i="2"/>
  <c r="X964" i="2"/>
  <c r="X1021" i="2"/>
  <c r="X1130" i="2"/>
  <c r="X316" i="2"/>
  <c r="X1069" i="2"/>
  <c r="X953" i="2"/>
  <c r="X291" i="2"/>
  <c r="X474" i="2"/>
  <c r="X898" i="2"/>
  <c r="X105" i="2"/>
  <c r="X852" i="2"/>
  <c r="X62" i="2"/>
  <c r="X161" i="2"/>
  <c r="X462" i="2"/>
  <c r="X693" i="2"/>
  <c r="X897" i="2"/>
  <c r="X158" i="2"/>
  <c r="X506" i="2"/>
  <c r="X85" i="2"/>
  <c r="X518" i="2"/>
  <c r="X333" i="2"/>
  <c r="X658" i="2"/>
  <c r="X1194" i="2"/>
  <c r="X793" i="2"/>
  <c r="X946" i="2"/>
  <c r="X199" i="2"/>
  <c r="X277" i="2"/>
  <c r="X275" i="2"/>
  <c r="X1196" i="2"/>
  <c r="X672" i="2"/>
  <c r="X1246" i="2"/>
  <c r="X280" i="2"/>
  <c r="X1256" i="2"/>
  <c r="X670" i="2"/>
  <c r="X548" i="2"/>
  <c r="X527" i="2"/>
  <c r="X175" i="2"/>
  <c r="X283" i="2"/>
  <c r="X47" i="2"/>
  <c r="X366" i="2"/>
  <c r="X132" i="2"/>
  <c r="X498" i="2"/>
  <c r="X930" i="2"/>
  <c r="X664" i="2"/>
  <c r="X512" i="2"/>
  <c r="X682" i="2"/>
  <c r="X1188" i="2"/>
  <c r="X297" i="2"/>
  <c r="X1214" i="2"/>
  <c r="X1104" i="2"/>
  <c r="X1048" i="2"/>
  <c r="X737" i="2"/>
  <c r="X206" i="2"/>
  <c r="X1038" i="2"/>
  <c r="X890" i="2"/>
  <c r="X747" i="2"/>
  <c r="X182" i="2"/>
  <c r="X655" i="2"/>
  <c r="X906" i="2"/>
  <c r="X1079" i="2"/>
  <c r="X67" i="2"/>
  <c r="X575" i="2"/>
  <c r="X305" i="2"/>
  <c r="X160" i="2"/>
  <c r="X1139" i="2"/>
  <c r="X483" i="2"/>
  <c r="X809" i="2"/>
  <c r="X133" i="2"/>
  <c r="X262" i="2"/>
  <c r="X1110" i="2"/>
  <c r="X276" i="2"/>
  <c r="X264" i="2"/>
  <c r="X955" i="2"/>
  <c r="X627" i="2"/>
  <c r="X489" i="2"/>
  <c r="X471" i="2"/>
  <c r="X631" i="2"/>
  <c r="X660" i="2"/>
  <c r="X571" i="2"/>
  <c r="X961" i="2"/>
  <c r="X30" i="2"/>
  <c r="X587" i="2"/>
  <c r="X1146" i="2"/>
  <c r="X125" i="2"/>
  <c r="X874" i="2"/>
  <c r="X323" i="2"/>
  <c r="X284" i="2"/>
  <c r="X345" i="2"/>
  <c r="X1184" i="2"/>
  <c r="X299" i="2"/>
  <c r="X694" i="2"/>
  <c r="X171" i="2"/>
  <c r="X444" i="2"/>
  <c r="X511" i="2"/>
  <c r="X362" i="2"/>
  <c r="X787" i="2"/>
  <c r="X669" i="2"/>
  <c r="X290" i="2"/>
  <c r="X1135" i="2"/>
  <c r="X372" i="2"/>
  <c r="X1047" i="2"/>
  <c r="X755" i="2"/>
  <c r="X1244" i="2"/>
  <c r="X592" i="2"/>
  <c r="X115" i="2"/>
  <c r="X1254" i="2"/>
  <c r="X431" i="2"/>
  <c r="X757" i="2"/>
  <c r="X469" i="2"/>
  <c r="X411" i="2"/>
  <c r="X1249" i="2"/>
  <c r="X885" i="2"/>
  <c r="X976" i="2"/>
  <c r="X221" i="2"/>
  <c r="X1258" i="2"/>
  <c r="X124" i="2"/>
  <c r="X501" i="2"/>
  <c r="X986" i="2"/>
  <c r="X425" i="2"/>
  <c r="X615" i="2"/>
  <c r="X179" i="2"/>
  <c r="X70" i="2"/>
  <c r="X616" i="2"/>
  <c r="X388" i="2"/>
  <c r="X803" i="2"/>
  <c r="X351" i="2"/>
  <c r="X110" i="2"/>
  <c r="X268" i="2"/>
  <c r="X1175" i="2"/>
  <c r="X1115" i="2"/>
  <c r="X259" i="2"/>
  <c r="X118" i="2"/>
  <c r="X296" i="2"/>
  <c r="X758" i="2"/>
  <c r="X313" i="2"/>
  <c r="X589" i="2"/>
  <c r="X410" i="2"/>
  <c r="X934" i="2"/>
  <c r="X1170" i="2"/>
  <c r="X193" i="2"/>
  <c r="X146" i="2"/>
  <c r="X463" i="2"/>
  <c r="X1140" i="2"/>
  <c r="X344" i="2"/>
  <c r="X1063" i="2"/>
  <c r="X73" i="2"/>
  <c r="X751" i="2"/>
  <c r="X896" i="2"/>
  <c r="X373" i="2"/>
  <c r="X1050" i="2"/>
  <c r="X92" i="2"/>
  <c r="X776" i="2"/>
  <c r="X178" i="2"/>
  <c r="X942" i="2"/>
  <c r="X505" i="2"/>
  <c r="X109" i="2"/>
  <c r="X1101" i="2"/>
  <c r="X1084" i="2"/>
  <c r="X53" i="2"/>
  <c r="X409" i="2"/>
  <c r="X1164" i="2"/>
  <c r="X959" i="2"/>
  <c r="X756" i="2"/>
  <c r="X205" i="2"/>
  <c r="X1092" i="2"/>
  <c r="X1144" i="2"/>
  <c r="X57" i="2"/>
  <c r="X586" i="2"/>
  <c r="X591" i="2"/>
  <c r="X180" i="2"/>
  <c r="X426" i="2"/>
  <c r="X848" i="2"/>
  <c r="X731" i="2"/>
  <c r="X385" i="2"/>
  <c r="X1217" i="2"/>
  <c r="X1161" i="2"/>
  <c r="X782" i="2"/>
  <c r="X912" i="2"/>
  <c r="X652" i="2"/>
  <c r="X1176" i="2"/>
  <c r="X273" i="2"/>
  <c r="X375" i="2"/>
  <c r="X553" i="2"/>
  <c r="X849" i="2"/>
  <c r="X370" i="2"/>
  <c r="X1251" i="2"/>
  <c r="X778" i="2"/>
  <c r="X419" i="2"/>
  <c r="X1243" i="2"/>
  <c r="X496" i="2"/>
  <c r="X1264" i="2"/>
  <c r="X709" i="2"/>
  <c r="X310" i="2"/>
  <c r="X992" i="2"/>
  <c r="X356" i="2"/>
  <c r="X438" i="2"/>
  <c r="X212" i="2"/>
  <c r="X1011" i="2"/>
  <c r="X1054" i="2"/>
  <c r="X845" i="2"/>
  <c r="X599" i="2"/>
  <c r="X929" i="2"/>
  <c r="X856" i="2"/>
  <c r="X422" i="2"/>
  <c r="X579" i="2"/>
  <c r="X391" i="2"/>
  <c r="X603" i="2"/>
  <c r="X818" i="2"/>
  <c r="X207" i="2"/>
  <c r="X841" i="2"/>
  <c r="X630" i="2"/>
  <c r="X1202" i="2"/>
  <c r="X507" i="2"/>
  <c r="X983" i="2"/>
  <c r="X1067" i="2"/>
  <c r="X1041" i="2"/>
  <c r="X1031" i="2"/>
  <c r="X805" i="2"/>
  <c r="X421" i="2"/>
  <c r="X348" i="2"/>
  <c r="X544" i="2"/>
  <c r="X306" i="2"/>
  <c r="X232" i="2"/>
  <c r="X269" i="2"/>
  <c r="X77" i="2"/>
  <c r="X806" i="2"/>
  <c r="X1193" i="2"/>
  <c r="X529" i="2"/>
  <c r="X270" i="2"/>
  <c r="X331" i="2"/>
  <c r="X37" i="2"/>
  <c r="X33" i="2"/>
  <c r="X542" i="2"/>
  <c r="X135" i="2"/>
  <c r="X347" i="2"/>
  <c r="X1216" i="2"/>
  <c r="X967" i="2"/>
  <c r="X328" i="2"/>
  <c r="X128" i="2"/>
  <c r="X594" i="2"/>
  <c r="X315" i="2"/>
  <c r="X998" i="2"/>
  <c r="X360" i="2"/>
  <c r="X899" i="2"/>
  <c r="X59" i="2"/>
  <c r="X674" i="2"/>
  <c r="X863" i="2"/>
  <c r="X871" i="2"/>
  <c r="X781" i="2"/>
  <c r="X749" i="2"/>
  <c r="X189" i="2"/>
  <c r="X654" i="2"/>
  <c r="X58" i="2"/>
  <c r="X1206" i="2"/>
  <c r="X390" i="2"/>
  <c r="X583" i="2"/>
  <c r="X190" i="2"/>
  <c r="X412" i="2"/>
  <c r="X460" i="2"/>
  <c r="X173" i="2"/>
  <c r="X1074" i="2"/>
  <c r="X668" i="2"/>
  <c r="X298" i="2"/>
  <c r="X102" i="2"/>
  <c r="X433" i="2"/>
  <c r="X1062" i="2"/>
  <c r="X1055" i="2"/>
  <c r="X972" i="2"/>
  <c r="X398" i="2"/>
  <c r="X148" i="2"/>
  <c r="X288" i="2"/>
  <c r="X1040" i="2"/>
  <c r="X230" i="2"/>
  <c r="X475" i="2"/>
  <c r="X1123" i="2"/>
  <c r="X736" i="2"/>
  <c r="X477" i="2"/>
  <c r="X830" i="2"/>
  <c r="X326" i="2"/>
  <c r="X814" i="2"/>
  <c r="X36" i="2"/>
  <c r="X1118" i="2"/>
  <c r="X395" i="2"/>
  <c r="X1224" i="2"/>
  <c r="X1125" i="2"/>
  <c r="X1076" i="2"/>
  <c r="X1173" i="2"/>
  <c r="X436" i="2"/>
  <c r="X294" i="2"/>
  <c r="X151" i="2"/>
  <c r="X397" i="2"/>
  <c r="X217" i="2"/>
  <c r="X126" i="2"/>
  <c r="X640" i="2"/>
  <c r="X1207" i="2"/>
  <c r="X414" i="2"/>
  <c r="X216" i="2"/>
  <c r="X541" i="2"/>
  <c r="X520" i="2"/>
  <c r="X246" i="2"/>
  <c r="X1087" i="2"/>
  <c r="X136" i="2"/>
  <c r="X343" i="2"/>
  <c r="X1088" i="2"/>
  <c r="X340" i="2"/>
  <c r="X458" i="2"/>
  <c r="X89" i="2"/>
  <c r="X227" i="2"/>
  <c r="X416" i="2"/>
  <c r="X1201" i="2"/>
  <c r="X432" i="2"/>
  <c r="X104" i="2"/>
  <c r="X1213" i="2"/>
  <c r="X1238" i="2"/>
  <c r="X258" i="2"/>
  <c r="X51" i="2"/>
  <c r="X842" i="2"/>
  <c r="X680" i="2"/>
  <c r="X1210" i="2"/>
  <c r="X363" i="2"/>
  <c r="X143" i="2"/>
  <c r="X924" i="2"/>
  <c r="X45" i="2"/>
  <c r="X1191" i="2"/>
  <c r="X794" i="2"/>
  <c r="X774" i="2"/>
  <c r="X569" i="2"/>
  <c r="X455" i="2"/>
  <c r="X198" i="2"/>
  <c r="X578" i="2"/>
  <c r="X621" i="2"/>
  <c r="X917" i="2"/>
  <c r="X745" i="2"/>
  <c r="X1172" i="2"/>
  <c r="X551" i="2"/>
  <c r="X763" i="2"/>
  <c r="X122" i="2"/>
  <c r="X1178" i="2"/>
  <c r="X495" i="2"/>
  <c r="X893" i="2"/>
  <c r="X530" i="2"/>
  <c r="X341" i="2"/>
  <c r="X965" i="2"/>
  <c r="X1181" i="2"/>
  <c r="X349" i="2"/>
  <c r="X1136" i="2"/>
  <c r="X405" i="2"/>
  <c r="X1027" i="2"/>
  <c r="X256" i="2"/>
  <c r="X365" i="2"/>
  <c r="X152" i="2"/>
  <c r="X590" i="2"/>
  <c r="X54" i="2"/>
  <c r="X1086" i="2"/>
  <c r="X966" i="2"/>
  <c r="X228" i="2"/>
  <c r="X1061" i="2"/>
  <c r="X1083" i="2"/>
  <c r="X254" i="2"/>
  <c r="X565" i="2"/>
  <c r="X380" i="2"/>
  <c r="X880" i="2"/>
  <c r="X582" i="2"/>
  <c r="X1154" i="2"/>
  <c r="X784" i="2"/>
  <c r="X752" i="2"/>
  <c r="X573" i="2"/>
  <c r="X336" i="2"/>
  <c r="X1160" i="2"/>
  <c r="X292" i="2"/>
  <c r="X1058" i="2"/>
  <c r="X860" i="2"/>
  <c r="X369" i="2"/>
  <c r="X657" i="2"/>
  <c r="X566" i="2"/>
  <c r="X389" i="2"/>
  <c r="X112" i="2"/>
  <c r="X266" i="2"/>
  <c r="X779" i="2"/>
  <c r="X1227" i="2"/>
  <c r="X952" i="2"/>
  <c r="X869" i="2"/>
  <c r="X272" i="2"/>
  <c r="X35" i="2"/>
  <c r="X958" i="2"/>
  <c r="X796" i="2"/>
  <c r="X86" i="2"/>
  <c r="X1090" i="2"/>
  <c r="X192" i="2"/>
  <c r="X909" i="2"/>
  <c r="X989" i="2"/>
  <c r="X43" i="2"/>
  <c r="X619" i="2"/>
  <c r="X1059" i="2"/>
  <c r="X91" i="2"/>
  <c r="X866" i="2"/>
  <c r="X492" i="2"/>
  <c r="X434" i="2"/>
  <c r="X754" i="2"/>
  <c r="X950" i="2"/>
  <c r="X875" i="2"/>
  <c r="X1163" i="2"/>
  <c r="X538" i="2"/>
  <c r="X648" i="2"/>
  <c r="X354" i="2"/>
  <c r="X166" i="2"/>
  <c r="X649" i="2"/>
  <c r="X769" i="2"/>
  <c r="X610" i="2"/>
  <c r="X827" i="2"/>
  <c r="X753" i="2"/>
  <c r="X928" i="2"/>
  <c r="X99" i="2"/>
  <c r="X402" i="2"/>
  <c r="X403" i="2"/>
  <c r="X201" i="2"/>
  <c r="X1036" i="2"/>
  <c r="X1200" i="2"/>
  <c r="X1262" i="2"/>
  <c r="X696" i="2"/>
  <c r="X181" i="2"/>
  <c r="X515" i="2"/>
  <c r="X29" i="2"/>
  <c r="X393" i="2"/>
  <c r="X295" i="2"/>
  <c r="X679" i="2"/>
  <c r="X1166" i="2"/>
  <c r="X1046" i="2"/>
  <c r="X386" i="2"/>
  <c r="X974" i="2"/>
  <c r="X840" i="2"/>
  <c r="X165" i="2"/>
  <c r="X138" i="2"/>
  <c r="X459" i="2"/>
  <c r="X833" i="2"/>
  <c r="X23" i="2"/>
  <c r="X302" i="2"/>
  <c r="X215" i="2"/>
  <c r="X734" i="2"/>
  <c r="X413" i="2"/>
  <c r="X1017" i="2"/>
  <c r="X1009" i="2"/>
  <c r="X504" i="2"/>
  <c r="X815" i="2"/>
  <c r="X900" i="2"/>
  <c r="X1190" i="2"/>
  <c r="X137" i="2"/>
  <c r="X535" i="2"/>
  <c r="X720" i="2"/>
  <c r="X746" i="2"/>
  <c r="X131" i="2"/>
  <c r="X556" i="2"/>
  <c r="X1242" i="2"/>
  <c r="X574" i="2"/>
  <c r="X1033" i="2"/>
  <c r="X1158" i="2"/>
  <c r="X318" i="2"/>
  <c r="X424" i="2"/>
  <c r="X420" i="2"/>
  <c r="X628" i="2"/>
  <c r="X494" i="2"/>
  <c r="X651" i="2"/>
  <c r="X643" i="2"/>
  <c r="X357" i="2"/>
  <c r="X84" i="2"/>
  <c r="X415" i="2"/>
  <c r="X103" i="2"/>
  <c r="X457" i="2"/>
  <c r="X532" i="2"/>
  <c r="X381" i="2"/>
  <c r="X915" i="2"/>
  <c r="X76" i="2"/>
  <c r="X271" i="2"/>
  <c r="X279" i="2"/>
  <c r="X1091" i="2"/>
  <c r="X808" i="2"/>
  <c r="X1145" i="2"/>
  <c r="X417" i="2"/>
  <c r="X1122" i="2"/>
  <c r="X797" i="2"/>
  <c r="X997" i="2"/>
  <c r="X335" i="2"/>
  <c r="X260" i="2"/>
  <c r="X888" i="2"/>
  <c r="X1230" i="2"/>
  <c r="X703" i="2"/>
  <c r="X835" i="2"/>
  <c r="X491" i="2"/>
  <c r="X723" i="2"/>
  <c r="X559" i="2"/>
  <c r="X908" i="2"/>
  <c r="X1072" i="2"/>
  <c r="X690" i="2"/>
  <c r="X150" i="2"/>
  <c r="X1147" i="2"/>
  <c r="X1071" i="2"/>
  <c r="X597" i="2"/>
  <c r="X237" i="2"/>
  <c r="X956" i="2"/>
  <c r="X274" i="2"/>
  <c r="X480" i="2"/>
  <c r="X902" i="2"/>
  <c r="X55" i="2"/>
  <c r="X19" i="2"/>
  <c r="X257" i="2"/>
  <c r="X859" i="2"/>
  <c r="X1167" i="2"/>
  <c r="X843" i="2"/>
  <c r="X219" i="2"/>
  <c r="X821" i="2"/>
  <c r="X34" i="2"/>
  <c r="X204" i="2"/>
  <c r="X937" i="2"/>
  <c r="X1169" i="2"/>
  <c r="X22" i="2"/>
  <c r="X1005" i="2"/>
  <c r="X1030" i="2"/>
  <c r="X562" i="2"/>
  <c r="X31" i="2"/>
  <c r="X1133" i="2"/>
  <c r="X748" i="2"/>
  <c r="X26" i="2"/>
  <c r="X32" i="2"/>
  <c r="AI32" i="2" s="1"/>
  <c r="X684" i="2"/>
  <c r="X28" i="2"/>
  <c r="X733" i="2"/>
  <c r="X1012" i="2"/>
  <c r="X234" i="2"/>
  <c r="X1157" i="2"/>
  <c r="X107" i="2"/>
  <c r="X170" i="2"/>
  <c r="X400" i="2"/>
  <c r="X231" i="2"/>
  <c r="X25" i="2"/>
  <c r="X21" i="2"/>
  <c r="X514" i="2"/>
  <c r="X196" i="2"/>
  <c r="X1199" i="2"/>
  <c r="X685" i="2"/>
  <c r="X82" i="2"/>
  <c r="X456" i="2"/>
  <c r="X371" i="2"/>
  <c r="X407" i="2"/>
  <c r="X251" i="2"/>
  <c r="X1080" i="2"/>
  <c r="X144" i="2"/>
  <c r="X715" i="2"/>
  <c r="X671" i="2"/>
  <c r="X714" i="2"/>
  <c r="X65" i="2"/>
  <c r="X20" i="2"/>
  <c r="X687" i="2"/>
  <c r="X700" i="2"/>
  <c r="X688" i="2"/>
  <c r="X718" i="2"/>
  <c r="X699" i="2"/>
  <c r="X42" i="2"/>
  <c r="X717" i="2"/>
  <c r="X81" i="2"/>
  <c r="X711" i="2"/>
  <c r="X712" i="2"/>
  <c r="X79" i="2"/>
  <c r="X17" i="2"/>
  <c r="AF168" i="4"/>
  <c r="AF169" i="4" s="1"/>
  <c r="Z15" i="4"/>
  <c r="N15" i="4"/>
  <c r="AD15" i="42"/>
  <c r="AB14" i="42"/>
  <c r="AX9" i="42"/>
  <c r="AX14" i="42"/>
  <c r="AX12" i="42"/>
  <c r="AX15" i="42"/>
  <c r="AX13" i="42"/>
  <c r="AX10" i="42"/>
  <c r="AX11" i="42"/>
  <c r="X666" i="2"/>
  <c r="AK15" i="4"/>
  <c r="K15" i="4"/>
  <c r="AG15" i="4"/>
  <c r="R15" i="4"/>
  <c r="L14" i="42"/>
  <c r="Y18" i="44"/>
  <c r="I14" i="4"/>
  <c r="AG14" i="4"/>
  <c r="AR12" i="4"/>
  <c r="K14" i="4"/>
  <c r="AD14" i="4"/>
  <c r="AE18" i="2"/>
  <c r="A16" i="42"/>
  <c r="A79" i="2"/>
  <c r="B36" i="2"/>
  <c r="AI20" i="42"/>
  <c r="AI166" i="42" s="1"/>
  <c r="AN22" i="42"/>
  <c r="AN168" i="42" s="1"/>
  <c r="AN169" i="42" s="1"/>
  <c r="X20" i="42"/>
  <c r="X166" i="42" s="1"/>
  <c r="I20" i="42"/>
  <c r="I166" i="42" s="1"/>
  <c r="S20" i="42"/>
  <c r="S166" i="42" s="1"/>
  <c r="M20" i="42"/>
  <c r="M166" i="42" s="1"/>
  <c r="K20" i="42"/>
  <c r="K166" i="42" s="1"/>
  <c r="AP20" i="42"/>
  <c r="AP166" i="42" s="1"/>
  <c r="AM20" i="42"/>
  <c r="AM166" i="42" s="1"/>
  <c r="AC20" i="42"/>
  <c r="AG20" i="42"/>
  <c r="AG166" i="42" s="1"/>
  <c r="N20" i="42"/>
  <c r="AO20" i="42"/>
  <c r="AO166" i="42" s="1"/>
  <c r="T20" i="42"/>
  <c r="T166" i="42" s="1"/>
  <c r="R20" i="42"/>
  <c r="R22" i="42" s="1"/>
  <c r="R168" i="42" s="1"/>
  <c r="R169" i="42" s="1"/>
  <c r="W20" i="42"/>
  <c r="W166" i="42" s="1"/>
  <c r="S22" i="42"/>
  <c r="S168" i="42" s="1"/>
  <c r="S169" i="42" s="1"/>
  <c r="O20" i="42"/>
  <c r="O166" i="42" s="1"/>
  <c r="AN20" i="42"/>
  <c r="AN166" i="42" s="1"/>
  <c r="L20" i="42"/>
  <c r="AJ20" i="42"/>
  <c r="AJ166" i="42" s="1"/>
  <c r="J20" i="42"/>
  <c r="J166" i="42" s="1"/>
  <c r="Y20" i="42"/>
  <c r="J22" i="42"/>
  <c r="J168" i="42" s="1"/>
  <c r="J169" i="42" s="1"/>
  <c r="AA20" i="42"/>
  <c r="AM22" i="42"/>
  <c r="AM168" i="42" s="1"/>
  <c r="AM169" i="42" s="1"/>
  <c r="AB20" i="42"/>
  <c r="AB166" i="42" s="1"/>
  <c r="AE20" i="42"/>
  <c r="AE166" i="42" s="1"/>
  <c r="K22" i="42"/>
  <c r="K168" i="42" s="1"/>
  <c r="K169" i="42" s="1"/>
  <c r="AD20" i="42"/>
  <c r="AD166" i="42" s="1"/>
  <c r="U20" i="42"/>
  <c r="P20" i="42"/>
  <c r="P166" i="42" s="1"/>
  <c r="AH20" i="42"/>
  <c r="AK20" i="42"/>
  <c r="H20" i="42"/>
  <c r="H22" i="42" s="1"/>
  <c r="Z20" i="42"/>
  <c r="Z166" i="42" s="1"/>
  <c r="V20" i="42"/>
  <c r="V166" i="42" s="1"/>
  <c r="AL20" i="42"/>
  <c r="AL22" i="42" s="1"/>
  <c r="AL168" i="42" s="1"/>
  <c r="AL169" i="42" s="1"/>
  <c r="AF20" i="42"/>
  <c r="AF166" i="42" s="1"/>
  <c r="Q20" i="42"/>
  <c r="Q22" i="42" s="1"/>
  <c r="Q168" i="42" s="1"/>
  <c r="Q169" i="42" s="1"/>
  <c r="AQ20" i="42"/>
  <c r="AQ166" i="42" s="1"/>
  <c r="AA22" i="42"/>
  <c r="AA168" i="42" s="1"/>
  <c r="AA169" i="42" s="1"/>
  <c r="O22" i="42"/>
  <c r="N22" i="42"/>
  <c r="N168" i="42" s="1"/>
  <c r="N169" i="42" s="1"/>
  <c r="AK22" i="42"/>
  <c r="AK168" i="42" s="1"/>
  <c r="AK169" i="42" s="1"/>
  <c r="AE22" i="42"/>
  <c r="AE168" i="42" s="1"/>
  <c r="AE169" i="42" s="1"/>
  <c r="AJ22" i="42"/>
  <c r="V22" i="42"/>
  <c r="V168" i="42" s="1"/>
  <c r="V169" i="42" s="1"/>
  <c r="P22" i="42"/>
  <c r="P168" i="42" s="1"/>
  <c r="P169" i="42" s="1"/>
  <c r="X22" i="42"/>
  <c r="X168" i="42" s="1"/>
  <c r="X169" i="42" s="1"/>
  <c r="AH22" i="42"/>
  <c r="U22" i="42"/>
  <c r="Z22" i="42"/>
  <c r="Z168" i="42" s="1"/>
  <c r="Z169" i="42" s="1"/>
  <c r="L22" i="42"/>
  <c r="AP22" i="42"/>
  <c r="AQ22" i="42"/>
  <c r="M22" i="42"/>
  <c r="M168" i="42" s="1"/>
  <c r="M169" i="42" s="1"/>
  <c r="AF22" i="42"/>
  <c r="AF168" i="42" s="1"/>
  <c r="AF169" i="42" s="1"/>
  <c r="Y22" i="42"/>
  <c r="AI22" i="42"/>
  <c r="AI168" i="42" s="1"/>
  <c r="AI169" i="42" s="1"/>
  <c r="AD22" i="42"/>
  <c r="AD168" i="42" s="1"/>
  <c r="AD169" i="42" s="1"/>
  <c r="AG22" i="42"/>
  <c r="AG168" i="42" s="1"/>
  <c r="AG169" i="42" s="1"/>
  <c r="AC22" i="42"/>
  <c r="P168" i="4"/>
  <c r="P169" i="4" s="1"/>
  <c r="M15" i="4"/>
  <c r="M168" i="4" s="1"/>
  <c r="M169" i="4" s="1"/>
  <c r="V15" i="42"/>
  <c r="AR12" i="42"/>
  <c r="AI14" i="42"/>
  <c r="T15" i="44"/>
  <c r="O14" i="4"/>
  <c r="AR14" i="4" s="1"/>
  <c r="AS14" i="4" s="1"/>
  <c r="AO14" i="4"/>
  <c r="L15" i="4"/>
  <c r="X18" i="2"/>
  <c r="T20" i="4"/>
  <c r="T22" i="4" s="1"/>
  <c r="AK20" i="4"/>
  <c r="AK166" i="4" s="1"/>
  <c r="U20" i="4"/>
  <c r="U22" i="4" s="1"/>
  <c r="R20" i="4"/>
  <c r="R22" i="4" s="1"/>
  <c r="AD20" i="4"/>
  <c r="AD22" i="4" s="1"/>
  <c r="AD168" i="4" s="1"/>
  <c r="AD169" i="4" s="1"/>
  <c r="H20" i="4"/>
  <c r="H166" i="4" s="1"/>
  <c r="L20" i="4"/>
  <c r="L22" i="4" s="1"/>
  <c r="AI20" i="4"/>
  <c r="AI22" i="4" s="1"/>
  <c r="AQ20" i="4"/>
  <c r="AQ22" i="4" s="1"/>
  <c r="AQ168" i="4" s="1"/>
  <c r="AQ169" i="4" s="1"/>
  <c r="AC20" i="4"/>
  <c r="AC166" i="4" s="1"/>
  <c r="AO20" i="4"/>
  <c r="AO22" i="4" s="1"/>
  <c r="K20" i="4"/>
  <c r="K22" i="4" s="1"/>
  <c r="AE20" i="4"/>
  <c r="AE22" i="4" s="1"/>
  <c r="AL20" i="4"/>
  <c r="AL22" i="4" s="1"/>
  <c r="AF20" i="4"/>
  <c r="AF22" i="4" s="1"/>
  <c r="Q20" i="4"/>
  <c r="Q22" i="4" s="1"/>
  <c r="AJ20" i="4"/>
  <c r="AJ22" i="4" s="1"/>
  <c r="M20" i="4"/>
  <c r="M22" i="4" s="1"/>
  <c r="AC22" i="4"/>
  <c r="AC168" i="4" s="1"/>
  <c r="AC169" i="4" s="1"/>
  <c r="N20" i="4"/>
  <c r="N22" i="4" s="1"/>
  <c r="Z20" i="4"/>
  <c r="Z22" i="4" s="1"/>
  <c r="AM20" i="4"/>
  <c r="AM166" i="4" s="1"/>
  <c r="S20" i="4"/>
  <c r="S22" i="4" s="1"/>
  <c r="S168" i="4" s="1"/>
  <c r="S169" i="4" s="1"/>
  <c r="AA20" i="4"/>
  <c r="AA22" i="4" s="1"/>
  <c r="AA168" i="4" s="1"/>
  <c r="AA169" i="4" s="1"/>
  <c r="V20" i="4"/>
  <c r="V22" i="4" s="1"/>
  <c r="AN20" i="4"/>
  <c r="AN22" i="4" s="1"/>
  <c r="AH20" i="4"/>
  <c r="AH22" i="4" s="1"/>
  <c r="AH168" i="4" s="1"/>
  <c r="AH169" i="4" s="1"/>
  <c r="J20" i="4"/>
  <c r="J22" i="4" s="1"/>
  <c r="I20" i="4"/>
  <c r="I22" i="4" s="1"/>
  <c r="O20" i="4"/>
  <c r="O22" i="4" s="1"/>
  <c r="P20" i="4"/>
  <c r="P22" i="4" s="1"/>
  <c r="AG20" i="4"/>
  <c r="AG22" i="4" s="1"/>
  <c r="W20" i="4"/>
  <c r="W22" i="4" s="1"/>
  <c r="X20" i="4"/>
  <c r="X22" i="4" s="1"/>
  <c r="X168" i="4" s="1"/>
  <c r="X169" i="4" s="1"/>
  <c r="Y20" i="4"/>
  <c r="AP20" i="4"/>
  <c r="AP22" i="4" s="1"/>
  <c r="AP168" i="4" s="1"/>
  <c r="AP169" i="4" s="1"/>
  <c r="AB20" i="4"/>
  <c r="AB22" i="4" s="1"/>
  <c r="Y22" i="4"/>
  <c r="AM22" i="4"/>
  <c r="AK22" i="4"/>
  <c r="H22" i="4"/>
  <c r="T168" i="4"/>
  <c r="T169" i="4" s="1"/>
  <c r="AN15" i="4"/>
  <c r="AN166" i="4"/>
  <c r="Y15" i="4"/>
  <c r="U15" i="42"/>
  <c r="U166" i="42"/>
  <c r="L15" i="42"/>
  <c r="AR15" i="42" s="1"/>
  <c r="AS9" i="42" s="1"/>
  <c r="L166" i="42"/>
  <c r="AE15" i="42"/>
  <c r="AF14" i="4"/>
  <c r="AO168" i="4"/>
  <c r="AO169" i="4" s="1"/>
  <c r="Q15" i="4"/>
  <c r="Q166" i="4"/>
  <c r="AQ166" i="4"/>
  <c r="AJ15" i="4"/>
  <c r="AH15" i="42"/>
  <c r="AH166" i="42"/>
  <c r="AC15" i="42"/>
  <c r="AA166" i="42"/>
  <c r="Q15" i="42"/>
  <c r="AP14" i="42"/>
  <c r="AH14" i="4"/>
  <c r="A79" i="44"/>
  <c r="AE18" i="44"/>
  <c r="AD199" i="17"/>
  <c r="AD120" i="17"/>
  <c r="Y199" i="17"/>
  <c r="Y120" i="17"/>
  <c r="Y89" i="17" s="1"/>
  <c r="Y90" i="17" s="1"/>
  <c r="Y91" i="17" s="1"/>
  <c r="Y201" i="17" s="1"/>
  <c r="V70" i="17"/>
  <c r="Z199" i="17"/>
  <c r="Z120" i="17"/>
  <c r="Z89" i="17" s="1"/>
  <c r="Z90" i="17" s="1"/>
  <c r="Z91" i="17" s="1"/>
  <c r="I201" i="17"/>
  <c r="W50" i="17"/>
  <c r="W62" i="17" s="1"/>
  <c r="W48" i="17"/>
  <c r="W45" i="17"/>
  <c r="W46" i="17" s="1"/>
  <c r="X99" i="17"/>
  <c r="AJ99" i="17" s="1"/>
  <c r="X98" i="17"/>
  <c r="X104" i="17"/>
  <c r="AJ97" i="17"/>
  <c r="AD93" i="17"/>
  <c r="AD85" i="17"/>
  <c r="U199" i="17"/>
  <c r="U89" i="17"/>
  <c r="U124" i="17"/>
  <c r="T45" i="17"/>
  <c r="T46" i="17" s="1"/>
  <c r="T50" i="17"/>
  <c r="T72" i="17" s="1"/>
  <c r="T49" i="17"/>
  <c r="T71" i="17" s="1"/>
  <c r="X35" i="17"/>
  <c r="AJ35" i="17" s="1"/>
  <c r="X118" i="17"/>
  <c r="AJ118" i="17" s="1"/>
  <c r="X119" i="17"/>
  <c r="X39" i="17"/>
  <c r="V45" i="17"/>
  <c r="V46" i="17" s="1"/>
  <c r="AD62" i="17"/>
  <c r="AD49" i="17"/>
  <c r="AD61" i="17" s="1"/>
  <c r="AB108" i="17"/>
  <c r="AB107" i="17"/>
  <c r="V50" i="17"/>
  <c r="V72" i="17" s="1"/>
  <c r="AA83" i="17"/>
  <c r="AA123" i="17"/>
  <c r="AA125" i="17"/>
  <c r="AA136" i="17" s="1"/>
  <c r="O199" i="17"/>
  <c r="Z107" i="17"/>
  <c r="Z108" i="17"/>
  <c r="AD60" i="17"/>
  <c r="V108" i="17"/>
  <c r="V107" i="17"/>
  <c r="Z83" i="17"/>
  <c r="Z93" i="17" s="1"/>
  <c r="Z125" i="17"/>
  <c r="Z136" i="17" s="1"/>
  <c r="Z123" i="17"/>
  <c r="Z124" i="17"/>
  <c r="Z135" i="17" s="1"/>
  <c r="X43" i="17"/>
  <c r="X54" i="17"/>
  <c r="X66" i="17" s="1"/>
  <c r="X55" i="17"/>
  <c r="X67" i="17" s="1"/>
  <c r="Z49" i="17"/>
  <c r="Z61" i="17" s="1"/>
  <c r="T144" i="17"/>
  <c r="Z80" i="17"/>
  <c r="Z81" i="17" s="1"/>
  <c r="Z60" i="17"/>
  <c r="X22" i="17"/>
  <c r="AE199" i="17"/>
  <c r="AE120" i="17"/>
  <c r="Q80" i="17"/>
  <c r="Q81" i="17" s="1"/>
  <c r="AC107" i="17"/>
  <c r="AC108" i="17"/>
  <c r="T93" i="17"/>
  <c r="T203" i="17"/>
  <c r="AJ119" i="17"/>
  <c r="AB45" i="17"/>
  <c r="AB48" i="17"/>
  <c r="AB50" i="17"/>
  <c r="AB62" i="17" s="1"/>
  <c r="AB49" i="17"/>
  <c r="AB61" i="17" s="1"/>
  <c r="U93" i="17"/>
  <c r="U203" i="17"/>
  <c r="U85" i="17"/>
  <c r="T48" i="17"/>
  <c r="AE60" i="17"/>
  <c r="AE80" i="17"/>
  <c r="AE81" i="17" s="1"/>
  <c r="Y83" i="17"/>
  <c r="Y123" i="17"/>
  <c r="Y125" i="17"/>
  <c r="Y136" i="17" s="1"/>
  <c r="Y124" i="17"/>
  <c r="Y135" i="17" s="1"/>
  <c r="Y48" i="17"/>
  <c r="AJ117" i="17"/>
  <c r="AB53" i="17"/>
  <c r="AB65" i="17" s="1"/>
  <c r="AB44" i="17"/>
  <c r="AB51" i="17"/>
  <c r="AB63" i="17" s="1"/>
  <c r="AB52" i="17"/>
  <c r="AB64" i="17" s="1"/>
  <c r="AC83" i="17"/>
  <c r="AC125" i="17"/>
  <c r="AC136" i="17" s="1"/>
  <c r="AC123" i="17"/>
  <c r="AA107" i="17"/>
  <c r="AA108" i="17"/>
  <c r="U107" i="17"/>
  <c r="U108" i="17"/>
  <c r="Y50" i="17"/>
  <c r="AJ116" i="17"/>
  <c r="V83" i="17"/>
  <c r="V125" i="17"/>
  <c r="V146" i="17" s="1"/>
  <c r="AJ146" i="17" s="1"/>
  <c r="V123" i="17"/>
  <c r="W134" i="17"/>
  <c r="W85" i="17"/>
  <c r="W93" i="17"/>
  <c r="W203" i="17"/>
  <c r="I90" i="17"/>
  <c r="I91" i="17" s="1"/>
  <c r="AJ69" i="17"/>
  <c r="P80" i="17"/>
  <c r="P81" i="17" s="1"/>
  <c r="AC48" i="17"/>
  <c r="AC45" i="17"/>
  <c r="AC46" i="17" s="1"/>
  <c r="AC50" i="17"/>
  <c r="AC62" i="17" s="1"/>
  <c r="AD134" i="17"/>
  <c r="X117" i="17"/>
  <c r="X116" i="17"/>
  <c r="U49" i="17"/>
  <c r="Y107" i="17"/>
  <c r="Y108" i="17"/>
  <c r="AA45" i="17"/>
  <c r="AA48" i="17"/>
  <c r="AA50" i="17"/>
  <c r="AA62" i="17" s="1"/>
  <c r="AB83" i="17"/>
  <c r="AB123" i="17"/>
  <c r="AB125" i="17"/>
  <c r="AB136" i="17" s="1"/>
  <c r="AE93" i="17"/>
  <c r="AE85" i="17"/>
  <c r="P199" i="17"/>
  <c r="AC46" i="44"/>
  <c r="AB46" i="44"/>
  <c r="I87" i="20"/>
  <c r="V65" i="20"/>
  <c r="O138" i="17"/>
  <c r="I86" i="20"/>
  <c r="V64" i="20"/>
  <c r="P138" i="17"/>
  <c r="P128" i="17"/>
  <c r="R58" i="17"/>
  <c r="R47" i="17"/>
  <c r="H139" i="17"/>
  <c r="H130" i="17"/>
  <c r="Q199" i="17"/>
  <c r="Q89" i="17"/>
  <c r="Q90" i="17" s="1"/>
  <c r="Q91" i="17" s="1"/>
  <c r="Q215" i="17" s="1"/>
  <c r="F43" i="17"/>
  <c r="F55" i="17"/>
  <c r="F67" i="17" s="1"/>
  <c r="AJ67" i="17" s="1"/>
  <c r="F54" i="17"/>
  <c r="F66" i="17" s="1"/>
  <c r="AJ66" i="17" s="1"/>
  <c r="AJ21" i="17"/>
  <c r="I216" i="17"/>
  <c r="I86" i="17"/>
  <c r="F107" i="17"/>
  <c r="F108" i="17"/>
  <c r="O90" i="17"/>
  <c r="O91" i="17" s="1"/>
  <c r="I94" i="17"/>
  <c r="I92" i="17"/>
  <c r="F112" i="17"/>
  <c r="F111" i="17"/>
  <c r="P47" i="17"/>
  <c r="P58" i="17"/>
  <c r="R216" i="17"/>
  <c r="R86" i="17"/>
  <c r="H95" i="17"/>
  <c r="H96" i="17" s="1"/>
  <c r="H212" i="17" s="1"/>
  <c r="H204" i="17" s="1"/>
  <c r="I88" i="20"/>
  <c r="V67" i="20"/>
  <c r="R92" i="17"/>
  <c r="R94" i="17"/>
  <c r="I95" i="20"/>
  <c r="V74" i="20"/>
  <c r="Q138" i="17"/>
  <c r="Q128" i="17"/>
  <c r="Q139" i="17" s="1"/>
  <c r="O216" i="17"/>
  <c r="O86" i="17"/>
  <c r="I47" i="17"/>
  <c r="I58" i="17"/>
  <c r="I96" i="20"/>
  <c r="V75" i="20"/>
  <c r="F83" i="17"/>
  <c r="AJ39" i="17"/>
  <c r="F126" i="17"/>
  <c r="O92" i="17"/>
  <c r="O95" i="17" s="1"/>
  <c r="O96" i="17" s="1"/>
  <c r="O212" i="17" s="1"/>
  <c r="O204" i="17" s="1"/>
  <c r="O94" i="17"/>
  <c r="F26" i="17"/>
  <c r="AJ26" i="17" s="1"/>
  <c r="G58" i="17"/>
  <c r="G47" i="17"/>
  <c r="P94" i="17"/>
  <c r="P92" i="17"/>
  <c r="P95" i="17" s="1"/>
  <c r="P96" i="17" s="1"/>
  <c r="P212" i="17" s="1"/>
  <c r="P204" i="17" s="1"/>
  <c r="R199" i="17"/>
  <c r="R89" i="17"/>
  <c r="G128" i="17"/>
  <c r="P216" i="17"/>
  <c r="P86" i="17"/>
  <c r="Q85" i="17"/>
  <c r="Q47" i="17"/>
  <c r="Q58" i="17"/>
  <c r="G216" i="17"/>
  <c r="G86" i="17"/>
  <c r="I138" i="17"/>
  <c r="I128" i="17"/>
  <c r="Q94" i="17"/>
  <c r="Q92" i="17"/>
  <c r="Q95" i="17" s="1"/>
  <c r="Q96" i="17" s="1"/>
  <c r="Q212" i="17" s="1"/>
  <c r="Q204" i="17" s="1"/>
  <c r="O128" i="17"/>
  <c r="O139" i="17" s="1"/>
  <c r="F22" i="17"/>
  <c r="R138" i="17"/>
  <c r="R128" i="17"/>
  <c r="G94" i="17"/>
  <c r="G92" i="17"/>
  <c r="G95" i="17" s="1"/>
  <c r="G96" i="17" s="1"/>
  <c r="G212" i="17" s="1"/>
  <c r="G204" i="17" s="1"/>
  <c r="I199" i="17"/>
  <c r="G200" i="17"/>
  <c r="G215" i="17"/>
  <c r="G201" i="17"/>
  <c r="P215" i="17"/>
  <c r="P200" i="17"/>
  <c r="Z215" i="17"/>
  <c r="Z200" i="17"/>
  <c r="Z201" i="17"/>
  <c r="I200" i="17"/>
  <c r="I215" i="17"/>
  <c r="Q200" i="17"/>
  <c r="S128" i="17"/>
  <c r="Q201" i="17"/>
  <c r="Y215" i="17"/>
  <c r="Y200" i="17"/>
  <c r="AB46" i="2"/>
  <c r="AC46" i="2"/>
  <c r="P167" i="42" l="1"/>
  <c r="P164" i="42"/>
  <c r="P165" i="42" s="1"/>
  <c r="AP167" i="42"/>
  <c r="H167" i="4"/>
  <c r="AC160" i="42"/>
  <c r="AC161" i="42" s="1"/>
  <c r="P160" i="42"/>
  <c r="P161" i="42" s="1"/>
  <c r="AD167" i="42"/>
  <c r="AD164" i="42"/>
  <c r="AD165" i="42" s="1"/>
  <c r="O167" i="42"/>
  <c r="AQ167" i="42"/>
  <c r="X158" i="42"/>
  <c r="AE164" i="42"/>
  <c r="AE165" i="42" s="1"/>
  <c r="AE167" i="42"/>
  <c r="AK167" i="4"/>
  <c r="AF167" i="42"/>
  <c r="AF164" i="42"/>
  <c r="AF165" i="42" s="1"/>
  <c r="Y160" i="4"/>
  <c r="Y161" i="4" s="1"/>
  <c r="I160" i="42"/>
  <c r="I161" i="42" s="1"/>
  <c r="V167" i="42"/>
  <c r="V164" i="42"/>
  <c r="V165" i="42" s="1"/>
  <c r="AM167" i="4"/>
  <c r="AC164" i="4"/>
  <c r="AC165" i="4" s="1"/>
  <c r="AC167" i="4"/>
  <c r="H168" i="42"/>
  <c r="AG164" i="42"/>
  <c r="AG165" i="42" s="1"/>
  <c r="AG167" i="42"/>
  <c r="A1227" i="44"/>
  <c r="AE36" i="44"/>
  <c r="AG167" i="4"/>
  <c r="AA167" i="4"/>
  <c r="AA164" i="4"/>
  <c r="AA165" i="4" s="1"/>
  <c r="AE158" i="42"/>
  <c r="N158" i="42"/>
  <c r="A80" i="44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5" i="44" s="1"/>
  <c r="A116" i="44" s="1"/>
  <c r="A117" i="44" s="1"/>
  <c r="O79" i="44"/>
  <c r="Q79" i="44"/>
  <c r="AF166" i="4"/>
  <c r="AJ168" i="42"/>
  <c r="AJ169" i="42" s="1"/>
  <c r="Z167" i="42"/>
  <c r="Z164" i="42"/>
  <c r="Z165" i="42" s="1"/>
  <c r="X167" i="42"/>
  <c r="X164" i="42"/>
  <c r="X165" i="42" s="1"/>
  <c r="F12" i="11"/>
  <c r="AI17" i="2"/>
  <c r="X15" i="2"/>
  <c r="F17" i="11"/>
  <c r="AI20" i="2"/>
  <c r="AI22" i="2"/>
  <c r="F19" i="11"/>
  <c r="V9" i="44" a="1"/>
  <c r="V9" i="44" s="1"/>
  <c r="W9" i="44" s="1"/>
  <c r="V8" i="44" a="1"/>
  <c r="V8" i="44" s="1"/>
  <c r="W8" i="44" s="1"/>
  <c r="O168" i="4"/>
  <c r="O169" i="4" s="1"/>
  <c r="AC158" i="4"/>
  <c r="K21" i="4"/>
  <c r="K160" i="4" s="1"/>
  <c r="K161" i="4" s="1"/>
  <c r="M158" i="4"/>
  <c r="I168" i="4"/>
  <c r="I169" i="4" s="1"/>
  <c r="J166" i="4"/>
  <c r="F16" i="11"/>
  <c r="AI19" i="2"/>
  <c r="I166" i="4"/>
  <c r="AR166" i="4" s="1"/>
  <c r="AK167" i="42"/>
  <c r="AK164" i="42"/>
  <c r="AK165" i="42" s="1"/>
  <c r="AQ168" i="42"/>
  <c r="AQ169" i="42" s="1"/>
  <c r="AO164" i="42"/>
  <c r="AO165" i="42" s="1"/>
  <c r="AO167" i="42"/>
  <c r="AI167" i="42"/>
  <c r="AI164" i="42"/>
  <c r="AI165" i="42" s="1"/>
  <c r="AI28" i="2"/>
  <c r="F23" i="11"/>
  <c r="AI30" i="2"/>
  <c r="F25" i="11"/>
  <c r="A666" i="2"/>
  <c r="AE27" i="2"/>
  <c r="A79" i="42"/>
  <c r="AR85" i="4"/>
  <c r="AK160" i="4"/>
  <c r="AK161" i="4" s="1"/>
  <c r="AB168" i="4"/>
  <c r="AB169" i="4" s="1"/>
  <c r="AC160" i="4"/>
  <c r="AC161" i="4" s="1"/>
  <c r="AB166" i="4"/>
  <c r="Y166" i="4"/>
  <c r="AP168" i="42"/>
  <c r="AP169" i="42" s="1"/>
  <c r="W22" i="42"/>
  <c r="W168" i="42" s="1"/>
  <c r="W169" i="42" s="1"/>
  <c r="Y166" i="42"/>
  <c r="A1227" i="2"/>
  <c r="A142" i="42"/>
  <c r="AE36" i="2"/>
  <c r="AR85" i="42"/>
  <c r="AL158" i="4"/>
  <c r="AP166" i="4"/>
  <c r="AL166" i="4"/>
  <c r="V158" i="4"/>
  <c r="P158" i="4"/>
  <c r="T160" i="42"/>
  <c r="T161" i="42" s="1"/>
  <c r="N21" i="42"/>
  <c r="U167" i="42"/>
  <c r="AK168" i="4"/>
  <c r="AK169" i="4" s="1"/>
  <c r="AI35" i="2"/>
  <c r="F27" i="11"/>
  <c r="T167" i="4"/>
  <c r="T164" i="4"/>
  <c r="T165" i="4" s="1"/>
  <c r="AR19" i="42"/>
  <c r="AJ166" i="4"/>
  <c r="AJ168" i="4"/>
  <c r="AJ169" i="4" s="1"/>
  <c r="Y168" i="4"/>
  <c r="Y169" i="4" s="1"/>
  <c r="AI18" i="2"/>
  <c r="F29" i="11"/>
  <c r="AC168" i="42"/>
  <c r="AC169" i="42" s="1"/>
  <c r="L168" i="42"/>
  <c r="L169" i="42" s="1"/>
  <c r="O168" i="42"/>
  <c r="O169" i="42" s="1"/>
  <c r="J167" i="42"/>
  <c r="J164" i="42"/>
  <c r="Q79" i="2"/>
  <c r="A80" i="2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O79" i="2"/>
  <c r="C74" i="42" s="1"/>
  <c r="AI21" i="2"/>
  <c r="F18" i="11"/>
  <c r="AI34" i="2"/>
  <c r="F31" i="11"/>
  <c r="AG82" i="4"/>
  <c r="AG158" i="4" s="1"/>
  <c r="W82" i="4"/>
  <c r="W158" i="4" s="1"/>
  <c r="AK82" i="4"/>
  <c r="AK84" i="4" s="1"/>
  <c r="I82" i="4"/>
  <c r="T82" i="4"/>
  <c r="AN82" i="4"/>
  <c r="AN158" i="4" s="1"/>
  <c r="AD82" i="4"/>
  <c r="AB82" i="4"/>
  <c r="AB84" i="4" s="1"/>
  <c r="AL82" i="4"/>
  <c r="AL84" i="4" s="1"/>
  <c r="AL160" i="4" s="1"/>
  <c r="AL161" i="4" s="1"/>
  <c r="V82" i="4"/>
  <c r="V84" i="4" s="1"/>
  <c r="AQ82" i="4"/>
  <c r="L82" i="4"/>
  <c r="J82" i="4"/>
  <c r="S82" i="4"/>
  <c r="X82" i="4"/>
  <c r="X84" i="4" s="1"/>
  <c r="X160" i="4" s="1"/>
  <c r="X161" i="4" s="1"/>
  <c r="H82" i="4"/>
  <c r="AH82" i="4"/>
  <c r="AH84" i="4" s="1"/>
  <c r="AH160" i="4" s="1"/>
  <c r="AH161" i="4" s="1"/>
  <c r="O82" i="4"/>
  <c r="AP82" i="4"/>
  <c r="AP84" i="4" s="1"/>
  <c r="AP160" i="4" s="1"/>
  <c r="AP161" i="4" s="1"/>
  <c r="M82" i="4"/>
  <c r="M84" i="4" s="1"/>
  <c r="M160" i="4" s="1"/>
  <c r="M161" i="4" s="1"/>
  <c r="AA82" i="4"/>
  <c r="N82" i="4"/>
  <c r="K82" i="4"/>
  <c r="K84" i="4" s="1"/>
  <c r="Y82" i="4"/>
  <c r="Y84" i="4" s="1"/>
  <c r="AO82" i="4"/>
  <c r="AI82" i="4"/>
  <c r="R82" i="4"/>
  <c r="Q82" i="4"/>
  <c r="AJ82" i="4"/>
  <c r="AJ84" i="4" s="1"/>
  <c r="AJ160" i="4" s="1"/>
  <c r="AJ161" i="4" s="1"/>
  <c r="AF82" i="4"/>
  <c r="AF158" i="4" s="1"/>
  <c r="U82" i="4"/>
  <c r="AE82" i="4"/>
  <c r="AE84" i="4" s="1"/>
  <c r="AM82" i="4"/>
  <c r="W84" i="4"/>
  <c r="W160" i="4" s="1"/>
  <c r="W161" i="4" s="1"/>
  <c r="AC82" i="4"/>
  <c r="AC84" i="4" s="1"/>
  <c r="Z84" i="4"/>
  <c r="Z160" i="4" s="1"/>
  <c r="Z161" i="4" s="1"/>
  <c r="P82" i="4"/>
  <c r="P84" i="4" s="1"/>
  <c r="P160" i="4" s="1"/>
  <c r="P161" i="4" s="1"/>
  <c r="Z82" i="4"/>
  <c r="Z158" i="4" s="1"/>
  <c r="AS13" i="4"/>
  <c r="AT13" i="4"/>
  <c r="A78" i="44"/>
  <c r="AE77" i="44"/>
  <c r="V166" i="4"/>
  <c r="P158" i="42"/>
  <c r="V160" i="4"/>
  <c r="V161" i="4" s="1"/>
  <c r="AL168" i="4"/>
  <c r="AL169" i="4" s="1"/>
  <c r="AI166" i="4"/>
  <c r="AT12" i="4"/>
  <c r="AS12" i="4"/>
  <c r="T167" i="42"/>
  <c r="AQ167" i="4"/>
  <c r="AQ164" i="4"/>
  <c r="AQ165" i="4" s="1"/>
  <c r="AC166" i="42"/>
  <c r="AJ167" i="42"/>
  <c r="AJ164" i="42"/>
  <c r="AJ165" i="42" s="1"/>
  <c r="AX18" i="42"/>
  <c r="AX19" i="42"/>
  <c r="AX17" i="42"/>
  <c r="AX20" i="42"/>
  <c r="AX16" i="42"/>
  <c r="AX21" i="42"/>
  <c r="AX22" i="42"/>
  <c r="F21" i="11"/>
  <c r="AI25" i="2"/>
  <c r="F34" i="11"/>
  <c r="AI26" i="2"/>
  <c r="I36" i="11"/>
  <c r="E37" i="11"/>
  <c r="F36" i="11"/>
  <c r="AR15" i="4"/>
  <c r="AS15" i="4" s="1"/>
  <c r="R166" i="42"/>
  <c r="O571" i="2"/>
  <c r="Q571" i="2"/>
  <c r="AE570" i="2"/>
  <c r="A572" i="2"/>
  <c r="A573" i="2" s="1"/>
  <c r="AE571" i="2"/>
  <c r="V168" i="4"/>
  <c r="V169" i="4" s="1"/>
  <c r="AR83" i="4"/>
  <c r="H21" i="4"/>
  <c r="AR19" i="4"/>
  <c r="AI168" i="4"/>
  <c r="AI169" i="4" s="1"/>
  <c r="X21" i="42"/>
  <c r="X160" i="42" s="1"/>
  <c r="X161" i="42" s="1"/>
  <c r="AJ158" i="42"/>
  <c r="N167" i="42"/>
  <c r="N164" i="42"/>
  <c r="N165" i="42" s="1"/>
  <c r="AH167" i="42"/>
  <c r="F35" i="11"/>
  <c r="AI27" i="2"/>
  <c r="AH160" i="42"/>
  <c r="AH161" i="42" s="1"/>
  <c r="AN167" i="4"/>
  <c r="U168" i="42"/>
  <c r="U169" i="42" s="1"/>
  <c r="AB22" i="42"/>
  <c r="AB168" i="42" s="1"/>
  <c r="AB169" i="42" s="1"/>
  <c r="AM167" i="42"/>
  <c r="AM164" i="42"/>
  <c r="AM165" i="42" s="1"/>
  <c r="R168" i="4"/>
  <c r="R169" i="4" s="1"/>
  <c r="N166" i="4"/>
  <c r="F13" i="11"/>
  <c r="AI36" i="2"/>
  <c r="AH82" i="42"/>
  <c r="AH84" i="42" s="1"/>
  <c r="U82" i="42"/>
  <c r="I82" i="42"/>
  <c r="I158" i="42" s="1"/>
  <c r="AG82" i="42"/>
  <c r="T82" i="42"/>
  <c r="H82" i="42"/>
  <c r="AF82" i="42"/>
  <c r="AF84" i="42" s="1"/>
  <c r="S82" i="42"/>
  <c r="S84" i="42" s="1"/>
  <c r="AE82" i="42"/>
  <c r="AE84" i="42" s="1"/>
  <c r="R82" i="42"/>
  <c r="R158" i="42" s="1"/>
  <c r="AQ82" i="42"/>
  <c r="AD82" i="42"/>
  <c r="AD84" i="42" s="1"/>
  <c r="Q82" i="42"/>
  <c r="Q84" i="42" s="1"/>
  <c r="Q160" i="42" s="1"/>
  <c r="Q161" i="42" s="1"/>
  <c r="AP82" i="42"/>
  <c r="AC82" i="42"/>
  <c r="AC84" i="42" s="1"/>
  <c r="P82" i="42"/>
  <c r="P84" i="42" s="1"/>
  <c r="AO82" i="42"/>
  <c r="AB82" i="42"/>
  <c r="O82" i="42"/>
  <c r="AN82" i="42"/>
  <c r="AA82" i="42"/>
  <c r="AA158" i="42" s="1"/>
  <c r="N82" i="42"/>
  <c r="N84" i="42" s="1"/>
  <c r="AL82" i="42"/>
  <c r="AL158" i="42" s="1"/>
  <c r="Z82" i="42"/>
  <c r="M82" i="42"/>
  <c r="M84" i="42" s="1"/>
  <c r="M160" i="42" s="1"/>
  <c r="M161" i="42" s="1"/>
  <c r="AK82" i="42"/>
  <c r="AK84" i="42" s="1"/>
  <c r="AK160" i="42" s="1"/>
  <c r="AK161" i="42" s="1"/>
  <c r="Y82" i="42"/>
  <c r="L82" i="42"/>
  <c r="AJ82" i="42"/>
  <c r="X82" i="42"/>
  <c r="X84" i="42" s="1"/>
  <c r="K82" i="42"/>
  <c r="AI82" i="42"/>
  <c r="AI158" i="42" s="1"/>
  <c r="V82" i="42"/>
  <c r="V84" i="42" s="1"/>
  <c r="J82" i="42"/>
  <c r="I84" i="42"/>
  <c r="U84" i="42"/>
  <c r="U160" i="42" s="1"/>
  <c r="U161" i="42" s="1"/>
  <c r="AJ84" i="42"/>
  <c r="AJ160" i="42" s="1"/>
  <c r="AJ161" i="42" s="1"/>
  <c r="T84" i="42"/>
  <c r="W82" i="42"/>
  <c r="W84" i="42" s="1"/>
  <c r="W160" i="42" s="1"/>
  <c r="W161" i="42" s="1"/>
  <c r="AM82" i="42"/>
  <c r="V9" i="2" a="1"/>
  <c r="V9" i="2" s="1"/>
  <c r="W9" i="2" s="1"/>
  <c r="V8" i="2" a="1"/>
  <c r="V8" i="2" s="1"/>
  <c r="W8" i="2" s="1"/>
  <c r="K166" i="4"/>
  <c r="W166" i="4"/>
  <c r="A78" i="2"/>
  <c r="AE77" i="2"/>
  <c r="AC77" i="2" s="1"/>
  <c r="A667" i="44"/>
  <c r="A668" i="44" s="1"/>
  <c r="A669" i="44" s="1"/>
  <c r="A670" i="44" s="1"/>
  <c r="A671" i="44" s="1"/>
  <c r="A672" i="44" s="1"/>
  <c r="A673" i="44" s="1"/>
  <c r="A674" i="44" s="1"/>
  <c r="A675" i="44" s="1"/>
  <c r="A676" i="44" s="1"/>
  <c r="A677" i="44" s="1"/>
  <c r="A678" i="44" s="1"/>
  <c r="A679" i="44" s="1"/>
  <c r="A680" i="44" s="1"/>
  <c r="A681" i="44" s="1"/>
  <c r="A682" i="44" s="1"/>
  <c r="A683" i="44" s="1"/>
  <c r="A684" i="44" s="1"/>
  <c r="A685" i="44" s="1"/>
  <c r="A686" i="44" s="1"/>
  <c r="A687" i="44" s="1"/>
  <c r="A688" i="44" s="1"/>
  <c r="A689" i="44" s="1"/>
  <c r="A690" i="44" s="1"/>
  <c r="A691" i="44" s="1"/>
  <c r="A692" i="44" s="1"/>
  <c r="A693" i="44" s="1"/>
  <c r="A694" i="44" s="1"/>
  <c r="A695" i="44" s="1"/>
  <c r="A696" i="44" s="1"/>
  <c r="A697" i="44" s="1"/>
  <c r="A698" i="44" s="1"/>
  <c r="A699" i="44" s="1"/>
  <c r="A700" i="44" s="1"/>
  <c r="A701" i="44" s="1"/>
  <c r="A702" i="44" s="1"/>
  <c r="A703" i="44" s="1"/>
  <c r="A704" i="44" s="1"/>
  <c r="A705" i="44" s="1"/>
  <c r="A706" i="44" s="1"/>
  <c r="A707" i="44" s="1"/>
  <c r="A708" i="44" s="1"/>
  <c r="A709" i="44" s="1"/>
  <c r="A710" i="44" s="1"/>
  <c r="A711" i="44" s="1"/>
  <c r="A712" i="44" s="1"/>
  <c r="A713" i="44" s="1"/>
  <c r="A714" i="44" s="1"/>
  <c r="A715" i="44" s="1"/>
  <c r="A716" i="44" s="1"/>
  <c r="A717" i="44" s="1"/>
  <c r="A718" i="44" s="1"/>
  <c r="A719" i="44" s="1"/>
  <c r="Q666" i="44"/>
  <c r="O666" i="44"/>
  <c r="R166" i="4"/>
  <c r="AE21" i="42"/>
  <c r="AE160" i="42" s="1"/>
  <c r="AE161" i="42" s="1"/>
  <c r="AF160" i="42"/>
  <c r="AF161" i="42" s="1"/>
  <c r="M158" i="42"/>
  <c r="Q158" i="42"/>
  <c r="O167" i="4"/>
  <c r="O164" i="4"/>
  <c r="O165" i="4" s="1"/>
  <c r="Q167" i="4"/>
  <c r="AN168" i="4"/>
  <c r="AN169" i="4" s="1"/>
  <c r="L166" i="4"/>
  <c r="AS12" i="42"/>
  <c r="AT12" i="42"/>
  <c r="Q168" i="4"/>
  <c r="Q169" i="4" s="1"/>
  <c r="S166" i="4"/>
  <c r="L168" i="4"/>
  <c r="L169" i="4" s="1"/>
  <c r="AO22" i="42"/>
  <c r="AO168" i="42" s="1"/>
  <c r="AO169" i="42" s="1"/>
  <c r="T22" i="42"/>
  <c r="T168" i="42" s="1"/>
  <c r="T169" i="42" s="1"/>
  <c r="AH166" i="4"/>
  <c r="N168" i="4"/>
  <c r="N169" i="4" s="1"/>
  <c r="AI23" i="2"/>
  <c r="F20" i="11"/>
  <c r="F32" i="11"/>
  <c r="AI33" i="2"/>
  <c r="AR83" i="42"/>
  <c r="X158" i="4"/>
  <c r="AJ158" i="4"/>
  <c r="AX73" i="42"/>
  <c r="AX76" i="42"/>
  <c r="AX75" i="42"/>
  <c r="AX74" i="42"/>
  <c r="AX78" i="42"/>
  <c r="AX72" i="42"/>
  <c r="AX77" i="42"/>
  <c r="AM168" i="4"/>
  <c r="AM169" i="4" s="1"/>
  <c r="H85" i="4"/>
  <c r="H168" i="4" s="1"/>
  <c r="U166" i="4"/>
  <c r="AB158" i="4"/>
  <c r="I167" i="42"/>
  <c r="AR20" i="42"/>
  <c r="U158" i="42"/>
  <c r="AH168" i="42"/>
  <c r="AH169" i="42" s="1"/>
  <c r="AN164" i="42"/>
  <c r="AN165" i="42" s="1"/>
  <c r="AN167" i="42"/>
  <c r="K164" i="42"/>
  <c r="K165" i="42" s="1"/>
  <c r="K167" i="42"/>
  <c r="AG168" i="4"/>
  <c r="AG169" i="4" s="1"/>
  <c r="Z166" i="4"/>
  <c r="AI31" i="2"/>
  <c r="F26" i="11"/>
  <c r="F24" i="11"/>
  <c r="AI29" i="2"/>
  <c r="AI37" i="2"/>
  <c r="F14" i="11"/>
  <c r="D158" i="4"/>
  <c r="D160" i="4"/>
  <c r="Y158" i="4"/>
  <c r="U168" i="4"/>
  <c r="U169" i="4" s="1"/>
  <c r="Y15" i="44"/>
  <c r="AB160" i="4"/>
  <c r="AB161" i="4" s="1"/>
  <c r="AO166" i="4"/>
  <c r="AC158" i="42"/>
  <c r="AD21" i="42"/>
  <c r="W167" i="42"/>
  <c r="L167" i="42"/>
  <c r="L164" i="42"/>
  <c r="L165" i="42" s="1"/>
  <c r="P166" i="4"/>
  <c r="M167" i="42"/>
  <c r="M164" i="42"/>
  <c r="M165" i="42" s="1"/>
  <c r="K168" i="4"/>
  <c r="K169" i="4" s="1"/>
  <c r="Z168" i="4"/>
  <c r="Z169" i="4" s="1"/>
  <c r="AW161" i="42"/>
  <c r="AW160" i="42"/>
  <c r="H166" i="42"/>
  <c r="AE166" i="4"/>
  <c r="S21" i="42"/>
  <c r="V21" i="42"/>
  <c r="H21" i="42"/>
  <c r="T158" i="42"/>
  <c r="AA164" i="42"/>
  <c r="AA165" i="42" s="1"/>
  <c r="AA167" i="42"/>
  <c r="AE160" i="4"/>
  <c r="AE161" i="4" s="1"/>
  <c r="I22" i="42"/>
  <c r="I168" i="42" s="1"/>
  <c r="I169" i="42" s="1"/>
  <c r="AE43" i="2"/>
  <c r="A44" i="2"/>
  <c r="A45" i="2" s="1"/>
  <c r="Q166" i="42"/>
  <c r="AR22" i="4"/>
  <c r="AS22" i="4" s="1"/>
  <c r="AR20" i="4"/>
  <c r="M166" i="4"/>
  <c r="Y168" i="42"/>
  <c r="Y169" i="42" s="1"/>
  <c r="AL166" i="42"/>
  <c r="AB167" i="42"/>
  <c r="AB164" i="42"/>
  <c r="AB165" i="42" s="1"/>
  <c r="S167" i="42"/>
  <c r="S164" i="42"/>
  <c r="S165" i="42" s="1"/>
  <c r="X166" i="4"/>
  <c r="AI24" i="2"/>
  <c r="F30" i="11"/>
  <c r="AT13" i="42"/>
  <c r="AS13" i="42"/>
  <c r="AS15" i="42"/>
  <c r="A44" i="44"/>
  <c r="A45" i="44" s="1"/>
  <c r="AE43" i="44"/>
  <c r="W168" i="4"/>
  <c r="W169" i="4" s="1"/>
  <c r="AE158" i="4"/>
  <c r="Q571" i="44"/>
  <c r="A572" i="44"/>
  <c r="A573" i="44" s="1"/>
  <c r="O571" i="44"/>
  <c r="AE571" i="44"/>
  <c r="AE570" i="44"/>
  <c r="AD166" i="4"/>
  <c r="AE168" i="4"/>
  <c r="AE169" i="4" s="1"/>
  <c r="T120" i="17"/>
  <c r="T199" i="17"/>
  <c r="T85" i="17"/>
  <c r="AE94" i="17"/>
  <c r="AE92" i="17"/>
  <c r="AE95" i="17" s="1"/>
  <c r="AE96" i="17" s="1"/>
  <c r="AE212" i="17" s="1"/>
  <c r="AE204" i="17" s="1"/>
  <c r="AC134" i="17"/>
  <c r="AE47" i="17"/>
  <c r="AE58" i="17"/>
  <c r="W80" i="17"/>
  <c r="W81" i="17" s="1"/>
  <c r="W60" i="17"/>
  <c r="AC49" i="17"/>
  <c r="AC61" i="17" s="1"/>
  <c r="T70" i="17"/>
  <c r="T80" i="17"/>
  <c r="T81" i="17" s="1"/>
  <c r="AE124" i="17"/>
  <c r="AE89" i="17"/>
  <c r="W49" i="17"/>
  <c r="W61" i="17" s="1"/>
  <c r="U216" i="17"/>
  <c r="U86" i="17"/>
  <c r="AE203" i="17"/>
  <c r="Z134" i="17"/>
  <c r="Z126" i="17"/>
  <c r="AB134" i="17"/>
  <c r="AC199" i="17"/>
  <c r="AC120" i="17"/>
  <c r="AC85" i="17"/>
  <c r="AC93" i="17"/>
  <c r="AJ72" i="17"/>
  <c r="AB93" i="17"/>
  <c r="AC80" i="17"/>
  <c r="AC81" i="17" s="1"/>
  <c r="AC60" i="17"/>
  <c r="U94" i="17"/>
  <c r="U92" i="17"/>
  <c r="U95" i="17" s="1"/>
  <c r="U96" i="17" s="1"/>
  <c r="U212" i="17" s="1"/>
  <c r="U204" i="17" s="1"/>
  <c r="X23" i="17"/>
  <c r="X53" i="17"/>
  <c r="X65" i="17" s="1"/>
  <c r="X52" i="17"/>
  <c r="X64" i="17" s="1"/>
  <c r="X51" i="17"/>
  <c r="X63" i="17" s="1"/>
  <c r="X44" i="17"/>
  <c r="Z92" i="17"/>
  <c r="Z94" i="17"/>
  <c r="U135" i="17"/>
  <c r="U126" i="17"/>
  <c r="U137" i="17" s="1"/>
  <c r="AA60" i="17"/>
  <c r="V144" i="17"/>
  <c r="AJ144" i="17" s="1"/>
  <c r="U201" i="17"/>
  <c r="U90" i="17"/>
  <c r="U91" i="17" s="1"/>
  <c r="AA49" i="17"/>
  <c r="AA61" i="17" s="1"/>
  <c r="AB60" i="17"/>
  <c r="AB80" i="17"/>
  <c r="AB81" i="17" s="1"/>
  <c r="AD58" i="17"/>
  <c r="AD47" i="17"/>
  <c r="Z203" i="17"/>
  <c r="V93" i="17"/>
  <c r="V203" i="17"/>
  <c r="V85" i="17"/>
  <c r="AB46" i="17"/>
  <c r="Z58" i="17"/>
  <c r="Z47" i="17"/>
  <c r="AD80" i="17"/>
  <c r="AD81" i="17" s="1"/>
  <c r="V120" i="17"/>
  <c r="V199" i="17" s="1"/>
  <c r="Z85" i="17"/>
  <c r="AD216" i="17"/>
  <c r="AD86" i="17"/>
  <c r="Y62" i="17"/>
  <c r="Y49" i="17"/>
  <c r="Y61" i="17" s="1"/>
  <c r="Y80" i="17"/>
  <c r="Y81" i="17" s="1"/>
  <c r="Y60" i="17"/>
  <c r="AD94" i="17"/>
  <c r="AD92" i="17"/>
  <c r="AD95" i="17" s="1"/>
  <c r="AD96" i="17" s="1"/>
  <c r="AD212" i="17" s="1"/>
  <c r="AD204" i="17" s="1"/>
  <c r="U61" i="17"/>
  <c r="U80" i="17"/>
  <c r="U81" i="17" s="1"/>
  <c r="W92" i="17"/>
  <c r="W95" i="17" s="1"/>
  <c r="W96" i="17" s="1"/>
  <c r="W212" i="17" s="1"/>
  <c r="W204" i="17" s="1"/>
  <c r="W94" i="17"/>
  <c r="V49" i="17"/>
  <c r="W216" i="17"/>
  <c r="W86" i="17"/>
  <c r="T94" i="17"/>
  <c r="T92" i="17"/>
  <c r="T95" i="17" s="1"/>
  <c r="T96" i="17" s="1"/>
  <c r="T212" i="17" s="1"/>
  <c r="T204" i="17" s="1"/>
  <c r="X109" i="17"/>
  <c r="X106" i="17"/>
  <c r="AJ106" i="17" s="1"/>
  <c r="X105" i="17"/>
  <c r="AJ104" i="17"/>
  <c r="Y134" i="17"/>
  <c r="Y126" i="17"/>
  <c r="AA134" i="17"/>
  <c r="X101" i="17"/>
  <c r="AJ101" i="17" s="1"/>
  <c r="X100" i="17"/>
  <c r="AJ100" i="17" s="1"/>
  <c r="X103" i="17"/>
  <c r="AJ103" i="17" s="1"/>
  <c r="X102" i="17"/>
  <c r="AJ102" i="17" s="1"/>
  <c r="AJ98" i="17"/>
  <c r="Y203" i="17"/>
  <c r="AA46" i="17"/>
  <c r="AA85" i="17" s="1"/>
  <c r="Y93" i="17"/>
  <c r="Y85" i="17"/>
  <c r="X83" i="17"/>
  <c r="X123" i="17"/>
  <c r="X125" i="17"/>
  <c r="X136" i="17" s="1"/>
  <c r="AJ136" i="17" s="1"/>
  <c r="AD89" i="17"/>
  <c r="AD124" i="17"/>
  <c r="AE216" i="17"/>
  <c r="AE86" i="17"/>
  <c r="AA93" i="17"/>
  <c r="W120" i="17"/>
  <c r="W199" i="17"/>
  <c r="AD203" i="17"/>
  <c r="AC573" i="44"/>
  <c r="AB573" i="44"/>
  <c r="AC47" i="44"/>
  <c r="AB47" i="44"/>
  <c r="AB1228" i="44"/>
  <c r="AC1228" i="44"/>
  <c r="F44" i="17"/>
  <c r="F53" i="17" s="1"/>
  <c r="AJ22" i="17"/>
  <c r="F51" i="17"/>
  <c r="F63" i="17" s="1"/>
  <c r="AJ63" i="17" s="1"/>
  <c r="F23" i="17"/>
  <c r="R201" i="17"/>
  <c r="R90" i="17"/>
  <c r="R91" i="17" s="1"/>
  <c r="I139" i="17"/>
  <c r="I129" i="17"/>
  <c r="H141" i="17"/>
  <c r="H131" i="17"/>
  <c r="H142" i="17" s="1"/>
  <c r="I95" i="17"/>
  <c r="I96" i="17" s="1"/>
  <c r="I212" i="17" s="1"/>
  <c r="I204" i="17" s="1"/>
  <c r="O200" i="17"/>
  <c r="O215" i="17"/>
  <c r="O201" i="17"/>
  <c r="P139" i="17"/>
  <c r="P129" i="17"/>
  <c r="P130" i="17" s="1"/>
  <c r="P141" i="17" s="1"/>
  <c r="Q216" i="17"/>
  <c r="Q86" i="17"/>
  <c r="F137" i="17"/>
  <c r="F127" i="17"/>
  <c r="R95" i="17"/>
  <c r="R96" i="17" s="1"/>
  <c r="R212" i="17" s="1"/>
  <c r="R204" i="17" s="1"/>
  <c r="Q129" i="17"/>
  <c r="F93" i="17"/>
  <c r="F203" i="17"/>
  <c r="AJ83" i="17"/>
  <c r="O129" i="17"/>
  <c r="O140" i="17" s="1"/>
  <c r="R139" i="17"/>
  <c r="R129" i="17"/>
  <c r="G139" i="17"/>
  <c r="G129" i="17"/>
  <c r="F27" i="17"/>
  <c r="AJ27" i="17" s="1"/>
  <c r="S130" i="17"/>
  <c r="S129" i="17"/>
  <c r="AC573" i="2"/>
  <c r="AB573" i="2"/>
  <c r="AB47" i="2"/>
  <c r="AC47" i="2"/>
  <c r="AS166" i="4" l="1"/>
  <c r="AT167" i="4" s="1"/>
  <c r="W156" i="4"/>
  <c r="W157" i="4" s="1"/>
  <c r="W159" i="4"/>
  <c r="AR168" i="4"/>
  <c r="H169" i="4"/>
  <c r="AR169" i="4" s="1"/>
  <c r="H164" i="4"/>
  <c r="AN159" i="4"/>
  <c r="Y156" i="4"/>
  <c r="Y157" i="4" s="1"/>
  <c r="Y159" i="4"/>
  <c r="K167" i="4"/>
  <c r="K164" i="4"/>
  <c r="K165" i="4" s="1"/>
  <c r="Z84" i="42"/>
  <c r="Z160" i="42" s="1"/>
  <c r="Z161" i="42" s="1"/>
  <c r="Z158" i="42"/>
  <c r="AD84" i="4"/>
  <c r="AD160" i="4" s="1"/>
  <c r="AD161" i="4" s="1"/>
  <c r="AD158" i="4"/>
  <c r="H164" i="42"/>
  <c r="H169" i="42"/>
  <c r="AR169" i="42" s="1"/>
  <c r="AR168" i="42"/>
  <c r="A46" i="2"/>
  <c r="AE45" i="2"/>
  <c r="AW160" i="4"/>
  <c r="AW161" i="4"/>
  <c r="AL159" i="42"/>
  <c r="AR22" i="42"/>
  <c r="AS16" i="42" s="1"/>
  <c r="J84" i="42"/>
  <c r="J160" i="42" s="1"/>
  <c r="J161" i="42" s="1"/>
  <c r="J158" i="42"/>
  <c r="AR21" i="4"/>
  <c r="F37" i="11"/>
  <c r="E38" i="11"/>
  <c r="F33" i="11"/>
  <c r="AH158" i="4"/>
  <c r="X156" i="42"/>
  <c r="X157" i="42" s="1"/>
  <c r="X159" i="42"/>
  <c r="H167" i="42"/>
  <c r="AR166" i="42"/>
  <c r="AA159" i="42"/>
  <c r="AA156" i="42"/>
  <c r="AA157" i="42" s="1"/>
  <c r="N164" i="4"/>
  <c r="N165" i="4" s="1"/>
  <c r="N167" i="4"/>
  <c r="AH164" i="42"/>
  <c r="AH165" i="42" s="1"/>
  <c r="AT83" i="4"/>
  <c r="AS83" i="4"/>
  <c r="AS79" i="4"/>
  <c r="AS85" i="4"/>
  <c r="Z156" i="4"/>
  <c r="Z157" i="4" s="1"/>
  <c r="Z159" i="4"/>
  <c r="R84" i="4"/>
  <c r="R160" i="4" s="1"/>
  <c r="R161" i="4" s="1"/>
  <c r="R158" i="4"/>
  <c r="I84" i="4"/>
  <c r="I160" i="4" s="1"/>
  <c r="I161" i="4" s="1"/>
  <c r="I158" i="4"/>
  <c r="J165" i="42"/>
  <c r="V159" i="4"/>
  <c r="V156" i="4"/>
  <c r="V157" i="4" s="1"/>
  <c r="AM164" i="4"/>
  <c r="AM165" i="4" s="1"/>
  <c r="AQ164" i="42"/>
  <c r="AQ165" i="42" s="1"/>
  <c r="AJ156" i="4"/>
  <c r="AJ157" i="4" s="1"/>
  <c r="AJ159" i="4"/>
  <c r="O84" i="4"/>
  <c r="O160" i="4" s="1"/>
  <c r="O161" i="4" s="1"/>
  <c r="O158" i="4"/>
  <c r="AB156" i="4"/>
  <c r="AB157" i="4" s="1"/>
  <c r="AB159" i="4"/>
  <c r="AE159" i="42"/>
  <c r="AE156" i="42"/>
  <c r="AE157" i="42" s="1"/>
  <c r="W164" i="42"/>
  <c r="W165" i="42" s="1"/>
  <c r="Y167" i="4"/>
  <c r="Y164" i="4"/>
  <c r="Y165" i="4" s="1"/>
  <c r="AE159" i="4"/>
  <c r="AE156" i="4"/>
  <c r="AE157" i="4" s="1"/>
  <c r="AI159" i="42"/>
  <c r="AN84" i="42"/>
  <c r="AN160" i="42" s="1"/>
  <c r="AN161" i="42" s="1"/>
  <c r="AN158" i="42"/>
  <c r="S84" i="4"/>
  <c r="S160" i="4" s="1"/>
  <c r="S161" i="4" s="1"/>
  <c r="S158" i="4"/>
  <c r="U159" i="42"/>
  <c r="U156" i="42"/>
  <c r="U157" i="42" s="1"/>
  <c r="K84" i="42"/>
  <c r="K160" i="42" s="1"/>
  <c r="K161" i="42" s="1"/>
  <c r="K158" i="42"/>
  <c r="AP167" i="4"/>
  <c r="AP164" i="4"/>
  <c r="AP165" i="4" s="1"/>
  <c r="AB164" i="4"/>
  <c r="AB165" i="4" s="1"/>
  <c r="AB167" i="4"/>
  <c r="I167" i="4"/>
  <c r="AR167" i="4" s="1"/>
  <c r="I164" i="4"/>
  <c r="AL167" i="42"/>
  <c r="AL164" i="42"/>
  <c r="AL165" i="42" s="1"/>
  <c r="AT20" i="42"/>
  <c r="AS20" i="42"/>
  <c r="AS22" i="42"/>
  <c r="AB84" i="42"/>
  <c r="AB160" i="42" s="1"/>
  <c r="AB161" i="42" s="1"/>
  <c r="AB158" i="42"/>
  <c r="AA84" i="42"/>
  <c r="AA160" i="42" s="1"/>
  <c r="AA161" i="42" s="1"/>
  <c r="A574" i="2"/>
  <c r="AE573" i="2"/>
  <c r="V164" i="4"/>
  <c r="V165" i="4" s="1"/>
  <c r="V167" i="4"/>
  <c r="L84" i="4"/>
  <c r="L160" i="4" s="1"/>
  <c r="L161" i="4" s="1"/>
  <c r="L158" i="4"/>
  <c r="AL159" i="4"/>
  <c r="AL156" i="4"/>
  <c r="AL157" i="4" s="1"/>
  <c r="AG164" i="4"/>
  <c r="AG165" i="4" s="1"/>
  <c r="Q156" i="42"/>
  <c r="Q157" i="42" s="1"/>
  <c r="Q159" i="42"/>
  <c r="AJ167" i="4"/>
  <c r="AJ164" i="4"/>
  <c r="AJ165" i="4" s="1"/>
  <c r="N159" i="42"/>
  <c r="X167" i="4"/>
  <c r="X164" i="4"/>
  <c r="X165" i="4" s="1"/>
  <c r="AI167" i="4"/>
  <c r="AI164" i="4"/>
  <c r="AI165" i="4" s="1"/>
  <c r="AF84" i="4"/>
  <c r="AF160" i="4" s="1"/>
  <c r="AF161" i="4" s="1"/>
  <c r="Q84" i="4"/>
  <c r="Q160" i="4" s="1"/>
  <c r="Q161" i="4" s="1"/>
  <c r="Q158" i="4"/>
  <c r="H84" i="4"/>
  <c r="H160" i="4" s="1"/>
  <c r="AR82" i="4"/>
  <c r="H158" i="4"/>
  <c r="T84" i="4"/>
  <c r="T160" i="4" s="1"/>
  <c r="T161" i="4" s="1"/>
  <c r="T158" i="4"/>
  <c r="AT19" i="42"/>
  <c r="AS19" i="42"/>
  <c r="AI84" i="4"/>
  <c r="AI160" i="4" s="1"/>
  <c r="AI161" i="4" s="1"/>
  <c r="AI158" i="4"/>
  <c r="O84" i="42"/>
  <c r="O160" i="42" s="1"/>
  <c r="O161" i="42" s="1"/>
  <c r="O158" i="42"/>
  <c r="AO84" i="4"/>
  <c r="AO160" i="4" s="1"/>
  <c r="AO161" i="4" s="1"/>
  <c r="AO158" i="4"/>
  <c r="J84" i="4"/>
  <c r="J160" i="4" s="1"/>
  <c r="J161" i="4" s="1"/>
  <c r="J158" i="4"/>
  <c r="A46" i="44"/>
  <c r="AE45" i="44"/>
  <c r="Q164" i="4"/>
  <c r="Q165" i="4" s="1"/>
  <c r="AQ84" i="4"/>
  <c r="AQ160" i="4" s="1"/>
  <c r="AQ161" i="4" s="1"/>
  <c r="AQ158" i="4"/>
  <c r="AG159" i="4"/>
  <c r="AG156" i="4"/>
  <c r="AG157" i="4" s="1"/>
  <c r="AF167" i="4"/>
  <c r="AF164" i="4"/>
  <c r="AF165" i="4" s="1"/>
  <c r="AK164" i="4"/>
  <c r="AK165" i="4" s="1"/>
  <c r="A574" i="44"/>
  <c r="AE573" i="44"/>
  <c r="AS83" i="42"/>
  <c r="AT83" i="42"/>
  <c r="AS85" i="42"/>
  <c r="AS79" i="42"/>
  <c r="AC159" i="4"/>
  <c r="AC156" i="4"/>
  <c r="AC157" i="4" s="1"/>
  <c r="R164" i="4"/>
  <c r="R165" i="4" s="1"/>
  <c r="R167" i="4"/>
  <c r="AM84" i="42"/>
  <c r="AM160" i="42" s="1"/>
  <c r="AM161" i="42" s="1"/>
  <c r="AM158" i="42"/>
  <c r="P159" i="42"/>
  <c r="P156" i="42"/>
  <c r="P157" i="42" s="1"/>
  <c r="AO84" i="42"/>
  <c r="AO160" i="42" s="1"/>
  <c r="AO161" i="42" s="1"/>
  <c r="AO158" i="42"/>
  <c r="H84" i="42"/>
  <c r="AR82" i="42"/>
  <c r="M167" i="4"/>
  <c r="M164" i="4"/>
  <c r="M165" i="4" s="1"/>
  <c r="T159" i="42"/>
  <c r="T156" i="42"/>
  <c r="T157" i="42" s="1"/>
  <c r="AO167" i="4"/>
  <c r="AO164" i="4"/>
  <c r="AO165" i="4" s="1"/>
  <c r="I164" i="42"/>
  <c r="AH167" i="4"/>
  <c r="AH164" i="4"/>
  <c r="AH165" i="4" s="1"/>
  <c r="S158" i="42"/>
  <c r="AI84" i="42"/>
  <c r="AI160" i="42" s="1"/>
  <c r="AI161" i="42" s="1"/>
  <c r="L84" i="42"/>
  <c r="L160" i="42" s="1"/>
  <c r="L161" i="42" s="1"/>
  <c r="L158" i="42"/>
  <c r="AD158" i="42"/>
  <c r="N84" i="4"/>
  <c r="N160" i="4" s="1"/>
  <c r="N161" i="4" s="1"/>
  <c r="N158" i="4"/>
  <c r="U164" i="42"/>
  <c r="U165" i="42" s="1"/>
  <c r="AF158" i="42"/>
  <c r="O164" i="42"/>
  <c r="O165" i="42" s="1"/>
  <c r="AP164" i="42"/>
  <c r="AP165" i="42" s="1"/>
  <c r="S167" i="4"/>
  <c r="S164" i="4"/>
  <c r="S165" i="4" s="1"/>
  <c r="AF159" i="4"/>
  <c r="X156" i="4"/>
  <c r="X157" i="4" s="1"/>
  <c r="X159" i="4"/>
  <c r="R159" i="42"/>
  <c r="R156" i="42"/>
  <c r="R157" i="42" s="1"/>
  <c r="AH158" i="42"/>
  <c r="A667" i="2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Q666" i="2"/>
  <c r="O666" i="2"/>
  <c r="AC164" i="42"/>
  <c r="AC165" i="42" s="1"/>
  <c r="AC167" i="42"/>
  <c r="AJ159" i="42"/>
  <c r="AJ156" i="42"/>
  <c r="AJ157" i="42" s="1"/>
  <c r="AR21" i="42"/>
  <c r="AS21" i="42" s="1"/>
  <c r="H160" i="42"/>
  <c r="Z167" i="4"/>
  <c r="Z164" i="4"/>
  <c r="Z165" i="4" s="1"/>
  <c r="AK158" i="42"/>
  <c r="R84" i="42"/>
  <c r="R160" i="42" s="1"/>
  <c r="R161" i="42" s="1"/>
  <c r="Y84" i="42"/>
  <c r="Y160" i="42" s="1"/>
  <c r="Y161" i="42" s="1"/>
  <c r="Y158" i="42"/>
  <c r="AG84" i="42"/>
  <c r="AG160" i="42" s="1"/>
  <c r="AG161" i="42" s="1"/>
  <c r="AG158" i="42"/>
  <c r="H158" i="42"/>
  <c r="T164" i="42"/>
  <c r="T165" i="42" s="1"/>
  <c r="AM84" i="4"/>
  <c r="AM160" i="4" s="1"/>
  <c r="AM161" i="4" s="1"/>
  <c r="AM158" i="4"/>
  <c r="AA84" i="4"/>
  <c r="AA160" i="4" s="1"/>
  <c r="AA161" i="4" s="1"/>
  <c r="AA158" i="4"/>
  <c r="AX148" i="42"/>
  <c r="AX143" i="42"/>
  <c r="AX146" i="42"/>
  <c r="AX144" i="42"/>
  <c r="AX147" i="42"/>
  <c r="AX142" i="42"/>
  <c r="AX145" i="42"/>
  <c r="J164" i="4"/>
  <c r="J167" i="4"/>
  <c r="A1228" i="44"/>
  <c r="Q1227" i="44"/>
  <c r="O1227" i="44"/>
  <c r="AE1227" i="44"/>
  <c r="AE1226" i="44"/>
  <c r="AD160" i="42"/>
  <c r="AD161" i="42" s="1"/>
  <c r="AN84" i="4"/>
  <c r="AN160" i="4" s="1"/>
  <c r="AN161" i="4" s="1"/>
  <c r="AC159" i="42"/>
  <c r="AC156" i="42"/>
  <c r="AC157" i="42" s="1"/>
  <c r="AD167" i="4"/>
  <c r="AD164" i="4"/>
  <c r="AD165" i="4" s="1"/>
  <c r="AS20" i="4"/>
  <c r="AT20" i="4"/>
  <c r="AS16" i="4"/>
  <c r="V160" i="42"/>
  <c r="V161" i="42" s="1"/>
  <c r="V158" i="42"/>
  <c r="W167" i="4"/>
  <c r="W164" i="4"/>
  <c r="W165" i="4" s="1"/>
  <c r="AL84" i="42"/>
  <c r="AL160" i="42" s="1"/>
  <c r="AL161" i="42" s="1"/>
  <c r="AP84" i="42"/>
  <c r="AP160" i="42" s="1"/>
  <c r="AP161" i="42" s="1"/>
  <c r="AP158" i="42"/>
  <c r="I156" i="42"/>
  <c r="I159" i="42"/>
  <c r="AN164" i="4"/>
  <c r="AN165" i="4" s="1"/>
  <c r="R167" i="42"/>
  <c r="R164" i="42"/>
  <c r="R165" i="42" s="1"/>
  <c r="AS9" i="4"/>
  <c r="N160" i="42"/>
  <c r="N161" i="42" s="1"/>
  <c r="AE1226" i="2"/>
  <c r="AE1227" i="2"/>
  <c r="O1227" i="2"/>
  <c r="Q1227" i="2"/>
  <c r="A1228" i="2"/>
  <c r="AP158" i="4"/>
  <c r="Q164" i="42"/>
  <c r="Q165" i="42" s="1"/>
  <c r="Q167" i="42"/>
  <c r="M156" i="4"/>
  <c r="M157" i="4" s="1"/>
  <c r="M159" i="4"/>
  <c r="AE164" i="4"/>
  <c r="AE165" i="4" s="1"/>
  <c r="AE167" i="4"/>
  <c r="M159" i="42"/>
  <c r="M156" i="42"/>
  <c r="M157" i="42" s="1"/>
  <c r="AQ84" i="42"/>
  <c r="AQ160" i="42" s="1"/>
  <c r="AQ161" i="42" s="1"/>
  <c r="AQ158" i="42"/>
  <c r="AS19" i="4"/>
  <c r="AT19" i="4"/>
  <c r="AS21" i="4"/>
  <c r="U167" i="4"/>
  <c r="U164" i="4"/>
  <c r="U165" i="4" s="1"/>
  <c r="P156" i="4"/>
  <c r="P157" i="4" s="1"/>
  <c r="P159" i="4"/>
  <c r="AX85" i="42"/>
  <c r="AX81" i="42"/>
  <c r="AX79" i="42"/>
  <c r="AX82" i="42"/>
  <c r="AX84" i="42"/>
  <c r="AX80" i="42"/>
  <c r="AX83" i="42"/>
  <c r="L164" i="4"/>
  <c r="L165" i="4" s="1"/>
  <c r="L167" i="4"/>
  <c r="AL164" i="4"/>
  <c r="AL165" i="4" s="1"/>
  <c r="AL167" i="4"/>
  <c r="S160" i="42"/>
  <c r="S161" i="42" s="1"/>
  <c r="P167" i="4"/>
  <c r="P164" i="4"/>
  <c r="P165" i="4" s="1"/>
  <c r="W158" i="42"/>
  <c r="AK158" i="4"/>
  <c r="U84" i="4"/>
  <c r="U160" i="4" s="1"/>
  <c r="U161" i="4" s="1"/>
  <c r="U158" i="4"/>
  <c r="AG84" i="4"/>
  <c r="AG160" i="4" s="1"/>
  <c r="AG161" i="4" s="1"/>
  <c r="Y167" i="42"/>
  <c r="Y164" i="42"/>
  <c r="Y165" i="42" s="1"/>
  <c r="K158" i="4"/>
  <c r="AA216" i="17"/>
  <c r="AA86" i="17"/>
  <c r="Y216" i="17"/>
  <c r="Y86" i="17"/>
  <c r="W58" i="17"/>
  <c r="W47" i="17"/>
  <c r="Y94" i="17"/>
  <c r="Y92" i="17"/>
  <c r="Y95" i="17" s="1"/>
  <c r="Y96" i="17" s="1"/>
  <c r="Y212" i="17" s="1"/>
  <c r="Y204" i="17" s="1"/>
  <c r="Z86" i="17"/>
  <c r="Z216" i="17"/>
  <c r="U200" i="17"/>
  <c r="U215" i="17"/>
  <c r="W89" i="17"/>
  <c r="W124" i="17"/>
  <c r="U58" i="17"/>
  <c r="U47" i="17"/>
  <c r="X50" i="17"/>
  <c r="X62" i="17" s="1"/>
  <c r="X48" i="17"/>
  <c r="X45" i="17"/>
  <c r="X46" i="17" s="1"/>
  <c r="X49" i="17"/>
  <c r="X61" i="17" s="1"/>
  <c r="Z137" i="17"/>
  <c r="Z128" i="17"/>
  <c r="Z139" i="17" s="1"/>
  <c r="Z129" i="17"/>
  <c r="Z140" i="17" s="1"/>
  <c r="AA94" i="17"/>
  <c r="AA92" i="17"/>
  <c r="AA95" i="17" s="1"/>
  <c r="AA96" i="17" s="1"/>
  <c r="AA212" i="17" s="1"/>
  <c r="AA204" i="17" s="1"/>
  <c r="X108" i="17"/>
  <c r="AJ108" i="17" s="1"/>
  <c r="X107" i="17"/>
  <c r="AJ107" i="17" s="1"/>
  <c r="AJ105" i="17"/>
  <c r="Z127" i="17"/>
  <c r="Z138" i="17" s="1"/>
  <c r="X110" i="17"/>
  <c r="AJ109" i="17"/>
  <c r="Y47" i="17"/>
  <c r="Y58" i="17"/>
  <c r="AC58" i="17"/>
  <c r="AC47" i="17"/>
  <c r="AB199" i="17"/>
  <c r="AB120" i="17"/>
  <c r="V86" i="17"/>
  <c r="V216" i="17"/>
  <c r="AA47" i="17"/>
  <c r="AA58" i="17"/>
  <c r="AB85" i="17"/>
  <c r="AA80" i="17"/>
  <c r="AA81" i="17" s="1"/>
  <c r="AB94" i="17"/>
  <c r="AB92" i="17"/>
  <c r="AB95" i="17" s="1"/>
  <c r="AB96" i="17" s="1"/>
  <c r="AB212" i="17" s="1"/>
  <c r="AB204" i="17" s="1"/>
  <c r="AD135" i="17"/>
  <c r="AD126" i="17"/>
  <c r="V92" i="17"/>
  <c r="V94" i="17"/>
  <c r="U127" i="17"/>
  <c r="AA199" i="17"/>
  <c r="AA120" i="17"/>
  <c r="AD90" i="17"/>
  <c r="AD91" i="17" s="1"/>
  <c r="AD201" i="17"/>
  <c r="AC94" i="17"/>
  <c r="AC92" i="17"/>
  <c r="AC95" i="17" s="1"/>
  <c r="AC96" i="17" s="1"/>
  <c r="AC212" i="17" s="1"/>
  <c r="AC204" i="17" s="1"/>
  <c r="AE90" i="17"/>
  <c r="AE91" i="17" s="1"/>
  <c r="AE201" i="17"/>
  <c r="V89" i="17"/>
  <c r="V124" i="17"/>
  <c r="V71" i="17"/>
  <c r="V80" i="17"/>
  <c r="V81" i="17" s="1"/>
  <c r="AC216" i="17"/>
  <c r="AC86" i="17"/>
  <c r="AE135" i="17"/>
  <c r="AE126" i="17"/>
  <c r="AE127" i="17"/>
  <c r="AE138" i="17" s="1"/>
  <c r="T216" i="17"/>
  <c r="T86" i="17"/>
  <c r="X134" i="17"/>
  <c r="AJ134" i="17" s="1"/>
  <c r="Y137" i="17"/>
  <c r="AC89" i="17"/>
  <c r="AC124" i="17"/>
  <c r="Y127" i="17"/>
  <c r="Z95" i="17"/>
  <c r="Z96" i="17" s="1"/>
  <c r="Z212" i="17" s="1"/>
  <c r="Z204" i="17" s="1"/>
  <c r="T47" i="17"/>
  <c r="T58" i="17"/>
  <c r="AJ70" i="17"/>
  <c r="T89" i="17"/>
  <c r="T124" i="17"/>
  <c r="X93" i="17"/>
  <c r="X85" i="17"/>
  <c r="AB58" i="17"/>
  <c r="AB47" i="17"/>
  <c r="AB48" i="44"/>
  <c r="AC48" i="44"/>
  <c r="AB574" i="44"/>
  <c r="AC574" i="44"/>
  <c r="F65" i="17"/>
  <c r="AJ65" i="17" s="1"/>
  <c r="F52" i="17"/>
  <c r="F64" i="17" s="1"/>
  <c r="AJ64" i="17" s="1"/>
  <c r="G140" i="17"/>
  <c r="G130" i="17"/>
  <c r="G131" i="17"/>
  <c r="G142" i="17" s="1"/>
  <c r="H132" i="17"/>
  <c r="H143" i="17" s="1"/>
  <c r="G132" i="17"/>
  <c r="G143" i="17" s="1"/>
  <c r="R140" i="17"/>
  <c r="F138" i="17"/>
  <c r="I140" i="17"/>
  <c r="R130" i="17"/>
  <c r="I130" i="17"/>
  <c r="I131" i="17" s="1"/>
  <c r="I142" i="17" s="1"/>
  <c r="R200" i="17"/>
  <c r="R215" i="17"/>
  <c r="P140" i="17"/>
  <c r="P131" i="17"/>
  <c r="P142" i="17" s="1"/>
  <c r="F45" i="17"/>
  <c r="F46" i="17" s="1"/>
  <c r="F49" i="17"/>
  <c r="F61" i="17" s="1"/>
  <c r="AJ23" i="17"/>
  <c r="F50" i="17"/>
  <c r="F62" i="17" s="1"/>
  <c r="AJ62" i="17" s="1"/>
  <c r="F48" i="17"/>
  <c r="F94" i="17"/>
  <c r="F92" i="17"/>
  <c r="AJ93" i="17"/>
  <c r="O130" i="17"/>
  <c r="Q140" i="17"/>
  <c r="Q130" i="17"/>
  <c r="S131" i="17"/>
  <c r="S132" i="17"/>
  <c r="S121" i="17" s="1"/>
  <c r="A121" i="4"/>
  <c r="AX124" i="4" s="1"/>
  <c r="A32" i="11"/>
  <c r="A149" i="4"/>
  <c r="AX151" i="4" s="1"/>
  <c r="A14" i="11"/>
  <c r="A135" i="4"/>
  <c r="AX137" i="4" s="1"/>
  <c r="A27" i="11"/>
  <c r="AB48" i="2"/>
  <c r="AC48" i="2"/>
  <c r="AB574" i="2"/>
  <c r="AC574" i="2"/>
  <c r="AC1228" i="2"/>
  <c r="AB1228" i="2"/>
  <c r="A114" i="4"/>
  <c r="H161" i="4" l="1"/>
  <c r="AR161" i="4" s="1"/>
  <c r="AR160" i="4"/>
  <c r="Q159" i="4"/>
  <c r="Q156" i="4"/>
  <c r="Q157" i="4" s="1"/>
  <c r="O156" i="42"/>
  <c r="O157" i="42" s="1"/>
  <c r="O159" i="42"/>
  <c r="H161" i="42"/>
  <c r="AR161" i="42" s="1"/>
  <c r="AR160" i="42"/>
  <c r="AD159" i="42"/>
  <c r="AD156" i="42"/>
  <c r="AD157" i="42" s="1"/>
  <c r="AI156" i="4"/>
  <c r="AI157" i="4" s="1"/>
  <c r="AI159" i="4"/>
  <c r="A47" i="2"/>
  <c r="AE46" i="2"/>
  <c r="AN156" i="4"/>
  <c r="AN157" i="4" s="1"/>
  <c r="AH156" i="4"/>
  <c r="AH157" i="4" s="1"/>
  <c r="AH159" i="4"/>
  <c r="L159" i="42"/>
  <c r="L156" i="42"/>
  <c r="AQ159" i="4"/>
  <c r="AQ156" i="4"/>
  <c r="AQ157" i="4" s="1"/>
  <c r="L159" i="4"/>
  <c r="L156" i="4"/>
  <c r="L157" i="4" s="1"/>
  <c r="S159" i="4"/>
  <c r="S156" i="4"/>
  <c r="S157" i="4" s="1"/>
  <c r="AS168" i="42"/>
  <c r="AH159" i="42"/>
  <c r="AH156" i="42"/>
  <c r="AH157" i="42" s="1"/>
  <c r="N159" i="4"/>
  <c r="N156" i="4"/>
  <c r="N157" i="4" s="1"/>
  <c r="K156" i="4"/>
  <c r="K159" i="4"/>
  <c r="AM159" i="4"/>
  <c r="AM156" i="4"/>
  <c r="AM157" i="4" s="1"/>
  <c r="J165" i="4"/>
  <c r="AF156" i="4"/>
  <c r="AF157" i="4" s="1"/>
  <c r="AT82" i="42"/>
  <c r="AS82" i="42"/>
  <c r="H170" i="4"/>
  <c r="H171" i="4" s="1"/>
  <c r="H165" i="4"/>
  <c r="AR164" i="4"/>
  <c r="K159" i="42"/>
  <c r="K156" i="42"/>
  <c r="A1229" i="44"/>
  <c r="AE1228" i="44"/>
  <c r="U156" i="4"/>
  <c r="U157" i="4" s="1"/>
  <c r="U159" i="4"/>
  <c r="AP159" i="4"/>
  <c r="AP156" i="4"/>
  <c r="AP157" i="4" s="1"/>
  <c r="I157" i="42"/>
  <c r="H159" i="42"/>
  <c r="AR158" i="42"/>
  <c r="H156" i="42"/>
  <c r="AR84" i="42"/>
  <c r="AS84" i="42" s="1"/>
  <c r="I165" i="4"/>
  <c r="I170" i="4"/>
  <c r="I171" i="4" s="1"/>
  <c r="AN159" i="42"/>
  <c r="AN156" i="42"/>
  <c r="AN157" i="42" s="1"/>
  <c r="I159" i="4"/>
  <c r="I156" i="4"/>
  <c r="H165" i="42"/>
  <c r="AR165" i="42" s="1"/>
  <c r="AR164" i="42"/>
  <c r="AS164" i="42" s="1"/>
  <c r="H170" i="42"/>
  <c r="H171" i="42" s="1"/>
  <c r="AK159" i="42"/>
  <c r="AK156" i="42"/>
  <c r="AK157" i="42" s="1"/>
  <c r="A1229" i="2"/>
  <c r="AE1228" i="2"/>
  <c r="S159" i="42"/>
  <c r="S156" i="42"/>
  <c r="S157" i="42" s="1"/>
  <c r="T159" i="4"/>
  <c r="T156" i="4"/>
  <c r="T157" i="4" s="1"/>
  <c r="O159" i="4"/>
  <c r="O156" i="4"/>
  <c r="O157" i="4" s="1"/>
  <c r="J159" i="42"/>
  <c r="J156" i="42"/>
  <c r="AD156" i="4"/>
  <c r="AD157" i="4" s="1"/>
  <c r="AD159" i="4"/>
  <c r="AS168" i="4"/>
  <c r="AS170" i="4"/>
  <c r="AG159" i="42"/>
  <c r="AG156" i="42"/>
  <c r="AG157" i="42" s="1"/>
  <c r="AQ159" i="42"/>
  <c r="AQ156" i="42"/>
  <c r="AQ157" i="42" s="1"/>
  <c r="A47" i="44"/>
  <c r="AE46" i="44"/>
  <c r="N156" i="42"/>
  <c r="N157" i="42" s="1"/>
  <c r="AI156" i="42"/>
  <c r="AI157" i="42" s="1"/>
  <c r="R159" i="4"/>
  <c r="R156" i="4"/>
  <c r="R157" i="4" s="1"/>
  <c r="AP159" i="42"/>
  <c r="AP156" i="42"/>
  <c r="AP157" i="42" s="1"/>
  <c r="AK159" i="4"/>
  <c r="AK156" i="4"/>
  <c r="AK157" i="4" s="1"/>
  <c r="Y156" i="42"/>
  <c r="Y157" i="42" s="1"/>
  <c r="Y159" i="42"/>
  <c r="J159" i="4"/>
  <c r="J156" i="4"/>
  <c r="H159" i="4"/>
  <c r="AR158" i="4"/>
  <c r="H156" i="4"/>
  <c r="AE574" i="2"/>
  <c r="A575" i="2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S166" i="42"/>
  <c r="AT167" i="42" s="1"/>
  <c r="AT166" i="42"/>
  <c r="Z156" i="42"/>
  <c r="Z157" i="42" s="1"/>
  <c r="Z159" i="42"/>
  <c r="AA159" i="4"/>
  <c r="AA156" i="4"/>
  <c r="AA157" i="4" s="1"/>
  <c r="AO156" i="42"/>
  <c r="AO157" i="42" s="1"/>
  <c r="AO159" i="42"/>
  <c r="W159" i="42"/>
  <c r="W156" i="42"/>
  <c r="W157" i="42" s="1"/>
  <c r="I165" i="42"/>
  <c r="I170" i="42"/>
  <c r="AE574" i="44"/>
  <c r="A575" i="44"/>
  <c r="A576" i="44" s="1"/>
  <c r="A577" i="44" s="1"/>
  <c r="A578" i="44" s="1"/>
  <c r="A579" i="44" s="1"/>
  <c r="A580" i="44" s="1"/>
  <c r="A581" i="44" s="1"/>
  <c r="A582" i="44" s="1"/>
  <c r="A583" i="44" s="1"/>
  <c r="A584" i="44" s="1"/>
  <c r="A585" i="44" s="1"/>
  <c r="A586" i="44" s="1"/>
  <c r="A587" i="44" s="1"/>
  <c r="A588" i="44" s="1"/>
  <c r="A589" i="44" s="1"/>
  <c r="A590" i="44" s="1"/>
  <c r="A591" i="44" s="1"/>
  <c r="A592" i="44" s="1"/>
  <c r="A593" i="44" s="1"/>
  <c r="A594" i="44" s="1"/>
  <c r="A595" i="44" s="1"/>
  <c r="A596" i="44" s="1"/>
  <c r="A597" i="44" s="1"/>
  <c r="AT82" i="4"/>
  <c r="AS82" i="4"/>
  <c r="AS84" i="4"/>
  <c r="AR167" i="42"/>
  <c r="AL156" i="42"/>
  <c r="AL157" i="42" s="1"/>
  <c r="V159" i="42"/>
  <c r="V156" i="42"/>
  <c r="V157" i="42" s="1"/>
  <c r="AF159" i="42"/>
  <c r="AF156" i="42"/>
  <c r="AF157" i="42" s="1"/>
  <c r="AM156" i="42"/>
  <c r="AM157" i="42" s="1"/>
  <c r="AM159" i="42"/>
  <c r="AO159" i="4"/>
  <c r="AO156" i="4"/>
  <c r="AO157" i="4" s="1"/>
  <c r="AR84" i="4"/>
  <c r="AB159" i="42"/>
  <c r="AB156" i="42"/>
  <c r="AB157" i="42" s="1"/>
  <c r="AE128" i="17"/>
  <c r="AD200" i="17"/>
  <c r="AD215" i="17"/>
  <c r="W135" i="17"/>
  <c r="W126" i="17"/>
  <c r="W137" i="17" s="1"/>
  <c r="W127" i="17"/>
  <c r="W138" i="17" s="1"/>
  <c r="W90" i="17"/>
  <c r="W91" i="17" s="1"/>
  <c r="W201" i="17"/>
  <c r="AE137" i="17"/>
  <c r="AA89" i="17"/>
  <c r="AA124" i="17"/>
  <c r="AA203" i="17"/>
  <c r="AB89" i="17"/>
  <c r="AB124" i="17"/>
  <c r="Y138" i="17"/>
  <c r="Y129" i="17"/>
  <c r="Y140" i="17" s="1"/>
  <c r="U138" i="17"/>
  <c r="U128" i="17"/>
  <c r="AB203" i="17"/>
  <c r="AC135" i="17"/>
  <c r="AC126" i="17"/>
  <c r="Z130" i="17"/>
  <c r="T90" i="17"/>
  <c r="T91" i="17" s="1"/>
  <c r="T201" i="17" s="1"/>
  <c r="AC203" i="17"/>
  <c r="AC201" i="17"/>
  <c r="AC90" i="17"/>
  <c r="AC91" i="17" s="1"/>
  <c r="V95" i="17"/>
  <c r="V96" i="17" s="1"/>
  <c r="V212" i="17" s="1"/>
  <c r="V204" i="17" s="1"/>
  <c r="V47" i="17"/>
  <c r="V58" i="17"/>
  <c r="AJ71" i="17"/>
  <c r="AD137" i="17"/>
  <c r="V145" i="17"/>
  <c r="AJ145" i="17" s="1"/>
  <c r="V126" i="17"/>
  <c r="AD127" i="17"/>
  <c r="X120" i="17"/>
  <c r="X199" i="17"/>
  <c r="Y128" i="17"/>
  <c r="Y139" i="17" s="1"/>
  <c r="V90" i="17"/>
  <c r="V91" i="17" s="1"/>
  <c r="X112" i="17"/>
  <c r="AJ112" i="17" s="1"/>
  <c r="AJ110" i="17"/>
  <c r="X80" i="17"/>
  <c r="X81" i="17" s="1"/>
  <c r="X60" i="17"/>
  <c r="X216" i="17"/>
  <c r="X86" i="17"/>
  <c r="AJ61" i="17"/>
  <c r="X92" i="17"/>
  <c r="X95" i="17" s="1"/>
  <c r="X96" i="17" s="1"/>
  <c r="X212" i="17" s="1"/>
  <c r="X204" i="17" s="1"/>
  <c r="X94" i="17"/>
  <c r="AJ94" i="17" s="1"/>
  <c r="AE215" i="17"/>
  <c r="AE200" i="17"/>
  <c r="T145" i="17"/>
  <c r="T126" i="17"/>
  <c r="AB216" i="17"/>
  <c r="AB86" i="17"/>
  <c r="AC597" i="44"/>
  <c r="AB597" i="44"/>
  <c r="AB49" i="44"/>
  <c r="AC49" i="44"/>
  <c r="F80" i="17"/>
  <c r="F60" i="17"/>
  <c r="F120" i="17"/>
  <c r="F199" i="17" s="1"/>
  <c r="AJ199" i="17" s="1"/>
  <c r="F85" i="17"/>
  <c r="Q141" i="17"/>
  <c r="H121" i="17"/>
  <c r="G141" i="17"/>
  <c r="G121" i="17" s="1"/>
  <c r="P132" i="17"/>
  <c r="P143" i="17" s="1"/>
  <c r="O141" i="17"/>
  <c r="O131" i="17"/>
  <c r="O142" i="17" s="1"/>
  <c r="I141" i="17"/>
  <c r="I132" i="17"/>
  <c r="I143" i="17" s="1"/>
  <c r="F95" i="17"/>
  <c r="R141" i="17"/>
  <c r="R131" i="17"/>
  <c r="Q131" i="17"/>
  <c r="AX149" i="4"/>
  <c r="AX152" i="4"/>
  <c r="AX155" i="4"/>
  <c r="AX153" i="4"/>
  <c r="AX150" i="4"/>
  <c r="AX154" i="4"/>
  <c r="AX127" i="4"/>
  <c r="AX121" i="4"/>
  <c r="AX125" i="4"/>
  <c r="AX123" i="4"/>
  <c r="AX126" i="4"/>
  <c r="AX122" i="4"/>
  <c r="AX136" i="4"/>
  <c r="AX138" i="4"/>
  <c r="AX141" i="4"/>
  <c r="AX139" i="4"/>
  <c r="AX140" i="4"/>
  <c r="AX135" i="4"/>
  <c r="AX117" i="4"/>
  <c r="AX120" i="4"/>
  <c r="AX119" i="4"/>
  <c r="AX118" i="4"/>
  <c r="AX114" i="4"/>
  <c r="AX116" i="4"/>
  <c r="AX115" i="4"/>
  <c r="AC597" i="2"/>
  <c r="AB597" i="2"/>
  <c r="AB49" i="2"/>
  <c r="AC49" i="2"/>
  <c r="I171" i="42" l="1"/>
  <c r="J170" i="42"/>
  <c r="AR156" i="42"/>
  <c r="AS156" i="42" s="1"/>
  <c r="H162" i="42"/>
  <c r="H157" i="42"/>
  <c r="AR156" i="4"/>
  <c r="AS156" i="4" s="1"/>
  <c r="H162" i="4"/>
  <c r="H163" i="4" s="1"/>
  <c r="H157" i="4"/>
  <c r="AS158" i="42"/>
  <c r="AT159" i="42" s="1"/>
  <c r="AT158" i="42"/>
  <c r="AS164" i="4"/>
  <c r="AT166" i="4"/>
  <c r="K157" i="4"/>
  <c r="AS162" i="42"/>
  <c r="AS160" i="42"/>
  <c r="AS158" i="4"/>
  <c r="AT159" i="4" s="1"/>
  <c r="AT158" i="4"/>
  <c r="J157" i="42"/>
  <c r="AR159" i="42"/>
  <c r="AR165" i="4"/>
  <c r="L157" i="42"/>
  <c r="K157" i="42"/>
  <c r="AR159" i="4"/>
  <c r="A598" i="44"/>
  <c r="AE597" i="44"/>
  <c r="A48" i="44"/>
  <c r="AE47" i="44"/>
  <c r="I157" i="4"/>
  <c r="I162" i="4"/>
  <c r="I163" i="4" s="1"/>
  <c r="AE597" i="2"/>
  <c r="A598" i="2"/>
  <c r="AS170" i="42"/>
  <c r="J157" i="4"/>
  <c r="AS160" i="4"/>
  <c r="AS162" i="4"/>
  <c r="J170" i="4"/>
  <c r="A48" i="2"/>
  <c r="AE47" i="2"/>
  <c r="AC137" i="17"/>
  <c r="X89" i="17"/>
  <c r="X124" i="17"/>
  <c r="AD138" i="17"/>
  <c r="W215" i="17"/>
  <c r="W200" i="17"/>
  <c r="V147" i="17"/>
  <c r="V127" i="17"/>
  <c r="V148" i="17" s="1"/>
  <c r="U139" i="17"/>
  <c r="V128" i="17"/>
  <c r="V149" i="17" s="1"/>
  <c r="AC200" i="17"/>
  <c r="AC215" i="17"/>
  <c r="U129" i="17"/>
  <c r="W128" i="17"/>
  <c r="X58" i="17"/>
  <c r="X47" i="17"/>
  <c r="T147" i="17"/>
  <c r="T127" i="17"/>
  <c r="AB135" i="17"/>
  <c r="AB126" i="17"/>
  <c r="AB127" i="17" s="1"/>
  <c r="T200" i="17"/>
  <c r="T215" i="17"/>
  <c r="AB90" i="17"/>
  <c r="AB91" i="17" s="1"/>
  <c r="AB201" i="17"/>
  <c r="AJ92" i="17"/>
  <c r="V215" i="17"/>
  <c r="V200" i="17"/>
  <c r="Z141" i="17"/>
  <c r="Z131" i="17"/>
  <c r="V201" i="17"/>
  <c r="AA135" i="17"/>
  <c r="AA126" i="17"/>
  <c r="AA137" i="17" s="1"/>
  <c r="AA90" i="17"/>
  <c r="AA91" i="17" s="1"/>
  <c r="AA201" i="17"/>
  <c r="AE139" i="17"/>
  <c r="Y130" i="17"/>
  <c r="AC127" i="17"/>
  <c r="AE129" i="17"/>
  <c r="AD128" i="17"/>
  <c r="AD139" i="17" s="1"/>
  <c r="AB50" i="44"/>
  <c r="AC50" i="44"/>
  <c r="AB598" i="44"/>
  <c r="AC598" i="44"/>
  <c r="Q142" i="17"/>
  <c r="P121" i="17"/>
  <c r="R142" i="17"/>
  <c r="R132" i="17"/>
  <c r="R143" i="17" s="1"/>
  <c r="R121" i="17"/>
  <c r="Q132" i="17"/>
  <c r="Q143" i="17" s="1"/>
  <c r="F96" i="17"/>
  <c r="AJ95" i="17"/>
  <c r="F216" i="17"/>
  <c r="F86" i="17"/>
  <c r="AJ86" i="17" s="1"/>
  <c r="AJ85" i="17"/>
  <c r="F89" i="17"/>
  <c r="F128" i="17"/>
  <c r="F58" i="17"/>
  <c r="F47" i="17"/>
  <c r="AJ60" i="17"/>
  <c r="F81" i="17"/>
  <c r="AJ81" i="17" s="1"/>
  <c r="AJ80" i="17"/>
  <c r="O132" i="17"/>
  <c r="I121" i="17"/>
  <c r="AB50" i="2"/>
  <c r="AC50" i="2"/>
  <c r="AC598" i="2"/>
  <c r="AB598" i="2"/>
  <c r="AR157" i="4" l="1"/>
  <c r="A49" i="2"/>
  <c r="AE48" i="2"/>
  <c r="J171" i="4"/>
  <c r="K170" i="4"/>
  <c r="A49" i="44"/>
  <c r="AE48" i="44"/>
  <c r="AR157" i="42"/>
  <c r="A599" i="44"/>
  <c r="AE598" i="44"/>
  <c r="H163" i="42"/>
  <c r="I162" i="42"/>
  <c r="J162" i="4"/>
  <c r="AE598" i="2"/>
  <c r="A599" i="2"/>
  <c r="J171" i="42"/>
  <c r="K170" i="42"/>
  <c r="AB138" i="17"/>
  <c r="T148" i="17"/>
  <c r="AJ148" i="17" s="1"/>
  <c r="W139" i="17"/>
  <c r="W129" i="17"/>
  <c r="W140" i="17" s="1"/>
  <c r="W130" i="17"/>
  <c r="W141" i="17" s="1"/>
  <c r="T130" i="17"/>
  <c r="T151" i="17" s="1"/>
  <c r="AJ151" i="17" s="1"/>
  <c r="U130" i="17"/>
  <c r="U141" i="17" s="1"/>
  <c r="U131" i="17"/>
  <c r="U142" i="17" s="1"/>
  <c r="AB137" i="17"/>
  <c r="AA127" i="17"/>
  <c r="AB200" i="17"/>
  <c r="AB215" i="17"/>
  <c r="AJ147" i="17"/>
  <c r="V129" i="17"/>
  <c r="V150" i="17" s="1"/>
  <c r="AJ150" i="17" s="1"/>
  <c r="X135" i="17"/>
  <c r="AJ135" i="17" s="1"/>
  <c r="X128" i="17"/>
  <c r="X139" i="17" s="1"/>
  <c r="X129" i="17"/>
  <c r="X140" i="17" s="1"/>
  <c r="X126" i="17"/>
  <c r="X137" i="17" s="1"/>
  <c r="X127" i="17"/>
  <c r="X138" i="17" s="1"/>
  <c r="U140" i="17"/>
  <c r="U132" i="17"/>
  <c r="U143" i="17" s="1"/>
  <c r="X90" i="17"/>
  <c r="X91" i="17" s="1"/>
  <c r="AA200" i="17"/>
  <c r="AA215" i="17"/>
  <c r="AE140" i="17"/>
  <c r="AE131" i="17"/>
  <c r="AE142" i="17" s="1"/>
  <c r="AC138" i="17"/>
  <c r="AC128" i="17"/>
  <c r="Y141" i="17"/>
  <c r="Y131" i="17"/>
  <c r="X203" i="17"/>
  <c r="AJ203" i="17" s="1"/>
  <c r="Z142" i="17"/>
  <c r="Z132" i="17"/>
  <c r="Z143" i="17" s="1"/>
  <c r="Z121" i="17" s="1"/>
  <c r="AE130" i="17"/>
  <c r="V130" i="17"/>
  <c r="V151" i="17" s="1"/>
  <c r="AD129" i="17"/>
  <c r="AB128" i="17"/>
  <c r="AB139" i="17" s="1"/>
  <c r="T128" i="17"/>
  <c r="T129" i="17"/>
  <c r="T150" i="17" s="1"/>
  <c r="AB599" i="44"/>
  <c r="AC599" i="44"/>
  <c r="AC51" i="44"/>
  <c r="AB51" i="44"/>
  <c r="AC61" i="44"/>
  <c r="AB61" i="44"/>
  <c r="F139" i="17"/>
  <c r="F129" i="17"/>
  <c r="F140" i="17" s="1"/>
  <c r="F90" i="17"/>
  <c r="AJ89" i="17"/>
  <c r="F212" i="17"/>
  <c r="F204" i="17" s="1"/>
  <c r="AJ204" i="17" s="1"/>
  <c r="AJ96" i="17"/>
  <c r="O143" i="17"/>
  <c r="O121" i="17" s="1"/>
  <c r="Q121" i="17"/>
  <c r="AC599" i="2"/>
  <c r="AB599" i="2"/>
  <c r="AB51" i="2"/>
  <c r="AC51" i="2"/>
  <c r="AB61" i="2"/>
  <c r="AC61" i="2"/>
  <c r="AE599" i="44" l="1"/>
  <c r="A600" i="44"/>
  <c r="A601" i="44" s="1"/>
  <c r="A602" i="44" s="1"/>
  <c r="A603" i="44" s="1"/>
  <c r="A604" i="44" s="1"/>
  <c r="A605" i="44" s="1"/>
  <c r="A606" i="44" s="1"/>
  <c r="A607" i="44" s="1"/>
  <c r="A608" i="44" s="1"/>
  <c r="A50" i="44"/>
  <c r="AE49" i="44"/>
  <c r="I163" i="42"/>
  <c r="J162" i="42"/>
  <c r="L170" i="42"/>
  <c r="K171" i="42"/>
  <c r="K171" i="4"/>
  <c r="L170" i="4"/>
  <c r="A600" i="2"/>
  <c r="A601" i="2" s="1"/>
  <c r="A602" i="2" s="1"/>
  <c r="A603" i="2" s="1"/>
  <c r="A604" i="2" s="1"/>
  <c r="A605" i="2" s="1"/>
  <c r="A606" i="2" s="1"/>
  <c r="A607" i="2" s="1"/>
  <c r="A608" i="2" s="1"/>
  <c r="AE599" i="2"/>
  <c r="A50" i="2"/>
  <c r="AE49" i="2"/>
  <c r="J163" i="4"/>
  <c r="K162" i="4"/>
  <c r="F130" i="17"/>
  <c r="F141" i="17" s="1"/>
  <c r="AE141" i="17"/>
  <c r="AE132" i="17"/>
  <c r="AE143" i="17" s="1"/>
  <c r="AE121" i="17" s="1"/>
  <c r="X215" i="17"/>
  <c r="X200" i="17"/>
  <c r="X201" i="17"/>
  <c r="T132" i="17"/>
  <c r="T153" i="17" s="1"/>
  <c r="V131" i="17"/>
  <c r="AA138" i="17"/>
  <c r="AA128" i="17"/>
  <c r="W131" i="17"/>
  <c r="W142" i="17" s="1"/>
  <c r="Y142" i="17"/>
  <c r="Y132" i="17"/>
  <c r="Y143" i="17" s="1"/>
  <c r="Y121" i="17" s="1"/>
  <c r="T131" i="17"/>
  <c r="T152" i="17" s="1"/>
  <c r="V132" i="17"/>
  <c r="V153" i="17" s="1"/>
  <c r="U121" i="17"/>
  <c r="T149" i="17"/>
  <c r="AJ149" i="17" s="1"/>
  <c r="X130" i="17"/>
  <c r="X141" i="17" s="1"/>
  <c r="AB129" i="17"/>
  <c r="AC139" i="17"/>
  <c r="AC129" i="17"/>
  <c r="AJ138" i="17"/>
  <c r="AD140" i="17"/>
  <c r="AD130" i="17"/>
  <c r="AJ137" i="17"/>
  <c r="F91" i="17"/>
  <c r="AJ90" i="17"/>
  <c r="F131" i="17"/>
  <c r="A107" i="4"/>
  <c r="AX110" i="4" s="1"/>
  <c r="A26" i="11"/>
  <c r="A93" i="4"/>
  <c r="AX99" i="4" s="1"/>
  <c r="A24" i="11"/>
  <c r="M170" i="42" l="1"/>
  <c r="L171" i="42"/>
  <c r="A609" i="2"/>
  <c r="AE608" i="2"/>
  <c r="J163" i="42"/>
  <c r="K162" i="42"/>
  <c r="L171" i="4"/>
  <c r="M170" i="4"/>
  <c r="A51" i="44"/>
  <c r="AE50" i="44"/>
  <c r="A609" i="44"/>
  <c r="AE608" i="44"/>
  <c r="K163" i="4"/>
  <c r="L162" i="4"/>
  <c r="A51" i="2"/>
  <c r="AE50" i="2"/>
  <c r="V152" i="17"/>
  <c r="V121" i="17"/>
  <c r="AJ153" i="17"/>
  <c r="AJ152" i="17"/>
  <c r="AD141" i="17"/>
  <c r="AD131" i="17"/>
  <c r="AD142" i="17" s="1"/>
  <c r="AC140" i="17"/>
  <c r="AC130" i="17"/>
  <c r="AB140" i="17"/>
  <c r="AB130" i="17"/>
  <c r="AB141" i="17" s="1"/>
  <c r="AA139" i="17"/>
  <c r="AJ139" i="17" s="1"/>
  <c r="AK1" i="17" s="1"/>
  <c r="AA129" i="17"/>
  <c r="T121" i="17"/>
  <c r="W132" i="17"/>
  <c r="W143" i="17" s="1"/>
  <c r="X131" i="17"/>
  <c r="AB609" i="44"/>
  <c r="AC609" i="44"/>
  <c r="AX95" i="4"/>
  <c r="F142" i="17"/>
  <c r="F132" i="17"/>
  <c r="F143" i="17" s="1"/>
  <c r="AX98" i="4"/>
  <c r="F200" i="17"/>
  <c r="AJ200" i="17" s="1"/>
  <c r="F215" i="17"/>
  <c r="AJ91" i="17"/>
  <c r="F201" i="17"/>
  <c r="AJ201" i="17" s="1"/>
  <c r="AX107" i="4"/>
  <c r="AX111" i="4"/>
  <c r="AX109" i="4"/>
  <c r="AX113" i="4"/>
  <c r="AX112" i="4"/>
  <c r="AX108" i="4"/>
  <c r="AX97" i="4"/>
  <c r="AX94" i="4"/>
  <c r="AX96" i="4"/>
  <c r="AX93" i="4"/>
  <c r="A86" i="4"/>
  <c r="AX91" i="4" s="1"/>
  <c r="A23" i="11"/>
  <c r="AB609" i="2"/>
  <c r="AC609" i="2"/>
  <c r="AE51" i="44" l="1"/>
  <c r="A52" i="44"/>
  <c r="A53" i="44" s="1"/>
  <c r="A54" i="44" s="1"/>
  <c r="A55" i="44" s="1"/>
  <c r="A56" i="44" s="1"/>
  <c r="A57" i="44" s="1"/>
  <c r="A58" i="44" s="1"/>
  <c r="A59" i="44" s="1"/>
  <c r="A60" i="44" s="1"/>
  <c r="A61" i="44" s="1"/>
  <c r="AE61" i="44" s="1"/>
  <c r="N170" i="4"/>
  <c r="M171" i="4"/>
  <c r="AE609" i="44"/>
  <c r="A610" i="44"/>
  <c r="A611" i="44" s="1"/>
  <c r="A612" i="44" s="1"/>
  <c r="A613" i="44" s="1"/>
  <c r="A614" i="44" s="1"/>
  <c r="A615" i="44" s="1"/>
  <c r="A616" i="44" s="1"/>
  <c r="A617" i="44" s="1"/>
  <c r="A618" i="44" s="1"/>
  <c r="A619" i="44" s="1"/>
  <c r="A620" i="44" s="1"/>
  <c r="A621" i="44" s="1"/>
  <c r="A622" i="44" s="1"/>
  <c r="A623" i="44" s="1"/>
  <c r="A624" i="44" s="1"/>
  <c r="A625" i="44" s="1"/>
  <c r="A626" i="44" s="1"/>
  <c r="A627" i="44" s="1"/>
  <c r="A628" i="44" s="1"/>
  <c r="A629" i="44" s="1"/>
  <c r="A630" i="44" s="1"/>
  <c r="A631" i="44" s="1"/>
  <c r="A632" i="44" s="1"/>
  <c r="A633" i="44" s="1"/>
  <c r="A634" i="44" s="1"/>
  <c r="A635" i="44" s="1"/>
  <c r="A636" i="44" s="1"/>
  <c r="A637" i="44" s="1"/>
  <c r="A638" i="44" s="1"/>
  <c r="A639" i="44" s="1"/>
  <c r="A640" i="44" s="1"/>
  <c r="A641" i="44" s="1"/>
  <c r="A642" i="44" s="1"/>
  <c r="A643" i="44" s="1"/>
  <c r="A644" i="44" s="1"/>
  <c r="A645" i="44" s="1"/>
  <c r="A646" i="44" s="1"/>
  <c r="A647" i="44" s="1"/>
  <c r="A648" i="44" s="1"/>
  <c r="A649" i="44" s="1"/>
  <c r="A650" i="44" s="1"/>
  <c r="K163" i="42"/>
  <c r="L162" i="42"/>
  <c r="A52" i="2"/>
  <c r="A53" i="2" s="1"/>
  <c r="A54" i="2" s="1"/>
  <c r="A55" i="2" s="1"/>
  <c r="A56" i="2" s="1"/>
  <c r="A57" i="2" s="1"/>
  <c r="A58" i="2" s="1"/>
  <c r="A59" i="2" s="1"/>
  <c r="A60" i="2" s="1"/>
  <c r="A61" i="2" s="1"/>
  <c r="AE61" i="2" s="1"/>
  <c r="AE51" i="2"/>
  <c r="AE609" i="2"/>
  <c r="A610" i="2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L163" i="4"/>
  <c r="M162" i="4"/>
  <c r="N170" i="42"/>
  <c r="M171" i="42"/>
  <c r="X142" i="17"/>
  <c r="X132" i="17"/>
  <c r="X143" i="17" s="1"/>
  <c r="X121" i="17" s="1"/>
  <c r="AA140" i="17"/>
  <c r="AJ140" i="17" s="1"/>
  <c r="W121" i="17"/>
  <c r="AA130" i="17"/>
  <c r="AA141" i="17" s="1"/>
  <c r="AJ141" i="17" s="1"/>
  <c r="AB131" i="17"/>
  <c r="AB142" i="17" s="1"/>
  <c r="AB132" i="17"/>
  <c r="AB143" i="17" s="1"/>
  <c r="AB121" i="17" s="1"/>
  <c r="AC131" i="17"/>
  <c r="AC142" i="17" s="1"/>
  <c r="AC141" i="17"/>
  <c r="AC121" i="17" s="1"/>
  <c r="AC132" i="17"/>
  <c r="AC143" i="17" s="1"/>
  <c r="F121" i="17"/>
  <c r="AD132" i="17"/>
  <c r="AD143" i="17" s="1"/>
  <c r="AX92" i="4"/>
  <c r="AX86" i="4"/>
  <c r="AX89" i="4"/>
  <c r="AX87" i="4"/>
  <c r="AX90" i="4"/>
  <c r="AX88" i="4"/>
  <c r="A651" i="2" l="1"/>
  <c r="AE650" i="2"/>
  <c r="M162" i="42"/>
  <c r="L163" i="42"/>
  <c r="A651" i="44"/>
  <c r="AE650" i="44"/>
  <c r="N171" i="42"/>
  <c r="O170" i="42"/>
  <c r="O170" i="4"/>
  <c r="N171" i="4"/>
  <c r="N162" i="4"/>
  <c r="M163" i="4"/>
  <c r="AA132" i="17"/>
  <c r="AA143" i="17" s="1"/>
  <c r="AA131" i="17"/>
  <c r="AA142" i="17" s="1"/>
  <c r="AJ142" i="17" s="1"/>
  <c r="AD121" i="17"/>
  <c r="AJ143" i="17"/>
  <c r="AC651" i="44"/>
  <c r="AB651" i="44"/>
  <c r="A128" i="4"/>
  <c r="AX134" i="4" s="1"/>
  <c r="A31" i="11"/>
  <c r="A79" i="4"/>
  <c r="AX80" i="4" s="1"/>
  <c r="A35" i="11"/>
  <c r="AB651" i="2"/>
  <c r="AC651" i="2"/>
  <c r="O171" i="42" l="1"/>
  <c r="P170" i="42"/>
  <c r="A652" i="44"/>
  <c r="AE651" i="44"/>
  <c r="O162" i="4"/>
  <c r="N163" i="4"/>
  <c r="O171" i="4"/>
  <c r="P170" i="4"/>
  <c r="M163" i="42"/>
  <c r="N162" i="42"/>
  <c r="AE651" i="2"/>
  <c r="A652" i="2"/>
  <c r="AA121" i="17"/>
  <c r="AC652" i="44"/>
  <c r="AB652" i="44"/>
  <c r="AX84" i="4"/>
  <c r="AX132" i="4"/>
  <c r="AX133" i="4"/>
  <c r="AX128" i="4"/>
  <c r="AX129" i="4"/>
  <c r="AX130" i="4"/>
  <c r="AX131" i="4"/>
  <c r="AX82" i="4"/>
  <c r="AX83" i="4"/>
  <c r="AX81" i="4"/>
  <c r="AX79" i="4"/>
  <c r="AX85" i="4"/>
  <c r="AB652" i="2"/>
  <c r="AC652" i="2"/>
  <c r="A653" i="2" l="1"/>
  <c r="A654" i="2" s="1"/>
  <c r="A655" i="2" s="1"/>
  <c r="A656" i="2" s="1"/>
  <c r="AE652" i="2"/>
  <c r="O163" i="4"/>
  <c r="P162" i="4"/>
  <c r="N163" i="42"/>
  <c r="O162" i="42"/>
  <c r="AE652" i="44"/>
  <c r="A653" i="44"/>
  <c r="A654" i="44" s="1"/>
  <c r="A655" i="44" s="1"/>
  <c r="A656" i="44" s="1"/>
  <c r="P171" i="42"/>
  <c r="Q170" i="42"/>
  <c r="P171" i="4"/>
  <c r="Q170" i="4"/>
  <c r="A657" i="44" l="1"/>
  <c r="AE656" i="44"/>
  <c r="Q171" i="4"/>
  <c r="R170" i="4"/>
  <c r="Q171" i="42"/>
  <c r="R170" i="42"/>
  <c r="O163" i="42"/>
  <c r="P162" i="42"/>
  <c r="P163" i="4"/>
  <c r="Q162" i="4"/>
  <c r="A657" i="2"/>
  <c r="AE656" i="2"/>
  <c r="AC657" i="44"/>
  <c r="AB657" i="44"/>
  <c r="AC657" i="2"/>
  <c r="AB657" i="2"/>
  <c r="R162" i="4" l="1"/>
  <c r="Q163" i="4"/>
  <c r="A658" i="44"/>
  <c r="AE657" i="44"/>
  <c r="P163" i="42"/>
  <c r="Q162" i="42"/>
  <c r="S170" i="42"/>
  <c r="R171" i="42"/>
  <c r="R171" i="4"/>
  <c r="S170" i="4"/>
  <c r="A658" i="2"/>
  <c r="AE657" i="2"/>
  <c r="AC658" i="44"/>
  <c r="AB658" i="44"/>
  <c r="AB658" i="2"/>
  <c r="AC658" i="2"/>
  <c r="S171" i="4" l="1"/>
  <c r="T170" i="4"/>
  <c r="S171" i="42"/>
  <c r="T170" i="42"/>
  <c r="R162" i="42"/>
  <c r="Q163" i="42"/>
  <c r="AE658" i="44"/>
  <c r="A659" i="44"/>
  <c r="A660" i="44" s="1"/>
  <c r="A661" i="44" s="1"/>
  <c r="A662" i="44" s="1"/>
  <c r="A663" i="44" s="1"/>
  <c r="A664" i="44" s="1"/>
  <c r="A665" i="44" s="1"/>
  <c r="A659" i="2"/>
  <c r="A660" i="2" s="1"/>
  <c r="A661" i="2" s="1"/>
  <c r="A662" i="2" s="1"/>
  <c r="A663" i="2" s="1"/>
  <c r="A664" i="2" s="1"/>
  <c r="A665" i="2" s="1"/>
  <c r="AE658" i="2"/>
  <c r="S162" i="4"/>
  <c r="R163" i="4"/>
  <c r="S162" i="42" l="1"/>
  <c r="R163" i="42"/>
  <c r="T171" i="42"/>
  <c r="U170" i="42"/>
  <c r="S163" i="4"/>
  <c r="T162" i="4"/>
  <c r="T171" i="4"/>
  <c r="U170" i="4"/>
  <c r="U171" i="4" l="1"/>
  <c r="V170" i="4"/>
  <c r="T163" i="4"/>
  <c r="U162" i="4"/>
  <c r="V170" i="42"/>
  <c r="U171" i="42"/>
  <c r="S163" i="42"/>
  <c r="T162" i="42"/>
  <c r="T163" i="42" l="1"/>
  <c r="U162" i="42"/>
  <c r="W170" i="4"/>
  <c r="V171" i="4"/>
  <c r="W170" i="42"/>
  <c r="V171" i="42"/>
  <c r="U163" i="4"/>
  <c r="V162" i="4"/>
  <c r="W171" i="42" l="1"/>
  <c r="X170" i="42"/>
  <c r="V163" i="4"/>
  <c r="W162" i="4"/>
  <c r="X170" i="4"/>
  <c r="W171" i="4"/>
  <c r="U163" i="42"/>
  <c r="V162" i="42"/>
  <c r="W163" i="4" l="1"/>
  <c r="X162" i="4"/>
  <c r="X171" i="4"/>
  <c r="Y170" i="4"/>
  <c r="V163" i="42"/>
  <c r="W162" i="42"/>
  <c r="X171" i="42"/>
  <c r="Y170" i="42"/>
  <c r="Y171" i="42" l="1"/>
  <c r="Z170" i="42"/>
  <c r="W163" i="42"/>
  <c r="X162" i="42"/>
  <c r="Y171" i="4"/>
  <c r="Z170" i="4"/>
  <c r="Y162" i="4"/>
  <c r="X163" i="4"/>
  <c r="AA170" i="4" l="1"/>
  <c r="Z171" i="4"/>
  <c r="Z162" i="4"/>
  <c r="Y163" i="4"/>
  <c r="Y162" i="42"/>
  <c r="X163" i="42"/>
  <c r="AA170" i="42"/>
  <c r="Z171" i="42"/>
  <c r="AA162" i="4" l="1"/>
  <c r="Z163" i="4"/>
  <c r="Y163" i="42"/>
  <c r="Z162" i="42"/>
  <c r="AA171" i="42"/>
  <c r="AB170" i="42"/>
  <c r="AB170" i="4"/>
  <c r="AA171" i="4"/>
  <c r="AC170" i="42" l="1"/>
  <c r="AB171" i="42"/>
  <c r="AB171" i="4"/>
  <c r="AC170" i="4"/>
  <c r="Z163" i="42"/>
  <c r="AA162" i="42"/>
  <c r="AA163" i="4"/>
  <c r="AB162" i="4"/>
  <c r="AB163" i="4" l="1"/>
  <c r="AC162" i="4"/>
  <c r="AC171" i="4"/>
  <c r="AD170" i="4"/>
  <c r="AB162" i="42"/>
  <c r="AA163" i="42"/>
  <c r="AD170" i="42"/>
  <c r="AC171" i="42"/>
  <c r="AE170" i="42" l="1"/>
  <c r="AD171" i="42"/>
  <c r="AC162" i="42"/>
  <c r="AB163" i="42"/>
  <c r="AD171" i="4"/>
  <c r="AE170" i="4"/>
  <c r="AD162" i="4"/>
  <c r="AC163" i="4"/>
  <c r="AD162" i="42" l="1"/>
  <c r="AC163" i="42"/>
  <c r="AD163" i="4"/>
  <c r="AE162" i="4"/>
  <c r="AF170" i="4"/>
  <c r="AE171" i="4"/>
  <c r="AF170" i="42"/>
  <c r="AE171" i="42"/>
  <c r="AF171" i="4" l="1"/>
  <c r="AG170" i="4"/>
  <c r="AF171" i="42"/>
  <c r="AG170" i="42"/>
  <c r="AE163" i="4"/>
  <c r="AF162" i="4"/>
  <c r="AE162" i="42"/>
  <c r="AD163" i="42"/>
  <c r="AE163" i="42" l="1"/>
  <c r="AF162" i="42"/>
  <c r="AF163" i="4"/>
  <c r="AG162" i="4"/>
  <c r="AH170" i="4"/>
  <c r="AG171" i="4"/>
  <c r="AG171" i="42"/>
  <c r="AH170" i="42"/>
  <c r="AG163" i="4" l="1"/>
  <c r="AH162" i="4"/>
  <c r="AH171" i="4"/>
  <c r="AI170" i="4"/>
  <c r="AH171" i="42"/>
  <c r="AI170" i="42"/>
  <c r="AF163" i="42"/>
  <c r="AG162" i="42"/>
  <c r="AG163" i="42" l="1"/>
  <c r="AH162" i="42"/>
  <c r="AJ170" i="42"/>
  <c r="AI171" i="42"/>
  <c r="AI171" i="4"/>
  <c r="AJ170" i="4"/>
  <c r="AI162" i="4"/>
  <c r="AH163" i="4"/>
  <c r="AJ171" i="4" l="1"/>
  <c r="AK170" i="4"/>
  <c r="AK170" i="42"/>
  <c r="AJ171" i="42"/>
  <c r="AI163" i="4"/>
  <c r="AJ162" i="4"/>
  <c r="AH163" i="42"/>
  <c r="AI162" i="42"/>
  <c r="AI163" i="42" l="1"/>
  <c r="AJ162" i="42"/>
  <c r="AK171" i="42"/>
  <c r="AL170" i="42"/>
  <c r="AK162" i="4"/>
  <c r="AJ163" i="4"/>
  <c r="AL170" i="4"/>
  <c r="AK171" i="4"/>
  <c r="AL171" i="42" l="1"/>
  <c r="AM170" i="42"/>
  <c r="AM170" i="4"/>
  <c r="AL171" i="4"/>
  <c r="AK162" i="42"/>
  <c r="AJ163" i="42"/>
  <c r="AL162" i="4"/>
  <c r="AK163" i="4"/>
  <c r="AL163" i="4" l="1"/>
  <c r="AM162" i="4"/>
  <c r="AL162" i="42"/>
  <c r="AK163" i="42"/>
  <c r="AM171" i="42"/>
  <c r="AN170" i="42"/>
  <c r="AN170" i="4"/>
  <c r="AM171" i="4"/>
  <c r="AO170" i="42" l="1"/>
  <c r="AN171" i="42"/>
  <c r="AN162" i="4"/>
  <c r="AM163" i="4"/>
  <c r="AO170" i="4"/>
  <c r="AN171" i="4"/>
  <c r="AL163" i="42"/>
  <c r="AM162" i="42"/>
  <c r="A9" i="4"/>
  <c r="AX11" i="4" s="1"/>
  <c r="A12" i="11"/>
  <c r="AN162" i="42" l="1"/>
  <c r="AM163" i="42"/>
  <c r="AP170" i="4"/>
  <c r="AO171" i="4"/>
  <c r="AN163" i="4"/>
  <c r="AO162" i="4"/>
  <c r="AP170" i="42"/>
  <c r="AO171" i="42"/>
  <c r="AX12" i="4"/>
  <c r="AX15" i="4"/>
  <c r="AX9" i="4"/>
  <c r="AX10" i="4"/>
  <c r="AX14" i="4"/>
  <c r="AX13" i="4"/>
  <c r="AP162" i="4" l="1"/>
  <c r="AO163" i="4"/>
  <c r="AP171" i="42"/>
  <c r="AQ170" i="42"/>
  <c r="AQ171" i="42" s="1"/>
  <c r="AQ170" i="4"/>
  <c r="AQ171" i="4" s="1"/>
  <c r="AP171" i="4"/>
  <c r="AN163" i="42"/>
  <c r="AO162" i="42"/>
  <c r="A16" i="4"/>
  <c r="AX19" i="4" s="1"/>
  <c r="A29" i="11"/>
  <c r="AO163" i="42" l="1"/>
  <c r="AP162" i="42"/>
  <c r="AP163" i="4"/>
  <c r="AQ162" i="4"/>
  <c r="AQ163" i="4" s="1"/>
  <c r="AX17" i="4"/>
  <c r="AX16" i="4"/>
  <c r="AX21" i="4"/>
  <c r="AX18" i="4"/>
  <c r="AX22" i="4"/>
  <c r="AX20" i="4"/>
  <c r="AQ162" i="42" l="1"/>
  <c r="AQ163" i="42" s="1"/>
  <c r="AP163" i="42"/>
  <c r="C74" i="4"/>
  <c r="A23" i="4" l="1"/>
  <c r="AX26" i="4" s="1"/>
  <c r="A16" i="11"/>
  <c r="AX27" i="4" l="1"/>
  <c r="AX23" i="4"/>
  <c r="AX29" i="4"/>
  <c r="AX24" i="4"/>
  <c r="AX28" i="4"/>
  <c r="AX25" i="4"/>
  <c r="A30" i="4"/>
  <c r="AX36" i="4" s="1"/>
  <c r="A17" i="11"/>
  <c r="A18" i="11"/>
  <c r="AX33" i="4" l="1"/>
  <c r="AX31" i="4"/>
  <c r="AX34" i="4"/>
  <c r="AX30" i="4"/>
  <c r="AX32" i="4"/>
  <c r="AX35" i="4"/>
  <c r="A37" i="4"/>
  <c r="A20" i="11"/>
  <c r="A65" i="4" l="1"/>
  <c r="AX69" i="4" s="1"/>
  <c r="A21" i="11"/>
  <c r="A44" i="4"/>
  <c r="AX45" i="4" s="1"/>
  <c r="A19" i="11"/>
  <c r="A58" i="4"/>
  <c r="AX60" i="4" s="1"/>
  <c r="A30" i="11"/>
  <c r="A51" i="4"/>
  <c r="AX43" i="4"/>
  <c r="AX38" i="4"/>
  <c r="AX41" i="4"/>
  <c r="AX37" i="4"/>
  <c r="AX40" i="4"/>
  <c r="AX39" i="4"/>
  <c r="AX42" i="4"/>
  <c r="A25" i="11"/>
  <c r="AX70" i="4" l="1"/>
  <c r="AX62" i="4"/>
  <c r="AX64" i="4"/>
  <c r="AX61" i="4"/>
  <c r="AX59" i="4"/>
  <c r="AX71" i="4"/>
  <c r="AX67" i="4"/>
  <c r="AX65" i="4"/>
  <c r="AX66" i="4"/>
  <c r="AX68" i="4"/>
  <c r="AX58" i="4"/>
  <c r="AX47" i="4"/>
  <c r="AX49" i="4"/>
  <c r="AX44" i="4"/>
  <c r="AX50" i="4"/>
  <c r="AX46" i="4"/>
  <c r="AX48" i="4"/>
  <c r="A72" i="4"/>
  <c r="AX76" i="4" s="1"/>
  <c r="A34" i="11"/>
  <c r="AX63" i="4"/>
  <c r="A100" i="4"/>
  <c r="AX57" i="4"/>
  <c r="AX55" i="4"/>
  <c r="AX53" i="4"/>
  <c r="AX51" i="4"/>
  <c r="AX54" i="4"/>
  <c r="AX52" i="4"/>
  <c r="AX56" i="4"/>
  <c r="A13" i="11"/>
  <c r="AX78" i="4" l="1"/>
  <c r="AX75" i="4"/>
  <c r="AX77" i="4"/>
  <c r="AX72" i="4"/>
  <c r="AX73" i="4"/>
  <c r="AX74" i="4"/>
  <c r="A142" i="4"/>
  <c r="AX105" i="4"/>
  <c r="AX100" i="4"/>
  <c r="AX102" i="4"/>
  <c r="AX104" i="4"/>
  <c r="AX103" i="4"/>
  <c r="AX106" i="4"/>
  <c r="AX101" i="4"/>
  <c r="AX144" i="4" l="1"/>
  <c r="AX142" i="4"/>
  <c r="AX147" i="4"/>
  <c r="AX145" i="4"/>
  <c r="AX148" i="4"/>
  <c r="AX143" i="4"/>
  <c r="AX146" i="4"/>
  <c r="BC74" i="15"/>
  <c r="BB74" i="15"/>
  <c r="BA74" i="15"/>
  <c r="AZ74" i="15"/>
  <c r="AY74" i="15"/>
  <c r="AX74" i="15"/>
  <c r="AW74" i="15"/>
  <c r="AV74" i="15"/>
  <c r="AU74" i="15"/>
  <c r="AT74" i="15"/>
  <c r="AS74" i="15"/>
  <c r="AR74" i="15"/>
  <c r="AQ74" i="15"/>
  <c r="AP74" i="15"/>
  <c r="AO74" i="15"/>
  <c r="AN74" i="15"/>
  <c r="AM74" i="15"/>
  <c r="AL74" i="15"/>
  <c r="AK74" i="15"/>
  <c r="AJ74" i="15"/>
  <c r="AI74" i="15"/>
  <c r="AH74" i="15"/>
  <c r="AG74" i="15"/>
  <c r="AF74" i="15"/>
  <c r="AE74" i="15"/>
  <c r="AD74" i="15"/>
  <c r="AC74" i="15"/>
  <c r="AB74" i="15"/>
  <c r="AA74" i="15"/>
  <c r="Z74" i="15"/>
  <c r="Y74" i="15"/>
  <c r="X74" i="15"/>
  <c r="W74" i="15"/>
  <c r="V74" i="15"/>
  <c r="U74" i="15"/>
  <c r="T74" i="15"/>
  <c r="S74" i="15"/>
  <c r="R74" i="15"/>
  <c r="Q74" i="15"/>
  <c r="P74" i="15"/>
  <c r="O74" i="15"/>
  <c r="N74" i="15"/>
  <c r="M74" i="15"/>
  <c r="L74" i="15"/>
  <c r="K74" i="15"/>
  <c r="J74" i="15"/>
  <c r="I74" i="15"/>
  <c r="H74" i="15"/>
  <c r="G74" i="15"/>
  <c r="F74" i="15"/>
  <c r="E74" i="15"/>
  <c r="BC73" i="15"/>
  <c r="BB73" i="15"/>
  <c r="BA73" i="15"/>
  <c r="AZ73" i="15"/>
  <c r="AY73" i="15"/>
  <c r="AX73" i="15"/>
  <c r="AW73" i="15"/>
  <c r="AV73" i="15"/>
  <c r="AU73" i="15"/>
  <c r="AT73" i="15"/>
  <c r="AS73" i="15"/>
  <c r="AR73" i="15"/>
  <c r="AQ73" i="15"/>
  <c r="AP73" i="15"/>
  <c r="AO73" i="15"/>
  <c r="AN73" i="15"/>
  <c r="AM73" i="15"/>
  <c r="AL73" i="15"/>
  <c r="AK73" i="15"/>
  <c r="AJ73" i="15"/>
  <c r="AI73" i="15"/>
  <c r="AH73" i="15"/>
  <c r="AG73" i="15"/>
  <c r="AF73" i="15"/>
  <c r="AE73" i="15"/>
  <c r="AD73" i="15"/>
  <c r="AC73" i="15"/>
  <c r="AB73" i="15"/>
  <c r="AA73" i="15"/>
  <c r="Z73" i="15"/>
  <c r="Y73" i="15"/>
  <c r="X73" i="15"/>
  <c r="W73" i="15"/>
  <c r="V73" i="15"/>
  <c r="U73" i="15"/>
  <c r="T73" i="15"/>
  <c r="S73" i="15"/>
  <c r="R73" i="15"/>
  <c r="Q73" i="15"/>
  <c r="P73" i="15"/>
  <c r="O73" i="15"/>
  <c r="N73" i="15"/>
  <c r="M73" i="15"/>
  <c r="L73" i="15"/>
  <c r="K73" i="15"/>
  <c r="J73" i="15"/>
  <c r="I73" i="15"/>
  <c r="H73" i="15"/>
  <c r="G73" i="15"/>
  <c r="F73" i="15"/>
  <c r="E73" i="15"/>
  <c r="BC72" i="15"/>
  <c r="BB72" i="15"/>
  <c r="BA72" i="15"/>
  <c r="AZ72" i="15"/>
  <c r="AY72" i="15"/>
  <c r="AX72" i="15"/>
  <c r="AW72" i="15"/>
  <c r="AV72" i="15"/>
  <c r="AU72" i="15"/>
  <c r="AT72" i="15"/>
  <c r="AS72" i="15"/>
  <c r="AR72" i="15"/>
  <c r="AQ72" i="15"/>
  <c r="AP72" i="15"/>
  <c r="AO72" i="15"/>
  <c r="AN72" i="15"/>
  <c r="AM72" i="15"/>
  <c r="AL72" i="15"/>
  <c r="AK72" i="15"/>
  <c r="AJ72" i="15"/>
  <c r="AI72" i="15"/>
  <c r="AH72" i="15"/>
  <c r="AG72" i="15"/>
  <c r="AF72" i="15"/>
  <c r="AE72" i="15"/>
  <c r="AD72" i="15"/>
  <c r="AC72" i="15"/>
  <c r="AB72" i="15"/>
  <c r="AA72" i="15"/>
  <c r="Z72" i="15"/>
  <c r="Y72" i="15"/>
  <c r="X72" i="15"/>
  <c r="W72" i="15"/>
  <c r="V72" i="15"/>
  <c r="U72" i="15"/>
  <c r="T72" i="15"/>
  <c r="S72" i="15"/>
  <c r="R72" i="15"/>
  <c r="Q72" i="15"/>
  <c r="P72" i="15"/>
  <c r="O72" i="15"/>
  <c r="N72" i="15"/>
  <c r="M72" i="15"/>
  <c r="L72" i="15"/>
  <c r="K72" i="15"/>
  <c r="J72" i="15"/>
  <c r="I72" i="15"/>
  <c r="H72" i="15"/>
  <c r="G72" i="15"/>
  <c r="F72" i="15"/>
  <c r="E72" i="15"/>
  <c r="BC71" i="15"/>
  <c r="BB71" i="15"/>
  <c r="BA71" i="15"/>
  <c r="AZ71" i="15"/>
  <c r="AY71" i="15"/>
  <c r="AX71" i="15"/>
  <c r="AW71" i="15"/>
  <c r="AV71" i="15"/>
  <c r="AU71" i="15"/>
  <c r="AT71" i="15"/>
  <c r="AS71" i="15"/>
  <c r="AR71" i="15"/>
  <c r="AQ71" i="15"/>
  <c r="AP71" i="15"/>
  <c r="AO71" i="15"/>
  <c r="AN71" i="15"/>
  <c r="AM71" i="15"/>
  <c r="AL71" i="15"/>
  <c r="AK71" i="15"/>
  <c r="AJ71" i="15"/>
  <c r="AI71" i="15"/>
  <c r="AH71" i="15"/>
  <c r="AG71" i="15"/>
  <c r="AF71" i="15"/>
  <c r="AE71" i="15"/>
  <c r="AD71" i="15"/>
  <c r="AC71" i="15"/>
  <c r="AB71" i="15"/>
  <c r="AA71" i="15"/>
  <c r="Z71" i="15"/>
  <c r="Y71" i="15"/>
  <c r="X71" i="15"/>
  <c r="W71" i="15"/>
  <c r="V71" i="15"/>
  <c r="U71" i="15"/>
  <c r="T71" i="15"/>
  <c r="S71" i="15"/>
  <c r="R71" i="15"/>
  <c r="Q71" i="15"/>
  <c r="P71" i="15"/>
  <c r="O71" i="15"/>
  <c r="N71" i="15"/>
  <c r="M71" i="15"/>
  <c r="L71" i="15"/>
  <c r="K71" i="15"/>
  <c r="J71" i="15"/>
  <c r="I71" i="15"/>
  <c r="H71" i="15"/>
  <c r="G71" i="15"/>
  <c r="F71" i="15"/>
  <c r="E71" i="15"/>
  <c r="BC70" i="15"/>
  <c r="BB70" i="15"/>
  <c r="BA70" i="15"/>
  <c r="AZ70" i="15"/>
  <c r="AY70" i="15"/>
  <c r="AX70" i="15"/>
  <c r="AW70" i="15"/>
  <c r="AV70" i="15"/>
  <c r="AU70" i="15"/>
  <c r="AT70" i="15"/>
  <c r="AS70" i="15"/>
  <c r="AR70" i="15"/>
  <c r="AQ70" i="15"/>
  <c r="AP70" i="15"/>
  <c r="AO70" i="15"/>
  <c r="AN70" i="15"/>
  <c r="AM70" i="15"/>
  <c r="AL70" i="15"/>
  <c r="AK70" i="15"/>
  <c r="AJ70" i="15"/>
  <c r="AI70" i="15"/>
  <c r="AH70" i="15"/>
  <c r="AG70" i="15"/>
  <c r="AF70" i="15"/>
  <c r="AE70" i="15"/>
  <c r="AD70" i="15"/>
  <c r="AC70" i="15"/>
  <c r="AB70" i="15"/>
  <c r="AA70" i="15"/>
  <c r="Z70" i="15"/>
  <c r="Y70" i="15"/>
  <c r="X70" i="15"/>
  <c r="W70" i="15"/>
  <c r="V70" i="15"/>
  <c r="U70" i="15"/>
  <c r="T70" i="15"/>
  <c r="S70" i="15"/>
  <c r="R70" i="15"/>
  <c r="Q70" i="15"/>
  <c r="P70" i="15"/>
  <c r="O70" i="15"/>
  <c r="N70" i="15"/>
  <c r="M70" i="15"/>
  <c r="L70" i="15"/>
  <c r="K70" i="15"/>
  <c r="J70" i="15"/>
  <c r="I70" i="15"/>
  <c r="H70" i="15"/>
  <c r="G70" i="15"/>
  <c r="F70" i="15"/>
  <c r="E70" i="15"/>
  <c r="BC69" i="15"/>
  <c r="BB69" i="15"/>
  <c r="BA69" i="15"/>
  <c r="AZ69" i="15"/>
  <c r="AY69" i="15"/>
  <c r="AX69" i="15"/>
  <c r="AW69" i="15"/>
  <c r="AV69" i="15"/>
  <c r="AU69" i="15"/>
  <c r="AT69" i="15"/>
  <c r="AS69" i="15"/>
  <c r="AR69" i="15"/>
  <c r="AQ69" i="15"/>
  <c r="AP69" i="15"/>
  <c r="AO69" i="15"/>
  <c r="AN69" i="15"/>
  <c r="AM69" i="15"/>
  <c r="AL69" i="15"/>
  <c r="AK69" i="15"/>
  <c r="AJ69" i="15"/>
  <c r="AI69" i="15"/>
  <c r="AH69" i="15"/>
  <c r="AG69" i="15"/>
  <c r="AF69" i="15"/>
  <c r="AE69" i="15"/>
  <c r="AD69" i="15"/>
  <c r="AC69" i="15"/>
  <c r="AB69" i="15"/>
  <c r="AA69" i="15"/>
  <c r="Z69" i="15"/>
  <c r="Y69" i="15"/>
  <c r="X69" i="15"/>
  <c r="W69" i="15"/>
  <c r="V69" i="15"/>
  <c r="U69" i="15"/>
  <c r="T69" i="15"/>
  <c r="S69" i="15"/>
  <c r="R69" i="15"/>
  <c r="Q69" i="15"/>
  <c r="P69" i="15"/>
  <c r="O69" i="15"/>
  <c r="N69" i="15"/>
  <c r="M69" i="15"/>
  <c r="L69" i="15"/>
  <c r="K69" i="15"/>
  <c r="J69" i="15"/>
  <c r="I69" i="15"/>
  <c r="H69" i="15"/>
  <c r="G69" i="15"/>
  <c r="F69" i="15"/>
  <c r="E69" i="15"/>
  <c r="BC68" i="15"/>
  <c r="BB68" i="15"/>
  <c r="BA68" i="15"/>
  <c r="AZ68" i="15"/>
  <c r="AY68" i="15"/>
  <c r="AX68" i="15"/>
  <c r="AW68" i="15"/>
  <c r="AV68" i="15"/>
  <c r="AU68" i="15"/>
  <c r="AT68" i="15"/>
  <c r="AS68" i="15"/>
  <c r="AR68" i="15"/>
  <c r="AQ68" i="15"/>
  <c r="AP68" i="15"/>
  <c r="AO68" i="15"/>
  <c r="AN68" i="15"/>
  <c r="AM68" i="15"/>
  <c r="AL68" i="15"/>
  <c r="AK68" i="15"/>
  <c r="AJ68" i="15"/>
  <c r="AI68" i="15"/>
  <c r="AH68" i="15"/>
  <c r="AG68" i="15"/>
  <c r="AF68" i="15"/>
  <c r="AE68" i="15"/>
  <c r="AD68" i="15"/>
  <c r="AC68" i="15"/>
  <c r="AB68" i="15"/>
  <c r="AA68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BC67" i="15"/>
  <c r="BB67" i="15"/>
  <c r="BA67" i="15"/>
  <c r="AZ67" i="15"/>
  <c r="AY67" i="15"/>
  <c r="AX67" i="15"/>
  <c r="AW67" i="15"/>
  <c r="AV67" i="15"/>
  <c r="AU67" i="15"/>
  <c r="AT67" i="15"/>
  <c r="AS67" i="15"/>
  <c r="AR67" i="15"/>
  <c r="AQ67" i="15"/>
  <c r="AP67" i="15"/>
  <c r="AO67" i="15"/>
  <c r="AN67" i="15"/>
  <c r="AM67" i="15"/>
  <c r="AL67" i="15"/>
  <c r="AK67" i="15"/>
  <c r="AJ67" i="15"/>
  <c r="AI67" i="15"/>
  <c r="AH67" i="15"/>
  <c r="AG67" i="15"/>
  <c r="AF67" i="15"/>
  <c r="AE67" i="15"/>
  <c r="AD67" i="15"/>
  <c r="AC67" i="15"/>
  <c r="AB67" i="15"/>
  <c r="AA67" i="15"/>
  <c r="Z67" i="15"/>
  <c r="Y67" i="15"/>
  <c r="X67" i="15"/>
  <c r="W67" i="15"/>
  <c r="V67" i="15"/>
  <c r="U67" i="15"/>
  <c r="T67" i="15"/>
  <c r="S67" i="15"/>
  <c r="R67" i="15"/>
  <c r="Q67" i="15"/>
  <c r="P67" i="15"/>
  <c r="O67" i="15"/>
  <c r="N67" i="15"/>
  <c r="M67" i="15"/>
  <c r="L67" i="15"/>
  <c r="K67" i="15"/>
  <c r="J67" i="15"/>
  <c r="I67" i="15"/>
  <c r="H67" i="15"/>
  <c r="G67" i="15"/>
  <c r="F67" i="15"/>
  <c r="E67" i="15"/>
  <c r="BC66" i="15"/>
  <c r="BB66" i="15"/>
  <c r="BA66" i="15"/>
  <c r="AZ66" i="15"/>
  <c r="AY66" i="15"/>
  <c r="AX66" i="15"/>
  <c r="AW66" i="15"/>
  <c r="AV66" i="15"/>
  <c r="AU66" i="15"/>
  <c r="AT66" i="15"/>
  <c r="AS66" i="15"/>
  <c r="AR66" i="15"/>
  <c r="AQ66" i="15"/>
  <c r="AP66" i="15"/>
  <c r="AO66" i="15"/>
  <c r="AN66" i="15"/>
  <c r="AM66" i="15"/>
  <c r="AL66" i="15"/>
  <c r="AK66" i="15"/>
  <c r="AJ66" i="15"/>
  <c r="AI66" i="15"/>
  <c r="AH66" i="15"/>
  <c r="AG66" i="15"/>
  <c r="AF66" i="15"/>
  <c r="AE66" i="15"/>
  <c r="AD66" i="15"/>
  <c r="AC66" i="15"/>
  <c r="AB66" i="15"/>
  <c r="AA66" i="15"/>
  <c r="Z66" i="15"/>
  <c r="Y66" i="15"/>
  <c r="X66" i="15"/>
  <c r="W66" i="15"/>
  <c r="V66" i="15"/>
  <c r="U66" i="15"/>
  <c r="T66" i="15"/>
  <c r="S66" i="15"/>
  <c r="R66" i="15"/>
  <c r="Q66" i="15"/>
  <c r="P66" i="15"/>
  <c r="O66" i="15"/>
  <c r="N66" i="15"/>
  <c r="M66" i="15"/>
  <c r="L66" i="15"/>
  <c r="K66" i="15"/>
  <c r="J66" i="15"/>
  <c r="I66" i="15"/>
  <c r="H66" i="15"/>
  <c r="G66" i="15"/>
  <c r="F66" i="15"/>
  <c r="E66" i="15"/>
  <c r="BC65" i="15"/>
  <c r="BB65" i="15"/>
  <c r="BA65" i="15"/>
  <c r="AZ65" i="15"/>
  <c r="AY65" i="15"/>
  <c r="AX65" i="15"/>
  <c r="AW65" i="15"/>
  <c r="AV65" i="15"/>
  <c r="AU65" i="15"/>
  <c r="AT65" i="15"/>
  <c r="AS65" i="15"/>
  <c r="AR65" i="15"/>
  <c r="AQ65" i="15"/>
  <c r="AP65" i="15"/>
  <c r="AO65" i="15"/>
  <c r="AN65" i="15"/>
  <c r="AM65" i="15"/>
  <c r="AL65" i="15"/>
  <c r="AK65" i="15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BC64" i="15"/>
  <c r="BB64" i="15"/>
  <c r="BA64" i="15"/>
  <c r="AZ64" i="15"/>
  <c r="AY64" i="15"/>
  <c r="AX64" i="15"/>
  <c r="AW64" i="15"/>
  <c r="AV64" i="15"/>
  <c r="AU64" i="15"/>
  <c r="AT64" i="15"/>
  <c r="AS64" i="15"/>
  <c r="AR64" i="15"/>
  <c r="AQ64" i="15"/>
  <c r="AP64" i="15"/>
  <c r="AO64" i="15"/>
  <c r="AN64" i="15"/>
  <c r="AM64" i="15"/>
  <c r="AL64" i="15"/>
  <c r="AK64" i="15"/>
  <c r="AJ64" i="15"/>
  <c r="AI64" i="15"/>
  <c r="AH64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BC12" i="15"/>
  <c r="BB12" i="15"/>
  <c r="BA12" i="15"/>
  <c r="AZ12" i="15"/>
  <c r="AY12" i="15"/>
  <c r="AX12" i="15"/>
  <c r="AW12" i="15"/>
  <c r="AV12" i="15"/>
  <c r="AU12" i="15"/>
  <c r="AT12" i="15"/>
  <c r="AS12" i="15"/>
  <c r="AR12" i="15"/>
  <c r="AQ12" i="15"/>
  <c r="AP12" i="15"/>
  <c r="AO12" i="15"/>
  <c r="AN12" i="15"/>
  <c r="AM12" i="15"/>
  <c r="AL12" i="15"/>
  <c r="AK12" i="15"/>
  <c r="AJ12" i="15"/>
  <c r="AI12" i="15"/>
  <c r="AH12" i="15"/>
  <c r="AG12" i="15"/>
  <c r="AF12" i="15"/>
  <c r="AE12" i="15"/>
  <c r="AD12" i="15"/>
  <c r="AC12" i="15"/>
  <c r="AB12" i="15"/>
  <c r="AA12" i="15"/>
  <c r="Z12" i="15"/>
  <c r="Y12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BC11" i="15"/>
  <c r="BB11" i="15"/>
  <c r="BA11" i="15"/>
  <c r="AZ11" i="15"/>
  <c r="AY11" i="15"/>
  <c r="AX11" i="15"/>
  <c r="AW11" i="15"/>
  <c r="AV11" i="15"/>
  <c r="AU11" i="15"/>
  <c r="AT11" i="15"/>
  <c r="AS11" i="15"/>
  <c r="AR11" i="15"/>
  <c r="AQ11" i="15"/>
  <c r="AP11" i="15"/>
  <c r="AO11" i="15"/>
  <c r="AN11" i="15"/>
  <c r="AM11" i="15"/>
  <c r="AL11" i="15"/>
  <c r="AK11" i="15"/>
  <c r="AJ11" i="15"/>
  <c r="AI11" i="15"/>
  <c r="AH11" i="15"/>
  <c r="AG11" i="15"/>
  <c r="AF11" i="15"/>
  <c r="AE11" i="15"/>
  <c r="AD11" i="15"/>
  <c r="AC11" i="15"/>
  <c r="AB11" i="15"/>
  <c r="AA11" i="15"/>
  <c r="Z11" i="15"/>
  <c r="Y11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BC8" i="15"/>
  <c r="BB8" i="15"/>
  <c r="BA8" i="15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BC7" i="15"/>
  <c r="BB7" i="15"/>
  <c r="BA7" i="15"/>
  <c r="AZ7" i="15"/>
  <c r="AY7" i="15"/>
  <c r="AX7" i="15"/>
  <c r="AW7" i="15"/>
  <c r="AV7" i="15"/>
  <c r="AU7" i="15"/>
  <c r="AT7" i="15"/>
  <c r="AS7" i="15"/>
  <c r="AR7" i="15"/>
  <c r="AQ7" i="15"/>
  <c r="AP7" i="15"/>
  <c r="AO7" i="15"/>
  <c r="AN7" i="15"/>
  <c r="AM7" i="15"/>
  <c r="AL7" i="15"/>
  <c r="AK7" i="15"/>
  <c r="AJ7" i="15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BC6" i="15"/>
  <c r="BB6" i="15"/>
  <c r="BA6" i="15"/>
  <c r="AZ6" i="15"/>
  <c r="AY6" i="15"/>
  <c r="AX6" i="15"/>
  <c r="AW6" i="15"/>
  <c r="AV6" i="15"/>
  <c r="AU6" i="15"/>
  <c r="AT6" i="15"/>
  <c r="AS6" i="15"/>
  <c r="AR6" i="15"/>
  <c r="AQ6" i="15"/>
  <c r="AP6" i="15"/>
  <c r="AO6" i="15"/>
  <c r="AN6" i="15"/>
  <c r="AM6" i="15"/>
  <c r="AL6" i="15"/>
  <c r="AK6" i="15"/>
  <c r="AJ6" i="15"/>
  <c r="AI6" i="15"/>
  <c r="AH6" i="15"/>
  <c r="AG6" i="15"/>
  <c r="AF6" i="15"/>
  <c r="AE6" i="15"/>
  <c r="AD6" i="15"/>
  <c r="AC6" i="15"/>
  <c r="AB6" i="15"/>
  <c r="AA6" i="15"/>
  <c r="Z6" i="15"/>
  <c r="Y6" i="15"/>
  <c r="X6" i="15"/>
  <c r="W6" i="15"/>
  <c r="V6" i="15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BC5" i="15"/>
  <c r="BB5" i="15"/>
  <c r="BA5" i="15"/>
  <c r="AZ5" i="15"/>
  <c r="AY5" i="15"/>
  <c r="AX5" i="15"/>
  <c r="AW5" i="15"/>
  <c r="AV5" i="15"/>
  <c r="AU5" i="15"/>
  <c r="AT5" i="15"/>
  <c r="AS5" i="15"/>
  <c r="AR5" i="15"/>
  <c r="AQ5" i="15"/>
  <c r="AP5" i="15"/>
  <c r="AO5" i="15"/>
  <c r="AN5" i="15"/>
  <c r="AM5" i="15"/>
  <c r="AL5" i="15"/>
  <c r="AK5" i="15"/>
  <c r="AJ5" i="15"/>
  <c r="AI5" i="15"/>
  <c r="AH5" i="15"/>
  <c r="AG5" i="15"/>
  <c r="AF5" i="15"/>
  <c r="AE5" i="15"/>
  <c r="AD5" i="15"/>
  <c r="AC5" i="15"/>
  <c r="AB5" i="15"/>
  <c r="AA5" i="15"/>
  <c r="Z5" i="15"/>
  <c r="Y5" i="15"/>
  <c r="X5" i="15"/>
  <c r="W5" i="15"/>
  <c r="V5" i="15"/>
  <c r="U5" i="15"/>
  <c r="T5" i="15"/>
  <c r="S5" i="15"/>
  <c r="R5" i="15"/>
  <c r="Q5" i="15"/>
  <c r="P5" i="15"/>
  <c r="O5" i="15"/>
  <c r="N5" i="15"/>
  <c r="M5" i="15"/>
  <c r="L5" i="15"/>
  <c r="K5" i="15"/>
  <c r="J5" i="15"/>
  <c r="I5" i="15"/>
  <c r="H5" i="15"/>
  <c r="G5" i="15"/>
  <c r="F5" i="15"/>
  <c r="E5" i="15"/>
  <c r="BC3" i="15"/>
  <c r="BB3" i="15"/>
  <c r="BA3" i="15"/>
  <c r="AZ3" i="15"/>
  <c r="AY3" i="15"/>
  <c r="AX3" i="15"/>
  <c r="AW3" i="15"/>
  <c r="AV3" i="15"/>
  <c r="AU3" i="15"/>
  <c r="AT3" i="15"/>
  <c r="AS3" i="15"/>
  <c r="AR3" i="15"/>
  <c r="AQ3" i="15"/>
  <c r="AP3" i="15"/>
  <c r="AO3" i="15"/>
  <c r="AN3" i="15"/>
  <c r="AM3" i="15"/>
  <c r="AL3" i="15"/>
  <c r="AK3" i="15"/>
  <c r="AJ3" i="15"/>
  <c r="AI3" i="15"/>
  <c r="AH3" i="15"/>
  <c r="AG3" i="15"/>
  <c r="AF3" i="15"/>
  <c r="AE3" i="15"/>
  <c r="AD3" i="15"/>
  <c r="AC3" i="15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G3" i="15"/>
  <c r="F3" i="15"/>
  <c r="E3" i="15"/>
  <c r="BC2" i="15"/>
  <c r="BB2" i="15"/>
  <c r="BA2" i="15"/>
  <c r="AZ2" i="15"/>
  <c r="AY2" i="15"/>
  <c r="AX2" i="15"/>
  <c r="AW2" i="15"/>
  <c r="AV2" i="15"/>
  <c r="AU2" i="15"/>
  <c r="AT2" i="15"/>
  <c r="AS2" i="15"/>
  <c r="AR2" i="15"/>
  <c r="AQ2" i="15"/>
  <c r="AP2" i="15"/>
  <c r="AO2" i="15"/>
  <c r="AN2" i="15"/>
  <c r="AM2" i="15"/>
  <c r="AL2" i="15"/>
  <c r="AK2" i="15"/>
  <c r="AJ2" i="15"/>
  <c r="AI2" i="15"/>
  <c r="AH2" i="15"/>
  <c r="AG2" i="15"/>
  <c r="AF2" i="15"/>
  <c r="AE2" i="15"/>
  <c r="AD2" i="15"/>
  <c r="AC2" i="15"/>
  <c r="AB2" i="15"/>
  <c r="AA2" i="15"/>
  <c r="Z2" i="15"/>
  <c r="Y2" i="15"/>
  <c r="X2" i="15"/>
  <c r="W2" i="15"/>
  <c r="V2" i="15"/>
  <c r="U2" i="15"/>
  <c r="T2" i="15"/>
  <c r="S2" i="15"/>
  <c r="R2" i="15"/>
  <c r="Q2" i="15"/>
  <c r="P2" i="15"/>
  <c r="O2" i="15"/>
  <c r="N2" i="15"/>
  <c r="M2" i="15"/>
  <c r="L2" i="15"/>
  <c r="K2" i="15"/>
  <c r="J2" i="15"/>
  <c r="I2" i="15"/>
  <c r="H2" i="15"/>
  <c r="G2" i="15"/>
  <c r="F2" i="15"/>
  <c r="E2" i="15"/>
  <c r="BC1" i="15"/>
  <c r="BB1" i="15"/>
  <c r="BA1" i="15"/>
  <c r="AZ1" i="15"/>
  <c r="AY1" i="15"/>
  <c r="AX1" i="15"/>
  <c r="AW1" i="15"/>
  <c r="AV1" i="15"/>
  <c r="AU1" i="15"/>
  <c r="AT1" i="15"/>
  <c r="AS1" i="15"/>
  <c r="AR1" i="15"/>
  <c r="AQ1" i="15"/>
  <c r="AP1" i="15"/>
  <c r="AO1" i="15"/>
  <c r="AN1" i="15"/>
  <c r="AM1" i="15"/>
  <c r="AL1" i="15"/>
  <c r="AK1" i="15"/>
  <c r="AJ1" i="15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V1" i="15"/>
  <c r="U1" i="15"/>
  <c r="T1" i="15"/>
  <c r="S1" i="15"/>
  <c r="R1" i="15"/>
  <c r="Q1" i="15"/>
  <c r="P1" i="15"/>
  <c r="O1" i="15"/>
  <c r="N1" i="15"/>
  <c r="M1" i="15"/>
  <c r="L1" i="15"/>
  <c r="K1" i="15"/>
  <c r="J1" i="15"/>
  <c r="I1" i="15"/>
  <c r="H1" i="15"/>
  <c r="G1" i="15"/>
  <c r="F1" i="15"/>
  <c r="E1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  <author>tc={3136B4A9-641B-457B-94E1-4AA0992DFAC4}</author>
    <author>tc={5A66FA54-D587-4F90-B155-6568FF4C938E}</author>
    <author>.</author>
  </authors>
  <commentList>
    <comment ref="AI71" authorId="0" shapeId="0" xr:uid="{31DE7632-0493-45EB-B536-B81B13ABBD3C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73" authorId="0" shapeId="0" xr:uid="{FE771D78-1575-4711-B6CF-BAEB303A05F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4" authorId="0" shapeId="0" xr:uid="{598B9E06-42B5-4F61-8F7F-98D57F36B11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6" authorId="0" shapeId="0" xr:uid="{5A874926-6838-434B-BECD-83F636003238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7" authorId="0" shapeId="0" xr:uid="{8AF3722A-7DC2-4A8B-9606-085549ADBD4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E89" authorId="1" shapeId="0" xr:uid="{3136B4A9-641B-457B-94E1-4AA0992DFAC4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Falta recorte mecânico de pavimento</t>
        </r>
      </text>
    </comment>
    <comment ref="AI109" authorId="0" shapeId="0" xr:uid="{4287090D-0E1A-4268-9CE7-99352B66CC1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0" authorId="0" shapeId="0" xr:uid="{7B974734-18BA-48B1-842B-BAE8FDC746B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2" authorId="0" shapeId="0" xr:uid="{52201C60-7105-4A48-83A1-8F7D9FE84D6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3" authorId="0" shapeId="0" xr:uid="{E54FEFB3-B9FD-4342-90A7-53339066D9A8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E146" authorId="2" shapeId="0" xr:uid="{5A66FA54-D587-4F90-B155-6568FF4C938E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Rever a forma como é dimensionado o tipo de escoramento.</t>
        </r>
      </text>
    </comment>
    <comment ref="O182" authorId="3" shapeId="0" xr:uid="{17F5ECE8-3935-40CB-8226-5715FE45988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182" authorId="3" shapeId="0" xr:uid="{5D19CAE6-718A-400D-A71A-9D5B7BE1CD1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182" authorId="3" shapeId="0" xr:uid="{CE669DFF-42DB-48C1-9536-A26ABC412D0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183" authorId="3" shapeId="0" xr:uid="{A0FC3AA1-61A9-4755-8761-81BD0D4F934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183" authorId="3" shapeId="0" xr:uid="{344C489F-8DD3-44D5-809B-C01A153B5F4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183" authorId="3" shapeId="0" xr:uid="{F89E979D-0E04-4B94-AF40-F90ABBC0F9C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183" authorId="0" shapeId="0" xr:uid="{C267E5BF-118B-47A3-9ACD-5A218BFD41CC}">
      <text>
        <r>
          <rPr>
            <b/>
            <sz val="9"/>
            <color indexed="81"/>
            <rFont val="Segoe UI"/>
            <family val="2"/>
          </rPr>
          <t>digitar:
COMERCIAL
ou
PÚBLICO (local)</t>
        </r>
      </text>
    </comment>
    <comment ref="AI184" authorId="0" shapeId="0" xr:uid="{F50CEEA3-138C-4D3C-AC13-253B49481544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AI185" authorId="0" shapeId="0" xr:uid="{14518778-CA77-4BE7-AE37-B16471FC0E76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89" authorId="0" shapeId="0" xr:uid="{4B9916FD-1E46-47B9-89FE-2EDCA7FFB53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92" authorId="0" shapeId="0" xr:uid="{BE26C4E3-2559-4F9B-8A1F-D332C05A8CF8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95" authorId="0" shapeId="0" xr:uid="{C7C2D30D-8F30-4310-B47C-0A538E4ED8C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98" authorId="0" shapeId="0" xr:uid="{5A8F6EAC-5115-4D3B-ACA0-A77515B92AD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202" authorId="0" shapeId="0" xr:uid="{7F2779D4-A73E-4C68-844B-FDBC7D030A1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O205" authorId="3" shapeId="0" xr:uid="{DA14BC45-E64A-410A-8BBC-DBCE9BB42BB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05" authorId="3" shapeId="0" xr:uid="{B21F0A3D-F38C-4996-99C7-9000C4F059F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05" authorId="3" shapeId="0" xr:uid="{8CFEBCB8-E29F-481A-BDFD-F7454817551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06" authorId="3" shapeId="0" xr:uid="{7B2F71F8-A575-4CB0-9FE4-652FEA2EFFC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06" authorId="3" shapeId="0" xr:uid="{00D6179A-5378-4146-B470-617875CAEEB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06" authorId="3" shapeId="0" xr:uid="{A8C602BC-9ACB-4232-99C2-B4F4AA5161B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07" authorId="3" shapeId="0" xr:uid="{6E375126-A010-4489-9532-9141F086F58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07" authorId="3" shapeId="0" xr:uid="{5883B54D-D115-44F5-B8A3-936A00336AD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07" authorId="3" shapeId="0" xr:uid="{148D88BD-C2F3-4F43-9582-CBE66C726EF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08" authorId="3" shapeId="0" xr:uid="{45C87005-8BFF-4108-B22F-83231AD7E78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08" authorId="3" shapeId="0" xr:uid="{F9E3E99B-2E86-4FCD-8889-13DD76BB515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08" authorId="3" shapeId="0" xr:uid="{FF320009-8ACB-4220-8DC1-B49EDE8DE8E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09" authorId="3" shapeId="0" xr:uid="{9F6E0183-8DE8-464A-9EE4-36AD79A0A79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09" authorId="3" shapeId="0" xr:uid="{BD0060DF-6BE0-4691-AD8D-B71B448A024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09" authorId="3" shapeId="0" xr:uid="{3C57F532-E021-4320-8C0F-26CD4C151F0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10" authorId="3" shapeId="0" xr:uid="{CCCE45B5-3A47-44BA-B9A8-BC66BD59C3B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10" authorId="3" shapeId="0" xr:uid="{83A6FB82-F385-425D-BDAA-1670420FE96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10" authorId="3" shapeId="0" xr:uid="{D08F9B35-1A40-402C-9CB3-E963CD4C96D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11" authorId="3" shapeId="0" xr:uid="{BEB5E107-014B-4F93-9C56-DDAF028849D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11" authorId="3" shapeId="0" xr:uid="{623FABE0-E700-49AB-9DF4-DA0D1678B84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11" authorId="3" shapeId="0" xr:uid="{B0C672F6-60F2-4426-9184-3EDBE9A7CD1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12" authorId="3" shapeId="0" xr:uid="{BBAE84C8-198D-45DF-BA75-1E10958B9EE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12" authorId="3" shapeId="0" xr:uid="{889DF4CB-0209-488B-AE34-DBB88B4BE74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12" authorId="3" shapeId="0" xr:uid="{5C108E6A-8953-4EC3-A621-3C3F31AE71E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13" authorId="3" shapeId="0" xr:uid="{FDB640BB-4891-4F91-94CC-62710D52A2B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13" authorId="3" shapeId="0" xr:uid="{F1BC7918-BE94-4F88-AFB6-BC273F7E14B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13" authorId="3" shapeId="0" xr:uid="{C3EA1621-0D02-49A4-8935-2B854A50808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14" authorId="3" shapeId="0" xr:uid="{0EFF1576-F262-42E5-983E-C7E159BA9C4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14" authorId="3" shapeId="0" xr:uid="{2826FDC3-6456-4012-ACE4-B76FDB7C523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14" authorId="3" shapeId="0" xr:uid="{6728E798-2811-4179-87C3-B29684A3779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15" authorId="3" shapeId="0" xr:uid="{A4FF507A-E6B4-4AD5-BCC3-F618C696D69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15" authorId="3" shapeId="0" xr:uid="{87052BF7-8926-4E7E-AB4A-056B569105D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15" authorId="3" shapeId="0" xr:uid="{692D96F8-6848-48FE-9439-233C7FA4B7B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16" authorId="3" shapeId="0" xr:uid="{18430A5E-693D-4F05-BCE3-971AF357ACB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16" authorId="3" shapeId="0" xr:uid="{033FD7C3-4ECF-44F5-831B-F1CEA863DD0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16" authorId="3" shapeId="0" xr:uid="{7357129E-A3F2-4415-975D-9BACC4EDB78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29" authorId="3" shapeId="0" xr:uid="{995598AA-60BD-481D-8161-9C5AB24F542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29" authorId="3" shapeId="0" xr:uid="{AD3950B2-523E-48EE-B8AA-74640F89997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29" authorId="3" shapeId="0" xr:uid="{2D3960DE-A582-40C6-BB97-0B6EAB4464E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30" authorId="3" shapeId="0" xr:uid="{ED0BAE63-1462-42DD-8FE9-5BAABB995A6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30" authorId="3" shapeId="0" xr:uid="{FC4374DD-F4C5-4BB7-B855-160286E73EF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30" authorId="3" shapeId="0" xr:uid="{3DAE9260-5699-4824-B1C7-655BA4C9214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31" authorId="3" shapeId="0" xr:uid="{2B80A2C5-49BE-4CC2-B1B1-F788FC4AD15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31" authorId="3" shapeId="0" xr:uid="{B92AE6A6-8762-49FE-83BF-D74A40DA4C5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31" authorId="3" shapeId="0" xr:uid="{D77176B4-3362-4FC3-BB10-C596927A464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32" authorId="3" shapeId="0" xr:uid="{9AC250FC-4D28-4DE8-8BCB-9C857B1A360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32" authorId="3" shapeId="0" xr:uid="{4585422D-FAAC-4FB4-8270-616FC82F680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32" authorId="3" shapeId="0" xr:uid="{8DE72B1F-01A7-4EDC-A247-C199396E3DA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33" authorId="3" shapeId="0" xr:uid="{A2E4C850-2D42-454E-AE5F-174B3EFB625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33" authorId="3" shapeId="0" xr:uid="{3FE1EC93-DFB8-4AA8-B74D-EB8DBF2934B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33" authorId="3" shapeId="0" xr:uid="{83AA3855-481B-427C-B774-44DDC7B5745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34" authorId="3" shapeId="0" xr:uid="{99CED338-C8A8-4180-8DBF-F5FD9DB79D8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34" authorId="3" shapeId="0" xr:uid="{CF189B9A-16F3-40CE-9FDF-9A905321625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34" authorId="3" shapeId="0" xr:uid="{CD52C9D9-2C3E-44A1-B59C-A7AA1F3AE10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35" authorId="3" shapeId="0" xr:uid="{CBF353D8-CC34-4069-AE3A-9E1C2FB04D6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35" authorId="3" shapeId="0" xr:uid="{691B8B75-9441-4448-B7FA-9E315E12CDD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35" authorId="3" shapeId="0" xr:uid="{796DF8CC-83C1-4C1D-8236-09F07EBCCE3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36" authorId="3" shapeId="0" xr:uid="{B3E3EB6B-F76E-4D9A-B523-C5CF8DF8904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36" authorId="3" shapeId="0" xr:uid="{EAD9753A-DD32-405C-87E4-40E1692D012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36" authorId="3" shapeId="0" xr:uid="{D983156A-5149-442B-AD5B-BD5ED0D45EE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37" authorId="3" shapeId="0" xr:uid="{A94F4F50-8987-4533-90C0-9E5065278E6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37" authorId="3" shapeId="0" xr:uid="{64C47B19-9133-4DF4-BCFC-78A57020EFD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37" authorId="3" shapeId="0" xr:uid="{4A94E721-2E8B-4AE5-8F02-3E7D896FE04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325" authorId="0" shapeId="0" xr:uid="{196A913F-4A5D-490F-991D-A673BF34D70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326" authorId="0" shapeId="0" xr:uid="{F126970F-45C7-4C00-8231-FB415BACE92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358" authorId="0" shapeId="0" xr:uid="{F0BFF66A-5033-4CB9-8E47-F264B8F8762B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371" authorId="0" shapeId="0" xr:uid="{B8179C10-530D-4526-8063-E110E4237FE4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AI373" authorId="0" shapeId="0" xr:uid="{91D811C6-0045-46AE-89EB-CBDF86F0C883}">
      <text>
        <r>
          <rPr>
            <b/>
            <sz val="9"/>
            <color indexed="81"/>
            <rFont val="Segoe UI"/>
            <family val="2"/>
          </rPr>
          <t>digitar:
COMERCIAL
ou
PÚBLICO (local)</t>
        </r>
      </text>
    </comment>
    <comment ref="AI384" authorId="0" shapeId="0" xr:uid="{8FF5DDC6-A6C7-4EBD-81AF-E6389DE122C4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385" authorId="0" shapeId="0" xr:uid="{8E33FA9B-C2DC-40AB-8FC4-71D0560B91C9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386" authorId="0" shapeId="0" xr:uid="{66821A63-C7EA-497D-B4D6-D40B123BAFBE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427" authorId="0" shapeId="0" xr:uid="{6592AE0A-0A07-444C-9638-65CE8610B9FB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AI429" authorId="0" shapeId="0" xr:uid="{8FB690A9-4861-45E0-8527-CCF873333B1C}">
      <text>
        <r>
          <rPr>
            <b/>
            <sz val="9"/>
            <color indexed="81"/>
            <rFont val="Segoe UI"/>
            <family val="2"/>
          </rPr>
          <t>PARA DEFINIR ALTURA
digitar:
MENOR
ou
MAIOR</t>
        </r>
      </text>
    </comment>
    <comment ref="AI433" authorId="0" shapeId="0" xr:uid="{191B565F-F528-41A0-AC0B-2E7640C917DA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434" authorId="0" shapeId="0" xr:uid="{818A31B2-2DD4-4EAC-999F-6B73C28D3DEC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435" authorId="0" shapeId="0" xr:uid="{3A1E7116-FE2D-49BE-81EE-4478DDFC3DAB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436" authorId="0" shapeId="0" xr:uid="{B2A82B98-2E9F-40B8-9BAE-F180E4A547FF}">
      <text>
        <r>
          <rPr>
            <b/>
            <sz val="9"/>
            <color indexed="81"/>
            <rFont val="Segoe UI"/>
            <family val="2"/>
          </rPr>
          <t>digitar:
RETANGULAR
ou
16 FACES</t>
        </r>
      </text>
    </comment>
    <comment ref="AI438" authorId="0" shapeId="0" xr:uid="{63E46E92-BB4C-47EC-961B-CAC59E566AE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39" authorId="0" shapeId="0" xr:uid="{A3BE4DF3-9565-442E-A8E2-9A205472C8D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41" authorId="0" shapeId="0" xr:uid="{E44B385B-451E-4865-8EF9-FCA5BD80716E}">
      <text>
        <r>
          <rPr>
            <b/>
            <sz val="9"/>
            <color indexed="81"/>
            <rFont val="Segoe UI"/>
            <family val="2"/>
          </rPr>
          <t>digitar:
RP (revestimento primário)
ou 
PAV (pavimentada)</t>
        </r>
      </text>
    </comment>
    <comment ref="AI442" authorId="0" shapeId="0" xr:uid="{91989E15-3F5E-4136-9AC1-2A7A2D2B34E5}">
      <text>
        <r>
          <rPr>
            <b/>
            <sz val="9"/>
            <color indexed="81"/>
            <rFont val="Segoe UI"/>
            <family val="2"/>
          </rPr>
          <t>digitar:
RP (revestimento primário)
ou 
PAV (pavimentada)</t>
        </r>
      </text>
    </comment>
    <comment ref="AI444" authorId="0" shapeId="0" xr:uid="{79FADFD5-0FFA-448D-A9D2-7F1F986CAF4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45" authorId="0" shapeId="0" xr:uid="{2F21F438-2C3A-429D-A254-A23CBA1BD8A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47" authorId="0" shapeId="0" xr:uid="{9D769068-CC20-4FE6-A5AF-EB6283E72BE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49" authorId="0" shapeId="0" xr:uid="{6A1C962D-BE05-480E-97F9-25A52DCD046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50" authorId="0" shapeId="0" xr:uid="{793A686A-B5F3-4B0E-8860-5942A01AF11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52" authorId="0" shapeId="0" xr:uid="{0E3AE153-D324-41D3-A518-2581AAA51F0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53" authorId="0" shapeId="0" xr:uid="{C3D0A5AD-393E-4653-89B6-E3AD5F5E5ED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O472" authorId="3" shapeId="0" xr:uid="{8B476BD0-1489-44A7-BB80-EA311BCDB79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472" authorId="3" shapeId="0" xr:uid="{951C88A2-C563-4F92-96D9-1C020DEF8F3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472" authorId="3" shapeId="0" xr:uid="{305C3D7A-BA27-4317-8377-B7F9D574DD2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472" authorId="0" shapeId="0" xr:uid="{A4C49266-3264-462D-898D-3FCA8705EEC5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482" authorId="0" shapeId="0" xr:uid="{5861736A-0FEF-4EEB-B941-ECBDA18F191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83" authorId="0" shapeId="0" xr:uid="{968892D0-1CD0-4EFB-B8E1-9AC6C5F5DD9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85" authorId="0" shapeId="0" xr:uid="{900A2401-66D8-4291-BECE-DC9E6AE919C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86" authorId="0" shapeId="0" xr:uid="{9FC0B76F-8057-4908-95CC-86D0751E0A98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88" authorId="0" shapeId="0" xr:uid="{7DBB4C5C-6CE1-4574-8DB2-C2D8369F14A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89" authorId="0" shapeId="0" xr:uid="{46A97ADA-9D82-4BFA-84F0-E870311C9DE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91" authorId="0" shapeId="0" xr:uid="{09620B61-F0DD-4F6B-8453-923E5BADC9A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92" authorId="0" shapeId="0" xr:uid="{0432B25C-7A1C-4B90-970A-973E1D444B7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O497" authorId="3" shapeId="0" xr:uid="{AE40EB0D-9AA1-4B72-AE39-D115192F398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497" authorId="3" shapeId="0" xr:uid="{2F006B39-B173-433A-B40D-1AFABF6EAC3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497" authorId="3" shapeId="0" xr:uid="{49525E10-1B0B-47A9-B143-644FF924ADB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497" authorId="0" shapeId="0" xr:uid="{FF8B8EB3-0071-4288-AFD5-33CE61004923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O498" authorId="3" shapeId="0" xr:uid="{586918B3-3881-4D42-A354-16714820047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498" authorId="3" shapeId="0" xr:uid="{B2D70D43-1034-4988-8F88-D0D8142332C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498" authorId="3" shapeId="0" xr:uid="{02533667-3C69-47D6-911E-18FF2850A12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499" authorId="3" shapeId="0" xr:uid="{CEE294F9-EE00-46B1-85D9-4F1B2EEDDB1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499" authorId="3" shapeId="0" xr:uid="{B24A7FBB-0F19-4D49-85DC-2CCD44F758D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499" authorId="3" shapeId="0" xr:uid="{697BC82C-8BED-444B-AEF5-DE2FD946022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499" authorId="0" shapeId="0" xr:uid="{188D2EF4-8B20-4412-9309-8EB259417D02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O500" authorId="3" shapeId="0" xr:uid="{DC2B2964-1413-413B-B24F-AC1BD31E64F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500" authorId="3" shapeId="0" xr:uid="{E46C7425-5648-499B-8898-8957D5B6AF4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500" authorId="3" shapeId="0" xr:uid="{F5EF14CD-A4DD-45FD-BEAB-D759F3BAECE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501" authorId="3" shapeId="0" xr:uid="{F1717637-9B08-48F5-A7C4-96FADD51A09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501" authorId="3" shapeId="0" xr:uid="{08C3EB65-0C56-404A-8B85-0D8F30388CF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501" authorId="3" shapeId="0" xr:uid="{F97BFDDF-8D8E-40A1-90C8-7A5895A0504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B506" authorId="0" shapeId="0" xr:uid="{98E00851-C1BD-4AD0-B72C-DF3FF3899CED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AI506" authorId="0" shapeId="0" xr:uid="{4DE78F4C-3B91-4DB3-9881-166DC79C56DD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AI508" authorId="0" shapeId="0" xr:uid="{9CAC9682-E97B-4D68-88F8-C9F809AD02CC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AI509" authorId="0" shapeId="0" xr:uid="{D59F7AA8-DFED-43BB-9A10-2D7E92D2BB98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AI512" authorId="0" shapeId="0" xr:uid="{4AFB9E60-C860-4A96-A90C-0D40E358B1E4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514" authorId="0" shapeId="0" xr:uid="{D5EBAF31-983D-4727-98D2-2EBD0EF6700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15" authorId="0" shapeId="0" xr:uid="{C65DA7C5-B375-44F5-8DE2-806912851DF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17" authorId="0" shapeId="0" xr:uid="{2EF07C4A-ACBB-4C65-91C6-53BFE36F0E4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18" authorId="0" shapeId="0" xr:uid="{6A38B111-63ED-48E8-9CC9-E72856BEA9A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23" authorId="0" shapeId="0" xr:uid="{240A2A3E-E35C-40C9-B259-4617261CE2A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24" authorId="0" shapeId="0" xr:uid="{7FD89A20-DD3C-4833-B00B-9B76ACD3254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26" authorId="0" shapeId="0" xr:uid="{FC3BF9B2-FB02-451C-B23A-CEA8CAFE435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27" authorId="0" shapeId="0" xr:uid="{A146FDC3-A189-484E-8DBC-5DB12786421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29" authorId="0" shapeId="0" xr:uid="{B6A72F61-D6C4-4AC5-889B-295FDB04C7F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30" authorId="0" shapeId="0" xr:uid="{3DC65B3D-CB89-4D8F-AF6E-53A0BE2C7DD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32" authorId="0" shapeId="0" xr:uid="{D2F69B4D-8342-4F2C-8AE5-08E8C3F3B69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33" authorId="0" shapeId="0" xr:uid="{194C821D-F122-4E08-B167-878A1677F38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35" authorId="0" shapeId="0" xr:uid="{9EF1DAF0-BCF4-4A4D-A5EA-19F800FD62B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36" authorId="0" shapeId="0" xr:uid="{5E445E44-B97D-4F89-93F6-F897567C6E1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38" authorId="0" shapeId="0" xr:uid="{BB9992BB-B19C-4982-9C7D-2E84A360938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39" authorId="0" shapeId="0" xr:uid="{7DAC716D-FDBA-4FE6-B5CB-12E6E1B1BBD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41" authorId="0" shapeId="0" xr:uid="{052829F7-9247-4682-8D6D-AF43A58519F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42" authorId="0" shapeId="0" xr:uid="{A596109C-284B-4B91-9429-714C14947C9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44" authorId="0" shapeId="0" xr:uid="{7B80C3B0-C0B1-4929-9F36-C613AB5C107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45" authorId="0" shapeId="0" xr:uid="{8EFD8E27-54CD-4291-8170-E1A9B49DD738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47" authorId="0" shapeId="0" xr:uid="{E52BD3B5-ABE3-48BC-86EF-522AAA85C0C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48" authorId="0" shapeId="0" xr:uid="{40B25C81-1257-487D-94D7-A9B38F0C3918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50" authorId="0" shapeId="0" xr:uid="{15D7B9B4-8BD1-4F35-B148-C5AC0D27489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51" authorId="0" shapeId="0" xr:uid="{82034AFE-4450-4FBC-B314-A138A2DFE45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53" authorId="0" shapeId="0" xr:uid="{1E092563-0D04-446C-AEC4-300EDE8F934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54" authorId="0" shapeId="0" xr:uid="{368E1178-8593-4E5E-BC7A-9398B017276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56" authorId="0" shapeId="0" xr:uid="{26EA3509-7793-44F9-B3EB-017ECFA7071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57" authorId="0" shapeId="0" xr:uid="{20B269EE-F5B4-44C4-AE66-1CFA6E5AC7C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59" authorId="0" shapeId="0" xr:uid="{7652EE0D-2041-425B-846D-5A4FB478A06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60" authorId="0" shapeId="0" xr:uid="{897A3907-EE0C-43FE-BA9E-F2655D1A835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62" authorId="0" shapeId="0" xr:uid="{F5A0B3FC-635A-4A31-8797-DF1B3C1D444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63" authorId="0" shapeId="0" xr:uid="{CC77BFD4-AB08-447F-9FF5-EBDFA9E45348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65" authorId="0" shapeId="0" xr:uid="{29586926-B888-4353-A884-C542418AEBB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66" authorId="0" shapeId="0" xr:uid="{00F72B04-99CC-4B4C-89E5-FAD07A254FF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68" authorId="0" shapeId="0" xr:uid="{CA5CC479-74CA-412A-975E-8D08149C428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69" authorId="0" shapeId="0" xr:uid="{44F71DA7-D0B9-47CE-947F-819DD4516D5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79" authorId="0" shapeId="0" xr:uid="{36206999-E5ED-4659-B1EC-49A164A8E191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580" authorId="0" shapeId="0" xr:uid="{15F1A997-FF31-42C4-ADA5-FC90C87ADEAD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O592" authorId="3" shapeId="0" xr:uid="{1C2565BD-E23C-49F7-87B0-CCBF3FB163C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592" authorId="3" shapeId="0" xr:uid="{1F4F15E8-8B25-4375-8F14-81EDFB405A4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592" authorId="3" shapeId="0" xr:uid="{B3430017-6183-484A-9369-F0FA792B3D4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593" authorId="3" shapeId="0" xr:uid="{2C98579C-4BB6-4589-9338-DE9E2CF8C4C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593" authorId="3" shapeId="0" xr:uid="{3CBEDF69-9124-4100-AF00-F0F2CDDC190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593" authorId="3" shapeId="0" xr:uid="{A4206528-C860-4B7F-AE30-60E0C1001BF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594" authorId="3" shapeId="0" xr:uid="{438077AE-1E2D-4C91-8BBA-4CBA2A1296E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594" authorId="3" shapeId="0" xr:uid="{7635F9F8-0CB9-43D6-B256-283B2236D86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594" authorId="3" shapeId="0" xr:uid="{A6134E6E-E4C8-4665-92BF-B72B0975A7B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595" authorId="3" shapeId="0" xr:uid="{4B4268EC-F9B9-4B07-A760-B26DB289CB9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595" authorId="3" shapeId="0" xr:uid="{FBAA8C9C-301F-4853-80B5-90D04692D07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595" authorId="3" shapeId="0" xr:uid="{7BDF5A99-D435-4FCF-B975-68522DDB91F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596" authorId="3" shapeId="0" xr:uid="{0483DA22-C795-4C02-B38E-94F9F5DE223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596" authorId="3" shapeId="0" xr:uid="{09C40DB6-B701-49BD-BF54-E66CEEBDDCC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596" authorId="3" shapeId="0" xr:uid="{4D1B55C6-F275-4969-9B52-441D3A70184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B597" authorId="0" shapeId="0" xr:uid="{3D6E3108-E8DA-4060-9BFB-8F8222F62AA1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AI597" authorId="0" shapeId="0" xr:uid="{F7E4CB35-3BDF-4C03-81C0-0764F9024478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AI599" authorId="0" shapeId="0" xr:uid="{1CFC9153-DD45-4C61-B9F8-2CE76D48B027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AI600" authorId="0" shapeId="0" xr:uid="{DDD86F70-A6D9-415D-8E06-3E528E705D06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AI601" authorId="0" shapeId="0" xr:uid="{02740BD2-87CA-4EDB-BBFE-BED3ED25A8A4}">
      <text>
        <r>
          <rPr>
            <b/>
            <sz val="9"/>
            <color indexed="81"/>
            <rFont val="Segoe UI"/>
            <family val="2"/>
          </rPr>
          <t>digitar:
COMERCIAL 35/40
ou 
COMERCIAL 50/70
ou
INSTALADA 35/40
ou
INSTALADA 50/70</t>
        </r>
      </text>
    </comment>
    <comment ref="AI605" authorId="0" shapeId="0" xr:uid="{BEE6453B-7E76-4D0D-8106-D69038380EBE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606" authorId="0" shapeId="0" xr:uid="{813728E7-4219-4F2C-B39C-CFC947A93AD7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609" authorId="0" shapeId="0" xr:uid="{DDB2E579-00C6-4D50-B9EA-F10E54B821A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10" authorId="0" shapeId="0" xr:uid="{D2F5B2C1-F894-48E3-9C27-D56AC2C0059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12" authorId="0" shapeId="0" xr:uid="{BF868F3B-5855-4A82-BD27-25E0874B412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13" authorId="0" shapeId="0" xr:uid="{469566E5-F232-4BCC-A33E-F95DDBF4EDA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18" authorId="0" shapeId="0" xr:uid="{70B1A7D1-DE71-485F-BB74-211DEB44E6E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19" authorId="0" shapeId="0" xr:uid="{4EE79176-4678-4262-8F6D-7359AF3BC5E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24" authorId="0" shapeId="0" xr:uid="{364CBBD5-3B65-4F4B-9D17-BC04122A35E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25" authorId="0" shapeId="0" xr:uid="{AE0B6813-E6E5-458E-A7EC-322335D608A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27" authorId="0" shapeId="0" xr:uid="{80E66AC9-8EAB-44EB-9BF2-D730DE71D56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28" authorId="0" shapeId="0" xr:uid="{07339D6C-991F-4F9E-996E-57B574E4E60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30" authorId="0" shapeId="0" xr:uid="{362A12D3-8181-4886-9B19-25077F3C6EF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31" authorId="0" shapeId="0" xr:uid="{B8D70C5B-5DDE-4886-833C-4C72BD0F62A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33" authorId="0" shapeId="0" xr:uid="{7CBE21B4-CA0E-420F-9FA4-2D22F988965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34" authorId="0" shapeId="0" xr:uid="{0060960E-51DB-4F4C-9503-A93D8B7E872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36" authorId="0" shapeId="0" xr:uid="{7A1F6168-9ECE-46E2-8045-917A989FC52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37" authorId="0" shapeId="0" xr:uid="{45F0BBCD-03E1-4617-A8FA-D0310575398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39" authorId="0" shapeId="0" xr:uid="{4E87566D-6FA4-42B9-94D3-A658F218E38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40" authorId="0" shapeId="0" xr:uid="{FD455379-14CD-44B9-9BDD-6BEDB837A97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42" authorId="0" shapeId="0" xr:uid="{33DF89B1-0772-4567-AFA5-6DB198DEB92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43" authorId="0" shapeId="0" xr:uid="{56162F22-28FA-4671-87F3-3AACFF44082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48" authorId="0" shapeId="0" xr:uid="{7C92B976-77D4-4A68-9411-941FB4748BA8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49" authorId="0" shapeId="0" xr:uid="{D17E2875-29AB-42D4-8978-F06284BBAC5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51" authorId="0" shapeId="0" xr:uid="{29C76003-90D6-424D-8ADB-420B52EC2F1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52" authorId="0" shapeId="0" xr:uid="{F449315D-F45A-4A53-BB53-5E73FA0F8A0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54" authorId="0" shapeId="0" xr:uid="{02EDC17F-2FD4-413E-8CE2-6ED7C37E1FF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55" authorId="0" shapeId="0" xr:uid="{42DF900D-4202-4129-A0AF-4152F1A751F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57" authorId="0" shapeId="0" xr:uid="{35618B1C-68D0-4B1B-8447-BEAE5AAC1B8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58" authorId="0" shapeId="0" xr:uid="{34D077F6-E926-41AC-9007-E78A3E4A7C8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60" authorId="0" shapeId="0" xr:uid="{21EA7B97-E330-497F-9022-ACE90BC9DF1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61" authorId="0" shapeId="0" xr:uid="{40E831FF-AF6C-4233-8BA3-9267029C5D2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63" authorId="0" shapeId="0" xr:uid="{F2176A7D-83BF-4930-A6BB-CC8D09709ED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64" authorId="0" shapeId="0" xr:uid="{BC382503-687A-44C9-8A21-D5F2B033A42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73" authorId="0" shapeId="0" xr:uid="{9CE90F32-93F8-414B-B6F8-EFB56A07D16D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AI674" authorId="0" shapeId="0" xr:uid="{49F3F255-49A6-4B3A-96B0-E693E96F2C54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AI684" authorId="0" shapeId="0" xr:uid="{FDFE4A56-ED8C-48BA-BD8A-1DFA1D8B7CF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85" authorId="0" shapeId="0" xr:uid="{B8BC4C3A-0163-4090-A155-F775EE02324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87" authorId="0" shapeId="0" xr:uid="{C7B6FBFB-7CD1-4B61-AAC1-0EB0B50AB81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88" authorId="0" shapeId="0" xr:uid="{5C9A5E22-2E53-4D3B-843F-990CCB7B647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90" authorId="0" shapeId="0" xr:uid="{B1DD6A69-B80E-44B0-BB41-5A155D3D360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91" authorId="0" shapeId="0" xr:uid="{140ED54C-DD69-4046-947B-D64AB8473408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93" authorId="0" shapeId="0" xr:uid="{943617EE-B73F-4FF0-910B-23262DCFD09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94" authorId="0" shapeId="0" xr:uid="{094FFC39-29EB-4B8C-B303-8FF0C963EA1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96" authorId="0" shapeId="0" xr:uid="{CCCEEC58-05CE-4CFF-9BDC-4506D0F6338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97" authorId="0" shapeId="0" xr:uid="{B090F6E7-24E7-4B93-90AB-01597045885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99" authorId="0" shapeId="0" xr:uid="{DF374CC9-7783-4B64-8F6F-DDE8DAFE75A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00" authorId="0" shapeId="0" xr:uid="{7197C300-9C9C-45DE-B33C-4D353723EF2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02" authorId="0" shapeId="0" xr:uid="{20442F7A-B357-4C93-97A1-0AFEFF08B2A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03" authorId="0" shapeId="0" xr:uid="{6E5D4F1A-E160-4D9F-9F0E-0196FE061FC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05" authorId="0" shapeId="0" xr:uid="{D88EADEA-8E2C-4406-88F7-C944761F2B1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06" authorId="0" shapeId="0" xr:uid="{D624FB9C-DD83-460B-995F-86715D50DB4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08" authorId="0" shapeId="0" xr:uid="{42CB9ACD-6EA6-4C3E-9422-09D839BAAAE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09" authorId="0" shapeId="0" xr:uid="{D6B2D119-BB3D-4D00-AFF7-4AC29939955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11" authorId="0" shapeId="0" xr:uid="{06EA8453-5251-468E-AE70-9B19A9072B8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12" authorId="0" shapeId="0" xr:uid="{B4382332-D32B-42E7-9130-58C33E9A047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14" authorId="0" shapeId="0" xr:uid="{11702AD9-B59B-44D8-93A5-DAB266F56AC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15" authorId="0" shapeId="0" xr:uid="{0630760F-9C31-4B6A-AA11-CDA14898062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17" authorId="0" shapeId="0" xr:uid="{884A81A0-EE8F-4E37-9221-554E3216C4F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18" authorId="0" shapeId="0" xr:uid="{E4D7256F-8736-4B41-98E9-A45D2565FA0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27" authorId="0" shapeId="0" xr:uid="{BAE61872-D27D-4C11-9DEE-3FA2EB677DB2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O728" authorId="3" shapeId="0" xr:uid="{3F669E4C-8951-49CB-A8A3-A65F1354569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728" authorId="3" shapeId="0" xr:uid="{FAB7CCAA-B3C4-43E3-A8AF-2C5D76B41A0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728" authorId="3" shapeId="0" xr:uid="{D1B8B726-3BEE-41FB-8FB4-8DD61E569FF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728" authorId="0" shapeId="0" xr:uid="{65E5EB33-2F52-41F5-B584-9F4F822DD0BA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729" authorId="0" shapeId="0" xr:uid="{B2B83BDC-1E63-495F-8745-269E167739B9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733" authorId="0" shapeId="0" xr:uid="{0246DC91-37F5-41C5-8FC2-2B25CD12F2A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34" authorId="0" shapeId="0" xr:uid="{D3A152EE-F90B-4E94-8A0D-2F44A4D749E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36" authorId="0" shapeId="0" xr:uid="{76105688-7EC8-4A3F-92AF-CCAF2C0D35E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37" authorId="0" shapeId="0" xr:uid="{510DC7C7-9E09-4C56-9994-E5380BC67CB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39" authorId="0" shapeId="0" xr:uid="{0D6756FE-1D16-44FC-B085-860D57FB2D3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40" authorId="0" shapeId="0" xr:uid="{70523E13-3482-4353-BA51-5EB416621E6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42" authorId="0" shapeId="0" xr:uid="{9BD1ABFE-C1B2-4C50-A72B-4C06C7F57638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43" authorId="0" shapeId="0" xr:uid="{82358BE2-88ED-4810-A58A-F6672D10FAB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46" authorId="0" shapeId="0" xr:uid="{2A39331F-6664-4E7A-A2D2-F6EAE19C1FBF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B755" authorId="0" shapeId="0" xr:uid="{5C5FE732-CFC9-4869-91D7-1C8806E6336B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AI755" authorId="0" shapeId="0" xr:uid="{DE64EEB0-719F-4A61-920E-2E334E806158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AI759" authorId="0" shapeId="0" xr:uid="{C86D8070-A193-47CC-BFE2-0899B60C82BE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AI760" authorId="0" shapeId="0" xr:uid="{62299099-DD16-4821-AFE5-4A14D1810CB7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O766" authorId="3" shapeId="0" xr:uid="{F99DB3FE-FE01-4ED5-8A83-AA2AB3511F4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766" authorId="3" shapeId="0" xr:uid="{D6AE0D6B-4EF5-46D3-B64C-38097B0C356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766" authorId="3" shapeId="0" xr:uid="{87137211-F8E9-47E0-BFB9-ACFC763AEEF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766" authorId="0" shapeId="0" xr:uid="{54457BA8-32C1-403A-8A9A-BD5D3E58C76A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O767" authorId="3" shapeId="0" xr:uid="{BFDEFBCD-2311-4077-89BD-F3CFBB04EC7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767" authorId="3" shapeId="0" xr:uid="{181193A3-696D-4CF1-AF25-87D9CA2920F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767" authorId="3" shapeId="0" xr:uid="{F62CCA29-3695-4ED0-8228-8264E05829B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767" authorId="0" shapeId="0" xr:uid="{67DC1646-3D0B-43C3-8E3C-4B0F6E145D9D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O768" authorId="3" shapeId="0" xr:uid="{D2ABB900-E36E-4CA8-8B65-4E58589428B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768" authorId="3" shapeId="0" xr:uid="{8A50B31F-FC34-42E9-AD18-A455BA1ABEF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768" authorId="3" shapeId="0" xr:uid="{A4D6EB92-7317-4223-8C85-5E8A5E6D7D6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769" authorId="3" shapeId="0" xr:uid="{5F91D9AE-2957-4B96-B033-15DCBD36E55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769" authorId="3" shapeId="0" xr:uid="{0E62BDC2-DCE0-4D1F-9CDB-00033F024DB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769" authorId="3" shapeId="0" xr:uid="{5568BA6B-235A-45C6-B46F-8A91F945E5D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770" authorId="3" shapeId="0" xr:uid="{83B855D5-E8D7-4E50-A8E7-B2BA73C1E2E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770" authorId="3" shapeId="0" xr:uid="{77095C2A-49F5-4E28-9FC3-2AECD6C9862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770" authorId="3" shapeId="0" xr:uid="{D37F27F0-F364-48AA-8884-ED6045E7D54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771" authorId="0" shapeId="0" xr:uid="{779A8DFC-5FAA-4B43-8CBB-27B490716A1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773" authorId="0" shapeId="0" xr:uid="{FECFE4C5-4B50-426B-9829-EE9924822DA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74" authorId="0" shapeId="0" xr:uid="{F7DCB04E-2A4B-44D7-83C1-267961AB2FF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78" authorId="0" shapeId="0" xr:uid="{BA8E73C0-C3F9-4BF0-A7C8-71098FB6A86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79" authorId="0" shapeId="0" xr:uid="{D2CE1E75-9E71-4B49-A5D7-32ACB19F018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81" authorId="0" shapeId="0" xr:uid="{AB8617EA-374A-44FC-93ED-BAC744837F8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82" authorId="0" shapeId="0" xr:uid="{69D78883-6CC9-4800-9AFC-DC3B6A46549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84" authorId="0" shapeId="0" xr:uid="{22F43E25-410C-45A4-90AE-9DF0E68218E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85" authorId="0" shapeId="0" xr:uid="{2E26999C-4F34-45E0-8757-FB50BB50D14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87" authorId="0" shapeId="0" xr:uid="{3BD7A1B0-0F82-4BA2-8AE0-61ADD1D05BE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88" authorId="0" shapeId="0" xr:uid="{81FDBFE7-79A7-4E44-B50E-49DADF2A10A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90" authorId="0" shapeId="0" xr:uid="{087C1D32-2F12-4897-98C3-485E906D37F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91" authorId="0" shapeId="0" xr:uid="{22A6E655-EF8E-4E33-B4D9-8A605EDBDB5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93" authorId="0" shapeId="0" xr:uid="{C90DAB7D-EAF1-47BD-B64B-80CB48FC553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94" authorId="0" shapeId="0" xr:uid="{C5369287-D1E5-405B-8843-3FB317DFDA0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96" authorId="0" shapeId="0" xr:uid="{7FB52304-6FF9-4647-BC74-1DB34D5F462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97" authorId="0" shapeId="0" xr:uid="{EDE3D9EF-D2C8-48A9-B986-D6A1CD9F854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99" authorId="0" shapeId="0" xr:uid="{67C406B5-55FA-4D84-A413-1E3F23398E4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00" authorId="0" shapeId="0" xr:uid="{CAE61701-CDC5-4911-8356-5347D9E9079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02" authorId="0" shapeId="0" xr:uid="{0C6588E2-AD80-40D1-938A-8650BAF87A8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03" authorId="0" shapeId="0" xr:uid="{754B24CB-93DC-4807-811C-2951D394D67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05" authorId="0" shapeId="0" xr:uid="{070724F3-A162-4B23-AFFD-5A9A6F8FD98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06" authorId="0" shapeId="0" xr:uid="{074E3C8F-CA1A-44D9-8C40-7C6E763B156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08" authorId="0" shapeId="0" xr:uid="{E57F436D-5159-4841-A6BD-A61AF750BEE8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09" authorId="0" shapeId="0" xr:uid="{DB640F58-ED60-45D5-93F0-4D422EAAC1F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11" authorId="0" shapeId="0" xr:uid="{7CCD9D1A-2BDF-4CFA-AE53-B0EB9795265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12" authorId="0" shapeId="0" xr:uid="{16DF633E-1749-4477-AD01-293C9166226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14" authorId="0" shapeId="0" xr:uid="{199F55A4-BBE9-46E8-950C-38349EE5D8C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15" authorId="0" shapeId="0" xr:uid="{8A06CE35-7613-4510-AE4C-D537E249FD8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17" authorId="0" shapeId="0" xr:uid="{89BE7028-8407-4CB4-81DA-B500E16951E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18" authorId="0" shapeId="0" xr:uid="{4CB57A23-2A92-4B11-819E-7DD0688F111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20" authorId="0" shapeId="0" xr:uid="{B41FD6A1-A551-46B4-9AB1-F3C2102CB16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21" authorId="0" shapeId="0" xr:uid="{DFC62CC5-05BB-4A93-B6D4-C33E61C5DDA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23" authorId="0" shapeId="0" xr:uid="{98D5F4B8-4469-4790-9F1B-DF554AEA70D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24" authorId="0" shapeId="0" xr:uid="{9158BB2B-41DA-490C-B72D-3FBF3369701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26" authorId="0" shapeId="0" xr:uid="{A5C37B8D-F007-409F-BCF5-DB8F8467A76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27" authorId="0" shapeId="0" xr:uid="{BCF9EC00-41C5-47BC-A1F3-045D90841EA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36" authorId="0" shapeId="0" xr:uid="{D5D798A5-F7CE-4EBB-9C74-8C7C69222251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AI837" authorId="0" shapeId="0" xr:uid="{91162AF3-5E74-4AE6-80F0-EE9F18E79333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AI838" authorId="0" shapeId="0" xr:uid="{EDDEB63D-4CFA-4DB9-8072-1DE6845D9B29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AI847" authorId="0" shapeId="0" xr:uid="{9437C2A0-1107-46DA-BC9E-D2FBD51C3BDF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AI852" authorId="0" shapeId="0" xr:uid="{3440958F-91B1-4663-86AE-881FB9B58088}">
      <text>
        <r>
          <rPr>
            <b/>
            <sz val="9"/>
            <color indexed="81"/>
            <rFont val="Segoe UI"/>
            <family val="2"/>
          </rPr>
          <t>PARA DEFINIR ALTURA
digitar:
MENOR
ou
MAIOR</t>
        </r>
      </text>
    </comment>
    <comment ref="O872" authorId="3" shapeId="0" xr:uid="{BFB6FC86-7769-4237-8CE3-14443A0A9EF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872" authorId="3" shapeId="0" xr:uid="{29EA2CA9-C908-4821-A3E8-5BFBBDE20A9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872" authorId="3" shapeId="0" xr:uid="{295E8949-F6EF-47F5-85C3-1428B440CFA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872" authorId="0" shapeId="0" xr:uid="{D737080E-BE05-4EAA-8A4D-86903D6B64E9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879" authorId="0" shapeId="0" xr:uid="{8FF84636-C52A-4F52-B8A0-46AD0A7D5BE1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880" authorId="0" shapeId="0" xr:uid="{FBC1B8ED-ED53-493B-B425-C543CF95CEF8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881" authorId="0" shapeId="0" xr:uid="{B454F166-8C98-4855-9522-1E04C69C43A3}">
      <text>
        <r>
          <rPr>
            <b/>
            <sz val="9"/>
            <color indexed="81"/>
            <rFont val="Segoe UI"/>
            <family val="2"/>
          </rPr>
          <t>digitar:
RETANGULAR
ou
16 FACES</t>
        </r>
      </text>
    </comment>
    <comment ref="AI902" authorId="0" shapeId="0" xr:uid="{86BD2043-D17F-4532-BC20-6EDA7E9908D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903" authorId="0" shapeId="0" xr:uid="{DEDC5197-323B-4A1A-8DCB-9AB77974451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905" authorId="0" shapeId="0" xr:uid="{34350C6C-86D4-4597-9C31-626B2A70D56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906" authorId="0" shapeId="0" xr:uid="{26772E8F-AB2E-4AC7-AD41-218989A90A0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908" authorId="0" shapeId="0" xr:uid="{5D628200-9EF7-4427-B4DF-9E0DB5F417B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909" authorId="0" shapeId="0" xr:uid="{C5A0B073-4ED2-412A-A374-1BD196A8A17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911" authorId="0" shapeId="0" xr:uid="{CD25F2C1-A94A-416B-BBB8-AE4503B10BC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912" authorId="0" shapeId="0" xr:uid="{8A7FD586-6080-48CD-A523-C0C52141A5C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O920" authorId="3" shapeId="0" xr:uid="{7DA57538-4D9E-47B1-BD29-D40EA697539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920" authorId="3" shapeId="0" xr:uid="{544F0B9C-A5CC-4789-9F8A-6DE43C2E64C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920" authorId="3" shapeId="0" xr:uid="{1BDB06FA-C8BC-4004-BC74-93E296E8B42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920" authorId="0" shapeId="0" xr:uid="{159AC6BF-E9C8-469F-83F2-A80105BA6CE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927" authorId="0" shapeId="0" xr:uid="{1C9FEAD0-C30B-4AAF-9FAA-448A1BE81551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928" authorId="0" shapeId="0" xr:uid="{2C1F43D0-317C-478D-9362-877E4A96501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930" authorId="0" shapeId="0" xr:uid="{CAAE19CA-51FC-413B-A43B-62EFD596FEFF}">
      <text>
        <r>
          <rPr>
            <b/>
            <sz val="9"/>
            <color indexed="81"/>
            <rFont val="Segoe UI"/>
            <family val="2"/>
          </rPr>
          <t>digitar:
RETANGULAR
ou
16 FACES</t>
        </r>
      </text>
    </comment>
    <comment ref="AI957" authorId="0" shapeId="0" xr:uid="{3469F0D2-6173-4F1B-A1C3-241F1328E0F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978" authorId="0" shapeId="0" xr:uid="{5AA925AB-DD71-459D-895A-772C9B8FDD3C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983" authorId="0" shapeId="0" xr:uid="{E53B25BC-F32A-46FE-84EC-1BE2C5B3676E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984" authorId="0" shapeId="0" xr:uid="{E02296B7-ECF5-4780-B569-7B20B3A4B286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987" authorId="0" shapeId="0" xr:uid="{507A5C76-594F-41A8-A288-41AF6464F74A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988" authorId="0" shapeId="0" xr:uid="{F02CD216-C40D-41E7-8E08-30291DC9D4B3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989" authorId="0" shapeId="0" xr:uid="{AC6FFACC-11E4-4508-894F-4268E93F834B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995" authorId="0" shapeId="0" xr:uid="{70E36DD9-DD7E-45FA-B37B-4762B8DA18AF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996" authorId="0" shapeId="0" xr:uid="{46DC8363-CFFB-4DF4-BBA0-9680DE7BEF1C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997" authorId="0" shapeId="0" xr:uid="{33850059-7384-4D36-BA0C-90F0D69CE5C5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02" authorId="0" shapeId="0" xr:uid="{AA2B98BE-620F-436D-9D53-BE1EA0C97F57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03" authorId="0" shapeId="0" xr:uid="{236E44B6-7133-421A-9D74-A85DF6712A75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04" authorId="0" shapeId="0" xr:uid="{14B5082A-BEF7-402C-A353-B0B1CF0625EB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09" authorId="0" shapeId="0" xr:uid="{954A6FDE-CDFD-4934-9F15-846FEEA936D1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10" authorId="0" shapeId="0" xr:uid="{2646F797-AA0A-4453-8B6D-71461EE4DC0B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11" authorId="0" shapeId="0" xr:uid="{79CAF488-4263-4F31-9152-E77AA9F07FC7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13" authorId="0" shapeId="0" xr:uid="{3A5423BC-7DC9-4917-9AC6-3CAF3C4AB1C9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15" authorId="0" shapeId="0" xr:uid="{9ACB8781-CDD4-49B5-AB09-AB1507CD6DDD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16" authorId="0" shapeId="0" xr:uid="{5BED7E8B-A28F-42E0-B721-F8969A273AA4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17" authorId="0" shapeId="0" xr:uid="{3DA5DE13-20A5-43C7-9268-5EF7F8A2B583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19" authorId="0" shapeId="0" xr:uid="{11866F3B-A54E-4491-B7D5-733CED0F1F24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21" authorId="0" shapeId="0" xr:uid="{F0DB314A-42E0-4A57-BD43-5FC8D573EACF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22" authorId="0" shapeId="0" xr:uid="{874E783F-8F5E-47A0-A010-B94076DDBFD4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23" authorId="0" shapeId="0" xr:uid="{7DB4AAC0-1B51-4399-B633-E34CF5B29E95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26" authorId="0" shapeId="0" xr:uid="{07CC3123-783B-44AA-892D-6951DB362595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27" authorId="0" shapeId="0" xr:uid="{4C70E50D-787A-4621-B6FF-4563687B283F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28" authorId="0" shapeId="0" xr:uid="{C4B5A5BC-DBFF-4196-BB6A-06FFC1B0F725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32" authorId="0" shapeId="0" xr:uid="{1E5C3B7A-53EC-4D36-B93F-FFACEEDB5469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37" authorId="0" shapeId="0" xr:uid="{24E5D27B-C37B-455B-82C2-15FC44D559EE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40" authorId="0" shapeId="0" xr:uid="{66E38552-DEF8-4D5A-9FBA-21DB9112DB51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42" authorId="0" shapeId="0" xr:uid="{A6203A2C-C1A9-43FB-8B14-E4C7231271E7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46" authorId="0" shapeId="0" xr:uid="{041A3705-BCB8-45BB-972E-E38661062AF5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47" authorId="0" shapeId="0" xr:uid="{5DDB0D68-0A25-4F38-916D-9D7BB041C1E1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48" authorId="0" shapeId="0" xr:uid="{C16C8517-C8FA-4F79-BB83-16D78324EF0A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51" authorId="0" shapeId="0" xr:uid="{6BB3C241-9766-46EE-9EBE-989EAAD64FF6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55" authorId="0" shapeId="0" xr:uid="{279A48B1-C503-4B19-AE9E-1851B8ADE1E9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56" authorId="0" shapeId="0" xr:uid="{44483A1F-5A11-446D-ABB1-D645BCF69D9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57" authorId="0" shapeId="0" xr:uid="{86EB67F4-9FEF-4392-83DE-2BD184463456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59" authorId="0" shapeId="0" xr:uid="{380260F5-0ECB-4783-ACAC-C8D30C4FABC1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63" authorId="0" shapeId="0" xr:uid="{95F2FD9D-BF18-43AE-9E45-32B702641B45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64" authorId="0" shapeId="0" xr:uid="{593249AB-1385-4066-82E7-45BC6509B496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65" authorId="0" shapeId="0" xr:uid="{507EFE1A-0075-442B-B9DB-05A6328CFC97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68" authorId="0" shapeId="0" xr:uid="{4A69D78C-D07B-4925-AC17-93FCA21BB4A6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69" authorId="0" shapeId="0" xr:uid="{8119491D-6793-462D-85CE-09368459F379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70" authorId="0" shapeId="0" xr:uid="{64123252-A4FD-4272-AFCD-47E057131295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71" authorId="0" shapeId="0" xr:uid="{024600F7-6084-4236-99A7-F66BBA6FE8AA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72" authorId="0" shapeId="0" xr:uid="{6F2BE097-4956-4FA1-A1F2-DAA1A3BC10B7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73" authorId="0" shapeId="0" xr:uid="{EE215B88-E185-495C-B449-8517280D69C2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74" authorId="0" shapeId="0" xr:uid="{966FE0DB-F1A3-486C-B8CC-6FF09CF55EC4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75" authorId="0" shapeId="0" xr:uid="{594ACD20-8C90-4EF7-B4CD-2C551DE95261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76" authorId="0" shapeId="0" xr:uid="{F985BF8F-08A2-4EA1-8BC5-905B6B621AA3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77" authorId="0" shapeId="0" xr:uid="{E10E6E6C-EA6B-4235-B3E7-EA4A6EB236A1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81" authorId="0" shapeId="0" xr:uid="{E35DA9BE-304A-43E7-BAF6-17A204F7536B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82" authorId="0" shapeId="0" xr:uid="{2C5060AB-F173-4CC7-97BD-12B929AA2436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83" authorId="0" shapeId="0" xr:uid="{7A048108-F610-4269-8FD6-30C61657AB35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84" authorId="0" shapeId="0" xr:uid="{3EB5E6E2-7674-483A-BD6D-5DD58417FAE5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88" authorId="0" shapeId="0" xr:uid="{B24766E8-D7F8-43FF-B913-1274A1A99B4D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89" authorId="0" shapeId="0" xr:uid="{6E5C1C11-87AB-45A2-ABC3-6A1EBF98E58C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90" authorId="0" shapeId="0" xr:uid="{7EC07332-BF44-4964-A865-42C5E2D89EC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91" authorId="0" shapeId="0" xr:uid="{CB8E27E6-A9A5-416C-824D-D1EB435622F5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92" authorId="0" shapeId="0" xr:uid="{A82BD326-9BFB-478B-9E0D-886DF36A7F45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93" authorId="0" shapeId="0" xr:uid="{26E14DAC-19D7-4B5F-8812-B881ECEF563B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100" authorId="0" shapeId="0" xr:uid="{1131C2EE-8991-414E-8641-64059384B80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01" authorId="0" shapeId="0" xr:uid="{68F7EF2C-FDD1-4112-9C73-0894AEB79E4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03" authorId="0" shapeId="0" xr:uid="{60F0DA47-A9E5-4889-92B1-16B9BA38601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04" authorId="0" shapeId="0" xr:uid="{390F65E6-81E9-4173-B769-7E4D972AAB3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06" authorId="0" shapeId="0" xr:uid="{DF590A92-ABA5-401A-8F4F-0CA8CFD6C4A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07" authorId="0" shapeId="0" xr:uid="{06FCE5F5-EE91-4E1E-9742-09AF1F8FADB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12" authorId="0" shapeId="0" xr:uid="{5606E666-4AB8-4D51-9177-958518754A2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13" authorId="0" shapeId="0" xr:uid="{EF3B7B7A-3D61-46B0-89FE-FB2A5206268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26" authorId="0" shapeId="0" xr:uid="{042D04A1-3549-443B-AAA1-AF3E6441F1B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B1134" authorId="0" shapeId="0" xr:uid="{D9CC6F08-A80D-46C7-A0F7-6E26F80668F1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AI1134" authorId="0" shapeId="0" xr:uid="{959A3920-254B-42D6-8F28-6F020D2F5864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AI1136" authorId="0" shapeId="0" xr:uid="{4797A349-EF47-4F05-B21F-C72F3098F3C0}">
      <text>
        <r>
          <rPr>
            <b/>
            <sz val="9"/>
            <color indexed="81"/>
            <rFont val="Segoe UI"/>
            <family val="2"/>
          </rPr>
          <t>digitar:
COMERCIAL 35/40
ou 
COMERCIAL 50/70
ou
INSTALADA 35/40
ou
INSTALADA 50/70</t>
        </r>
      </text>
    </comment>
    <comment ref="AI1137" authorId="0" shapeId="0" xr:uid="{6438AA65-C9FF-4E39-9F75-0ABA6970A5B4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1139" authorId="0" shapeId="0" xr:uid="{F2ED1E64-EB46-4576-AF8F-88D7C912626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AI1141" authorId="0" shapeId="0" xr:uid="{8A3FE03B-CD27-4B0D-91E6-660999D2402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AI1142" authorId="0" shapeId="0" xr:uid="{2EB58158-76D2-4804-A41A-A49348383F5A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O1144" authorId="3" shapeId="0" xr:uid="{02238833-E953-49AC-BC62-F425E9418B5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1144" authorId="3" shapeId="0" xr:uid="{27D2D1A5-4A4A-4006-9A79-2ED398456C6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1144" authorId="3" shapeId="0" xr:uid="{782851E4-D732-4B94-BEF8-A3111280FF8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1144" authorId="0" shapeId="0" xr:uid="{67C95353-C830-4033-888C-65A36E6E720C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O1145" authorId="3" shapeId="0" xr:uid="{4A3EB467-5917-4D13-809B-92530385689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1145" authorId="3" shapeId="0" xr:uid="{C09767E2-D00F-459C-AE56-327686EF406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1145" authorId="3" shapeId="0" xr:uid="{C80D8700-2EBC-4F05-9F49-FF8E8C7DFFE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1145" authorId="0" shapeId="0" xr:uid="{1AF09817-556F-4E77-BD79-E3B61CE95201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O1146" authorId="3" shapeId="0" xr:uid="{0F899EDC-60F0-454E-A1B8-8824E37AE73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1146" authorId="3" shapeId="0" xr:uid="{49788333-D364-4864-B8D5-3B29C384B1A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1146" authorId="3" shapeId="0" xr:uid="{6C5BDE78-AAF0-468A-8BA4-46891C526A4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1146" authorId="0" shapeId="0" xr:uid="{B502116E-10F8-4AD2-A0AD-CBA1D3D4FF31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O1147" authorId="3" shapeId="0" xr:uid="{496FC7D4-CF9E-4999-9B94-99436ABCACA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1147" authorId="3" shapeId="0" xr:uid="{86E91E0B-88D9-443D-80C5-6A95043762B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1147" authorId="3" shapeId="0" xr:uid="{3BCA11F0-43C8-4A72-9E89-257E174F351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1148" authorId="0" shapeId="0" xr:uid="{DEAE057A-ABD1-4317-8E21-40E1F93EF62A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149" authorId="0" shapeId="0" xr:uid="{1AF5370B-304C-4EDA-8C16-7478E4018A8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151" authorId="0" shapeId="0" xr:uid="{DC160454-2A93-44F8-8818-BA0A63BDD9C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52" authorId="0" shapeId="0" xr:uid="{0AD164D7-7F49-44DB-A6AF-69544B0DEFF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54" authorId="0" shapeId="0" xr:uid="{68687C21-B73A-4A9F-8BC1-1195E55C853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55" authorId="0" shapeId="0" xr:uid="{DA204D6A-62DA-454E-872D-012025EA916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60" authorId="0" shapeId="0" xr:uid="{91D8E503-176D-406F-82F0-76623CF8B1B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61" authorId="0" shapeId="0" xr:uid="{6B444362-1F12-4B02-B1CF-CFAFCFE8A10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63" authorId="0" shapeId="0" xr:uid="{375C68CF-02E2-4EE1-8311-ADD7B156AA8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64" authorId="0" shapeId="0" xr:uid="{74AF380B-5E37-4A16-8D28-1A386C2DB43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66" authorId="0" shapeId="0" xr:uid="{403F26A9-A29E-4E60-98CF-085DB097DD8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67" authorId="0" shapeId="0" xr:uid="{9ABD2E0A-5315-4FB8-A38C-EBEBA5CE634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69" authorId="0" shapeId="0" xr:uid="{EAC3C5AA-799A-4870-853E-7221447BDA7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70" authorId="0" shapeId="0" xr:uid="{A34D22A4-CFF2-46FE-A6AA-D479D64C08B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72" authorId="0" shapeId="0" xr:uid="{A4A7C7AB-DF40-4CA1-8EA6-7FCDB97F888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73" authorId="0" shapeId="0" xr:uid="{359AD487-BBD5-476E-A4A0-83A70D91236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75" authorId="0" shapeId="0" xr:uid="{A03706F5-1B39-420A-8AFE-42928212692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76" authorId="0" shapeId="0" xr:uid="{B0C1F041-AD59-4847-8F94-F5F5F949C1F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78" authorId="0" shapeId="0" xr:uid="{B4E1431B-F7E7-48FF-89BF-60C42E71B7B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79" authorId="0" shapeId="0" xr:uid="{CCBB8CCF-2F4E-4CE2-AF69-0334FBA5D0A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81" authorId="0" shapeId="0" xr:uid="{9D349000-B8A5-4F47-A6E7-DF6F83313EF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82" authorId="0" shapeId="0" xr:uid="{F7833CFD-D17D-4A3D-B2D8-3F194392943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84" authorId="0" shapeId="0" xr:uid="{ED1FCC32-8D8D-446A-A0E7-1770E836818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85" authorId="0" shapeId="0" xr:uid="{6D33AEEC-3F82-4A9B-8C01-60886E14E15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87" authorId="0" shapeId="0" xr:uid="{AFB1F352-BF1F-4161-BE55-160B66D13358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88" authorId="0" shapeId="0" xr:uid="{D432F78D-2546-4235-BF57-2D4412EE09B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</author>
    <author>Ricardo Schettini Figueiredo</author>
  </authors>
  <commentList>
    <comment ref="F30" authorId="0" shapeId="0" xr:uid="{3FA92F31-3641-4A51-8A09-2AA94E0EF28A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G30" authorId="0" shapeId="0" xr:uid="{7FF84250-4941-47A3-B767-9BCCBF54A5FC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H30" authorId="0" shapeId="0" xr:uid="{F88AB10F-998B-40D6-AA01-25CED338FDE8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I30" authorId="0" shapeId="0" xr:uid="{814C00F7-4D93-4F63-B553-90F554F2A58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J30" authorId="0" shapeId="0" xr:uid="{6C3F0672-AC8A-4C0A-AD52-FCF03170CCD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K30" authorId="0" shapeId="0" xr:uid="{F97FA9CD-21A6-4341-906F-06170B096F7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L30" authorId="0" shapeId="0" xr:uid="{44F4A09D-2773-450A-B369-F05D5A2AA6AE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M30" authorId="0" shapeId="0" xr:uid="{046E56F1-37EA-4872-A51C-2068AC373963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N30" authorId="0" shapeId="0" xr:uid="{F6927A58-4466-4441-AC34-6E99FCE20669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O30" authorId="0" shapeId="0" xr:uid="{022EC867-B609-4927-8826-934663B8A21F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P30" authorId="0" shapeId="0" xr:uid="{20DBC7C6-08DF-4E5C-A50D-3FFE3736C552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Q30" authorId="0" shapeId="0" xr:uid="{B9784345-9910-427C-AF40-B928F6DB5ED3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R30" authorId="0" shapeId="0" xr:uid="{B9D85A0E-92E2-481E-8C79-92E755C89399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S30" authorId="0" shapeId="0" xr:uid="{BA8DDBC5-F012-416F-8931-41C3C4E187DD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T30" authorId="0" shapeId="0" xr:uid="{6E807C8A-D30C-4E4C-BC47-766F77BC730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U30" authorId="0" shapeId="0" xr:uid="{30AF4BC4-751A-4F14-9162-AFF437BE1EFC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V30" authorId="0" shapeId="0" xr:uid="{E000D97D-31ED-4778-A09A-E019C2EDFCFC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W30" authorId="0" shapeId="0" xr:uid="{ED41D068-4250-438B-8227-34E659D525BD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X30" authorId="0" shapeId="0" xr:uid="{3E95DCA0-1D89-472F-972D-BD4098B9F49E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Y30" authorId="0" shapeId="0" xr:uid="{53ECBC32-4EAE-4584-8A9A-36810AFD51A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Z30" authorId="0" shapeId="0" xr:uid="{F1870C3F-EFD4-43E0-9E8A-1633772A88A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A30" authorId="0" shapeId="0" xr:uid="{2F0D740D-C91D-441A-89B8-65F6B99BB86C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B30" authorId="0" shapeId="0" xr:uid="{8E5F4989-7781-41FA-9786-DD11D842449D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C30" authorId="0" shapeId="0" xr:uid="{381215EF-FDB3-4C4D-B17F-BECEADC4B3DF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D30" authorId="0" shapeId="0" xr:uid="{68E6FA6F-B989-47CD-B485-17C214D01A8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E30" authorId="0" shapeId="0" xr:uid="{85E3924E-9E85-4267-8CF9-257DADFA0CF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F30" authorId="0" shapeId="0" xr:uid="{6FE8C42C-37EC-4BFE-A64C-9083BE3C86C1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G30" authorId="0" shapeId="0" xr:uid="{5B13E99C-6D04-4B14-93F9-A3CEAFF39F5F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H30" authorId="0" shapeId="0" xr:uid="{7A20A4F2-F372-4753-9CD0-ED6501BB73B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F39" authorId="1" shapeId="0" xr:uid="{378072E6-461A-4A8F-B3C4-7CE37C131C5D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G39" authorId="1" shapeId="0" xr:uid="{136363F5-2266-4E46-875B-D1AE8796B71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H39" authorId="1" shapeId="0" xr:uid="{B7F5A947-CAF4-465E-AF16-ED686B5149CC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I39" authorId="1" shapeId="0" xr:uid="{81BA4903-701C-4358-BF09-D1DC3E98944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J39" authorId="1" shapeId="0" xr:uid="{A6824377-5D26-4EC7-9CB9-3406CD54041A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K39" authorId="1" shapeId="0" xr:uid="{AB2C1414-4856-4555-8DEA-1D6C92205525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L39" authorId="1" shapeId="0" xr:uid="{EDFB3A16-3259-4075-806A-527F0CF77C2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M39" authorId="1" shapeId="0" xr:uid="{6F4AE4B7-95EA-4F4D-8D98-44E2386F89A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N39" authorId="1" shapeId="0" xr:uid="{E44EB62C-6A73-43F4-BD71-000204B4513D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O39" authorId="1" shapeId="0" xr:uid="{CFFF27AC-6BB5-4BA9-AECB-B2BA51607D3C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P39" authorId="1" shapeId="0" xr:uid="{21513C1C-D313-4EE1-BB2C-F5762A82320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Q39" authorId="1" shapeId="0" xr:uid="{9447BD5B-39BF-48C6-AD56-12BA3B623A49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R39" authorId="1" shapeId="0" xr:uid="{1F4788DA-1B14-468B-A558-9B95B607E68A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S39" authorId="1" shapeId="0" xr:uid="{11290663-7C80-457D-8FA7-E66D09A9F718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T39" authorId="1" shapeId="0" xr:uid="{32104FA5-2669-4EC6-9635-1FF57C3589D2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U39" authorId="1" shapeId="0" xr:uid="{8E0AA09F-7C53-46D9-96D9-66B4A434C02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V39" authorId="1" shapeId="0" xr:uid="{530A8A47-5455-42AF-BE54-7DF40473E8E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W39" authorId="1" shapeId="0" xr:uid="{FDA0BA79-2F2E-4552-9484-AADE5F12BEA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X39" authorId="1" shapeId="0" xr:uid="{8808524C-ED9F-41DD-8B9B-1B71376DEC4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Y39" authorId="1" shapeId="0" xr:uid="{D5D5AF7E-B90B-4BB1-BB3B-E6A2792FFF31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Z39" authorId="1" shapeId="0" xr:uid="{FCE89789-FD08-4F96-90F0-993C69F2C9B9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A39" authorId="1" shapeId="0" xr:uid="{D1FDDED6-0A96-4459-AA8B-CB57DB8A609A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B39" authorId="1" shapeId="0" xr:uid="{651A55F7-06B6-4DBA-BCE2-B9FC75DA645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C39" authorId="1" shapeId="0" xr:uid="{3A7D7F76-9B6B-4FFA-A9B1-1056DE0700F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D39" authorId="1" shapeId="0" xr:uid="{53D0453C-95A6-49D4-8854-1085C8EB371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E39" authorId="1" shapeId="0" xr:uid="{2BF8068B-0AB2-440F-9190-9C04EE8B561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F191" authorId="1" shapeId="0" xr:uid="{8DC3F3E4-74BB-4F25-9FB7-0B13E8BC2907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G191" authorId="1" shapeId="0" xr:uid="{A94DB48F-7DCD-4B9C-8577-30CF6C9764CD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H191" authorId="1" shapeId="0" xr:uid="{BEE79089-466F-425B-AF48-52D53666417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I191" authorId="1" shapeId="0" xr:uid="{F6B4B3FD-FB98-465B-AA9F-71EBDC334F6E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J191" authorId="1" shapeId="0" xr:uid="{8BD09F52-43A1-46AE-9FFA-3C14EFC21387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K191" authorId="1" shapeId="0" xr:uid="{995F23E5-03CE-4DB5-8B6D-F4A47F475D5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L191" authorId="1" shapeId="0" xr:uid="{71C3B06A-EA80-4820-88B0-1071F45BBEF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M191" authorId="1" shapeId="0" xr:uid="{2F82046C-14E6-444D-AE56-0510B377F97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N191" authorId="1" shapeId="0" xr:uid="{95A19802-E5CD-44EF-BA9B-4B475CE03558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O191" authorId="1" shapeId="0" xr:uid="{2F57E6DF-7AA9-490B-A393-7FFA2C24B107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P191" authorId="1" shapeId="0" xr:uid="{C832D9C8-4570-42AD-B5A0-AC159B029346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Q191" authorId="1" shapeId="0" xr:uid="{12E3749C-D598-4DAF-A562-E47A0A29F538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R191" authorId="1" shapeId="0" xr:uid="{AD703A69-A8F8-4E04-8281-DD6FB22B80B6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S191" authorId="1" shapeId="0" xr:uid="{B66E641C-CC45-4A57-9833-CCC4D5655E6A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T191" authorId="1" shapeId="0" xr:uid="{6857C981-C287-422A-8C50-61990B72F64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U191" authorId="1" shapeId="0" xr:uid="{CA7E62D2-D333-448F-BE40-E9995292A198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V191" authorId="1" shapeId="0" xr:uid="{E817B6C5-4BDC-41D2-96BB-9E72C2CA2CC2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W191" authorId="1" shapeId="0" xr:uid="{21ACB5DB-8EAF-4C64-9A74-68644357818D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X191" authorId="1" shapeId="0" xr:uid="{58FA6926-2C48-4FA0-8EB4-1A2DA401B61B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Y191" authorId="1" shapeId="0" xr:uid="{7CD99C2D-1DF2-440E-AE7E-03506F27AF0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Z191" authorId="1" shapeId="0" xr:uid="{E45B75AA-35F2-4AFB-8430-FDF746BBCA67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A191" authorId="1" shapeId="0" xr:uid="{792A78BB-6799-4F54-9594-F95F491877D6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B191" authorId="1" shapeId="0" xr:uid="{C3337BB1-8101-45B1-9467-0BE076DC626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C191" authorId="1" shapeId="0" xr:uid="{C8C73DBE-FF35-42A6-9691-AACF002E866A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D191" authorId="1" shapeId="0" xr:uid="{97CA771E-2E35-44C1-A471-AF352F3B6C3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E191" authorId="1" shapeId="0" xr:uid="{6872083D-B7CB-4B1A-B5C6-39721130CBC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F191" authorId="1" shapeId="0" xr:uid="{A4ABC56D-EEB0-423E-BA2C-C8B8D0E1A9B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G191" authorId="1" shapeId="0" xr:uid="{8AE1E601-14B8-46B2-81E7-3FC1C887AD6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H191" authorId="1" shapeId="0" xr:uid="{7B7C5780-3475-494A-9CCD-4EE3FB93365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ricardo.schettini</author>
    <author>.</author>
    <author>Ricardo Schettini Figueiredo</author>
  </authors>
  <commentList>
    <comment ref="F22" authorId="0" shapeId="0" xr:uid="{6013FC48-A4E1-4C05-888E-C5D54242C480}">
      <text>
        <r>
          <rPr>
            <b/>
            <sz val="9"/>
            <color indexed="81"/>
            <rFont val="Segoe UI"/>
            <family val="2"/>
          </rPr>
          <t>se ROSA
Rocha &gt; Prof..</t>
        </r>
      </text>
    </comment>
    <comment ref="G22" authorId="0" shapeId="0" xr:uid="{C8F5E7B1-10E1-4ABA-B248-4A4323B3F1CD}">
      <text>
        <r>
          <rPr>
            <b/>
            <sz val="9"/>
            <color indexed="81"/>
            <rFont val="Segoe UI"/>
            <family val="2"/>
          </rPr>
          <t>se ROSA
Rocha &gt; Prof..</t>
        </r>
      </text>
    </comment>
    <comment ref="H22" authorId="0" shapeId="0" xr:uid="{0F03C50F-9B53-4463-A021-15B3A134F81A}">
      <text>
        <r>
          <rPr>
            <b/>
            <sz val="9"/>
            <color indexed="81"/>
            <rFont val="Segoe UI"/>
            <family val="2"/>
          </rPr>
          <t>se ROSA
Rocha &gt; Prof..</t>
        </r>
      </text>
    </comment>
    <comment ref="F23" authorId="0" shapeId="0" xr:uid="{D25175E5-CE5B-4828-BAF3-0EB94C5EDDB2}">
      <text>
        <r>
          <rPr>
            <b/>
            <sz val="9"/>
            <color indexed="81"/>
            <rFont val="Segoe UI"/>
            <family val="2"/>
          </rPr>
          <t>se ROSA
sugere-se expurgo
&gt;50%</t>
        </r>
      </text>
    </comment>
    <comment ref="G23" authorId="0" shapeId="0" xr:uid="{A08B05EB-E731-4CD7-9B07-143947FD7B3A}">
      <text>
        <r>
          <rPr>
            <b/>
            <sz val="9"/>
            <color indexed="81"/>
            <rFont val="Segoe UI"/>
            <family val="2"/>
          </rPr>
          <t>se ROSA
sugere-se expurgo
&gt;50%</t>
        </r>
      </text>
    </comment>
    <comment ref="H23" authorId="0" shapeId="0" xr:uid="{8F0DDFD0-91FE-4D60-93CF-B03814976648}">
      <text>
        <r>
          <rPr>
            <b/>
            <sz val="9"/>
            <color indexed="81"/>
            <rFont val="Segoe UI"/>
            <family val="2"/>
          </rPr>
          <t>se ROSA
sugere-se expurgo
&gt;50%</t>
        </r>
      </text>
    </comment>
    <comment ref="F24" authorId="1" shapeId="0" xr:uid="{0F9CDBC0-7DC8-4CDA-8DA7-A792C15F231D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escorado))</t>
        </r>
      </text>
    </comment>
    <comment ref="G24" authorId="1" shapeId="0" xr:uid="{DFB3A061-B30A-4C3B-BDB5-F18AB891A88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escorado))</t>
        </r>
      </text>
    </comment>
    <comment ref="H24" authorId="1" shapeId="0" xr:uid="{35A7E73B-9231-4C9B-A61E-990EF1959E95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escorado))</t>
        </r>
      </text>
    </comment>
    <comment ref="F25" authorId="0" shapeId="0" xr:uid="{9A66648D-0D19-48AB-B4FF-0372D3837B92}">
      <text>
        <r>
          <rPr>
            <b/>
            <sz val="9"/>
            <color indexed="81"/>
            <rFont val="Segoe UI"/>
            <family val="2"/>
          </rPr>
          <t>se ROSA
sugere-se 
BASE = 0m
se LARANJA
base ≥ 0,40m</t>
        </r>
      </text>
    </comment>
    <comment ref="G25" authorId="0" shapeId="0" xr:uid="{05158B02-9FCB-4F4D-8B59-83847898071A}">
      <text>
        <r>
          <rPr>
            <b/>
            <sz val="9"/>
            <color indexed="81"/>
            <rFont val="Segoe UI"/>
            <family val="2"/>
          </rPr>
          <t>se ROSA
sugere-se 
BASE = 0m
se LARANJA
base ≥ 0,40m</t>
        </r>
      </text>
    </comment>
    <comment ref="H25" authorId="0" shapeId="0" xr:uid="{C508E183-E95E-4D5B-BC4C-AC000B3C530F}">
      <text>
        <r>
          <rPr>
            <b/>
            <sz val="9"/>
            <color indexed="81"/>
            <rFont val="Segoe UI"/>
            <family val="2"/>
          </rPr>
          <t>se ROSA
sugere-se 
BASE = 0m
se LARANJA
base ≥ 0,40m</t>
        </r>
      </text>
    </comment>
    <comment ref="F36" authorId="2" shapeId="0" xr:uid="{BF1E62FC-D1AA-4FB1-AAFE-518E720D1881}">
      <text>
        <r>
          <rPr>
            <b/>
            <sz val="9"/>
            <color indexed="81"/>
            <rFont val="Segoe UI"/>
            <family val="2"/>
          </rPr>
          <t>se ROSA verificar a seção do dreno
largura comercial 4,30m</t>
        </r>
      </text>
    </comment>
    <comment ref="G36" authorId="2" shapeId="0" xr:uid="{281BF18F-1A39-43C7-8D7D-941AE3DE1FD9}">
      <text>
        <r>
          <rPr>
            <b/>
            <sz val="9"/>
            <color indexed="81"/>
            <rFont val="Segoe UI"/>
            <family val="2"/>
          </rPr>
          <t>se ROSA verificar a seção do dreno
largura comercial 4,30m</t>
        </r>
      </text>
    </comment>
    <comment ref="H36" authorId="2" shapeId="0" xr:uid="{72DC2BC7-8AB1-4CF9-BD41-D920164F0804}">
      <text>
        <r>
          <rPr>
            <b/>
            <sz val="9"/>
            <color indexed="81"/>
            <rFont val="Segoe UI"/>
            <family val="2"/>
          </rPr>
          <t>se ROSA verificar a seção do dreno
largura comercial 4,30m</t>
        </r>
      </text>
    </comment>
    <comment ref="F38" authorId="0" shapeId="0" xr:uid="{259F7C3F-AD34-47E4-A2FD-0AF5BD4521AD}">
      <text>
        <r>
          <rPr>
            <b/>
            <sz val="9"/>
            <color indexed="81"/>
            <rFont val="Segoe UI"/>
            <family val="2"/>
          </rPr>
          <t>se ROSA:
sugere-se adotar fôrma com altura do dreno</t>
        </r>
      </text>
    </comment>
    <comment ref="G38" authorId="0" shapeId="0" xr:uid="{8FC68051-FDD3-4B22-83EE-4F717F794938}">
      <text>
        <r>
          <rPr>
            <b/>
            <sz val="9"/>
            <color indexed="81"/>
            <rFont val="Segoe UI"/>
            <family val="2"/>
          </rPr>
          <t>se ROSA:
sugere-se adotar fôrma com altura do dreno</t>
        </r>
      </text>
    </comment>
    <comment ref="H38" authorId="0" shapeId="0" xr:uid="{27AE034B-26D6-42C4-A2A5-218A6F3829ED}">
      <text>
        <r>
          <rPr>
            <b/>
            <sz val="9"/>
            <color indexed="81"/>
            <rFont val="Segoe UI"/>
            <family val="2"/>
          </rPr>
          <t>se ROSA:
sugere-se adotar fôrma com altura do dreno</t>
        </r>
      </text>
    </comment>
    <comment ref="F50" authorId="1" shapeId="0" xr:uid="{68DA942B-D33D-43FB-9C0E-F3CDAF7F76F2}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negativo significa falta de material para aterro</t>
        </r>
      </text>
    </comment>
    <comment ref="G50" authorId="1" shapeId="0" xr:uid="{3D959104-F7AE-4BF0-9F2D-0680EC790A6C}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negativo significa falta de material para aterro</t>
        </r>
      </text>
    </comment>
    <comment ref="H50" authorId="1" shapeId="0" xr:uid="{66DE6781-D7FC-4A25-B11C-CAD4CEC0FE36}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negativo significa falta de material para aterro</t>
        </r>
      </text>
    </comment>
    <comment ref="F52" authorId="2" shapeId="0" xr:uid="{8EC24080-8E8E-40C2-9762-0FB2399EDBB3}">
      <text>
        <r>
          <rPr>
            <sz val="9"/>
            <color indexed="81"/>
            <rFont val="Segoe UI"/>
            <family val="2"/>
          </rPr>
          <t>V. reaterro / produção do serviço 10m³/h</t>
        </r>
      </text>
    </comment>
    <comment ref="G52" authorId="2" shapeId="0" xr:uid="{1B20D0D0-3CBA-4040-A561-601D752A8DA0}">
      <text>
        <r>
          <rPr>
            <sz val="9"/>
            <color indexed="81"/>
            <rFont val="Segoe UI"/>
            <family val="2"/>
          </rPr>
          <t>V. reaterro / produção do serviço 10m³/h</t>
        </r>
      </text>
    </comment>
    <comment ref="H52" authorId="2" shapeId="0" xr:uid="{CC8E9D46-FC39-4AEF-9A0E-FCB88B87F9ED}">
      <text>
        <r>
          <rPr>
            <sz val="9"/>
            <color indexed="81"/>
            <rFont val="Segoe UI"/>
            <family val="2"/>
          </rPr>
          <t>V. reaterro / produção do serviço 10m³/h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52" authorId="0" shapeId="0" xr:uid="{2FB0FD2D-D6B8-437F-8063-601D033F9B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2" authorId="0" shapeId="0" xr:uid="{5CD60CD1-BF51-4AF4-B261-9C462E51920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2" authorId="0" shapeId="0" xr:uid="{B9B295E3-4A0F-4947-BDE4-28803E416E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2" authorId="0" shapeId="0" xr:uid="{32DFE5CB-57F7-40FC-8F84-CBE1694CBDA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2" authorId="0" shapeId="0" xr:uid="{32BA6CFC-0751-4391-AAD2-58AF11E74C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2" authorId="0" shapeId="0" xr:uid="{56768B7B-A8B1-4C33-B107-91AD514590F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2" authorId="0" shapeId="0" xr:uid="{1889771E-08C3-4D10-AE8C-F7B85F00B18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2" authorId="0" shapeId="0" xr:uid="{09D6F640-90D4-437E-9F80-62C1CEBF0FB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2" authorId="0" shapeId="0" xr:uid="{225C9031-1F9C-4109-9838-E441150CC1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2" authorId="0" shapeId="0" xr:uid="{8F23CF89-5398-4454-95D3-2C4FC491E1F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2" authorId="0" shapeId="0" xr:uid="{066D43AC-7978-4868-8701-EB9B24E96C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2" authorId="0" shapeId="0" xr:uid="{A953A324-F506-4C42-82B2-66CA149EA82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2" authorId="0" shapeId="0" xr:uid="{0782023F-7DAF-4B65-A1FE-F3DF9E69A63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2" authorId="0" shapeId="0" xr:uid="{DC2CFE27-D962-4410-A711-71DF39B09F5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4" authorId="0" shapeId="0" xr:uid="{B5527183-5BA1-47A6-83BE-01D8808A75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4" authorId="0" shapeId="0" xr:uid="{ADB1F686-53C0-4FC9-AF95-8C36649A1DA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4" authorId="0" shapeId="0" xr:uid="{7FF53063-75DA-4247-8FFC-AF4F9D93F19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4" authorId="0" shapeId="0" xr:uid="{48BD502B-3DE9-4623-8C99-15FB78BB4D4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4" authorId="0" shapeId="0" xr:uid="{AE967ADD-7DF4-4913-AD04-B5286FE0825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4" authorId="0" shapeId="0" xr:uid="{91E15E05-8A91-4D3A-8991-1C044726F9E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4" authorId="0" shapeId="0" xr:uid="{72DCAD1A-33AA-48CB-9DF1-9655D13DD83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4" authorId="0" shapeId="0" xr:uid="{BD9BA195-0B3B-443C-804E-74EA53454C5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4" authorId="0" shapeId="0" xr:uid="{91DF68E1-192C-4CEB-BF09-D2333B35C2F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4" authorId="0" shapeId="0" xr:uid="{FD8ED157-A0A8-4B4D-BA60-F3F89583CA8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4" authorId="0" shapeId="0" xr:uid="{9A189D95-34D5-45AF-8618-CFA963A7B63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4" authorId="0" shapeId="0" xr:uid="{1B1731B2-C575-4362-9F75-410EA33CFDF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4" authorId="0" shapeId="0" xr:uid="{795F0F39-84E0-44DB-BBFB-C6AD4995FF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4" authorId="0" shapeId="0" xr:uid="{F370E9B3-5016-4530-B04E-FAA1EFBED8E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6" authorId="0" shapeId="0" xr:uid="{DB44E507-36AC-410A-8DC1-8D093188DED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6" authorId="0" shapeId="0" xr:uid="{AFE4FBD3-D85E-4E58-AE2B-7333AB54CE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6" authorId="0" shapeId="0" xr:uid="{79345296-4245-4E29-8727-315CEF6EFEB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6" authorId="0" shapeId="0" xr:uid="{F5A375FD-155C-4906-9F83-61D3CB7274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6" authorId="0" shapeId="0" xr:uid="{F78E1D2B-4869-4B9C-82B3-862A605D57E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6" authorId="0" shapeId="0" xr:uid="{71A0560A-2D4B-4B02-A3E0-276E4C7E1C2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6" authorId="0" shapeId="0" xr:uid="{F8FCE41B-7279-48E9-82F9-8CDAA6CCAEA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6" authorId="0" shapeId="0" xr:uid="{1BEC42D3-AF85-4D2B-97BF-E73B0884781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6" authorId="0" shapeId="0" xr:uid="{28F11653-A723-42A0-8FE2-0F0324608E7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6" authorId="0" shapeId="0" xr:uid="{B1726FE4-C85F-488F-AF2C-5FF7DFA28E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6" authorId="0" shapeId="0" xr:uid="{793F0F5B-8322-4E87-98D6-CA2F2CB047F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6" authorId="0" shapeId="0" xr:uid="{297F7E6D-F6CF-4C2B-A31B-23F38D77B81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6" authorId="0" shapeId="0" xr:uid="{F4D1C6C2-6663-45EB-9D93-89900F8D2B4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6" authorId="0" shapeId="0" xr:uid="{78B49F2A-C2C6-4CA0-AF7B-EAB34E41414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86" authorId="0" shapeId="0" xr:uid="{D6279D3C-9F95-4BD4-8038-1A43B50CBE23}">
      <text>
        <r>
          <rPr>
            <b/>
            <sz val="9"/>
            <color indexed="81"/>
            <rFont val="Segoe UI"/>
            <family val="2"/>
          </rPr>
          <t>TIPO TABULEIRO DE XADREZ
50% DA ÁREA</t>
        </r>
      </text>
    </comment>
    <comment ref="H86" authorId="0" shapeId="0" xr:uid="{D0DE3832-6E7F-476A-9580-48C3DE2A258C}">
      <text>
        <r>
          <rPr>
            <b/>
            <sz val="9"/>
            <color indexed="81"/>
            <rFont val="Segoe UI"/>
            <family val="2"/>
          </rPr>
          <t>TIPO TABULEIRO DE XADREZ
50% DA ÁREA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F2" authorId="0" shapeId="0" xr:uid="{8A09B316-B59F-4806-B3E5-C660E3B526C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" authorId="0" shapeId="0" xr:uid="{9E6F0C29-598C-4211-A5A2-A8C3A166E2D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" authorId="0" shapeId="0" xr:uid="{69FD8DA1-624B-4345-933C-4E626450C66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" authorId="0" shapeId="0" xr:uid="{5FECD0F3-AC6B-48E2-8B6F-783D5C396C6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6" authorId="0" shapeId="0" xr:uid="{468E4CB7-2E8A-477D-9BD1-5FC08FB5799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" authorId="0" shapeId="0" xr:uid="{B068FD50-E9CC-4DA5-B37B-EB8A6F6AC27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7" authorId="0" shapeId="0" xr:uid="{902F5E1D-593A-48F9-A6B6-456D3F7748F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" authorId="0" shapeId="0" xr:uid="{74D4A706-214A-43E3-9B6D-A5A66EFD61C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8" authorId="0" shapeId="0" xr:uid="{02AC1448-E080-4891-929E-F13A597D5F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" authorId="0" shapeId="0" xr:uid="{949C9DE4-ACA5-4B04-AA85-4D8475CACC4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9" authorId="0" shapeId="0" xr:uid="{57569F27-F277-4DE6-886E-129571E4D9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" authorId="0" shapeId="0" xr:uid="{B47984B6-E552-402D-8BBE-BA3DCF00156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2" authorId="0" shapeId="0" xr:uid="{C2B5AABE-D3DE-40BE-AFD9-0220C7B9B80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2" authorId="0" shapeId="0" xr:uid="{B000126B-5228-4688-BB60-97197936A45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3" authorId="0" shapeId="0" xr:uid="{062BF56A-56EE-455F-AA58-34D5229C28C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3" authorId="0" shapeId="0" xr:uid="{D38BFED2-3CDD-4F2D-8FCC-C04CF7A5B5D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6" authorId="0" shapeId="0" xr:uid="{80EE2B36-518B-47CE-80DF-E1352A92748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6" authorId="0" shapeId="0" xr:uid="{00CB3608-9178-4C41-9494-9863324F2FC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0" authorId="0" shapeId="0" xr:uid="{C832E978-3CD7-4A22-8031-8B335707030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0" authorId="0" shapeId="0" xr:uid="{878CFC51-FD1A-4089-A91A-43C8390D845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2" authorId="0" shapeId="0" xr:uid="{D869A062-5E56-4216-9441-CDDBA6F04D5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2" authorId="0" shapeId="0" xr:uid="{3A299D88-ECF6-4EE7-9231-2920114C4E7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4" authorId="0" shapeId="0" xr:uid="{35911844-98AB-4BB0-8976-43FF20B6EE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4" authorId="0" shapeId="0" xr:uid="{2BED2744-25E6-43F1-8F6F-2F4ACE5784A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5" authorId="0" shapeId="0" xr:uid="{93ABDDA8-81EC-4B23-92AA-AD3A7493424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5" authorId="0" shapeId="0" xr:uid="{25E7DEC5-4FBA-4452-84C3-ECCB1906BA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0" authorId="0" shapeId="0" xr:uid="{74A25BFA-41E3-4AC9-A1C5-9F770E76C08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0" authorId="0" shapeId="0" xr:uid="{A04B294F-E221-4E23-AC85-5E0328DB238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4" authorId="0" shapeId="0" xr:uid="{A45DBD0D-2490-469B-9183-C1B401B2C38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4" authorId="0" shapeId="0" xr:uid="{B0582153-3292-4E16-8139-1F570886528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8" authorId="0" shapeId="0" xr:uid="{5680D6E1-5586-4292-A578-8FA6AFAA51C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8" authorId="0" shapeId="0" xr:uid="{12C80C54-4A6B-430D-8A1A-7309405C52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2" authorId="0" shapeId="0" xr:uid="{F8A69A94-E153-4C1E-B07A-0EA8A5011F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2" authorId="0" shapeId="0" xr:uid="{CBD655B1-1E38-4581-BD1F-0F3C77A03AF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4" authorId="0" shapeId="0" xr:uid="{AC704A25-49FA-4D40-889F-3086A4F34A4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4" authorId="0" shapeId="0" xr:uid="{52A94B3D-F6B4-4F27-995A-3D24CC524B0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5" authorId="0" shapeId="0" xr:uid="{2F4CEF02-ADA4-4451-849E-77CCE234E63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5" authorId="0" shapeId="0" xr:uid="{75AB49B1-B778-43E3-B522-4697A636D53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6" authorId="0" shapeId="0" xr:uid="{E3E46CA4-0429-4AD9-A706-23ADAA0C799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6" authorId="0" shapeId="0" xr:uid="{D92D8266-E624-49A1-9D4E-F5DD824EAD9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0" authorId="0" shapeId="0" xr:uid="{0EEE30BF-BB7F-4BCF-BCF5-18A5AFA219E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0" authorId="0" shapeId="0" xr:uid="{72F0826D-96DB-41BE-85CF-ED8B130A30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1" authorId="0" shapeId="0" xr:uid="{A7F1E213-0BC3-48F2-AC6C-9B1FEB00614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1" authorId="0" shapeId="0" xr:uid="{B1E9F7FB-9982-4928-A1FE-E399B9F389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2" authorId="0" shapeId="0" xr:uid="{F08E5CD9-6817-4D82-ADA5-6A7E9BB0831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2" authorId="0" shapeId="0" xr:uid="{BA91C921-7049-49D3-8411-03DA1C946D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5" authorId="0" shapeId="0" xr:uid="{1774E9A5-5FF2-4102-9317-4AEA92FE567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5" authorId="0" shapeId="0" xr:uid="{8DDE8383-4458-420B-8E47-515A6B920D8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64" authorId="0" shapeId="0" xr:uid="{12E1140E-836D-4F7C-AC7B-5EFED4BFE10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4" authorId="0" shapeId="0" xr:uid="{22C38A08-65FC-4D2B-8E3A-083C3D3315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68" authorId="0" shapeId="0" xr:uid="{3D3FBE8F-2262-47EE-8A98-2DA569F2657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8" authorId="0" shapeId="0" xr:uid="{A4858ECB-B1AC-420A-BB70-F1BDEB084D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78" authorId="0" shapeId="0" xr:uid="{E754A423-4983-4FF9-8588-A528A72BBB6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8" authorId="0" shapeId="0" xr:uid="{95FC3B98-4D3A-4576-A753-BF83F233432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79" authorId="0" shapeId="0" xr:uid="{B302AC15-008F-41BD-9D6F-4542C5E6B24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9" authorId="0" shapeId="0" xr:uid="{19655D87-3365-4D65-AA53-E91E314FBE3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81" authorId="0" shapeId="0" xr:uid="{8D825030-1FAA-4C3B-BDAA-4606F1F0523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1" authorId="0" shapeId="0" xr:uid="{B2D37025-3B2D-4AFC-B1D0-3A942A6C834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82" authorId="0" shapeId="0" xr:uid="{69580AA7-06FC-46AB-8569-C6D7709316B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2" authorId="0" shapeId="0" xr:uid="{85CF9E30-F951-4886-B652-2A31482FC23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89" authorId="0" shapeId="0" xr:uid="{548F42CB-D6AF-432C-972D-3F19FD93757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9" authorId="0" shapeId="0" xr:uid="{EF5A473F-DF56-41AA-BB69-83D64D5B6F5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90" authorId="0" shapeId="0" xr:uid="{BC46615E-538D-4E04-9C6C-D6FECBA0A16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0" authorId="0" shapeId="0" xr:uid="{CA45D94A-DD57-49C9-950E-75121CB19D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92" authorId="0" shapeId="0" xr:uid="{B3E420F4-B4E4-4D36-8AD0-AA1D72C2C98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2" authorId="0" shapeId="0" xr:uid="{CA5B34E2-CBA5-4394-877D-F361B6EFE6F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03" authorId="0" shapeId="0" xr:uid="{361B806A-B583-458F-BCA8-DBB82DDE44D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03" authorId="0" shapeId="0" xr:uid="{A6EF0026-ED78-4F96-9750-08BD1A0E5CE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04" authorId="0" shapeId="0" xr:uid="{6923D13E-39C5-4537-A260-CFB5520768F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04" authorId="0" shapeId="0" xr:uid="{0AEAAF28-FB1D-424A-966D-BAB625C0FA8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05" authorId="0" shapeId="0" xr:uid="{FD67903A-77A7-4904-82A0-A265EE7B58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05" authorId="0" shapeId="0" xr:uid="{AB4798C7-E647-4BE0-B086-80D225193FF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06" authorId="0" shapeId="0" xr:uid="{FFFE3613-2E49-478E-85C4-B46C9ED6036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06" authorId="0" shapeId="0" xr:uid="{0EAD2213-876A-40BB-87BB-01736957733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3" authorId="0" shapeId="0" xr:uid="{7ED6F802-34F5-4469-86D9-0A95C365976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" authorId="0" shapeId="0" xr:uid="{DBCF33BE-BA9C-41BF-A02C-297F712462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" authorId="0" shapeId="0" xr:uid="{E4DF6C5A-9923-45C5-85C1-0E724370292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" authorId="0" shapeId="0" xr:uid="{7972B9B1-D5EF-4D96-9AD6-09CDB872B14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" authorId="0" shapeId="0" xr:uid="{ADA01481-4CFD-4C6F-95D5-831ABA1114F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" authorId="0" shapeId="0" xr:uid="{F8F4ED4B-D62A-4DBB-A583-05603240BB4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" authorId="0" shapeId="0" xr:uid="{C19AD994-1A20-4070-978A-257C7ADF18D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" authorId="0" shapeId="0" xr:uid="{83439430-9749-4494-A9FF-EB4319F45B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" authorId="0" shapeId="0" xr:uid="{200B35E2-98E8-4829-8385-3E2512548E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" authorId="0" shapeId="0" xr:uid="{FF6CEAF0-EA56-41C0-8580-B2F7609EF3D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7" authorId="0" shapeId="0" xr:uid="{2ADA2733-6B5F-4080-B2B8-9F123BC4B92F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H27" authorId="0" shapeId="0" xr:uid="{B2543900-3E86-4F05-85AA-BAB443D2D38A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G32" authorId="0" shapeId="0" xr:uid="{545D6070-2240-4EED-A17F-55ACD5659333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H32" authorId="0" shapeId="0" xr:uid="{7EA2CC38-1009-4AAC-BC7F-02877C6EB5BD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G37" authorId="0" shapeId="0" xr:uid="{B31DB32A-44B4-411F-9A9D-27886334FD0F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H37" authorId="0" shapeId="0" xr:uid="{A77B37D2-952D-4496-9DF0-518AEEDCEB4F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G38" authorId="0" shapeId="0" xr:uid="{2F7C18AB-567C-4F0A-B94C-947541EABE25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H38" authorId="0" shapeId="0" xr:uid="{957FD342-1437-4CBB-94A2-BC248F589A96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G71" authorId="0" shapeId="0" xr:uid="{EFB78846-7769-4CF8-AD89-631829BAC48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1" authorId="0" shapeId="0" xr:uid="{FB2F8612-39A5-4AD1-BB1E-61DB8D8D231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3" authorId="0" shapeId="0" xr:uid="{E60649C6-4653-466D-8082-F15D66BD8A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3" authorId="0" shapeId="0" xr:uid="{66ACD564-4F45-476C-A766-DDE70D6A383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5" authorId="0" shapeId="0" xr:uid="{4DB2B32D-FD0C-4B3E-9F48-9A853127D71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5" authorId="0" shapeId="0" xr:uid="{E300DB67-5442-483E-9165-D3B1838B421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8" authorId="0" shapeId="0" xr:uid="{E0A7C2BA-6609-40ED-B9FB-390CB08A110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8" authorId="0" shapeId="0" xr:uid="{98E60D80-AEC3-4D1A-BC50-55BE6DE8486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0" authorId="0" shapeId="0" xr:uid="{081F1F56-8220-4AAE-BA28-AD4466AA874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0" authorId="0" shapeId="0" xr:uid="{C1E0052A-2C7F-4A17-BD2D-63553BF8DC1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2" authorId="0" shapeId="0" xr:uid="{94122CD1-F9DF-4ED4-A446-E69D91689E6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2" authorId="0" shapeId="0" xr:uid="{C3B4768E-B7D4-4251-AF58-ECAEF513AAF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9" authorId="0" shapeId="0" xr:uid="{28E9CF4D-A048-4E0E-9342-5DEB9CA8B1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9" authorId="0" shapeId="0" xr:uid="{0265A4E8-A7BD-4304-8411-90EB13C6CDA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0" authorId="0" shapeId="0" xr:uid="{9BA1232A-E8E0-4F77-A84B-90C2816B307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0" authorId="0" shapeId="0" xr:uid="{EC9F3515-F9C6-4045-9494-F6FE39E056E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1" authorId="0" shapeId="0" xr:uid="{238DE499-7115-4B0F-BD15-D65EC74C439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1" authorId="0" shapeId="0" xr:uid="{CAC66D22-ABB4-488A-B944-50E25A6339B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2" authorId="0" shapeId="0" xr:uid="{BAE986AA-1340-460B-8236-4279E6931D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2" authorId="0" shapeId="0" xr:uid="{04ADEA23-3CED-4615-83E3-1B0DA89C18C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3" authorId="0" shapeId="0" xr:uid="{59AA08E9-3571-4531-BBFA-F2FAD2697FD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3" authorId="0" shapeId="0" xr:uid="{6492ABC3-FC6F-4702-AA0C-6E46D4516FA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4" authorId="0" shapeId="0" xr:uid="{55CD6193-7AF9-4401-943C-3D0056CF19B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4" authorId="0" shapeId="0" xr:uid="{5CABB2D1-B62A-45A6-93CB-758E4C9C42B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29" authorId="0" shapeId="0" xr:uid="{2D8CEBE3-FA33-4FE6-957D-E36AE86B23D1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29" authorId="0" shapeId="0" xr:uid="{0D0B2153-69FF-4428-8112-FA68EEA833E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29" authorId="0" shapeId="0" xr:uid="{4E0C7370-D183-42A1-A55B-BE89B4F0E8D1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29" authorId="0" shapeId="0" xr:uid="{CC144688-14E1-4EED-8118-54413B65B89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31" authorId="0" shapeId="0" xr:uid="{41846282-6432-4BE9-9142-D4618C5CA0CE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H31" authorId="0" shapeId="0" xr:uid="{72BC4B75-FA91-4580-9E3E-4579C24C7703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I31" authorId="0" shapeId="0" xr:uid="{DF0107A2-53E4-4CF6-A81C-9308E6F5CFCC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J31" authorId="0" shapeId="0" xr:uid="{F832017A-4E7C-4453-BF06-88A1AF15A69B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G33" authorId="0" shapeId="0" xr:uid="{99D4440B-E659-48DF-AF74-02491601DE41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33" authorId="0" shapeId="0" xr:uid="{30853A5E-A2B1-45B0-A371-86769A9FA03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33" authorId="0" shapeId="0" xr:uid="{9A029EA8-650D-413B-B42D-469200657CF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33" authorId="0" shapeId="0" xr:uid="{CD5F121E-10FB-43F3-ADE1-AF121A81855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37" authorId="0" shapeId="0" xr:uid="{CDD7564D-B9C5-4E7D-BE50-A8FDA61149D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37" authorId="0" shapeId="0" xr:uid="{1228E363-495B-4771-9E66-C3CCF98A12F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37" authorId="0" shapeId="0" xr:uid="{34DF314E-04EA-4FFB-A000-15904713068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37" authorId="0" shapeId="0" xr:uid="{4527B2CD-48FF-41BA-8D67-99A9ACCA63A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40" authorId="0" shapeId="0" xr:uid="{B5C9149A-3F45-46D0-BD4E-A7C3865B4278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40" authorId="0" shapeId="0" xr:uid="{A4E435D7-4F14-4837-B097-7001929E4B18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I40" authorId="0" shapeId="0" xr:uid="{1FFF7C66-F698-4E4B-A3B8-B558A6214091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J40" authorId="0" shapeId="0" xr:uid="{BF416E21-8FDA-4997-88C3-2C10C07657E9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41" authorId="0" shapeId="0" xr:uid="{CB48D4C0-B464-434A-AA64-864F3272456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41" authorId="0" shapeId="0" xr:uid="{99F889BF-4CAB-4886-87C5-0EA9F94FDEE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41" authorId="0" shapeId="0" xr:uid="{D743A225-3B56-4DD7-B840-FE310778CC9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41" authorId="0" shapeId="0" xr:uid="{36B8C698-AD66-4C3C-B26B-4809D665E71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44" authorId="0" shapeId="0" xr:uid="{7559EDDA-0250-4EAB-AFAF-C6DCBB58C188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44" authorId="0" shapeId="0" xr:uid="{722298FD-A16D-4769-9D76-6149A407315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I44" authorId="0" shapeId="0" xr:uid="{5D9EC0E5-3F8F-4156-8F47-89BBBDC16A6C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J44" authorId="0" shapeId="0" xr:uid="{0E489F38-79CF-498B-93EB-23EE6DB9FED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45" authorId="0" shapeId="0" xr:uid="{A8696725-C210-4B58-8BB0-D6C1B247F93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45" authorId="0" shapeId="0" xr:uid="{E4E23441-D5C4-44E0-98A9-FFF69965CEE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45" authorId="0" shapeId="0" xr:uid="{CF66BBF1-E16A-4BA8-8766-71F36A7883F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45" authorId="0" shapeId="0" xr:uid="{B3801DBB-F19F-40A9-BCAD-871590B4484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48" authorId="0" shapeId="0" xr:uid="{56FA10B7-0BF4-42D5-8078-A82045FDDB1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48" authorId="0" shapeId="0" xr:uid="{D7DDB463-F9F2-4EB6-9FF6-43BB81C740E5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I48" authorId="0" shapeId="0" xr:uid="{CA85CD8A-AA81-4D7A-9482-56EED0A6C709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J48" authorId="0" shapeId="0" xr:uid="{A7148955-00C2-4D09-8E42-A067E4385EBE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49" authorId="0" shapeId="0" xr:uid="{380E7A27-CA7D-45BD-9CFC-70DF9EF9728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49" authorId="0" shapeId="0" xr:uid="{0415386B-E12D-42FF-BF8E-9EC53B642B3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49" authorId="0" shapeId="0" xr:uid="{29A3E1D1-C26A-4DA1-A351-7F7FDFDAD30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49" authorId="0" shapeId="0" xr:uid="{7D535DFB-3E08-41E9-8A01-E8DE58C55F6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52" authorId="0" shapeId="0" xr:uid="{E3BD696F-281A-40DD-B8B4-C8237FC57278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52" authorId="0" shapeId="0" xr:uid="{64345B5C-51F8-4FBA-8EFF-5504D90CD80E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I52" authorId="0" shapeId="0" xr:uid="{D72A5E9F-579A-44A1-A9AD-3E07D8D0992A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J52" authorId="0" shapeId="0" xr:uid="{E741FC85-D944-48F6-B507-C271F4B910D6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53" authorId="0" shapeId="0" xr:uid="{2B32CE1E-81A3-4E53-A889-6595ECA08BB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53" authorId="0" shapeId="0" xr:uid="{72930E10-2A05-40FC-87A4-3DA8F3B3B0E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53" authorId="0" shapeId="0" xr:uid="{5D23E0F5-EFBA-43FB-9D15-4F2ABB779A0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53" authorId="0" shapeId="0" xr:uid="{8D76B9A7-6963-425A-8460-84DF63F20B2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56" authorId="0" shapeId="0" xr:uid="{D934CAEF-E356-44F7-A08B-14AF717FE220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56" authorId="0" shapeId="0" xr:uid="{F865DC25-F86B-4FDA-8AE0-D9BCE305B810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I56" authorId="0" shapeId="0" xr:uid="{8FA80575-7FAC-4644-9095-BD2587FCA51C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J56" authorId="0" shapeId="0" xr:uid="{5B8EA5B1-680E-41EB-A83B-8DA617A421A9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57" authorId="0" shapeId="0" xr:uid="{DDBABF49-83F1-4630-8C62-EDF16E7CB8A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57" authorId="0" shapeId="0" xr:uid="{0E002F7D-13FA-4865-95A6-401A8D64A79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57" authorId="0" shapeId="0" xr:uid="{681A96F9-EAA6-4CC4-849D-5A38FAC63EE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57" authorId="0" shapeId="0" xr:uid="{331A1362-C547-4795-9C7F-AEDE13573E2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60" authorId="0" shapeId="0" xr:uid="{1B4C0D1C-0523-4276-84FB-ED7D363F6F69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60" authorId="0" shapeId="0" xr:uid="{55090E70-7DCF-4E4E-B61A-A7C1CA3ABA4E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I60" authorId="0" shapeId="0" xr:uid="{CA1E3C4A-9DDD-4903-904B-0E1100A7E9D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J60" authorId="0" shapeId="0" xr:uid="{F1CD2E9A-316B-4E46-9D16-66B4C1C8D624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61" authorId="0" shapeId="0" xr:uid="{9FA3A5FC-AA27-495B-9E3A-90E7230AC74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61" authorId="0" shapeId="0" xr:uid="{8EAEA0B5-AEAA-42E2-888C-D42B53A7F29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61" authorId="0" shapeId="0" xr:uid="{E47ACF9B-28C1-4004-B283-07C8423E07E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61" authorId="0" shapeId="0" xr:uid="{68281412-7455-47F9-9299-EB75E609AC9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64" authorId="0" shapeId="0" xr:uid="{6458F288-DB99-49D8-A2A7-675FE71E0221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64" authorId="0" shapeId="0" xr:uid="{FDB958F6-F870-4929-B299-7549969809D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64" authorId="0" shapeId="0" xr:uid="{076D360F-A433-422F-A6F3-60F4D8D464B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64" authorId="0" shapeId="0" xr:uid="{1E75639A-E115-4DDB-A41E-2A432B10283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68" authorId="0" shapeId="0" xr:uid="{B3006A57-25AA-4388-B34A-42DDA29CEFA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68" authorId="0" shapeId="0" xr:uid="{82D1506F-5D67-43B7-9FB6-27DEE33AE3D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68" authorId="0" shapeId="0" xr:uid="{2D027790-978A-455F-B4F0-7B6AFC63603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68" authorId="0" shapeId="0" xr:uid="{49825FA4-FB15-4DBC-AFBE-D11CF6F728A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78" authorId="0" shapeId="0" xr:uid="{96C8DDA3-DCF5-4A96-8199-2F74EFEDC8E5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H78" authorId="0" shapeId="0" xr:uid="{56EBFBDD-504E-4A78-A6FE-04C4A7538288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I78" authorId="0" shapeId="0" xr:uid="{708DD315-57C8-4512-89A7-200E27F319BC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J78" authorId="0" shapeId="0" xr:uid="{CE2AD893-2F61-4D4D-A377-529581EC1F16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F88" authorId="0" shapeId="0" xr:uid="{0914D17E-B7AE-4918-853B-6F1213DF05A8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G88" authorId="0" shapeId="0" xr:uid="{B5316C00-0E09-4E61-805C-7CFAC334FC18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H88" authorId="0" shapeId="0" xr:uid="{3127C75A-4F71-48F7-9AED-0C98C34F1DFA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I88" authorId="0" shapeId="0" xr:uid="{BE875CDF-7E87-4C20-9F10-05D480F06157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8" authorId="0" shapeId="0" xr:uid="{77397422-5782-4A05-B241-4DCD5BB01610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H8" authorId="0" shapeId="0" xr:uid="{86840074-204C-4D96-B45B-5F5BCE3A3954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I8" authorId="0" shapeId="0" xr:uid="{321E42B0-E352-4204-98E1-77BA23485C29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J8" authorId="0" shapeId="0" xr:uid="{D2CAD597-68A9-4732-88B6-57B3794F0C32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G23" authorId="0" shapeId="0" xr:uid="{C7E14CF0-2064-433C-8796-A86F3A39016E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H23" authorId="0" shapeId="0" xr:uid="{CBCED235-29E2-4AF0-87D8-38FCDA37C6D9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I23" authorId="0" shapeId="0" xr:uid="{FF525E26-8156-42F2-806C-C832F86C5159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J23" authorId="0" shapeId="0" xr:uid="{19CD0024-AAB1-4920-9B2D-FE948816A999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G49" authorId="0" shapeId="0" xr:uid="{FCFC2471-FF72-4EA6-B3FA-7319F8868967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H49" authorId="0" shapeId="0" xr:uid="{43EBA9EA-2DE1-4846-82E8-3AA9ABE5C6B1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I49" authorId="0" shapeId="0" xr:uid="{EB1AD5D2-85E4-47AC-B41A-84E1E8FBED39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J49" authorId="0" shapeId="0" xr:uid="{483C9349-2791-4407-8292-E48F865152E8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42" authorId="0" shapeId="0" xr:uid="{2F7AEC4D-5D4C-4E6A-9318-D6D82E08D73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42" authorId="0" shapeId="0" xr:uid="{8F82F338-B0DE-4E97-8127-19C0F9FE5CA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42" authorId="0" shapeId="0" xr:uid="{DADC25BA-A846-4B0A-A950-7D8A8AE00E1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42" authorId="0" shapeId="0" xr:uid="{69AB8D58-3A68-4403-8F9E-42C481EADDF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42" authorId="0" shapeId="0" xr:uid="{D6A898E2-ED3B-4CD6-8EE8-CCFF994D5BD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49" authorId="0" shapeId="0" xr:uid="{19C690B8-3224-41F0-BF77-470645A2FF9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49" authorId="0" shapeId="0" xr:uid="{6D267DBC-A72D-4258-BB37-11AAD985264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49" authorId="0" shapeId="0" xr:uid="{7BB77DDB-A7B5-4CD0-B47F-3291B67EC11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49" authorId="0" shapeId="0" xr:uid="{3B21836B-55CC-4A63-8759-860AC875E7B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49" authorId="0" shapeId="0" xr:uid="{15D17DFF-3A21-4FB6-B519-4E968570136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56" authorId="0" shapeId="0" xr:uid="{5F954A40-5827-4855-BBA3-CBF053D9B19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56" authorId="0" shapeId="0" xr:uid="{B8A61BF6-2E27-4497-855B-97B9C40BDD8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56" authorId="0" shapeId="0" xr:uid="{7606193F-FFD4-482A-8A16-3825503A71B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56" authorId="0" shapeId="0" xr:uid="{B26A1694-6086-498E-9E9E-FB16AFEBB67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56" authorId="0" shapeId="0" xr:uid="{BDBED13D-6847-4760-B3A2-8897C989D88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63" authorId="0" shapeId="0" xr:uid="{FC8BA0FA-CCF1-4DA6-9164-3DB9E7B3E3A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63" authorId="0" shapeId="0" xr:uid="{DC9873D4-A3AC-4EB3-A1CA-471B405D515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63" authorId="0" shapeId="0" xr:uid="{33BEDE51-F488-4D70-A39A-92350372610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63" authorId="0" shapeId="0" xr:uid="{D7A38FCE-6AA1-4BC3-AAA4-55BE7ED2C4F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63" authorId="0" shapeId="0" xr:uid="{D86815C9-B179-4F83-BC01-CA13148040F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70" authorId="0" shapeId="0" xr:uid="{1275404A-4526-4615-A693-3897B638CA8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70" authorId="0" shapeId="0" xr:uid="{D0B11478-91BD-40B9-B5AD-54AA6D338FC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70" authorId="0" shapeId="0" xr:uid="{655E1571-A081-4CBC-A653-457685B64FE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70" authorId="0" shapeId="0" xr:uid="{88BA56D8-F608-4683-99A7-4C3D0312812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70" authorId="0" shapeId="0" xr:uid="{D46AED39-89D6-44E2-A857-7183092FA59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77" authorId="0" shapeId="0" xr:uid="{32946125-2D56-4009-A79E-5B9B6D99C4D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77" authorId="0" shapeId="0" xr:uid="{E6DE8ECB-8DAF-4824-B21E-A645C26A69F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77" authorId="0" shapeId="0" xr:uid="{12DF75CF-5611-42AE-8FB3-5E051AFCCBC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77" authorId="0" shapeId="0" xr:uid="{C874E485-7AD7-4FD6-97BC-6A8501F2E2C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77" authorId="0" shapeId="0" xr:uid="{0AE2416E-942B-4387-8C48-521EDD48AE7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84" authorId="0" shapeId="0" xr:uid="{813FDEFE-296C-4B8A-9678-1DB8081F2C5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84" authorId="0" shapeId="0" xr:uid="{E97667FB-96D6-405F-B7AA-70C861CBF29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84" authorId="0" shapeId="0" xr:uid="{6E2F549B-CAD8-4725-BF05-69343E5778F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84" authorId="0" shapeId="0" xr:uid="{5735B477-43F2-4A48-8037-EEBB1D83DB2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84" authorId="0" shapeId="0" xr:uid="{A63F90C7-9CAB-4F84-BF01-73E0C68BA53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92" authorId="0" shapeId="0" xr:uid="{B5363FD2-776B-4327-B008-70A2CE1A896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92" authorId="0" shapeId="0" xr:uid="{EF9E5D02-0F2F-45CD-B4B6-AC23BB2F981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92" authorId="0" shapeId="0" xr:uid="{48D12F30-FF88-42D3-8B20-833036C59A0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92" authorId="0" shapeId="0" xr:uid="{F0D568AC-C108-4F7E-ABF4-30CBEA16965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92" authorId="0" shapeId="0" xr:uid="{9E0674B0-55B3-4A3A-BC1F-E9BB07AEBDF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99" authorId="0" shapeId="0" xr:uid="{055ED984-2B4D-4302-AC2A-08F375E7F26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99" authorId="0" shapeId="0" xr:uid="{8E6C1E9B-5145-4059-983F-B768CD8DF73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99" authorId="0" shapeId="0" xr:uid="{6F0C1714-8F2C-42FA-AB35-BC514A49D5E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99" authorId="0" shapeId="0" xr:uid="{E7E5AA71-0DFD-4C5B-A05D-239C50BE207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99" authorId="0" shapeId="0" xr:uid="{ECD32FED-0634-4A75-A83D-2D1A51909E8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06" authorId="0" shapeId="0" xr:uid="{E2F0B8AB-420C-4F8C-A295-7C9AE64E072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06" authorId="0" shapeId="0" xr:uid="{0A80B7C2-6365-4A74-8A26-EF12B9AF8D0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06" authorId="0" shapeId="0" xr:uid="{02D11A81-C412-4675-AF5C-29A8B2CED48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06" authorId="0" shapeId="0" xr:uid="{9D51B3A9-9CE3-4923-96FD-21BE6C7C8B8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06" authorId="0" shapeId="0" xr:uid="{0D9F2CC6-A0DD-421E-975E-28A7F65BEE0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13" authorId="0" shapeId="0" xr:uid="{22F02940-3D42-457A-BA39-F3DEE4587C5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13" authorId="0" shapeId="0" xr:uid="{0857B391-26E3-47FE-BD56-EB912E042F0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13" authorId="0" shapeId="0" xr:uid="{CFC67159-3097-473C-BEC5-90DF89A75B9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13" authorId="0" shapeId="0" xr:uid="{07258FD0-0952-41A1-806B-0493F3FF251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13" authorId="0" shapeId="0" xr:uid="{FF697C3A-EE2D-455F-A8ED-F20BEECE652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20" authorId="0" shapeId="0" xr:uid="{72EED850-A576-4CF1-ABD1-855546B1D16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20" authorId="0" shapeId="0" xr:uid="{CDD15A70-59D4-4C02-993A-07AF0067BC0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20" authorId="0" shapeId="0" xr:uid="{A1250988-15BC-457B-A242-BD5F2233084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20" authorId="0" shapeId="0" xr:uid="{9F4E4BCB-8C3B-444C-94BF-69C9F785391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20" authorId="0" shapeId="0" xr:uid="{71DF9DA1-190E-4FF4-86AB-E1608E5F08D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27" authorId="0" shapeId="0" xr:uid="{636FFDB8-4703-4678-8AA3-B5BAE3E5D6F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27" authorId="0" shapeId="0" xr:uid="{AEEFD29D-D513-467D-BE29-C8AE1E04968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27" authorId="0" shapeId="0" xr:uid="{2CCA732B-D3BA-42EB-A9E1-9B6564EAA49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27" authorId="0" shapeId="0" xr:uid="{34A4D513-526F-4E10-B4EC-12F3032C8BA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27" authorId="0" shapeId="0" xr:uid="{1926878F-426F-419E-B5B3-580D1453EFF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35" authorId="0" shapeId="0" xr:uid="{7F1FF8D9-C4A3-4A2B-AE6E-F0C641CA1D6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35" authorId="0" shapeId="0" xr:uid="{90E9BA1D-D560-4C78-8497-0B7A1EF18E0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35" authorId="0" shapeId="0" xr:uid="{55B1B401-EEFF-4DD7-97FD-DB864CA6EDB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35" authorId="0" shapeId="0" xr:uid="{540D9C13-1DBA-48DA-AB63-BB209CECA88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35" authorId="0" shapeId="0" xr:uid="{64FABFC2-EE1E-4C1F-90A2-A2E2E824824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42" authorId="0" shapeId="0" xr:uid="{D98C47EB-D1DF-43EF-8908-39C76F582AD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42" authorId="0" shapeId="0" xr:uid="{629C051A-A325-4E81-8287-2DED68D4928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42" authorId="0" shapeId="0" xr:uid="{059B965E-6C08-40B3-9E8F-1949DE6ACD4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42" authorId="0" shapeId="0" xr:uid="{79F25B23-8E90-4AE8-B34A-716499E620D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42" authorId="0" shapeId="0" xr:uid="{22F446EB-AE31-404F-B20E-6FAA820EC89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59" authorId="0" shapeId="0" xr:uid="{6F891AE5-3BB3-49DD-BF8E-35F73A795E52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H159" authorId="0" shapeId="0" xr:uid="{C24FBD30-E1C2-469D-8F92-CD71CD70BE3A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I159" authorId="0" shapeId="0" xr:uid="{CA901E2E-0277-4FBC-8E18-7F8A7BAEF5D9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J159" authorId="0" shapeId="0" xr:uid="{FC4FCA41-2BDD-4E36-B633-2C93C3427C2C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K159" authorId="0" shapeId="0" xr:uid="{95E95816-1864-40DF-85C6-1E3815D3F046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G162" authorId="0" shapeId="0" xr:uid="{44CDA54D-05EE-4D22-A042-D1592A19BA73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H162" authorId="0" shapeId="0" xr:uid="{1BF93C49-09FE-4993-AD82-985109266173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I162" authorId="0" shapeId="0" xr:uid="{3BDDCBA4-8840-4B9A-93E5-E3E5FA9A1AC6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J162" authorId="0" shapeId="0" xr:uid="{FA21C2E2-DB95-4279-9C23-44C7FEE5E23B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K162" authorId="0" shapeId="0" xr:uid="{31A5AB00-CCA1-4FC7-A3E9-ADA0E55E5F26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  <author>tc={030F01ED-7206-4C65-AE66-AD8449C8592B}</author>
    <author>tc={A170B4B0-6373-4397-8033-B8AA69C73904}</author>
    <author>.</author>
  </authors>
  <commentList>
    <comment ref="AI71" authorId="0" shapeId="0" xr:uid="{D794C4A3-A00A-4C0E-A64B-79D3AF1B7FA6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73" authorId="0" shapeId="0" xr:uid="{DCE98B83-DBB3-4545-8755-73B3AA601DF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4" authorId="0" shapeId="0" xr:uid="{DA62F637-7C67-4EC8-B933-077BE385301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6" authorId="0" shapeId="0" xr:uid="{48F80D9C-7E37-477F-A6A8-214B4D1F129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7" authorId="0" shapeId="0" xr:uid="{FB4EC673-7202-41A0-9B10-916A0CE61DD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E89" authorId="1" shapeId="0" xr:uid="{030F01ED-7206-4C65-AE66-AD8449C8592B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Falta recorte mecânico de pavimento</t>
        </r>
      </text>
    </comment>
    <comment ref="AI109" authorId="0" shapeId="0" xr:uid="{29FFFF72-0FE6-4E1B-845B-CEC06705614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0" authorId="0" shapeId="0" xr:uid="{8EA21096-9B01-4544-AEBD-C81EE635EF6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2" authorId="0" shapeId="0" xr:uid="{1878AEBC-225D-426A-8755-29A8CFB4DD5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3" authorId="0" shapeId="0" xr:uid="{7E1A99C5-5BC0-4F32-B2D7-FEC2325A579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E146" authorId="2" shapeId="0" xr:uid="{A170B4B0-6373-4397-8033-B8AA69C73904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Rever a forma como é dimensionado o tipo de escoramento.</t>
        </r>
      </text>
    </comment>
    <comment ref="O182" authorId="3" shapeId="0" xr:uid="{DF87A97A-9D83-40DB-9BFA-9C656AC2182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182" authorId="3" shapeId="0" xr:uid="{B4F7A258-C43E-4C87-AA81-ED56D8792B2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182" authorId="3" shapeId="0" xr:uid="{83EB57D1-AD03-4FBB-9B7B-C481A67FB59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183" authorId="3" shapeId="0" xr:uid="{A3E9FD43-A0C1-43ED-91AD-05E6C0A4CE0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183" authorId="3" shapeId="0" xr:uid="{9FAE2951-2046-4750-AB96-C0D5035D080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183" authorId="3" shapeId="0" xr:uid="{A52D0AAA-D46D-4891-88BA-19864E5D0F4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183" authorId="0" shapeId="0" xr:uid="{DADB151D-4266-4869-81D3-1AD4C31A8CCE}">
      <text>
        <r>
          <rPr>
            <b/>
            <sz val="9"/>
            <color indexed="81"/>
            <rFont val="Segoe UI"/>
            <family val="2"/>
          </rPr>
          <t>digitar:
COMERCIAL
ou
PÚBLICO (local)</t>
        </r>
      </text>
    </comment>
    <comment ref="AI184" authorId="0" shapeId="0" xr:uid="{BA45E467-CE59-4822-9AF3-C572C22E57B2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AI185" authorId="0" shapeId="0" xr:uid="{EF182CB7-9600-4AC7-8701-BAC39AE48AF2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89" authorId="0" shapeId="0" xr:uid="{782A8D0E-0A7D-4D28-9399-5A4C9C06C80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92" authorId="0" shapeId="0" xr:uid="{7D00A3F7-794E-41E6-BE52-DC6730D837D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95" authorId="0" shapeId="0" xr:uid="{0295CCCC-3E19-41AB-9477-6B2C6436833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98" authorId="0" shapeId="0" xr:uid="{4C20C423-371E-48DD-8683-623F37BFA96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202" authorId="0" shapeId="0" xr:uid="{844764AE-69CE-4BD2-BE79-DA429566C8D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O205" authorId="3" shapeId="0" xr:uid="{F02668E2-7B5A-4272-A9C2-5B8F578000D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05" authorId="3" shapeId="0" xr:uid="{9D9C9E07-D63D-4FE9-999E-166BE5B646C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05" authorId="3" shapeId="0" xr:uid="{6C5CA857-8A0A-45E8-B0C4-04A9AB077F9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06" authorId="3" shapeId="0" xr:uid="{A6173A0D-0266-4E34-B57E-3C69CDDC7EA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06" authorId="3" shapeId="0" xr:uid="{0A06607D-8F59-4017-8130-699921B9444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06" authorId="3" shapeId="0" xr:uid="{7C651FA0-280D-4267-AF51-A970F59F28E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07" authorId="3" shapeId="0" xr:uid="{2832FE44-E219-4718-BB7C-554EF446C5F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07" authorId="3" shapeId="0" xr:uid="{198F43E9-59D5-4C43-8E7C-A00A52829EB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07" authorId="3" shapeId="0" xr:uid="{4F0ABF10-B8DD-491E-8284-A219DDF70E9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08" authorId="3" shapeId="0" xr:uid="{1851FACF-0B90-4EB7-9071-43ECA1CE67C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08" authorId="3" shapeId="0" xr:uid="{10DCB7FB-74FB-4029-ACEE-AC75380D27A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08" authorId="3" shapeId="0" xr:uid="{18028377-F270-47B9-AC35-9EC7C16CA49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09" authorId="3" shapeId="0" xr:uid="{A2BDA177-4555-4F1F-89E3-E14224E97AA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09" authorId="3" shapeId="0" xr:uid="{80DAA97B-CDA2-4D0A-8899-91D7A57FB7B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09" authorId="3" shapeId="0" xr:uid="{D3945486-58A7-45B4-94AA-22D543B9659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10" authorId="3" shapeId="0" xr:uid="{961F1DDC-4C25-4986-9FD5-3FB6E4CB7F6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10" authorId="3" shapeId="0" xr:uid="{183CCC33-613F-474C-94C5-F5494EDF34B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10" authorId="3" shapeId="0" xr:uid="{D2C81FE2-5DC4-4A88-A15B-54B0C101C5C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11" authorId="3" shapeId="0" xr:uid="{5C7C300D-288C-4C5E-992E-03476A1EAC4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11" authorId="3" shapeId="0" xr:uid="{DC7B889A-3CBD-4CB0-9BE9-EDE6F3EC603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11" authorId="3" shapeId="0" xr:uid="{3F029F1E-3F43-436C-B57D-E10939D10FC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12" authorId="3" shapeId="0" xr:uid="{A1BFAC19-A2F6-45BB-AB58-C822AF2E0D7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12" authorId="3" shapeId="0" xr:uid="{634C8B24-0E5C-4925-90CC-86E956BB952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12" authorId="3" shapeId="0" xr:uid="{0402A170-721F-48CB-82FA-44B830B4EB1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13" authorId="3" shapeId="0" xr:uid="{D0DF6451-FA49-4FBC-AC5F-AAC3AE2A09D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13" authorId="3" shapeId="0" xr:uid="{19906DFB-C878-46B8-A1E0-14FD5833FE0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13" authorId="3" shapeId="0" xr:uid="{112463F0-6111-4C4C-9C62-3CE34D58020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14" authorId="3" shapeId="0" xr:uid="{EF65842C-8F82-45E4-A2BA-8EF6E1A9DEC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14" authorId="3" shapeId="0" xr:uid="{F794F388-A2FD-46FE-80F9-33C44D1F346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14" authorId="3" shapeId="0" xr:uid="{7BB3CB5E-CAA2-4EC7-B8C7-922548A3B1A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15" authorId="3" shapeId="0" xr:uid="{ED1EF31D-A33A-43C6-8BAB-10AEFEE2EEE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15" authorId="3" shapeId="0" xr:uid="{DA56BBD9-49AB-4B22-B5AB-6B81F8D1334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15" authorId="3" shapeId="0" xr:uid="{68248C56-EC8E-4177-AA75-919D4089D84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16" authorId="3" shapeId="0" xr:uid="{3868A461-6AFD-44D3-8245-B821CEB5AA2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16" authorId="3" shapeId="0" xr:uid="{499302CA-9F6E-4645-9430-6A8DF0DD41A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16" authorId="3" shapeId="0" xr:uid="{99575F9E-B04A-4E74-AEFC-2F0F85A429D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29" authorId="3" shapeId="0" xr:uid="{AB4696CD-65D3-4B54-9EE3-9C50B8F91B3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29" authorId="3" shapeId="0" xr:uid="{DA02F92B-B40A-4E22-B772-786CA300C53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29" authorId="3" shapeId="0" xr:uid="{9A95A0C5-76EE-4D6B-AB0B-DEEEB7243F1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30" authorId="3" shapeId="0" xr:uid="{5968EA93-2F3D-4B90-986A-DA1B5C125C6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30" authorId="3" shapeId="0" xr:uid="{2D2170E8-F822-4588-8060-543F5EF1AFE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30" authorId="3" shapeId="0" xr:uid="{F88576B3-9D78-4EEC-A0AB-4ED420C3C96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31" authorId="3" shapeId="0" xr:uid="{6BE14573-6E77-4F26-8A21-9FAA2E5F64D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31" authorId="3" shapeId="0" xr:uid="{62219287-3250-40E5-951F-48B77345AB3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31" authorId="3" shapeId="0" xr:uid="{C91A3CC3-6284-4CDC-B108-58A18E5D96C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32" authorId="3" shapeId="0" xr:uid="{6BA54F6D-A54B-44CA-83FF-E259EC8A7EE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32" authorId="3" shapeId="0" xr:uid="{0EFD3F0E-EC52-4C48-A7B3-654A5C26C9D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32" authorId="3" shapeId="0" xr:uid="{1C9F2C02-DABC-45E8-8FBA-08B8E1823C9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33" authorId="3" shapeId="0" xr:uid="{620201BF-BC27-4755-9D32-73E98E281A2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33" authorId="3" shapeId="0" xr:uid="{468AC638-815D-4095-B71D-EA3BAB9567B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33" authorId="3" shapeId="0" xr:uid="{5961800D-6DDA-42B1-A4CC-6C092C42EA1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34" authorId="3" shapeId="0" xr:uid="{74244A42-8F21-4B90-9DFE-B949BDD0921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34" authorId="3" shapeId="0" xr:uid="{492812B4-667D-429F-BE3B-EE04ADE2AB5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34" authorId="3" shapeId="0" xr:uid="{EE90BA44-9AC6-4A9B-A4DB-6898119D4CC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35" authorId="3" shapeId="0" xr:uid="{D97B85C6-0F4F-444B-81B7-EC26966BB0F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35" authorId="3" shapeId="0" xr:uid="{91BB2872-50E9-48B3-9044-999F399137A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35" authorId="3" shapeId="0" xr:uid="{442C3BE4-01CB-4705-9C8E-22F2BB34A52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36" authorId="3" shapeId="0" xr:uid="{20772CC9-91DE-46B8-B265-834E7E7C046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36" authorId="3" shapeId="0" xr:uid="{32413933-21B3-48D4-BA43-CBE3B9E8059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36" authorId="3" shapeId="0" xr:uid="{73D0ACCE-9F9C-449E-922B-6E411AF4D6C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237" authorId="3" shapeId="0" xr:uid="{194B1131-0DB4-489E-941D-233CE595F2C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237" authorId="3" shapeId="0" xr:uid="{44E52649-2EDD-469C-8DFE-D6B2511A96B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237" authorId="3" shapeId="0" xr:uid="{4A689129-2291-494A-B3CE-94693B95A0D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325" authorId="0" shapeId="0" xr:uid="{3DA7DB6E-F04F-4307-9C5D-258D3A750738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326" authorId="0" shapeId="0" xr:uid="{39BB6F96-4EEB-45D9-8130-81D3405BE20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358" authorId="0" shapeId="0" xr:uid="{8767C6D3-74CA-4F92-9D52-5A84EFAA7138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371" authorId="0" shapeId="0" xr:uid="{002BA891-A152-46B7-8F69-AE4078FE02A2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AI373" authorId="0" shapeId="0" xr:uid="{564D91F1-41E1-43B8-BF67-23761C2C9300}">
      <text>
        <r>
          <rPr>
            <b/>
            <sz val="9"/>
            <color indexed="81"/>
            <rFont val="Segoe UI"/>
            <family val="2"/>
          </rPr>
          <t>digitar:
COMERCIAL
ou
PÚBLICO (local)</t>
        </r>
      </text>
    </comment>
    <comment ref="AI384" authorId="0" shapeId="0" xr:uid="{3A2B230E-A29D-4E31-8D6D-B730A6D7234B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385" authorId="0" shapeId="0" xr:uid="{84232B93-1591-4AFA-8C1D-C010B3ADBD46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386" authorId="0" shapeId="0" xr:uid="{F64D5D7D-283C-48AB-8E24-D9B48E9B944E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427" authorId="0" shapeId="0" xr:uid="{0B1D38DF-8CED-4F83-8508-4D1C393ACAD0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AI429" authorId="0" shapeId="0" xr:uid="{434045CC-091F-4504-B1FE-BFF5F2071052}">
      <text>
        <r>
          <rPr>
            <b/>
            <sz val="9"/>
            <color indexed="81"/>
            <rFont val="Segoe UI"/>
            <family val="2"/>
          </rPr>
          <t>PARA DEFINIR ALTURA
digitar:
MENOR
ou
MAIOR</t>
        </r>
      </text>
    </comment>
    <comment ref="AI433" authorId="0" shapeId="0" xr:uid="{D05AC47B-891C-42CA-BEA2-33ED97F1C5FD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434" authorId="0" shapeId="0" xr:uid="{A405E08A-3504-4E52-B634-FA1006170764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435" authorId="0" shapeId="0" xr:uid="{75B53E9B-6BF6-4905-9DE6-3608B2EE6235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436" authorId="0" shapeId="0" xr:uid="{5865E70E-6D01-4268-A9AF-55BC0AA39748}">
      <text>
        <r>
          <rPr>
            <b/>
            <sz val="9"/>
            <color indexed="81"/>
            <rFont val="Segoe UI"/>
            <family val="2"/>
          </rPr>
          <t>digitar:
RETANGULAR
ou
16 FACES</t>
        </r>
      </text>
    </comment>
    <comment ref="AI438" authorId="0" shapeId="0" xr:uid="{AF46A96F-8143-44CB-BE7B-A4BBB72CF7B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39" authorId="0" shapeId="0" xr:uid="{B85ED4E2-E22F-410A-A279-80F6FE35430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41" authorId="0" shapeId="0" xr:uid="{1C6DEB1C-55D0-44F9-B372-C01419651A39}">
      <text>
        <r>
          <rPr>
            <b/>
            <sz val="9"/>
            <color indexed="81"/>
            <rFont val="Segoe UI"/>
            <family val="2"/>
          </rPr>
          <t>digitar:
RP (revestimento primário)
ou 
PAV (pavimentada)</t>
        </r>
      </text>
    </comment>
    <comment ref="AI442" authorId="0" shapeId="0" xr:uid="{2C897A97-1BCC-4B1D-9370-8B84AB4FAFA3}">
      <text>
        <r>
          <rPr>
            <b/>
            <sz val="9"/>
            <color indexed="81"/>
            <rFont val="Segoe UI"/>
            <family val="2"/>
          </rPr>
          <t>digitar:
RP (revestimento primário)
ou 
PAV (pavimentada)</t>
        </r>
      </text>
    </comment>
    <comment ref="AI444" authorId="0" shapeId="0" xr:uid="{62005C94-DCE4-4774-B611-73C2FE17AFF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45" authorId="0" shapeId="0" xr:uid="{9F2EAE2A-6229-4A66-9344-7C6CABD571D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47" authorId="0" shapeId="0" xr:uid="{2077B25C-DEFC-4F3F-9A30-DC1018106A2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49" authorId="0" shapeId="0" xr:uid="{FB4A39D2-0300-46A4-A54E-071F2CC88D3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50" authorId="0" shapeId="0" xr:uid="{A4712FD6-10B3-46C7-A54B-D1ED83699BF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52" authorId="0" shapeId="0" xr:uid="{DD5BF70C-5EB2-4D8C-AFF1-E6A19572FD0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53" authorId="0" shapeId="0" xr:uid="{BB4D8746-F420-4427-BFE1-36234909C4C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O472" authorId="3" shapeId="0" xr:uid="{958EEF89-F300-4E3E-B770-F819FBF8661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472" authorId="3" shapeId="0" xr:uid="{5759CF9F-C63F-4EBF-8754-36FA024293F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472" authorId="3" shapeId="0" xr:uid="{52B95A09-1D9F-49E0-8A1D-366335F9423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472" authorId="0" shapeId="0" xr:uid="{B1AB613B-9D53-47A2-966E-4D838AEC22A1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482" authorId="0" shapeId="0" xr:uid="{3C6F2D2F-4A5C-4C33-9DE2-BE89CA62B42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83" authorId="0" shapeId="0" xr:uid="{3088B63D-4E2A-46FB-A0AD-32DBBAEC1A6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85" authorId="0" shapeId="0" xr:uid="{3B9095C0-A893-4E7A-BD38-B7DD32D8AE7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86" authorId="0" shapeId="0" xr:uid="{3721FCC1-8432-482F-A748-FF16E1FA442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88" authorId="0" shapeId="0" xr:uid="{ED190C49-EA6D-433E-8340-39CB26D97B2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89" authorId="0" shapeId="0" xr:uid="{FB0B7E76-9416-4C10-895B-14DBF02EE7A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91" authorId="0" shapeId="0" xr:uid="{68CCC9C6-7446-4B47-A9D5-82D307B662D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492" authorId="0" shapeId="0" xr:uid="{A2B4850A-616B-437D-B3EB-2AA209E2A33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O497" authorId="3" shapeId="0" xr:uid="{604E6DBA-4802-45D7-A36D-87474B7B3DC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497" authorId="3" shapeId="0" xr:uid="{97CC8145-9F88-4E3E-BB0D-89D0CE9028A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497" authorId="3" shapeId="0" xr:uid="{A17D0E67-C0D5-4309-AB75-E74D67A7CF8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497" authorId="0" shapeId="0" xr:uid="{2D84274F-CFC0-411F-B7DF-E6779E11196A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O498" authorId="3" shapeId="0" xr:uid="{AAC83AD2-45B8-4A22-BC39-FC3FCBB1BEF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498" authorId="3" shapeId="0" xr:uid="{42FB4288-24C9-4B30-A913-02B64D03622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498" authorId="3" shapeId="0" xr:uid="{8ED501E8-4876-45CD-A226-00A5E3EC40C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499" authorId="3" shapeId="0" xr:uid="{1258C2C6-EE1E-4619-9905-300F8A159D3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499" authorId="3" shapeId="0" xr:uid="{644E91E1-B5C7-44CB-AF8F-4BF439849E7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499" authorId="3" shapeId="0" xr:uid="{4A5E0C87-EE81-4A8B-B34E-8791438B4F7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499" authorId="0" shapeId="0" xr:uid="{A471205C-9285-42BB-BEBF-72C89525DC43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O500" authorId="3" shapeId="0" xr:uid="{7920E20E-BFC8-4969-BB47-9A29E0636E0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500" authorId="3" shapeId="0" xr:uid="{16AA1546-4534-41A6-B314-17C45CE009C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500" authorId="3" shapeId="0" xr:uid="{316412C2-1532-45E8-A650-399DD7E649C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501" authorId="3" shapeId="0" xr:uid="{E9293214-7915-4CBD-B766-BC1C82C830A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501" authorId="3" shapeId="0" xr:uid="{B59162A7-7408-46C2-935C-92186FA6E31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501" authorId="3" shapeId="0" xr:uid="{EF3D1A45-738D-4A8A-917A-A4677E63B3D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B506" authorId="0" shapeId="0" xr:uid="{93D1BBE2-A499-4C57-B982-FF0DBA8EBAC2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AI506" authorId="0" shapeId="0" xr:uid="{78B2F422-B12A-4006-88D9-F93A9090374A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AI508" authorId="0" shapeId="0" xr:uid="{032C9A79-BC4B-4F99-A466-EEA4EC980144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AI509" authorId="0" shapeId="0" xr:uid="{AE8CAEA7-876D-4A74-9E82-AFE05BF4CBD4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AI512" authorId="0" shapeId="0" xr:uid="{B002C511-8F72-4EE7-8204-AF1F608CDC1D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514" authorId="0" shapeId="0" xr:uid="{D3085DB9-9274-418C-A5C9-055A9D7A2E9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15" authorId="0" shapeId="0" xr:uid="{E4487609-E520-40C4-B1EC-054648C5504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17" authorId="0" shapeId="0" xr:uid="{28BB6992-F7AE-4F7F-8A42-DC15075E822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18" authorId="0" shapeId="0" xr:uid="{7ED0E655-1343-41FA-B92A-D13B7880121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23" authorId="0" shapeId="0" xr:uid="{DC03FEA3-78D4-4689-8E1F-08BCF7D4A75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24" authorId="0" shapeId="0" xr:uid="{729D3B9B-6982-451D-8453-6E3EE692C79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26" authorId="0" shapeId="0" xr:uid="{5D085D5D-2242-4931-AA27-982C820E003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27" authorId="0" shapeId="0" xr:uid="{2CBCA3F0-0F4C-4846-B337-45CD1EDA46A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29" authorId="0" shapeId="0" xr:uid="{ABEA2887-203F-45B6-8CA8-9DF65BFDE7C8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30" authorId="0" shapeId="0" xr:uid="{0F0AEAD6-799D-448B-B495-769BF92A8EA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32" authorId="0" shapeId="0" xr:uid="{5173BF2B-ABAD-4DF3-B293-F1332ABB92A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33" authorId="0" shapeId="0" xr:uid="{D8D72AC8-6F9E-4D3B-BAFF-FEEA7A68329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35" authorId="0" shapeId="0" xr:uid="{7F632A61-FBDF-4EE4-9708-62C30E2234F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36" authorId="0" shapeId="0" xr:uid="{ED40BFDD-371A-4ED8-8DA0-8B76276000C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38" authorId="0" shapeId="0" xr:uid="{557ABF59-9D81-4186-A1C1-84735F8C8A7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39" authorId="0" shapeId="0" xr:uid="{2355ED70-80D3-4B8B-8391-09A0DF53082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41" authorId="0" shapeId="0" xr:uid="{FDE374C4-7ECD-4652-8005-28699EF53BD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42" authorId="0" shapeId="0" xr:uid="{EDDC3ED5-CCA5-487D-B364-222A61F245A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44" authorId="0" shapeId="0" xr:uid="{3A4DAAB2-EF2C-4B7C-88E8-50C85E6EE41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45" authorId="0" shapeId="0" xr:uid="{94DD7C40-4432-4A8C-B655-9198C894BBA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47" authorId="0" shapeId="0" xr:uid="{DF8F43CD-C284-4DAA-B555-9C2A74B72B0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48" authorId="0" shapeId="0" xr:uid="{9D692AF6-E42F-45F4-A53F-6EB45129B64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50" authorId="0" shapeId="0" xr:uid="{2D42CF55-2BBD-417B-88AD-98248474B19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51" authorId="0" shapeId="0" xr:uid="{150CBAFE-6B10-4F1A-9B91-F1235D2F77E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53" authorId="0" shapeId="0" xr:uid="{24003DB6-C687-4C51-8047-7A1672E8EFF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54" authorId="0" shapeId="0" xr:uid="{F89DAD98-2AB3-4C09-98BB-E00DE5351DC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56" authorId="0" shapeId="0" xr:uid="{B2B9F97A-4358-40B7-BF2E-64CB0EB280E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57" authorId="0" shapeId="0" xr:uid="{781B490E-0AC2-4EB3-B2C9-F63E7B33B3C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59" authorId="0" shapeId="0" xr:uid="{5F6356D9-A9E5-46EC-A48C-9E9BD441349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60" authorId="0" shapeId="0" xr:uid="{FC92CA08-7A13-4F67-9888-6B3BB433E76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62" authorId="0" shapeId="0" xr:uid="{31A63910-7B12-4750-83E5-95B0A968F90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63" authorId="0" shapeId="0" xr:uid="{4F96070A-CE7D-4450-BE65-D84FF5DBFF4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65" authorId="0" shapeId="0" xr:uid="{5E4F8816-EFAA-48B7-856E-8EE4DBA793E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66" authorId="0" shapeId="0" xr:uid="{F5F3E308-C2D3-4B33-9A89-E396314CBC4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68" authorId="0" shapeId="0" xr:uid="{2F9CD49D-E82D-4734-B658-2B90DC1BD75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69" authorId="0" shapeId="0" xr:uid="{78907643-E40F-40E6-A43D-352130295A1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579" authorId="0" shapeId="0" xr:uid="{D5815FDA-FC32-4437-9970-89598FB3077B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580" authorId="0" shapeId="0" xr:uid="{7F507440-8381-4C5A-8945-4DE83377687F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O592" authorId="3" shapeId="0" xr:uid="{918C7298-FF81-42B1-8C66-E365D06BADD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592" authorId="3" shapeId="0" xr:uid="{02D396E8-C55C-420C-A2A2-2CCABD4F7C3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592" authorId="3" shapeId="0" xr:uid="{4EB71CBD-2490-4B13-B7FD-BE86B15616F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593" authorId="3" shapeId="0" xr:uid="{E3FD3853-4C53-4AC0-AF4B-9A265D2621E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593" authorId="3" shapeId="0" xr:uid="{E0C32F5C-D6F8-4C52-BB08-C546D5C41F6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593" authorId="3" shapeId="0" xr:uid="{79A8F80E-E1CA-4F85-9C0B-C3DC25E0E19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594" authorId="3" shapeId="0" xr:uid="{129C5703-B2EB-4E28-915E-D2E21A0FC89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594" authorId="3" shapeId="0" xr:uid="{3AF52A65-6E9F-4F8B-9A73-19300FF80B7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594" authorId="3" shapeId="0" xr:uid="{0A90E1A5-C967-409D-87D8-A92759B313B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595" authorId="3" shapeId="0" xr:uid="{06C6A120-A5E6-4FCF-8323-104C6B9198A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595" authorId="3" shapeId="0" xr:uid="{297A369E-F9F3-411F-8528-E5668F894E2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595" authorId="3" shapeId="0" xr:uid="{92F60B34-EF1A-4848-BB78-14A7734F23D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596" authorId="3" shapeId="0" xr:uid="{0E14648A-EF7A-4B8E-917F-C3236A49575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596" authorId="3" shapeId="0" xr:uid="{5EB8B5DA-680C-4031-A26A-2E1707D2BD7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596" authorId="3" shapeId="0" xr:uid="{91F8DFF5-1A23-4E82-89F3-764F4946B32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B597" authorId="0" shapeId="0" xr:uid="{714CF0FC-0C26-491C-9277-63CA92146623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AI597" authorId="0" shapeId="0" xr:uid="{BD10A7CA-5791-4DEE-BC96-76CB2395EC4A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AI599" authorId="0" shapeId="0" xr:uid="{739F585E-E1EE-47CC-AB9D-DB83FC54AF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AI600" authorId="0" shapeId="0" xr:uid="{7230D2E1-6D41-4E5F-8F1F-D44E7B2F097E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AI601" authorId="0" shapeId="0" xr:uid="{C56A25AA-D57A-48C6-B268-8027090E2F5E}">
      <text>
        <r>
          <rPr>
            <b/>
            <sz val="9"/>
            <color indexed="81"/>
            <rFont val="Segoe UI"/>
            <family val="2"/>
          </rPr>
          <t>digitar:
COMERCIAL 35/40
ou 
COMERCIAL 50/70
ou
INSTALADA 35/40
ou
INSTALADA 50/70</t>
        </r>
      </text>
    </comment>
    <comment ref="AI605" authorId="0" shapeId="0" xr:uid="{24741DEF-3390-4706-8785-F1EB015FF188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606" authorId="0" shapeId="0" xr:uid="{40A9FEA2-C9D0-4BE4-A7C2-AC460F9FC357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609" authorId="0" shapeId="0" xr:uid="{9F4E6D6A-67B4-40EE-B2BA-BD71451EF1A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10" authorId="0" shapeId="0" xr:uid="{7270E050-CF4C-469E-A93E-A4729DB94BC8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12" authorId="0" shapeId="0" xr:uid="{EE984838-400F-4F59-9FBD-FD65641AA72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13" authorId="0" shapeId="0" xr:uid="{5593501B-D0C9-4611-90B0-3CFE1EEA198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18" authorId="0" shapeId="0" xr:uid="{8E936EE2-2F35-468D-A019-A63A7D78804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19" authorId="0" shapeId="0" xr:uid="{6F3320E5-5733-432C-9714-56261C77D29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24" authorId="0" shapeId="0" xr:uid="{056C54CD-0153-4AFE-98E4-01E7E159770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25" authorId="0" shapeId="0" xr:uid="{87327BBC-274C-477D-AFEC-A311397D9C4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27" authorId="0" shapeId="0" xr:uid="{8C7A1B59-58E2-428F-A8BD-E3ADFFD8920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28" authorId="0" shapeId="0" xr:uid="{45DD9698-9C9B-4EF0-8BE9-FA1D5AB522F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30" authorId="0" shapeId="0" xr:uid="{B76E47E4-0B52-4E03-8042-0CBB8B35F42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31" authorId="0" shapeId="0" xr:uid="{41973718-5B82-484D-9AD8-54CC6A2AD69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33" authorId="0" shapeId="0" xr:uid="{81282075-9258-4F1F-8B21-0AAD7525AEB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34" authorId="0" shapeId="0" xr:uid="{E6727019-B938-4432-AD2F-E89D872847F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36" authorId="0" shapeId="0" xr:uid="{CEAEDAED-A820-4554-AFF4-DD33029AD348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37" authorId="0" shapeId="0" xr:uid="{C7DAAA48-A763-4ECD-A376-5638AFCAA3C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39" authorId="0" shapeId="0" xr:uid="{4B3F60FE-D314-4B83-A945-9B895FDC684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40" authorId="0" shapeId="0" xr:uid="{75EC2160-6AE4-4ACF-8F7D-42EDE278AA3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42" authorId="0" shapeId="0" xr:uid="{802BD4E2-1EAF-4EF4-9503-9EED149237F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43" authorId="0" shapeId="0" xr:uid="{21020385-AEC1-48BB-8ECE-C2698907975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48" authorId="0" shapeId="0" xr:uid="{B35CC49A-1734-476A-9EC1-B4CC58B06B8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49" authorId="0" shapeId="0" xr:uid="{B0ED0AC0-09A5-493B-B9A7-2181B91C532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51" authorId="0" shapeId="0" xr:uid="{6845076D-2BE2-4FD8-A3AD-ABC2EE557CF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52" authorId="0" shapeId="0" xr:uid="{65C1AADD-1395-4612-A549-2D7044381B7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54" authorId="0" shapeId="0" xr:uid="{7DBBE430-CD88-41E6-A09F-1F6CCDD2E51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55" authorId="0" shapeId="0" xr:uid="{6A92231E-7BA0-40E6-8974-967EA73D849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57" authorId="0" shapeId="0" xr:uid="{B25C3F99-CB5F-4059-BAF0-D706167DFB8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58" authorId="0" shapeId="0" xr:uid="{5AD8FB6C-C892-4107-ABAF-900304C0209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60" authorId="0" shapeId="0" xr:uid="{CFD7CB8A-A215-4293-9E10-6DBEB0AC765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61" authorId="0" shapeId="0" xr:uid="{655A9034-C05C-4C3C-9702-FA2C93D29A3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63" authorId="0" shapeId="0" xr:uid="{78FD6974-36A0-4E60-A556-6B7199A1D39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64" authorId="0" shapeId="0" xr:uid="{5442CCF7-F88F-4458-8911-03B0CFBB44C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73" authorId="0" shapeId="0" xr:uid="{E15657A4-51E2-4198-B04C-F3C4B0D6ABA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AI674" authorId="0" shapeId="0" xr:uid="{52D054CB-D552-4800-8019-3DC99A0C3757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AI684" authorId="0" shapeId="0" xr:uid="{0B90EEE6-1487-420E-8951-0C30FB0E200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85" authorId="0" shapeId="0" xr:uid="{C43F2CA4-7AAC-485E-B7F6-908A4B99FAB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87" authorId="0" shapeId="0" xr:uid="{C715051C-CDD4-4B20-83F5-A3250284731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88" authorId="0" shapeId="0" xr:uid="{1D2820F0-5EBC-4FB4-9549-4515587F02B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90" authorId="0" shapeId="0" xr:uid="{3160D822-E854-4214-B3FE-892F9360833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91" authorId="0" shapeId="0" xr:uid="{0DCDE2BE-CCAC-484D-8198-0E8F3E9D2C2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93" authorId="0" shapeId="0" xr:uid="{8F8AA0AC-3E49-4772-8499-A42125C4C45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94" authorId="0" shapeId="0" xr:uid="{7AC5E9F3-9089-4A9D-932D-62A0377D24F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96" authorId="0" shapeId="0" xr:uid="{7A60638F-D55D-4DCB-AE8A-CC237EFEB7C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97" authorId="0" shapeId="0" xr:uid="{C888618D-0916-4A88-9958-1F9C4D46FBE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699" authorId="0" shapeId="0" xr:uid="{D616E6A5-437A-40A9-B9B5-5C0406B9282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00" authorId="0" shapeId="0" xr:uid="{56E61C79-3D26-4114-949F-0D742C9EA13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02" authorId="0" shapeId="0" xr:uid="{6872C95D-925B-48C8-A354-458A38E7125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03" authorId="0" shapeId="0" xr:uid="{28B7ABFE-A1A0-4CDB-B735-4CD8FC45293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05" authorId="0" shapeId="0" xr:uid="{4BB70BAC-01E7-4BEB-B6F2-E82B5E69E9C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06" authorId="0" shapeId="0" xr:uid="{A7F064C6-800F-44EF-A724-CCFD1562217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08" authorId="0" shapeId="0" xr:uid="{CAD3556D-510F-48B1-8BBE-89BCC0A7A11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09" authorId="0" shapeId="0" xr:uid="{7CB55AC7-E5A1-4805-9DEC-C9564B6D39C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11" authorId="0" shapeId="0" xr:uid="{4B55775D-2FBD-471F-AC26-978ED0A9F73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12" authorId="0" shapeId="0" xr:uid="{0F66BBDD-A277-4EC4-9B00-D25A1BB5EDF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14" authorId="0" shapeId="0" xr:uid="{30C2BF69-FDDB-4C4F-9F92-23BFCA4594F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15" authorId="0" shapeId="0" xr:uid="{70041B24-83F7-4D99-8C8C-DD6326AC125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17" authorId="0" shapeId="0" xr:uid="{D35BA3B7-B3EB-41D7-8A9C-F0A07BF435C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18" authorId="0" shapeId="0" xr:uid="{24559418-B66E-49E5-90BA-48506483AFC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27" authorId="0" shapeId="0" xr:uid="{924E226F-EF9C-4413-986C-FA198BC09846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O728" authorId="3" shapeId="0" xr:uid="{0CE5D85F-6544-4163-B997-1010E322B22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728" authorId="3" shapeId="0" xr:uid="{CDE9E34C-2A36-44D6-81C1-1EA6723C8A7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728" authorId="3" shapeId="0" xr:uid="{64BFDADA-3671-465C-97B5-A4B36A53C05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728" authorId="0" shapeId="0" xr:uid="{5978FE0D-D017-48D4-AB26-B66980F952D3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729" authorId="0" shapeId="0" xr:uid="{614E9C6E-6A02-4411-A772-EC3B2AD0B8C3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733" authorId="0" shapeId="0" xr:uid="{75D66331-F739-4773-AC69-12CC9597A45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34" authorId="0" shapeId="0" xr:uid="{2A9E6C94-C793-4177-A869-D52346E8074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36" authorId="0" shapeId="0" xr:uid="{F658902C-99C0-432E-8D9B-CF836A9DE8A8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37" authorId="0" shapeId="0" xr:uid="{DE6E3444-F5C5-4C8B-99F7-85122371E3C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39" authorId="0" shapeId="0" xr:uid="{5D780BB7-13F4-496D-8FCA-20EF07C545B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40" authorId="0" shapeId="0" xr:uid="{CB0682DB-DEC9-42EB-97F1-DDE29F72177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42" authorId="0" shapeId="0" xr:uid="{0D75ACE1-3750-4AF9-8427-0208048E217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43" authorId="0" shapeId="0" xr:uid="{28BB4C50-B3D4-43A8-A00F-A1644FEE038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46" authorId="0" shapeId="0" xr:uid="{F912CC73-EB25-4B5B-A7A1-7DBCEFD384E8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B755" authorId="0" shapeId="0" xr:uid="{568BF22B-07C3-4DAA-AB9B-696E2238FDC1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AI755" authorId="0" shapeId="0" xr:uid="{BF4B4773-18F9-48B8-BFB8-4CCA94CB6292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AI759" authorId="0" shapeId="0" xr:uid="{ECC32A22-366A-498F-B9EE-FDD9FB669D4B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AI760" authorId="0" shapeId="0" xr:uid="{F0EE503D-8BD6-4222-B54A-7A962EF215E4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O766" authorId="3" shapeId="0" xr:uid="{370BDE22-439D-436B-9B5C-397350DDE65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766" authorId="3" shapeId="0" xr:uid="{74908C1B-C506-4112-8DFA-2187C74F742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766" authorId="3" shapeId="0" xr:uid="{837B850E-A3F9-406A-ABAF-7EC05170846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766" authorId="0" shapeId="0" xr:uid="{632F39B7-42C2-488B-AD96-3AC48B535C05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O767" authorId="3" shapeId="0" xr:uid="{C9ADAB15-3639-41F8-A1A3-0948BFC909C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767" authorId="3" shapeId="0" xr:uid="{0573375C-21CC-4F5B-9006-018DF7B5BF2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767" authorId="3" shapeId="0" xr:uid="{EB7A7756-6C21-4BBB-A0C9-C82D56BC0F0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767" authorId="0" shapeId="0" xr:uid="{4EFDA726-19DF-4DD6-B3FD-54C217A7EEE4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O768" authorId="3" shapeId="0" xr:uid="{C36CFB2B-1EEF-4C87-BE08-3D1D5AC34C6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768" authorId="3" shapeId="0" xr:uid="{11A5C135-D317-4200-8E83-4200E698AFA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768" authorId="3" shapeId="0" xr:uid="{D7AC1B6F-2295-4EEE-8278-8AE541333A7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769" authorId="3" shapeId="0" xr:uid="{CB903C59-EB85-4051-8DEA-1C185780AC8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769" authorId="3" shapeId="0" xr:uid="{377294B8-279E-48DF-BBC6-989F6E4BD2B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769" authorId="3" shapeId="0" xr:uid="{D1164033-4458-4C98-B405-D3999C55A9D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O770" authorId="3" shapeId="0" xr:uid="{CBEDDD74-164C-478C-A193-D27C4216549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770" authorId="3" shapeId="0" xr:uid="{9F087EDF-A5A7-47A8-A5A5-87A3AC0A666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770" authorId="3" shapeId="0" xr:uid="{A5DD8CA0-70F0-4EBC-A3BD-5FF79F70011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771" authorId="0" shapeId="0" xr:uid="{664D04BC-E8EB-45D6-9A7C-053F66BEBCE1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773" authorId="0" shapeId="0" xr:uid="{F57F91E5-B538-4285-B9F2-462360508D2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74" authorId="0" shapeId="0" xr:uid="{9C4C4720-300F-4DCF-9054-32A173AFC29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78" authorId="0" shapeId="0" xr:uid="{6DCF09EE-E434-47DC-9CA6-6BF28B5114D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79" authorId="0" shapeId="0" xr:uid="{125DEE01-BD94-48B2-995F-9DC40474513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81" authorId="0" shapeId="0" xr:uid="{BCF06CA6-F34A-458F-9AF7-3FB2CA7444E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82" authorId="0" shapeId="0" xr:uid="{63D9F49B-9143-4E57-AC03-1268D6EA5BD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84" authorId="0" shapeId="0" xr:uid="{FBE19C52-817F-4DCE-9124-B1B8D10599D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85" authorId="0" shapeId="0" xr:uid="{687EE5D8-09FF-427D-99BE-0A684B047BA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87" authorId="0" shapeId="0" xr:uid="{F7763DC1-B4A6-4E93-8BBF-33CBFA7934E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88" authorId="0" shapeId="0" xr:uid="{13FDA74F-8AEF-45C8-B1BE-CB37C3FE9F9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90" authorId="0" shapeId="0" xr:uid="{0481AEB3-681D-4E66-A2DE-093D7F2C5D1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91" authorId="0" shapeId="0" xr:uid="{C58CF308-FD1B-48F8-B25D-B166870205E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93" authorId="0" shapeId="0" xr:uid="{4A185CE2-1AD3-4473-867A-353B9CAC0E4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94" authorId="0" shapeId="0" xr:uid="{537ACA53-902D-428C-AF35-A6FA16EB121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96" authorId="0" shapeId="0" xr:uid="{D2C30AC3-2D51-41B2-8A6D-2BA291A7237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97" authorId="0" shapeId="0" xr:uid="{9FD65955-D411-4A81-8ABE-098958B21A7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799" authorId="0" shapeId="0" xr:uid="{3AD6C164-E4A1-4282-8FC9-0F8B224732D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00" authorId="0" shapeId="0" xr:uid="{CF56A34F-9899-4A40-AEB9-D52353660B58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02" authorId="0" shapeId="0" xr:uid="{7F68FAFE-A95B-4E41-BE70-80FC80447D1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03" authorId="0" shapeId="0" xr:uid="{CE0B6837-94EB-4418-98E9-47F11D3127B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05" authorId="0" shapeId="0" xr:uid="{8795F25B-BCAE-47FB-8C73-CAE84CE3E63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06" authorId="0" shapeId="0" xr:uid="{8F3E6F49-4212-4C10-AFB8-DBD78B6F846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08" authorId="0" shapeId="0" xr:uid="{B810DC1C-5224-4307-899F-11B89C1766E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09" authorId="0" shapeId="0" xr:uid="{EF206773-4F37-4270-B561-2D96ABE9B4C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11" authorId="0" shapeId="0" xr:uid="{5E1805CB-A86B-4B00-A9F4-F7EDDD9605A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12" authorId="0" shapeId="0" xr:uid="{43F69676-ED6F-488D-ACD3-04D81552589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14" authorId="0" shapeId="0" xr:uid="{8211A1B0-A652-42E4-8BB7-68F4B6DDCC5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15" authorId="0" shapeId="0" xr:uid="{E04E1140-BC9C-462D-BE90-B4B0337B814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17" authorId="0" shapeId="0" xr:uid="{E5CB0123-1C3F-42F0-A957-1FD0570718F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18" authorId="0" shapeId="0" xr:uid="{82C4C7BE-EA6E-44BE-B6CB-4DB64548335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20" authorId="0" shapeId="0" xr:uid="{269CA45E-3269-4301-A776-69D2E3FB07A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21" authorId="0" shapeId="0" xr:uid="{26C8AD2E-5859-4D6F-9F23-B7DC1DD6DFB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23" authorId="0" shapeId="0" xr:uid="{0FC93E68-871B-45B0-A134-7A9F3BBF62B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24" authorId="0" shapeId="0" xr:uid="{9BABD940-5618-4ED0-ABF6-FFD82B2C922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26" authorId="0" shapeId="0" xr:uid="{16C69D50-58EF-4748-8611-9F912A648DF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27" authorId="0" shapeId="0" xr:uid="{2E518D47-07E5-4F23-A751-B9014731A13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836" authorId="0" shapeId="0" xr:uid="{DD7F3C6A-38A3-4ECE-9D69-BAD614F16B13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AI837" authorId="0" shapeId="0" xr:uid="{79461F36-9CBE-4F48-8F11-229F215047E9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AI838" authorId="0" shapeId="0" xr:uid="{84592BB4-7A79-4498-A06B-1CE5FC7664D2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AI847" authorId="0" shapeId="0" xr:uid="{B8208058-2A28-4B2C-8FD0-8CB46EFC35BF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AI852" authorId="0" shapeId="0" xr:uid="{0014AB07-906A-473F-9D35-F40C4525C60A}">
      <text>
        <r>
          <rPr>
            <b/>
            <sz val="9"/>
            <color indexed="81"/>
            <rFont val="Segoe UI"/>
            <family val="2"/>
          </rPr>
          <t>PARA DEFINIR ALTURA
digitar:
MENOR
ou
MAIOR</t>
        </r>
      </text>
    </comment>
    <comment ref="O872" authorId="3" shapeId="0" xr:uid="{E1C97072-BAEC-403A-93C6-423C42A8DE3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872" authorId="3" shapeId="0" xr:uid="{EE00F9BC-6D2E-4F5D-9986-31841B9C819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872" authorId="3" shapeId="0" xr:uid="{3CAB53D2-C6C8-41C0-8292-92A37EA429C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872" authorId="0" shapeId="0" xr:uid="{71F958F1-979D-4B3B-8573-87A5C2F850B3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879" authorId="0" shapeId="0" xr:uid="{C8DFB994-7040-4E39-A85A-EB90B6B12E37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880" authorId="0" shapeId="0" xr:uid="{A21AEA72-A635-4EBB-A9BF-962B73053937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881" authorId="0" shapeId="0" xr:uid="{AD3215BC-7A38-428E-A379-A6F6DD77EFA4}">
      <text>
        <r>
          <rPr>
            <b/>
            <sz val="9"/>
            <color indexed="81"/>
            <rFont val="Segoe UI"/>
            <family val="2"/>
          </rPr>
          <t>digitar:
RETANGULAR
ou
16 FACES</t>
        </r>
      </text>
    </comment>
    <comment ref="AI902" authorId="0" shapeId="0" xr:uid="{C3D3C2F9-CC20-4F54-ABF3-C41D8ACBEE4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903" authorId="0" shapeId="0" xr:uid="{EE1EE6E7-F302-4412-BADD-63020207347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905" authorId="0" shapeId="0" xr:uid="{28B9E2A2-695F-4D0C-ABC0-29C1E1F3400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906" authorId="0" shapeId="0" xr:uid="{B4FD5C69-6986-406E-9258-4C88C008F1D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908" authorId="0" shapeId="0" xr:uid="{504892B6-FA19-464C-BA05-1DBD68679D1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909" authorId="0" shapeId="0" xr:uid="{637F703E-E81E-4656-A10E-C6EA96159A9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911" authorId="0" shapeId="0" xr:uid="{C60ADDEC-1950-44F3-83C1-F039C2D44D7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912" authorId="0" shapeId="0" xr:uid="{7AF5E9C1-7A6A-421B-B021-ED9F31B25BC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O920" authorId="3" shapeId="0" xr:uid="{CD2AA344-E63D-4233-BD37-684FC269AFE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920" authorId="3" shapeId="0" xr:uid="{7AE1E71D-643C-4B5C-8AEE-411609DABFE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920" authorId="3" shapeId="0" xr:uid="{3A72DA57-9A90-496C-8355-54FF3A0AF70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920" authorId="0" shapeId="0" xr:uid="{5B0D830E-61FB-4522-9DF3-B8575B7399E6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927" authorId="0" shapeId="0" xr:uid="{7A00924E-3CC1-4466-9062-67F920E1CF83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928" authorId="0" shapeId="0" xr:uid="{0EE81408-B30D-44C9-954F-AF9600A597B1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930" authorId="0" shapeId="0" xr:uid="{137EA3CE-9817-43CB-80FB-FDF69E9738EF}">
      <text>
        <r>
          <rPr>
            <b/>
            <sz val="9"/>
            <color indexed="81"/>
            <rFont val="Segoe UI"/>
            <family val="2"/>
          </rPr>
          <t>digitar:
RETANGULAR
ou
16 FACES</t>
        </r>
      </text>
    </comment>
    <comment ref="AI957" authorId="0" shapeId="0" xr:uid="{1B5F00D5-47B7-462D-802B-FF6C325531C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978" authorId="0" shapeId="0" xr:uid="{C802345F-71A8-4536-87CD-A3F974AB2A5F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983" authorId="0" shapeId="0" xr:uid="{9AE37F89-D58C-43D8-9402-EC06753D5DED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984" authorId="0" shapeId="0" xr:uid="{617741FB-6026-4750-90D8-4F80B556173F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987" authorId="0" shapeId="0" xr:uid="{50B9DAD8-B040-4D59-94A9-98204B9C9A8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988" authorId="0" shapeId="0" xr:uid="{CD21C3A2-FB3F-45FD-ABE6-45FF4ADCB432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989" authorId="0" shapeId="0" xr:uid="{934B1CD5-B518-4A2F-B807-F199316F97E7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995" authorId="0" shapeId="0" xr:uid="{6E971AEF-D4DA-4727-8990-8C57F0B485F7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996" authorId="0" shapeId="0" xr:uid="{0724D147-F7C2-4E5B-B3BD-DA9024EEB9C9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997" authorId="0" shapeId="0" xr:uid="{06B58993-A2D4-46D1-BE46-0C43120C6DBB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02" authorId="0" shapeId="0" xr:uid="{625B3F50-93FD-434F-839D-02D0BC62EDC8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03" authorId="0" shapeId="0" xr:uid="{D93B09D7-A194-4A53-A41C-C0FFFF7BC03B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04" authorId="0" shapeId="0" xr:uid="{A82DE637-3C73-4E5E-A48F-81CAB2D09CFE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09" authorId="0" shapeId="0" xr:uid="{BEABD5EB-D85F-4B7B-ADC5-F3EEFD69C47C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10" authorId="0" shapeId="0" xr:uid="{0E7FBE80-F4BB-4B4A-A132-71B3B7617899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11" authorId="0" shapeId="0" xr:uid="{33571A08-CA56-4429-A046-1B576B7265ED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13" authorId="0" shapeId="0" xr:uid="{5BBA2BAE-16A5-4DD1-B1A9-6B70011ADF22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15" authorId="0" shapeId="0" xr:uid="{C7ABAD2C-4E87-458C-ADF5-F6D78AF7A07F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16" authorId="0" shapeId="0" xr:uid="{4D3F3027-7D54-43BF-A40F-56F9E778CB3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17" authorId="0" shapeId="0" xr:uid="{02BC1A76-11BC-4691-A917-5337F1C7F137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19" authorId="0" shapeId="0" xr:uid="{CC120C51-6929-4E3F-9834-BC753C1A4FBD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21" authorId="0" shapeId="0" xr:uid="{BAD37880-82C0-4231-9D53-978BBDC72B65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22" authorId="0" shapeId="0" xr:uid="{43C2A0F7-AEB7-4E2E-A19C-3C540B402543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23" authorId="0" shapeId="0" xr:uid="{7625294E-CA60-49C6-9547-009D9DFBBEAF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26" authorId="0" shapeId="0" xr:uid="{0202426A-2D6A-476F-90F5-F0D76E5581C7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27" authorId="0" shapeId="0" xr:uid="{65CF5866-2C91-457A-A048-0CF763DEE962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28" authorId="0" shapeId="0" xr:uid="{7FAEF689-5CC7-4454-976A-ED441207BD33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32" authorId="0" shapeId="0" xr:uid="{14C3F854-8AEE-4DE6-B8D0-173854D1C692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37" authorId="0" shapeId="0" xr:uid="{036310E6-0B55-442D-A5A1-BB67E00618E3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40" authorId="0" shapeId="0" xr:uid="{855076B9-B1AB-4359-A564-DB0B82F85ED5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42" authorId="0" shapeId="0" xr:uid="{FEF7A9FE-C99A-40FD-A506-4C2C7656E64C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46" authorId="0" shapeId="0" xr:uid="{EB1148B5-145E-49FA-8AA4-6B2E16422EA9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47" authorId="0" shapeId="0" xr:uid="{14E38260-E69E-40F5-B31A-738FBBFCDC95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48" authorId="0" shapeId="0" xr:uid="{990EC983-1A3A-4900-BABA-9451A0481324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51" authorId="0" shapeId="0" xr:uid="{2448EDCB-E59F-49D3-B633-0C4CC6158C5D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55" authorId="0" shapeId="0" xr:uid="{2A4F0047-DEBF-47D8-A210-924EBC20D57C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56" authorId="0" shapeId="0" xr:uid="{49DDA0B1-C531-4883-A2C8-6F07DD5D6065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57" authorId="0" shapeId="0" xr:uid="{280425B5-7C9C-4537-852D-ADB5B737FA96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59" authorId="0" shapeId="0" xr:uid="{3C39E6CD-E455-4723-8FA2-9574AB0E17B9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63" authorId="0" shapeId="0" xr:uid="{6BDEF139-AEA7-44A7-9901-D6D576B882DB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64" authorId="0" shapeId="0" xr:uid="{641B5439-A71D-4127-B7DE-341B5D1F6ACB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65" authorId="0" shapeId="0" xr:uid="{8B6B5137-6512-4F48-9D33-98ED43FB0232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68" authorId="0" shapeId="0" xr:uid="{8BFDB6A6-18C5-4458-9F0B-0A7F97B34168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69" authorId="0" shapeId="0" xr:uid="{87CF29FE-7C9B-482F-9022-64256B06270D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70" authorId="0" shapeId="0" xr:uid="{A2F6740C-BF3D-4742-8EA9-50E87A921CF8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71" authorId="0" shapeId="0" xr:uid="{B19DD072-31E7-46E7-8B07-80CC2BB5A465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72" authorId="0" shapeId="0" xr:uid="{5ECA4A32-F1F6-4C65-8FA7-C6444F7AB337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73" authorId="0" shapeId="0" xr:uid="{A281E780-F594-4970-9158-FEE5EF888DD8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74" authorId="0" shapeId="0" xr:uid="{F7602CD1-E46A-4A13-AEF2-231D70B6FA3E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75" authorId="0" shapeId="0" xr:uid="{40FDDC47-A940-457D-821D-9D5235EBB2A6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76" authorId="0" shapeId="0" xr:uid="{9B455217-52E9-4019-A90A-04F69709CD6C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77" authorId="0" shapeId="0" xr:uid="{373F67A3-C8A7-4459-B5CC-5333FF6A0905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81" authorId="0" shapeId="0" xr:uid="{DC1EDDBA-6721-4394-A740-13B07537C78F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82" authorId="0" shapeId="0" xr:uid="{377192B0-0EEA-4DA4-94AF-B523C94D739F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83" authorId="0" shapeId="0" xr:uid="{6A50D7FA-271B-4875-A6C3-BC16CC05D969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84" authorId="0" shapeId="0" xr:uid="{1073C4FF-ECC2-4936-8BE8-15CF6886C6D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88" authorId="0" shapeId="0" xr:uid="{E89297DB-8F0A-48FD-9F00-DCF22CE95827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89" authorId="0" shapeId="0" xr:uid="{E1EEC4E0-67AB-4FF1-AA8A-11206EBD3BAD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090" authorId="0" shapeId="0" xr:uid="{F77F6758-7C03-4B62-9372-CA234347DA97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91" authorId="0" shapeId="0" xr:uid="{A0E6ED04-BF7F-43D3-9098-AC0D007DE40A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92" authorId="0" shapeId="0" xr:uid="{C62747DB-A572-426C-B8E3-2C8EC1349B98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093" authorId="0" shapeId="0" xr:uid="{E310FD06-E446-4193-A445-9B29C8DD8F92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AI1100" authorId="0" shapeId="0" xr:uid="{8226E8A4-3A58-48BF-B192-4FC060D3B30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01" authorId="0" shapeId="0" xr:uid="{2DB95D21-C40D-4EBE-AB5F-C050299F81F5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03" authorId="0" shapeId="0" xr:uid="{3662F90E-8879-47F0-BDA7-32A501EC1A0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04" authorId="0" shapeId="0" xr:uid="{4DB8EC9E-9FA3-4D04-81C3-35414E0A450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06" authorId="0" shapeId="0" xr:uid="{370278CB-9EAC-47EF-AD67-03B7C4D4D96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07" authorId="0" shapeId="0" xr:uid="{797E5D04-1C3A-4070-8424-FDB76EABF50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12" authorId="0" shapeId="0" xr:uid="{5B4F53BF-1678-440C-9831-A2BE36BD8E0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13" authorId="0" shapeId="0" xr:uid="{28E1DDE2-783F-495F-B555-41B167D87FB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26" authorId="0" shapeId="0" xr:uid="{EB08C0C6-C8AC-4651-9EBE-C084F06CD9BA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B1134" authorId="0" shapeId="0" xr:uid="{859DA6B6-D825-4269-8ACA-BF2AF3749F7B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AI1134" authorId="0" shapeId="0" xr:uid="{99623E5B-114C-4FCF-9198-BE11F15B917C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AI1136" authorId="0" shapeId="0" xr:uid="{FDCE2164-0AAD-41D9-9C90-13AB45451AB9}">
      <text>
        <r>
          <rPr>
            <b/>
            <sz val="9"/>
            <color indexed="81"/>
            <rFont val="Segoe UI"/>
            <family val="2"/>
          </rPr>
          <t>digitar:
COMERCIAL 35/40
ou 
COMERCIAL 50/70
ou
INSTALADA 35/40
ou
INSTALADA 50/70</t>
        </r>
      </text>
    </comment>
    <comment ref="AI1137" authorId="0" shapeId="0" xr:uid="{FAC49805-70B3-47D2-BAF4-22E7C9E271C2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AI1139" authorId="0" shapeId="0" xr:uid="{3167F899-C1C4-432B-95F6-E2FF8C4FA9E2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AI1141" authorId="0" shapeId="0" xr:uid="{C2FC561B-9DEF-4434-BBDC-4A92B2A35F01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AI1142" authorId="0" shapeId="0" xr:uid="{6BA42BF8-0D4B-4987-81E2-A66E83C6F4EB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O1144" authorId="3" shapeId="0" xr:uid="{1B056F72-C52C-4C4F-A2EA-926A35F46BB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1144" authorId="3" shapeId="0" xr:uid="{5530CFE4-D2BC-47D2-8D28-6C79C44FC7C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1144" authorId="3" shapeId="0" xr:uid="{AA2DA84B-2F94-4CE5-81E5-735B09505CC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1144" authorId="0" shapeId="0" xr:uid="{51CF3EF4-7B63-476F-8540-F5A9C18965D5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O1145" authorId="3" shapeId="0" xr:uid="{9AFDF0A6-FD16-44D1-B4D2-69FA341DAB3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1145" authorId="3" shapeId="0" xr:uid="{0ACE5ABA-FBDC-4C03-A493-CF288A21C49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1145" authorId="3" shapeId="0" xr:uid="{4BC91EEB-ADC0-4DF6-A8EF-E67BC91456F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1145" authorId="0" shapeId="0" xr:uid="{C22664E9-F969-4912-84CE-584D72BE99BE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O1146" authorId="3" shapeId="0" xr:uid="{2323E874-C8EF-472E-8B5E-371BEFF8914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1146" authorId="3" shapeId="0" xr:uid="{3FCD4ECB-4D99-4AE4-9050-9342A9BB26E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1146" authorId="3" shapeId="0" xr:uid="{4B6C7070-AB60-4AC8-8AA3-72D2AFB10F1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1146" authorId="0" shapeId="0" xr:uid="{B8397823-F16F-486A-98F8-1E97CF3FAD61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O1147" authorId="3" shapeId="0" xr:uid="{0CE60D13-0EE5-45E4-8C28-4BF182E7868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P1147" authorId="3" shapeId="0" xr:uid="{9A7DE565-A20B-498A-BDE9-B50C87D5230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Q1147" authorId="3" shapeId="0" xr:uid="{2AB3EEFA-0534-44D9-A3B6-ADBA2904C86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AI1148" authorId="0" shapeId="0" xr:uid="{8D57A006-0B45-4FE6-95CD-A8D93EE47FF7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149" authorId="0" shapeId="0" xr:uid="{C672781C-C25E-4C34-8F1A-CDC78AC9646E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AI1151" authorId="0" shapeId="0" xr:uid="{3CFE55AE-623A-4609-B6A9-C2EF328C6D7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52" authorId="0" shapeId="0" xr:uid="{DE68FB53-CEBD-4270-AE27-F9C0155AFB4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54" authorId="0" shapeId="0" xr:uid="{489FD2B7-BAD8-4B85-A729-5C793A88D4A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55" authorId="0" shapeId="0" xr:uid="{94F8AA75-3C7D-43F5-AC75-757F623D7CB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60" authorId="0" shapeId="0" xr:uid="{A35C156D-5722-4033-B28B-5625943175DA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61" authorId="0" shapeId="0" xr:uid="{0694CB01-BA4B-480B-9094-5C278DAAA952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63" authorId="0" shapeId="0" xr:uid="{A5A0E079-DA19-4195-9D45-51E894F1CF9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64" authorId="0" shapeId="0" xr:uid="{BA1857EC-8C94-44B3-ABAE-B72425482439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66" authorId="0" shapeId="0" xr:uid="{5CC57EBA-383F-4F1F-AD64-C6AE8062C4D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67" authorId="0" shapeId="0" xr:uid="{1CDDFFE7-8148-41AF-8A9A-394CB016DE5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69" authorId="0" shapeId="0" xr:uid="{9231187F-BCBA-4B23-B6CB-3EDA3662219F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70" authorId="0" shapeId="0" xr:uid="{C7C73CD3-637C-4E8D-B2DB-2C51C7AFABC7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72" authorId="0" shapeId="0" xr:uid="{7AC1B702-E413-4C6F-9946-BBDB7B86E79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73" authorId="0" shapeId="0" xr:uid="{B17B0AB1-6299-470F-979E-A6CDC1C18753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75" authorId="0" shapeId="0" xr:uid="{CE8A5514-BB27-4AAD-A5D4-116347560F1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76" authorId="0" shapeId="0" xr:uid="{7B4AAD53-F473-46EA-9245-1A8D62430EA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78" authorId="0" shapeId="0" xr:uid="{0A7492CB-6148-48BB-8941-539423491FEC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79" authorId="0" shapeId="0" xr:uid="{065D3FF2-DCA8-4818-A32C-4ECF31A2E02E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81" authorId="0" shapeId="0" xr:uid="{0E6E8249-2A08-4B4B-9B52-6F3CA9C833EB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82" authorId="0" shapeId="0" xr:uid="{D0C7F93E-1E39-4C8B-9B2D-78EB28A8567D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84" authorId="0" shapeId="0" xr:uid="{F8AA796C-3062-4D8B-910C-C075D4303E9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85" authorId="0" shapeId="0" xr:uid="{BD66749A-A1E1-4F0B-A5C6-CC95F27CB58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87" authorId="0" shapeId="0" xr:uid="{BA910B43-055A-4117-9AF7-95874515317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AI1188" authorId="0" shapeId="0" xr:uid="{1CF97964-87A8-4FB4-8C39-245D34DDB06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tc={093A11E8-AA36-40D4-88BC-0635175EECF8}</author>
    <author>tc={A9E26FC1-6F16-4737-902E-472D041F219F}</author>
    <author>tc={896FFB98-213C-4BAC-8530-B46DFB6FE231}</author>
    <author>tc={8B5A04EA-DDA7-490A-B63E-A480080A343E}</author>
    <author>tc={8989E014-2D42-423B-8679-B5C9AADCFC07}</author>
    <author>tc={D52462E1-CB86-44F8-8AE5-EC443B487507}</author>
  </authors>
  <commentList>
    <comment ref="E208" authorId="0" shapeId="0" xr:uid="{093A11E8-AA36-40D4-88BC-0635175EECF8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ITEM ALTERADO</t>
        </r>
      </text>
    </comment>
    <comment ref="F413" authorId="1" shapeId="0" xr:uid="{A9E26FC1-6F16-4737-902E-472D041F219F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PRANCHA 8</t>
        </r>
      </text>
    </comment>
    <comment ref="A502" authorId="2" shapeId="0" xr:uid="{896FFB98-213C-4BAC-8530-B46DFB6FE231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ESTAVA 16 UN, DAÍ FOI CORRIGIDO</t>
        </r>
      </text>
    </comment>
    <comment ref="F572" authorId="3" shapeId="0" xr:uid="{8B5A04EA-DDA7-490A-B63E-A480080A343E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era 4,7</t>
        </r>
      </text>
    </comment>
    <comment ref="F577" authorId="4" shapeId="0" xr:uid="{8989E014-2D42-423B-8679-B5C9AADCFC07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era=4,7m</t>
        </r>
      </text>
    </comment>
    <comment ref="E582" authorId="5" shapeId="0" xr:uid="{D52462E1-CB86-44F8-8AE5-EC443B487507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era 3,5 m e foi alterado pois não correspondia com o projeto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ricardo.schettini</author>
    <author>Ricardo Schettini Figueiredo</author>
  </authors>
  <commentList>
    <comment ref="F1" authorId="0" shapeId="0" xr:uid="{48A1CEDD-A6FD-4064-AEEF-18827A4D8A6D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5"/>
            <color indexed="81"/>
            <rFont val="Tahoma"/>
            <family val="2"/>
          </rPr>
          <t>COLUNA PARA ÁREA</t>
        </r>
      </text>
    </comment>
    <comment ref="G1" authorId="0" shapeId="0" xr:uid="{CE0E549C-8D6D-460B-A4F8-7D1DA99B0CC4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5"/>
            <color indexed="81"/>
            <rFont val="Tahoma"/>
            <family val="2"/>
          </rPr>
          <t>COLUNA PARA ÁREA</t>
        </r>
      </text>
    </comment>
    <comment ref="H1" authorId="0" shapeId="0" xr:uid="{14E54FA8-8F1A-48D9-AE51-BF2D18CDE99E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5"/>
            <color indexed="81"/>
            <rFont val="Tahoma"/>
            <family val="2"/>
          </rPr>
          <t>COLUNA PARA ÁREA</t>
        </r>
      </text>
    </comment>
    <comment ref="F2" authorId="1" shapeId="0" xr:uid="{89A1C392-2CF0-4E12-82EC-35C37BF6002A}">
      <text>
        <r>
          <rPr>
            <b/>
            <sz val="9"/>
            <color indexed="81"/>
            <rFont val="Segoe UI"/>
            <family val="2"/>
          </rPr>
          <t>comprimento do pavimento rígido aparente</t>
        </r>
      </text>
    </comment>
    <comment ref="G2" authorId="1" shapeId="0" xr:uid="{B4FDDF38-63EF-458F-8180-9D4F4FFBF7AE}">
      <text>
        <r>
          <rPr>
            <b/>
            <sz val="9"/>
            <color indexed="81"/>
            <rFont val="Segoe UI"/>
            <family val="2"/>
          </rPr>
          <t>comprimento do pavimento rígido aparente</t>
        </r>
      </text>
    </comment>
    <comment ref="H2" authorId="1" shapeId="0" xr:uid="{86E8E203-38F5-4E70-B2FC-40DD2B8AD11C}">
      <text>
        <r>
          <rPr>
            <b/>
            <sz val="9"/>
            <color indexed="81"/>
            <rFont val="Segoe UI"/>
            <family val="2"/>
          </rPr>
          <t>comprimento do pavimento rígido aparente</t>
        </r>
      </text>
    </comment>
    <comment ref="F3" authorId="1" shapeId="0" xr:uid="{022C5CC8-8826-4B8B-A70C-40733CD02BD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" authorId="1" shapeId="0" xr:uid="{CD01E0E3-06C2-4F6D-94F7-F6E90D8DBBF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" authorId="1" shapeId="0" xr:uid="{8CF96828-93E8-468A-A87B-AB6617A3780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" authorId="1" shapeId="0" xr:uid="{00E14DC1-1249-4300-9AEF-04888AD4E6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" authorId="1" shapeId="0" xr:uid="{9910ACBB-190C-42B2-9617-AE282103AB9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" authorId="1" shapeId="0" xr:uid="{15699EB4-0DA1-4CF5-A0C9-6A67E3F7227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" authorId="1" shapeId="0" xr:uid="{1AAD7B53-2B1D-472E-84CB-E91A206C0C5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" authorId="1" shapeId="0" xr:uid="{5CA366F3-C21C-4F84-B212-D32B192D20D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" authorId="1" shapeId="0" xr:uid="{EF3AA73D-DD59-4038-A44E-189C3A73EB8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6" authorId="1" shapeId="0" xr:uid="{0C065AE9-3C99-4A37-8123-92BEF5536DE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" authorId="1" shapeId="0" xr:uid="{B611C918-E479-4C59-82CB-9BDC62D43D7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" authorId="1" shapeId="0" xr:uid="{C1A6A6B7-BDDE-46D9-A888-23AAEA22DDA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3" authorId="1" shapeId="0" xr:uid="{0558B373-D2A5-43B6-8270-0C119847C240}">
      <text>
        <r>
          <rPr>
            <b/>
            <sz val="9"/>
            <color indexed="81"/>
            <rFont val="Segoe UI"/>
            <family val="2"/>
          </rPr>
          <t>comprimento máximo:
pavimento rígido 
+ 
placas de transição</t>
        </r>
      </text>
    </comment>
    <comment ref="G13" authorId="1" shapeId="0" xr:uid="{67478803-CF25-4CCD-B46D-6D7380A06F6F}">
      <text>
        <r>
          <rPr>
            <b/>
            <sz val="9"/>
            <color indexed="81"/>
            <rFont val="Segoe UI"/>
            <family val="2"/>
          </rPr>
          <t>comprimento máximo:
pavimento rígido 
+ 
placas de transição</t>
        </r>
      </text>
    </comment>
    <comment ref="H13" authorId="1" shapeId="0" xr:uid="{2AF5243E-8E48-4670-A58B-1012F07ED4A7}">
      <text>
        <r>
          <rPr>
            <b/>
            <sz val="9"/>
            <color indexed="81"/>
            <rFont val="Segoe UI"/>
            <family val="2"/>
          </rPr>
          <t>comprimento máximo:
pavimento rígido 
+ 
placas de transição</t>
        </r>
      </text>
    </comment>
    <comment ref="F14" authorId="1" shapeId="0" xr:uid="{A2E34F20-17E9-4616-9391-1D898E2C4A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4" authorId="1" shapeId="0" xr:uid="{88F4A262-9B4B-463C-BF65-DD9177F493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4" authorId="1" shapeId="0" xr:uid="{4A6DD856-B450-413C-BFBD-A29928E8A14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1" authorId="1" shapeId="0" xr:uid="{09AE7B19-6FAF-4D84-A15C-3E3E9176EF6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1" authorId="1" shapeId="0" xr:uid="{F6F7F6A5-7366-4E7B-964B-BF9EE1E656D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1" authorId="1" shapeId="0" xr:uid="{485A17DC-E350-497E-9832-0C2C6759C6A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2" authorId="1" shapeId="0" xr:uid="{08082CAE-FF7D-4A2B-95C3-9EDD0242C71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2" authorId="1" shapeId="0" xr:uid="{36A7F3EA-5AA9-4011-98B0-FAFCC9D748B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2" authorId="1" shapeId="0" xr:uid="{A8CE78F7-74DC-4497-A7C5-E3BD19352AC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8" authorId="1" shapeId="0" xr:uid="{41ACEC19-8EEE-42C3-A4EB-CFC82F017D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8" authorId="1" shapeId="0" xr:uid="{FE6256CB-8F16-4FD7-9599-4DCB8C03D7C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8" authorId="1" shapeId="0" xr:uid="{AF446EFF-8067-4274-8718-BD42941A49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9" authorId="1" shapeId="0" xr:uid="{A3BF3B10-1D22-46C5-A9D5-2BB3F65BAAF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9" authorId="1" shapeId="0" xr:uid="{6D8E5630-8B11-4DF1-B2E0-F945A46276F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9" authorId="1" shapeId="0" xr:uid="{EC3B4839-FE83-45BC-858D-EB055BE85BA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1" authorId="1" shapeId="0" xr:uid="{D919501F-295E-4AA4-954E-9DCA673FF2A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1" authorId="1" shapeId="0" xr:uid="{6889D46C-3402-401E-97CB-EB92D1C917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1" authorId="1" shapeId="0" xr:uid="{0F00BACF-7B8F-4027-AE12-2953549E901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3" authorId="1" shapeId="0" xr:uid="{208D10B2-55F9-49AF-B3FE-C6B4D763946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3" authorId="1" shapeId="0" xr:uid="{EE4E309B-7927-47A3-875B-F6F6E1A2448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3" authorId="1" shapeId="0" xr:uid="{0749F0A0-EA20-4437-B02E-0AD936D6631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5" authorId="1" shapeId="0" xr:uid="{95B0260A-5981-467E-89DF-04B10C396A6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5" authorId="1" shapeId="0" xr:uid="{0AEC77F4-558A-404F-940C-5A1FA10F6F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5" authorId="1" shapeId="0" xr:uid="{EFDB6ECC-540D-491A-BF4E-16F3D0911B7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ricardo.schettini</author>
  </authors>
  <commentList>
    <comment ref="E2" authorId="0" shapeId="0" xr:uid="{31B851BE-89AA-4017-B046-3DC6830C830A}">
      <text>
        <r>
          <rPr>
            <sz val="8"/>
            <color indexed="81"/>
            <rFont val="Tahoma"/>
            <family val="2"/>
          </rPr>
          <t>VI
VL
VC
VA
VTR</t>
        </r>
      </text>
    </comment>
    <comment ref="F2" authorId="0" shapeId="0" xr:uid="{99A5CFE4-1AC0-482B-9842-ACB77AFCF94C}">
      <text>
        <r>
          <rPr>
            <sz val="8"/>
            <color indexed="81"/>
            <rFont val="Tahoma"/>
            <family val="2"/>
          </rPr>
          <t>VI
VL
VC
VA
VTR</t>
        </r>
      </text>
    </comment>
    <comment ref="G2" authorId="0" shapeId="0" xr:uid="{C732C652-8CE1-40EA-80A8-0A4B5F81199B}">
      <text>
        <r>
          <rPr>
            <sz val="8"/>
            <color indexed="81"/>
            <rFont val="Tahoma"/>
            <family val="2"/>
          </rPr>
          <t>VI
VL
VC
VA
VTR</t>
        </r>
      </text>
    </comment>
    <comment ref="H2" authorId="0" shapeId="0" xr:uid="{381CA673-FDF4-43AA-A7F2-BC9B1936F164}">
      <text>
        <r>
          <rPr>
            <sz val="8"/>
            <color indexed="81"/>
            <rFont val="Tahoma"/>
            <family val="2"/>
          </rPr>
          <t>VI
VL
VC
VA
VTR</t>
        </r>
      </text>
    </comment>
    <comment ref="I2" authorId="0" shapeId="0" xr:uid="{AD0D96DD-3361-4A44-AC01-33BEB13F7C45}">
      <text>
        <r>
          <rPr>
            <sz val="8"/>
            <color indexed="81"/>
            <rFont val="Tahoma"/>
            <family val="2"/>
          </rPr>
          <t>VI
VL
VC
VA
VTR</t>
        </r>
      </text>
    </comment>
    <comment ref="J2" authorId="0" shapeId="0" xr:uid="{DD0C69EC-6EDB-4DA3-9879-60A041783CDA}">
      <text>
        <r>
          <rPr>
            <sz val="8"/>
            <color indexed="81"/>
            <rFont val="Tahoma"/>
            <family val="2"/>
          </rPr>
          <t>VI
VL
VC
VA
VTR</t>
        </r>
      </text>
    </comment>
    <comment ref="K2" authorId="0" shapeId="0" xr:uid="{F94E88A7-7075-47C9-9D0A-EADFA86F7717}">
      <text>
        <r>
          <rPr>
            <sz val="8"/>
            <color indexed="81"/>
            <rFont val="Tahoma"/>
            <family val="2"/>
          </rPr>
          <t>VI
VL
VC
VA
VTR</t>
        </r>
      </text>
    </comment>
    <comment ref="L2" authorId="0" shapeId="0" xr:uid="{4EFE3EFF-E574-4A15-BC1D-FEECC5341D18}">
      <text>
        <r>
          <rPr>
            <sz val="8"/>
            <color indexed="81"/>
            <rFont val="Tahoma"/>
            <family val="2"/>
          </rPr>
          <t>VI
VL
VC
VA
VTR</t>
        </r>
      </text>
    </comment>
    <comment ref="M2" authorId="0" shapeId="0" xr:uid="{F56B5758-16C2-4B0E-AD80-B1A22A6E2E88}">
      <text>
        <r>
          <rPr>
            <sz val="8"/>
            <color indexed="81"/>
            <rFont val="Tahoma"/>
            <family val="2"/>
          </rPr>
          <t>VI
VL
VC
VA
VTR</t>
        </r>
      </text>
    </comment>
    <comment ref="N2" authorId="0" shapeId="0" xr:uid="{74E3A6F7-C560-47FC-A406-5560BBC522FE}">
      <text>
        <r>
          <rPr>
            <sz val="8"/>
            <color indexed="81"/>
            <rFont val="Tahoma"/>
            <family val="2"/>
          </rPr>
          <t>VI
VL
VC
VA
VTR</t>
        </r>
      </text>
    </comment>
    <comment ref="O2" authorId="0" shapeId="0" xr:uid="{7D799B72-D99C-4264-98C6-3A7A92874A49}">
      <text>
        <r>
          <rPr>
            <sz val="8"/>
            <color indexed="81"/>
            <rFont val="Tahoma"/>
            <family val="2"/>
          </rPr>
          <t>VI
VL
VC
VA
VTR</t>
        </r>
      </text>
    </comment>
    <comment ref="P2" authorId="0" shapeId="0" xr:uid="{A8354F9A-3EFC-49DD-99A0-2DD63BE7F3D2}">
      <text>
        <r>
          <rPr>
            <sz val="8"/>
            <color indexed="81"/>
            <rFont val="Tahoma"/>
            <family val="2"/>
          </rPr>
          <t>VI
VL
VC
VA
VTR</t>
        </r>
      </text>
    </comment>
    <comment ref="Q2" authorId="0" shapeId="0" xr:uid="{232315A2-0E16-4118-9F11-6CEC6F27C9B6}">
      <text>
        <r>
          <rPr>
            <sz val="8"/>
            <color indexed="81"/>
            <rFont val="Tahoma"/>
            <family val="2"/>
          </rPr>
          <t>VI
VL
VC
VA
VTR</t>
        </r>
      </text>
    </comment>
    <comment ref="R2" authorId="0" shapeId="0" xr:uid="{36D5E079-6899-46DA-8EAA-236A8A15FA96}">
      <text>
        <r>
          <rPr>
            <sz val="8"/>
            <color indexed="81"/>
            <rFont val="Tahoma"/>
            <family val="2"/>
          </rPr>
          <t>VI
VL
VC
VA
VTR</t>
        </r>
      </text>
    </comment>
    <comment ref="S2" authorId="0" shapeId="0" xr:uid="{CBF92513-501F-4A23-8B09-ECECB3A01C8D}">
      <text>
        <r>
          <rPr>
            <sz val="8"/>
            <color indexed="81"/>
            <rFont val="Tahoma"/>
            <family val="2"/>
          </rPr>
          <t>VI
VL
VC
VA
VTR</t>
        </r>
      </text>
    </comment>
    <comment ref="T2" authorId="0" shapeId="0" xr:uid="{77DF93CC-7028-4E1B-A0FB-8EC70C25839A}">
      <text>
        <r>
          <rPr>
            <sz val="8"/>
            <color indexed="81"/>
            <rFont val="Tahoma"/>
            <family val="2"/>
          </rPr>
          <t>VI
VL
VC
VA
VTR</t>
        </r>
      </text>
    </comment>
    <comment ref="U2" authorId="0" shapeId="0" xr:uid="{CBF084E8-96EE-41C5-ABC5-FEA9E06D758B}">
      <text>
        <r>
          <rPr>
            <sz val="8"/>
            <color indexed="81"/>
            <rFont val="Tahoma"/>
            <family val="2"/>
          </rPr>
          <t>VI
VL
VC
VA
VTR</t>
        </r>
      </text>
    </comment>
    <comment ref="B5" authorId="0" shapeId="0" xr:uid="{47FF3B6B-BA98-48DA-A7A4-3A9B987C51ED}">
      <text>
        <r>
          <rPr>
            <b/>
            <sz val="9"/>
            <color indexed="81"/>
            <rFont val="Tahoma"/>
            <family val="2"/>
          </rPr>
          <t>ricardo.schettini:</t>
        </r>
        <r>
          <rPr>
            <sz val="9"/>
            <color indexed="81"/>
            <rFont val="Tahoma"/>
            <family val="2"/>
          </rPr>
          <t xml:space="preserve">
COLAR O Nº "N" CONFORME O PERÍODO DE PROJETO</t>
        </r>
      </text>
    </comment>
    <comment ref="E37" authorId="0" shapeId="0" xr:uid="{DED4CC19-908C-4045-9CA4-BE7AA4F2630E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F37" authorId="0" shapeId="0" xr:uid="{51657BF3-7B32-43CF-8AB5-2B551333B60F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G37" authorId="0" shapeId="0" xr:uid="{69A867B9-9E67-4B2D-AE38-4C0BD6AE2A98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H37" authorId="0" shapeId="0" xr:uid="{7C5B2E42-12FC-4D2A-853A-18005687C3C9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I37" authorId="0" shapeId="0" xr:uid="{D5134837-C3D5-43B4-A937-8083F46B9DA8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J37" authorId="0" shapeId="0" xr:uid="{B1712CF0-1FAC-4E81-8463-CE786FBED2E8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K37" authorId="0" shapeId="0" xr:uid="{6F0DD66B-4CE0-4F80-B8DB-92A903BD52BA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L37" authorId="0" shapeId="0" xr:uid="{5C4CEB75-4132-4E0B-81A9-C4C425AAE449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M37" authorId="0" shapeId="0" xr:uid="{20DB514A-EA44-40B3-BE89-7BC76DEBA3E8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N37" authorId="0" shapeId="0" xr:uid="{7E75C349-D139-4112-89B8-5085EEEFD214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O37" authorId="0" shapeId="0" xr:uid="{9C940007-D404-45C3-8FE1-6D5691B9B94C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P37" authorId="0" shapeId="0" xr:uid="{8630AB4D-8402-40CA-85F8-81CF8572F40B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Q37" authorId="0" shapeId="0" xr:uid="{5EEA612F-9427-4650-B454-55F87C6FEB6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R37" authorId="0" shapeId="0" xr:uid="{7E12FD59-9E74-4C72-B6E9-70B034D8EEE1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S37" authorId="0" shapeId="0" xr:uid="{0CC3DF2A-750D-4630-9C4E-C8D946A548C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T37" authorId="0" shapeId="0" xr:uid="{8DE77D92-A8D8-45FC-9D3F-CD11E4BF590D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U37" authorId="0" shapeId="0" xr:uid="{2B48D908-A89E-4515-857A-F849A2295247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E40" authorId="0" shapeId="0" xr:uid="{B5B633CA-6E82-439D-BB53-599C61422506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F40" authorId="0" shapeId="0" xr:uid="{310FA5B6-E041-4383-AAC9-899605D8C199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G40" authorId="0" shapeId="0" xr:uid="{B1B3006B-BDE3-4B4A-9AF4-6875D27F8BAD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H40" authorId="0" shapeId="0" xr:uid="{007A0EA9-2E80-4FBC-934C-0EFBA29E6DE3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I40" authorId="0" shapeId="0" xr:uid="{260000F4-FDC6-4F90-A70B-50882481E0E9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J40" authorId="0" shapeId="0" xr:uid="{D1AA64E6-9093-4DA4-942E-DF61A8C693CD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K40" authorId="0" shapeId="0" xr:uid="{66C2392F-E94A-49A2-886A-36F1EAF17182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L40" authorId="0" shapeId="0" xr:uid="{548BB961-4A04-4862-8355-00DFF147218B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M40" authorId="0" shapeId="0" xr:uid="{A87962DB-783A-49FB-92E4-BEFDBEAF71CC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N40" authorId="0" shapeId="0" xr:uid="{81FBE9BA-A158-4F18-AD83-6E01AAF937FC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O40" authorId="0" shapeId="0" xr:uid="{439D730E-7A8E-45E7-A308-62AE16DA7D98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P40" authorId="0" shapeId="0" xr:uid="{69B00CDB-4108-4E85-8C28-AFDF7134A994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Q40" authorId="0" shapeId="0" xr:uid="{7BECF261-C490-4923-90D3-6DA131E35A2C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R40" authorId="0" shapeId="0" xr:uid="{A5A971C9-B6CD-49E0-A143-C04E36E10B56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S40" authorId="0" shapeId="0" xr:uid="{737AAB12-B87E-4440-9215-E750A544F3FF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T40" authorId="0" shapeId="0" xr:uid="{0CA987F6-44E0-44B4-A1AA-DAA77D3CFB68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U40" authorId="0" shapeId="0" xr:uid="{96F28EFD-FEE4-4D63-B31F-01757E2B2DA1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E42" authorId="0" shapeId="0" xr:uid="{92616C38-EF6A-4747-8700-5E6BBCEDFC91}">
      <text>
        <r>
          <rPr>
            <sz val="8"/>
            <color indexed="81"/>
            <rFont val="Calibri"/>
            <family val="2"/>
          </rPr>
          <t>≥ 15cm</t>
        </r>
      </text>
    </comment>
    <comment ref="F42" authorId="0" shapeId="0" xr:uid="{0C71E9F4-F2B7-4F86-952A-9D7CB5115316}">
      <text>
        <r>
          <rPr>
            <sz val="8"/>
            <color indexed="81"/>
            <rFont val="Calibri"/>
            <family val="2"/>
          </rPr>
          <t>≥ 15cm</t>
        </r>
      </text>
    </comment>
    <comment ref="G42" authorId="0" shapeId="0" xr:uid="{A37D3CC4-3B84-4314-A2DB-006FC76AB9F2}">
      <text>
        <r>
          <rPr>
            <sz val="8"/>
            <color indexed="81"/>
            <rFont val="Calibri"/>
            <family val="2"/>
          </rPr>
          <t>≥ 15cm</t>
        </r>
      </text>
    </comment>
    <comment ref="H42" authorId="0" shapeId="0" xr:uid="{5EEDDE08-90CA-4C54-9446-C6F3CD48AEF8}">
      <text>
        <r>
          <rPr>
            <sz val="8"/>
            <color indexed="81"/>
            <rFont val="Calibri"/>
            <family val="2"/>
          </rPr>
          <t>≥ 15cm</t>
        </r>
      </text>
    </comment>
    <comment ref="I42" authorId="0" shapeId="0" xr:uid="{FF6E73C1-4480-4843-8CE3-F0793D0BD3E5}">
      <text>
        <r>
          <rPr>
            <sz val="8"/>
            <color indexed="81"/>
            <rFont val="Calibri"/>
            <family val="2"/>
          </rPr>
          <t>≥ 15cm</t>
        </r>
      </text>
    </comment>
    <comment ref="J42" authorId="0" shapeId="0" xr:uid="{81E412F1-3CD2-4E3F-A42D-21373F815114}">
      <text>
        <r>
          <rPr>
            <sz val="8"/>
            <color indexed="81"/>
            <rFont val="Calibri"/>
            <family val="2"/>
          </rPr>
          <t>≥ 15cm</t>
        </r>
      </text>
    </comment>
    <comment ref="K42" authorId="0" shapeId="0" xr:uid="{585B4FB1-F05B-4988-9972-DE14717E29FA}">
      <text>
        <r>
          <rPr>
            <sz val="8"/>
            <color indexed="81"/>
            <rFont val="Calibri"/>
            <family val="2"/>
          </rPr>
          <t>≥ 15cm</t>
        </r>
      </text>
    </comment>
    <comment ref="L42" authorId="0" shapeId="0" xr:uid="{545AC2B8-DBBF-427A-A9A1-E2CC630F05D5}">
      <text>
        <r>
          <rPr>
            <sz val="8"/>
            <color indexed="81"/>
            <rFont val="Calibri"/>
            <family val="2"/>
          </rPr>
          <t>≥ 15cm</t>
        </r>
      </text>
    </comment>
    <comment ref="M42" authorId="0" shapeId="0" xr:uid="{9884B6F7-A344-4FAF-A225-8BABFCB3B408}">
      <text>
        <r>
          <rPr>
            <sz val="8"/>
            <color indexed="81"/>
            <rFont val="Calibri"/>
            <family val="2"/>
          </rPr>
          <t>≥ 15cm</t>
        </r>
      </text>
    </comment>
    <comment ref="N42" authorId="0" shapeId="0" xr:uid="{A116CB40-163B-432D-8C61-F25F36A2D724}">
      <text>
        <r>
          <rPr>
            <sz val="8"/>
            <color indexed="81"/>
            <rFont val="Calibri"/>
            <family val="2"/>
          </rPr>
          <t>≥ 15cm</t>
        </r>
      </text>
    </comment>
    <comment ref="O42" authorId="0" shapeId="0" xr:uid="{EACEBFCE-2B7F-4DF8-AE7D-2F3E1F63A15C}">
      <text>
        <r>
          <rPr>
            <sz val="8"/>
            <color indexed="81"/>
            <rFont val="Calibri"/>
            <family val="2"/>
          </rPr>
          <t>≥ 15cm</t>
        </r>
      </text>
    </comment>
    <comment ref="P42" authorId="0" shapeId="0" xr:uid="{8A70E399-D66E-488A-96B5-223C44D447C9}">
      <text>
        <r>
          <rPr>
            <sz val="8"/>
            <color indexed="81"/>
            <rFont val="Calibri"/>
            <family val="2"/>
          </rPr>
          <t>≥ 15cm</t>
        </r>
      </text>
    </comment>
    <comment ref="Q42" authorId="0" shapeId="0" xr:uid="{05BA189C-7723-4D83-82AB-8DAF710F2FA3}">
      <text>
        <r>
          <rPr>
            <sz val="8"/>
            <color indexed="81"/>
            <rFont val="Calibri"/>
            <family val="2"/>
          </rPr>
          <t>≥ 15cm</t>
        </r>
      </text>
    </comment>
    <comment ref="R42" authorId="0" shapeId="0" xr:uid="{1420017C-EF30-4394-955F-6198CBBEBCA3}">
      <text>
        <r>
          <rPr>
            <sz val="8"/>
            <color indexed="81"/>
            <rFont val="Calibri"/>
            <family val="2"/>
          </rPr>
          <t>≥ 15cm</t>
        </r>
      </text>
    </comment>
    <comment ref="S42" authorId="0" shapeId="0" xr:uid="{99E9E3A2-D4B6-4709-890C-66C3C1D1B368}">
      <text>
        <r>
          <rPr>
            <sz val="8"/>
            <color indexed="81"/>
            <rFont val="Calibri"/>
            <family val="2"/>
          </rPr>
          <t>≥ 15cm</t>
        </r>
      </text>
    </comment>
    <comment ref="T42" authorId="0" shapeId="0" xr:uid="{653CC830-D96B-4157-A9CC-13BA88D85F6D}">
      <text>
        <r>
          <rPr>
            <sz val="8"/>
            <color indexed="81"/>
            <rFont val="Calibri"/>
            <family val="2"/>
          </rPr>
          <t>≥ 15cm</t>
        </r>
      </text>
    </comment>
    <comment ref="U42" authorId="0" shapeId="0" xr:uid="{42F9092F-0535-4708-A5F4-449965BB629E}">
      <text>
        <r>
          <rPr>
            <sz val="8"/>
            <color indexed="81"/>
            <rFont val="Calibri"/>
            <family val="2"/>
          </rPr>
          <t>≥ 15cm</t>
        </r>
      </text>
    </comment>
    <comment ref="E44" authorId="0" shapeId="0" xr:uid="{3A035D96-6B96-43F9-8F61-818BC0B96A96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F44" authorId="0" shapeId="0" xr:uid="{7E1049D5-372C-4503-BED8-8958B489E851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G44" authorId="0" shapeId="0" xr:uid="{BEE47C21-8D86-4B89-975B-9FA632A694AE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H44" authorId="0" shapeId="0" xr:uid="{A2F0147A-BCAC-4848-B2AB-C73A3B39D6D5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I44" authorId="0" shapeId="0" xr:uid="{19A2D171-E15F-410D-8D91-6C6D0C70A132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J44" authorId="0" shapeId="0" xr:uid="{D4F6A619-DBDF-48B8-87CE-90ED117A4D7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K44" authorId="0" shapeId="0" xr:uid="{761F5FD4-D890-442E-BED6-79788E802E06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L44" authorId="0" shapeId="0" xr:uid="{CD79CD90-12A8-4028-838A-C553A65F0C08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M44" authorId="0" shapeId="0" xr:uid="{4FD8BA93-8FFD-4F58-B775-BF0F4011FB8D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N44" authorId="0" shapeId="0" xr:uid="{3E570339-FA7D-4322-A943-24AE26D69222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O44" authorId="0" shapeId="0" xr:uid="{CA3DF359-204F-4DFE-A832-5CE3BCB567DA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P44" authorId="0" shapeId="0" xr:uid="{F7029D3A-2D3C-4832-99A5-4CD807BFFC34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Q44" authorId="0" shapeId="0" xr:uid="{09D43090-9D3F-4A11-ACAF-2E32FFB056E4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R44" authorId="0" shapeId="0" xr:uid="{B0A373C2-511E-4025-8922-F3303D8093A3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S44" authorId="0" shapeId="0" xr:uid="{ACF6DEB7-C06F-4A07-BF92-2C7965C8E107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T44" authorId="0" shapeId="0" xr:uid="{96CF5CD2-638E-45B2-891E-5DE22B0D346C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U44" authorId="0" shapeId="0" xr:uid="{874D69A0-0E45-44D7-ACCD-E08E6F01C336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E46" authorId="0" shapeId="0" xr:uid="{AE43B26E-4F5E-474D-8880-FE04F2C909E3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F46" authorId="0" shapeId="0" xr:uid="{D21A2073-C311-4CAA-BC7A-2830681880FE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G46" authorId="0" shapeId="0" xr:uid="{C2270E09-A2B3-419F-92AD-C9DF8E92F4A5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H46" authorId="0" shapeId="0" xr:uid="{20468F8C-FCF1-496B-B068-4708493FD715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I46" authorId="0" shapeId="0" xr:uid="{6FE286C9-1DAD-4F58-AA69-567E0692C852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J46" authorId="0" shapeId="0" xr:uid="{69A0D1FC-78B7-4787-B8A3-A3B3CF2DC23B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K46" authorId="0" shapeId="0" xr:uid="{5226C759-8A67-4E35-BD15-A1F4ECBBE1A1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L46" authorId="0" shapeId="0" xr:uid="{DCCDF11E-4138-4826-B1F6-2D36E0D5D7E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M46" authorId="0" shapeId="0" xr:uid="{5E52861B-0283-4949-AF7D-08B10C04D123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N46" authorId="0" shapeId="0" xr:uid="{3008E2BB-0089-4B72-AA39-79504760DE8E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O46" authorId="0" shapeId="0" xr:uid="{142ACDF0-C8AF-46D3-94DA-B5728378105B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P46" authorId="0" shapeId="0" xr:uid="{AC000CB8-A099-454D-A16A-0D4997947EE2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Q46" authorId="0" shapeId="0" xr:uid="{3F0E8D65-A593-447A-9A78-5A2298B9326A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R46" authorId="0" shapeId="0" xr:uid="{6882C589-3075-41B4-8A5B-74EDCFC3961E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S46" authorId="0" shapeId="0" xr:uid="{4BDCA1AE-3321-4751-A59B-1AA1CA01C533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T46" authorId="0" shapeId="0" xr:uid="{9E515F5F-E37C-4281-B8F3-80374B8641D9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U46" authorId="0" shapeId="0" xr:uid="{9D95D591-2507-4EF3-8F18-7F548A16FFA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E47" authorId="0" shapeId="0" xr:uid="{EA929A47-8E46-458A-8BBC-FF8AA59ACF14}">
      <text>
        <r>
          <rPr>
            <sz val="8"/>
            <color indexed="81"/>
            <rFont val="Calibri"/>
            <family val="2"/>
          </rPr>
          <t>≥ 15cm</t>
        </r>
      </text>
    </comment>
    <comment ref="F47" authorId="0" shapeId="0" xr:uid="{D0FD4B50-16D8-4D43-86B3-A9300BA2CCFB}">
      <text>
        <r>
          <rPr>
            <sz val="8"/>
            <color indexed="81"/>
            <rFont val="Calibri"/>
            <family val="2"/>
          </rPr>
          <t>≥ 15cm</t>
        </r>
      </text>
    </comment>
    <comment ref="G47" authorId="0" shapeId="0" xr:uid="{BAFFCD54-47FF-49C3-9F23-C28DFC8D7A1A}">
      <text>
        <r>
          <rPr>
            <sz val="8"/>
            <color indexed="81"/>
            <rFont val="Calibri"/>
            <family val="2"/>
          </rPr>
          <t>≥ 15cm</t>
        </r>
      </text>
    </comment>
    <comment ref="H47" authorId="0" shapeId="0" xr:uid="{7AC672D4-D436-4493-8BBA-F27F064D3B6B}">
      <text>
        <r>
          <rPr>
            <sz val="8"/>
            <color indexed="81"/>
            <rFont val="Calibri"/>
            <family val="2"/>
          </rPr>
          <t>≥ 15cm</t>
        </r>
      </text>
    </comment>
    <comment ref="I47" authorId="0" shapeId="0" xr:uid="{F7816AD9-89B8-4F57-AF46-E05E11080D0D}">
      <text>
        <r>
          <rPr>
            <sz val="8"/>
            <color indexed="81"/>
            <rFont val="Calibri"/>
            <family val="2"/>
          </rPr>
          <t>≥ 15cm</t>
        </r>
      </text>
    </comment>
    <comment ref="J47" authorId="0" shapeId="0" xr:uid="{BF1CE997-DD1E-4A7C-9590-1C24BCDF0A1F}">
      <text>
        <r>
          <rPr>
            <sz val="8"/>
            <color indexed="81"/>
            <rFont val="Calibri"/>
            <family val="2"/>
          </rPr>
          <t>≥ 15cm</t>
        </r>
      </text>
    </comment>
    <comment ref="K47" authorId="0" shapeId="0" xr:uid="{12C9F60E-6F9B-451A-B54F-8B4CA7463475}">
      <text>
        <r>
          <rPr>
            <sz val="8"/>
            <color indexed="81"/>
            <rFont val="Calibri"/>
            <family val="2"/>
          </rPr>
          <t>≥ 15cm</t>
        </r>
      </text>
    </comment>
    <comment ref="L47" authorId="0" shapeId="0" xr:uid="{97A0EE0F-C127-4A44-BB43-E8E1480AAE41}">
      <text>
        <r>
          <rPr>
            <sz val="8"/>
            <color indexed="81"/>
            <rFont val="Calibri"/>
            <family val="2"/>
          </rPr>
          <t>≥ 15cm</t>
        </r>
      </text>
    </comment>
    <comment ref="M47" authorId="0" shapeId="0" xr:uid="{65921384-9C79-4B3D-A274-4781FD795FB2}">
      <text>
        <r>
          <rPr>
            <sz val="8"/>
            <color indexed="81"/>
            <rFont val="Calibri"/>
            <family val="2"/>
          </rPr>
          <t>≥ 15cm</t>
        </r>
      </text>
    </comment>
    <comment ref="N47" authorId="0" shapeId="0" xr:uid="{3AD22F2D-2282-4795-A8ED-1C814DB5390B}">
      <text>
        <r>
          <rPr>
            <sz val="8"/>
            <color indexed="81"/>
            <rFont val="Calibri"/>
            <family val="2"/>
          </rPr>
          <t>≥ 15cm</t>
        </r>
      </text>
    </comment>
    <comment ref="O47" authorId="0" shapeId="0" xr:uid="{4CE359F6-5001-40E8-9326-4AA8B2CAB7F2}">
      <text>
        <r>
          <rPr>
            <sz val="8"/>
            <color indexed="81"/>
            <rFont val="Calibri"/>
            <family val="2"/>
          </rPr>
          <t>≥ 15cm</t>
        </r>
      </text>
    </comment>
    <comment ref="P47" authorId="0" shapeId="0" xr:uid="{A1E840AF-DBAD-4680-BD31-EE644F424279}">
      <text>
        <r>
          <rPr>
            <sz val="8"/>
            <color indexed="81"/>
            <rFont val="Calibri"/>
            <family val="2"/>
          </rPr>
          <t>≥ 15cm</t>
        </r>
      </text>
    </comment>
    <comment ref="Q47" authorId="0" shapeId="0" xr:uid="{C0C81962-2394-44D0-9D0A-31CEB71335C2}">
      <text>
        <r>
          <rPr>
            <sz val="8"/>
            <color indexed="81"/>
            <rFont val="Calibri"/>
            <family val="2"/>
          </rPr>
          <t>≥ 15cm</t>
        </r>
      </text>
    </comment>
    <comment ref="R47" authorId="0" shapeId="0" xr:uid="{0594067B-D6A3-4E1C-9E0D-280A94BEC679}">
      <text>
        <r>
          <rPr>
            <sz val="8"/>
            <color indexed="81"/>
            <rFont val="Calibri"/>
            <family val="2"/>
          </rPr>
          <t>≥ 15cm</t>
        </r>
      </text>
    </comment>
    <comment ref="S47" authorId="0" shapeId="0" xr:uid="{C2ECE5E7-8D1B-4D87-97F1-B81729BB7A12}">
      <text>
        <r>
          <rPr>
            <sz val="8"/>
            <color indexed="81"/>
            <rFont val="Calibri"/>
            <family val="2"/>
          </rPr>
          <t>≥ 15cm</t>
        </r>
      </text>
    </comment>
    <comment ref="T47" authorId="0" shapeId="0" xr:uid="{4EE28209-A7E4-4984-AE34-D908D585F9BA}">
      <text>
        <r>
          <rPr>
            <sz val="8"/>
            <color indexed="81"/>
            <rFont val="Calibri"/>
            <family val="2"/>
          </rPr>
          <t>≥ 15cm</t>
        </r>
      </text>
    </comment>
    <comment ref="U47" authorId="0" shapeId="0" xr:uid="{18F91D9D-9DE2-4B33-9358-37666BD15157}">
      <text>
        <r>
          <rPr>
            <sz val="8"/>
            <color indexed="81"/>
            <rFont val="Calibri"/>
            <family val="2"/>
          </rPr>
          <t>≥ 15cm</t>
        </r>
      </text>
    </comment>
    <comment ref="E50" authorId="0" shapeId="0" xr:uid="{72A97427-567A-4AF2-B530-F5F4662C6698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F50" authorId="0" shapeId="0" xr:uid="{6E6388C3-904C-43A6-9909-137CC6B389DE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G50" authorId="0" shapeId="0" xr:uid="{513D0CFC-322D-40C8-80F7-96CECA11164A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H50" authorId="0" shapeId="0" xr:uid="{AE4E6A76-106A-42FA-A3D8-6A4EF40C785C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I50" authorId="0" shapeId="0" xr:uid="{A1855B0B-DE13-4447-B673-7DCF6EAD95CB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J50" authorId="0" shapeId="0" xr:uid="{20831286-E159-427C-AE31-BF5EB2DDB933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K50" authorId="0" shapeId="0" xr:uid="{C601D832-98EE-4153-B63E-14713F3A18DB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L50" authorId="0" shapeId="0" xr:uid="{757C8E6F-F835-4342-A482-894990BECB9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M50" authorId="0" shapeId="0" xr:uid="{49A56017-9CED-41B6-BC4E-47748A02761D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N50" authorId="0" shapeId="0" xr:uid="{2F78765D-05FC-4B2F-A1AA-2FF7FB94FA54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O50" authorId="0" shapeId="0" xr:uid="{6DA485FE-567F-4D78-B081-2A15AE13A0AF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P50" authorId="0" shapeId="0" xr:uid="{03CBDF05-64B5-4256-B67C-D41AB4C4C34A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Q50" authorId="0" shapeId="0" xr:uid="{2A3BC0A6-9D9C-409D-9210-5456FCD7316D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R50" authorId="0" shapeId="0" xr:uid="{62201277-4AE6-499B-887C-9AFF42470CF3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S50" authorId="0" shapeId="0" xr:uid="{60CE0ABE-6378-4B42-8A69-0033530BFA6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T50" authorId="0" shapeId="0" xr:uid="{B87E1E68-6EEF-4508-A907-06960F0A0ECD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U50" authorId="0" shapeId="0" xr:uid="{39B53330-E76A-434F-B955-D3662465DA45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E52" authorId="0" shapeId="0" xr:uid="{00D9C54C-F22F-4241-9E84-05EE44F3B66C}">
      <text>
        <r>
          <rPr>
            <sz val="8"/>
            <color indexed="81"/>
            <rFont val="Calibri"/>
            <family val="2"/>
          </rPr>
          <t>≥ 15cm</t>
        </r>
      </text>
    </comment>
    <comment ref="F52" authorId="0" shapeId="0" xr:uid="{35F50883-3F14-467D-AC80-6145B42BC9B3}">
      <text>
        <r>
          <rPr>
            <sz val="8"/>
            <color indexed="81"/>
            <rFont val="Calibri"/>
            <family val="2"/>
          </rPr>
          <t>≥ 15cm</t>
        </r>
      </text>
    </comment>
    <comment ref="G52" authorId="0" shapeId="0" xr:uid="{260D49CF-2AE8-44A1-B332-46CC638DCD10}">
      <text>
        <r>
          <rPr>
            <sz val="8"/>
            <color indexed="81"/>
            <rFont val="Calibri"/>
            <family val="2"/>
          </rPr>
          <t>≥ 15cm</t>
        </r>
      </text>
    </comment>
    <comment ref="H52" authorId="0" shapeId="0" xr:uid="{BB98AF74-F633-453F-8223-C2CEF6BD0EE6}">
      <text>
        <r>
          <rPr>
            <sz val="8"/>
            <color indexed="81"/>
            <rFont val="Calibri"/>
            <family val="2"/>
          </rPr>
          <t>≥ 15cm</t>
        </r>
      </text>
    </comment>
    <comment ref="I52" authorId="0" shapeId="0" xr:uid="{28995348-6F45-459F-8EE7-A21890349C59}">
      <text>
        <r>
          <rPr>
            <sz val="8"/>
            <color indexed="81"/>
            <rFont val="Calibri"/>
            <family val="2"/>
          </rPr>
          <t>≥ 15cm</t>
        </r>
      </text>
    </comment>
    <comment ref="J52" authorId="0" shapeId="0" xr:uid="{7A89F8CC-7C21-4896-A2A0-7BDA7AC0AB5D}">
      <text>
        <r>
          <rPr>
            <sz val="8"/>
            <color indexed="81"/>
            <rFont val="Calibri"/>
            <family val="2"/>
          </rPr>
          <t>≥ 15cm</t>
        </r>
      </text>
    </comment>
    <comment ref="K52" authorId="0" shapeId="0" xr:uid="{1245185E-FF68-485A-9878-FBB6ADD25F63}">
      <text>
        <r>
          <rPr>
            <sz val="8"/>
            <color indexed="81"/>
            <rFont val="Calibri"/>
            <family val="2"/>
          </rPr>
          <t>≥ 15cm</t>
        </r>
      </text>
    </comment>
    <comment ref="L52" authorId="0" shapeId="0" xr:uid="{4B69B992-08CD-4A33-90F4-AEFA13170C74}">
      <text>
        <r>
          <rPr>
            <sz val="8"/>
            <color indexed="81"/>
            <rFont val="Calibri"/>
            <family val="2"/>
          </rPr>
          <t>≥ 15cm</t>
        </r>
      </text>
    </comment>
    <comment ref="M52" authorId="0" shapeId="0" xr:uid="{1ECD9E87-5A9C-475B-B5A1-13119B2A0625}">
      <text>
        <r>
          <rPr>
            <sz val="8"/>
            <color indexed="81"/>
            <rFont val="Calibri"/>
            <family val="2"/>
          </rPr>
          <t>≥ 15cm</t>
        </r>
      </text>
    </comment>
    <comment ref="N52" authorId="0" shapeId="0" xr:uid="{09FFA3F2-1E58-450F-BA47-A8DDB063656D}">
      <text>
        <r>
          <rPr>
            <sz val="8"/>
            <color indexed="81"/>
            <rFont val="Calibri"/>
            <family val="2"/>
          </rPr>
          <t>≥ 15cm</t>
        </r>
      </text>
    </comment>
    <comment ref="O52" authorId="0" shapeId="0" xr:uid="{0E481B09-AEF9-456B-A54C-EE993FA2AF02}">
      <text>
        <r>
          <rPr>
            <sz val="8"/>
            <color indexed="81"/>
            <rFont val="Calibri"/>
            <family val="2"/>
          </rPr>
          <t>≥ 15cm</t>
        </r>
      </text>
    </comment>
    <comment ref="P52" authorId="0" shapeId="0" xr:uid="{3BEBF121-9AD2-430B-94AF-B0F469BAFE88}">
      <text>
        <r>
          <rPr>
            <sz val="8"/>
            <color indexed="81"/>
            <rFont val="Calibri"/>
            <family val="2"/>
          </rPr>
          <t>≥ 15cm</t>
        </r>
      </text>
    </comment>
    <comment ref="Q52" authorId="0" shapeId="0" xr:uid="{EAF1B9D5-2E1C-44B3-B79D-3438D6B62518}">
      <text>
        <r>
          <rPr>
            <sz val="8"/>
            <color indexed="81"/>
            <rFont val="Calibri"/>
            <family val="2"/>
          </rPr>
          <t>≥ 15cm</t>
        </r>
      </text>
    </comment>
    <comment ref="R52" authorId="0" shapeId="0" xr:uid="{57494B51-08FD-43A3-B3A6-96E453E0C6CC}">
      <text>
        <r>
          <rPr>
            <sz val="8"/>
            <color indexed="81"/>
            <rFont val="Calibri"/>
            <family val="2"/>
          </rPr>
          <t>≥ 15cm</t>
        </r>
      </text>
    </comment>
    <comment ref="S52" authorId="0" shapeId="0" xr:uid="{1314B8F9-804E-4D11-9E63-92185BD912C0}">
      <text>
        <r>
          <rPr>
            <sz val="8"/>
            <color indexed="81"/>
            <rFont val="Calibri"/>
            <family val="2"/>
          </rPr>
          <t>≥ 15cm</t>
        </r>
      </text>
    </comment>
    <comment ref="T52" authorId="0" shapeId="0" xr:uid="{5678BC72-EAD5-4A97-805C-6F1F80E12F41}">
      <text>
        <r>
          <rPr>
            <sz val="8"/>
            <color indexed="81"/>
            <rFont val="Calibri"/>
            <family val="2"/>
          </rPr>
          <t>≥ 15cm</t>
        </r>
      </text>
    </comment>
    <comment ref="U52" authorId="0" shapeId="0" xr:uid="{3D22F064-9A53-4531-B764-33CFA6FB9964}">
      <text>
        <r>
          <rPr>
            <sz val="8"/>
            <color indexed="81"/>
            <rFont val="Calibri"/>
            <family val="2"/>
          </rPr>
          <t>≥ 15cm</t>
        </r>
      </text>
    </comment>
    <comment ref="E55" authorId="0" shapeId="0" xr:uid="{F3C9C5B8-593B-47F2-B4F0-66C44B000387}">
      <text>
        <r>
          <rPr>
            <sz val="8"/>
            <color indexed="81"/>
            <rFont val="Calibri"/>
            <family val="2"/>
          </rPr>
          <t>≥ 20cm</t>
        </r>
      </text>
    </comment>
    <comment ref="F55" authorId="0" shapeId="0" xr:uid="{94762768-F761-4F3F-BB8A-310BC174DC20}">
      <text>
        <r>
          <rPr>
            <sz val="8"/>
            <color indexed="81"/>
            <rFont val="Calibri"/>
            <family val="2"/>
          </rPr>
          <t>≥ 20cm</t>
        </r>
      </text>
    </comment>
    <comment ref="G55" authorId="0" shapeId="0" xr:uid="{570E76B5-B695-4766-9846-7A2D24673C21}">
      <text>
        <r>
          <rPr>
            <sz val="8"/>
            <color indexed="81"/>
            <rFont val="Calibri"/>
            <family val="2"/>
          </rPr>
          <t>≥ 20cm</t>
        </r>
      </text>
    </comment>
    <comment ref="H55" authorId="0" shapeId="0" xr:uid="{38134081-D036-4987-94E3-C00708CB9992}">
      <text>
        <r>
          <rPr>
            <sz val="8"/>
            <color indexed="81"/>
            <rFont val="Calibri"/>
            <family val="2"/>
          </rPr>
          <t>≥ 20cm</t>
        </r>
      </text>
    </comment>
    <comment ref="I55" authorId="0" shapeId="0" xr:uid="{BA9F5C81-9587-46AC-9D4D-2BB39BD3902D}">
      <text>
        <r>
          <rPr>
            <sz val="8"/>
            <color indexed="81"/>
            <rFont val="Calibri"/>
            <family val="2"/>
          </rPr>
          <t>≥ 20cm</t>
        </r>
      </text>
    </comment>
    <comment ref="J55" authorId="0" shapeId="0" xr:uid="{6AA716A7-821B-4E18-95D4-99B3A050C2DA}">
      <text>
        <r>
          <rPr>
            <sz val="8"/>
            <color indexed="81"/>
            <rFont val="Calibri"/>
            <family val="2"/>
          </rPr>
          <t>≥ 20cm</t>
        </r>
      </text>
    </comment>
    <comment ref="K55" authorId="0" shapeId="0" xr:uid="{32C78F5D-6E90-4751-8454-713CD5E2E55D}">
      <text>
        <r>
          <rPr>
            <sz val="8"/>
            <color indexed="81"/>
            <rFont val="Calibri"/>
            <family val="2"/>
          </rPr>
          <t>≥ 20cm</t>
        </r>
      </text>
    </comment>
    <comment ref="L55" authorId="0" shapeId="0" xr:uid="{4B15303F-7001-4632-9173-E7C4C4BF8504}">
      <text>
        <r>
          <rPr>
            <sz val="8"/>
            <color indexed="81"/>
            <rFont val="Calibri"/>
            <family val="2"/>
          </rPr>
          <t>≥ 20cm</t>
        </r>
      </text>
    </comment>
    <comment ref="M55" authorId="0" shapeId="0" xr:uid="{9105BC04-7493-41AB-B79B-9AA03AC98C74}">
      <text>
        <r>
          <rPr>
            <sz val="8"/>
            <color indexed="81"/>
            <rFont val="Calibri"/>
            <family val="2"/>
          </rPr>
          <t>≥ 20cm</t>
        </r>
      </text>
    </comment>
    <comment ref="N55" authorId="0" shapeId="0" xr:uid="{578D77D6-A041-4B5B-935A-306474AA2D4E}">
      <text>
        <r>
          <rPr>
            <sz val="8"/>
            <color indexed="81"/>
            <rFont val="Calibri"/>
            <family val="2"/>
          </rPr>
          <t>≥ 20cm</t>
        </r>
      </text>
    </comment>
    <comment ref="O55" authorId="0" shapeId="0" xr:uid="{D66BFFB3-A964-47E6-81BA-C9677357A9DE}">
      <text>
        <r>
          <rPr>
            <sz val="8"/>
            <color indexed="81"/>
            <rFont val="Calibri"/>
            <family val="2"/>
          </rPr>
          <t>≥ 20cm</t>
        </r>
      </text>
    </comment>
    <comment ref="P55" authorId="0" shapeId="0" xr:uid="{03466909-3AF4-445C-B90F-78E4DBDFED2B}">
      <text>
        <r>
          <rPr>
            <sz val="8"/>
            <color indexed="81"/>
            <rFont val="Calibri"/>
            <family val="2"/>
          </rPr>
          <t>≥ 20cm</t>
        </r>
      </text>
    </comment>
    <comment ref="Q55" authorId="0" shapeId="0" xr:uid="{606F9485-5D10-4BBA-A6B2-AFB35CC77C3C}">
      <text>
        <r>
          <rPr>
            <sz val="8"/>
            <color indexed="81"/>
            <rFont val="Calibri"/>
            <family val="2"/>
          </rPr>
          <t>≥ 20cm</t>
        </r>
      </text>
    </comment>
    <comment ref="R55" authorId="0" shapeId="0" xr:uid="{2DB95C23-4C1B-44C2-BDD1-7446DAC8B5F8}">
      <text>
        <r>
          <rPr>
            <sz val="8"/>
            <color indexed="81"/>
            <rFont val="Calibri"/>
            <family val="2"/>
          </rPr>
          <t>≥ 20cm</t>
        </r>
      </text>
    </comment>
    <comment ref="S55" authorId="0" shapeId="0" xr:uid="{F0D57426-BCC8-4FB0-B078-506D5671A49F}">
      <text>
        <r>
          <rPr>
            <sz val="8"/>
            <color indexed="81"/>
            <rFont val="Calibri"/>
            <family val="2"/>
          </rPr>
          <t>≥ 20cm</t>
        </r>
      </text>
    </comment>
    <comment ref="T55" authorId="0" shapeId="0" xr:uid="{E86DE7FA-78B7-4C5F-9C6A-16395233C412}">
      <text>
        <r>
          <rPr>
            <sz val="8"/>
            <color indexed="81"/>
            <rFont val="Calibri"/>
            <family val="2"/>
          </rPr>
          <t>≥ 20cm</t>
        </r>
      </text>
    </comment>
    <comment ref="U55" authorId="0" shapeId="0" xr:uid="{BE617507-51CF-4EB6-A4A9-BEC45B20A8B6}">
      <text>
        <r>
          <rPr>
            <sz val="8"/>
            <color indexed="81"/>
            <rFont val="Calibri"/>
            <family val="2"/>
          </rPr>
          <t>≥ 20cm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  <author>gabriella.miglioli</author>
  </authors>
  <commentList>
    <comment ref="BV11" authorId="0" shapeId="0" xr:uid="{0F8A7C62-39A8-4044-80B7-6CD9CA3AE22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1" authorId="1" shapeId="0" xr:uid="{CD8334F2-83E0-47BB-B16D-286A35CACE4C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2" authorId="0" shapeId="0" xr:uid="{F0356C8A-C8BD-4B57-905C-DB0B5F3ACC5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2" authorId="0" shapeId="0" xr:uid="{1118F9B2-63A6-4429-8326-F3FED1F6A52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2" authorId="1" shapeId="0" xr:uid="{8AEAFF28-0087-49CF-A1B5-140A4EDE9596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3" authorId="0" shapeId="0" xr:uid="{BD506D6E-5FB9-48C9-925F-A3905D7D83A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3" authorId="0" shapeId="0" xr:uid="{53BF0054-9A59-4EF6-B044-FBE20C116A6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3" authorId="1" shapeId="0" xr:uid="{BB37ED44-97C3-469B-A318-7F775E6CF559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4" authorId="0" shapeId="0" xr:uid="{D27E660E-C8D8-41AE-B3F6-5999F858C87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4" authorId="0" shapeId="0" xr:uid="{ADE1C140-8595-4067-99F9-F7E48A68A8B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4" authorId="1" shapeId="0" xr:uid="{F4DE500D-DD79-4355-A514-BB5AE0BA3389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5" authorId="0" shapeId="0" xr:uid="{7B403EFB-EAD6-4E19-87BC-A9E19E715AC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5" authorId="0" shapeId="0" xr:uid="{C47E4E06-23B0-45BD-B468-8D10D007CC4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5" authorId="1" shapeId="0" xr:uid="{E7CDA3B1-C9A2-4097-9E23-FF9164B2F99B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6" authorId="0" shapeId="0" xr:uid="{437393D1-BD15-4DAE-8839-8C33064C3CD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6" authorId="0" shapeId="0" xr:uid="{660AE8ED-DDE9-41A6-8D33-A5CD66827A2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6" authorId="1" shapeId="0" xr:uid="{7C10F648-D01D-40C8-B804-D5DA5007D028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7" authorId="0" shapeId="0" xr:uid="{39E02AC4-913F-41DA-8E2D-3838C45A0CD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7" authorId="0" shapeId="0" xr:uid="{4793FEAC-D475-4544-AF7C-94BC9C8842B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7" authorId="1" shapeId="0" xr:uid="{49C62F34-79D6-4066-B173-29572E23FE78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8" authorId="0" shapeId="0" xr:uid="{2DF0A2ED-45F0-4DD7-9D72-5DF99C0302F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8" authorId="0" shapeId="0" xr:uid="{B4D31452-1053-4179-B382-03A18457EFF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8" authorId="1" shapeId="0" xr:uid="{43A971FD-EE22-4C6F-BAC1-552F83E39AD2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9" authorId="0" shapeId="0" xr:uid="{9B136DD6-887F-4FD4-B469-52C45EC2D7E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9" authorId="0" shapeId="0" xr:uid="{951D3F31-0ED5-4AD4-BC74-02D90FA4A2D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9" authorId="1" shapeId="0" xr:uid="{EF831182-EB96-471A-A80A-D15FDA8F9DFA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0" authorId="0" shapeId="0" xr:uid="{C15C5FF3-E6A0-4867-AFEC-1F69A4E9E8E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0" authorId="0" shapeId="0" xr:uid="{D976795E-90C6-4EFD-A200-8DD089F5FA9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0" authorId="1" shapeId="0" xr:uid="{B039F7C0-FE4A-45B4-93F1-A2E01D1D835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1" authorId="0" shapeId="0" xr:uid="{EADF1002-E2D4-421F-BDEB-1533E675481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1" authorId="0" shapeId="0" xr:uid="{0197F7DB-6DE4-4BF6-90B6-E05B209EACF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1" authorId="1" shapeId="0" xr:uid="{53D4F3A1-3F51-4708-87C3-AB483E28EFB6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2" authorId="0" shapeId="0" xr:uid="{6FCE790A-9F5F-4C7A-871A-1A132BA10DF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2" authorId="0" shapeId="0" xr:uid="{AF9CC827-9D5D-4CC3-8E0B-D01F454CFF5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2" authorId="1" shapeId="0" xr:uid="{1846E1A7-2545-4EA2-A281-0108588F479A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3" authorId="0" shapeId="0" xr:uid="{93F9EF71-AF92-42AB-9FD2-FA5694D2BC8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3" authorId="0" shapeId="0" xr:uid="{13B02064-4798-4E99-A484-1E464D0B458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3" authorId="1" shapeId="0" xr:uid="{3DC8234E-AC11-402E-90B9-E74241D44464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4" authorId="0" shapeId="0" xr:uid="{B886C76D-FDE6-4244-88CE-9484A033137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4" authorId="0" shapeId="0" xr:uid="{15364131-3BD7-4814-A381-ECC5A52314F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4" authorId="1" shapeId="0" xr:uid="{DF430F48-19DE-46EC-B748-B914B29311B4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5" authorId="0" shapeId="0" xr:uid="{03CF3F25-81BB-44CA-B890-DD25F094C97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5" authorId="0" shapeId="0" xr:uid="{83BB3F1B-D3A4-4643-BF2E-0498273A265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5" authorId="1" shapeId="0" xr:uid="{F19899BB-F5E8-4A24-8355-0472193159C7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6" authorId="0" shapeId="0" xr:uid="{AE6A7DAD-E97C-45FF-97C3-B0F2D4C7D76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6" authorId="0" shapeId="0" xr:uid="{B757DAA4-A8BF-4828-A69D-5050A6A939C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6" authorId="1" shapeId="0" xr:uid="{59BE3220-CFA6-4482-B9A6-9F59CB10D99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7" authorId="0" shapeId="0" xr:uid="{A6599FAF-533E-49C0-B91C-6CD9E6F3FD6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7" authorId="0" shapeId="0" xr:uid="{56D940C5-EFF3-42D2-94DF-87C175B428F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7" authorId="1" shapeId="0" xr:uid="{3BD2BA75-9490-4735-B634-B8AFAABF0CE6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8" authorId="0" shapeId="0" xr:uid="{D54460E8-7F59-4922-838A-0F5C41E8ADF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8" authorId="0" shapeId="0" xr:uid="{922DDC66-D829-488A-AD38-64D35BA6B75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8" authorId="1" shapeId="0" xr:uid="{7A86497E-5B96-40B7-9F37-A601A53EFAC7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9" authorId="0" shapeId="0" xr:uid="{28FB0656-FDD8-4DB4-8088-096853F82DA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9" authorId="0" shapeId="0" xr:uid="{559B4225-145E-4228-8688-4F13328F121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9" authorId="1" shapeId="0" xr:uid="{8367517B-FF22-4D21-A092-BDB5FC1C9783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30" authorId="0" shapeId="0" xr:uid="{E5EF5798-0C6F-4A5D-8A6A-2F2681FBCA4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30" authorId="0" shapeId="0" xr:uid="{BE84993E-4F47-4F94-8C48-B89E4009755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30" authorId="1" shapeId="0" xr:uid="{1A93249B-5689-42D3-A678-6F075DDE365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31" authorId="0" shapeId="0" xr:uid="{7AC41D37-8ED5-45C2-86E8-B26897DB6EA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31" authorId="0" shapeId="0" xr:uid="{B0745C14-5C33-4703-B143-E2D435D35C3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31" authorId="1" shapeId="0" xr:uid="{216F6E64-820A-49BB-BCE5-A0773536BCA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32" authorId="0" shapeId="0" xr:uid="{F22FE060-F225-446E-B840-850853881C0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32" authorId="0" shapeId="0" xr:uid="{91BA605B-336C-4D31-8C35-0377B28E3AA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32" authorId="1" shapeId="0" xr:uid="{F5FF9FF7-A597-404D-850D-FC5962B5C23E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33" authorId="0" shapeId="0" xr:uid="{8BB60ADC-081B-41E0-87F4-DE15911F35A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33" authorId="0" shapeId="0" xr:uid="{BA3FCA1C-1A5F-43DD-95B1-7968BE4C760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33" authorId="1" shapeId="0" xr:uid="{A2175024-BD77-45B9-853A-6BFFB0370E85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34" authorId="0" shapeId="0" xr:uid="{8D684E2A-B480-428B-99C3-FB506D45CFC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34" authorId="0" shapeId="0" xr:uid="{0E6FBC4B-47F4-4432-9662-920E8D0F962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34" authorId="1" shapeId="0" xr:uid="{0DFC1B35-A0B0-4EFB-8647-6E94C62EA17D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35" authorId="0" shapeId="0" xr:uid="{A4C5C713-2A9A-41B3-A74C-ED7206FA6CE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35" authorId="0" shapeId="0" xr:uid="{196378A1-29BD-4A34-A2A0-42351B3287C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35" authorId="1" shapeId="0" xr:uid="{A81C03CF-8989-413A-BADA-53CF11078852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36" authorId="0" shapeId="0" xr:uid="{D07E5CCD-7097-481F-B1AA-5AB3E7F570D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36" authorId="0" shapeId="0" xr:uid="{D4AF1072-92D5-4911-8EB8-3ACE273C93C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36" authorId="1" shapeId="0" xr:uid="{242D70E7-52DE-4A7A-9154-FB965C29FE70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37" authorId="0" shapeId="0" xr:uid="{59280BC4-D94A-4C61-A727-06F4CF7D859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37" authorId="0" shapeId="0" xr:uid="{EACB7CB9-99D7-43C8-B004-7DBEC578670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37" authorId="1" shapeId="0" xr:uid="{9C503D23-96E9-4C06-BB54-F6660B20CDF3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38" authorId="0" shapeId="0" xr:uid="{8F1789EF-3020-4B93-947E-A7E2856BC5D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38" authorId="0" shapeId="0" xr:uid="{160205AE-6A36-4851-9B0B-62A1A9DBB0D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38" authorId="1" shapeId="0" xr:uid="{36FD8F35-E4CF-43E0-BE3D-8655DFAFDDF5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39" authorId="0" shapeId="0" xr:uid="{8BDC32F1-8134-48C8-B9D3-CCFD6CBD89B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39" authorId="0" shapeId="0" xr:uid="{89368DD3-9614-4C49-AB64-78607989E40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39" authorId="1" shapeId="0" xr:uid="{9C049FC4-F250-491E-9F78-5D20719927F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40" authorId="0" shapeId="0" xr:uid="{1B8364CB-D56A-4ED7-92B3-600E26495C5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40" authorId="0" shapeId="0" xr:uid="{996CE2F7-AA99-4B14-A477-6B46005A8D9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40" authorId="1" shapeId="0" xr:uid="{74B8FF71-2D05-4780-AE4A-8606ADE928F5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41" authorId="0" shapeId="0" xr:uid="{DC6A1D24-676F-4769-BEF6-839E2C63A23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41" authorId="0" shapeId="0" xr:uid="{8D7A2432-BFB0-493E-B396-8CB42756E34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41" authorId="1" shapeId="0" xr:uid="{980A1627-7AC5-4884-8A7B-6FCBF5C4055D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42" authorId="0" shapeId="0" xr:uid="{88AAA7B9-4F91-4C3D-96CD-B1DCA4CD003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42" authorId="0" shapeId="0" xr:uid="{03865F15-C9E6-4462-AA7D-A15C6E8D51E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42" authorId="1" shapeId="0" xr:uid="{935E41EB-AD45-4A14-8F87-62B5986115E6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43" authorId="0" shapeId="0" xr:uid="{3140EBDD-6A34-4F28-B03C-F1051592B7F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43" authorId="0" shapeId="0" xr:uid="{069CE882-6159-4BEE-B76C-EECBD31D542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43" authorId="1" shapeId="0" xr:uid="{E616FBD7-23BC-4061-8A5E-1ED4CF34B959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44" authorId="0" shapeId="0" xr:uid="{48C0CF76-3EB3-4C76-966F-24365BE201C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44" authorId="0" shapeId="0" xr:uid="{DF3F17A7-1037-44C7-9F53-ECC5284BB69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44" authorId="1" shapeId="0" xr:uid="{BF8FC0C4-A458-4532-A42A-500BF2E7E678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45" authorId="0" shapeId="0" xr:uid="{F872D76F-14F8-4824-A1F9-B3FE79ED58C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45" authorId="0" shapeId="0" xr:uid="{806C1D9C-B48E-4FF9-9913-A60CB8A0FF5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45" authorId="1" shapeId="0" xr:uid="{6FDB208E-70B0-44A9-A607-BE631766EE8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46" authorId="0" shapeId="0" xr:uid="{F6617120-B76A-4561-B53F-CCB4413948D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46" authorId="0" shapeId="0" xr:uid="{142A4493-2AAB-49F6-9386-F6A6A6E6116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46" authorId="1" shapeId="0" xr:uid="{02DED2EB-D12B-4F98-840A-730DACA7D910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47" authorId="0" shapeId="0" xr:uid="{BF079C29-F5B4-4BFD-937A-9D2B05024EF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47" authorId="0" shapeId="0" xr:uid="{2B7644A2-DD28-43F6-9A45-D5EF865D96E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47" authorId="1" shapeId="0" xr:uid="{B4B19F5D-D16F-44A8-A181-D75A39AB6280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48" authorId="0" shapeId="0" xr:uid="{F983C21B-A837-4F7F-84B8-4B12748C4B6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48" authorId="0" shapeId="0" xr:uid="{4F915C1E-DDA5-458D-AF37-02CE98E8A10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48" authorId="1" shapeId="0" xr:uid="{2AB4C488-8FD9-4264-9D39-637298E927C0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49" authorId="0" shapeId="0" xr:uid="{6F050FE4-7CD7-4C76-B56F-3AA219288CF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49" authorId="0" shapeId="0" xr:uid="{10D1FAAF-F424-4B8D-9689-57B0A1BD68A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49" authorId="1" shapeId="0" xr:uid="{CA69FC75-BE56-4B36-888D-F4E9C2E3663D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50" authorId="0" shapeId="0" xr:uid="{7A16E355-3781-4FCE-A3B7-1E671BE1E98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50" authorId="0" shapeId="0" xr:uid="{C7E99BCE-FE81-4A65-AEC0-C3B5B6DC52F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50" authorId="1" shapeId="0" xr:uid="{8648BA25-4D08-49BE-B63A-A59093ECAECA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51" authorId="0" shapeId="0" xr:uid="{FFD41773-0DBF-460C-8642-62417A4B4F2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51" authorId="0" shapeId="0" xr:uid="{91DBB919-5A7F-4EE4-A9E7-283AA69869E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51" authorId="1" shapeId="0" xr:uid="{7ECAB8B8-87E6-4E7B-9804-245F2A00DCF2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52" authorId="0" shapeId="0" xr:uid="{9F5FFB91-5E08-4B8B-8191-ACE2433731C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52" authorId="0" shapeId="0" xr:uid="{6BB592CF-80A7-49ED-9CF9-18A9E2E67CB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52" authorId="1" shapeId="0" xr:uid="{88DD4150-819B-4FAA-AD85-028679E47922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53" authorId="0" shapeId="0" xr:uid="{34A9A7FB-EADF-46AC-93BC-86114587D50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53" authorId="0" shapeId="0" xr:uid="{0F58C03A-5C82-4739-8719-752BED3AC50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53" authorId="1" shapeId="0" xr:uid="{02CEA478-9644-48D3-A1D2-522007170B74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54" authorId="0" shapeId="0" xr:uid="{26810CBE-D6F0-4E12-80FF-3086FE77287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54" authorId="0" shapeId="0" xr:uid="{4945FD7C-A172-46F5-A50A-81ED9449B12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54" authorId="1" shapeId="0" xr:uid="{53F73EF9-732F-4D3D-B8F5-7A766D3CF452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55" authorId="0" shapeId="0" xr:uid="{FE0D8374-D634-4EC4-BE83-00B7F1DB79D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55" authorId="0" shapeId="0" xr:uid="{1744B553-0BCC-41D6-B4E1-ABB0227B230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55" authorId="1" shapeId="0" xr:uid="{C06F02D0-16AE-4B2F-9ECF-38C091BA7974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56" authorId="0" shapeId="0" xr:uid="{50A4A84E-C56C-4798-8877-92200CA7B51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56" authorId="0" shapeId="0" xr:uid="{A0FDA14F-8427-46AF-A955-4E5B629F432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56" authorId="1" shapeId="0" xr:uid="{731F76B2-4ABE-4DC8-939C-A1109B8466CA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57" authorId="0" shapeId="0" xr:uid="{E382CB1A-8796-47AF-98CE-4D004B85E36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57" authorId="0" shapeId="0" xr:uid="{774F2038-B186-4101-911C-2AD3C3CB6E8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57" authorId="1" shapeId="0" xr:uid="{39FF565E-344B-4C06-83A5-AD9A2AAF55D0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58" authorId="0" shapeId="0" xr:uid="{6995CFCD-8C22-4E30-AC77-09F1ABDEFDD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58" authorId="0" shapeId="0" xr:uid="{A4E7A5CB-6DB2-49C5-B22B-C3DB9C5F6D6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58" authorId="1" shapeId="0" xr:uid="{07D34C55-EC78-45E7-991B-B76B54C5E844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59" authorId="0" shapeId="0" xr:uid="{BE5D765E-D29D-4633-BEA0-BABD195532B1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59" authorId="0" shapeId="0" xr:uid="{EF6334CC-68C1-4545-924D-EC02BD26EC7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59" authorId="1" shapeId="0" xr:uid="{E9C4953F-C0EB-44C0-AD51-0928B58182DC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60" authorId="0" shapeId="0" xr:uid="{394AFCF2-6265-490D-846B-12441D99722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60" authorId="0" shapeId="0" xr:uid="{BBE376F3-CF48-41A7-863A-E1A8ECD9FCE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60" authorId="1" shapeId="0" xr:uid="{AA8C7F35-F4F8-469C-A19B-3F2AFAAFEE04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61" authorId="0" shapeId="0" xr:uid="{6891B27F-93EE-4A38-BC52-4E342EF33A3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61" authorId="0" shapeId="0" xr:uid="{53D0A43C-0EE9-42BD-8F4F-683C698D79F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61" authorId="1" shapeId="0" xr:uid="{71BFF38F-D26B-4F98-8734-B0B4B3FA2702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62" authorId="0" shapeId="0" xr:uid="{57DF8AB4-F2A5-474E-B015-232ED21C150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62" authorId="0" shapeId="0" xr:uid="{71D87304-5C38-4217-9387-067CDCCC832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62" authorId="1" shapeId="0" xr:uid="{E4D7084D-2197-4B40-A185-3A569BD63ABE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63" authorId="0" shapeId="0" xr:uid="{372E9685-9DF0-4E6C-9CB5-BF846F734D7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63" authorId="0" shapeId="0" xr:uid="{EEC98708-1A4C-4018-B569-447E82B3C60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63" authorId="1" shapeId="0" xr:uid="{A2A91802-0C6A-4A31-A0DD-6E3AAAF4AD01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64" authorId="0" shapeId="0" xr:uid="{86F2DC6C-D3DA-4D11-B573-C32076011EA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64" authorId="0" shapeId="0" xr:uid="{FB6B3EA2-6989-4E2A-80DC-ECA2EB0416D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64" authorId="1" shapeId="0" xr:uid="{17798115-B67A-48E8-8E6F-8C6508423A81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65" authorId="0" shapeId="0" xr:uid="{52179F0D-5F42-4CAB-9C5C-7DECA8C0DF1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65" authorId="0" shapeId="0" xr:uid="{0116B68D-5666-4408-8938-705927A3B8C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65" authorId="1" shapeId="0" xr:uid="{B40C24E1-DA9D-4E2C-BD42-C16D0A97F152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66" authorId="0" shapeId="0" xr:uid="{33114C22-D282-4B2B-983F-2E4F34E37B3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66" authorId="0" shapeId="0" xr:uid="{961D2E9D-7197-4FEF-B1BB-C92DC826935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66" authorId="1" shapeId="0" xr:uid="{A02A46C3-B995-43DC-B3D4-7EAC67A1E2B5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67" authorId="0" shapeId="0" xr:uid="{9FA1571A-DBD4-4CD7-8599-4BC213AE70D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67" authorId="0" shapeId="0" xr:uid="{8F197CAC-755D-493D-88E8-2001CD4C4F9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67" authorId="1" shapeId="0" xr:uid="{90B519F3-903A-44B6-915F-CD550D960FDC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68" authorId="0" shapeId="0" xr:uid="{BD8B240C-B892-47A8-A513-1AFA04863FB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68" authorId="0" shapeId="0" xr:uid="{1DCB562A-EBDF-4384-AA93-46880E05EB1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68" authorId="1" shapeId="0" xr:uid="{D23B3432-D97C-499E-A66A-B7899142A7C6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69" authorId="0" shapeId="0" xr:uid="{B08DFB9F-6B2C-4AB8-AB64-4A8C0FB46F1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69" authorId="0" shapeId="0" xr:uid="{3D4C5097-47D0-496B-AEB6-B8F4AD8A61D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69" authorId="1" shapeId="0" xr:uid="{3172B94C-60AB-40C1-9ECB-5E4C42832FE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70" authorId="0" shapeId="0" xr:uid="{24939DD3-92BA-4CFD-88B6-A4ACE706C3A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70" authorId="0" shapeId="0" xr:uid="{4EA4A296-6F42-4193-8174-7AB063200BB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70" authorId="1" shapeId="0" xr:uid="{9E5E304C-8DF6-4B6C-9E23-408E0DA4E5F2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71" authorId="0" shapeId="0" xr:uid="{7D528973-DC60-4A90-9D6F-111CA039579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71" authorId="0" shapeId="0" xr:uid="{A3DBB67D-1712-41EA-BCA9-7C94D3FC15F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71" authorId="1" shapeId="0" xr:uid="{BA06F5BB-75FA-4585-AFA2-A22ADF78A253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72" authorId="0" shapeId="0" xr:uid="{D0C44188-8C9F-4DB2-B3B6-D8DCD81A566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72" authorId="0" shapeId="0" xr:uid="{215B0D54-DED9-4577-A2EB-966E6E5C9DB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72" authorId="1" shapeId="0" xr:uid="{C2330DEE-5229-4CA2-B869-B3A6B7D6D59E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73" authorId="0" shapeId="0" xr:uid="{BBD9E754-82EF-474B-8ED9-C834164684A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73" authorId="0" shapeId="0" xr:uid="{AAA7CFD3-B20E-4780-8025-B0B84EFCD52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73" authorId="1" shapeId="0" xr:uid="{064E99E4-5FD3-49E4-9871-770D09CD306E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74" authorId="0" shapeId="0" xr:uid="{D3ED7445-2A18-4CE6-981D-8370E31D593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74" authorId="0" shapeId="0" xr:uid="{55A4EBDE-B247-4476-9938-8BCE7DA0D53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74" authorId="1" shapeId="0" xr:uid="{080C5166-EDBE-47AA-AA08-F1AEDE7288F2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75" authorId="0" shapeId="0" xr:uid="{A3CF83DA-9BD0-4D34-B1A6-3614E81CB57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75" authorId="0" shapeId="0" xr:uid="{85AD97A0-47F1-4B80-AA52-52E04CF6688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75" authorId="1" shapeId="0" xr:uid="{526615BD-4F17-4B0E-B815-D2AC3A7E8D8B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76" authorId="0" shapeId="0" xr:uid="{DEE49ED2-E274-4A73-B25F-15CC3C4736C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76" authorId="0" shapeId="0" xr:uid="{964B2381-49F5-4F9C-9BD5-59AC18E4BE1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76" authorId="1" shapeId="0" xr:uid="{F02EE0D8-3EBD-4BCF-A38C-77A7E60E7778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77" authorId="0" shapeId="0" xr:uid="{349FFEC3-7F58-4B34-8E92-F0FD8D5D4BF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77" authorId="0" shapeId="0" xr:uid="{1F00AA6D-ACB4-46F6-BB63-C3EED00ED83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77" authorId="1" shapeId="0" xr:uid="{A01DB3F3-3F2A-4371-8986-0B5382F3C1F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78" authorId="0" shapeId="0" xr:uid="{869CAA3D-F801-4C16-92C0-7277F88EC19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78" authorId="0" shapeId="0" xr:uid="{D3A0A0B3-6CBB-4DC3-A6BA-D0170BD9DCA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78" authorId="1" shapeId="0" xr:uid="{C88E9DE3-19DF-4DC4-ADDC-BB51BE21A5E2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79" authorId="0" shapeId="0" xr:uid="{63608604-2A50-4989-8F4B-3B2F6FFC47E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79" authorId="0" shapeId="0" xr:uid="{19AD9E07-89B1-4CC0-9B22-AF6A3926D3B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79" authorId="1" shapeId="0" xr:uid="{6273E8A0-A812-4077-B8B7-C7930B4376BA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80" authorId="0" shapeId="0" xr:uid="{7144BD47-4EB2-4CBC-8BFF-1D33C1BB74A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80" authorId="0" shapeId="0" xr:uid="{78BA6167-73C0-4007-A5CD-4CA8581EB6E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80" authorId="1" shapeId="0" xr:uid="{A0E06F68-B285-4BEA-B77D-E20C8A62A75D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81" authorId="0" shapeId="0" xr:uid="{D93AD148-E3C1-44E4-AD80-DC6FF2EC83C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81" authorId="0" shapeId="0" xr:uid="{7AAAEFBD-D117-49F2-B861-F2CEFEBAB4F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81" authorId="1" shapeId="0" xr:uid="{7ABDC434-19CD-4BA4-B6DA-24498D25E492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82" authorId="0" shapeId="0" xr:uid="{1E159622-DF29-4CDF-91F2-C57B8721EFE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82" authorId="0" shapeId="0" xr:uid="{63390455-522E-4392-9F8F-68289677617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82" authorId="1" shapeId="0" xr:uid="{109EDCE2-1A75-4058-8B13-BE00F692A19D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83" authorId="0" shapeId="0" xr:uid="{1EE79F4D-DDE6-4891-99E9-E2F73409A7E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83" authorId="0" shapeId="0" xr:uid="{BCDC38E4-7C6E-4DA4-ADB5-2E40AE08EDF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83" authorId="1" shapeId="0" xr:uid="{2553E7C6-A6D5-4961-A1B4-920D24CCEFCA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84" authorId="0" shapeId="0" xr:uid="{9E5234D8-37FC-4EE1-AFE0-FAC4E1DF148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84" authorId="0" shapeId="0" xr:uid="{C7128815-AC3F-47E6-8BF0-EEC77A0E7AE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84" authorId="1" shapeId="0" xr:uid="{2BFBB9DD-7436-4205-AD9A-B10F170383AD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85" authorId="0" shapeId="0" xr:uid="{8540E98C-3AE4-4DE4-947A-560781BF5B9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85" authorId="0" shapeId="0" xr:uid="{E650EF12-CCA9-4A28-9EC5-42649AE8C46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85" authorId="1" shapeId="0" xr:uid="{F279ABF2-B32B-4B3A-996D-82890F6A6A05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86" authorId="0" shapeId="0" xr:uid="{0684D0F2-8EFC-452E-A4EF-C32140C9606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86" authorId="0" shapeId="0" xr:uid="{32822A61-8E9B-467D-892C-55926320631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86" authorId="1" shapeId="0" xr:uid="{DDD4317B-67EF-4719-88A7-80A5DD78ABB3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87" authorId="0" shapeId="0" xr:uid="{76EBD9BA-F996-4133-99BE-1926F7C7B44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87" authorId="0" shapeId="0" xr:uid="{14596A1A-E56D-4E25-9C79-E2E8F720C38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87" authorId="1" shapeId="0" xr:uid="{961377E1-835B-41DE-A2A6-E1F1F9067A59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88" authorId="0" shapeId="0" xr:uid="{7CD9FFCD-CC56-4F71-87EE-75D9BEAA4BA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88" authorId="0" shapeId="0" xr:uid="{ACF7DF7F-953B-4DFD-8A06-0FD3BFB31A0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88" authorId="1" shapeId="0" xr:uid="{D5E9866D-A3B6-48B8-A77A-9294E3EC64E4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89" authorId="0" shapeId="0" xr:uid="{648D9BD0-6476-47CA-8EB1-DA586455278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89" authorId="0" shapeId="0" xr:uid="{3B858FAE-E302-46A8-93AB-694799D9B54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89" authorId="1" shapeId="0" xr:uid="{B2EB7170-A8CB-440F-AA12-1FAC98709F90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90" authorId="0" shapeId="0" xr:uid="{A81788D7-866E-4BED-AB3C-050230CF1ED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90" authorId="0" shapeId="0" xr:uid="{992812A4-A1A6-4C96-A310-5BA846ED940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90" authorId="1" shapeId="0" xr:uid="{8A5E6A6B-345C-4189-A06E-9C48038AA918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91" authorId="0" shapeId="0" xr:uid="{2AC58086-1097-411B-935E-26221955740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91" authorId="0" shapeId="0" xr:uid="{0D6B30C0-2BA9-4086-9EE1-D539867EFE5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91" authorId="1" shapeId="0" xr:uid="{A5AB35CF-288A-4EAE-8B08-8A16DB784622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92" authorId="0" shapeId="0" xr:uid="{432D422E-443A-46C7-9950-A67B90310DF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92" authorId="0" shapeId="0" xr:uid="{85A32B02-CF00-479D-9C1F-A895E876B64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92" authorId="1" shapeId="0" xr:uid="{3AA380A6-AFB3-4AC7-86E9-FA7E3C7759EB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93" authorId="0" shapeId="0" xr:uid="{1EA6AFDD-5E61-4ED1-9254-8C949C75A37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93" authorId="0" shapeId="0" xr:uid="{86322685-BD38-48CD-A07E-CB356C11F3E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93" authorId="1" shapeId="0" xr:uid="{5CD248E1-831D-4A92-B457-088E1EF6D849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94" authorId="0" shapeId="0" xr:uid="{5F2B33AE-7134-4A4D-8881-E2519463237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94" authorId="0" shapeId="0" xr:uid="{F7E0E2FB-A832-4C41-BBDB-BB10AB15B1E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94" authorId="1" shapeId="0" xr:uid="{D6105D49-E31E-49E5-B8C5-28BC945B0F1E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95" authorId="0" shapeId="0" xr:uid="{AD0697C7-5F18-499C-ADF0-92B7750FD14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95" authorId="0" shapeId="0" xr:uid="{B4041002-9A7A-4510-95C6-10ADA473D3B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95" authorId="1" shapeId="0" xr:uid="{02755CF1-6A16-4190-83BC-13F7D4BB093B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96" authorId="0" shapeId="0" xr:uid="{5AD5E8C8-4EA7-4D0D-B044-538E7522E6E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96" authorId="0" shapeId="0" xr:uid="{0ACF5B5D-9AFA-4F80-B816-D709C147DE5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96" authorId="1" shapeId="0" xr:uid="{8FBD11A1-ED92-4483-B9CA-1E1F73C7C023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97" authorId="0" shapeId="0" xr:uid="{AC5EE4F9-3FE2-4EA3-9867-A15927658A3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97" authorId="0" shapeId="0" xr:uid="{CABCE4D3-7906-48A6-82BF-E302485C234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97" authorId="1" shapeId="0" xr:uid="{0100C92C-C593-43F0-A4AA-1CBC7CB8F134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98" authorId="0" shapeId="0" xr:uid="{B2BF8997-0BFE-4F03-AA5C-0D7D309560C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98" authorId="0" shapeId="0" xr:uid="{B16660BC-8083-4ED0-AE3D-DD9172C3A08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98" authorId="1" shapeId="0" xr:uid="{C167D108-BE47-4972-98DA-1EB4CB2A554D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99" authorId="0" shapeId="0" xr:uid="{05D5987D-09BE-4955-AD96-C2C6510BD30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99" authorId="0" shapeId="0" xr:uid="{87478992-5CDD-40D1-9DA6-6B3AE3C5E45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99" authorId="1" shapeId="0" xr:uid="{556511C9-51A7-435E-AEC1-7996387BF971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00" authorId="0" shapeId="0" xr:uid="{E85ED8D9-4CD6-4BEA-B07F-446B3BC6A0B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00" authorId="0" shapeId="0" xr:uid="{A9837409-0033-4FCF-B19D-3C2B6DEB932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00" authorId="1" shapeId="0" xr:uid="{26CC3225-84DA-417F-AC0A-C42ABB25DB66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01" authorId="0" shapeId="0" xr:uid="{41AD7E6A-3F4E-40D9-B974-4A533D2A153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01" authorId="0" shapeId="0" xr:uid="{918B4836-8762-428C-B175-F257BDD7E9E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01" authorId="1" shapeId="0" xr:uid="{8750F23D-AF93-414B-85F5-A2AD39933DEC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02" authorId="0" shapeId="0" xr:uid="{DFAC51E4-64C7-437F-8A33-6CB425AC3A7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02" authorId="0" shapeId="0" xr:uid="{FE0CEE2C-8F87-45AC-8BC3-5A71A0DE67F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02" authorId="1" shapeId="0" xr:uid="{D3F0B7D6-CBE8-4440-A385-B9DC9F899292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03" authorId="0" shapeId="0" xr:uid="{BE731B32-6324-4A62-BD30-3A0863FA08F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03" authorId="0" shapeId="0" xr:uid="{4F07D2BE-806A-478A-8BAF-2C33729B6C5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03" authorId="1" shapeId="0" xr:uid="{C4B6A2FA-D267-46CB-A9BD-B1251926ADAC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04" authorId="0" shapeId="0" xr:uid="{FD4E4CD5-08C5-445F-A20E-49696461084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04" authorId="0" shapeId="0" xr:uid="{D7DD4AED-052D-40E9-8B6C-C6D858389EB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04" authorId="1" shapeId="0" xr:uid="{A8E6E63E-ADF4-4096-8D5A-C8CDD129A9DC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05" authorId="0" shapeId="0" xr:uid="{44227901-9D5D-4964-B4A0-27499D1DE04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05" authorId="0" shapeId="0" xr:uid="{8EAFB79F-4271-4EFC-BCC0-649485F03BB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05" authorId="1" shapeId="0" xr:uid="{EEFF8920-D7AC-4CD2-BC83-63382CFE820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06" authorId="0" shapeId="0" xr:uid="{00A2384C-D520-4D57-AFA2-3B4ECC0E47C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06" authorId="0" shapeId="0" xr:uid="{7AA9168C-289E-4D14-AEAD-AD914AFF3D0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06" authorId="1" shapeId="0" xr:uid="{CB5935B7-6FD1-432B-AD04-511A9B971299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07" authorId="0" shapeId="0" xr:uid="{3029D0D9-F966-4238-A04D-2D9E6EC30FA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07" authorId="0" shapeId="0" xr:uid="{EEBD2120-0670-4B1E-BF16-62720A6F874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07" authorId="1" shapeId="0" xr:uid="{43D32231-8AD0-49EE-A870-2126229A2771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08" authorId="0" shapeId="0" xr:uid="{7A6DD899-FA81-4592-AB24-21F01FBE785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08" authorId="0" shapeId="0" xr:uid="{7FAE7A6A-7250-4795-8E42-76D10D76E5F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08" authorId="1" shapeId="0" xr:uid="{C3621073-B486-4B49-ABD5-386B2F41AD56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09" authorId="0" shapeId="0" xr:uid="{F34E007B-85B9-44A9-AC36-2B0653E0CD0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09" authorId="0" shapeId="0" xr:uid="{A0D2ACFD-C861-4B03-A317-9EC6FFACF91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09" authorId="1" shapeId="0" xr:uid="{E7E1E9D6-324B-4D01-A3B0-FB6082A9EEE7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10" authorId="0" shapeId="0" xr:uid="{622FF09C-6866-491E-B8D5-D91FD6DF3011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10" authorId="0" shapeId="0" xr:uid="{8840826D-33BB-40E2-8050-C9E260F670E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10" authorId="1" shapeId="0" xr:uid="{B4567871-13E7-42A1-912D-0E91A729542C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11" authorId="0" shapeId="0" xr:uid="{7505324B-673B-4744-8CC1-B4942A02FA91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11" authorId="0" shapeId="0" xr:uid="{C927463C-DFDB-41BE-9D56-474BBD87F59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11" authorId="1" shapeId="0" xr:uid="{AE12658A-8B93-4D3B-AFBA-A8333E6DD3DA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12" authorId="0" shapeId="0" xr:uid="{ABF0F296-1493-4830-BECB-77EB525FB59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12" authorId="0" shapeId="0" xr:uid="{E39E7FD9-72B9-4470-ACB3-5884451C3A3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12" authorId="1" shapeId="0" xr:uid="{599E0F68-4FBC-494B-9FE8-E10E3C1FDBEB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13" authorId="0" shapeId="0" xr:uid="{B6E980D0-251B-42FA-859F-AA61B5705ED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13" authorId="0" shapeId="0" xr:uid="{00845FFF-2CEC-4312-B9F4-0803A89CCD9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13" authorId="1" shapeId="0" xr:uid="{D3FD9A6B-A00B-4AC8-9FAE-9E6E6D704223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14" authorId="0" shapeId="0" xr:uid="{7FB904AD-2EBF-4C96-9E12-8BCD4FC4DCF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14" authorId="0" shapeId="0" xr:uid="{F2C32549-CBDE-4DB2-B944-9F046D5E926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14" authorId="1" shapeId="0" xr:uid="{29C0616D-5C04-4398-A349-A9C91279EB8D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15" authorId="0" shapeId="0" xr:uid="{28055321-E587-4B5F-AE5D-FBBFA646D98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15" authorId="0" shapeId="0" xr:uid="{FDEB4EA2-24DA-45C2-B15D-2590FBFD052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15" authorId="1" shapeId="0" xr:uid="{EAFA7E02-99F4-493E-9945-2486934E2445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16" authorId="0" shapeId="0" xr:uid="{A5ACD0F3-507E-4C67-BBB0-87FEDD57670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16" authorId="0" shapeId="0" xr:uid="{477CAF86-527C-47C6-9A3E-018D49FAF76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16" authorId="1" shapeId="0" xr:uid="{FE0D1453-475C-4C08-9F52-6BB02EAD3E22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17" authorId="0" shapeId="0" xr:uid="{E3483FF5-D153-4F27-969F-8A15CC6E85A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17" authorId="0" shapeId="0" xr:uid="{42BA14FD-FBFC-4975-BA30-FBED3ECE84A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17" authorId="1" shapeId="0" xr:uid="{F06AD772-7FA8-48FF-B2A8-DBDC8B410AC4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18" authorId="0" shapeId="0" xr:uid="{21968F43-7B7C-4A3F-AE2D-B6584EFC540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18" authorId="0" shapeId="0" xr:uid="{4A9DAF2A-8B48-4031-863F-98C3C69A268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18" authorId="1" shapeId="0" xr:uid="{43ADD05F-30EB-4417-95DE-3FB26EF63E2E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19" authorId="0" shapeId="0" xr:uid="{E452F202-0E8E-437D-9C8C-807E7F1F0B5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19" authorId="0" shapeId="0" xr:uid="{4EFAE6DC-4DAE-4EEE-9AB3-3E1350CA84D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19" authorId="1" shapeId="0" xr:uid="{57228420-1556-4249-A5FE-CC038A2BC60A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20" authorId="0" shapeId="0" xr:uid="{F0B9014C-D49F-4D0B-8716-2DE24C9A81A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20" authorId="0" shapeId="0" xr:uid="{A8B671CF-3416-493A-B49C-B5EAD893539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20" authorId="1" shapeId="0" xr:uid="{669D648F-C8FE-4279-9435-91EAD4575FE9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21" authorId="0" shapeId="0" xr:uid="{3D43EDBA-DC4E-4431-B1EF-F6FEB43EB3D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21" authorId="0" shapeId="0" xr:uid="{4AC710EC-952A-4309-94E8-F5395E89CFD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21" authorId="1" shapeId="0" xr:uid="{C87DF5C1-FEBE-464C-9239-A95AED790B18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22" authorId="0" shapeId="0" xr:uid="{1A9BE8BC-1BB8-4856-85AC-CF5A3E2BC3A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22" authorId="0" shapeId="0" xr:uid="{4B7B9C2F-F9BB-4972-BB06-034AA89C403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22" authorId="1" shapeId="0" xr:uid="{50DEBDB6-5A94-470D-8271-6D37BA263DAB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23" authorId="0" shapeId="0" xr:uid="{51D810E7-588F-4951-80A5-C38D411BCEF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23" authorId="0" shapeId="0" xr:uid="{6A2D60E8-285F-411C-8EDC-FD064D43AFE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23" authorId="1" shapeId="0" xr:uid="{E91EC5DA-40F4-4B31-928F-9271FBF033B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24" authorId="0" shapeId="0" xr:uid="{9F63EC11-94D3-4F8F-93A4-AB4AE8605B4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24" authorId="0" shapeId="0" xr:uid="{D87FF2A7-4C7C-4818-9E65-5B21AD0019E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24" authorId="1" shapeId="0" xr:uid="{533C421A-1B81-48F5-A8DD-B88014D61C09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25" authorId="0" shapeId="0" xr:uid="{69C5E8F8-C70A-4D74-A41A-E5AFB497828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25" authorId="0" shapeId="0" xr:uid="{F5BA8CA6-28AD-4E58-8BE9-5054AB128C3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25" authorId="1" shapeId="0" xr:uid="{DB3FFBFA-A989-4DF4-870F-DB1623A590AB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26" authorId="0" shapeId="0" xr:uid="{AA738FA5-D428-4020-B402-A301B22C977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26" authorId="0" shapeId="0" xr:uid="{5FF0D87D-82FE-4D7F-8879-031A79112A1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26" authorId="1" shapeId="0" xr:uid="{9D315382-3222-43FF-8BCB-D4F318427823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27" authorId="0" shapeId="0" xr:uid="{BC0E34C5-9F24-41D3-8B4C-8F6D9FFE381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27" authorId="0" shapeId="0" xr:uid="{49BF8DFF-6960-466A-AA84-710ECC32E70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27" authorId="1" shapeId="0" xr:uid="{E5B906C7-7541-4030-8518-0788AE5463F7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28" authorId="0" shapeId="0" xr:uid="{4559C4BF-7BDE-4AC8-97B4-9DE81A18651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28" authorId="0" shapeId="0" xr:uid="{8B157A91-F781-45FD-B81E-3063B955B3B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28" authorId="1" shapeId="0" xr:uid="{BA4C7598-352B-45CE-B41E-FBE1522F5ADE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29" authorId="0" shapeId="0" xr:uid="{8E792E86-D805-4FEF-A79F-E83EA8440291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29" authorId="0" shapeId="0" xr:uid="{EB14463E-9862-482E-94B5-69E75A2C8E5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29" authorId="1" shapeId="0" xr:uid="{24A930AD-1C47-494D-BE9F-F64EE1B571B0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30" authorId="0" shapeId="0" xr:uid="{03478159-386C-444F-8502-63766219F43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30" authorId="0" shapeId="0" xr:uid="{3A8FC910-B539-4BF9-88DC-E4B0D0E7EDF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30" authorId="1" shapeId="0" xr:uid="{3766D2AF-EFEF-405C-ADD7-94768C60F9AB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31" authorId="0" shapeId="0" xr:uid="{A0606BD0-ED19-45AF-B066-8296DBF7726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31" authorId="0" shapeId="0" xr:uid="{1776463D-E8DA-4D34-A00A-520D3A9321D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31" authorId="1" shapeId="0" xr:uid="{AAD52BDF-23D8-48AA-9698-405BFFE38118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32" authorId="0" shapeId="0" xr:uid="{B003874C-43AC-4875-95E1-EC68C28CBBB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32" authorId="0" shapeId="0" xr:uid="{83FD5270-D041-4E9D-BB21-99248ED532B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32" authorId="1" shapeId="0" xr:uid="{66DA9A78-B5B2-49C7-9FB3-6ABA814B7A0B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33" authorId="0" shapeId="0" xr:uid="{BD7EA51A-058F-4D44-8286-6A5DB427796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33" authorId="0" shapeId="0" xr:uid="{A0A05D03-702F-4FBD-A470-C0BC0D21003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33" authorId="1" shapeId="0" xr:uid="{3A6F1818-09DE-4DA2-B4B9-017A3307ADA1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34" authorId="0" shapeId="0" xr:uid="{DD83BA38-0602-41FA-ACA8-C3361F03FC9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34" authorId="0" shapeId="0" xr:uid="{8142C287-3434-4DC2-B263-17C77F1E17D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34" authorId="1" shapeId="0" xr:uid="{6B3238A0-5449-42BB-B0D5-BF5478EE626B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35" authorId="0" shapeId="0" xr:uid="{5D292F83-C7F8-4A5D-A8E2-92C02CEE6DF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35" authorId="0" shapeId="0" xr:uid="{F31DEFA5-5DC7-43EC-8CC2-27BCFBA9B7B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35" authorId="1" shapeId="0" xr:uid="{D1C64F55-17CC-4A86-BECC-EB1806ED567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36" authorId="0" shapeId="0" xr:uid="{3603D804-CCA6-4A05-93ED-92881FC9188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36" authorId="0" shapeId="0" xr:uid="{F234723E-68B3-4409-A75D-47D8CA72B48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36" authorId="1" shapeId="0" xr:uid="{812B301C-45F9-4EFE-B1FF-E7C89C9BF6E3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37" authorId="0" shapeId="0" xr:uid="{702D9C95-0993-4F92-BC91-F6AD5CAE577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37" authorId="0" shapeId="0" xr:uid="{366E2FCB-AFCB-49B7-8CAF-7552116AA03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37" authorId="1" shapeId="0" xr:uid="{296B92E0-8592-46B5-A52C-05C716FF65D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38" authorId="0" shapeId="0" xr:uid="{EB37964C-E48D-4BCA-8DF3-1999D8FC3BD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38" authorId="0" shapeId="0" xr:uid="{04F7A56B-6976-42D0-A6C2-102A300B53A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38" authorId="1" shapeId="0" xr:uid="{24E9564A-A958-454A-8324-B73DFADD25EE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39" authorId="0" shapeId="0" xr:uid="{4EF63349-5F4F-49E9-AD83-9FBAAA33678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39" authorId="0" shapeId="0" xr:uid="{A6398C6D-0189-46C5-B17C-74FEBEA419B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39" authorId="1" shapeId="0" xr:uid="{DADF6B88-4E90-4159-9DB7-9253A79CAADA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40" authorId="0" shapeId="0" xr:uid="{FD3713CB-43C5-403E-9020-CDFCB9A3233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40" authorId="0" shapeId="0" xr:uid="{187DDC69-9399-418E-B58C-D1639331C6A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40" authorId="1" shapeId="0" xr:uid="{49D77EC4-5418-4B42-BF86-78E0401BCAB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41" authorId="0" shapeId="0" xr:uid="{050AD74D-0103-48E7-BEF8-68ACE0B0729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41" authorId="0" shapeId="0" xr:uid="{4097DE56-929F-4E09-B464-8EDEC2D2268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41" authorId="1" shapeId="0" xr:uid="{93CDB3EA-B2E7-4184-89AC-EE0F9884428D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42" authorId="0" shapeId="0" xr:uid="{8F6C7364-2043-4106-9673-BC8C5971E65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42" authorId="0" shapeId="0" xr:uid="{7BD5927E-8329-4413-B1DB-71B0C671D0D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42" authorId="1" shapeId="0" xr:uid="{49A63BA0-C0FC-4F78-B8CF-1AF706D04B8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43" authorId="0" shapeId="0" xr:uid="{8077AD8A-AFEC-4E4D-BEA9-AD07E5F139E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43" authorId="0" shapeId="0" xr:uid="{A73E2521-4839-4C71-8710-BFBD6BAE844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43" authorId="1" shapeId="0" xr:uid="{2EF8F877-77FF-497C-8C67-C94D96A65DE0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44" authorId="0" shapeId="0" xr:uid="{A3B7E036-C7BB-4CDB-BF5C-E7408DC2937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44" authorId="0" shapeId="0" xr:uid="{317FA9A1-1985-4635-941F-06383DF66E9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44" authorId="1" shapeId="0" xr:uid="{8DA905A0-7E5F-46C8-A779-62F5B3E8DE1E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45" authorId="0" shapeId="0" xr:uid="{D1BA301C-E657-46F8-93AC-B3812BB17DE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45" authorId="0" shapeId="0" xr:uid="{4F3EA9D9-2ABF-4B48-9CE6-D5B10EAEF7B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45" authorId="1" shapeId="0" xr:uid="{49BC946A-DA8F-4547-8DC8-ACAD9C00D6FC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46" authorId="0" shapeId="0" xr:uid="{A5D5562E-E5B3-408C-AF53-07C3CC14260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46" authorId="0" shapeId="0" xr:uid="{C5E2F22C-9BF0-4AD6-8A14-41A7029163D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46" authorId="1" shapeId="0" xr:uid="{70510EED-BDB5-4E8C-91E7-3E4E1CDCEFE9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47" authorId="0" shapeId="0" xr:uid="{02A920FA-F994-44D5-BE44-72372576933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47" authorId="0" shapeId="0" xr:uid="{7C425277-80D6-47F1-B41E-C48730A5C95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47" authorId="1" shapeId="0" xr:uid="{11B6304D-6B35-47B4-8558-D16D168F166C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48" authorId="0" shapeId="0" xr:uid="{64424B29-3C0E-4E41-9473-C918BB77D7A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48" authorId="0" shapeId="0" xr:uid="{71D72DF5-652F-4583-BF09-46469B0B883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48" authorId="1" shapeId="0" xr:uid="{27D4B491-0CC3-45EE-A05D-6D0BD17BDDA5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49" authorId="0" shapeId="0" xr:uid="{FD715150-1101-452E-AFBD-F171C4BFC75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49" authorId="0" shapeId="0" xr:uid="{AE7BA1F3-0332-49FC-85F9-E82C7C7EDC1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49" authorId="1" shapeId="0" xr:uid="{3FCDDBF7-F249-42A6-AF4D-257874292DC7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50" authorId="0" shapeId="0" xr:uid="{091478FE-6DAA-4A78-B7DB-2305F39B32D1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50" authorId="0" shapeId="0" xr:uid="{FDABB936-C554-47EC-8B11-03285E2D9C5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50" authorId="1" shapeId="0" xr:uid="{E2390B6C-FC77-4D16-97BE-87276FA7D55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51" authorId="0" shapeId="0" xr:uid="{08DCAA7A-8796-4CDF-BD23-AE9A77C37EC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51" authorId="0" shapeId="0" xr:uid="{B640C525-6CBB-44C6-B2C4-7D2DA045E91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51" authorId="1" shapeId="0" xr:uid="{3AB5CCE6-4FA9-4B7B-BAC5-C7DD74D869A0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52" authorId="0" shapeId="0" xr:uid="{D709B86C-9711-428C-AE7B-9A0B7FDAC80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52" authorId="0" shapeId="0" xr:uid="{92097D65-00DE-4B9E-9912-99E12397E11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52" authorId="1" shapeId="0" xr:uid="{DAC5E275-2AC7-43DE-B050-5A2368C9C61E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53" authorId="0" shapeId="0" xr:uid="{441DF959-E9A8-4B27-9ABE-C4E503C040D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53" authorId="0" shapeId="0" xr:uid="{778143FE-5AC8-4E66-BCDA-EAFE152486A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53" authorId="1" shapeId="0" xr:uid="{840F1915-A8BF-4BD6-844D-1BF88729F411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54" authorId="0" shapeId="0" xr:uid="{9DA45803-CA74-447B-92BF-48A0FED1E971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54" authorId="0" shapeId="0" xr:uid="{8C8D2920-3FA0-4DD8-9377-E6CC6288656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54" authorId="1" shapeId="0" xr:uid="{8CCD0E55-B69F-4B86-A2D8-CB67BE5FC07E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55" authorId="0" shapeId="0" xr:uid="{B11A36D1-9F5A-4230-9DFD-D66FBCE2EB2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55" authorId="0" shapeId="0" xr:uid="{D0F30074-08D6-4B93-ABA5-B8580DE39B1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55" authorId="1" shapeId="0" xr:uid="{50F3942E-0D17-47F2-BA4C-61124DED3B32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56" authorId="0" shapeId="0" xr:uid="{70425FD3-7D1F-47BD-AAD8-6A7B39A880F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56" authorId="0" shapeId="0" xr:uid="{6103C2E0-A355-47A1-BF79-ACF0FC757E7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56" authorId="1" shapeId="0" xr:uid="{A35DCD55-2919-4B93-ADA4-B7FF62A7FEA8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57" authorId="0" shapeId="0" xr:uid="{7740130D-C359-40BA-B647-184E5272909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57" authorId="0" shapeId="0" xr:uid="{4E7800AA-6344-4CE9-87E0-089587BF563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57" authorId="1" shapeId="0" xr:uid="{8600F648-D140-4412-917B-2AAB34F9AEA2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58" authorId="0" shapeId="0" xr:uid="{DDC476D1-FF2E-4557-8415-A0CD534FAD4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58" authorId="0" shapeId="0" xr:uid="{E118BAAB-1541-4FF3-B2CD-FB90C8E0C08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58" authorId="1" shapeId="0" xr:uid="{48DE5F62-6C36-41CC-B31C-4335A6D6CEBD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59" authorId="0" shapeId="0" xr:uid="{EC2ABF88-1274-4A30-9477-0322E37FA43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59" authorId="0" shapeId="0" xr:uid="{EC4334E6-7670-4DE9-A181-A38A64EC1E8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59" authorId="1" shapeId="0" xr:uid="{85CDA729-3229-4421-94B7-5B6BD850EA65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60" authorId="0" shapeId="0" xr:uid="{BA2D2CA5-11AD-4E01-90CF-B2C1F2E3F60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60" authorId="0" shapeId="0" xr:uid="{AF86DC74-D5F2-4A95-A0FB-BB825B6B93A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60" authorId="1" shapeId="0" xr:uid="{7794F4C9-E32D-4677-AD4E-00D77DD3266B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61" authorId="0" shapeId="0" xr:uid="{B3D33C14-069F-4E97-8669-16DF18FC2CA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61" authorId="0" shapeId="0" xr:uid="{831A2D38-F318-43E5-B59B-CB39F243ECF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61" authorId="1" shapeId="0" xr:uid="{9FFAD0C5-D183-4BE0-9AF9-95E13750ACD7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62" authorId="0" shapeId="0" xr:uid="{0F6B5D7E-E6A7-45E4-9D4D-75FD6F637D31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62" authorId="0" shapeId="0" xr:uid="{FCD1AA07-833A-4EBA-A59F-727A43BC538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62" authorId="1" shapeId="0" xr:uid="{1DD44426-AA75-4153-AA6A-F507A0E6B951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63" authorId="0" shapeId="0" xr:uid="{C9E59D6C-6C3E-4B41-A466-BFB9C443D34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63" authorId="0" shapeId="0" xr:uid="{4E61EF0D-C2B5-4991-ADD7-7965B7EF01B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63" authorId="1" shapeId="0" xr:uid="{52D7D4C9-EA46-4385-A083-91C30E587F21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64" authorId="0" shapeId="0" xr:uid="{87BE944B-6B5E-4D8D-A4EF-08C2603F88F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64" authorId="0" shapeId="0" xr:uid="{326FA4CB-F9A9-4AE1-ACA4-FFB16A3B43F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64" authorId="1" shapeId="0" xr:uid="{28693308-CF03-491E-9F7B-EAA9C60A4ABD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65" authorId="0" shapeId="0" xr:uid="{73BAD2F2-09F7-4580-AAC5-77C052E4B82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65" authorId="0" shapeId="0" xr:uid="{E65409BC-43F9-4CE8-99C8-D50D1436794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65" authorId="1" shapeId="0" xr:uid="{63DD1919-69BB-4F5E-8222-2E13B994A0E8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66" authorId="0" shapeId="0" xr:uid="{EAD20364-A398-4A3C-803B-F53EADF9A7C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66" authorId="0" shapeId="0" xr:uid="{C0C891F9-686B-45B7-AAAF-5E02BB27A36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66" authorId="1" shapeId="0" xr:uid="{795F277F-57D4-429C-BA22-88507A57DDCC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67" authorId="0" shapeId="0" xr:uid="{8B9A5A67-D1D7-4FDD-AD4D-54D2B14A857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67" authorId="0" shapeId="0" xr:uid="{AC83D2FC-5744-43BF-B5EA-5AD67C3CBBE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67" authorId="1" shapeId="0" xr:uid="{D7BE0EC6-2349-484B-AA3D-A7AB566A41A0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68" authorId="0" shapeId="0" xr:uid="{B1ACC812-6A92-4573-8C3C-8029BE5F1F2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68" authorId="0" shapeId="0" xr:uid="{C6209FD7-7E71-4969-AB82-AAFA8B15537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68" authorId="1" shapeId="0" xr:uid="{F7E641A1-3EA2-4F97-8637-1AB09D75698E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69" authorId="0" shapeId="0" xr:uid="{0B616278-C714-47D5-9731-73F1B37847F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69" authorId="0" shapeId="0" xr:uid="{C1FC78E2-26A2-4D5F-913E-F7B90739065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69" authorId="1" shapeId="0" xr:uid="{D870BE68-F468-4C59-8385-D637605A0C43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70" authorId="0" shapeId="0" xr:uid="{75D817CF-C1CA-451D-B421-C026B989F65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70" authorId="0" shapeId="0" xr:uid="{82CBFED3-BA82-4CE1-AF6B-A7EF5567783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70" authorId="1" shapeId="0" xr:uid="{A6576285-583B-4330-B234-80F84977A9E0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71" authorId="0" shapeId="0" xr:uid="{F6872F8F-09F6-4C7E-B269-1D7D3DD8F74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71" authorId="0" shapeId="0" xr:uid="{C7F29306-AE2C-4E69-AD9F-3E16C9692C5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71" authorId="1" shapeId="0" xr:uid="{397F2EE0-583F-4D5D-8CEB-F16F051CCC8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72" authorId="0" shapeId="0" xr:uid="{86DBA122-FF86-4D2C-BB13-8DDFD565992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72" authorId="0" shapeId="0" xr:uid="{2AEC36FB-5A08-4F3D-9094-4E0432236FC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72" authorId="1" shapeId="0" xr:uid="{24CE05E5-2A8A-419F-8FAE-DB7C303985F1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73" authorId="0" shapeId="0" xr:uid="{DF43E813-9B4F-49CC-B746-047A5AFCA72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73" authorId="0" shapeId="0" xr:uid="{3BC5158E-D0FE-49A1-9C76-2A5E44CC00F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73" authorId="1" shapeId="0" xr:uid="{3BE0083C-74A3-457C-8F7D-736C0B584754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74" authorId="0" shapeId="0" xr:uid="{274076B8-24C1-499F-9FB4-BA66B12E508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74" authorId="0" shapeId="0" xr:uid="{865F5BBF-45D3-481A-8080-F4BE1F69018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74" authorId="1" shapeId="0" xr:uid="{42CB9F1A-63AF-48EC-85DC-D7B77DFBA7D5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75" authorId="0" shapeId="0" xr:uid="{227C895D-4BE5-4AC2-B135-25FE002E481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75" authorId="0" shapeId="0" xr:uid="{8FE89E83-E71B-47F7-A34F-3F3C29AB297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75" authorId="1" shapeId="0" xr:uid="{816002A1-B388-4ABD-AF5A-9EFAE6448338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76" authorId="0" shapeId="0" xr:uid="{E635DC4E-9594-4849-828F-F00EC2322A3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76" authorId="0" shapeId="0" xr:uid="{51A99865-3DC5-49FB-901C-AD4E8D165A8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76" authorId="1" shapeId="0" xr:uid="{E000B96C-031F-4CF0-A78D-3CC34ACB9F24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77" authorId="0" shapeId="0" xr:uid="{9A6745BD-5667-4B5E-B084-A453C377EBB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77" authorId="0" shapeId="0" xr:uid="{1A1ECA62-9C78-48B6-A937-B76ABD48514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77" authorId="1" shapeId="0" xr:uid="{EDBACD31-2837-4340-903F-6B8FFACE7405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78" authorId="0" shapeId="0" xr:uid="{14509749-5E93-407D-B083-371C7476E09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78" authorId="0" shapeId="0" xr:uid="{CC3E387E-507C-4561-B936-0634B5E8488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78" authorId="1" shapeId="0" xr:uid="{A061AD14-BF6C-4255-926C-785AF2F82AEE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79" authorId="0" shapeId="0" xr:uid="{48B2D420-B171-4425-95E3-53EF426094A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79" authorId="0" shapeId="0" xr:uid="{211238EE-D126-48BB-A546-FD40ED574F7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79" authorId="1" shapeId="0" xr:uid="{54E642C3-1C47-4659-898D-68738D8C1771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80" authorId="0" shapeId="0" xr:uid="{890D43C6-D429-44A4-B325-9664B6AA904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80" authorId="0" shapeId="0" xr:uid="{50D55F4F-F11B-43A5-A867-C5CF4AD6D0F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80" authorId="1" shapeId="0" xr:uid="{0840B57F-BD94-477D-AD19-AA6A9D608D08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81" authorId="0" shapeId="0" xr:uid="{7B327588-E993-4DE2-80FE-B5D7A81FF9D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81" authorId="0" shapeId="0" xr:uid="{E6934C3F-04CF-42CD-9210-DEAC46D90EA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81" authorId="1" shapeId="0" xr:uid="{711E5968-256F-4881-8BC4-35FAF5898B7C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82" authorId="0" shapeId="0" xr:uid="{B9611FD7-01CE-422E-BE62-0C0CA80A0D6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82" authorId="0" shapeId="0" xr:uid="{8E8D5A40-872C-4054-9498-350C20C2FB9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82" authorId="1" shapeId="0" xr:uid="{C74845D6-68D2-47FB-8599-59FE304790B6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83" authorId="0" shapeId="0" xr:uid="{EF5333C2-F597-4339-8FE2-20E15A5EB51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83" authorId="0" shapeId="0" xr:uid="{25E03B03-E6CE-44AC-B0FF-C8D010766D4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83" authorId="1" shapeId="0" xr:uid="{2DE6DC34-FB9E-43ED-9597-FC29BD21E96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84" authorId="0" shapeId="0" xr:uid="{C4A78444-B311-461C-BC46-467035DBABF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84" authorId="0" shapeId="0" xr:uid="{72C3ADDA-F518-4213-A626-4045D7A63F2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84" authorId="1" shapeId="0" xr:uid="{D97CEDA6-5369-4BBF-A08D-C02132597842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85" authorId="0" shapeId="0" xr:uid="{DA72BA6E-28A8-4443-985D-44766479471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85" authorId="0" shapeId="0" xr:uid="{4121F0E3-6BB2-455A-8D91-A4DA5D255AF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85" authorId="1" shapeId="0" xr:uid="{1A6884E9-79D2-4EEC-A744-C512EF570BA7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86" authorId="0" shapeId="0" xr:uid="{EAE82221-A6D4-47F4-B55C-058B8A0C6F3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86" authorId="0" shapeId="0" xr:uid="{A6631AD2-71CA-42C7-BB83-DC4F885AA27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86" authorId="1" shapeId="0" xr:uid="{B23D2E67-5FD8-42F4-8410-666922850DB4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87" authorId="0" shapeId="0" xr:uid="{8FE140A0-134B-492D-9883-F7E79B39FF2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87" authorId="0" shapeId="0" xr:uid="{BCF82A28-C585-48E1-AD02-7101BA2DA0C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87" authorId="1" shapeId="0" xr:uid="{BAE88B92-4B2F-48B9-901E-DFFE944181BD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88" authorId="0" shapeId="0" xr:uid="{E3D1E4DA-37AE-471E-850F-BEABE763F82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88" authorId="0" shapeId="0" xr:uid="{C2AD8A1A-AC19-40DA-837D-E4B2B44D874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88" authorId="1" shapeId="0" xr:uid="{62236FF7-2070-4211-9584-04E2AD2DF05E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89" authorId="0" shapeId="0" xr:uid="{EC6B1AEA-42D9-4C9D-9AF8-AADD8CA7AD2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89" authorId="0" shapeId="0" xr:uid="{3C028ED2-FDAD-47A9-A7F6-1D0C59EE761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89" authorId="1" shapeId="0" xr:uid="{B97A506C-F6A7-4230-A090-7D5AB41D17B2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90" authorId="0" shapeId="0" xr:uid="{6C1FA912-473B-4D84-985A-BE7E67D733B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90" authorId="0" shapeId="0" xr:uid="{4D09F869-7D2F-4E09-942D-AFC78C9FAAE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90" authorId="1" shapeId="0" xr:uid="{F7BBEA5B-2F25-43F1-ACC2-49840FE6F4DE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91" authorId="0" shapeId="0" xr:uid="{F6E689AB-6ED9-4942-836F-C37AC068A77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91" authorId="0" shapeId="0" xr:uid="{600A3B3C-0B7A-49DF-9066-72832A6BA5B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91" authorId="1" shapeId="0" xr:uid="{E7E8F035-9178-406D-A00F-C9DF3205DB01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92" authorId="0" shapeId="0" xr:uid="{64D8A0CB-7E49-48D7-BC7F-C86A9E8613F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92" authorId="0" shapeId="0" xr:uid="{DE761CC7-E0AC-46A0-8F43-BA90AE7655B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92" authorId="1" shapeId="0" xr:uid="{692382A9-6125-4C05-8033-046DBCCEAC86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93" authorId="0" shapeId="0" xr:uid="{9C9F6F75-BB77-4567-8CBA-5B204D6E2FB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93" authorId="0" shapeId="0" xr:uid="{6C218A3E-00A0-4D6A-A285-6C3BD5711D7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93" authorId="1" shapeId="0" xr:uid="{F3CA38BA-53A7-4AE2-B9F1-B6DABE0859AB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94" authorId="0" shapeId="0" xr:uid="{BC1D7B53-324E-4FE8-BB1C-4D2C3118F95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94" authorId="0" shapeId="0" xr:uid="{2FF1455F-5697-4953-96B3-5FE82A0BB84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94" authorId="1" shapeId="0" xr:uid="{7D28F876-8D91-4334-94D7-4DF8C07B0E9E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95" authorId="0" shapeId="0" xr:uid="{BC5FAE76-8235-42F4-9B75-159971E6A6A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95" authorId="0" shapeId="0" xr:uid="{769548E3-E24C-4184-902B-FF9FDD8A3F0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95" authorId="1" shapeId="0" xr:uid="{E149C09E-E1D4-4FC2-AA33-8CE38922D2BA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96" authorId="0" shapeId="0" xr:uid="{1708A066-A176-4665-9BB9-F534A3391FD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96" authorId="0" shapeId="0" xr:uid="{4967682C-0E75-42FC-805D-42AE9A06A63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96" authorId="1" shapeId="0" xr:uid="{13065952-0C02-4A0C-BC96-248ED66C97B5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97" authorId="0" shapeId="0" xr:uid="{AE19EEF9-9C74-4B1B-A7F9-4055602BE04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97" authorId="0" shapeId="0" xr:uid="{41FEF873-F1D0-4863-A22B-DC788B7F669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97" authorId="1" shapeId="0" xr:uid="{37B61295-E2F7-4A54-B3FA-DE3D7FA2EC9D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98" authorId="0" shapeId="0" xr:uid="{AB2A4E0D-570F-4B07-AE14-8FC6C4716EA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98" authorId="0" shapeId="0" xr:uid="{3F8873BB-0890-4372-8F25-0CC2870A016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98" authorId="1" shapeId="0" xr:uid="{B14EB073-C327-4978-828F-12E6374F5AFE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99" authorId="0" shapeId="0" xr:uid="{1A1A3495-FBF3-4449-ACC3-1FEC882C2B7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199" authorId="0" shapeId="0" xr:uid="{A5947172-A7AD-43A2-8E0B-5DE89E29246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199" authorId="1" shapeId="0" xr:uid="{32F54239-3FB7-4EAA-835B-20EA3CB7592D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00" authorId="0" shapeId="0" xr:uid="{1E03BAFC-6BBF-4968-9916-58798674E63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00" authorId="0" shapeId="0" xr:uid="{B4BE7D18-84FE-483C-924A-C2F024A6524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00" authorId="1" shapeId="0" xr:uid="{81B1C605-BAF1-4BC3-9E25-C4CD529FDB7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01" authorId="0" shapeId="0" xr:uid="{AE19EAB4-9042-414E-B180-2F5164DA928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01" authorId="0" shapeId="0" xr:uid="{1AD6D3AE-E64C-494E-85D5-50065DCE95B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01" authorId="1" shapeId="0" xr:uid="{D5B286C0-DF4A-4835-9DD4-7E7D1294145E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02" authorId="0" shapeId="0" xr:uid="{1A5482E2-D25F-48E2-A60D-B0E1517FF6C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02" authorId="0" shapeId="0" xr:uid="{E006AFE4-C741-4CA1-8E1F-6ABFD11C164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02" authorId="1" shapeId="0" xr:uid="{EA4681C4-87AF-4544-B78A-23BB4EC45392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03" authorId="0" shapeId="0" xr:uid="{644709D8-FC9F-4A14-8DF0-87DC4F7F4CD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03" authorId="0" shapeId="0" xr:uid="{3E0E77A5-EAED-4636-A9C4-9FDBD5EC2FB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03" authorId="1" shapeId="0" xr:uid="{87AB328B-1399-43ED-9E30-C8A0B70F59A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04" authorId="0" shapeId="0" xr:uid="{F47A6E9E-9192-4865-819E-B24B0C267BE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04" authorId="0" shapeId="0" xr:uid="{52DADFED-526B-45C9-81BF-048FA13A9EA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04" authorId="1" shapeId="0" xr:uid="{F02D2C91-685B-4439-B774-F70C60E7527A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05" authorId="0" shapeId="0" xr:uid="{4F48F0D7-91CC-42C1-A5B5-7ACB43EF148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05" authorId="0" shapeId="0" xr:uid="{C8D0137A-E58F-4DD6-8FFA-200EE550908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05" authorId="1" shapeId="0" xr:uid="{FD681F26-CB48-40EE-8E78-1E9D19345CC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06" authorId="0" shapeId="0" xr:uid="{E18C60DD-849A-4FD7-A22D-44202B8C34E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06" authorId="0" shapeId="0" xr:uid="{47036CFF-A388-4522-B544-6A5B4BFF44F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06" authorId="1" shapeId="0" xr:uid="{88C9BCEF-55D8-48A2-87FB-9A236FB9C58F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07" authorId="0" shapeId="0" xr:uid="{887A87E6-2439-4EF2-ACB5-CDAFD3C987E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07" authorId="0" shapeId="0" xr:uid="{18E78567-1024-49E9-B67D-6B1A69335CD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07" authorId="1" shapeId="0" xr:uid="{34675855-E73E-4982-9934-CFE068E847B8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08" authorId="0" shapeId="0" xr:uid="{7D723347-11DF-48B1-9D63-58930ECA9D7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08" authorId="0" shapeId="0" xr:uid="{4E08141A-34CA-4036-9DE2-DB49258A877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08" authorId="1" shapeId="0" xr:uid="{3F218754-7ACF-41F8-A63C-8084CCF9D2FB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09" authorId="0" shapeId="0" xr:uid="{DCB3DFC8-150E-41C3-B445-3AC20202DCC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09" authorId="0" shapeId="0" xr:uid="{3DCED4E8-8509-4857-BEBF-BA7F0D49B2A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09" authorId="1" shapeId="0" xr:uid="{C2203163-B28D-43BB-81A5-6EB3930FC786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10" authorId="0" shapeId="0" xr:uid="{255C57CA-CC7C-4D77-A33B-A5D7351034B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V210" authorId="0" shapeId="0" xr:uid="{92196E6D-0B23-4BBE-90D3-C463CE36D3D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Z210" authorId="1" shapeId="0" xr:uid="{EDC0E22C-A40A-4A96-9B10-F282C0BDFC91}">
      <text>
        <r>
          <rPr>
            <b/>
            <sz val="9"/>
            <color indexed="81"/>
            <rFont val="Segoe UI"/>
            <family val="2"/>
          </rPr>
          <t>Se VERMELHO adicionar acréscimo de PV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ricardo.schettini</author>
  </authors>
  <commentList>
    <comment ref="L25" authorId="0" shapeId="0" xr:uid="{7C4A79E7-8319-4CBE-94C3-AC11B2AFD1CD}">
      <text>
        <r>
          <rPr>
            <b/>
            <sz val="9"/>
            <color indexed="81"/>
            <rFont val="Segoe UI"/>
            <family val="2"/>
          </rPr>
          <t>informar a célula da redução adotada</t>
        </r>
      </text>
    </comment>
    <comment ref="L26" authorId="0" shapeId="0" xr:uid="{6469A889-83FB-4822-8CE7-5B1C3FDCA616}">
      <text>
        <r>
          <rPr>
            <b/>
            <sz val="9"/>
            <color indexed="81"/>
            <rFont val="Segoe UI"/>
            <family val="2"/>
          </rPr>
          <t>informar a célula da redução adotada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D158" authorId="0" shapeId="0" xr:uid="{062ED505-0631-4969-91D8-046CB24E4888}">
      <text>
        <r>
          <rPr>
            <b/>
            <sz val="9"/>
            <color indexed="81"/>
            <rFont val="Segoe UI"/>
            <family val="2"/>
          </rPr>
          <t xml:space="preserve">Verificar com o contratante o valor líquido do repasse </t>
        </r>
      </text>
    </comment>
    <comment ref="D166" authorId="0" shapeId="0" xr:uid="{3F7C6F79-525A-422F-90D8-FBB97820AA41}">
      <text>
        <r>
          <rPr>
            <b/>
            <sz val="9"/>
            <color indexed="81"/>
            <rFont val="Segoe UI"/>
            <family val="2"/>
          </rPr>
          <t xml:space="preserve">Verificar com o contratante o valor líquido do repasse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D158" authorId="0" shapeId="0" xr:uid="{134A4109-297F-4679-8599-809F534444B5}">
      <text>
        <r>
          <rPr>
            <b/>
            <sz val="9"/>
            <color indexed="81"/>
            <rFont val="Segoe UI"/>
            <family val="2"/>
          </rPr>
          <t xml:space="preserve">Verificar com o contratante o valor líquido do repasse </t>
        </r>
      </text>
    </comment>
    <comment ref="D166" authorId="0" shapeId="0" xr:uid="{20C13511-06CD-418E-8DEF-69DBDF1CD6A6}">
      <text>
        <r>
          <rPr>
            <b/>
            <sz val="9"/>
            <color indexed="81"/>
            <rFont val="Segoe UI"/>
            <family val="2"/>
          </rPr>
          <t xml:space="preserve">Verificar com o contratante o valor líquido do repasse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tc={1A079586-1C14-4AD7-9A8B-183FAE2F831D}</author>
  </authors>
  <commentList>
    <comment ref="C2" authorId="0" shapeId="0" xr:uid="{1A079586-1C14-4AD7-9A8B-183FAE2F831D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Para calcular o B.D.I. com base na relação real entre os insumos do orçamento, utilize este campo.
(O fator será aplicado à alíquota cheia do ISS do município)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</author>
  </authors>
  <commentList>
    <comment ref="I5" authorId="0" shapeId="0" xr:uid="{A4E7FF6A-44C9-493F-9141-B128642DBA44}">
      <text>
        <r>
          <rPr>
            <sz val="8"/>
            <color indexed="81"/>
            <rFont val="Tahoma"/>
            <family val="2"/>
          </rPr>
          <t>digitar OK pra medir container
escolher:
container ou
barracão</t>
        </r>
      </text>
    </comment>
    <comment ref="I8" authorId="0" shapeId="0" xr:uid="{6FB45EC8-1E5E-420B-9C58-1C3828CFD58F}">
      <text>
        <r>
          <rPr>
            <sz val="8"/>
            <color indexed="81"/>
            <rFont val="Tahoma"/>
            <family val="2"/>
          </rPr>
          <t>digitar OK pra medir container
escolher:
container ou
barracão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F6" authorId="0" shapeId="0" xr:uid="{E855A550-AF07-4F24-B8A0-6498E65A2267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6" authorId="0" shapeId="0" xr:uid="{91495572-03A5-407D-9BF9-873F4EA52694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6" authorId="0" shapeId="0" xr:uid="{21CBDAF7-DEB5-4E6E-B0FA-9C50844EA27A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6" authorId="0" shapeId="0" xr:uid="{632380B1-6C4A-4856-8396-9F6EFD081AEA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6" authorId="0" shapeId="0" xr:uid="{75090ACA-9517-4A92-845C-CDC65CC26FEC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6" authorId="0" shapeId="0" xr:uid="{4C4DC707-D2AD-4D13-AEDD-688D2A128316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11" authorId="0" shapeId="0" xr:uid="{79A69A39-D642-43B8-B770-19DEF0DB426C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11" authorId="0" shapeId="0" xr:uid="{8E7A6178-82E2-4EF7-91EC-E6E369FA2752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11" authorId="0" shapeId="0" xr:uid="{4AE9E73E-0178-498A-AC95-57D3E10A2878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11" authorId="0" shapeId="0" xr:uid="{4650045A-EA1B-4828-8B9A-367F0A93D1EC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11" authorId="0" shapeId="0" xr:uid="{72BA79A9-4EEC-4C8D-87B7-8D9137A120D8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11" authorId="0" shapeId="0" xr:uid="{3166D216-E768-443B-A9D4-FDA7DB4EE449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16" authorId="0" shapeId="0" xr:uid="{B58518CD-9B91-4229-8CCF-EE3F139BD18F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16" authorId="0" shapeId="0" xr:uid="{A65D0291-DA14-4846-88DB-4C84CC7C9F1E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16" authorId="0" shapeId="0" xr:uid="{75BBE7C7-DB85-4BC4-83E8-AA938392E741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16" authorId="0" shapeId="0" xr:uid="{0FE73D55-BA1D-4956-9C3B-1AFFB157A8D4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16" authorId="0" shapeId="0" xr:uid="{2A8F93E0-DA3F-46E0-B3C6-C069DFA7C163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16" authorId="0" shapeId="0" xr:uid="{FE79FBD7-8A7F-448E-A3D4-0263F69D36C4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21" authorId="0" shapeId="0" xr:uid="{DFCFA4AF-DEC2-4663-9531-5C1AD502D4FB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21" authorId="0" shapeId="0" xr:uid="{15B5EC1C-99EB-4870-8E3A-AD57419AE43F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21" authorId="0" shapeId="0" xr:uid="{8346E20F-2E31-4F94-BDFF-80EB7F74A57F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21" authorId="0" shapeId="0" xr:uid="{DBFE0B8F-BE68-49BC-B46D-8A024E6E2995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21" authorId="0" shapeId="0" xr:uid="{926CEC17-EB19-43B5-9C77-727F8010E094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21" authorId="0" shapeId="0" xr:uid="{7C955092-A425-447E-A88A-2A3614E21562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26" authorId="0" shapeId="0" xr:uid="{4A3679F9-DB39-4FF3-A9C8-4F79380BEF8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26" authorId="0" shapeId="0" xr:uid="{30A3EAC5-B048-4A5C-98C0-92F883DFE2CE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26" authorId="0" shapeId="0" xr:uid="{10BE7AD7-4FEE-4323-9DFC-ABD50F73D3A1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26" authorId="0" shapeId="0" xr:uid="{13A2BB01-412D-4A5B-8158-E2A5D55C94B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26" authorId="0" shapeId="0" xr:uid="{3F34C18B-4845-453B-B39E-0342C0C3FDF7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26" authorId="0" shapeId="0" xr:uid="{89CACC8E-3184-4382-96AB-E5BE33116564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31" authorId="0" shapeId="0" xr:uid="{0AF5BA2B-4F5D-4DD8-ACC6-2349981C2958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31" authorId="0" shapeId="0" xr:uid="{9206BD77-F1A3-4B73-ABCC-F5897B5367AC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31" authorId="0" shapeId="0" xr:uid="{7E56F434-9FA4-4D88-91B4-B2B1033EFD0C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31" authorId="0" shapeId="0" xr:uid="{245CD38E-D2C7-4C26-ADBA-9F459A1D57B2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31" authorId="0" shapeId="0" xr:uid="{19845C97-93BB-4740-9D3D-2250AF177E75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31" authorId="0" shapeId="0" xr:uid="{E5897F23-247D-4C86-A00A-B44048C2221E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37" authorId="0" shapeId="0" xr:uid="{65A1CB0D-CE42-4361-9C6F-1089815C33A3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37" authorId="0" shapeId="0" xr:uid="{DB98A65D-F008-4771-9495-BC70FD031CB4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37" authorId="0" shapeId="0" xr:uid="{85D703E9-0861-4778-8E93-AF37FF4F9364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37" authorId="0" shapeId="0" xr:uid="{2DAD1F52-622D-4224-A770-8DD917D50A09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37" authorId="0" shapeId="0" xr:uid="{93C08AFA-827A-41FB-B2C3-ABDD9CFF0359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37" authorId="0" shapeId="0" xr:uid="{7C9A6AFD-4563-41E1-8CFC-256984085FD7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41" authorId="0" shapeId="0" xr:uid="{24798C79-DF59-44C9-8C17-899D2291319C}">
      <text>
        <r>
          <rPr>
            <b/>
            <sz val="9"/>
            <color indexed="81"/>
            <rFont val="Segoe UI"/>
            <family val="2"/>
          </rPr>
          <t>se ROSA
digitar
espessura</t>
        </r>
      </text>
    </comment>
    <comment ref="L41" authorId="0" shapeId="0" xr:uid="{450AB163-5776-427B-B43C-11912B8AF517}">
      <text>
        <r>
          <rPr>
            <b/>
            <sz val="9"/>
            <color indexed="81"/>
            <rFont val="Segoe UI"/>
            <family val="2"/>
          </rPr>
          <t>se ROSA
digitar
espessura</t>
        </r>
      </text>
    </comment>
    <comment ref="F43" authorId="0" shapeId="0" xr:uid="{A7611EA5-7773-427B-A2D4-0785114BD593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43" authorId="0" shapeId="0" xr:uid="{D0D6A84A-040A-4884-B03A-DA05D1EEADF6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43" authorId="0" shapeId="0" xr:uid="{C0D5C281-F168-4CC0-892E-91A1B50410D9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43" authorId="0" shapeId="0" xr:uid="{7FFC993E-E6FE-4F08-BEE8-3C42899A7E92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43" authorId="0" shapeId="0" xr:uid="{50A73617-8502-4522-8E8A-48E9871CF2AE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43" authorId="0" shapeId="0" xr:uid="{BE72A496-B1A6-48A2-8D1A-EEF804EE777A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D14" authorId="0" shapeId="0" xr:uid="{11FFF375-3ADB-4CC4-BA7F-65B25E1A6E22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E14" authorId="0" shapeId="0" xr:uid="{35C2C5AA-F980-474C-A42F-1ECA2F85EF36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F14" authorId="0" shapeId="0" xr:uid="{71158708-2E80-431A-8E8A-D45B6C4CA8A7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G14" authorId="0" shapeId="0" xr:uid="{0AEE6733-7806-4613-8664-586CFD046F8A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H14" authorId="0" shapeId="0" xr:uid="{F9E94DE3-B8F1-4AD6-9E9A-1E24F6302104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I14" authorId="0" shapeId="0" xr:uid="{0B4DB370-9957-47BE-A5A9-CF70A6FFB27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J14" authorId="0" shapeId="0" xr:uid="{BC8647CC-62E5-4ABC-9D6A-39C0448C66BE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K14" authorId="0" shapeId="0" xr:uid="{FEF9527A-1EF2-4DAF-9CAF-D7A17F602C15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L14" authorId="0" shapeId="0" xr:uid="{6F92AA6C-9F77-4842-AF64-5D97CE92449E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M14" authorId="0" shapeId="0" xr:uid="{E2CB299F-E94F-4711-A9DE-7AA11BAF2DB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N14" authorId="0" shapeId="0" xr:uid="{639FC532-D373-4990-AC29-B8D1E4CF6EC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O14" authorId="0" shapeId="0" xr:uid="{54914251-7F86-4FA1-8DCC-F9517B6FBC55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P14" authorId="0" shapeId="0" xr:uid="{A1BDC41E-41CC-4CD2-80E3-AD1F1F29CF32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Q14" authorId="0" shapeId="0" xr:uid="{D3E7D104-0E53-4670-A835-417390EDE48D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R14" authorId="0" shapeId="0" xr:uid="{5A43BB0B-9AE0-41A9-B5DE-5DCCB6468D98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S14" authorId="0" shapeId="0" xr:uid="{BD5B5EF4-D274-42DF-B9C5-C2A57E4BF32D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T14" authorId="0" shapeId="0" xr:uid="{0E144FA8-C98D-4C36-8420-D771D6A0110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U14" authorId="0" shapeId="0" xr:uid="{90D1F141-F1E4-49A5-B53C-7E75F6E0CD72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V14" authorId="0" shapeId="0" xr:uid="{E29E4101-D30A-4171-9B23-511D762778F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W14" authorId="0" shapeId="0" xr:uid="{F92B7065-53F4-4A05-B4D7-961BE7DA7C3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X14" authorId="0" shapeId="0" xr:uid="{81785FC5-1A51-4429-A145-7201379177C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Y14" authorId="0" shapeId="0" xr:uid="{AA2C901A-2B57-4059-895E-9E88B050600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Z14" authorId="0" shapeId="0" xr:uid="{7D877BEE-8A05-4CAE-A76F-86A69FAEF8CB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A14" authorId="0" shapeId="0" xr:uid="{85FB9DBC-804E-4BB8-AE2D-7B21F108D804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B14" authorId="0" shapeId="0" xr:uid="{8ED36147-4828-456C-9F78-C89CFC4FB7A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C14" authorId="0" shapeId="0" xr:uid="{AA1BDBC3-A7FF-4909-B83E-B39784D543B3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D14" authorId="0" shapeId="0" xr:uid="{6D29A2A5-AFDD-40C7-9D3A-CDB2E3BE2EE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E14" authorId="0" shapeId="0" xr:uid="{C68D5375-498B-4033-9EF4-132DF7E80CE4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F14" authorId="0" shapeId="0" xr:uid="{857D1C43-FA50-4FF1-9F5B-46F6B944A746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G14" authorId="0" shapeId="0" xr:uid="{499D9A2A-4C7F-4B65-B05C-C37496019FA7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H14" authorId="0" shapeId="0" xr:uid="{A650D82E-397B-46CB-B9AE-8CB192EB1DE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I14" authorId="0" shapeId="0" xr:uid="{186CD13F-8362-49AC-9312-2293169BCFF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J14" authorId="0" shapeId="0" xr:uid="{443EB0D3-E31E-4E00-9AC4-AFFD98094308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K14" authorId="0" shapeId="0" xr:uid="{6579E079-1C66-4A49-AE47-1659797ABB4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L14" authorId="0" shapeId="0" xr:uid="{958E6456-28E1-43B5-A34F-80AC301D5F9E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M14" authorId="0" shapeId="0" xr:uid="{A321E148-8EFB-41A1-9462-BED5D78C50E8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N14" authorId="0" shapeId="0" xr:uid="{8B4CFE9A-2B0D-4ACB-A160-CA12A38F35BA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O14" authorId="0" shapeId="0" xr:uid="{6CA60473-CAD6-4FA8-8064-32C5E86A68F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P14" authorId="0" shapeId="0" xr:uid="{5EA53018-6EBF-4ABB-A400-2229080D998F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Q14" authorId="0" shapeId="0" xr:uid="{96862058-1592-4ADB-B691-93F69B6152A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R14" authorId="0" shapeId="0" xr:uid="{D0786A46-6B9C-4760-BFD7-B98320074217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S14" authorId="0" shapeId="0" xr:uid="{B5B47A07-CB46-42F8-B8E3-179C85C4063F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T14" authorId="0" shapeId="0" xr:uid="{694AE214-87D8-48E6-8698-C9F5ACB51FAD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U14" authorId="0" shapeId="0" xr:uid="{294702E6-CC6F-4D9A-8CB5-2855CFCAA9AA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V14" authorId="0" shapeId="0" xr:uid="{98BBFE65-74DF-4CBA-ABF5-B4F2F3D00E6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W14" authorId="0" shapeId="0" xr:uid="{6EA21EFC-1D61-4740-9CF1-AA2A91275045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X14" authorId="0" shapeId="0" xr:uid="{7845D1B6-FBCE-41E0-A93A-6BA2E3D3047E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Y14" authorId="0" shapeId="0" xr:uid="{B0061425-AC1A-4AA9-8EB0-DECF654347AE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Z14" authorId="0" shapeId="0" xr:uid="{3ACC3D1B-D48C-4A57-83C5-E0C44940F88E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A14" authorId="0" shapeId="0" xr:uid="{AECD0B21-4E04-4FB6-8E13-8F33983FE41A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B14" authorId="0" shapeId="0" xr:uid="{C4D8468A-5CCB-4E2E-BF70-1DEADFC2C16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C14" authorId="0" shapeId="0" xr:uid="{A7748231-C2F1-455E-8C1F-FC03C9FA7744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D14" authorId="0" shapeId="0" xr:uid="{1DDA4699-CC96-4FEB-A89B-B61AC0EB9653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E14" authorId="0" shapeId="0" xr:uid="{EA6AC74E-E6ED-4C80-A778-F226EA63F41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F14" authorId="0" shapeId="0" xr:uid="{A3B4C8AC-79FA-4142-988B-1E2227FCC5FE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G14" authorId="0" shapeId="0" xr:uid="{70EF4E49-ABF4-49E5-BF7F-B00AA5C20E9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H14" authorId="0" shapeId="0" xr:uid="{7F0C0E29-6A7D-4A13-95CD-0DCA2697757F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I14" authorId="0" shapeId="0" xr:uid="{E9464ABB-C5C6-4F16-A618-7444FF9102B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J14" authorId="0" shapeId="0" xr:uid="{F4C24F97-FCE8-4996-A072-FC7E857FBEF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K14" authorId="0" shapeId="0" xr:uid="{F82DD6D9-7829-4E60-B3A4-6594E33A3FF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L14" authorId="0" shapeId="0" xr:uid="{5E801830-8858-42AB-A1E9-43DE8BBF3CEF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M14" authorId="0" shapeId="0" xr:uid="{14A010D6-855B-481E-A156-A25102CD289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N14" authorId="0" shapeId="0" xr:uid="{29292F3B-B95B-4095-A93E-AEEB67AD807F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O14" authorId="0" shapeId="0" xr:uid="{4BE738DA-EF49-4E4F-9C82-6A9186D4740D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P14" authorId="0" shapeId="0" xr:uid="{97C4B384-1BC9-4D8A-9307-2420BF5DF82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32" authorId="0" shapeId="0" xr:uid="{6ECFADA8-4016-418F-8FBF-30A5A001B94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E32" authorId="0" shapeId="0" xr:uid="{2CBAAAC7-C0B1-4731-8238-CC220C782F4B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F32" authorId="0" shapeId="0" xr:uid="{B755D88E-106C-4995-BC68-BA04D9B93836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G32" authorId="0" shapeId="0" xr:uid="{8DDC2F5F-E9D7-4C9D-A385-7BCBA2D54F9E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H32" authorId="0" shapeId="0" xr:uid="{2CEE6CC7-6497-4DB9-A776-58F3EC038F8D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I32" authorId="0" shapeId="0" xr:uid="{3A2D5898-13BF-4F1E-B5F2-7AD1934EC3CA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J32" authorId="0" shapeId="0" xr:uid="{9DC9BBF2-998A-47C5-9FE7-D44985DAF33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K32" authorId="0" shapeId="0" xr:uid="{8948E656-3A9C-41C4-92AE-B04BDB20769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L32" authorId="0" shapeId="0" xr:uid="{86CB5077-4EBD-4E60-A5F9-87C2D1119A20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M32" authorId="0" shapeId="0" xr:uid="{66855F11-4BF5-462B-AE50-47E45F981B00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N32" authorId="0" shapeId="0" xr:uid="{154C3E6C-CE75-4824-95A1-8D57CC90799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O32" authorId="0" shapeId="0" xr:uid="{80721F35-A3F3-4D20-829D-ADCE6B9437E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P32" authorId="0" shapeId="0" xr:uid="{36BEE5B8-7A73-46C4-AE6D-4838D652DC61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Q32" authorId="0" shapeId="0" xr:uid="{A3BA88F1-1EEB-4C63-9C5C-CD8F66132738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R32" authorId="0" shapeId="0" xr:uid="{79F3835B-DD82-4365-A0EC-867A1BAB3D33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S32" authorId="0" shapeId="0" xr:uid="{F075808E-8E74-44D5-8D2B-AE3FA54F50B6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T32" authorId="0" shapeId="0" xr:uid="{62B56E36-9C50-43B4-8DB2-0EFD5CEADF0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U32" authorId="0" shapeId="0" xr:uid="{3D5EA994-6BE5-43A1-B73B-BBCF2C3A1A1F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V32" authorId="0" shapeId="0" xr:uid="{D7BD7A02-063C-4AF3-845D-56FE6A8F4CDD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W32" authorId="0" shapeId="0" xr:uid="{1354B437-42B0-4FFC-8CC2-DB26F5035F67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X32" authorId="0" shapeId="0" xr:uid="{FBB3D559-57B6-4CB5-AF16-19F5EF321429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Y32" authorId="0" shapeId="0" xr:uid="{D6CBAA31-16F8-4434-9D6C-B00E94BEB827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Z32" authorId="0" shapeId="0" xr:uid="{08E2232E-4944-401C-AEBB-D2DBFF36FE12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A32" authorId="0" shapeId="0" xr:uid="{ECA5C741-8195-4B54-BC70-E878ED7EB18A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B32" authorId="0" shapeId="0" xr:uid="{49539F9A-4D5E-43A3-A349-33588D89C1B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C32" authorId="0" shapeId="0" xr:uid="{D32962FC-8919-4AEB-A254-A5567448472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D32" authorId="0" shapeId="0" xr:uid="{D54C04C5-3209-42D4-A824-4EE348A9818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E32" authorId="0" shapeId="0" xr:uid="{841ADFD1-F28E-4644-B32C-E632AC175CD8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F32" authorId="0" shapeId="0" xr:uid="{0A3E07B3-8109-46B1-943B-CDE5EA765194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G32" authorId="0" shapeId="0" xr:uid="{0D7D3999-B2B6-4DFF-BD00-6858CCCEBDE3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H32" authorId="0" shapeId="0" xr:uid="{F2EC9BB2-AF74-4670-9D8C-819FCD6483B9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I32" authorId="0" shapeId="0" xr:uid="{C264F2FB-DCE9-4C12-BAB9-FFA0668FE362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J32" authorId="0" shapeId="0" xr:uid="{493A30CE-25AE-4991-8431-EC973971676A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K32" authorId="0" shapeId="0" xr:uid="{308EBC42-9BB4-4B45-B717-45A56542DC5A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L32" authorId="0" shapeId="0" xr:uid="{19290138-747A-4E93-ADB2-1392175F1259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M32" authorId="0" shapeId="0" xr:uid="{453B40AE-EA73-4A82-AD62-0E79F8646B6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N32" authorId="0" shapeId="0" xr:uid="{800ED180-E2AB-45BC-8773-F272BD0FA0D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O32" authorId="0" shapeId="0" xr:uid="{E7EEA5EE-AD39-4836-B413-FC167D962F89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P32" authorId="0" shapeId="0" xr:uid="{512C7F8F-30CC-4FED-BD70-BD426E0BF959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Q32" authorId="0" shapeId="0" xr:uid="{A2CC7470-A43C-453A-A592-64EA5B3DF4A7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R32" authorId="0" shapeId="0" xr:uid="{CDAFE3CA-2DCD-4F7B-9B7B-1A7226418767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S32" authorId="0" shapeId="0" xr:uid="{D13F893C-A2BD-4026-9443-9D59BDEB5491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T32" authorId="0" shapeId="0" xr:uid="{0A5FCEA6-9786-4CCA-A252-48DC2CE7E59D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U32" authorId="0" shapeId="0" xr:uid="{0C39557A-6AAE-4D8A-8D4E-12654707D1C4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V32" authorId="0" shapeId="0" xr:uid="{4D1A8830-76D8-478C-A470-C13B96A947A3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W32" authorId="0" shapeId="0" xr:uid="{8E5DA53D-A16F-4865-A6BB-483A85422F03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X32" authorId="0" shapeId="0" xr:uid="{2BCF7E76-A563-4610-B9D3-BEB39D082FF9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Y32" authorId="0" shapeId="0" xr:uid="{13353992-63C5-4DBE-A093-815F01519729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Z32" authorId="0" shapeId="0" xr:uid="{4EBCD3A1-437F-4FA0-8566-1B5C3D1707CD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A32" authorId="0" shapeId="0" xr:uid="{174989F3-25EA-4A1F-A012-26F494692B69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B32" authorId="0" shapeId="0" xr:uid="{9034F19D-AA37-4362-AE6D-1BE79D98727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C32" authorId="0" shapeId="0" xr:uid="{384CAD2E-85B2-477A-B6E2-63E462B3F12F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D32" authorId="0" shapeId="0" xr:uid="{DD3D4B7C-0515-4DED-B810-6AB03EE51982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F6" authorId="0" shapeId="0" xr:uid="{01A51099-75FC-480C-A83E-6BD8DBC2C0E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G6" authorId="0" shapeId="0" xr:uid="{2E5BBC3B-A3D0-4E66-AB98-F313F81798D7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H6" authorId="0" shapeId="0" xr:uid="{AE7FF130-981C-47CE-8477-FB7008628B5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I6" authorId="0" shapeId="0" xr:uid="{7E006CF6-C0ED-468E-9246-F744262DB665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J6" authorId="0" shapeId="0" xr:uid="{8554CAF8-FC71-4DD7-B495-298DBC050F43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K6" authorId="0" shapeId="0" xr:uid="{5958F087-B55C-49DE-B1DC-451E20B29B1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L6" authorId="0" shapeId="0" xr:uid="{F392C1A6-BD8D-4E49-AC7F-C78614DCD239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M6" authorId="0" shapeId="0" xr:uid="{4378F711-A7FC-4365-966D-479363451E0F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N6" authorId="0" shapeId="0" xr:uid="{C8119461-888A-4D8D-B613-E2C2886A1437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O6" authorId="0" shapeId="0" xr:uid="{76596294-F1E0-4335-9F5C-C7D85768EABF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P6" authorId="0" shapeId="0" xr:uid="{897EE157-9734-40F6-B25D-38B0ACB6C138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Q6" authorId="0" shapeId="0" xr:uid="{B15CB6EA-9007-4309-9203-8388144E940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R6" authorId="0" shapeId="0" xr:uid="{D641D02A-DD82-42BD-A7B1-D45E5E7BE588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S6" authorId="0" shapeId="0" xr:uid="{CD6B6E9A-C2B1-40BB-B67C-30B55A24F93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T6" authorId="0" shapeId="0" xr:uid="{02C51027-FE86-4201-A5E9-910235A7DAE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U6" authorId="0" shapeId="0" xr:uid="{A1F85CCB-4DD9-475D-9E60-79D7D28BC313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V6" authorId="0" shapeId="0" xr:uid="{AC94294E-DACB-48D0-AB6D-3958CF171EC8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W6" authorId="0" shapeId="0" xr:uid="{C0E78EEE-64D7-4C31-9C29-1E5DEC0D4241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X6" authorId="0" shapeId="0" xr:uid="{91901B8A-FF91-45C7-A794-380FB64E6D09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Y6" authorId="0" shapeId="0" xr:uid="{44667F8B-9E21-4A8D-A259-5BB5AC68D06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Z6" authorId="0" shapeId="0" xr:uid="{9B719EE8-DEB5-4448-AE70-AA99AAA7D2AB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A6" authorId="0" shapeId="0" xr:uid="{87322970-018A-4D7C-9AAF-FF956AF1FC17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B6" authorId="0" shapeId="0" xr:uid="{7DDBFB55-A929-48A2-AFD2-2E67E60C7522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C6" authorId="0" shapeId="0" xr:uid="{E44C893E-18AD-4065-8750-D6DD49BAE619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D6" authorId="0" shapeId="0" xr:uid="{00B1CC48-2C2F-44AC-9765-CE1FDAF72CBD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E6" authorId="0" shapeId="0" xr:uid="{5BD21E09-B7A1-436D-AF95-8B1725D0C381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F6" authorId="0" shapeId="0" xr:uid="{50EE41D9-22E6-4AE8-8E33-54553A020692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G6" authorId="0" shapeId="0" xr:uid="{31F6D10D-3C09-481B-AF59-7292B3CE098D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H6" authorId="0" shapeId="0" xr:uid="{BE4CB550-FC19-422D-8895-58180F164B83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</commentList>
</comments>
</file>

<file path=xl/metadata.xml><?xml version="1.0" encoding="utf-8"?>
<metadata xmlns="http://schemas.openxmlformats.org/spreadsheetml/2006/main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futureMetadata name="XLRICHVALUE" count="2">
    <bk>
      <extLst>
        <ext xmlns:xlrd="http://schemas.microsoft.com/office/spreadsheetml/2017/richdata" uri="{3e2802c4-a4d2-4d8b-9148-e3be6c30e623}">
          <xlrd:rvb i="0"/>
        </ext>
      </extLst>
    </bk>
    <bk>
      <extLst>
        <ext xmlns:xlrd="http://schemas.microsoft.com/office/spreadsheetml/2017/richdata" uri="{3e2802c4-a4d2-4d8b-9148-e3be6c30e623}">
          <xlrd:rvb i="1"/>
        </ext>
      </extLst>
    </bk>
  </futureMetadata>
  <cellMetadata count="1">
    <bk>
      <rc t="1" v="0"/>
    </bk>
  </cellMetadata>
  <valueMetadata count="2">
    <bk>
      <rc t="2" v="0"/>
    </bk>
    <bk>
      <rc t="2" v="1"/>
    </bk>
  </valueMetadata>
</metadata>
</file>

<file path=xl/sharedStrings.xml><?xml version="1.0" encoding="utf-8"?>
<sst xmlns="http://schemas.openxmlformats.org/spreadsheetml/2006/main" count="22500" uniqueCount="4053">
  <si>
    <t>FILTRO IMPRESSÃO</t>
  </si>
  <si>
    <t>ÍNDICE RESUMO</t>
  </si>
  <si>
    <t>EDIÇÃO</t>
  </si>
  <si>
    <t>DATA BASE:</t>
  </si>
  <si>
    <t>X</t>
  </si>
  <si>
    <t>VERIFICAÇÕES</t>
  </si>
  <si>
    <t>PRODUÇÃO (UMA FRENTE)</t>
  </si>
  <si>
    <t>E.S.S.M.O.:</t>
  </si>
  <si>
    <t>NÃO DESONERADA</t>
  </si>
  <si>
    <t>DESONERADA</t>
  </si>
  <si>
    <t>Total Geral</t>
  </si>
  <si>
    <t>DIÁRIA</t>
  </si>
  <si>
    <t>OBRA (MÊS)</t>
  </si>
  <si>
    <t>E.S.D. (HORA):</t>
  </si>
  <si>
    <t>E.S.D. (MÊS):</t>
  </si>
  <si>
    <t>DRENAGEM</t>
  </si>
  <si>
    <t>OBRA :</t>
  </si>
  <si>
    <t>BDI SERVIÇOS (1):</t>
  </si>
  <si>
    <t>LOCAL :</t>
  </si>
  <si>
    <t>BDI INSUMO (2):</t>
  </si>
  <si>
    <t>ADITIVO</t>
  </si>
  <si>
    <t>MUNICÍPIO :</t>
  </si>
  <si>
    <t>BDI PROJETOS (3):</t>
  </si>
  <si>
    <t>ACRÉSCIMO</t>
  </si>
  <si>
    <t>DECRÉSCIMO</t>
  </si>
  <si>
    <t>PLANILHA ORÇAMENTÁRIA SINTÉTICA</t>
  </si>
  <si>
    <t>ITEM</t>
  </si>
  <si>
    <t>RESUMO</t>
  </si>
  <si>
    <t>UNID.</t>
  </si>
  <si>
    <t>QUANT.</t>
  </si>
  <si>
    <t>PREÇO TOTAL  (R$)</t>
  </si>
  <si>
    <t>PREÇO TOTAL (R$)</t>
  </si>
  <si>
    <t>(%)</t>
  </si>
  <si>
    <t>Σ</t>
  </si>
  <si>
    <t>%</t>
  </si>
  <si>
    <t>PRAZOS</t>
  </si>
  <si>
    <t>CONTRATO</t>
  </si>
  <si>
    <t>EXECUTIVO</t>
  </si>
  <si>
    <t>SALDO</t>
  </si>
  <si>
    <t>SERVIÇOS PRELIMINARES</t>
  </si>
  <si>
    <t>REMOÇÕES, DEMOLIÇÕES E SUPRESSÕES</t>
  </si>
  <si>
    <t>MICRODRENAGEM - TERRAPLENAGEM</t>
  </si>
  <si>
    <t>MICRODRENAGEM - GALERIAS</t>
  </si>
  <si>
    <t>MICRODRENAGEM - DISPOSITIVOS AUXILIARES</t>
  </si>
  <si>
    <t>MICRODRENAGEM - SERVIÇOS DE ESTRUTURAS</t>
  </si>
  <si>
    <t>MICRODRENAGEM - BACIA DE AMORTECIMENTO</t>
  </si>
  <si>
    <t>DRENAGEM DE LENÇOL FREÁTICO</t>
  </si>
  <si>
    <t>MICRODRENAGEM - RECOMPOSIÇÃO DO PAVIMENTO</t>
  </si>
  <si>
    <t>RESTAURAÇÃO DO PAVIMENTO - RECUPERAÇÃO PRÉVIA DO PAVIMENTO</t>
  </si>
  <si>
    <t>RESTAURAÇÃO DO PAVIMENTO - RECAPEAMENTO ASFÁLTICO</t>
  </si>
  <si>
    <t>IMPLANTAÇÃO DE TERRAPLENAGEM</t>
  </si>
  <si>
    <t>IMPLANTAÇÃO DE PAVIMENTAÇÃO</t>
  </si>
  <si>
    <t>SERVIÇOS COMPLEMENTARES</t>
  </si>
  <si>
    <t>PASSEIO COM ACESSIBILIDADE</t>
  </si>
  <si>
    <t>PARADA DE ÔNIBUS - PAVIMENTO RÍGIDO E PLATAFORMA</t>
  </si>
  <si>
    <t xml:space="preserve">UN </t>
  </si>
  <si>
    <t>OBRAS DE ARTE ESPECIAIS - PONTE SOBRE O CÓRREGO MONTALVÃO - OPÇÃO PRÉ-TENSÃO</t>
  </si>
  <si>
    <t>IMPLANTAÇÃO / ADEQUAÇÃO GEOMÉTRICA DE CICLOVIA</t>
  </si>
  <si>
    <t>M</t>
  </si>
  <si>
    <t>SINALIZAÇÃO VIÁRIA DEFINITIVA HORIZONTAL E VERTICAL E DISPOSITIVOS DE SEGURANÇA</t>
  </si>
  <si>
    <t>ADMINISTRAÇÃO LOCAL</t>
  </si>
  <si>
    <t>MÊS</t>
  </si>
  <si>
    <t>SERVIÇOS DE ENGENHARIA</t>
  </si>
  <si>
    <t>CÓDIGO</t>
  </si>
  <si>
    <t>CÓDIGO (TEXTO)</t>
  </si>
  <si>
    <t>FONTE</t>
  </si>
  <si>
    <t>DISCRIMINAÇÃO</t>
  </si>
  <si>
    <t>DMT</t>
  </si>
  <si>
    <t>Custo Unitário ND</t>
  </si>
  <si>
    <t>Custo Unitário DE</t>
  </si>
  <si>
    <t>BDI.</t>
  </si>
  <si>
    <t>PREÇO UNITÁRIO ND (R$)</t>
  </si>
  <si>
    <t>PREÇO UNITÁRIO DE (R$)</t>
  </si>
  <si>
    <t>PREÇO UNITÁRIO LICITAÇÃO (R$)</t>
  </si>
  <si>
    <t>PREÇO UNITÁRIO VENCEDOR (R$)</t>
  </si>
  <si>
    <t>PREÇO TOTAL ND (R$)</t>
  </si>
  <si>
    <t>PREÇO TOTAL  DE (R$)</t>
  </si>
  <si>
    <t>BDI</t>
  </si>
  <si>
    <t>(%)
ETAPA ND</t>
  </si>
  <si>
    <t>(%)
ETAPA DE</t>
  </si>
  <si>
    <t>observações do boletim</t>
  </si>
  <si>
    <t>S_Preliminares!A1</t>
  </si>
  <si>
    <t>SP/0001</t>
  </si>
  <si>
    <t>BDI 1</t>
  </si>
  <si>
    <t>CANTEIRO DE OBRAS</t>
  </si>
  <si>
    <t>Depósito de expurgo SEM reciclagem: 1</t>
  </si>
  <si>
    <t>10775</t>
  </si>
  <si>
    <t>10776</t>
  </si>
  <si>
    <t>10777</t>
  </si>
  <si>
    <t>IEQ000430</t>
  </si>
  <si>
    <t>98525</t>
  </si>
  <si>
    <t>SC/0068</t>
  </si>
  <si>
    <t>BDI 2</t>
  </si>
  <si>
    <t>101203</t>
  </si>
  <si>
    <t>SC/0120</t>
  </si>
  <si>
    <t>SP/0020</t>
  </si>
  <si>
    <t>SP/0025</t>
  </si>
  <si>
    <t>SP/0030</t>
  </si>
  <si>
    <t xml:space="preserve"> </t>
  </si>
  <si>
    <t>SP/0050</t>
  </si>
  <si>
    <t>SP/0060</t>
  </si>
  <si>
    <t>ESCAVADEIRA</t>
  </si>
  <si>
    <t>TRANSPORTE DE BOTA-FORA - PRODUTO DA LIMPEZA</t>
  </si>
  <si>
    <t>TRANSPORTE DE PEDRA TIPO BRITA / PULMÃO / DE MÃO / RACHÃO</t>
  </si>
  <si>
    <t>Demolicao!A1</t>
  </si>
  <si>
    <t>produção</t>
  </si>
  <si>
    <t>prazo (h)</t>
  </si>
  <si>
    <t>SR/0010</t>
  </si>
  <si>
    <t>SR/0020</t>
  </si>
  <si>
    <t>SR/0030</t>
  </si>
  <si>
    <t>SR/0040</t>
  </si>
  <si>
    <t>SR/0070</t>
  </si>
  <si>
    <t>SR/0050</t>
  </si>
  <si>
    <t>SR/0060</t>
  </si>
  <si>
    <t>SR/0100</t>
  </si>
  <si>
    <t>SR/0080</t>
  </si>
  <si>
    <t>SR/0090</t>
  </si>
  <si>
    <t>SR/0120</t>
  </si>
  <si>
    <t>ST/0070</t>
  </si>
  <si>
    <t>TRANSPORTE DE SOLO SELECIONADO PARA COMPENSAÇÃO</t>
  </si>
  <si>
    <t>Depósito provisório</t>
  </si>
  <si>
    <t>TRANSPORTE DE BOTA-FORA - PRODUTO DA DEMOLIÇÃO</t>
  </si>
  <si>
    <t>TRANSPORTE DE BOTA-FORA PARA RECICLAGEM</t>
  </si>
  <si>
    <t>Definir depósito reciclável: 2, 3 ou 4</t>
  </si>
  <si>
    <t>TRANSPORTE DE BOTA-FORA - PRODUTO DA SUPRESSÃO</t>
  </si>
  <si>
    <t xml:space="preserve">Definir depósito expurgo:1 </t>
  </si>
  <si>
    <t>Dre_Terraplenagem!A1</t>
  </si>
  <si>
    <t>DR/0050</t>
  </si>
  <si>
    <t>DR/0040</t>
  </si>
  <si>
    <t>DR/0045</t>
  </si>
  <si>
    <t>DR/0020</t>
  </si>
  <si>
    <t>ES/0010</t>
  </si>
  <si>
    <t>ES/0015</t>
  </si>
  <si>
    <t>DR/0032</t>
  </si>
  <si>
    <t>LOCAL</t>
  </si>
  <si>
    <t>ESMERALDA</t>
  </si>
  <si>
    <t>TRANSPORTE DE BOTA-FORA - ROCHA</t>
  </si>
  <si>
    <t>TRANSPORTE DE BOTA-FORA - SOLO</t>
  </si>
  <si>
    <t>Definir depósito:                                     1, 2, 3 ou 4</t>
  </si>
  <si>
    <t>TRANSPORTE DE MATERIAL DE JAZIDA DE SOLO</t>
  </si>
  <si>
    <t>TRANSPORTE DE AREIA PARA ATERRO / LASTRO</t>
  </si>
  <si>
    <t>Dre_Disp_Estruturais!A1</t>
  </si>
  <si>
    <r>
      <t xml:space="preserve">verificação </t>
    </r>
    <r>
      <rPr>
        <sz val="10"/>
        <rFont val="Calibri"/>
        <family val="2"/>
      </rPr>
      <t>Σ</t>
    </r>
    <r>
      <rPr>
        <sz val="10"/>
        <rFont val="Courier"/>
        <family val="2"/>
      </rPr>
      <t xml:space="preserve"> Ø</t>
    </r>
  </si>
  <si>
    <t>M0131</t>
  </si>
  <si>
    <t>M0133</t>
  </si>
  <si>
    <t>M0134</t>
  </si>
  <si>
    <t>M0135</t>
  </si>
  <si>
    <t>M0136</t>
  </si>
  <si>
    <t>M0137</t>
  </si>
  <si>
    <t>M0139</t>
  </si>
  <si>
    <t>M0142</t>
  </si>
  <si>
    <t>M0143</t>
  </si>
  <si>
    <t>DR/0060</t>
  </si>
  <si>
    <t>DR/0070</t>
  </si>
  <si>
    <t>DR/0080</t>
  </si>
  <si>
    <t>DR/0091</t>
  </si>
  <si>
    <t>DR/0096</t>
  </si>
  <si>
    <t>DR/0101</t>
  </si>
  <si>
    <t>DR/0106</t>
  </si>
  <si>
    <t>CONFORME COTAÇÃO DA LAJ LUCAS E PAV TUBOS, db 10-2023</t>
  </si>
  <si>
    <t>Peso dos tubos adotado, conforme catálogo técnico do SINAPI e tubos PEAD tigre</t>
  </si>
  <si>
    <t>https://www.caixa.gov.br/Downloads/sinapi-composicoes-aferidas-lote3-saneamento-infraestrutura-urbana/SINAPI_CT_TRANSPORTE_CARGA_DESCARGA_06_2023.pdf</t>
  </si>
  <si>
    <t>DR/0166</t>
  </si>
  <si>
    <t>DR/0136</t>
  </si>
  <si>
    <t>DR/0141</t>
  </si>
  <si>
    <t>DR/0146</t>
  </si>
  <si>
    <t>DR/0151</t>
  </si>
  <si>
    <t>DR/0156</t>
  </si>
  <si>
    <t>DR/0161</t>
  </si>
  <si>
    <t>DR/0171</t>
  </si>
  <si>
    <t>DR/0176</t>
  </si>
  <si>
    <t>DR/0181</t>
  </si>
  <si>
    <t>DR/0186</t>
  </si>
  <si>
    <t>DR/0191</t>
  </si>
  <si>
    <t>DR/0196</t>
  </si>
  <si>
    <t>DR/0201</t>
  </si>
  <si>
    <t>DR/0355</t>
  </si>
  <si>
    <t>DR/0206</t>
  </si>
  <si>
    <t>DR/0211</t>
  </si>
  <si>
    <t>DR/0216</t>
  </si>
  <si>
    <t>DR/0235</t>
  </si>
  <si>
    <t>DR/0240</t>
  </si>
  <si>
    <t>DR/0250</t>
  </si>
  <si>
    <t>DR/0255</t>
  </si>
  <si>
    <t>DR/0260</t>
  </si>
  <si>
    <t>DR/0265</t>
  </si>
  <si>
    <t>DR/0270</t>
  </si>
  <si>
    <t>DR/0275</t>
  </si>
  <si>
    <t>DR/0305</t>
  </si>
  <si>
    <t>DR/0310</t>
  </si>
  <si>
    <t>DR/0315</t>
  </si>
  <si>
    <t>DR/0320</t>
  </si>
  <si>
    <t>DR/0325</t>
  </si>
  <si>
    <t>DR/0330</t>
  </si>
  <si>
    <t>DR/0335</t>
  </si>
  <si>
    <t>DR/0340</t>
  </si>
  <si>
    <t>DR/0345</t>
  </si>
  <si>
    <t>DR/0350</t>
  </si>
  <si>
    <t>DR/0280</t>
  </si>
  <si>
    <t>DR/0285</t>
  </si>
  <si>
    <t>DR/0290</t>
  </si>
  <si>
    <t>DR/0385</t>
  </si>
  <si>
    <t>DR/0390</t>
  </si>
  <si>
    <t>DR/0365</t>
  </si>
  <si>
    <t>DR/0370</t>
  </si>
  <si>
    <t>TRANSPORTE DE ARTEFATO DE CONCRETO - TUBO E ADUELA</t>
  </si>
  <si>
    <t>Bacia_Amortecimento!A1</t>
  </si>
  <si>
    <t>SERVIÇOS DE TERRAPLENAGEM</t>
  </si>
  <si>
    <t>DR/0007</t>
  </si>
  <si>
    <t>argiloso</t>
  </si>
  <si>
    <t>LF/0007</t>
  </si>
  <si>
    <t>LF/0040</t>
  </si>
  <si>
    <t>DR/0296</t>
  </si>
  <si>
    <t>DR/0300</t>
  </si>
  <si>
    <t>SERVIÇOS DE ESTRUTURA</t>
  </si>
  <si>
    <t>betoneira</t>
  </si>
  <si>
    <t>USINADO</t>
  </si>
  <si>
    <t>EC/0020</t>
  </si>
  <si>
    <t>EC/0025</t>
  </si>
  <si>
    <t>EC/0030</t>
  </si>
  <si>
    <t>EC/0033</t>
  </si>
  <si>
    <t>EC/0035</t>
  </si>
  <si>
    <t>EC/0040</t>
  </si>
  <si>
    <t>SC/0100</t>
  </si>
  <si>
    <t>SC/0105</t>
  </si>
  <si>
    <t>SERVIÇOS DE URBANIZAÇÃO</t>
  </si>
  <si>
    <t>SC/0115</t>
  </si>
  <si>
    <t>BATATAIS</t>
  </si>
  <si>
    <t>SC/0250</t>
  </si>
  <si>
    <t>MENOR</t>
  </si>
  <si>
    <t>SC/0080</t>
  </si>
  <si>
    <t>BETONEIRA</t>
  </si>
  <si>
    <t>RETANGULAR</t>
  </si>
  <si>
    <t>pav</t>
  </si>
  <si>
    <t>TRANSPORTE INTERNO NO CANTEIRO - SOLO</t>
  </si>
  <si>
    <t>Dre_Profunda!A1</t>
  </si>
  <si>
    <t>LF/0015</t>
  </si>
  <si>
    <t>LF/0020</t>
  </si>
  <si>
    <t>LF/0025</t>
  </si>
  <si>
    <t>LF/0030</t>
  </si>
  <si>
    <t>LF/0035</t>
  </si>
  <si>
    <t>LF/0045</t>
  </si>
  <si>
    <t>LF/0005</t>
  </si>
  <si>
    <t>COMERCIAL</t>
  </si>
  <si>
    <t>EC/0044</t>
  </si>
  <si>
    <t>Definir depósito:                                   1,  2, 3 ou 4</t>
  </si>
  <si>
    <t>Dre_Fecha_Vala!A1</t>
  </si>
  <si>
    <t>PA/0018</t>
  </si>
  <si>
    <t>PA/0020</t>
  </si>
  <si>
    <t>PA/0025</t>
  </si>
  <si>
    <t>EAI</t>
  </si>
  <si>
    <t>PA/0150</t>
  </si>
  <si>
    <t>PA/0040</t>
  </si>
  <si>
    <t>RE/0055</t>
  </si>
  <si>
    <t>RE/0040</t>
  </si>
  <si>
    <t>RE/0045</t>
  </si>
  <si>
    <t>TRANSPORTE DE BOTA-FORA - BOTA-FORA</t>
  </si>
  <si>
    <t>TRANSPORTE DE SOLO DE JAZIDA PARA MISTURA DA BASE E/OU SUB-BASE</t>
  </si>
  <si>
    <t>TRANSPORTE DA MISTURA DA BASE E/OU SUB-BASE - CANTEIRO / PISTA</t>
  </si>
  <si>
    <t>TRANSPORTE DE CASCALHO PARA BASE E/OU SUB-BASE</t>
  </si>
  <si>
    <t>TRANSPORTE DE PEDRA BRITADA PARA MISTURA DA BASE E/OU SUB-BASE</t>
  </si>
  <si>
    <t>TRANSPORTE DE PEDRA BRITADA TIPO BICA CORRIDA PARA BASE E/OU SUB-BASE</t>
  </si>
  <si>
    <t>TRANSPORTE DE PEDRA BRITADA TIPO BRITA GRADUADA PARA BASE E/OU SUB-BASE</t>
  </si>
  <si>
    <t>TRANSPORTE DE PEDRA BRITADA PARA REVESTIMENTO TSD</t>
  </si>
  <si>
    <t>TRANSPORTE DE PEDRA BRITADA PARA USINA DE PMF</t>
  </si>
  <si>
    <t>TRANSPORTE DE PEDRA BRITADA PARA USINA DE CBUQ</t>
  </si>
  <si>
    <t>TRANSPORTE DE AREIA PARA REVESTIMENTO TSD</t>
  </si>
  <si>
    <t>TRANSPORTE DE AREIA PARA USINA DE PMF</t>
  </si>
  <si>
    <t>TRANSPORTE DE AREIA PARA USINA DE CBUQ</t>
  </si>
  <si>
    <t>TRANSPORTE DE MISTURA ASFÁLTICA - PMF</t>
  </si>
  <si>
    <t>TRANSPORTE DE MISTURA ASFÁLTICA - CBUQ</t>
  </si>
  <si>
    <t>TRANSPORTE DE LIGANTE BETUMINOSO - ASFALTO DILUIDO CM-30</t>
  </si>
  <si>
    <t>TRANSPORTE DE LIGANTE BETUMINOSO - EMULSÃO ASFÁLTICA</t>
  </si>
  <si>
    <t>TRANSPORTE DE LIGANTE BETUMINOSO - EMULSÃO ASFÁLTICA - RL-1C</t>
  </si>
  <si>
    <t>TRANSPORTE DE LIGANTE BETUMINOSO - CAP</t>
  </si>
  <si>
    <t>Recap_Previo!A1</t>
  </si>
  <si>
    <t>RE/0010</t>
  </si>
  <si>
    <t>RE/0015</t>
  </si>
  <si>
    <t>RE/0021</t>
  </si>
  <si>
    <t>PA/0010</t>
  </si>
  <si>
    <t>ARENOSO</t>
  </si>
  <si>
    <t>RE/0025</t>
  </si>
  <si>
    <t>RE/0030</t>
  </si>
  <si>
    <t>RE/0035</t>
  </si>
  <si>
    <t>RE/0060</t>
  </si>
  <si>
    <t>RE/0065</t>
  </si>
  <si>
    <t>RE/0070</t>
  </si>
  <si>
    <t>PA/0023</t>
  </si>
  <si>
    <t>RE/0052</t>
  </si>
  <si>
    <t>COMERCIAL 30/45</t>
  </si>
  <si>
    <t>PA/0055</t>
  </si>
  <si>
    <t>Cimento</t>
  </si>
  <si>
    <t>TRANSPORTE DE PRODUTO DE FRESAGEM</t>
  </si>
  <si>
    <t>TRANSPORTE DE PEDRA BRITADA Nº 1 PARA RECICLAGEM DE PAVIMENTO</t>
  </si>
  <si>
    <t>TRANSPORTE DE CIMENTO PARA RECICLAGEM DE PAVIMENTO</t>
  </si>
  <si>
    <t>Recap_Final!A1</t>
  </si>
  <si>
    <t>RE/0075</t>
  </si>
  <si>
    <t>RE/0080</t>
  </si>
  <si>
    <t>RE/0085</t>
  </si>
  <si>
    <t>PA/0035</t>
  </si>
  <si>
    <t>PA/0045</t>
  </si>
  <si>
    <t>DR/0395</t>
  </si>
  <si>
    <t>DR/0400</t>
  </si>
  <si>
    <t>TRANSPORTE DE AREIA TSD</t>
  </si>
  <si>
    <t>TRANSPORTE DE AREIA CBUQ</t>
  </si>
  <si>
    <t>TRANSPORTE DE AREIA PMF</t>
  </si>
  <si>
    <t>TRANSPORTE DE PEDRA BRITADA PARA MICRORREVESTIMENTO</t>
  </si>
  <si>
    <t>TRANSPORTE DE PEDRA BRITADA PARA TSD E/OU AGULHAMENTO</t>
  </si>
  <si>
    <t>Pav_Terraplenagem!A1</t>
  </si>
  <si>
    <t>PA/0001</t>
  </si>
  <si>
    <t>ARGILOSO</t>
  </si>
  <si>
    <t>TRANSPORTE DE MATERIAL SELECIONADO PARA COMPENSAÇÃO</t>
  </si>
  <si>
    <t>Pav_Estrutura!A1</t>
  </si>
  <si>
    <t>100979</t>
  </si>
  <si>
    <t>TRANSPORTE DE SOLO PARA MISTURA DA BASE E/OU SUB-BASE</t>
  </si>
  <si>
    <t>TRANSPORTE DE AREIA PARA COLCHÃO DE PAVER</t>
  </si>
  <si>
    <t>TRANSPORTE DE CIMENTO PARA BASE SOLO/CIMENTO</t>
  </si>
  <si>
    <t>TRANSPORTE DE ARTEFATO DE CONCRETO - BLOCO DE CONCRETO TIPO PAVER</t>
  </si>
  <si>
    <t>SC/0005</t>
  </si>
  <si>
    <t>EXTRUSÃO</t>
  </si>
  <si>
    <t>SC/0010</t>
  </si>
  <si>
    <t>SC/0065</t>
  </si>
  <si>
    <t>SC/0020</t>
  </si>
  <si>
    <t>SC/0030</t>
  </si>
  <si>
    <t>SC/0035</t>
  </si>
  <si>
    <t>SC/0040</t>
  </si>
  <si>
    <t>SC/0090</t>
  </si>
  <si>
    <t>SC/0095</t>
  </si>
  <si>
    <t>TRANSPORTE DE ARTEFATO DE CONCRETO - BLOCO DE CONCRETO TIPO PISOGRAMA</t>
  </si>
  <si>
    <t>Passeio!A1</t>
  </si>
  <si>
    <t>SC/0130</t>
  </si>
  <si>
    <t>SC/0135</t>
  </si>
  <si>
    <t>SC/0140</t>
  </si>
  <si>
    <t>SC/0145</t>
  </si>
  <si>
    <t>SC/0150</t>
  </si>
  <si>
    <t>SC/0155</t>
  </si>
  <si>
    <t>SC/0160</t>
  </si>
  <si>
    <t>SC/0085</t>
  </si>
  <si>
    <t>TRANSPORTE DE MATERIAL DE BOTA-FORA DA LIMPEZA</t>
  </si>
  <si>
    <t>TRANSPORTE DE ARTEFATO DE CONCRETO - LAJOTA DE PISO TÁTIL DE CONCRETO</t>
  </si>
  <si>
    <t>SC/0015</t>
  </si>
  <si>
    <t>TRANSPORTE DE CIMENTO PARA BASE</t>
  </si>
  <si>
    <t>Ponto_Onibus!A1</t>
  </si>
  <si>
    <t>INFRAESTRUTURA</t>
  </si>
  <si>
    <t>FUNDAÇÃO - SAPATAS DO ENCONTRO E ALAS</t>
  </si>
  <si>
    <t>DR/0024</t>
  </si>
  <si>
    <t>SEL-307</t>
  </si>
  <si>
    <t>DR/0033</t>
  </si>
  <si>
    <t>FUNDAÇÃO - SAPATAS DOS PILARES CENTRAIS</t>
  </si>
  <si>
    <t>EC/0060</t>
  </si>
  <si>
    <t>MESO-ESTRUTURA</t>
  </si>
  <si>
    <t>ENCONTROS/CORTINAS + ALAS + CONSOLOS</t>
  </si>
  <si>
    <t>EC/0170</t>
  </si>
  <si>
    <t>PILAR CENTRAL</t>
  </si>
  <si>
    <t>VIGA TRANSVERSAL DE APOIO</t>
  </si>
  <si>
    <t>ARTICULAÇÃO FREYSSINET</t>
  </si>
  <si>
    <t>PLACA DE ATRITO</t>
  </si>
  <si>
    <t>TIRANTES (PLACA DE ATRITO)</t>
  </si>
  <si>
    <t>SUPER-ESTRUTURA</t>
  </si>
  <si>
    <t>LAJE</t>
  </si>
  <si>
    <t>TRANSVERSINA DO ENCONTRO + CONSOLOS</t>
  </si>
  <si>
    <t>TRANSVERSINA INTERMEDIÁRIA</t>
  </si>
  <si>
    <t>BARREIRA DE CONCRETO (TIPO NEW JERSEY)</t>
  </si>
  <si>
    <t>VIGA PRÉ-MOLDADA "T" - PROT 19,2/45 (PRÉ-TENSÃO)</t>
  </si>
  <si>
    <t>SEL-304</t>
  </si>
  <si>
    <t>SEL-305</t>
  </si>
  <si>
    <t>SEL-306</t>
  </si>
  <si>
    <t>EC/0180</t>
  </si>
  <si>
    <t>EC/0220</t>
  </si>
  <si>
    <t>EC/0200</t>
  </si>
  <si>
    <t>EC/0190</t>
  </si>
  <si>
    <t>PILARESTES DO GUARDA-CORPO (FAIXA DE PEDESTRE)</t>
  </si>
  <si>
    <t>PLACA DE APROXIMAÇÃO</t>
  </si>
  <si>
    <t>JUNTA DE DILATAÇÃO</t>
  </si>
  <si>
    <t>EC/0230</t>
  </si>
  <si>
    <t>EC/0240</t>
  </si>
  <si>
    <t>TRANSPORTE DE AÇO</t>
  </si>
  <si>
    <t>TRANSPORTE DE AREEIRO</t>
  </si>
  <si>
    <t>TRANSPORTE DE BRITA</t>
  </si>
  <si>
    <t>TRANSPORTE DE CIMENTO</t>
  </si>
  <si>
    <t>Ciclovia!A1</t>
  </si>
  <si>
    <t>MANUAL</t>
  </si>
  <si>
    <t>SC/0055</t>
  </si>
  <si>
    <t>público</t>
  </si>
  <si>
    <t>TRANSPORTE DE AREIA  PARA USINA DE CBUQ</t>
  </si>
  <si>
    <t>TRANSPORTE COM CAMINHÃO CARROCERIA 9T, EM VIA URBANA PAVIMENTADA, DMT ATÉ 30KM (UNIDADE: TXKM). AF_07/2020</t>
  </si>
  <si>
    <t>Sinalizacao!A1</t>
  </si>
  <si>
    <t>SV/0005</t>
  </si>
  <si>
    <t>SV/0010</t>
  </si>
  <si>
    <t>SV/0012</t>
  </si>
  <si>
    <t>SV/0015</t>
  </si>
  <si>
    <t>SV/0020</t>
  </si>
  <si>
    <t>SV/0025</t>
  </si>
  <si>
    <t>SV/0030</t>
  </si>
  <si>
    <t>SV/0035</t>
  </si>
  <si>
    <t>SV/0037</t>
  </si>
  <si>
    <t>SV/0041</t>
  </si>
  <si>
    <t>SV/0045</t>
  </si>
  <si>
    <t>SV/0055</t>
  </si>
  <si>
    <t>SV/0065</t>
  </si>
  <si>
    <t>SV/0060</t>
  </si>
  <si>
    <t>SV/0070</t>
  </si>
  <si>
    <t>SV/0075</t>
  </si>
  <si>
    <t>SV/0080</t>
  </si>
  <si>
    <t>SV/0085</t>
  </si>
  <si>
    <t>SV/0091</t>
  </si>
  <si>
    <t>SV/0095</t>
  </si>
  <si>
    <t>SV/0100</t>
  </si>
  <si>
    <t>SV/0109</t>
  </si>
  <si>
    <t>SV/0116</t>
  </si>
  <si>
    <t>SV/0121</t>
  </si>
  <si>
    <t>CPU Adm Local'!A1</t>
  </si>
  <si>
    <t>CPU Adm Local</t>
  </si>
  <si>
    <t>ADM</t>
  </si>
  <si>
    <t>ADM0002</t>
  </si>
  <si>
    <t>ADM0001</t>
  </si>
  <si>
    <t>EG0005</t>
  </si>
  <si>
    <t>ET0003</t>
  </si>
  <si>
    <t>ARQ0003</t>
  </si>
  <si>
    <t>PFIU001</t>
  </si>
  <si>
    <t>PFIU002</t>
  </si>
  <si>
    <t>PBPC001</t>
  </si>
  <si>
    <t>EHAU001</t>
  </si>
  <si>
    <t>EHAU002</t>
  </si>
  <si>
    <t>EG0001</t>
  </si>
  <si>
    <t>EG0012</t>
  </si>
  <si>
    <t>EG0014</t>
  </si>
  <si>
    <t>EG0006</t>
  </si>
  <si>
    <t>EG0007</t>
  </si>
  <si>
    <t>EG0011</t>
  </si>
  <si>
    <t>ETG0001</t>
  </si>
  <si>
    <t>ET0001</t>
  </si>
  <si>
    <t>ET0002</t>
  </si>
  <si>
    <t>PIU0001</t>
  </si>
  <si>
    <t>PIU0006</t>
  </si>
  <si>
    <t>PIU0004</t>
  </si>
  <si>
    <t>PIU0003</t>
  </si>
  <si>
    <t>PIU0014</t>
  </si>
  <si>
    <t>PIU0015</t>
  </si>
  <si>
    <t>PRIU003</t>
  </si>
  <si>
    <t>PRIU002</t>
  </si>
  <si>
    <t>PIP001</t>
  </si>
  <si>
    <t>PEPC001</t>
  </si>
  <si>
    <t>PIU0008</t>
  </si>
  <si>
    <t>PIU0011</t>
  </si>
  <si>
    <t>PIU0005</t>
  </si>
  <si>
    <t>PIU0009</t>
  </si>
  <si>
    <t>PIU0010</t>
  </si>
  <si>
    <t>ORINF</t>
  </si>
  <si>
    <t>LI-AMB</t>
  </si>
  <si>
    <t>PIU0013</t>
  </si>
  <si>
    <t>TOTAL GERAL</t>
  </si>
  <si>
    <t>MEMÓRIA DE INSUMOS -  MICRODRENAGEM</t>
  </si>
  <si>
    <t xml:space="preserve">Código Referência: </t>
  </si>
  <si>
    <t>4720</t>
  </si>
  <si>
    <t>4721</t>
  </si>
  <si>
    <t>4718</t>
  </si>
  <si>
    <t>4730</t>
  </si>
  <si>
    <t xml:space="preserve">Descrição: </t>
  </si>
  <si>
    <t>PEDRA BRITADA N. 0, OU PEDRISCO (4,8 A 9,5 MM)</t>
  </si>
  <si>
    <t>PEDRA BRITADA N. 1 (9,5 a 19 MM)</t>
  </si>
  <si>
    <t>PEDRA BRITADA N. 2 (19 A 38 MM)</t>
  </si>
  <si>
    <t>PEDRA DE MAO OU PEDRA RACHAO PARA ARRIMO/FUNDACAO</t>
  </si>
  <si>
    <t xml:space="preserve">Unidade: </t>
  </si>
  <si>
    <t>M3</t>
  </si>
  <si>
    <t>Código (Composição)</t>
  </si>
  <si>
    <t>Quantidade</t>
  </si>
  <si>
    <t>Coeficiente</t>
  </si>
  <si>
    <t>98051</t>
  </si>
  <si>
    <t>SV/0160</t>
  </si>
  <si>
    <t>SP/0700</t>
  </si>
  <si>
    <t>SP/0650</t>
  </si>
  <si>
    <t>SP/0200</t>
  </si>
  <si>
    <t>SP/0190</t>
  </si>
  <si>
    <t>SP/0180</t>
  </si>
  <si>
    <t>SP/0150</t>
  </si>
  <si>
    <t>SP/0130</t>
  </si>
  <si>
    <t>SP/0009</t>
  </si>
  <si>
    <t>SC/0270</t>
  </si>
  <si>
    <t>SC/0260</t>
  </si>
  <si>
    <t>SC/0230</t>
  </si>
  <si>
    <t>SC/0220</t>
  </si>
  <si>
    <t>SC/0069</t>
  </si>
  <si>
    <t>SC/0042</t>
  </si>
  <si>
    <t>SC/0034</t>
  </si>
  <si>
    <t>SC/0033</t>
  </si>
  <si>
    <t>SC/0025</t>
  </si>
  <si>
    <t>SC/0012</t>
  </si>
  <si>
    <t>SC/0006</t>
  </si>
  <si>
    <t>SC/0004</t>
  </si>
  <si>
    <t>SC/0003</t>
  </si>
  <si>
    <t>SC/0002</t>
  </si>
  <si>
    <t>SC/0001</t>
  </si>
  <si>
    <t>RE/0058</t>
  </si>
  <si>
    <t>RE/0056</t>
  </si>
  <si>
    <t>RE/0053</t>
  </si>
  <si>
    <t>PA/0200</t>
  </si>
  <si>
    <t>PA/0190</t>
  </si>
  <si>
    <t>PA/0180</t>
  </si>
  <si>
    <t>PA/0160</t>
  </si>
  <si>
    <t>PA/0152</t>
  </si>
  <si>
    <t>PA/0151</t>
  </si>
  <si>
    <t>PA/0150.1</t>
  </si>
  <si>
    <t>PA/0141</t>
  </si>
  <si>
    <t>PA/0140</t>
  </si>
  <si>
    <t>PA/0101</t>
  </si>
  <si>
    <t>PA/0100</t>
  </si>
  <si>
    <t>PA/0081</t>
  </si>
  <si>
    <t>PA/0080</t>
  </si>
  <si>
    <t>PA/0071</t>
  </si>
  <si>
    <t>PA/0038</t>
  </si>
  <si>
    <t>PA/0037.1</t>
  </si>
  <si>
    <t>PA/0037</t>
  </si>
  <si>
    <t>PA/0036.1</t>
  </si>
  <si>
    <t>PA/0036</t>
  </si>
  <si>
    <t>PA/0034</t>
  </si>
  <si>
    <t>EC/0045</t>
  </si>
  <si>
    <t>EC/0041</t>
  </si>
  <si>
    <t>EC/0039</t>
  </si>
  <si>
    <t>EC/0038</t>
  </si>
  <si>
    <t>EC/0037</t>
  </si>
  <si>
    <t>EC/0036</t>
  </si>
  <si>
    <t>EC/0032</t>
  </si>
  <si>
    <t>EC/0031</t>
  </si>
  <si>
    <t>DR/0576</t>
  </si>
  <si>
    <t>DR/0575</t>
  </si>
  <si>
    <t>DR/0571</t>
  </si>
  <si>
    <t>DR/0570</t>
  </si>
  <si>
    <t>DR/0561</t>
  </si>
  <si>
    <t>DR/0560</t>
  </si>
  <si>
    <t>DR/0552</t>
  </si>
  <si>
    <t>DR/0415</t>
  </si>
  <si>
    <t>DR/0411</t>
  </si>
  <si>
    <t>DR/0410</t>
  </si>
  <si>
    <t>DR/0356</t>
  </si>
  <si>
    <t>DR/0341</t>
  </si>
  <si>
    <t>DR/0245</t>
  </si>
  <si>
    <t>DR/0227</t>
  </si>
  <si>
    <t>DR/0226</t>
  </si>
  <si>
    <t>DR/0222</t>
  </si>
  <si>
    <t>DR/0221</t>
  </si>
  <si>
    <t>DR/0217</t>
  </si>
  <si>
    <t>DR/0212</t>
  </si>
  <si>
    <t>DR/0207</t>
  </si>
  <si>
    <t>DR/0038</t>
  </si>
  <si>
    <t>99327</t>
  </si>
  <si>
    <t>99326</t>
  </si>
  <si>
    <t>99325</t>
  </si>
  <si>
    <t>99324</t>
  </si>
  <si>
    <t>99323</t>
  </si>
  <si>
    <t>99322</t>
  </si>
  <si>
    <t>99321</t>
  </si>
  <si>
    <t>99320</t>
  </si>
  <si>
    <t>99319</t>
  </si>
  <si>
    <t>99317</t>
  </si>
  <si>
    <t>99315</t>
  </si>
  <si>
    <t>99314</t>
  </si>
  <si>
    <t>99313</t>
  </si>
  <si>
    <t>99312</t>
  </si>
  <si>
    <t>99311</t>
  </si>
  <si>
    <t>99310</t>
  </si>
  <si>
    <t>99309</t>
  </si>
  <si>
    <t>99308</t>
  </si>
  <si>
    <t>99307</t>
  </si>
  <si>
    <t>99306</t>
  </si>
  <si>
    <t>99305</t>
  </si>
  <si>
    <t>99304</t>
  </si>
  <si>
    <t>99303</t>
  </si>
  <si>
    <t>99302</t>
  </si>
  <si>
    <t>99301</t>
  </si>
  <si>
    <t>99300</t>
  </si>
  <si>
    <t>99299</t>
  </si>
  <si>
    <t>99298</t>
  </si>
  <si>
    <t>99297</t>
  </si>
  <si>
    <t>99296</t>
  </si>
  <si>
    <t>99294</t>
  </si>
  <si>
    <t>99293</t>
  </si>
  <si>
    <t>99292</t>
  </si>
  <si>
    <t>99291</t>
  </si>
  <si>
    <t>99290</t>
  </si>
  <si>
    <t>99289</t>
  </si>
  <si>
    <t>99287</t>
  </si>
  <si>
    <t>99286</t>
  </si>
  <si>
    <t>99285</t>
  </si>
  <si>
    <t>99284</t>
  </si>
  <si>
    <t>99283</t>
  </si>
  <si>
    <t>99282</t>
  </si>
  <si>
    <t>99281</t>
  </si>
  <si>
    <t>99280</t>
  </si>
  <si>
    <t>99279</t>
  </si>
  <si>
    <t>99277</t>
  </si>
  <si>
    <t>99276</t>
  </si>
  <si>
    <t>99275</t>
  </si>
  <si>
    <t>99274</t>
  </si>
  <si>
    <t>99273</t>
  </si>
  <si>
    <t>99272</t>
  </si>
  <si>
    <t>99271</t>
  </si>
  <si>
    <t>99270</t>
  </si>
  <si>
    <t>99269</t>
  </si>
  <si>
    <t>99268</t>
  </si>
  <si>
    <t>99267</t>
  </si>
  <si>
    <t>99266</t>
  </si>
  <si>
    <t>99265</t>
  </si>
  <si>
    <t>99264</t>
  </si>
  <si>
    <t>99263</t>
  </si>
  <si>
    <t>99262</t>
  </si>
  <si>
    <t>99261</t>
  </si>
  <si>
    <t>99260</t>
  </si>
  <si>
    <t>99259</t>
  </si>
  <si>
    <t>99258</t>
  </si>
  <si>
    <t>99257</t>
  </si>
  <si>
    <t>99256</t>
  </si>
  <si>
    <t>99255</t>
  </si>
  <si>
    <t>99254</t>
  </si>
  <si>
    <t>99253</t>
  </si>
  <si>
    <t>99252</t>
  </si>
  <si>
    <t>99251</t>
  </si>
  <si>
    <t>99250</t>
  </si>
  <si>
    <t>99249</t>
  </si>
  <si>
    <t>99248</t>
  </si>
  <si>
    <t>99247</t>
  </si>
  <si>
    <t>99244</t>
  </si>
  <si>
    <t>99243</t>
  </si>
  <si>
    <t>99242</t>
  </si>
  <si>
    <t>99241</t>
  </si>
  <si>
    <t>99063</t>
  </si>
  <si>
    <t>99060</t>
  </si>
  <si>
    <t>99059</t>
  </si>
  <si>
    <t>98659</t>
  </si>
  <si>
    <t>98658</t>
  </si>
  <si>
    <t>98657</t>
  </si>
  <si>
    <t>98656</t>
  </si>
  <si>
    <t>98655</t>
  </si>
  <si>
    <t>98522</t>
  </si>
  <si>
    <t>98459</t>
  </si>
  <si>
    <t>98458</t>
  </si>
  <si>
    <t>98454</t>
  </si>
  <si>
    <t>98453</t>
  </si>
  <si>
    <t>98449</t>
  </si>
  <si>
    <t>98446</t>
  </si>
  <si>
    <t>98445</t>
  </si>
  <si>
    <t>98441</t>
  </si>
  <si>
    <t>98410</t>
  </si>
  <si>
    <t>98408</t>
  </si>
  <si>
    <t>98407</t>
  </si>
  <si>
    <t>98406</t>
  </si>
  <si>
    <t>98405</t>
  </si>
  <si>
    <t>98115</t>
  </si>
  <si>
    <t>98114</t>
  </si>
  <si>
    <t>98109</t>
  </si>
  <si>
    <t>98108</t>
  </si>
  <si>
    <t>98107</t>
  </si>
  <si>
    <t>98106</t>
  </si>
  <si>
    <t>98105</t>
  </si>
  <si>
    <t>98104</t>
  </si>
  <si>
    <t>98101</t>
  </si>
  <si>
    <t>98100</t>
  </si>
  <si>
    <t>98099</t>
  </si>
  <si>
    <t>98094</t>
  </si>
  <si>
    <t>98093</t>
  </si>
  <si>
    <t>98092</t>
  </si>
  <si>
    <t>98091</t>
  </si>
  <si>
    <t>98090</t>
  </si>
  <si>
    <t>98089</t>
  </si>
  <si>
    <t>98088</t>
  </si>
  <si>
    <t>98087</t>
  </si>
  <si>
    <t>98086</t>
  </si>
  <si>
    <t>98085</t>
  </si>
  <si>
    <t>98084</t>
  </si>
  <si>
    <t>98083</t>
  </si>
  <si>
    <t>98082</t>
  </si>
  <si>
    <t>98081</t>
  </si>
  <si>
    <t>98080</t>
  </si>
  <si>
    <t>98079</t>
  </si>
  <si>
    <t>98078</t>
  </si>
  <si>
    <t>98077</t>
  </si>
  <si>
    <t>98076</t>
  </si>
  <si>
    <t>98075</t>
  </si>
  <si>
    <t>98074</t>
  </si>
  <si>
    <t>98073</t>
  </si>
  <si>
    <t>98072</t>
  </si>
  <si>
    <t>98071</t>
  </si>
  <si>
    <t>98070</t>
  </si>
  <si>
    <t>98069</t>
  </si>
  <si>
    <t>98068</t>
  </si>
  <si>
    <t>98067</t>
  </si>
  <si>
    <t>98066</t>
  </si>
  <si>
    <t>98065</t>
  </si>
  <si>
    <t>98064</t>
  </si>
  <si>
    <t>98063</t>
  </si>
  <si>
    <t>98062</t>
  </si>
  <si>
    <t>98061</t>
  </si>
  <si>
    <t>98060</t>
  </si>
  <si>
    <t>98059</t>
  </si>
  <si>
    <t>98058</t>
  </si>
  <si>
    <t>98057</t>
  </si>
  <si>
    <t>98056</t>
  </si>
  <si>
    <t>98055</t>
  </si>
  <si>
    <t>98054</t>
  </si>
  <si>
    <t>98053</t>
  </si>
  <si>
    <t>98052</t>
  </si>
  <si>
    <t>98049</t>
  </si>
  <si>
    <t>98048</t>
  </si>
  <si>
    <t>98047</t>
  </si>
  <si>
    <t>98046</t>
  </si>
  <si>
    <t>98045</t>
  </si>
  <si>
    <t>98044</t>
  </si>
  <si>
    <t>98043</t>
  </si>
  <si>
    <t>98042</t>
  </si>
  <si>
    <t>98041</t>
  </si>
  <si>
    <t>98040</t>
  </si>
  <si>
    <t>98039</t>
  </si>
  <si>
    <t>98038</t>
  </si>
  <si>
    <t>98037</t>
  </si>
  <si>
    <t>98036</t>
  </si>
  <si>
    <t>98035</t>
  </si>
  <si>
    <t>98034</t>
  </si>
  <si>
    <t>98033</t>
  </si>
  <si>
    <t>98032</t>
  </si>
  <si>
    <t>98031</t>
  </si>
  <si>
    <t>98030</t>
  </si>
  <si>
    <t>98029</t>
  </si>
  <si>
    <t>98028</t>
  </si>
  <si>
    <t>98027</t>
  </si>
  <si>
    <t>98026</t>
  </si>
  <si>
    <t>98025</t>
  </si>
  <si>
    <t>98024</t>
  </si>
  <si>
    <t>98023</t>
  </si>
  <si>
    <t>98022</t>
  </si>
  <si>
    <t>98021</t>
  </si>
  <si>
    <t>98020</t>
  </si>
  <si>
    <t>98019</t>
  </si>
  <si>
    <t>98018</t>
  </si>
  <si>
    <t>98017</t>
  </si>
  <si>
    <t>98016</t>
  </si>
  <si>
    <t>98015</t>
  </si>
  <si>
    <t>98014</t>
  </si>
  <si>
    <t>98013</t>
  </si>
  <si>
    <t>98012</t>
  </si>
  <si>
    <t>98011</t>
  </si>
  <si>
    <t>98010</t>
  </si>
  <si>
    <t>98009</t>
  </si>
  <si>
    <t>98008</t>
  </si>
  <si>
    <t>98007</t>
  </si>
  <si>
    <t>98006</t>
  </si>
  <si>
    <t>98005</t>
  </si>
  <si>
    <t>98003</t>
  </si>
  <si>
    <t>98002</t>
  </si>
  <si>
    <t>98001</t>
  </si>
  <si>
    <t>97999</t>
  </si>
  <si>
    <t>97997</t>
  </si>
  <si>
    <t>97996</t>
  </si>
  <si>
    <t>97995</t>
  </si>
  <si>
    <t>97994</t>
  </si>
  <si>
    <t>97993</t>
  </si>
  <si>
    <t>97992</t>
  </si>
  <si>
    <t>97989</t>
  </si>
  <si>
    <t>97988</t>
  </si>
  <si>
    <t>97985</t>
  </si>
  <si>
    <t>97981</t>
  </si>
  <si>
    <t>97980</t>
  </si>
  <si>
    <t>97978</t>
  </si>
  <si>
    <t>97977</t>
  </si>
  <si>
    <t>97976</t>
  </si>
  <si>
    <t>97975</t>
  </si>
  <si>
    <t>97974</t>
  </si>
  <si>
    <t>97973</t>
  </si>
  <si>
    <t>97961</t>
  </si>
  <si>
    <t>97957</t>
  </si>
  <si>
    <t>97956</t>
  </si>
  <si>
    <t>97955</t>
  </si>
  <si>
    <t>97953</t>
  </si>
  <si>
    <t>97952</t>
  </si>
  <si>
    <t>97951</t>
  </si>
  <si>
    <t>97950</t>
  </si>
  <si>
    <t>97949</t>
  </si>
  <si>
    <t>97948</t>
  </si>
  <si>
    <t>97947</t>
  </si>
  <si>
    <t>97936</t>
  </si>
  <si>
    <t>97935</t>
  </si>
  <si>
    <t>97934</t>
  </si>
  <si>
    <t>97908</t>
  </si>
  <si>
    <t>97907</t>
  </si>
  <si>
    <t>97906</t>
  </si>
  <si>
    <t>97905</t>
  </si>
  <si>
    <t>97904</t>
  </si>
  <si>
    <t>97903</t>
  </si>
  <si>
    <t>97902</t>
  </si>
  <si>
    <t>97901</t>
  </si>
  <si>
    <t>97900</t>
  </si>
  <si>
    <t>97898</t>
  </si>
  <si>
    <t>97894</t>
  </si>
  <si>
    <t>97893</t>
  </si>
  <si>
    <t>97892</t>
  </si>
  <si>
    <t>97891</t>
  </si>
  <si>
    <t>97890</t>
  </si>
  <si>
    <t>97889</t>
  </si>
  <si>
    <t>97888</t>
  </si>
  <si>
    <t>97887</t>
  </si>
  <si>
    <t>97886</t>
  </si>
  <si>
    <t>97885</t>
  </si>
  <si>
    <t>97884</t>
  </si>
  <si>
    <t>97883</t>
  </si>
  <si>
    <t>97882</t>
  </si>
  <si>
    <t>97881</t>
  </si>
  <si>
    <t>97740</t>
  </si>
  <si>
    <t>97739</t>
  </si>
  <si>
    <t>97738</t>
  </si>
  <si>
    <t>97737</t>
  </si>
  <si>
    <t>97736</t>
  </si>
  <si>
    <t>97735</t>
  </si>
  <si>
    <t>97734</t>
  </si>
  <si>
    <t>97733</t>
  </si>
  <si>
    <t>97103</t>
  </si>
  <si>
    <t>97102</t>
  </si>
  <si>
    <t>97101</t>
  </si>
  <si>
    <t>96624</t>
  </si>
  <si>
    <t>96623</t>
  </si>
  <si>
    <t>96622</t>
  </si>
  <si>
    <t>96621</t>
  </si>
  <si>
    <t>96620</t>
  </si>
  <si>
    <t>96619</t>
  </si>
  <si>
    <t>96617</t>
  </si>
  <si>
    <t>96616</t>
  </si>
  <si>
    <t>96556</t>
  </si>
  <si>
    <t>96555</t>
  </si>
  <si>
    <t>96400</t>
  </si>
  <si>
    <t>96399</t>
  </si>
  <si>
    <t>96398</t>
  </si>
  <si>
    <t>96397</t>
  </si>
  <si>
    <t>96396</t>
  </si>
  <si>
    <t>96395</t>
  </si>
  <si>
    <t>96394</t>
  </si>
  <si>
    <t>96393</t>
  </si>
  <si>
    <t>95241</t>
  </si>
  <si>
    <t>95240</t>
  </si>
  <si>
    <t>95108</t>
  </si>
  <si>
    <t>94994</t>
  </si>
  <si>
    <t>94992</t>
  </si>
  <si>
    <t>94990</t>
  </si>
  <si>
    <t>94975</t>
  </si>
  <si>
    <t>94974</t>
  </si>
  <si>
    <t>94973</t>
  </si>
  <si>
    <t>94972</t>
  </si>
  <si>
    <t>94971</t>
  </si>
  <si>
    <t>94970</t>
  </si>
  <si>
    <t>94969</t>
  </si>
  <si>
    <t>94968</t>
  </si>
  <si>
    <t>94967</t>
  </si>
  <si>
    <t>94966</t>
  </si>
  <si>
    <t>94965</t>
  </si>
  <si>
    <t>94964</t>
  </si>
  <si>
    <t>94963</t>
  </si>
  <si>
    <t>94962</t>
  </si>
  <si>
    <t>94294</t>
  </si>
  <si>
    <t>93205</t>
  </si>
  <si>
    <t>93199</t>
  </si>
  <si>
    <t>93197</t>
  </si>
  <si>
    <t>93194</t>
  </si>
  <si>
    <t>93191</t>
  </si>
  <si>
    <t>93187</t>
  </si>
  <si>
    <t>93184</t>
  </si>
  <si>
    <t>92758</t>
  </si>
  <si>
    <t>92757</t>
  </si>
  <si>
    <t>92756</t>
  </si>
  <si>
    <t>92755</t>
  </si>
  <si>
    <t>92752</t>
  </si>
  <si>
    <t>92751</t>
  </si>
  <si>
    <t>92750</t>
  </si>
  <si>
    <t>92749</t>
  </si>
  <si>
    <t>92748</t>
  </si>
  <si>
    <t>92747</t>
  </si>
  <si>
    <t>92746</t>
  </si>
  <si>
    <t>92745</t>
  </si>
  <si>
    <t>92744</t>
  </si>
  <si>
    <t>92743</t>
  </si>
  <si>
    <t>91101</t>
  </si>
  <si>
    <t>91100</t>
  </si>
  <si>
    <t>91099</t>
  </si>
  <si>
    <t>91098</t>
  </si>
  <si>
    <t>91097</t>
  </si>
  <si>
    <t>91096</t>
  </si>
  <si>
    <t>91095</t>
  </si>
  <si>
    <t>91094</t>
  </si>
  <si>
    <t>91093</t>
  </si>
  <si>
    <t>91092</t>
  </si>
  <si>
    <t>91091</t>
  </si>
  <si>
    <t>91090</t>
  </si>
  <si>
    <t>91089</t>
  </si>
  <si>
    <t>91088</t>
  </si>
  <si>
    <t>91087</t>
  </si>
  <si>
    <t>91086</t>
  </si>
  <si>
    <t>91084</t>
  </si>
  <si>
    <t>91083</t>
  </si>
  <si>
    <t>91082</t>
  </si>
  <si>
    <t>91081</t>
  </si>
  <si>
    <t>91080</t>
  </si>
  <si>
    <t>91079</t>
  </si>
  <si>
    <t>91078</t>
  </si>
  <si>
    <t>91077</t>
  </si>
  <si>
    <t>91076</t>
  </si>
  <si>
    <t>91075</t>
  </si>
  <si>
    <t>91074</t>
  </si>
  <si>
    <t>91073</t>
  </si>
  <si>
    <t>91072</t>
  </si>
  <si>
    <t>91071</t>
  </si>
  <si>
    <t>91070</t>
  </si>
  <si>
    <t>91069</t>
  </si>
  <si>
    <t>90285</t>
  </si>
  <si>
    <t>90284</t>
  </si>
  <si>
    <t>90283</t>
  </si>
  <si>
    <t>90282</t>
  </si>
  <si>
    <t>90281</t>
  </si>
  <si>
    <t>90280</t>
  </si>
  <si>
    <t>90279</t>
  </si>
  <si>
    <t>90278</t>
  </si>
  <si>
    <t>89995</t>
  </si>
  <si>
    <t>89994</t>
  </si>
  <si>
    <t>89993</t>
  </si>
  <si>
    <t>105130</t>
  </si>
  <si>
    <t>105114</t>
  </si>
  <si>
    <t>105040</t>
  </si>
  <si>
    <t>105039</t>
  </si>
  <si>
    <t>105038</t>
  </si>
  <si>
    <t>105037</t>
  </si>
  <si>
    <t>105036</t>
  </si>
  <si>
    <t>105035</t>
  </si>
  <si>
    <t>105034</t>
  </si>
  <si>
    <t>105033</t>
  </si>
  <si>
    <t>105032</t>
  </si>
  <si>
    <t>105031</t>
  </si>
  <si>
    <t>105030</t>
  </si>
  <si>
    <t>105029</t>
  </si>
  <si>
    <t>105028</t>
  </si>
  <si>
    <t>105027</t>
  </si>
  <si>
    <t>105026</t>
  </si>
  <si>
    <t>105025</t>
  </si>
  <si>
    <t>105024</t>
  </si>
  <si>
    <t>105023</t>
  </si>
  <si>
    <t>105022</t>
  </si>
  <si>
    <t>105021</t>
  </si>
  <si>
    <t>105009</t>
  </si>
  <si>
    <t>105005</t>
  </si>
  <si>
    <t>105004</t>
  </si>
  <si>
    <t>105003</t>
  </si>
  <si>
    <t>105002</t>
  </si>
  <si>
    <t>105001</t>
  </si>
  <si>
    <t>105000</t>
  </si>
  <si>
    <t>104923</t>
  </si>
  <si>
    <t>103932</t>
  </si>
  <si>
    <t>103931</t>
  </si>
  <si>
    <t>103930</t>
  </si>
  <si>
    <t>103929</t>
  </si>
  <si>
    <t>103928</t>
  </si>
  <si>
    <t>103801</t>
  </si>
  <si>
    <t>103800</t>
  </si>
  <si>
    <t>103799</t>
  </si>
  <si>
    <t>103519</t>
  </si>
  <si>
    <t>103491</t>
  </si>
  <si>
    <t>103490</t>
  </si>
  <si>
    <t>103315</t>
  </si>
  <si>
    <t>103314</t>
  </si>
  <si>
    <t>103310</t>
  </si>
  <si>
    <t>103307</t>
  </si>
  <si>
    <t>103210</t>
  </si>
  <si>
    <t>103209</t>
  </si>
  <si>
    <t>103208</t>
  </si>
  <si>
    <t>103207</t>
  </si>
  <si>
    <t>103206</t>
  </si>
  <si>
    <t>103205</t>
  </si>
  <si>
    <t>103195</t>
  </si>
  <si>
    <t>103194</t>
  </si>
  <si>
    <t>103193</t>
  </si>
  <si>
    <t>103192</t>
  </si>
  <si>
    <t>103191</t>
  </si>
  <si>
    <t>103190</t>
  </si>
  <si>
    <t>103080</t>
  </si>
  <si>
    <t>103079</t>
  </si>
  <si>
    <t>103078</t>
  </si>
  <si>
    <t>103077</t>
  </si>
  <si>
    <t>103076</t>
  </si>
  <si>
    <t>103075</t>
  </si>
  <si>
    <t>103074</t>
  </si>
  <si>
    <t>103073</t>
  </si>
  <si>
    <t>103072</t>
  </si>
  <si>
    <t>103007</t>
  </si>
  <si>
    <t>103006</t>
  </si>
  <si>
    <t>103005</t>
  </si>
  <si>
    <t>103000</t>
  </si>
  <si>
    <t>102999</t>
  </si>
  <si>
    <t>102998</t>
  </si>
  <si>
    <t>102997</t>
  </si>
  <si>
    <t>102996</t>
  </si>
  <si>
    <t>102995</t>
  </si>
  <si>
    <t>102802</t>
  </si>
  <si>
    <t>102801</t>
  </si>
  <si>
    <t>102800</t>
  </si>
  <si>
    <t>102799</t>
  </si>
  <si>
    <t>102798</t>
  </si>
  <si>
    <t>102797</t>
  </si>
  <si>
    <t>102796</t>
  </si>
  <si>
    <t>102795</t>
  </si>
  <si>
    <t>102794</t>
  </si>
  <si>
    <t>102793</t>
  </si>
  <si>
    <t>102792</t>
  </si>
  <si>
    <t>102791</t>
  </si>
  <si>
    <t>102790</t>
  </si>
  <si>
    <t>102789</t>
  </si>
  <si>
    <t>102788</t>
  </si>
  <si>
    <t>102787</t>
  </si>
  <si>
    <t>102786</t>
  </si>
  <si>
    <t>102785</t>
  </si>
  <si>
    <t>102784</t>
  </si>
  <si>
    <t>102783</t>
  </si>
  <si>
    <t>102782</t>
  </si>
  <si>
    <t>102781</t>
  </si>
  <si>
    <t>102780</t>
  </si>
  <si>
    <t>102779</t>
  </si>
  <si>
    <t>102778</t>
  </si>
  <si>
    <t>102777</t>
  </si>
  <si>
    <t>102776</t>
  </si>
  <si>
    <t>102775</t>
  </si>
  <si>
    <t>102774</t>
  </si>
  <si>
    <t>102773</t>
  </si>
  <si>
    <t>102772</t>
  </si>
  <si>
    <t>102771</t>
  </si>
  <si>
    <t>102770</t>
  </si>
  <si>
    <t>102769</t>
  </si>
  <si>
    <t>102768</t>
  </si>
  <si>
    <t>102767</t>
  </si>
  <si>
    <t>102766</t>
  </si>
  <si>
    <t>102765</t>
  </si>
  <si>
    <t>102764</t>
  </si>
  <si>
    <t>102763</t>
  </si>
  <si>
    <t>102762</t>
  </si>
  <si>
    <t>102761</t>
  </si>
  <si>
    <t>102760</t>
  </si>
  <si>
    <t>102759</t>
  </si>
  <si>
    <t>102758</t>
  </si>
  <si>
    <t>102757</t>
  </si>
  <si>
    <t>102756</t>
  </si>
  <si>
    <t>102755</t>
  </si>
  <si>
    <t>102754</t>
  </si>
  <si>
    <t>102753</t>
  </si>
  <si>
    <t>102752</t>
  </si>
  <si>
    <t>102751</t>
  </si>
  <si>
    <t>102750</t>
  </si>
  <si>
    <t>102749</t>
  </si>
  <si>
    <t>102748</t>
  </si>
  <si>
    <t>102747</t>
  </si>
  <si>
    <t>102746</t>
  </si>
  <si>
    <t>102745</t>
  </si>
  <si>
    <t>102744</t>
  </si>
  <si>
    <t>102743</t>
  </si>
  <si>
    <t>102742</t>
  </si>
  <si>
    <t>102741</t>
  </si>
  <si>
    <t>102740</t>
  </si>
  <si>
    <t>102739</t>
  </si>
  <si>
    <t>102738</t>
  </si>
  <si>
    <t>102737</t>
  </si>
  <si>
    <t>102726</t>
  </si>
  <si>
    <t>102725</t>
  </si>
  <si>
    <t>102724</t>
  </si>
  <si>
    <t>102723</t>
  </si>
  <si>
    <t>102722</t>
  </si>
  <si>
    <t>102719</t>
  </si>
  <si>
    <t>102717</t>
  </si>
  <si>
    <t>102703</t>
  </si>
  <si>
    <t>102697</t>
  </si>
  <si>
    <t>102693</t>
  </si>
  <si>
    <t>102690</t>
  </si>
  <si>
    <t>102687</t>
  </si>
  <si>
    <t>102685</t>
  </si>
  <si>
    <t>102684</t>
  </si>
  <si>
    <t>102683</t>
  </si>
  <si>
    <t>102681</t>
  </si>
  <si>
    <t>102680</t>
  </si>
  <si>
    <t>102679</t>
  </si>
  <si>
    <t>102678</t>
  </si>
  <si>
    <t>102669</t>
  </si>
  <si>
    <t>102668</t>
  </si>
  <si>
    <t>102666</t>
  </si>
  <si>
    <t>102665</t>
  </si>
  <si>
    <t>102664</t>
  </si>
  <si>
    <t>102487</t>
  </si>
  <si>
    <t>102457</t>
  </si>
  <si>
    <t>102364</t>
  </si>
  <si>
    <t>102363</t>
  </si>
  <si>
    <t>102362</t>
  </si>
  <si>
    <t>102142</t>
  </si>
  <si>
    <t>102141</t>
  </si>
  <si>
    <t>102139</t>
  </si>
  <si>
    <t>101849</t>
  </si>
  <si>
    <t>101848</t>
  </si>
  <si>
    <t>101847</t>
  </si>
  <si>
    <t>101846</t>
  </si>
  <si>
    <t>101845</t>
  </si>
  <si>
    <t>101844</t>
  </si>
  <si>
    <t>101843</t>
  </si>
  <si>
    <t>101842</t>
  </si>
  <si>
    <t>101841</t>
  </si>
  <si>
    <t>101835</t>
  </si>
  <si>
    <t>101834</t>
  </si>
  <si>
    <t>101833</t>
  </si>
  <si>
    <t>101832</t>
  </si>
  <si>
    <t>101831</t>
  </si>
  <si>
    <t>101830</t>
  </si>
  <si>
    <t>101829</t>
  </si>
  <si>
    <t>101828</t>
  </si>
  <si>
    <t>101827</t>
  </si>
  <si>
    <t>101809</t>
  </si>
  <si>
    <t>101808</t>
  </si>
  <si>
    <t>101807</t>
  </si>
  <si>
    <t>101806</t>
  </si>
  <si>
    <t>101805</t>
  </si>
  <si>
    <t>101804</t>
  </si>
  <si>
    <t>101803</t>
  </si>
  <si>
    <t>101802</t>
  </si>
  <si>
    <t>101801</t>
  </si>
  <si>
    <t>101800</t>
  </si>
  <si>
    <t>101795</t>
  </si>
  <si>
    <t>101624</t>
  </si>
  <si>
    <t>101623</t>
  </si>
  <si>
    <t>101621</t>
  </si>
  <si>
    <t>101619</t>
  </si>
  <si>
    <t>101199</t>
  </si>
  <si>
    <t>101198</t>
  </si>
  <si>
    <t>101197</t>
  </si>
  <si>
    <t>101194</t>
  </si>
  <si>
    <t>101193</t>
  </si>
  <si>
    <t>101192</t>
  </si>
  <si>
    <t>101191</t>
  </si>
  <si>
    <t>101190</t>
  </si>
  <si>
    <t>101189</t>
  </si>
  <si>
    <t>101176</t>
  </si>
  <si>
    <t>101175</t>
  </si>
  <si>
    <t>101174</t>
  </si>
  <si>
    <t>101173</t>
  </si>
  <si>
    <t>101112</t>
  </si>
  <si>
    <t>101103</t>
  </si>
  <si>
    <t>101102</t>
  </si>
  <si>
    <t>101101</t>
  </si>
  <si>
    <t>101100</t>
  </si>
  <si>
    <t>101099</t>
  </si>
  <si>
    <t>101098</t>
  </si>
  <si>
    <t>101097</t>
  </si>
  <si>
    <t>101096</t>
  </si>
  <si>
    <t>100618</t>
  </si>
  <si>
    <t>100617</t>
  </si>
  <si>
    <t>100616</t>
  </si>
  <si>
    <t>100615</t>
  </si>
  <si>
    <t>100614</t>
  </si>
  <si>
    <t>100613</t>
  </si>
  <si>
    <t>100612</t>
  </si>
  <si>
    <t>100611</t>
  </si>
  <si>
    <t>100610</t>
  </si>
  <si>
    <t>100609</t>
  </si>
  <si>
    <t>100608</t>
  </si>
  <si>
    <t>100607</t>
  </si>
  <si>
    <t>100606</t>
  </si>
  <si>
    <t>100605</t>
  </si>
  <si>
    <t>100604</t>
  </si>
  <si>
    <t>100603</t>
  </si>
  <si>
    <t>100602</t>
  </si>
  <si>
    <t>100601</t>
  </si>
  <si>
    <t>100600</t>
  </si>
  <si>
    <t>100599</t>
  </si>
  <si>
    <t>100573</t>
  </si>
  <si>
    <t>100572</t>
  </si>
  <si>
    <t>100571</t>
  </si>
  <si>
    <t>100570</t>
  </si>
  <si>
    <t>100569</t>
  </si>
  <si>
    <t>100568</t>
  </si>
  <si>
    <t>100567</t>
  </si>
  <si>
    <t>100566</t>
  </si>
  <si>
    <t>100565</t>
  </si>
  <si>
    <t>100564</t>
  </si>
  <si>
    <t>100324</t>
  </si>
  <si>
    <t>Total</t>
  </si>
  <si>
    <t>Brita / Pedrisco / Pedra de Mão</t>
  </si>
  <si>
    <t>FILTRO ETAPA</t>
  </si>
  <si>
    <t>Mese</t>
  </si>
  <si>
    <t>CRONOGRAMA FÍSICO FINANCEIRO</t>
  </si>
  <si>
    <t>NÃO DESONERADO</t>
  </si>
  <si>
    <t>DISCRIMINAÇÃO DOS SERVIÇOS</t>
  </si>
  <si>
    <t>PRODUÇÃO</t>
  </si>
  <si>
    <t>MESES</t>
  </si>
  <si>
    <t>Totais</t>
  </si>
  <si>
    <t>serviço preliminar 1º mês (mínimo)</t>
  </si>
  <si>
    <t>MENSAL</t>
  </si>
  <si>
    <t>DIAS</t>
  </si>
  <si>
    <t>=→</t>
  </si>
  <si>
    <t>ND</t>
  </si>
  <si>
    <t>DE</t>
  </si>
  <si>
    <t>CONCEDENTE</t>
  </si>
  <si>
    <t>PROPONENTE</t>
  </si>
  <si>
    <t xml:space="preserve">Total </t>
  </si>
  <si>
    <t>Concedente</t>
  </si>
  <si>
    <t>Proponente</t>
  </si>
  <si>
    <t>Total Acumulado</t>
  </si>
  <si>
    <t>R$</t>
  </si>
  <si>
    <t>SÓ PODEM SER DELETADAS AS CÉLULAS QUE CONTÉM OS PERCENTAIS DO DESENVOLVIMENTO DOS SERVIÇOS MENSALMENTE</t>
  </si>
  <si>
    <t>ATENÇÃO: A ÚLTIMA MEDIÇÃO DO CONCEDENTE TEM DE SER MAIOR QUE 10%</t>
  </si>
  <si>
    <t>SERVIÇO:</t>
  </si>
  <si>
    <t>MUNICÍPIO:</t>
  </si>
  <si>
    <t>M.O. + EQP (%):</t>
  </si>
  <si>
    <t>MODALIDADE:</t>
  </si>
  <si>
    <t>SEM DESONERAÇÃO</t>
  </si>
  <si>
    <t>COM DESONERAÇÃO</t>
  </si>
  <si>
    <t>Variável</t>
  </si>
  <si>
    <t>Componente</t>
  </si>
  <si>
    <t>1° Quartil (%)</t>
  </si>
  <si>
    <t>Taxa(%)</t>
  </si>
  <si>
    <t>3° Quartil (%)</t>
  </si>
  <si>
    <t>R</t>
  </si>
  <si>
    <t>RISCO</t>
  </si>
  <si>
    <t>S+G</t>
  </si>
  <si>
    <t>SEGURO + GARANTIA</t>
  </si>
  <si>
    <t>DF</t>
  </si>
  <si>
    <t>DESPESAS FINANCEIRAS</t>
  </si>
  <si>
    <t>AC</t>
  </si>
  <si>
    <t>ADMINISTRAÇÃO CENTRAL</t>
  </si>
  <si>
    <t>L</t>
  </si>
  <si>
    <t>LUCRO</t>
  </si>
  <si>
    <t>PIS</t>
  </si>
  <si>
    <t>COFINS</t>
  </si>
  <si>
    <t>ISSQN</t>
  </si>
  <si>
    <t>INSS (CPRB)</t>
  </si>
  <si>
    <t>I</t>
  </si>
  <si>
    <t>TRIBUTOS</t>
  </si>
  <si>
    <t>Benefícios e Despesas Indiretas (BDI)</t>
  </si>
  <si>
    <t>Acórdão 2622/2013</t>
  </si>
  <si>
    <t>FORNECIMENTO DE MATERIAIS E EQUIPAMENTOS</t>
  </si>
  <si>
    <t>Taxa de Ressarcimento de Despesa e Encargos (TRDE)</t>
  </si>
  <si>
    <r>
      <rPr>
        <b/>
        <sz val="20"/>
        <color rgb="FF000000"/>
        <rFont val="Tahoma"/>
        <family val="2"/>
      </rPr>
      <t>TRDE</t>
    </r>
    <r>
      <rPr>
        <b/>
        <sz val="36"/>
        <color indexed="8"/>
        <rFont val="Tahoma"/>
        <family val="2"/>
      </rPr>
      <t xml:space="preserve"> </t>
    </r>
    <r>
      <rPr>
        <sz val="12"/>
        <color rgb="FF000000"/>
        <rFont val="Tahoma"/>
        <family val="2"/>
      </rPr>
      <t>SEM DESONERAÇÃO</t>
    </r>
  </si>
  <si>
    <r>
      <rPr>
        <b/>
        <sz val="20"/>
        <color rgb="FF000000"/>
        <rFont val="Tahoma"/>
        <family val="2"/>
      </rPr>
      <t>TRDE</t>
    </r>
    <r>
      <rPr>
        <b/>
        <sz val="36"/>
        <color indexed="8"/>
        <rFont val="Tahoma"/>
        <family val="2"/>
      </rPr>
      <t xml:space="preserve"> </t>
    </r>
    <r>
      <rPr>
        <sz val="12"/>
        <color rgb="FF000000"/>
        <rFont val="Tahoma"/>
        <family val="2"/>
      </rPr>
      <t>COM DESONERAÇÃO</t>
    </r>
  </si>
  <si>
    <t>a</t>
  </si>
  <si>
    <t>A</t>
  </si>
  <si>
    <t>B</t>
  </si>
  <si>
    <t>CURVA ABC</t>
  </si>
  <si>
    <t>C</t>
  </si>
  <si>
    <t>Nº REPETIÇÕES</t>
  </si>
  <si>
    <t>PREÇO UNITÁRIO (R$)</t>
  </si>
  <si>
    <t>PARCIAL (%)</t>
  </si>
  <si>
    <t>Σ (%)</t>
  </si>
  <si>
    <t>CLASSIFICAÇÃO</t>
  </si>
  <si>
    <t>COMPOSIÇÃO DE CUSTO UNITÁRIO</t>
  </si>
  <si>
    <t>OBRA       :</t>
  </si>
  <si>
    <t>PRAÇA     :</t>
  </si>
  <si>
    <t>DESONERADO</t>
  </si>
  <si>
    <t>DATA        :</t>
  </si>
  <si>
    <t>E.Sociais horista:</t>
  </si>
  <si>
    <t>E.Sociais mensalista:</t>
  </si>
  <si>
    <t>SERVIÇO</t>
  </si>
  <si>
    <t>UNIDADE DO SERVIÇO</t>
  </si>
  <si>
    <t xml:space="preserve">un </t>
  </si>
  <si>
    <t>Administração local do canteiro de obras</t>
  </si>
  <si>
    <t>PRAZO DA OBRA</t>
  </si>
  <si>
    <t>mês</t>
  </si>
  <si>
    <t>CÓDIGO_TEXTO</t>
  </si>
  <si>
    <t>EQUIPAMENTO</t>
  </si>
  <si>
    <t>CUSTO</t>
  </si>
  <si>
    <t>CUSTO
UNITÁRIO</t>
  </si>
  <si>
    <t>AD/0003</t>
  </si>
  <si>
    <t>AD/0006</t>
  </si>
  <si>
    <t>AD/0005</t>
  </si>
  <si>
    <t>B8958</t>
  </si>
  <si>
    <t>B8957</t>
  </si>
  <si>
    <t>CUSTO HORÁRIO DO EQUIPAMENTO</t>
  </si>
  <si>
    <t>MÃO DE OBRA</t>
  </si>
  <si>
    <t>SALÁRIO
BASE</t>
  </si>
  <si>
    <t>CUSTO
HORÁRIO</t>
  </si>
  <si>
    <t>CUSTO HORÁRIO DA MÃO DE OBRA</t>
  </si>
  <si>
    <t>CUSTO UNITÁRIO TOTAL</t>
  </si>
  <si>
    <t>CUSTO UNITÁRIO DA EXECUÇÃO</t>
  </si>
  <si>
    <t>CUSTO DIRETO MENSAL :</t>
  </si>
  <si>
    <t>Nota: Valores internos calculados com maior precisão e truncados para 2 casas decimais no relatório. Instrução normativa do DNIT</t>
  </si>
  <si>
    <t>QUADRO DAS DISTÂNCIAS MÉDIAS DE TRANSPORTE DOS INSUMOS - DMT</t>
  </si>
  <si>
    <t>PRODUTO</t>
  </si>
  <si>
    <t>DMT  (km) MÉDIA</t>
  </si>
  <si>
    <t>ORIGEM 1</t>
  </si>
  <si>
    <t>ORIGEM 2</t>
  </si>
  <si>
    <t>ORIGEM 3</t>
  </si>
  <si>
    <t>ORIGEM 4</t>
  </si>
  <si>
    <t>ORIGEM 5</t>
  </si>
  <si>
    <t>km</t>
  </si>
  <si>
    <t>Tubos/Paver/Piso tátil</t>
  </si>
  <si>
    <t>CAMPO GRANDE</t>
  </si>
  <si>
    <t>$O$3</t>
  </si>
  <si>
    <t>Jazida de solo</t>
  </si>
  <si>
    <t>RIBAS DO RIO PARDO</t>
  </si>
  <si>
    <t>$O$4</t>
  </si>
  <si>
    <t>$O$5</t>
  </si>
  <si>
    <t>Depósito bota-fora rocha</t>
  </si>
  <si>
    <t>$O$6</t>
  </si>
  <si>
    <t>Depósito de expurgo SEM reciclagem (1)</t>
  </si>
  <si>
    <t>$O$7</t>
  </si>
  <si>
    <t>Depósito de bota-fora com reciclagem (2)</t>
  </si>
  <si>
    <t>$O$8</t>
  </si>
  <si>
    <t>Depósito de bota-fora com reciclagem (3)</t>
  </si>
  <si>
    <t>$O$9</t>
  </si>
  <si>
    <t>Depósito de bota-fora com reciclagem (4)</t>
  </si>
  <si>
    <t>$O$10</t>
  </si>
  <si>
    <t>Areeiro/Obra</t>
  </si>
  <si>
    <t>$O$11</t>
  </si>
  <si>
    <t>Areeiro/Usina CBUQ</t>
  </si>
  <si>
    <t>$O$12</t>
  </si>
  <si>
    <t>Areeiro/Usina PMF</t>
  </si>
  <si>
    <t>$O$13</t>
  </si>
  <si>
    <t>Jazida de cascalho</t>
  </si>
  <si>
    <t>$O$14</t>
  </si>
  <si>
    <t>EAI_RR-1C_RR-2C_RC-1CE</t>
  </si>
  <si>
    <t>$O$15</t>
  </si>
  <si>
    <t>EMULSÃO RL-1C PARA PMF</t>
  </si>
  <si>
    <t>$O$16</t>
  </si>
  <si>
    <t>CAP 30/45</t>
  </si>
  <si>
    <t>$O$17</t>
  </si>
  <si>
    <t>CAP 50/70</t>
  </si>
  <si>
    <t>$O$18</t>
  </si>
  <si>
    <t>CAP 60/85E</t>
  </si>
  <si>
    <t>$O$19</t>
  </si>
  <si>
    <t>Usina de CBUQ</t>
  </si>
  <si>
    <t>$O$20</t>
  </si>
  <si>
    <t>Usina de PMF</t>
  </si>
  <si>
    <t>$O$21</t>
  </si>
  <si>
    <t>Pedreira/Usina CBUQ</t>
  </si>
  <si>
    <t>$O$22</t>
  </si>
  <si>
    <t>Pedreira/Usina PMF</t>
  </si>
  <si>
    <t>$O$23</t>
  </si>
  <si>
    <t>Pedreira/Obra</t>
  </si>
  <si>
    <t>$O$24</t>
  </si>
  <si>
    <t>Cimento/Obra</t>
  </si>
  <si>
    <t>$O$25</t>
  </si>
  <si>
    <t>Aço/Ponte</t>
  </si>
  <si>
    <t>QUADRO DE ANÁLISE ESTATÍSTICA</t>
  </si>
  <si>
    <t>RESUMO DO ORÇAMENTO</t>
  </si>
  <si>
    <t xml:space="preserve">CUSTO DA OBRA </t>
  </si>
  <si>
    <t>PREÇO (R$)</t>
  </si>
  <si>
    <t>PESO (%)</t>
  </si>
  <si>
    <t>TOTAL SERVIÇOS</t>
  </si>
  <si>
    <t>TOTAL  DRENAGEM</t>
  </si>
  <si>
    <t>TOTAL PAVIMENTAÇÃO</t>
  </si>
  <si>
    <t>TOTAL IMPLANTAÇÃO</t>
  </si>
  <si>
    <t>TOTAL RECAPEAMENTO</t>
  </si>
  <si>
    <t>RESUMO - GERAL</t>
  </si>
  <si>
    <t>PLANILHA DE QUANTIDADES DE SERVIÇOS PRELIMINARES
PROJETO DE ENGENHARIA</t>
  </si>
  <si>
    <t>OBRAS / SERVIÇOS</t>
  </si>
  <si>
    <t>CONCEITO</t>
  </si>
  <si>
    <t>DRENAGEM GALERIA (m)</t>
  </si>
  <si>
    <t>IMPLANTAÇÃO ASFÁLTICA (m)</t>
  </si>
  <si>
    <t>DRENAGEM PROFUNDA (m)</t>
  </si>
  <si>
    <t>RECAPEAMENTO (m)</t>
  </si>
  <si>
    <t>PASSEIO (m)</t>
  </si>
  <si>
    <t>CICLOVIA (m)</t>
  </si>
  <si>
    <t>QUANTIDADE (un)</t>
  </si>
  <si>
    <t>LARGURA (m)</t>
  </si>
  <si>
    <t>ALTURA / ESPESSURA (m)</t>
  </si>
  <si>
    <t>COMPRIMENTO (m)</t>
  </si>
  <si>
    <t>TOTAL</t>
  </si>
  <si>
    <t>EXTENSÃO
(m)</t>
  </si>
  <si>
    <t>PLACA DE OBRA
(m²)</t>
  </si>
  <si>
    <t>PADRÃO FORNCEDIDO PELO CONTRATANTE</t>
  </si>
  <si>
    <t>PRAZO DA OBRA
(mês)</t>
  </si>
  <si>
    <t>DETERMINADO NO CRONOGRAMA</t>
  </si>
  <si>
    <t>BARRACÃO DE OBRA
(m²)</t>
  </si>
  <si>
    <t>ESCRITÓRIO, COM WC</t>
  </si>
  <si>
    <t>L ≤ 10 km = 1 un
L &gt; 10 km = 2 un</t>
  </si>
  <si>
    <t>ALMOXARIFADO, SEM WC</t>
  </si>
  <si>
    <t>L ≤ 5 km = 1 un
5 km &lt; L ≤ 10 km = 2un
L &gt; 10 km = 3 un</t>
  </si>
  <si>
    <t>SANITÁRIO</t>
  </si>
  <si>
    <t>L ≤ 10 km = 1 un
10 km &lt; L ≤ 15 km = 2un
L &gt; 15 km = 3 un</t>
  </si>
  <si>
    <t>BARRACO DE OBRA TIPO CONTAINER (unes)</t>
  </si>
  <si>
    <t>ESCRITÓRIO (2,30m x 6,00m), COM 1 WC</t>
  </si>
  <si>
    <t>OK</t>
  </si>
  <si>
    <t>ALMOXARIFADO (2,30m x 6,00m), SEM WC</t>
  </si>
  <si>
    <t>SANITÁRIO (2,30m x 4,30m)</t>
  </si>
  <si>
    <t>GUARITA</t>
  </si>
  <si>
    <t>BANHEIRO QUÍMICO
(un.mês)</t>
  </si>
  <si>
    <t>PÁTIO DO CANTEIRO DE OBRAS CERCAMENTO DA ÁREA (m)</t>
  </si>
  <si>
    <t>C OU T?</t>
  </si>
  <si>
    <t>PÁTIO DO CANTEIRO DE OBRAS PORTÃO DE ACESSO DE VEÍCULOS (m²)</t>
  </si>
  <si>
    <t>PÁTIO DO CANTEIRO DE OBRAS LIMPEZA DA ÁREA (m²)</t>
  </si>
  <si>
    <t>PÁTIO DO CANTEIRO DE OBRAS
REVESTIMENTO DO TERRENO (m²)</t>
  </si>
  <si>
    <t>PÁTIO DO CANTEIRO DE OBRAS
REVESTIMENTO DO TERRENO (m³) (VOLUME GEOMÉTRICO)</t>
  </si>
  <si>
    <t>SEGURANÇA DE TRÂNSITO - PLACA DE ADVERTÊNCIA (m²)</t>
  </si>
  <si>
    <t>1 PLACAS DE 1m² PARA CADA 150m DE EXTENSÃO DA OBRA</t>
  </si>
  <si>
    <t>SEGURANÇA DE TRÂNSITO - ELEMENTO LUMINOSO (m)</t>
  </si>
  <si>
    <t xml:space="preserve"> 1m PARA POR EXTENSÃO DE TAPUME DA DRENAGEM</t>
  </si>
  <si>
    <t>TELA CERQUITE
(m)</t>
  </si>
  <si>
    <t>EXTENSÕES PREVISTAS PARA OS SERVIÇOS PRELIMINARES DA DRENAGEM, NO DRENO PROFUNDO, PASSEIO E CICLOVIA; PAVIMENTAÇÃO E RECAPEAMENTO (20%)</t>
  </si>
  <si>
    <t>CONES E CILINDROS
(un)</t>
  </si>
  <si>
    <t>1un PARA CADA 75m DE EXTENSÃO DAS OBRAS</t>
  </si>
  <si>
    <t>SONDAGEM DE INTERFERÊNCIA
(un)</t>
  </si>
  <si>
    <t>01 un DE INVESTIGAÇÃO A CADA TRECHO DE 100m DE DRENAGEM</t>
  </si>
  <si>
    <t>REPARO EM RAMAL
(un)</t>
  </si>
  <si>
    <t>02 un DE REPARO PARA CADA TRECHO DE DRENAGEM</t>
  </si>
  <si>
    <t>RECOMPOSIÇÃO DAS VIAS NÃO PAVIMENTADAS (m²)</t>
  </si>
  <si>
    <t>REGULARIZAÇÃO DA SUPERFÍCIE DOS TRECHOS DE DRENAGEM APÓS TERRAPLENAGEM FINALIZADA</t>
  </si>
  <si>
    <t>CARGA DE BOTA-FORA DA LIMPEZA DO ACAMPAMENTO (m³)</t>
  </si>
  <si>
    <t>ESPESSURA DA CAMADA DE EXPURGO = 20cm (empolada)</t>
  </si>
  <si>
    <t>OBSERVAÇÃO</t>
  </si>
  <si>
    <t>OBRA</t>
  </si>
  <si>
    <t>LOTE 4</t>
  </si>
  <si>
    <t>EXTENSÃO</t>
  </si>
  <si>
    <t>PRAZO ESTIMATIVO (MESES)</t>
  </si>
  <si>
    <t>QUANT. DE PESSOAS NO PICO DA OBRA</t>
  </si>
  <si>
    <t>NATUREZA</t>
  </si>
  <si>
    <t>ITENS DO CANTEIRO DE OBRAS</t>
  </si>
  <si>
    <t>UNIDADE</t>
  </si>
  <si>
    <t>QUANTIDADES</t>
  </si>
  <si>
    <t>CÓD</t>
  </si>
  <si>
    <t>DESCRIÇÃO</t>
  </si>
  <si>
    <t>UN</t>
  </si>
  <si>
    <t>Limpeza mecanizada da camada vegetal</t>
  </si>
  <si>
    <t>m²</t>
  </si>
  <si>
    <t>Manual de custos - Vol. 7 - Anexo 01.2023 - Tabela 18</t>
  </si>
  <si>
    <t>SINAPI</t>
  </si>
  <si>
    <t>LIMPEZA MECANIZADA DE CAMADA VEGETAL, VEGETAÇÃO E PEQUENAS ÁRVORES (DIÂMETRO DE TRONCO MENOR QUE 0,20 M), COM TRATOR DE ESTEIRAS. AF_03/2024</t>
  </si>
  <si>
    <t>M2</t>
  </si>
  <si>
    <t>Expurgo de jazida</t>
  </si>
  <si>
    <t>CARGA, MANOBRA E DESCARGA DE SOLOS E MATERIAIS GRANULARES EM CAMINHÃO BASCULANTE 14 M³ - CARGA COM ESCAVADEIRA HIDRÁULICA (CAÇAMBA DE 1,20 M³ / 155 HP) E DESCARGA LIVRE (UNIDADE: M3). AF_07/2020</t>
  </si>
  <si>
    <t>Regularização do subleito</t>
  </si>
  <si>
    <t>Lastro de brita comercial - espalhamento mecânico</t>
  </si>
  <si>
    <t>m³</t>
  </si>
  <si>
    <t>COMPOSIÇÃO</t>
  </si>
  <si>
    <t>Revestimento de pátio com pedra britada com espessura de 5 cm com regularização do terreno com motoniveladora. Exclusive transporte. (REF SINAPI COD 100575)</t>
  </si>
  <si>
    <t>Locação da obra</t>
  </si>
  <si>
    <t>Plantio de muda de arbusto com altura até 0,50 m em cova de 0,40 x 0,40 x 0,40 m</t>
  </si>
  <si>
    <t>un</t>
  </si>
  <si>
    <t>PLANTIO DE ÁRVORE ORNAMENTAL COM ALTURA DE MUDA MENOR OU IGUAL A 2,00 M. AF_05/2018</t>
  </si>
  <si>
    <t>Cerca com 4 fios de arame farpado e mourão de madeira a cada 2,5 m e esticador a cada 50 m</t>
  </si>
  <si>
    <t>m</t>
  </si>
  <si>
    <t>CERCA COM MOURÕES DE MADEIRA ROLIÇA, DIÂMETRO 11 CM, ESPAÇAMENTO DE 2,5 M, ALTURA LIVRE DE 1,7 M, CRAVADOS 0,5 M, COM 5 FIOS DE ARAME DE AÇO OVALADO 15X17 - FORNECIMENTO E INSTALAÇÃO. AF_05/2020</t>
  </si>
  <si>
    <t>Escritório e seção técnica (área = 29,74 m2) - Contêiner com revestimento térmico, janela e banheiro (2 TEU)</t>
  </si>
  <si>
    <t>Manual de custos - Vol. 7 - Anexo 01.2023 - Tabela 24</t>
  </si>
  <si>
    <t>LOCACAO DE CONTAINER 2,30 X 6,00 M, ALT. 2,50 M, COM 1 SANITARIO, PARA ESCRITORIO, COMPLETO, SEM DIVISORIAS INTERNAS (NAO INCLUI MOBILIZACAO/DESMOBILIZACAO)</t>
  </si>
  <si>
    <t>Almoxarifado (área = 29,57 m²) - Contêiner com janela (1 TEU duplo)</t>
  </si>
  <si>
    <t>CONTAINER ALMOXARIFADO, DE *2,40* X *6,00* M, PADRAO SIMPLES, SEM REVESTIMENTO E SEM DIVISORIAS INTERNOS E SEM SANITARIO, PARA USO EM CANTEIRO DE OBRAS</t>
  </si>
  <si>
    <t xml:space="preserve">Conforme Reaproveitamento do DNIT= 5X
</t>
  </si>
  <si>
    <t>Depósito de cimento (área = 29,57 m²) -Contêiner com janela (1 TEU duplo)</t>
  </si>
  <si>
    <t>LOCACAO DE CONTAINER 2,30 X 6,00 M, ALT. 2,50 M, PARA ESCRITORIO, SEM DIVISORIAS INTERNAS E SEM SANITARIO (NAO INCLUI MOBILIZACAO/DESMOBILIZACAO)</t>
  </si>
  <si>
    <t>Dividido o cronograma por 2, pois somente na execução de drenagem que vai mais cimento</t>
  </si>
  <si>
    <t>Central de armaduras em barracão em compensado 10 mm - com reaproveitamento</t>
  </si>
  <si>
    <t>Refeitório e cozinha</t>
  </si>
  <si>
    <t>TELHAMENTO COM TELHA ONDULADA DE FIBROCIMENTO E = 6 MM, COM RECOBRIMENTO LATERAL DE 1 1/4 DE ONDA PARA TELHADO COM INCLINAÇÃO MÁXIMA DE 10°, COM ATÉ 2 ÁGUAS, INCLUSO IÇAMENTO. AF_07/2019</t>
  </si>
  <si>
    <t>Banheiros e vestiários em barracão em tábua de pinho - com reaproveitamento</t>
  </si>
  <si>
    <t xml:space="preserve">Instalações Sanitárias - Lavatório </t>
  </si>
  <si>
    <t>As instalações sanitárias foram constituídas de lavatório, vaso sanitário e mictório, na proporção de 1 (um) conjunto para cada grupo de 20 (vinte) trabalhadores ou fração, bem como de chuveiro, na proporção de 1 (uma) unidade para cada grupo de 10 (dez) trabalhadores ou fração. No canteiro serão instalados containers com as devidas instalações, no entanto, devido à distância do canteiro até o posto de trabalho ser maior que 150 metros, próximo a obra serão colocados banheiros químicos.</t>
  </si>
  <si>
    <t>Instalações Sanitárias - Bacia sanitária</t>
  </si>
  <si>
    <t>LOCACAO DE CONTAINER 2,30 X 4,30 M, ALT. 2,50 M, PARA SANITARIO, COM 3 BACIAS, 4 CHUVEIROS, 1 LAVATORIO E 1 MICTORIO (NAO INCLUI MOBILIZACAO/DESMOBILIZACAO)</t>
  </si>
  <si>
    <t xml:space="preserve">Instalações Sanitárias - Mictório </t>
  </si>
  <si>
    <t>LOCACAO DE CONTAINER 2,30 X 4,30 M, ALT. 2,50 M, P/ SANITARIO, C/ 5 BACIAS, 1 LAVATORIO E 4 MICTORIOS (NAO INCLUI MOBILIZACAO/DESMOBILIZACAO)</t>
  </si>
  <si>
    <t>Instalações Sanitárias - Chuveiro</t>
  </si>
  <si>
    <t>LOCACAO DE CONTAINER 2,30 X 6,00 M, ALT. 2,50 M, PARA SANITARIO, COM 4 BACIAS, 8 CHUVEIROS,1 LAVATORIO E 1 MICTORIO (NAO INCLUI MOBILIZACAO/DESMOBILIZACAO)</t>
  </si>
  <si>
    <t>Instalações Sanitárias - Vestiário</t>
  </si>
  <si>
    <t>m2</t>
  </si>
  <si>
    <t>Os vestiários foram dimensionados a partir do seguinte cálculo: área mínima do vestiário por trabalhador = 1,5 – (n° de trabalhadores / 1000), conforme a NR 24.</t>
  </si>
  <si>
    <t>Instalações Sanitárias - Refeitório</t>
  </si>
  <si>
    <t>Dimensionado conforme  NR 24 e NBR 12.284/1991</t>
  </si>
  <si>
    <t>Extintores</t>
  </si>
  <si>
    <t>Norma técnica N° 18/2020 do Corpo de Bombeiros Militar</t>
  </si>
  <si>
    <t>EXTINTOR DE INCÊNDIO PORTÁTIL COM CARGA DE ÁGUA PRESSURIZADA DE 10 L, CLASSE A - FORNECIMENTO E INSTALAÇÃO. AF_10/2020_PE</t>
  </si>
  <si>
    <t>EXTINTOR DE INCÊNDIO PORTÁTIL COM CARGA DE PQS DE 6 KG, CLASSE BC - FORNECIMENTO E INSTALAÇÃO. AF_10/2020_PE</t>
  </si>
  <si>
    <t>Guarita (área = 7,44 m²) - Contêiner com 3 janelas para guarita (1/2 TEU)</t>
  </si>
  <si>
    <t xml:space="preserve">Conforme Reaproveitamento do DNIT= 5X, dividi a quantidade por dois devido ser somente 1/2 container
</t>
  </si>
  <si>
    <t>CUSTO TOTAL DO CANTEIRO ==&gt;</t>
  </si>
  <si>
    <t>PLANILHA DE QUANTIDADES DE SERVIÇOS PRELIMINARES DE REMOÇÕES, DEMOLIÇÕES E SUPRESSÕES - PROJETO DE ENGENHARIA</t>
  </si>
  <si>
    <t>TRECHOS</t>
  </si>
  <si>
    <t>FÓRMULAS</t>
  </si>
  <si>
    <t>PLANILHAS DA DRENAGEM</t>
  </si>
  <si>
    <t>PLANILHA DA DRENAGEM PROFUNDA</t>
  </si>
  <si>
    <t>PLANILHAS DO RECAPEAMENTO</t>
  </si>
  <si>
    <t>PLANILHAS DA PAVIMENTAÇÃO</t>
  </si>
  <si>
    <t>PLANILHA DA ACESSIBILIDADE</t>
  </si>
  <si>
    <t>PLANILHA DA CICLOVIA</t>
  </si>
  <si>
    <t>FILTRO DE OCULTAR LINHAS VAZIAS</t>
  </si>
  <si>
    <r>
      <t xml:space="preserve">DEMOLIÇÃO </t>
    </r>
    <r>
      <rPr>
        <b/>
        <sz val="8"/>
        <color rgb="FFFF0000"/>
        <rFont val="Arial"/>
        <family val="2"/>
      </rPr>
      <t>MANUAL</t>
    </r>
    <r>
      <rPr>
        <b/>
        <sz val="8"/>
        <rFont val="Arial"/>
        <family val="2"/>
      </rPr>
      <t xml:space="preserve"> DE CONCRETO SIMPLES</t>
    </r>
  </si>
  <si>
    <t>LARGURA MÉDIA (m)</t>
  </si>
  <si>
    <r>
      <t>ESPESSURA MÉDIA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</si>
  <si>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ESPESSURA MÉDIA (m)</t>
  </si>
  <si>
    <t>VOLUME DE DEMOLIÇÃO (m³)</t>
  </si>
  <si>
    <r>
      <t xml:space="preserve">CARGA MAN. </t>
    </r>
    <r>
      <rPr>
        <b/>
        <sz val="8"/>
        <color rgb="FFFF0000"/>
        <rFont val="Arial"/>
        <family val="2"/>
      </rPr>
      <t>(1)</t>
    </r>
    <r>
      <rPr>
        <b/>
        <sz val="8"/>
        <rFont val="Arial"/>
        <family val="2"/>
      </rPr>
      <t xml:space="preserve"> MECÂN. </t>
    </r>
    <r>
      <rPr>
        <b/>
        <sz val="8"/>
        <color rgb="FFFF0000"/>
        <rFont val="Arial"/>
        <family val="2"/>
      </rPr>
      <t>(2)</t>
    </r>
  </si>
  <si>
    <r>
      <t xml:space="preserve">DEMOLIÇÃO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CONCRETO SIMPLES</t>
    </r>
  </si>
  <si>
    <t>EXTENSÃO MÉDIA (m)</t>
  </si>
  <si>
    <r>
      <t xml:space="preserve">DEMOLIÇÃO </t>
    </r>
    <r>
      <rPr>
        <b/>
        <sz val="8"/>
        <color rgb="FFFF0000"/>
        <rFont val="Arial"/>
        <family val="2"/>
      </rPr>
      <t>MANUAL</t>
    </r>
    <r>
      <rPr>
        <b/>
        <sz val="8"/>
        <rFont val="Arial"/>
        <family val="2"/>
      </rPr>
      <t xml:space="preserve"> DE CONCRETO ARMADO</t>
    </r>
  </si>
  <si>
    <r>
      <t xml:space="preserve">DEMOLIÇÃO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CONCRETO ARMADO</t>
    </r>
  </si>
  <si>
    <t>DEMOLIÇÃO MANUAL DE ALVENARIA DE TIJOLO</t>
  </si>
  <si>
    <t>DEMOLIÇÃO MANUAL DE ALVENARIA DE PEDRA</t>
  </si>
  <si>
    <t>DEMOLIÇÃO MECANIZADA DE PISO EM LADRILHO</t>
  </si>
  <si>
    <t>ÁREA DE DEMOLIÇÃO (m²)</t>
  </si>
  <si>
    <t>DEMOLIÇÃO MECANIZADA DE PAVIMENTO ASFÁLTICO</t>
  </si>
  <si>
    <r>
      <t xml:space="preserve">REMOÇÃO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PISO DE BLOCO DE CONCRETO</t>
    </r>
  </si>
  <si>
    <t>ÁREA DE REMOÇÃO (m²)</t>
  </si>
  <si>
    <r>
      <t>VOLUME DE REMOÇÃO (m³) CARGA MECÂN.</t>
    </r>
    <r>
      <rPr>
        <b/>
        <sz val="8"/>
        <color rgb="FFFF0000"/>
        <rFont val="Arial"/>
        <family val="2"/>
      </rPr>
      <t xml:space="preserve"> (2)</t>
    </r>
  </si>
  <si>
    <t>CARGA  DO                  BOTA-FORA (m³)</t>
  </si>
  <si>
    <r>
      <t xml:space="preserve">MANUAL (GEOMÉTRICO) </t>
    </r>
    <r>
      <rPr>
        <b/>
        <sz val="8"/>
        <color rgb="FFFF0000"/>
        <rFont val="Arial"/>
        <family val="2"/>
      </rPr>
      <t>(1)</t>
    </r>
  </si>
  <si>
    <t>MANUAL (EMPOLADO 25%)</t>
  </si>
  <si>
    <r>
      <t xml:space="preserve">MECANIZADA (GEOMÉTRICO) </t>
    </r>
    <r>
      <rPr>
        <b/>
        <sz val="8"/>
        <color rgb="FFFF0000"/>
        <rFont val="Arial"/>
        <family val="2"/>
      </rPr>
      <t>(2)</t>
    </r>
  </si>
  <si>
    <t>MECANIZADA (EMPOLADO 25%)</t>
  </si>
  <si>
    <t>RECORTE MECÂNICO (m)</t>
  </si>
  <si>
    <t>PAVIMENTO ASFÁLTICO</t>
  </si>
  <si>
    <t>CONCRETO</t>
  </si>
  <si>
    <t>DEMOLIÇÃO DE BOCA DE LOBO (un)</t>
  </si>
  <si>
    <t>DEMOLIÇÃO DE POÇO DE VISITA (un)</t>
  </si>
  <si>
    <t>REMOÇÃO DE RAÍZES REMANESC. DE TRONCO DE ÁRVORE (un)</t>
  </si>
  <si>
    <r>
      <t xml:space="preserve">0,20m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Ø &lt; 0,40m</t>
    </r>
  </si>
  <si>
    <r>
      <t xml:space="preserve">0,40m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Ø &lt; 0,60m</t>
    </r>
  </si>
  <si>
    <r>
      <t xml:space="preserve">Ø </t>
    </r>
    <r>
      <rPr>
        <b/>
        <sz val="8"/>
        <rFont val="Calibri"/>
        <family val="2"/>
      </rPr>
      <t>≥</t>
    </r>
    <r>
      <rPr>
        <b/>
        <sz val="8"/>
        <rFont val="Arial"/>
        <family val="2"/>
      </rPr>
      <t xml:space="preserve"> 0,60m</t>
    </r>
  </si>
  <si>
    <t>CORTE RASO E RECORTE DE ÁRVORE (un)</t>
  </si>
  <si>
    <t>PODA EM ALTURA DE ÁRVORE (un)</t>
  </si>
  <si>
    <t>Ø &lt; 0,20m</t>
  </si>
  <si>
    <t>TRANSPORTE DE ENTULHO (m³)</t>
  </si>
  <si>
    <r>
      <t>DEPÓSITO PROVISÓRIO</t>
    </r>
    <r>
      <rPr>
        <b/>
        <sz val="8"/>
        <color rgb="FFFF0000"/>
        <rFont val="Arial"/>
        <family val="2"/>
      </rPr>
      <t xml:space="preserve"> (SIM)</t>
    </r>
  </si>
  <si>
    <r>
      <t>DESTINO RECICLAGEM</t>
    </r>
    <r>
      <rPr>
        <b/>
        <sz val="8"/>
        <color rgb="FFFF0000"/>
        <rFont val="Arial"/>
        <family val="2"/>
      </rPr>
      <t xml:space="preserve"> (SIM)</t>
    </r>
  </si>
  <si>
    <t>VOLUME TOTAL (m³)</t>
  </si>
  <si>
    <t>VOLUME DESTINO BOTA-FORA (m³)</t>
  </si>
  <si>
    <t>VOLUME DESTIMO DEPÓSITO PROVISÓRIO (m³)</t>
  </si>
  <si>
    <t>VOLUME RECARGA DO ENTULHO
DEPÓSITO PROVISÓRIO (m³)</t>
  </si>
  <si>
    <t>VOLUME RECLICLAREM (m³)</t>
  </si>
  <si>
    <t>VOLUME EXPURGO (m³)</t>
  </si>
  <si>
    <t>TRANSPORTE DE SUPRESSÃO (T)</t>
  </si>
  <si>
    <t>PLANILHA DE QUANTIFICAÇÃO DOS SERVIÇOS DA DRENAGEM</t>
  </si>
  <si>
    <t>TRECHOS Nº</t>
  </si>
  <si>
    <t>DRENAGEM EXISTENTE</t>
  </si>
  <si>
    <r>
      <t>RAMAL CONCRETO Ø 0,40 (m)</t>
    </r>
    <r>
      <rPr>
        <b/>
        <sz val="10"/>
        <color rgb="FFFF0000"/>
        <rFont val="Arial"/>
        <family val="2"/>
      </rPr>
      <t xml:space="preserve"> SOLO</t>
    </r>
    <r>
      <rPr>
        <b/>
        <sz val="10"/>
        <rFont val="Arial"/>
        <family val="2"/>
      </rPr>
      <t xml:space="preserve"> baixa inter.</t>
    </r>
  </si>
  <si>
    <r>
      <t>RAMAL CONCRETO Ø 0,40 (m)</t>
    </r>
    <r>
      <rPr>
        <b/>
        <sz val="10"/>
        <color rgb="FFFF0000"/>
        <rFont val="Arial"/>
        <family val="2"/>
      </rPr>
      <t xml:space="preserve"> SOLO</t>
    </r>
    <r>
      <rPr>
        <b/>
        <sz val="10"/>
        <rFont val="Arial"/>
        <family val="2"/>
      </rPr>
      <t xml:space="preserve"> alta inter.</t>
    </r>
  </si>
  <si>
    <r>
      <t>RAMAL CONCRETO Ø 0,60 (m)</t>
    </r>
    <r>
      <rPr>
        <b/>
        <sz val="10"/>
        <color rgb="FFFF0000"/>
        <rFont val="Arial"/>
        <family val="2"/>
      </rPr>
      <t xml:space="preserve"> SOLO</t>
    </r>
    <r>
      <rPr>
        <b/>
        <sz val="10"/>
        <rFont val="Arial"/>
        <family val="2"/>
      </rPr>
      <t xml:space="preserve"> baixa inter.</t>
    </r>
  </si>
  <si>
    <r>
      <t>RAMAL CONCRETO Ø 0,60 (m)</t>
    </r>
    <r>
      <rPr>
        <b/>
        <sz val="10"/>
        <color rgb="FFFF0000"/>
        <rFont val="Arial"/>
        <family val="2"/>
      </rPr>
      <t xml:space="preserve"> SOLO</t>
    </r>
    <r>
      <rPr>
        <b/>
        <sz val="10"/>
        <rFont val="Arial"/>
        <family val="2"/>
      </rPr>
      <t xml:space="preserve"> alta inter.</t>
    </r>
  </si>
  <si>
    <r>
      <t>RAMAL CONCRETO Ø 0,40 (m)</t>
    </r>
    <r>
      <rPr>
        <b/>
        <sz val="10"/>
        <color rgb="FFFF0000"/>
        <rFont val="Arial"/>
        <family val="2"/>
      </rPr>
      <t xml:space="preserve"> ROCHA</t>
    </r>
  </si>
  <si>
    <r>
      <t>RAMAL CONCRETO Ø 0,60 (m)</t>
    </r>
    <r>
      <rPr>
        <b/>
        <sz val="10"/>
        <color rgb="FFFF0000"/>
        <rFont val="Arial"/>
        <family val="2"/>
      </rPr>
      <t xml:space="preserve"> ROCHA</t>
    </r>
  </si>
  <si>
    <r>
      <t xml:space="preserve">RAMAL PEAD Ø 0,40 (m) </t>
    </r>
    <r>
      <rPr>
        <b/>
        <sz val="10"/>
        <color rgb="FFFF0000"/>
        <rFont val="Arial"/>
        <family val="2"/>
      </rPr>
      <t>SOLO</t>
    </r>
    <r>
      <rPr>
        <b/>
        <sz val="10"/>
        <rFont val="Arial"/>
        <family val="2"/>
      </rPr>
      <t xml:space="preserve"> baixa inter.</t>
    </r>
  </si>
  <si>
    <r>
      <t xml:space="preserve">RAMAL PEAD Ø 0,40 (m) </t>
    </r>
    <r>
      <rPr>
        <b/>
        <sz val="10"/>
        <color rgb="FFFF0000"/>
        <rFont val="Arial"/>
        <family val="2"/>
      </rPr>
      <t>SOLO</t>
    </r>
    <r>
      <rPr>
        <b/>
        <sz val="10"/>
        <rFont val="Arial"/>
        <family val="2"/>
      </rPr>
      <t xml:space="preserve"> alta inter.</t>
    </r>
  </si>
  <si>
    <r>
      <t xml:space="preserve">RAMAL PEAD Ø 0,50 (m) </t>
    </r>
    <r>
      <rPr>
        <b/>
        <sz val="10"/>
        <color rgb="FFFF0000"/>
        <rFont val="Arial"/>
        <family val="2"/>
      </rPr>
      <t>SOLO</t>
    </r>
    <r>
      <rPr>
        <b/>
        <sz val="10"/>
        <rFont val="Arial"/>
        <family val="2"/>
      </rPr>
      <t xml:space="preserve"> baixa inter.</t>
    </r>
  </si>
  <si>
    <r>
      <t xml:space="preserve">RAMAL PEAD Ø 0,50 (m) </t>
    </r>
    <r>
      <rPr>
        <b/>
        <sz val="10"/>
        <color rgb="FFFF0000"/>
        <rFont val="Arial"/>
        <family val="2"/>
      </rPr>
      <t>SOLO</t>
    </r>
    <r>
      <rPr>
        <b/>
        <sz val="10"/>
        <rFont val="Arial"/>
        <family val="2"/>
      </rPr>
      <t xml:space="preserve"> alta inter.</t>
    </r>
  </si>
  <si>
    <r>
      <t xml:space="preserve">RAMAL PEAD Ø 0,40 (m) </t>
    </r>
    <r>
      <rPr>
        <b/>
        <sz val="10"/>
        <color rgb="FFFF0000"/>
        <rFont val="Arial"/>
        <family val="2"/>
      </rPr>
      <t>ROCHA</t>
    </r>
  </si>
  <si>
    <r>
      <t xml:space="preserve">RAMAL PEAD Ø 0,50 (m) </t>
    </r>
    <r>
      <rPr>
        <b/>
        <sz val="10"/>
        <color rgb="FFFF0000"/>
        <rFont val="Arial"/>
        <family val="2"/>
      </rPr>
      <t>ROCHA</t>
    </r>
  </si>
  <si>
    <t>LANÇAMENTO</t>
  </si>
  <si>
    <t>EXTENSÃO REAL (m)</t>
  </si>
  <si>
    <t>EXTENSÃO ADOTADA (m)</t>
  </si>
  <si>
    <t>EXTENSÃO (m)</t>
  </si>
  <si>
    <t>TUBULAÇÃO</t>
  </si>
  <si>
    <t>Nº LINHAS</t>
  </si>
  <si>
    <t>Ø   (m)</t>
  </si>
  <si>
    <t>MATERIAL (P=PEAD   C=Concreto   MET=Metálico)</t>
  </si>
  <si>
    <t>P</t>
  </si>
  <si>
    <t>CELULAR BASE (m)</t>
  </si>
  <si>
    <t>CELULAR ALTURA (m)</t>
  </si>
  <si>
    <t>P-1 / PS-1 / PS-2 / P</t>
  </si>
  <si>
    <t>PEAD</t>
  </si>
  <si>
    <t>PROFUNDIDADE MONTANTE DA LINHA D'ÁGUA (m)</t>
  </si>
  <si>
    <t>PROFUNDIDADE JUSANTE DA LINHA D'ÁGUA (m)</t>
  </si>
  <si>
    <t>ALTURA DO RECOBRIMENTO DO TUBO (m)</t>
  </si>
  <si>
    <r>
      <t xml:space="preserve">NÍVEL DE INTERFERÊNCIA: ALTO </t>
    </r>
    <r>
      <rPr>
        <b/>
        <sz val="8"/>
        <color rgb="FFFF0000"/>
        <rFont val="Arial"/>
        <family val="2"/>
      </rPr>
      <t>(1)</t>
    </r>
    <r>
      <rPr>
        <b/>
        <sz val="8"/>
        <rFont val="Arial"/>
        <family val="2"/>
      </rPr>
      <t xml:space="preserve"> ou BAIXO </t>
    </r>
    <r>
      <rPr>
        <b/>
        <sz val="8"/>
        <color rgb="FFFF0000"/>
        <rFont val="Arial"/>
        <family val="2"/>
      </rPr>
      <t>(2)</t>
    </r>
  </si>
  <si>
    <t>GEOTECNIA</t>
  </si>
  <si>
    <t>NATUREZA DO TERRENO</t>
  </si>
  <si>
    <t>ROCHA</t>
  </si>
  <si>
    <t>arenoso</t>
  </si>
  <si>
    <t>NÍVEL D'ÁGUA (m)</t>
  </si>
  <si>
    <t>PROFUNDIDADE DA ROCHA (m)</t>
  </si>
  <si>
    <t>REATERRO HIDRÁULICO (SIM)</t>
  </si>
  <si>
    <t>LASTRO AREIA ESPESSURA (m)</t>
  </si>
  <si>
    <t>LASTRO AREIA EXTENSÃO (m)</t>
  </si>
  <si>
    <t>LASTRO BRITA ESPESSURA (m)</t>
  </si>
  <si>
    <t>LASTRO BRITA EXTENSÃO (m)</t>
  </si>
  <si>
    <t>LASTRO P.M. ESPESSURA (m)</t>
  </si>
  <si>
    <t>LASTRO P.M. EXTENSÃO (m)</t>
  </si>
  <si>
    <t>ESCAVAÇÃO COM RETORNO À PISTA</t>
  </si>
  <si>
    <t>SUBSTITUIÇÃO SOLO (%)</t>
  </si>
  <si>
    <r>
      <t>PISTA x DEPÓSITO</t>
    </r>
    <r>
      <rPr>
        <b/>
        <sz val="8"/>
        <color rgb="FFFF0000"/>
        <rFont val="Arial"/>
        <family val="2"/>
      </rPr>
      <t xml:space="preserve"> (%) </t>
    </r>
    <r>
      <rPr>
        <b/>
        <sz val="8"/>
        <color rgb="FFFF0000"/>
        <rFont val="Wingdings 3"/>
        <family val="1"/>
        <charset val="2"/>
      </rPr>
      <t>g</t>
    </r>
  </si>
  <si>
    <t>VALA EM PAVIMENTO EXISTENTE</t>
  </si>
  <si>
    <t>BIGODE Ø 0,40m</t>
  </si>
  <si>
    <t>BIGODE Ø 0,60m</t>
  </si>
  <si>
    <t>TRONCO (m)</t>
  </si>
  <si>
    <r>
      <t>CBUQ ESPESSURA</t>
    </r>
    <r>
      <rPr>
        <b/>
        <sz val="8"/>
        <color rgb="FFFF0000"/>
        <rFont val="Arial"/>
        <family val="2"/>
      </rPr>
      <t xml:space="preserve"> (cm) </t>
    </r>
    <r>
      <rPr>
        <b/>
        <sz val="8"/>
        <color rgb="FF0000FF"/>
        <rFont val="Arial"/>
        <family val="2"/>
      </rPr>
      <t>(TSD e=0)</t>
    </r>
  </si>
  <si>
    <r>
      <t>PMF ESPESSURA</t>
    </r>
    <r>
      <rPr>
        <b/>
        <sz val="8"/>
        <color rgb="FFFF0000"/>
        <rFont val="Arial"/>
        <family val="2"/>
      </rPr>
      <t xml:space="preserve"> (cm) </t>
    </r>
    <r>
      <rPr>
        <b/>
        <sz val="8"/>
        <color rgb="FF0000FF"/>
        <rFont val="Arial"/>
        <family val="2"/>
      </rPr>
      <t>(TSD e=0)</t>
    </r>
  </si>
  <si>
    <r>
      <t xml:space="preserve">BASE ESPESSURA </t>
    </r>
    <r>
      <rPr>
        <b/>
        <sz val="8"/>
        <color rgb="FFFF0000"/>
        <rFont val="Arial"/>
        <family val="2"/>
      </rPr>
      <t>(cm)</t>
    </r>
  </si>
  <si>
    <t>BASE SOLO (%)</t>
  </si>
  <si>
    <t>BRITA PARA SOLO/BRITA (%)</t>
  </si>
  <si>
    <t>BASE CASCALHO (%)</t>
  </si>
  <si>
    <t>BASE BICA CORRIDA (%)</t>
  </si>
  <si>
    <t>BASE BRITA GRADUADA (%)</t>
  </si>
  <si>
    <t>BIGODES CONCRETO (m)</t>
  </si>
  <si>
    <t>BIGODES PEAD (m)</t>
  </si>
  <si>
    <t>POÇO DE VISITA
(PV-TIPO)                                                                       (un)</t>
  </si>
  <si>
    <t>00</t>
  </si>
  <si>
    <t>01</t>
  </si>
  <si>
    <t>02</t>
  </si>
  <si>
    <t>03</t>
  </si>
  <si>
    <t>04</t>
  </si>
  <si>
    <t>05</t>
  </si>
  <si>
    <t>06</t>
  </si>
  <si>
    <t>BOCA DE LOBO SIMPLES
BLS - 01 (un)</t>
  </si>
  <si>
    <t>VALETA DE PROTEÇÃO DE ATERRO
VPA - 03 (m)</t>
  </si>
  <si>
    <t>CAIXA COLETORA DE SARJETA
CCS - 02 (un)</t>
  </si>
  <si>
    <t>ENTRADA PARA DESCIDA D'ÁGUA
EDA - 01 (un)</t>
  </si>
  <si>
    <t>DESCIDA D'ÁGUA TIPO RÁPIDO
DAR - 02 (m)</t>
  </si>
  <si>
    <t>BOCA DE BUEIRO BSTC Ø 0,80m (un)</t>
  </si>
  <si>
    <t>BOCA DE             LOBO                                                      (un)</t>
  </si>
  <si>
    <t>PASSEIO SIMPLES</t>
  </si>
  <si>
    <t>PASSEIO DUPLA</t>
  </si>
  <si>
    <t>PASSEIO TRIPLA</t>
  </si>
  <si>
    <t>CONCRETO SIMPLES</t>
  </si>
  <si>
    <t>CONCRETO DUPLA</t>
  </si>
  <si>
    <t>CONCRETO TRIPLA</t>
  </si>
  <si>
    <t>REFORMA BLS</t>
  </si>
  <si>
    <t>REFORMA BLD</t>
  </si>
  <si>
    <t>REFORMA BLT</t>
  </si>
  <si>
    <t xml:space="preserve"> COTA TERRENO (m)</t>
  </si>
  <si>
    <t>COTA TAMPA (m)</t>
  </si>
  <si>
    <t>FUNDO COTA (m)</t>
  </si>
  <si>
    <t>CGES-BOLSA SAÍDA</t>
  </si>
  <si>
    <t>CGES-BOLSA ENTRADA "A"</t>
  </si>
  <si>
    <t>CGES-BOLSA ENTRADA "B"</t>
  </si>
  <si>
    <t>CGES-BOLSA ENTRADA "C"</t>
  </si>
  <si>
    <t>PÉ-DIREITO PV (m)</t>
  </si>
  <si>
    <t>ACÉSCIMO DE POÇO DE VISITA (APV-TIPO) (un)</t>
  </si>
  <si>
    <t>ANTECÂMARA (un)</t>
  </si>
  <si>
    <t>PESCOÇO / CHAMINÉ (m)</t>
  </si>
  <si>
    <r>
      <t xml:space="preserve">TAMPÃO DE F°F° </t>
    </r>
    <r>
      <rPr>
        <b/>
        <sz val="8"/>
        <color rgb="FFFF0000"/>
        <rFont val="Arial"/>
        <family val="2"/>
      </rPr>
      <t>EXTRA</t>
    </r>
    <r>
      <rPr>
        <b/>
        <sz val="8"/>
        <rFont val="Arial"/>
        <family val="2"/>
      </rPr>
      <t xml:space="preserve"> Ø 60cm (un)</t>
    </r>
  </si>
  <si>
    <t>PESCOÇO EXTRA Ø 60cm (m)</t>
  </si>
  <si>
    <t>QUADRO E GRELHA DE FºFº PARA BL</t>
  </si>
  <si>
    <t>SUBSTITUIÇÃO (un)</t>
  </si>
  <si>
    <t>REASSENTAMENTO (un)</t>
  </si>
  <si>
    <t>TAMPÃO EM FºFº PARA PV</t>
  </si>
  <si>
    <t>CAIXA (un)</t>
  </si>
  <si>
    <t>PASSAGEM CP-01</t>
  </si>
  <si>
    <t>PASSAGEM CP-02</t>
  </si>
  <si>
    <t>PASSAGEM CP-03</t>
  </si>
  <si>
    <t>COLETORA CC-01</t>
  </si>
  <si>
    <t>COLETORA CC-02</t>
  </si>
  <si>
    <t>BOCA DE                                                                           BUEIRO                                          (un)</t>
  </si>
  <si>
    <t>1,50 X 1,50</t>
  </si>
  <si>
    <t>2,00 X 2,00</t>
  </si>
  <si>
    <t>2,50 X 2,50</t>
  </si>
  <si>
    <t>3,00 X 3,00</t>
  </si>
  <si>
    <t>DISSIPADOR
DE ENERGIA                                                                    (un)</t>
  </si>
  <si>
    <t>01 (Q &lt; 2m³/s)</t>
  </si>
  <si>
    <t>02 (2 &lt; Q &lt; 3m³/s)</t>
  </si>
  <si>
    <t>03 (3 &lt; Q &lt; 6m³/s)</t>
  </si>
  <si>
    <t>04 (6 &lt; Q &lt; 8m³/s)</t>
  </si>
  <si>
    <t>05 (8 &lt; Q &lt; 16m³/s)</t>
  </si>
  <si>
    <t>06 (16 &lt; Q &lt; 20m³/s)</t>
  </si>
  <si>
    <t>GRAMA</t>
  </si>
  <si>
    <t>PLANTIO DE ÁRVORE (un)</t>
  </si>
  <si>
    <t>ORNAMENTAL</t>
  </si>
  <si>
    <t>PALMEIRA</t>
  </si>
  <si>
    <t>LASTRO DE BRITA FUNDAÇÃO / LANÇAMENTO</t>
  </si>
  <si>
    <t>ESPESSURA (m)</t>
  </si>
  <si>
    <t>ENROCAMENTO FUNDAÇÃO / LANÇAMENTO</t>
  </si>
  <si>
    <t>VALA DE LANÇAMENTO</t>
  </si>
  <si>
    <t>ALTURA MÉDIA (m)</t>
  </si>
  <si>
    <t>LARGURA DA BASE (m)</t>
  </si>
  <si>
    <t>CONCRETO CICLÓPICO (m³)</t>
  </si>
  <si>
    <t>OBRA ATÍPICA</t>
  </si>
  <si>
    <t>MAGRO 15 MPa (m³)</t>
  </si>
  <si>
    <t>CONCRETO 20 MPa  (m³)</t>
  </si>
  <si>
    <t>CONCRETO 25 MPa  (m³)</t>
  </si>
  <si>
    <t>FÔRMA (m²)</t>
  </si>
  <si>
    <t>AÇO CA-60 Ø 4.2mm Malha Q138 (kg) (2,2kg/m²)</t>
  </si>
  <si>
    <t xml:space="preserve">AÇO CA-60 Ø 5.0mm  (kg) </t>
  </si>
  <si>
    <t xml:space="preserve">AÇO CA-50 Ø 6.3mm  (kg) </t>
  </si>
  <si>
    <t xml:space="preserve">AÇO CA-50 Ø 8.0mm  (kg) </t>
  </si>
  <si>
    <t xml:space="preserve">AÇO CA-50 Ø 10.0mm  (kg) </t>
  </si>
  <si>
    <t xml:space="preserve">AÇO CA-50 Ø 12.5mm  (kg) </t>
  </si>
  <si>
    <t>CIMBRAMENTO (m³)</t>
  </si>
  <si>
    <t>DEMOLIÇÃO MANUAL DE CONCRETO SIMPLES</t>
  </si>
  <si>
    <t>DEMOLIÇÃO MANUAL DE CONCRETO ARMADO</t>
  </si>
  <si>
    <t>ARRANCAMENTO E REMOÇÃO DE TUBULÇÃO (m)</t>
  </si>
  <si>
    <r>
      <t xml:space="preserve">Ø </t>
    </r>
    <r>
      <rPr>
        <b/>
        <sz val="8"/>
        <rFont val="Calibri"/>
        <family val="2"/>
      </rPr>
      <t xml:space="preserve">≤ </t>
    </r>
    <r>
      <rPr>
        <b/>
        <sz val="8"/>
        <rFont val="Arial"/>
        <family val="2"/>
      </rPr>
      <t>0,60m</t>
    </r>
  </si>
  <si>
    <t>Ø &gt; 0,60m</t>
  </si>
  <si>
    <t>BIGODES  CONCRETO (m)</t>
  </si>
  <si>
    <r>
      <t>Ø 0,40m</t>
    </r>
    <r>
      <rPr>
        <b/>
        <sz val="8"/>
        <color rgb="FFFF0000"/>
        <rFont val="Arial"/>
        <family val="2"/>
      </rPr>
      <t xml:space="preserve"> (SOLO)</t>
    </r>
    <r>
      <rPr>
        <b/>
        <sz val="8"/>
        <rFont val="Arial"/>
        <family val="2"/>
      </rPr>
      <t xml:space="preserve"> BAIXA INTERFERÊNCIA</t>
    </r>
  </si>
  <si>
    <r>
      <t>Ø 0,40m</t>
    </r>
    <r>
      <rPr>
        <b/>
        <sz val="8"/>
        <color rgb="FFFF0000"/>
        <rFont val="Arial"/>
        <family val="2"/>
      </rPr>
      <t xml:space="preserve"> (SOLO)</t>
    </r>
    <r>
      <rPr>
        <b/>
        <sz val="8"/>
        <rFont val="Arial"/>
        <family val="2"/>
      </rPr>
      <t xml:space="preserve"> ALTA INTERFERÊNCIA</t>
    </r>
  </si>
  <si>
    <r>
      <t>Ø 0,60m</t>
    </r>
    <r>
      <rPr>
        <b/>
        <sz val="8"/>
        <color rgb="FFFF0000"/>
        <rFont val="Arial"/>
        <family val="2"/>
      </rPr>
      <t xml:space="preserve"> (SOLO)</t>
    </r>
    <r>
      <rPr>
        <b/>
        <sz val="8"/>
        <rFont val="Arial"/>
        <family val="2"/>
      </rPr>
      <t xml:space="preserve"> BAIXA INTERFERÊNCIA</t>
    </r>
  </si>
  <si>
    <r>
      <t>Ø 0,60m</t>
    </r>
    <r>
      <rPr>
        <b/>
        <sz val="8"/>
        <color rgb="FFFF0000"/>
        <rFont val="Arial"/>
        <family val="2"/>
      </rPr>
      <t xml:space="preserve"> (SOLO)</t>
    </r>
    <r>
      <rPr>
        <b/>
        <sz val="8"/>
        <rFont val="Arial"/>
        <family val="2"/>
      </rPr>
      <t xml:space="preserve"> ALTA INTERFERÊNCIA</t>
    </r>
  </si>
  <si>
    <r>
      <t>Ø 0,40m</t>
    </r>
    <r>
      <rPr>
        <b/>
        <sz val="8"/>
        <color rgb="FFFF0000"/>
        <rFont val="Arial"/>
        <family val="2"/>
      </rPr>
      <t xml:space="preserve"> (ROCHA)</t>
    </r>
  </si>
  <si>
    <r>
      <t>Ø 0,60m</t>
    </r>
    <r>
      <rPr>
        <b/>
        <sz val="8"/>
        <color rgb="FFFF0000"/>
        <rFont val="Arial"/>
        <family val="2"/>
      </rPr>
      <t xml:space="preserve"> (ROCHA)</t>
    </r>
  </si>
  <si>
    <r>
      <t xml:space="preserve">Ø 0,50m </t>
    </r>
    <r>
      <rPr>
        <b/>
        <sz val="8"/>
        <color rgb="FFFF0000"/>
        <rFont val="Arial"/>
        <family val="2"/>
      </rPr>
      <t>(SOLO)</t>
    </r>
    <r>
      <rPr>
        <b/>
        <sz val="8"/>
        <rFont val="Arial"/>
        <family val="2"/>
      </rPr>
      <t xml:space="preserve"> BAIXA INTERFERÊNCIA</t>
    </r>
  </si>
  <si>
    <r>
      <t>Ø 0,50m</t>
    </r>
    <r>
      <rPr>
        <b/>
        <sz val="8"/>
        <color rgb="FFFF0000"/>
        <rFont val="Arial"/>
        <family val="2"/>
      </rPr>
      <t xml:space="preserve"> (SOLO) </t>
    </r>
    <r>
      <rPr>
        <b/>
        <sz val="8"/>
        <rFont val="Arial"/>
        <family val="2"/>
      </rPr>
      <t>ALTA INTERFERÊNCIA</t>
    </r>
  </si>
  <si>
    <r>
      <t>Ø 0,40m</t>
    </r>
    <r>
      <rPr>
        <b/>
        <sz val="8"/>
        <color rgb="FFFF0000"/>
        <rFont val="Arial"/>
        <family val="2"/>
      </rPr>
      <t xml:space="preserve"> (ROCHA)</t>
    </r>
    <r>
      <rPr>
        <b/>
        <sz val="8"/>
        <rFont val="Arial"/>
        <family val="2"/>
      </rPr>
      <t xml:space="preserve"> ALTA INTERFERÊNCIA</t>
    </r>
  </si>
  <si>
    <r>
      <t xml:space="preserve">Ø 0,50m </t>
    </r>
    <r>
      <rPr>
        <b/>
        <sz val="8"/>
        <color rgb="FFFF0000"/>
        <rFont val="Arial"/>
        <family val="2"/>
      </rPr>
      <t>(ROCHA)</t>
    </r>
    <r>
      <rPr>
        <b/>
        <sz val="8"/>
        <rFont val="Arial"/>
        <family val="2"/>
      </rPr>
      <t xml:space="preserve"> ALTA INTERFERÊNCIA</t>
    </r>
  </si>
  <si>
    <t>PLANILHA DE QUANTIDADES DE SERVIÇOS PRELIMINARES DA DRENAGEM - PROJETO DE ENGENHARIA</t>
  </si>
  <si>
    <t>GALERIA</t>
  </si>
  <si>
    <t xml:space="preserve"> CELULAR (BASE) (m)</t>
  </si>
  <si>
    <t>TELA TAPUME</t>
  </si>
  <si>
    <t xml:space="preserve"> AQUISIÇÃO (%)</t>
  </si>
  <si>
    <t>EXTENSÃO BIGODES (m)</t>
  </si>
  <si>
    <t>EXTENSÃO TRONCO  (m)</t>
  </si>
  <si>
    <t>DEMOLIÇÃO DE PAVIMENTO TUBO DE LIGAÇÃO Ø 0,40m</t>
  </si>
  <si>
    <t>ESCAVAÇÃO (TOPO) (m)</t>
  </si>
  <si>
    <t>FAIXA ADCIONAL (m)</t>
  </si>
  <si>
    <t>LARGURA TOTAL (m)</t>
  </si>
  <si>
    <t>ESPESSURA (cm)</t>
  </si>
  <si>
    <t>ÁREA (m²)</t>
  </si>
  <si>
    <t>DEMOLIÇÃO DE PAVIMENTO TUBO DE LIGAÇÃO Ø 0,60m</t>
  </si>
  <si>
    <t>DEMOLIÇÃO DE PAVIMENTO REDE TRONCO</t>
  </si>
  <si>
    <t>RECORTE MECÂNICO DO PAVIMENTO (m)</t>
  </si>
  <si>
    <t>ÁREA DE DEMOLIÇÃO DE PAVIMENTO (m²)</t>
  </si>
  <si>
    <t>VOLUME DE DEMOLIÇÃO PARA BOTA-FORA (m³)</t>
  </si>
  <si>
    <t>ARRANCAMENTO E REMOÇÃO DE TUBULAÇÃO (m)</t>
  </si>
  <si>
    <t>Ø ≤ 0,60m</t>
  </si>
  <si>
    <t>SERVIÇOS DE CANTEIRO DE OBRAS</t>
  </si>
  <si>
    <t>RECOMPOSIÇÃO DA VIA:
EXTENSÃO (m)</t>
  </si>
  <si>
    <t>RECOMPOSIÇÃO DA VIA:
LARGURA (m)</t>
  </si>
  <si>
    <t>RECOMPOSIÇÃO DA VIA:
ÁREA (m²)</t>
  </si>
  <si>
    <t>SONDAGEM DE INVESTIGAÇÃO DE INTERFERÊNCIA (un)</t>
  </si>
  <si>
    <t>REPARO RAMAL DE LIGAÇÃO DE ÁGUA (un)</t>
  </si>
  <si>
    <t>PLANILHA DE QUANTIDADES DE SERVIÇOS DA TERRAPLENAGEM DRENAGEM - PROJETO DE ENGENHARIA</t>
  </si>
  <si>
    <t>FILTRO PARA OCULTAR LINHAS VAZIAS</t>
  </si>
  <si>
    <t>PS-1 / PA-1 / PA-2 / P</t>
  </si>
  <si>
    <t>GALERIA CELULAR (BASE) (m)</t>
  </si>
  <si>
    <t>GALERIA CELULAR (ALTURA) (m)</t>
  </si>
  <si>
    <t>PROFUNDIDADE DA LINHA D'ÁGUA (m)</t>
  </si>
  <si>
    <t>MONTANTE</t>
  </si>
  <si>
    <t>JUSANTE</t>
  </si>
  <si>
    <t>MÉDIA</t>
  </si>
  <si>
    <t>ALTURAS  (m)</t>
  </si>
  <si>
    <t>PROFUNDIDADE MÉDIA + BOLSA (H)</t>
  </si>
  <si>
    <t>BOLSA + ESPESSURA</t>
  </si>
  <si>
    <t>SOLO</t>
  </si>
  <si>
    <t>BLINDAGEM</t>
  </si>
  <si>
    <t>SOLO INSERVÍVEL (EXCETO ROCHA)</t>
  </si>
  <si>
    <t>REATERRO MANUAL</t>
  </si>
  <si>
    <t>REATERRO MECÂNICO</t>
  </si>
  <si>
    <t>REATERRO HIDRÁULICO</t>
  </si>
  <si>
    <t>ESCAVAÇÃO: H4 &gt; 4,51m</t>
  </si>
  <si>
    <t>ESCAVAÇÃO: 3,010m &lt; H3 &lt; 4,50m</t>
  </si>
  <si>
    <t>ESCAVAÇÃO: 1,51m &lt; H2 &lt; 3,00m</t>
  </si>
  <si>
    <t>ESCAVAÇÃO: H1 &lt; 1,50</t>
  </si>
  <si>
    <t>REATERRO: H4 &gt; 4,51m</t>
  </si>
  <si>
    <t>REATERRO: 3,010m &lt; H3 &lt; 4,50m</t>
  </si>
  <si>
    <t>REATERRO: 1,51m &lt; H2 &lt; 3,00m</t>
  </si>
  <si>
    <t>REATERRO: H1 &lt; 1,50</t>
  </si>
  <si>
    <t>TALUDE       1:(V)</t>
  </si>
  <si>
    <t>TESTE PARA LARGURA MÍNIMA DA BASE COM BLINDAGEM (m)</t>
  </si>
  <si>
    <t>BLINDAGEM H &lt; 4,50m (L&gt;1,50m)</t>
  </si>
  <si>
    <t>BLINDAGEM H &gt; 4,51m (L&gt;1,50m)</t>
  </si>
  <si>
    <t>BASE (m)</t>
  </si>
  <si>
    <t>INFERIOR H &lt; 4,50m (L=2Ø)</t>
  </si>
  <si>
    <t>INFERIOR H &gt; 4,51m (L=3Ø)</t>
  </si>
  <si>
    <t>REATERRO MANUAL/MECÂNICO</t>
  </si>
  <si>
    <r>
      <t>BLINDAGEM</t>
    </r>
    <r>
      <rPr>
        <b/>
        <sz val="8"/>
        <color rgb="FFFF0000"/>
        <rFont val="Arial"/>
        <family val="2"/>
      </rPr>
      <t xml:space="preserve"> (acima da blindagem talude 3:1)</t>
    </r>
  </si>
  <si>
    <t>SOLO INSERVÍVEL (m) (EXCETO ROCHA)</t>
  </si>
  <si>
    <t>ROCHA (m)</t>
  </si>
  <si>
    <t>TOPO (BOCA DA VALA)</t>
  </si>
  <si>
    <r>
      <t xml:space="preserve">ESCAVAÇÃO (m³) </t>
    </r>
    <r>
      <rPr>
        <b/>
        <sz val="8"/>
        <color rgb="FFFF0000"/>
        <rFont val="Arial"/>
        <family val="2"/>
      </rPr>
      <t xml:space="preserve">(cálculo total)                                                   </t>
    </r>
    <r>
      <rPr>
        <b/>
        <sz val="8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</si>
  <si>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t>VOLUME DE LASTROS (JÁ ACRESCENTADO NA MEDIÇÃO ESCAVAÇÃO MECÂNICA)</t>
  </si>
  <si>
    <t>H4 &gt; 4,51m</t>
  </si>
  <si>
    <t>3,01m &lt; H3 &lt; 4,50m</t>
  </si>
  <si>
    <t>1,51m &lt; H2 &lt; 3,00m</t>
  </si>
  <si>
    <t>H1 &lt; 1,50</t>
  </si>
  <si>
    <t>VOLUME TOTAL</t>
  </si>
  <si>
    <t>VERIFICAÇÃO DOS VOLUMES</t>
  </si>
  <si>
    <t xml:space="preserve">ESCAVAÇÃO NÍVEL ALTA INTERFERÊNCIA (m³)                                                                                                                                                                                                                           </t>
  </si>
  <si>
    <t>MECÂNICA ≤ 1,50m (L ≤ 0,80m)</t>
  </si>
  <si>
    <t>MECÂNICA ≤ 1,50m (0,80m &lt; L ≤ 1,50m)</t>
  </si>
  <si>
    <t>MECÂNICA ≤ 1,50m (L &gt; 1,50m)</t>
  </si>
  <si>
    <t>MEC. 1,51 a 3,00m (L ≤ 0,80m)</t>
  </si>
  <si>
    <t>MEC. 1,51 a 3,00m (0,80m &lt; L ≤ 1,50m)</t>
  </si>
  <si>
    <t>MEC. 1,51 a 3,00m (L &gt; 1,50m)</t>
  </si>
  <si>
    <t>MECÂNICA 3,01 a 4,50m (L ≤ 1,50m)</t>
  </si>
  <si>
    <t>MECÂNICA 3,01 a 4,50m (L &gt; 1,50m)</t>
  </si>
  <si>
    <t>MECÂNICA ≥ 4,51m (L ≤ 1,50m)</t>
  </si>
  <si>
    <t>MECÂNICA ≥ 4,51m (L &gt; 1,50m)</t>
  </si>
  <si>
    <r>
      <t xml:space="preserve">ESCAVAÇÃO NÍVEL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 (m³)                                                                          </t>
    </r>
  </si>
  <si>
    <r>
      <t xml:space="preserve">ESCAVAÇÃO NÍVEL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 (m³)                                                                          </t>
    </r>
  </si>
  <si>
    <t>VERIFICAÇÃO DA ESCAVAÇÃO</t>
  </si>
  <si>
    <t>VOLUME TOTAL DA ESCAVAÇÃO - SOLO</t>
  </si>
  <si>
    <r>
      <t xml:space="preserve">MANUAL 5% </t>
    </r>
    <r>
      <rPr>
        <b/>
        <sz val="8"/>
        <rFont val="Calibri"/>
        <family val="2"/>
      </rPr>
      <t>Σ</t>
    </r>
    <r>
      <rPr>
        <b/>
        <sz val="8"/>
        <rFont val="Arial"/>
        <family val="2"/>
      </rPr>
      <t xml:space="preserve"> DA ESCAVAÇÃO</t>
    </r>
  </si>
  <si>
    <t>BOTA-FORA (m³)</t>
  </si>
  <si>
    <t>TUBO / GALERIA (SEÇÃO EXTERNA)</t>
  </si>
  <si>
    <t>ROCHA (EMPOLADO 40%) OU                                                                                                 SUBSTITUIÇÃO PARA ATERRO HIDRÁULICO</t>
  </si>
  <si>
    <r>
      <t xml:space="preserve">TOTAL  BOTA-FORA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TOTAL DE ESCAVAÇÃO</t>
    </r>
  </si>
  <si>
    <t>VOLUME FINAL DE BOTA-FORA CORRIGO DE SOBREPOSIÇÃO</t>
  </si>
  <si>
    <t>BOTA-DENTRO (PISTA x DEPÓSITO x PISTA)</t>
  </si>
  <si>
    <t>TAXA DA REMOÇÃO (%)</t>
  </si>
  <si>
    <r>
      <t xml:space="preserve">TAXA DE REMOÇÃO H </t>
    </r>
    <r>
      <rPr>
        <b/>
        <sz val="8"/>
        <rFont val="Calibri"/>
        <family val="2"/>
      </rPr>
      <t>≥</t>
    </r>
    <r>
      <rPr>
        <b/>
        <sz val="8"/>
        <rFont val="Arial"/>
        <family val="2"/>
      </rPr>
      <t xml:space="preserve"> 3m E ROCHA (%)</t>
    </r>
  </si>
  <si>
    <r>
      <t xml:space="preserve">VOLUME PISTA x DEPÓSITO (m³) (GEOMÉTRICO) </t>
    </r>
    <r>
      <rPr>
        <b/>
        <sz val="8"/>
        <color rgb="FFFF0000"/>
        <rFont val="Calibri"/>
        <family val="2"/>
      </rPr>
      <t>→</t>
    </r>
  </si>
  <si>
    <t>VOLUME CARGA NO DEPÓSITO (m³)</t>
  </si>
  <si>
    <r>
      <t>VOLUME DEPÓSITO x PISTA (m³)</t>
    </r>
    <r>
      <rPr>
        <b/>
        <sz val="8"/>
        <color rgb="FFFF0000"/>
        <rFont val="Arial"/>
        <family val="2"/>
      </rPr>
      <t xml:space="preserve"> </t>
    </r>
    <r>
      <rPr>
        <b/>
        <sz val="8"/>
        <color rgb="FFFF0000"/>
        <rFont val="Calibri"/>
        <family val="2"/>
      </rPr>
      <t>←</t>
    </r>
    <r>
      <rPr>
        <b/>
        <sz val="8"/>
        <rFont val="Arial"/>
        <family val="2"/>
      </rPr>
      <t xml:space="preserve">                  (EMPOLADO 25%)</t>
    </r>
  </si>
  <si>
    <t>SOLO IMPORTADO PARA REATERRO (m³)</t>
  </si>
  <si>
    <t>VOLUME ESCAVADO (m³)</t>
  </si>
  <si>
    <t>INSERVÍVEL</t>
  </si>
  <si>
    <t>VOLUME DE REATERRO</t>
  </si>
  <si>
    <t xml:space="preserve">JAZIDA - VOLUME GEOMÉTRICO </t>
  </si>
  <si>
    <t>JAZIDA - VOLUME EMPOLADO (25%)</t>
  </si>
  <si>
    <r>
      <t xml:space="preserve">ESCORAMENTO TIPO PONTALETE </t>
    </r>
    <r>
      <rPr>
        <b/>
        <sz val="8"/>
        <color rgb="FFFF0000"/>
        <rFont val="Arial"/>
        <family val="2"/>
      </rPr>
      <t xml:space="preserve"> (1,25m ≤ H </t>
    </r>
    <r>
      <rPr>
        <b/>
        <sz val="8"/>
        <color rgb="FFFF0000"/>
        <rFont val="Calibri"/>
        <family val="2"/>
      </rPr>
      <t xml:space="preserve">≤ </t>
    </r>
    <r>
      <rPr>
        <b/>
        <sz val="8"/>
        <color rgb="FFFF0000"/>
        <rFont val="Arial"/>
        <family val="2"/>
      </rPr>
      <t>2,50m)</t>
    </r>
  </si>
  <si>
    <t>ALTURA (m)</t>
  </si>
  <si>
    <t>LARGURA DA VALA (m)</t>
  </si>
  <si>
    <r>
      <t>ÁREA (m²) 2x (L≤1,50m) (H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>1,50m)</t>
    </r>
  </si>
  <si>
    <t>ÁREA (m²) 2x (1,50m&lt;L≤2,50m) (H≤1,50m)</t>
  </si>
  <si>
    <t>ÁREA (m²) 2x (L≤1,50m) (1,50m&lt;H≤3,00m)</t>
  </si>
  <si>
    <t>ÁREA (m²) 2x (1,50m&lt;L≤2,50m) (1,50m&lt;H≤3,00m)</t>
  </si>
  <si>
    <r>
      <t xml:space="preserve">ESCORAMENTO TIPO DESCONTÍNUO </t>
    </r>
    <r>
      <rPr>
        <b/>
        <sz val="8"/>
        <color rgb="FFFF0000"/>
        <rFont val="Arial"/>
        <family val="2"/>
      </rPr>
      <t xml:space="preserve">(H </t>
    </r>
    <r>
      <rPr>
        <b/>
        <sz val="8"/>
        <color rgb="FFFF0000"/>
        <rFont val="Calibri"/>
        <family val="2"/>
      </rPr>
      <t xml:space="preserve">≤ </t>
    </r>
    <r>
      <rPr>
        <b/>
        <sz val="8"/>
        <color rgb="FFFF0000"/>
        <rFont val="Arial"/>
        <family val="2"/>
      </rPr>
      <t>3,00m)</t>
    </r>
    <r>
      <rPr>
        <b/>
        <sz val="8"/>
        <rFont val="Arial"/>
        <family val="2"/>
      </rPr>
      <t xml:space="preserve"> </t>
    </r>
  </si>
  <si>
    <r>
      <t>ALTURA (m) [V=0;2m&lt;H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>3m]</t>
    </r>
  </si>
  <si>
    <r>
      <t>ÁREA (m²) 2x (L≤1,50m) (H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>3,00m)</t>
    </r>
  </si>
  <si>
    <t>ÁREA (m²) 2x (1,50m&lt;L≤2,50m) (H≤3,00m)</t>
  </si>
  <si>
    <r>
      <t xml:space="preserve">ESCORAMENTO CONTÍNUO </t>
    </r>
    <r>
      <rPr>
        <b/>
        <sz val="8"/>
        <color rgb="FFFF0000"/>
        <rFont val="Arial"/>
        <family val="2"/>
      </rPr>
      <t>(H &gt; 3,00m)</t>
    </r>
  </si>
  <si>
    <t>ALTURA (m) [V=0;H&gt;3,0m]</t>
  </si>
  <si>
    <r>
      <t>ÁREA (m²) 2x (L≤1,50m) (H</t>
    </r>
    <r>
      <rPr>
        <b/>
        <sz val="8"/>
        <rFont val="Calibri"/>
        <family val="2"/>
      </rPr>
      <t>&gt;</t>
    </r>
    <r>
      <rPr>
        <b/>
        <sz val="8"/>
        <rFont val="Arial"/>
        <family val="2"/>
      </rPr>
      <t>3,00m)</t>
    </r>
  </si>
  <si>
    <t>ÁREA (m²) 2x (1,50m&lt;L≤2,50m) (H&gt;3,00m)</t>
  </si>
  <si>
    <r>
      <t xml:space="preserve">ESCORAMENTO TIPO BLINDAGEM </t>
    </r>
    <r>
      <rPr>
        <b/>
        <sz val="8"/>
        <color rgb="FFFF0000"/>
        <rFont val="Arial"/>
        <family val="2"/>
      </rPr>
      <t xml:space="preserve">(H </t>
    </r>
    <r>
      <rPr>
        <b/>
        <sz val="8"/>
        <color rgb="FFFF0000"/>
        <rFont val="Calibri"/>
        <family val="2"/>
      </rPr>
      <t>≥</t>
    </r>
    <r>
      <rPr>
        <b/>
        <sz val="8"/>
        <color rgb="FFFF0000"/>
        <rFont val="Arial"/>
        <family val="2"/>
      </rPr>
      <t xml:space="preserve"> 2,40m)</t>
    </r>
  </si>
  <si>
    <t>PROFUNDIDADE DA VALA (m)</t>
  </si>
  <si>
    <t>ALTURA DA BLINDAGEM (m)</t>
  </si>
  <si>
    <t>PREPARO DE FUNDO DE VALA</t>
  </si>
  <si>
    <t>BASE ≤ 1,50m (m²)</t>
  </si>
  <si>
    <t>BASE &gt; 1,50m (m²)</t>
  </si>
  <si>
    <t xml:space="preserve">REATERRO DE VALA (m³)                                                                          </t>
  </si>
  <si>
    <t>VOLUME TOTAL DO REATERRO</t>
  </si>
  <si>
    <t>VOLUME GEOMÉTRICO DO REATERRO HIDRÁULICO (MANUAL 30cm + Ø)</t>
  </si>
  <si>
    <t>MECÂNICO H ≤ 1,50m (L ≤ 0,80m)</t>
  </si>
  <si>
    <t>MECÂNICO H ≤ 1,50m (0,80m &lt; L ≤ 1,50m)</t>
  </si>
  <si>
    <t>MECÂNICO H ≤ 1,50m (L &gt; 1,50m)</t>
  </si>
  <si>
    <t>MEC. 1,50 &lt; H ≤ 3,00m (L ≤ 0,80m)</t>
  </si>
  <si>
    <t>MEC. 1,50 &lt; H ≤ 3,00m (0,80m &lt; L ≤ 1,50m)</t>
  </si>
  <si>
    <t>MEC. 1,50 &lt; H ≤ 3,00m (L &gt; 1,50m)</t>
  </si>
  <si>
    <t>MECÂNICO 3,00 &lt; H  ≤  4,50m (L ≤ 1,50m)</t>
  </si>
  <si>
    <t>MECÂNICO 3,00 &lt; H  ≤  4,50m (L &gt; 1,50m)</t>
  </si>
  <si>
    <t>MECÂNICO H &gt; 4,50m (L ≤ 1,50m)</t>
  </si>
  <si>
    <t>MECÂNICO H &gt; 4,50m (L &gt; 1,50m)</t>
  </si>
  <si>
    <r>
      <t xml:space="preserve">REATERRO NÍVEL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 (m³)                                                                          </t>
    </r>
  </si>
  <si>
    <r>
      <t xml:space="preserve">REATERRO NÍVEL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 (m³)                                                                          </t>
    </r>
  </si>
  <si>
    <t>LASTRO DE AREIA</t>
  </si>
  <si>
    <r>
      <t xml:space="preserve">VOLUME GEOMÉTRICO (m³) BASE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1,50m</t>
    </r>
  </si>
  <si>
    <r>
      <t xml:space="preserve">VOLUME GEOMÉTRICO (m³) BASE </t>
    </r>
    <r>
      <rPr>
        <b/>
        <sz val="8"/>
        <rFont val="Calibri"/>
        <family val="2"/>
      </rPr>
      <t>&gt;</t>
    </r>
    <r>
      <rPr>
        <b/>
        <sz val="8"/>
        <rFont val="Arial"/>
        <family val="2"/>
      </rPr>
      <t xml:space="preserve"> 1,50m</t>
    </r>
  </si>
  <si>
    <t>VOLUME EMPOLADO (m³) (10%)</t>
  </si>
  <si>
    <t>LASTRO DE CONCRETO MAGRO</t>
  </si>
  <si>
    <t>VOLUME CONCRETO (m³)</t>
  </si>
  <si>
    <t>LASTRO DE BRITA - FUNDAÇÃO NA GALERIA</t>
  </si>
  <si>
    <t>LASTRO DE BRITA - FUNDAÇÃO / LANÇAMENTO DE OBRAS</t>
  </si>
  <si>
    <t>LASTRO DE PEDRA-DE-MÃO - FUNDAÇÃO NA GALERIA</t>
  </si>
  <si>
    <t>VOLUME GEOMÉTRICO (m³)</t>
  </si>
  <si>
    <t>LASTRO DE PEDRA-DE-MÃO / ENROCAMENTO FUNDAÇÃO / LANÇAMENTO / DRENO DE OBRAS</t>
  </si>
  <si>
    <t>ESGOTAMENTO COM MOTO-BOMBA (h)</t>
  </si>
  <si>
    <t>LARGURA DO TOPO (m)</t>
  </si>
  <si>
    <t>ESCAVAÇÃO H ≤ 1,50m (L &gt; 1,50m)</t>
  </si>
  <si>
    <t>ESCAVAÇÃO H: 1,51 a 3,00m (L &gt; 1,50m)</t>
  </si>
  <si>
    <t>CARGA</t>
  </si>
  <si>
    <t>ROCHA (EMPOLADO 40%) (m³)</t>
  </si>
  <si>
    <t>ESCAVAÇÃO SOLO (m³)</t>
  </si>
  <si>
    <t>BOTA-DENTRO (DEPÓSITOxPISTA) (m³)</t>
  </si>
  <si>
    <t>TRANSPORTE PARA DRENAGEM</t>
  </si>
  <si>
    <t>BOTA-DENTRO (PISTAxDEPÓSITOxPISTA) (m³)</t>
  </si>
  <si>
    <t>BOTA-FORA SOLO (m³)</t>
  </si>
  <si>
    <t>JAZIDA DE SOLO (m³)</t>
  </si>
  <si>
    <t>GRAMA (T)</t>
  </si>
  <si>
    <t>ÁRVORE (T)</t>
  </si>
  <si>
    <t>CIMENTO (T)</t>
  </si>
  <si>
    <t>AREIA (CONCRETO MAGRO 0,827m³/m³) (m³)</t>
  </si>
  <si>
    <t>AREIA (ATERRO HIDRÁULICO+LASTRO)  (m³)</t>
  </si>
  <si>
    <t>BRITA (CONCRETO MAGRO) (m³)</t>
  </si>
  <si>
    <t>BRITA (LASTRO DE BRITA+RACHÃO) (m³)</t>
  </si>
  <si>
    <t>TEMPO FIXO CARGA/MANOBRA/DESCARGA</t>
  </si>
  <si>
    <t>JAZIDA ATERRO (m³)</t>
  </si>
  <si>
    <t>DEPÓSITO x PISTA (m³)</t>
  </si>
  <si>
    <t>CIMENTO (CONCRETO MAGRO 212,02kg/m³) (T)</t>
  </si>
  <si>
    <t>BRITA (CONCRETO MAGRO 0,578m³/m³)</t>
  </si>
  <si>
    <t>PLANILHA DE QUANTIDADES DE SERVIÇOS ESTRUTURAIS DA DRENAGEM - PROJETO DE ENGENHARIA</t>
  </si>
  <si>
    <r>
      <t xml:space="preserve">verificação              </t>
    </r>
    <r>
      <rPr>
        <sz val="12"/>
        <rFont val="Calibri"/>
        <family val="2"/>
      </rPr>
      <t>Σ</t>
    </r>
    <r>
      <rPr>
        <sz val="15"/>
        <rFont val="Courier"/>
        <family val="2"/>
      </rPr>
      <t xml:space="preserve"> </t>
    </r>
    <r>
      <rPr>
        <sz val="10"/>
        <rFont val="Courier"/>
        <family val="2"/>
      </rPr>
      <t>Ø</t>
    </r>
  </si>
  <si>
    <t>cimento (kg)</t>
  </si>
  <si>
    <t>areia (m3)</t>
  </si>
  <si>
    <t>pedra (m3)</t>
  </si>
  <si>
    <t>aço (kg)</t>
  </si>
  <si>
    <t>forma</t>
  </si>
  <si>
    <t>bloco de concreto 14x19x29 (un)</t>
  </si>
  <si>
    <t>tijolo cerâmico (un)</t>
  </si>
  <si>
    <t>con. Magro</t>
  </si>
  <si>
    <t>graute</t>
  </si>
  <si>
    <t>fck 15 Mpa</t>
  </si>
  <si>
    <t>fck 20 Mpa</t>
  </si>
  <si>
    <t>fck 25 Mpa</t>
  </si>
  <si>
    <t>argamassa 1:3</t>
  </si>
  <si>
    <t>argamassa 1:4</t>
  </si>
  <si>
    <t>chapisco</t>
  </si>
  <si>
    <t>ciclópico</t>
  </si>
  <si>
    <t>com. Magro</t>
  </si>
  <si>
    <t>lastro</t>
  </si>
  <si>
    <t>tábua 2x</t>
  </si>
  <si>
    <t>tábua 4x</t>
  </si>
  <si>
    <t>chapa 10x</t>
  </si>
  <si>
    <t>chapa 6x</t>
  </si>
  <si>
    <t>chapa 2x</t>
  </si>
  <si>
    <t>cimbramento</t>
  </si>
  <si>
    <r>
      <t xml:space="preserve">TUBOS PS-1 (m)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</si>
  <si>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t>0,40 (bigode)</t>
  </si>
  <si>
    <t>0,60 (bigode)</t>
  </si>
  <si>
    <r>
      <t xml:space="preserve">TUBOS PS-1 (m)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</si>
  <si>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r>
      <t xml:space="preserve">TUBOS   PA-1 (m)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</si>
  <si>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  PA-1(m)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</si>
  <si>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  PA-1 (m)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</si>
  <si>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r>
      <t xml:space="preserve">TUBOS   PA-2 (m)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</si>
  <si>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  PA-2 (m)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</si>
  <si>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r>
      <t xml:space="preserve">TUBOS PEAD (m)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</si>
  <si>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t>0,50 (bigode)</t>
  </si>
  <si>
    <r>
      <t xml:space="preserve">TUBOS PEAD (m)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</si>
  <si>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r>
      <t xml:space="preserve">GALERIA CELULAR OU ADUELA (m)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</si>
  <si>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t>POÇO DE VISITA
(PV-TIPO) (un)</t>
  </si>
  <si>
    <t>DIMENSÕES VERTICAIS DO PV / CC DE MONTANTE</t>
  </si>
  <si>
    <t>PROFUNDIDADE (m)</t>
  </si>
  <si>
    <t>CGES (BOLSA/LAJE) SAÍDA (m)</t>
  </si>
  <si>
    <t>CGES (BOLSA/LAJE) ENTRADA "A" (m)</t>
  </si>
  <si>
    <t>CGES (BOLSA/LAJE) ENTRADA "B" (m)</t>
  </si>
  <si>
    <t>CGES (BOLSA/LAJE) ENTRADA "C" (m)</t>
  </si>
  <si>
    <t>PÉ DIREITO DO PV (m)</t>
  </si>
  <si>
    <t>ACÉSCIMO DE POÇO DE VISITA
(APV-TIPO) (un)</t>
  </si>
  <si>
    <t>TAMPÃO DE F°F° Ø 60cm</t>
  </si>
  <si>
    <t>AREIA (m³)</t>
  </si>
  <si>
    <t>BRITA (m³)</t>
  </si>
  <si>
    <t>SITUAÇÕES DE REPARO / MANUTENÇÃO</t>
  </si>
  <si>
    <t>PESCOÇO / CHAMINÉ Ø 0,60m (m)</t>
  </si>
  <si>
    <t>TAMPÃO DE F°F° Ø 60cm (un)</t>
  </si>
  <si>
    <t>BOCA DE LOBO (un)</t>
  </si>
  <si>
    <t>PASSEIO SIMPLES - BLSP</t>
  </si>
  <si>
    <t>PASSEIO DUPLA - BLDP</t>
  </si>
  <si>
    <t>PASSEIO TRIPLA - BLTP</t>
  </si>
  <si>
    <t>CONCRETO SIMPLES - BLSC</t>
  </si>
  <si>
    <t>CONCRETO DUPLA - BLDC</t>
  </si>
  <si>
    <t>CONCRETO TRIPLA - BLTC</t>
  </si>
  <si>
    <t>BOCA DE BUEIRO (un)</t>
  </si>
  <si>
    <t>DISSIPADOR DE ENERGIA (un)</t>
  </si>
  <si>
    <t>CONCRETO MAGRO  (m³)</t>
  </si>
  <si>
    <t>FÔRMA (m²) (CÓD. SINAPI 92415)</t>
  </si>
  <si>
    <t>AÇO CA-60 Ø 4.2mm Malha Q138  (kg) (2,2kg/m²)</t>
  </si>
  <si>
    <t>VOLUME (m³)</t>
  </si>
  <si>
    <t>ÁREA           (m²)</t>
  </si>
  <si>
    <t>BRITA/PEDRA DE MÃO/RACHÃO (m³)</t>
  </si>
  <si>
    <t>AÇO (T)</t>
  </si>
  <si>
    <t>FORMA (T)</t>
  </si>
  <si>
    <t>BLOCO CONCRETO ESTRUTURAL (T)</t>
  </si>
  <si>
    <t>TIJOLO CERÂMICO MACIÇO (T)</t>
  </si>
  <si>
    <t>TAMPÃO E GRELHA (T)</t>
  </si>
  <si>
    <t>TUBOS (T)</t>
  </si>
  <si>
    <t>TEMPO FIXO         CARGA/MANOBRA/ DESCARGA</t>
  </si>
  <si>
    <t>-</t>
  </si>
  <si>
    <t>PLANILHA DE QUANTIDADES DE SERVIÇOS DA DRENAGEM PROFUNDA - PROJETO DE ENGENHARIA</t>
  </si>
  <si>
    <t>FÓRMULA</t>
  </si>
  <si>
    <t>DRENO PROFUNDO TIPO</t>
  </si>
  <si>
    <t>DRENO GEOCOMPOSTO DRENANTE (m)</t>
  </si>
  <si>
    <t>TIPO GH040 Ø100mm</t>
  </si>
  <si>
    <t>TIPO GH100 Ø100mm</t>
  </si>
  <si>
    <t>TIPO GH150 Ø100mm</t>
  </si>
  <si>
    <t>DRENO FRANCÊS (m)</t>
  </si>
  <si>
    <t>TIPO FH0100 Ø 100mm</t>
  </si>
  <si>
    <t>TIPO FH0150 Ø 150mm</t>
  </si>
  <si>
    <t>BRITA DO DRENO (m³)</t>
  </si>
  <si>
    <t>TIPO GH040 (0,040m³/m)</t>
  </si>
  <si>
    <t>TIPO GH100 (0,040m³/m)</t>
  </si>
  <si>
    <t>TIPO GH150 (0,040m³/m)</t>
  </si>
  <si>
    <t>TIPO FH0100 (0,25m³/m)</t>
  </si>
  <si>
    <t>TIPO FH0150 (0,50m³/m)</t>
  </si>
  <si>
    <t>DRENO PROFUNDO ESPECIAL</t>
  </si>
  <si>
    <t>OBRA (m)</t>
  </si>
  <si>
    <t>CEGO (m)</t>
  </si>
  <si>
    <t>TUBO Ø 100mm (m)</t>
  </si>
  <si>
    <t>TUBO Ø 150mm (m)</t>
  </si>
  <si>
    <t xml:space="preserve">ALTURAS </t>
  </si>
  <si>
    <t>PROFUNDIDADE MÉDIA (m)</t>
  </si>
  <si>
    <t>SOLO (m)</t>
  </si>
  <si>
    <t>SOLO INSERVÍVEL (%)</t>
  </si>
  <si>
    <t>TALUDE DE ESCAVAÇÃO SOLO 1:(V)</t>
  </si>
  <si>
    <t>se ROSA não pode ter talude</t>
  </si>
  <si>
    <t>INFERIOR</t>
  </si>
  <si>
    <t>se ROSA não pode ter base</t>
  </si>
  <si>
    <t>TOPO ROCHA (TALUDE 1:10)</t>
  </si>
  <si>
    <t>ESCAVAÇÃO (m³)</t>
  </si>
  <si>
    <t>VOLUME TOTAL DA ESCAVAÇÃO</t>
  </si>
  <si>
    <r>
      <t xml:space="preserve">RETRO ESCAVADEIRA (B </t>
    </r>
    <r>
      <rPr>
        <b/>
        <sz val="8"/>
        <rFont val="Calibri"/>
        <family val="2"/>
      </rPr>
      <t xml:space="preserve">≥ </t>
    </r>
    <r>
      <rPr>
        <b/>
        <sz val="8"/>
        <rFont val="Arial"/>
        <family val="2"/>
      </rPr>
      <t>0,40m)</t>
    </r>
  </si>
  <si>
    <t>MINIESCAVADEIRA (B &lt; 0,40m)</t>
  </si>
  <si>
    <r>
      <t xml:space="preserve">MANUAL 5% </t>
    </r>
    <r>
      <rPr>
        <b/>
        <sz val="10"/>
        <rFont val="Calibri"/>
        <family val="2"/>
      </rPr>
      <t>Σ</t>
    </r>
    <r>
      <rPr>
        <b/>
        <sz val="8"/>
        <rFont val="Arial"/>
        <family val="2"/>
      </rPr>
      <t xml:space="preserve"> DA ESCAVAÇÃO</t>
    </r>
  </si>
  <si>
    <t>ESCORAMENTO DE VALA</t>
  </si>
  <si>
    <t>ÁREA 2x (m²)</t>
  </si>
  <si>
    <t>GEOSSINTÉTICO</t>
  </si>
  <si>
    <t>PERÍMETRO (m)</t>
  </si>
  <si>
    <t>FÔRMA DE MADEIRA PARA DRENO</t>
  </si>
  <si>
    <t>BRITA DO DRENO</t>
  </si>
  <si>
    <t>ALTURA DA SEÇÃO DE  BRITA (m)</t>
  </si>
  <si>
    <t>BASE DA SEÇÃO DE BRITA (m)</t>
  </si>
  <si>
    <t>TOPO DA SEÇÃO DE BRITA (m)</t>
  </si>
  <si>
    <t>VOLUME DO REATERRO (m³)</t>
  </si>
  <si>
    <t>DESTINO DA TERRAPLENAGEM</t>
  </si>
  <si>
    <t>SOLO INSERVÍVEL (EMOPLADO 25%)  (m³)</t>
  </si>
  <si>
    <t>MATERIAL REAPROVEITÁVEL (m³)</t>
  </si>
  <si>
    <t>VOLUME BOTA-FORA (m³)</t>
  </si>
  <si>
    <t>LASTRO DE PEDRA-DE-MÃO / ENROCAMENTO</t>
  </si>
  <si>
    <t>tela</t>
  </si>
  <si>
    <t>TELA CERQUITE</t>
  </si>
  <si>
    <t>EXTENSÃO  (m)</t>
  </si>
  <si>
    <t>PV-0 TIPO CIRCULAR (un)</t>
  </si>
  <si>
    <t>BOCA DE LANÇAMENTO</t>
  </si>
  <si>
    <t>CONCRETO 15MPa (0,50m³/un)</t>
  </si>
  <si>
    <t>ALVENARIA DE 1x (1,75m²/un)</t>
  </si>
  <si>
    <t>CHAPISCO (1,75m²/un)</t>
  </si>
  <si>
    <t>REBOCO (2cm x 1,75m²/un)</t>
  </si>
  <si>
    <t>CARGA BOTA-FORA</t>
  </si>
  <si>
    <t>ROCHA (m³)</t>
  </si>
  <si>
    <t>SOLO (m³)</t>
  </si>
  <si>
    <t>TRANSPORTE PARA DRENAGEM PROFUNDA</t>
  </si>
  <si>
    <t>BOTA-FORA ROCHA (m³)</t>
  </si>
  <si>
    <t>TUBO PEAD (T)</t>
  </si>
  <si>
    <t>BRITA CONCRETO (m³)</t>
  </si>
  <si>
    <t>TEMPO FIXO           CARGA/MANOBRA/        DESCARGA</t>
  </si>
  <si>
    <t>SERVIÇOS DE RECOMPOSIÇÃO DO PAVIMENTO</t>
  </si>
  <si>
    <t>LARGURA MÉDIA     (m)</t>
  </si>
  <si>
    <t>EXTENSÃO MÉDIA     (m)</t>
  </si>
  <si>
    <t>RECORTE MECÂNICO DO PAVIMENTO (m) (2xL)</t>
  </si>
  <si>
    <t>ESCAVAÇÃO DO TOPO DO REATERRO</t>
  </si>
  <si>
    <r>
      <t>ESPESSURA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</si>
  <si>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VOLUME ESCAVAÇÃO (m³)</t>
  </si>
  <si>
    <t>BASE</t>
  </si>
  <si>
    <r>
      <t>BASE CASCALHO (</t>
    </r>
    <r>
      <rPr>
        <b/>
        <sz val="8"/>
        <color rgb="FFFF0000"/>
        <rFont val="Arial"/>
        <family val="2"/>
      </rPr>
      <t>SIM</t>
    </r>
    <r>
      <rPr>
        <b/>
        <sz val="8"/>
        <rFont val="Arial"/>
        <family val="2"/>
      </rPr>
      <t>)</t>
    </r>
  </si>
  <si>
    <t>CASCALHO (EMPOLADO 25%) (m³)</t>
  </si>
  <si>
    <r>
      <t>BASE BICA CORRIDA (</t>
    </r>
    <r>
      <rPr>
        <b/>
        <sz val="8"/>
        <color rgb="FFFF0000"/>
        <rFont val="Arial"/>
        <family val="2"/>
      </rPr>
      <t>SIM</t>
    </r>
    <r>
      <rPr>
        <b/>
        <sz val="8"/>
        <rFont val="Arial"/>
        <family val="2"/>
      </rPr>
      <t>)</t>
    </r>
  </si>
  <si>
    <t>BICA CORRIDA (EMPOLADA 37,5%) (m³)</t>
  </si>
  <si>
    <r>
      <t>BASE BRITA GRADUADA (</t>
    </r>
    <r>
      <rPr>
        <b/>
        <sz val="8"/>
        <color rgb="FFFF0000"/>
        <rFont val="Arial"/>
        <family val="2"/>
      </rPr>
      <t>SIM</t>
    </r>
    <r>
      <rPr>
        <b/>
        <sz val="8"/>
        <rFont val="Arial"/>
        <family val="2"/>
      </rPr>
      <t>)</t>
    </r>
  </si>
  <si>
    <t>BRITA GRADUADA SIMPLES (EMPOLADA 46,67%) (m³)</t>
  </si>
  <si>
    <t>IMPRIMAÇÃO</t>
  </si>
  <si>
    <t>ASFALTO IMPRIMAÇÃO (T) (0,0012T/m²)</t>
  </si>
  <si>
    <t>REVESTIMENTO - CBUQ</t>
  </si>
  <si>
    <t>CBUQ (T) (2,5548 T/m3)</t>
  </si>
  <si>
    <r>
      <t xml:space="preserve">APLICAÇÃO MANUAL (m³) (L </t>
    </r>
    <r>
      <rPr>
        <b/>
        <sz val="8"/>
        <rFont val="Calibri"/>
        <family val="2"/>
      </rPr>
      <t xml:space="preserve">≤ </t>
    </r>
    <r>
      <rPr>
        <b/>
        <sz val="8"/>
        <rFont val="Arial"/>
        <family val="2"/>
      </rPr>
      <t>2,50m)</t>
    </r>
  </si>
  <si>
    <t>CAP 50/70 OU 30/45 (T) (6% MISTURA)</t>
  </si>
  <si>
    <t>AREIA (m³) (0,161m³/T)</t>
  </si>
  <si>
    <t>BRITA (m³) (0,447m³/T)</t>
  </si>
  <si>
    <t>REVESTIMENTO - PMF</t>
  </si>
  <si>
    <t>PMF (T) (2,346 T/m3)</t>
  </si>
  <si>
    <t>EMULSÃO RL-1C (T) (0,132T/m³)</t>
  </si>
  <si>
    <t>AREIA (m³) (0,411m³/m³)</t>
  </si>
  <si>
    <t>BRITA (m³) (0,968m³/m³)</t>
  </si>
  <si>
    <t>PLANILHA DE QUANTIDADES DE RECOMPOSIÇÃO DO PAVIMENTO - FECHAMENTO DE VALA DA DRENAGEM - PROJETO DE ENGENHARIA</t>
  </si>
  <si>
    <t>RECAPEAMENTO - TUBO DE LIGAÇÃO Ø0,40m</t>
  </si>
  <si>
    <t>RECAPEAMENTO - TUBO DE LIGAÇÃO Ø 0,60m</t>
  </si>
  <si>
    <t>RECAPEAMENTO - REDE TRONCO</t>
  </si>
  <si>
    <t>BASE COM MISTURA (m³)</t>
  </si>
  <si>
    <t>BASE PRODUTO DE BRITAGEM (m³)</t>
  </si>
  <si>
    <t>BASE CASCALHO (m³)</t>
  </si>
  <si>
    <t>SOLO (EMPOLADO 25%) (m³)</t>
  </si>
  <si>
    <t>BRITA PARA SOLO/BRITA
(EMPOLADO 37,5%) (m³)</t>
  </si>
  <si>
    <t>BRITA GRADUADA SIMPLES
(EMPOLADA 46,67%) (m³)</t>
  </si>
  <si>
    <t>REVESTIMENTO -TSD                                            COM                                        CAPA SELANTE</t>
  </si>
  <si>
    <t>AREIA (m³) (0,006m³/m²)</t>
  </si>
  <si>
    <t>BRITA (m³) (0,0223m³/m²)</t>
  </si>
  <si>
    <t>EMULSÃO (T) (0,0048T/m²)</t>
  </si>
  <si>
    <t>APLICAÇÃO COM MOTONIVELADORA (m³)
(L &gt; 2,50m)</t>
  </si>
  <si>
    <t>areia (m³)</t>
  </si>
  <si>
    <t>pedra (m³)</t>
  </si>
  <si>
    <t>RECOMPOSIÇÃO</t>
  </si>
  <si>
    <t>PERCENTUAL DE REPARO (%)</t>
  </si>
  <si>
    <t>MEIO FIO COM SARJETA (m)</t>
  </si>
  <si>
    <t>MEIO FIO SIMPLES (GUIA)  (m)</t>
  </si>
  <si>
    <t>SARJETA (m)</t>
  </si>
  <si>
    <t>CIMENTO (kg)</t>
  </si>
  <si>
    <t>AREIA CONCRETO (m³)</t>
  </si>
  <si>
    <r>
      <t>AREIA</t>
    </r>
    <r>
      <rPr>
        <b/>
        <sz val="8"/>
        <color rgb="FFFF0000"/>
        <rFont val="Arial"/>
        <family val="2"/>
      </rPr>
      <t xml:space="preserve"> (TSD)</t>
    </r>
    <r>
      <rPr>
        <b/>
        <sz val="8"/>
        <rFont val="Arial"/>
        <family val="2"/>
      </rPr>
      <t xml:space="preserve"> (m³)</t>
    </r>
  </si>
  <si>
    <r>
      <t>AREIA</t>
    </r>
    <r>
      <rPr>
        <b/>
        <sz val="8"/>
        <color rgb="FFFF0000"/>
        <rFont val="Arial"/>
        <family val="2"/>
      </rPr>
      <t xml:space="preserve"> (CBUQ)</t>
    </r>
    <r>
      <rPr>
        <b/>
        <sz val="8"/>
        <rFont val="Arial"/>
        <family val="2"/>
      </rPr>
      <t xml:space="preserve"> (m³)</t>
    </r>
  </si>
  <si>
    <r>
      <t>AREIA</t>
    </r>
    <r>
      <rPr>
        <b/>
        <sz val="8"/>
        <color rgb="FFFF0000"/>
        <rFont val="Arial"/>
        <family val="2"/>
      </rPr>
      <t xml:space="preserve"> (PMF)</t>
    </r>
    <r>
      <rPr>
        <b/>
        <sz val="8"/>
        <rFont val="Arial"/>
        <family val="2"/>
      </rPr>
      <t xml:space="preserve"> (m³)</t>
    </r>
  </si>
  <si>
    <t>CASCALHO (m³)</t>
  </si>
  <si>
    <t>BRITA PARA SOLO/BRITA (m³)</t>
  </si>
  <si>
    <t>BICA CORRIDA (m³)</t>
  </si>
  <si>
    <t>BRITA GRADUADA (m³)</t>
  </si>
  <si>
    <r>
      <t xml:space="preserve">BRITA </t>
    </r>
    <r>
      <rPr>
        <b/>
        <sz val="8"/>
        <color rgb="FFFF0000"/>
        <rFont val="Arial"/>
        <family val="2"/>
      </rPr>
      <t>(TSD)</t>
    </r>
    <r>
      <rPr>
        <b/>
        <sz val="8"/>
        <rFont val="Arial"/>
        <family val="2"/>
      </rPr>
      <t xml:space="preserve"> (m³)</t>
    </r>
  </si>
  <si>
    <r>
      <t xml:space="preserve">BRITA </t>
    </r>
    <r>
      <rPr>
        <b/>
        <sz val="8"/>
        <color rgb="FFFF0000"/>
        <rFont val="Arial"/>
        <family val="2"/>
      </rPr>
      <t>(CBUQ)</t>
    </r>
    <r>
      <rPr>
        <b/>
        <sz val="8"/>
        <rFont val="Arial"/>
        <family val="2"/>
      </rPr>
      <t xml:space="preserve"> (m³)</t>
    </r>
  </si>
  <si>
    <r>
      <t xml:space="preserve">BRITA </t>
    </r>
    <r>
      <rPr>
        <b/>
        <sz val="8"/>
        <color rgb="FFFF0000"/>
        <rFont val="Arial"/>
        <family val="2"/>
      </rPr>
      <t>(PMF)</t>
    </r>
    <r>
      <rPr>
        <b/>
        <sz val="8"/>
        <rFont val="Arial"/>
        <family val="2"/>
      </rPr>
      <t xml:space="preserve"> (m³)</t>
    </r>
  </si>
  <si>
    <t>CAP 50/70 OU 30/45 (T)</t>
  </si>
  <si>
    <t>ASFALTO IMPRIMAÇÃO (T)</t>
  </si>
  <si>
    <t>EMULSÃO RR-2C (T)</t>
  </si>
  <si>
    <t>EMULSÃO RL-1C (T)</t>
  </si>
  <si>
    <t>CBUQ (MISTURA) (T)</t>
  </si>
  <si>
    <t>PMF (MISTURA) (T)</t>
  </si>
  <si>
    <r>
      <t>AREIA</t>
    </r>
    <r>
      <rPr>
        <b/>
        <sz val="8"/>
        <color rgb="FFFF0000"/>
        <rFont val="Arial"/>
        <family val="2"/>
      </rPr>
      <t xml:space="preserve"> </t>
    </r>
    <r>
      <rPr>
        <b/>
        <sz val="8"/>
        <rFont val="Arial"/>
        <family val="2"/>
      </rPr>
      <t>(m³)</t>
    </r>
  </si>
  <si>
    <t>PLANILHA DE QUANTIDADES DE SERVIÇOS DE CONSTRUÇÃO DE BACIA DE AMORTECIMENTO - PROJETO DE ENGENHARIA</t>
  </si>
  <si>
    <t>BACIA XX</t>
  </si>
  <si>
    <t>LIMPEZA</t>
  </si>
  <si>
    <t>ESPESSURA MÉDIA (m) (empolada)</t>
  </si>
  <si>
    <t>ÁREA CALCULADA (m²)</t>
  </si>
  <si>
    <t>ÁREA DESENHO (m²)</t>
  </si>
  <si>
    <t>VOLUME DE EXPURGO (m³)</t>
  </si>
  <si>
    <t>REVESTIMENTO DO SUBLEITO COM BRITA</t>
  </si>
  <si>
    <t>VOLUME DE BRITA (EMPLOADA 10%) (m³)</t>
  </si>
  <si>
    <t>SINALIZAÇÃO DE OBRA</t>
  </si>
  <si>
    <t>PLACA DE ADVERTÊNCIA (m²)</t>
  </si>
  <si>
    <t>TELA CERQUITE (m)</t>
  </si>
  <si>
    <t>CONE (un)</t>
  </si>
  <si>
    <t>TERRAPLENAGEM</t>
  </si>
  <si>
    <t>ESCAVAÇÃO</t>
  </si>
  <si>
    <t>MATERIAL 1ª CATEGORIA (m³)</t>
  </si>
  <si>
    <t>MATERIAL 3ª CATEGORIA (m³)</t>
  </si>
  <si>
    <t>TALUDE (m³)</t>
  </si>
  <si>
    <t>REGULARIZAÇÃO COM MOTONIVELADORA (m²)</t>
  </si>
  <si>
    <t>FUNDAÇÃO DO MURO</t>
  </si>
  <si>
    <t>REGULARIZAÇÃO E COMPACTAÇÃO (m²)</t>
  </si>
  <si>
    <t>BRITA ESPESSURA (m)</t>
  </si>
  <si>
    <t>BRITA VOLUME (m³)</t>
  </si>
  <si>
    <t>PEDRA DE MÃO / RACHÃO H (m)</t>
  </si>
  <si>
    <t>PEDRA DE MÃO / RACHÃO V (m³)</t>
  </si>
  <si>
    <t>REATERRO TARDOZ DO MURO (m³)</t>
  </si>
  <si>
    <r>
      <t xml:space="preserve">PLACA H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1,50m</t>
    </r>
  </si>
  <si>
    <t>PLACA 1,50m &lt; H ≤ 3,00m</t>
  </si>
  <si>
    <t>PLACA 3,00m &lt; H ≤ 4,50m</t>
  </si>
  <si>
    <t>PLACA H &gt; 4,50m</t>
  </si>
  <si>
    <t>ATERRO MACIÇO COM ROLO (m³)</t>
  </si>
  <si>
    <t>ATERRO RESUMO</t>
  </si>
  <si>
    <t>VOLUME TOTAL (EMPOLADO 25%) (m³)</t>
  </si>
  <si>
    <t>MATERIAL PARA COMPENSAÇÃO (m³)</t>
  </si>
  <si>
    <t>JAZIDA (EMPOLADO 25%) (m³)</t>
  </si>
  <si>
    <t>DESTINO</t>
  </si>
  <si>
    <t>DMT APLICAÇÃO (km)</t>
  </si>
  <si>
    <t>DMT PONDERADO (km)</t>
  </si>
  <si>
    <t>ESPALHAMENTO DE BOTA-FORA (m³)</t>
  </si>
  <si>
    <t>DRENO DE FUNDO</t>
  </si>
  <si>
    <t>ESCAVAÇÃO MANUAL (m³)</t>
  </si>
  <si>
    <t>ESCAVAÇÃO MECÂNICA (m³)</t>
  </si>
  <si>
    <t>GEOSSINTÉTICO (m²)</t>
  </si>
  <si>
    <t>TUBO DRENO (m)</t>
  </si>
  <si>
    <t>DRENAGEM SUPERFICIAL</t>
  </si>
  <si>
    <t>MEIA CANA Ø 0,60m (m)</t>
  </si>
  <si>
    <t>VALETA DE CONCRETO TRAPEZOIDAL 1,00mx0,30m (m)</t>
  </si>
  <si>
    <t>ESTRUTURA</t>
  </si>
  <si>
    <t>CONCRETO (m³)</t>
  </si>
  <si>
    <t>MAGRO</t>
  </si>
  <si>
    <t>20 Mpa</t>
  </si>
  <si>
    <t>25 Mpa</t>
  </si>
  <si>
    <t>30 Mpa</t>
  </si>
  <si>
    <t>35 MPa</t>
  </si>
  <si>
    <t>CICLÓPICO</t>
  </si>
  <si>
    <t>FÔRMA</t>
  </si>
  <si>
    <t>CHAPA 2x (m²)</t>
  </si>
  <si>
    <t>CHAPA 6x (m²)</t>
  </si>
  <si>
    <t>TÁBUA 4x (m²)</t>
  </si>
  <si>
    <t>ESCORAMENTO (m³)</t>
  </si>
  <si>
    <t>AÇO (kg)</t>
  </si>
  <si>
    <t>CA-60 5mm</t>
  </si>
  <si>
    <t>CA-50 6,3mm</t>
  </si>
  <si>
    <t>CA-50 8,0mm</t>
  </si>
  <si>
    <t>CA-50 10,0mm</t>
  </si>
  <si>
    <t>CA-50 12,5mm</t>
  </si>
  <si>
    <t>CA-50 16,0mm</t>
  </si>
  <si>
    <t>CA-50 20,0mm</t>
  </si>
  <si>
    <t>CA-50 25,0mm</t>
  </si>
  <si>
    <t>CA-60 Q-138 (10x10cm)
#4,2x4,2mm (2,2kg/m²)</t>
  </si>
  <si>
    <t>CA-60 Q-92 (15x15cm)
#4,2x4,2mm (1,48kg/m²)</t>
  </si>
  <si>
    <t>SOLO GRAMPEADO</t>
  </si>
  <si>
    <r>
      <t xml:space="preserve">GRAMPO Ø 10cm                                                                       6,00m </t>
    </r>
    <r>
      <rPr>
        <b/>
        <sz val="8"/>
        <rFont val="Calibri"/>
        <family val="2"/>
      </rPr>
      <t xml:space="preserve">&lt; L ≤ 8,00m </t>
    </r>
    <r>
      <rPr>
        <b/>
        <sz val="8"/>
        <rFont val="Arial"/>
        <family val="2"/>
      </rPr>
      <t>(m)</t>
    </r>
  </si>
  <si>
    <r>
      <t xml:space="preserve">GRAMPO Ø10cm
8,00m </t>
    </r>
    <r>
      <rPr>
        <b/>
        <sz val="8"/>
        <rFont val="Calibri"/>
        <family val="2"/>
      </rPr>
      <t xml:space="preserve">&lt; L ≤ 10,00m </t>
    </r>
    <r>
      <rPr>
        <b/>
        <sz val="8"/>
        <rFont val="Arial"/>
        <family val="2"/>
      </rPr>
      <t>(m)</t>
    </r>
  </si>
  <si>
    <t>CONCRETO PROJETADO
e=10cm COM TELA</t>
  </si>
  <si>
    <t>CONCRETO PROJETADO
e=10cm COM FIBRA</t>
  </si>
  <si>
    <t>MURO GABIÃO CAIXA TIPO GRAVIDADE (m³)</t>
  </si>
  <si>
    <r>
      <t xml:space="preserve">H </t>
    </r>
    <r>
      <rPr>
        <b/>
        <sz val="8"/>
        <rFont val="Calibri"/>
        <family val="2"/>
      </rPr>
      <t xml:space="preserve">≤ </t>
    </r>
    <r>
      <rPr>
        <b/>
        <sz val="8"/>
        <rFont val="Arial"/>
        <family val="2"/>
      </rPr>
      <t>4,00m</t>
    </r>
  </si>
  <si>
    <t>4,0m &lt; H ≤ 6,00m</t>
  </si>
  <si>
    <t>6,0m &lt; H ≤ 10,00m</t>
  </si>
  <si>
    <t>MURO GABIÃO CAIXA TIPO SOLO REFORÇADO (m³)</t>
  </si>
  <si>
    <r>
      <t xml:space="preserve">ANCORAGEM 4m H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4,00m</t>
    </r>
  </si>
  <si>
    <t>ANCORAGEM 4m H &gt; 4,00m</t>
  </si>
  <si>
    <t>ANCORAGEM 4m + GEOGRELHA                        H &gt; 4,00m</t>
  </si>
  <si>
    <t>ANCORAGEM 5m H &gt; 4,00m</t>
  </si>
  <si>
    <t>ANCORAGEM 6m H &gt; 4,00m</t>
  </si>
  <si>
    <t>COLCHÃO DE GABIÃO (m²)</t>
  </si>
  <si>
    <t>H = 17cm</t>
  </si>
  <si>
    <t>H = 23cm</t>
  </si>
  <si>
    <t>H = 30 cm</t>
  </si>
  <si>
    <t>GABIÃO SACO Ø 65cm (m³)</t>
  </si>
  <si>
    <t>TUBO DE AÇO GALVANIZADO (m)</t>
  </si>
  <si>
    <t>Ø 40mm (1 1/2")</t>
  </si>
  <si>
    <t>Ø 50mm (2")</t>
  </si>
  <si>
    <t>URBANIZAÇÃO</t>
  </si>
  <si>
    <t>ALAMBRADO H = 1,80m (m)</t>
  </si>
  <si>
    <t>CERCA H = 1,80m 11 FIOS (m)</t>
  </si>
  <si>
    <t>PORTÃO (m²)</t>
  </si>
  <si>
    <t>GRAMA (m²)</t>
  </si>
  <si>
    <t>HIDROSSEMEADURA (m²)</t>
  </si>
  <si>
    <r>
      <t xml:space="preserve">ÁRVORE ORNAMENTAL H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2,00m (un)</t>
    </r>
  </si>
  <si>
    <r>
      <t xml:space="preserve">PALMEIRA H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2,00m (un)</t>
    </r>
  </si>
  <si>
    <t>PISO TÁTIL (m)</t>
  </si>
  <si>
    <t>CONCRETO MAGRO (m³)</t>
  </si>
  <si>
    <t>3cm</t>
  </si>
  <si>
    <t xml:space="preserve">CALÇADA RÚSTICA CONCRETO SIMPLES </t>
  </si>
  <si>
    <t>7cm</t>
  </si>
  <si>
    <t>CALÇADA RÚSTICA CONCRETO ARMADO (m²)</t>
  </si>
  <si>
    <t>8cm</t>
  </si>
  <si>
    <t>LASTRO DE BRITA</t>
  </si>
  <si>
    <t>5cm</t>
  </si>
  <si>
    <t>CALÇADA BLOCO INTERTRAVADO (m²)</t>
  </si>
  <si>
    <t>TRANSPORTE PARA BACIA DE AMORTECIMENTO</t>
  </si>
  <si>
    <t>BOTA-FORA - PRODUTO DA LIMPEZA (m³)</t>
  </si>
  <si>
    <t>BOTA-FORA - SOLO (m³)</t>
  </si>
  <si>
    <t>BOTA-FORA - ROCHA (EMPOLADO 40%) (m³)</t>
  </si>
  <si>
    <t>TRANSPORTE INTERNO NO CANTEIRO - SOLO (m³)</t>
  </si>
  <si>
    <t>PEDRA BRITA / PULMÃO / DE MÃO / RACHÃO (m³)</t>
  </si>
  <si>
    <t>PLANILHA DE QUANTIDADES DE SERVIÇOS DE RESTAURAÇÃO - RECUPERAÇÃO PRÉVIA DO PAVIMENTO - PROJETO DE ENGENHARIA</t>
  </si>
  <si>
    <t>VIAS</t>
  </si>
  <si>
    <t>REMENDOS</t>
  </si>
  <si>
    <t>EXTENSÃO         (m)</t>
  </si>
  <si>
    <t>ESTACA</t>
  </si>
  <si>
    <t>INÍCIO</t>
  </si>
  <si>
    <t>FIM</t>
  </si>
  <si>
    <t xml:space="preserve">LARGURA MÉDIA DA VIA (m) </t>
  </si>
  <si>
    <t>ÁREA MÉDIA DA VIA DE INTERVENÇÃO (m²)</t>
  </si>
  <si>
    <r>
      <t xml:space="preserve">REVESTIMENTO TIPO: </t>
    </r>
    <r>
      <rPr>
        <b/>
        <sz val="8"/>
        <color rgb="FFFF0000"/>
        <rFont val="Arial"/>
        <family val="2"/>
      </rPr>
      <t>CBUQ</t>
    </r>
    <r>
      <rPr>
        <b/>
        <sz val="8"/>
        <rFont val="Arial"/>
        <family val="2"/>
      </rPr>
      <t xml:space="preserve"> OU </t>
    </r>
    <r>
      <rPr>
        <b/>
        <sz val="8"/>
        <color rgb="FFFF0000"/>
        <rFont val="Arial"/>
        <family val="2"/>
      </rPr>
      <t>PMF</t>
    </r>
  </si>
  <si>
    <t>Compatibilizar com Recap_Final</t>
  </si>
  <si>
    <t>CBUQ</t>
  </si>
  <si>
    <t xml:space="preserve">CORREÇÃO DE DEFEITOS POR FRESAGEM </t>
  </si>
  <si>
    <t>PERCENTUAL DE REMENDO (%)</t>
  </si>
  <si>
    <r>
      <t xml:space="preserve">ALTURA DO REPARO </t>
    </r>
    <r>
      <rPr>
        <b/>
        <sz val="10"/>
        <color rgb="FFFF0000"/>
        <rFont val="Arial"/>
        <family val="2"/>
      </rPr>
      <t>(cm)</t>
    </r>
  </si>
  <si>
    <t>ÁREA 1 (m²)</t>
  </si>
  <si>
    <t>VOLUME 1 (m³)</t>
  </si>
  <si>
    <t>REMENDO                                                             SUPERFICIAL                                  TAPA BURADO</t>
  </si>
  <si>
    <t>ÁREA 2 (m²)</t>
  </si>
  <si>
    <t>VOLUME 2 (m³)</t>
  </si>
  <si>
    <t>REMENDO PROFUNDO</t>
  </si>
  <si>
    <t>ÁREA 3 (m²)</t>
  </si>
  <si>
    <t>VOLUME 3 (m³)</t>
  </si>
  <si>
    <r>
      <t>ESPESSURA DA BASE / SUB-BASE
RECOMPOSIÇÃO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</si>
  <si>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VOLUME BASE (m³)</t>
  </si>
  <si>
    <r>
      <t>ESPESSURA DO REVESTIMENTO
RECOMPOSIÇÃO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</si>
  <si>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VOLUME DA MISTURA (m³)</t>
  </si>
  <si>
    <t>REMENDO PROFUNDO COM REFORÇO DO SUBLEITO - LASTRO DE PEDRA DE MÃO / RACHÃO</t>
  </si>
  <si>
    <t>Se Rosa extensão local &gt; extensão via</t>
  </si>
  <si>
    <t>ÁREA 4 (m²)</t>
  </si>
  <si>
    <r>
      <t xml:space="preserve">ESCAVAÇÃO ALTURA </t>
    </r>
    <r>
      <rPr>
        <b/>
        <sz val="8"/>
        <color rgb="FFFF0000"/>
        <rFont val="Arial"/>
        <family val="2"/>
      </rPr>
      <t>(cm)</t>
    </r>
  </si>
  <si>
    <t>ESCAVAÇÃO VOLUME (m³)</t>
  </si>
  <si>
    <r>
      <t xml:space="preserve">RECOMPOSIÇÃO DA ESTRUTURA:
MANUAL </t>
    </r>
    <r>
      <rPr>
        <b/>
        <sz val="8"/>
        <color rgb="FFFF0000"/>
        <rFont val="Arial"/>
        <family val="2"/>
      </rPr>
      <t xml:space="preserve">(MAN) </t>
    </r>
    <r>
      <rPr>
        <b/>
        <sz val="8"/>
        <rFont val="Arial"/>
        <family val="2"/>
      </rPr>
      <t>OU MECÂNICA</t>
    </r>
    <r>
      <rPr>
        <b/>
        <sz val="8"/>
        <color rgb="FFFF0000"/>
        <rFont val="Arial"/>
        <family val="2"/>
      </rPr>
      <t xml:space="preserve"> (MEC)</t>
    </r>
  </si>
  <si>
    <r>
      <t>REFORÇO ALTURA</t>
    </r>
    <r>
      <rPr>
        <b/>
        <sz val="8"/>
        <color rgb="FFFF0000"/>
        <rFont val="Arial"/>
        <family val="2"/>
      </rPr>
      <t xml:space="preserve"> (cm)</t>
    </r>
  </si>
  <si>
    <t>REFORÇO VOLUME (m³)</t>
  </si>
  <si>
    <t>REFORÇO - COLCHÃO (m³)</t>
  </si>
  <si>
    <t>REFORÇO - LASTRO (m³)</t>
  </si>
  <si>
    <r>
      <t>ATERRO ALTURA</t>
    </r>
    <r>
      <rPr>
        <b/>
        <sz val="8"/>
        <color rgb="FFFF0000"/>
        <rFont val="Arial"/>
        <family val="2"/>
      </rPr>
      <t xml:space="preserve"> (cm)</t>
    </r>
  </si>
  <si>
    <t>ATERRO VOLUME (m³)</t>
  </si>
  <si>
    <t>ATERRO ROLO (m³)</t>
  </si>
  <si>
    <t>ATERRO PLACA (m³)</t>
  </si>
  <si>
    <r>
      <t>ESPESSURA DA BASE</t>
    </r>
    <r>
      <rPr>
        <b/>
        <sz val="8"/>
        <color rgb="FFFF0000"/>
        <rFont val="Arial"/>
        <family val="2"/>
      </rPr>
      <t xml:space="preserve"> (cm)</t>
    </r>
  </si>
  <si>
    <t>BASE - EXECUÇÃO MECÂNICA (m³)</t>
  </si>
  <si>
    <t>BASE - EXECUÇÃO MANUAL (m³)</t>
  </si>
  <si>
    <t>REMOÇÃO MECANIZADA DE REVESTIMENTO BETUMINOSO</t>
  </si>
  <si>
    <t>ÁREA 5 (m²)</t>
  </si>
  <si>
    <t>VOLUME 5 (m³)</t>
  </si>
  <si>
    <r>
      <t xml:space="preserve">RECOMPOR REVESTIMENTO: SIM </t>
    </r>
    <r>
      <rPr>
        <b/>
        <sz val="8"/>
        <color rgb="FFFF0000"/>
        <rFont val="Arial"/>
        <family val="2"/>
      </rPr>
      <t>(S)</t>
    </r>
    <r>
      <rPr>
        <b/>
        <sz val="8"/>
        <rFont val="Arial"/>
        <family val="2"/>
      </rPr>
      <t xml:space="preserve"> OU NÃO </t>
    </r>
    <r>
      <rPr>
        <b/>
        <sz val="8"/>
        <color rgb="FFFF0000"/>
        <rFont val="Arial"/>
        <family val="2"/>
      </rPr>
      <t>(N)</t>
    </r>
  </si>
  <si>
    <t>REMOÇÃO MECANIZADA DE CAMADA GRANULAR DO PAVIMENTO</t>
  </si>
  <si>
    <t>ÁREA 6 (m²)</t>
  </si>
  <si>
    <t>VOLUME 6 (m³)</t>
  </si>
  <si>
    <r>
      <t xml:space="preserve">RECOMPOR BASE: SIM </t>
    </r>
    <r>
      <rPr>
        <b/>
        <sz val="8"/>
        <color rgb="FFFF0000"/>
        <rFont val="Arial"/>
        <family val="2"/>
      </rPr>
      <t>(S)</t>
    </r>
    <r>
      <rPr>
        <b/>
        <sz val="8"/>
        <rFont val="Arial"/>
        <family val="2"/>
      </rPr>
      <t xml:space="preserve"> OU NÃO </t>
    </r>
    <r>
      <rPr>
        <b/>
        <sz val="8"/>
        <color rgb="FFFF0000"/>
        <rFont val="Arial"/>
        <family val="2"/>
      </rPr>
      <t>(N)</t>
    </r>
  </si>
  <si>
    <t>ANÁLISE DOS DADOS DOS REPAROS</t>
  </si>
  <si>
    <t>TOTAL ÁREA (m²)</t>
  </si>
  <si>
    <t>ÍNDICE (%)</t>
  </si>
  <si>
    <t>TOTAL EXTENSÃO (m)</t>
  </si>
  <si>
    <r>
      <t xml:space="preserve">RECOMPOSIÇÃO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BASE PARA PAVIMENTAÇÃO </t>
    </r>
  </si>
  <si>
    <r>
      <t>ESPESSURA 4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</si>
  <si>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VOLUME 4 (m³)</t>
  </si>
  <si>
    <r>
      <t>ESPESSURA 6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</si>
  <si>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ANÁLISE DOS DADOS DAS RECOMPOSIÇÕES</t>
  </si>
  <si>
    <t>BASE (m³)</t>
  </si>
  <si>
    <r>
      <t>TIPO: SOLOxBRITRA</t>
    </r>
    <r>
      <rPr>
        <b/>
        <sz val="8"/>
        <color rgb="FFFF0000"/>
        <rFont val="Arial"/>
        <family val="2"/>
      </rPr>
      <t xml:space="preserve"> (SB)</t>
    </r>
    <r>
      <rPr>
        <b/>
        <sz val="8"/>
        <rFont val="Arial"/>
        <family val="2"/>
      </rPr>
      <t xml:space="preserve"> /CASCALHO </t>
    </r>
    <r>
      <rPr>
        <b/>
        <sz val="8"/>
        <color rgb="FFFF0000"/>
        <rFont val="Arial"/>
        <family val="2"/>
      </rPr>
      <t>(C)</t>
    </r>
    <r>
      <rPr>
        <b/>
        <sz val="8"/>
        <rFont val="Arial"/>
        <family val="2"/>
      </rPr>
      <t xml:space="preserve"> / BICA CORRIDA </t>
    </r>
    <r>
      <rPr>
        <b/>
        <sz val="8"/>
        <color rgb="FFFF0000"/>
        <rFont val="Arial"/>
        <family val="2"/>
      </rPr>
      <t>(BC)</t>
    </r>
    <r>
      <rPr>
        <b/>
        <sz val="8"/>
        <rFont val="Arial"/>
        <family val="2"/>
      </rPr>
      <t xml:space="preserve"> / BRITA GRADUADA </t>
    </r>
    <r>
      <rPr>
        <b/>
        <sz val="8"/>
        <color rgb="FFFF0000"/>
        <rFont val="Arial"/>
        <family val="2"/>
      </rPr>
      <t>(BG)</t>
    </r>
  </si>
  <si>
    <t>SOLO EMPLADO PARA SOLO/BRITA (25%)</t>
  </si>
  <si>
    <t>BRITA PARA SOLO/BRITA (0,688m³/m³)</t>
  </si>
  <si>
    <t>CASCALHO EMPOLADO (25%)</t>
  </si>
  <si>
    <t>BICA CORRIDA EMPOLADA (37,5%)</t>
  </si>
  <si>
    <t>BRITA GRADUADA EMPOLADA (46,67%)</t>
  </si>
  <si>
    <t>SOLO/BRITA (50/50) - EXECUÇÃO</t>
  </si>
  <si>
    <t>CASCALHO - EXECUÇÃO</t>
  </si>
  <si>
    <t>BICA CORRIDA - EXECUÇÃO</t>
  </si>
  <si>
    <t>BRITA GRADUADA - EXECUÇÃO</t>
  </si>
  <si>
    <t>RECICLAGEM / RECONSTRUÇÃO</t>
  </si>
  <si>
    <r>
      <t xml:space="preserve">EXECUÇÃO: </t>
    </r>
    <r>
      <rPr>
        <b/>
        <sz val="8"/>
        <color rgb="FFFF0000"/>
        <rFont val="Arial"/>
        <family val="2"/>
      </rPr>
      <t>SIMPLES</t>
    </r>
    <r>
      <rPr>
        <b/>
        <sz val="8"/>
        <rFont val="Arial"/>
        <family val="2"/>
      </rPr>
      <t xml:space="preserve"> OU </t>
    </r>
    <r>
      <rPr>
        <b/>
        <sz val="8"/>
        <color rgb="FFFF0000"/>
        <rFont val="Arial"/>
        <family val="2"/>
      </rPr>
      <t xml:space="preserve">CIMENTO </t>
    </r>
    <r>
      <rPr>
        <b/>
        <sz val="8"/>
        <rFont val="Arial"/>
        <family val="2"/>
      </rPr>
      <t>OU</t>
    </r>
    <r>
      <rPr>
        <b/>
        <sz val="8"/>
        <color rgb="FFFF0000"/>
        <rFont val="Arial"/>
        <family val="2"/>
      </rPr>
      <t xml:space="preserve"> BRITA</t>
    </r>
  </si>
  <si>
    <t>RECICLAGEM SIMPLES (m³)</t>
  </si>
  <si>
    <t>RECICLAGEM COM CIMENTO (m³)</t>
  </si>
  <si>
    <t>RECICLAGEM COM BRITA (m³)</t>
  </si>
  <si>
    <t>CIMENTO (kg) (88kg/m³)</t>
  </si>
  <si>
    <t>BRITA Nº 1 (m³) (0,25m³/m³)</t>
  </si>
  <si>
    <t>FRESAGEM DO REVESTIMENTO</t>
  </si>
  <si>
    <t>ÁREA TOTAL (m²)</t>
  </si>
  <si>
    <t>PINTURA DE LIGAÇÃO</t>
  </si>
  <si>
    <t>ÁREA 7 (m²)</t>
  </si>
  <si>
    <t>EMULSÃO RR-1C (T) (0,0005T/m²)</t>
  </si>
  <si>
    <t>REPERFILAMENTO</t>
  </si>
  <si>
    <r>
      <t xml:space="preserve">EXECUÇÃO: </t>
    </r>
    <r>
      <rPr>
        <b/>
        <sz val="8"/>
        <color rgb="FFFF0000"/>
        <rFont val="Arial"/>
        <family val="2"/>
      </rPr>
      <t>MOTO</t>
    </r>
    <r>
      <rPr>
        <b/>
        <sz val="8"/>
        <rFont val="Arial"/>
        <family val="2"/>
      </rPr>
      <t xml:space="preserve"> OU </t>
    </r>
    <r>
      <rPr>
        <b/>
        <sz val="8"/>
        <color rgb="FFFF0000"/>
        <rFont val="Arial"/>
        <family val="2"/>
      </rPr>
      <t>VIBRO</t>
    </r>
  </si>
  <si>
    <t>APLICAÇÃO MANUAL (m³)</t>
  </si>
  <si>
    <t>APLICAÇÃO COM MOTO (m³)</t>
  </si>
  <si>
    <t>APLICAÇÃO COM VIBRO (m³)</t>
  </si>
  <si>
    <t>TRANSPORTE PARA RESTAURAÇÃO DO PAVIMENTO</t>
  </si>
  <si>
    <t>PRODUTO FRESAGEM (T)</t>
  </si>
  <si>
    <t>PEDRA REFORÇO (m³)</t>
  </si>
  <si>
    <t>BRITA Nº 1 (m³)</t>
  </si>
  <si>
    <t>EMULSÃO RR-1C (T)</t>
  </si>
  <si>
    <t>PRODUTO DE BRITAGEM (m³)</t>
  </si>
  <si>
    <t>EMULSÃO ASFÁLTICA (T)</t>
  </si>
  <si>
    <t>PLANILHA DE QUANTIDADES DE SERVIÇOS DE RECAPEAMENTO ASFÁLTICO - PROJETO DE ENGENHARIA</t>
  </si>
  <si>
    <t xml:space="preserve">LARGURA MÉDIA (m) </t>
  </si>
  <si>
    <t>TRONCO - RECAPEAMENTO</t>
  </si>
  <si>
    <r>
      <t>ESPESSURA MÉDIA CBUQ OU PMF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</si>
  <si>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se AMARELO micro / se ROSA digitar espessura</t>
  </si>
  <si>
    <t>verificação se há mais de um tipo de revestimento</t>
  </si>
  <si>
    <r>
      <t>MICRO 0,8cm</t>
    </r>
    <r>
      <rPr>
        <b/>
        <sz val="8"/>
        <color rgb="FFFF0000"/>
        <rFont val="Arial"/>
        <family val="2"/>
      </rPr>
      <t xml:space="preserve"> (SIM)</t>
    </r>
  </si>
  <si>
    <r>
      <t>MICRO 1,5cm</t>
    </r>
    <r>
      <rPr>
        <b/>
        <sz val="8"/>
        <color rgb="FFFF0000"/>
        <rFont val="Arial"/>
        <family val="2"/>
      </rPr>
      <t xml:space="preserve"> (SIM)</t>
    </r>
  </si>
  <si>
    <r>
      <t>MICRO 2,0cm</t>
    </r>
    <r>
      <rPr>
        <b/>
        <sz val="8"/>
        <color rgb="FFFF0000"/>
        <rFont val="Arial"/>
        <family val="2"/>
      </rPr>
      <t xml:space="preserve"> (SIM)</t>
    </r>
  </si>
  <si>
    <r>
      <t>TSD</t>
    </r>
    <r>
      <rPr>
        <b/>
        <sz val="8"/>
        <color rgb="FFFF0000"/>
        <rFont val="Arial"/>
        <family val="2"/>
      </rPr>
      <t xml:space="preserve"> (SIM)</t>
    </r>
  </si>
  <si>
    <r>
      <t>CBUQ CAP 30-45</t>
    </r>
    <r>
      <rPr>
        <b/>
        <sz val="8"/>
        <color rgb="FFFF0000"/>
        <rFont val="Arial"/>
        <family val="2"/>
      </rPr>
      <t xml:space="preserve"> (SIM)</t>
    </r>
  </si>
  <si>
    <t>SIM</t>
  </si>
  <si>
    <r>
      <t>CBUQ CAP 50-70</t>
    </r>
    <r>
      <rPr>
        <b/>
        <sz val="8"/>
        <color rgb="FFFF0000"/>
        <rFont val="Arial"/>
        <family val="2"/>
      </rPr>
      <t xml:space="preserve"> (SIM)</t>
    </r>
  </si>
  <si>
    <r>
      <t>CBUQ (p) CAP 60-85-E</t>
    </r>
    <r>
      <rPr>
        <b/>
        <sz val="8"/>
        <color rgb="FFFF0000"/>
        <rFont val="Arial"/>
        <family val="2"/>
      </rPr>
      <t xml:space="preserve"> (SIM)</t>
    </r>
  </si>
  <si>
    <r>
      <t>PMF</t>
    </r>
    <r>
      <rPr>
        <b/>
        <sz val="8"/>
        <color rgb="FFFF0000"/>
        <rFont val="Arial"/>
        <family val="2"/>
      </rPr>
      <t xml:space="preserve"> (SIM)</t>
    </r>
  </si>
  <si>
    <t xml:space="preserve">TIPO DE REVESTIMENTO EMPREGADO NAS RECOMPOSIÇÕES </t>
  </si>
  <si>
    <t>se VERDE especificar tipo de revestimento ou deletar espessura do revestimento</t>
  </si>
  <si>
    <r>
      <t xml:space="preserve">CBUQ (p) CAP 60-85-E </t>
    </r>
    <r>
      <rPr>
        <b/>
        <sz val="8"/>
        <color rgb="FFFF0000"/>
        <rFont val="Arial"/>
        <family val="2"/>
      </rPr>
      <t>(SIM)</t>
    </r>
  </si>
  <si>
    <t>TRECHO COM REMOÇÃO MECANIZADA DE REVESTIMENTO BETUMINOSO</t>
  </si>
  <si>
    <t>Trecho previsto com remoção do revestimento no recapeamento prévio</t>
  </si>
  <si>
    <r>
      <t>ESPESSURA REMOVIDA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</si>
  <si>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>ESPESSURA DO REVESTIMENTO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</si>
  <si>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 xml:space="preserve">se for recompor o revestimento além do recapeamento geral, indicar a espessura e tipo. Pode ser indicado </t>
    </r>
    <r>
      <rPr>
        <sz val="8"/>
        <color rgb="FFFF0000"/>
        <rFont val="Arial"/>
        <family val="2"/>
      </rPr>
      <t>agulhamento</t>
    </r>
    <r>
      <rPr>
        <sz val="8"/>
        <rFont val="Arial"/>
        <family val="2"/>
      </rPr>
      <t xml:space="preserve"> e revestimento simultaneamente</t>
    </r>
  </si>
  <si>
    <r>
      <t xml:space="preserve">AGULHAMENTO </t>
    </r>
    <r>
      <rPr>
        <b/>
        <sz val="8"/>
        <color rgb="FFFF0000"/>
        <rFont val="Arial"/>
        <family val="2"/>
      </rPr>
      <t>(SIM)</t>
    </r>
  </si>
  <si>
    <t>TRECHO COM REMOÇÃO MECANIZADA DE CAMADA GRANULAR DO PAVIMENTO</t>
  </si>
  <si>
    <t>Trecho previsto com remoção do revestimento e base no recapeamento prévio</t>
  </si>
  <si>
    <t>TRECHO COM RECICLAGEM / RECONSTRUÇÃO</t>
  </si>
  <si>
    <t>Trecho previsto com reciclagem da base no recapeamento prévio</t>
  </si>
  <si>
    <r>
      <t>executar revestimento além do recapeamento</t>
    </r>
    <r>
      <rPr>
        <b/>
        <sz val="8"/>
        <color rgb="FFFF0000"/>
        <rFont val="Arial"/>
        <family val="2"/>
      </rPr>
      <t xml:space="preserve"> (SIM)</t>
    </r>
  </si>
  <si>
    <t>MICRORREVESTIMENTO (0,8cm)</t>
  </si>
  <si>
    <t>AGREGADO (m³) (0,01212m³/m²)</t>
  </si>
  <si>
    <t>EMULSÃO RC-1C-E (T) (0,00194T/m²)</t>
  </si>
  <si>
    <t>MICRORREVESTIMENTO (1,5cm)</t>
  </si>
  <si>
    <t>AGREGADO (m³) (0,022725m³/m²)</t>
  </si>
  <si>
    <t>EMULSÃO RC-1C-E (T) (0,0032T/m²)</t>
  </si>
  <si>
    <t>MICRORREVESTIMENTO (2,0cm)</t>
  </si>
  <si>
    <t>AGREGADO (m³) (0,0303m³/m²)</t>
  </si>
  <si>
    <t>EMULSÃO RC-1C-E (T) (0,0039T/m²)</t>
  </si>
  <si>
    <t>REVESTIMENTO COM                 TSD COM                                             CAPA SELANTE</t>
  </si>
  <si>
    <t>EMULSÃO RR-2C (T) (0,0048T/m²)</t>
  </si>
  <si>
    <t>CAPA SELANTE PARA AGULHAMENTO NA BASE</t>
  </si>
  <si>
    <t>BRITA (m³) (0,006m³/m²)</t>
  </si>
  <si>
    <t>EMULSÃO RR-2C (T) (0,001T/m²)</t>
  </si>
  <si>
    <t>REVESTIMENTO ASFÁLTICO                          RESUMO</t>
  </si>
  <si>
    <t>CBUQ CAP 30-45 (m³) (2,5548T/m³)</t>
  </si>
  <si>
    <t>CBUQ CAP 50-70 (m³) (2,5548T/m³)</t>
  </si>
  <si>
    <t>CBUQ (p) CAP 60-85-E (m³) (2,5548T/m³)</t>
  </si>
  <si>
    <t>PMF (m³) (2,346T/m³)</t>
  </si>
  <si>
    <t>AREIA CBUQ (m³) (0,161m³/T)</t>
  </si>
  <si>
    <t>AREIA PFM (m³) (0,411m³/m³)</t>
  </si>
  <si>
    <t>BRITA CBUQ (m³) (0,447m³/T)</t>
  </si>
  <si>
    <t>BRITA PMF (m³) (0,968m³/m³)</t>
  </si>
  <si>
    <t>CAP 30-45 (T) (6% MISTURA)</t>
  </si>
  <si>
    <t>CAP 50-70 (T) (6% MISTURA)</t>
  </si>
  <si>
    <t>CAP 60-85-E (T) (6% MISTURA)</t>
  </si>
  <si>
    <t>DEMOLIÇÃO (m)</t>
  </si>
  <si>
    <t>MEIO FIO COM SARJETA</t>
  </si>
  <si>
    <t>MEIO FIO SIMPLES (GUIA)</t>
  </si>
  <si>
    <t>SARJETA</t>
  </si>
  <si>
    <t>VOLUME DEMOLIÇÃO (m³)</t>
  </si>
  <si>
    <t>RECOMPOSIÇÃO (m)</t>
  </si>
  <si>
    <t>TAMPÃO EM FºFº Ø 600mm PARA PV</t>
  </si>
  <si>
    <t>TAMPÃO EM FºFº PARA REGISTRO DE ÁGUA</t>
  </si>
  <si>
    <t>IMPLANTAÇÃO (un)</t>
  </si>
  <si>
    <t>ENTULHO (EMPOLADO 25%) (m³)</t>
  </si>
  <si>
    <t>ENTULHO (m³)</t>
  </si>
  <si>
    <t>PÓ DE PEDRA (m³)</t>
  </si>
  <si>
    <r>
      <t xml:space="preserve">BRITA </t>
    </r>
    <r>
      <rPr>
        <b/>
        <sz val="8"/>
        <color rgb="FFFF0000"/>
        <rFont val="Arial"/>
        <family val="2"/>
      </rPr>
      <t>(TSD+AGULHAMENTO)</t>
    </r>
    <r>
      <rPr>
        <b/>
        <sz val="8"/>
        <rFont val="Arial"/>
        <family val="2"/>
      </rPr>
      <t xml:space="preserve"> (m³)</t>
    </r>
  </si>
  <si>
    <t>EMULSÃO RC-1C-E (T)</t>
  </si>
  <si>
    <t>CAP 30-45 (T)</t>
  </si>
  <si>
    <t>CAP 50-70 (T)</t>
  </si>
  <si>
    <t>CAP 60-85-E (T)</t>
  </si>
  <si>
    <t>PLANILHA DE DADOS DE SERVIÇOS DA TERRAPLENAGEM E DA PAVIMENTAÇÃO - PROJETO DE ENGENHARIA</t>
  </si>
  <si>
    <t>DECLIVIDADE TRANSVERSAL DA PISTA
(SIMPLES ou DUPLA)</t>
  </si>
  <si>
    <t xml:space="preserve">LARGURA (m) </t>
  </si>
  <si>
    <t>PISTA + ESTACIONAMENTO</t>
  </si>
  <si>
    <t>CANTEIRO CENTRAL
(SEMI LARGURA)</t>
  </si>
  <si>
    <t>DESMATAMENTO / LIMPEZA / SUPRESSÃO</t>
  </si>
  <si>
    <t>LIMPEZA MECANIZADA                                                                            DA VIA</t>
  </si>
  <si>
    <t>ESPESSURA DA CAMADA (m)</t>
  </si>
  <si>
    <t>FAIXA (m)</t>
  </si>
  <si>
    <r>
      <t xml:space="preserve">0,20m </t>
    </r>
    <r>
      <rPr>
        <sz val="8"/>
        <rFont val="Calibri"/>
        <family val="2"/>
      </rPr>
      <t>≤</t>
    </r>
    <r>
      <rPr>
        <sz val="8"/>
        <rFont val="Arial"/>
        <family val="2"/>
      </rPr>
      <t xml:space="preserve"> Ø &lt; 0,40m</t>
    </r>
  </si>
  <si>
    <r>
      <t xml:space="preserve">0,40m </t>
    </r>
    <r>
      <rPr>
        <sz val="8"/>
        <rFont val="Calibri"/>
        <family val="2"/>
      </rPr>
      <t>≤</t>
    </r>
    <r>
      <rPr>
        <sz val="8"/>
        <rFont val="Arial"/>
        <family val="2"/>
      </rPr>
      <t xml:space="preserve"> Ø &lt; 0,60m</t>
    </r>
  </si>
  <si>
    <r>
      <t xml:space="preserve">Ø </t>
    </r>
    <r>
      <rPr>
        <sz val="8"/>
        <rFont val="Calibri"/>
        <family val="2"/>
      </rPr>
      <t>≥</t>
    </r>
    <r>
      <rPr>
        <sz val="8"/>
        <rFont val="Arial"/>
        <family val="2"/>
      </rPr>
      <t xml:space="preserve"> 0,60m</t>
    </r>
  </si>
  <si>
    <t>DEMOLIÇÃO</t>
  </si>
  <si>
    <t>ALAMBRADO (m)</t>
  </si>
  <si>
    <t>PAVIMENTO (m²)</t>
  </si>
  <si>
    <t>MEIO FIO SIMPLES (GUIA) (m)</t>
  </si>
  <si>
    <t>COLCHÃO DE RACHÃO</t>
  </si>
  <si>
    <t>Se laranja extensão local &gt; extensão via</t>
  </si>
  <si>
    <t>ESPESSURA ESTIMADA (m)</t>
  </si>
  <si>
    <t>Só preencher se não tiver cubação e a largura especial</t>
  </si>
  <si>
    <t>LARGURA MÉDIA(m)</t>
  </si>
  <si>
    <t>PLANILHA DE CUBAÇÃO (m³)</t>
  </si>
  <si>
    <t>espessura ou cubação</t>
  </si>
  <si>
    <t>SOLO INSERVÍVEL  (REMOÇÃO)</t>
  </si>
  <si>
    <t>Se verde analisar se há remoção solo</t>
  </si>
  <si>
    <t>se verde falta confirmar espesso.</t>
  </si>
  <si>
    <t>SUBSTITUIÇÃO DE SOLO POR MATERIAL DE ATERRO (REPOSIÇÃO) (LEMBRAR DO COLCHÃO DE PEDRA)</t>
  </si>
  <si>
    <t>VALETA - VPA 03</t>
  </si>
  <si>
    <t>CORTE</t>
  </si>
  <si>
    <t>Só preencher se não tiver cubação</t>
  </si>
  <si>
    <t>ATERRO</t>
  </si>
  <si>
    <t>CANTEIRO</t>
  </si>
  <si>
    <t>RETORNO E
LIMPA-RODAS</t>
  </si>
  <si>
    <t>TRONCO</t>
  </si>
  <si>
    <t>Se laranja extensão: digitar extensão</t>
  </si>
  <si>
    <t>se verde falta confirmar largura</t>
  </si>
  <si>
    <t>DADOS OBTIDOS NO DESENHO REAL DO PROJETO (MEDIDAS NOS BORDOS)</t>
  </si>
  <si>
    <t>LIXO (m)</t>
  </si>
  <si>
    <t>MEIO-FIO (GUIA) (m)</t>
  </si>
  <si>
    <t>TENTO (m)</t>
  </si>
  <si>
    <t>SARJETA SIMPLES (m)</t>
  </si>
  <si>
    <t>SARJETA AMERICANA (m)</t>
  </si>
  <si>
    <t>GUIA PARA CANTEIRO (m)</t>
  </si>
  <si>
    <t>MEIO-FIO ROTATÓRIA (m)</t>
  </si>
  <si>
    <t>ÁREA DA CAPA (m²)</t>
  </si>
  <si>
    <t>MEIO-FIO COM SARJETA (m)</t>
  </si>
  <si>
    <t>SUB-BASE</t>
  </si>
  <si>
    <r>
      <t>ESPESSURA (</t>
    </r>
    <r>
      <rPr>
        <sz val="8"/>
        <color rgb="FFFF0000"/>
        <rFont val="Arial"/>
        <family val="2"/>
      </rPr>
      <t>cm</t>
    </r>
    <r>
      <rPr>
        <sz val="8"/>
        <rFont val="Arial"/>
        <family val="2"/>
      </rPr>
      <t>)</t>
    </r>
  </si>
  <si>
    <t>CIMENTO (%)</t>
  </si>
  <si>
    <t>0% ou 2% ou 4% ou 6% ou 8%</t>
  </si>
  <si>
    <t>SOLO PARA SOLO/BRITA (%)</t>
  </si>
  <si>
    <t>ROSA porque tem mais de 100% de misturas</t>
  </si>
  <si>
    <t>SUB-BASE CASCALHO (%)</t>
  </si>
  <si>
    <t>SUB-BASE BICA CORRIDA (%)</t>
  </si>
  <si>
    <t>SUB-BASE BRITA GRADUADA (%)</t>
  </si>
  <si>
    <t>ROSA falta espessura da base</t>
  </si>
  <si>
    <t>0% ou 4% ou 6% ou 8%</t>
  </si>
  <si>
    <t>REVESTIMENTO</t>
  </si>
  <si>
    <t>AGULHAMENTO BASE</t>
  </si>
  <si>
    <t>ROSA porque tem mais de UMA capa especificada</t>
  </si>
  <si>
    <r>
      <t>TSD</t>
    </r>
    <r>
      <rPr>
        <sz val="8"/>
        <color rgb="FFFF0000"/>
        <rFont val="Arial"/>
        <family val="2"/>
      </rPr>
      <t xml:space="preserve"> (SIM)</t>
    </r>
  </si>
  <si>
    <r>
      <t>PAVER PÁTIO 8cm</t>
    </r>
    <r>
      <rPr>
        <sz val="8"/>
        <color rgb="FFFF0000"/>
        <rFont val="Arial"/>
        <family val="2"/>
      </rPr>
      <t xml:space="preserve"> (SIM)</t>
    </r>
  </si>
  <si>
    <r>
      <t>PAVER PÁTIO 10cm</t>
    </r>
    <r>
      <rPr>
        <sz val="8"/>
        <color rgb="FFFF0000"/>
        <rFont val="Arial"/>
        <family val="2"/>
      </rPr>
      <t xml:space="preserve"> (SIM)</t>
    </r>
  </si>
  <si>
    <r>
      <t>PAVER VIA 8cm</t>
    </r>
    <r>
      <rPr>
        <sz val="8"/>
        <color rgb="FFFF0000"/>
        <rFont val="Arial"/>
        <family val="2"/>
      </rPr>
      <t xml:space="preserve"> (SIM)</t>
    </r>
  </si>
  <si>
    <r>
      <t>PAVER VIA 10cm</t>
    </r>
    <r>
      <rPr>
        <sz val="8"/>
        <color rgb="FFFF0000"/>
        <rFont val="Arial"/>
        <family val="2"/>
      </rPr>
      <t xml:space="preserve"> (SIM)</t>
    </r>
  </si>
  <si>
    <r>
      <t>PMF</t>
    </r>
    <r>
      <rPr>
        <sz val="8"/>
        <color rgb="FFFF0000"/>
        <rFont val="Arial"/>
        <family val="2"/>
      </rPr>
      <t xml:space="preserve"> (SIM)</t>
    </r>
  </si>
  <si>
    <r>
      <t>CAP 30-45</t>
    </r>
    <r>
      <rPr>
        <sz val="8"/>
        <color rgb="FFFF0000"/>
        <rFont val="Arial"/>
        <family val="2"/>
      </rPr>
      <t xml:space="preserve"> (SIM)</t>
    </r>
  </si>
  <si>
    <r>
      <t>CAP 50-70</t>
    </r>
    <r>
      <rPr>
        <sz val="8"/>
        <color rgb="FFFF0000"/>
        <rFont val="Arial"/>
        <family val="2"/>
      </rPr>
      <t xml:space="preserve"> (SIM)</t>
    </r>
  </si>
  <si>
    <r>
      <t xml:space="preserve">CAP 60-85-E </t>
    </r>
    <r>
      <rPr>
        <sz val="8"/>
        <color rgb="FFFF0000"/>
        <rFont val="Arial"/>
        <family val="2"/>
      </rPr>
      <t>(SIM)</t>
    </r>
  </si>
  <si>
    <r>
      <t xml:space="preserve">CAPA ESPESSURA </t>
    </r>
    <r>
      <rPr>
        <sz val="8"/>
        <color rgb="FFFF0000"/>
        <rFont val="Arial"/>
        <family val="2"/>
      </rPr>
      <t>(cm)</t>
    </r>
  </si>
  <si>
    <t>HIDROSSEMEADURA</t>
  </si>
  <si>
    <t>PISO GRAMA TRECHO "B"</t>
  </si>
  <si>
    <t>GRAMA TRECHO "A"</t>
  </si>
  <si>
    <t>GRAMA TRECHO "B"</t>
  </si>
  <si>
    <t>PREPARO MANUAL  TRECHO "A"</t>
  </si>
  <si>
    <t>PREPARO MANUAL  TRECHO "B"</t>
  </si>
  <si>
    <t xml:space="preserve"> REGULARIZAÇÃO COM MOTO TRECHO "A"</t>
  </si>
  <si>
    <t>REGULARIZAÇÃO COM MOTO TRECHO "B"</t>
  </si>
  <si>
    <t>CERCAMENTO DE ÁREA</t>
  </si>
  <si>
    <t>CERCA MOURÃO MADEIRA H=1,50m</t>
  </si>
  <si>
    <t>CERCA MOURÃO CONCRETO H=1,80m</t>
  </si>
  <si>
    <t>ALAMBRADO H=1,80m</t>
  </si>
  <si>
    <t xml:space="preserve">PORTÃO EM TELA ARAME E MOLDURA EM TUBOS DE AÇO </t>
  </si>
  <si>
    <t>CONCRETO 15MPa</t>
  </si>
  <si>
    <t>CONCRETO 25MPa</t>
  </si>
  <si>
    <t>CA-60 Ø 5.0mm (0,154 kg/m)</t>
  </si>
  <si>
    <t>CA-50 Ø 6.3mm (0,245kg/m)</t>
  </si>
  <si>
    <t>CA-50 Ø 8.0mm (0,395kg/m)</t>
  </si>
  <si>
    <t>CA-50 Ø 10.0mm (0,617kg/m)</t>
  </si>
  <si>
    <t>TUBO DE AÇO (m)</t>
  </si>
  <si>
    <t>DN 40mm (1 1/2")</t>
  </si>
  <si>
    <t>DN 50mm (2")</t>
  </si>
  <si>
    <t>DEFENSA METÁLICA (m)</t>
  </si>
  <si>
    <t>SIMLES</t>
  </si>
  <si>
    <t>DUPLA</t>
  </si>
  <si>
    <t>PLANILHA DE QUANTIDADES DE SERVIÇOS DA TERRAPLENAGEM - PROJETO DE ENGENHARIA</t>
  </si>
  <si>
    <t>CANTEIRO CENTRAL (SEMI LARGURA)</t>
  </si>
  <si>
    <t>LIMPEZA MECANIZADA</t>
  </si>
  <si>
    <r>
      <t>PAVIMENTO (m²) (h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>10cm)</t>
    </r>
  </si>
  <si>
    <t>VOLUME DEMOLIÇÃO DE CONCRETO (m³)</t>
  </si>
  <si>
    <t>VOLUME EXECUÇÃO (m³)</t>
  </si>
  <si>
    <t>VOLUME PEDRA BRITADA - SELO (m³) (0,10m³/m³)</t>
  </si>
  <si>
    <t>VOLUME RACHÃO (m³) (1,30m³/m³)</t>
  </si>
  <si>
    <t xml:space="preserve">SOLO                        INSERVÍVEL </t>
  </si>
  <si>
    <t>SUBSTITUIÇÃO DE SOLO POR MATERIAL DE ATERRO</t>
  </si>
  <si>
    <t>CORTE EXTENSÃO (m)</t>
  </si>
  <si>
    <t>CORTE ALTURA (m)</t>
  </si>
  <si>
    <t>CORTE LARGURA (m)</t>
  </si>
  <si>
    <t>CORTE VOLUME (m³)</t>
  </si>
  <si>
    <t>ATERRO EXTENSÃO (m)</t>
  </si>
  <si>
    <t>ATERRO ALTURA (m)</t>
  </si>
  <si>
    <t>ATERRO LARGURA (m)</t>
  </si>
  <si>
    <t>CANTEIRO                                             CENTRAL</t>
  </si>
  <si>
    <t>RETORNOS                     E                                                        LIMPA RODAS</t>
  </si>
  <si>
    <t>CORTE ALTURA MÉDIA (m)</t>
  </si>
  <si>
    <t>DESTINO PARA COMPENSAÇÃO (%)</t>
  </si>
  <si>
    <t>VOLUME PARA COMPENSAÇÃO (m³)</t>
  </si>
  <si>
    <t>LOCAL DE DESTINO</t>
  </si>
  <si>
    <t>ATERRO ALTURA MÉDIA (m)</t>
  </si>
  <si>
    <t>ATERRO LARGURA PLATAFORMA (m)</t>
  </si>
  <si>
    <t>ÁREA DA PLATAFORMA (m²)</t>
  </si>
  <si>
    <t>ÁREA DA BASE DO ATERRO (m²)</t>
  </si>
  <si>
    <t>DISTRUIÇÃO DE MATERIAL</t>
  </si>
  <si>
    <t>ATERRO - EXECUÇÃO (m³)</t>
  </si>
  <si>
    <t>ATERRO VOLUME EMPOLADO (25%) (m³)</t>
  </si>
  <si>
    <t>VOLUME COMPENSADO (m³)</t>
  </si>
  <si>
    <t>ORIGEM</t>
  </si>
  <si>
    <t>VOLUME TOTAL COMPENSADO (m³)</t>
  </si>
  <si>
    <t>COLCHÃO DE RACHÃO - EXECUÇÃO (m³)</t>
  </si>
  <si>
    <t>CORTE SOLO: INSERVÍVEL + PASSEIO + CANTEIRO (m³)</t>
  </si>
  <si>
    <t>CORTE SOLO: SUBSTITUIÇÃO (m³)</t>
  </si>
  <si>
    <t>CORTE - PREPARO DO SUBLEITO (m³)</t>
  </si>
  <si>
    <t>ATERRO  (GEOMÉTRICO) (m³)</t>
  </si>
  <si>
    <t>ENTULHO EMPOLADO (m³)</t>
  </si>
  <si>
    <t>COMPENSAÇÃO                                 (DEPÓSITOxPISTA) (m³)</t>
  </si>
  <si>
    <t>TRANSPORTE PARA IMPLANTAÇÃO DE PAVIMENTAÇÃO</t>
  </si>
  <si>
    <t>PEDRA - COLCHÃO (m³)</t>
  </si>
  <si>
    <t>BOTA-FORA LIMPEZA (m³)</t>
  </si>
  <si>
    <t>COMPENSAÇÃO (PISTAxDEPÓSITOxPISTA) (m³)</t>
  </si>
  <si>
    <t>PEDRA  (m³)</t>
  </si>
  <si>
    <t>SOLO: CORTE/ATERRO (m³)</t>
  </si>
  <si>
    <t>PLANILHA DE QUANTIDADES DE SERVIÇOS DA PAVIMENTAÇÃO
PROJETO DE ENGENHARIA</t>
  </si>
  <si>
    <t>PAVIMENTAÇÃO</t>
  </si>
  <si>
    <t>REGULARIZAÇÃO</t>
  </si>
  <si>
    <t>EXTENSÃO LONGITUDINAL (m)</t>
  </si>
  <si>
    <t>ÁREA SOB MEIOS-FIOS (m²)</t>
  </si>
  <si>
    <t>ÁREA TOTAL DA PLATAFORMA (m²)</t>
  </si>
  <si>
    <t>ÁREA SUB-BASE (m²)</t>
  </si>
  <si>
    <t>SUB-BASE SOLO (%)</t>
  </si>
  <si>
    <t>SUB-BASE SOLO/CIMENTO (2%) (m³)</t>
  </si>
  <si>
    <t>SUB-BASE SOLO/CIMENTO (4%) (m³)</t>
  </si>
  <si>
    <t>SUB-BASE SOLO/CIMENTO (6%) (m³)</t>
  </si>
  <si>
    <t>SUB-BASE SOLO/CIMENTO (8%) (m³)</t>
  </si>
  <si>
    <t>SUB-BASE COM MISTURA (m³)</t>
  </si>
  <si>
    <t>SUB-BASE CASCALHO (m³)</t>
  </si>
  <si>
    <t>SUB-BASE BICA CORRIDA (m³)</t>
  </si>
  <si>
    <t>SUB-BASE BRITA GRADUADA (m³)</t>
  </si>
  <si>
    <t>BRITA GRADUADA (EMPOLADA 46,67%) (m³)</t>
  </si>
  <si>
    <t>BASE ESTABILIZADA</t>
  </si>
  <si>
    <t>ÁREA BASE (m²)</t>
  </si>
  <si>
    <t>BASE SOLO/CIMENTO (2%) (m³)</t>
  </si>
  <si>
    <t>BASE SOLO/CIMENTO (4%) (m³)</t>
  </si>
  <si>
    <t>BASE SOLO/CIMENTO (6%) (m³)</t>
  </si>
  <si>
    <t>BASE SOLO/CIMENTO (8%) (m³)</t>
  </si>
  <si>
    <t>BASE BICA CORRIDA (m³)</t>
  </si>
  <si>
    <t>BASE BRITA GRADUADA (m³)</t>
  </si>
  <si>
    <t>REVESTIMENTO -TSD                                            COM CAPA SELANTE</t>
  </si>
  <si>
    <t>PAVER - INTERTRAVADO</t>
  </si>
  <si>
    <t>PAVER PÁTIO 8cm (m²) (180kg/m²)</t>
  </si>
  <si>
    <t>PAVER PÁTIO 10cm (m²) (230kg/m²)</t>
  </si>
  <si>
    <t>PAVER VIA 8cm (m²) (180kg/m²)</t>
  </si>
  <si>
    <t>PAVER VIA 10cm (m²) (230kg/m²)</t>
  </si>
  <si>
    <t>PAVER (T)</t>
  </si>
  <si>
    <t>AREIA PAVER (m³) (0,065m³/m²)</t>
  </si>
  <si>
    <t>REVESTIMENTO - CBUQ                           (2,5548T/m³)</t>
  </si>
  <si>
    <t>CBUQ CAP 30-45 (m³)</t>
  </si>
  <si>
    <t>CBUQ CAP 50-70 (m³)</t>
  </si>
  <si>
    <t>CBUQ (p) CAP 60-85-E (m³)</t>
  </si>
  <si>
    <t>AREIA (m³) (0,3248m³/t)</t>
  </si>
  <si>
    <t>BRITA (m³) (0,262m³/T)</t>
  </si>
  <si>
    <t>CAP 30-45 (T) ( 0,06323)</t>
  </si>
  <si>
    <t>CAP 50-70 (T) ( 0,06323)</t>
  </si>
  <si>
    <t>CAP 60-85-E (T) ( 0,06323)</t>
  </si>
  <si>
    <t>REVESTIMENTO - PMF                                   (2,346 T/m³)</t>
  </si>
  <si>
    <t>APLICAÇÃO (m³)</t>
  </si>
  <si>
    <t>BASE E SUB-BASE COM MISTURA (m³)</t>
  </si>
  <si>
    <t>SOLO PARA BASE (m³)</t>
  </si>
  <si>
    <r>
      <t xml:space="preserve">AREIA </t>
    </r>
    <r>
      <rPr>
        <b/>
        <sz val="8"/>
        <color rgb="FFFF0000"/>
        <rFont val="Arial"/>
        <family val="2"/>
      </rPr>
      <t xml:space="preserve">(PAVER) </t>
    </r>
    <r>
      <rPr>
        <b/>
        <sz val="8"/>
        <rFont val="Arial"/>
        <family val="2"/>
      </rPr>
      <t>(m³)</t>
    </r>
  </si>
  <si>
    <t>PLANILHA DE QUANTIDADES DE SERVIÇOS COMPLEMENTARES
PROJETO DE ENGENHARIA</t>
  </si>
  <si>
    <t>chapa 4x</t>
  </si>
  <si>
    <t>MEIOS-FIOS (m)</t>
  </si>
  <si>
    <t>COM SARJETA</t>
  </si>
  <si>
    <t>MEIO-FIO SIMPLES (GUIA) (m)</t>
  </si>
  <si>
    <t>GUIA PARA CANTEIRO</t>
  </si>
  <si>
    <t>GUIA ESPECIAL
(para rotatórias e ilhas)</t>
  </si>
  <si>
    <t>TENTO         (m)</t>
  </si>
  <si>
    <t>SARJETAS (m)</t>
  </si>
  <si>
    <t>SEÇÃO 330cm²</t>
  </si>
  <si>
    <t>AMERICANA 445cm²</t>
  </si>
  <si>
    <t>ÁREA (m²) (A)</t>
  </si>
  <si>
    <t>EXTENSÃO (m) (B)</t>
  </si>
  <si>
    <t>LARGURA (m) (B)</t>
  </si>
  <si>
    <t>GRAMA PARA PISO GRAMA (m²)</t>
  </si>
  <si>
    <t>CERCA COM MOURÕES DE MADEIRA COM ARAME LISO
ALTURA LIVRE 1,50m (m)</t>
  </si>
  <si>
    <t>CERCA COM MOURÕES DE CONCRETO COM ARAME LISO
ALTURA LIVRE 1,80m (m)</t>
  </si>
  <si>
    <t>ALAMBRADO COM TELA DE AÇO
ALTURA LIVRE 1,80m (m)</t>
  </si>
  <si>
    <t>PREPARO MANUAL DO TERRENO</t>
  </si>
  <si>
    <t>REGULARIZAÇÃO COM MOTONIVELADORA</t>
  </si>
  <si>
    <t>SIMPLES (19,36kg/m)</t>
  </si>
  <si>
    <t>DUPLA (33,18kg/m)</t>
  </si>
  <si>
    <t>TRANSPORTE PARA SERVIÇOS COMPLEMENTARES</t>
  </si>
  <si>
    <t>BLOCO PISOGRAMA (T)</t>
  </si>
  <si>
    <t>TUBO AÇO (T)</t>
  </si>
  <si>
    <t>DEFENSA METÁLICA (T)</t>
  </si>
  <si>
    <t>PEÇA PISOGRAMA (T)</t>
  </si>
  <si>
    <t>PLANILHA DE QUANTIDADES DE SERVIÇOS DE PAISAGISMO, PASSEIO, CALÇADA E ACESSIBILIDADE - PROJETO DE ENGENHARIA</t>
  </si>
  <si>
    <t>EXTENSÃO DO EIXO (m)</t>
  </si>
  <si>
    <t>EXTENSÃO DA OBRA (m)</t>
  </si>
  <si>
    <t>PASSEIO - CALÇADA                                       LINEAR</t>
  </si>
  <si>
    <t>TRECHO "A"</t>
  </si>
  <si>
    <t>PISO TÁTIL DIRECIONAL (m)</t>
  </si>
  <si>
    <t>TRECHO "B"</t>
  </si>
  <si>
    <t>PASSEIO - CALÇADA                                       CANTEIRO CENTRAL</t>
  </si>
  <si>
    <t>LARGURA (m/un)</t>
  </si>
  <si>
    <t>EXTENSÃO (m/un)</t>
  </si>
  <si>
    <t>PISO TÁTIL ALERTA (m/un)</t>
  </si>
  <si>
    <t>PASSEIO - CALÇADA</t>
  </si>
  <si>
    <r>
      <t xml:space="preserve">ÁREA TOTAL </t>
    </r>
    <r>
      <rPr>
        <b/>
        <sz val="8"/>
        <color rgb="FFFF0000"/>
        <rFont val="Arial"/>
        <family val="2"/>
      </rPr>
      <t>PARCIAL</t>
    </r>
    <r>
      <rPr>
        <b/>
        <sz val="8"/>
        <rFont val="Arial"/>
        <family val="2"/>
      </rPr>
      <t xml:space="preserve"> (m²)</t>
    </r>
  </si>
  <si>
    <t>LIMPEZA DO TERRENO</t>
  </si>
  <si>
    <t>PASSEIO - CALÇADA  REVESTIMENTO BLOCO INTERTRAVADO "PAVER"</t>
  </si>
  <si>
    <t>RAMPAS DE ASSESSIBILIDADE (un)</t>
  </si>
  <si>
    <t>TIPO RT-01</t>
  </si>
  <si>
    <t>PISO TÁTIL ALERTA (m)</t>
  </si>
  <si>
    <t>PERÍMETRO DE CORTE (m)</t>
  </si>
  <si>
    <t>MEIO-FIO SIMPLES (m)</t>
  </si>
  <si>
    <t>DEMOLIÇÃO DE CONCRETO (un)</t>
  </si>
  <si>
    <t>TIPO RT-02</t>
  </si>
  <si>
    <t>TIPO RT-03</t>
  </si>
  <si>
    <t>TIPO RT-04</t>
  </si>
  <si>
    <t>TIPO RE-01</t>
  </si>
  <si>
    <t>42.21</t>
  </si>
  <si>
    <t>TIPO RE-02</t>
  </si>
  <si>
    <t>TIPO RE-03</t>
  </si>
  <si>
    <t>TIPO RE-04</t>
  </si>
  <si>
    <t>TIPO RE-05</t>
  </si>
  <si>
    <t>TIPO RE-06</t>
  </si>
  <si>
    <t>TIPO RA-01</t>
  </si>
  <si>
    <t>TIPO RA-02</t>
  </si>
  <si>
    <t>TIPO RA-03</t>
  </si>
  <si>
    <t>TIPO xx</t>
  </si>
  <si>
    <t>ACESSO VEÍCULO EM CONCRETO ARMADO</t>
  </si>
  <si>
    <t>PISO TÁTIL                                                                                                    AVULSO (m)</t>
  </si>
  <si>
    <t>DIRECIONAL</t>
  </si>
  <si>
    <t>ALERTA</t>
  </si>
  <si>
    <t>PISO TÁTIL (m) (PEÇA 40cm)</t>
  </si>
  <si>
    <t>PASSEIO LINEAR</t>
  </si>
  <si>
    <t>CANTEIRO CENTRAL</t>
  </si>
  <si>
    <t>RAMPA</t>
  </si>
  <si>
    <t>cal hidratada</t>
  </si>
  <si>
    <t>ACESSO VEÍCULO</t>
  </si>
  <si>
    <t>fck 35 Mpa</t>
  </si>
  <si>
    <t>cimento</t>
  </si>
  <si>
    <t>argamassa 1:2:8</t>
  </si>
  <si>
    <t>areia</t>
  </si>
  <si>
    <t>pedra</t>
  </si>
  <si>
    <t>vergalhão</t>
  </si>
  <si>
    <t>calçada</t>
  </si>
  <si>
    <t>AVULSO</t>
  </si>
  <si>
    <t>CONTRAPISO DE CONCRETO MAGRO</t>
  </si>
  <si>
    <t>ÁREA DE IMPLANTAÇÃO DE PASSEIO EM CONCRETO</t>
  </si>
  <si>
    <t>LINEAR E CANTEIRO (m²)</t>
  </si>
  <si>
    <t>RAMPA NOVA (m²)</t>
  </si>
  <si>
    <t>RAMPA REFORMA (m²)</t>
  </si>
  <si>
    <t>ÁREA PISO TÁTIL (m²)</t>
  </si>
  <si>
    <t>CONCRETO ARMADO</t>
  </si>
  <si>
    <t>ÁREA ACESSO (m²)</t>
  </si>
  <si>
    <t>LASTRO DE BRITA (m³) (h=5cm)</t>
  </si>
  <si>
    <t>CONCRETO (8cm) (m³)</t>
  </si>
  <si>
    <t>TELA DE AÇO SOLDADA (3,11kg/m²) (kg)</t>
  </si>
  <si>
    <t>ATERRO DE PASSEIO</t>
  </si>
  <si>
    <t>VOLUME (EMPOLADO 25%) (m³)</t>
  </si>
  <si>
    <t>RECORTE PISO DE CONCRETO OU ASFÁLTICO (m)</t>
  </si>
  <si>
    <t>RAMPAS E ACESSOS</t>
  </si>
  <si>
    <t>TRAFFIC CALMING</t>
  </si>
  <si>
    <t>AVULSOS</t>
  </si>
  <si>
    <t>DEMOLIÇÃO DE CONCRETO SIMPLES</t>
  </si>
  <si>
    <r>
      <t>VOLUME (m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)</t>
    </r>
  </si>
  <si>
    <t>VOLUME DEMOLIÇÃO TOTAL (m³)</t>
  </si>
  <si>
    <t>DEMOLIÇÃO DE CONCRETO ARMADO</t>
  </si>
  <si>
    <t>DEMOLIÇÃO DE PISO EM LADRILHO</t>
  </si>
  <si>
    <t>INSTALAÇÕES ESPECIAIS NO PASSEIO</t>
  </si>
  <si>
    <t>TUBO PVC ÁGUA PLUVIAL, DN 100mm</t>
  </si>
  <si>
    <t>TAMPA DE CONCRETO ARMADO (m²)</t>
  </si>
  <si>
    <t>TAMPÃO FºFº 200x200mm (un)</t>
  </si>
  <si>
    <t>A305700</t>
  </si>
  <si>
    <t>TAMPÃO FºFº 300x300mm (un)</t>
  </si>
  <si>
    <t>A305750</t>
  </si>
  <si>
    <t>TAMPÃO FºFº 300x400mm (un)</t>
  </si>
  <si>
    <t>A305800</t>
  </si>
  <si>
    <t>TAMPÃO FºFº 400x400mm (un)</t>
  </si>
  <si>
    <t>A305850</t>
  </si>
  <si>
    <t>TAMPÃO FºFº 400x500mm (un)</t>
  </si>
  <si>
    <t>A305900</t>
  </si>
  <si>
    <t>TAMPÃO FºFº 400x600mm (un)</t>
  </si>
  <si>
    <t>TAMPÃO FºFº 550x1100mm (un)</t>
  </si>
  <si>
    <t>TAMPÃO TIL PVC DN 100mm (un)</t>
  </si>
  <si>
    <t>CONCRETO 15 MPa (m³)</t>
  </si>
  <si>
    <t>ALVENARIA (m³)</t>
  </si>
  <si>
    <t>CHAPISCO (m²)</t>
  </si>
  <si>
    <t>REBOCO (m²)</t>
  </si>
  <si>
    <t>SUPRESSÃO DE MASSA ARBÓREA</t>
  </si>
  <si>
    <t>0,20m ≤ Ø &lt; 0,40m</t>
  </si>
  <si>
    <t>0,40m ≤ Ø &lt; 0,60m</t>
  </si>
  <si>
    <t>Ø ≥ 0,60m</t>
  </si>
  <si>
    <t>EXTENSÃO TOTAL (m)</t>
  </si>
  <si>
    <t>LARGURA BASE (m)</t>
  </si>
  <si>
    <t>LARGURA TOPO (m)</t>
  </si>
  <si>
    <r>
      <t xml:space="preserve">ALTURA FUNDAÇÃO </t>
    </r>
    <r>
      <rPr>
        <b/>
        <sz val="8"/>
        <color rgb="FFFF0000"/>
        <rFont val="Arial"/>
        <family val="2"/>
      </rPr>
      <t>(cm)</t>
    </r>
  </si>
  <si>
    <r>
      <t>ALTURA DO LASTRO DE BRITA</t>
    </r>
    <r>
      <rPr>
        <b/>
        <sz val="8"/>
        <color rgb="FFFF0000"/>
        <rFont val="Arial"/>
        <family val="2"/>
      </rPr>
      <t xml:space="preserve"> (cm)</t>
    </r>
  </si>
  <si>
    <r>
      <t xml:space="preserve">ALTURA T. CALMING </t>
    </r>
    <r>
      <rPr>
        <b/>
        <sz val="8"/>
        <color rgb="FFFF0000"/>
        <rFont val="Arial"/>
        <family val="2"/>
      </rPr>
      <t>(cm)</t>
    </r>
  </si>
  <si>
    <t>LASTRO DE BRITA (m³)</t>
  </si>
  <si>
    <t>FORMA (m²)</t>
  </si>
  <si>
    <t>CONCRETO 35 MPa (m³)</t>
  </si>
  <si>
    <t>TELA DE AÇO SOLDADA Q-138 (2,2kg/m²) (kg)</t>
  </si>
  <si>
    <t>GUARDA CORPO (un)</t>
  </si>
  <si>
    <t>TRANSPORTE PARA ACESSIBILIDADE / PASSEIO</t>
  </si>
  <si>
    <t>PISO TÁTIL (T)</t>
  </si>
  <si>
    <t>TAMPÃO FºFº (T)</t>
  </si>
  <si>
    <t>FÔRMA (T)</t>
  </si>
  <si>
    <t>CAL HIDRATADA (T)</t>
  </si>
  <si>
    <t>TEMPO FIXO           CARGA / MANOBRA/        DESCARGA</t>
  </si>
  <si>
    <t>PLANILHA DE QUANTIDADES DE SERVIÇOS DA TERRAPLENAGEM E DA PAVIMENTAÇÃO DA CICLOVIA - PROJETO DE ENGENHARIA</t>
  </si>
  <si>
    <t>TRECHO</t>
  </si>
  <si>
    <t>Avenida Wilson Paes de Barros</t>
  </si>
  <si>
    <t>EXTENSÃO DAS DESCONTINUIDADES (m)</t>
  </si>
  <si>
    <t>EXTENSÃO DE EXECUÇÃO (m)</t>
  </si>
  <si>
    <t xml:space="preserve">LARGURA PISTA (m) </t>
  </si>
  <si>
    <t>LARGURA PLATAFORMA (m)</t>
  </si>
  <si>
    <t>REGULARIZAÇÃO E COMPATAÇÃO DO SUBLEITO (m²)</t>
  </si>
  <si>
    <t>0;4;6 Ou 8%</t>
  </si>
  <si>
    <t>BRITA PARA SOLO/BRITA                              (EMPOLADO 37,5%) (m³)</t>
  </si>
  <si>
    <t>se ROSA extensão errada</t>
  </si>
  <si>
    <t>LARGURA PISTA (m)</t>
  </si>
  <si>
    <t>ASFALTO DILUÍDO (T) (0,0013T/m²)</t>
  </si>
  <si>
    <t>EMULSÃO (T) (0,0005T/m²)</t>
  </si>
  <si>
    <t>CAPA - CBUQ</t>
  </si>
  <si>
    <t>CBUQ (m³)</t>
  </si>
  <si>
    <t>CBUQ (T) (2,5548T/m³)</t>
  </si>
  <si>
    <t>CAP (T) (6% VOLUME)</t>
  </si>
  <si>
    <t>PISO DE CONCRETO                         20 MPa</t>
  </si>
  <si>
    <t>PAVER BLOCO DE CONCRETO</t>
  </si>
  <si>
    <r>
      <t>RETANGULAR (</t>
    </r>
    <r>
      <rPr>
        <b/>
        <sz val="8"/>
        <color rgb="FFFF0000"/>
        <rFont val="Arial"/>
        <family val="2"/>
      </rPr>
      <t>R</t>
    </r>
    <r>
      <rPr>
        <b/>
        <sz val="8"/>
        <rFont val="Arial"/>
        <family val="2"/>
      </rPr>
      <t>) OU PAV-S (</t>
    </r>
    <r>
      <rPr>
        <b/>
        <sz val="8"/>
        <color rgb="FFFF0000"/>
        <rFont val="Arial"/>
        <family val="2"/>
      </rPr>
      <t>S</t>
    </r>
    <r>
      <rPr>
        <b/>
        <sz val="8"/>
        <rFont val="Arial"/>
        <family val="2"/>
      </rPr>
      <t>)</t>
    </r>
  </si>
  <si>
    <t>ÁREA (m²) (140kg/m²)</t>
  </si>
  <si>
    <t>COLCHÃO DE AREIA (m³) (0,0633 m³/m²)</t>
  </si>
  <si>
    <t>DISPOSITIVOS COMPLEMENTARES DE CONFINAMENTO</t>
  </si>
  <si>
    <t>GUIA PARA CICLOVIA (m)</t>
  </si>
  <si>
    <t>TRANSPORTE PARA CICLOVIA</t>
  </si>
  <si>
    <r>
      <t>AREIA COLCHÃO</t>
    </r>
    <r>
      <rPr>
        <b/>
        <sz val="8"/>
        <color rgb="FFFF0000"/>
        <rFont val="Arial"/>
        <family val="2"/>
      </rPr>
      <t xml:space="preserve"> </t>
    </r>
    <r>
      <rPr>
        <b/>
        <sz val="8"/>
        <rFont val="Arial"/>
        <family val="2"/>
      </rPr>
      <t>(m³)</t>
    </r>
  </si>
  <si>
    <r>
      <t>AREIA CONCRETO</t>
    </r>
    <r>
      <rPr>
        <b/>
        <sz val="8"/>
        <color rgb="FFFF0000"/>
        <rFont val="Arial"/>
        <family val="2"/>
      </rPr>
      <t xml:space="preserve"> </t>
    </r>
    <r>
      <rPr>
        <b/>
        <sz val="8"/>
        <rFont val="Arial"/>
        <family val="2"/>
      </rPr>
      <t>(m³)</t>
    </r>
  </si>
  <si>
    <t>CAP 50/70 (T)</t>
  </si>
  <si>
    <t>BRITA BASE (m³)</t>
  </si>
  <si>
    <t>EMULSÃO RM-1C (T)</t>
  </si>
  <si>
    <t>CÁLCULO DE VOLUME DE TERRAPLENAGEM - CANTEIRO</t>
  </si>
  <si>
    <t>ÁREAS (m²)</t>
  </si>
  <si>
    <t>SEMI- DIST.  (m)</t>
  </si>
  <si>
    <t>VOLUME PARCIAL (m³)</t>
  </si>
  <si>
    <t>VOLUME ACUMULADO (m³)</t>
  </si>
  <si>
    <t>INTEIRA</t>
  </si>
  <si>
    <t>FRAÇÃO</t>
  </si>
  <si>
    <t>Observação</t>
  </si>
  <si>
    <t>Tubo de Concreto</t>
  </si>
  <si>
    <t>Tipo</t>
  </si>
  <si>
    <t>Diâmetro</t>
  </si>
  <si>
    <t>Comprimento</t>
  </si>
  <si>
    <t>Descrição</t>
  </si>
  <si>
    <t>Unidade</t>
  </si>
  <si>
    <t>Valor</t>
  </si>
  <si>
    <t>PA1</t>
  </si>
  <si>
    <t>kg/m</t>
  </si>
  <si>
    <t>PA2</t>
  </si>
  <si>
    <t>PS1</t>
  </si>
  <si>
    <t>PLANILHA DE QUANTIDADES DE SERVIÇOS DE SINALIZAÇÃO VIÁRIA - PROJETO DE ENGENHARIA</t>
  </si>
  <si>
    <t>PLACA DE SINALIZAÇÃO VERTICAL
PELÍCULA TIPO I-A (GT/GT)</t>
  </si>
  <si>
    <t>Área da placa (m²)</t>
  </si>
  <si>
    <t>F</t>
  </si>
  <si>
    <t>Parada obrigatória (R-1)</t>
  </si>
  <si>
    <t>Dê a Preferência (R-2)</t>
  </si>
  <si>
    <t>Sentido proibido
(R-3)</t>
  </si>
  <si>
    <t>Proibido virar à esquerda
(R-4 a)</t>
  </si>
  <si>
    <t>Proibido virar à direita
(R-4 b)</t>
  </si>
  <si>
    <t>Proibido retornar à esquerda
(R-5 a)</t>
  </si>
  <si>
    <t>Proibido retornar à direita
(R-5 b)</t>
  </si>
  <si>
    <t>Proibido estacionar
(R-6 a)</t>
  </si>
  <si>
    <t>Estacionamento regulamentado
(R-6 b)</t>
  </si>
  <si>
    <t>Proibido parar e estacionar
(R-6 c)</t>
  </si>
  <si>
    <t>Proibido ultrapassar
(R-7)</t>
  </si>
  <si>
    <t>Proibido mudar de faixa ou pista de trânsito da esquerda para direita
(R-8 a)</t>
  </si>
  <si>
    <t>Proibido mudar de faixa ou pista de trânsito da direita para esquerda
(R-8 b)</t>
  </si>
  <si>
    <t>Proibido trânsito de caminhões
(R-9)</t>
  </si>
  <si>
    <t>Proibido trânsito de veículos automotores
(R-10)</t>
  </si>
  <si>
    <t>Proibido trânsito de veículos de tração animal
(R-11)</t>
  </si>
  <si>
    <t>Proibido trânsito de bicicletas
(R-12)</t>
  </si>
  <si>
    <t>Proibido trânsito de tratores e máquinas de obras
(R-13)</t>
  </si>
  <si>
    <t>Peso bruto total máximo permitido
(R-14)</t>
  </si>
  <si>
    <t>Altura máxima permitida
(R-15)</t>
  </si>
  <si>
    <t>Largura máxima permitida
(R-16)</t>
  </si>
  <si>
    <t>Peso máximo permitido por eixo
(R-17)</t>
  </si>
  <si>
    <t>Comprimento máximo permitido
(R-18)</t>
  </si>
  <si>
    <t>Veloc. máx. permitida 30km/h
 (R-19)</t>
  </si>
  <si>
    <t>Veloc. máx. permitida 40km/h (R-19)</t>
  </si>
  <si>
    <t>Veloc. máx. permitida 50km/h (R-19)</t>
  </si>
  <si>
    <t>Veloc. máx. permitida 60km/h (R-19)</t>
  </si>
  <si>
    <t>Veloc. máx. permitida 80km/h (R-19)</t>
  </si>
  <si>
    <t>Proibido acionar buzina ou sinal sonoro
(R-20)</t>
  </si>
  <si>
    <t>Alfândega
(R-21)</t>
  </si>
  <si>
    <t>Uso obrigatório de corrente
(R-22)</t>
  </si>
  <si>
    <t>Conserve-se à direita
(R-23)</t>
  </si>
  <si>
    <t>Sentido de circulação da via (R-24 a)</t>
  </si>
  <si>
    <t>Passagem Obrigatória
(R-24 b)</t>
  </si>
  <si>
    <t>Vire à esquerda
(R-25 a)</t>
  </si>
  <si>
    <t>Vire à direita
(R-25 b)</t>
  </si>
  <si>
    <t>Siga em frente ou à esquerda
(R-25 c)</t>
  </si>
  <si>
    <t>Siga em frente ou à direita
(R-25 d)</t>
  </si>
  <si>
    <t>Siga em frente
(R-26)</t>
  </si>
  <si>
    <t>Ônibus, caminhões e veículos de grande porte mantenham-se à direita
(R-27)</t>
  </si>
  <si>
    <t>Duplo sentido de circulação
(R-28)</t>
  </si>
  <si>
    <t>Proibido trânsito de pedestres
(R-29)</t>
  </si>
  <si>
    <t>Pedestre, ande pela esquerda
(R-30)</t>
  </si>
  <si>
    <t>Pedestre, ande pela direita
(R-31)</t>
  </si>
  <si>
    <t>Circulação exclusiva de ônibus
(R-32)</t>
  </si>
  <si>
    <t>Sentido de circulação na rotatória
(R-33)</t>
  </si>
  <si>
    <t>Circulação exclusiva de bicicletas
(R-34)</t>
  </si>
  <si>
    <t>Ciclista, transite à esquerda
(R-35 a)</t>
  </si>
  <si>
    <t>Ciclista, transite à direita
(R-35 b)</t>
  </si>
  <si>
    <t>Ciclistas à esquerda, pedestres à direita
(R-36 a)</t>
  </si>
  <si>
    <t>Pedestres à esquerda, ciclistas à direita
(R-36 b)</t>
  </si>
  <si>
    <t>Circulação compartilhada entre Ciclistas e Pedestres 
(R-36 c)</t>
  </si>
  <si>
    <t>Proibido trânsito de motocicletas, motonetas e ciclomotores
(R-37)</t>
  </si>
  <si>
    <t>Proibido trânsito de ônibus
(R-38)</t>
  </si>
  <si>
    <t>Circulação exclusiva de caminhão
(R-39)</t>
  </si>
  <si>
    <t>Trânsito proibido a carros de mão
(R-40)</t>
  </si>
  <si>
    <t>Curva acentuada à esquerda
(A-01 a)</t>
  </si>
  <si>
    <t>Curva acentuada à direita
(A-01 b)</t>
  </si>
  <si>
    <t>Curva à esquerda
(A-02 a)</t>
  </si>
  <si>
    <t>Curva à direita
(A-02 b)</t>
  </si>
  <si>
    <t>Pista sinuosa à esquerda
(A-03 a)</t>
  </si>
  <si>
    <t>Pista sinuosa à direita
(A-03 b)</t>
  </si>
  <si>
    <t>Curva acentuada em “S” à esquerda
(A-04 a)</t>
  </si>
  <si>
    <t>Curva acentuada em “S” à direita
(A-04 b)</t>
  </si>
  <si>
    <t>Curva em “S” à esquerda
(A-05 a)</t>
  </si>
  <si>
    <t>Curva em “S” à direita
(A-05 b)</t>
  </si>
  <si>
    <t>Cruzamento de vias
(A-06)</t>
  </si>
  <si>
    <t>Via lateral à esquerda
(A-07 a)</t>
  </si>
  <si>
    <t>Via lateral à direita
(A-07 b)</t>
  </si>
  <si>
    <t>Interseção em “T”
(A-08)</t>
  </si>
  <si>
    <t>Bifurcação em “Y”
(A-09)</t>
  </si>
  <si>
    <t>Entroncamento oblíquo à esquerda
(A-10 a)</t>
  </si>
  <si>
    <t>Entroncamento oblíquo à direita
(A-10 b)</t>
  </si>
  <si>
    <t>Junções sucessivas contrárias primeira à
esquerda
(A-11 a)</t>
  </si>
  <si>
    <t>Junções sucessivas contrárias primeira à
direita
(A-11 b)</t>
  </si>
  <si>
    <t>Interseção em círculo
(A-12)</t>
  </si>
  <si>
    <t>Confluência à esquerda
(A-13 a)</t>
  </si>
  <si>
    <t>Confluência à direita
(A-13 b)</t>
  </si>
  <si>
    <t>Semáforo à frente
(A-14)</t>
  </si>
  <si>
    <t>Parada obrigatória à frente
(A-15)</t>
  </si>
  <si>
    <t>Bonde
(A-16)</t>
  </si>
  <si>
    <t>Pista irregular
(A-17)</t>
  </si>
  <si>
    <t>Saliência ou lombada
(A-18 a)</t>
  </si>
  <si>
    <t>Saliência ou lombada
(A-18 b)</t>
  </si>
  <si>
    <t>Depressão
(A-19)</t>
  </si>
  <si>
    <t>Declive acentuado
(A-20 a)</t>
  </si>
  <si>
    <t>Aclive acentuado
(A-20 b)</t>
  </si>
  <si>
    <t>Estreitamento de pista ao centro
(A-21 a)</t>
  </si>
  <si>
    <t>Estreitamento de pista à esquerda
(A-21 b)</t>
  </si>
  <si>
    <t>Estreitamento de pista à direita
(A-21 c)</t>
  </si>
  <si>
    <t>Alargamento de pista à esquerda
(A-21 d)</t>
  </si>
  <si>
    <t>Alargamento de pista à direita
(A-21 e)</t>
  </si>
  <si>
    <t>Ponte estreita
(A-22)</t>
  </si>
  <si>
    <t>Ponte móvel
(A-23)</t>
  </si>
  <si>
    <t>Obras
(A-24)</t>
  </si>
  <si>
    <t>Mão dupla adiante
(A-25)</t>
  </si>
  <si>
    <t>Sentido único
(A-26 a)</t>
  </si>
  <si>
    <t>Sentido duplo
(A-26 b)</t>
  </si>
  <si>
    <t>Área com desmoronamento
(A-27)</t>
  </si>
  <si>
    <t>Pista escorregadia
(A-28)</t>
  </si>
  <si>
    <t>Projeção de cascalho
(A-29)</t>
  </si>
  <si>
    <t>Trânsito de ciclistas
(A-30 a)</t>
  </si>
  <si>
    <t>Passagem sinalizada de ciclistas
(A-30 b)</t>
  </si>
  <si>
    <t>Trânsito compartilhado por ciclistas e
pedestres
(A-30 c)</t>
  </si>
  <si>
    <t>Trânsito de tratores ou maquinária agrícola
(A-31)</t>
  </si>
  <si>
    <t>Trânsito de pedestres
(A-32 a)</t>
  </si>
  <si>
    <t>Passagem sinalizada de pedestres
(A-32 b)</t>
  </si>
  <si>
    <t>Passagem sinalizada de pedestres
(A-32 c)</t>
  </si>
  <si>
    <t>Área escolar
(A-33 a)</t>
  </si>
  <si>
    <t>Passagem sinalizada de escolares
(A-33 b)</t>
  </si>
  <si>
    <t>Crianças
(A-34)</t>
  </si>
  <si>
    <t>Animais
(A-35)</t>
  </si>
  <si>
    <t>Animais selvagens
(A-36)</t>
  </si>
  <si>
    <t>Altura limitada
(A-37)</t>
  </si>
  <si>
    <t>Largura limitada
(A-38)</t>
  </si>
  <si>
    <t>Passagem de nível sem barreira
(A-39)</t>
  </si>
  <si>
    <t>Passagem de nível com barreira
(A-40)</t>
  </si>
  <si>
    <t>Cruz de Santo André
(A-41)</t>
  </si>
  <si>
    <t>Início de pista dupla
(A-42 a)</t>
  </si>
  <si>
    <t>Fim de pista dupla
(A-42 b)</t>
  </si>
  <si>
    <t>Pista dividida
(A-42 c)</t>
  </si>
  <si>
    <t>Aeroporto
(A-43)</t>
  </si>
  <si>
    <t>Vento lateral
(A-44)</t>
  </si>
  <si>
    <t>Rua sem saída
(A-45)</t>
  </si>
  <si>
    <t>Peso bruto total limitado
(A-46)</t>
  </si>
  <si>
    <t>Peso limitado por eixo
(A-47)</t>
  </si>
  <si>
    <t>Comprimento limitado
(A-48)</t>
  </si>
  <si>
    <t>Placa retangular</t>
  </si>
  <si>
    <t>Marcador de Alinhamento</t>
  </si>
  <si>
    <t>Marcador de Perigo (Passagem ambos os lados)</t>
  </si>
  <si>
    <t>Marcador de Perigo (Passagem pela esquerda ou direita)</t>
  </si>
  <si>
    <t>Placa Indicativa - Córrego</t>
  </si>
  <si>
    <t>Vagas de curta duração</t>
  </si>
  <si>
    <t>Reduza a velocidade</t>
  </si>
  <si>
    <t>Ciclovia - Parada obrigatória</t>
  </si>
  <si>
    <t>Ciclovia - Travessia de via</t>
  </si>
  <si>
    <t>Ciclovia - Mão dupla</t>
  </si>
  <si>
    <t>Ciclovia - Contrafluxo</t>
  </si>
  <si>
    <t>TOTAL DE PLACAS (un)</t>
  </si>
  <si>
    <t>TOTAL DE POSTE (COLUNA) SIMPLES (un)</t>
  </si>
  <si>
    <t>TOTAL PLACAS (GT/GT) (m²)</t>
  </si>
  <si>
    <t>SOMARPRODUTO(($E2:$E42)*(H2:H42))</t>
  </si>
  <si>
    <t>PLACA DE SINALIZAÇÃO VERTICAL 
PELÍCULAS TIPO I-A E TIPO II-A (AI/AI)</t>
  </si>
  <si>
    <t>PLACAS FIXADAS EM POSTE (COLUNA) SIMPLES (x2)</t>
  </si>
  <si>
    <t>(un)</t>
  </si>
  <si>
    <t>2,00x1,20</t>
  </si>
  <si>
    <t>2,00x1,00</t>
  </si>
  <si>
    <t>3,00x1,00</t>
  </si>
  <si>
    <t>PLACAS FIXADAS EM BRAÇO PROJETADO METÁLICO</t>
  </si>
  <si>
    <t>TOTAL PLACAS (AI/AI) (m²)</t>
  </si>
  <si>
    <t>POSTE (COLUNA) SIMPLES (un)</t>
  </si>
  <si>
    <t>COLUNA DE AÇO CÔNICA (un)</t>
  </si>
  <si>
    <t>BRAÇO PROJETADO DE AÇO (un)</t>
  </si>
  <si>
    <t>IDENTIFICAÇÃO DE RUA</t>
  </si>
  <si>
    <t>IDENTIFICAÇÃO DE RUA - PLACA ESMALTADA 45x20cm (un)</t>
  </si>
  <si>
    <t>IDENTIFICAÇÃO DE RUA - POSTE (un)</t>
  </si>
  <si>
    <t>PINTURA DE FAIXA
TERMOPLÁSTICO POR ASPERSÃO HOT SPRAY - ESPESSURA 1,5 mm</t>
  </si>
  <si>
    <t>Largura (m)</t>
  </si>
  <si>
    <t>Faixa Contínua (m)</t>
  </si>
  <si>
    <t>EXTENSÃO INTEIRA DA FAIXA TRACEJADA E OCULTAR</t>
  </si>
  <si>
    <t>Faixa Tracejada Pista (m)</t>
  </si>
  <si>
    <t>Cadência: Traço 2m / Espaçamento 6m</t>
  </si>
  <si>
    <t>Faixa Tracejada Estacionamento (m)</t>
  </si>
  <si>
    <t>Cadência: Traço 1m / Espaçamento 1m</t>
  </si>
  <si>
    <t>ÁREA TOTAL DE PINTURA DE FAIXA (m²)</t>
  </si>
  <si>
    <t>PINTURA DE FAIXA
TINTA BASE ACRÍLICA EMULSIONADA EM ÁGUA - ESPESSURA 0,3 mm</t>
  </si>
  <si>
    <t>Faixa Tracejada (Ciclovia)
(m)</t>
  </si>
  <si>
    <t>Cadência: Traço 1m / Espaçamento 2m</t>
  </si>
  <si>
    <t>Faixa Contínua Vermelha
(Ciclovia)
(m)</t>
  </si>
  <si>
    <t>Faixa Contínua Branca
(Ciclovia)
(m)</t>
  </si>
  <si>
    <r>
      <rPr>
        <b/>
        <sz val="12"/>
        <rFont val="Arial"/>
        <family val="2"/>
      </rPr>
      <t>PINTURA DE FAIXA</t>
    </r>
    <r>
      <rPr>
        <b/>
        <sz val="10"/>
        <rFont val="Arial"/>
        <family val="2"/>
      </rPr>
      <t xml:space="preserve">
</t>
    </r>
    <r>
      <rPr>
        <b/>
        <sz val="8"/>
        <rFont val="Arial"/>
        <family val="2"/>
      </rPr>
      <t>TERMOPLÁSTICO EM ALTO RELEVO TIPO II - RELEVO SIMPLES RANHURADO</t>
    </r>
  </si>
  <si>
    <t>Faixa Contínua Alto Relevo (m)</t>
  </si>
  <si>
    <t>PINTURA DE SETAS E LEGENDAS
TERMOPLÁSTICO POR EXTRUSÃO - ESPESSURA 3,0 mm</t>
  </si>
  <si>
    <t>Área (m²)</t>
  </si>
  <si>
    <t>Pare (un)</t>
  </si>
  <si>
    <t>Devagar (un)</t>
  </si>
  <si>
    <t>Ônibus (un)</t>
  </si>
  <si>
    <t>Escola (un)</t>
  </si>
  <si>
    <t>Radar (un)</t>
  </si>
  <si>
    <t>30 km/h</t>
  </si>
  <si>
    <t>40 km/h</t>
  </si>
  <si>
    <t>50 km/h</t>
  </si>
  <si>
    <t>Preferência (un)</t>
  </si>
  <si>
    <t>Seta (un)</t>
  </si>
  <si>
    <t>ÁREA TOTAL DE PINTURA DE MARCAS NO PAVIMENTO (m²)</t>
  </si>
  <si>
    <t>PINTURA DE LEGENDAS
LAMINADO ELASTOPLÁSTICO PARA LEGENDAS, COM 1,5mm DE ESPESSURA E COM MEDIDAS DIVERSAS, EM CORES, COM MICRO-ESFERAS DE VIDRO. ÁREA ENTRE 150 E 500m² DO MATERIAL</t>
  </si>
  <si>
    <t>Moto (un)</t>
  </si>
  <si>
    <t>SAS (un)</t>
  </si>
  <si>
    <t>IDOSO (un)</t>
  </si>
  <si>
    <r>
      <rPr>
        <b/>
        <sz val="12"/>
        <rFont val="Arial"/>
        <family val="2"/>
      </rPr>
      <t>PINTURA DE SETAS E LEGENDAS</t>
    </r>
    <r>
      <rPr>
        <b/>
        <sz val="10"/>
        <rFont val="Arial"/>
        <family val="2"/>
      </rPr>
      <t xml:space="preserve">
TINTA BASE ACRÍLICA EMULSIONADA EM ÁGUA - ESPESSURA 0,3 mm</t>
    </r>
  </si>
  <si>
    <t>Pare ciclovia (un)</t>
  </si>
  <si>
    <t>Seta (Ciclovia)
(un)</t>
  </si>
  <si>
    <t>Bicicleta  (Ciclovia)
(un)</t>
  </si>
  <si>
    <t>PINTURA DE FAIXAS DE PEDESTRES E RETENÇÃO E DE ZEBRADOS
TERMOPLÁSTICO POR EXTRUSÃO - ESPESSURA 3,0 mm</t>
  </si>
  <si>
    <t>Faixa de Retenção (m)</t>
  </si>
  <si>
    <t>Faixa de Retenção (Tracejada) (m)</t>
  </si>
  <si>
    <t>Faixa de Pedestre (m)</t>
  </si>
  <si>
    <t>Zebrado
Faixa externa (m)</t>
  </si>
  <si>
    <t>Zebrado
Faixa interna (m)</t>
  </si>
  <si>
    <t>Marcador de área de conflito
Faixa externa (m)</t>
  </si>
  <si>
    <t>Marcador de área de conflito
Faixa interna (m)</t>
  </si>
  <si>
    <t>Faixa da ciclovia  (m)</t>
  </si>
  <si>
    <t>Cadência: Traço 0,40m / Espaçamento 0,40m</t>
  </si>
  <si>
    <r>
      <t xml:space="preserve">PINTURA DE PISO PARA CICLOFAIXA
</t>
    </r>
    <r>
      <rPr>
        <b/>
        <sz val="8"/>
        <rFont val="Arial"/>
        <family val="2"/>
      </rPr>
      <t>PLÁSTICO À FRIO BICOMPONENTE À BASE DE RESINAS METACRÍLICAS</t>
    </r>
  </si>
  <si>
    <t>Piso da ciclofaixa (m²)</t>
  </si>
  <si>
    <t>ÁREA TOTAL DE PINTURA NO PAVIMENTO (m²)</t>
  </si>
  <si>
    <r>
      <t xml:space="preserve">PINTURA DE PISO PARA CICLOVIA
</t>
    </r>
    <r>
      <rPr>
        <b/>
        <sz val="8"/>
        <rFont val="Arial"/>
        <family val="2"/>
      </rPr>
      <t>TINTA BASE ACRÍLICA EMULSIONADA EM ÁGUA - ESPESSURA 0,3 mm</t>
    </r>
  </si>
  <si>
    <t>Piso da ciclovia (m²)</t>
  </si>
  <si>
    <t>TACHAS E TACHÕES (un)</t>
  </si>
  <si>
    <t>TACHA REFLETIVA DIRECIONAL</t>
  </si>
  <si>
    <t>MONO BRANCA (un)</t>
  </si>
  <si>
    <t>MONO AMARELA (un)</t>
  </si>
  <si>
    <t>BI BRANCA (un)</t>
  </si>
  <si>
    <t>BI AMARELA (un)</t>
  </si>
  <si>
    <t>TACHÃO REFLETIVA DIRECIONAL</t>
  </si>
  <si>
    <t>ABRIGO PADRÃO DO CONTRATANTE (un)</t>
  </si>
  <si>
    <t>DISPOSITIVOS AUXILIARES</t>
  </si>
  <si>
    <t>DUTO ESPIRAL FLEXÍVEL Ø 75mm (m)</t>
  </si>
  <si>
    <t>ABERTURA DE VALA (m)</t>
  </si>
  <si>
    <t>CAIXA DE PASSAGEM (un)</t>
  </si>
  <si>
    <t>MEMÓRIA DE CÁLCULO</t>
  </si>
  <si>
    <t>PONTE:</t>
  </si>
  <si>
    <t xml:space="preserve">PONTE SOBRE O CÓRREGO IMBIRUSSU </t>
  </si>
  <si>
    <t>LOCAL:</t>
  </si>
  <si>
    <t xml:space="preserve">AVENIDA GENERAL ALBERTO MENDONÇA LIMA </t>
  </si>
  <si>
    <t>BAIRRO:</t>
  </si>
  <si>
    <t>REGIÃO URBANA DO IMBIRUSSU</t>
  </si>
  <si>
    <t>CAMPO GRANDE/MS</t>
  </si>
  <si>
    <t>1.- Volume de Escavação com Esgotamento</t>
  </si>
  <si>
    <t>ESCAVAÇÃO - ALA 01</t>
  </si>
  <si>
    <t>A (m)</t>
  </si>
  <si>
    <t>B (m)</t>
  </si>
  <si>
    <t>C (m)</t>
  </si>
  <si>
    <t>D (m)</t>
  </si>
  <si>
    <t>E (m)</t>
  </si>
  <si>
    <t>F (m)</t>
  </si>
  <si>
    <t>Volume de Escavação (m³)</t>
  </si>
  <si>
    <r>
      <t>Largura</t>
    </r>
    <r>
      <rPr>
        <sz val="6"/>
        <rFont val="Calibri"/>
        <family val="2"/>
      </rPr>
      <t xml:space="preserve"> escavação</t>
    </r>
  </si>
  <si>
    <r>
      <t>Largura</t>
    </r>
    <r>
      <rPr>
        <vertAlign val="subscript"/>
        <sz val="10"/>
        <rFont val="Calibri"/>
        <family val="2"/>
      </rPr>
      <t xml:space="preserve"> ala</t>
    </r>
  </si>
  <si>
    <r>
      <t>Comp.</t>
    </r>
    <r>
      <rPr>
        <vertAlign val="subscript"/>
        <sz val="10"/>
        <rFont val="Calibri"/>
        <family val="2"/>
      </rPr>
      <t xml:space="preserve"> Ala</t>
    </r>
  </si>
  <si>
    <r>
      <t>Altura</t>
    </r>
    <r>
      <rPr>
        <sz val="6.5"/>
        <rFont val="Calibri"/>
        <family val="2"/>
      </rPr>
      <t xml:space="preserve"> escavação</t>
    </r>
  </si>
  <si>
    <t>ESCAVAÇÃO - ALA 02</t>
  </si>
  <si>
    <t>G (m)</t>
  </si>
  <si>
    <t>H (m)</t>
  </si>
  <si>
    <t>I (m)</t>
  </si>
  <si>
    <t>J (m)</t>
  </si>
  <si>
    <t>ESCAVAÇÃO - CORTINA 01</t>
  </si>
  <si>
    <t>K (m)</t>
  </si>
  <si>
    <t>L (m)</t>
  </si>
  <si>
    <t>M (m)</t>
  </si>
  <si>
    <t>N (m)</t>
  </si>
  <si>
    <r>
      <t>Largura</t>
    </r>
    <r>
      <rPr>
        <sz val="6.5"/>
        <rFont val="Calibri"/>
        <family val="2"/>
      </rPr>
      <t xml:space="preserve"> cortina</t>
    </r>
  </si>
  <si>
    <r>
      <t>Comp.</t>
    </r>
    <r>
      <rPr>
        <sz val="6.5"/>
        <rFont val="Calibri"/>
        <family val="2"/>
      </rPr>
      <t xml:space="preserve"> cortina</t>
    </r>
  </si>
  <si>
    <t>ESCAVAÇÃO - ALA 03</t>
  </si>
  <si>
    <r>
      <t>Largura</t>
    </r>
    <r>
      <rPr>
        <sz val="6.5"/>
        <rFont val="Calibri"/>
        <family val="2"/>
      </rPr>
      <t xml:space="preserve"> escavação</t>
    </r>
  </si>
  <si>
    <t>ESCAVAÇÃO - ALA 04</t>
  </si>
  <si>
    <t>ESCAVAÇÃO - CORTINA 02</t>
  </si>
  <si>
    <t>Resumo - Item 1</t>
  </si>
  <si>
    <t>Volume de Escavação com</t>
  </si>
  <si>
    <t>Volume de Escavação</t>
  </si>
  <si>
    <t>Esgotamento (m³)</t>
  </si>
  <si>
    <t>manual (m³)</t>
  </si>
  <si>
    <t>2.- Encontros + Alas + Consolos</t>
  </si>
  <si>
    <t>ALA 01</t>
  </si>
  <si>
    <t>Volume de</t>
  </si>
  <si>
    <t>Forma (m²)</t>
  </si>
  <si>
    <t>Largura</t>
  </si>
  <si>
    <t>Altura</t>
  </si>
  <si>
    <t>Concreto (m³)</t>
  </si>
  <si>
    <t>ALA 02</t>
  </si>
  <si>
    <t>CORTINA 01</t>
  </si>
  <si>
    <t>CONSOLO 01</t>
  </si>
  <si>
    <t>ALA 03</t>
  </si>
  <si>
    <t>ALA 04</t>
  </si>
  <si>
    <t>ENCONTRO 02</t>
  </si>
  <si>
    <t>CONSOLO 02</t>
  </si>
  <si>
    <t>Resumo - Item 2</t>
  </si>
  <si>
    <t>3.- Bloco do Pilar Central (P1, P3 e P5)</t>
  </si>
  <si>
    <r>
      <t>Lado</t>
    </r>
    <r>
      <rPr>
        <vertAlign val="subscript"/>
        <sz val="10"/>
        <rFont val="Calibri"/>
        <family val="2"/>
      </rPr>
      <t>1</t>
    </r>
  </si>
  <si>
    <r>
      <t>Lado</t>
    </r>
    <r>
      <rPr>
        <vertAlign val="subscript"/>
        <sz val="10"/>
        <rFont val="Calibri"/>
        <family val="2"/>
      </rPr>
      <t>2</t>
    </r>
  </si>
  <si>
    <r>
      <t>Altura</t>
    </r>
    <r>
      <rPr>
        <vertAlign val="subscript"/>
        <sz val="10"/>
        <rFont val="Calibri"/>
        <family val="2"/>
      </rPr>
      <t>1</t>
    </r>
  </si>
  <si>
    <r>
      <t>Altura</t>
    </r>
    <r>
      <rPr>
        <vertAlign val="subscript"/>
        <sz val="10"/>
        <rFont val="Calibri"/>
        <family val="2"/>
      </rPr>
      <t>2</t>
    </r>
  </si>
  <si>
    <r>
      <t>Altura</t>
    </r>
    <r>
      <rPr>
        <vertAlign val="subscript"/>
        <sz val="10"/>
        <rFont val="Calibri"/>
        <family val="2"/>
      </rPr>
      <t>3</t>
    </r>
  </si>
  <si>
    <t>Número de Blocos (un.)</t>
  </si>
  <si>
    <t>Volume de Concreto Estrutural (m³)</t>
  </si>
  <si>
    <t>Volume de Concreto Não Estrutural (m³)</t>
  </si>
  <si>
    <t>Volume de Escavação com Esgotamento (m³)</t>
  </si>
  <si>
    <t>Área de brita (m²)</t>
  </si>
  <si>
    <t>Volume de Escavação manual (m³)</t>
  </si>
  <si>
    <t>4.- Bloco do Pilar Central (P2, P4 e P6)</t>
  </si>
  <si>
    <t>Volume de Concreto de Estrutural (m³)</t>
  </si>
  <si>
    <t>5.- Pilar Central (P1 - P2 - P3 - P4 - P5 - P6)</t>
  </si>
  <si>
    <t>Número de</t>
  </si>
  <si>
    <t>Pilares (un.)</t>
  </si>
  <si>
    <t>6.- Viga Transversal de Apoio</t>
  </si>
  <si>
    <r>
      <t>Comprimento</t>
    </r>
    <r>
      <rPr>
        <vertAlign val="subscript"/>
        <sz val="10"/>
        <rFont val="Calibri"/>
        <family val="2"/>
      </rPr>
      <t>1</t>
    </r>
  </si>
  <si>
    <t>Lado2</t>
  </si>
  <si>
    <t>Vigas (un.)</t>
  </si>
  <si>
    <t>7.- Articulação Freyssinet</t>
  </si>
  <si>
    <t>7.1.- Articulação Freyssinet (Viga Pré-Moldada)</t>
  </si>
  <si>
    <t>Nº de Arti-</t>
  </si>
  <si>
    <t>culações (un.)</t>
  </si>
  <si>
    <t>7.2.- Articulação Freyssinet (Placa de Aproximação)</t>
  </si>
  <si>
    <t>Resumo Total Articulação Freyssinet</t>
  </si>
  <si>
    <t>8.- Viga Pré-moldada "T" - L=9,20m</t>
  </si>
  <si>
    <r>
      <t>Largura</t>
    </r>
    <r>
      <rPr>
        <vertAlign val="subscript"/>
        <sz val="10"/>
        <rFont val="Calibri"/>
        <family val="2"/>
      </rPr>
      <t>1</t>
    </r>
  </si>
  <si>
    <r>
      <t>Largura</t>
    </r>
    <r>
      <rPr>
        <vertAlign val="subscript"/>
        <sz val="10"/>
        <rFont val="Calibri"/>
        <family val="2"/>
      </rPr>
      <t>2</t>
    </r>
  </si>
  <si>
    <r>
      <t>Largura</t>
    </r>
    <r>
      <rPr>
        <vertAlign val="subscript"/>
        <sz val="10"/>
        <rFont val="Calibri"/>
        <family val="2"/>
      </rPr>
      <t>3</t>
    </r>
  </si>
  <si>
    <t xml:space="preserve">Número de </t>
  </si>
  <si>
    <t>9.- Viga Pré-moldada "T" - L=19,20m</t>
  </si>
  <si>
    <t>10.- Laje</t>
  </si>
  <si>
    <r>
      <t>Largura</t>
    </r>
    <r>
      <rPr>
        <vertAlign val="subscript"/>
        <sz val="10"/>
        <rFont val="Calibri"/>
        <family val="2"/>
      </rPr>
      <t>4</t>
    </r>
  </si>
  <si>
    <t>Altura (m)</t>
  </si>
  <si>
    <t>11.- Transversina do Encontro + Consolo</t>
  </si>
  <si>
    <t xml:space="preserve">Número de Transversinas do </t>
  </si>
  <si>
    <t>Encontro + Consolos (un.)</t>
  </si>
  <si>
    <t>12.- Transversina do Pilar Central</t>
  </si>
  <si>
    <t>Nº de Trans-</t>
  </si>
  <si>
    <t>versinas (un.)</t>
  </si>
  <si>
    <t>13.- Barreiras de Concreto (Tipo New Jersey)</t>
  </si>
  <si>
    <t>módulos (un.)</t>
  </si>
  <si>
    <t>14. Guia (Delimitação Ciclovia/Passagem de Pedestre)</t>
  </si>
  <si>
    <t>15.- Pilaretes do Guarda-Corpo</t>
  </si>
  <si>
    <t>Nº Tubos</t>
  </si>
  <si>
    <r>
      <t>Lado</t>
    </r>
    <r>
      <rPr>
        <vertAlign val="subscript"/>
        <sz val="10"/>
        <rFont val="Calibri"/>
        <family val="2"/>
      </rPr>
      <t>3</t>
    </r>
  </si>
  <si>
    <r>
      <t>Lado</t>
    </r>
    <r>
      <rPr>
        <vertAlign val="subscript"/>
        <sz val="10"/>
        <rFont val="Calibri"/>
        <family val="2"/>
      </rPr>
      <t>4</t>
    </r>
  </si>
  <si>
    <t>Pilaretes (un.)</t>
  </si>
  <si>
    <t>16.- Placa de Aproximação</t>
  </si>
  <si>
    <r>
      <t>Comprimento</t>
    </r>
    <r>
      <rPr>
        <vertAlign val="subscript"/>
        <sz val="10"/>
        <rFont val="Calibri"/>
        <family val="2"/>
      </rPr>
      <t>2</t>
    </r>
  </si>
  <si>
    <r>
      <t>Comprimento</t>
    </r>
    <r>
      <rPr>
        <vertAlign val="subscript"/>
        <sz val="10"/>
        <rFont val="Calibri"/>
        <family val="2"/>
      </rPr>
      <t>3</t>
    </r>
  </si>
  <si>
    <t>placas (un.)</t>
  </si>
  <si>
    <t>Concreto estrutural (m³)</t>
  </si>
  <si>
    <t>Concreto não estrutural (m³)</t>
  </si>
  <si>
    <t>17.- Escoramento</t>
  </si>
  <si>
    <t>17.1.- Encontros + Alas + Consolos</t>
  </si>
  <si>
    <t>ESCORAMENTO - ALA 01</t>
  </si>
  <si>
    <t>O (m)</t>
  </si>
  <si>
    <t>Volume de Escoramento (m³)</t>
  </si>
  <si>
    <r>
      <t>Largura</t>
    </r>
    <r>
      <rPr>
        <sz val="5.5"/>
        <rFont val="Calibri"/>
        <family val="2"/>
      </rPr>
      <t xml:space="preserve"> escoramento</t>
    </r>
  </si>
  <si>
    <r>
      <t>Altura</t>
    </r>
    <r>
      <rPr>
        <sz val="5.5"/>
        <rFont val="Calibri"/>
        <family val="2"/>
      </rPr>
      <t xml:space="preserve"> escoramento</t>
    </r>
  </si>
  <si>
    <t>ESCORAMENTO - ALA 02</t>
  </si>
  <si>
    <t>ESCORAMENTO - CORTINA 01</t>
  </si>
  <si>
    <t>P (m)</t>
  </si>
  <si>
    <t>ESCORAMENTO - ALA 03</t>
  </si>
  <si>
    <t>ESCORAMENTO - ALA 04</t>
  </si>
  <si>
    <t>ESCORAMENTO - CORTINA 02</t>
  </si>
  <si>
    <t>Resumo Escoramento - Item 17.1</t>
  </si>
  <si>
    <t>17.2.- Pilar Central</t>
  </si>
  <si>
    <r>
      <t>Largura</t>
    </r>
    <r>
      <rPr>
        <sz val="6.5"/>
        <rFont val="Calibri"/>
        <family val="2"/>
      </rPr>
      <t>pilar,1</t>
    </r>
  </si>
  <si>
    <r>
      <t>Largura</t>
    </r>
    <r>
      <rPr>
        <sz val="6.5"/>
        <rFont val="Calibri"/>
        <family val="2"/>
      </rPr>
      <t>pilar,2</t>
    </r>
  </si>
  <si>
    <t>18.- Pintura Faixa Amarela</t>
  </si>
  <si>
    <r>
      <t>Largura</t>
    </r>
    <r>
      <rPr>
        <sz val="5.5"/>
        <rFont val="Calibri"/>
        <family val="2"/>
      </rPr>
      <t xml:space="preserve"> faixa</t>
    </r>
  </si>
  <si>
    <r>
      <t>Largura</t>
    </r>
    <r>
      <rPr>
        <sz val="6.5"/>
        <rFont val="Calibri"/>
        <family val="2"/>
      </rPr>
      <t xml:space="preserve"> faixa</t>
    </r>
  </si>
  <si>
    <t>Faixas (un)</t>
  </si>
  <si>
    <t xml:space="preserve">
19.- Pintura Faixa de Bordo</t>
  </si>
  <si>
    <t>PLANILHA DE QUANTIDADES DE SERVIÇOS DO PAMENTO RÍGIDO EM PONTO DE ÔNIBUS - PROJETO DE ENGENHARIA</t>
  </si>
  <si>
    <t>PO Nº 01</t>
  </si>
  <si>
    <t>PO Nº 02</t>
  </si>
  <si>
    <t>EXTENSÃO DO PAVIMENTO RÍGIDO (m)</t>
  </si>
  <si>
    <t>PREPARO DA CAIXA</t>
  </si>
  <si>
    <t>EXTENSÃO PLACA DE TRANSIÇÃO (m) x2</t>
  </si>
  <si>
    <t>2*1,5</t>
  </si>
  <si>
    <t>VOLUME FRESADO (m³)</t>
  </si>
  <si>
    <t>REGULARIZAÇÃO         (m²)</t>
  </si>
  <si>
    <t>se ROSA extensão maior</t>
  </si>
  <si>
    <t>VOLUME ESCAVAÇÃO E COLCHÃO (m³)</t>
  </si>
  <si>
    <t>VOLUME EMPOLADO BICA CORRIDA (m³) (0,10m³/m³)</t>
  </si>
  <si>
    <t>VOLUME EMPOLADO RACHÃO (m³) (1,30m³/m³)</t>
  </si>
  <si>
    <t>SUB-BASE / BASE</t>
  </si>
  <si>
    <r>
      <t xml:space="preserve">BICA CORRIDA </t>
    </r>
    <r>
      <rPr>
        <b/>
        <sz val="8"/>
        <color rgb="FFFF0000"/>
        <rFont val="Arial"/>
        <family val="2"/>
      </rPr>
      <t>(BC)</t>
    </r>
    <r>
      <rPr>
        <b/>
        <sz val="8"/>
        <rFont val="Arial"/>
        <family val="2"/>
      </rPr>
      <t xml:space="preserve"> / BRITA GRADUADA </t>
    </r>
    <r>
      <rPr>
        <b/>
        <sz val="8"/>
        <color rgb="FFFF0000"/>
        <rFont val="Arial"/>
        <family val="2"/>
      </rPr>
      <t>(BG)</t>
    </r>
  </si>
  <si>
    <t>PAVIMENTO RÍGIDO</t>
  </si>
  <si>
    <t>PLATAFORMA DE EMBARQUE / DESEMBARQUE</t>
  </si>
  <si>
    <t>ÁREA PLATAFORMA(m²)</t>
  </si>
  <si>
    <t>ESPESSURA ATERRO (m)</t>
  </si>
  <si>
    <t>VOLUME ATERRO (m³)</t>
  </si>
  <si>
    <t>ESPESSURA LASTRO DE BRITA (m)</t>
  </si>
  <si>
    <t>VOLUME LASTRO DE BRITA (m³)</t>
  </si>
  <si>
    <t>ESPESSURA CALÇADA (m)</t>
  </si>
  <si>
    <t>PISO EM CONCRETO (m³)</t>
  </si>
  <si>
    <t>MEIO-FIO DE PLATAFORMA (m)</t>
  </si>
  <si>
    <t>TRANSPORTE PARA SERVIÇOS PARADA DE ÔNIBUS</t>
  </si>
  <si>
    <t>BRITA LASTRO (0,13m³/m³) (m³)</t>
  </si>
  <si>
    <t>CIMENTO BASE (T)</t>
  </si>
  <si>
    <t>CIMENTO CONCRETO (T)</t>
  </si>
  <si>
    <t>Tipo de Via</t>
  </si>
  <si>
    <t>Função predominante</t>
  </si>
  <si>
    <t>Tráfego previsto</t>
  </si>
  <si>
    <t>Velocidade máxima sem sinalização</t>
  </si>
  <si>
    <t>VDM inicial na faixa mais solicitada</t>
  </si>
  <si>
    <t>Período de projeto (anos)</t>
  </si>
  <si>
    <t>Fator Equivalente por veículo</t>
  </si>
  <si>
    <t>NÚMERO “N” 10 ANOS</t>
  </si>
  <si>
    <t>PASSEIO</t>
  </si>
  <si>
    <t>CALCULADO</t>
  </si>
  <si>
    <t>CARACTERÍSTICO</t>
  </si>
  <si>
    <t>VI</t>
  </si>
  <si>
    <t>Interna - via de circulação em condomínio</t>
  </si>
  <si>
    <t>Leve</t>
  </si>
  <si>
    <r>
      <rPr>
        <sz val="8"/>
        <rFont val="Symbol"/>
        <family val="1"/>
        <charset val="2"/>
      </rPr>
      <t>£</t>
    </r>
    <r>
      <rPr>
        <sz val="8"/>
        <rFont val="Arial"/>
        <family val="2"/>
      </rPr>
      <t xml:space="preserve"> 400</t>
    </r>
  </si>
  <si>
    <r>
      <rPr>
        <sz val="8"/>
        <rFont val="Symbol"/>
        <family val="1"/>
        <charset val="2"/>
      </rPr>
      <t>£</t>
    </r>
    <r>
      <rPr>
        <sz val="8"/>
        <rFont val="Arial"/>
        <family val="2"/>
      </rPr>
      <t xml:space="preserve"> 2</t>
    </r>
  </si>
  <si>
    <r>
      <t>1,4 x 10</t>
    </r>
    <r>
      <rPr>
        <vertAlign val="superscript"/>
        <sz val="8"/>
        <rFont val="Arial"/>
        <family val="2"/>
      </rPr>
      <t>4</t>
    </r>
  </si>
  <si>
    <r>
      <t>1 x 10</t>
    </r>
    <r>
      <rPr>
        <vertAlign val="superscript"/>
        <sz val="8"/>
        <rFont val="Arial"/>
        <family val="2"/>
      </rPr>
      <t>4</t>
    </r>
  </si>
  <si>
    <t>VL</t>
  </si>
  <si>
    <t>Local - via de articulação com Coletoras</t>
  </si>
  <si>
    <r>
      <rPr>
        <sz val="8"/>
        <rFont val="Symbol"/>
        <family val="1"/>
        <charset val="2"/>
      </rPr>
      <t>£</t>
    </r>
    <r>
      <rPr>
        <sz val="8"/>
        <rFont val="Arial"/>
        <family val="2"/>
      </rPr>
      <t xml:space="preserve"> 20</t>
    </r>
  </si>
  <si>
    <r>
      <t>2,7 x 10</t>
    </r>
    <r>
      <rPr>
        <vertAlign val="superscript"/>
        <sz val="8"/>
        <rFont val="Arial"/>
        <family val="2"/>
      </rPr>
      <t>4</t>
    </r>
  </si>
  <si>
    <r>
      <t>1,4 x 10</t>
    </r>
    <r>
      <rPr>
        <vertAlign val="superscript"/>
        <sz val="8"/>
        <rFont val="Arial"/>
        <family val="2"/>
      </rPr>
      <t>5</t>
    </r>
  </si>
  <si>
    <r>
      <t>1 x 10</t>
    </r>
    <r>
      <rPr>
        <vertAlign val="superscript"/>
        <sz val="8"/>
        <rFont val="Arial"/>
        <family val="2"/>
      </rPr>
      <t>5</t>
    </r>
  </si>
  <si>
    <t>VC</t>
  </si>
  <si>
    <t>Coletora - via alimentadora das Arteriais</t>
  </si>
  <si>
    <t>Médio</t>
  </si>
  <si>
    <t>401 a 1.500</t>
  </si>
  <si>
    <t>21 a 100</t>
  </si>
  <si>
    <r>
      <t>6,8 x 10</t>
    </r>
    <r>
      <rPr>
        <vertAlign val="superscript"/>
        <sz val="8"/>
        <rFont val="Arial"/>
        <family val="2"/>
      </rPr>
      <t>5</t>
    </r>
  </si>
  <si>
    <r>
      <t>4 x 10</t>
    </r>
    <r>
      <rPr>
        <vertAlign val="superscript"/>
        <sz val="8"/>
        <rFont val="Arial"/>
        <family val="2"/>
      </rPr>
      <t>5</t>
    </r>
  </si>
  <si>
    <t>VA</t>
  </si>
  <si>
    <t>Arterial - via de penetração</t>
  </si>
  <si>
    <t>Pesado</t>
  </si>
  <si>
    <t>60 km/h</t>
  </si>
  <si>
    <t>1.501 a 10.000</t>
  </si>
  <si>
    <t>101 a 1.000</t>
  </si>
  <si>
    <r>
      <t>1,1 x 10</t>
    </r>
    <r>
      <rPr>
        <vertAlign val="superscript"/>
        <sz val="8"/>
        <rFont val="Arial"/>
        <family val="2"/>
      </rPr>
      <t>6</t>
    </r>
  </si>
  <si>
    <r>
      <t>1,0 x 10</t>
    </r>
    <r>
      <rPr>
        <vertAlign val="superscript"/>
        <sz val="8"/>
        <rFont val="Arial"/>
        <family val="2"/>
      </rPr>
      <t>7</t>
    </r>
  </si>
  <si>
    <r>
      <t>1 x 10</t>
    </r>
    <r>
      <rPr>
        <vertAlign val="superscript"/>
        <sz val="8"/>
        <rFont val="Arial"/>
        <family val="2"/>
      </rPr>
      <t>7</t>
    </r>
  </si>
  <si>
    <t>VTR</t>
  </si>
  <si>
    <t>Via de trânsito rápido - rodovia de circulação à área urbana</t>
  </si>
  <si>
    <t>Muito pesado</t>
  </si>
  <si>
    <t>80 km/h</t>
  </si>
  <si>
    <t>&gt; 10000</t>
  </si>
  <si>
    <t>1.001 a 2.000</t>
  </si>
  <si>
    <r>
      <t>2,7 x 10</t>
    </r>
    <r>
      <rPr>
        <vertAlign val="superscript"/>
        <sz val="8"/>
        <rFont val="Arial"/>
        <family val="2"/>
      </rPr>
      <t>7</t>
    </r>
  </si>
  <si>
    <r>
      <t>5,4 x 10</t>
    </r>
    <r>
      <rPr>
        <vertAlign val="superscript"/>
        <sz val="8"/>
        <rFont val="Arial"/>
        <family val="2"/>
      </rPr>
      <t>7</t>
    </r>
  </si>
  <si>
    <r>
      <t>5 x 10</t>
    </r>
    <r>
      <rPr>
        <vertAlign val="superscript"/>
        <sz val="8"/>
        <rFont val="Arial"/>
        <family val="2"/>
      </rPr>
      <t>7</t>
    </r>
  </si>
  <si>
    <t>tipo</t>
  </si>
  <si>
    <t>comercial</t>
  </si>
  <si>
    <t>N</t>
  </si>
  <si>
    <t>KR · R + KB · B ≥ H20</t>
  </si>
  <si>
    <t>KR · R + KB · B + KS · h20 ≥ Hn</t>
  </si>
  <si>
    <t>KR · R + KB · B + KS · h20 + Kref · hn ≥ Hm</t>
  </si>
  <si>
    <t>Onde:</t>
  </si>
  <si>
    <t>KR: coeficiente de equivalência estrutural do revestimento</t>
  </si>
  <si>
    <t>R: espessura do revestimento</t>
  </si>
  <si>
    <t>KB: coeficiente de equivalência estrutural da base</t>
  </si>
  <si>
    <t>B: espessura da base</t>
  </si>
  <si>
    <t>H20: espessura de pavimento sobre a sub-base</t>
  </si>
  <si>
    <t>Ks: coeficiente de equivalência estrutural da sub-base</t>
  </si>
  <si>
    <t>h20: espessura da sub-base</t>
  </si>
  <si>
    <t>Hn: espessura do pavimento sobre a camada com IS = n</t>
  </si>
  <si>
    <t>Kref: coeficiente de equivalência estrutural do reforço de subleito</t>
  </si>
  <si>
    <t>hn: espessura do reforço do subleito e</t>
  </si>
  <si>
    <t>Hm: espessura total do pavimento necessária para proteger um material com CBR ou IS igual a m</t>
  </si>
  <si>
    <r>
      <t>tc  = 9,02 + (0,23 log N + 0,05) x [(7011/CBR) – 234,33]</t>
    </r>
    <r>
      <rPr>
        <b/>
        <i/>
        <vertAlign val="superscript"/>
        <sz val="12"/>
        <rFont val="Arial"/>
        <family val="2"/>
      </rPr>
      <t>0,5</t>
    </r>
  </si>
  <si>
    <t>tc: espessura total do pavimento referida a C coberturas, em centímetros;</t>
  </si>
  <si>
    <t>N: número de operações/solicitações de um eixo rodoviário padrão, e</t>
  </si>
  <si>
    <r>
      <t xml:space="preserve">CBR: Índice de Suporte Califórnia da </t>
    </r>
    <r>
      <rPr>
        <b/>
        <sz val="10"/>
        <rFont val="Arial"/>
        <family val="2"/>
      </rPr>
      <t>camada subjacente</t>
    </r>
    <r>
      <rPr>
        <sz val="10"/>
        <rFont val="Arial"/>
        <family val="2"/>
      </rPr>
      <t>.</t>
    </r>
  </si>
  <si>
    <t>TABELA DOS FUROS DE SONDAGENS E ENSAIOS DE SUB-LEITO</t>
  </si>
  <si>
    <t>Nº</t>
  </si>
  <si>
    <t>PROFUNDIDADE
(m)</t>
  </si>
  <si>
    <t>N.A
(m)</t>
  </si>
  <si>
    <t>CLASSIFICAÇÃO
H.R.B</t>
  </si>
  <si>
    <t>DEN. MAX.
Kg/m³</t>
  </si>
  <si>
    <t>HOT
(%)</t>
  </si>
  <si>
    <t>ISC
(%)</t>
  </si>
  <si>
    <t>CLASSIFICAÇÃO DAS CAMADAS</t>
  </si>
  <si>
    <t>Rua 68</t>
  </si>
  <si>
    <r>
      <t xml:space="preserve">F.01 -  </t>
    </r>
    <r>
      <rPr>
        <b/>
        <sz val="12"/>
        <color rgb="FFFF0000"/>
        <rFont val="Arial"/>
        <family val="2"/>
      </rPr>
      <t>Ensaio</t>
    </r>
  </si>
  <si>
    <t>A-7-5</t>
  </si>
  <si>
    <t>CAPA DE REVESTIMENTO</t>
  </si>
  <si>
    <t>ARGILA SILTOSA MARROM SATURADA</t>
  </si>
  <si>
    <t>Avenida 9 - LD</t>
  </si>
  <si>
    <r>
      <t xml:space="preserve">F.02 -  </t>
    </r>
    <r>
      <rPr>
        <b/>
        <sz val="12"/>
        <color rgb="FFFF0000"/>
        <rFont val="Arial"/>
        <family val="2"/>
      </rPr>
      <t>Trado</t>
    </r>
  </si>
  <si>
    <t>Rua 50</t>
  </si>
  <si>
    <r>
      <t xml:space="preserve">F.03 -  </t>
    </r>
    <r>
      <rPr>
        <b/>
        <sz val="12"/>
        <color rgb="FFFF0000"/>
        <rFont val="Arial"/>
        <family val="2"/>
      </rPr>
      <t>Ensaio</t>
    </r>
  </si>
  <si>
    <t>Rua 79</t>
  </si>
  <si>
    <r>
      <t xml:space="preserve">F.04 -  </t>
    </r>
    <r>
      <rPr>
        <b/>
        <sz val="12"/>
        <color rgb="FFFF0000"/>
        <rFont val="Arial"/>
        <family val="2"/>
      </rPr>
      <t>Ensaio</t>
    </r>
  </si>
  <si>
    <t>Rua 84</t>
  </si>
  <si>
    <r>
      <t xml:space="preserve">F.05 -  </t>
    </r>
    <r>
      <rPr>
        <b/>
        <sz val="12"/>
        <color rgb="FFFF0000"/>
        <rFont val="Arial"/>
        <family val="2"/>
      </rPr>
      <t>Trado</t>
    </r>
  </si>
  <si>
    <t>Rua 24</t>
  </si>
  <si>
    <r>
      <t xml:space="preserve">F.06 -  </t>
    </r>
    <r>
      <rPr>
        <b/>
        <sz val="12"/>
        <color rgb="FFFF0000"/>
        <rFont val="Arial"/>
        <family val="2"/>
      </rPr>
      <t>Trado</t>
    </r>
  </si>
  <si>
    <r>
      <t xml:space="preserve">F.07 -  </t>
    </r>
    <r>
      <rPr>
        <b/>
        <sz val="12"/>
        <color rgb="FFFF0000"/>
        <rFont val="Arial"/>
        <family val="2"/>
      </rPr>
      <t>Ensaio</t>
    </r>
  </si>
  <si>
    <r>
      <t xml:space="preserve">F.08-  </t>
    </r>
    <r>
      <rPr>
        <b/>
        <sz val="12"/>
        <color rgb="FFFF0000"/>
        <rFont val="Arial"/>
        <family val="2"/>
      </rPr>
      <t>Trado</t>
    </r>
  </si>
  <si>
    <t>Rua 28</t>
  </si>
  <si>
    <r>
      <t xml:space="preserve">F.09 -  </t>
    </r>
    <r>
      <rPr>
        <b/>
        <sz val="12"/>
        <color rgb="FFFF0000"/>
        <rFont val="Arial"/>
        <family val="2"/>
      </rPr>
      <t>Ensaio</t>
    </r>
  </si>
  <si>
    <t>Rua 22</t>
  </si>
  <si>
    <r>
      <t xml:space="preserve">F.10 -  </t>
    </r>
    <r>
      <rPr>
        <b/>
        <sz val="12"/>
        <color rgb="FFFF0000"/>
        <rFont val="Arial"/>
        <family val="2"/>
      </rPr>
      <t>Trado</t>
    </r>
  </si>
  <si>
    <r>
      <t xml:space="preserve">F.11 -  </t>
    </r>
    <r>
      <rPr>
        <b/>
        <sz val="12"/>
        <color rgb="FFFF0000"/>
        <rFont val="Arial"/>
        <family val="2"/>
      </rPr>
      <t>Ensaio</t>
    </r>
  </si>
  <si>
    <r>
      <t xml:space="preserve">F.12 -  </t>
    </r>
    <r>
      <rPr>
        <b/>
        <sz val="12"/>
        <color rgb="FFFF0000"/>
        <rFont val="Arial"/>
        <family val="2"/>
      </rPr>
      <t>Trado</t>
    </r>
  </si>
  <si>
    <r>
      <t xml:space="preserve">F.13 -  </t>
    </r>
    <r>
      <rPr>
        <b/>
        <sz val="12"/>
        <color rgb="FFFF0000"/>
        <rFont val="Arial"/>
        <family val="2"/>
      </rPr>
      <t>Ensaio</t>
    </r>
  </si>
  <si>
    <r>
      <t xml:space="preserve">F.14 -  </t>
    </r>
    <r>
      <rPr>
        <b/>
        <sz val="12"/>
        <color rgb="FFFF0000"/>
        <rFont val="Arial"/>
        <family val="2"/>
      </rPr>
      <t>Trado</t>
    </r>
  </si>
  <si>
    <t>Rua 37</t>
  </si>
  <si>
    <r>
      <t xml:space="preserve">F.15 -  </t>
    </r>
    <r>
      <rPr>
        <b/>
        <sz val="12"/>
        <color rgb="FFFF0000"/>
        <rFont val="Arial"/>
        <family val="2"/>
      </rPr>
      <t>Ensaio</t>
    </r>
  </si>
  <si>
    <t>Rua Zacarias Mourão</t>
  </si>
  <si>
    <r>
      <t xml:space="preserve">F.16 -  </t>
    </r>
    <r>
      <rPr>
        <b/>
        <sz val="12"/>
        <color rgb="FFFF0000"/>
        <rFont val="Arial"/>
        <family val="2"/>
      </rPr>
      <t>Ensaio</t>
    </r>
  </si>
  <si>
    <t>Rua Guilherme Vasconcelos Leal</t>
  </si>
  <si>
    <r>
      <t xml:space="preserve">F.17 -  </t>
    </r>
    <r>
      <rPr>
        <b/>
        <sz val="12"/>
        <color rgb="FFFF0000"/>
        <rFont val="Arial"/>
        <family val="2"/>
      </rPr>
      <t>Ensaio</t>
    </r>
  </si>
  <si>
    <t>Rua Violeta Mello Vieira</t>
  </si>
  <si>
    <r>
      <t xml:space="preserve">F.18 -  </t>
    </r>
    <r>
      <rPr>
        <b/>
        <sz val="12"/>
        <color rgb="FFFF0000"/>
        <rFont val="Arial"/>
        <family val="2"/>
      </rPr>
      <t>Ensaio</t>
    </r>
  </si>
  <si>
    <t>Avenida 7 - LD</t>
  </si>
  <si>
    <r>
      <t xml:space="preserve">F.19 -  </t>
    </r>
    <r>
      <rPr>
        <b/>
        <sz val="12"/>
        <color rgb="FFFF0000"/>
        <rFont val="Arial"/>
        <family val="2"/>
      </rPr>
      <t>Ensaio</t>
    </r>
  </si>
  <si>
    <t>Rua 76</t>
  </si>
  <si>
    <r>
      <t xml:space="preserve">F.20 -  </t>
    </r>
    <r>
      <rPr>
        <b/>
        <sz val="12"/>
        <color rgb="FFFF0000"/>
        <rFont val="Arial"/>
        <family val="2"/>
      </rPr>
      <t>Ensaio</t>
    </r>
  </si>
  <si>
    <t>PLANILHA DE DIMENSIONAMENTO DA ESTRUTURA DO PAVIMENTO</t>
  </si>
  <si>
    <t>Todos os ensaios</t>
  </si>
  <si>
    <t>Av. Wilson Paes de Barros (Av. Dq Caxias / Av. Alberto Mendonça Lima)</t>
  </si>
  <si>
    <t>Rua  Barranquilha (Rua Capitão Airton Rebouças / Rua Capitão Mário Pio Pereira)</t>
  </si>
  <si>
    <t>Rua Capitão Mário Pio Pereira (Av. Gal. Alberto Carlos Mendonça Lima / Rua Mamoeiro)</t>
  </si>
  <si>
    <t>Av. Gal. Alberto Carlos Mendonça Lima (Rua Cap. Airton Rebouças / Av. Wilson Paes de Barros)</t>
  </si>
  <si>
    <t>Av. Gal. Alberto Carlos Mendonça Lima (Av. Wilsom Paes de Barros / Av. Marginal Imbirussu)</t>
  </si>
  <si>
    <t>Av. Jamil Nahas (Av. Duque de Caxias / Av.  Marginal Esquerda Imbirussu)</t>
  </si>
  <si>
    <t>Av. Marginal Esquerda Imbirussu (Av. 9 / Av. Gal. Alberto Carlos Mendonça Lima)</t>
  </si>
  <si>
    <t xml:space="preserve">Rua Henfil - Jd Carioca </t>
  </si>
  <si>
    <t>Rua Rogério Cavalari - Jd Carioca</t>
  </si>
  <si>
    <t>Rua Raul Seixas (L/O) - Jd Carioca</t>
  </si>
  <si>
    <t>Rua Raul Seixas (N/S) - Jd Carioca</t>
  </si>
  <si>
    <t>Rua João Saldanha - Jd Carioca</t>
  </si>
  <si>
    <t>Avenida 3 (Av. Wilson Paes de Barros / Avenida 9</t>
  </si>
  <si>
    <t>Avenida 7 (Av. Wilson Paes de Barros / Avenida 2)</t>
  </si>
  <si>
    <t>Rua 79 (Rua 76 / Avenida 3)</t>
  </si>
  <si>
    <t>Rua 84 (Rua 76 / Avenida 3)</t>
  </si>
  <si>
    <t>CATEGORIA</t>
  </si>
  <si>
    <t>TIPO</t>
  </si>
  <si>
    <t>FUNÇÃO</t>
  </si>
  <si>
    <t>Interna</t>
  </si>
  <si>
    <t>Local</t>
  </si>
  <si>
    <t>Coletora</t>
  </si>
  <si>
    <t>Arterial</t>
  </si>
  <si>
    <t>Via de Trânsito Rápido</t>
  </si>
  <si>
    <t>PERÍODO DE PROJETO           (ano)</t>
  </si>
  <si>
    <t>Nº  "N"</t>
  </si>
  <si>
    <t>RESULTADOS DOS ENSAIOS CBR             SUBLEITO</t>
  </si>
  <si>
    <t>FURO 8</t>
  </si>
  <si>
    <t>FURO 11</t>
  </si>
  <si>
    <t>FURO 34</t>
  </si>
  <si>
    <t>FURO 35</t>
  </si>
  <si>
    <t>FURO 37</t>
  </si>
  <si>
    <t>FURO 39</t>
  </si>
  <si>
    <t>FURO 40</t>
  </si>
  <si>
    <t>FURO 41</t>
  </si>
  <si>
    <t>FURO 42</t>
  </si>
  <si>
    <t>FURO 43</t>
  </si>
  <si>
    <t>FURO 45</t>
  </si>
  <si>
    <t>FURO 67</t>
  </si>
  <si>
    <t>FURO 68</t>
  </si>
  <si>
    <t>FURO 69</t>
  </si>
  <si>
    <t>FURO 70</t>
  </si>
  <si>
    <t>FURO 72</t>
  </si>
  <si>
    <t>FURO 73</t>
  </si>
  <si>
    <t>FURO 75</t>
  </si>
  <si>
    <t>FURO 77</t>
  </si>
  <si>
    <t>FURO 78</t>
  </si>
  <si>
    <t>FURO 79</t>
  </si>
  <si>
    <t>FURO 80</t>
  </si>
  <si>
    <t>FURO 81</t>
  </si>
  <si>
    <t>DESVIO PADRÃO</t>
  </si>
  <si>
    <t>CBR CORRIGIDO (SUBLEITO)</t>
  </si>
  <si>
    <t>média p/ cálculo</t>
  </si>
  <si>
    <t>ALTURA                         EQUIVALENTE (cm)</t>
  </si>
  <si>
    <t>H 20</t>
  </si>
  <si>
    <t>Hn</t>
  </si>
  <si>
    <t>Hm</t>
  </si>
  <si>
    <t>ESTRUTURA               DO                     PAVIMENTO                        (cm)</t>
  </si>
  <si>
    <t>ESPESSURA</t>
  </si>
  <si>
    <t>k</t>
  </si>
  <si>
    <t>BEG</t>
  </si>
  <si>
    <t>CBR</t>
  </si>
  <si>
    <t>SBEG</t>
  </si>
  <si>
    <t>≥ 20</t>
  </si>
  <si>
    <t>REFORÇO DO SUBLEITO</t>
  </si>
  <si>
    <t>MATERIAL</t>
  </si>
  <si>
    <t>Subleito</t>
  </si>
  <si>
    <t>SUBLEITO</t>
  </si>
  <si>
    <t>VERIFICAÇÃO</t>
  </si>
  <si>
    <t>REVESTIMENTO + BASE</t>
  </si>
  <si>
    <t>H (R+B)</t>
  </si>
  <si>
    <t>http://www.dtt.ufpr.br/Pavimentacao/Notas/Metodo%20DNER.pdf</t>
  </si>
  <si>
    <t>VALIDAÇÃO</t>
  </si>
  <si>
    <t>REVESTIMENTO + BASE + SUB-BASE</t>
  </si>
  <si>
    <t>H (R+B+SB)</t>
  </si>
  <si>
    <t>REVESTIMENTO + BASE + SUB-BASE + REFORÇO</t>
  </si>
  <si>
    <t>temos de definir a forma de como considerar o subleito como estrutura do pavimento</t>
  </si>
  <si>
    <t>REVESTIMENTO + BASE + SUBLEITO (100%PI)</t>
  </si>
  <si>
    <t>H (R+B+SL)</t>
  </si>
  <si>
    <t>EQUAÇÃO DE CHUVA - IDF</t>
  </si>
  <si>
    <r>
      <t>I = B.Tr</t>
    </r>
    <r>
      <rPr>
        <vertAlign val="superscript"/>
        <sz val="8"/>
        <rFont val="Arial"/>
        <family val="2"/>
      </rPr>
      <t>d</t>
    </r>
    <r>
      <rPr>
        <sz val="8"/>
        <rFont val="Arial"/>
        <family val="2"/>
      </rPr>
      <t xml:space="preserve"> / (tc + c)</t>
    </r>
    <r>
      <rPr>
        <vertAlign val="superscript"/>
        <sz val="8"/>
        <rFont val="Arial"/>
        <family val="2"/>
      </rPr>
      <t>b</t>
    </r>
  </si>
  <si>
    <t>B =</t>
  </si>
  <si>
    <t>c =</t>
  </si>
  <si>
    <t>DATA:</t>
  </si>
  <si>
    <t>METALICO</t>
  </si>
  <si>
    <t>d =</t>
  </si>
  <si>
    <t>b =</t>
  </si>
  <si>
    <t>ADUELA</t>
  </si>
  <si>
    <t>Tr =</t>
  </si>
  <si>
    <t>PLANILHA DE CÁLCULO - MICRODRENAGEM - GALERIAS DE ÁGUAS PLUVIAIS</t>
  </si>
  <si>
    <r>
      <t>MATERIAL: PEAD(</t>
    </r>
    <r>
      <rPr>
        <b/>
        <sz val="8"/>
        <color rgb="FFFF0000"/>
        <rFont val="Arial"/>
        <family val="2"/>
      </rPr>
      <t>P</t>
    </r>
    <r>
      <rPr>
        <sz val="8"/>
        <rFont val="Arial"/>
        <family val="2"/>
      </rPr>
      <t>) / Concreto(</t>
    </r>
    <r>
      <rPr>
        <b/>
        <sz val="8"/>
        <color rgb="FFFF0000"/>
        <rFont val="Arial"/>
        <family val="2"/>
      </rPr>
      <t>C</t>
    </r>
    <r>
      <rPr>
        <sz val="8"/>
        <rFont val="Arial"/>
        <family val="2"/>
      </rPr>
      <t>) /Metálico(</t>
    </r>
    <r>
      <rPr>
        <b/>
        <sz val="8"/>
        <color rgb="FFFF0000"/>
        <rFont val="Arial"/>
        <family val="2"/>
      </rPr>
      <t>M</t>
    </r>
    <r>
      <rPr>
        <sz val="8"/>
        <rFont val="Arial"/>
        <family val="2"/>
      </rPr>
      <t>)</t>
    </r>
  </si>
  <si>
    <t>A PAGAR</t>
  </si>
  <si>
    <t>POÇO DE VISITA - COTAS (m)</t>
  </si>
  <si>
    <t>NÍVEL D'ÁGUA</t>
  </si>
  <si>
    <t>EXTEN.
(m)</t>
  </si>
  <si>
    <t>EXTEN. A PAGAR
(m)</t>
  </si>
  <si>
    <t>BACIA LOCAL</t>
  </si>
  <si>
    <t>ÁREA
TOTAL
(há)</t>
  </si>
  <si>
    <t>COEF.
DISTR.
(n)</t>
  </si>
  <si>
    <t>TEMPO
CONC.
(min)</t>
  </si>
  <si>
    <t>INTENS.
PLUVIOM.
(mm/h)</t>
  </si>
  <si>
    <t>COEF.
DEFL.
(f)</t>
  </si>
  <si>
    <t>DEFLÚVIO
LOCAL
(l/s)</t>
  </si>
  <si>
    <t>VAZÃO A
ESCOAR
(l/s)</t>
  </si>
  <si>
    <t>DECLIVIDADE   (%)</t>
  </si>
  <si>
    <t>SEÇÃO DA GALERIA</t>
  </si>
  <si>
    <t>ALTURA D'ÁGUA
(m)</t>
  </si>
  <si>
    <r>
      <t>VELOC.       V</t>
    </r>
    <r>
      <rPr>
        <b/>
        <sz val="8"/>
        <rFont val="Calibri"/>
        <family val="2"/>
      </rPr>
      <t>≥0,80    V≤8,00</t>
    </r>
    <r>
      <rPr>
        <b/>
        <sz val="8"/>
        <rFont val="Arial"/>
        <family val="2"/>
      </rPr>
      <t xml:space="preserve">
(m/s)</t>
    </r>
  </si>
  <si>
    <t>TEMPO DE
PERCURSO
(min)</t>
  </si>
  <si>
    <t>TRECHOS À</t>
  </si>
  <si>
    <t>COTA DE FUNDO</t>
  </si>
  <si>
    <t>TEMPO DE</t>
  </si>
  <si>
    <t>ALTURA D'ÁGUA - NORMAL</t>
  </si>
  <si>
    <t>ÁREA</t>
  </si>
  <si>
    <t>ALTURA D'ÁGUA - CRÍTICA</t>
  </si>
  <si>
    <t>ESTUDO DAS ALTURAS INTERNAS DOS PV'S / ACRÉSCIMO / ANTECÂMARA / PESCOÇO</t>
  </si>
  <si>
    <t>CHECK</t>
  </si>
  <si>
    <t>PV</t>
  </si>
  <si>
    <t>RAMAIS MONTANTE</t>
  </si>
  <si>
    <t>sugestão</t>
  </si>
  <si>
    <t>ÁREA
(há)</t>
  </si>
  <si>
    <t>RUN
OFF</t>
  </si>
  <si>
    <t>TR</t>
  </si>
  <si>
    <t>TERRENO
NATURAL</t>
  </si>
  <si>
    <t>manning P/C/M</t>
  </si>
  <si>
    <t>CIRCULAR Ø (m)</t>
  </si>
  <si>
    <t>RETANGULAR (m)</t>
  </si>
  <si>
    <t>JUSTANTE</t>
  </si>
  <si>
    <t>DE MONTANTE</t>
  </si>
  <si>
    <t>CONCENTRAÇÃO</t>
  </si>
  <si>
    <t>F1</t>
  </si>
  <si>
    <t>F2</t>
  </si>
  <si>
    <t>F3</t>
  </si>
  <si>
    <t>Ø</t>
  </si>
  <si>
    <t>G1</t>
  </si>
  <si>
    <t>G2</t>
  </si>
  <si>
    <t>G3</t>
  </si>
  <si>
    <t>PV MONTANTE (m)</t>
  </si>
  <si>
    <t>COTA DA GERATRIZ SUPERIOR GALERIA (GSG) TUBO + VERGA (m)</t>
  </si>
  <si>
    <t>ALTURA INTERNA DO PV (m)</t>
  </si>
  <si>
    <t>ALTURA DO ACRÉSCIMO (m)</t>
  </si>
  <si>
    <t>ANTE-                    CÂMARA                               (un)</t>
  </si>
  <si>
    <t>TAMPÃO FºFº + LAJES (m)</t>
  </si>
  <si>
    <t>TAMPA</t>
  </si>
  <si>
    <t>DEGRAU</t>
  </si>
  <si>
    <t>FUNDO</t>
  </si>
  <si>
    <t>PROF.</t>
  </si>
  <si>
    <t>SAÍDA</t>
  </si>
  <si>
    <t>degrau</t>
  </si>
  <si>
    <t>PROJ.</t>
  </si>
  <si>
    <r>
      <t>MÍNIMA Y/H</t>
    </r>
    <r>
      <rPr>
        <b/>
        <sz val="8"/>
        <rFont val="Calibri"/>
        <family val="2"/>
      </rPr>
      <t>≥</t>
    </r>
    <r>
      <rPr>
        <b/>
        <sz val="8"/>
        <rFont val="Arial"/>
        <family val="2"/>
      </rPr>
      <t>85%</t>
    </r>
  </si>
  <si>
    <t>ALTURA</t>
  </si>
  <si>
    <t>N.A.</t>
  </si>
  <si>
    <t>VAZÃO</t>
  </si>
  <si>
    <r>
      <t xml:space="preserve">NORMAL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85%</t>
    </r>
  </si>
  <si>
    <t>CRÍTICA</t>
  </si>
  <si>
    <t>TRECHO ID</t>
  </si>
  <si>
    <t>TERRENO</t>
  </si>
  <si>
    <t>LANCAMENTO</t>
  </si>
  <si>
    <t>hc&lt;30</t>
  </si>
  <si>
    <t>30&gt;hc&gt;85</t>
  </si>
  <si>
    <t>hc&gt;85</t>
  </si>
  <si>
    <t>C1</t>
  </si>
  <si>
    <t xml:space="preserve"> COTA TERRENO</t>
  </si>
  <si>
    <t>COTA TAMPA</t>
  </si>
  <si>
    <t>FUNDO COTA</t>
  </si>
  <si>
    <t>PROFUN.</t>
  </si>
  <si>
    <t>LOCAL LANÇAMENTO</t>
  </si>
  <si>
    <t>LOCAL SAÍDA</t>
  </si>
  <si>
    <t>MONTANTE               A</t>
  </si>
  <si>
    <t>MONTANTE               B</t>
  </si>
  <si>
    <t>MONTANTE               C</t>
  </si>
  <si>
    <t>GSG + VERGA</t>
  </si>
  <si>
    <t>PROJETO TIPO</t>
  </si>
  <si>
    <t>EXECUÇÃO</t>
  </si>
  <si>
    <t>A Pagar</t>
  </si>
  <si>
    <t>Extensão</t>
  </si>
  <si>
    <t>SIMULAÇÃO DAS OBRAS CONEXAS DA BACIA DE AMORTECIMENTO DE CHEIAS</t>
  </si>
  <si>
    <t>BACIA:</t>
  </si>
  <si>
    <t>AMORTECIMENTO 01</t>
  </si>
  <si>
    <t>1-</t>
  </si>
  <si>
    <t>HIDROLÓGICO</t>
  </si>
  <si>
    <t>a =</t>
  </si>
  <si>
    <r>
      <t>I = a.Tr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/ (tc + c)</t>
    </r>
    <r>
      <rPr>
        <vertAlign val="superscript"/>
        <sz val="8"/>
        <rFont val="Arial"/>
        <family val="2"/>
      </rPr>
      <t>d</t>
    </r>
  </si>
  <si>
    <t>Isozona:</t>
  </si>
  <si>
    <t>1.1</t>
  </si>
  <si>
    <t>Quadro dos dados dos afluentes</t>
  </si>
  <si>
    <t>Trecho</t>
  </si>
  <si>
    <t>Área (ha)</t>
  </si>
  <si>
    <t>Vazão (m³/s)</t>
  </si>
  <si>
    <t>Tempo de Percurso (min)</t>
  </si>
  <si>
    <r>
      <rPr>
        <sz val="10"/>
        <rFont val="Calibri"/>
        <family val="2"/>
      </rPr>
      <t>Δ</t>
    </r>
    <r>
      <rPr>
        <sz val="10"/>
        <rFont val="Arial"/>
        <family val="2"/>
      </rPr>
      <t xml:space="preserve"> tc</t>
    </r>
  </si>
  <si>
    <t>Cota Terreno (m)</t>
  </si>
  <si>
    <t>Cota Fundo (m)</t>
  </si>
  <si>
    <t>Profundidade (m)</t>
  </si>
  <si>
    <t>Altura d'água GAP (m)</t>
  </si>
  <si>
    <r>
      <t xml:space="preserve">N.A.  </t>
    </r>
    <r>
      <rPr>
        <sz val="8"/>
        <rFont val="Arial"/>
        <family val="2"/>
      </rPr>
      <t>Lançamento</t>
    </r>
    <r>
      <rPr>
        <sz val="10"/>
        <rFont val="Arial"/>
        <family val="2"/>
      </rPr>
      <t xml:space="preserve"> (m)</t>
    </r>
  </si>
  <si>
    <t>BACIA (m)</t>
  </si>
  <si>
    <t>C. Fundo</t>
  </si>
  <si>
    <t>Q. Saída</t>
  </si>
  <si>
    <t>Y</t>
  </si>
  <si>
    <t>Redução %</t>
  </si>
  <si>
    <t>Final</t>
  </si>
  <si>
    <t>A. Total</t>
  </si>
  <si>
    <t>2-</t>
  </si>
  <si>
    <t>DIMENSIONAMENTO DA CAPACIDADE DE ARMAZENAMENTO DO LAGO</t>
  </si>
  <si>
    <t>2.1</t>
  </si>
  <si>
    <t>Capacidade de detenção:</t>
  </si>
  <si>
    <t>J =  Qa . Tc  .  K  . 60</t>
  </si>
  <si>
    <t>K = log (1/e)</t>
  </si>
  <si>
    <t>2.2</t>
  </si>
  <si>
    <t>Área da bacia de detenção:</t>
  </si>
  <si>
    <t>L =</t>
  </si>
  <si>
    <t xml:space="preserve">C = </t>
  </si>
  <si>
    <t xml:space="preserve">Ab = </t>
  </si>
  <si>
    <t>Quadro de estudos de alternativas - Amortecimento Total</t>
  </si>
  <si>
    <t>Proposta</t>
  </si>
  <si>
    <t>II</t>
  </si>
  <si>
    <t>III</t>
  </si>
  <si>
    <t>IV</t>
  </si>
  <si>
    <t>V</t>
  </si>
  <si>
    <t>VII</t>
  </si>
  <si>
    <t>VIII</t>
  </si>
  <si>
    <t>IX</t>
  </si>
  <si>
    <t>Q saída</t>
  </si>
  <si>
    <t>e</t>
  </si>
  <si>
    <t>K</t>
  </si>
  <si>
    <t>J (m³)</t>
  </si>
  <si>
    <t>H=J/Ab</t>
  </si>
  <si>
    <t>T. detenção (min)</t>
  </si>
  <si>
    <t>2.3</t>
  </si>
  <si>
    <t>Quadro de estudos de alternativas - Amortecimento Superior</t>
  </si>
  <si>
    <t>3-</t>
  </si>
  <si>
    <t>CAPACIDADE DO VERTEDOR</t>
  </si>
  <si>
    <t>VERTEDOR DE SOLEIRA</t>
  </si>
  <si>
    <t>Capacide de extravasamento - Atlas Digital - MG:</t>
  </si>
  <si>
    <t>Altura NA sobre a crista H (m)</t>
  </si>
  <si>
    <t>Largura 1 (m)</t>
  </si>
  <si>
    <t>Largura 2 (m)</t>
  </si>
  <si>
    <t>Largura 3 (m)</t>
  </si>
  <si>
    <t>Largura 4 (m)</t>
  </si>
  <si>
    <t>Largura Total (m)</t>
  </si>
  <si>
    <t>Vazão (m3/s)</t>
  </si>
  <si>
    <r>
      <t xml:space="preserve">Q = 1,71 . L . H </t>
    </r>
    <r>
      <rPr>
        <vertAlign val="superscript"/>
        <sz val="10"/>
        <rFont val="Arial"/>
        <family val="2"/>
      </rPr>
      <t>1,5</t>
    </r>
  </si>
  <si>
    <t>VERTEDOR TIPO CAIXA / TULIPA / POÇO VERTICAL</t>
  </si>
  <si>
    <r>
      <t xml:space="preserve">Q = 1,55 . L . H </t>
    </r>
    <r>
      <rPr>
        <vertAlign val="superscript"/>
        <sz val="10"/>
        <rFont val="Arial"/>
        <family val="2"/>
      </rPr>
      <t>1,42</t>
    </r>
  </si>
  <si>
    <t>ORIFÍCIOS NA CAIXA VERTEDORA</t>
  </si>
  <si>
    <t>Capacide de extravasamento - Manual DNIT:</t>
  </si>
  <si>
    <t>Base (m)</t>
  </si>
  <si>
    <t>Altura da carga hidráulica W (m)</t>
  </si>
  <si>
    <t>Quantidade de orifícios</t>
  </si>
  <si>
    <t>Vazão unitária (m³/s)</t>
  </si>
  <si>
    <t>Vazão acumulada (m³/s)</t>
  </si>
  <si>
    <r>
      <t>Q = 2,791 . b . h . W</t>
    </r>
    <r>
      <rPr>
        <vertAlign val="superscript"/>
        <sz val="10"/>
        <rFont val="Arial"/>
        <family val="2"/>
      </rPr>
      <t>0,5</t>
    </r>
  </si>
  <si>
    <t>4-</t>
  </si>
  <si>
    <t>OBRAS DE ARTE CORRENTES - DESCARGAS DE FUNDO</t>
  </si>
  <si>
    <t>Capacide de vazão - Manual DNIT:</t>
  </si>
  <si>
    <r>
      <t>Q = 2,192 . Ø² . W</t>
    </r>
    <r>
      <rPr>
        <vertAlign val="superscript"/>
        <sz val="10"/>
        <rFont val="Arial"/>
        <family val="2"/>
      </rPr>
      <t>0,5</t>
    </r>
  </si>
  <si>
    <t>BUEIRO TUBULAR - ORIFÍCIO</t>
  </si>
  <si>
    <t>BUEIRO CELULAR - ORIFÍCIO</t>
  </si>
  <si>
    <t>Nº Linhas</t>
  </si>
  <si>
    <t>Seção (m)</t>
  </si>
  <si>
    <t>Velocidade Crítica (m/s)</t>
  </si>
  <si>
    <r>
      <t>Q = 1,533 . Ø</t>
    </r>
    <r>
      <rPr>
        <vertAlign val="superscript"/>
        <sz val="10"/>
        <rFont val="Arial"/>
        <family val="2"/>
      </rPr>
      <t>2,5</t>
    </r>
  </si>
  <si>
    <r>
      <t>Q = 1,705 . b . h</t>
    </r>
    <r>
      <rPr>
        <vertAlign val="superscript"/>
        <sz val="10"/>
        <rFont val="Arial"/>
        <family val="2"/>
      </rPr>
      <t>1,5</t>
    </r>
  </si>
  <si>
    <t>BUEIRO TUBULAR - CANAL</t>
  </si>
  <si>
    <t>BUEIRO CELULAR - CANAL</t>
  </si>
  <si>
    <t>Declividade Crítica (%)</t>
  </si>
  <si>
    <t>Bacia XX</t>
  </si>
  <si>
    <t>Quadro de estudos de alternativas</t>
  </si>
  <si>
    <t>Capacidade de extravasamento - Atlas Digital - MG:</t>
  </si>
  <si>
    <t>Capacidade de extravasamento - Manual DNIT:</t>
  </si>
  <si>
    <t>Capacidade de vazão - Manual DNIT:</t>
  </si>
  <si>
    <t>PREFEITURA MUNICIPAL DE RIBAS DO RIO PARDO</t>
  </si>
  <si>
    <t>ESTADO DE MATO GROSSO DO SUL</t>
  </si>
  <si>
    <t>RESTAURAÇÃO FUNCIONAL DO PAVIMENTO</t>
  </si>
  <si>
    <t>VÁRIAS RUAS</t>
  </si>
  <si>
    <t>RIBAS DO RIO PARDO / MS</t>
  </si>
  <si>
    <t/>
  </si>
  <si>
    <t xml:space="preserve"> | 10 | </t>
  </si>
  <si>
    <t>ISOZONA 18</t>
  </si>
  <si>
    <t>ok</t>
  </si>
  <si>
    <t>NÃO</t>
  </si>
  <si>
    <t>INFRAESTRUTURA URBANA</t>
  </si>
  <si>
    <t>MS_064 - RIBAS DO RIO PARDO</t>
  </si>
  <si>
    <t>INFRAESTRUTURA URBANA - SEM DESONERAÇÃO</t>
  </si>
  <si>
    <t>INFRAESTRUTURA URBANA - COM DESONERAÇÃO</t>
  </si>
  <si>
    <t>Recomposição manual de concreto betuminoso usinado a quente (CBUQ) para fechamento de vala e remendo. Incluso material CBUQ padrao DNIT, faixa C, com cap 30/45  (Aquisicao Posto Usina) e compactação com rolo compactador vibratório tandem. Exclusive demolição e transporte de material. (REF SINAPI CÓD. 102098, db 01/2024)</t>
  </si>
  <si>
    <t>Remendo profundo, com requadramento mecânico, escavação, compactação do material de base e da mistura betuminosa e carga do entulho. Exclusive materiais e bota-fora (REF. SICRO COD. 4915746, DB 01/2024)</t>
  </si>
  <si>
    <t>Imprimação da base, execução e fornecimento de emulsão asfáltica EAI (REF. SINAPI COD. 102470)</t>
  </si>
  <si>
    <t>TRANSPORTE COM CAMINHÃO BASCULANTE DE 14 M³, EM VIA URBANA PAVIMENTADA, ADICIONAL PARA DMT EXCEDENTE A 30 KM (UNIDADE: TXKM). AF_07/2020</t>
  </si>
  <si>
    <t>TXKM</t>
  </si>
  <si>
    <t>TRANSPORTE COM CAMINHÃO BASCULANTE DE 14 M³, EM VIA URBANA PAVIMENTADA, DMT ATÉ 30 KM (UNIDADE: TXKM). AF_07/2020</t>
  </si>
  <si>
    <t>Remendo superfcial (tapa buraco), com requadramento mecânico, escavação, compactação da mistura betuminosa e carga do entulho. Exclusive mistura betuminosa e emulsão asfaltica, carga e bota-fora (REF. SICRO COD. 4915757, db 10/2023)</t>
  </si>
  <si>
    <t>TRANSPORTE COM CAMINHÃO BASCULANTE DE 14 M³, EM VIA URBANA PAVIMENTADA, DMT ATÉ 30 KM (UNIDADE: M3XKM). AF_07/2020</t>
  </si>
  <si>
    <t>M3XKM</t>
  </si>
  <si>
    <t>Pintura de ligação, execução e fornecimento de emulsão asfáltica RR-1C (ref SINAPI cód 104375, db 09/2022)</t>
  </si>
  <si>
    <t>Aluguel de banheiro quimico - Modelo luxo, iincluindo transporte de ida e volta, manutenção e higienização 3 vezes por semana. Dimensões (2,31 x 1,15 x 1,15)m</t>
  </si>
  <si>
    <t>un.mês</t>
  </si>
  <si>
    <t>MES</t>
  </si>
  <si>
    <t>Portão para veículos em tela arame galvanizado n.12 malha 2" e moldura em tubos de aco com duas folhas de abrir, incluso ferragens (REF. SINAPI COD. 74238/2 - Descontinuado)</t>
  </si>
  <si>
    <t>Placa de identificação de obra pública, inclusive pintura e adesivos, estrutura e suporte de madeira. Incluso fornecimento de material e instalação. Ref SINAPI, CÓD 74209/001, DB 01/2020</t>
  </si>
  <si>
    <t>TRANSPORTE COM CAMINHÃO BASCULANTE DE 14 M³, EM VIA URBANA PAVIMENTADA, ADICIONAL PARA DMT EXCEDENTE A 30 KM (UNIDADE: M3XKM). AF_07/2020</t>
  </si>
  <si>
    <t>TRANSPORTE COM CAMINHÃO TANQUE DE TRANSPORTE DE MATERIAL ASFÁLTICO DE 20000 L, EM VIA URBANA PAVIMENTADA, ADICIONAL PARA DMT EXCEDENTE A 30 KM (UNIDADE: TXKM). AF_07/2020</t>
  </si>
  <si>
    <t>TRANSPORTE COM CAMINHÃO TANQUE DE TRANSPORTE DE MATERIAL ASFÁLTICO DE 20000 L, EM VIA URBANA PAVIMENTADA, DMT ATÉ 30KM (UNIDADE: TXKM). AF_07/2020</t>
  </si>
  <si>
    <t>CAMINHONETE CABINE SIMPLES COM MOTOR 1.6 FLEX, CÂMBIO MANUAL, POTÊNCIA 101/104 CV, 2 PORTAS (SEM MOTORISTA) (116,49h CPI + 66h CHP)(REF. SINAPI COD. 92145 E 92146)</t>
  </si>
  <si>
    <t>PRÓPRIO</t>
  </si>
  <si>
    <t>UN.MÊS</t>
  </si>
  <si>
    <t>CAMINHONETE COM MOTOR A DIESEL, POTÊNCIA 180 CV, CABINE DUPLA, 4X4  (SEM MOTORISTA) (116,49h CPI + 66h CHP)(REF. SINAPI COD. 92138 E 92139)</t>
  </si>
  <si>
    <t>VAN - 93 KW (COM MOTORISTA) (116,49h CPI + 66h CHP). CAPACIDADE DE 10 PESSOAS (REF. SICRO COD. E9125)</t>
  </si>
  <si>
    <t>Topografia</t>
  </si>
  <si>
    <t>DNIT</t>
  </si>
  <si>
    <t>Laboratório de solos</t>
  </si>
  <si>
    <t>93567</t>
  </si>
  <si>
    <t>ENGENHEIRO CIVIL DE OBRA PLENO COM ENCARGOS COMPLEMENTARES</t>
  </si>
  <si>
    <t>93565</t>
  </si>
  <si>
    <t>ENGENHEIRO CIVIL DE OBRA JUNIOR COM ENCARGOS COMPLEMENTARES</t>
  </si>
  <si>
    <t>93563</t>
  </si>
  <si>
    <t>ALMOXARIFE COM ENCARGOS COMPLEMENTARES</t>
  </si>
  <si>
    <t>93564</t>
  </si>
  <si>
    <t>APONTADOR OU APROPRIADOR COM ENCARGOS COMPLEMENTARES</t>
  </si>
  <si>
    <t>94295</t>
  </si>
  <si>
    <t>MESTRE DE OBRAS COM ENCARGOS COMPLEMENTARES</t>
  </si>
  <si>
    <t>100321</t>
  </si>
  <si>
    <t>TÉCNICO EM SEGURANÇA DO TRABALHO COM ENCARGOS COMPLEMENTARES</t>
  </si>
  <si>
    <t>94296</t>
  </si>
  <si>
    <t>TOPOGRAFO COM ENCARGOS COMPLEMENTARES</t>
  </si>
  <si>
    <t>101456</t>
  </si>
  <si>
    <t>TÉCNICO DE LABORATÓRIO E CAMPO DE CONSTRUÇÃO COM ENCARGOS COMPLEMENTARES</t>
  </si>
  <si>
    <t>101389</t>
  </si>
  <si>
    <t>AUXILIAR DE TOPÓGRAFO COM ENCARGOS COMPLEMENTARES</t>
  </si>
  <si>
    <t>101385</t>
  </si>
  <si>
    <t>AUXILIAR DE LABORATORISTA DE SOLOS E DE CONCRETO COM ENCARGOS COMPLEMENTARES</t>
  </si>
  <si>
    <t>101460</t>
  </si>
  <si>
    <t>VIGIA DIURNO COM ENCARGOS COMPLEMENTARES</t>
  </si>
  <si>
    <t>CUSTO DIRETO TOTAL PARA 12 MESES DE OBRA:</t>
  </si>
  <si>
    <t>SINAPI-I</t>
  </si>
  <si>
    <t>SCO RIO</t>
  </si>
  <si>
    <t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t>
  </si>
  <si>
    <t>Sinalização noturna com tela tapume pvc, balde plástico fiação e lâmpada, reutilização 7 vezes. REF ORSE 5156, DB 05/2023</t>
  </si>
  <si>
    <t>Segurança de trânsito - isolamento de obra com tela cerquite plática laranja. Referência normativa ABNT NBR 7678 Segurança na execução de obras e serviços de construção  e  NB-26 - Sinalização De Segurança CONTRAN (Manual De Noções De Normas De Trânsito). REF ORSE CÓD. 5158, DB 05/2023</t>
  </si>
  <si>
    <t>CONE DE SINALIZACAO EM PVC RIGIDO COM FAIXA REFLETIVA, H = 70 / 76 CM</t>
  </si>
  <si>
    <t>TAPUME COM COMPENSADO DE MADEIRA. AF_03/2024</t>
  </si>
  <si>
    <t>Sondagem de investigação de interferências subterrâneas, incluindo escavações mecânica e manual e reaterro</t>
  </si>
  <si>
    <t>Reparo em ramal de ligação predial de água</t>
  </si>
  <si>
    <t>REGULARIZAÇÃO DE SUPERFÍCIES COM MOTONIVELADORA. AF_11/2019</t>
  </si>
  <si>
    <t>Demolição de concreto simples, de forma manual, sem reaproveitamento (REF. SICRO COD. 1600436)</t>
  </si>
  <si>
    <t>Demolição de concreto simples, de forma mecanizada, sem reaproveitamento (REF. SICRO COD. 1600989, db 01-2023)</t>
  </si>
  <si>
    <t>Demolição de concreto armado, de forma manual, sem reaproveitamento (REF. SICRO COD. 1600438)</t>
  </si>
  <si>
    <t>Demolição mecânica de concreto armado com escavadeira hidráulica, sem reaproveitamento (REF. SICRO COD. 1619003, db 07-2023)</t>
  </si>
  <si>
    <t>DEMOLIÇÃO DE ALVENARIA DE TIJOLO MACIÇO, DE FORMA MANUAL, SEM REAPROVEITAMENTO. AF_09/2023</t>
  </si>
  <si>
    <t>Demolição de alvenaria de pedra, de forma manual, com reaproveitamento</t>
  </si>
  <si>
    <t>Demolição de piso em ladrilho, de forma mecanizada, sem reaproveitamento (REF. SINAPI COD. 97634)</t>
  </si>
  <si>
    <t>DEMOLIÇÃO PARCIAL DE PAVIMENTO ASFÁLTICO, DE FORMA MECANIZADA, SEM REAPROVEITAMENTO. AF_09/2023</t>
  </si>
  <si>
    <t>Remoção de piso em bloco de concreto, de forma mecanizada, sem reaproveitamento</t>
  </si>
  <si>
    <t>Recorte mecânico de pavimento asfáltico ou piso de concreto, com serra de disco diamantado para piso/asfalto. REF SICRO 4011537, DB 07-2023</t>
  </si>
  <si>
    <t>Demolição de boca de lobo, incluindo carga e bota-fora do entulho e reaterro da cava</t>
  </si>
  <si>
    <t>Demolição de poço de visita, inclusive carga e bota-fora do entulho</t>
  </si>
  <si>
    <t>Remoção de alambrado com tela de arame galvanizado (inclusive mureta em concreto). (REF SINAPI CÓD 98522, DB 11-2022)</t>
  </si>
  <si>
    <t>REMOÇÃO DE RAÍZES REMANESCENTES DE TRONCO DE ÁRVORE COM DIÂMETRO MAIOR OU IGUAL A 0,20 M E MENOR QUE 0,40 M. AF_03/2024</t>
  </si>
  <si>
    <t>REMOÇÃO DE RAÍZES REMANESCENTES DE TRONCO DE ÁRVORE COM DIÂMETRO MAIOR OU IGUAL A 0,40 M E MENOR QUE 0,60 M. AF_03/2024</t>
  </si>
  <si>
    <t>REMOÇÃO DE RAÍZES REMANESCENTES DE TRONCO DE ÁRVORE COM DIÂMETRO MAIOR OU IGUAL A 0,60 M. AF_03/2024</t>
  </si>
  <si>
    <t>CORTE RASO E RECORTE DE ÁRVORE COM DIÂMETRO DE TRONCO MAIOR OU IGUAL A 0,20 M E MENOR QUE 0,40 M. AF_03/2024</t>
  </si>
  <si>
    <t>CORTE RASO E RECORTE DE ÁRVORE COM DIÂMETRO DE TRONCO MAIOR OU IGUAL A 0,40 M E MENOR QUE 0,60 M. AF_03/2024</t>
  </si>
  <si>
    <t>CORTE RASO E RECORTE DE ÁRVORE COM DIÂMETRO DE TRONCO MAIOR OU IGUAL A 0,60 M. AF_03/2024</t>
  </si>
  <si>
    <t>PODA EM ALTURA DE ÁRVORE COM DIÂMETRO DE TRONCO MENOR QUE 0,20 M. AF_03/2024</t>
  </si>
  <si>
    <t>PODA EM ALTURA DE ÁRVORE COM DIÂMETRO DE TRONCO MAIOR OU IGUAL A 0,20 M E MENOR QUE 0,40 M. AF_03/2024</t>
  </si>
  <si>
    <t>PODA EM ALTURA DE ÁRVORE COM DIÂMETRO DE TRONCO MAIOR OU IGUAL A 0,40 M E MENOR QUE 0,60 M. AF_03/2024</t>
  </si>
  <si>
    <t>PODA EM ALTURA DE ÁRVORE COM DIÂMETRO DE TRONCO MAIOR OU IGUAL A 0,60 M. AF_03/2024</t>
  </si>
  <si>
    <t>CARGA, MANOBRA E DESCARGA DE ENTULHO EM CAMINHÃO BASCULANTE 14 M³ - CARGA COM ESCAVADEIRA HIDRÁULICA  (CAÇAMBA DE 0,80 M³ / 111 HP) E DESCARGA LIVRE (UNIDADE: M3). AF_07/2020</t>
  </si>
  <si>
    <t>Carga, manobra e descarga de materiais diversos em caminhão carroceria - carga e descaga manuais (REF. SICRO COD. 5915474)</t>
  </si>
  <si>
    <t>T</t>
  </si>
  <si>
    <t>TRANSPORTE COM CAMINHÃO CARROCERIA 9T, EM VIA URBANA PAVIMENTADA, ADICIONAL PARA DMT EXCEDENTE A 30 KM (UNIDADE: TXKM). AF_07/2020</t>
  </si>
  <si>
    <t>Esgotamento de água com bomba submersa (REF. SICRO COD. 2003864, DB 07-2023)</t>
  </si>
  <si>
    <t>H</t>
  </si>
  <si>
    <t>Arrancamento e remoção de canalização, Ø ≤ 60 cm. Exclusive bota-fora</t>
  </si>
  <si>
    <t>Arrancamento e remoção de canalização, Ø &gt; 60 cm. Exclusive bota-fora</t>
  </si>
  <si>
    <t>ESCAVAÇÃO MECANIZADA DE VALA COM PROF. ATÉ 1,5 M (MÉDIA MONTANTE E JUSANTE/UMA COMPOSIÇÃO POR TRECHO), RETROESCAV. (0,26 M3), LARG. MENOR QUE 0,8 M, EM SOLO DE 1A CATEGORIA, EM LOCAIS COM ALTO NÍVEL DE INTERFERÊNCIA. AF_02/2021</t>
  </si>
  <si>
    <t>ESCAVAÇÃO MECANIZADA DE VALA COM PROF. ATÉ 1,5 M (MÉDIA MONTANTE E JUSANTE/UMA COMPOSIÇÃO POR TRECHO), RETROESCAV. (0,26 M3), LARG. DE 0,8 M A 1,5 M, EM SOLO DE 1A CATEGORIA, EM LOCAIS COM ALTO NÍVEL DE INTERFERÊNCIA. AF_02/2021</t>
  </si>
  <si>
    <t>ESCAVAÇÃO MECANIZADA DE VALA COM PROF. ATÉ 1,5 M (MÉDIA MONTANTE E JUSANTE/UMA COMPOSIÇÃO POR TRECHO), ESCAVADEIRA (0,8 M3), LARG. DE 1,5 M A 2,5 M, EM SOLO DE 1A CATEGORIA, EM LOCAIS COM ALTO NÍVEL DE INTERFERÊNCIA. AF_02/2021</t>
  </si>
  <si>
    <t>ESCAVAÇÃO MECANIZADA DE VALA COM PROF. MAIOR QUE 1,5 M ATÉ 3,0 M (MÉDIA MONTANTE E JUSANTE/UMA COMPOSIÇÃO POR TRECHO), RETROESCAV. (0,26 M3), LARG. MENOR QUE 0,8 M, EM SOLO DE 1A CATEGORIA, EM LOCAIS COM ALTO NÍVEL DE INTERFERÊNCIA. AF_02/2021</t>
  </si>
  <si>
    <t>ESCAVAÇÃO MECANIZADA DE VALA COM PROF. MAIOR QUE 1,5 M ATÉ 3,0 M (MÉDIA MONTANTE E JUSANTE/UMA COMPOSIÇÃO POR TRECHO), RETROESCAV. (0,26 M3), LARGURA DE 0,8 M A 1,5 M, EM SOLO DE 1A CATEGORIA, EM LOCAIS COM ALTO NÍVEL DE INTERFERÊNCIA. AF_02/2021</t>
  </si>
  <si>
    <t>ESCAVAÇÃO MECANIZADA DE VALA COM PROF. MAIOR QUE 1,50 M ATÉ 3,0 M (MÉDIA MONTANTE E JUSANTE/UMA COMPOSIÇÃO POR TRECHO), ESCAVADEIRA (1,2 M3), LARG. DE 1,5 M A 2,5 M, EM SOLO DE 1A CATEGORIA, EM LOCAIS COM ALTO NÍVEL DE INTERFERÊNCIA. AF_02/2021</t>
  </si>
  <si>
    <t>ESCAVAÇÃO MECANIZADA DE VALA COM PROF. MAIOR QUE 3,0 M ATÉ 4,5 M(MÉDIA MONTANTE E JUSANTE/UMA COMPOSIÇÃO POR TRECHO), ESCAVADEIRA (0,8 M3), LARG. MENOR QUE 1,5 M, EM SOLO DE 1A CATEGORIA, EM LOCAIS COM ALTO NÍVEL DE INTERFERÊNCIA. AF_02/2021</t>
  </si>
  <si>
    <t>ESCAVAÇÃO MECANIZADA DE VALA COM PROF. DE 3,0 M ATÉ 4,5 M(MÉDIA MONTANTE E JUSANTE/UMA COMPOSIÇÃO POR TRECHO), ESCAVADEIRA (1,2 M3), LARG. DE 1,5 M A 2,5 M, EM SOLO DE 1A CATEGORIA, EM LOCAIS COM ALTO NÍVEL DE INTERFERÊNCIA. AF_02/2021</t>
  </si>
  <si>
    <t>ESCAVAÇÃO MECANIZADA DE VALA COM PROF. MAIOR QUE  4,5 M ATÉ 6,0 M (MÉDIA MONTANTE E JUSANTE/UMA COMPOSIÇÃO POR TRECHO), ESCAVADEIRA (0,8 M3), LARG. MENOR QUE 1,5 M, EM SOLO DE 1A CATEGORIA, EM LOCAIS COM ALTO NÍVEL DE INTERFERÊNCIA. AF_02/2021</t>
  </si>
  <si>
    <t>ESCAVAÇÃO MECANIZADA DE VALA COM PROF. MAIOR QUE 4,5 M ATÉ 6,0 M(MÉDIA MONTANTE E JUSANTE/UMA COMPOSIÇÃO POR TRECHO), ESCAVADEIRA (1,2 M3), LARG. DE 1,5 M A 2,5 M, EM SOLO DE 1A CATEGORIA, EM LOCAIS COM ALTO NÍVEL DE INTERFERÊNCIA. AF_02/2021</t>
  </si>
  <si>
    <t>ESCAVAÇÃO MECANIZADA DE VALA COM PROFUNDIDADE ATÉ 1,5 M (MÉDIA MONTANTE E JUSANTE/UMA COMPOSIÇÃO POR TRECHO), RETROESCAV. (0,26 M3), LARGURA MENOR QUE 0,8 M, EM SOLO DE 1A CATEGORIA, LOCAIS COM BAIXO NÍVEL DE INTERFERÊNCIA. AF_02/2021</t>
  </si>
  <si>
    <t>ESCAVAÇÃO MECANIZADA DE VALA COM PROFUNDIDADE ATÉ 1,5 M (MÉDIA MONTANTE E JUSANTE/UMA COMPOSIÇÃO POR TRECHO), RETROESCAV. (0,26 M3), LARGURA DE 0,8 M A 1,5 M, EM SOLO DE 1A CATEGORIA, LOCAIS COM BAIXO NÍVEL DE INTERFERÊNCIA. AF_02/2021</t>
  </si>
  <si>
    <t>ESCAVAÇÃO MECANIZADA DE VALA COM PROF. ATÉ 1,5 M (MÉDIA MONTANTE E JUSANTE/UMA COMPOSIÇÃO POR TRECHO), ESCAVADEIRA (0,8 M3), LARG. DE 1,5 M A 2,5 M, EM SOLO DE 1A CATEGORIA, LOCAIS COM BAIXO NÍVEL DE INTERFERÊNCIA. AF_02/2021</t>
  </si>
  <si>
    <t>ESCAVAÇÃO MECANIZADA DE VALA COM PROFUNDIDADE MAIOR QUE 1,5 M ATÉ 3,0 M (MÉDIA MONTANTE E JUSANTE/UMA COMPOSIÇÃO POR TRECHO), RETROESCAV. (0,26 M3), LARGURA MENOR QUE 0,8 M, EM SOLO DE 1A CATEGORIA, LOCAIS COM BAIXO NÍVEL DE INTERFERÊNCIA. AF_02/2021</t>
  </si>
  <si>
    <t>ESCAVAÇÃO MECANIZADA DE VALA COM PROFUNDIDADE MAIOR QUE 1,5 M ATÉ 3,0 M (MÉDIA MONTANTE E JUSANTE/UMA COMPOSIÇÃO POR TRECHO), RETROESCAV (0,26 M3), LARGURA DE 0,8 M A 1,5 M, EM SOLO DE 1A CATEGORIA, LOCAIS COM BAIXO NÍVEL DE INTERFERÊNCIA. AF_02/2021</t>
  </si>
  <si>
    <t>ESCAVAÇÃO MECANIZADA DE VALA COM PROF. MAIOR QUE 1,5 M ATÉ 3,0 M (MÉDIA MONTANTE E JUSANTE/UMA COMPOSIÇÃO POR TRECHO),COM ESCAVADEIRA (1,2 M3),LARG. DE 1,5 M A 2,5 M, EM SOLO DE 1A CATEGORIA, LOCAIS COM BAIXO NÍVEL DE INTERFERÊNCIA. AF_02/2021</t>
  </si>
  <si>
    <t>ESCAVAÇÃO MECANIZADA DE VALA COM PROF. MAIOR QUE 3,0 M ATÉ 4,5 M (MÉDIA MONTANTE E JUSANTE/UMA COMPOSIÇÃO POR TRECHO), ESCAVADEIRA (0,8 M3), LARG. MENOR QUE 1,5 M, EM SOLO DE 1A CATEGORIA, LOCAIS COM BAIXO NÍVEL DE INTERFERÊNCIA. AF_02/2021</t>
  </si>
  <si>
    <t>ESCAVAÇÃO MECANIZADA DE VALA COM PROF. MAIOR QUE 3,0 M ATÉ 4,5 M (MÉDIA MONTANTE E JUSANTE/UMA COMPOSIÇÃO POR TRECHO), ESCAVADEIRA (1,2 M3), LARG. DE 1,5 M A 2,5 M, EM SOLO DE 1A CATEGORIA, LOCAIS COM BAIXO NÍVEL DE INTERFERÊNCIA. AF_02/2021</t>
  </si>
  <si>
    <t>ESCAVAÇÃO MECANIZADA DE VALA COM PROF. MAIOR QUE 4,5 M ATÉ 6,0 M (MÉDIA MONTANTE E JUSANTE/UMA COMPOSIÇÃO POR TRECHO),COM ESCAVADEIRA (0,8 M3), LARG. MENOR QUE 1,5 M, EM SOLO DE 1A CATEGORIA, LOCAIS COM BAIXO NÍVEL DE INTERFERÊNCIA. AF_02/2021</t>
  </si>
  <si>
    <t>ESCAVAÇÃO MECANIZADA DE VALA COM PROF. MAIOR QUE 4,5 M ATÉ 6,0 M (MÉDIA MONTANTE E JUSANTE/UMA COMPOSIÇÃO POR TRECHO), ESCAVADEIRA (1,2 M3), LARG. DE 1,5 M A 2,5 M, EM SOLO DE 1A CATEGORIA, LOCAIS COM BAIXO NÍVEL DE INTERFERÊNCIA. AF_02/2021</t>
  </si>
  <si>
    <t>ESCAVAÇÃO MANUAL DE VALA COM PROFUNDIDADE MENOR OU IGUAL A 1,30 M. AF_02/2021</t>
  </si>
  <si>
    <t>Escavação de vala em rocha - 3a categoria, com uso de explosivos e perfuração mecânica, em locais com alto nível de interferência. Inclusive carga</t>
  </si>
  <si>
    <t>ESCORAMENTO DE VALA, TIPO PONTALETEAMENTO, COM PROFUNDIDADE DE 0 A 1,5 M, LARGURA MENOR QUE 1,5 M. AF_08/2020</t>
  </si>
  <si>
    <t>ESCORAMENTO DE VALA, TIPO PONTALETEAMENTO, COM PROFUNDIDADE DE 0 A 1,5 M, LARGURA MAIOR OU IGUAL A 1,5 M E MENOR QUE 2,5 M. AF_08/2020</t>
  </si>
  <si>
    <t>ESCORAMENTO DE VALA, TIPO PONTALETEAMENTO, COM PROFUNDIDADE DE 1,5 A 3,0 M, LARGURA MENOR QUE 1,5 M. AF_08/2020</t>
  </si>
  <si>
    <t>ESCORAMENTO DE VALA, TIPO PONTALETEAMENTO, COM PROFUNDIDADE DE 1,5 A 3,0 M, LARGURA MAIOR OU IGUAL A 1,5 M E MENOR QUE 2,5 M. AF_08/2020</t>
  </si>
  <si>
    <t>ESCORAMENTO DE VALA, TIPO DESCONTÍNUO, COM PROFUNDIDADE DE 1,5 M A 3,0 M, LARGURA MENOR QUE 1,5 M. AF_08/2020</t>
  </si>
  <si>
    <t>ESCORAMENTO DE VALA, TIPO DESCONTÍNUO, COM PROFUNDIDADE DE 1,5 A 3,0 M, LARGURA MAIOR OU IGUAL A 1,5 M E MENOR QUE 2,5 M. AF_08/2020</t>
  </si>
  <si>
    <t>ESCORAMENTO DE VALA, TIPO CONTÍNUO, COM PROFUNDIDADE DE 3,0 A 4,5 M, LARGURA MENOR QUE 1,5 M. AF_08/2020</t>
  </si>
  <si>
    <t>ESCORAMENTO DE VALA, TIPO CONTÍNUO, COM PROFUNDIDADE DE 3,0 A 4,5 M, LARGURA MAIOR OU IGUAL A 1,5 E MENOR QUE 2,5 M. AF_08/2020</t>
  </si>
  <si>
    <t>ESCORAMENTO DE VALA, TIPO BLINDAGEM, COM PROFUNDIDADE DE 1,5 A 3,0 M, LARGURA MAIOR OU IGUAL A 1,5 M E MENOR QUE 2,5 M - EXECUÇÃO E FORNECIMENTO, INCLUI MATERIAL. REF SINAPI 101597 CT 03.ESCO.VALA.040/01. DB 02-2024</t>
  </si>
  <si>
    <t>ESCORAMENTO DE VALA, TIPO BLINDAGEM, COM PROFUNDIDADE DE 3,0 A 4,5 M, LARGURA MAIOR OU IGUAL A 1,5 M E MENOR QUE 2,5 M - EXECUÇÃO E FORNECIMENTO, INCLUI MATERIAL. REF SINAPI 101599, CT 03.ESCO.VALA.042/01</t>
  </si>
  <si>
    <t>PREPARO DE FUNDO DE VALA COM LARGURA MENOR QUE 1,5 M (ACERTO DO SOLO NATURAL). AF_08/2020</t>
  </si>
  <si>
    <t>PREPARO DE FUNDO DE VALA COM LARGURA MAIOR OU IGUAL A 1,5 M E MENOR QUE 2,5 M (ACERTO DO SOLO NATURAL). AF_08/2020</t>
  </si>
  <si>
    <t>PREPARO DE FUNDO DE VALA COM LARGURA MENOR QUE 1,5 M, COM CAMADA DE BRITA, LANÇAMENTO MECANIZADO. AF_08/2020</t>
  </si>
  <si>
    <t>PREPARO DE FUNDO DE VALA COM LARGURA MAIOR OU IGUAL A 1,5 M E MENOR QUE 2,5 M, COM CAMADA DE BRITA, LANÇAMENTO MECANIZADO. AF_08/2020</t>
  </si>
  <si>
    <t>PREPARO DE FUNDO DE VALA COM LARGURA MENOR QUE 1,5 M, COM CAMADA DE AREIA, LANÇAMENTO MECANIZADO. AF_08/2020</t>
  </si>
  <si>
    <t>PREPARO DE FUNDO DE VALA COM LARGURA MAIOR OU IGUAL A 1,5 M E MENOR QUE 2,5 M, COM CAMADA DE AREIA, LANÇAMENTO MECANIZADO. AF_08/2020</t>
  </si>
  <si>
    <t>LASTRO DE CONCRETO MAGRO, APLICADO EM BLOCOS DE COROAMENTO OU SAPATAS. AF_01/2024</t>
  </si>
  <si>
    <t>Lastro ou enrocamento de pedra-de-mão ou rachão lançado, fornecimento e apiloamento. Exclusive transporte, ref SINAPI 73697, data 01/2020 e SINAPI 92744.</t>
  </si>
  <si>
    <t>REATERRO MECANIZADO DE VALA COM RETROESCAVADEIRA (CAPACIDADE   DA   CAÇAMBA   DA RETRO: 0,26 M³/POTÊNCIA: 88 HP), LARGURA ATÉ 0,8 M, PROFUNDIDADE ATÉ 1,5 M, COM SOLO (SEM SUBSTITUIÇÃO) DE 1ª CATEGORIA, COM PLACA VIBRATÓRIA. AF_08/2023</t>
  </si>
  <si>
    <t>REATERRO MECANIZADO DE VALA COM RETROESCAVADEIRA (CAPACIDADE   DA   CAÇAMBA   DA RETRO: 0,26 M³/POTÊNCIA: 88 HP), LARGURA DE 0,8 A 1,5 M, PROFUNDIDADE ATÉ 1,5 M, COM SOLO (SEM SUBSTITUIÇÃO) DE 1ª CATEGORIA, COM PLACA VIBRATÓRIA. AF_08/2023</t>
  </si>
  <si>
    <t>REATERRO MECANIZADO DE VALA COM ESCAVADEIRA HIDRÁULICA (CAPACIDADE DA CAÇAMBA: 0,8 M³/POTÊNCIA: 111 HP), LARGURA DE 1,5 A 2,5 M, PROFUNDIDADE ATÉ 1,5 M, COM SOLO (SEM SUBSTITUIÇÃO) DE 1ª CATEGORIA, COM PLACA VIBRATÓRIA. AF_08/2023</t>
  </si>
  <si>
    <t>REATERRO MECANIZADO DE VALA COM RETROESCAVADEIRA (CAPACIDADE   DA   CAÇAMBA   DA RETRO: 0,26 M³/POTÊNCIA: 88 HP), LARGURA ATÉ 0,8 M, PROFUNDIDADE DE 1,5 A 3,0 M, COM SOLO (SEM SUBSTITUIÇÃO) DE 1ª CATEGORIA, COM PLACA VIBRATÓRIA. AF_08/2023</t>
  </si>
  <si>
    <t>REATERRO MECANIZADO DE VALA COM RETROESCAVADEIRA (CAPACIDADE   DA   CAÇAMBA   DA RETRO: 0,26 M³/POTÊNCIA: 88 HP), LARGURA DE 0,8 A 1,5 M, PROFUNDIDADE DE 1,5 A 3,0 M, COM SOLO (SEM SUBSTITUIÇÃO) DE 1ª CATEGORIA, COM PLACA VIBRATÓRIA. AF_08/2023</t>
  </si>
  <si>
    <t>REATERRO MECANIZADO DE VALA COM ESCAVADEIRA HIDRÁULICA (CAPACIDADE DA CAÇAMBA: 0,8 M³/POTÊNCIA: 111 HP), LARGURA DE 1,5 A 2,5 M, PROFUNDIDADE DE 1,5 A 3,0 M, COM SOLO (SEM SUBSTITUIÇÃO) DE 1ª CATEGORIA, COM PLACA VIBRATÓRIA. AF_08/2023</t>
  </si>
  <si>
    <t>REATERRO MECANIZADO DE VALA COM ESCAVADEIRA HIDRÁULICA (CAPACIDADE DA CAÇAMBA: 0,8 M³/POTÊNCIA: 111 HP), LARGURA ATÉ 1,5 M, PROFUNDIDADE DE 3,0 A 6,0 M, COM SOLO (SEM SUBSTITUIÇÃO) DE 1ª CATEGORIA, COM PLACA VIBRATÓRIA. AF_08/2023</t>
  </si>
  <si>
    <t>REATERRO MECANIZADO DE VALA COM ESCAVADEIRA HIDRÁULICA (CAPACIDADE DA CAÇAMBA: 0,8 M³/POTÊNCIA: 111 HP), LARGURA DE 1,5 A 2,5 M, PROFUNDIDADE DE 3,0 A 6,0 M, COM SOLO (SEM SUBSTITUIÇÃO) DE 1ª CATEGORIA, COM PLACA VIBRATÓRIA. AF_08/2023</t>
  </si>
  <si>
    <t>REATERRO MECANIZADO DE VALA COM RETROESCAVADEIRA (CAPACIDADE DA CAÇAMBA   DA RETRO: 0,26 M³/POTÊNCIA: 88 HP), LARGURA ATÉ 0,8 M, PROFUNDIDADE ATÉ 1,5 M, COM SOLO (SEM SUBSTITUIÇÃO) DE 1ª CATEGORIA, COM COMPACTADOR DE SOLOS DE PERCUSSÃO. AF_08/2023</t>
  </si>
  <si>
    <t>REATERRO MECANIZADO DE VALA COM RETROESCAVADEIRA (CAPACIDADE DA CAÇAMBA   DA RETRO: 0,26 M³/POTÊNCIA: 88 HP), LARGURA 0,8 A 1,5 M, PROFUNDIDADE ATÉ 1,5 M, COM SOLO (SEM SUBSTITUIÇÃO) DE 1ª CATEGORIA, COM COMPACTADOR DE SOLOS DE PERCUSSÃO AF_08/2023</t>
  </si>
  <si>
    <t>REATERRO MECANIZADO DE VALA COM ESCAVADEIRA HIDRÁULICA (CAPACIDADE DA CAÇAMBA: 0,8 M³/POTÊNCIA: 111 HP), LARGURA DE 1,5 A 2,5 M, PROFUNDIDADE ATÉ 1,5 M, COM SOLO (SEM SUBSTITUIÇÃO) DE 1ª CATEGORIA, COM COMPACTADOR DE SOLOS DE PERCUSSÃO. AF_08/2023</t>
  </si>
  <si>
    <t>REATERRO MECANIZADO DE VALA COM RETROESCAVADEIRA (CAPACIDADE DA CAÇAMBA   DA RETRO: 0,26 M³/POTÊNCIA: 88 HP), LARGURA ATÉ 0,8 M, PROFUNDIDADE 1,5 A 3,0 M, COM SOLO (SEM SUBSTITUIÇÃO) DE 1ª CATEGORIA, COM COMPACTADOR DE SOLOS DE PERCUSSÃO AF_08/2023</t>
  </si>
  <si>
    <t>REATERRO MECANIZADO DE VALA COM RETROESCAVADEIRA (CAPACIDADE DA CAÇAMBA   DA RETRO: 0,26 M³/POTÊNCIA: 88 HP), LARGURA 0,8 A 1,5 M, PROFUNDIDADE 1,5 A 3,0 M, COM SOLO (SEM SUBSTITUIÇÃO) DE 1ª CATEGORIA E COMPACTADOR DE SOLOS DE PERCUSSÃO. AF_08/2023</t>
  </si>
  <si>
    <t>REATERRO MECANIZADO DE VALA COM ESCAVADEIRA HIDRÁULICA (CAPACIDADE DA CAÇAMBA: 0,8 M³/POTÊNCIA: 111 HP), LARGURA 1,5 A 2,5 M, PROFUNDIDADE 1,5 A 3,0 M, COM SOLO (SEM SUBSTITUIÇÃO) DE 1ª CATEGORIA, COM COMPACTADOR DE SOLOS DE PERCUSSÃO. AF_08/2023</t>
  </si>
  <si>
    <t>REATERRO MECANIZADO DE VALA COM ESCAVADEIRA HIDRÁULICA (CAPACIDADE DA CAÇAMBA: 0,8 M³/POTÊNCIA: 111 HP), LARGURA ATÉ 1,5 M, PROFUNDIDADE DE 3,0 A 6,0 M, COM SOLO (SEM SUBSTITUIÇÃO) DE 1ª CATEGORIA, COM COMPACTADOR DE SOLOS DE PERCUSSÃO. AF_08/2023</t>
  </si>
  <si>
    <t>REATERRO MECANIZADO DE VALA COM ESCAVADEIRA HIDRÁULICA (CAPACIDADE DA CAÇAMBA: 0,8 M³/POTÊNCIA: 111 HP), LARGURA 1,5 A 2,5 M, PROFUNDIDADE 3,0 A 6,0 M, COM SOLO (SEM SUBSTITUIÇÃO) DE 1ª CATEGORIA, COM COMPACTADOR DE SOLOS DE PERCUSSÃO. AF_08/2023</t>
  </si>
  <si>
    <t>ATERRO MANUAL DE VALAS COM AREIA PARA ATERRO. AF_08/2023</t>
  </si>
  <si>
    <t>ESCAVAÇÃO VERTICAL PARA INFRAESTRUTURA, COM CARGA, DESCARGA E TRANSPORTE DE SOLO DE 1ª CATEGORIA, COM ESCAVADEIRA HIDRÁULICA (CAÇAMBA: 0,8 M³ / 111 HP), FROTA DE 3 CAMINHÕES BASCULANTES DE 14 M³, DMT ATÉ 1 KM E VELOCIDADE MÉDIA14 KM/H. AF_05/2020</t>
  </si>
  <si>
    <t>AREIA PARA ATERRO - POSTO JAZIDA/FORNECEDOR (RETIRADO NA JAZIDA, SEM TRANSPORTE)</t>
  </si>
  <si>
    <t>ARGILA, ARGILA VERMELHA OU ARGILA ARENOSA (RETIRADA NA JAZIDA, SEM TRANSPORTE)</t>
  </si>
  <si>
    <t>PLANTIO DE GRAMA ESMERALDA OU SÃO CARLOS OU CURITIBANA, EM PLACAS. AF_05/2022</t>
  </si>
  <si>
    <t>TUBO DE CONCRETO SIMPLES PARA AGUAS PLUVIAIS, CLASSE PS1, COM ENCAIXE PONTA E BOLSA, DIAMETRO NOMINAL DE 400 MM</t>
  </si>
  <si>
    <t>TUBO DE CONCRETO SIMPLES PARA AGUAS PLUVIAIS, CLASSE PS1, COM ENCAIXE PONTA E BOLSA, DIAMETRO NOMINAL DE 600 MM</t>
  </si>
  <si>
    <t>TUBO DE CONCRETO ARMADO PARA AGUAS PLUVIAIS, CLASSE PA-1, COM ENCAIXE PONTA E BOLSA, DIAMETRO NOMINAL DE = 600 MM</t>
  </si>
  <si>
    <t>TUBO DE CONCRETO ARMADO PARA AGUAS PLUVIAIS, CLASSE PA-1, COM ENCAIXE PONTA E BOLSA, DIAMETRO NOMINAL DE 800 MM</t>
  </si>
  <si>
    <t>TUBO DE CONCRETO ARMADO PARA AGUAS PLUVIAIS, CLASSE PA-1, COM ENCAIXE PONTA E BOLSA, DIAMETRO NOMINAL DE 1000 MM</t>
  </si>
  <si>
    <t>TUBO DE CONCRETO ARMADO PARA AGUAS PLUVIAIS, CLASSE PA-1, COM ENCAIXE PONTA E BOLSA, DIAMETRO NOMINAL DE 1200 MM</t>
  </si>
  <si>
    <t>TUBO DE CONCRETO ARMADO PARA AGUAS PLUVIAIS, CLASSE PA-1, COM ENCAIXE PONTA E BOLSA, DIAMETRO NOMINAL DE 1500 MM</t>
  </si>
  <si>
    <t>TUBO DE CONCRETO ARMADO PARA AGUAS PLUVIAIS, CLASSE PA-2, COM ENCAIXE PONTA E BOLSA, DIAMETRO NOMINAL DE 600 MM</t>
  </si>
  <si>
    <t>TUBO DE CONCRETO ARMADO PARA AGUAS PLUVIAIS, CLASSE PA-2, COM ENCAIXE PONTA E BOLSA, DIAMETRO NOMINAL DE 800 MM</t>
  </si>
  <si>
    <t>TUBO DE CONCRETO ARMADO PARA AGUAS PLUVIAIS, CLASSE PA-2, COM ENCAIXE PONTA E BOLSA, DIAMETRO NOMINAL DE 1000 MM</t>
  </si>
  <si>
    <t>TUBO DE CONCRETO ARMADO PARA AGUAS PLUVIAIS, CLASSE PA-2, COM ENCAIXE PONTA E BOLSA, DIAMETRO NOMINAL DE 1200 MM</t>
  </si>
  <si>
    <t>TUBO DE CONCRETO ARMADO PARA AGUAS PLUVIAIS, CLASSE PA-2, COM ENCAIXE PONTA E BOLSA, DIAMETRO NOMINAL DE 1500 MM</t>
  </si>
  <si>
    <t>ASSENTAMENTO DE TUBO DE CONCRETO PARA REDES COLETORAS DE ÁGUAS PLUVIAIS, DIÂMETRO DE 400 MM, JUNTA RÍGIDA, INSTALADO EM LOCAL COM ALTO NÍVEL DE INTERFERÊNCIAS (NÃO INCLUI FORNECIMENTO). AF_03/2024</t>
  </si>
  <si>
    <t>ASSENTAMENTO DE TUBO DE CONCRETO PARA REDES COLETORAS DE ÁGUAS PLUVIAIS, DIÂMETRO DE 600 MM, JUNTA RÍGIDA, INSTALADO EM LOCAL COM ALTO NÍVEL DE INTERFERÊNCIAS (NÃO INCLUI FORNECIMENTO). AF_03/2024</t>
  </si>
  <si>
    <t>ASSENTAMENTO DE TUBO DE CONCRETO PARA REDES COLETORAS DE ÁGUAS PLUVIAIS, DIÂMETRO DE 800 MM, JUNTA RÍGIDA, INSTALADO EM LOCAL COM ALTO NÍVEL DE INTERFERÊNCIAS (NÃO INCLUI FORNECIMENTO). AF_03/2024</t>
  </si>
  <si>
    <t>ASSENTAMENTO DE TUBO DE CONCRETO PARA REDES COLETORAS DE ÁGUAS PLUVIAIS, DIÂMETRO DE 1000 MM, JUNTA RÍGIDA, INSTALADO EM LOCAL COM ALTO NÍVEL DE INTERFERÊNCIAS (NÃO INCLUI FORNECIMENTO). AF_03/2024</t>
  </si>
  <si>
    <t>ASSENTAMENTO DE TUBO DE CONCRETO PARA REDES COLETORAS DE ÁGUAS PLUVIAIS, DIÂMETRO DE 1200 MM, JUNTA RÍGIDA, INSTALADO EM LOCAL COM ALTO NÍVEL DE INTERFERÊNCIAS (NÃO INCLUI FORNECIMENTO). AF_03/2024</t>
  </si>
  <si>
    <t>ASSENTAMENTO DE TUBO DE CONCRETO PARA REDES COLETORAS DE ÁGUAS PLUVIAIS, DIÂMETRO DE 1500 MM, JUNTA RÍGIDA, INSTALADO EM LOCAL COM ALTO NÍVEL DE INTERFERÊNCIAS (NÃO INCLUI FORNECIMENTO). AF_03/2024</t>
  </si>
  <si>
    <t>ASSENTAMENTO DE TUBO DE CONCRETO PARA REDES COLETORAS DE ÁGUAS PLUVIAIS, DIÂMETRO DE 400 MM, JUNTA RÍGIDA, INSTALADO EM LOCAL COM BAIXO NÍVEL DE INTERFERÊNCIAS (NÃO INCLUI FORNECIMENTO). AF_03/2024</t>
  </si>
  <si>
    <t>ASSENTAMENTO DE TUBO DE CONCRETO PARA REDES COLETORAS DE ÁGUAS PLUVIAIS, DIÂMETRO DE 600 MM, JUNTA RÍGIDA, INSTALADO EM LOCAL COM BAIXO NÍVEL DE INTERFERÊNCIAS (NÃO INCLUI FORNECIMENTO). AF_03/2024</t>
  </si>
  <si>
    <t>ASSENTAMENTO DE TUBO DE CONCRETO PARA REDES COLETORAS DE ÁGUAS PLUVIAIS, DIÂMETRO DE 800 MM, JUNTA RÍGIDA, INSTALADO EM LOCAL COM BAIXO NÍVEL DE INTERFERÊNCIAS (NÃO INCLUI FORNECIMENTO). AF_03/2024</t>
  </si>
  <si>
    <t>ASSENTAMENTO DE TUBO DE CONCRETO PARA REDES COLETORAS DE ÁGUAS PLUVIAIS, DIÂMETRO DE 1000 MM, JUNTA RÍGIDA, INSTALADO EM LOCAL COM BAIXO NÍVEL DE INTERFERÊNCIAS (NÃO INCLUI FORNECIMENTO). AF_03/2024</t>
  </si>
  <si>
    <t>ASSENTAMENTO DE TUBO DE CONCRETO PARA REDES COLETORAS DE ÁGUAS PLUVIAIS, DIÂMETRO DE 1200 MM, JUNTA RÍGIDA, INSTALADO EM LOCAL COM BAIXO NÍVEL DE INTERFERÊNCIAS (NÃO INCLUI FORNECIMENTO). AF_03/2024</t>
  </si>
  <si>
    <t>ASSENTAMENTO DE TUBO DE CONCRETO PARA REDES COLETORAS DE ÁGUAS PLUVIAIS, DIÂMETRO DE 1500 MM, JUNTA RÍGIDA, INSTALADO EM LOCAL COM BAIXO NÍVEL DE INTERFERÊNCIAS (NÃO INCLUI FORNECIMENTO). AF_03/2024</t>
  </si>
  <si>
    <t>SICRO</t>
  </si>
  <si>
    <t>Tubo PEAD corrugado com paredes estruturadas para drenagem - D = 400 mm</t>
  </si>
  <si>
    <t>Tubo PEAD corrugado com paredes estruturadas para drenagem - D = 500 mm</t>
  </si>
  <si>
    <t>Tubo PEAD corrugado com paredes estruturadas para drenagem - D = 600 mm</t>
  </si>
  <si>
    <t>Tubo PEAD corrugado com paredes estruturadas para drenagem - D = 750 mm</t>
  </si>
  <si>
    <t>Tubo PEAD corrugado com paredes estruturadas para drenagem - D = 800 mm</t>
  </si>
  <si>
    <t>Tubo PEAD corrugado com paredes estruturadas para drenagem - D = 900 mm</t>
  </si>
  <si>
    <t>Tubo PEAD corrugado com paredes estruturadas para drenagem - D = 1.000 mm</t>
  </si>
  <si>
    <t>Tubo PEAD corrugado com paredes estruturadas para drenagem - D = 1.200 mm</t>
  </si>
  <si>
    <t>Tubo PEAD corrugado com paredes estruturadas para drenagem - D = 1.500 mm</t>
  </si>
  <si>
    <t>Assentamento de tubo de PEAD corrugado com parede estruturada para drenagem de águas pluviais, DN/DI 0,40 m; PEAD virgem para rede de drenagem, com encaixei ponta e bolsa – JEI, conforme norma DNIT 094/2014 (não inclui fornecimento) (REF. SINAPI COD. 90746)</t>
  </si>
  <si>
    <t>Assentamento de tubo de PEAD corrugado com parede estruturada para drenagem de águas pluviais, DN/DI 0,50 m; PEAD virgem para rede de drenagem, com encaixei ponta e bolsa – JEI, conforme norma DNIT 094/2014 (não inclui fornecimento) (REF. SINAPI COD. 90746 E 90747)</t>
  </si>
  <si>
    <t>ASSENTAMENTO DE TUBO DE PEAD CORRUGADO DE DUPLA PAREDE PARA REDE COLETORA DE ESGOTO, DN 600 MM, JUNTA ELÁSTICA INTEGRADA (NÃO INCLUI FORNECIMENTO). AF_01/2021</t>
  </si>
  <si>
    <t>Assentamento de tubo de PEAD corrugado com parede estruturada para drenagem de águas pluviais, DN/DI 0,75 m; PEAD virgem para rede de drenagem, com encaixei ponta e bolsa – JEI, conforme norma DNIT 094/2014 (não inclui fornecimento) (REF. SINAPI COD. 90746 E 90747)</t>
  </si>
  <si>
    <t>ASSENTAMENTO DE TUBO DE PEAD CORRUGADO DE DUPLA PAREDE PARA REDE COLETORA DE ESGOTO, DN 800 MM, JUNTA ELÁSTICA INTEGRADA  (NÃO INCLUI FORNECIMENTO). AF_01/2021</t>
  </si>
  <si>
    <t>ASSENTAMENTO DE TUBO DE PEAD CORRUGADO DE DUPLA PAREDE PARA REDE COLETORA DE ESGOTO, DN 900 MM, JUNTA ELÁSTICA INTEGRADA (NÃO INCLUI FORNECIMENTO). AF_01/2021</t>
  </si>
  <si>
    <t>ASSENTAMENTO DE TUBO DE PEAD CORRUGADO DE DUPLA PAREDE PARA REDE COLETORA DE ESGOTO, DN 1000 MM, JUNTA ELÁSTICA INTEGRADA (NÃO INCLUI FORNECIMENTO). AF_01/2021</t>
  </si>
  <si>
    <t>ASSENTAMENTO DE TUBO DE PEAD CORRUGADO DE DUPLA PAREDE PARA REDE COLETORA DE ESGOTO, DN 1200 MM, JUNTA ELÁSTICA INTEGRADA (NÃO INCLUI FORNECIMENTO). AF_01/2021</t>
  </si>
  <si>
    <t>ASSENTAMENTO DE TUBO DE PEAD CORRUGADO DE DUPLA PAREDE PARA REDE COLETORA DE ESGOTO, DN 1500 MM, JUNTA ELÁSTICA INTEGRADA (NÃO INCLUI FORNECIMENTO). AF_01/2021</t>
  </si>
  <si>
    <t>Galeria celular em aduela pré-moldada em concreto armado, 1,50m x 1,50m (2950kg/m), assentamento e rejuntamento. Exclusive aquisição e transporte.</t>
  </si>
  <si>
    <t>ADUELA/ GALERIA PRE-MOLDADA DE CONCRETO ARMADO, SECAO QUADRADA INTERNA DE 1,50 X 1,50 M (L X A), MISULA DE 20 X 20 CM, C = 1,00 M, ESPESSURA MIN = 15 CM, TB-45 E FCK DO CONCRETO = 30 MPA</t>
  </si>
  <si>
    <t>Galeria celular em aduela pré-moldada em concreto armado, 2,00m x 2,00m (4080kg/m), assentamento e rejuntamento. Exclusive aquisição e transporte.</t>
  </si>
  <si>
    <t>ADUELA/ GALERIA PRE-MOLDADA DE CONCRETO ARMADO, SECAO RETANGULAR INTERNA DE 2,00 X 2,00 M (L X A), MISULA DE 20 X 20 CM, C = 1,00 M, ESPESSURA MIN = 15 CM, TB-45 E FCK DO CONCRETO = 30 MPA</t>
  </si>
  <si>
    <t>Galeria celular em aduela pré-moldada em concreto armado, 2,50m x 2,50m (5000kg/m), assentamento e rejuntamento. Exclusive aquisição e transporte.</t>
  </si>
  <si>
    <t>ADUELA/ GALERIA PRE-MOLDADA DE CONCRETO ARMADO, SECAO RETANGULAR INTERNA DE 2,50 X 2,50 M (L X A), MISULA DE 20 X 20 CM, C = 1,00 M, ESPESSURA MIN = 15 CM, TB-45 E FCK DO CONCRETO = 30 MPA</t>
  </si>
  <si>
    <t>Galeria celular em aduela pré-moldada em concreto armado, 3,00m x 3,00m (6700kg/m), assentamento e rejuntamento. Exclusive aquisição e transporte.</t>
  </si>
  <si>
    <t>ADUELA/ GALERIA PRE-MOLDADA DE CONCRETO ARMADO, SECAO RETANGULAR INTERNA DE 3,00 X 3,00 M (L X A), MISULA DE 20 X 20 CM, C = 1.00 M, ESPESSURA MIN = 20 CM, TB-45 E FCK DO CONCRETO = 30 MPA</t>
  </si>
  <si>
    <t>CARGA, MANOBRA E DESCARGA DE TUBOS DE CONCRETO, DN 400 MM, EM CAMINHÃO CARROCERIA COM GUINDAUTO (MUNCK) 11,7 TM. AF_07/2020</t>
  </si>
  <si>
    <t>CARGA, MANOBRA E DESCARGA DE TUBOS DE CONCRETO, DN 500 MM, EM CAMINHÃO CARROCERIA COM GUINDAUTO (MUNCK) 11,7 TM. AF_07/2020</t>
  </si>
  <si>
    <t>CARGA, MANOBRA E DESCARGA DE TUBOS DE CONCRETO, DN 600 MM, EM CAMINHÃO CARROCERIA COM GUINDAUTO (MUNCK) 11,7 TM. AF_07/2020</t>
  </si>
  <si>
    <t>CARGA, MANOBRA E DESCARGA DE TUBOS DE CONCRETO, DN 800 MM, EM CAMINHÃO CARROCERIA COM GUINDAUTO (MUNCK) 11,7 TM. AF_07/2020</t>
  </si>
  <si>
    <t>CARGA, MANOBRA E DESCARGA DE TUBOS DE CONCRETO, DN 1000 MM, EM CAMINHÃO CARROCERIA COM GUINDAUTO (MUNCK) 11,7 TM. AF_07/2020</t>
  </si>
  <si>
    <t>CARGA, MANOBRA E DESCARGA DE TUBOS DE CONCRETO, DN 1200 MM, EM CAMINHÃO CARROCERIA COM GUINDAUTO (MUNCK) 11,7 TM. AF_07/2020</t>
  </si>
  <si>
    <t>CARGA, MANOBRA E DESCARGA DE TUBOS PLÁSTICOS, DN 400 MM, EM CAMINHÃO CARROCERIA COM GUINDAUTO (MUNCK) 11,7 TM. AF_07/2020</t>
  </si>
  <si>
    <t>CARGA, MANOBRA E DESCARGA DE TUBOS PLÁSTICOS, DN 500 MM, EM CAMINHÃO CARROCERIA COM GUINDAUTO (MUNCK) 11,7 TM. AF_07/2020</t>
  </si>
  <si>
    <t>CARGA, MANOBRA E DESCARGA DE TUBOS PLÁSTICOS, DN 600 MM, EM CAMINHÃO CARROCERIA COM GUINDAUTO (MUNCK) 11,7 TM. AF_07/2020</t>
  </si>
  <si>
    <t>CARGA, MANOBRA E DESCARGA DE TUBOS PLÁSTICOS, DN 750 MM, EM CAMINHÃO CARROCERIA COM GUINDAUTO (MUNCK) 11,7 TM. AF_07/2020</t>
  </si>
  <si>
    <t>CARGA, MANOBRA E DESCARGA DE TUBOS METÁLICOS, DN 800 MM, EM CAMINHÃO CARROCERIA COM GUINDAUTO (MUNCK) 11,7 TM. AF_07/2020</t>
  </si>
  <si>
    <t>CARGA, MANOBRA E DESCARGA DE TUBOS PLÁSTICOS, DN 900 MM, EM CAMINHÃO CARROCERIA COM GUINDAUTO (MUNCK) 11,7 TM. AF_07/2020</t>
  </si>
  <si>
    <t>CARGA, MANOBRA E DESCARGA DE TUBOS PLÁSTICOS, DN 1000 MM, EM CAMINHÃO CARROCERIA COM GUINDAUTO (MUNCK) 11,7 TM. AF_07/2020</t>
  </si>
  <si>
    <t>CARGA, MANOBRA E DESCARGA DE TUBOS PLÁSTICOS, DN 1200 MM, EM CAMINHÃO CARROCERIA COM GUINDAUTO (MUNCK) 11,7 TM. AF_07/2020</t>
  </si>
  <si>
    <t>PVBC-0 - Poço de Visita, com dimensões internas de 1,20m x 1,40m x 1,40m (bxbxh), em alvenaria de bloco de concreto estrutural FBK 8 MPa, conforme projeto tipo. Exclusive pescoço e tampão</t>
  </si>
  <si>
    <t>PVBC-01 - Poço de Visita, com dimensões internas de 2,02m x 2,12m x 1,40m (bxbxh), em alvenaria de bloco de concreto estrutural FBK 8 MPa, conforme projeto tipo. Exclusive pescoço e tampão.</t>
  </si>
  <si>
    <t>PVBC-02 - Poço de Visita, com dimensões internas de 3,22m x 2,12m x 2,00m (bxbxh), em alvenaria de bloco de concreto estrutural FBK 8 MPa, conforme projeto tipo. Exclusive pescoço e tampão</t>
  </si>
  <si>
    <t>PVBC-03 - Poço de Visita, com dimensões internas de 4,02m x 2,12m x 2,00m (bxbxh), em alvenaria de bloco de concreto estrutural FBK 8 MPa, conforme projeto tipo. Exclusive pescoço e tampão</t>
  </si>
  <si>
    <t>PVBC-04 - Poço de Visita, com dimensões internas de 5,62m x 2,12m x 2,00m (bxbxh), em alvenaria de bloco de concreto estrutural FBK 8 MPa, conforme projeto tipo. Exclusive pescoço e tampão</t>
  </si>
  <si>
    <t>PVBC-05 - Poço de Visita, com dimensões internas de 8,02m x 2,12m x 2,00m (bxbxh), em alvenaria de bloco de concreto estrutural FBK 8 MPa, conforme projeto tipo. Exclusive pescoço e tampão</t>
  </si>
  <si>
    <t>PVBC-06 - Poço de Visita, com dimensões internas de 10,02m x 2,12m x 2,00m (bxbxh), em alvenaria de bloco de concreto estrutural FBK 8 MPa, conforme projeto tipo. Exclusive pescoço e tampão</t>
  </si>
  <si>
    <t>APVBC-01 - Acréscimo para Poço de Visita, com dimensões internas de 2,02m x 2,12m, em alvenaria de bloco de concreto estrutural FBK 8 MPa, conforme projeto tipo</t>
  </si>
  <si>
    <t>APVBC-02 - Acréscimo para Poço de Visita, com dimensões internas de 3,22m x 2,12m, em alvenaria de bloco de concreto estrutural FBK 8 MPa, conforme projeto tipo</t>
  </si>
  <si>
    <t>APVBC-03 - Acréscimo para Poço de Visita, com dimensões internas de 4,02m x 2,12m, em alvenaria de bloco de concreto estrutural FBK 8 MPa, conforme projeto tipo</t>
  </si>
  <si>
    <t>APVBC-04 - Acréscimo para Poço de Visita, com dimensões internas de 5,62m x 2,12m, em alvenaria de bloco de concreto estrutural FBK 8 MPa, conforme projeto tipo</t>
  </si>
  <si>
    <t>APVBC-05 - Acréscimo para Poço de Visita, com dimensões internas de 8,02m x 2,12m, em alvenaria de bloco de concreto estrutural FBK 8 MPa, conforme projeto tipo</t>
  </si>
  <si>
    <t>APVBC-06 - Acréscimo para Poço de Visita, com dimensões internas de 10,02m x 2,12m, em alvenaria de bloco de concreto estrutural FBK 8 MPa, conforme projeto tipo</t>
  </si>
  <si>
    <t>Antecâmara para poço de visita, com dimensões internas de 1,22m x 2,12m x 1,40m (bxbxh), em alvenaria de bloco de concreto estrutural FBK 8MPa, conforme projeto tipo</t>
  </si>
  <si>
    <t>CHAMINÉ CIRCULAR PARA POÇO DE VISITA PARA ESGOTO, EM ALVENARIA COM TIJOLOS CERÂMICOS MACIÇOS, DIÂMETRO INTERNO = 0,6 M. AF_12/2020</t>
  </si>
  <si>
    <t>Tampão F°F° articulado, classe D400, carga máxima 40 T, redondo tampa 600 mm para rede pluvial/esgoto. Incluindo fornecimento, assentamento e requadro em concreto FCK 20mpa, de 1,00m x 1,00m x 0,20m. Ref SINAPI cód 98114</t>
  </si>
  <si>
    <t>CP-1 - Caixa de Passagem, com dimensões internas de  1,60m x 1,37m x 1,60m (bxbxh), em alvenaria de bloco de concreto estrutural FBK 8 MPa, conforme projeto tipo</t>
  </si>
  <si>
    <t>CP-2 - Caixa de Passagem, com dimensões internas de  1,60m x 1,57m x 1,60m (bxbxh), em alvenaria de bloco de concreto estrutural FBK 8 MPa, conforme projeto tipo</t>
  </si>
  <si>
    <t>CP-3 - Caixa de Passagem, com dimensões internas de  1,60m x 1,97m x 1,60m (bxbxh), em alvenaria de bloco de concreto estrutural FBK 8 MPa, conforme projeto tipo</t>
  </si>
  <si>
    <t>CC 1 - Caixa Coletora  2,32x2,32m, com dimensões internas de 2,32m x 2,32m x 1,50m (bxbxh), em alvenaria de bloco de concreto estrutural FBK 14mpa, inclusive grelha (0,60X0,6)m no centro, conforme projeto tipo. Exclusive pescoço.</t>
  </si>
  <si>
    <t>CÓDIGO NÃO ENCONTRADO</t>
  </si>
  <si>
    <t>BLSP - Boca-de-lobo simples com caixa no passeio, em concreto simples FCK 20 mpa, incluindo forma, escavação, laje e tampão em F°F° para passeio 47 x 70cm, conforme projeto</t>
  </si>
  <si>
    <t>BLDP - Boca-de-lobo dupla com caixa no passeio, em concreto simples FCK 20 mpa, incluindo forma, escavação, laje e tampão em F°F° para passeio 47 x 70cm, conforme projeto</t>
  </si>
  <si>
    <t>BLTP - Boca-de-lobo tripla com caixa no passeio, em concreto simples FCK 20 mpa, incluindo forma, escavação, laje e tampão em F°F° para passeio 47 x 70cm, conforme projeto</t>
  </si>
  <si>
    <t>BLSC - Boca-de-lobo simples em concreto simples FCK 20 mpa, incluindo forma, escavação, sarjeta de contorno (chama) em concreto e grelha em F°F° tipo pesada, conforme projeto</t>
  </si>
  <si>
    <t>BLDC - Boca-de-lobo dupla em concreto simples FCK 20 mpa, incluindo forma, escavação, sarjeta de contorno (chama) em concreto e grelhas em F°F° tipo pesada, conforme projeto</t>
  </si>
  <si>
    <t>BLTC - Boca-de-lobo tripla em concreto simples FCK 20 mpa, incluindo forma, escavação, sarjeta de contorno (chama) em concreto e grelhas em F°F° tipo pesada, conforme projeto</t>
  </si>
  <si>
    <t>Boca-de-bueiro simples tubular - BBST  D = 0,40m, em concreto ciclópico com 30% de pedra-de-mão, conforme projeto tipo (0,66m³/un)</t>
  </si>
  <si>
    <t>Boca-de-bueiro simples tubular - BBST  D = 0,60m, em concreto ciclópico com 30% de pedra-de-mão, conforme projeto tipo (1,24m³/un)</t>
  </si>
  <si>
    <t>Boca-de-bueiro simples tubular - BBST  D = 0,80m, em concreto ciclópico com 30% de pedra-de-mão, conforme projeto tipo (2,23m³/un)</t>
  </si>
  <si>
    <t>Boca-de-bueiro simples tubular - BBST  D = 1,00m, em concreto ciclópico com 30% de pedra-de-mão, conforme projeto tipo (3,63m³/un)</t>
  </si>
  <si>
    <t>Boca-de-bueiro simples tubular - BBST  D = 1,20m, em concreto ciclópico com 30% de pedra-de-mão, conforme projeto tipo (5,40m³/un)</t>
  </si>
  <si>
    <t>Boca-de-bueiro simples tubular - BBST  D = 1,50m, em concreto ciclópico com 30% de pedra-de-mão, conforme projeto tipo (8,95m³/un)</t>
  </si>
  <si>
    <t>Boca-de-bueiro simples celular - 1,50m x 1,50m, em concreto armado FCK 20 mpa, conforme projeto tipo (REF. SICRO COD. 0705225)</t>
  </si>
  <si>
    <t>Boca-de-bueiro simples celular - 2,00m x 2,00m, em concreto armado FCK 20 mpa, conforme projeto tipo (REF. SICRO COD. 0705233)</t>
  </si>
  <si>
    <t>Boca-de-bueiro simples celular - 2,50m x 2,50m, em concreto armado FCK 20 mpa, conforme projeto tipo (REF. SICRO COD. 0705238)</t>
  </si>
  <si>
    <t>Boca-de-bueiro simples celular - 3,00m x 3,00m, em concreto armado FCK 20 mpa, conforme projeto tipo (REF. SICRO COD. 0705249)</t>
  </si>
  <si>
    <t>Reforma de boca de lobo simples, incluindo demolições, reconstrução da sarjeta de contorno (chama) em concreto simples FCK 20mpa, uma guia chapéu pré-moldada e uma grelha articulada em F°F° tipo pesada, conforme projeto tipo</t>
  </si>
  <si>
    <t>Reforma de boca de lobo dupla, incluindo demolições, reconstrução da sarjeta de contorno (chama) em concreto simples FCK 20mpa, duas guias chapéu pré-moldadas e duas grelhas articuladas em F°F° tipo pesada, conforme projeto tipo</t>
  </si>
  <si>
    <t>Substituição de quadro e grelha articulada em F°F°, classe D400, carga máxima 40 T, 415 x 955 mm para boca de lobo, incluindo demolição e implantação da sarjeta de contorno (chama) em concreto FCK = 20 mpa</t>
  </si>
  <si>
    <t>Remoção e reassentamento de quadro e grelha articulada em F°F° para boca de lobo, incluindo demolição e implantação da sarjeta de contorno (chama) em concreto FCK = 20 Mpa</t>
  </si>
  <si>
    <t>Substituição de tampão de PV, incluindo fornecimento de tampão de FºFº articulado, Classe B400, carga máxima 40 T, redondo tampa 600 mm para rede pluvial/esgoto, e requadro em concreto simples FCK 20mpa, de 1,00m x 1,00m x 0,20m</t>
  </si>
  <si>
    <t>Remoção e reassentamento de tampão em F°F° para PV, com  reaproveitamento, incluindo recorte, demolição e requadro em concreto simples FCK 20mpa, de 1,00m x 1,00m x 0,20m, exclusive bota-fora do solo. Ref SINAPI cód 98114, db 12-2023</t>
  </si>
  <si>
    <t>TRANSPORTE COM CAMINHÃO CARROCERIA COM GUINDAUTO (MUNCK),  MOMENTO MÁXIMO DE CARGA 11,7 TM, EM VIA URBANA PAVIMENTADA, DMT ATÉ 30KM (UNIDADE: TXKM). AF_07/2020</t>
  </si>
  <si>
    <t>TRANSPORTE COM CAMINHÃO CARROCERIA COM GUINDAUTO (MUNCK),  MOMENTO MÁXIMO DE CARGA 11,7 TM, EM VIA URBANA PAVIMENTADA, ADICIONAL PARA DMT EXCEDENTE A 30 KM (UNIDADE: TXKM). AF_07/2020</t>
  </si>
  <si>
    <t>CONCRETO MAGRO PARA LASTRO, TRAÇO 1:4,5:4,5 (EM MASSA SECA DE CIMENTO/ AREIA MÉDIA/ BRITA 1) - PREPARO MECÂNICO COM BETONEIRA 400 L. AF_05/2021</t>
  </si>
  <si>
    <t>LANÇAMENTO COM USO DE BALDES, ADENSAMENTO E ACABAMENTO DE CONCRETO EM ESTRUTURAS. AF_02/2022</t>
  </si>
  <si>
    <t>CONCRETO FCK = 20MPA, TRAÇO 1:2,7:3 (EM MASSA SECA DE CIMENTO/ AREIA MÉDIA/ BRITA 1) - PREPARO MECÂNICO COM BETONEIRA 400 L. AF_05/2021</t>
  </si>
  <si>
    <t>CONCRETO USINADO BOMBEAVEL, CLASSE DE RESISTENCIA C25, COM BRITA 0 E 1, SLUMP = 100 +/- 20 MM, EXCLUI SERVICO DE BOMBEAMENTO (NBR 8953)</t>
  </si>
  <si>
    <t>LANÇAMENTO COM USO DE BOMBA, ADENSAMENTO E ACABAMENTO DE CONCRETO EM ESTRUTURAS. AF_02/2022</t>
  </si>
  <si>
    <t>CONCRETO CICLÓPICO FCK = 15MPA, 30% PEDRA DE MÃO EM VOLUME REAL, INCLUSIVE LANÇAMENTO. AF_05/2021</t>
  </si>
  <si>
    <t>MONTAGEM E DESMONTAGEM DE FÔRMA DE PILARES RETANGULARES E ESTRUTURAS SIMILARES, PÉ-DIREITO SIMPLES, EM CHAPA DE MADEIRA COMPENSADA RESINADA, 2 UTILIZAÇÕES. AF_09/2020</t>
  </si>
  <si>
    <t>MONTAGEM E DESMONTAGEM DE FÔRMA DE PILARES RETANGULARES E ESTRUTURAS SIMILARES, PÉ-DIREITO SIMPLES, EM CHAPA DE MADEIRA COMPENSADA RESINADA, 6 UTILIZAÇÕES. AF_09/2020</t>
  </si>
  <si>
    <t>MONTAGEM E DESMONTAGEM DE FÔRMA DE PILARES RETANGULARES E ESTRUTURAS SIMILARES, PÉ-DIREITO SIMPLES, EM MADEIRA SERRADA, 2 UTILIZAÇÕES. AF_09/2020</t>
  </si>
  <si>
    <t>MONTAGEM E DESMONTAGEM DE FÔRMA DE PILARES RETANGULARES E ESTRUTURAS SIMILARES, PÉ-DIREITO SIMPLES, EM MADEIRA SERRADA, 4 UTILIZAÇÕES. AF_09/2020</t>
  </si>
  <si>
    <t>ARMAÇÃO DE BLOCO UTILIZANDO AÇO CA-60 DE 5 MM - MONTAGEM. AF_01/2024</t>
  </si>
  <si>
    <t>KG</t>
  </si>
  <si>
    <t>ARMAÇÃO DE CORTINA DE CONTENÇÃO EM CONCRETO ARMADO, COM AÇO CA-50 DE 6,3 MM - MONTAGEM. AF_07/2019</t>
  </si>
  <si>
    <t>ARMAÇÃO DE CORTINA DE CONTENÇÃO EM CONCRETO ARMADO, COM AÇO CA-50 DE 8 MM - MONTAGEM. AF_07/2019</t>
  </si>
  <si>
    <t>ARMAÇÃO DE CORTINA DE CONTENÇÃO EM CONCRETO ARMADO, COM AÇO CA-50 DE 10 MM - MONTAGEM. AF_07/2019</t>
  </si>
  <si>
    <t>ARMAÇÃO DE CORTINA DE CONTENÇÃO EM CONCRETO ARMADO, COM AÇO CA-50 DE 12,5 MM - MONTAGEM. AF_07/2019</t>
  </si>
  <si>
    <t>ARMAÇÃO DO SISTEMA DE PAREDES DE CONCRETO, EXECUTADA EM PAREDES DE EDIFICAÇÕES DE MÚLTIPLOS PAVIMENTOS, TELA Q-138. AF_06/2019</t>
  </si>
  <si>
    <t>ARMAÇÃO DO SISTEMA DE PAREDES DE CONCRETO, EXECUTADA EM PAREDES DE EDIFICAÇÕES TÉRREAS OU DE MÚLTIPLOS PAVIMENTOS, TELA Q-92. AF_06/2019</t>
  </si>
  <si>
    <t>ESCORAMENTO DE FÔRMAS DE LAJE EM MADEIRA NÃO APARELHADA, PÉ-DIREITO SIMPLES, INCLUSO TRAVAMENTO, 4 UTILIZAÇÕES. AF_09/2020</t>
  </si>
  <si>
    <t>CARGA, MANOBRA E DESCARGA DE SOLOS E MATERIAIS GRANULARES EM CAMINHÃO BASCULANTE 10 M³ - CARGA COM ESCAVADEIRA HIDRÁULICA (CAÇAMBA DE 1,20 M³ / 155 HP) E DESCARGA LIVRE (UNIDADE: M3). AF_07/2020</t>
  </si>
  <si>
    <t>ESCAVAÇÃO VERTICAL PARA INFRAESTRUTURA, COM CARGA, DESCARGA E TRANSPORTE DE SOLO DE 1ª CATEGORIA, COM ESCAVADEIRA HIDRÁULICA (CAÇAMBA: 0,8 M³ / 111HP), FROTA DE 3 CAMINHÕES BASCULANTES DE 10 M³, DMT ATÉ 1 KM E VELOCIDADE MÉDIA14 KM/H. AF_05/2020</t>
  </si>
  <si>
    <t>Escavação mecânica para acerto de taludes em material de 1a categoria,com escavadeira hidráulica (REF. SINAPI. COD. 83336)</t>
  </si>
  <si>
    <t>EXECUÇÃO E COMPACTAÇÃO DE ATERRO COM SOLO PREDOMINANTEMENTE ARGILOSO - EXCLUSIVE SOLO, ESCAVAÇÃO, CARGA E TRANSPORTE. AF_11/2019</t>
  </si>
  <si>
    <t>ESPALHAMENTO DE MATERIAL COM TRATOR DE ESTEIRAS. AF_11/2019</t>
  </si>
  <si>
    <t>GEOTÊXTIL NÃO TECIDO 100% POLIÉSTER, RESISTÊNCIA A TRAÇÃO DE 9 KN/M (RT - 9), INSTALADO EM DRENO - FORNECIMENTO E INSTALAÇÃO. AF_07/2021</t>
  </si>
  <si>
    <t>Brita n. 2 para dreno, lançamento manual, em local com nível baixo de interferência. Fornecimento, exclusive transporte</t>
  </si>
  <si>
    <t>Tubo dreno, corrugado, espiralado, flexível, perfurado, em polietileno de alta densidade (PEAD), DN 100 mm para drenagem – fornecimento e assentamento em vala</t>
  </si>
  <si>
    <t>Meia cana em concreto simples, D = 0,60m (174kg/m), PB, Classe P-1, fornecimento, assentamento e rejuntamento, ref SINAPI 73882/005, data: 01/2020</t>
  </si>
  <si>
    <t>Valeta de concreto com concreto moldado in loco, acabamento convencional, armado, com seção trapezoidal 1,00m x 0,30m (b x h), espessura 6cm, com junta seca de dilatação a cada 3m</t>
  </si>
  <si>
    <t>CONCRETO FCK = 25MPA, TRAÇO 1:2,3:2,7 (EM MASSA SECA DE CIMENTO/ AREIA MÉDIA/ BRITA 1) - PREPARO MECÂNICO COM BETONEIRA 400 L. AF_05/2021</t>
  </si>
  <si>
    <t>CONCRETO FCK = 30MPA, TRAÇO 1:2,1:2,5 (EM MASSA SECA DE CIMENTO/ AREIA MÉDIA/ BRITA 1) - PREPARO MECÂNICO COM BETONEIRA 400 L. AF_05/2021</t>
  </si>
  <si>
    <t>CONCRETO USINADO BOMBEAVEL, CLASSE DE RESISTENCIA C35, COM BRITA 0 E 1, SLUMP = 100 +/- 20 MM, EXCLUI SERVICO DE BOMBEAMENTO (NBR 8953)</t>
  </si>
  <si>
    <t>EXECUÇÃO DE GRAMPO PARA SOLO GRAMPEADO COM COMPRIMENTO MAIOR QUE 6 M E MENOR OU IGUAL A 8 M, DIÂMETRO DE 10 CM, PERFURAÇÃO COM EQUIPAMENTO MANUAL E ARMADURA COM DIÂMETRO DE 20 MM. AF_05/2016</t>
  </si>
  <si>
    <t>EXECUÇÃO DE GRAMPO PARA SOLO GRAMPEADO COM COMPRIMENTO MAIOR QUE 8 M E MENOR OU IGUAL A 10 M, DIÂMETRO DE 10 CM, PERFURAÇÃO COM EQUIPAMENTO MANUAL E ARMADURA COM DIÂMETRO DE 20 MM. AF_05/2016</t>
  </si>
  <si>
    <t>EXECUÇÃO DE REVESTIMENTO DE CONCRETO PROJETADO COM ESPESSURA DE 10 CM, ARMADO COM TELA, INCLINAÇÃO MENOR QUE 90°, APLICAÇÃO CONTÍNUA, UTILIZANDO EQUIPAMENTO DE PROJEÇÃO COM 3 M³/H DE CAPACIDADE. AF_01/2016</t>
  </si>
  <si>
    <t>EXECUÇÃO DE REVESTIMENTO DE CONCRETO PROJETADO COM ESPESSURA DE 10 CM, ARMADO COM FIBRAS DE AÇO, INCLINAÇÃO MENOR QUE 90°, APLICAÇÃO DESCONTÍNUA, UTILIZANDO EQUIPAMENTO DE PROJEÇÃO COM 3 M³/H DE CAPACIDADE. AF_01/2016</t>
  </si>
  <si>
    <t>ARMAÇÃO DE ESTRUTURAS DIVERSAS DE CONCRETO ARMADO, EXCETO VIGAS, PILARES, LAJES E FUNDAÇÕES, UTILIZANDO AÇO CA-50 DE 16,0 MM - MONTAGEM. AF_06/2022</t>
  </si>
  <si>
    <t>ARMAÇÃO DE ESTRUTURAS DIVERSAS DE CONCRETO ARMADO, EXCETO VIGAS, PILARES, LAJES E FUNDAÇÕES, UTILIZANDO AÇO CA-50 DE 20,0 MM - MONTAGEM. AF_06/2022</t>
  </si>
  <si>
    <t>ARMAÇÃO DE ESTRUTURAS DIVERSAS DE CONCRETO ARMADO, EXCETO VIGAS, PILARES, LAJES E FUNDAÇÕES, UTILIZANDO AÇO CA-50 DE 25,0 MM - MONTAGEM. AF_06/2022</t>
  </si>
  <si>
    <t>Muro de gabião, enchimento com pedra de mão tipo rachão, de gravidade, com gaiolas (ZN/AL+PVC # 8x10cm Ø2.4mm) de comprimento igual a 2 metros, altura do muro de até 4 metros, geotêxtil RT10 - fornecimento e execução. Exclusive transporte  (REF. SINAPI COD. 92743)</t>
  </si>
  <si>
    <t>Muro de gabião, enchimento com pedra de mão tipo rachão, de gravidade, com gaiolas (ZN/AL+PVC # 8x10cm Ø2.4mm) de comprimento igual a 2 metros, altura do muro acima de 4 metros e até 6 metros, geotêxtil RT10 - fornecimento e execução. Exclusive transporte  (REF. SINAPI COD. 92745)</t>
  </si>
  <si>
    <t>Muro de gabião, enchimento com pedra de mão tipo rachão, de gravidade, com gaiolas (ZN/AL+PVC # 8x10cm Ø2.4mm) de comprimento igual a 2 metros, altura do muro acima de 6 metros e até 10 metros, geotêxtil RT10 - fornecimento e execução. Exclusive transporte  (REF. SINAPI COD. 92747)</t>
  </si>
  <si>
    <t>MURO DE GABIÃO, ENCHIMENTO COM PEDRA DE MÃO TIPO RACHÃO, COM SOLO REFORÇADO, PARA MUROS COM ALTURA MENOR OU IGUAL A 4 M - FORNECIMENTO E EXECUÇÃO. AF_03/2024</t>
  </si>
  <si>
    <t>Muro de gabião, enchimento com pedra de mão tipo rachão, para solo reforçado com gaiolas com painel de ancoragem de 4 m (ZN/AL+PVC # 8x10cm Ø2.7mm) e geotêxtil RT10, altura do muro acima de 4 e até 12 metros - fornecimento e execução. Exclusive transporte. REF SINAPI CÓD 92750, DATA 05/2020</t>
  </si>
  <si>
    <t>MURO DE GABIÃO, ENCHIMENTO COM PEDRA DE MÃO TIPO RACHÃO, COM SOLO REFORÇADO, PARA MUROS COM ALTURA MAIOR QUE 4 M E MENOR OU IGUAL A 12 M - FORNECIMENTO E EXECUÇÃO. AF_03/2024</t>
  </si>
  <si>
    <t>Muro de gabião, enchimento com pedra de mão tipo rachão, para solo reforçado com gaiolas com painel de ancoragem de 5 m (ZN/AL+PVC # 8x10cm Ø2.7mm), altura do muro acima de 4 e até 12 metros, geotêxtil RT10 - fornecimento e execução. Exclusive transporte.REF SINAPI CÓD 92750</t>
  </si>
  <si>
    <t>Muro de gabião, enchimento com pedra de mão tipo rachão, para solo reforçado com gaiolas com painel de ancoragem de 6 m (ZN/AL+PVC # 8x10cm Ø2.7mm), altura do muro acima de 4 e até 12 metros, geotêxtil RT10 - fornecimento e execução. Exclusive transporte. REF SINAPI 92750</t>
  </si>
  <si>
    <t>PROTEÇÃO SUPERFICIAL DE CANAL EM GABIÃO TIPO COLCHÃO, ALTURA DE 17 CENTÍMETROS, ENCHIMENTO COM PEDRA DE MÃO TIPO RACHÃO - FORNECIMENTO E EXECUÇÃO. AF_03/2024</t>
  </si>
  <si>
    <t>PROTEÇÃO SUPERFICIAL DE CANAL EM GABIÃO TIPO COLCHÃO, ALTURA DE 23 CENTÍMETROS, ENCHIMENTO COM PEDRA DE MÃO TIPO RACHÃO - FORNECIMENTO E EXECUÇÃO. AF_03/2024</t>
  </si>
  <si>
    <t>PROTEÇÃO SUPERFICIAL DE CANAL EM GABIÃO TIPO COLCHÃO, ALTURA DE 30 CENTÍMETROS, ENCHIMENTO COM PEDRA DE MÃO TIPO RACHÃO - FORNECIMENTO E EXECUÇÃO. AF_03/2024</t>
  </si>
  <si>
    <t>PROTEÇÃO SUPERFICIAL DE CANAL EM GABIÃO TIPO SACO, DIÂMETRO DE 65 CENTÍMETROS, ENCHIMENTO MANUAL COM PEDRA DE MÃO TIPO RACHÃO - FORNECIMENTO E EXECUÇÃO. AF_03/2024</t>
  </si>
  <si>
    <t>Tubo aço galvanizado com costura para guarda-corpo, classe leve, DN 40 mm (1 1/2"),  DIN 2440 / NBR 5580 classe leve, espessura 3,00 mm, *3,48* kg/m</t>
  </si>
  <si>
    <t>Tubo aço galvanizado com costura para guarda-corpo, classe leve, DN 50 mm (2"),  DIN 2440 / NBR 5580 classe leve, espessura 3,00 mm, *4,40* kg/m</t>
  </si>
  <si>
    <t>Alambrado com tela de aço galvanizado, fio 14, malha 1½" , três fios de arame liso, poste curvo de concreto com altura livre de 1,80m, mureta de concreto com altura de 30cm, conforme projeto. REF SINAPI 98522</t>
  </si>
  <si>
    <t>CERCA COM MOURÕES DE CONCRETO, SEÇÃO "T" PONTA INCLINADA, 10X10CM, ESPAÇAMENTO DE 2,5M, CRAVADOS 0,5M, COM 11 FIOS DE ARAME MISTO - FORNECIMENTO E INSTALAÇÃO. AF_05/2020</t>
  </si>
  <si>
    <t>PLANTIO DE GRAMA BATATAIS EM PLACAS. AF_05/2018</t>
  </si>
  <si>
    <t>Hidrossemeadura. Ref SICRO CÓD  4413905, DB 04-2021</t>
  </si>
  <si>
    <t>PLANTIO DE PALMEIRA COM ALTURA DE MUDA MENOR OU IGUAL A 2,00 M. AF_05/2018</t>
  </si>
  <si>
    <t>Piso tátil de alerta ou direcional com lajota cimentícia  40x40x2,5cm, nas cores da NBR 16537, assentado com argamassa de cimento e areia 1:3, esp. 1,5 cm. REF SINAPI 104658, DB 11-23</t>
  </si>
  <si>
    <t>EXECUÇÃO DE PASSEIO (CALÇADA) OU PISO DE CONCRETO COM CONCRETO MOLDADO IN LOCO, USINADO C20, ACABAMENTO CONVENCIONAL, NÃO ARMADO. AF_08/2022</t>
  </si>
  <si>
    <t>EXECUÇÃO DE PASSEIO (CALÇADA) OU PISO DE CONCRETO COM CONCRETO MOLDADO IN LOCO, FEITO EM OBRA, ACABAMENTO CONVENCIONAL, ESPESSURA 8 CM, ARMADO. AF_08/2022</t>
  </si>
  <si>
    <t>LASTRO COM MATERIAL GRANULAR (PEDRA BRITADA N.1 E PEDRA BRITADA N.2), APLICADO EM PISOS OU LAJES SOBRE SOLO, ESPESSURA DE *10 CM*. AF_01/2024</t>
  </si>
  <si>
    <t>EXECUÇÃO DE PASSEIO EM PISO INTERTRAVADO, COM BLOCO RETANGULAR COR NATURAL DE 20 X 10 CM, ESPESSURA 6 CM. AF_10/2022</t>
  </si>
  <si>
    <t>Dreno longitudinal de pavimento, Tipo GH040, altura 0,40 m, com brita (20x20cm), geocomposto drenante e tubo PEAD corrugado perfurado DN 100 mm, inclusive escavação e reaterro (REF. SICRO COD. 2004509)</t>
  </si>
  <si>
    <t>Dreno longitudinal de pavimento, Tipo GH100, altura 1,00 m, com brita (20x20cm), geocomposto drenante e tubo PEAD corrugado perfurado DN 100 mm, inclusive escavação e reaterro (REF. SICRO COD. 2004511)</t>
  </si>
  <si>
    <t>Dreno longitudinal de pavimento, Tipo GH150, altura 1,50 m, com brita (20x20cm), geocomposto drenante e tubo PEAD corrugado perfurado DN 100 mm, inclusive escavação e reaterro (REF. SICRO COD. 2004512)</t>
  </si>
  <si>
    <t>Dreno francês de lençol freático, Tipo FH100, com tubo PEAD Ø 100mm e brita (50x50cm), incluindo escavação (h=100cm), reaterro e geotextil RT-09. Exclusive transporte e bota-fora</t>
  </si>
  <si>
    <t>Dreno francês de lençol freático, Tipo FH150, com tubo PEAD Ø 150mm e brita (50x100cm), incluindo escavação (h=150cm), reaterro e geotextil RT-09. Exclusive transporte e bota-fora</t>
  </si>
  <si>
    <t>Tubo dreno, corrugado, espiralado, flexível, perfurado, em polietileno de alta densidade (PEAD), DN 150 mm para drenagem – fornecimento e assentamento em vala</t>
  </si>
  <si>
    <t>Escavação mecânica de vala para drenagem com miniescavadeira em material de 1a categoria (REF. SINAPI COD. 96525)</t>
  </si>
  <si>
    <t>REATERRO MANUAL DE VALAS, COM COMPACTADOR DE SOLOS DE PERCUSSÃO. AF_08/2023</t>
  </si>
  <si>
    <t>CONCRETO FCK = 15MPA, TRAÇO 1:3,4:3,5 (EM MASSA SECA DE CIMENTO/ AREIA MÉDIA/ BRITA 1) - PREPARO MECÂNICO COM BETONEIRA 400 L. AF_05/2021</t>
  </si>
  <si>
    <t>Alvenaria em tijolo cerâmico maciço 5x10x20cm 1 vez (espessura 20cm), assentado com argamassa de betoneira, traço 1:2:8 (cimento, cal e areia), REF SINAPI 72131, DATA 04/2020</t>
  </si>
  <si>
    <t>CHAPISCO APLICADO EM ALVENARIAS E ESTRUTURAS DE CONCRETO INTERNAS, COM COLHER DE PEDREIRO.  ARGAMASSA TRAÇO 1:3 COM PREPARO MANUAL. AF_10/2022</t>
  </si>
  <si>
    <t>ARGAMASSA TRAÇO 1:3 (EM VOLUME DE CIMENTO E AREIA GROSSA ÚMIDA) PARA CHAPISCO CONVENCIONAL, PREPARO MECÂNICO COM BETONEIRA 400 L. AF_08/2019</t>
  </si>
  <si>
    <t>PEDRA BRITADA N. 1 (9,5 a 19 MM) POSTO PEDREIRA/FORNECEDOR, SEM FRETE</t>
  </si>
  <si>
    <t>CASCALHO DE CAVA</t>
  </si>
  <si>
    <t>PEDRA BRITADA OU BICA CORRIDA, NAO CLASSIFICADA (POSTO PEDREIRA/FORNECEDOR, SEM FRETE)</t>
  </si>
  <si>
    <t>PEDRA BRITADA GRADUADA, CLASSIFICADA (POSTO PEDREIRA/FORNECEDOR, SEM FRETE)</t>
  </si>
  <si>
    <t>EXECUÇÃO E COMPACTAÇÃO DE BASE E OU SUB BASE PARA PAVIMENTAÇÃO DE SOLOS ESTABILIZADOS GRANULOMETRICAMENTE COM MISTURA DE SOLOS EM PISTA - EXCLUSIVE SOLO, ESCAVAÇÃO, CARGA E TRANSPORTE. AF_11/2019</t>
  </si>
  <si>
    <t>EXECUÇÃO E COMPACTAÇÃO DE BASE E OU SUB BASE PARA PAVIMENTAÇÃO DE SOLO ESTABILIZADO GRANULOMETRICAMENTE SEM MISTURA DE SOLOS - EXCLUSIVE SOLO, ESCAVAÇÃO, CARGA E TRANSPORTE. AF_11/2023</t>
  </si>
  <si>
    <t>Usinagem de brita graduada simples, exclusive fornecimento de materiais (REF. SINAPI COD. 96393, DB 12-2023)</t>
  </si>
  <si>
    <t>Execução e compactação de base e ou sub-base com material produto de britagem. Exclusive fornecimento e transporte de materiais (REF. SINAPI COD. 96396, DB 09/2023)</t>
  </si>
  <si>
    <t>PAVIMENTO COM TRATAMENTO SUPERFICIAL DUPLO, COM EMULSÃO ASFÁLTICA RR-2C (REF. SINAPI COD. 03.PAVI.TSUP.005/01-104389 DB 11-23)</t>
  </si>
  <si>
    <t>Construção de pavimento com aplicação de concreto betuminoso usinado à quente (CBUQ - faixa C - CAP 30/45 - usina comercial), camada de rolamento, exclusive transporte da mistura (REF. SINAPI COD. 95995, DB 12-2023)</t>
  </si>
  <si>
    <t>CBUQ (usina comercial) - aplicação com motoniveladora (reperfilamento). Incluindo fornecimento de materiais. Exclusive transporte</t>
  </si>
  <si>
    <t>Correção de defeitos por fresagem descontínua, com emprego de fresadora e minicarregadeira (REF. SICRO COD. 4915705, data 10/2023)</t>
  </si>
  <si>
    <t>Colchão de rachão e/ou pedra-de-mão, com camada final de pedra brita. Fornecimento e execução. Exclusive transporte da pedra</t>
  </si>
  <si>
    <t>EXECUÇÃO E COMPACTAÇÃO DE ATERRO COM SOLO PREDOMINANTEMENTE ARENOSO - EXCLUSIVE SOLO, ESCAVAÇÃO, CARGA E TRANSPORTE. AF_11/2019</t>
  </si>
  <si>
    <t>ATERRO MANUAL DE VALAS COM SOLO ARGILO-ARENOSO. AF_08/2023</t>
  </si>
  <si>
    <t>Remoção mecanizada de revestimento asfáltico, com motoniveladora. Exclusive carga e transporte de bota-fora (REF. SICRO COD. 4915667, db 07/2023)</t>
  </si>
  <si>
    <t>Remoção mecanizada de camada granular do pavimento, com mototoniveladora, exclusive carga. (REF. SICRO COD. 4915669, db 10-2023)</t>
  </si>
  <si>
    <t>Recomposição manual de base ou sub-base para remendo profundo, incluso retirada e colocação do material. Exclusive fornecimento de material e transporte. Ref SINAPI 101835/101822/101827 DB 01-2024</t>
  </si>
  <si>
    <t>EXECUÇÃO E COMPACTAÇÃO DE BASE E OU SUB-BASE PARA PAVIMENTAÇÃO DE SOLO (PREDOMINANTEMENTE ARENOSO) BRITA - 50/50 - EXCLUSIVE SOLO, ESCAVAÇÃO, CARGA E TRANSPORTE. AF_11/2019</t>
  </si>
  <si>
    <t>Reciclagem simples com incorporação do revestimento asfáltico à base (REF. SICRO COD. 4011481)</t>
  </si>
  <si>
    <t>Reciclagem com adição de cimento e incorporação do revestimento asfáltico à base. Exclusive fornecimento de cimento (REF. SICRO COD. 4011482)</t>
  </si>
  <si>
    <t>Reciclagem com adição de brita e incorporação do revestimento asfáltico à base. Exclusive fornecimento de brita (REF. SICRO COD. 4011484)</t>
  </si>
  <si>
    <t>FRESAGEM DE PAVIMENTO ASFÁLTICO (PROFUNDIDADE ATÉ 5,0 CM) - EXCLUSIVE TRANSPORTE. AF_11/2019</t>
  </si>
  <si>
    <t>CIMENTO PORTLAND COMPOSTO CP II-32</t>
  </si>
  <si>
    <t>Microrrevestimento a frio - Microflex, espessura 0,8 cm, com emulsão asfáltica polimerizada RC-1C-E, execução e fornecimento de materiais. Exclusive transportes de insumos e do ligante betuminoso (REF. SICRO COD. 4011408)</t>
  </si>
  <si>
    <t>Microrrevestimento a frio - Microflex, espessura 1,5 cm, com emulsão asfáltica polimerizada RC-1C-E, execução e fornecimento de materiais. Exclusive transportes de insumos e do ligante betuminoso (REF. SICRO COD. 4011410)</t>
  </si>
  <si>
    <t>Microrrevestimento a frio - Microflex, espessura 2,0 cm, com emulsão asfáltica polimerizada RC-1C-E, execução e fornecimento de materiais. Exclusive transportes de insumos e do ligante betuminoso (REF. SICRO COD. 4011412)</t>
  </si>
  <si>
    <t>Capa selante para agulhamento na base, execução e fornecimento de emulsão asfáltica RR-2C. Exclusive transporte (REF. SICRO COD. 4915636, DB 10-2023)</t>
  </si>
  <si>
    <t>EXECUÇÃO DE PAVIMENTO COM APLICAÇÃO DE CONCRETO ASFÁLTICO, CAMADA DE ROLAMENTO - EXCLUSIVE CARGA E TRANSPORTE. AF_11/2019</t>
  </si>
  <si>
    <t>Construção de pavimento com aplicação de concreto betuminoso usinado à quente modificado por polímero elastomérico - CBUQ (p) - CAP 60-85-E - FAIXA "C", camada de rolamento. Exclusive transporte da mistura (REF. SINAPI COD. 95995, DB 09-2023)</t>
  </si>
  <si>
    <t>Tampão F°F° articulado T9, classe B125, carga máxima 12,5 T, redondo tampa 100 mm para registro de água. Incluindo fornecimento, assentamento e requadro em concreto FCK 20mpa, de 0,50m x 0,50m x 0,20m</t>
  </si>
  <si>
    <t>Substituição de tampão de registro de água, incluindo fornecimento de tampão de FºFº articulado T9, Classe B125, carga máxima 12,5 T, redondo tampa 100 mm e requadro em concreto simples FCK 20mpa, de 0,50m x 0,50m x 0,20m</t>
  </si>
  <si>
    <t>Escavação para preparo de subleito, utilizando equipamento de motoniveladora. Exclusive carga e transporte de material. REF SINAPI 96385, DB 10/2023</t>
  </si>
  <si>
    <t>CARGA, MANOBRA E DESCARGA DE SOLOS E MATERIAIS GRANULARES EM CAMINHÃO BASCULANTE 14 M³ - CARGA COM PÁ CARREGADEIRA (CAÇAMBA DE 1,7 A 2,8 M³ / 128 HP) E DESCARGA LIVRE (UNIDADE: M3). AF_07/2020</t>
  </si>
  <si>
    <t>ESCAVAÇÃO VERTICAL PARA INFRAESTRUTURA, COM CARGA, DESCARGA E TRANSPORTE DE SOLO DE 1ª CATEGORIA, COM ESCAVADEIRA HIDRÁULICA (CAÇAMBA: 1,2 M³ / 155 HP), FROTA DE 3 CAMINHÕES BASCULANTES DE 14 M³, DMT ATÉ 1 KM E VELOCIDADE MÉDIA14 KM/H. AF_05/2020</t>
  </si>
  <si>
    <t>REGULARIZAÇÃO E COMPACTAÇÃO DE SUBLEITO DE SOLO  PREDOMINANTEMENTE ARGILOSO. AF_11/2019</t>
  </si>
  <si>
    <t>EXECUÇÃO E COMPACTAÇÃO DE BASE E OU SUB BASE PARA PAVIMENTAÇÃO DE SOLO (PREDOMINANTEMENTE ARENOSO) COM CIMENTO (TEOR DE 2%) - EXCLUSIVE SOLO, ESCAVAÇÃO, CARGA E TRANSPORTE. AF_11/2019</t>
  </si>
  <si>
    <t>EXECUÇÃO E COMPACTAÇÃO DE BASE E OU SUB BASE PARA PAVIMENTAÇÃO DE SOLO (PREDOMINANTEMENTE ARENOSO) COM CIMENTO (TEOR DE 4%) - EXCLUSIVE SOLO, ESCAVAÇÃO, CARGA E TRANSPORTE. AF_11/2019</t>
  </si>
  <si>
    <t>EXECUÇÃO E COMPACTAÇÃO DE BASE E OU SUB BASE PARA PAVIMENTAÇÃO DE SOLO (PREDOMINANTEMENTE ARENOSO) COM CIMENTO (TEOR DE 6%) - EXCLUSIVE SOLO, ESCAVAÇÃO, CARGA E TRANSPORTE. AF_11/2019</t>
  </si>
  <si>
    <t>EXECUÇÃO E COMPACTAÇÃO DE BASE E OU SUB BASE PARA PAVIMENTAÇÃO DE SOLO (PREDOMINANTEMENTE ARENOSO) COM CIMENTO (TEOR DE 8%) - EXCLUSIVE SOLO, ESCAVAÇÃO, CARGA E TRANSPORTE. AF_11/2019</t>
  </si>
  <si>
    <t>EXECUÇÃO DE PAVIMENTO EM PISO INTERTRAVADO, COM BLOCO 16 FACES DE 22 X 11 CM, ESPESSURA 8 CM. AF_10/2022</t>
  </si>
  <si>
    <t>EXECUÇÃO DE PAVIMENTO EM PISO INTERTRAVADO, COM BLOCO 16 FACES DE 22 X 11 CM, ESPESSURA 10 CM. AF_10/2022</t>
  </si>
  <si>
    <t>Meio-fio (guia) com sarjeta, concreto FCK = 20mpa, seção 615 cm², conforme projeto, moldado no local, inclusive recorte de pavimento, escavação e pintura a cal em uma demão. REF SICRO 2003373, DB 07/2023</t>
  </si>
  <si>
    <t>Meio-fio (guia) simples, concreto FCK = 15mpa, seção 285cm2, moldado no local, inclusive escavação e pintura a cal em uma demão</t>
  </si>
  <si>
    <t>Guia para canteiro e ciclovia, concreto FCK = 15mpa, seção 150cm², moldado no local com extrusora, inclusive pintura a cal em uma demão</t>
  </si>
  <si>
    <t>Meio-fio (guia) para rotatórias e ilhas, concreto FCK = 15mpa, seção 875cm2, moldado no local, inclusive escavação e pintura a cal em uma demão</t>
  </si>
  <si>
    <t>Tento (acabamento de limpa-rodas), concreto FCK = 15 mpa, seção 330cm², moldado no local, inclusive escavação</t>
  </si>
  <si>
    <t>Sarjeta em concreto FCK = 15mpa, seção 330cm², moldada no local, exclusive escavação</t>
  </si>
  <si>
    <t>Sarjeta tipo americana em concreto FCK = 15mpa, seção 455cm², moldada no local, inclusive escavação</t>
  </si>
  <si>
    <t>COMPACTAÇÃO MECÂNICA DE SOLO PARA EXECUÇÃO DE RADIER, PISO DE CONCRETO OU LAJE SOBRE SOLO, COM COMPACTADOR DE SOLOS TIPO PLACA VIBRATÓRIA. AF_09/2021</t>
  </si>
  <si>
    <t>PLANTIO DE GRAMA EM PAVIMENTO CONCREGRAMA. AF_05/2018</t>
  </si>
  <si>
    <t>CERCA COM MOURÕES DE CONCRETO, RETO, H=2,30 M, ESPAÇAMENTO DE 2,5 M, CRAVADOS 0,5 M, COM 4 FIOS DE ARAME DE AÇO OVALADO 15X17 - FORNECIMENTO E INSTALAÇÃO. AF_05/2020</t>
  </si>
  <si>
    <t>Defensa metálica semi-maleável tipo simples, em chapa de aço, padrão DNIT, incluindo fornecimento, montagem e refletivos (30x5cm) (REF. SICRO COD. 3713604)</t>
  </si>
  <si>
    <t>Defensa metálica semi-maleável tipo dupla, em chapa de aço, padrão DNIT, incluindo fornecimento, montagem e refletivos (30x5cm) (REF. SICRO COD. 3713606)</t>
  </si>
  <si>
    <t>LIMPEZA MANUAL DE VEGETAÇÃO EM TERRENO COM ENXADA. AF_03/2024</t>
  </si>
  <si>
    <t>Tampão fofo articulado, classe A15, carga máxima 1,5 T, 200 x 200 mm. Incluindo fornecimento, assentamento e requadro com argamassa</t>
  </si>
  <si>
    <t>Tampão fofo simples com base, classe A15, carga máxima 1,5 T, 300 x 300 mm. Incluindo fornecimento, assentamento e requadro com argamassa</t>
  </si>
  <si>
    <t>Tampão fofo simples com base, classe A15, carga máxima 1,5 T, 400 x 400 mm. Incluindo fornecimento, assentamento e requadro com argamassa</t>
  </si>
  <si>
    <t>Tampão fofo simples com base, classe A15, carga máxima 1,5 T, 400 x 600 mm. Incluindo fornecimento, assentamento e requadro com argamassa</t>
  </si>
  <si>
    <t>TAMPA PARA CAIXA TIPO R1, EM FERRO FUNDIDO, DIMENSÕES INTERNAS: 0,40 X 0,60 M - FORNECIMENTO E INSTALAÇÃO. AF_12/2020</t>
  </si>
  <si>
    <t>TAMPA PARA CAIXA TIPO R2 E R3, EM FERRO FUNDIDO, DIMENSÕES INTERNAS: 0,55 X 1,10 M - FORNECIMENTO E INSTALAÇÃO. AF_12/2020</t>
  </si>
  <si>
    <t>Tampa de concreto armado para caixa de passeio, na espessura de 5cm (REF. SINAPI COD. 6171)</t>
  </si>
  <si>
    <t>TUBO PVC, SÉRIE R, ÁGUA PLUVIAL, DN 100 MM, FORNECIDO E INSTALADO EM RAMAL DE ENCAMINHAMENTO. AF_06/2022</t>
  </si>
  <si>
    <t>ALVENARIA DE EMBASAMENTO COM BLOCO ESTRUTURAL DE CERÂMICA, DE 14X19X29CM E ARGAMASSA DE ASSENTAMENTO COM PREPARO EM BETONEIRA. AF_05/2020</t>
  </si>
  <si>
    <t>Dispositivo de segurança na travessia de pedestre - guarda corpo em tubo de aço galvanizado Ø 3", pintado com esmalte sintético em duas demãos</t>
  </si>
  <si>
    <t>EXECUÇÃO DE PAVIMENTO DE CONCRETO SIMPLES (PCS), FCK = 40 MPA, ESPESSURA DE 20,0 CM. AF_04/2022</t>
  </si>
  <si>
    <t>REATERRO MANUAL DE VALAS, COM PLACA VIBRATÓRIA. AF_08/2023</t>
  </si>
  <si>
    <t>EXECUÇÃO DE PASSEIO (CALÇADA) OU PISO DE CONCRETO COM CONCRETO MOLDADO IN LOCO, USINADO, ACABAMENTO CONVENCIONAL, ESPESSURA 8 CM, ARMADO. AF_08/2022</t>
  </si>
  <si>
    <t>Meio-fio (guia) para estação de embarque, concreto FCK = 15mpa, seção 500cm2, moldado no local, inclusive escavação e pintura a cal em uma demão</t>
  </si>
  <si>
    <t>Escavação, carga e transporte de material de 2ª categoria - DMT de 1.400 a 1.600 m - caminho de serviço em revestimento primário - com escavadeira e caminhão basculante de 14 m³ (REF. SICRO COD. 5502618)</t>
  </si>
  <si>
    <t>CONCRETO FCK = 15MPA, TRAÇO 1:3,4:3,5 (EM MASSA SECA DE CIMENTO/ AREIA MÉDIA/ BRITA 1) - PREPARO MECÂNICO COM BETONEIRA 600 L. AF_05/2021</t>
  </si>
  <si>
    <t>FABRICAÇÃO, MONTAGEM E DESMONTAGEM DE FÔRMA PARA SAPATA, EM CHAPA DE MADEIRA COMPENSADA RESINADA, E=17 MM, 4 UTILIZAÇÕES. AF_01/2024</t>
  </si>
  <si>
    <t>ARMAÇÃO DE BLOCO UTILIZANDO AÇO CA-50 DE 10 MM - MONTAGEM. AF_01/2024</t>
  </si>
  <si>
    <t>ARMAÇÃO DE BLOCO, SAPATA ISOLADA, VIGA BALDRAME E SAPATA CORRIDA UTILIZANDO AÇO CA-50 DE 12,5 MM - MONTAGEM. AF_01/2024</t>
  </si>
  <si>
    <t>Enrocamento arrumado de pedra-de-mão ou rachão, fornecimento e apiloamento. Exclusive transporte, ref SINAPI 73698, data 01/2020 e SINAPI 92754.</t>
  </si>
  <si>
    <t>Contenção (RIP-RAP) em solo-cimento ensacado com mistura de solo de jazida com 8% de cimento,  inclusive confecção e assentamento. Exclusive fornecimento e transporte de solo. Ref SICRO CÓD. 1513940, DB 04-2023 e  SINAPI 100974 DB 06-2023</t>
  </si>
  <si>
    <t>FABRICAÇÃO, MONTAGEM E DESMONTAGEM DE FÔRMA PARA CORTINA DE CONTENÇÃO, EM CHAPA DE MADEIRA COMPENSADA PLASTIFICADA, E = 18 MM, 10 UTILIZAÇÕES. AF_07/2019</t>
  </si>
  <si>
    <t>ARMAÇÃO DE CORTINA DE CONTENÇÃO EM CONCRETO ARMADO, COM AÇO CA-50 DE 20 MM - MONTAGEM. AF_07/2019</t>
  </si>
  <si>
    <t>ARMAÇÃO DE CORTINA DE CONTENÇÃO EM CONCRETO ARMADO, COM AÇO CA-50 DE 25 MM - MONTAGEM. AF_07/2019</t>
  </si>
  <si>
    <t>Escoramento com pontaletes D = 15 cm - utilização de 1 vez - confecção e instalação. Ref SICRO cód 2108169</t>
  </si>
  <si>
    <t>M³</t>
  </si>
  <si>
    <t>FABRICAÇÃO DE FÔRMA PARA PILARES E ESTRUTURAS SIMILARES, EM CHAPA DE MADEIRA COMPENSADA RESINADA, E = 17 MM. AF_09/2020</t>
  </si>
  <si>
    <t>ARMAÇÃO DE PILAR OU VIGA DE ESTRUTURA CONVENCIONAL DE CONCRETO ARMADO UTILIZANDO AÇO CA-50 DE 6,3 MM - MONTAGEM. AF_06/2022</t>
  </si>
  <si>
    <t>ARMAÇÃO DE PILAR OU VIGA DE ESTRUTURA CONVENCIONAL DE CONCRETO ARMADO UTILIZANDO AÇO CA-50 DE 25,0 MM - MONTAGEM. AF_06/2022</t>
  </si>
  <si>
    <t>FABRICAÇÃO DE FÔRMA PARA VIGAS, EM CHAPA DE MADEIRA COMPENSADA RESINADA, E = 17 MM. AF_09/2020</t>
  </si>
  <si>
    <t>ARMAÇÃO DE PILAR OU VIGA DE ESTRUTURA CONVENCIONAL DE CONCRETO ARMADO UTILIZANDO AÇO CA-50 DE 12,5 MM - MONTAGEM. AF_06/2022</t>
  </si>
  <si>
    <t>CONCRETO FCK = 30MPA, TRAÇO 1:2,1:2,5 (EM MASSA SECA DE CIMENTO/ AREIA MÉDIA/ BRITA 1) - PREPARO MECÂNICO COM BETONEIRA 600 L. AF_05/2021</t>
  </si>
  <si>
    <t>FABRICAÇÃO, MONTAGEM E DESMONTAGEM DE FÔRMA PARA VIGA BALDRAME, EM CHAPA DE MADEIRA COMPENSADA RESINADA, E=17 MM, 4 UTILIZAÇÕES. AF_01/2024</t>
  </si>
  <si>
    <t>ARMAÇÃO DE PILAR OU VIGA DE ESTRUTURA CONVENCIONAL DE CONCRETO ARMADO UTILIZANDO AÇO CA-50 DE 8,0 MM - MONTAGEM. AF_06/2022</t>
  </si>
  <si>
    <t>FABRICAÇÃO, MONTAGEM E DESMONTAGEM DE FÔRMA PARA VIGA BALDRAME, EM MADEIRA SERRADA, E=25 MM, 4 UTILIZAÇÕES. AF_01/2024</t>
  </si>
  <si>
    <t>ARMAÇÃO DE LAJE DE ESTRUTURA CONVENCIONAL DE CONCRETO ARMADO UTILIZANDO AÇO CA-50 DE 8,0 MM - MONTAGEM. AF_06/2022</t>
  </si>
  <si>
    <t>MANGUEIRA CRISTAL TRANCADA, PVC COM REFORCO, PRESSAO DE TRABALHO (PT) 250 LBS/POL2, DE 1" X *3,4* MM</t>
  </si>
  <si>
    <t>ABRACADEIRA EM ACO PARA AMARRACAO DE ELETRODUTOS, TIPO U SIMPLES, COM 1 1/4"</t>
  </si>
  <si>
    <t>APLICAÇÃO DE GRAXA EM BARRAS DE TRANSFERÊNCIA PARA EXECUÇÃO DE PAVIMENTO DE CONCRETO. AF_04/2022</t>
  </si>
  <si>
    <t>ARMAÇÃO DE LAJE DE ESTRUTURA CONVENCIONAL DE CONCRETO ARMADO UTILIZANDO AÇO CA-50 DE 6,3 MM - MONTAGEM. AF_06/2022</t>
  </si>
  <si>
    <t>ARMAÇÃO DE PILAR OU VIGA DE ESTRUTURA CONVENCIONAL DE CONCRETO ARMADO UTILIZANDO AÇO CA-50 DE 10,0 MM - MONTAGEM. AF_06/2022</t>
  </si>
  <si>
    <t>ARMAÇÃO DE PILAR OU VIGA DE ESTRUTURA CONVENCIONAL DE CONCRETO ARMADO UTILIZANDO AÇO CA-50 DE 20,0 MM - MONTAGEM. AF_06/2022</t>
  </si>
  <si>
    <t>Cordoalha CP 190 RB D = 15,2 mm - fornecimento e instalação (REF. SICRO COD. 4507957, DB 01-2023)</t>
  </si>
  <si>
    <t>Bainha metálica redonda D = 80 mm para 12 cordoalhas D = 15,2 mm - fornecimento, instalação e injeção de nata de cimento (REF. SICRO COD. 4507842, DB 01-2023)</t>
  </si>
  <si>
    <t>Ancoragem ativa com 12 cordoalhas aderentes D = 15,2 mm - fornecimento e instalação (REF. SICRO COD. 4507756, DB 01-2023)</t>
  </si>
  <si>
    <t>Lançamento de viga pré-moldada de 980 a 1.225 kN com utilização de treliça lançadeira (REF. SICRO COD. 3806425, DB 01-2023)</t>
  </si>
  <si>
    <t>MONTAGEM E DESMONTAGEM DE FÔRMA DE PILARES RETANGULARES E ESTRUTURAS SIMILARES, PÉ-DIREITO SIMPLES, EM CHAPA DE MADEIRA COMPENSADA RESINADA, 4 UTILIZAÇÕES. AF_09/2020</t>
  </si>
  <si>
    <t>ARMAÇÃO DE PILAR OU VIGA DE ESTRUTURA CONVENCIONAL DE CONCRETO ARMADO UTILIZANDO AÇO CA-60 DE 5,0 MM - MONTAGEM. AF_06/2022</t>
  </si>
  <si>
    <t>TUBO DE AÇO GALVANIZADO COM COSTURA, CLASSE MÉDIA, DN 65 (2 1/2"), CONEXÃO ROSQUEADA, INSTALADO EM REDE DE ALIMENTAÇÃO PARA HIDRANTE - FORNECIMENTO E INSTALAÇÃO. AF_10/2020</t>
  </si>
  <si>
    <t>Lábios poliméricos em junta de pavimento de concreto - L = 50 mm e H = 30 mm - confecção e assentamento (REF. SICRO COD. 0307084, DB 01-2023)</t>
  </si>
  <si>
    <t>TUBO DE AÇO GALVANIZADO COM COSTURA, CLASSE MÉDIA, DN 100 (4"), CONEXÃO ROSQUEADA, INSTALADO EM REDE DE ALIMENTAÇÃO PARA HIDRANTE - FORNECIMENTO E INSTALAÇÃO. AF_10/2020</t>
  </si>
  <si>
    <t>EXECUÇÃO DE PAVIMENTO EM PISO INTERTRAVADO, COM BLOCO RETANGULAR COR NATURAL DE 20 X 10 CM, ESPESSURA 6 CM. AF_10/2022</t>
  </si>
  <si>
    <t>Meio-fio (guia) simples, concreto FCK = 20mpa, seção 285 cm², moldado no local em trecho reto com extrusora, inclusive pintura a cal em uma demão</t>
  </si>
  <si>
    <t>Pintura de faixas de pedestres, retenção, zebrados, setas e legendas com termoplástico por extrusão - espessura de 3,0 mm (REF. SICRO COD. 5213409, db 07-2023)</t>
  </si>
  <si>
    <t>Pintura de setas e legendas - termoplástico por extrusão - espessura de 3,0 mm (REF. SICRO COD. 5213409, DB 07-23)</t>
  </si>
  <si>
    <t>Pintura de setas e legendas - tinta base acrílica emulsionada em água - espessura de 0,5 mm (REF. SICRO COD. 5213407, DB 04-21)</t>
  </si>
  <si>
    <t>Pintura de faixa com termoplástico por aspersão - espessura de 1,5 mm (REF. SICRO COD. 5213408, DB 07-23)</t>
  </si>
  <si>
    <t>Pintura de faixa - termoplástico em alto relevo tipo II - relevo simples ranhurado - base (REF. SICRO COD. 5214004, DB 04-21)</t>
  </si>
  <si>
    <t>Pintura de piso para ciclofaixa - plástico a frio bicomponente à base de resinas metacrílicas - espessura de 1,5 mm - plano (REF. SICRO COD. 5214009, DB 04-21)</t>
  </si>
  <si>
    <t>Pintura de faixa para ciclovia - tinta base acrílica emulsionada em água - espessura de 0,3 mm (REF. SICRO COD. 5214001, DB 04-21)</t>
  </si>
  <si>
    <t>Pintura de piso de ciclovia - tinta base acrílica emulsionada em água - espessura de 0,3 mm (REF. SICRO COD. 5214002, DB 04-21)</t>
  </si>
  <si>
    <t>Pintura de faixa - tinta base acrílica emulsionada em água - espessura de 0,5 mm (REF. SICRO COD. 5213403, DB 04-21)</t>
  </si>
  <si>
    <t>Laminado elastoplástico para sinalização horizontal - espessura de 1,5 mm - fornecimento e implantação (REF. SICRO COD. 5213358, DB 07-23)</t>
  </si>
  <si>
    <t>Aplicação de selante asfáltico a base de resina acrílica para pavimentos de concreto, usado como imprimador para material termoplástico, inclusive fornecimento dos materiais necessários conforme especificação AGETRAN / PMCG (CET-RIO COD. ST 74.05.0600)</t>
  </si>
  <si>
    <t>Tacha refletiva em resina sintética - monodirecional tipo II - com um pino - fornecimento e colocação, padrão DNIT, fixada com cola polister (REF. SICRO COD. 5219629, DB 07-23)</t>
  </si>
  <si>
    <t>Tacha refletiva bidirecional, padrão DNIT, fornecimento e fixada com cola polister (REF. SICRO COD. 5219619)</t>
  </si>
  <si>
    <t>Tachão refletivo monodirecional, padrão DNIT, fornecimento e fixada com cola polister (REF. SICRO COD. 5219644)</t>
  </si>
  <si>
    <t>Tachão refletivo bidirecional, padrão DNIT, fornecimento e fixada com cola polister (REF. SICRO COD. 5219643)</t>
  </si>
  <si>
    <t>Fornecimento e implantação de coluna de aço cônica contínua, tipo I, para até 4 braços projetados capaz de sustentar, cada um, semáforo e placa de 3m²; coluna galvanizada a fogo; altura útil total de 5,00m; diâmetro na base igual a 187mm; conforme especificação da AGETRAN / PMCG</t>
  </si>
  <si>
    <t>Fornecimento e implantação de braço projetado de aço para sustentação de semáforo e placa até 3m², galvanizado a fogo; para fixação em coluna cônica continua tipo I, projeção de 4,70m; diâmetro junto a flange de 123mm; conforme especificação da AGETRAN / PMCG</t>
  </si>
  <si>
    <t>Poste simples madeira de lei aparelhada 75 x 75 x 3500 mm para suporte de placa de sinalização, pintado com esmalte sintético e fixado em base de concreto estrutural -fornecimento e implantação. Inclusive serviço de implantação da placa de sinalização</t>
  </si>
  <si>
    <t>Fornecimento e implantação de coluna simples dn de 2”, espessura da parede 3,0mm, altura total de 3,50m, em aço galvanizado por imersão à quente. Inclusive instalação da placa de sinalização e elementos de fixação, exclusive fornecimento da placa. Ref SICRO 5213863 e 5213464, db 07-23</t>
  </si>
  <si>
    <t>Implantação de placa de sinalização em poste de energia elétrica, incluindo elementos de fixação</t>
  </si>
  <si>
    <t>Implantação de placa de sinalização em braço projetado, incluindo elementos de fixação</t>
  </si>
  <si>
    <t>Placa em alumínio, espessura de 1,5 mm, com película retrorrefletiva tipo I + III - confecção. Ref SICRO 5213417, db 07-2023</t>
  </si>
  <si>
    <t>PLACA DE SINALIZACAO EM CHAPA DE ALUMINIO COM PINTURA REFLETIVA, E = 2 MM</t>
  </si>
  <si>
    <t>PLACA DE ACO ESMALTADA PARA  IDENTIFICACAO DE RUA, *45 CM X 20* CM</t>
  </si>
  <si>
    <t>ELETRODUTO FLEXÍVEL CORRUGADO, PEAD, DN 90 (3"), PARA REDE ENTERRADA DE DISTRIBUIÇÃO DE ENERGIA ELÉTRICA - FORNECIMENTO E INSTALAÇÃO. AF_12/2021</t>
  </si>
  <si>
    <t>Execução de vala para passagem de eletrodutos nos cruzamentos de semáforos, dimensões (0,40 m de largura x 0,7 m de profundidade). Inclusivo recorte do pavimento, escavação da vala com retroescadeira, reaterro e envelopamento de duto com concreto (30x30cm). Exclusive fornecimento e instalação de dutos</t>
  </si>
  <si>
    <t>CAIXA ENTERRADA ELÉTRICA RETANGULAR, EM CONCRETO PRÉ-MOLDADO, FUNDO COM BRITA, DIMENSÕES INTERNAS: 0,4X0,4X0,4 M. AF_12/2020</t>
  </si>
  <si>
    <t>Tampa para caixa em ferro fundido, dimensões: 0,40 x 0,40 m - fornecimento e instalação (REF. SINAPI COD. 101798, db 11/2023)</t>
  </si>
  <si>
    <t>Reprografia e montagem de relatório (texto e desenho)</t>
  </si>
  <si>
    <t>Mobilização e desmobilização de equipe de técnica, distância acima de 20km</t>
  </si>
  <si>
    <t>Mobilização e desmobilização de equipe de geotecnia, distância maior que 20km</t>
  </si>
  <si>
    <t>Mobilização e desmobilização de equipe de topografia, distância maior que 20km</t>
  </si>
  <si>
    <t>Estudo conceitual para implantação de parque público - master plan</t>
  </si>
  <si>
    <t>ha</t>
  </si>
  <si>
    <t>Elaboração de estudos de viabilidade para projetos de pavimentação, drenagem, sinalização viária, acessibilidade e orçamento</t>
  </si>
  <si>
    <t>Elaboração de estudos de viabilidade para projeto funcional de OAE (ponte) em concreto armado inclusive estudos hidrológico e projeto de acessibilidade e sinalização viária. Exclusive serviços topográficos e geotécnicos</t>
  </si>
  <si>
    <t>Elaboração de estudo hidrológico de área urbanizada</t>
  </si>
  <si>
    <t>Elaboração de estudo hidrológico de área rural</t>
  </si>
  <si>
    <t>km²</t>
  </si>
  <si>
    <t>Serviços geotécnicos de sondagem à trado ( 1 un com 2m de prof.) e ensaios de solo de granulometria por peneiramento, limites de liquidez e plasticidade, compactação e ISC na energia modificada (1 cj)</t>
  </si>
  <si>
    <t>Serviços geotécnicos de sondagem à trado (1un com 2m de prof.) e ensaios de solo de granulometria por peneiramento, limites de liquidez e plasticidade, compactação e ISC na energia intermediária (1cj)</t>
  </si>
  <si>
    <t>Serviços geotécnicos de sondagem à trado (1un com 2m de prof.) e ensaios de solo de granulometria por peneiramento, limites de liquidez e plasticidade, compactação e ISC na energia intermediária, com reuso de material (1cj)</t>
  </si>
  <si>
    <t>Deslocamento de equipamento entre furos em terreno plano, considerando a distância até 100m</t>
  </si>
  <si>
    <t>Sondagem à percussão (SPT) com lavagem</t>
  </si>
  <si>
    <t>Avaliação e análise geotécnica de taludes e estabilidade de maciços em terra. Exclusive ensaios geotécnicos</t>
  </si>
  <si>
    <t>Elaboração de estudos topográficos e geotécnicos</t>
  </si>
  <si>
    <t>Levantamento topográfico por GPS ou voo aerofotogramétrico em áreas de difícil acesso, relevo acidentado e pouco habitada</t>
  </si>
  <si>
    <t>Levantamento topográfico planialtimétrico semi-cadastral</t>
  </si>
  <si>
    <t>Elaboração de projetos executivos geométrico, terraplenagem, pavimentação, drenagem superficial, galeria de água pluvial, sinalização viária e acessibilidade</t>
  </si>
  <si>
    <t>Projeto executivo de terraplenagem, geométrico, pavimentação, sinalização viária e acessibilidade. Exclusive projeto de galeria de água pluvial</t>
  </si>
  <si>
    <t>Elaboração de projeto executivo de galerias de drenagem de águas pluviais. Exclusive serviços topográficos e geotécnicos</t>
  </si>
  <si>
    <t>Elaboração de projetos executivo de interseção e adequação viária em até 3.000m² de área de intervenção. Incluindo projetos geométrico, terraplenagem, pavimentação, drenagem superficial e bueiros, sinalização viária e acessibilidade. Exclusive serviços topográficos e geotécnicos</t>
  </si>
  <si>
    <t>Elaboração projeto executivo de calçada em via urbana, incluindo estudos topográficos e acessibilidade</t>
  </si>
  <si>
    <t>Elaboração projeto executivo de ciclovia e ciclofaixa em via urbana, incluindo estudos topográficos e projeto de sinalização viária e acessibilidade</t>
  </si>
  <si>
    <t>Elaboração de estudo de avaliação estrutural do pavimento – viga benkelman e/ou Falling Weight Deflectometer - FWD. Extensão mínima 20 km</t>
  </si>
  <si>
    <t>km.faixa</t>
  </si>
  <si>
    <t>Elaboração projeto de restauração funcional do pavimento, incluindo estudos topográficos e geotécnicos, projetos drenagem superficial, sinalização viária e acessibilidade</t>
  </si>
  <si>
    <t>Elaboração projeto executivo de iluminação pública</t>
  </si>
  <si>
    <t>Elaboração de projeto estrutural de OAE (ponte) em concreto armado inclusive estudos hidrológico e projeto de acessibilidade e sinalização viária. Exclusive serviços topográficos e geotécnicos</t>
  </si>
  <si>
    <t>Elaboração de projeto executivo de controle de erosão, compreendendo concepção de obras estruturantes, terraplenagem, geometria e drenagem, incluindo serviços topográficos e geotécnicos (3 ensaios completos e 3 SPT). Exclusive levantamento aerofotogramétrico</t>
  </si>
  <si>
    <t>Elaboração de projeto executivo de bacia de amortecimento de drenagem de águas pluviais. Exclusive serviços topográficos e geotécnicos e projeto estrutural de contenção de talude</t>
  </si>
  <si>
    <t>Elaboração de projeto executivo estrutural e hidráulico de dispositivos de controle de velocidade e vazão de águas pluviais em concreto ou similar, até 50 m³</t>
  </si>
  <si>
    <t>Elaboração de projeto estrutural de estabilização de taludes através de muro de arrimo de peso e/ou gabião. Exclusive serviços topográficos e geotécnicos</t>
  </si>
  <si>
    <t>Elaboração de projeto estrutural de estabilização de taludes através de muro em concreto armado e/ou cortina atirantada. Exclusive serviços topográficos e geotécnicos</t>
  </si>
  <si>
    <t>Orçamento de obras, cronograma, composições, cotações e plano de execução das obras</t>
  </si>
  <si>
    <t>Licenciamento Ambiental para projeto de lançamento de drenagem de águas pluviais</t>
  </si>
  <si>
    <t>Elaboração de estudos e projetos executivo de adequação de capacidade hidráulica e estrutural de bueiro rodoviário. Exclusive serviços topográficos e geotécnicos</t>
  </si>
  <si>
    <t>OBRA:</t>
  </si>
  <si>
    <t>UN.</t>
  </si>
  <si>
    <t>QTD. ORÇAMENTO</t>
  </si>
  <si>
    <t>(%) VALOR ORC.</t>
  </si>
  <si>
    <t>QTD. ATESTADO</t>
  </si>
  <si>
    <t>(Ref. Item 2,02)</t>
  </si>
  <si>
    <t>REMENDO PROFUNDO, COM REQUADRAMENTO MECÂNICO, ESCAVAÇÃO, COMPACTAÇÃO DO MATERIAL DE BASE E DA MISTURA BETUMINOSA E CARGA DO ENTULHO.</t>
  </si>
  <si>
    <t>OU</t>
  </si>
  <si>
    <t>(Ref. Item 2,05)</t>
  </si>
  <si>
    <t xml:space="preserve">RECOMPOSIÇÃO MANUAL DE CONCRETO BETUMINOSO USINADO A QUENTE (CBUQ) PARA FECHAMENTO DE VALA E REMENDO. </t>
  </si>
  <si>
    <r>
      <t>87,01%</t>
    </r>
    <r>
      <rPr>
        <sz val="9"/>
        <color theme="0"/>
        <rFont val="Arial"/>
        <family val="2"/>
      </rPr>
      <t>s</t>
    </r>
  </si>
  <si>
    <t>ITENS MAIOR RELEVÂNCIA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</si>
</sst>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00_);\(#,##0.000\)"/>
    <numFmt numFmtId="165" formatCode="mmmm\,\ yyyy;@"/>
    <numFmt numFmtId="166" formatCode="General\ &quot;mês&quot;"/>
    <numFmt numFmtId="167" formatCode="General\ &quot;meses&quot;"/>
    <numFmt numFmtId="168" formatCode="0.0%"/>
    <numFmt numFmtId="169" formatCode="General\ &quot;m3&quot;"/>
    <numFmt numFmtId="170" formatCode="General&quot; m3/h&quot;"/>
    <numFmt numFmtId="171" formatCode="General&quot; m2/h&quot;"/>
    <numFmt numFmtId="172" formatCode="[$-416]mmmm\-yy;@"/>
    <numFmt numFmtId="173" formatCode="General&quot; m/h&quot;"/>
    <numFmt numFmtId="174" formatCode="General&quot; un/h&quot;"/>
    <numFmt numFmtId="175" formatCode="General&quot; kg/un&quot;"/>
    <numFmt numFmtId="176" formatCode="#,##0.00\ &quot;M3&quot;"/>
    <numFmt numFmtId="177" formatCode="General\ &quot;T&quot;"/>
    <numFmt numFmtId="178" formatCode="#,##0.00_ ;\-#,##0.00\ "/>
    <numFmt numFmtId="179" formatCode="#,##0.000_);[Red]\(#,##0.000\)"/>
    <numFmt numFmtId="180" formatCode="0.000%"/>
    <numFmt numFmtId="181" formatCode="0.0000%"/>
    <numFmt numFmtId="182" formatCode="#,##0.00000_);\(#,##0.00000\)"/>
    <numFmt numFmtId="183" formatCode="0.0000000000%"/>
    <numFmt numFmtId="184" formatCode="General\ &quot;m²&quot;"/>
    <numFmt numFmtId="185" formatCode="dd/mm/yy"/>
    <numFmt numFmtId="186" formatCode="_(* #,##0_);_(* \(#,##0\);_(* &quot;-&quot;??_);_(@_)"/>
    <numFmt numFmtId="187" formatCode="#,##0.0000;[Red]\-#,##0.0000"/>
    <numFmt numFmtId="188" formatCode="#,##0.000000"/>
    <numFmt numFmtId="189" formatCode="#,##0.000;\-#,##0.000"/>
    <numFmt numFmtId="190" formatCode="#,##0.0;\-#,##0.0"/>
    <numFmt numFmtId="191" formatCode="#,##0_ ;\-#,##0\ "/>
    <numFmt numFmtId="192" formatCode="#,##0.0_ ;\-#,##0.0\ "/>
    <numFmt numFmtId="193" formatCode="#,##0.000"/>
    <numFmt numFmtId="194" formatCode="#,##0.000_ ;\-#,##0.000\ "/>
    <numFmt numFmtId="195" formatCode="0.000000"/>
    <numFmt numFmtId="196" formatCode="General\ &quot;kg/m3&quot;"/>
    <numFmt numFmtId="197" formatCode="General\ &quot;kg/m2&quot;"/>
    <numFmt numFmtId="198" formatCode="General\ &quot;m3/m3&quot;"/>
    <numFmt numFmtId="199" formatCode="General\ &quot;T/m2&quot;"/>
    <numFmt numFmtId="200" formatCode="General\ &quot;T/un&quot;"/>
    <numFmt numFmtId="201" formatCode="#,##0.0000;\-#,##0.0000"/>
    <numFmt numFmtId="202" formatCode="0.000"/>
    <numFmt numFmtId="203" formatCode="General&quot; kg/m&quot;"/>
    <numFmt numFmtId="204" formatCode="General\ &quot;m3/un&quot;"/>
    <numFmt numFmtId="205" formatCode="#,##0.0"/>
    <numFmt numFmtId="206" formatCode="0.0"/>
    <numFmt numFmtId="207" formatCode="#,##0.0000_);\(#,##0.0000\)"/>
    <numFmt numFmtId="208" formatCode="#,##0.000000_);\(#,##0.000000\)"/>
    <numFmt numFmtId="209" formatCode="#,##0.0_);\(#,##0.0\)"/>
    <numFmt numFmtId="210" formatCode="General\ &quot;T/m3&quot;"/>
    <numFmt numFmtId="211" formatCode="\+\ #.00"/>
    <numFmt numFmtId="212" formatCode="\+\ #.000"/>
    <numFmt numFmtId="213" formatCode="General&quot; m²&quot;"/>
    <numFmt numFmtId="214" formatCode="0.0E+00"/>
    <numFmt numFmtId="215" formatCode="0.E+00"/>
    <numFmt numFmtId="216" formatCode="&quot;Ø&quot;#,##0.00&quot;m&quot;"/>
    <numFmt numFmtId="217" formatCode="#,##0.000;[Red]\-#,##0.000"/>
    <numFmt numFmtId="218" formatCode="0\ &quot;anos&quot;"/>
    <numFmt numFmtId="219" formatCode="#,##0.00_ ;[Red]\-#,##0.00\ "/>
    <numFmt numFmtId="220" formatCode="General&quot; m&quot;"/>
    <numFmt numFmtId="221" formatCode="General\ &quot;m&quot;"/>
  </numFmts>
  <fonts count="170">
    <font>
      <sz val="10"/>
      <name val="Courie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Courier"/>
    </font>
    <font>
      <sz val="10"/>
      <color indexed="1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name val="Courier"/>
      <family val="3"/>
    </font>
    <font>
      <sz val="12"/>
      <color indexed="10"/>
      <name val="Arial"/>
      <family val="2"/>
    </font>
    <font>
      <b/>
      <sz val="12"/>
      <color rgb="FFFF0000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b/>
      <sz val="12"/>
      <name val="Calibri"/>
      <family val="2"/>
    </font>
    <font>
      <b/>
      <sz val="10"/>
      <color theme="0"/>
      <name val="Arial"/>
      <family val="2"/>
    </font>
    <font>
      <sz val="12"/>
      <color rgb="FF1E1E1E"/>
      <name val="Segoe UI"/>
      <family val="2"/>
    </font>
    <font>
      <sz val="10"/>
      <color rgb="FF0000FF"/>
      <name val="Arial"/>
      <family val="2"/>
    </font>
    <font>
      <u/>
      <sz val="10"/>
      <color theme="10"/>
      <name val="Courier"/>
      <family val="3"/>
    </font>
    <font>
      <u/>
      <sz val="10"/>
      <name val="Courier"/>
      <family val="3"/>
    </font>
    <font>
      <sz val="10"/>
      <color rgb="FFFF0000"/>
      <name val="Arial"/>
      <family val="2"/>
    </font>
    <font>
      <sz val="10"/>
      <name val="Calibri"/>
      <family val="2"/>
    </font>
    <font>
      <sz val="10"/>
      <name val="Courier"/>
      <family val="2"/>
    </font>
    <font>
      <u/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0"/>
      <color indexed="10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16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2"/>
      <color rgb="FFFF0000"/>
      <name val="Calibri"/>
      <family val="2"/>
    </font>
    <font>
      <sz val="8"/>
      <name val="Arial"/>
      <family val="2"/>
    </font>
    <font>
      <b/>
      <sz val="15"/>
      <name val="Arial"/>
      <family val="2"/>
    </font>
    <font>
      <b/>
      <sz val="11"/>
      <name val="Arial"/>
      <family val="2"/>
    </font>
    <font>
      <b/>
      <sz val="10"/>
      <name val="Courier"/>
      <family val="3"/>
    </font>
    <font>
      <b/>
      <sz val="9"/>
      <name val="Arial"/>
      <family val="2"/>
    </font>
    <font>
      <b/>
      <sz val="9"/>
      <color rgb="FFFF0000"/>
      <name val="Arial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  <font>
      <sz val="8"/>
      <color theme="1" tint="0.34998626667073579"/>
      <name val="Arial"/>
      <family val="2"/>
    </font>
    <font>
      <sz val="8"/>
      <color rgb="FFFF0000"/>
      <name val="Arial"/>
      <family val="2"/>
    </font>
    <font>
      <b/>
      <sz val="12"/>
      <color rgb="FFFF0000"/>
      <name val="Courier"/>
      <family val="3"/>
    </font>
    <font>
      <b/>
      <sz val="10"/>
      <color rgb="FFFF0000"/>
      <name val="Courier"/>
      <family val="3"/>
    </font>
    <font>
      <sz val="11"/>
      <color theme="9" tint="-0.249977111117893"/>
      <name val="Aptos Narrow"/>
      <family val="2"/>
      <scheme val="minor"/>
    </font>
    <font>
      <i/>
      <sz val="11"/>
      <color theme="9" tint="-0.249977111117893"/>
      <name val="Aptos Narrow"/>
      <family val="2"/>
      <scheme val="minor"/>
    </font>
    <font>
      <b/>
      <sz val="28"/>
      <color indexed="8"/>
      <name val="Tahoma"/>
      <family val="2"/>
    </font>
    <font>
      <b/>
      <sz val="12"/>
      <color indexed="8"/>
      <name val="Tahoma"/>
      <family val="2"/>
    </font>
    <font>
      <b/>
      <sz val="11"/>
      <color indexed="8"/>
      <name val="Tahoma"/>
      <family val="2"/>
    </font>
    <font>
      <b/>
      <sz val="4"/>
      <name val="Tahoma"/>
      <family val="2"/>
    </font>
    <font>
      <b/>
      <sz val="11"/>
      <color indexed="8"/>
      <name val="Arial"/>
      <family val="2"/>
    </font>
    <font>
      <sz val="4"/>
      <color indexed="8"/>
      <name val="Tahoma"/>
      <family val="2"/>
    </font>
    <font>
      <b/>
      <sz val="4"/>
      <color indexed="8"/>
      <name val="Arial"/>
      <family val="2"/>
    </font>
    <font>
      <sz val="4"/>
      <name val="Arial"/>
      <family val="2"/>
    </font>
    <font>
      <sz val="4"/>
      <color indexed="8"/>
      <name val="Arial"/>
      <family val="2"/>
    </font>
    <font>
      <sz val="11"/>
      <color theme="1"/>
      <name val="Tahoma"/>
      <family val="2"/>
    </font>
    <font>
      <sz val="11"/>
      <color indexed="8"/>
      <name val="Arial"/>
      <family val="2"/>
    </font>
    <font>
      <sz val="12"/>
      <color indexed="8"/>
      <name val="Tahoma"/>
      <family val="2"/>
    </font>
    <font>
      <b/>
      <sz val="4"/>
      <name val="Arial"/>
      <family val="2"/>
    </font>
    <font>
      <sz val="9"/>
      <color theme="0" tint="-0.34998626667073579"/>
      <name val="Tahoma"/>
      <family val="2"/>
    </font>
    <font>
      <sz val="9"/>
      <color theme="0" tint="-0.249977111117893"/>
      <name val="Tahoma"/>
      <family val="2"/>
    </font>
    <font>
      <b/>
      <sz val="10"/>
      <name val="Heveltica"/>
    </font>
    <font>
      <sz val="10"/>
      <name val="Heveltica"/>
    </font>
    <font>
      <b/>
      <sz val="36"/>
      <color indexed="8"/>
      <name val="Tahoma"/>
      <family val="2"/>
    </font>
    <font>
      <b/>
      <sz val="20"/>
      <color rgb="FF000000"/>
      <name val="Tahoma"/>
      <family val="2"/>
    </font>
    <font>
      <sz val="12"/>
      <color rgb="FF000000"/>
      <name val="Tahoma"/>
      <family val="2"/>
    </font>
    <font>
      <b/>
      <sz val="12"/>
      <color indexed="8"/>
      <name val="Arial"/>
      <family val="2"/>
    </font>
    <font>
      <b/>
      <sz val="12"/>
      <color rgb="FF00B050"/>
      <name val="Arial"/>
      <family val="2"/>
    </font>
    <font>
      <sz val="12"/>
      <color indexed="8"/>
      <name val="Arial"/>
      <family val="2"/>
    </font>
    <font>
      <sz val="10"/>
      <color theme="0" tint="-0.249977111117893"/>
      <name val="Tahoma"/>
      <family val="2"/>
    </font>
    <font>
      <b/>
      <sz val="13"/>
      <name val="Arial"/>
      <family val="2"/>
    </font>
    <font>
      <sz val="13"/>
      <name val="Arial"/>
      <family val="2"/>
    </font>
    <font>
      <b/>
      <sz val="15"/>
      <name val="Calibri"/>
      <family val="2"/>
    </font>
    <font>
      <b/>
      <sz val="14"/>
      <name val="Arial"/>
      <family val="2"/>
    </font>
    <font>
      <sz val="16"/>
      <name val="Arial"/>
      <family val="2"/>
    </font>
    <font>
      <sz val="16"/>
      <color rgb="FFFF0000"/>
      <name val="Arial"/>
      <family val="2"/>
    </font>
    <font>
      <sz val="8"/>
      <color indexed="8"/>
      <name val="Times New Roman"/>
      <family val="1"/>
    </font>
    <font>
      <b/>
      <sz val="7"/>
      <color rgb="FFFF0000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25"/>
      <name val="Arial"/>
      <family val="2"/>
    </font>
    <font>
      <sz val="15"/>
      <name val="Arial"/>
      <family val="2"/>
    </font>
    <font>
      <b/>
      <sz val="8"/>
      <name val="Calibri"/>
      <family val="2"/>
    </font>
    <font>
      <sz val="17"/>
      <name val="Arial"/>
      <family val="2"/>
    </font>
    <font>
      <sz val="9"/>
      <name val="Courier"/>
      <family val="3"/>
    </font>
    <font>
      <b/>
      <sz val="10"/>
      <color rgb="FF00B0F0"/>
      <name val="Arial"/>
      <family val="2"/>
    </font>
    <font>
      <sz val="9"/>
      <name val="Arial"/>
      <family val="2"/>
    </font>
    <font>
      <sz val="8"/>
      <name val="Courier"/>
      <family val="3"/>
    </font>
    <font>
      <sz val="17"/>
      <color rgb="FFFF0000"/>
      <name val="Arial"/>
      <family val="2"/>
    </font>
    <font>
      <b/>
      <sz val="8"/>
      <color rgb="FF00B0F0"/>
      <name val="Arial"/>
      <family val="2"/>
    </font>
    <font>
      <b/>
      <sz val="8"/>
      <color rgb="FFFF0000"/>
      <name val="Wingdings 3"/>
      <family val="1"/>
      <charset val="2"/>
    </font>
    <font>
      <b/>
      <sz val="8"/>
      <color rgb="FF0000FF"/>
      <name val="Arial"/>
      <family val="2"/>
    </font>
    <font>
      <b/>
      <sz val="8"/>
      <color theme="0"/>
      <name val="Arial"/>
      <family val="2"/>
    </font>
    <font>
      <b/>
      <sz val="15"/>
      <color theme="0" tint="-0.34998626667073579"/>
      <name val="Arial"/>
      <family val="2"/>
    </font>
    <font>
      <sz val="15"/>
      <color theme="0" tint="-0.34998626667073579"/>
      <name val="Arial"/>
      <family val="2"/>
    </font>
    <font>
      <b/>
      <sz val="8"/>
      <color rgb="FFCCFFCC"/>
      <name val="Arial"/>
      <family val="2"/>
    </font>
    <font>
      <sz val="10"/>
      <color theme="0" tint="-0.34998626667073579"/>
      <name val="Arial"/>
      <family val="2"/>
    </font>
    <font>
      <b/>
      <sz val="6"/>
      <color rgb="FFFF0000"/>
      <name val="Arial"/>
      <family val="2"/>
    </font>
    <font>
      <b/>
      <sz val="8"/>
      <color rgb="FFFF0000"/>
      <name val="Calibri"/>
      <family val="2"/>
    </font>
    <font>
      <sz val="12"/>
      <name val="Calibri"/>
      <family val="2"/>
    </font>
    <font>
      <sz val="15"/>
      <name val="Courier"/>
      <family val="2"/>
    </font>
    <font>
      <sz val="11"/>
      <name val="Calibri"/>
      <family val="2"/>
    </font>
    <font>
      <sz val="8"/>
      <color rgb="FF0070C0"/>
      <name val="Arial"/>
      <family val="2"/>
    </font>
    <font>
      <sz val="8"/>
      <color theme="4"/>
      <name val="Arial"/>
      <family val="2"/>
    </font>
    <font>
      <b/>
      <sz val="10"/>
      <name val="Calibri"/>
      <family val="2"/>
    </font>
    <font>
      <b/>
      <sz val="8"/>
      <color indexed="81"/>
      <name val="Tahoma"/>
      <family val="2"/>
    </font>
    <font>
      <b/>
      <sz val="8"/>
      <color theme="0" tint="-0.34998626667073579"/>
      <name val="Arial"/>
      <family val="2"/>
    </font>
    <font>
      <sz val="25"/>
      <name val="Arial"/>
      <family val="2"/>
    </font>
    <font>
      <sz val="15"/>
      <color rgb="FFFF0000"/>
      <name val="Arial"/>
      <family val="2"/>
    </font>
    <font>
      <sz val="8"/>
      <name val="Calibri"/>
      <family val="2"/>
    </font>
    <font>
      <sz val="20"/>
      <name val="Arial"/>
      <family val="2"/>
    </font>
    <font>
      <b/>
      <i/>
      <sz val="8"/>
      <color rgb="FFFF0000"/>
      <name val="Arial"/>
      <family val="2"/>
    </font>
    <font>
      <b/>
      <i/>
      <sz val="10"/>
      <color rgb="FFFF0000"/>
      <name val="Arial"/>
      <family val="2"/>
    </font>
    <font>
      <i/>
      <sz val="8"/>
      <color rgb="FFFF0000"/>
      <name val="Arial"/>
      <family val="2"/>
    </font>
    <font>
      <i/>
      <sz val="10"/>
      <color rgb="FFFF0000"/>
      <name val="Arial"/>
      <family val="2"/>
    </font>
    <font>
      <b/>
      <sz val="10"/>
      <color rgb="FFCCFFCC"/>
      <name val="Arial"/>
      <family val="2"/>
    </font>
    <font>
      <b/>
      <sz val="15"/>
      <color rgb="FFFF0000"/>
      <name val="Arial"/>
      <family val="2"/>
    </font>
    <font>
      <b/>
      <vertAlign val="superscript"/>
      <sz val="8"/>
      <name val="Arial"/>
      <family val="2"/>
    </font>
    <font>
      <sz val="8"/>
      <color rgb="FFCCFFCC"/>
      <name val="Arial"/>
      <family val="2"/>
    </font>
    <font>
      <b/>
      <sz val="12"/>
      <color theme="1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8"/>
      <name val="Arial"/>
      <family val="2"/>
    </font>
    <font>
      <sz val="40"/>
      <name val="Arial"/>
      <family val="2"/>
    </font>
    <font>
      <sz val="6"/>
      <name val="Arial"/>
      <family val="2"/>
    </font>
    <font>
      <sz val="45"/>
      <name val="Arial"/>
      <family val="2"/>
    </font>
    <font>
      <b/>
      <sz val="20"/>
      <name val="Arial"/>
      <family val="2"/>
    </font>
    <font>
      <sz val="50"/>
      <name val="Arial"/>
      <family val="2"/>
    </font>
    <font>
      <sz val="9"/>
      <name val="Calibri"/>
      <family val="2"/>
    </font>
    <font>
      <sz val="6"/>
      <name val="Calibri"/>
      <family val="2"/>
    </font>
    <font>
      <vertAlign val="subscript"/>
      <sz val="10"/>
      <name val="Calibri"/>
      <family val="2"/>
    </font>
    <font>
      <sz val="6.5"/>
      <name val="Calibri"/>
      <family val="2"/>
    </font>
    <font>
      <sz val="9"/>
      <name val="Times New Roman"/>
      <family val="1"/>
    </font>
    <font>
      <sz val="14.5"/>
      <name val="Calibri"/>
      <family val="2"/>
    </font>
    <font>
      <sz val="10.5"/>
      <name val="Times New Roman"/>
      <family val="1"/>
    </font>
    <font>
      <sz val="10"/>
      <name val="Times New Roman"/>
      <family val="1"/>
    </font>
    <font>
      <sz val="14"/>
      <name val="Calibri"/>
      <family val="2"/>
    </font>
    <font>
      <sz val="8"/>
      <name val="Times New Roman"/>
      <family val="1"/>
    </font>
    <font>
      <sz val="13"/>
      <name val="Calibri"/>
      <family val="2"/>
    </font>
    <font>
      <sz val="7.5"/>
      <name val="Calibri"/>
      <family val="2"/>
    </font>
    <font>
      <sz val="8.5"/>
      <name val="Calibri"/>
      <family val="2"/>
    </font>
    <font>
      <sz val="5.5"/>
      <name val="Calibri"/>
      <family val="2"/>
    </font>
    <font>
      <sz val="11.5"/>
      <name val="Times New Roman"/>
      <family val="1"/>
    </font>
    <font>
      <sz val="13.5"/>
      <name val="Calibri"/>
      <family val="2"/>
    </font>
    <font>
      <sz val="10"/>
      <color rgb="FFCCFFCC"/>
      <name val="Arial"/>
      <family val="2"/>
    </font>
    <font>
      <sz val="15"/>
      <color indexed="81"/>
      <name val="Tahoma"/>
      <family val="2"/>
    </font>
    <font>
      <sz val="8"/>
      <name val="Symbol"/>
      <family val="1"/>
      <charset val="2"/>
    </font>
    <font>
      <vertAlign val="superscript"/>
      <sz val="8"/>
      <name val="Arial"/>
      <family val="2"/>
    </font>
    <font>
      <b/>
      <i/>
      <vertAlign val="superscript"/>
      <sz val="12"/>
      <name val="Arial"/>
      <family val="2"/>
    </font>
    <font>
      <b/>
      <sz val="15"/>
      <color theme="1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sz val="11"/>
      <color indexed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1"/>
      <name val="Calibri"/>
      <family val="2"/>
    </font>
    <font>
      <b/>
      <sz val="8"/>
      <color indexed="81"/>
      <name val="Calibri"/>
      <family val="2"/>
    </font>
    <font>
      <b/>
      <sz val="11"/>
      <color rgb="FFFF0000"/>
      <name val="Arial"/>
      <family val="2"/>
    </font>
    <font>
      <sz val="8"/>
      <color indexed="10"/>
      <name val="Arial"/>
      <family val="2"/>
    </font>
    <font>
      <b/>
      <sz val="7"/>
      <name val="Arial"/>
      <family val="2"/>
    </font>
    <font>
      <b/>
      <sz val="16"/>
      <color rgb="FFFF0000"/>
      <name val="Arial"/>
      <family val="2"/>
    </font>
    <font>
      <sz val="10"/>
      <color theme="0" tint="-0.249977111117893"/>
      <name val="Arial"/>
      <family val="2"/>
    </font>
    <font>
      <b/>
      <sz val="8"/>
      <color indexed="10"/>
      <name val="Arial"/>
      <family val="2"/>
    </font>
    <font>
      <sz val="9"/>
      <color indexed="10"/>
      <name val="Arial"/>
      <family val="2"/>
    </font>
    <font>
      <sz val="10"/>
      <color indexed="48"/>
      <name val="Arial"/>
      <family val="2"/>
    </font>
    <font>
      <vertAlign val="superscript"/>
      <sz val="10"/>
      <name val="Arial"/>
      <family val="2"/>
    </font>
    <font>
      <sz val="9"/>
      <color theme="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EFEBE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E8E6E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FFFFFF"/>
        <bgColor indexed="64"/>
      </patternFill>
    </fill>
  </fills>
  <borders count="255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indexed="64"/>
      </right>
      <top/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indexed="64"/>
      </right>
      <top/>
      <bottom style="double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</borders>
  <cellStyleXfs count="25">
    <xf numFmtId="164" fontId="0" fillId="0" borderId="0"/>
    <xf numFmtId="43" fontId="7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" fillId="0" borderId="0"/>
    <xf numFmtId="172" fontId="5" fillId="0" borderId="0"/>
    <xf numFmtId="0" fontId="5" fillId="0" borderId="0"/>
    <xf numFmtId="0" fontId="1" fillId="0" borderId="0"/>
    <xf numFmtId="0" fontId="5" fillId="0" borderId="0"/>
    <xf numFmtId="179" fontId="7" fillId="0" borderId="0"/>
    <xf numFmtId="9" fontId="5" fillId="0" borderId="0" applyFont="0" applyFill="0" applyBorder="0" applyAlignment="0" applyProtection="0"/>
    <xf numFmtId="179" fontId="7" fillId="0" borderId="0"/>
    <xf numFmtId="179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7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7" fillId="0" borderId="0"/>
    <xf numFmtId="0" fontId="5" fillId="0" borderId="0"/>
  </cellStyleXfs>
  <cellXfs count="3220">
    <xf numFmtId="164" fontId="0" fillId="0" borderId="0" xfId="0"/>
    <xf numFmtId="164" fontId="4" fillId="0" borderId="1" xfId="0" applyFont="1" applyBorder="1"/>
    <xf numFmtId="164" fontId="4" fillId="0" borderId="2" xfId="0" applyFont="1" applyBorder="1"/>
    <xf numFmtId="164" fontId="4" fillId="0" borderId="3" xfId="0" applyFont="1" applyBorder="1"/>
    <xf numFmtId="164" fontId="4" fillId="0" borderId="0" xfId="0" applyFont="1"/>
    <xf numFmtId="164" fontId="4" fillId="0" borderId="4" xfId="0" applyFont="1" applyBorder="1"/>
    <xf numFmtId="164" fontId="4" fillId="0" borderId="5" xfId="0" applyFont="1" applyBorder="1"/>
    <xf numFmtId="164" fontId="4" fillId="0" borderId="6" xfId="0" applyFont="1" applyBorder="1"/>
    <xf numFmtId="164" fontId="4" fillId="0" borderId="7" xfId="0" applyFont="1" applyBorder="1"/>
    <xf numFmtId="164" fontId="4" fillId="0" borderId="8" xfId="0" applyFont="1" applyBorder="1"/>
    <xf numFmtId="4" fontId="6" fillId="0" borderId="9" xfId="5" applyNumberFormat="1" applyFont="1" applyBorder="1" applyAlignment="1">
      <alignment horizontal="center" vertical="top" wrapText="1"/>
    </xf>
    <xf numFmtId="49" fontId="4" fillId="0" borderId="0" xfId="0" applyNumberFormat="1" applyFont="1" applyAlignment="1">
      <alignment vertical="top"/>
    </xf>
    <xf numFmtId="0" fontId="5" fillId="0" borderId="0" xfId="0" applyNumberFormat="1" applyFont="1" applyAlignment="1">
      <alignment vertical="top"/>
    </xf>
    <xf numFmtId="164" fontId="4" fillId="0" borderId="0" xfId="0" applyFont="1" applyAlignment="1">
      <alignment vertical="top"/>
    </xf>
    <xf numFmtId="164" fontId="4" fillId="0" borderId="0" xfId="0" applyFont="1" applyAlignment="1">
      <alignment vertical="top" wrapText="1"/>
    </xf>
    <xf numFmtId="43" fontId="5" fillId="0" borderId="0" xfId="1" applyFont="1" applyAlignment="1">
      <alignment vertical="top"/>
    </xf>
    <xf numFmtId="164" fontId="4" fillId="0" borderId="0" xfId="0" applyFont="1" applyAlignment="1">
      <alignment horizontal="center" vertical="top"/>
    </xf>
    <xf numFmtId="164" fontId="8" fillId="0" borderId="0" xfId="0" applyFont="1" applyAlignment="1">
      <alignment horizontal="center" vertical="top"/>
    </xf>
    <xf numFmtId="164" fontId="9" fillId="0" borderId="0" xfId="0" applyFont="1" applyAlignment="1">
      <alignment horizontal="center" vertical="top"/>
    </xf>
    <xf numFmtId="164" fontId="10" fillId="0" borderId="0" xfId="0" applyFont="1" applyAlignment="1">
      <alignment horizontal="center" vertical="center"/>
    </xf>
    <xf numFmtId="164" fontId="8" fillId="0" borderId="0" xfId="0" applyFont="1" applyAlignment="1">
      <alignment vertical="top"/>
    </xf>
    <xf numFmtId="9" fontId="8" fillId="0" borderId="0" xfId="3" applyFont="1" applyAlignment="1">
      <alignment horizontal="center" vertical="top"/>
    </xf>
    <xf numFmtId="164" fontId="8" fillId="0" borderId="0" xfId="0" applyFont="1" applyAlignment="1">
      <alignment vertical="center"/>
    </xf>
    <xf numFmtId="0" fontId="11" fillId="0" borderId="0" xfId="0" applyNumberFormat="1" applyFont="1" applyAlignment="1">
      <alignment horizontal="left" vertical="center"/>
    </xf>
    <xf numFmtId="0" fontId="12" fillId="0" borderId="0" xfId="0" applyNumberFormat="1" applyFont="1" applyAlignment="1">
      <alignment horizontal="left" vertical="center"/>
    </xf>
    <xf numFmtId="0" fontId="5" fillId="0" borderId="0" xfId="0" applyNumberFormat="1" applyFont="1" applyAlignment="1">
      <alignment horizontal="left" vertical="center"/>
    </xf>
    <xf numFmtId="0" fontId="13" fillId="0" borderId="0" xfId="0" applyNumberFormat="1" applyFont="1" applyAlignment="1">
      <alignment horizontal="left" vertical="center"/>
    </xf>
    <xf numFmtId="0" fontId="13" fillId="0" borderId="0" xfId="0" applyNumberFormat="1" applyFont="1" applyAlignment="1">
      <alignment horizontal="left" vertical="center" wrapText="1"/>
    </xf>
    <xf numFmtId="0" fontId="5" fillId="0" borderId="0" xfId="0" applyNumberFormat="1" applyFont="1" applyAlignment="1">
      <alignment horizontal="center" vertical="top"/>
    </xf>
    <xf numFmtId="43" fontId="5" fillId="0" borderId="0" xfId="0" applyNumberFormat="1" applyFont="1" applyAlignment="1">
      <alignment horizontal="right" vertical="center"/>
    </xf>
    <xf numFmtId="165" fontId="5" fillId="0" borderId="0" xfId="0" applyNumberFormat="1" applyFont="1" applyAlignment="1">
      <alignment horizontal="left" vertical="center"/>
    </xf>
    <xf numFmtId="43" fontId="5" fillId="0" borderId="0" xfId="0" applyNumberFormat="1" applyFont="1" applyAlignment="1">
      <alignment horizontal="center" vertical="top"/>
    </xf>
    <xf numFmtId="43" fontId="14" fillId="0" borderId="0" xfId="0" applyNumberFormat="1" applyFont="1" applyAlignment="1">
      <alignment horizontal="center" vertical="top"/>
    </xf>
    <xf numFmtId="43" fontId="9" fillId="0" borderId="0" xfId="0" applyNumberFormat="1" applyFont="1" applyAlignment="1">
      <alignment horizontal="center" vertical="top"/>
    </xf>
    <xf numFmtId="43" fontId="11" fillId="0" borderId="0" xfId="0" applyNumberFormat="1" applyFont="1" applyAlignment="1">
      <alignment horizontal="center" vertical="center"/>
    </xf>
    <xf numFmtId="0" fontId="14" fillId="0" borderId="0" xfId="0" applyNumberFormat="1" applyFont="1" applyAlignment="1">
      <alignment vertical="top"/>
    </xf>
    <xf numFmtId="10" fontId="11" fillId="2" borderId="10" xfId="3" applyNumberFormat="1" applyFont="1" applyFill="1" applyBorder="1" applyAlignment="1">
      <alignment vertical="center"/>
    </xf>
    <xf numFmtId="4" fontId="5" fillId="0" borderId="0" xfId="0" applyNumberFormat="1" applyFont="1" applyAlignment="1">
      <alignment horizontal="left" vertical="center"/>
    </xf>
    <xf numFmtId="1" fontId="9" fillId="0" borderId="0" xfId="0" applyNumberFormat="1" applyFont="1" applyAlignment="1">
      <alignment horizontal="center" vertical="center"/>
    </xf>
    <xf numFmtId="9" fontId="11" fillId="3" borderId="10" xfId="0" applyNumberFormat="1" applyFont="1" applyFill="1" applyBorder="1" applyAlignment="1">
      <alignment horizontal="center" vertical="center" wrapText="1"/>
    </xf>
    <xf numFmtId="164" fontId="11" fillId="3" borderId="10" xfId="0" applyFont="1" applyFill="1" applyBorder="1" applyAlignment="1">
      <alignment horizontal="center" vertical="center"/>
    </xf>
    <xf numFmtId="0" fontId="11" fillId="3" borderId="10" xfId="0" applyNumberFormat="1" applyFont="1" applyFill="1" applyBorder="1" applyAlignment="1">
      <alignment horizontal="center" vertical="center" wrapText="1"/>
    </xf>
    <xf numFmtId="0" fontId="11" fillId="0" borderId="0" xfId="0" applyNumberFormat="1" applyFont="1" applyAlignment="1">
      <alignment vertical="top"/>
    </xf>
    <xf numFmtId="0" fontId="13" fillId="0" borderId="0" xfId="0" applyNumberFormat="1" applyFont="1" applyAlignment="1">
      <alignment vertical="top"/>
    </xf>
    <xf numFmtId="0" fontId="13" fillId="0" borderId="0" xfId="0" applyNumberFormat="1" applyFont="1" applyAlignment="1">
      <alignment vertical="top" wrapText="1"/>
    </xf>
    <xf numFmtId="10" fontId="5" fillId="0" borderId="0" xfId="3" applyNumberFormat="1" applyFont="1" applyAlignment="1">
      <alignment horizontal="left" vertical="center"/>
    </xf>
    <xf numFmtId="9" fontId="14" fillId="0" borderId="0" xfId="0" applyNumberFormat="1" applyFont="1" applyAlignment="1">
      <alignment horizontal="center" vertical="top"/>
    </xf>
    <xf numFmtId="49" fontId="15" fillId="0" borderId="0" xfId="0" applyNumberFormat="1" applyFont="1" applyAlignment="1">
      <alignment horizontal="left" vertical="center"/>
    </xf>
    <xf numFmtId="0" fontId="13" fillId="0" borderId="0" xfId="6" applyFont="1" applyAlignment="1">
      <alignment vertical="center"/>
    </xf>
    <xf numFmtId="0" fontId="5" fillId="0" borderId="0" xfId="0" applyNumberFormat="1" applyFont="1" applyAlignment="1">
      <alignment vertical="top" wrapText="1"/>
    </xf>
    <xf numFmtId="0" fontId="16" fillId="0" borderId="0" xfId="0" applyNumberFormat="1" applyFont="1" applyAlignment="1">
      <alignment vertical="top"/>
    </xf>
    <xf numFmtId="9" fontId="9" fillId="0" borderId="0" xfId="0" applyNumberFormat="1" applyFont="1" applyAlignment="1">
      <alignment horizontal="center" vertical="top"/>
    </xf>
    <xf numFmtId="49" fontId="13" fillId="0" borderId="0" xfId="0" applyNumberFormat="1" applyFont="1" applyAlignment="1">
      <alignment horizontal="right" vertical="center"/>
    </xf>
    <xf numFmtId="0" fontId="5" fillId="0" borderId="0" xfId="0" applyNumberFormat="1" applyFont="1" applyAlignment="1">
      <alignment horizontal="right" vertical="center"/>
    </xf>
    <xf numFmtId="0" fontId="15" fillId="0" borderId="0" xfId="6" applyFont="1" applyAlignment="1">
      <alignment vertical="center" wrapText="1"/>
    </xf>
    <xf numFmtId="0" fontId="13" fillId="0" borderId="0" xfId="6" applyFont="1" applyAlignment="1">
      <alignment vertical="center" wrapText="1"/>
    </xf>
    <xf numFmtId="10" fontId="5" fillId="0" borderId="0" xfId="3" applyNumberFormat="1" applyFont="1" applyFill="1" applyAlignment="1">
      <alignment horizontal="left" vertical="center" wrapText="1"/>
    </xf>
    <xf numFmtId="0" fontId="13" fillId="0" borderId="0" xfId="0" applyNumberFormat="1" applyFont="1" applyAlignment="1">
      <alignment horizontal="left" vertical="top"/>
    </xf>
    <xf numFmtId="164" fontId="13" fillId="0" borderId="11" xfId="0" applyFont="1" applyBorder="1" applyAlignment="1">
      <alignment horizontal="right" vertical="center"/>
    </xf>
    <xf numFmtId="43" fontId="13" fillId="0" borderId="12" xfId="0" applyNumberFormat="1" applyFont="1" applyBorder="1" applyAlignment="1">
      <alignment horizontal="center" vertical="center"/>
    </xf>
    <xf numFmtId="10" fontId="13" fillId="0" borderId="13" xfId="3" applyNumberFormat="1" applyFont="1" applyFill="1" applyBorder="1" applyAlignment="1">
      <alignment horizontal="center" vertical="center"/>
    </xf>
    <xf numFmtId="0" fontId="15" fillId="0" borderId="0" xfId="0" applyNumberFormat="1" applyFont="1" applyAlignment="1">
      <alignment horizontal="left" vertical="center" wrapText="1"/>
    </xf>
    <xf numFmtId="0" fontId="13" fillId="0" borderId="0" xfId="6" applyFont="1" applyAlignment="1">
      <alignment horizontal="left" vertical="top"/>
    </xf>
    <xf numFmtId="3" fontId="5" fillId="0" borderId="0" xfId="0" applyNumberFormat="1" applyFont="1" applyAlignment="1">
      <alignment horizontal="center" vertical="top"/>
    </xf>
    <xf numFmtId="3" fontId="14" fillId="0" borderId="0" xfId="0" applyNumberFormat="1" applyFont="1" applyAlignment="1">
      <alignment horizontal="center" vertical="top"/>
    </xf>
    <xf numFmtId="43" fontId="14" fillId="0" borderId="0" xfId="1" applyFont="1" applyAlignment="1">
      <alignment vertical="top"/>
    </xf>
    <xf numFmtId="0" fontId="14" fillId="0" borderId="0" xfId="0" applyNumberFormat="1" applyFont="1" applyAlignment="1">
      <alignment horizontal="center" vertical="top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0" fontId="11" fillId="0" borderId="0" xfId="0" applyNumberFormat="1" applyFont="1" applyAlignment="1">
      <alignment horizontal="centerContinuous" vertical="center"/>
    </xf>
    <xf numFmtId="49" fontId="13" fillId="0" borderId="0" xfId="0" applyNumberFormat="1" applyFont="1" applyAlignment="1">
      <alignment horizontal="centerContinuous" vertical="center"/>
    </xf>
    <xf numFmtId="0" fontId="5" fillId="0" borderId="0" xfId="0" applyNumberFormat="1" applyFont="1" applyAlignment="1">
      <alignment horizontal="centerContinuous" vertical="center"/>
    </xf>
    <xf numFmtId="0" fontId="11" fillId="0" borderId="0" xfId="0" applyNumberFormat="1" applyFont="1" applyAlignment="1">
      <alignment horizontal="center" vertical="center" wrapText="1"/>
    </xf>
    <xf numFmtId="0" fontId="13" fillId="0" borderId="0" xfId="0" applyNumberFormat="1" applyFont="1" applyAlignment="1">
      <alignment horizontal="centerContinuous" vertical="center"/>
    </xf>
    <xf numFmtId="43" fontId="5" fillId="0" borderId="0" xfId="1" applyFont="1" applyAlignment="1">
      <alignment horizontal="centerContinuous" vertical="center"/>
    </xf>
    <xf numFmtId="49" fontId="5" fillId="0" borderId="0" xfId="0" applyNumberFormat="1" applyFont="1" applyAlignment="1">
      <alignment vertical="top"/>
    </xf>
    <xf numFmtId="43" fontId="5" fillId="0" borderId="0" xfId="0" applyNumberFormat="1" applyFont="1" applyAlignment="1">
      <alignment vertical="top"/>
    </xf>
    <xf numFmtId="0" fontId="13" fillId="4" borderId="22" xfId="0" applyNumberFormat="1" applyFont="1" applyFill="1" applyBorder="1" applyAlignment="1">
      <alignment horizontal="center" vertical="center"/>
    </xf>
    <xf numFmtId="9" fontId="17" fillId="5" borderId="0" xfId="0" applyNumberFormat="1" applyFont="1" applyFill="1" applyAlignment="1">
      <alignment horizontal="center" vertical="center" wrapText="1"/>
    </xf>
    <xf numFmtId="0" fontId="11" fillId="6" borderId="0" xfId="0" applyNumberFormat="1" applyFont="1" applyFill="1" applyAlignment="1">
      <alignment horizontal="center" vertical="center" wrapText="1"/>
    </xf>
    <xf numFmtId="0" fontId="14" fillId="0" borderId="0" xfId="0" applyNumberFormat="1" applyFont="1" applyAlignment="1">
      <alignment horizontal="center" vertical="center"/>
    </xf>
    <xf numFmtId="43" fontId="14" fillId="0" borderId="0" xfId="1" applyFont="1" applyAlignment="1">
      <alignment horizontal="center" vertical="center"/>
    </xf>
    <xf numFmtId="0" fontId="14" fillId="0" borderId="0" xfId="0" applyNumberFormat="1" applyFont="1" applyAlignment="1">
      <alignment vertical="center"/>
    </xf>
    <xf numFmtId="0" fontId="13" fillId="4" borderId="33" xfId="0" applyNumberFormat="1" applyFont="1" applyFill="1" applyBorder="1" applyAlignment="1">
      <alignment horizontal="center" vertical="center" wrapText="1"/>
    </xf>
    <xf numFmtId="0" fontId="13" fillId="4" borderId="25" xfId="0" applyNumberFormat="1" applyFont="1" applyFill="1" applyBorder="1" applyAlignment="1">
      <alignment horizontal="center" vertical="center" wrapText="1"/>
    </xf>
    <xf numFmtId="0" fontId="13" fillId="4" borderId="31" xfId="0" applyNumberFormat="1" applyFont="1" applyFill="1" applyBorder="1" applyAlignment="1">
      <alignment horizontal="center" vertical="center" wrapText="1"/>
    </xf>
    <xf numFmtId="0" fontId="13" fillId="4" borderId="33" xfId="0" applyNumberFormat="1" applyFont="1" applyFill="1" applyBorder="1" applyAlignment="1">
      <alignment horizontal="center" vertical="center"/>
    </xf>
    <xf numFmtId="43" fontId="13" fillId="4" borderId="32" xfId="0" applyNumberFormat="1" applyFont="1" applyFill="1" applyBorder="1" applyAlignment="1">
      <alignment horizontal="center" vertical="center" wrapText="1"/>
    </xf>
    <xf numFmtId="43" fontId="13" fillId="4" borderId="33" xfId="0" applyNumberFormat="1" applyFont="1" applyFill="1" applyBorder="1" applyAlignment="1">
      <alignment horizontal="center" vertical="center" wrapText="1"/>
    </xf>
    <xf numFmtId="49" fontId="13" fillId="4" borderId="36" xfId="0" applyNumberFormat="1" applyFont="1" applyFill="1" applyBorder="1" applyAlignment="1">
      <alignment horizontal="center" vertical="center"/>
    </xf>
    <xf numFmtId="0" fontId="5" fillId="4" borderId="36" xfId="0" applyNumberFormat="1" applyFont="1" applyFill="1" applyBorder="1" applyAlignment="1">
      <alignment horizontal="center" vertical="center"/>
    </xf>
    <xf numFmtId="0" fontId="13" fillId="4" borderId="36" xfId="0" applyNumberFormat="1" applyFont="1" applyFill="1" applyBorder="1" applyAlignment="1">
      <alignment horizontal="center" vertical="center"/>
    </xf>
    <xf numFmtId="0" fontId="13" fillId="4" borderId="36" xfId="0" applyNumberFormat="1" applyFont="1" applyFill="1" applyBorder="1" applyAlignment="1">
      <alignment horizontal="center" vertical="center" wrapText="1"/>
    </xf>
    <xf numFmtId="43" fontId="13" fillId="4" borderId="36" xfId="1" applyFont="1" applyFill="1" applyBorder="1" applyAlignment="1">
      <alignment horizontal="center" vertical="center"/>
    </xf>
    <xf numFmtId="10" fontId="13" fillId="4" borderId="36" xfId="3" applyNumberFormat="1" applyFont="1" applyFill="1" applyBorder="1" applyAlignment="1">
      <alignment horizontal="center" vertical="center"/>
    </xf>
    <xf numFmtId="0" fontId="11" fillId="0" borderId="0" xfId="0" applyNumberFormat="1" applyFont="1" applyAlignment="1">
      <alignment horizontal="center" vertical="center"/>
    </xf>
    <xf numFmtId="10" fontId="11" fillId="0" borderId="0" xfId="3" applyNumberFormat="1" applyFont="1" applyFill="1" applyBorder="1" applyAlignment="1">
      <alignment horizontal="center" vertical="center"/>
    </xf>
    <xf numFmtId="2" fontId="18" fillId="0" borderId="0" xfId="0" applyNumberFormat="1" applyFont="1" applyAlignment="1">
      <alignment horizontal="center" vertical="center"/>
    </xf>
    <xf numFmtId="0" fontId="13" fillId="0" borderId="0" xfId="0" applyNumberFormat="1" applyFont="1" applyAlignment="1">
      <alignment horizontal="center" vertical="center"/>
    </xf>
    <xf numFmtId="0" fontId="13" fillId="0" borderId="0" xfId="0" applyNumberFormat="1" applyFont="1" applyAlignment="1">
      <alignment horizontal="center" vertical="center" wrapText="1"/>
    </xf>
    <xf numFmtId="43" fontId="13" fillId="0" borderId="0" xfId="1" applyFont="1" applyFill="1" applyBorder="1" applyAlignment="1">
      <alignment horizontal="center" vertical="center"/>
    </xf>
    <xf numFmtId="10" fontId="13" fillId="0" borderId="0" xfId="3" applyNumberFormat="1" applyFont="1" applyFill="1" applyBorder="1" applyAlignment="1">
      <alignment horizontal="center" vertical="center"/>
    </xf>
    <xf numFmtId="10" fontId="9" fillId="0" borderId="0" xfId="3" applyNumberFormat="1" applyFont="1" applyFill="1" applyBorder="1" applyAlignment="1">
      <alignment horizontal="center" vertical="center"/>
    </xf>
    <xf numFmtId="0" fontId="9" fillId="0" borderId="0" xfId="0" applyNumberFormat="1" applyFont="1" applyAlignment="1">
      <alignment horizontal="right" vertical="center"/>
    </xf>
    <xf numFmtId="1" fontId="13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 wrapText="1"/>
    </xf>
    <xf numFmtId="0" fontId="5" fillId="0" borderId="0" xfId="5" applyAlignment="1">
      <alignment horizontal="center" vertical="top" wrapText="1"/>
    </xf>
    <xf numFmtId="43" fontId="13" fillId="0" borderId="0" xfId="1" applyFont="1" applyFill="1" applyAlignment="1">
      <alignment horizontal="center" vertical="center"/>
    </xf>
    <xf numFmtId="43" fontId="13" fillId="0" borderId="0" xfId="0" applyNumberFormat="1" applyFont="1" applyAlignment="1">
      <alignment horizontal="right" vertical="center"/>
    </xf>
    <xf numFmtId="43" fontId="13" fillId="0" borderId="0" xfId="1" applyFont="1" applyFill="1" applyAlignment="1">
      <alignment horizontal="left" vertical="center"/>
    </xf>
    <xf numFmtId="43" fontId="13" fillId="0" borderId="0" xfId="1" applyFont="1" applyFill="1" applyAlignment="1">
      <alignment vertical="center"/>
    </xf>
    <xf numFmtId="10" fontId="13" fillId="0" borderId="0" xfId="3" applyNumberFormat="1" applyFont="1" applyFill="1" applyAlignment="1">
      <alignment horizontal="center" vertical="center"/>
    </xf>
    <xf numFmtId="10" fontId="11" fillId="0" borderId="0" xfId="3" applyNumberFormat="1" applyFont="1" applyFill="1" applyAlignment="1">
      <alignment horizontal="center" vertical="center"/>
    </xf>
    <xf numFmtId="43" fontId="11" fillId="0" borderId="0" xfId="1" applyFont="1" applyFill="1" applyAlignment="1">
      <alignment vertical="center"/>
    </xf>
    <xf numFmtId="1" fontId="9" fillId="0" borderId="0" xfId="3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horizontal="left" vertical="center"/>
    </xf>
    <xf numFmtId="9" fontId="14" fillId="5" borderId="0" xfId="0" applyNumberFormat="1" applyFont="1" applyFill="1" applyAlignment="1">
      <alignment horizontal="center" vertical="top"/>
    </xf>
    <xf numFmtId="10" fontId="14" fillId="6" borderId="0" xfId="3" applyNumberFormat="1" applyFont="1" applyFill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4" fontId="19" fillId="0" borderId="0" xfId="0" applyFont="1"/>
    <xf numFmtId="43" fontId="5" fillId="0" borderId="0" xfId="1" applyFont="1" applyFill="1" applyAlignment="1">
      <alignment horizontal="right" vertical="center"/>
    </xf>
    <xf numFmtId="43" fontId="13" fillId="0" borderId="0" xfId="1" applyFont="1" applyFill="1" applyAlignment="1">
      <alignment horizontal="right" vertical="center"/>
    </xf>
    <xf numFmtId="167" fontId="14" fillId="0" borderId="0" xfId="0" applyNumberFormat="1" applyFont="1" applyAlignment="1">
      <alignment horizontal="center" vertical="center"/>
    </xf>
    <xf numFmtId="43" fontId="5" fillId="0" borderId="0" xfId="1" applyFont="1" applyFill="1" applyAlignment="1">
      <alignment vertical="center" wrapText="1"/>
    </xf>
    <xf numFmtId="9" fontId="14" fillId="5" borderId="0" xfId="0" applyNumberFormat="1" applyFont="1" applyFill="1" applyAlignment="1">
      <alignment horizontal="center" vertical="center"/>
    </xf>
    <xf numFmtId="43" fontId="14" fillId="0" borderId="0" xfId="0" applyNumberFormat="1" applyFont="1" applyAlignment="1">
      <alignment vertical="center"/>
    </xf>
    <xf numFmtId="43" fontId="13" fillId="7" borderId="0" xfId="0" applyNumberFormat="1" applyFont="1" applyFill="1" applyAlignment="1">
      <alignment horizontal="right" vertical="center"/>
    </xf>
    <xf numFmtId="168" fontId="13" fillId="0" borderId="0" xfId="3" applyNumberFormat="1" applyFont="1" applyFill="1" applyAlignment="1">
      <alignment horizontal="right" vertical="center"/>
    </xf>
    <xf numFmtId="10" fontId="9" fillId="0" borderId="0" xfId="3" applyNumberFormat="1" applyFont="1" applyFill="1" applyAlignment="1">
      <alignment horizontal="center" vertical="center"/>
    </xf>
    <xf numFmtId="49" fontId="5" fillId="0" borderId="0" xfId="0" applyNumberFormat="1" applyFont="1" applyAlignment="1">
      <alignment vertical="center"/>
    </xf>
    <xf numFmtId="0" fontId="13" fillId="0" borderId="0" xfId="5" applyFont="1" applyAlignment="1">
      <alignment vertical="center" wrapText="1"/>
    </xf>
    <xf numFmtId="0" fontId="15" fillId="0" borderId="0" xfId="0" applyNumberFormat="1" applyFont="1" applyAlignment="1">
      <alignment horizontal="center" vertical="center" wrapText="1"/>
    </xf>
    <xf numFmtId="1" fontId="15" fillId="0" borderId="0" xfId="0" applyNumberFormat="1" applyFont="1" applyAlignment="1">
      <alignment horizontal="center" vertical="center"/>
    </xf>
    <xf numFmtId="9" fontId="5" fillId="0" borderId="0" xfId="0" applyNumberFormat="1" applyFont="1" applyAlignment="1">
      <alignment horizontal="center" vertical="top"/>
    </xf>
    <xf numFmtId="0" fontId="20" fillId="8" borderId="37" xfId="0" applyNumberFormat="1" applyFont="1" applyFill="1" applyBorder="1" applyAlignment="1">
      <alignment horizontal="center" vertical="center" wrapText="1"/>
    </xf>
    <xf numFmtId="49" fontId="13" fillId="4" borderId="18" xfId="5" applyNumberFormat="1" applyFont="1" applyFill="1" applyBorder="1" applyAlignment="1">
      <alignment horizontal="center" vertical="center" wrapText="1"/>
    </xf>
    <xf numFmtId="49" fontId="13" fillId="4" borderId="18" xfId="5" applyNumberFormat="1" applyFont="1" applyFill="1" applyBorder="1" applyAlignment="1">
      <alignment vertical="center" wrapText="1"/>
    </xf>
    <xf numFmtId="0" fontId="5" fillId="4" borderId="18" xfId="5" applyFill="1" applyBorder="1" applyAlignment="1">
      <alignment vertical="center" wrapText="1"/>
    </xf>
    <xf numFmtId="0" fontId="13" fillId="4" borderId="18" xfId="5" applyFont="1" applyFill="1" applyBorder="1" applyAlignment="1">
      <alignment vertical="center" wrapText="1"/>
    </xf>
    <xf numFmtId="0" fontId="13" fillId="4" borderId="18" xfId="5" applyFont="1" applyFill="1" applyBorder="1" applyAlignment="1">
      <alignment horizontal="left" vertical="center" wrapText="1"/>
    </xf>
    <xf numFmtId="40" fontId="5" fillId="4" borderId="18" xfId="5" applyNumberFormat="1" applyFill="1" applyBorder="1" applyAlignment="1">
      <alignment horizontal="center" vertical="center" wrapText="1"/>
    </xf>
    <xf numFmtId="0" fontId="5" fillId="4" borderId="18" xfId="5" applyFill="1" applyBorder="1" applyAlignment="1">
      <alignment horizontal="center" vertical="center" wrapText="1"/>
    </xf>
    <xf numFmtId="0" fontId="22" fillId="4" borderId="18" xfId="4" applyFont="1" applyFill="1" applyBorder="1" applyAlignment="1" applyProtection="1">
      <alignment horizontal="center" vertical="center" wrapText="1"/>
    </xf>
    <xf numFmtId="43" fontId="5" fillId="4" borderId="18" xfId="1" applyFont="1" applyFill="1" applyBorder="1" applyAlignment="1">
      <alignment horizontal="center" vertical="center" wrapText="1"/>
    </xf>
    <xf numFmtId="43" fontId="13" fillId="4" borderId="18" xfId="1" applyFont="1" applyFill="1" applyBorder="1" applyAlignment="1">
      <alignment horizontal="right" vertical="center" wrapText="1"/>
    </xf>
    <xf numFmtId="43" fontId="13" fillId="4" borderId="18" xfId="1" applyFont="1" applyFill="1" applyBorder="1" applyAlignment="1">
      <alignment vertical="center" wrapText="1"/>
    </xf>
    <xf numFmtId="10" fontId="13" fillId="4" borderId="18" xfId="3" applyNumberFormat="1" applyFont="1" applyFill="1" applyBorder="1" applyAlignment="1">
      <alignment horizontal="center" vertical="center" wrapText="1"/>
    </xf>
    <xf numFmtId="10" fontId="13" fillId="0" borderId="0" xfId="3" applyNumberFormat="1" applyFont="1" applyFill="1" applyBorder="1" applyAlignment="1">
      <alignment horizontal="center" vertical="center" wrapText="1"/>
    </xf>
    <xf numFmtId="1" fontId="15" fillId="0" borderId="0" xfId="3" applyNumberFormat="1" applyFont="1" applyFill="1" applyBorder="1" applyAlignment="1">
      <alignment horizontal="center" vertical="center" wrapText="1"/>
    </xf>
    <xf numFmtId="1" fontId="13" fillId="0" borderId="0" xfId="3" applyNumberFormat="1" applyFont="1" applyFill="1" applyBorder="1" applyAlignment="1">
      <alignment horizontal="center" vertical="center" wrapText="1"/>
    </xf>
    <xf numFmtId="1" fontId="15" fillId="0" borderId="0" xfId="0" applyNumberFormat="1" applyFont="1" applyAlignment="1">
      <alignment horizontal="center" vertical="center" wrapText="1"/>
    </xf>
    <xf numFmtId="9" fontId="23" fillId="0" borderId="0" xfId="3" applyFont="1" applyAlignment="1">
      <alignment horizontal="center" vertical="center" wrapText="1"/>
    </xf>
    <xf numFmtId="4" fontId="5" fillId="0" borderId="9" xfId="5" applyNumberFormat="1" applyBorder="1" applyAlignment="1">
      <alignment horizontal="center" vertical="top" wrapText="1"/>
    </xf>
    <xf numFmtId="49" fontId="5" fillId="0" borderId="9" xfId="5" applyNumberFormat="1" applyBorder="1" applyAlignment="1">
      <alignment horizontal="center" vertical="top" wrapText="1"/>
    </xf>
    <xf numFmtId="0" fontId="5" fillId="0" borderId="9" xfId="5" applyBorder="1" applyAlignment="1">
      <alignment horizontal="center" vertical="top" wrapText="1"/>
    </xf>
    <xf numFmtId="0" fontId="5" fillId="0" borderId="9" xfId="5" applyBorder="1" applyAlignment="1">
      <alignment horizontal="left" vertical="top" wrapText="1"/>
    </xf>
    <xf numFmtId="43" fontId="5" fillId="0" borderId="9" xfId="1" applyFont="1" applyFill="1" applyBorder="1" applyAlignment="1">
      <alignment horizontal="center" vertical="top" wrapText="1"/>
    </xf>
    <xf numFmtId="43" fontId="5" fillId="0" borderId="9" xfId="0" applyNumberFormat="1" applyFont="1" applyBorder="1" applyAlignment="1">
      <alignment horizontal="center" vertical="top" wrapText="1"/>
    </xf>
    <xf numFmtId="10" fontId="5" fillId="0" borderId="9" xfId="3" applyNumberFormat="1" applyFont="1" applyFill="1" applyBorder="1" applyAlignment="1">
      <alignment horizontal="center" vertical="top" wrapText="1"/>
    </xf>
    <xf numFmtId="9" fontId="23" fillId="0" borderId="0" xfId="3" applyFont="1" applyAlignment="1">
      <alignment horizontal="center" vertical="top" wrapText="1"/>
    </xf>
    <xf numFmtId="0" fontId="20" fillId="0" borderId="9" xfId="5" applyFont="1" applyBorder="1" applyAlignment="1">
      <alignment horizontal="center" vertical="center" wrapText="1"/>
    </xf>
    <xf numFmtId="0" fontId="13" fillId="0" borderId="9" xfId="5" applyFont="1" applyBorder="1" applyAlignment="1">
      <alignment horizontal="left" vertical="center" wrapText="1"/>
    </xf>
    <xf numFmtId="43" fontId="5" fillId="0" borderId="9" xfId="1" applyFont="1" applyBorder="1" applyAlignment="1">
      <alignment vertical="top" wrapText="1"/>
    </xf>
    <xf numFmtId="10" fontId="5" fillId="0" borderId="9" xfId="3" applyNumberFormat="1" applyFont="1" applyBorder="1" applyAlignment="1">
      <alignment horizontal="center" vertical="top" wrapText="1"/>
    </xf>
    <xf numFmtId="10" fontId="5" fillId="0" borderId="0" xfId="3" applyNumberFormat="1" applyFont="1" applyFill="1" applyBorder="1" applyAlignment="1">
      <alignment horizontal="center" vertical="top" wrapText="1"/>
    </xf>
    <xf numFmtId="0" fontId="23" fillId="9" borderId="9" xfId="5" applyFont="1" applyFill="1" applyBorder="1" applyAlignment="1">
      <alignment horizontal="center" vertical="center" wrapText="1"/>
    </xf>
    <xf numFmtId="169" fontId="23" fillId="9" borderId="9" xfId="5" applyNumberFormat="1" applyFont="1" applyFill="1" applyBorder="1" applyAlignment="1">
      <alignment horizontal="center" vertical="center" wrapText="1"/>
    </xf>
    <xf numFmtId="43" fontId="5" fillId="0" borderId="0" xfId="0" applyNumberFormat="1" applyFont="1" applyAlignment="1">
      <alignment vertical="center" wrapText="1"/>
    </xf>
    <xf numFmtId="43" fontId="5" fillId="0" borderId="9" xfId="1" applyFont="1" applyBorder="1" applyAlignment="1">
      <alignment horizontal="right" vertical="top" wrapText="1"/>
    </xf>
    <xf numFmtId="49" fontId="13" fillId="4" borderId="9" xfId="5" applyNumberFormat="1" applyFont="1" applyFill="1" applyBorder="1" applyAlignment="1">
      <alignment horizontal="center" vertical="center" wrapText="1"/>
    </xf>
    <xf numFmtId="49" fontId="13" fillId="4" borderId="9" xfId="5" applyNumberFormat="1" applyFont="1" applyFill="1" applyBorder="1" applyAlignment="1">
      <alignment vertical="center" wrapText="1"/>
    </xf>
    <xf numFmtId="0" fontId="5" fillId="4" borderId="9" xfId="5" applyFill="1" applyBorder="1" applyAlignment="1">
      <alignment vertical="center" wrapText="1"/>
    </xf>
    <xf numFmtId="0" fontId="13" fillId="4" borderId="9" xfId="5" applyFont="1" applyFill="1" applyBorder="1" applyAlignment="1">
      <alignment vertical="center" wrapText="1"/>
    </xf>
    <xf numFmtId="0" fontId="13" fillId="4" borderId="9" xfId="5" applyFont="1" applyFill="1" applyBorder="1" applyAlignment="1">
      <alignment horizontal="left" vertical="center" wrapText="1"/>
    </xf>
    <xf numFmtId="40" fontId="5" fillId="4" borderId="9" xfId="5" applyNumberFormat="1" applyFill="1" applyBorder="1" applyAlignment="1">
      <alignment horizontal="center" vertical="center" wrapText="1"/>
    </xf>
    <xf numFmtId="0" fontId="5" fillId="4" borderId="9" xfId="5" applyFill="1" applyBorder="1" applyAlignment="1">
      <alignment horizontal="center" vertical="center" wrapText="1"/>
    </xf>
    <xf numFmtId="0" fontId="22" fillId="4" borderId="9" xfId="4" applyFont="1" applyFill="1" applyBorder="1" applyAlignment="1" applyProtection="1">
      <alignment horizontal="center" vertical="center" wrapText="1"/>
    </xf>
    <xf numFmtId="43" fontId="5" fillId="4" borderId="9" xfId="1" applyFont="1" applyFill="1" applyBorder="1" applyAlignment="1">
      <alignment horizontal="center" vertical="center" wrapText="1"/>
    </xf>
    <xf numFmtId="43" fontId="13" fillId="4" borderId="9" xfId="1" applyFont="1" applyFill="1" applyBorder="1" applyAlignment="1">
      <alignment horizontal="right" vertical="center" wrapText="1"/>
    </xf>
    <xf numFmtId="43" fontId="13" fillId="4" borderId="9" xfId="1" applyFont="1" applyFill="1" applyBorder="1" applyAlignment="1">
      <alignment vertical="center" wrapText="1"/>
    </xf>
    <xf numFmtId="10" fontId="13" fillId="4" borderId="9" xfId="3" applyNumberFormat="1" applyFont="1" applyFill="1" applyBorder="1" applyAlignment="1">
      <alignment horizontal="center" vertical="center" wrapText="1"/>
    </xf>
    <xf numFmtId="0" fontId="5" fillId="10" borderId="10" xfId="0" applyNumberFormat="1" applyFont="1" applyFill="1" applyBorder="1" applyAlignment="1">
      <alignment horizontal="center" vertical="center" wrapText="1"/>
    </xf>
    <xf numFmtId="170" fontId="20" fillId="0" borderId="10" xfId="5" applyNumberFormat="1" applyFont="1" applyBorder="1" applyAlignment="1">
      <alignment horizontal="center" vertical="center" wrapText="1"/>
    </xf>
    <xf numFmtId="43" fontId="5" fillId="0" borderId="10" xfId="0" applyNumberFormat="1" applyFont="1" applyBorder="1" applyAlignment="1">
      <alignment horizontal="center" vertical="center" wrapText="1"/>
    </xf>
    <xf numFmtId="171" fontId="20" fillId="0" borderId="10" xfId="5" applyNumberFormat="1" applyFont="1" applyBorder="1" applyAlignment="1">
      <alignment horizontal="center" vertical="center" wrapText="1"/>
    </xf>
    <xf numFmtId="0" fontId="5" fillId="0" borderId="9" xfId="5" applyBorder="1" applyAlignment="1">
      <alignment horizontal="center" vertical="center" wrapText="1"/>
    </xf>
    <xf numFmtId="1" fontId="13" fillId="4" borderId="9" xfId="5" applyNumberFormat="1" applyFont="1" applyFill="1" applyBorder="1" applyAlignment="1">
      <alignment horizontal="center" vertical="center" wrapText="1"/>
    </xf>
    <xf numFmtId="1" fontId="13" fillId="4" borderId="9" xfId="5" applyNumberFormat="1" applyFont="1" applyFill="1" applyBorder="1" applyAlignment="1">
      <alignment horizontal="left" vertical="center" wrapText="1"/>
    </xf>
    <xf numFmtId="0" fontId="20" fillId="6" borderId="9" xfId="7" applyNumberFormat="1" applyFont="1" applyFill="1" applyBorder="1" applyAlignment="1">
      <alignment horizontal="center" vertical="center" wrapText="1"/>
    </xf>
    <xf numFmtId="172" fontId="23" fillId="0" borderId="9" xfId="5" applyNumberFormat="1" applyFont="1" applyBorder="1" applyAlignment="1">
      <alignment horizontal="center" vertical="center" wrapText="1"/>
    </xf>
    <xf numFmtId="0" fontId="20" fillId="12" borderId="9" xfId="7" applyNumberFormat="1" applyFont="1" applyFill="1" applyBorder="1" applyAlignment="1">
      <alignment horizontal="center" vertical="center" wrapText="1"/>
    </xf>
    <xf numFmtId="9" fontId="23" fillId="14" borderId="0" xfId="3" applyFont="1" applyFill="1" applyAlignment="1">
      <alignment horizontal="center" vertical="top" wrapText="1"/>
    </xf>
    <xf numFmtId="0" fontId="5" fillId="14" borderId="0" xfId="0" applyNumberFormat="1" applyFont="1" applyFill="1" applyAlignment="1">
      <alignment vertical="center" wrapText="1"/>
    </xf>
    <xf numFmtId="0" fontId="5" fillId="14" borderId="0" xfId="0" applyNumberFormat="1" applyFont="1" applyFill="1" applyAlignment="1">
      <alignment vertical="top" wrapText="1"/>
    </xf>
    <xf numFmtId="0" fontId="15" fillId="7" borderId="38" xfId="5" applyFont="1" applyFill="1" applyBorder="1" applyAlignment="1">
      <alignment horizontal="center" vertical="center" wrapText="1"/>
    </xf>
    <xf numFmtId="173" fontId="20" fillId="0" borderId="9" xfId="5" applyNumberFormat="1" applyFont="1" applyBorder="1" applyAlignment="1">
      <alignment horizontal="center" vertical="center" wrapText="1"/>
    </xf>
    <xf numFmtId="43" fontId="5" fillId="15" borderId="0" xfId="0" applyNumberFormat="1" applyFont="1" applyFill="1" applyAlignment="1">
      <alignment vertical="center" wrapText="1"/>
    </xf>
    <xf numFmtId="0" fontId="5" fillId="15" borderId="0" xfId="0" applyNumberFormat="1" applyFont="1" applyFill="1" applyAlignment="1">
      <alignment vertical="center" wrapText="1"/>
    </xf>
    <xf numFmtId="173" fontId="20" fillId="0" borderId="10" xfId="5" applyNumberFormat="1" applyFont="1" applyBorder="1" applyAlignment="1">
      <alignment horizontal="center" vertical="center" wrapText="1"/>
    </xf>
    <xf numFmtId="43" fontId="5" fillId="0" borderId="10" xfId="0" applyNumberFormat="1" applyFont="1" applyBorder="1" applyAlignment="1">
      <alignment vertical="center" wrapText="1"/>
    </xf>
    <xf numFmtId="165" fontId="23" fillId="0" borderId="9" xfId="5" applyNumberFormat="1" applyFont="1" applyBorder="1" applyAlignment="1">
      <alignment horizontal="center" vertical="center" wrapText="1"/>
    </xf>
    <xf numFmtId="173" fontId="20" fillId="7" borderId="9" xfId="5" applyNumberFormat="1" applyFont="1" applyFill="1" applyBorder="1" applyAlignment="1">
      <alignment horizontal="center" vertical="center" wrapText="1"/>
    </xf>
    <xf numFmtId="173" fontId="21" fillId="7" borderId="0" xfId="4" applyNumberFormat="1" applyFill="1" applyAlignment="1" applyProtection="1">
      <alignment horizontal="center" vertical="center" wrapText="1"/>
    </xf>
    <xf numFmtId="173" fontId="20" fillId="0" borderId="0" xfId="5" applyNumberFormat="1" applyFont="1" applyAlignment="1">
      <alignment horizontal="center" vertical="center" wrapText="1"/>
    </xf>
    <xf numFmtId="174" fontId="20" fillId="0" borderId="10" xfId="5" applyNumberFormat="1" applyFont="1" applyBorder="1" applyAlignment="1">
      <alignment horizontal="center" vertical="center" wrapText="1"/>
    </xf>
    <xf numFmtId="175" fontId="20" fillId="0" borderId="9" xfId="7" applyNumberFormat="1" applyFont="1" applyBorder="1" applyAlignment="1">
      <alignment horizontal="center" vertical="center" wrapText="1"/>
    </xf>
    <xf numFmtId="176" fontId="5" fillId="0" borderId="0" xfId="0" applyNumberFormat="1" applyFont="1" applyAlignment="1">
      <alignment vertical="center" wrapText="1"/>
    </xf>
    <xf numFmtId="0" fontId="5" fillId="0" borderId="10" xfId="0" applyNumberFormat="1" applyFont="1" applyBorder="1" applyAlignment="1">
      <alignment horizontal="center" vertical="center" wrapText="1"/>
    </xf>
    <xf numFmtId="0" fontId="20" fillId="0" borderId="0" xfId="5" applyFont="1" applyAlignment="1">
      <alignment horizontal="center" vertical="center" wrapText="1"/>
    </xf>
    <xf numFmtId="177" fontId="23" fillId="9" borderId="9" xfId="5" applyNumberFormat="1" applyFont="1" applyFill="1" applyBorder="1" applyAlignment="1">
      <alignment horizontal="center" vertical="center" wrapText="1"/>
    </xf>
    <xf numFmtId="10" fontId="15" fillId="0" borderId="0" xfId="3" applyNumberFormat="1" applyFont="1" applyFill="1" applyBorder="1" applyAlignment="1">
      <alignment horizontal="center" vertical="top" wrapText="1"/>
    </xf>
    <xf numFmtId="9" fontId="15" fillId="12" borderId="0" xfId="3" applyFont="1" applyFill="1" applyAlignment="1">
      <alignment horizontal="center" vertical="top" wrapText="1"/>
    </xf>
    <xf numFmtId="0" fontId="15" fillId="12" borderId="9" xfId="5" applyFont="1" applyFill="1" applyBorder="1" applyAlignment="1">
      <alignment horizontal="center" vertical="center" wrapText="1"/>
    </xf>
    <xf numFmtId="9" fontId="23" fillId="0" borderId="0" xfId="3" applyFont="1" applyFill="1" applyAlignment="1">
      <alignment horizontal="center" vertical="top" wrapText="1"/>
    </xf>
    <xf numFmtId="0" fontId="5" fillId="0" borderId="0" xfId="0" applyNumberFormat="1" applyFont="1" applyAlignment="1">
      <alignment horizontal="center" vertical="center" wrapText="1"/>
    </xf>
    <xf numFmtId="43" fontId="5" fillId="7" borderId="9" xfId="1" applyFont="1" applyFill="1" applyBorder="1" applyAlignment="1">
      <alignment horizontal="center" vertical="top" wrapText="1"/>
    </xf>
    <xf numFmtId="4" fontId="23" fillId="0" borderId="9" xfId="5" applyNumberFormat="1" applyFont="1" applyBorder="1" applyAlignment="1">
      <alignment horizontal="center" vertical="top" wrapText="1"/>
    </xf>
    <xf numFmtId="43" fontId="5" fillId="0" borderId="0" xfId="1" applyFont="1" applyFill="1" applyBorder="1" applyAlignment="1">
      <alignment vertical="top" wrapText="1"/>
    </xf>
    <xf numFmtId="43" fontId="5" fillId="0" borderId="9" xfId="1" applyFont="1" applyBorder="1" applyAlignment="1">
      <alignment horizontal="center" vertical="top" wrapText="1"/>
    </xf>
    <xf numFmtId="164" fontId="5" fillId="0" borderId="0" xfId="0" applyFont="1" applyAlignment="1">
      <alignment vertical="center" wrapText="1"/>
    </xf>
    <xf numFmtId="164" fontId="5" fillId="0" borderId="0" xfId="0" applyFont="1" applyAlignment="1">
      <alignment vertical="top" wrapText="1"/>
    </xf>
    <xf numFmtId="49" fontId="5" fillId="0" borderId="9" xfId="8" applyNumberFormat="1" applyBorder="1" applyAlignment="1">
      <alignment horizontal="center" vertical="top" wrapText="1"/>
    </xf>
    <xf numFmtId="0" fontId="5" fillId="0" borderId="9" xfId="8" applyBorder="1" applyAlignment="1">
      <alignment horizontal="center" vertical="top" wrapText="1"/>
    </xf>
    <xf numFmtId="4" fontId="26" fillId="0" borderId="9" xfId="5" applyNumberFormat="1" applyFont="1" applyBorder="1" applyAlignment="1">
      <alignment horizontal="center" vertical="top" wrapText="1"/>
    </xf>
    <xf numFmtId="0" fontId="27" fillId="16" borderId="9" xfId="5" applyFont="1" applyFill="1" applyBorder="1" applyAlignment="1">
      <alignment horizontal="center" vertical="center" wrapText="1"/>
    </xf>
    <xf numFmtId="0" fontId="20" fillId="16" borderId="9" xfId="5" applyFont="1" applyFill="1" applyBorder="1" applyAlignment="1">
      <alignment horizontal="center" vertical="center" wrapText="1"/>
    </xf>
    <xf numFmtId="0" fontId="20" fillId="17" borderId="9" xfId="5" applyFont="1" applyFill="1" applyBorder="1" applyAlignment="1">
      <alignment horizontal="center" vertical="center" wrapText="1"/>
    </xf>
    <xf numFmtId="178" fontId="5" fillId="0" borderId="0" xfId="0" applyNumberFormat="1" applyFont="1" applyAlignment="1">
      <alignment vertical="center" wrapText="1"/>
    </xf>
    <xf numFmtId="0" fontId="13" fillId="4" borderId="39" xfId="5" applyFont="1" applyFill="1" applyBorder="1" applyAlignment="1">
      <alignment horizontal="center" vertical="center" wrapText="1"/>
    </xf>
    <xf numFmtId="49" fontId="13" fillId="4" borderId="37" xfId="5" applyNumberFormat="1" applyFont="1" applyFill="1" applyBorder="1" applyAlignment="1">
      <alignment vertical="center" wrapText="1"/>
    </xf>
    <xf numFmtId="0" fontId="5" fillId="4" borderId="37" xfId="5" applyFill="1" applyBorder="1" applyAlignment="1">
      <alignment vertical="center" wrapText="1"/>
    </xf>
    <xf numFmtId="0" fontId="13" fillId="4" borderId="37" xfId="5" applyFont="1" applyFill="1" applyBorder="1" applyAlignment="1">
      <alignment vertical="center" wrapText="1"/>
    </xf>
    <xf numFmtId="0" fontId="13" fillId="4" borderId="37" xfId="5" applyFont="1" applyFill="1" applyBorder="1" applyAlignment="1">
      <alignment horizontal="left" vertical="center" wrapText="1"/>
    </xf>
    <xf numFmtId="40" fontId="5" fillId="4" borderId="37" xfId="5" applyNumberFormat="1" applyFill="1" applyBorder="1" applyAlignment="1">
      <alignment horizontal="center" vertical="center" wrapText="1"/>
    </xf>
    <xf numFmtId="0" fontId="5" fillId="4" borderId="37" xfId="5" applyFill="1" applyBorder="1" applyAlignment="1">
      <alignment horizontal="center" vertical="center" wrapText="1"/>
    </xf>
    <xf numFmtId="0" fontId="22" fillId="4" borderId="37" xfId="4" applyFont="1" applyFill="1" applyBorder="1" applyAlignment="1" applyProtection="1">
      <alignment horizontal="center" vertical="center" wrapText="1"/>
    </xf>
    <xf numFmtId="43" fontId="5" fillId="4" borderId="37" xfId="1" applyFont="1" applyFill="1" applyBorder="1" applyAlignment="1">
      <alignment horizontal="center" vertical="center" wrapText="1"/>
    </xf>
    <xf numFmtId="43" fontId="13" fillId="4" borderId="37" xfId="1" applyFont="1" applyFill="1" applyBorder="1" applyAlignment="1">
      <alignment horizontal="right" vertical="center" wrapText="1"/>
    </xf>
    <xf numFmtId="43" fontId="13" fillId="4" borderId="37" xfId="1" applyFont="1" applyFill="1" applyBorder="1" applyAlignment="1">
      <alignment vertical="center" wrapText="1"/>
    </xf>
    <xf numFmtId="10" fontId="13" fillId="4" borderId="37" xfId="3" applyNumberFormat="1" applyFont="1" applyFill="1" applyBorder="1" applyAlignment="1">
      <alignment horizontal="center" vertical="center" wrapText="1"/>
    </xf>
    <xf numFmtId="10" fontId="13" fillId="4" borderId="40" xfId="3" applyNumberFormat="1" applyFont="1" applyFill="1" applyBorder="1" applyAlignment="1">
      <alignment horizontal="center" vertical="center" wrapText="1"/>
    </xf>
    <xf numFmtId="164" fontId="15" fillId="0" borderId="0" xfId="0" applyFont="1" applyAlignment="1">
      <alignment horizontal="center" vertical="top"/>
    </xf>
    <xf numFmtId="164" fontId="28" fillId="0" borderId="0" xfId="0" applyFont="1" applyAlignment="1">
      <alignment horizontal="center" vertical="center"/>
    </xf>
    <xf numFmtId="9" fontId="4" fillId="0" borderId="0" xfId="3" applyFont="1" applyAlignment="1">
      <alignment horizontal="center" vertical="top"/>
    </xf>
    <xf numFmtId="164" fontId="4" fillId="0" borderId="0" xfId="0" applyFont="1" applyAlignment="1">
      <alignment vertical="center"/>
    </xf>
    <xf numFmtId="0" fontId="32" fillId="0" borderId="0" xfId="9" applyFont="1"/>
    <xf numFmtId="164" fontId="5" fillId="4" borderId="10" xfId="0" applyFont="1" applyFill="1" applyBorder="1"/>
    <xf numFmtId="164" fontId="5" fillId="4" borderId="10" xfId="0" applyFont="1" applyFill="1" applyBorder="1" applyAlignment="1">
      <alignment horizontal="left" vertical="center" wrapText="1"/>
    </xf>
    <xf numFmtId="164" fontId="13" fillId="4" borderId="10" xfId="0" applyFont="1" applyFill="1" applyBorder="1"/>
    <xf numFmtId="164" fontId="5" fillId="0" borderId="41" xfId="0" applyFont="1" applyBorder="1"/>
    <xf numFmtId="164" fontId="5" fillId="0" borderId="9" xfId="0" applyFont="1" applyBorder="1"/>
    <xf numFmtId="164" fontId="5" fillId="0" borderId="29" xfId="0" applyFont="1" applyBorder="1"/>
    <xf numFmtId="0" fontId="33" fillId="0" borderId="42" xfId="9" applyFont="1" applyBorder="1"/>
    <xf numFmtId="0" fontId="33" fillId="0" borderId="43" xfId="9" applyFont="1" applyBorder="1"/>
    <xf numFmtId="164" fontId="33" fillId="0" borderId="43" xfId="9" applyNumberFormat="1" applyFont="1" applyBorder="1"/>
    <xf numFmtId="164" fontId="33" fillId="0" borderId="44" xfId="9" applyNumberFormat="1" applyFont="1" applyBorder="1"/>
    <xf numFmtId="0" fontId="33" fillId="0" borderId="27" xfId="9" applyFont="1" applyBorder="1"/>
    <xf numFmtId="0" fontId="32" fillId="0" borderId="45" xfId="9" applyFont="1" applyBorder="1" applyAlignment="1">
      <alignment wrapText="1"/>
    </xf>
    <xf numFmtId="164" fontId="33" fillId="0" borderId="45" xfId="9" applyNumberFormat="1" applyFont="1" applyBorder="1"/>
    <xf numFmtId="0" fontId="32" fillId="0" borderId="45" xfId="9" applyFont="1" applyBorder="1"/>
    <xf numFmtId="0" fontId="32" fillId="0" borderId="46" xfId="9" applyFont="1" applyBorder="1"/>
    <xf numFmtId="0" fontId="11" fillId="0" borderId="0" xfId="10" applyFont="1" applyAlignment="1">
      <alignment horizontal="justify" vertical="center"/>
    </xf>
    <xf numFmtId="0" fontId="14" fillId="0" borderId="0" xfId="10" applyFont="1" applyAlignment="1">
      <alignment horizontal="justify" vertical="center"/>
    </xf>
    <xf numFmtId="0" fontId="14" fillId="0" borderId="0" xfId="10" applyFont="1" applyAlignment="1">
      <alignment horizontal="center" vertical="center"/>
    </xf>
    <xf numFmtId="0" fontId="13" fillId="0" borderId="0" xfId="10" applyFont="1" applyAlignment="1">
      <alignment horizontal="right" vertical="center"/>
    </xf>
    <xf numFmtId="0" fontId="13" fillId="0" borderId="0" xfId="10" applyFont="1" applyAlignment="1">
      <alignment horizontal="left" vertical="center"/>
    </xf>
    <xf numFmtId="0" fontId="13" fillId="0" borderId="0" xfId="10" applyFont="1" applyAlignment="1">
      <alignment horizontal="left" vertical="top"/>
    </xf>
    <xf numFmtId="0" fontId="14" fillId="0" borderId="0" xfId="10" applyFont="1" applyAlignment="1">
      <alignment vertical="center"/>
    </xf>
    <xf numFmtId="164" fontId="34" fillId="0" borderId="0" xfId="0" applyFont="1" applyAlignment="1">
      <alignment vertical="center"/>
    </xf>
    <xf numFmtId="0" fontId="11" fillId="0" borderId="0" xfId="0" applyNumberFormat="1" applyFont="1" applyAlignment="1">
      <alignment vertical="center"/>
    </xf>
    <xf numFmtId="0" fontId="11" fillId="0" borderId="0" xfId="0" applyNumberFormat="1" applyFont="1" applyAlignment="1">
      <alignment vertical="center" wrapText="1"/>
    </xf>
    <xf numFmtId="0" fontId="13" fillId="0" borderId="0" xfId="10" applyFont="1" applyAlignment="1">
      <alignment vertical="center" wrapText="1"/>
    </xf>
    <xf numFmtId="0" fontId="13" fillId="0" borderId="0" xfId="10" applyFont="1" applyAlignment="1">
      <alignment vertical="top" wrapText="1"/>
    </xf>
    <xf numFmtId="0" fontId="13" fillId="0" borderId="0" xfId="10" applyFont="1" applyAlignment="1">
      <alignment vertical="center"/>
    </xf>
    <xf numFmtId="164" fontId="35" fillId="0" borderId="0" xfId="11" applyNumberFormat="1" applyFont="1" applyAlignment="1">
      <alignment horizontal="center" vertical="center"/>
    </xf>
    <xf numFmtId="0" fontId="16" fillId="0" borderId="0" xfId="10" applyFont="1"/>
    <xf numFmtId="0" fontId="13" fillId="0" borderId="0" xfId="10" applyFont="1" applyAlignment="1">
      <alignment horizontal="right" vertical="top"/>
    </xf>
    <xf numFmtId="0" fontId="5" fillId="0" borderId="0" xfId="10"/>
    <xf numFmtId="0" fontId="36" fillId="0" borderId="0" xfId="10" applyFont="1" applyAlignment="1">
      <alignment horizontal="left" vertical="center"/>
    </xf>
    <xf numFmtId="0" fontId="5" fillId="0" borderId="0" xfId="10" applyAlignment="1">
      <alignment horizontal="center"/>
    </xf>
    <xf numFmtId="0" fontId="5" fillId="0" borderId="0" xfId="10" applyAlignment="1">
      <alignment horizontal="centerContinuous"/>
    </xf>
    <xf numFmtId="165" fontId="15" fillId="0" borderId="0" xfId="0" applyNumberFormat="1" applyFont="1" applyAlignment="1">
      <alignment horizontal="left" vertical="center"/>
    </xf>
    <xf numFmtId="164" fontId="7" fillId="0" borderId="47" xfId="11" applyNumberFormat="1" applyBorder="1"/>
    <xf numFmtId="164" fontId="7" fillId="0" borderId="0" xfId="11" applyNumberFormat="1"/>
    <xf numFmtId="164" fontId="37" fillId="0" borderId="0" xfId="11" applyNumberFormat="1" applyFont="1" applyAlignment="1">
      <alignment vertical="center"/>
    </xf>
    <xf numFmtId="9" fontId="37" fillId="0" borderId="0" xfId="12" applyFont="1" applyAlignment="1">
      <alignment horizontal="center" vertical="center"/>
    </xf>
    <xf numFmtId="4" fontId="15" fillId="0" borderId="0" xfId="0" applyNumberFormat="1" applyFont="1" applyAlignment="1">
      <alignment vertical="center"/>
    </xf>
    <xf numFmtId="164" fontId="38" fillId="0" borderId="0" xfId="11" applyNumberFormat="1" applyFont="1"/>
    <xf numFmtId="0" fontId="13" fillId="0" borderId="47" xfId="10" applyFont="1" applyBorder="1" applyAlignment="1">
      <alignment vertical="top" wrapText="1"/>
    </xf>
    <xf numFmtId="164" fontId="40" fillId="4" borderId="50" xfId="11" applyNumberFormat="1" applyFont="1" applyFill="1" applyBorder="1" applyAlignment="1">
      <alignment horizontal="center" vertical="center"/>
    </xf>
    <xf numFmtId="164" fontId="39" fillId="4" borderId="52" xfId="11" applyNumberFormat="1" applyFont="1" applyFill="1" applyBorder="1" applyAlignment="1">
      <alignment horizontal="center" vertical="center"/>
    </xf>
    <xf numFmtId="37" fontId="39" fillId="4" borderId="52" xfId="11" applyNumberFormat="1" applyFont="1" applyFill="1" applyBorder="1" applyAlignment="1">
      <alignment horizontal="center" vertical="center"/>
    </xf>
    <xf numFmtId="164" fontId="7" fillId="7" borderId="0" xfId="11" applyNumberFormat="1" applyFill="1" applyAlignment="1">
      <alignment vertical="center"/>
    </xf>
    <xf numFmtId="164" fontId="41" fillId="8" borderId="0" xfId="11" applyNumberFormat="1" applyFont="1" applyFill="1" applyAlignment="1">
      <alignment horizontal="left" vertical="center"/>
    </xf>
    <xf numFmtId="164" fontId="41" fillId="8" borderId="0" xfId="11" applyNumberFormat="1" applyFont="1" applyFill="1" applyAlignment="1">
      <alignment horizontal="center" vertical="center"/>
    </xf>
    <xf numFmtId="164" fontId="7" fillId="0" borderId="0" xfId="11" applyNumberFormat="1" applyAlignment="1">
      <alignment vertical="center"/>
    </xf>
    <xf numFmtId="164" fontId="40" fillId="4" borderId="56" xfId="11" applyNumberFormat="1" applyFont="1" applyFill="1" applyBorder="1" applyAlignment="1">
      <alignment horizontal="center" vertical="center"/>
    </xf>
    <xf numFmtId="164" fontId="39" fillId="4" borderId="57" xfId="11" applyNumberFormat="1" applyFont="1" applyFill="1" applyBorder="1" applyAlignment="1">
      <alignment horizontal="center" vertical="center"/>
    </xf>
    <xf numFmtId="0" fontId="39" fillId="4" borderId="58" xfId="11" applyNumberFormat="1" applyFont="1" applyFill="1" applyBorder="1" applyAlignment="1">
      <alignment horizontal="center" vertical="center"/>
    </xf>
    <xf numFmtId="0" fontId="39" fillId="4" borderId="59" xfId="11" applyNumberFormat="1" applyFont="1" applyFill="1" applyBorder="1" applyAlignment="1">
      <alignment horizontal="center" vertical="center"/>
    </xf>
    <xf numFmtId="164" fontId="42" fillId="7" borderId="0" xfId="11" applyNumberFormat="1" applyFont="1" applyFill="1" applyAlignment="1">
      <alignment horizontal="center" vertical="center"/>
    </xf>
    <xf numFmtId="44" fontId="41" fillId="8" borderId="0" xfId="2" applyFont="1" applyFill="1" applyAlignment="1">
      <alignment horizontal="center" vertical="center"/>
    </xf>
    <xf numFmtId="164" fontId="41" fillId="8" borderId="0" xfId="11" quotePrefix="1" applyNumberFormat="1" applyFont="1" applyFill="1" applyAlignment="1">
      <alignment horizontal="center" vertical="center"/>
    </xf>
    <xf numFmtId="168" fontId="41" fillId="8" borderId="0" xfId="3" applyNumberFormat="1" applyFont="1" applyFill="1" applyAlignment="1">
      <alignment horizontal="center" vertical="center"/>
    </xf>
    <xf numFmtId="164" fontId="42" fillId="0" borderId="0" xfId="11" applyNumberFormat="1" applyFont="1" applyAlignment="1">
      <alignment horizontal="center" vertical="center"/>
    </xf>
    <xf numFmtId="37" fontId="41" fillId="0" borderId="62" xfId="11" applyNumberFormat="1" applyFont="1" applyBorder="1" applyAlignment="1">
      <alignment horizontal="center" vertical="center"/>
    </xf>
    <xf numFmtId="39" fontId="35" fillId="0" borderId="51" xfId="11" applyNumberFormat="1" applyFont="1" applyBorder="1" applyAlignment="1">
      <alignment horizontal="right" vertical="center" wrapText="1"/>
    </xf>
    <xf numFmtId="9" fontId="35" fillId="0" borderId="63" xfId="12" applyFont="1" applyBorder="1" applyAlignment="1">
      <alignment horizontal="center" vertical="center" wrapText="1"/>
    </xf>
    <xf numFmtId="39" fontId="43" fillId="0" borderId="63" xfId="13" applyNumberFormat="1" applyFont="1" applyBorder="1" applyAlignment="1">
      <alignment horizontal="center" vertical="center"/>
    </xf>
    <xf numFmtId="44" fontId="35" fillId="0" borderId="64" xfId="14" applyNumberFormat="1" applyFont="1" applyBorder="1" applyAlignment="1">
      <alignment horizontal="center" vertical="center"/>
    </xf>
    <xf numFmtId="164" fontId="35" fillId="18" borderId="0" xfId="11" applyNumberFormat="1" applyFont="1" applyFill="1" applyAlignment="1">
      <alignment horizontal="center" vertical="center"/>
    </xf>
    <xf numFmtId="37" fontId="44" fillId="0" borderId="9" xfId="11" applyNumberFormat="1" applyFont="1" applyBorder="1" applyAlignment="1">
      <alignment horizontal="center" vertical="center"/>
    </xf>
    <xf numFmtId="44" fontId="35" fillId="0" borderId="68" xfId="14" applyNumberFormat="1" applyFont="1" applyBorder="1" applyAlignment="1">
      <alignment horizontal="center" vertical="center" wrapText="1"/>
    </xf>
    <xf numFmtId="9" fontId="35" fillId="0" borderId="41" xfId="12" applyFont="1" applyFill="1" applyBorder="1" applyAlignment="1">
      <alignment horizontal="center" vertical="center"/>
    </xf>
    <xf numFmtId="9" fontId="35" fillId="0" borderId="41" xfId="12" applyFont="1" applyFill="1" applyBorder="1" applyAlignment="1">
      <alignment vertical="center"/>
    </xf>
    <xf numFmtId="10" fontId="35" fillId="0" borderId="69" xfId="12" applyNumberFormat="1" applyFont="1" applyBorder="1" applyAlignment="1">
      <alignment vertical="center"/>
    </xf>
    <xf numFmtId="44" fontId="35" fillId="0" borderId="67" xfId="14" applyNumberFormat="1" applyFont="1" applyBorder="1" applyAlignment="1">
      <alignment horizontal="center" vertical="center" wrapText="1"/>
    </xf>
    <xf numFmtId="39" fontId="35" fillId="19" borderId="67" xfId="11" applyNumberFormat="1" applyFont="1" applyFill="1" applyBorder="1" applyAlignment="1">
      <alignment horizontal="right" vertical="center" wrapText="1"/>
    </xf>
    <xf numFmtId="181" fontId="35" fillId="19" borderId="41" xfId="12" applyNumberFormat="1" applyFont="1" applyFill="1" applyBorder="1" applyAlignment="1">
      <alignment horizontal="center" vertical="center" wrapText="1"/>
    </xf>
    <xf numFmtId="39" fontId="42" fillId="19" borderId="41" xfId="13" applyNumberFormat="1" applyFont="1" applyFill="1" applyBorder="1" applyAlignment="1">
      <alignment horizontal="center" vertical="center"/>
    </xf>
    <xf numFmtId="44" fontId="35" fillId="0" borderId="70" xfId="14" applyNumberFormat="1" applyFont="1" applyBorder="1" applyAlignment="1">
      <alignment horizontal="center" vertical="center"/>
    </xf>
    <xf numFmtId="164" fontId="35" fillId="7" borderId="0" xfId="11" applyNumberFormat="1" applyFont="1" applyFill="1" applyAlignment="1">
      <alignment horizontal="center" vertical="center"/>
    </xf>
    <xf numFmtId="181" fontId="35" fillId="0" borderId="0" xfId="3" applyNumberFormat="1" applyFont="1" applyAlignment="1">
      <alignment horizontal="center" vertical="center"/>
    </xf>
    <xf numFmtId="181" fontId="35" fillId="19" borderId="9" xfId="12" applyNumberFormat="1" applyFont="1" applyFill="1" applyBorder="1" applyAlignment="1">
      <alignment horizontal="center" vertical="center" wrapText="1"/>
    </xf>
    <xf numFmtId="37" fontId="44" fillId="0" borderId="55" xfId="11" applyNumberFormat="1" applyFont="1" applyBorder="1" applyAlignment="1">
      <alignment horizontal="center" vertical="center"/>
    </xf>
    <xf numFmtId="39" fontId="35" fillId="0" borderId="72" xfId="11" applyNumberFormat="1" applyFont="1" applyBorder="1" applyAlignment="1">
      <alignment horizontal="right" vertical="center" wrapText="1"/>
    </xf>
    <xf numFmtId="181" fontId="35" fillId="0" borderId="41" xfId="12" applyNumberFormat="1" applyFont="1" applyBorder="1" applyAlignment="1">
      <alignment horizontal="center" vertical="center" wrapText="1"/>
    </xf>
    <xf numFmtId="39" fontId="35" fillId="0" borderId="41" xfId="13" applyNumberFormat="1" applyFont="1" applyBorder="1" applyAlignment="1">
      <alignment horizontal="center" vertical="center"/>
    </xf>
    <xf numFmtId="44" fontId="35" fillId="0" borderId="69" xfId="14" applyNumberFormat="1" applyFont="1" applyBorder="1" applyAlignment="1">
      <alignment horizontal="center" vertical="center"/>
    </xf>
    <xf numFmtId="181" fontId="35" fillId="0" borderId="9" xfId="12" applyNumberFormat="1" applyFont="1" applyBorder="1" applyAlignment="1">
      <alignment horizontal="center" vertical="center" wrapText="1"/>
    </xf>
    <xf numFmtId="164" fontId="42" fillId="4" borderId="61" xfId="11" applyNumberFormat="1" applyFont="1" applyFill="1" applyBorder="1" applyAlignment="1">
      <alignment vertical="center"/>
    </xf>
    <xf numFmtId="164" fontId="42" fillId="4" borderId="63" xfId="11" applyNumberFormat="1" applyFont="1" applyFill="1" applyBorder="1" applyAlignment="1">
      <alignment horizontal="center" vertical="center"/>
    </xf>
    <xf numFmtId="44" fontId="42" fillId="4" borderId="52" xfId="14" applyNumberFormat="1" applyFont="1" applyFill="1" applyBorder="1" applyAlignment="1">
      <alignment horizontal="center" vertical="center" wrapText="1"/>
    </xf>
    <xf numFmtId="40" fontId="35" fillId="4" borderId="74" xfId="0" applyNumberFormat="1" applyFont="1" applyFill="1" applyBorder="1" applyAlignment="1">
      <alignment horizontal="center" vertical="center"/>
    </xf>
    <xf numFmtId="44" fontId="42" fillId="4" borderId="75" xfId="14" applyNumberFormat="1" applyFont="1" applyFill="1" applyBorder="1" applyAlignment="1">
      <alignment vertical="center"/>
    </xf>
    <xf numFmtId="164" fontId="35" fillId="0" borderId="0" xfId="11" applyNumberFormat="1" applyFont="1" applyAlignment="1">
      <alignment vertical="center"/>
    </xf>
    <xf numFmtId="164" fontId="42" fillId="4" borderId="76" xfId="11" applyNumberFormat="1" applyFont="1" applyFill="1" applyBorder="1" applyAlignment="1">
      <alignment vertical="center"/>
    </xf>
    <xf numFmtId="164" fontId="42" fillId="4" borderId="12" xfId="11" applyNumberFormat="1" applyFont="1" applyFill="1" applyBorder="1" applyAlignment="1">
      <alignment horizontal="center" vertical="center"/>
    </xf>
    <xf numFmtId="10" fontId="42" fillId="4" borderId="67" xfId="12" applyNumberFormat="1" applyFont="1" applyFill="1" applyBorder="1" applyAlignment="1">
      <alignment horizontal="center" vertical="center"/>
    </xf>
    <xf numFmtId="10" fontId="35" fillId="4" borderId="71" xfId="3" applyNumberFormat="1" applyFont="1" applyFill="1" applyBorder="1" applyAlignment="1">
      <alignment horizontal="center" vertical="center"/>
    </xf>
    <xf numFmtId="9" fontId="42" fillId="4" borderId="70" xfId="3" applyFont="1" applyFill="1" applyBorder="1" applyAlignment="1">
      <alignment vertical="center"/>
    </xf>
    <xf numFmtId="164" fontId="42" fillId="4" borderId="77" xfId="11" applyNumberFormat="1" applyFont="1" applyFill="1" applyBorder="1" applyAlignment="1">
      <alignment vertical="center"/>
    </xf>
    <xf numFmtId="164" fontId="42" fillId="4" borderId="78" xfId="11" applyNumberFormat="1" applyFont="1" applyFill="1" applyBorder="1" applyAlignment="1">
      <alignment horizontal="center" vertical="center"/>
    </xf>
    <xf numFmtId="44" fontId="42" fillId="4" borderId="13" xfId="14" applyNumberFormat="1" applyFont="1" applyFill="1" applyBorder="1" applyAlignment="1">
      <alignment horizontal="center" vertical="center" wrapText="1"/>
    </xf>
    <xf numFmtId="40" fontId="35" fillId="4" borderId="10" xfId="0" applyNumberFormat="1" applyFont="1" applyFill="1" applyBorder="1" applyAlignment="1">
      <alignment horizontal="center" vertical="center"/>
    </xf>
    <xf numFmtId="44" fontId="42" fillId="4" borderId="70" xfId="14" applyNumberFormat="1" applyFont="1" applyFill="1" applyBorder="1" applyAlignment="1">
      <alignment vertical="center"/>
    </xf>
    <xf numFmtId="164" fontId="35" fillId="18" borderId="0" xfId="11" applyNumberFormat="1" applyFont="1" applyFill="1" applyAlignment="1">
      <alignment vertical="center"/>
    </xf>
    <xf numFmtId="164" fontId="42" fillId="4" borderId="66" xfId="11" applyNumberFormat="1" applyFont="1" applyFill="1" applyBorder="1" applyAlignment="1">
      <alignment horizontal="center" vertical="center"/>
    </xf>
    <xf numFmtId="182" fontId="35" fillId="9" borderId="0" xfId="11" applyNumberFormat="1" applyFont="1" applyFill="1" applyAlignment="1">
      <alignment vertical="center"/>
    </xf>
    <xf numFmtId="183" fontId="42" fillId="4" borderId="67" xfId="12" applyNumberFormat="1" applyFont="1" applyFill="1" applyBorder="1" applyAlignment="1">
      <alignment horizontal="center" vertical="center"/>
    </xf>
    <xf numFmtId="164" fontId="42" fillId="4" borderId="72" xfId="11" applyNumberFormat="1" applyFont="1" applyFill="1" applyBorder="1" applyAlignment="1">
      <alignment horizontal="center" vertical="center"/>
    </xf>
    <xf numFmtId="168" fontId="35" fillId="4" borderId="13" xfId="12" applyNumberFormat="1" applyFont="1" applyFill="1" applyBorder="1" applyAlignment="1">
      <alignment horizontal="center" vertical="center" wrapText="1"/>
    </xf>
    <xf numFmtId="40" fontId="42" fillId="4" borderId="79" xfId="0" applyNumberFormat="1" applyFont="1" applyFill="1" applyBorder="1" applyAlignment="1">
      <alignment vertical="center"/>
    </xf>
    <xf numFmtId="164" fontId="42" fillId="4" borderId="73" xfId="11" applyNumberFormat="1" applyFont="1" applyFill="1" applyBorder="1" applyAlignment="1">
      <alignment vertical="center"/>
    </xf>
    <xf numFmtId="164" fontId="42" fillId="4" borderId="57" xfId="11" applyNumberFormat="1" applyFont="1" applyFill="1" applyBorder="1" applyAlignment="1">
      <alignment horizontal="center" vertical="center"/>
    </xf>
    <xf numFmtId="9" fontId="35" fillId="4" borderId="59" xfId="12" applyFont="1" applyFill="1" applyBorder="1" applyAlignment="1">
      <alignment horizontal="center" vertical="center" wrapText="1"/>
    </xf>
    <xf numFmtId="9" fontId="35" fillId="4" borderId="55" xfId="12" applyFont="1" applyFill="1" applyBorder="1" applyAlignment="1">
      <alignment horizontal="center" vertical="center" wrapText="1"/>
    </xf>
    <xf numFmtId="10" fontId="35" fillId="4" borderId="55" xfId="3" applyNumberFormat="1" applyFont="1" applyFill="1" applyBorder="1" applyAlignment="1">
      <alignment horizontal="center" vertical="center"/>
    </xf>
    <xf numFmtId="9" fontId="7" fillId="7" borderId="0" xfId="12" applyFont="1" applyFill="1" applyAlignment="1">
      <alignment horizontal="center" vertical="center"/>
    </xf>
    <xf numFmtId="164" fontId="46" fillId="13" borderId="0" xfId="11" applyNumberFormat="1" applyFont="1" applyFill="1" applyAlignment="1">
      <alignment horizontal="right" vertical="center"/>
    </xf>
    <xf numFmtId="37" fontId="42" fillId="0" borderId="0" xfId="11" applyNumberFormat="1" applyFont="1" applyAlignment="1">
      <alignment horizontal="center" vertical="center"/>
    </xf>
    <xf numFmtId="9" fontId="7" fillId="0" borderId="0" xfId="12" applyFont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184" fontId="5" fillId="0" borderId="0" xfId="0" applyNumberFormat="1" applyFont="1" applyAlignment="1">
      <alignment horizontal="center" vertical="center"/>
    </xf>
    <xf numFmtId="37" fontId="42" fillId="0" borderId="80" xfId="11" applyNumberFormat="1" applyFont="1" applyBorder="1" applyAlignment="1">
      <alignment horizontal="center" vertical="center"/>
    </xf>
    <xf numFmtId="0" fontId="2" fillId="0" borderId="0" xfId="15" applyFont="1"/>
    <xf numFmtId="0" fontId="47" fillId="0" borderId="0" xfId="15" applyFont="1" applyAlignment="1" applyProtection="1">
      <alignment horizontal="left" indent="1"/>
      <protection locked="0"/>
    </xf>
    <xf numFmtId="0" fontId="48" fillId="0" borderId="0" xfId="15" applyFont="1" applyAlignment="1" applyProtection="1">
      <alignment horizontal="left" indent="1"/>
      <protection locked="0"/>
    </xf>
    <xf numFmtId="0" fontId="1" fillId="0" borderId="0" xfId="15"/>
    <xf numFmtId="10" fontId="47" fillId="0" borderId="0" xfId="15" applyNumberFormat="1" applyFont="1" applyAlignment="1" applyProtection="1">
      <alignment horizontal="right" indent="1"/>
      <protection locked="0"/>
    </xf>
    <xf numFmtId="0" fontId="1" fillId="0" borderId="0" xfId="15" applyAlignment="1">
      <alignment horizontal="left" indent="1"/>
    </xf>
    <xf numFmtId="0" fontId="32" fillId="0" borderId="0" xfId="15" applyFont="1" applyAlignment="1">
      <alignment horizontal="left" indent="1"/>
    </xf>
    <xf numFmtId="0" fontId="1" fillId="0" borderId="0" xfId="15" applyAlignment="1">
      <alignment horizontal="right"/>
    </xf>
    <xf numFmtId="0" fontId="49" fillId="21" borderId="81" xfId="15" applyFont="1" applyFill="1" applyBorder="1" applyAlignment="1">
      <alignment vertical="center"/>
    </xf>
    <xf numFmtId="0" fontId="49" fillId="21" borderId="82" xfId="15" applyFont="1" applyFill="1" applyBorder="1" applyAlignment="1">
      <alignment vertical="center"/>
    </xf>
    <xf numFmtId="0" fontId="49" fillId="21" borderId="83" xfId="15" applyFont="1" applyFill="1" applyBorder="1" applyAlignment="1">
      <alignment vertical="center"/>
    </xf>
    <xf numFmtId="0" fontId="50" fillId="0" borderId="82" xfId="15" applyFont="1" applyBorder="1" applyAlignment="1">
      <alignment horizontal="center"/>
    </xf>
    <xf numFmtId="0" fontId="51" fillId="21" borderId="81" xfId="15" applyFont="1" applyFill="1" applyBorder="1" applyAlignment="1">
      <alignment horizontal="center" vertical="center" wrapText="1"/>
    </xf>
    <xf numFmtId="0" fontId="51" fillId="21" borderId="82" xfId="15" applyFont="1" applyFill="1" applyBorder="1" applyAlignment="1">
      <alignment horizontal="center" vertical="center" wrapText="1"/>
    </xf>
    <xf numFmtId="0" fontId="51" fillId="21" borderId="84" xfId="15" applyFont="1" applyFill="1" applyBorder="1" applyAlignment="1">
      <alignment horizontal="center" vertical="center" wrapText="1"/>
    </xf>
    <xf numFmtId="0" fontId="51" fillId="21" borderId="83" xfId="15" applyFont="1" applyFill="1" applyBorder="1" applyAlignment="1">
      <alignment horizontal="center" vertical="center" wrapText="1"/>
    </xf>
    <xf numFmtId="0" fontId="52" fillId="0" borderId="65" xfId="15" applyFont="1" applyBorder="1" applyAlignment="1">
      <alignment horizontal="center"/>
    </xf>
    <xf numFmtId="0" fontId="52" fillId="0" borderId="0" xfId="15" applyFont="1" applyAlignment="1">
      <alignment horizontal="center"/>
    </xf>
    <xf numFmtId="0" fontId="52" fillId="0" borderId="82" xfId="15" applyFont="1" applyBorder="1" applyAlignment="1">
      <alignment horizontal="center"/>
    </xf>
    <xf numFmtId="0" fontId="52" fillId="0" borderId="85" xfId="15" applyFont="1" applyBorder="1" applyAlignment="1" applyProtection="1">
      <alignment horizontal="center"/>
      <protection locked="0"/>
    </xf>
    <xf numFmtId="0" fontId="52" fillId="0" borderId="83" xfId="15" applyFont="1" applyBorder="1" applyAlignment="1">
      <alignment horizontal="center"/>
    </xf>
    <xf numFmtId="0" fontId="51" fillId="0" borderId="81" xfId="15" applyFont="1" applyBorder="1" applyAlignment="1">
      <alignment horizontal="center"/>
    </xf>
    <xf numFmtId="0" fontId="53" fillId="0" borderId="82" xfId="15" applyFont="1" applyBorder="1" applyAlignment="1">
      <alignment horizontal="right"/>
    </xf>
    <xf numFmtId="4" fontId="53" fillId="0" borderId="81" xfId="16" applyNumberFormat="1" applyFont="1" applyBorder="1" applyAlignment="1">
      <alignment horizontal="center"/>
    </xf>
    <xf numFmtId="4" fontId="37" fillId="0" borderId="53" xfId="16" applyNumberFormat="1" applyFont="1" applyBorder="1" applyAlignment="1" applyProtection="1">
      <alignment horizontal="center"/>
      <protection locked="0"/>
    </xf>
    <xf numFmtId="4" fontId="53" fillId="0" borderId="83" xfId="16" applyNumberFormat="1" applyFont="1" applyBorder="1" applyAlignment="1">
      <alignment horizontal="center"/>
    </xf>
    <xf numFmtId="0" fontId="54" fillId="0" borderId="65" xfId="15" applyFont="1" applyBorder="1" applyAlignment="1">
      <alignment horizontal="center"/>
    </xf>
    <xf numFmtId="0" fontId="55" fillId="0" borderId="0" xfId="15" applyFont="1" applyAlignment="1">
      <alignment horizontal="right"/>
    </xf>
    <xf numFmtId="0" fontId="55" fillId="0" borderId="82" xfId="15" applyFont="1" applyBorder="1" applyAlignment="1">
      <alignment horizontal="center"/>
    </xf>
    <xf numFmtId="4" fontId="56" fillId="0" borderId="53" xfId="16" applyNumberFormat="1" applyFont="1" applyBorder="1" applyAlignment="1" applyProtection="1">
      <alignment horizontal="center"/>
      <protection locked="0"/>
    </xf>
    <xf numFmtId="4" fontId="55" fillId="0" borderId="86" xfId="16" applyNumberFormat="1" applyFont="1" applyBorder="1" applyAlignment="1">
      <alignment horizontal="center"/>
    </xf>
    <xf numFmtId="4" fontId="55" fillId="0" borderId="83" xfId="16" applyNumberFormat="1" applyFont="1" applyBorder="1" applyAlignment="1">
      <alignment horizontal="center"/>
    </xf>
    <xf numFmtId="4" fontId="57" fillId="0" borderId="83" xfId="16" applyNumberFormat="1" applyFont="1" applyBorder="1" applyAlignment="1" applyProtection="1">
      <alignment horizontal="center"/>
      <protection locked="0"/>
    </xf>
    <xf numFmtId="0" fontId="55" fillId="0" borderId="62" xfId="15" applyFont="1" applyBorder="1" applyAlignment="1">
      <alignment horizontal="center"/>
    </xf>
    <xf numFmtId="4" fontId="57" fillId="0" borderId="53" xfId="16" applyNumberFormat="1" applyFont="1" applyBorder="1" applyProtection="1">
      <protection locked="0"/>
    </xf>
    <xf numFmtId="0" fontId="54" fillId="0" borderId="87" xfId="15" applyFont="1" applyBorder="1"/>
    <xf numFmtId="0" fontId="58" fillId="0" borderId="61" xfId="15" applyFont="1" applyBorder="1" applyAlignment="1">
      <alignment horizontal="center"/>
    </xf>
    <xf numFmtId="0" fontId="59" fillId="0" borderId="62" xfId="15" applyFont="1" applyBorder="1" applyAlignment="1">
      <alignment horizontal="right"/>
    </xf>
    <xf numFmtId="4" fontId="59" fillId="0" borderId="61" xfId="16" applyNumberFormat="1" applyFont="1" applyBorder="1" applyAlignment="1">
      <alignment horizontal="center"/>
    </xf>
    <xf numFmtId="2" fontId="59" fillId="0" borderId="53" xfId="17" applyNumberFormat="1" applyFont="1" applyBorder="1" applyAlignment="1" applyProtection="1">
      <alignment horizontal="center"/>
      <protection locked="0"/>
    </xf>
    <xf numFmtId="4" fontId="59" fillId="0" borderId="87" xfId="16" applyNumberFormat="1" applyFont="1" applyBorder="1" applyAlignment="1">
      <alignment horizontal="center"/>
    </xf>
    <xf numFmtId="0" fontId="58" fillId="0" borderId="65" xfId="15" applyFont="1" applyBorder="1" applyAlignment="1">
      <alignment horizontal="center"/>
    </xf>
    <xf numFmtId="0" fontId="59" fillId="0" borderId="0" xfId="15" applyFont="1" applyAlignment="1">
      <alignment horizontal="right"/>
    </xf>
    <xf numFmtId="4" fontId="59" fillId="0" borderId="65" xfId="16" applyNumberFormat="1" applyFont="1" applyBorder="1" applyAlignment="1">
      <alignment horizontal="center"/>
    </xf>
    <xf numFmtId="2" fontId="59" fillId="0" borderId="88" xfId="17" applyNumberFormat="1" applyFont="1" applyBorder="1" applyAlignment="1" applyProtection="1">
      <alignment horizontal="center"/>
      <protection locked="0"/>
    </xf>
    <xf numFmtId="4" fontId="59" fillId="0" borderId="85" xfId="16" applyNumberFormat="1" applyFont="1" applyBorder="1" applyAlignment="1">
      <alignment horizontal="center"/>
    </xf>
    <xf numFmtId="0" fontId="51" fillId="0" borderId="73" xfId="15" applyFont="1" applyBorder="1" applyAlignment="1">
      <alignment horizontal="center"/>
    </xf>
    <xf numFmtId="0" fontId="53" fillId="0" borderId="47" xfId="15" applyFont="1" applyBorder="1" applyAlignment="1">
      <alignment horizontal="right"/>
    </xf>
    <xf numFmtId="4" fontId="53" fillId="0" borderId="73" xfId="16" applyNumberFormat="1" applyFont="1" applyBorder="1" applyAlignment="1">
      <alignment horizontal="center"/>
    </xf>
    <xf numFmtId="2" fontId="53" fillId="0" borderId="60" xfId="17" applyNumberFormat="1" applyFont="1" applyBorder="1" applyAlignment="1" applyProtection="1">
      <alignment horizontal="center"/>
      <protection locked="0"/>
    </xf>
    <xf numFmtId="4" fontId="53" fillId="0" borderId="86" xfId="16" applyNumberFormat="1" applyFont="1" applyBorder="1" applyAlignment="1">
      <alignment horizontal="center"/>
    </xf>
    <xf numFmtId="0" fontId="54" fillId="0" borderId="82" xfId="15" applyFont="1" applyBorder="1" applyAlignment="1">
      <alignment horizontal="center"/>
    </xf>
    <xf numFmtId="0" fontId="57" fillId="0" borderId="82" xfId="15" applyFont="1" applyBorder="1"/>
    <xf numFmtId="0" fontId="57" fillId="0" borderId="62" xfId="15" applyFont="1" applyBorder="1" applyAlignment="1">
      <alignment horizontal="center"/>
    </xf>
    <xf numFmtId="4" fontId="57" fillId="0" borderId="82" xfId="16" applyNumberFormat="1" applyFont="1" applyBorder="1"/>
    <xf numFmtId="4" fontId="57" fillId="0" borderId="62" xfId="16" applyNumberFormat="1" applyFont="1" applyBorder="1" applyAlignment="1"/>
    <xf numFmtId="0" fontId="53" fillId="0" borderId="81" xfId="15" applyFont="1" applyBorder="1" applyAlignment="1">
      <alignment horizontal="left"/>
    </xf>
    <xf numFmtId="0" fontId="53" fillId="0" borderId="82" xfId="15" applyFont="1" applyBorder="1" applyAlignment="1">
      <alignment horizontal="center"/>
    </xf>
    <xf numFmtId="4" fontId="37" fillId="0" borderId="84" xfId="16" applyNumberFormat="1" applyFont="1" applyBorder="1" applyAlignment="1">
      <alignment horizontal="center"/>
    </xf>
    <xf numFmtId="4" fontId="60" fillId="0" borderId="83" xfId="15" applyNumberFormat="1" applyFont="1" applyBorder="1"/>
    <xf numFmtId="0" fontId="55" fillId="0" borderId="0" xfId="15" applyFont="1" applyAlignment="1">
      <alignment horizontal="center"/>
    </xf>
    <xf numFmtId="4" fontId="61" fillId="0" borderId="0" xfId="16" applyNumberFormat="1" applyFont="1" applyBorder="1"/>
    <xf numFmtId="4" fontId="54" fillId="0" borderId="0" xfId="15" applyNumberFormat="1" applyFont="1"/>
    <xf numFmtId="43" fontId="60" fillId="0" borderId="0" xfId="16" quotePrefix="1" applyFont="1" applyBorder="1" applyAlignment="1">
      <alignment horizontal="center"/>
    </xf>
    <xf numFmtId="43" fontId="62" fillId="0" borderId="0" xfId="16" applyFont="1" applyBorder="1" applyAlignment="1">
      <alignment vertical="center"/>
    </xf>
    <xf numFmtId="0" fontId="58" fillId="0" borderId="0" xfId="15" applyFont="1"/>
    <xf numFmtId="0" fontId="60" fillId="0" borderId="0" xfId="15" applyFont="1" applyAlignment="1">
      <alignment horizontal="center"/>
    </xf>
    <xf numFmtId="43" fontId="60" fillId="0" borderId="0" xfId="16" applyFont="1" applyBorder="1"/>
    <xf numFmtId="43" fontId="60" fillId="0" borderId="0" xfId="16" applyFont="1" applyBorder="1" applyAlignment="1"/>
    <xf numFmtId="0" fontId="60" fillId="0" borderId="0" xfId="15" applyFont="1"/>
    <xf numFmtId="43" fontId="60" fillId="0" borderId="0" xfId="16" applyFont="1"/>
    <xf numFmtId="43" fontId="60" fillId="0" borderId="0" xfId="16" applyFont="1" applyAlignment="1"/>
    <xf numFmtId="43" fontId="62" fillId="0" borderId="0" xfId="16" applyFont="1" applyBorder="1"/>
    <xf numFmtId="43" fontId="63" fillId="0" borderId="0" xfId="16" applyFont="1" applyBorder="1"/>
    <xf numFmtId="164" fontId="50" fillId="0" borderId="82" xfId="0" applyFont="1" applyBorder="1" applyAlignment="1">
      <alignment horizontal="center"/>
    </xf>
    <xf numFmtId="164" fontId="50" fillId="21" borderId="81" xfId="0" applyFont="1" applyFill="1" applyBorder="1" applyAlignment="1">
      <alignment horizontal="center" vertical="center" wrapText="1"/>
    </xf>
    <xf numFmtId="164" fontId="50" fillId="21" borderId="82" xfId="0" applyFont="1" applyFill="1" applyBorder="1" applyAlignment="1">
      <alignment horizontal="center" vertical="center" wrapText="1"/>
    </xf>
    <xf numFmtId="164" fontId="50" fillId="21" borderId="84" xfId="0" applyFont="1" applyFill="1" applyBorder="1" applyAlignment="1">
      <alignment horizontal="center" vertical="center" wrapText="1"/>
    </xf>
    <xf numFmtId="164" fontId="52" fillId="0" borderId="65" xfId="0" applyFont="1" applyBorder="1" applyAlignment="1">
      <alignment horizontal="center"/>
    </xf>
    <xf numFmtId="164" fontId="52" fillId="0" borderId="0" xfId="0" applyFont="1" applyAlignment="1">
      <alignment horizontal="center"/>
    </xf>
    <xf numFmtId="164" fontId="52" fillId="0" borderId="85" xfId="0" applyFont="1" applyBorder="1" applyAlignment="1" applyProtection="1">
      <alignment horizontal="center"/>
      <protection locked="0"/>
    </xf>
    <xf numFmtId="164" fontId="50" fillId="0" borderId="81" xfId="0" applyFont="1" applyBorder="1" applyAlignment="1">
      <alignment horizontal="center"/>
    </xf>
    <xf numFmtId="164" fontId="69" fillId="0" borderId="82" xfId="0" applyFont="1" applyBorder="1" applyAlignment="1">
      <alignment horizontal="right"/>
    </xf>
    <xf numFmtId="4" fontId="70" fillId="0" borderId="53" xfId="1" applyNumberFormat="1" applyFont="1" applyBorder="1" applyAlignment="1" applyProtection="1">
      <alignment horizontal="center"/>
      <protection locked="0"/>
    </xf>
    <xf numFmtId="164" fontId="54" fillId="0" borderId="65" xfId="0" applyFont="1" applyBorder="1" applyAlignment="1">
      <alignment horizontal="center"/>
    </xf>
    <xf numFmtId="164" fontId="55" fillId="0" borderId="0" xfId="0" applyFont="1" applyAlignment="1">
      <alignment horizontal="right"/>
    </xf>
    <xf numFmtId="4" fontId="57" fillId="0" borderId="53" xfId="1" applyNumberFormat="1" applyFont="1" applyBorder="1" applyProtection="1">
      <protection locked="0"/>
    </xf>
    <xf numFmtId="164" fontId="0" fillId="0" borderId="61" xfId="0" applyBorder="1" applyAlignment="1">
      <alignment horizontal="center"/>
    </xf>
    <xf numFmtId="164" fontId="71" fillId="0" borderId="62" xfId="0" applyFont="1" applyBorder="1" applyAlignment="1">
      <alignment horizontal="right"/>
    </xf>
    <xf numFmtId="4" fontId="71" fillId="0" borderId="53" xfId="1" applyNumberFormat="1" applyFont="1" applyBorder="1" applyAlignment="1" applyProtection="1">
      <alignment horizontal="center"/>
      <protection locked="0"/>
    </xf>
    <xf numFmtId="164" fontId="0" fillId="0" borderId="65" xfId="0" applyBorder="1" applyAlignment="1">
      <alignment horizontal="center"/>
    </xf>
    <xf numFmtId="164" fontId="71" fillId="0" borderId="0" xfId="0" applyFont="1" applyAlignment="1">
      <alignment horizontal="right"/>
    </xf>
    <xf numFmtId="4" fontId="71" fillId="0" borderId="88" xfId="1" applyNumberFormat="1" applyFont="1" applyBorder="1" applyAlignment="1" applyProtection="1">
      <alignment horizontal="center"/>
      <protection locked="0"/>
    </xf>
    <xf numFmtId="164" fontId="50" fillId="0" borderId="73" xfId="0" applyFont="1" applyBorder="1" applyAlignment="1">
      <alignment horizontal="center"/>
    </xf>
    <xf numFmtId="164" fontId="69" fillId="0" borderId="47" xfId="0" applyFont="1" applyBorder="1" applyAlignment="1">
      <alignment horizontal="right"/>
    </xf>
    <xf numFmtId="4" fontId="69" fillId="0" borderId="60" xfId="1" applyNumberFormat="1" applyFont="1" applyBorder="1" applyAlignment="1" applyProtection="1">
      <alignment horizontal="center"/>
      <protection locked="0"/>
    </xf>
    <xf numFmtId="164" fontId="54" fillId="0" borderId="82" xfId="0" applyFont="1" applyBorder="1" applyAlignment="1">
      <alignment horizontal="center"/>
    </xf>
    <xf numFmtId="164" fontId="57" fillId="0" borderId="82" xfId="0" applyFont="1" applyBorder="1"/>
    <xf numFmtId="4" fontId="57" fillId="0" borderId="82" xfId="1" applyNumberFormat="1" applyFont="1" applyBorder="1"/>
    <xf numFmtId="164" fontId="69" fillId="0" borderId="81" xfId="0" applyFont="1" applyBorder="1" applyAlignment="1">
      <alignment horizontal="left"/>
    </xf>
    <xf numFmtId="164" fontId="53" fillId="0" borderId="82" xfId="0" applyFont="1" applyBorder="1" applyAlignment="1">
      <alignment horizontal="right"/>
    </xf>
    <xf numFmtId="4" fontId="11" fillId="0" borderId="84" xfId="1" applyNumberFormat="1" applyFont="1" applyBorder="1" applyAlignment="1">
      <alignment horizontal="center"/>
    </xf>
    <xf numFmtId="4" fontId="61" fillId="0" borderId="0" xfId="1" applyNumberFormat="1" applyFont="1" applyBorder="1"/>
    <xf numFmtId="43" fontId="60" fillId="0" borderId="0" xfId="1" quotePrefix="1" applyFont="1" applyBorder="1" applyAlignment="1">
      <alignment horizontal="center"/>
    </xf>
    <xf numFmtId="43" fontId="72" fillId="0" borderId="0" xfId="1" applyFont="1" applyBorder="1"/>
    <xf numFmtId="43" fontId="60" fillId="0" borderId="0" xfId="1" applyFont="1" applyBorder="1"/>
    <xf numFmtId="164" fontId="60" fillId="0" borderId="0" xfId="0" applyFont="1"/>
    <xf numFmtId="43" fontId="60" fillId="0" borderId="0" xfId="1" applyFont="1"/>
    <xf numFmtId="0" fontId="73" fillId="0" borderId="0" xfId="0" applyNumberFormat="1" applyFont="1" applyAlignment="1">
      <alignment horizontal="left" vertical="center"/>
    </xf>
    <xf numFmtId="0" fontId="74" fillId="0" borderId="0" xfId="0" applyNumberFormat="1" applyFont="1" applyAlignment="1">
      <alignment horizontal="center" vertical="top"/>
    </xf>
    <xf numFmtId="43" fontId="35" fillId="0" borderId="0" xfId="0" applyNumberFormat="1" applyFont="1" applyAlignment="1">
      <alignment horizontal="right" vertical="top"/>
    </xf>
    <xf numFmtId="43" fontId="14" fillId="0" borderId="0" xfId="1" applyFont="1" applyAlignment="1">
      <alignment horizontal="center" vertical="top"/>
    </xf>
    <xf numFmtId="0" fontId="11" fillId="0" borderId="0" xfId="0" applyNumberFormat="1" applyFont="1" applyAlignment="1">
      <alignment horizontal="left" vertical="top"/>
    </xf>
    <xf numFmtId="0" fontId="13" fillId="0" borderId="0" xfId="0" applyNumberFormat="1" applyFont="1" applyAlignment="1">
      <alignment horizontal="right" vertical="center"/>
    </xf>
    <xf numFmtId="0" fontId="13" fillId="0" borderId="0" xfId="0" applyNumberFormat="1" applyFont="1" applyAlignment="1">
      <alignment vertical="center"/>
    </xf>
    <xf numFmtId="43" fontId="16" fillId="0" borderId="0" xfId="1" applyFont="1" applyAlignment="1">
      <alignment vertical="top"/>
    </xf>
    <xf numFmtId="4" fontId="41" fillId="0" borderId="0" xfId="0" applyNumberFormat="1" applyFont="1" applyAlignment="1">
      <alignment vertical="top"/>
    </xf>
    <xf numFmtId="3" fontId="35" fillId="0" borderId="0" xfId="0" applyNumberFormat="1" applyFont="1" applyAlignment="1">
      <alignment vertical="top"/>
    </xf>
    <xf numFmtId="0" fontId="13" fillId="22" borderId="0" xfId="1" applyNumberFormat="1" applyFont="1" applyFill="1" applyAlignment="1">
      <alignment horizontal="center" vertical="center"/>
    </xf>
    <xf numFmtId="9" fontId="13" fillId="22" borderId="0" xfId="1" applyNumberFormat="1" applyFont="1" applyFill="1" applyAlignment="1">
      <alignment horizontal="center" vertical="center"/>
    </xf>
    <xf numFmtId="10" fontId="13" fillId="23" borderId="0" xfId="1" applyNumberFormat="1" applyFont="1" applyFill="1" applyAlignment="1">
      <alignment horizontal="center" vertical="center"/>
    </xf>
    <xf numFmtId="9" fontId="13" fillId="23" borderId="0" xfId="1" applyNumberFormat="1" applyFont="1" applyFill="1" applyAlignment="1">
      <alignment horizontal="center" vertical="center"/>
    </xf>
    <xf numFmtId="0" fontId="73" fillId="0" borderId="0" xfId="10" applyFont="1" applyAlignment="1">
      <alignment horizontal="centerContinuous" vertical="center"/>
    </xf>
    <xf numFmtId="0" fontId="12" fillId="0" borderId="0" xfId="0" applyNumberFormat="1" applyFont="1" applyAlignment="1">
      <alignment horizontal="center" vertical="center"/>
    </xf>
    <xf numFmtId="0" fontId="12" fillId="0" borderId="0" xfId="0" applyNumberFormat="1" applyFont="1" applyAlignment="1">
      <alignment horizontal="centerContinuous" vertical="center"/>
    </xf>
    <xf numFmtId="185" fontId="13" fillId="6" borderId="0" xfId="1" applyNumberFormat="1" applyFont="1" applyFill="1" applyAlignment="1">
      <alignment horizontal="center" vertical="center"/>
    </xf>
    <xf numFmtId="9" fontId="13" fillId="6" borderId="0" xfId="1" applyNumberFormat="1" applyFont="1" applyFill="1" applyAlignment="1">
      <alignment horizontal="center" vertical="center"/>
    </xf>
    <xf numFmtId="0" fontId="13" fillId="4" borderId="39" xfId="0" applyNumberFormat="1" applyFont="1" applyFill="1" applyBorder="1" applyAlignment="1">
      <alignment horizontal="center" vertical="center" wrapText="1"/>
    </xf>
    <xf numFmtId="0" fontId="13" fillId="4" borderId="37" xfId="0" applyNumberFormat="1" applyFont="1" applyFill="1" applyBorder="1" applyAlignment="1">
      <alignment horizontal="center" vertical="center" wrapText="1"/>
    </xf>
    <xf numFmtId="43" fontId="13" fillId="4" borderId="37" xfId="0" applyNumberFormat="1" applyFont="1" applyFill="1" applyBorder="1" applyAlignment="1">
      <alignment horizontal="center" vertical="center" wrapText="1"/>
    </xf>
    <xf numFmtId="0" fontId="75" fillId="4" borderId="37" xfId="0" applyNumberFormat="1" applyFont="1" applyFill="1" applyBorder="1" applyAlignment="1">
      <alignment horizontal="center" vertical="center" wrapText="1"/>
    </xf>
    <xf numFmtId="0" fontId="13" fillId="4" borderId="40" xfId="0" applyNumberFormat="1" applyFont="1" applyFill="1" applyBorder="1" applyAlignment="1">
      <alignment horizontal="center" vertical="center" wrapText="1"/>
    </xf>
    <xf numFmtId="0" fontId="13" fillId="4" borderId="0" xfId="0" applyNumberFormat="1" applyFont="1" applyFill="1" applyAlignment="1">
      <alignment horizontal="center" vertical="center"/>
    </xf>
    <xf numFmtId="43" fontId="13" fillId="4" borderId="0" xfId="1" applyFont="1" applyFill="1" applyAlignment="1">
      <alignment horizontal="left" vertical="center"/>
    </xf>
    <xf numFmtId="0" fontId="5" fillId="4" borderId="0" xfId="0" applyNumberFormat="1" applyFont="1" applyFill="1" applyAlignment="1">
      <alignment horizontal="center" vertical="center"/>
    </xf>
    <xf numFmtId="186" fontId="13" fillId="4" borderId="0" xfId="1" applyNumberFormat="1" applyFont="1" applyFill="1" applyAlignment="1">
      <alignment vertical="center"/>
    </xf>
    <xf numFmtId="0" fontId="5" fillId="4" borderId="0" xfId="0" applyNumberFormat="1" applyFont="1" applyFill="1" applyAlignment="1">
      <alignment vertical="center"/>
    </xf>
    <xf numFmtId="43" fontId="13" fillId="4" borderId="0" xfId="1" applyFont="1" applyFill="1" applyAlignment="1">
      <alignment vertical="center"/>
    </xf>
    <xf numFmtId="0" fontId="41" fillId="4" borderId="0" xfId="0" applyNumberFormat="1" applyFont="1" applyFill="1" applyAlignment="1">
      <alignment horizontal="left" vertical="center"/>
    </xf>
    <xf numFmtId="0" fontId="75" fillId="4" borderId="0" xfId="0" applyNumberFormat="1" applyFont="1" applyFill="1" applyAlignment="1">
      <alignment horizontal="center" vertical="center"/>
    </xf>
    <xf numFmtId="43" fontId="42" fillId="4" borderId="0" xfId="0" applyNumberFormat="1" applyFont="1" applyFill="1" applyAlignment="1">
      <alignment horizontal="center" vertical="center"/>
    </xf>
    <xf numFmtId="0" fontId="5" fillId="0" borderId="0" xfId="0" applyNumberFormat="1" applyFont="1" applyAlignment="1">
      <alignment horizontal="center" vertical="top" wrapText="1"/>
    </xf>
    <xf numFmtId="0" fontId="5" fillId="0" borderId="0" xfId="0" applyNumberFormat="1" applyFont="1" applyAlignment="1">
      <alignment horizontal="left" vertical="top" wrapText="1"/>
    </xf>
    <xf numFmtId="0" fontId="5" fillId="0" borderId="0" xfId="0" applyNumberFormat="1" applyFont="1" applyAlignment="1">
      <alignment horizontal="left" vertical="top"/>
    </xf>
    <xf numFmtId="39" fontId="5" fillId="0" borderId="0" xfId="0" applyNumberFormat="1" applyFont="1" applyAlignment="1">
      <alignment horizontal="center" vertical="top" wrapText="1"/>
    </xf>
    <xf numFmtId="39" fontId="5" fillId="0" borderId="0" xfId="0" applyNumberFormat="1" applyFont="1" applyAlignment="1">
      <alignment horizontal="center" vertical="top"/>
    </xf>
    <xf numFmtId="39" fontId="5" fillId="0" borderId="0" xfId="0" applyNumberFormat="1" applyFont="1" applyAlignment="1">
      <alignment vertical="top" wrapText="1"/>
    </xf>
    <xf numFmtId="39" fontId="5" fillId="0" borderId="0" xfId="0" applyNumberFormat="1" applyFont="1" applyAlignment="1">
      <alignment vertical="top"/>
    </xf>
    <xf numFmtId="10" fontId="5" fillId="0" borderId="0" xfId="3" applyNumberFormat="1" applyFont="1" applyAlignment="1">
      <alignment vertical="top" wrapText="1"/>
    </xf>
    <xf numFmtId="0" fontId="13" fillId="0" borderId="0" xfId="1" applyNumberFormat="1" applyFont="1" applyAlignment="1">
      <alignment horizontal="center" vertical="top" wrapText="1"/>
    </xf>
    <xf numFmtId="0" fontId="13" fillId="0" borderId="0" xfId="1" applyNumberFormat="1" applyFont="1" applyAlignment="1">
      <alignment horizontal="center" vertical="center" wrapText="1"/>
    </xf>
    <xf numFmtId="10" fontId="5" fillId="0" borderId="0" xfId="3" applyNumberFormat="1" applyFont="1" applyAlignment="1">
      <alignment vertical="top"/>
    </xf>
    <xf numFmtId="0" fontId="13" fillId="0" borderId="0" xfId="1" applyNumberFormat="1" applyFont="1" applyAlignment="1">
      <alignment horizontal="center" vertical="center"/>
    </xf>
    <xf numFmtId="0" fontId="13" fillId="0" borderId="0" xfId="1" applyNumberFormat="1" applyFont="1" applyAlignment="1">
      <alignment horizontal="center" vertical="top"/>
    </xf>
    <xf numFmtId="164" fontId="76" fillId="24" borderId="0" xfId="0" applyFont="1" applyFill="1" applyAlignment="1">
      <alignment vertical="top"/>
    </xf>
    <xf numFmtId="164" fontId="13" fillId="24" borderId="0" xfId="0" applyFont="1" applyFill="1"/>
    <xf numFmtId="164" fontId="4" fillId="24" borderId="0" xfId="0" applyFont="1" applyFill="1"/>
    <xf numFmtId="164" fontId="42" fillId="24" borderId="0" xfId="0" applyFont="1" applyFill="1" applyAlignment="1">
      <alignment horizontal="right" vertical="top"/>
    </xf>
    <xf numFmtId="164" fontId="13" fillId="24" borderId="0" xfId="0" applyFont="1" applyFill="1" applyAlignment="1">
      <alignment vertical="center"/>
    </xf>
    <xf numFmtId="164" fontId="42" fillId="24" borderId="0" xfId="0" applyFont="1" applyFill="1" applyAlignment="1">
      <alignment horizontal="left" vertical="top"/>
    </xf>
    <xf numFmtId="164" fontId="77" fillId="0" borderId="0" xfId="0" applyFont="1" applyAlignment="1">
      <alignment horizontal="centerContinuous" vertical="center"/>
    </xf>
    <xf numFmtId="164" fontId="78" fillId="0" borderId="0" xfId="0" applyFont="1" applyAlignment="1">
      <alignment horizontal="centerContinuous" vertical="center"/>
    </xf>
    <xf numFmtId="164" fontId="5" fillId="0" borderId="0" xfId="0" applyFont="1" applyAlignment="1">
      <alignment vertical="center"/>
    </xf>
    <xf numFmtId="164" fontId="23" fillId="0" borderId="0" xfId="0" applyFont="1" applyAlignment="1">
      <alignment vertical="center"/>
    </xf>
    <xf numFmtId="43" fontId="5" fillId="0" borderId="0" xfId="1" applyFont="1" applyAlignment="1">
      <alignment vertical="center"/>
    </xf>
    <xf numFmtId="164" fontId="5" fillId="0" borderId="0" xfId="0" applyFont="1" applyAlignment="1">
      <alignment horizontal="justify" vertical="center"/>
    </xf>
    <xf numFmtId="43" fontId="42" fillId="0" borderId="0" xfId="1" applyFont="1" applyAlignment="1">
      <alignment vertical="center"/>
    </xf>
    <xf numFmtId="164" fontId="5" fillId="0" borderId="0" xfId="0" applyFont="1" applyAlignment="1">
      <alignment horizontal="right" vertical="center"/>
    </xf>
    <xf numFmtId="10" fontId="5" fillId="0" borderId="0" xfId="0" applyNumberFormat="1" applyFont="1" applyAlignment="1">
      <alignment horizontal="left" vertical="center"/>
    </xf>
    <xf numFmtId="0" fontId="5" fillId="0" borderId="23" xfId="18" applyNumberFormat="1" applyFont="1" applyBorder="1" applyAlignment="1">
      <alignment horizontal="center" vertical="center"/>
    </xf>
    <xf numFmtId="0" fontId="23" fillId="0" borderId="15" xfId="18" applyNumberFormat="1" applyFont="1" applyBorder="1" applyAlignment="1">
      <alignment horizontal="center" vertical="center"/>
    </xf>
    <xf numFmtId="164" fontId="5" fillId="0" borderId="15" xfId="0" applyFont="1" applyBorder="1" applyAlignment="1">
      <alignment horizontal="center" vertical="center"/>
    </xf>
    <xf numFmtId="164" fontId="5" fillId="0" borderId="19" xfId="0" applyFont="1" applyBorder="1" applyAlignment="1">
      <alignment horizontal="center" vertical="center"/>
    </xf>
    <xf numFmtId="0" fontId="5" fillId="0" borderId="0" xfId="18" applyNumberFormat="1" applyFont="1" applyAlignment="1">
      <alignment vertical="center"/>
    </xf>
    <xf numFmtId="49" fontId="5" fillId="0" borderId="89" xfId="4" applyNumberFormat="1" applyFont="1" applyBorder="1" applyAlignment="1" applyProtection="1">
      <alignment horizontal="center" vertical="center" wrapText="1"/>
    </xf>
    <xf numFmtId="49" fontId="23" fillId="0" borderId="45" xfId="4" applyNumberFormat="1" applyFont="1" applyBorder="1" applyAlignment="1" applyProtection="1">
      <alignment horizontal="center" vertical="center" wrapText="1"/>
    </xf>
    <xf numFmtId="37" fontId="5" fillId="0" borderId="32" xfId="0" applyNumberFormat="1" applyFont="1" applyBorder="1" applyAlignment="1">
      <alignment horizontal="center" vertical="center"/>
    </xf>
    <xf numFmtId="164" fontId="5" fillId="0" borderId="35" xfId="0" applyFont="1" applyBorder="1" applyAlignment="1">
      <alignment horizontal="center" vertical="center"/>
    </xf>
    <xf numFmtId="0" fontId="5" fillId="0" borderId="0" xfId="18" applyNumberFormat="1" applyFont="1" applyAlignment="1">
      <alignment horizontal="center" vertical="center"/>
    </xf>
    <xf numFmtId="0" fontId="23" fillId="0" borderId="0" xfId="18" applyNumberFormat="1" applyFont="1" applyAlignment="1">
      <alignment horizontal="center" vertical="center"/>
    </xf>
    <xf numFmtId="0" fontId="5" fillId="0" borderId="0" xfId="18" applyNumberFormat="1" applyFont="1"/>
    <xf numFmtId="0" fontId="35" fillId="0" borderId="96" xfId="0" applyNumberFormat="1" applyFont="1" applyBorder="1" applyAlignment="1">
      <alignment horizontal="center" vertical="top" wrapText="1"/>
    </xf>
    <xf numFmtId="0" fontId="44" fillId="0" borderId="0" xfId="0" applyNumberFormat="1" applyFont="1" applyAlignment="1">
      <alignment horizontal="center" vertical="top" wrapText="1"/>
    </xf>
    <xf numFmtId="164" fontId="35" fillId="0" borderId="80" xfId="0" applyFont="1" applyBorder="1" applyAlignment="1">
      <alignment horizontal="left" vertical="top" wrapText="1"/>
    </xf>
    <xf numFmtId="40" fontId="35" fillId="0" borderId="9" xfId="1" applyNumberFormat="1" applyFont="1" applyBorder="1" applyAlignment="1">
      <alignment horizontal="center" vertical="top" wrapText="1"/>
    </xf>
    <xf numFmtId="40" fontId="35" fillId="0" borderId="9" xfId="1" applyNumberFormat="1" applyFont="1" applyBorder="1" applyAlignment="1">
      <alignment horizontal="center" vertical="top"/>
    </xf>
    <xf numFmtId="40" fontId="35" fillId="0" borderId="97" xfId="1" applyNumberFormat="1" applyFont="1" applyBorder="1" applyAlignment="1">
      <alignment vertical="top"/>
    </xf>
    <xf numFmtId="164" fontId="35" fillId="0" borderId="0" xfId="0" applyFont="1" applyAlignment="1">
      <alignment vertical="center"/>
    </xf>
    <xf numFmtId="0" fontId="35" fillId="0" borderId="89" xfId="0" applyNumberFormat="1" applyFont="1" applyBorder="1" applyAlignment="1">
      <alignment vertical="center" wrapText="1"/>
    </xf>
    <xf numFmtId="0" fontId="44" fillId="0" borderId="45" xfId="0" applyNumberFormat="1" applyFont="1" applyBorder="1" applyAlignment="1">
      <alignment vertical="center" wrapText="1"/>
    </xf>
    <xf numFmtId="164" fontId="5" fillId="0" borderId="45" xfId="0" applyFont="1" applyBorder="1" applyAlignment="1">
      <alignment horizontal="justify" vertical="center"/>
    </xf>
    <xf numFmtId="40" fontId="35" fillId="0" borderId="29" xfId="1" applyNumberFormat="1" applyFont="1" applyBorder="1" applyAlignment="1">
      <alignment horizontal="center" vertical="top" wrapText="1"/>
    </xf>
    <xf numFmtId="40" fontId="5" fillId="0" borderId="28" xfId="0" applyNumberFormat="1" applyFont="1" applyBorder="1" applyAlignment="1">
      <alignment horizontal="center" vertical="center"/>
    </xf>
    <xf numFmtId="187" fontId="5" fillId="0" borderId="28" xfId="0" applyNumberFormat="1" applyFont="1" applyBorder="1" applyAlignment="1">
      <alignment horizontal="center" vertical="center"/>
    </xf>
    <xf numFmtId="40" fontId="5" fillId="0" borderId="46" xfId="1" applyNumberFormat="1" applyFont="1" applyBorder="1" applyAlignment="1">
      <alignment vertical="center"/>
    </xf>
    <xf numFmtId="0" fontId="35" fillId="0" borderId="78" xfId="0" applyNumberFormat="1" applyFont="1" applyBorder="1" applyAlignment="1">
      <alignment vertical="center" wrapText="1"/>
    </xf>
    <xf numFmtId="0" fontId="44" fillId="0" borderId="78" xfId="0" applyNumberFormat="1" applyFont="1" applyBorder="1" applyAlignment="1">
      <alignment vertical="center" wrapText="1"/>
    </xf>
    <xf numFmtId="164" fontId="5" fillId="0" borderId="78" xfId="0" applyFont="1" applyBorder="1" applyAlignment="1">
      <alignment horizontal="justify" vertical="center"/>
    </xf>
    <xf numFmtId="40" fontId="5" fillId="0" borderId="0" xfId="0" applyNumberFormat="1" applyFont="1" applyAlignment="1">
      <alignment vertical="center"/>
    </xf>
    <xf numFmtId="164" fontId="5" fillId="0" borderId="78" xfId="0" applyFont="1" applyBorder="1" applyAlignment="1">
      <alignment vertical="center"/>
    </xf>
    <xf numFmtId="40" fontId="5" fillId="0" borderId="78" xfId="0" applyNumberFormat="1" applyFont="1" applyBorder="1" applyAlignment="1">
      <alignment vertical="center"/>
    </xf>
    <xf numFmtId="0" fontId="35" fillId="0" borderId="0" xfId="0" applyNumberFormat="1" applyFont="1" applyAlignment="1">
      <alignment vertical="center" wrapText="1"/>
    </xf>
    <xf numFmtId="0" fontId="44" fillId="0" borderId="0" xfId="0" applyNumberFormat="1" applyFont="1" applyAlignment="1">
      <alignment vertical="center" wrapText="1"/>
    </xf>
    <xf numFmtId="164" fontId="79" fillId="0" borderId="0" xfId="0" applyFont="1" applyAlignment="1">
      <alignment horizontal="center" vertical="center"/>
    </xf>
    <xf numFmtId="4" fontId="79" fillId="0" borderId="0" xfId="0" applyNumberFormat="1" applyFont="1" applyAlignment="1">
      <alignment horizontal="right" vertical="center"/>
    </xf>
    <xf numFmtId="188" fontId="79" fillId="0" borderId="0" xfId="0" applyNumberFormat="1" applyFont="1" applyAlignment="1">
      <alignment horizontal="right" vertical="center"/>
    </xf>
    <xf numFmtId="0" fontId="35" fillId="0" borderId="96" xfId="0" quotePrefix="1" applyNumberFormat="1" applyFont="1" applyBorder="1" applyAlignment="1">
      <alignment horizontal="center" vertical="center" wrapText="1"/>
    </xf>
    <xf numFmtId="40" fontId="35" fillId="0" borderId="68" xfId="1" applyNumberFormat="1" applyFont="1" applyBorder="1" applyAlignment="1">
      <alignment horizontal="center" vertical="top"/>
    </xf>
    <xf numFmtId="40" fontId="35" fillId="0" borderId="68" xfId="1" applyNumberFormat="1" applyFont="1" applyBorder="1" applyAlignment="1">
      <alignment horizontal="center" vertical="center"/>
    </xf>
    <xf numFmtId="0" fontId="35" fillId="0" borderId="0" xfId="0" applyNumberFormat="1" applyFont="1" applyAlignment="1">
      <alignment horizontal="center" vertical="center"/>
    </xf>
    <xf numFmtId="0" fontId="35" fillId="0" borderId="96" xfId="0" applyNumberFormat="1" applyFont="1" applyBorder="1" applyAlignment="1">
      <alignment horizontal="center" vertical="center" wrapText="1"/>
    </xf>
    <xf numFmtId="0" fontId="35" fillId="0" borderId="80" xfId="5" applyFont="1" applyBorder="1" applyAlignment="1">
      <alignment horizontal="left" vertical="center" wrapText="1"/>
    </xf>
    <xf numFmtId="164" fontId="4" fillId="0" borderId="9" xfId="0" applyFont="1" applyBorder="1" applyAlignment="1">
      <alignment horizontal="left" vertical="center" wrapText="1"/>
    </xf>
    <xf numFmtId="40" fontId="5" fillId="0" borderId="9" xfId="1" applyNumberFormat="1" applyFont="1" applyBorder="1" applyAlignment="1">
      <alignment horizontal="center" vertical="top"/>
    </xf>
    <xf numFmtId="40" fontId="35" fillId="0" borderId="98" xfId="1" applyNumberFormat="1" applyFont="1" applyBorder="1" applyAlignment="1">
      <alignment vertical="center"/>
    </xf>
    <xf numFmtId="40" fontId="35" fillId="0" borderId="97" xfId="1" applyNumberFormat="1" applyFont="1" applyBorder="1" applyAlignment="1">
      <alignment vertical="center"/>
    </xf>
    <xf numFmtId="0" fontId="44" fillId="0" borderId="0" xfId="0" applyNumberFormat="1" applyFont="1" applyAlignment="1">
      <alignment horizontal="center" vertical="center" wrapText="1"/>
    </xf>
    <xf numFmtId="0" fontId="35" fillId="0" borderId="89" xfId="0" applyNumberFormat="1" applyFont="1" applyBorder="1" applyAlignment="1">
      <alignment horizontal="center" vertical="center" wrapText="1"/>
    </xf>
    <xf numFmtId="0" fontId="44" fillId="0" borderId="45" xfId="0" applyNumberFormat="1" applyFont="1" applyBorder="1" applyAlignment="1">
      <alignment horizontal="center" vertical="center" wrapText="1"/>
    </xf>
    <xf numFmtId="0" fontId="35" fillId="0" borderId="99" xfId="5" applyFont="1" applyBorder="1" applyAlignment="1">
      <alignment vertical="center" wrapText="1"/>
    </xf>
    <xf numFmtId="164" fontId="4" fillId="0" borderId="29" xfId="0" applyFont="1" applyBorder="1" applyAlignment="1">
      <alignment vertical="center" wrapText="1"/>
    </xf>
    <xf numFmtId="40" fontId="5" fillId="0" borderId="29" xfId="1" applyNumberFormat="1" applyFont="1" applyBorder="1" applyAlignment="1">
      <alignment horizontal="center" vertical="top"/>
    </xf>
    <xf numFmtId="40" fontId="35" fillId="0" borderId="28" xfId="1" applyNumberFormat="1" applyFont="1" applyBorder="1" applyAlignment="1">
      <alignment horizontal="center" vertical="center"/>
    </xf>
    <xf numFmtId="40" fontId="35" fillId="0" borderId="46" xfId="1" applyNumberFormat="1" applyFont="1" applyBorder="1" applyAlignment="1">
      <alignment vertical="center"/>
    </xf>
    <xf numFmtId="0" fontId="35" fillId="0" borderId="0" xfId="0" applyNumberFormat="1" applyFont="1" applyAlignment="1">
      <alignment horizontal="center" vertical="center" wrapText="1"/>
    </xf>
    <xf numFmtId="40" fontId="5" fillId="0" borderId="0" xfId="0" applyNumberFormat="1" applyFont="1" applyAlignment="1">
      <alignment horizontal="left" vertical="center"/>
    </xf>
    <xf numFmtId="40" fontId="5" fillId="0" borderId="0" xfId="1" applyNumberFormat="1" applyFont="1" applyAlignment="1">
      <alignment vertical="center"/>
    </xf>
    <xf numFmtId="164" fontId="5" fillId="0" borderId="0" xfId="0" applyFont="1" applyAlignment="1">
      <alignment horizontal="left" vertical="center"/>
    </xf>
    <xf numFmtId="43" fontId="5" fillId="0" borderId="0" xfId="19"/>
    <xf numFmtId="0" fontId="35" fillId="0" borderId="0" xfId="5" applyFont="1" applyAlignment="1">
      <alignment horizontal="left" vertical="center" wrapText="1"/>
    </xf>
    <xf numFmtId="40" fontId="35" fillId="0" borderId="0" xfId="1" applyNumberFormat="1" applyFont="1" applyBorder="1" applyAlignment="1">
      <alignment horizontal="center" vertical="top"/>
    </xf>
    <xf numFmtId="40" fontId="35" fillId="0" borderId="0" xfId="1" applyNumberFormat="1" applyFont="1" applyBorder="1" applyAlignment="1">
      <alignment horizontal="right" vertical="center"/>
    </xf>
    <xf numFmtId="164" fontId="5" fillId="0" borderId="42" xfId="0" applyFont="1" applyBorder="1" applyAlignment="1">
      <alignment horizontal="left" vertical="center"/>
    </xf>
    <xf numFmtId="164" fontId="23" fillId="0" borderId="43" xfId="0" applyFont="1" applyBorder="1" applyAlignment="1">
      <alignment horizontal="left" vertical="center"/>
    </xf>
    <xf numFmtId="164" fontId="5" fillId="0" borderId="43" xfId="0" applyFont="1" applyBorder="1" applyAlignment="1">
      <alignment vertical="center"/>
    </xf>
    <xf numFmtId="43" fontId="5" fillId="0" borderId="43" xfId="1" applyFont="1" applyBorder="1" applyAlignment="1">
      <alignment vertical="center"/>
    </xf>
    <xf numFmtId="2" fontId="5" fillId="0" borderId="43" xfId="0" applyNumberFormat="1" applyFont="1" applyBorder="1" applyAlignment="1">
      <alignment vertical="center"/>
    </xf>
    <xf numFmtId="40" fontId="5" fillId="0" borderId="43" xfId="1" applyNumberFormat="1" applyFont="1" applyBorder="1" applyAlignment="1">
      <alignment horizontal="right" vertical="center"/>
    </xf>
    <xf numFmtId="40" fontId="5" fillId="0" borderId="44" xfId="1" applyNumberFormat="1" applyFont="1" applyBorder="1" applyAlignment="1">
      <alignment vertical="center"/>
    </xf>
    <xf numFmtId="164" fontId="41" fillId="0" borderId="0" xfId="0" applyFont="1" applyAlignment="1">
      <alignment vertical="center"/>
    </xf>
    <xf numFmtId="43" fontId="5" fillId="0" borderId="0" xfId="0" applyNumberFormat="1" applyFont="1"/>
    <xf numFmtId="0" fontId="5" fillId="0" borderId="0" xfId="18" applyNumberFormat="1" applyFont="1" applyAlignment="1">
      <alignment horizontal="justify" vertical="top"/>
    </xf>
    <xf numFmtId="10" fontId="13" fillId="0" borderId="0" xfId="3" applyNumberFormat="1" applyFont="1" applyFill="1" applyAlignment="1">
      <alignment vertical="center"/>
    </xf>
    <xf numFmtId="0" fontId="13" fillId="0" borderId="0" xfId="6" applyFont="1" applyAlignment="1">
      <alignment horizontal="centerContinuous" vertical="center"/>
    </xf>
    <xf numFmtId="164" fontId="4" fillId="0" borderId="0" xfId="0" applyFont="1" applyAlignment="1">
      <alignment horizontal="centerContinuous"/>
    </xf>
    <xf numFmtId="0" fontId="13" fillId="10" borderId="32" xfId="0" applyNumberFormat="1" applyFont="1" applyFill="1" applyBorder="1" applyAlignment="1">
      <alignment horizontal="center" vertical="center"/>
    </xf>
    <xf numFmtId="0" fontId="13" fillId="10" borderId="30" xfId="0" applyNumberFormat="1" applyFont="1" applyFill="1" applyBorder="1" applyAlignment="1">
      <alignment horizontal="center" vertical="center"/>
    </xf>
    <xf numFmtId="0" fontId="5" fillId="0" borderId="100" xfId="0" applyNumberFormat="1" applyFont="1" applyBorder="1" applyAlignment="1">
      <alignment horizontal="right" vertical="center"/>
    </xf>
    <xf numFmtId="0" fontId="5" fillId="0" borderId="91" xfId="0" applyNumberFormat="1" applyFont="1" applyBorder="1" applyAlignment="1">
      <alignment horizontal="center" vertical="center"/>
    </xf>
    <xf numFmtId="0" fontId="5" fillId="0" borderId="18" xfId="0" applyNumberFormat="1" applyFont="1" applyBorder="1" applyAlignment="1">
      <alignment horizontal="center" vertical="center"/>
    </xf>
    <xf numFmtId="0" fontId="5" fillId="0" borderId="18" xfId="0" applyNumberFormat="1" applyFont="1" applyBorder="1" applyAlignment="1">
      <alignment vertical="top" wrapText="1"/>
    </xf>
    <xf numFmtId="0" fontId="5" fillId="0" borderId="101" xfId="0" applyNumberFormat="1" applyFont="1" applyBorder="1" applyAlignment="1">
      <alignment horizontal="center" vertical="top" wrapText="1"/>
    </xf>
    <xf numFmtId="0" fontId="5" fillId="0" borderId="102" xfId="0" applyNumberFormat="1" applyFont="1" applyBorder="1" applyAlignment="1">
      <alignment horizontal="right" vertical="center"/>
    </xf>
    <xf numFmtId="0" fontId="5" fillId="0" borderId="80" xfId="0" applyNumberFormat="1" applyFont="1" applyBorder="1" applyAlignment="1">
      <alignment horizontal="center" vertical="center"/>
    </xf>
    <xf numFmtId="0" fontId="5" fillId="0" borderId="9" xfId="0" applyNumberFormat="1" applyFont="1" applyBorder="1" applyAlignment="1">
      <alignment horizontal="center" vertical="center"/>
    </xf>
    <xf numFmtId="0" fontId="5" fillId="0" borderId="9" xfId="0" applyNumberFormat="1" applyFont="1" applyBorder="1" applyAlignment="1">
      <alignment vertical="top" wrapText="1"/>
    </xf>
    <xf numFmtId="0" fontId="5" fillId="0" borderId="103" xfId="0" applyNumberFormat="1" applyFont="1" applyBorder="1" applyAlignment="1">
      <alignment horizontal="center" vertical="top" wrapText="1"/>
    </xf>
    <xf numFmtId="0" fontId="5" fillId="0" borderId="102" xfId="0" applyNumberFormat="1" applyFont="1" applyBorder="1" applyAlignment="1">
      <alignment horizontal="right" vertical="center" wrapText="1"/>
    </xf>
    <xf numFmtId="0" fontId="5" fillId="0" borderId="9" xfId="0" applyNumberFormat="1" applyFont="1" applyBorder="1" applyAlignment="1">
      <alignment vertical="center" wrapText="1"/>
    </xf>
    <xf numFmtId="0" fontId="5" fillId="0" borderId="103" xfId="0" applyNumberFormat="1" applyFont="1" applyBorder="1" applyAlignment="1">
      <alignment horizontal="center" vertical="center" wrapText="1"/>
    </xf>
    <xf numFmtId="0" fontId="5" fillId="0" borderId="102" xfId="0" applyNumberFormat="1" applyFont="1" applyBorder="1" applyAlignment="1">
      <alignment horizontal="center" vertical="center" wrapText="1"/>
    </xf>
    <xf numFmtId="0" fontId="5" fillId="25" borderId="0" xfId="0" applyNumberFormat="1" applyFont="1" applyFill="1" applyAlignment="1">
      <alignment horizontal="center" vertical="center"/>
    </xf>
    <xf numFmtId="0" fontId="5" fillId="0" borderId="54" xfId="0" applyNumberFormat="1" applyFont="1" applyBorder="1" applyAlignment="1">
      <alignment horizontal="right" vertical="center"/>
    </xf>
    <xf numFmtId="0" fontId="5" fillId="0" borderId="56" xfId="0" applyNumberFormat="1" applyFont="1" applyBorder="1" applyAlignment="1">
      <alignment horizontal="center" vertical="center"/>
    </xf>
    <xf numFmtId="0" fontId="5" fillId="0" borderId="55" xfId="0" applyNumberFormat="1" applyFont="1" applyBorder="1" applyAlignment="1">
      <alignment horizontal="center" vertical="center"/>
    </xf>
    <xf numFmtId="0" fontId="5" fillId="0" borderId="55" xfId="0" applyNumberFormat="1" applyFont="1" applyBorder="1" applyAlignment="1">
      <alignment vertical="center" wrapText="1"/>
    </xf>
    <xf numFmtId="0" fontId="5" fillId="0" borderId="104" xfId="0" applyNumberFormat="1" applyFont="1" applyBorder="1" applyAlignment="1">
      <alignment horizontal="center" vertical="center" wrapText="1"/>
    </xf>
    <xf numFmtId="0" fontId="5" fillId="0" borderId="104" xfId="0" applyNumberFormat="1" applyFont="1" applyBorder="1" applyAlignment="1">
      <alignment horizontal="center" vertical="center"/>
    </xf>
    <xf numFmtId="0" fontId="5" fillId="0" borderId="47" xfId="0" applyNumberFormat="1" applyFont="1" applyBorder="1" applyAlignment="1">
      <alignment horizontal="center" vertical="center"/>
    </xf>
    <xf numFmtId="43" fontId="35" fillId="0" borderId="0" xfId="0" applyNumberFormat="1" applyFont="1" applyAlignment="1">
      <alignment horizontal="right" vertical="center"/>
    </xf>
    <xf numFmtId="165" fontId="41" fillId="0" borderId="0" xfId="0" applyNumberFormat="1" applyFont="1" applyAlignment="1">
      <alignment horizontal="left" vertical="center"/>
    </xf>
    <xf numFmtId="4" fontId="41" fillId="0" borderId="0" xfId="0" applyNumberFormat="1" applyFont="1" applyAlignment="1">
      <alignment vertical="center"/>
    </xf>
    <xf numFmtId="10" fontId="41" fillId="0" borderId="0" xfId="3" applyNumberFormat="1" applyFont="1" applyAlignment="1">
      <alignment horizontal="left" vertical="center"/>
    </xf>
    <xf numFmtId="0" fontId="73" fillId="0" borderId="0" xfId="10" applyFont="1" applyAlignment="1">
      <alignment vertical="center"/>
    </xf>
    <xf numFmtId="0" fontId="42" fillId="4" borderId="29" xfId="0" applyNumberFormat="1" applyFont="1" applyFill="1" applyBorder="1" applyAlignment="1">
      <alignment horizontal="center" vertical="center" wrapText="1"/>
    </xf>
    <xf numFmtId="0" fontId="42" fillId="4" borderId="29" xfId="0" applyNumberFormat="1" applyFont="1" applyFill="1" applyBorder="1" applyAlignment="1">
      <alignment horizontal="center" vertical="center"/>
    </xf>
    <xf numFmtId="43" fontId="42" fillId="4" borderId="29" xfId="0" applyNumberFormat="1" applyFont="1" applyFill="1" applyBorder="1" applyAlignment="1">
      <alignment horizontal="center" vertical="center"/>
    </xf>
    <xf numFmtId="43" fontId="42" fillId="4" borderId="29" xfId="0" applyNumberFormat="1" applyFont="1" applyFill="1" applyBorder="1" applyAlignment="1">
      <alignment horizontal="center" vertical="center" wrapText="1"/>
    </xf>
    <xf numFmtId="0" fontId="42" fillId="4" borderId="32" xfId="0" applyNumberFormat="1" applyFont="1" applyFill="1" applyBorder="1" applyAlignment="1">
      <alignment horizontal="center" vertical="center" wrapText="1"/>
    </xf>
    <xf numFmtId="0" fontId="42" fillId="4" borderId="30" xfId="0" applyNumberFormat="1" applyFont="1" applyFill="1" applyBorder="1" applyAlignment="1">
      <alignment horizontal="center" vertical="center" wrapText="1"/>
    </xf>
    <xf numFmtId="43" fontId="5" fillId="0" borderId="0" xfId="0" applyNumberFormat="1" applyFont="1" applyAlignment="1">
      <alignment horizontal="center" vertical="center"/>
    </xf>
    <xf numFmtId="43" fontId="5" fillId="0" borderId="0" xfId="1" applyFont="1" applyAlignment="1">
      <alignment horizontal="left" vertical="center"/>
    </xf>
    <xf numFmtId="10" fontId="5" fillId="0" borderId="0" xfId="3" applyNumberFormat="1" applyFont="1" applyAlignment="1">
      <alignment vertical="center"/>
    </xf>
    <xf numFmtId="43" fontId="5" fillId="0" borderId="0" xfId="0" applyNumberFormat="1" applyFont="1" applyAlignment="1">
      <alignment vertical="center"/>
    </xf>
    <xf numFmtId="0" fontId="13" fillId="4" borderId="0" xfId="0" applyNumberFormat="1" applyFont="1" applyFill="1" applyAlignment="1">
      <alignment horizontal="right" vertical="center"/>
    </xf>
    <xf numFmtId="43" fontId="13" fillId="4" borderId="0" xfId="0" applyNumberFormat="1" applyFont="1" applyFill="1" applyAlignment="1">
      <alignment horizontal="center" vertical="center"/>
    </xf>
    <xf numFmtId="43" fontId="13" fillId="4" borderId="0" xfId="0" applyNumberFormat="1" applyFont="1" applyFill="1" applyAlignment="1">
      <alignment vertical="center"/>
    </xf>
    <xf numFmtId="10" fontId="13" fillId="4" borderId="0" xfId="3" applyNumberFormat="1" applyFont="1" applyFill="1" applyAlignment="1">
      <alignment vertical="center"/>
    </xf>
    <xf numFmtId="0" fontId="13" fillId="4" borderId="0" xfId="0" applyNumberFormat="1" applyFont="1" applyFill="1" applyAlignment="1">
      <alignment vertical="center"/>
    </xf>
    <xf numFmtId="43" fontId="5" fillId="0" borderId="0" xfId="1" applyFont="1" applyAlignment="1">
      <alignment horizontal="center" vertical="center"/>
    </xf>
    <xf numFmtId="43" fontId="13" fillId="4" borderId="0" xfId="1" applyFont="1" applyFill="1" applyAlignment="1">
      <alignment horizontal="center" vertical="center"/>
    </xf>
    <xf numFmtId="43" fontId="13" fillId="0" borderId="0" xfId="0" applyNumberFormat="1" applyFont="1" applyAlignment="1">
      <alignment vertical="center"/>
    </xf>
    <xf numFmtId="43" fontId="13" fillId="7" borderId="0" xfId="0" applyNumberFormat="1" applyFont="1" applyFill="1" applyAlignment="1">
      <alignment vertical="center"/>
    </xf>
    <xf numFmtId="0" fontId="13" fillId="13" borderId="0" xfId="0" applyNumberFormat="1" applyFont="1" applyFill="1" applyAlignment="1">
      <alignment horizontal="center" vertical="center"/>
    </xf>
    <xf numFmtId="0" fontId="13" fillId="13" borderId="0" xfId="0" applyNumberFormat="1" applyFont="1" applyFill="1" applyAlignment="1">
      <alignment horizontal="right" vertical="center"/>
    </xf>
    <xf numFmtId="43" fontId="13" fillId="13" borderId="0" xfId="1" applyFont="1" applyFill="1" applyAlignment="1">
      <alignment vertical="center"/>
    </xf>
    <xf numFmtId="43" fontId="13" fillId="13" borderId="0" xfId="1" applyFont="1" applyFill="1" applyAlignment="1">
      <alignment horizontal="center" vertical="center"/>
    </xf>
    <xf numFmtId="43" fontId="13" fillId="13" borderId="0" xfId="0" applyNumberFormat="1" applyFont="1" applyFill="1" applyAlignment="1">
      <alignment vertical="center"/>
    </xf>
    <xf numFmtId="10" fontId="13" fillId="13" borderId="0" xfId="3" applyNumberFormat="1" applyFont="1" applyFill="1" applyAlignment="1">
      <alignment vertical="center"/>
    </xf>
    <xf numFmtId="0" fontId="13" fillId="13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left" vertical="center" wrapText="1"/>
    </xf>
    <xf numFmtId="39" fontId="4" fillId="0" borderId="0" xfId="0" applyNumberFormat="1" applyFont="1" applyAlignment="1">
      <alignment vertical="top"/>
    </xf>
    <xf numFmtId="164" fontId="11" fillId="26" borderId="105" xfId="4" applyNumberFormat="1" applyFont="1" applyFill="1" applyBorder="1" applyAlignment="1" applyProtection="1">
      <alignment horizontal="center" vertical="center" wrapText="1"/>
    </xf>
    <xf numFmtId="164" fontId="42" fillId="26" borderId="106" xfId="4" applyNumberFormat="1" applyFont="1" applyFill="1" applyBorder="1" applyAlignment="1" applyProtection="1">
      <alignment horizontal="center" vertical="center" wrapText="1"/>
    </xf>
    <xf numFmtId="164" fontId="42" fillId="26" borderId="107" xfId="0" applyFont="1" applyFill="1" applyBorder="1" applyAlignment="1">
      <alignment horizontal="center" vertical="center" wrapText="1"/>
    </xf>
    <xf numFmtId="164" fontId="42" fillId="26" borderId="108" xfId="0" applyFont="1" applyFill="1" applyBorder="1" applyAlignment="1">
      <alignment horizontal="center" vertical="center" wrapText="1"/>
    </xf>
    <xf numFmtId="37" fontId="42" fillId="26" borderId="108" xfId="0" applyNumberFormat="1" applyFont="1" applyFill="1" applyBorder="1" applyAlignment="1">
      <alignment horizontal="center" vertical="center" wrapText="1"/>
    </xf>
    <xf numFmtId="164" fontId="42" fillId="26" borderId="109" xfId="0" applyFont="1" applyFill="1" applyBorder="1" applyAlignment="1">
      <alignment horizontal="center" vertical="center" wrapText="1"/>
    </xf>
    <xf numFmtId="164" fontId="42" fillId="0" borderId="0" xfId="0" applyFont="1" applyAlignment="1">
      <alignment horizontal="center" vertical="center" wrapText="1"/>
    </xf>
    <xf numFmtId="164" fontId="42" fillId="0" borderId="111" xfId="0" applyFont="1" applyBorder="1" applyAlignment="1">
      <alignment horizontal="center" vertical="center" wrapText="1"/>
    </xf>
    <xf numFmtId="164" fontId="42" fillId="0" borderId="112" xfId="0" applyFont="1" applyBorder="1" applyAlignment="1">
      <alignment horizontal="center" vertical="center" wrapText="1"/>
    </xf>
    <xf numFmtId="4" fontId="5" fillId="0" borderId="113" xfId="0" applyNumberFormat="1" applyFont="1" applyBorder="1" applyAlignment="1">
      <alignment horizontal="center" vertical="center" wrapText="1"/>
    </xf>
    <xf numFmtId="4" fontId="5" fillId="0" borderId="114" xfId="0" applyNumberFormat="1" applyFont="1" applyBorder="1" applyAlignment="1">
      <alignment horizontal="center" vertical="center" wrapText="1"/>
    </xf>
    <xf numFmtId="4" fontId="5" fillId="0" borderId="115" xfId="0" applyNumberFormat="1" applyFont="1" applyBorder="1" applyAlignment="1">
      <alignment horizontal="center" vertical="center" wrapText="1"/>
    </xf>
    <xf numFmtId="4" fontId="5" fillId="0" borderId="116" xfId="0" applyNumberFormat="1" applyFont="1" applyBorder="1" applyAlignment="1">
      <alignment horizontal="center" vertical="center" wrapText="1"/>
    </xf>
    <xf numFmtId="39" fontId="13" fillId="0" borderId="117" xfId="0" applyNumberFormat="1" applyFont="1" applyBorder="1" applyAlignment="1">
      <alignment horizontal="center" vertical="center" wrapText="1"/>
    </xf>
    <xf numFmtId="164" fontId="5" fillId="0" borderId="0" xfId="0" applyFont="1" applyAlignment="1">
      <alignment horizontal="center" vertical="center" wrapText="1"/>
    </xf>
    <xf numFmtId="164" fontId="42" fillId="0" borderId="118" xfId="0" applyFont="1" applyBorder="1" applyAlignment="1">
      <alignment horizontal="center" vertical="center" wrapText="1"/>
    </xf>
    <xf numFmtId="164" fontId="42" fillId="0" borderId="119" xfId="0" applyFont="1" applyBorder="1" applyAlignment="1">
      <alignment horizontal="center" vertical="center" wrapText="1"/>
    </xf>
    <xf numFmtId="39" fontId="5" fillId="0" borderId="10" xfId="0" applyNumberFormat="1" applyFont="1" applyBorder="1" applyAlignment="1">
      <alignment horizontal="center" vertical="center" wrapText="1"/>
    </xf>
    <xf numFmtId="37" fontId="5" fillId="24" borderId="10" xfId="0" applyNumberFormat="1" applyFont="1" applyFill="1" applyBorder="1" applyAlignment="1">
      <alignment horizontal="center" vertical="center" wrapText="1"/>
    </xf>
    <xf numFmtId="39" fontId="5" fillId="24" borderId="10" xfId="0" applyNumberFormat="1" applyFont="1" applyFill="1" applyBorder="1" applyAlignment="1">
      <alignment horizontal="center" vertical="center" wrapText="1"/>
    </xf>
    <xf numFmtId="39" fontId="5" fillId="0" borderId="13" xfId="0" applyNumberFormat="1" applyFont="1" applyBorder="1" applyAlignment="1">
      <alignment horizontal="center" vertical="center" wrapText="1"/>
    </xf>
    <xf numFmtId="39" fontId="13" fillId="0" borderId="120" xfId="0" applyNumberFormat="1" applyFont="1" applyBorder="1" applyAlignment="1">
      <alignment horizontal="center" vertical="center" wrapText="1"/>
    </xf>
    <xf numFmtId="37" fontId="5" fillId="0" borderId="10" xfId="0" applyNumberFormat="1" applyFont="1" applyBorder="1" applyAlignment="1">
      <alignment horizontal="center" vertical="center" wrapText="1"/>
    </xf>
    <xf numFmtId="37" fontId="13" fillId="0" borderId="120" xfId="0" applyNumberFormat="1" applyFont="1" applyBorder="1" applyAlignment="1">
      <alignment horizontal="center" vertical="center" wrapText="1"/>
    </xf>
    <xf numFmtId="164" fontId="5" fillId="0" borderId="10" xfId="0" applyFont="1" applyBorder="1" applyAlignment="1">
      <alignment horizontal="center" vertical="center" wrapText="1"/>
    </xf>
    <xf numFmtId="164" fontId="13" fillId="0" borderId="120" xfId="0" applyFont="1" applyBorder="1" applyAlignment="1">
      <alignment horizontal="center" vertical="center" wrapText="1"/>
    </xf>
    <xf numFmtId="164" fontId="5" fillId="0" borderId="4" xfId="0" applyFont="1" applyBorder="1" applyAlignment="1">
      <alignment vertical="center" textRotation="90" wrapText="1"/>
    </xf>
    <xf numFmtId="164" fontId="42" fillId="0" borderId="122" xfId="0" applyFont="1" applyBorder="1" applyAlignment="1">
      <alignment horizontal="center" vertical="center" wrapText="1"/>
    </xf>
    <xf numFmtId="39" fontId="5" fillId="24" borderId="13" xfId="0" applyNumberFormat="1" applyFont="1" applyFill="1" applyBorder="1" applyAlignment="1">
      <alignment horizontal="center" vertical="center" wrapText="1"/>
    </xf>
    <xf numFmtId="164" fontId="42" fillId="0" borderId="10" xfId="0" applyFont="1" applyBorder="1" applyAlignment="1">
      <alignment vertical="center" wrapText="1"/>
    </xf>
    <xf numFmtId="164" fontId="42" fillId="0" borderId="121" xfId="0" applyFont="1" applyBorder="1" applyAlignment="1">
      <alignment horizontal="center" vertical="center" wrapText="1"/>
    </xf>
    <xf numFmtId="164" fontId="42" fillId="0" borderId="123" xfId="0" applyFont="1" applyBorder="1" applyAlignment="1">
      <alignment horizontal="center" vertical="center" wrapText="1"/>
    </xf>
    <xf numFmtId="39" fontId="5" fillId="0" borderId="72" xfId="0" applyNumberFormat="1" applyFont="1" applyBorder="1" applyAlignment="1">
      <alignment horizontal="center" vertical="center" wrapText="1"/>
    </xf>
    <xf numFmtId="39" fontId="5" fillId="0" borderId="11" xfId="0" applyNumberFormat="1" applyFont="1" applyBorder="1" applyAlignment="1">
      <alignment horizontal="center" vertical="center" wrapText="1"/>
    </xf>
    <xf numFmtId="37" fontId="5" fillId="0" borderId="72" xfId="0" applyNumberFormat="1" applyFont="1" applyBorder="1" applyAlignment="1">
      <alignment horizontal="center" vertical="center" wrapText="1"/>
    </xf>
    <xf numFmtId="37" fontId="13" fillId="0" borderId="124" xfId="0" applyNumberFormat="1" applyFont="1" applyBorder="1" applyAlignment="1">
      <alignment horizontal="center" vertical="center" wrapText="1"/>
    </xf>
    <xf numFmtId="164" fontId="80" fillId="0" borderId="121" xfId="0" applyFont="1" applyBorder="1" applyAlignment="1">
      <alignment horizontal="center" vertical="center" wrapText="1"/>
    </xf>
    <xf numFmtId="164" fontId="5" fillId="0" borderId="124" xfId="0" applyFont="1" applyBorder="1" applyAlignment="1">
      <alignment horizontal="center" vertical="center" wrapText="1"/>
    </xf>
    <xf numFmtId="164" fontId="42" fillId="0" borderId="126" xfId="0" applyFont="1" applyBorder="1" applyAlignment="1">
      <alignment horizontal="center" vertical="center" wrapText="1"/>
    </xf>
    <xf numFmtId="164" fontId="42" fillId="0" borderId="127" xfId="0" applyFont="1" applyBorder="1" applyAlignment="1">
      <alignment horizontal="center" vertical="center" wrapText="1"/>
    </xf>
    <xf numFmtId="164" fontId="35" fillId="0" borderId="128" xfId="0" applyFont="1" applyBorder="1" applyAlignment="1">
      <alignment horizontal="center" vertical="center" wrapText="1"/>
    </xf>
    <xf numFmtId="37" fontId="35" fillId="0" borderId="128" xfId="0" applyNumberFormat="1" applyFont="1" applyBorder="1" applyAlignment="1">
      <alignment horizontal="center" vertical="center" wrapText="1"/>
    </xf>
    <xf numFmtId="164" fontId="35" fillId="9" borderId="129" xfId="0" applyFont="1" applyFill="1" applyBorder="1" applyAlignment="1">
      <alignment horizontal="center" vertical="center" wrapText="1"/>
    </xf>
    <xf numFmtId="164" fontId="35" fillId="0" borderId="0" xfId="0" applyFont="1" applyAlignment="1">
      <alignment horizontal="center" vertical="center" wrapText="1"/>
    </xf>
    <xf numFmtId="164" fontId="5" fillId="0" borderId="0" xfId="0" applyFont="1" applyAlignment="1">
      <alignment horizontal="center" vertical="center"/>
    </xf>
    <xf numFmtId="164" fontId="35" fillId="0" borderId="0" xfId="0" applyFont="1" applyAlignment="1">
      <alignment horizontal="center" vertical="center"/>
    </xf>
    <xf numFmtId="37" fontId="5" fillId="0" borderId="0" xfId="0" applyNumberFormat="1" applyFont="1" applyAlignment="1">
      <alignment horizontal="center" vertical="center"/>
    </xf>
    <xf numFmtId="37" fontId="5" fillId="0" borderId="0" xfId="0" applyNumberFormat="1" applyFont="1" applyAlignment="1">
      <alignment horizontal="center" vertical="center" wrapText="1"/>
    </xf>
    <xf numFmtId="0" fontId="82" fillId="18" borderId="0" xfId="0" applyNumberFormat="1" applyFont="1" applyFill="1" applyAlignment="1">
      <alignment horizontal="center" vertical="center"/>
    </xf>
    <xf numFmtId="0" fontId="82" fillId="0" borderId="0" xfId="0" applyNumberFormat="1" applyFont="1" applyAlignment="1">
      <alignment horizontal="center" vertical="top" wrapText="1"/>
    </xf>
    <xf numFmtId="0" fontId="82" fillId="0" borderId="0" xfId="0" applyNumberFormat="1" applyFont="1" applyAlignment="1">
      <alignment horizontal="center" vertical="top"/>
    </xf>
    <xf numFmtId="0" fontId="82" fillId="0" borderId="0" xfId="0" applyNumberFormat="1" applyFont="1" applyAlignment="1">
      <alignment horizontal="center" vertical="center"/>
    </xf>
    <xf numFmtId="0" fontId="83" fillId="0" borderId="0" xfId="0" applyNumberFormat="1" applyFont="1" applyAlignment="1">
      <alignment horizontal="center"/>
    </xf>
    <xf numFmtId="0" fontId="2" fillId="0" borderId="0" xfId="0" applyNumberFormat="1" applyFont="1"/>
    <xf numFmtId="0" fontId="2" fillId="18" borderId="0" xfId="0" applyNumberFormat="1" applyFont="1" applyFill="1"/>
    <xf numFmtId="0" fontId="83" fillId="0" borderId="0" xfId="0" applyNumberFormat="1" applyFont="1" applyAlignment="1">
      <alignment horizontal="center" vertical="top" wrapText="1"/>
    </xf>
    <xf numFmtId="0" fontId="83" fillId="0" borderId="0" xfId="0" applyNumberFormat="1" applyFont="1" applyAlignment="1">
      <alignment horizontal="center" vertical="center"/>
    </xf>
    <xf numFmtId="2" fontId="83" fillId="0" borderId="0" xfId="0" applyNumberFormat="1" applyFont="1" applyAlignment="1">
      <alignment horizontal="center" vertical="center"/>
    </xf>
    <xf numFmtId="0" fontId="83" fillId="7" borderId="0" xfId="0" applyNumberFormat="1" applyFont="1" applyFill="1" applyAlignment="1">
      <alignment vertical="top" wrapText="1"/>
    </xf>
    <xf numFmtId="0" fontId="83" fillId="0" borderId="0" xfId="0" applyNumberFormat="1" applyFont="1" applyAlignment="1">
      <alignment vertical="top"/>
    </xf>
    <xf numFmtId="0" fontId="83" fillId="0" borderId="0" xfId="0" applyNumberFormat="1" applyFont="1" applyAlignment="1">
      <alignment vertical="top" wrapText="1"/>
    </xf>
    <xf numFmtId="43" fontId="1" fillId="0" borderId="0" xfId="1" applyFont="1" applyAlignment="1">
      <alignment horizontal="center" vertical="center"/>
    </xf>
    <xf numFmtId="0" fontId="83" fillId="0" borderId="0" xfId="0" applyNumberFormat="1" applyFont="1"/>
    <xf numFmtId="43" fontId="83" fillId="0" borderId="0" xfId="1" applyFont="1" applyAlignment="1">
      <alignment vertical="center"/>
    </xf>
    <xf numFmtId="0" fontId="83" fillId="0" borderId="0" xfId="0" applyNumberFormat="1" applyFont="1" applyAlignment="1">
      <alignment vertical="center"/>
    </xf>
    <xf numFmtId="0" fontId="82" fillId="0" borderId="0" xfId="0" applyNumberFormat="1" applyFont="1" applyAlignment="1">
      <alignment horizontal="right" vertical="top" wrapText="1"/>
    </xf>
    <xf numFmtId="43" fontId="82" fillId="0" borderId="0" xfId="1" applyFont="1" applyAlignment="1">
      <alignment vertical="center"/>
    </xf>
    <xf numFmtId="37" fontId="84" fillId="26" borderId="105" xfId="4" applyNumberFormat="1" applyFont="1" applyFill="1" applyBorder="1" applyAlignment="1" applyProtection="1">
      <alignment vertical="center" wrapText="1"/>
    </xf>
    <xf numFmtId="37" fontId="42" fillId="26" borderId="107" xfId="4" applyNumberFormat="1" applyFont="1" applyFill="1" applyBorder="1" applyAlignment="1" applyProtection="1">
      <alignment horizontal="center" vertical="center" wrapText="1"/>
    </xf>
    <xf numFmtId="189" fontId="42" fillId="26" borderId="108" xfId="0" applyNumberFormat="1" applyFont="1" applyFill="1" applyBorder="1" applyAlignment="1">
      <alignment horizontal="center" vertical="center" wrapText="1"/>
    </xf>
    <xf numFmtId="189" fontId="13" fillId="26" borderId="109" xfId="0" applyNumberFormat="1" applyFont="1" applyFill="1" applyBorder="1" applyAlignment="1">
      <alignment horizontal="center" vertical="center" wrapText="1"/>
    </xf>
    <xf numFmtId="37" fontId="13" fillId="10" borderId="0" xfId="0" applyNumberFormat="1" applyFont="1" applyFill="1" applyAlignment="1">
      <alignment horizontal="center" vertical="center" wrapText="1"/>
    </xf>
    <xf numFmtId="37" fontId="13" fillId="0" borderId="0" xfId="0" applyNumberFormat="1" applyFont="1" applyAlignment="1">
      <alignment horizontal="center" vertical="center" wrapText="1"/>
    </xf>
    <xf numFmtId="39" fontId="42" fillId="0" borderId="132" xfId="0" applyNumberFormat="1" applyFont="1" applyBorder="1" applyAlignment="1">
      <alignment horizontal="center" vertical="center" wrapText="1"/>
    </xf>
    <xf numFmtId="39" fontId="85" fillId="0" borderId="2" xfId="0" applyNumberFormat="1" applyFont="1" applyBorder="1" applyAlignment="1">
      <alignment horizontal="center" vertical="center" wrapText="1"/>
    </xf>
    <xf numFmtId="39" fontId="35" fillId="0" borderId="133" xfId="0" applyNumberFormat="1" applyFont="1" applyBorder="1" applyAlignment="1">
      <alignment horizontal="center" vertical="center" wrapText="1"/>
    </xf>
    <xf numFmtId="189" fontId="5" fillId="0" borderId="49" xfId="0" applyNumberFormat="1" applyFont="1" applyBorder="1" applyAlignment="1">
      <alignment horizontal="center" vertical="center" wrapText="1"/>
    </xf>
    <xf numFmtId="189" fontId="5" fillId="9" borderId="134" xfId="0" applyNumberFormat="1" applyFont="1" applyFill="1" applyBorder="1" applyAlignment="1">
      <alignment horizontal="center" vertical="center" wrapText="1"/>
    </xf>
    <xf numFmtId="39" fontId="5" fillId="10" borderId="0" xfId="0" applyNumberFormat="1" applyFont="1" applyFill="1" applyAlignment="1">
      <alignment horizontal="center" vertical="center" wrapText="1"/>
    </xf>
    <xf numFmtId="39" fontId="5" fillId="0" borderId="0" xfId="0" applyNumberFormat="1" applyFont="1" applyAlignment="1">
      <alignment horizontal="center" vertical="center" wrapText="1"/>
    </xf>
    <xf numFmtId="39" fontId="42" fillId="0" borderId="136" xfId="0" applyNumberFormat="1" applyFont="1" applyBorder="1" applyAlignment="1">
      <alignment horizontal="center" vertical="center" wrapText="1"/>
    </xf>
    <xf numFmtId="39" fontId="85" fillId="0" borderId="0" xfId="0" applyNumberFormat="1" applyFont="1" applyAlignment="1">
      <alignment horizontal="center" vertical="center" wrapText="1"/>
    </xf>
    <xf numFmtId="39" fontId="35" fillId="0" borderId="68" xfId="0" applyNumberFormat="1" applyFont="1" applyBorder="1" applyAlignment="1">
      <alignment horizontal="center" vertical="center" wrapText="1"/>
    </xf>
    <xf numFmtId="190" fontId="5" fillId="0" borderId="9" xfId="0" applyNumberFormat="1" applyFont="1" applyBorder="1" applyAlignment="1">
      <alignment horizontal="center" vertical="center" wrapText="1"/>
    </xf>
    <xf numFmtId="189" fontId="5" fillId="9" borderId="137" xfId="0" applyNumberFormat="1" applyFont="1" applyFill="1" applyBorder="1" applyAlignment="1">
      <alignment horizontal="center" vertical="center" wrapText="1"/>
    </xf>
    <xf numFmtId="189" fontId="5" fillId="0" borderId="9" xfId="0" applyNumberFormat="1" applyFont="1" applyBorder="1" applyAlignment="1">
      <alignment horizontal="center" vertical="center" wrapText="1"/>
    </xf>
    <xf numFmtId="189" fontId="13" fillId="0" borderId="137" xfId="0" applyNumberFormat="1" applyFont="1" applyBorder="1" applyAlignment="1">
      <alignment horizontal="center" vertical="center" wrapText="1"/>
    </xf>
    <xf numFmtId="39" fontId="42" fillId="0" borderId="139" xfId="0" applyNumberFormat="1" applyFont="1" applyBorder="1" applyAlignment="1">
      <alignment horizontal="center" vertical="center" wrapText="1"/>
    </xf>
    <xf numFmtId="39" fontId="85" fillId="0" borderId="47" xfId="0" applyNumberFormat="1" applyFont="1" applyBorder="1" applyAlignment="1">
      <alignment horizontal="center" vertical="center" wrapText="1"/>
    </xf>
    <xf numFmtId="39" fontId="35" fillId="0" borderId="57" xfId="0" applyNumberFormat="1" applyFont="1" applyBorder="1" applyAlignment="1">
      <alignment horizontal="center" vertical="center" wrapText="1"/>
    </xf>
    <xf numFmtId="191" fontId="15" fillId="0" borderId="55" xfId="0" applyNumberFormat="1" applyFont="1" applyBorder="1" applyAlignment="1">
      <alignment horizontal="center" vertical="center" wrapText="1"/>
    </xf>
    <xf numFmtId="192" fontId="5" fillId="9" borderId="140" xfId="0" applyNumberFormat="1" applyFont="1" applyFill="1" applyBorder="1" applyAlignment="1">
      <alignment horizontal="center" vertical="center" wrapText="1"/>
    </xf>
    <xf numFmtId="39" fontId="85" fillId="0" borderId="62" xfId="0" applyNumberFormat="1" applyFont="1" applyBorder="1" applyAlignment="1">
      <alignment horizontal="center" vertical="center" wrapText="1"/>
    </xf>
    <xf numFmtId="39" fontId="35" fillId="0" borderId="141" xfId="0" applyNumberFormat="1" applyFont="1" applyBorder="1" applyAlignment="1">
      <alignment horizontal="center" vertical="center" wrapText="1"/>
    </xf>
    <xf numFmtId="189" fontId="5" fillId="0" borderId="55" xfId="0" applyNumberFormat="1" applyFont="1" applyBorder="1" applyAlignment="1">
      <alignment horizontal="center" vertical="center" wrapText="1"/>
    </xf>
    <xf numFmtId="189" fontId="5" fillId="9" borderId="140" xfId="0" applyNumberFormat="1" applyFont="1" applyFill="1" applyBorder="1" applyAlignment="1">
      <alignment horizontal="center" vertical="center" wrapText="1"/>
    </xf>
    <xf numFmtId="39" fontId="42" fillId="0" borderId="142" xfId="0" applyNumberFormat="1" applyFont="1" applyBorder="1" applyAlignment="1">
      <alignment horizontal="center" vertical="center" wrapText="1"/>
    </xf>
    <xf numFmtId="39" fontId="5" fillId="17" borderId="0" xfId="0" applyNumberFormat="1" applyFont="1" applyFill="1" applyAlignment="1">
      <alignment horizontal="center" vertical="center" wrapText="1"/>
    </xf>
    <xf numFmtId="39" fontId="42" fillId="0" borderId="104" xfId="0" applyNumberFormat="1" applyFont="1" applyBorder="1" applyAlignment="1">
      <alignment horizontal="center" vertical="center" wrapText="1"/>
    </xf>
    <xf numFmtId="39" fontId="5" fillId="0" borderId="141" xfId="0" applyNumberFormat="1" applyFont="1" applyBorder="1" applyAlignment="1">
      <alignment horizontal="center" vertical="center" wrapText="1"/>
    </xf>
    <xf numFmtId="189" fontId="13" fillId="0" borderId="134" xfId="0" applyNumberFormat="1" applyFont="1" applyBorder="1" applyAlignment="1">
      <alignment horizontal="center" vertical="center" wrapText="1"/>
    </xf>
    <xf numFmtId="39" fontId="5" fillId="0" borderId="57" xfId="0" applyNumberFormat="1" applyFont="1" applyBorder="1" applyAlignment="1">
      <alignment horizontal="center" vertical="center" wrapText="1"/>
    </xf>
    <xf numFmtId="189" fontId="13" fillId="0" borderId="140" xfId="0" applyNumberFormat="1" applyFont="1" applyBorder="1" applyAlignment="1">
      <alignment horizontal="center" vertical="center" wrapText="1"/>
    </xf>
    <xf numFmtId="39" fontId="85" fillId="0" borderId="82" xfId="0" applyNumberFormat="1" applyFont="1" applyBorder="1" applyAlignment="1">
      <alignment horizontal="center" vertical="center" wrapText="1"/>
    </xf>
    <xf numFmtId="39" fontId="5" fillId="0" borderId="146" xfId="0" applyNumberFormat="1" applyFont="1" applyBorder="1" applyAlignment="1">
      <alignment horizontal="center" vertical="center" wrapText="1"/>
    </xf>
    <xf numFmtId="37" fontId="5" fillId="0" borderId="49" xfId="0" applyNumberFormat="1" applyFont="1" applyBorder="1" applyAlignment="1">
      <alignment horizontal="center" vertical="center" wrapText="1"/>
    </xf>
    <xf numFmtId="37" fontId="13" fillId="0" borderId="140" xfId="0" applyNumberFormat="1" applyFont="1" applyBorder="1" applyAlignment="1">
      <alignment horizontal="center" vertical="center" wrapText="1"/>
    </xf>
    <xf numFmtId="191" fontId="5" fillId="0" borderId="49" xfId="0" applyNumberFormat="1" applyFont="1" applyBorder="1" applyAlignment="1">
      <alignment horizontal="center" vertical="center" wrapText="1"/>
    </xf>
    <xf numFmtId="39" fontId="5" fillId="0" borderId="68" xfId="0" applyNumberFormat="1" applyFont="1" applyBorder="1" applyAlignment="1">
      <alignment horizontal="center" vertical="center" wrapText="1"/>
    </xf>
    <xf numFmtId="191" fontId="5" fillId="0" borderId="9" xfId="0" applyNumberFormat="1" applyFont="1" applyBorder="1" applyAlignment="1">
      <alignment horizontal="center" vertical="center" wrapText="1"/>
    </xf>
    <xf numFmtId="191" fontId="5" fillId="0" borderId="55" xfId="0" applyNumberFormat="1" applyFont="1" applyBorder="1" applyAlignment="1">
      <alignment horizontal="center" vertical="center" wrapText="1"/>
    </xf>
    <xf numFmtId="189" fontId="23" fillId="0" borderId="9" xfId="0" applyNumberFormat="1" applyFont="1" applyBorder="1" applyAlignment="1">
      <alignment horizontal="center" vertical="center" wrapText="1"/>
    </xf>
    <xf numFmtId="189" fontId="13" fillId="9" borderId="137" xfId="0" applyNumberFormat="1" applyFont="1" applyFill="1" applyBorder="1" applyAlignment="1">
      <alignment horizontal="center" vertical="center" wrapText="1"/>
    </xf>
    <xf numFmtId="39" fontId="5" fillId="13" borderId="0" xfId="0" applyNumberFormat="1" applyFont="1" applyFill="1" applyAlignment="1">
      <alignment horizontal="center" vertical="center" wrapText="1"/>
    </xf>
    <xf numFmtId="39" fontId="85" fillId="0" borderId="66" xfId="0" applyNumberFormat="1" applyFont="1" applyBorder="1" applyAlignment="1">
      <alignment horizontal="center" vertical="center" wrapText="1"/>
    </xf>
    <xf numFmtId="39" fontId="35" fillId="0" borderId="67" xfId="0" applyNumberFormat="1" applyFont="1" applyBorder="1" applyAlignment="1">
      <alignment horizontal="center" vertical="center" wrapText="1"/>
    </xf>
    <xf numFmtId="189" fontId="23" fillId="0" borderId="71" xfId="0" applyNumberFormat="1" applyFont="1" applyBorder="1" applyAlignment="1">
      <alignment horizontal="center" vertical="center" wrapText="1"/>
    </xf>
    <xf numFmtId="189" fontId="13" fillId="9" borderId="147" xfId="0" applyNumberFormat="1" applyFont="1" applyFill="1" applyBorder="1" applyAlignment="1">
      <alignment horizontal="center" vertical="center" wrapText="1"/>
    </xf>
    <xf numFmtId="189" fontId="5" fillId="0" borderId="41" xfId="0" applyNumberFormat="1" applyFont="1" applyBorder="1" applyAlignment="1">
      <alignment horizontal="center" vertical="center" wrapText="1"/>
    </xf>
    <xf numFmtId="39" fontId="35" fillId="0" borderId="0" xfId="0" applyNumberFormat="1" applyFont="1" applyAlignment="1">
      <alignment horizontal="center" vertical="center" wrapText="1"/>
    </xf>
    <xf numFmtId="39" fontId="5" fillId="27" borderId="0" xfId="0" applyNumberFormat="1" applyFont="1" applyFill="1" applyAlignment="1">
      <alignment horizontal="center" vertical="center" wrapText="1"/>
    </xf>
    <xf numFmtId="189" fontId="5" fillId="0" borderId="150" xfId="0" applyNumberFormat="1" applyFont="1" applyBorder="1" applyAlignment="1">
      <alignment horizontal="center" vertical="center" wrapText="1"/>
    </xf>
    <xf numFmtId="189" fontId="13" fillId="0" borderId="151" xfId="0" applyNumberFormat="1" applyFont="1" applyBorder="1" applyAlignment="1">
      <alignment horizontal="center" vertical="center" wrapText="1"/>
    </xf>
    <xf numFmtId="39" fontId="36" fillId="0" borderId="7" xfId="0" applyNumberFormat="1" applyFont="1" applyBorder="1" applyAlignment="1">
      <alignment horizontal="center" vertical="center" wrapText="1"/>
    </xf>
    <xf numFmtId="39" fontId="42" fillId="0" borderId="7" xfId="0" applyNumberFormat="1" applyFont="1" applyBorder="1" applyAlignment="1">
      <alignment horizontal="center" vertical="center" wrapText="1"/>
    </xf>
    <xf numFmtId="189" fontId="5" fillId="0" borderId="154" xfId="0" applyNumberFormat="1" applyFont="1" applyBorder="1" applyAlignment="1">
      <alignment horizontal="center" vertical="center" wrapText="1"/>
    </xf>
    <xf numFmtId="189" fontId="13" fillId="9" borderId="129" xfId="0" applyNumberFormat="1" applyFont="1" applyFill="1" applyBorder="1" applyAlignment="1">
      <alignment horizontal="center" vertical="center" wrapText="1"/>
    </xf>
    <xf numFmtId="39" fontId="5" fillId="9" borderId="0" xfId="0" applyNumberFormat="1" applyFont="1" applyFill="1" applyAlignment="1">
      <alignment horizontal="center" vertical="center" wrapText="1"/>
    </xf>
    <xf numFmtId="189" fontId="5" fillId="0" borderId="0" xfId="0" applyNumberFormat="1" applyFont="1" applyAlignment="1">
      <alignment horizontal="center" vertical="center" wrapText="1"/>
    </xf>
    <xf numFmtId="189" fontId="13" fillId="0" borderId="0" xfId="0" applyNumberFormat="1" applyFont="1" applyAlignment="1">
      <alignment horizontal="center" vertical="center" wrapText="1"/>
    </xf>
    <xf numFmtId="37" fontId="13" fillId="0" borderId="108" xfId="0" applyNumberFormat="1" applyFont="1" applyBorder="1" applyAlignment="1">
      <alignment horizontal="center" vertical="center" wrapText="1"/>
    </xf>
    <xf numFmtId="37" fontId="42" fillId="0" borderId="108" xfId="0" applyNumberFormat="1" applyFont="1" applyBorder="1" applyAlignment="1">
      <alignment horizontal="center" vertical="center" wrapText="1"/>
    </xf>
    <xf numFmtId="164" fontId="87" fillId="0" borderId="0" xfId="0" applyFont="1" applyAlignment="1" applyProtection="1">
      <alignment horizontal="center" vertical="center"/>
      <protection locked="0"/>
    </xf>
    <xf numFmtId="164" fontId="88" fillId="0" borderId="0" xfId="0" applyFont="1" applyAlignment="1" applyProtection="1">
      <alignment horizontal="center" vertical="center"/>
      <protection locked="0"/>
    </xf>
    <xf numFmtId="39" fontId="88" fillId="0" borderId="0" xfId="0" applyNumberFormat="1" applyFont="1" applyAlignment="1" applyProtection="1">
      <alignment horizontal="center" vertical="center"/>
      <protection locked="0"/>
    </xf>
    <xf numFmtId="39" fontId="89" fillId="7" borderId="157" xfId="0" applyNumberFormat="1" applyFont="1" applyFill="1" applyBorder="1" applyAlignment="1">
      <alignment horizontal="center" vertical="center" wrapText="1"/>
    </xf>
    <xf numFmtId="37" fontId="89" fillId="7" borderId="157" xfId="0" applyNumberFormat="1" applyFont="1" applyFill="1" applyBorder="1" applyAlignment="1">
      <alignment horizontal="center" vertical="center" wrapText="1"/>
    </xf>
    <xf numFmtId="164" fontId="35" fillId="9" borderId="157" xfId="0" applyFont="1" applyFill="1" applyBorder="1" applyAlignment="1">
      <alignment horizontal="center" vertical="center" wrapText="1"/>
    </xf>
    <xf numFmtId="0" fontId="90" fillId="0" borderId="0" xfId="0" applyNumberFormat="1" applyFont="1" applyAlignment="1" applyProtection="1">
      <alignment horizontal="center" vertical="center"/>
      <protection locked="0"/>
    </xf>
    <xf numFmtId="39" fontId="89" fillId="7" borderId="71" xfId="0" applyNumberFormat="1" applyFont="1" applyFill="1" applyBorder="1" applyAlignment="1">
      <alignment horizontal="center" vertical="center" wrapText="1"/>
    </xf>
    <xf numFmtId="164" fontId="5" fillId="0" borderId="0" xfId="0" applyFont="1" applyAlignment="1" applyProtection="1">
      <alignment horizontal="center" vertical="center"/>
      <protection locked="0"/>
    </xf>
    <xf numFmtId="1" fontId="42" fillId="0" borderId="120" xfId="0" applyNumberFormat="1" applyFont="1" applyBorder="1" applyAlignment="1">
      <alignment horizontal="center" vertical="center" wrapText="1"/>
    </xf>
    <xf numFmtId="1" fontId="89" fillId="7" borderId="41" xfId="0" applyNumberFormat="1" applyFont="1" applyFill="1" applyBorder="1" applyAlignment="1">
      <alignment horizontal="center" vertical="center" wrapText="1"/>
    </xf>
    <xf numFmtId="1" fontId="35" fillId="9" borderId="41" xfId="0" applyNumberFormat="1" applyFont="1" applyFill="1" applyBorder="1" applyAlignment="1">
      <alignment horizontal="center" vertical="center" wrapText="1"/>
    </xf>
    <xf numFmtId="164" fontId="91" fillId="0" borderId="0" xfId="0" applyFont="1" applyAlignment="1" applyProtection="1">
      <alignment horizontal="center" vertical="center"/>
      <protection locked="0"/>
    </xf>
    <xf numFmtId="39" fontId="91" fillId="0" borderId="0" xfId="0" applyNumberFormat="1" applyFont="1" applyAlignment="1" applyProtection="1">
      <alignment horizontal="center" vertical="center"/>
      <protection locked="0"/>
    </xf>
    <xf numFmtId="37" fontId="23" fillId="0" borderId="0" xfId="0" applyNumberFormat="1" applyFont="1" applyAlignment="1">
      <alignment horizontal="center" vertical="center" wrapText="1"/>
    </xf>
    <xf numFmtId="39" fontId="42" fillId="0" borderId="120" xfId="0" applyNumberFormat="1" applyFont="1" applyBorder="1" applyAlignment="1">
      <alignment horizontal="center" vertical="center" wrapText="1"/>
    </xf>
    <xf numFmtId="39" fontId="89" fillId="7" borderId="9" xfId="0" applyNumberFormat="1" applyFont="1" applyFill="1" applyBorder="1" applyAlignment="1">
      <alignment horizontal="center" vertical="center" wrapText="1"/>
    </xf>
    <xf numFmtId="164" fontId="35" fillId="9" borderId="9" xfId="0" applyFont="1" applyFill="1" applyBorder="1" applyAlignment="1">
      <alignment horizontal="center" vertical="center" wrapText="1"/>
    </xf>
    <xf numFmtId="39" fontId="92" fillId="0" borderId="0" xfId="0" applyNumberFormat="1" applyFont="1" applyAlignment="1">
      <alignment horizontal="center" vertical="center" wrapText="1"/>
    </xf>
    <xf numFmtId="39" fontId="23" fillId="0" borderId="0" xfId="0" applyNumberFormat="1" applyFont="1" applyAlignment="1">
      <alignment horizontal="center" vertical="center" wrapText="1"/>
    </xf>
    <xf numFmtId="164" fontId="35" fillId="9" borderId="71" xfId="0" applyFont="1" applyFill="1" applyBorder="1" applyAlignment="1">
      <alignment horizontal="center" vertical="center" wrapText="1"/>
    </xf>
    <xf numFmtId="39" fontId="89" fillId="7" borderId="41" xfId="0" applyNumberFormat="1" applyFont="1" applyFill="1" applyBorder="1" applyAlignment="1">
      <alignment horizontal="center" vertical="center" wrapText="1"/>
    </xf>
    <xf numFmtId="164" fontId="35" fillId="9" borderId="41" xfId="0" applyFont="1" applyFill="1" applyBorder="1" applyAlignment="1">
      <alignment horizontal="center" vertical="center" wrapText="1"/>
    </xf>
    <xf numFmtId="39" fontId="89" fillId="7" borderId="10" xfId="0" applyNumberFormat="1" applyFont="1" applyFill="1" applyBorder="1" applyAlignment="1">
      <alignment horizontal="center" vertical="center" wrapText="1"/>
    </xf>
    <xf numFmtId="37" fontId="13" fillId="0" borderId="156" xfId="0" applyNumberFormat="1" applyFont="1" applyBorder="1" applyAlignment="1">
      <alignment horizontal="center" vertical="center" wrapText="1"/>
    </xf>
    <xf numFmtId="37" fontId="13" fillId="0" borderId="71" xfId="0" applyNumberFormat="1" applyFont="1" applyBorder="1" applyAlignment="1">
      <alignment horizontal="center" vertical="center" wrapText="1"/>
    </xf>
    <xf numFmtId="164" fontId="35" fillId="0" borderId="71" xfId="0" applyFont="1" applyBorder="1" applyAlignment="1">
      <alignment horizontal="center" vertical="center" wrapText="1"/>
    </xf>
    <xf numFmtId="39" fontId="87" fillId="0" borderId="0" xfId="0" applyNumberFormat="1" applyFont="1" applyAlignment="1">
      <alignment horizontal="center" vertical="center" wrapText="1"/>
    </xf>
    <xf numFmtId="37" fontId="42" fillId="0" borderId="11" xfId="0" applyNumberFormat="1" applyFont="1" applyBorder="1" applyAlignment="1">
      <alignment horizontal="center" vertical="center" wrapText="1"/>
    </xf>
    <xf numFmtId="37" fontId="35" fillId="0" borderId="156" xfId="0" applyNumberFormat="1" applyFont="1" applyBorder="1" applyAlignment="1">
      <alignment horizontal="center" vertical="center" wrapText="1"/>
    </xf>
    <xf numFmtId="37" fontId="35" fillId="0" borderId="71" xfId="0" applyNumberFormat="1" applyFont="1" applyBorder="1" applyAlignment="1">
      <alignment horizontal="center" vertical="center" wrapText="1"/>
    </xf>
    <xf numFmtId="39" fontId="93" fillId="7" borderId="71" xfId="0" applyNumberFormat="1" applyFont="1" applyFill="1" applyBorder="1" applyAlignment="1">
      <alignment horizontal="center" vertical="center" wrapText="1"/>
    </xf>
    <xf numFmtId="37" fontId="35" fillId="0" borderId="0" xfId="0" applyNumberFormat="1" applyFont="1" applyAlignment="1">
      <alignment horizontal="center" vertical="center" wrapText="1"/>
    </xf>
    <xf numFmtId="37" fontId="42" fillId="0" borderId="120" xfId="0" applyNumberFormat="1" applyFont="1" applyBorder="1" applyAlignment="1">
      <alignment horizontal="center" vertical="center" wrapText="1"/>
    </xf>
    <xf numFmtId="37" fontId="35" fillId="0" borderId="135" xfId="0" applyNumberFormat="1" applyFont="1" applyBorder="1" applyAlignment="1">
      <alignment horizontal="center" vertical="center" wrapText="1"/>
    </xf>
    <xf numFmtId="39" fontId="5" fillId="0" borderId="9" xfId="0" applyNumberFormat="1" applyFont="1" applyBorder="1" applyAlignment="1">
      <alignment horizontal="center" vertical="center" wrapText="1"/>
    </xf>
    <xf numFmtId="37" fontId="87" fillId="0" borderId="0" xfId="0" applyNumberFormat="1" applyFont="1" applyAlignment="1">
      <alignment horizontal="center" vertical="center" wrapText="1"/>
    </xf>
    <xf numFmtId="9" fontId="15" fillId="0" borderId="9" xfId="3" applyFont="1" applyBorder="1" applyAlignment="1">
      <alignment horizontal="center" vertical="center" wrapText="1"/>
    </xf>
    <xf numFmtId="39" fontId="5" fillId="0" borderId="135" xfId="0" applyNumberFormat="1" applyFont="1" applyBorder="1" applyAlignment="1">
      <alignment horizontal="center" vertical="center" wrapText="1"/>
    </xf>
    <xf numFmtId="39" fontId="89" fillId="7" borderId="135" xfId="0" applyNumberFormat="1" applyFont="1" applyFill="1" applyBorder="1" applyAlignment="1">
      <alignment horizontal="center" vertical="center" wrapText="1"/>
    </xf>
    <xf numFmtId="39" fontId="89" fillId="7" borderId="160" xfId="0" applyNumberFormat="1" applyFont="1" applyFill="1" applyBorder="1" applyAlignment="1">
      <alignment horizontal="center" vertical="center" wrapText="1"/>
    </xf>
    <xf numFmtId="39" fontId="5" fillId="0" borderId="71" xfId="0" applyNumberFormat="1" applyFont="1" applyBorder="1" applyAlignment="1">
      <alignment horizontal="center" vertical="center" wrapText="1"/>
    </xf>
    <xf numFmtId="9" fontId="5" fillId="0" borderId="41" xfId="3" applyFont="1" applyBorder="1" applyAlignment="1">
      <alignment horizontal="center" vertical="center" wrapText="1"/>
    </xf>
    <xf numFmtId="9" fontId="5" fillId="0" borderId="9" xfId="3" applyFont="1" applyBorder="1" applyAlignment="1">
      <alignment horizontal="center" vertical="center" wrapText="1"/>
    </xf>
    <xf numFmtId="39" fontId="5" fillId="0" borderId="41" xfId="0" applyNumberFormat="1" applyFont="1" applyBorder="1" applyAlignment="1">
      <alignment horizontal="center" vertical="center" wrapText="1"/>
    </xf>
    <xf numFmtId="9" fontId="35" fillId="9" borderId="9" xfId="3" applyFont="1" applyFill="1" applyBorder="1" applyAlignment="1">
      <alignment horizontal="center" vertical="center" wrapText="1"/>
    </xf>
    <xf numFmtId="9" fontId="87" fillId="0" borderId="0" xfId="3" applyFont="1" applyAlignment="1">
      <alignment horizontal="center" vertical="center" wrapText="1"/>
    </xf>
    <xf numFmtId="9" fontId="5" fillId="0" borderId="0" xfId="3" applyFont="1" applyAlignment="1">
      <alignment horizontal="center" vertical="center" wrapText="1"/>
    </xf>
    <xf numFmtId="9" fontId="5" fillId="0" borderId="71" xfId="3" applyFont="1" applyBorder="1" applyAlignment="1">
      <alignment horizontal="center" vertical="center" wrapText="1"/>
    </xf>
    <xf numFmtId="9" fontId="35" fillId="9" borderId="71" xfId="3" applyFont="1" applyFill="1" applyBorder="1" applyAlignment="1">
      <alignment horizontal="center" vertical="center" wrapText="1"/>
    </xf>
    <xf numFmtId="37" fontId="42" fillId="0" borderId="120" xfId="0" quotePrefix="1" applyNumberFormat="1" applyFont="1" applyBorder="1" applyAlignment="1">
      <alignment horizontal="center" vertical="center" wrapText="1"/>
    </xf>
    <xf numFmtId="37" fontId="5" fillId="0" borderId="41" xfId="0" applyNumberFormat="1" applyFont="1" applyBorder="1" applyAlignment="1">
      <alignment horizontal="center" vertical="center" wrapText="1"/>
    </xf>
    <xf numFmtId="37" fontId="5" fillId="0" borderId="9" xfId="0" applyNumberFormat="1" applyFont="1" applyBorder="1" applyAlignment="1">
      <alignment horizontal="center" vertical="center" wrapText="1"/>
    </xf>
    <xf numFmtId="37" fontId="5" fillId="0" borderId="71" xfId="0" applyNumberFormat="1" applyFont="1" applyBorder="1" applyAlignment="1">
      <alignment horizontal="center" vertical="center" wrapText="1"/>
    </xf>
    <xf numFmtId="189" fontId="5" fillId="7" borderId="9" xfId="0" applyNumberFormat="1" applyFont="1" applyFill="1" applyBorder="1" applyAlignment="1">
      <alignment horizontal="center" vertical="center" wrapText="1"/>
    </xf>
    <xf numFmtId="39" fontId="5" fillId="7" borderId="10" xfId="0" applyNumberFormat="1" applyFont="1" applyFill="1" applyBorder="1" applyAlignment="1">
      <alignment horizontal="center" vertical="center" wrapText="1"/>
    </xf>
    <xf numFmtId="39" fontId="35" fillId="9" borderId="41" xfId="0" applyNumberFormat="1" applyFont="1" applyFill="1" applyBorder="1" applyAlignment="1">
      <alignment horizontal="center" vertical="center" wrapText="1"/>
    </xf>
    <xf numFmtId="39" fontId="35" fillId="9" borderId="9" xfId="0" applyNumberFormat="1" applyFont="1" applyFill="1" applyBorder="1" applyAlignment="1">
      <alignment horizontal="center" vertical="center" wrapText="1"/>
    </xf>
    <xf numFmtId="39" fontId="35" fillId="9" borderId="71" xfId="0" applyNumberFormat="1" applyFont="1" applyFill="1" applyBorder="1" applyAlignment="1">
      <alignment horizontal="center" vertical="center" wrapText="1"/>
    </xf>
    <xf numFmtId="39" fontId="5" fillId="7" borderId="9" xfId="0" applyNumberFormat="1" applyFont="1" applyFill="1" applyBorder="1" applyAlignment="1">
      <alignment horizontal="center" vertical="center" wrapText="1"/>
    </xf>
    <xf numFmtId="164" fontId="35" fillId="7" borderId="41" xfId="0" applyFont="1" applyFill="1" applyBorder="1" applyAlignment="1">
      <alignment horizontal="center" vertical="center" wrapText="1"/>
    </xf>
    <xf numFmtId="39" fontId="5" fillId="7" borderId="71" xfId="0" applyNumberFormat="1" applyFont="1" applyFill="1" applyBorder="1" applyAlignment="1">
      <alignment horizontal="center" vertical="center" wrapText="1"/>
    </xf>
    <xf numFmtId="164" fontId="35" fillId="7" borderId="9" xfId="0" applyFont="1" applyFill="1" applyBorder="1" applyAlignment="1">
      <alignment horizontal="center" vertical="center" wrapText="1"/>
    </xf>
    <xf numFmtId="39" fontId="5" fillId="15" borderId="9" xfId="0" applyNumberFormat="1" applyFont="1" applyFill="1" applyBorder="1" applyAlignment="1">
      <alignment horizontal="center" vertical="center" wrapText="1"/>
    </xf>
    <xf numFmtId="39" fontId="5" fillId="15" borderId="71" xfId="0" applyNumberFormat="1" applyFont="1" applyFill="1" applyBorder="1" applyAlignment="1">
      <alignment horizontal="center" vertical="center" wrapText="1"/>
    </xf>
    <xf numFmtId="164" fontId="35" fillId="7" borderId="71" xfId="0" applyFont="1" applyFill="1" applyBorder="1" applyAlignment="1">
      <alignment horizontal="center" vertical="center" wrapText="1"/>
    </xf>
    <xf numFmtId="39" fontId="42" fillId="0" borderId="156" xfId="0" applyNumberFormat="1" applyFont="1" applyBorder="1" applyAlignment="1">
      <alignment horizontal="center" vertical="center" wrapText="1"/>
    </xf>
    <xf numFmtId="37" fontId="5" fillId="0" borderId="163" xfId="0" applyNumberFormat="1" applyFont="1" applyBorder="1" applyAlignment="1">
      <alignment horizontal="center" vertical="center" wrapText="1"/>
    </xf>
    <xf numFmtId="164" fontId="35" fillId="9" borderId="163" xfId="0" applyFont="1" applyFill="1" applyBorder="1" applyAlignment="1">
      <alignment horizontal="center" vertical="center" wrapText="1"/>
    </xf>
    <xf numFmtId="39" fontId="5" fillId="0" borderId="163" xfId="0" applyNumberFormat="1" applyFont="1" applyBorder="1" applyAlignment="1">
      <alignment horizontal="center" vertical="center" wrapText="1"/>
    </xf>
    <xf numFmtId="39" fontId="42" fillId="0" borderId="138" xfId="0" applyNumberFormat="1" applyFont="1" applyBorder="1" applyAlignment="1">
      <alignment horizontal="center" vertical="center" wrapText="1"/>
    </xf>
    <xf numFmtId="39" fontId="42" fillId="0" borderId="164" xfId="0" applyNumberFormat="1" applyFont="1" applyBorder="1" applyAlignment="1">
      <alignment horizontal="center" vertical="center" wrapText="1"/>
    </xf>
    <xf numFmtId="37" fontId="5" fillId="0" borderId="165" xfId="0" applyNumberFormat="1" applyFont="1" applyBorder="1" applyAlignment="1">
      <alignment horizontal="center" vertical="center" wrapText="1"/>
    </xf>
    <xf numFmtId="164" fontId="35" fillId="9" borderId="165" xfId="0" applyFont="1" applyFill="1" applyBorder="1" applyAlignment="1">
      <alignment horizontal="center" vertical="center" wrapText="1"/>
    </xf>
    <xf numFmtId="39" fontId="5" fillId="0" borderId="165" xfId="0" applyNumberFormat="1" applyFont="1" applyBorder="1" applyAlignment="1">
      <alignment horizontal="center" vertical="center" wrapText="1"/>
    </xf>
    <xf numFmtId="39" fontId="5" fillId="0" borderId="154" xfId="0" applyNumberFormat="1" applyFont="1" applyBorder="1" applyAlignment="1">
      <alignment horizontal="center" vertical="center" wrapText="1"/>
    </xf>
    <xf numFmtId="37" fontId="42" fillId="17" borderId="108" xfId="0" applyNumberFormat="1" applyFont="1" applyFill="1" applyBorder="1" applyAlignment="1">
      <alignment horizontal="center" vertical="center" wrapText="1"/>
    </xf>
    <xf numFmtId="37" fontId="13" fillId="26" borderId="109" xfId="0" applyNumberFormat="1" applyFont="1" applyFill="1" applyBorder="1" applyAlignment="1">
      <alignment horizontal="center" vertical="center" wrapText="1"/>
    </xf>
    <xf numFmtId="39" fontId="85" fillId="0" borderId="169" xfId="0" applyNumberFormat="1" applyFont="1" applyBorder="1" applyAlignment="1">
      <alignment horizontal="center" vertical="center" wrapText="1"/>
    </xf>
    <xf numFmtId="39" fontId="35" fillId="0" borderId="170" xfId="0" applyNumberFormat="1" applyFont="1" applyBorder="1" applyAlignment="1">
      <alignment horizontal="center" vertical="center" wrapText="1"/>
    </xf>
    <xf numFmtId="193" fontId="5" fillId="0" borderId="170" xfId="0" applyNumberFormat="1" applyFont="1" applyBorder="1" applyAlignment="1">
      <alignment horizontal="center" vertical="center" wrapText="1"/>
    </xf>
    <xf numFmtId="193" fontId="5" fillId="17" borderId="170" xfId="0" applyNumberFormat="1" applyFont="1" applyFill="1" applyBorder="1" applyAlignment="1">
      <alignment horizontal="center" vertical="center" wrapText="1"/>
    </xf>
    <xf numFmtId="193" fontId="13" fillId="0" borderId="171" xfId="0" applyNumberFormat="1" applyFont="1" applyBorder="1" applyAlignment="1">
      <alignment horizontal="center" vertical="center" wrapText="1"/>
    </xf>
    <xf numFmtId="37" fontId="42" fillId="0" borderId="132" xfId="0" applyNumberFormat="1" applyFont="1" applyBorder="1" applyAlignment="1">
      <alignment horizontal="center" vertical="center" wrapText="1"/>
    </xf>
    <xf numFmtId="37" fontId="85" fillId="0" borderId="62" xfId="0" applyNumberFormat="1" applyFont="1" applyBorder="1" applyAlignment="1">
      <alignment horizontal="center" vertical="center" wrapText="1"/>
    </xf>
    <xf numFmtId="37" fontId="35" fillId="0" borderId="49" xfId="0" applyNumberFormat="1" applyFont="1" applyBorder="1" applyAlignment="1">
      <alignment horizontal="center" vertical="center" wrapText="1"/>
    </xf>
    <xf numFmtId="37" fontId="5" fillId="17" borderId="49" xfId="0" applyNumberFormat="1" applyFont="1" applyFill="1" applyBorder="1" applyAlignment="1">
      <alignment horizontal="center" vertical="center" wrapText="1"/>
    </xf>
    <xf numFmtId="164" fontId="96" fillId="9" borderId="134" xfId="0" applyFont="1" applyFill="1" applyBorder="1" applyAlignment="1">
      <alignment horizontal="center" vertical="center" wrapText="1"/>
    </xf>
    <xf numFmtId="39" fontId="35" fillId="0" borderId="9" xfId="0" applyNumberFormat="1" applyFont="1" applyBorder="1" applyAlignment="1">
      <alignment horizontal="center" vertical="center" wrapText="1"/>
    </xf>
    <xf numFmtId="39" fontId="5" fillId="17" borderId="9" xfId="0" applyNumberFormat="1" applyFont="1" applyFill="1" applyBorder="1" applyAlignment="1">
      <alignment horizontal="center" vertical="center" wrapText="1"/>
    </xf>
    <xf numFmtId="164" fontId="96" fillId="9" borderId="137" xfId="0" applyFont="1" applyFill="1" applyBorder="1" applyAlignment="1">
      <alignment horizontal="center" vertical="center" wrapText="1"/>
    </xf>
    <xf numFmtId="39" fontId="35" fillId="0" borderId="55" xfId="0" applyNumberFormat="1" applyFont="1" applyBorder="1" applyAlignment="1">
      <alignment horizontal="center" vertical="center" wrapText="1"/>
    </xf>
    <xf numFmtId="39" fontId="5" fillId="0" borderId="55" xfId="0" applyNumberFormat="1" applyFont="1" applyBorder="1" applyAlignment="1">
      <alignment horizontal="center" vertical="center" wrapText="1"/>
    </xf>
    <xf numFmtId="39" fontId="5" fillId="17" borderId="55" xfId="0" applyNumberFormat="1" applyFont="1" applyFill="1" applyBorder="1" applyAlignment="1">
      <alignment horizontal="center" vertical="center" wrapText="1"/>
    </xf>
    <xf numFmtId="164" fontId="96" fillId="9" borderId="140" xfId="0" applyFont="1" applyFill="1" applyBorder="1" applyAlignment="1">
      <alignment horizontal="center" vertical="center" wrapText="1"/>
    </xf>
    <xf numFmtId="9" fontId="5" fillId="10" borderId="49" xfId="3" applyFont="1" applyFill="1" applyBorder="1" applyAlignment="1">
      <alignment horizontal="center" vertical="center" wrapText="1"/>
    </xf>
    <xf numFmtId="9" fontId="5" fillId="17" borderId="49" xfId="3" applyFont="1" applyFill="1" applyBorder="1" applyAlignment="1">
      <alignment horizontal="center" vertical="center" wrapText="1"/>
    </xf>
    <xf numFmtId="39" fontId="42" fillId="0" borderId="103" xfId="0" applyNumberFormat="1" applyFont="1" applyBorder="1" applyAlignment="1">
      <alignment horizontal="center" vertical="center" wrapText="1"/>
    </xf>
    <xf numFmtId="37" fontId="35" fillId="0" borderId="9" xfId="0" applyNumberFormat="1" applyFont="1" applyBorder="1" applyAlignment="1">
      <alignment horizontal="center" vertical="center" wrapText="1"/>
    </xf>
    <xf numFmtId="193" fontId="5" fillId="0" borderId="9" xfId="3" applyNumberFormat="1" applyFont="1" applyFill="1" applyBorder="1" applyAlignment="1">
      <alignment horizontal="center" vertical="center" wrapText="1"/>
    </xf>
    <xf numFmtId="193" fontId="5" fillId="17" borderId="9" xfId="3" applyNumberFormat="1" applyFont="1" applyFill="1" applyBorder="1" applyAlignment="1">
      <alignment horizontal="center" vertical="center" wrapText="1"/>
    </xf>
    <xf numFmtId="193" fontId="96" fillId="9" borderId="137" xfId="0" applyNumberFormat="1" applyFont="1" applyFill="1" applyBorder="1" applyAlignment="1">
      <alignment horizontal="center" vertical="center" wrapText="1"/>
    </xf>
    <xf numFmtId="193" fontId="5" fillId="0" borderId="55" xfId="0" applyNumberFormat="1" applyFont="1" applyBorder="1" applyAlignment="1">
      <alignment horizontal="center" vertical="center" wrapText="1"/>
    </xf>
    <xf numFmtId="193" fontId="5" fillId="17" borderId="55" xfId="0" applyNumberFormat="1" applyFont="1" applyFill="1" applyBorder="1" applyAlignment="1">
      <alignment horizontal="center" vertical="center" wrapText="1"/>
    </xf>
    <xf numFmtId="193" fontId="5" fillId="9" borderId="140" xfId="0" applyNumberFormat="1" applyFont="1" applyFill="1" applyBorder="1" applyAlignment="1">
      <alignment horizontal="center" vertical="center" wrapText="1"/>
    </xf>
    <xf numFmtId="39" fontId="35" fillId="0" borderId="49" xfId="0" applyNumberFormat="1" applyFont="1" applyBorder="1" applyAlignment="1">
      <alignment horizontal="center" vertical="center" wrapText="1"/>
    </xf>
    <xf numFmtId="193" fontId="5" fillId="0" borderId="49" xfId="0" applyNumberFormat="1" applyFont="1" applyBorder="1" applyAlignment="1">
      <alignment horizontal="center" vertical="center" wrapText="1"/>
    </xf>
    <xf numFmtId="193" fontId="5" fillId="17" borderId="49" xfId="0" applyNumberFormat="1" applyFont="1" applyFill="1" applyBorder="1" applyAlignment="1">
      <alignment horizontal="center" vertical="center" wrapText="1"/>
    </xf>
    <xf numFmtId="193" fontId="96" fillId="9" borderId="134" xfId="0" applyNumberFormat="1" applyFont="1" applyFill="1" applyBorder="1" applyAlignment="1">
      <alignment horizontal="center" vertical="center" wrapText="1"/>
    </xf>
    <xf numFmtId="193" fontId="5" fillId="0" borderId="9" xfId="0" applyNumberFormat="1" applyFont="1" applyBorder="1" applyAlignment="1">
      <alignment horizontal="center" vertical="center" wrapText="1"/>
    </xf>
    <xf numFmtId="193" fontId="5" fillId="17" borderId="9" xfId="0" applyNumberFormat="1" applyFont="1" applyFill="1" applyBorder="1" applyAlignment="1">
      <alignment horizontal="center" vertical="center" wrapText="1"/>
    </xf>
    <xf numFmtId="193" fontId="13" fillId="0" borderId="137" xfId="0" applyNumberFormat="1" applyFont="1" applyBorder="1" applyAlignment="1">
      <alignment horizontal="center" vertical="center" wrapText="1"/>
    </xf>
    <xf numFmtId="39" fontId="42" fillId="0" borderId="173" xfId="0" applyNumberFormat="1" applyFont="1" applyBorder="1" applyAlignment="1">
      <alignment horizontal="center" vertical="center" wrapText="1"/>
    </xf>
    <xf numFmtId="193" fontId="13" fillId="0" borderId="140" xfId="0" applyNumberFormat="1" applyFont="1" applyBorder="1" applyAlignment="1">
      <alignment horizontal="center" vertical="center" wrapText="1"/>
    </xf>
    <xf numFmtId="193" fontId="5" fillId="0" borderId="150" xfId="0" applyNumberFormat="1" applyFont="1" applyBorder="1" applyAlignment="1">
      <alignment horizontal="center" vertical="center" wrapText="1"/>
    </xf>
    <xf numFmtId="193" fontId="5" fillId="17" borderId="150" xfId="0" applyNumberFormat="1" applyFont="1" applyFill="1" applyBorder="1" applyAlignment="1">
      <alignment horizontal="center" vertical="center" wrapText="1"/>
    </xf>
    <xf numFmtId="193" fontId="13" fillId="0" borderId="151" xfId="0" applyNumberFormat="1" applyFont="1" applyBorder="1" applyAlignment="1">
      <alignment horizontal="center" vertical="center" wrapText="1"/>
    </xf>
    <xf numFmtId="39" fontId="35" fillId="0" borderId="150" xfId="0" applyNumberFormat="1" applyFont="1" applyBorder="1" applyAlignment="1">
      <alignment horizontal="center" vertical="center" wrapText="1"/>
    </xf>
    <xf numFmtId="3" fontId="5" fillId="0" borderId="49" xfId="0" applyNumberFormat="1" applyFont="1" applyBorder="1" applyAlignment="1">
      <alignment horizontal="center" vertical="center" wrapText="1"/>
    </xf>
    <xf numFmtId="3" fontId="5" fillId="17" borderId="49" xfId="0" applyNumberFormat="1" applyFont="1" applyFill="1" applyBorder="1" applyAlignment="1">
      <alignment horizontal="center" vertical="center" wrapText="1"/>
    </xf>
    <xf numFmtId="193" fontId="5" fillId="9" borderId="49" xfId="0" applyNumberFormat="1" applyFont="1" applyFill="1" applyBorder="1" applyAlignment="1">
      <alignment horizontal="center" vertical="center" wrapText="1"/>
    </xf>
    <xf numFmtId="39" fontId="85" fillId="0" borderId="68" xfId="0" applyNumberFormat="1" applyFont="1" applyBorder="1" applyAlignment="1">
      <alignment horizontal="center" vertical="center" wrapText="1"/>
    </xf>
    <xf numFmtId="193" fontId="5" fillId="0" borderId="74" xfId="0" applyNumberFormat="1" applyFont="1" applyBorder="1" applyAlignment="1">
      <alignment horizontal="center" vertical="center" wrapText="1"/>
    </xf>
    <xf numFmtId="193" fontId="5" fillId="0" borderId="68" xfId="0" applyNumberFormat="1" applyFont="1" applyBorder="1" applyAlignment="1">
      <alignment horizontal="center" vertical="center" wrapText="1"/>
    </xf>
    <xf numFmtId="193" fontId="5" fillId="17" borderId="74" xfId="0" applyNumberFormat="1" applyFont="1" applyFill="1" applyBorder="1" applyAlignment="1">
      <alignment horizontal="center" vertical="center" wrapText="1"/>
    </xf>
    <xf numFmtId="193" fontId="5" fillId="0" borderId="52" xfId="0" applyNumberFormat="1" applyFont="1" applyBorder="1" applyAlignment="1">
      <alignment horizontal="center" vertical="center" wrapText="1"/>
    </xf>
    <xf numFmtId="189" fontId="35" fillId="9" borderId="74" xfId="0" applyNumberFormat="1" applyFont="1" applyFill="1" applyBorder="1" applyAlignment="1">
      <alignment horizontal="center" vertical="center" wrapText="1"/>
    </xf>
    <xf numFmtId="189" fontId="35" fillId="9" borderId="9" xfId="0" applyNumberFormat="1" applyFont="1" applyFill="1" applyBorder="1" applyAlignment="1">
      <alignment horizontal="center" vertical="center" wrapText="1"/>
    </xf>
    <xf numFmtId="193" fontId="5" fillId="9" borderId="175" xfId="0" applyNumberFormat="1" applyFont="1" applyFill="1" applyBorder="1" applyAlignment="1">
      <alignment horizontal="center" vertical="center" wrapText="1"/>
    </xf>
    <xf numFmtId="193" fontId="5" fillId="0" borderId="13" xfId="0" applyNumberFormat="1" applyFont="1" applyBorder="1" applyAlignment="1">
      <alignment horizontal="center" vertical="center" wrapText="1"/>
    </xf>
    <xf numFmtId="193" fontId="5" fillId="17" borderId="13" xfId="0" applyNumberFormat="1" applyFont="1" applyFill="1" applyBorder="1" applyAlignment="1">
      <alignment horizontal="center" vertical="center" wrapText="1"/>
    </xf>
    <xf numFmtId="193" fontId="5" fillId="0" borderId="10" xfId="0" applyNumberFormat="1" applyFont="1" applyBorder="1" applyAlignment="1">
      <alignment horizontal="center" vertical="center" wrapText="1"/>
    </xf>
    <xf numFmtId="189" fontId="35" fillId="9" borderId="10" xfId="0" applyNumberFormat="1" applyFont="1" applyFill="1" applyBorder="1" applyAlignment="1">
      <alignment horizontal="center" vertical="center" wrapText="1"/>
    </xf>
    <xf numFmtId="193" fontId="35" fillId="9" borderId="120" xfId="0" applyNumberFormat="1" applyFont="1" applyFill="1" applyBorder="1" applyAlignment="1">
      <alignment horizontal="center" vertical="center" wrapText="1"/>
    </xf>
    <xf numFmtId="193" fontId="5" fillId="17" borderId="68" xfId="0" applyNumberFormat="1" applyFont="1" applyFill="1" applyBorder="1" applyAlignment="1">
      <alignment horizontal="center" vertical="center" wrapText="1"/>
    </xf>
    <xf numFmtId="37" fontId="5" fillId="17" borderId="10" xfId="0" applyNumberFormat="1" applyFont="1" applyFill="1" applyBorder="1" applyAlignment="1">
      <alignment horizontal="center" vertical="center" wrapText="1"/>
    </xf>
    <xf numFmtId="37" fontId="5" fillId="9" borderId="10" xfId="0" applyNumberFormat="1" applyFont="1" applyFill="1" applyBorder="1" applyAlignment="1">
      <alignment horizontal="center" vertical="center" wrapText="1"/>
    </xf>
    <xf numFmtId="164" fontId="42" fillId="0" borderId="139" xfId="0" applyFont="1" applyBorder="1" applyAlignment="1">
      <alignment horizontal="center" vertical="center" wrapText="1"/>
    </xf>
    <xf numFmtId="39" fontId="85" fillId="0" borderId="57" xfId="0" applyNumberFormat="1" applyFont="1" applyBorder="1" applyAlignment="1">
      <alignment horizontal="center" vertical="center" wrapText="1"/>
    </xf>
    <xf numFmtId="37" fontId="5" fillId="0" borderId="58" xfId="0" applyNumberFormat="1" applyFont="1" applyBorder="1" applyAlignment="1">
      <alignment horizontal="center" vertical="center" wrapText="1"/>
    </xf>
    <xf numFmtId="37" fontId="5" fillId="17" borderId="58" xfId="0" applyNumberFormat="1" applyFont="1" applyFill="1" applyBorder="1" applyAlignment="1">
      <alignment horizontal="center" vertical="center" wrapText="1"/>
    </xf>
    <xf numFmtId="37" fontId="5" fillId="9" borderId="58" xfId="0" applyNumberFormat="1" applyFont="1" applyFill="1" applyBorder="1" applyAlignment="1">
      <alignment horizontal="center" vertical="center" wrapText="1"/>
    </xf>
    <xf numFmtId="37" fontId="13" fillId="0" borderId="164" xfId="0" applyNumberFormat="1" applyFont="1" applyBorder="1" applyAlignment="1">
      <alignment horizontal="center" vertical="center" wrapText="1"/>
    </xf>
    <xf numFmtId="39" fontId="42" fillId="0" borderId="178" xfId="0" applyNumberFormat="1" applyFont="1" applyBorder="1" applyAlignment="1">
      <alignment horizontal="center" vertical="center" wrapText="1"/>
    </xf>
    <xf numFmtId="39" fontId="5" fillId="0" borderId="179" xfId="0" applyNumberFormat="1" applyFont="1" applyBorder="1" applyAlignment="1">
      <alignment horizontal="center" vertical="center" wrapText="1"/>
    </xf>
    <xf numFmtId="39" fontId="5" fillId="17" borderId="179" xfId="0" applyNumberFormat="1" applyFont="1" applyFill="1" applyBorder="1" applyAlignment="1">
      <alignment horizontal="center" vertical="center" wrapText="1"/>
    </xf>
    <xf numFmtId="39" fontId="5" fillId="9" borderId="179" xfId="0" applyNumberFormat="1" applyFont="1" applyFill="1" applyBorder="1" applyAlignment="1">
      <alignment horizontal="center" vertical="center" wrapText="1"/>
    </xf>
    <xf numFmtId="39" fontId="5" fillId="9" borderId="154" xfId="0" applyNumberFormat="1" applyFont="1" applyFill="1" applyBorder="1" applyAlignment="1">
      <alignment horizontal="center" vertical="center" wrapText="1"/>
    </xf>
    <xf numFmtId="164" fontId="96" fillId="9" borderId="129" xfId="0" applyFont="1" applyFill="1" applyBorder="1" applyAlignment="1">
      <alignment horizontal="center" vertical="center" wrapText="1"/>
    </xf>
    <xf numFmtId="39" fontId="13" fillId="0" borderId="0" xfId="0" applyNumberFormat="1" applyFont="1" applyAlignment="1">
      <alignment horizontal="center" vertical="center" wrapText="1"/>
    </xf>
    <xf numFmtId="37" fontId="97" fillId="26" borderId="108" xfId="0" applyNumberFormat="1" applyFont="1" applyFill="1" applyBorder="1" applyAlignment="1">
      <alignment horizontal="center" vertical="center" wrapText="1"/>
    </xf>
    <xf numFmtId="37" fontId="13" fillId="0" borderId="0" xfId="0" applyNumberFormat="1" applyFont="1" applyAlignment="1">
      <alignment horizontal="left" vertical="center"/>
    </xf>
    <xf numFmtId="194" fontId="98" fillId="0" borderId="157" xfId="0" applyNumberFormat="1" applyFont="1" applyBorder="1" applyAlignment="1">
      <alignment horizontal="center" vertical="center" wrapText="1"/>
    </xf>
    <xf numFmtId="194" fontId="5" fillId="0" borderId="157" xfId="0" applyNumberFormat="1" applyFont="1" applyBorder="1" applyAlignment="1">
      <alignment horizontal="center" vertical="center" wrapText="1"/>
    </xf>
    <xf numFmtId="194" fontId="5" fillId="17" borderId="157" xfId="0" applyNumberFormat="1" applyFont="1" applyFill="1" applyBorder="1" applyAlignment="1">
      <alignment horizontal="center" vertical="center" wrapText="1"/>
    </xf>
    <xf numFmtId="194" fontId="13" fillId="0" borderId="180" xfId="0" applyNumberFormat="1" applyFont="1" applyBorder="1" applyAlignment="1">
      <alignment horizontal="center" vertical="center" wrapText="1"/>
    </xf>
    <xf numFmtId="39" fontId="5" fillId="0" borderId="0" xfId="0" applyNumberFormat="1" applyFont="1" applyAlignment="1">
      <alignment horizontal="left" vertical="center"/>
    </xf>
    <xf numFmtId="37" fontId="98" fillId="0" borderId="49" xfId="0" applyNumberFormat="1" applyFont="1" applyBorder="1" applyAlignment="1">
      <alignment horizontal="center" vertical="center" wrapText="1"/>
    </xf>
    <xf numFmtId="37" fontId="35" fillId="0" borderId="141" xfId="0" applyNumberFormat="1" applyFont="1" applyBorder="1" applyAlignment="1">
      <alignment horizontal="center" vertical="center" wrapText="1"/>
    </xf>
    <xf numFmtId="164" fontId="35" fillId="9" borderId="49" xfId="0" applyFont="1" applyFill="1" applyBorder="1" applyAlignment="1">
      <alignment horizontal="center" vertical="center" wrapText="1"/>
    </xf>
    <xf numFmtId="164" fontId="42" fillId="9" borderId="134" xfId="0" applyFont="1" applyFill="1" applyBorder="1" applyAlignment="1">
      <alignment horizontal="center" vertical="center" wrapText="1"/>
    </xf>
    <xf numFmtId="37" fontId="5" fillId="0" borderId="0" xfId="0" applyNumberFormat="1" applyFont="1" applyAlignment="1">
      <alignment horizontal="left" vertical="center"/>
    </xf>
    <xf numFmtId="39" fontId="98" fillId="0" borderId="9" xfId="0" applyNumberFormat="1" applyFont="1" applyBorder="1" applyAlignment="1">
      <alignment horizontal="center" vertical="center" wrapText="1"/>
    </xf>
    <xf numFmtId="164" fontId="42" fillId="9" borderId="137" xfId="0" applyFont="1" applyFill="1" applyBorder="1" applyAlignment="1">
      <alignment horizontal="center" vertical="center" wrapText="1"/>
    </xf>
    <xf numFmtId="39" fontId="98" fillId="0" borderId="55" xfId="0" applyNumberFormat="1" applyFont="1" applyBorder="1" applyAlignment="1">
      <alignment horizontal="center" vertical="center" wrapText="1"/>
    </xf>
    <xf numFmtId="39" fontId="35" fillId="17" borderId="55" xfId="0" applyNumberFormat="1" applyFont="1" applyFill="1" applyBorder="1" applyAlignment="1">
      <alignment horizontal="center" vertical="center" wrapText="1"/>
    </xf>
    <xf numFmtId="164" fontId="35" fillId="9" borderId="55" xfId="0" applyFont="1" applyFill="1" applyBorder="1" applyAlignment="1">
      <alignment horizontal="center" vertical="center" wrapText="1"/>
    </xf>
    <xf numFmtId="37" fontId="99" fillId="9" borderId="140" xfId="0" applyNumberFormat="1" applyFont="1" applyFill="1" applyBorder="1" applyAlignment="1">
      <alignment horizontal="center" vertical="center" wrapText="1"/>
    </xf>
    <xf numFmtId="39" fontId="42" fillId="9" borderId="137" xfId="0" applyNumberFormat="1" applyFont="1" applyFill="1" applyBorder="1" applyAlignment="1">
      <alignment horizontal="center" vertical="center" wrapText="1"/>
    </xf>
    <xf numFmtId="39" fontId="35" fillId="9" borderId="55" xfId="0" applyNumberFormat="1" applyFont="1" applyFill="1" applyBorder="1" applyAlignment="1">
      <alignment horizontal="center" vertical="center" wrapText="1"/>
    </xf>
    <xf numFmtId="39" fontId="42" fillId="9" borderId="140" xfId="0" applyNumberFormat="1" applyFont="1" applyFill="1" applyBorder="1" applyAlignment="1">
      <alignment horizontal="center" vertical="center" wrapText="1"/>
    </xf>
    <xf numFmtId="189" fontId="42" fillId="0" borderId="132" xfId="0" applyNumberFormat="1" applyFont="1" applyBorder="1" applyAlignment="1">
      <alignment horizontal="center" vertical="center" wrapText="1"/>
    </xf>
    <xf numFmtId="189" fontId="98" fillId="0" borderId="49" xfId="0" applyNumberFormat="1" applyFont="1" applyBorder="1" applyAlignment="1">
      <alignment horizontal="center" vertical="center" wrapText="1"/>
    </xf>
    <xf numFmtId="189" fontId="35" fillId="0" borderId="141" xfId="0" applyNumberFormat="1" applyFont="1" applyBorder="1" applyAlignment="1">
      <alignment horizontal="center" vertical="center" wrapText="1"/>
    </xf>
    <xf numFmtId="189" fontId="5" fillId="17" borderId="49" xfId="0" applyNumberFormat="1" applyFont="1" applyFill="1" applyBorder="1" applyAlignment="1">
      <alignment horizontal="center" vertical="center" wrapText="1"/>
    </xf>
    <xf numFmtId="189" fontId="35" fillId="9" borderId="49" xfId="0" applyNumberFormat="1" applyFont="1" applyFill="1" applyBorder="1" applyAlignment="1">
      <alignment horizontal="center" vertical="center" wrapText="1"/>
    </xf>
    <xf numFmtId="189" fontId="42" fillId="9" borderId="134" xfId="0" applyNumberFormat="1" applyFont="1" applyFill="1" applyBorder="1" applyAlignment="1">
      <alignment horizontal="center" vertical="center" wrapText="1"/>
    </xf>
    <xf numFmtId="189" fontId="5" fillId="0" borderId="0" xfId="0" applyNumberFormat="1" applyFont="1" applyAlignment="1">
      <alignment horizontal="left" vertical="center"/>
    </xf>
    <xf numFmtId="189" fontId="42" fillId="0" borderId="136" xfId="0" applyNumberFormat="1" applyFont="1" applyBorder="1" applyAlignment="1">
      <alignment horizontal="center" vertical="center" wrapText="1"/>
    </xf>
    <xf numFmtId="189" fontId="98" fillId="0" borderId="9" xfId="0" applyNumberFormat="1" applyFont="1" applyBorder="1" applyAlignment="1">
      <alignment horizontal="center" vertical="center" wrapText="1"/>
    </xf>
    <xf numFmtId="189" fontId="35" fillId="0" borderId="68" xfId="0" applyNumberFormat="1" applyFont="1" applyBorder="1" applyAlignment="1">
      <alignment horizontal="center" vertical="center" wrapText="1"/>
    </xf>
    <xf numFmtId="189" fontId="5" fillId="17" borderId="9" xfId="0" applyNumberFormat="1" applyFont="1" applyFill="1" applyBorder="1" applyAlignment="1">
      <alignment horizontal="center" vertical="center" wrapText="1"/>
    </xf>
    <xf numFmtId="189" fontId="42" fillId="9" borderId="137" xfId="0" applyNumberFormat="1" applyFont="1" applyFill="1" applyBorder="1" applyAlignment="1">
      <alignment horizontal="center" vertical="center" wrapText="1"/>
    </xf>
    <xf numFmtId="189" fontId="42" fillId="0" borderId="139" xfId="0" applyNumberFormat="1" applyFont="1" applyBorder="1" applyAlignment="1">
      <alignment horizontal="center" vertical="center" wrapText="1"/>
    </xf>
    <xf numFmtId="189" fontId="98" fillId="0" borderId="55" xfId="0" applyNumberFormat="1" applyFont="1" applyBorder="1" applyAlignment="1">
      <alignment horizontal="center" vertical="center" wrapText="1"/>
    </xf>
    <xf numFmtId="189" fontId="35" fillId="0" borderId="57" xfId="0" applyNumberFormat="1" applyFont="1" applyBorder="1" applyAlignment="1">
      <alignment horizontal="center" vertical="center" wrapText="1"/>
    </xf>
    <xf numFmtId="189" fontId="5" fillId="17" borderId="55" xfId="0" applyNumberFormat="1" applyFont="1" applyFill="1" applyBorder="1" applyAlignment="1">
      <alignment horizontal="center" vertical="center" wrapText="1"/>
    </xf>
    <xf numFmtId="189" fontId="35" fillId="9" borderId="55" xfId="0" applyNumberFormat="1" applyFont="1" applyFill="1" applyBorder="1" applyAlignment="1">
      <alignment horizontal="center" vertical="center" wrapText="1"/>
    </xf>
    <xf numFmtId="189" fontId="42" fillId="9" borderId="140" xfId="0" applyNumberFormat="1" applyFont="1" applyFill="1" applyBorder="1" applyAlignment="1">
      <alignment horizontal="center" vertical="center" wrapText="1"/>
    </xf>
    <xf numFmtId="37" fontId="100" fillId="0" borderId="55" xfId="0" applyNumberFormat="1" applyFont="1" applyBorder="1" applyAlignment="1">
      <alignment horizontal="center" vertical="center" wrapText="1"/>
    </xf>
    <xf numFmtId="37" fontId="5" fillId="0" borderId="55" xfId="0" applyNumberFormat="1" applyFont="1" applyBorder="1" applyAlignment="1">
      <alignment horizontal="center" vertical="center" wrapText="1"/>
    </xf>
    <xf numFmtId="37" fontId="5" fillId="17" borderId="55" xfId="0" applyNumberFormat="1" applyFont="1" applyFill="1" applyBorder="1" applyAlignment="1">
      <alignment horizontal="center" vertical="center" wrapText="1"/>
    </xf>
    <xf numFmtId="37" fontId="98" fillId="0" borderId="150" xfId="0" applyNumberFormat="1" applyFont="1" applyBorder="1" applyAlignment="1">
      <alignment horizontal="center" vertical="center" wrapText="1"/>
    </xf>
    <xf numFmtId="37" fontId="5" fillId="0" borderId="150" xfId="0" applyNumberFormat="1" applyFont="1" applyBorder="1" applyAlignment="1">
      <alignment horizontal="center" vertical="center" wrapText="1"/>
    </xf>
    <xf numFmtId="37" fontId="5" fillId="17" borderId="150" xfId="0" applyNumberFormat="1" applyFont="1" applyFill="1" applyBorder="1" applyAlignment="1">
      <alignment horizontal="center" vertical="center" wrapText="1"/>
    </xf>
    <xf numFmtId="37" fontId="44" fillId="0" borderId="87" xfId="0" applyNumberFormat="1" applyFont="1" applyBorder="1" applyAlignment="1">
      <alignment horizontal="center" vertical="center" wrapText="1"/>
    </xf>
    <xf numFmtId="189" fontId="98" fillId="0" borderId="62" xfId="0" applyNumberFormat="1" applyFont="1" applyBorder="1" applyAlignment="1">
      <alignment horizontal="center" vertical="center" wrapText="1"/>
    </xf>
    <xf numFmtId="39" fontId="44" fillId="0" borderId="0" xfId="0" applyNumberFormat="1" applyFont="1" applyAlignment="1">
      <alignment horizontal="center" vertical="center" wrapText="1"/>
    </xf>
    <xf numFmtId="189" fontId="23" fillId="0" borderId="62" xfId="0" applyNumberFormat="1" applyFont="1" applyBorder="1" applyAlignment="1">
      <alignment horizontal="center" vertical="center" wrapText="1"/>
    </xf>
    <xf numFmtId="189" fontId="23" fillId="17" borderId="62" xfId="0" applyNumberFormat="1" applyFont="1" applyFill="1" applyBorder="1" applyAlignment="1">
      <alignment horizontal="center" vertical="center" wrapText="1"/>
    </xf>
    <xf numFmtId="37" fontId="23" fillId="0" borderId="134" xfId="0" applyNumberFormat="1" applyFont="1" applyBorder="1" applyAlignment="1">
      <alignment horizontal="center" vertical="center" wrapText="1"/>
    </xf>
    <xf numFmtId="39" fontId="5" fillId="6" borderId="0" xfId="0" applyNumberFormat="1" applyFont="1" applyFill="1" applyAlignment="1">
      <alignment horizontal="center" vertical="center" wrapText="1"/>
    </xf>
    <xf numFmtId="37" fontId="23" fillId="0" borderId="0" xfId="0" applyNumberFormat="1" applyFont="1" applyAlignment="1">
      <alignment horizontal="left" vertical="center"/>
    </xf>
    <xf numFmtId="37" fontId="44" fillId="0" borderId="86" xfId="0" applyNumberFormat="1" applyFont="1" applyBorder="1" applyAlignment="1">
      <alignment horizontal="center" vertical="center" wrapText="1"/>
    </xf>
    <xf numFmtId="189" fontId="98" fillId="0" borderId="0" xfId="0" applyNumberFormat="1" applyFont="1" applyAlignment="1">
      <alignment horizontal="center" vertical="center" wrapText="1"/>
    </xf>
    <xf numFmtId="189" fontId="23" fillId="0" borderId="0" xfId="0" applyNumberFormat="1" applyFont="1" applyAlignment="1">
      <alignment horizontal="center" vertical="center" wrapText="1"/>
    </xf>
    <xf numFmtId="189" fontId="23" fillId="17" borderId="0" xfId="0" applyNumberFormat="1" applyFont="1" applyFill="1" applyAlignment="1">
      <alignment horizontal="center" vertical="center" wrapText="1"/>
    </xf>
    <xf numFmtId="37" fontId="23" fillId="0" borderId="140" xfId="0" applyNumberFormat="1" applyFont="1" applyBorder="1" applyAlignment="1">
      <alignment horizontal="center" vertical="center" wrapText="1"/>
    </xf>
    <xf numFmtId="189" fontId="42" fillId="0" borderId="173" xfId="0" applyNumberFormat="1" applyFont="1" applyBorder="1" applyAlignment="1">
      <alignment horizontal="center" vertical="center" wrapText="1"/>
    </xf>
    <xf numFmtId="189" fontId="98" fillId="0" borderId="102" xfId="0" applyNumberFormat="1" applyFont="1" applyBorder="1" applyAlignment="1">
      <alignment horizontal="center" vertical="center" wrapText="1"/>
    </xf>
    <xf numFmtId="189" fontId="44" fillId="0" borderId="132" xfId="0" applyNumberFormat="1" applyFont="1" applyBorder="1" applyAlignment="1">
      <alignment horizontal="center" vertical="center" wrapText="1"/>
    </xf>
    <xf numFmtId="189" fontId="23" fillId="0" borderId="49" xfId="0" applyNumberFormat="1" applyFont="1" applyBorder="1" applyAlignment="1">
      <alignment horizontal="center" vertical="center" wrapText="1"/>
    </xf>
    <xf numFmtId="189" fontId="23" fillId="17" borderId="49" xfId="0" applyNumberFormat="1" applyFont="1" applyFill="1" applyBorder="1" applyAlignment="1">
      <alignment horizontal="center" vertical="center" wrapText="1"/>
    </xf>
    <xf numFmtId="189" fontId="23" fillId="9" borderId="134" xfId="0" applyNumberFormat="1" applyFont="1" applyFill="1" applyBorder="1" applyAlignment="1">
      <alignment horizontal="center" vertical="center" wrapText="1"/>
    </xf>
    <xf numFmtId="189" fontId="44" fillId="0" borderId="142" xfId="0" applyNumberFormat="1" applyFont="1" applyBorder="1" applyAlignment="1">
      <alignment horizontal="center" vertical="center" wrapText="1"/>
    </xf>
    <xf numFmtId="189" fontId="23" fillId="17" borderId="9" xfId="0" applyNumberFormat="1" applyFont="1" applyFill="1" applyBorder="1" applyAlignment="1">
      <alignment horizontal="center" vertical="center" wrapText="1"/>
    </xf>
    <xf numFmtId="189" fontId="23" fillId="9" borderId="137" xfId="0" applyNumberFormat="1" applyFont="1" applyFill="1" applyBorder="1" applyAlignment="1">
      <alignment horizontal="center" vertical="center" wrapText="1"/>
    </xf>
    <xf numFmtId="189" fontId="44" fillId="0" borderId="136" xfId="0" applyNumberFormat="1" applyFont="1" applyBorder="1" applyAlignment="1">
      <alignment horizontal="center" vertical="center" wrapText="1"/>
    </xf>
    <xf numFmtId="189" fontId="44" fillId="0" borderId="104" xfId="0" applyNumberFormat="1" applyFont="1" applyBorder="1" applyAlignment="1">
      <alignment horizontal="center" vertical="center" wrapText="1"/>
    </xf>
    <xf numFmtId="189" fontId="44" fillId="0" borderId="57" xfId="0" applyNumberFormat="1" applyFont="1" applyBorder="1" applyAlignment="1">
      <alignment horizontal="center" vertical="center" wrapText="1"/>
    </xf>
    <xf numFmtId="189" fontId="23" fillId="0" borderId="55" xfId="0" applyNumberFormat="1" applyFont="1" applyBorder="1" applyAlignment="1">
      <alignment horizontal="center" vertical="center" wrapText="1"/>
    </xf>
    <xf numFmtId="189" fontId="23" fillId="17" borderId="55" xfId="0" applyNumberFormat="1" applyFont="1" applyFill="1" applyBorder="1" applyAlignment="1">
      <alignment horizontal="center" vertical="center" wrapText="1"/>
    </xf>
    <xf numFmtId="189" fontId="23" fillId="9" borderId="140" xfId="0" applyNumberFormat="1" applyFont="1" applyFill="1" applyBorder="1" applyAlignment="1">
      <alignment horizontal="center" vertical="center" wrapText="1"/>
    </xf>
    <xf numFmtId="189" fontId="44" fillId="0" borderId="141" xfId="0" applyNumberFormat="1" applyFont="1" applyBorder="1" applyAlignment="1">
      <alignment horizontal="center" vertical="center" wrapText="1"/>
    </xf>
    <xf numFmtId="189" fontId="23" fillId="0" borderId="134" xfId="0" applyNumberFormat="1" applyFont="1" applyBorder="1" applyAlignment="1">
      <alignment horizontal="center" vertical="center" wrapText="1"/>
    </xf>
    <xf numFmtId="189" fontId="44" fillId="0" borderId="68" xfId="0" applyNumberFormat="1" applyFont="1" applyBorder="1" applyAlignment="1">
      <alignment horizontal="center" vertical="center" wrapText="1"/>
    </xf>
    <xf numFmtId="189" fontId="23" fillId="0" borderId="137" xfId="0" applyNumberFormat="1" applyFont="1" applyBorder="1" applyAlignment="1">
      <alignment horizontal="center" vertical="center" wrapText="1"/>
    </xf>
    <xf numFmtId="189" fontId="44" fillId="0" borderId="173" xfId="0" applyNumberFormat="1" applyFont="1" applyBorder="1" applyAlignment="1">
      <alignment horizontal="center" vertical="center" wrapText="1"/>
    </xf>
    <xf numFmtId="189" fontId="44" fillId="9" borderId="9" xfId="0" applyNumberFormat="1" applyFont="1" applyFill="1" applyBorder="1" applyAlignment="1">
      <alignment horizontal="center" vertical="center" wrapText="1"/>
    </xf>
    <xf numFmtId="189" fontId="23" fillId="0" borderId="0" xfId="0" applyNumberFormat="1" applyFont="1" applyAlignment="1">
      <alignment horizontal="left" vertical="center"/>
    </xf>
    <xf numFmtId="189" fontId="98" fillId="0" borderId="41" xfId="0" applyNumberFormat="1" applyFont="1" applyBorder="1" applyAlignment="1">
      <alignment horizontal="center" vertical="center" wrapText="1"/>
    </xf>
    <xf numFmtId="189" fontId="44" fillId="0" borderId="72" xfId="0" applyNumberFormat="1" applyFont="1" applyBorder="1" applyAlignment="1">
      <alignment horizontal="center" vertical="center" wrapText="1"/>
    </xf>
    <xf numFmtId="189" fontId="23" fillId="0" borderId="41" xfId="0" applyNumberFormat="1" applyFont="1" applyBorder="1" applyAlignment="1">
      <alignment horizontal="center" vertical="center" wrapText="1"/>
    </xf>
    <xf numFmtId="189" fontId="23" fillId="17" borderId="41" xfId="0" applyNumberFormat="1" applyFont="1" applyFill="1" applyBorder="1" applyAlignment="1">
      <alignment horizontal="center" vertical="center" wrapText="1"/>
    </xf>
    <xf numFmtId="189" fontId="44" fillId="9" borderId="41" xfId="0" applyNumberFormat="1" applyFont="1" applyFill="1" applyBorder="1" applyAlignment="1">
      <alignment horizontal="center" vertical="center" wrapText="1"/>
    </xf>
    <xf numFmtId="189" fontId="23" fillId="0" borderId="124" xfId="0" applyNumberFormat="1" applyFont="1" applyBorder="1" applyAlignment="1">
      <alignment horizontal="center" vertical="center" wrapText="1"/>
    </xf>
    <xf numFmtId="189" fontId="98" fillId="0" borderId="71" xfId="0" applyNumberFormat="1" applyFont="1" applyBorder="1" applyAlignment="1">
      <alignment horizontal="center" vertical="center" wrapText="1"/>
    </xf>
    <xf numFmtId="189" fontId="44" fillId="0" borderId="67" xfId="0" applyNumberFormat="1" applyFont="1" applyBorder="1" applyAlignment="1">
      <alignment horizontal="center" vertical="center" wrapText="1"/>
    </xf>
    <xf numFmtId="189" fontId="23" fillId="17" borderId="71" xfId="0" applyNumberFormat="1" applyFont="1" applyFill="1" applyBorder="1" applyAlignment="1">
      <alignment horizontal="center" vertical="center" wrapText="1"/>
    </xf>
    <xf numFmtId="189" fontId="44" fillId="9" borderId="71" xfId="0" applyNumberFormat="1" applyFont="1" applyFill="1" applyBorder="1" applyAlignment="1">
      <alignment horizontal="center" vertical="center" wrapText="1"/>
    </xf>
    <xf numFmtId="189" fontId="23" fillId="0" borderId="147" xfId="0" applyNumberFormat="1" applyFont="1" applyBorder="1" applyAlignment="1">
      <alignment horizontal="center" vertical="center" wrapText="1"/>
    </xf>
    <xf numFmtId="189" fontId="42" fillId="0" borderId="142" xfId="0" applyNumberFormat="1" applyFont="1" applyBorder="1" applyAlignment="1">
      <alignment horizontal="center" vertical="center" wrapText="1"/>
    </xf>
    <xf numFmtId="189" fontId="44" fillId="0" borderId="52" xfId="0" applyNumberFormat="1" applyFont="1" applyBorder="1" applyAlignment="1">
      <alignment horizontal="center" vertical="center" wrapText="1"/>
    </xf>
    <xf numFmtId="189" fontId="23" fillId="0" borderId="74" xfId="0" applyNumberFormat="1" applyFont="1" applyBorder="1" applyAlignment="1">
      <alignment horizontal="center" vertical="center" wrapText="1"/>
    </xf>
    <xf numFmtId="189" fontId="35" fillId="0" borderId="72" xfId="0" applyNumberFormat="1" applyFont="1" applyBorder="1" applyAlignment="1">
      <alignment horizontal="center" vertical="center" wrapText="1"/>
    </xf>
    <xf numFmtId="189" fontId="5" fillId="17" borderId="41" xfId="0" applyNumberFormat="1" applyFont="1" applyFill="1" applyBorder="1" applyAlignment="1">
      <alignment horizontal="center" vertical="center" wrapText="1"/>
    </xf>
    <xf numFmtId="189" fontId="13" fillId="0" borderId="124" xfId="0" applyNumberFormat="1" applyFont="1" applyBorder="1" applyAlignment="1">
      <alignment horizontal="center" vertical="center" wrapText="1"/>
    </xf>
    <xf numFmtId="189" fontId="35" fillId="9" borderId="41" xfId="0" applyNumberFormat="1" applyFont="1" applyFill="1" applyBorder="1" applyAlignment="1">
      <alignment horizontal="center" vertical="center" wrapText="1"/>
    </xf>
    <xf numFmtId="189" fontId="35" fillId="0" borderId="67" xfId="0" applyNumberFormat="1" applyFont="1" applyBorder="1" applyAlignment="1">
      <alignment horizontal="center" vertical="center" wrapText="1"/>
    </xf>
    <xf numFmtId="189" fontId="5" fillId="0" borderId="71" xfId="0" applyNumberFormat="1" applyFont="1" applyBorder="1" applyAlignment="1">
      <alignment horizontal="center" vertical="center" wrapText="1"/>
    </xf>
    <xf numFmtId="189" fontId="5" fillId="17" borderId="71" xfId="0" applyNumberFormat="1" applyFont="1" applyFill="1" applyBorder="1" applyAlignment="1">
      <alignment horizontal="center" vertical="center" wrapText="1"/>
    </xf>
    <xf numFmtId="189" fontId="35" fillId="9" borderId="71" xfId="0" applyNumberFormat="1" applyFont="1" applyFill="1" applyBorder="1" applyAlignment="1">
      <alignment horizontal="center" vertical="center" wrapText="1"/>
    </xf>
    <xf numFmtId="189" fontId="13" fillId="0" borderId="147" xfId="0" applyNumberFormat="1" applyFont="1" applyBorder="1" applyAlignment="1">
      <alignment horizontal="center" vertical="center" wrapText="1"/>
    </xf>
    <xf numFmtId="9" fontId="35" fillId="9" borderId="49" xfId="3" applyFont="1" applyFill="1" applyBorder="1" applyAlignment="1">
      <alignment horizontal="center" vertical="center" wrapText="1"/>
    </xf>
    <xf numFmtId="189" fontId="42" fillId="0" borderId="104" xfId="0" applyNumberFormat="1" applyFont="1" applyBorder="1" applyAlignment="1">
      <alignment horizontal="center" vertical="center" wrapText="1"/>
    </xf>
    <xf numFmtId="9" fontId="42" fillId="0" borderId="181" xfId="3" applyFont="1" applyBorder="1" applyAlignment="1">
      <alignment horizontal="center" vertical="center" wrapText="1"/>
    </xf>
    <xf numFmtId="9" fontId="98" fillId="0" borderId="49" xfId="3" applyFont="1" applyFill="1" applyBorder="1" applyAlignment="1">
      <alignment horizontal="center" vertical="center" wrapText="1"/>
    </xf>
    <xf numFmtId="9" fontId="35" fillId="0" borderId="141" xfId="3" applyFont="1" applyBorder="1" applyAlignment="1">
      <alignment horizontal="center" vertical="center" wrapText="1"/>
    </xf>
    <xf numFmtId="9" fontId="5" fillId="0" borderId="49" xfId="3" applyFont="1" applyFill="1" applyBorder="1" applyAlignment="1">
      <alignment horizontal="center" vertical="center" wrapText="1"/>
    </xf>
    <xf numFmtId="9" fontId="42" fillId="9" borderId="134" xfId="3" applyFont="1" applyFill="1" applyBorder="1" applyAlignment="1">
      <alignment horizontal="center" vertical="center" wrapText="1"/>
    </xf>
    <xf numFmtId="9" fontId="5" fillId="0" borderId="0" xfId="3" applyFont="1" applyAlignment="1">
      <alignment horizontal="left" vertical="center"/>
    </xf>
    <xf numFmtId="9" fontId="42" fillId="0" borderId="132" xfId="3" applyFont="1" applyBorder="1" applyAlignment="1">
      <alignment horizontal="center" vertical="center" wrapText="1"/>
    </xf>
    <xf numFmtId="9" fontId="98" fillId="0" borderId="9" xfId="3" applyFont="1" applyFill="1" applyBorder="1" applyAlignment="1">
      <alignment horizontal="center" vertical="center" wrapText="1"/>
    </xf>
    <xf numFmtId="9" fontId="35" fillId="0" borderId="68" xfId="3" applyFont="1" applyBorder="1" applyAlignment="1">
      <alignment horizontal="center" vertical="center" wrapText="1"/>
    </xf>
    <xf numFmtId="9" fontId="5" fillId="0" borderId="9" xfId="3" applyFont="1" applyFill="1" applyBorder="1" applyAlignment="1">
      <alignment horizontal="center" vertical="center" wrapText="1"/>
    </xf>
    <xf numFmtId="189" fontId="98" fillId="0" borderId="68" xfId="0" applyNumberFormat="1" applyFont="1" applyBorder="1" applyAlignment="1">
      <alignment horizontal="center" vertical="center" wrapText="1"/>
    </xf>
    <xf numFmtId="189" fontId="5" fillId="0" borderId="68" xfId="0" applyNumberFormat="1" applyFont="1" applyBorder="1" applyAlignment="1">
      <alignment horizontal="center" vertical="center" wrapText="1"/>
    </xf>
    <xf numFmtId="189" fontId="5" fillId="17" borderId="68" xfId="0" applyNumberFormat="1" applyFont="1" applyFill="1" applyBorder="1" applyAlignment="1">
      <alignment horizontal="center" vertical="center" wrapText="1"/>
    </xf>
    <xf numFmtId="189" fontId="42" fillId="0" borderId="181" xfId="0" applyNumberFormat="1" applyFont="1" applyBorder="1" applyAlignment="1">
      <alignment horizontal="center" vertical="center" wrapText="1"/>
    </xf>
    <xf numFmtId="189" fontId="98" fillId="0" borderId="59" xfId="0" applyNumberFormat="1" applyFont="1" applyBorder="1" applyAlignment="1">
      <alignment horizontal="center" vertical="center" wrapText="1"/>
    </xf>
    <xf numFmtId="189" fontId="35" fillId="0" borderId="58" xfId="0" applyNumberFormat="1" applyFont="1" applyBorder="1" applyAlignment="1">
      <alignment horizontal="center" vertical="center" wrapText="1"/>
    </xf>
    <xf numFmtId="189" fontId="5" fillId="0" borderId="59" xfId="0" applyNumberFormat="1" applyFont="1" applyBorder="1" applyAlignment="1">
      <alignment horizontal="center" vertical="center" wrapText="1"/>
    </xf>
    <xf numFmtId="189" fontId="5" fillId="17" borderId="59" xfId="0" applyNumberFormat="1" applyFont="1" applyFill="1" applyBorder="1" applyAlignment="1">
      <alignment horizontal="center" vertical="center" wrapText="1"/>
    </xf>
    <xf numFmtId="189" fontId="35" fillId="9" borderId="59" xfId="0" applyNumberFormat="1" applyFont="1" applyFill="1" applyBorder="1" applyAlignment="1">
      <alignment horizontal="center" vertical="center" wrapText="1"/>
    </xf>
    <xf numFmtId="189" fontId="13" fillId="0" borderId="164" xfId="0" applyNumberFormat="1" applyFont="1" applyBorder="1" applyAlignment="1">
      <alignment horizontal="center" vertical="center" wrapText="1"/>
    </xf>
    <xf numFmtId="189" fontId="98" fillId="0" borderId="74" xfId="0" applyNumberFormat="1" applyFont="1" applyBorder="1" applyAlignment="1">
      <alignment horizontal="center" vertical="center" wrapText="1"/>
    </xf>
    <xf numFmtId="189" fontId="23" fillId="17" borderId="74" xfId="0" applyNumberFormat="1" applyFont="1" applyFill="1" applyBorder="1" applyAlignment="1">
      <alignment horizontal="center" vertical="center" wrapText="1"/>
    </xf>
    <xf numFmtId="189" fontId="44" fillId="9" borderId="74" xfId="0" applyNumberFormat="1" applyFont="1" applyFill="1" applyBorder="1" applyAlignment="1">
      <alignment horizontal="center" vertical="center" wrapText="1"/>
    </xf>
    <xf numFmtId="189" fontId="23" fillId="9" borderId="175" xfId="0" applyNumberFormat="1" applyFont="1" applyFill="1" applyBorder="1" applyAlignment="1">
      <alignment horizontal="center" vertical="center" wrapText="1"/>
    </xf>
    <xf numFmtId="189" fontId="44" fillId="0" borderId="103" xfId="0" applyNumberFormat="1" applyFont="1" applyBorder="1" applyAlignment="1">
      <alignment horizontal="center" vertical="center" wrapText="1"/>
    </xf>
    <xf numFmtId="189" fontId="98" fillId="0" borderId="10" xfId="0" applyNumberFormat="1" applyFont="1" applyBorder="1" applyAlignment="1">
      <alignment horizontal="center" vertical="center" wrapText="1"/>
    </xf>
    <xf numFmtId="189" fontId="44" fillId="0" borderId="13" xfId="0" applyNumberFormat="1" applyFont="1" applyBorder="1" applyAlignment="1">
      <alignment horizontal="center" vertical="center" wrapText="1"/>
    </xf>
    <xf numFmtId="189" fontId="23" fillId="0" borderId="10" xfId="0" applyNumberFormat="1" applyFont="1" applyBorder="1" applyAlignment="1">
      <alignment horizontal="center" vertical="center" wrapText="1"/>
    </xf>
    <xf numFmtId="189" fontId="23" fillId="17" borderId="10" xfId="0" applyNumberFormat="1" applyFont="1" applyFill="1" applyBorder="1" applyAlignment="1">
      <alignment horizontal="center" vertical="center" wrapText="1"/>
    </xf>
    <xf numFmtId="189" fontId="44" fillId="9" borderId="10" xfId="0" applyNumberFormat="1" applyFont="1" applyFill="1" applyBorder="1" applyAlignment="1">
      <alignment horizontal="center" vertical="center" wrapText="1"/>
    </xf>
    <xf numFmtId="189" fontId="23" fillId="0" borderId="120" xfId="0" applyNumberFormat="1" applyFont="1" applyBorder="1" applyAlignment="1">
      <alignment horizontal="center" vertical="center" wrapText="1"/>
    </xf>
    <xf numFmtId="189" fontId="44" fillId="0" borderId="139" xfId="0" applyNumberFormat="1" applyFont="1" applyBorder="1" applyAlignment="1">
      <alignment horizontal="center" vertical="center" wrapText="1"/>
    </xf>
    <xf numFmtId="189" fontId="44" fillId="9" borderId="55" xfId="0" applyNumberFormat="1" applyFont="1" applyFill="1" applyBorder="1" applyAlignment="1">
      <alignment horizontal="center" vertical="center" wrapText="1"/>
    </xf>
    <xf numFmtId="189" fontId="23" fillId="0" borderId="140" xfId="0" applyNumberFormat="1" applyFont="1" applyBorder="1" applyAlignment="1">
      <alignment horizontal="center" vertical="center" wrapText="1"/>
    </xf>
    <xf numFmtId="189" fontId="35" fillId="9" borderId="137" xfId="0" applyNumberFormat="1" applyFont="1" applyFill="1" applyBorder="1" applyAlignment="1">
      <alignment horizontal="center" vertical="center" wrapText="1"/>
    </xf>
    <xf numFmtId="164" fontId="42" fillId="0" borderId="136" xfId="0" applyFont="1" applyBorder="1" applyAlignment="1">
      <alignment horizontal="center" vertical="center" wrapText="1"/>
    </xf>
    <xf numFmtId="37" fontId="98" fillId="0" borderId="55" xfId="0" applyNumberFormat="1" applyFont="1" applyBorder="1" applyAlignment="1">
      <alignment horizontal="center" vertical="center" wrapText="1"/>
    </xf>
    <xf numFmtId="189" fontId="98" fillId="0" borderId="150" xfId="0" applyNumberFormat="1" applyFont="1" applyBorder="1" applyAlignment="1">
      <alignment horizontal="center" vertical="center" wrapText="1"/>
    </xf>
    <xf numFmtId="189" fontId="35" fillId="0" borderId="146" xfId="0" applyNumberFormat="1" applyFont="1" applyBorder="1" applyAlignment="1">
      <alignment horizontal="center" vertical="center" wrapText="1"/>
    </xf>
    <xf numFmtId="189" fontId="5" fillId="17" borderId="150" xfId="0" applyNumberFormat="1" applyFont="1" applyFill="1" applyBorder="1" applyAlignment="1">
      <alignment horizontal="center" vertical="center" wrapText="1"/>
    </xf>
    <xf numFmtId="189" fontId="42" fillId="0" borderId="103" xfId="0" applyNumberFormat="1" applyFont="1" applyBorder="1" applyAlignment="1">
      <alignment horizontal="center" vertical="center" wrapText="1"/>
    </xf>
    <xf numFmtId="39" fontId="98" fillId="0" borderId="154" xfId="0" applyNumberFormat="1" applyFont="1" applyBorder="1" applyAlignment="1">
      <alignment horizontal="center" vertical="center" wrapText="1"/>
    </xf>
    <xf numFmtId="39" fontId="35" fillId="0" borderId="182" xfId="0" applyNumberFormat="1" applyFont="1" applyBorder="1" applyAlignment="1">
      <alignment horizontal="center" vertical="center" wrapText="1"/>
    </xf>
    <xf numFmtId="39" fontId="98" fillId="0" borderId="0" xfId="0" applyNumberFormat="1" applyFont="1" applyAlignment="1">
      <alignment horizontal="center" vertical="center" wrapText="1"/>
    </xf>
    <xf numFmtId="37" fontId="42" fillId="26" borderId="105" xfId="4" applyNumberFormat="1" applyFont="1" applyFill="1" applyBorder="1" applyAlignment="1" applyProtection="1">
      <alignment horizontal="center" vertical="center" wrapText="1"/>
    </xf>
    <xf numFmtId="0" fontId="9" fillId="7" borderId="38" xfId="5" applyFont="1" applyFill="1" applyBorder="1" applyAlignment="1">
      <alignment horizontal="center" vertical="center" wrapText="1"/>
    </xf>
    <xf numFmtId="193" fontId="35" fillId="0" borderId="0" xfId="0" applyNumberFormat="1" applyFont="1" applyAlignment="1">
      <alignment horizontal="center" vertical="center" wrapText="1"/>
    </xf>
    <xf numFmtId="39" fontId="85" fillId="0" borderId="183" xfId="0" applyNumberFormat="1" applyFont="1" applyBorder="1" applyAlignment="1">
      <alignment horizontal="center" vertical="center" wrapText="1"/>
    </xf>
    <xf numFmtId="39" fontId="35" fillId="0" borderId="2" xfId="0" quotePrefix="1" applyNumberFormat="1" applyFont="1" applyBorder="1" applyAlignment="1">
      <alignment horizontal="center" vertical="center" wrapText="1"/>
    </xf>
    <xf numFmtId="39" fontId="5" fillId="0" borderId="170" xfId="0" applyNumberFormat="1" applyFont="1" applyBorder="1" applyAlignment="1">
      <alignment horizontal="center" vertical="center" wrapText="1"/>
    </xf>
    <xf numFmtId="39" fontId="5" fillId="17" borderId="170" xfId="0" applyNumberFormat="1" applyFont="1" applyFill="1" applyBorder="1" applyAlignment="1">
      <alignment horizontal="center" vertical="center" wrapText="1"/>
    </xf>
    <xf numFmtId="39" fontId="13" fillId="0" borderId="171" xfId="0" applyNumberFormat="1" applyFont="1" applyBorder="1" applyAlignment="1">
      <alignment horizontal="center" vertical="center" wrapText="1"/>
    </xf>
    <xf numFmtId="2" fontId="9" fillId="7" borderId="38" xfId="5" applyNumberFormat="1" applyFont="1" applyFill="1" applyBorder="1" applyAlignment="1">
      <alignment horizontal="center" vertical="center" wrapText="1"/>
    </xf>
    <xf numFmtId="195" fontId="105" fillId="0" borderId="0" xfId="0" applyNumberFormat="1" applyFont="1"/>
    <xf numFmtId="37" fontId="36" fillId="0" borderId="61" xfId="0" applyNumberFormat="1" applyFont="1" applyBorder="1" applyAlignment="1">
      <alignment horizontal="center" vertical="center" wrapText="1"/>
    </xf>
    <xf numFmtId="37" fontId="42" fillId="0" borderId="62" xfId="0" quotePrefix="1" applyNumberFormat="1" applyFont="1" applyBorder="1" applyAlignment="1">
      <alignment horizontal="center" vertical="center" wrapText="1"/>
    </xf>
    <xf numFmtId="0" fontId="105" fillId="0" borderId="0" xfId="0" applyNumberFormat="1" applyFont="1"/>
    <xf numFmtId="39" fontId="36" fillId="0" borderId="65" xfId="0" applyNumberFormat="1" applyFont="1" applyBorder="1" applyAlignment="1">
      <alignment horizontal="center" vertical="center" wrapText="1"/>
    </xf>
    <xf numFmtId="39" fontId="42" fillId="0" borderId="0" xfId="0" quotePrefix="1" applyNumberFormat="1" applyFont="1" applyAlignment="1">
      <alignment horizontal="center" vertical="center" wrapText="1"/>
    </xf>
    <xf numFmtId="39" fontId="36" fillId="0" borderId="73" xfId="0" applyNumberFormat="1" applyFont="1" applyBorder="1" applyAlignment="1">
      <alignment horizontal="center" vertical="center" wrapText="1"/>
    </xf>
    <xf numFmtId="39" fontId="42" fillId="0" borderId="47" xfId="0" quotePrefix="1" applyNumberFormat="1" applyFont="1" applyBorder="1" applyAlignment="1">
      <alignment horizontal="center" vertical="center" wrapText="1"/>
    </xf>
    <xf numFmtId="37" fontId="36" fillId="0" borderId="62" xfId="0" applyNumberFormat="1" applyFont="1" applyBorder="1" applyAlignment="1">
      <alignment horizontal="center" vertical="center" wrapText="1"/>
    </xf>
    <xf numFmtId="37" fontId="42" fillId="0" borderId="62" xfId="0" applyNumberFormat="1" applyFont="1" applyBorder="1" applyAlignment="1">
      <alignment horizontal="center" vertical="center" wrapText="1"/>
    </xf>
    <xf numFmtId="39" fontId="5" fillId="0" borderId="49" xfId="0" applyNumberFormat="1" applyFont="1" applyBorder="1" applyAlignment="1">
      <alignment horizontal="center" vertical="center" wrapText="1"/>
    </xf>
    <xf numFmtId="39" fontId="5" fillId="17" borderId="49" xfId="0" applyNumberFormat="1" applyFont="1" applyFill="1" applyBorder="1" applyAlignment="1">
      <alignment horizontal="center" vertical="center" wrapText="1"/>
    </xf>
    <xf numFmtId="39" fontId="35" fillId="9" borderId="49" xfId="0" applyNumberFormat="1" applyFont="1" applyFill="1" applyBorder="1" applyAlignment="1">
      <alignment horizontal="center" vertical="center" wrapText="1"/>
    </xf>
    <xf numFmtId="39" fontId="42" fillId="9" borderId="134" xfId="0" applyNumberFormat="1" applyFont="1" applyFill="1" applyBorder="1" applyAlignment="1">
      <alignment horizontal="center" vertical="center" wrapText="1"/>
    </xf>
    <xf numFmtId="193" fontId="35" fillId="10" borderId="41" xfId="0" applyNumberFormat="1" applyFont="1" applyFill="1" applyBorder="1" applyAlignment="1">
      <alignment horizontal="center" vertical="center" wrapText="1"/>
    </xf>
    <xf numFmtId="193" fontId="35" fillId="10" borderId="9" xfId="0" applyNumberFormat="1" applyFont="1" applyFill="1" applyBorder="1" applyAlignment="1">
      <alignment horizontal="center" vertical="center" wrapText="1"/>
    </xf>
    <xf numFmtId="37" fontId="36" fillId="0" borderId="47" xfId="0" applyNumberFormat="1" applyFont="1" applyBorder="1" applyAlignment="1">
      <alignment horizontal="center" vertical="center" wrapText="1"/>
    </xf>
    <xf numFmtId="37" fontId="42" fillId="0" borderId="47" xfId="0" applyNumberFormat="1" applyFont="1" applyBorder="1" applyAlignment="1">
      <alignment horizontal="center" vertical="center" wrapText="1"/>
    </xf>
    <xf numFmtId="0" fontId="35" fillId="10" borderId="9" xfId="0" quotePrefix="1" applyNumberFormat="1" applyFont="1" applyFill="1" applyBorder="1" applyAlignment="1">
      <alignment horizontal="center" vertical="center" wrapText="1"/>
    </xf>
    <xf numFmtId="39" fontId="36" fillId="0" borderId="82" xfId="0" applyNumberFormat="1" applyFont="1" applyBorder="1" applyAlignment="1">
      <alignment horizontal="center" vertical="center" wrapText="1"/>
    </xf>
    <xf numFmtId="39" fontId="42" fillId="0" borderId="82" xfId="0" applyNumberFormat="1" applyFont="1" applyBorder="1" applyAlignment="1">
      <alignment horizontal="center" vertical="center" wrapText="1"/>
    </xf>
    <xf numFmtId="39" fontId="35" fillId="9" borderId="150" xfId="0" applyNumberFormat="1" applyFont="1" applyFill="1" applyBorder="1" applyAlignment="1">
      <alignment horizontal="center" vertical="center" wrapText="1"/>
    </xf>
    <xf numFmtId="39" fontId="42" fillId="9" borderId="151" xfId="0" applyNumberFormat="1" applyFont="1" applyFill="1" applyBorder="1" applyAlignment="1">
      <alignment horizontal="center" vertical="center" wrapText="1"/>
    </xf>
    <xf numFmtId="196" fontId="35" fillId="10" borderId="71" xfId="0" quotePrefix="1" applyNumberFormat="1" applyFont="1" applyFill="1" applyBorder="1" applyAlignment="1">
      <alignment horizontal="center" vertical="center" wrapText="1"/>
    </xf>
    <xf numFmtId="197" fontId="35" fillId="10" borderId="71" xfId="0" quotePrefix="1" applyNumberFormat="1" applyFont="1" applyFill="1" applyBorder="1" applyAlignment="1">
      <alignment horizontal="center" vertical="center" wrapText="1"/>
    </xf>
    <xf numFmtId="198" fontId="35" fillId="10" borderId="71" xfId="0" quotePrefix="1" applyNumberFormat="1" applyFont="1" applyFill="1" applyBorder="1" applyAlignment="1">
      <alignment horizontal="center" vertical="center" wrapText="1"/>
    </xf>
    <xf numFmtId="198" fontId="35" fillId="10" borderId="67" xfId="0" quotePrefix="1" applyNumberFormat="1" applyFont="1" applyFill="1" applyBorder="1" applyAlignment="1">
      <alignment horizontal="center" vertical="center" wrapText="1"/>
    </xf>
    <xf numFmtId="199" fontId="35" fillId="10" borderId="71" xfId="0" quotePrefix="1" applyNumberFormat="1" applyFont="1" applyFill="1" applyBorder="1" applyAlignment="1">
      <alignment horizontal="center" vertical="center" wrapText="1"/>
    </xf>
    <xf numFmtId="200" fontId="35" fillId="10" borderId="71" xfId="0" quotePrefix="1" applyNumberFormat="1" applyFont="1" applyFill="1" applyBorder="1" applyAlignment="1">
      <alignment horizontal="center" vertical="center" wrapText="1"/>
    </xf>
    <xf numFmtId="201" fontId="35" fillId="10" borderId="80" xfId="0" applyNumberFormat="1" applyFont="1" applyFill="1" applyBorder="1" applyAlignment="1">
      <alignment horizontal="center" vertical="center" wrapText="1"/>
    </xf>
    <xf numFmtId="201" fontId="35" fillId="10" borderId="0" xfId="0" applyNumberFormat="1" applyFont="1" applyFill="1" applyAlignment="1">
      <alignment horizontal="center" vertical="center" wrapText="1"/>
    </xf>
    <xf numFmtId="201" fontId="35" fillId="10" borderId="72" xfId="0" applyNumberFormat="1" applyFont="1" applyFill="1" applyBorder="1" applyAlignment="1">
      <alignment horizontal="center" vertical="center" wrapText="1"/>
    </xf>
    <xf numFmtId="201" fontId="35" fillId="10" borderId="68" xfId="0" applyNumberFormat="1" applyFont="1" applyFill="1" applyBorder="1" applyAlignment="1">
      <alignment horizontal="center" vertical="center" wrapText="1"/>
    </xf>
    <xf numFmtId="201" fontId="35" fillId="10" borderId="9" xfId="0" applyNumberFormat="1" applyFont="1" applyFill="1" applyBorder="1" applyAlignment="1">
      <alignment horizontal="center" vertical="center" wrapText="1"/>
    </xf>
    <xf numFmtId="201" fontId="35" fillId="0" borderId="0" xfId="0" applyNumberFormat="1" applyFont="1" applyAlignment="1">
      <alignment horizontal="center" vertical="center" wrapText="1"/>
    </xf>
    <xf numFmtId="39" fontId="36" fillId="0" borderId="62" xfId="0" applyNumberFormat="1" applyFont="1" applyBorder="1" applyAlignment="1">
      <alignment horizontal="center" vertical="center" wrapText="1"/>
    </xf>
    <xf numFmtId="39" fontId="42" fillId="0" borderId="62" xfId="0" applyNumberFormat="1" applyFont="1" applyBorder="1" applyAlignment="1">
      <alignment horizontal="center" vertical="center" wrapText="1"/>
    </xf>
    <xf numFmtId="39" fontId="36" fillId="0" borderId="0" xfId="0" applyNumberFormat="1" applyFont="1" applyAlignment="1">
      <alignment horizontal="center" vertical="center" wrapText="1"/>
    </xf>
    <xf numFmtId="39" fontId="42" fillId="0" borderId="0" xfId="0" applyNumberFormat="1" applyFont="1" applyAlignment="1">
      <alignment horizontal="center" vertical="center" wrapText="1"/>
    </xf>
    <xf numFmtId="39" fontId="36" fillId="0" borderId="47" xfId="0" applyNumberFormat="1" applyFont="1" applyBorder="1" applyAlignment="1">
      <alignment horizontal="center" vertical="center" wrapText="1"/>
    </xf>
    <xf numFmtId="39" fontId="42" fillId="0" borderId="47" xfId="0" applyNumberFormat="1" applyFont="1" applyBorder="1" applyAlignment="1">
      <alignment horizontal="center" vertical="center" wrapText="1"/>
    </xf>
    <xf numFmtId="2" fontId="42" fillId="0" borderId="132" xfId="0" applyNumberFormat="1" applyFont="1" applyBorder="1" applyAlignment="1">
      <alignment horizontal="center" vertical="center" wrapText="1"/>
    </xf>
    <xf numFmtId="2" fontId="36" fillId="0" borderId="62" xfId="0" applyNumberFormat="1" applyFont="1" applyBorder="1" applyAlignment="1">
      <alignment horizontal="center" vertical="center" wrapText="1"/>
    </xf>
    <xf numFmtId="2" fontId="42" fillId="0" borderId="62" xfId="0" applyNumberFormat="1" applyFont="1" applyBorder="1" applyAlignment="1">
      <alignment horizontal="center" vertical="center" wrapText="1"/>
    </xf>
    <xf numFmtId="2" fontId="42" fillId="0" borderId="173" xfId="0" applyNumberFormat="1" applyFont="1" applyBorder="1" applyAlignment="1">
      <alignment horizontal="center" vertical="center" wrapText="1"/>
    </xf>
    <xf numFmtId="2" fontId="36" fillId="0" borderId="73" xfId="0" applyNumberFormat="1" applyFont="1" applyBorder="1" applyAlignment="1">
      <alignment horizontal="center" vertical="center" wrapText="1"/>
    </xf>
    <xf numFmtId="2" fontId="42" fillId="0" borderId="47" xfId="0" applyNumberFormat="1" applyFont="1" applyBorder="1" applyAlignment="1">
      <alignment horizontal="center" vertical="center" wrapText="1"/>
    </xf>
    <xf numFmtId="2" fontId="36" fillId="0" borderId="0" xfId="0" applyNumberFormat="1" applyFont="1" applyAlignment="1">
      <alignment horizontal="center" vertical="center" wrapText="1"/>
    </xf>
    <xf numFmtId="2" fontId="42" fillId="0" borderId="0" xfId="0" applyNumberFormat="1" applyFont="1" applyAlignment="1">
      <alignment horizontal="center" vertical="center" wrapText="1"/>
    </xf>
    <xf numFmtId="2" fontId="42" fillId="0" borderId="136" xfId="0" applyNumberFormat="1" applyFont="1" applyBorder="1" applyAlignment="1">
      <alignment horizontal="center" vertical="center" wrapText="1"/>
    </xf>
    <xf numFmtId="2" fontId="42" fillId="0" borderId="139" xfId="0" applyNumberFormat="1" applyFont="1" applyBorder="1" applyAlignment="1">
      <alignment horizontal="center" vertical="center" wrapText="1"/>
    </xf>
    <xf numFmtId="2" fontId="36" fillId="0" borderId="47" xfId="0" applyNumberFormat="1" applyFont="1" applyBorder="1" applyAlignment="1">
      <alignment horizontal="center" vertical="center" wrapText="1"/>
    </xf>
    <xf numFmtId="39" fontId="42" fillId="0" borderId="181" xfId="0" applyNumberFormat="1" applyFont="1" applyBorder="1" applyAlignment="1">
      <alignment horizontal="center" vertical="center" wrapText="1"/>
    </xf>
    <xf numFmtId="37" fontId="42" fillId="0" borderId="132" xfId="0" quotePrefix="1" applyNumberFormat="1" applyFont="1" applyBorder="1" applyAlignment="1">
      <alignment horizontal="center" vertical="center" wrapText="1"/>
    </xf>
    <xf numFmtId="37" fontId="5" fillId="0" borderId="61" xfId="0" applyNumberFormat="1" applyFont="1" applyBorder="1" applyAlignment="1">
      <alignment horizontal="center" vertical="center" wrapText="1"/>
    </xf>
    <xf numFmtId="37" fontId="5" fillId="0" borderId="62" xfId="0" applyNumberFormat="1" applyFont="1" applyBorder="1" applyAlignment="1">
      <alignment horizontal="center" vertical="center" wrapText="1"/>
    </xf>
    <xf numFmtId="37" fontId="13" fillId="0" borderId="134" xfId="0" applyNumberFormat="1" applyFont="1" applyBorder="1" applyAlignment="1">
      <alignment horizontal="center" vertical="center" wrapText="1"/>
    </xf>
    <xf numFmtId="201" fontId="106" fillId="10" borderId="0" xfId="0" applyNumberFormat="1" applyFont="1" applyFill="1" applyAlignment="1">
      <alignment horizontal="center" vertical="center" wrapText="1"/>
    </xf>
    <xf numFmtId="201" fontId="107" fillId="10" borderId="0" xfId="0" applyNumberFormat="1" applyFont="1" applyFill="1" applyAlignment="1">
      <alignment horizontal="center" vertical="center" wrapText="1"/>
    </xf>
    <xf numFmtId="201" fontId="107" fillId="10" borderId="68" xfId="0" applyNumberFormat="1" applyFont="1" applyFill="1" applyBorder="1" applyAlignment="1">
      <alignment horizontal="center" vertical="center" wrapText="1"/>
    </xf>
    <xf numFmtId="37" fontId="42" fillId="0" borderId="136" xfId="0" applyNumberFormat="1" applyFont="1" applyBorder="1" applyAlignment="1">
      <alignment horizontal="center" vertical="center" wrapText="1"/>
    </xf>
    <xf numFmtId="37" fontId="5" fillId="0" borderId="65" xfId="0" applyNumberFormat="1" applyFont="1" applyBorder="1" applyAlignment="1">
      <alignment horizontal="center" vertical="center" wrapText="1"/>
    </xf>
    <xf numFmtId="37" fontId="5" fillId="17" borderId="9" xfId="0" applyNumberFormat="1" applyFont="1" applyFill="1" applyBorder="1" applyAlignment="1">
      <alignment horizontal="center" vertical="center" wrapText="1"/>
    </xf>
    <xf numFmtId="37" fontId="13" fillId="0" borderId="137" xfId="0" applyNumberFormat="1" applyFont="1" applyBorder="1" applyAlignment="1">
      <alignment horizontal="center" vertical="center" wrapText="1"/>
    </xf>
    <xf numFmtId="37" fontId="5" fillId="0" borderId="73" xfId="0" applyNumberFormat="1" applyFont="1" applyBorder="1" applyAlignment="1">
      <alignment horizontal="center" vertical="center" wrapText="1"/>
    </xf>
    <xf numFmtId="37" fontId="5" fillId="0" borderId="47" xfId="0" applyNumberFormat="1" applyFont="1" applyBorder="1" applyAlignment="1">
      <alignment horizontal="center" vertical="center" wrapText="1"/>
    </xf>
    <xf numFmtId="37" fontId="13" fillId="9" borderId="134" xfId="0" applyNumberFormat="1" applyFont="1" applyFill="1" applyBorder="1" applyAlignment="1">
      <alignment horizontal="center" vertical="center" wrapText="1"/>
    </xf>
    <xf numFmtId="37" fontId="42" fillId="0" borderId="142" xfId="0" applyNumberFormat="1" applyFont="1" applyBorder="1" applyAlignment="1">
      <alignment horizontal="center" vertical="center" wrapText="1"/>
    </xf>
    <xf numFmtId="37" fontId="13" fillId="9" borderId="137" xfId="0" applyNumberFormat="1" applyFont="1" applyFill="1" applyBorder="1" applyAlignment="1">
      <alignment horizontal="center" vertical="center" wrapText="1"/>
    </xf>
    <xf numFmtId="39" fontId="5" fillId="0" borderId="65" xfId="0" applyNumberFormat="1" applyFont="1" applyBorder="1" applyAlignment="1">
      <alignment horizontal="center" vertical="center" wrapText="1"/>
    </xf>
    <xf numFmtId="37" fontId="5" fillId="0" borderId="81" xfId="0" applyNumberFormat="1" applyFont="1" applyBorder="1" applyAlignment="1">
      <alignment horizontal="center" vertical="center" wrapText="1"/>
    </xf>
    <xf numFmtId="37" fontId="5" fillId="0" borderId="82" xfId="0" applyNumberFormat="1" applyFont="1" applyBorder="1" applyAlignment="1">
      <alignment horizontal="center" vertical="center" wrapText="1"/>
    </xf>
    <xf numFmtId="189" fontId="35" fillId="9" borderId="150" xfId="0" applyNumberFormat="1" applyFont="1" applyFill="1" applyBorder="1" applyAlignment="1">
      <alignment horizontal="center" vertical="center" wrapText="1"/>
    </xf>
    <xf numFmtId="0" fontId="5" fillId="0" borderId="81" xfId="0" applyNumberFormat="1" applyFont="1" applyBorder="1" applyAlignment="1">
      <alignment horizontal="center" vertical="center" wrapText="1"/>
    </xf>
    <xf numFmtId="39" fontId="5" fillId="0" borderId="82" xfId="0" applyNumberFormat="1" applyFont="1" applyBorder="1" applyAlignment="1">
      <alignment horizontal="center" vertical="center" wrapText="1"/>
    </xf>
    <xf numFmtId="164" fontId="35" fillId="9" borderId="150" xfId="0" applyFont="1" applyFill="1" applyBorder="1" applyAlignment="1">
      <alignment horizontal="center" vertical="center" wrapText="1"/>
    </xf>
    <xf numFmtId="37" fontId="13" fillId="0" borderId="151" xfId="0" applyNumberFormat="1" applyFont="1" applyBorder="1" applyAlignment="1">
      <alignment horizontal="center" vertical="center" wrapText="1"/>
    </xf>
    <xf numFmtId="193" fontId="35" fillId="28" borderId="10" xfId="1" applyNumberFormat="1" applyFont="1" applyFill="1" applyBorder="1" applyAlignment="1">
      <alignment horizontal="center" vertical="center"/>
    </xf>
    <xf numFmtId="39" fontId="13" fillId="0" borderId="137" xfId="0" applyNumberFormat="1" applyFont="1" applyBorder="1" applyAlignment="1">
      <alignment horizontal="center" vertical="center" wrapText="1"/>
    </xf>
    <xf numFmtId="39" fontId="13" fillId="0" borderId="134" xfId="0" applyNumberFormat="1" applyFont="1" applyBorder="1" applyAlignment="1">
      <alignment horizontal="center" vertical="center" wrapText="1"/>
    </xf>
    <xf numFmtId="194" fontId="5" fillId="0" borderId="49" xfId="0" applyNumberFormat="1" applyFont="1" applyBorder="1" applyAlignment="1">
      <alignment horizontal="center" vertical="center" wrapText="1"/>
    </xf>
    <xf numFmtId="194" fontId="5" fillId="17" borderId="49" xfId="0" applyNumberFormat="1" applyFont="1" applyFill="1" applyBorder="1" applyAlignment="1">
      <alignment horizontal="center" vertical="center" wrapText="1"/>
    </xf>
    <xf numFmtId="194" fontId="35" fillId="9" borderId="49" xfId="0" applyNumberFormat="1" applyFont="1" applyFill="1" applyBorder="1" applyAlignment="1">
      <alignment horizontal="center" vertical="center" wrapText="1"/>
    </xf>
    <xf numFmtId="194" fontId="13" fillId="0" borderId="134" xfId="0" applyNumberFormat="1" applyFont="1" applyBorder="1" applyAlignment="1">
      <alignment horizontal="center" vertical="center" wrapText="1"/>
    </xf>
    <xf numFmtId="1" fontId="42" fillId="0" borderId="139" xfId="0" applyNumberFormat="1" applyFont="1" applyBorder="1" applyAlignment="1">
      <alignment horizontal="center" vertical="center" wrapText="1"/>
    </xf>
    <xf numFmtId="1" fontId="36" fillId="0" borderId="73" xfId="0" applyNumberFormat="1" applyFont="1" applyBorder="1" applyAlignment="1">
      <alignment horizontal="center" vertical="center" wrapText="1"/>
    </xf>
    <xf numFmtId="1" fontId="42" fillId="0" borderId="47" xfId="0" applyNumberFormat="1" applyFont="1" applyBorder="1" applyAlignment="1">
      <alignment horizontal="center" vertical="center" wrapText="1"/>
    </xf>
    <xf numFmtId="1" fontId="5" fillId="0" borderId="55" xfId="0" applyNumberFormat="1" applyFont="1" applyBorder="1" applyAlignment="1">
      <alignment horizontal="center" vertical="center" wrapText="1"/>
    </xf>
    <xf numFmtId="1" fontId="5" fillId="17" borderId="55" xfId="0" applyNumberFormat="1" applyFont="1" applyFill="1" applyBorder="1" applyAlignment="1">
      <alignment horizontal="center" vertical="center" wrapText="1"/>
    </xf>
    <xf numFmtId="1" fontId="35" fillId="9" borderId="55" xfId="0" applyNumberFormat="1" applyFont="1" applyFill="1" applyBorder="1" applyAlignment="1">
      <alignment horizontal="center" vertical="center" wrapText="1"/>
    </xf>
    <xf numFmtId="1" fontId="13" fillId="0" borderId="140" xfId="0" applyNumberFormat="1" applyFont="1" applyBorder="1" applyAlignment="1">
      <alignment horizontal="center" vertical="center" wrapText="1"/>
    </xf>
    <xf numFmtId="1" fontId="5" fillId="0" borderId="49" xfId="0" applyNumberFormat="1" applyFont="1" applyBorder="1" applyAlignment="1">
      <alignment horizontal="center" vertical="center" wrapText="1"/>
    </xf>
    <xf numFmtId="1" fontId="5" fillId="17" borderId="49" xfId="0" applyNumberFormat="1" applyFont="1" applyFill="1" applyBorder="1" applyAlignment="1">
      <alignment horizontal="center" vertical="center" wrapText="1"/>
    </xf>
    <xf numFmtId="1" fontId="35" fillId="9" borderId="49" xfId="0" applyNumberFormat="1" applyFont="1" applyFill="1" applyBorder="1" applyAlignment="1">
      <alignment horizontal="center" vertical="center" wrapText="1"/>
    </xf>
    <xf numFmtId="1" fontId="13" fillId="0" borderId="134" xfId="0" applyNumberFormat="1" applyFont="1" applyBorder="1" applyAlignment="1">
      <alignment horizontal="center" vertical="center" wrapText="1"/>
    </xf>
    <xf numFmtId="0" fontId="105" fillId="10" borderId="0" xfId="0" applyNumberFormat="1" applyFont="1" applyFill="1"/>
    <xf numFmtId="0" fontId="105" fillId="10" borderId="68" xfId="0" applyNumberFormat="1" applyFont="1" applyFill="1" applyBorder="1"/>
    <xf numFmtId="37" fontId="42" fillId="0" borderId="139" xfId="0" applyNumberFormat="1" applyFont="1" applyBorder="1" applyAlignment="1">
      <alignment horizontal="center" vertical="center" wrapText="1"/>
    </xf>
    <xf numFmtId="195" fontId="105" fillId="10" borderId="0" xfId="0" applyNumberFormat="1" applyFont="1" applyFill="1"/>
    <xf numFmtId="195" fontId="105" fillId="10" borderId="68" xfId="0" applyNumberFormat="1" applyFont="1" applyFill="1" applyBorder="1"/>
    <xf numFmtId="37" fontId="42" fillId="0" borderId="181" xfId="0" applyNumberFormat="1" applyFont="1" applyBorder="1" applyAlignment="1">
      <alignment horizontal="center" vertical="center" wrapText="1"/>
    </xf>
    <xf numFmtId="37" fontId="36" fillId="0" borderId="0" xfId="0" applyNumberFormat="1" applyFont="1" applyAlignment="1">
      <alignment horizontal="center" vertical="center" wrapText="1"/>
    </xf>
    <xf numFmtId="37" fontId="42" fillId="0" borderId="0" xfId="0" applyNumberFormat="1" applyFont="1" applyAlignment="1">
      <alignment horizontal="center" vertical="center" wrapText="1"/>
    </xf>
    <xf numFmtId="1" fontId="5" fillId="0" borderId="9" xfId="0" applyNumberFormat="1" applyFont="1" applyBorder="1" applyAlignment="1">
      <alignment horizontal="center" vertical="center" wrapText="1"/>
    </xf>
    <xf numFmtId="1" fontId="5" fillId="17" borderId="9" xfId="0" applyNumberFormat="1" applyFont="1" applyFill="1" applyBorder="1" applyAlignment="1">
      <alignment horizontal="center" vertical="center" wrapText="1"/>
    </xf>
    <xf numFmtId="1" fontId="35" fillId="9" borderId="9" xfId="0" applyNumberFormat="1" applyFont="1" applyFill="1" applyBorder="1" applyAlignment="1">
      <alignment horizontal="center" vertical="center" wrapText="1"/>
    </xf>
    <xf numFmtId="1" fontId="13" fillId="0" borderId="137" xfId="0" applyNumberFormat="1" applyFont="1" applyBorder="1" applyAlignment="1">
      <alignment horizontal="center" vertical="center" wrapText="1"/>
    </xf>
    <xf numFmtId="1" fontId="5" fillId="0" borderId="71" xfId="0" applyNumberFormat="1" applyFont="1" applyBorder="1" applyAlignment="1">
      <alignment horizontal="center" vertical="center" wrapText="1"/>
    </xf>
    <xf numFmtId="1" fontId="5" fillId="17" borderId="71" xfId="0" applyNumberFormat="1" applyFont="1" applyFill="1" applyBorder="1" applyAlignment="1">
      <alignment horizontal="center" vertical="center" wrapText="1"/>
    </xf>
    <xf numFmtId="1" fontId="13" fillId="0" borderId="147" xfId="0" applyNumberFormat="1" applyFont="1" applyBorder="1" applyAlignment="1">
      <alignment horizontal="center" vertical="center" wrapText="1"/>
    </xf>
    <xf numFmtId="37" fontId="42" fillId="15" borderId="136" xfId="0" applyNumberFormat="1" applyFont="1" applyFill="1" applyBorder="1" applyAlignment="1">
      <alignment horizontal="center" vertical="center" wrapText="1"/>
    </xf>
    <xf numFmtId="1" fontId="13" fillId="0" borderId="124" xfId="0" applyNumberFormat="1" applyFont="1" applyBorder="1" applyAlignment="1">
      <alignment horizontal="center" vertical="center" wrapText="1"/>
    </xf>
    <xf numFmtId="37" fontId="36" fillId="0" borderId="66" xfId="0" applyNumberFormat="1" applyFont="1" applyBorder="1" applyAlignment="1">
      <alignment horizontal="center" vertical="center" wrapText="1"/>
    </xf>
    <xf numFmtId="37" fontId="42" fillId="0" borderId="66" xfId="0" applyNumberFormat="1" applyFont="1" applyBorder="1" applyAlignment="1">
      <alignment horizontal="center" vertical="center" wrapText="1"/>
    </xf>
    <xf numFmtId="1" fontId="35" fillId="9" borderId="71" xfId="0" applyNumberFormat="1" applyFont="1" applyFill="1" applyBorder="1" applyAlignment="1">
      <alignment horizontal="center" vertical="center" wrapText="1"/>
    </xf>
    <xf numFmtId="37" fontId="42" fillId="0" borderId="173" xfId="0" applyNumberFormat="1" applyFont="1" applyBorder="1" applyAlignment="1">
      <alignment horizontal="center" vertical="center" wrapText="1"/>
    </xf>
    <xf numFmtId="37" fontId="36" fillId="0" borderId="78" xfId="0" applyNumberFormat="1" applyFont="1" applyBorder="1" applyAlignment="1">
      <alignment horizontal="center" vertical="center" wrapText="1"/>
    </xf>
    <xf numFmtId="37" fontId="42" fillId="0" borderId="78" xfId="0" applyNumberFormat="1" applyFont="1" applyBorder="1" applyAlignment="1">
      <alignment horizontal="center" vertical="center" wrapText="1"/>
    </xf>
    <xf numFmtId="1" fontId="5" fillId="0" borderId="41" xfId="0" applyNumberFormat="1" applyFont="1" applyBorder="1" applyAlignment="1">
      <alignment horizontal="center" vertical="center" wrapText="1"/>
    </xf>
    <xf numFmtId="1" fontId="5" fillId="17" borderId="41" xfId="0" applyNumberFormat="1" applyFont="1" applyFill="1" applyBorder="1" applyAlignment="1">
      <alignment horizontal="center" vertical="center" wrapText="1"/>
    </xf>
    <xf numFmtId="39" fontId="36" fillId="0" borderId="76" xfId="0" applyNumberFormat="1" applyFont="1" applyBorder="1" applyAlignment="1">
      <alignment horizontal="center" vertical="center" wrapText="1"/>
    </xf>
    <xf numFmtId="39" fontId="42" fillId="0" borderId="66" xfId="0" applyNumberFormat="1" applyFont="1" applyBorder="1" applyAlignment="1">
      <alignment horizontal="center" vertical="center" wrapText="1"/>
    </xf>
    <xf numFmtId="1" fontId="5" fillId="9" borderId="134" xfId="0" applyNumberFormat="1" applyFont="1" applyFill="1" applyBorder="1" applyAlignment="1">
      <alignment horizontal="center" vertical="center" wrapText="1"/>
    </xf>
    <xf numFmtId="1" fontId="5" fillId="9" borderId="137" xfId="0" applyNumberFormat="1" applyFont="1" applyFill="1" applyBorder="1" applyAlignment="1">
      <alignment horizontal="center" vertical="center" wrapText="1"/>
    </xf>
    <xf numFmtId="1" fontId="5" fillId="9" borderId="147" xfId="0" applyNumberFormat="1" applyFont="1" applyFill="1" applyBorder="1" applyAlignment="1">
      <alignment horizontal="center" vertical="center" wrapText="1"/>
    </xf>
    <xf numFmtId="4" fontId="0" fillId="10" borderId="0" xfId="0" applyNumberFormat="1" applyFill="1"/>
    <xf numFmtId="202" fontId="5" fillId="0" borderId="9" xfId="0" applyNumberFormat="1" applyFont="1" applyBorder="1" applyAlignment="1">
      <alignment horizontal="center" vertical="center" wrapText="1"/>
    </xf>
    <xf numFmtId="202" fontId="5" fillId="17" borderId="9" xfId="0" applyNumberFormat="1" applyFont="1" applyFill="1" applyBorder="1" applyAlignment="1">
      <alignment horizontal="center" vertical="center" wrapText="1"/>
    </xf>
    <xf numFmtId="202" fontId="35" fillId="9" borderId="9" xfId="0" applyNumberFormat="1" applyFont="1" applyFill="1" applyBorder="1" applyAlignment="1">
      <alignment horizontal="center" vertical="center" wrapText="1"/>
    </xf>
    <xf numFmtId="202" fontId="13" fillId="0" borderId="137" xfId="0" applyNumberFormat="1" applyFont="1" applyBorder="1" applyAlignment="1">
      <alignment horizontal="center" vertical="center" wrapText="1"/>
    </xf>
    <xf numFmtId="39" fontId="36" fillId="0" borderId="66" xfId="0" applyNumberFormat="1" applyFont="1" applyBorder="1" applyAlignment="1">
      <alignment horizontal="center" vertical="center" wrapText="1"/>
    </xf>
    <xf numFmtId="202" fontId="5" fillId="0" borderId="71" xfId="0" applyNumberFormat="1" applyFont="1" applyBorder="1" applyAlignment="1">
      <alignment horizontal="center" vertical="center" wrapText="1"/>
    </xf>
    <xf numFmtId="202" fontId="5" fillId="17" borderId="71" xfId="0" applyNumberFormat="1" applyFont="1" applyFill="1" applyBorder="1" applyAlignment="1">
      <alignment horizontal="center" vertical="center" wrapText="1"/>
    </xf>
    <xf numFmtId="202" fontId="35" fillId="9" borderId="71" xfId="0" applyNumberFormat="1" applyFont="1" applyFill="1" applyBorder="1" applyAlignment="1">
      <alignment horizontal="center" vertical="center" wrapText="1"/>
    </xf>
    <xf numFmtId="202" fontId="13" fillId="0" borderId="147" xfId="0" applyNumberFormat="1" applyFont="1" applyBorder="1" applyAlignment="1">
      <alignment horizontal="center" vertical="center" wrapText="1"/>
    </xf>
    <xf numFmtId="202" fontId="5" fillId="0" borderId="49" xfId="0" applyNumberFormat="1" applyFont="1" applyBorder="1" applyAlignment="1">
      <alignment horizontal="center" vertical="center" wrapText="1"/>
    </xf>
    <xf numFmtId="202" fontId="5" fillId="17" borderId="49" xfId="0" applyNumberFormat="1" applyFont="1" applyFill="1" applyBorder="1" applyAlignment="1">
      <alignment horizontal="center" vertical="center" wrapText="1"/>
    </xf>
    <xf numFmtId="202" fontId="35" fillId="9" borderId="49" xfId="0" applyNumberFormat="1" applyFont="1" applyFill="1" applyBorder="1" applyAlignment="1">
      <alignment horizontal="center" vertical="center" wrapText="1"/>
    </xf>
    <xf numFmtId="202" fontId="13" fillId="0" borderId="134" xfId="0" applyNumberFormat="1" applyFont="1" applyBorder="1" applyAlignment="1">
      <alignment horizontal="center" vertical="center" wrapText="1"/>
    </xf>
    <xf numFmtId="203" fontId="35" fillId="0" borderId="0" xfId="0" applyNumberFormat="1" applyFont="1" applyAlignment="1">
      <alignment horizontal="center" vertical="center" wrapText="1"/>
    </xf>
    <xf numFmtId="202" fontId="42" fillId="9" borderId="134" xfId="0" applyNumberFormat="1" applyFont="1" applyFill="1" applyBorder="1" applyAlignment="1">
      <alignment horizontal="center" vertical="center" wrapText="1"/>
    </xf>
    <xf numFmtId="202" fontId="42" fillId="9" borderId="137" xfId="0" applyNumberFormat="1" applyFont="1" applyFill="1" applyBorder="1" applyAlignment="1">
      <alignment horizontal="center" vertical="center" wrapText="1"/>
    </xf>
    <xf numFmtId="202" fontId="5" fillId="0" borderId="55" xfId="0" applyNumberFormat="1" applyFont="1" applyBorder="1" applyAlignment="1">
      <alignment horizontal="center" vertical="center" wrapText="1"/>
    </xf>
    <xf numFmtId="202" fontId="5" fillId="17" borderId="55" xfId="0" applyNumberFormat="1" applyFont="1" applyFill="1" applyBorder="1" applyAlignment="1">
      <alignment horizontal="center" vertical="center" wrapText="1"/>
    </xf>
    <xf numFmtId="202" fontId="35" fillId="9" borderId="55" xfId="0" applyNumberFormat="1" applyFont="1" applyFill="1" applyBorder="1" applyAlignment="1">
      <alignment horizontal="center" vertical="center" wrapText="1"/>
    </xf>
    <xf numFmtId="202" fontId="13" fillId="0" borderId="140" xfId="0" applyNumberFormat="1" applyFont="1" applyBorder="1" applyAlignment="1">
      <alignment horizontal="center" vertical="center" wrapText="1"/>
    </xf>
    <xf numFmtId="202" fontId="5" fillId="0" borderId="150" xfId="0" applyNumberFormat="1" applyFont="1" applyBorder="1" applyAlignment="1">
      <alignment horizontal="center" vertical="center" wrapText="1"/>
    </xf>
    <xf numFmtId="202" fontId="5" fillId="17" borderId="150" xfId="0" applyNumberFormat="1" applyFont="1" applyFill="1" applyBorder="1" applyAlignment="1">
      <alignment horizontal="center" vertical="center" wrapText="1"/>
    </xf>
    <xf numFmtId="202" fontId="35" fillId="9" borderId="150" xfId="0" applyNumberFormat="1" applyFont="1" applyFill="1" applyBorder="1" applyAlignment="1">
      <alignment horizontal="center" vertical="center" wrapText="1"/>
    </xf>
    <xf numFmtId="202" fontId="13" fillId="0" borderId="151" xfId="0" applyNumberFormat="1" applyFont="1" applyBorder="1" applyAlignment="1">
      <alignment horizontal="center" vertical="center" wrapText="1"/>
    </xf>
    <xf numFmtId="39" fontId="36" fillId="0" borderId="61" xfId="0" applyNumberFormat="1" applyFont="1" applyBorder="1" applyAlignment="1">
      <alignment horizontal="center" vertical="center" wrapText="1"/>
    </xf>
    <xf numFmtId="39" fontId="5" fillId="17" borderId="154" xfId="0" applyNumberFormat="1" applyFont="1" applyFill="1" applyBorder="1" applyAlignment="1">
      <alignment horizontal="center" vertical="center" wrapText="1"/>
    </xf>
    <xf numFmtId="164" fontId="99" fillId="9" borderId="166" xfId="0" applyFont="1" applyFill="1" applyBorder="1" applyAlignment="1">
      <alignment horizontal="center" vertical="center" wrapText="1"/>
    </xf>
    <xf numFmtId="37" fontId="84" fillId="26" borderId="185" xfId="4" applyNumberFormat="1" applyFont="1" applyFill="1" applyBorder="1" applyAlignment="1" applyProtection="1">
      <alignment horizontal="center" vertical="center" wrapText="1"/>
    </xf>
    <xf numFmtId="37" fontId="42" fillId="26" borderId="107" xfId="0" applyNumberFormat="1" applyFont="1" applyFill="1" applyBorder="1" applyAlignment="1">
      <alignment horizontal="center" vertical="center" wrapText="1"/>
    </xf>
    <xf numFmtId="37" fontId="42" fillId="26" borderId="109" xfId="0" applyNumberFormat="1" applyFont="1" applyFill="1" applyBorder="1" applyAlignment="1">
      <alignment horizontal="center" vertical="center" wrapText="1"/>
    </xf>
    <xf numFmtId="164" fontId="85" fillId="0" borderId="188" xfId="0" applyFont="1" applyBorder="1" applyAlignment="1">
      <alignment horizontal="center" vertical="center" wrapText="1"/>
    </xf>
    <xf numFmtId="39" fontId="35" fillId="0" borderId="169" xfId="0" applyNumberFormat="1" applyFont="1" applyBorder="1" applyAlignment="1">
      <alignment horizontal="center" vertical="center" wrapText="1"/>
    </xf>
    <xf numFmtId="193" fontId="5" fillId="0" borderId="186" xfId="0" applyNumberFormat="1" applyFont="1" applyBorder="1" applyAlignment="1">
      <alignment horizontal="center" vertical="center" wrapText="1"/>
    </xf>
    <xf numFmtId="193" fontId="5" fillId="9" borderId="137" xfId="0" applyNumberFormat="1" applyFont="1" applyFill="1" applyBorder="1" applyAlignment="1">
      <alignment horizontal="center" vertical="center" wrapText="1"/>
    </xf>
    <xf numFmtId="164" fontId="85" fillId="26" borderId="82" xfId="0" applyFont="1" applyFill="1" applyBorder="1" applyAlignment="1">
      <alignment horizontal="center" vertical="center" wrapText="1"/>
    </xf>
    <xf numFmtId="39" fontId="35" fillId="26" borderId="82" xfId="0" applyNumberFormat="1" applyFont="1" applyFill="1" applyBorder="1" applyAlignment="1">
      <alignment horizontal="center" vertical="center" wrapText="1"/>
    </xf>
    <xf numFmtId="193" fontId="5" fillId="26" borderId="150" xfId="0" applyNumberFormat="1" applyFont="1" applyFill="1" applyBorder="1" applyAlignment="1">
      <alignment horizontal="center" vertical="center" wrapText="1"/>
    </xf>
    <xf numFmtId="193" fontId="5" fillId="26" borderId="82" xfId="0" applyNumberFormat="1" applyFont="1" applyFill="1" applyBorder="1" applyAlignment="1">
      <alignment horizontal="center" vertical="center" wrapText="1"/>
    </xf>
    <xf numFmtId="193" fontId="13" fillId="26" borderId="189" xfId="0" applyNumberFormat="1" applyFont="1" applyFill="1" applyBorder="1" applyAlignment="1">
      <alignment horizontal="center" vertical="center" wrapText="1"/>
    </xf>
    <xf numFmtId="37" fontId="42" fillId="0" borderId="51" xfId="0" applyNumberFormat="1" applyFont="1" applyBorder="1" applyAlignment="1">
      <alignment horizontal="center" vertical="center" wrapText="1"/>
    </xf>
    <xf numFmtId="164" fontId="85" fillId="0" borderId="61" xfId="0" applyFont="1" applyBorder="1" applyAlignment="1">
      <alignment horizontal="center" vertical="center" wrapText="1"/>
    </xf>
    <xf numFmtId="39" fontId="35" fillId="0" borderId="62" xfId="0" applyNumberFormat="1" applyFont="1" applyBorder="1" applyAlignment="1">
      <alignment horizontal="center" vertical="center" wrapText="1"/>
    </xf>
    <xf numFmtId="193" fontId="5" fillId="10" borderId="49" xfId="0" applyNumberFormat="1" applyFont="1" applyFill="1" applyBorder="1" applyAlignment="1">
      <alignment horizontal="center" vertical="center" wrapText="1"/>
    </xf>
    <xf numFmtId="193" fontId="5" fillId="10" borderId="141" xfId="0" applyNumberFormat="1" applyFont="1" applyFill="1" applyBorder="1" applyAlignment="1">
      <alignment horizontal="center" vertical="center" wrapText="1"/>
    </xf>
    <xf numFmtId="193" fontId="13" fillId="0" borderId="134" xfId="0" applyNumberFormat="1" applyFont="1" applyBorder="1" applyAlignment="1">
      <alignment horizontal="center" vertical="center" wrapText="1"/>
    </xf>
    <xf numFmtId="37" fontId="42" fillId="0" borderId="80" xfId="0" applyNumberFormat="1" applyFont="1" applyBorder="1" applyAlignment="1">
      <alignment horizontal="center" vertical="center" wrapText="1"/>
    </xf>
    <xf numFmtId="164" fontId="85" fillId="0" borderId="65" xfId="0" applyFont="1" applyBorder="1" applyAlignment="1">
      <alignment horizontal="center" vertical="center" wrapText="1"/>
    </xf>
    <xf numFmtId="193" fontId="5" fillId="10" borderId="9" xfId="0" applyNumberFormat="1" applyFont="1" applyFill="1" applyBorder="1" applyAlignment="1">
      <alignment horizontal="center" vertical="center" wrapText="1"/>
    </xf>
    <xf numFmtId="193" fontId="5" fillId="10" borderId="68" xfId="0" applyNumberFormat="1" applyFont="1" applyFill="1" applyBorder="1" applyAlignment="1">
      <alignment horizontal="center" vertical="center" wrapText="1"/>
    </xf>
    <xf numFmtId="39" fontId="42" fillId="0" borderId="191" xfId="0" applyNumberFormat="1" applyFont="1" applyBorder="1" applyAlignment="1">
      <alignment horizontal="center" vertical="center" wrapText="1"/>
    </xf>
    <xf numFmtId="164" fontId="85" fillId="0" borderId="73" xfId="0" applyFont="1" applyBorder="1" applyAlignment="1">
      <alignment horizontal="center" vertical="center" wrapText="1"/>
    </xf>
    <xf numFmtId="39" fontId="35" fillId="0" borderId="47" xfId="0" applyNumberFormat="1" applyFont="1" applyBorder="1" applyAlignment="1">
      <alignment horizontal="center" vertical="center" wrapText="1"/>
    </xf>
    <xf numFmtId="193" fontId="5" fillId="10" borderId="55" xfId="0" applyNumberFormat="1" applyFont="1" applyFill="1" applyBorder="1" applyAlignment="1">
      <alignment horizontal="center" vertical="center" wrapText="1"/>
    </xf>
    <xf numFmtId="193" fontId="5" fillId="10" borderId="57" xfId="0" applyNumberFormat="1" applyFont="1" applyFill="1" applyBorder="1" applyAlignment="1">
      <alignment horizontal="center" vertical="center" wrapText="1"/>
    </xf>
    <xf numFmtId="164" fontId="85" fillId="0" borderId="62" xfId="0" applyFont="1" applyBorder="1" applyAlignment="1">
      <alignment horizontal="center" vertical="center" wrapText="1"/>
    </xf>
    <xf numFmtId="193" fontId="5" fillId="0" borderId="62" xfId="0" applyNumberFormat="1" applyFont="1" applyBorder="1" applyAlignment="1">
      <alignment horizontal="center" vertical="center" wrapText="1"/>
    </xf>
    <xf numFmtId="164" fontId="85" fillId="0" borderId="0" xfId="0" applyFont="1" applyAlignment="1">
      <alignment horizontal="center" vertical="center" wrapText="1"/>
    </xf>
    <xf numFmtId="193" fontId="5" fillId="0" borderId="0" xfId="0" applyNumberFormat="1" applyFont="1" applyAlignment="1">
      <alignment horizontal="center" vertical="center" wrapText="1"/>
    </xf>
    <xf numFmtId="164" fontId="85" fillId="0" borderId="47" xfId="0" applyFont="1" applyBorder="1" applyAlignment="1">
      <alignment horizontal="center" vertical="center" wrapText="1"/>
    </xf>
    <xf numFmtId="193" fontId="5" fillId="0" borderId="47" xfId="0" applyNumberFormat="1" applyFont="1" applyBorder="1" applyAlignment="1">
      <alignment horizontal="center" vertical="center" wrapText="1"/>
    </xf>
    <xf numFmtId="193" fontId="5" fillId="0" borderId="141" xfId="0" applyNumberFormat="1" applyFont="1" applyBorder="1" applyAlignment="1">
      <alignment horizontal="center" vertical="center" wrapText="1"/>
    </xf>
    <xf numFmtId="193" fontId="5" fillId="9" borderId="134" xfId="0" applyNumberFormat="1" applyFont="1" applyFill="1" applyBorder="1" applyAlignment="1">
      <alignment horizontal="center" vertical="center" wrapText="1"/>
    </xf>
    <xf numFmtId="193" fontId="13" fillId="9" borderId="137" xfId="0" applyNumberFormat="1" applyFont="1" applyFill="1" applyBorder="1" applyAlignment="1">
      <alignment horizontal="center" vertical="center" wrapText="1"/>
    </xf>
    <xf numFmtId="9" fontId="5" fillId="10" borderId="9" xfId="3" applyFont="1" applyFill="1" applyBorder="1" applyAlignment="1">
      <alignment horizontal="center" vertical="center" wrapText="1"/>
    </xf>
    <xf numFmtId="9" fontId="5" fillId="10" borderId="68" xfId="3" applyFont="1" applyFill="1" applyBorder="1" applyAlignment="1">
      <alignment horizontal="center" vertical="center" wrapText="1"/>
    </xf>
    <xf numFmtId="39" fontId="35" fillId="29" borderId="47" xfId="0" applyNumberFormat="1" applyFont="1" applyFill="1" applyBorder="1" applyAlignment="1">
      <alignment horizontal="center" vertical="center"/>
    </xf>
    <xf numFmtId="3" fontId="5" fillId="10" borderId="55" xfId="0" applyNumberFormat="1" applyFont="1" applyFill="1" applyBorder="1" applyAlignment="1">
      <alignment horizontal="center" vertical="center" wrapText="1"/>
    </xf>
    <xf numFmtId="3" fontId="5" fillId="10" borderId="57" xfId="0" applyNumberFormat="1" applyFont="1" applyFill="1" applyBorder="1" applyAlignment="1">
      <alignment horizontal="center" vertical="center" wrapText="1"/>
    </xf>
    <xf numFmtId="193" fontId="13" fillId="9" borderId="140" xfId="0" applyNumberFormat="1" applyFont="1" applyFill="1" applyBorder="1" applyAlignment="1">
      <alignment horizontal="center" vertical="center" wrapText="1"/>
    </xf>
    <xf numFmtId="39" fontId="42" fillId="0" borderId="51" xfId="0" applyNumberFormat="1" applyFont="1" applyBorder="1" applyAlignment="1">
      <alignment horizontal="center" vertical="center" wrapText="1"/>
    </xf>
    <xf numFmtId="39" fontId="35" fillId="29" borderId="62" xfId="0" applyNumberFormat="1" applyFont="1" applyFill="1" applyBorder="1" applyAlignment="1">
      <alignment horizontal="center" vertical="center"/>
    </xf>
    <xf numFmtId="39" fontId="42" fillId="0" borderId="11" xfId="0" applyNumberFormat="1" applyFont="1" applyBorder="1" applyAlignment="1">
      <alignment horizontal="center" vertical="center" wrapText="1"/>
    </xf>
    <xf numFmtId="193" fontId="5" fillId="0" borderId="57" xfId="0" applyNumberFormat="1" applyFont="1" applyBorder="1" applyAlignment="1">
      <alignment horizontal="center" vertical="center" wrapText="1"/>
    </xf>
    <xf numFmtId="39" fontId="42" fillId="0" borderId="94" xfId="0" applyNumberFormat="1" applyFont="1" applyBorder="1" applyAlignment="1">
      <alignment horizontal="center" vertical="center" wrapText="1"/>
    </xf>
    <xf numFmtId="39" fontId="42" fillId="0" borderId="192" xfId="0" applyNumberFormat="1" applyFont="1" applyBorder="1" applyAlignment="1">
      <alignment horizontal="center" vertical="center" wrapText="1"/>
    </xf>
    <xf numFmtId="193" fontId="35" fillId="9" borderId="137" xfId="0" applyNumberFormat="1" applyFont="1" applyFill="1" applyBorder="1" applyAlignment="1">
      <alignment horizontal="center" vertical="center" wrapText="1"/>
    </xf>
    <xf numFmtId="164" fontId="85" fillId="0" borderId="81" xfId="0" applyFont="1" applyBorder="1" applyAlignment="1">
      <alignment horizontal="center" vertical="center" wrapText="1"/>
    </xf>
    <xf numFmtId="39" fontId="35" fillId="0" borderId="82" xfId="0" applyNumberFormat="1" applyFont="1" applyBorder="1" applyAlignment="1">
      <alignment horizontal="center" vertical="center" wrapText="1"/>
    </xf>
    <xf numFmtId="193" fontId="5" fillId="0" borderId="146" xfId="0" applyNumberFormat="1" applyFont="1" applyBorder="1" applyAlignment="1">
      <alignment horizontal="center" vertical="center" wrapText="1"/>
    </xf>
    <xf numFmtId="189" fontId="5" fillId="0" borderId="146" xfId="0" applyNumberFormat="1" applyFont="1" applyBorder="1" applyAlignment="1">
      <alignment horizontal="center" vertical="center" wrapText="1"/>
    </xf>
    <xf numFmtId="193" fontId="35" fillId="9" borderId="134" xfId="0" applyNumberFormat="1" applyFont="1" applyFill="1" applyBorder="1" applyAlignment="1">
      <alignment horizontal="center" vertical="center" wrapText="1"/>
    </xf>
    <xf numFmtId="39" fontId="42" fillId="10" borderId="41" xfId="0" applyNumberFormat="1" applyFont="1" applyFill="1" applyBorder="1" applyAlignment="1">
      <alignment horizontal="center" vertical="center" wrapText="1"/>
    </xf>
    <xf numFmtId="39" fontId="42" fillId="0" borderId="56" xfId="0" applyNumberFormat="1" applyFont="1" applyBorder="1" applyAlignment="1">
      <alignment horizontal="center" vertical="center" wrapText="1"/>
    </xf>
    <xf numFmtId="9" fontId="35" fillId="0" borderId="62" xfId="3" applyFont="1" applyBorder="1" applyAlignment="1">
      <alignment horizontal="center" vertical="center" wrapText="1"/>
    </xf>
    <xf numFmtId="9" fontId="5" fillId="10" borderId="141" xfId="3" applyFont="1" applyFill="1" applyBorder="1" applyAlignment="1">
      <alignment horizontal="center" vertical="center" wrapText="1"/>
    </xf>
    <xf numFmtId="204" fontId="35" fillId="10" borderId="71" xfId="0" quotePrefix="1" applyNumberFormat="1" applyFont="1" applyFill="1" applyBorder="1" applyAlignment="1">
      <alignment horizontal="center" vertical="center" wrapText="1"/>
    </xf>
    <xf numFmtId="37" fontId="35" fillId="0" borderId="82" xfId="0" applyNumberFormat="1" applyFont="1" applyBorder="1" applyAlignment="1">
      <alignment horizontal="center" vertical="center" wrapText="1"/>
    </xf>
    <xf numFmtId="3" fontId="5" fillId="10" borderId="150" xfId="0" applyNumberFormat="1" applyFont="1" applyFill="1" applyBorder="1" applyAlignment="1">
      <alignment horizontal="center" vertical="center" wrapText="1"/>
    </xf>
    <xf numFmtId="3" fontId="5" fillId="10" borderId="146" xfId="0" applyNumberFormat="1" applyFont="1" applyFill="1" applyBorder="1" applyAlignment="1">
      <alignment horizontal="center" vertical="center" wrapText="1"/>
    </xf>
    <xf numFmtId="3" fontId="13" fillId="0" borderId="151" xfId="0" applyNumberFormat="1" applyFont="1" applyBorder="1" applyAlignment="1">
      <alignment horizontal="center" vertical="center" wrapText="1"/>
    </xf>
    <xf numFmtId="37" fontId="35" fillId="0" borderId="62" xfId="0" applyNumberFormat="1" applyFont="1" applyBorder="1" applyAlignment="1">
      <alignment horizontal="center" vertical="center" wrapText="1"/>
    </xf>
    <xf numFmtId="3" fontId="5" fillId="10" borderId="49" xfId="0" applyNumberFormat="1" applyFont="1" applyFill="1" applyBorder="1" applyAlignment="1">
      <alignment horizontal="center" vertical="center" wrapText="1"/>
    </xf>
    <xf numFmtId="3" fontId="5" fillId="10" borderId="141" xfId="0" applyNumberFormat="1" applyFont="1" applyFill="1" applyBorder="1" applyAlignment="1">
      <alignment horizontal="center" vertical="center" wrapText="1"/>
    </xf>
    <xf numFmtId="3" fontId="13" fillId="0" borderId="134" xfId="0" applyNumberFormat="1" applyFont="1" applyBorder="1" applyAlignment="1">
      <alignment horizontal="center" vertical="center" wrapText="1"/>
    </xf>
    <xf numFmtId="193" fontId="13" fillId="9" borderId="134" xfId="0" applyNumberFormat="1" applyFont="1" applyFill="1" applyBorder="1" applyAlignment="1">
      <alignment horizontal="center" vertical="center" wrapText="1"/>
    </xf>
    <xf numFmtId="205" fontId="5" fillId="10" borderId="9" xfId="0" applyNumberFormat="1" applyFont="1" applyFill="1" applyBorder="1" applyAlignment="1">
      <alignment horizontal="center" vertical="center" wrapText="1"/>
    </xf>
    <xf numFmtId="205" fontId="5" fillId="10" borderId="68" xfId="0" applyNumberFormat="1" applyFont="1" applyFill="1" applyBorder="1" applyAlignment="1">
      <alignment horizontal="center" vertical="center" wrapText="1"/>
    </xf>
    <xf numFmtId="206" fontId="42" fillId="0" borderId="142" xfId="0" applyNumberFormat="1" applyFont="1" applyBorder="1" applyAlignment="1">
      <alignment horizontal="center" vertical="center" wrapText="1"/>
    </xf>
    <xf numFmtId="206" fontId="42" fillId="0" borderId="136" xfId="0" applyNumberFormat="1" applyFont="1" applyBorder="1" applyAlignment="1">
      <alignment horizontal="center" vertical="center" wrapText="1"/>
    </xf>
    <xf numFmtId="206" fontId="85" fillId="0" borderId="0" xfId="0" applyNumberFormat="1" applyFont="1" applyAlignment="1">
      <alignment horizontal="center" vertical="center" wrapText="1"/>
    </xf>
    <xf numFmtId="206" fontId="35" fillId="0" borderId="0" xfId="0" applyNumberFormat="1" applyFont="1" applyAlignment="1">
      <alignment horizontal="center" vertical="center" wrapText="1"/>
    </xf>
    <xf numFmtId="9" fontId="85" fillId="0" borderId="0" xfId="3" applyFont="1" applyBorder="1" applyAlignment="1">
      <alignment horizontal="center" vertical="center" wrapText="1"/>
    </xf>
    <xf numFmtId="9" fontId="35" fillId="0" borderId="0" xfId="3" applyFont="1" applyBorder="1" applyAlignment="1">
      <alignment horizontal="center" vertical="center" wrapText="1"/>
    </xf>
    <xf numFmtId="9" fontId="5" fillId="0" borderId="9" xfId="0" applyNumberFormat="1" applyFont="1" applyBorder="1" applyAlignment="1">
      <alignment horizontal="center" vertical="center" wrapText="1"/>
    </xf>
    <xf numFmtId="9" fontId="5" fillId="0" borderId="68" xfId="0" applyNumberFormat="1" applyFont="1" applyBorder="1" applyAlignment="1">
      <alignment horizontal="center" vertical="center" wrapText="1"/>
    </xf>
    <xf numFmtId="2" fontId="85" fillId="0" borderId="0" xfId="3" applyNumberFormat="1" applyFont="1" applyBorder="1" applyAlignment="1">
      <alignment horizontal="center" vertical="center" wrapText="1"/>
    </xf>
    <xf numFmtId="2" fontId="35" fillId="0" borderId="0" xfId="3" applyNumberFormat="1" applyFont="1" applyBorder="1" applyAlignment="1">
      <alignment horizontal="center" vertical="center" wrapText="1"/>
    </xf>
    <xf numFmtId="206" fontId="42" fillId="0" borderId="132" xfId="0" applyNumberFormat="1" applyFont="1" applyBorder="1" applyAlignment="1">
      <alignment horizontal="center" vertical="center" wrapText="1"/>
    </xf>
    <xf numFmtId="206" fontId="85" fillId="0" borderId="62" xfId="0" applyNumberFormat="1" applyFont="1" applyBorder="1" applyAlignment="1">
      <alignment horizontal="center" vertical="center" wrapText="1"/>
    </xf>
    <xf numFmtId="206" fontId="35" fillId="0" borderId="62" xfId="0" applyNumberFormat="1" applyFont="1" applyBorder="1" applyAlignment="1">
      <alignment horizontal="center" vertical="center" wrapText="1"/>
    </xf>
    <xf numFmtId="205" fontId="5" fillId="10" borderId="49" xfId="0" applyNumberFormat="1" applyFont="1" applyFill="1" applyBorder="1" applyAlignment="1">
      <alignment horizontal="center" vertical="center" wrapText="1"/>
    </xf>
    <xf numFmtId="205" fontId="5" fillId="10" borderId="141" xfId="0" applyNumberFormat="1" applyFont="1" applyFill="1" applyBorder="1" applyAlignment="1">
      <alignment horizontal="center" vertical="center" wrapText="1"/>
    </xf>
    <xf numFmtId="39" fontId="42" fillId="0" borderId="142" xfId="0" applyNumberFormat="1" applyFont="1" applyBorder="1" applyAlignment="1">
      <alignment horizontal="centerContinuous" vertical="center" wrapText="1"/>
    </xf>
    <xf numFmtId="39" fontId="42" fillId="0" borderId="139" xfId="0" applyNumberFormat="1" applyFont="1" applyBorder="1" applyAlignment="1">
      <alignment horizontal="centerContinuous" vertical="center" wrapText="1"/>
    </xf>
    <xf numFmtId="206" fontId="42" fillId="0" borderId="132" xfId="0" applyNumberFormat="1" applyFont="1" applyBorder="1" applyAlignment="1">
      <alignment horizontal="centerContinuous" vertical="center" wrapText="1"/>
    </xf>
    <xf numFmtId="39" fontId="36" fillId="0" borderId="194" xfId="0" applyNumberFormat="1" applyFont="1" applyBorder="1" applyAlignment="1">
      <alignment horizontal="center" vertical="center" wrapText="1"/>
    </xf>
    <xf numFmtId="39" fontId="35" fillId="0" borderId="7" xfId="0" applyNumberFormat="1" applyFont="1" applyBorder="1" applyAlignment="1">
      <alignment horizontal="center" vertical="center" wrapText="1"/>
    </xf>
    <xf numFmtId="193" fontId="5" fillId="0" borderId="179" xfId="0" applyNumberFormat="1" applyFont="1" applyBorder="1" applyAlignment="1">
      <alignment horizontal="center" vertical="center" wrapText="1"/>
    </xf>
    <xf numFmtId="193" fontId="5" fillId="0" borderId="182" xfId="0" applyNumberFormat="1" applyFont="1" applyBorder="1" applyAlignment="1">
      <alignment horizontal="center" vertical="center" wrapText="1"/>
    </xf>
    <xf numFmtId="193" fontId="6" fillId="9" borderId="129" xfId="0" applyNumberFormat="1" applyFont="1" applyFill="1" applyBorder="1" applyAlignment="1">
      <alignment horizontal="center" vertical="center" wrapText="1"/>
    </xf>
    <xf numFmtId="39" fontId="5" fillId="0" borderId="2" xfId="0" applyNumberFormat="1" applyFont="1" applyBorder="1" applyAlignment="1">
      <alignment horizontal="center" vertical="center" wrapText="1"/>
    </xf>
    <xf numFmtId="39" fontId="13" fillId="0" borderId="2" xfId="0" applyNumberFormat="1" applyFont="1" applyBorder="1" applyAlignment="1">
      <alignment horizontal="center" vertical="center" wrapText="1"/>
    </xf>
    <xf numFmtId="39" fontId="35" fillId="0" borderId="186" xfId="0" applyNumberFormat="1" applyFont="1" applyBorder="1" applyAlignment="1">
      <alignment horizontal="center" vertical="center" wrapText="1"/>
    </xf>
    <xf numFmtId="194" fontId="5" fillId="0" borderId="170" xfId="0" applyNumberFormat="1" applyFont="1" applyBorder="1" applyAlignment="1">
      <alignment horizontal="center" vertical="center" wrapText="1"/>
    </xf>
    <xf numFmtId="194" fontId="13" fillId="0" borderId="171" xfId="0" applyNumberFormat="1" applyFont="1" applyBorder="1" applyAlignment="1">
      <alignment horizontal="center" vertical="center" wrapText="1"/>
    </xf>
    <xf numFmtId="39" fontId="35" fillId="0" borderId="146" xfId="0" applyNumberFormat="1" applyFont="1" applyBorder="1" applyAlignment="1">
      <alignment horizontal="center" vertical="center" wrapText="1"/>
    </xf>
    <xf numFmtId="39" fontId="5" fillId="0" borderId="150" xfId="0" applyNumberFormat="1" applyFont="1" applyBorder="1" applyAlignment="1">
      <alignment horizontal="center" vertical="center" wrapText="1"/>
    </xf>
    <xf numFmtId="194" fontId="42" fillId="9" borderId="134" xfId="0" applyNumberFormat="1" applyFont="1" applyFill="1" applyBorder="1" applyAlignment="1">
      <alignment horizontal="center" vertical="center" wrapText="1"/>
    </xf>
    <xf numFmtId="194" fontId="5" fillId="0" borderId="9" xfId="0" applyNumberFormat="1" applyFont="1" applyBorder="1" applyAlignment="1">
      <alignment horizontal="center" vertical="center" wrapText="1"/>
    </xf>
    <xf numFmtId="194" fontId="5" fillId="9" borderId="137" xfId="0" applyNumberFormat="1" applyFont="1" applyFill="1" applyBorder="1" applyAlignment="1">
      <alignment horizontal="center" vertical="center" wrapText="1"/>
    </xf>
    <xf numFmtId="194" fontId="5" fillId="0" borderId="55" xfId="0" applyNumberFormat="1" applyFont="1" applyBorder="1" applyAlignment="1">
      <alignment horizontal="center" vertical="center" wrapText="1"/>
    </xf>
    <xf numFmtId="194" fontId="13" fillId="0" borderId="140" xfId="0" applyNumberFormat="1" applyFont="1" applyBorder="1" applyAlignment="1">
      <alignment horizontal="center" vertical="center" wrapText="1"/>
    </xf>
    <xf numFmtId="206" fontId="35" fillId="0" borderId="141" xfId="0" applyNumberFormat="1" applyFont="1" applyBorder="1" applyAlignment="1">
      <alignment horizontal="center" vertical="center" wrapText="1"/>
    </xf>
    <xf numFmtId="206" fontId="5" fillId="9" borderId="49" xfId="0" applyNumberFormat="1" applyFont="1" applyFill="1" applyBorder="1" applyAlignment="1">
      <alignment horizontal="center" vertical="center" wrapText="1"/>
    </xf>
    <xf numFmtId="206" fontId="5" fillId="0" borderId="49" xfId="0" applyNumberFormat="1" applyFont="1" applyBorder="1" applyAlignment="1">
      <alignment horizontal="center" vertical="center" wrapText="1"/>
    </xf>
    <xf numFmtId="206" fontId="42" fillId="9" borderId="134" xfId="0" applyNumberFormat="1" applyFont="1" applyFill="1" applyBorder="1" applyAlignment="1">
      <alignment horizontal="center" vertical="center" wrapText="1"/>
    </xf>
    <xf numFmtId="206" fontId="5" fillId="0" borderId="0" xfId="0" applyNumberFormat="1" applyFont="1" applyAlignment="1">
      <alignment horizontal="center" vertical="center" wrapText="1"/>
    </xf>
    <xf numFmtId="194" fontId="13" fillId="0" borderId="137" xfId="0" applyNumberFormat="1" applyFont="1" applyBorder="1" applyAlignment="1">
      <alignment horizontal="center" vertical="center" wrapText="1"/>
    </xf>
    <xf numFmtId="194" fontId="5" fillId="9" borderId="9" xfId="0" applyNumberFormat="1" applyFont="1" applyFill="1" applyBorder="1" applyAlignment="1">
      <alignment horizontal="center" vertical="center" wrapText="1"/>
    </xf>
    <xf numFmtId="194" fontId="5" fillId="0" borderId="71" xfId="0" applyNumberFormat="1" applyFont="1" applyBorder="1" applyAlignment="1">
      <alignment horizontal="center" vertical="center" wrapText="1"/>
    </xf>
    <xf numFmtId="194" fontId="13" fillId="0" borderId="147" xfId="0" applyNumberFormat="1" applyFont="1" applyBorder="1" applyAlignment="1">
      <alignment horizontal="center" vertical="center" wrapText="1"/>
    </xf>
    <xf numFmtId="9" fontId="5" fillId="9" borderId="9" xfId="3" applyFont="1" applyFill="1" applyBorder="1" applyAlignment="1">
      <alignment horizontal="center" vertical="center" wrapText="1"/>
    </xf>
    <xf numFmtId="39" fontId="13" fillId="9" borderId="137" xfId="0" applyNumberFormat="1" applyFont="1" applyFill="1" applyBorder="1" applyAlignment="1">
      <alignment horizontal="center" vertical="center" wrapText="1"/>
    </xf>
    <xf numFmtId="9" fontId="85" fillId="0" borderId="66" xfId="3" applyFont="1" applyBorder="1" applyAlignment="1">
      <alignment horizontal="center" vertical="center" wrapText="1"/>
    </xf>
    <xf numFmtId="9" fontId="35" fillId="0" borderId="67" xfId="3" applyFont="1" applyBorder="1" applyAlignment="1">
      <alignment horizontal="center" vertical="center" wrapText="1"/>
    </xf>
    <xf numFmtId="9" fontId="5" fillId="9" borderId="71" xfId="3" applyFont="1" applyFill="1" applyBorder="1" applyAlignment="1">
      <alignment horizontal="center" vertical="center" wrapText="1"/>
    </xf>
    <xf numFmtId="39" fontId="13" fillId="9" borderId="147" xfId="0" applyNumberFormat="1" applyFont="1" applyFill="1" applyBorder="1" applyAlignment="1">
      <alignment horizontal="center" vertical="center" wrapText="1"/>
    </xf>
    <xf numFmtId="2" fontId="35" fillId="0" borderId="68" xfId="3" applyNumberFormat="1" applyFont="1" applyBorder="1" applyAlignment="1">
      <alignment horizontal="center" vertical="center" wrapText="1"/>
    </xf>
    <xf numFmtId="207" fontId="0" fillId="0" borderId="0" xfId="0" applyNumberFormat="1"/>
    <xf numFmtId="201" fontId="85" fillId="0" borderId="0" xfId="0" applyNumberFormat="1" applyFont="1" applyAlignment="1">
      <alignment horizontal="center" vertical="center" wrapText="1"/>
    </xf>
    <xf numFmtId="201" fontId="85" fillId="0" borderId="47" xfId="0" applyNumberFormat="1" applyFont="1" applyBorder="1" applyAlignment="1">
      <alignment horizontal="center" vertical="center" wrapText="1"/>
    </xf>
    <xf numFmtId="207" fontId="5" fillId="0" borderId="0" xfId="0" applyNumberFormat="1" applyFont="1" applyAlignment="1">
      <alignment horizontal="center" vertical="center" wrapText="1"/>
    </xf>
    <xf numFmtId="39" fontId="13" fillId="10" borderId="11" xfId="0" applyNumberFormat="1" applyFont="1" applyFill="1" applyBorder="1" applyAlignment="1">
      <alignment horizontal="center" vertical="center"/>
    </xf>
    <xf numFmtId="164" fontId="13" fillId="10" borderId="11" xfId="0" applyFont="1" applyFill="1" applyBorder="1" applyAlignment="1">
      <alignment horizontal="center" vertical="center" wrapText="1"/>
    </xf>
    <xf numFmtId="39" fontId="42" fillId="0" borderId="136" xfId="0" applyNumberFormat="1" applyFont="1" applyBorder="1" applyAlignment="1">
      <alignment horizontal="centerContinuous" vertical="center" wrapText="1"/>
    </xf>
    <xf numFmtId="39" fontId="85" fillId="0" borderId="65" xfId="0" applyNumberFormat="1" applyFont="1" applyBorder="1" applyAlignment="1">
      <alignment horizontal="center" vertical="center" wrapText="1"/>
    </xf>
    <xf numFmtId="39" fontId="42" fillId="0" borderId="132" xfId="0" applyNumberFormat="1" applyFont="1" applyBorder="1" applyAlignment="1">
      <alignment horizontal="centerContinuous" vertical="center" wrapText="1"/>
    </xf>
    <xf numFmtId="39" fontId="13" fillId="9" borderId="134" xfId="0" applyNumberFormat="1" applyFont="1" applyFill="1" applyBorder="1" applyAlignment="1">
      <alignment horizontal="center" vertical="center" wrapText="1"/>
    </xf>
    <xf numFmtId="196" fontId="35" fillId="10" borderId="41" xfId="0" quotePrefix="1" applyNumberFormat="1" applyFont="1" applyFill="1" applyBorder="1" applyAlignment="1">
      <alignment horizontal="center" vertical="center" wrapText="1"/>
    </xf>
    <xf numFmtId="198" fontId="35" fillId="10" borderId="41" xfId="0" quotePrefix="1" applyNumberFormat="1" applyFont="1" applyFill="1" applyBorder="1" applyAlignment="1">
      <alignment horizontal="center" vertical="center" wrapText="1"/>
    </xf>
    <xf numFmtId="201" fontId="5" fillId="10" borderId="9" xfId="0" applyNumberFormat="1" applyFont="1" applyFill="1" applyBorder="1" applyAlignment="1">
      <alignment horizontal="center" vertical="center" wrapText="1"/>
    </xf>
    <xf numFmtId="39" fontId="85" fillId="0" borderId="78" xfId="0" applyNumberFormat="1" applyFont="1" applyBorder="1" applyAlignment="1">
      <alignment horizontal="center" vertical="center" wrapText="1"/>
    </xf>
    <xf numFmtId="39" fontId="35" fillId="0" borderId="72" xfId="0" applyNumberFormat="1" applyFont="1" applyBorder="1" applyAlignment="1">
      <alignment horizontal="center" vertical="center" wrapText="1"/>
    </xf>
    <xf numFmtId="9" fontId="5" fillId="0" borderId="41" xfId="3" applyFont="1" applyFill="1" applyBorder="1" applyAlignment="1">
      <alignment horizontal="center" vertical="center" wrapText="1"/>
    </xf>
    <xf numFmtId="9" fontId="5" fillId="10" borderId="41" xfId="3" applyFont="1" applyFill="1" applyBorder="1" applyAlignment="1">
      <alignment horizontal="center" vertical="center" wrapText="1"/>
    </xf>
    <xf numFmtId="39" fontId="13" fillId="9" borderId="124" xfId="0" applyNumberFormat="1" applyFont="1" applyFill="1" applyBorder="1" applyAlignment="1">
      <alignment horizontal="center" vertical="center" wrapText="1"/>
    </xf>
    <xf numFmtId="201" fontId="85" fillId="0" borderId="66" xfId="0" applyNumberFormat="1" applyFont="1" applyBorder="1" applyAlignment="1">
      <alignment horizontal="center" vertical="center" wrapText="1"/>
    </xf>
    <xf numFmtId="201" fontId="35" fillId="0" borderId="67" xfId="0" applyNumberFormat="1" applyFont="1" applyBorder="1" applyAlignment="1">
      <alignment horizontal="center" vertical="center" wrapText="1"/>
    </xf>
    <xf numFmtId="201" fontId="85" fillId="0" borderId="78" xfId="0" applyNumberFormat="1" applyFont="1" applyBorder="1" applyAlignment="1">
      <alignment horizontal="center" vertical="center" wrapText="1"/>
    </xf>
    <xf numFmtId="201" fontId="35" fillId="0" borderId="72" xfId="0" applyNumberFormat="1" applyFont="1" applyBorder="1" applyAlignment="1">
      <alignment horizontal="center" vertical="center" wrapText="1"/>
    </xf>
    <xf numFmtId="201" fontId="85" fillId="0" borderId="76" xfId="0" applyNumberFormat="1" applyFont="1" applyBorder="1" applyAlignment="1">
      <alignment horizontal="center" vertical="center" wrapText="1"/>
    </xf>
    <xf numFmtId="201" fontId="85" fillId="0" borderId="65" xfId="0" applyNumberFormat="1" applyFont="1" applyBorder="1" applyAlignment="1">
      <alignment horizontal="center" vertical="center" wrapText="1"/>
    </xf>
    <xf numFmtId="201" fontId="35" fillId="0" borderId="68" xfId="0" applyNumberFormat="1" applyFont="1" applyBorder="1" applyAlignment="1">
      <alignment horizontal="center" vertical="center" wrapText="1"/>
    </xf>
    <xf numFmtId="201" fontId="5" fillId="0" borderId="0" xfId="0" applyNumberFormat="1" applyFont="1" applyAlignment="1">
      <alignment horizontal="center" vertical="center" wrapText="1"/>
    </xf>
    <xf numFmtId="201" fontId="85" fillId="0" borderId="73" xfId="0" applyNumberFormat="1" applyFont="1" applyBorder="1" applyAlignment="1">
      <alignment horizontal="center" vertical="center" wrapText="1"/>
    </xf>
    <xf numFmtId="201" fontId="35" fillId="0" borderId="57" xfId="0" applyNumberFormat="1" applyFont="1" applyBorder="1" applyAlignment="1">
      <alignment horizontal="center" vertical="center" wrapText="1"/>
    </xf>
    <xf numFmtId="39" fontId="42" fillId="0" borderId="131" xfId="0" applyNumberFormat="1" applyFont="1" applyBorder="1" applyAlignment="1">
      <alignment horizontal="center" vertical="center" wrapText="1"/>
    </xf>
    <xf numFmtId="201" fontId="85" fillId="0" borderId="61" xfId="0" applyNumberFormat="1" applyFont="1" applyBorder="1" applyAlignment="1">
      <alignment horizontal="center" vertical="center" wrapText="1"/>
    </xf>
    <xf numFmtId="201" fontId="35" fillId="0" borderId="141" xfId="0" applyNumberFormat="1" applyFont="1" applyBorder="1" applyAlignment="1">
      <alignment horizontal="center" vertical="center" wrapText="1"/>
    </xf>
    <xf numFmtId="194" fontId="5" fillId="0" borderId="154" xfId="0" applyNumberFormat="1" applyFont="1" applyBorder="1" applyAlignment="1">
      <alignment horizontal="center" vertical="center" wrapText="1"/>
    </xf>
    <xf numFmtId="194" fontId="5" fillId="0" borderId="179" xfId="0" applyNumberFormat="1" applyFont="1" applyBorder="1" applyAlignment="1">
      <alignment horizontal="center" vertical="center" wrapText="1"/>
    </xf>
    <xf numFmtId="194" fontId="96" fillId="9" borderId="129" xfId="0" applyNumberFormat="1" applyFont="1" applyFill="1" applyBorder="1" applyAlignment="1">
      <alignment horizontal="center" vertical="center" wrapText="1"/>
    </xf>
    <xf numFmtId="37" fontId="110" fillId="26" borderId="108" xfId="0" applyNumberFormat="1" applyFont="1" applyFill="1" applyBorder="1" applyAlignment="1">
      <alignment horizontal="center" vertical="center" wrapText="1"/>
    </xf>
    <xf numFmtId="39" fontId="42" fillId="0" borderId="195" xfId="0" applyNumberFormat="1" applyFont="1" applyBorder="1" applyAlignment="1">
      <alignment horizontal="center" vertical="center" wrapText="1"/>
    </xf>
    <xf numFmtId="189" fontId="5" fillId="0" borderId="157" xfId="0" applyNumberFormat="1" applyFont="1" applyBorder="1" applyAlignment="1">
      <alignment horizontal="center" vertical="center" wrapText="1"/>
    </xf>
    <xf numFmtId="189" fontId="5" fillId="9" borderId="180" xfId="0" applyNumberFormat="1" applyFont="1" applyFill="1" applyBorder="1" applyAlignment="1">
      <alignment horizontal="center" vertical="center" wrapText="1"/>
    </xf>
    <xf numFmtId="189" fontId="5" fillId="24" borderId="9" xfId="0" applyNumberFormat="1" applyFont="1" applyFill="1" applyBorder="1" applyAlignment="1">
      <alignment horizontal="center" vertical="center" wrapText="1"/>
    </xf>
    <xf numFmtId="189" fontId="5" fillId="24" borderId="71" xfId="0" applyNumberFormat="1" applyFont="1" applyFill="1" applyBorder="1" applyAlignment="1">
      <alignment horizontal="center" vertical="center" wrapText="1"/>
    </xf>
    <xf numFmtId="189" fontId="5" fillId="9" borderId="147" xfId="0" applyNumberFormat="1" applyFont="1" applyFill="1" applyBorder="1" applyAlignment="1">
      <alignment horizontal="center" vertical="center" wrapText="1"/>
    </xf>
    <xf numFmtId="189" fontId="5" fillId="9" borderId="124" xfId="0" applyNumberFormat="1" applyFont="1" applyFill="1" applyBorder="1" applyAlignment="1">
      <alignment horizontal="center" vertical="center" wrapText="1"/>
    </xf>
    <xf numFmtId="39" fontId="85" fillId="0" borderId="197" xfId="0" applyNumberFormat="1" applyFont="1" applyBorder="1" applyAlignment="1">
      <alignment horizontal="center" vertical="center" wrapText="1"/>
    </xf>
    <xf numFmtId="39" fontId="35" fillId="0" borderId="13" xfId="0" applyNumberFormat="1" applyFont="1" applyBorder="1" applyAlignment="1">
      <alignment horizontal="center" vertical="center" wrapText="1"/>
    </xf>
    <xf numFmtId="189" fontId="5" fillId="0" borderId="10" xfId="0" applyNumberFormat="1" applyFont="1" applyBorder="1" applyAlignment="1">
      <alignment horizontal="center" vertical="center" wrapText="1"/>
    </xf>
    <xf numFmtId="189" fontId="13" fillId="0" borderId="120" xfId="0" applyNumberFormat="1" applyFont="1" applyBorder="1" applyAlignment="1">
      <alignment horizontal="center" vertical="center" wrapText="1"/>
    </xf>
    <xf numFmtId="39" fontId="85" fillId="0" borderId="76" xfId="0" applyNumberFormat="1" applyFont="1" applyBorder="1" applyAlignment="1">
      <alignment horizontal="center" vertical="center" wrapText="1"/>
    </xf>
    <xf numFmtId="189" fontId="13" fillId="0" borderId="9" xfId="0" applyNumberFormat="1" applyFont="1" applyBorder="1" applyAlignment="1">
      <alignment horizontal="center" vertical="center" wrapText="1"/>
    </xf>
    <xf numFmtId="39" fontId="42" fillId="0" borderId="198" xfId="0" applyNumberFormat="1" applyFont="1" applyBorder="1" applyAlignment="1">
      <alignment horizontal="center" vertical="center" wrapText="1"/>
    </xf>
    <xf numFmtId="39" fontId="42" fillId="0" borderId="196" xfId="0" applyNumberFormat="1" applyFont="1" applyBorder="1" applyAlignment="1">
      <alignment horizontal="center" vertical="center" wrapText="1"/>
    </xf>
    <xf numFmtId="192" fontId="5" fillId="9" borderId="137" xfId="0" applyNumberFormat="1" applyFont="1" applyFill="1" applyBorder="1" applyAlignment="1">
      <alignment horizontal="center" vertical="center" wrapText="1"/>
    </xf>
    <xf numFmtId="189" fontId="5" fillId="24" borderId="10" xfId="0" applyNumberFormat="1" applyFont="1" applyFill="1" applyBorder="1" applyAlignment="1">
      <alignment horizontal="center" vertical="center" wrapText="1"/>
    </xf>
    <xf numFmtId="189" fontId="13" fillId="0" borderId="55" xfId="0" applyNumberFormat="1" applyFont="1" applyBorder="1" applyAlignment="1">
      <alignment horizontal="center" vertical="center" wrapText="1"/>
    </xf>
    <xf numFmtId="189" fontId="13" fillId="0" borderId="71" xfId="0" applyNumberFormat="1" applyFont="1" applyBorder="1" applyAlignment="1">
      <alignment horizontal="center" vertical="center" wrapText="1"/>
    </xf>
    <xf numFmtId="39" fontId="85" fillId="0" borderId="77" xfId="0" applyNumberFormat="1" applyFont="1" applyBorder="1" applyAlignment="1">
      <alignment horizontal="center" vertical="center" wrapText="1"/>
    </xf>
    <xf numFmtId="39" fontId="85" fillId="0" borderId="12" xfId="0" applyNumberFormat="1" applyFont="1" applyBorder="1" applyAlignment="1">
      <alignment horizontal="center" vertical="center" wrapText="1"/>
    </xf>
    <xf numFmtId="189" fontId="5" fillId="24" borderId="49" xfId="0" applyNumberFormat="1" applyFont="1" applyFill="1" applyBorder="1" applyAlignment="1">
      <alignment horizontal="center" vertical="center" wrapText="1"/>
    </xf>
    <xf numFmtId="189" fontId="5" fillId="24" borderId="55" xfId="0" applyNumberFormat="1" applyFont="1" applyFill="1" applyBorder="1" applyAlignment="1">
      <alignment horizontal="center" vertical="center" wrapText="1"/>
    </xf>
    <xf numFmtId="37" fontId="84" fillId="0" borderId="202" xfId="4" applyNumberFormat="1" applyFont="1" applyFill="1" applyBorder="1" applyAlignment="1" applyProtection="1">
      <alignment vertical="center" wrapText="1"/>
    </xf>
    <xf numFmtId="37" fontId="42" fillId="0" borderId="107" xfId="4" applyNumberFormat="1" applyFont="1" applyFill="1" applyBorder="1" applyAlignment="1" applyProtection="1">
      <alignment horizontal="center" vertical="center" wrapText="1"/>
    </xf>
    <xf numFmtId="193" fontId="5" fillId="10" borderId="186" xfId="0" applyNumberFormat="1" applyFont="1" applyFill="1" applyBorder="1" applyAlignment="1">
      <alignment horizontal="center" vertical="center" wrapText="1"/>
    </xf>
    <xf numFmtId="164" fontId="35" fillId="0" borderId="68" xfId="0" applyFont="1" applyBorder="1" applyAlignment="1">
      <alignment horizontal="center" vertical="center" wrapText="1"/>
    </xf>
    <xf numFmtId="39" fontId="5" fillId="10" borderId="141" xfId="0" applyNumberFormat="1" applyFont="1" applyFill="1" applyBorder="1" applyAlignment="1">
      <alignment horizontal="center" vertical="center" wrapText="1"/>
    </xf>
    <xf numFmtId="206" fontId="42" fillId="9" borderId="137" xfId="0" applyNumberFormat="1" applyFont="1" applyFill="1" applyBorder="1" applyAlignment="1">
      <alignment horizontal="center" vertical="center" wrapText="1"/>
    </xf>
    <xf numFmtId="39" fontId="5" fillId="10" borderId="146" xfId="0" applyNumberFormat="1" applyFont="1" applyFill="1" applyBorder="1" applyAlignment="1">
      <alignment horizontal="center" vertical="center" wrapText="1"/>
    </xf>
    <xf numFmtId="193" fontId="5" fillId="10" borderId="146" xfId="0" applyNumberFormat="1" applyFont="1" applyFill="1" applyBorder="1" applyAlignment="1">
      <alignment horizontal="center" vertical="center" wrapText="1"/>
    </xf>
    <xf numFmtId="39" fontId="42" fillId="9" borderId="141" xfId="0" applyNumberFormat="1" applyFont="1" applyFill="1" applyBorder="1" applyAlignment="1">
      <alignment horizontal="center" vertical="center" wrapText="1"/>
    </xf>
    <xf numFmtId="164" fontId="42" fillId="0" borderId="132" xfId="0" applyFont="1" applyBorder="1" applyAlignment="1">
      <alignment horizontal="center" vertical="center" wrapText="1"/>
    </xf>
    <xf numFmtId="9" fontId="85" fillId="0" borderId="62" xfId="3" applyFont="1" applyBorder="1" applyAlignment="1">
      <alignment horizontal="center" vertical="center" wrapText="1"/>
    </xf>
    <xf numFmtId="10" fontId="5" fillId="10" borderId="141" xfId="3" applyNumberFormat="1" applyFont="1" applyFill="1" applyBorder="1" applyAlignment="1">
      <alignment horizontal="center" vertical="center" wrapText="1"/>
    </xf>
    <xf numFmtId="206" fontId="35" fillId="0" borderId="68" xfId="0" applyNumberFormat="1" applyFont="1" applyBorder="1" applyAlignment="1">
      <alignment horizontal="center" vertical="center" wrapText="1"/>
    </xf>
    <xf numFmtId="206" fontId="5" fillId="10" borderId="68" xfId="0" applyNumberFormat="1" applyFont="1" applyFill="1" applyBorder="1" applyAlignment="1">
      <alignment horizontal="center" vertical="center" wrapText="1"/>
    </xf>
    <xf numFmtId="164" fontId="42" fillId="0" borderId="142" xfId="0" applyFont="1" applyBorder="1" applyAlignment="1">
      <alignment horizontal="center" vertical="center" wrapText="1"/>
    </xf>
    <xf numFmtId="10" fontId="5" fillId="10" borderId="68" xfId="3" applyNumberFormat="1" applyFont="1" applyFill="1" applyBorder="1" applyAlignment="1">
      <alignment horizontal="center" vertical="center" wrapText="1"/>
    </xf>
    <xf numFmtId="10" fontId="5" fillId="10" borderId="49" xfId="3" applyNumberFormat="1" applyFont="1" applyFill="1" applyBorder="1" applyAlignment="1">
      <alignment horizontal="center" vertical="center" wrapText="1"/>
    </xf>
    <xf numFmtId="164" fontId="42" fillId="9" borderId="205" xfId="0" applyFont="1" applyFill="1" applyBorder="1" applyAlignment="1">
      <alignment horizontal="center" vertical="center" wrapText="1"/>
    </xf>
    <xf numFmtId="205" fontId="5" fillId="0" borderId="68" xfId="0" applyNumberFormat="1" applyFont="1" applyBorder="1" applyAlignment="1">
      <alignment horizontal="center" vertical="center" wrapText="1"/>
    </xf>
    <xf numFmtId="206" fontId="42" fillId="9" borderId="5" xfId="0" applyNumberFormat="1" applyFont="1" applyFill="1" applyBorder="1" applyAlignment="1">
      <alignment horizontal="center" vertical="center" wrapText="1"/>
    </xf>
    <xf numFmtId="193" fontId="5" fillId="9" borderId="5" xfId="0" applyNumberFormat="1" applyFont="1" applyFill="1" applyBorder="1" applyAlignment="1">
      <alignment horizontal="center" vertical="center" wrapText="1"/>
    </xf>
    <xf numFmtId="193" fontId="5" fillId="0" borderId="71" xfId="0" applyNumberFormat="1" applyFont="1" applyBorder="1" applyAlignment="1">
      <alignment horizontal="center" vertical="center" wrapText="1"/>
    </xf>
    <xf numFmtId="193" fontId="13" fillId="0" borderId="147" xfId="0" applyNumberFormat="1" applyFont="1" applyBorder="1" applyAlignment="1">
      <alignment horizontal="center" vertical="center" wrapText="1"/>
    </xf>
    <xf numFmtId="206" fontId="5" fillId="10" borderId="9" xfId="0" applyNumberFormat="1" applyFont="1" applyFill="1" applyBorder="1" applyAlignment="1">
      <alignment horizontal="center" vertical="center" wrapText="1"/>
    </xf>
    <xf numFmtId="193" fontId="5" fillId="9" borderId="206" xfId="0" applyNumberFormat="1" applyFont="1" applyFill="1" applyBorder="1" applyAlignment="1">
      <alignment horizontal="center" vertical="center" wrapText="1"/>
    </xf>
    <xf numFmtId="164" fontId="35" fillId="29" borderId="141" xfId="0" applyFont="1" applyFill="1" applyBorder="1" applyAlignment="1">
      <alignment horizontal="center" vertical="center"/>
    </xf>
    <xf numFmtId="193" fontId="5" fillId="10" borderId="68" xfId="3" applyNumberFormat="1" applyFont="1" applyFill="1" applyBorder="1" applyAlignment="1">
      <alignment horizontal="center" vertical="center" wrapText="1"/>
    </xf>
    <xf numFmtId="193" fontId="5" fillId="0" borderId="67" xfId="0" applyNumberFormat="1" applyFont="1" applyBorder="1" applyAlignment="1">
      <alignment horizontal="center" vertical="center" wrapText="1"/>
    </xf>
    <xf numFmtId="193" fontId="5" fillId="9" borderId="147" xfId="0" applyNumberFormat="1" applyFont="1" applyFill="1" applyBorder="1" applyAlignment="1">
      <alignment horizontal="center" vertical="center" wrapText="1"/>
    </xf>
    <xf numFmtId="206" fontId="85" fillId="0" borderId="0" xfId="3" applyNumberFormat="1" applyFont="1" applyBorder="1" applyAlignment="1">
      <alignment horizontal="center" vertical="center" wrapText="1"/>
    </xf>
    <xf numFmtId="206" fontId="35" fillId="0" borderId="68" xfId="3" applyNumberFormat="1" applyFont="1" applyBorder="1" applyAlignment="1">
      <alignment horizontal="center" vertical="center" wrapText="1"/>
    </xf>
    <xf numFmtId="3" fontId="5" fillId="0" borderId="68" xfId="0" applyNumberFormat="1" applyFont="1" applyBorder="1" applyAlignment="1">
      <alignment horizontal="center" vertical="center" wrapText="1"/>
    </xf>
    <xf numFmtId="206" fontId="5" fillId="10" borderId="10" xfId="0" applyNumberFormat="1" applyFont="1" applyFill="1" applyBorder="1" applyAlignment="1">
      <alignment horizontal="center" vertical="center" wrapText="1"/>
    </xf>
    <xf numFmtId="193" fontId="5" fillId="9" borderId="120" xfId="0" applyNumberFormat="1" applyFont="1" applyFill="1" applyBorder="1" applyAlignment="1">
      <alignment horizontal="center" vertical="center" wrapText="1"/>
    </xf>
    <xf numFmtId="206" fontId="85" fillId="0" borderId="65" xfId="0" applyNumberFormat="1" applyFont="1" applyBorder="1" applyAlignment="1">
      <alignment horizontal="center" vertical="center" wrapText="1"/>
    </xf>
    <xf numFmtId="206" fontId="5" fillId="10" borderId="68" xfId="3" applyNumberFormat="1" applyFont="1" applyFill="1" applyBorder="1" applyAlignment="1">
      <alignment horizontal="center" vertical="center" wrapText="1"/>
    </xf>
    <xf numFmtId="206" fontId="42" fillId="0" borderId="103" xfId="0" applyNumberFormat="1" applyFont="1" applyBorder="1" applyAlignment="1">
      <alignment horizontal="center" vertical="center" wrapText="1"/>
    </xf>
    <xf numFmtId="193" fontId="42" fillId="9" borderId="137" xfId="0" applyNumberFormat="1" applyFont="1" applyFill="1" applyBorder="1" applyAlignment="1">
      <alignment horizontal="center" vertical="center" wrapText="1"/>
    </xf>
    <xf numFmtId="206" fontId="5" fillId="9" borderId="140" xfId="0" applyNumberFormat="1" applyFont="1" applyFill="1" applyBorder="1" applyAlignment="1">
      <alignment horizontal="center" vertical="center" wrapText="1"/>
    </xf>
    <xf numFmtId="206" fontId="5" fillId="9" borderId="137" xfId="0" applyNumberFormat="1" applyFont="1" applyFill="1" applyBorder="1" applyAlignment="1">
      <alignment horizontal="center" vertical="center" wrapText="1"/>
    </xf>
    <xf numFmtId="206" fontId="5" fillId="10" borderId="57" xfId="3" applyNumberFormat="1" applyFont="1" applyFill="1" applyBorder="1" applyAlignment="1">
      <alignment horizontal="center" vertical="center" wrapText="1"/>
    </xf>
    <xf numFmtId="164" fontId="42" fillId="0" borderId="132" xfId="0" applyFont="1" applyBorder="1" applyAlignment="1">
      <alignment horizontal="centerContinuous" vertical="center" wrapText="1"/>
    </xf>
    <xf numFmtId="164" fontId="42" fillId="0" borderId="136" xfId="0" applyFont="1" applyBorder="1" applyAlignment="1">
      <alignment horizontal="centerContinuous" vertical="center" wrapText="1"/>
    </xf>
    <xf numFmtId="9" fontId="5" fillId="0" borderId="67" xfId="3" applyFont="1" applyBorder="1" applyAlignment="1">
      <alignment horizontal="center" vertical="center" wrapText="1"/>
    </xf>
    <xf numFmtId="9" fontId="13" fillId="0" borderId="147" xfId="3" applyFont="1" applyBorder="1" applyAlignment="1">
      <alignment horizontal="center" vertical="center" wrapText="1"/>
    </xf>
    <xf numFmtId="164" fontId="42" fillId="0" borderId="139" xfId="0" applyFont="1" applyBorder="1" applyAlignment="1">
      <alignment horizontal="centerContinuous" vertical="center" wrapText="1"/>
    </xf>
    <xf numFmtId="39" fontId="85" fillId="0" borderId="73" xfId="0" applyNumberFormat="1" applyFont="1" applyBorder="1" applyAlignment="1">
      <alignment horizontal="center" vertical="center" wrapText="1"/>
    </xf>
    <xf numFmtId="9" fontId="5" fillId="0" borderId="57" xfId="3" applyFont="1" applyBorder="1" applyAlignment="1">
      <alignment horizontal="center" vertical="center" wrapText="1"/>
    </xf>
    <xf numFmtId="168" fontId="13" fillId="0" borderId="140" xfId="3" applyNumberFormat="1" applyFont="1" applyBorder="1" applyAlignment="1">
      <alignment horizontal="center" vertical="center" wrapText="1"/>
    </xf>
    <xf numFmtId="39" fontId="85" fillId="0" borderId="61" xfId="0" applyNumberFormat="1" applyFont="1" applyBorder="1" applyAlignment="1">
      <alignment horizontal="center" vertical="center" wrapText="1"/>
    </xf>
    <xf numFmtId="206" fontId="42" fillId="0" borderId="139" xfId="0" applyNumberFormat="1" applyFont="1" applyBorder="1" applyAlignment="1">
      <alignment horizontal="center" vertical="center" wrapText="1"/>
    </xf>
    <xf numFmtId="164" fontId="42" fillId="0" borderId="142" xfId="0" applyFont="1" applyBorder="1" applyAlignment="1">
      <alignment horizontal="centerContinuous" vertical="center" wrapText="1"/>
    </xf>
    <xf numFmtId="164" fontId="111" fillId="0" borderId="63" xfId="0" applyFont="1" applyBorder="1" applyAlignment="1">
      <alignment horizontal="center" vertical="center" wrapText="1"/>
    </xf>
    <xf numFmtId="39" fontId="35" fillId="0" borderId="52" xfId="0" applyNumberFormat="1" applyFont="1" applyBorder="1" applyAlignment="1">
      <alignment horizontal="center" vertical="center" wrapText="1"/>
    </xf>
    <xf numFmtId="206" fontId="5" fillId="10" borderId="52" xfId="3" applyNumberFormat="1" applyFont="1" applyFill="1" applyBorder="1" applyAlignment="1">
      <alignment horizontal="center" vertical="center" wrapText="1"/>
    </xf>
    <xf numFmtId="193" fontId="5" fillId="0" borderId="57" xfId="3" applyNumberFormat="1" applyFont="1" applyBorder="1" applyAlignment="1">
      <alignment horizontal="center" vertical="center" wrapText="1"/>
    </xf>
    <xf numFmtId="39" fontId="5" fillId="10" borderId="68" xfId="0" applyNumberFormat="1" applyFont="1" applyFill="1" applyBorder="1" applyAlignment="1">
      <alignment horizontal="center" vertical="center" wrapText="1"/>
    </xf>
    <xf numFmtId="164" fontId="5" fillId="9" borderId="137" xfId="0" applyFont="1" applyFill="1" applyBorder="1" applyAlignment="1">
      <alignment horizontal="center" vertical="center" wrapText="1"/>
    </xf>
    <xf numFmtId="206" fontId="42" fillId="0" borderId="173" xfId="0" applyNumberFormat="1" applyFont="1" applyBorder="1" applyAlignment="1">
      <alignment horizontal="center" vertical="center" wrapText="1"/>
    </xf>
    <xf numFmtId="39" fontId="42" fillId="0" borderId="173" xfId="0" applyNumberFormat="1" applyFont="1" applyBorder="1" applyAlignment="1">
      <alignment horizontal="centerContinuous" vertical="center" wrapText="1"/>
    </xf>
    <xf numFmtId="193" fontId="5" fillId="0" borderId="49" xfId="3" applyNumberFormat="1" applyFont="1" applyFill="1" applyBorder="1" applyAlignment="1">
      <alignment horizontal="center" vertical="center" wrapText="1"/>
    </xf>
    <xf numFmtId="193" fontId="5" fillId="0" borderId="68" xfId="3" applyNumberFormat="1" applyFont="1" applyFill="1" applyBorder="1" applyAlignment="1">
      <alignment horizontal="center" vertical="center" wrapText="1"/>
    </xf>
    <xf numFmtId="39" fontId="5" fillId="9" borderId="137" xfId="0" applyNumberFormat="1" applyFont="1" applyFill="1" applyBorder="1" applyAlignment="1">
      <alignment horizontal="center" vertical="center" wrapText="1"/>
    </xf>
    <xf numFmtId="39" fontId="42" fillId="0" borderId="104" xfId="0" applyNumberFormat="1" applyFont="1" applyBorder="1" applyAlignment="1">
      <alignment horizontal="centerContinuous" vertical="center" wrapText="1"/>
    </xf>
    <xf numFmtId="164" fontId="85" fillId="0" borderId="7" xfId="0" applyFont="1" applyBorder="1" applyAlignment="1">
      <alignment horizontal="center" vertical="center" wrapText="1"/>
    </xf>
    <xf numFmtId="164" fontId="35" fillId="0" borderId="182" xfId="0" applyFont="1" applyBorder="1" applyAlignment="1">
      <alignment horizontal="center" vertical="center" wrapText="1"/>
    </xf>
    <xf numFmtId="193" fontId="35" fillId="0" borderId="128" xfId="0" applyNumberFormat="1" applyFont="1" applyBorder="1" applyAlignment="1">
      <alignment horizontal="center" vertical="center" wrapText="1"/>
    </xf>
    <xf numFmtId="193" fontId="96" fillId="9" borderId="129" xfId="0" applyNumberFormat="1" applyFont="1" applyFill="1" applyBorder="1" applyAlignment="1">
      <alignment horizontal="center" vertical="center" wrapText="1"/>
    </xf>
    <xf numFmtId="164" fontId="85" fillId="0" borderId="0" xfId="0" applyFont="1" applyAlignment="1">
      <alignment horizontal="center" vertical="center"/>
    </xf>
    <xf numFmtId="164" fontId="13" fillId="0" borderId="0" xfId="0" applyFont="1" applyAlignment="1">
      <alignment horizontal="center" vertical="center"/>
    </xf>
    <xf numFmtId="164" fontId="112" fillId="0" borderId="0" xfId="0" applyFont="1" applyAlignment="1">
      <alignment horizontal="center" vertical="center"/>
    </xf>
    <xf numFmtId="164" fontId="112" fillId="0" borderId="0" xfId="0" applyFont="1" applyAlignment="1">
      <alignment horizontal="right" vertical="center"/>
    </xf>
    <xf numFmtId="164" fontId="13" fillId="0" borderId="0" xfId="0" applyFont="1" applyAlignment="1">
      <alignment horizontal="center" vertical="center" wrapText="1"/>
    </xf>
    <xf numFmtId="39" fontId="85" fillId="0" borderId="188" xfId="0" applyNumberFormat="1" applyFont="1" applyBorder="1" applyAlignment="1">
      <alignment horizontal="center" vertical="center" wrapText="1"/>
    </xf>
    <xf numFmtId="39" fontId="85" fillId="0" borderId="81" xfId="0" applyNumberFormat="1" applyFont="1" applyBorder="1" applyAlignment="1">
      <alignment horizontal="center" vertical="center" wrapText="1"/>
    </xf>
    <xf numFmtId="193" fontId="42" fillId="9" borderId="134" xfId="0" applyNumberFormat="1" applyFont="1" applyFill="1" applyBorder="1" applyAlignment="1">
      <alignment horizontal="center" vertical="center" wrapText="1"/>
    </xf>
    <xf numFmtId="206" fontId="35" fillId="7" borderId="68" xfId="0" applyNumberFormat="1" applyFont="1" applyFill="1" applyBorder="1" applyAlignment="1">
      <alignment horizontal="center" vertical="center" wrapText="1"/>
    </xf>
    <xf numFmtId="206" fontId="5" fillId="10" borderId="0" xfId="0" applyNumberFormat="1" applyFont="1" applyFill="1" applyAlignment="1">
      <alignment horizontal="center" vertical="center" wrapText="1"/>
    </xf>
    <xf numFmtId="206" fontId="5" fillId="0" borderId="0" xfId="0" applyNumberFormat="1" applyFont="1" applyAlignment="1">
      <alignment horizontal="left" vertical="center"/>
    </xf>
    <xf numFmtId="39" fontId="23" fillId="13" borderId="9" xfId="0" applyNumberFormat="1" applyFont="1" applyFill="1" applyBorder="1" applyAlignment="1">
      <alignment horizontal="center" vertical="center" wrapText="1"/>
    </xf>
    <xf numFmtId="39" fontId="5" fillId="13" borderId="137" xfId="0" applyNumberFormat="1" applyFont="1" applyFill="1" applyBorder="1" applyAlignment="1">
      <alignment horizontal="center" vertical="center" wrapText="1"/>
    </xf>
    <xf numFmtId="39" fontId="5" fillId="7" borderId="0" xfId="0" applyNumberFormat="1" applyFont="1" applyFill="1" applyAlignment="1">
      <alignment horizontal="center" vertical="center" wrapText="1"/>
    </xf>
    <xf numFmtId="39" fontId="15" fillId="0" borderId="9" xfId="0" applyNumberFormat="1" applyFont="1" applyBorder="1" applyAlignment="1">
      <alignment horizontal="center" vertical="center" wrapText="1"/>
    </xf>
    <xf numFmtId="37" fontId="96" fillId="9" borderId="137" xfId="0" applyNumberFormat="1" applyFont="1" applyFill="1" applyBorder="1" applyAlignment="1">
      <alignment horizontal="center" vertical="center" wrapText="1"/>
    </xf>
    <xf numFmtId="37" fontId="99" fillId="9" borderId="137" xfId="0" applyNumberFormat="1" applyFont="1" applyFill="1" applyBorder="1" applyAlignment="1">
      <alignment horizontal="center" vertical="center" wrapText="1"/>
    </xf>
    <xf numFmtId="39" fontId="15" fillId="0" borderId="55" xfId="0" applyNumberFormat="1" applyFont="1" applyBorder="1" applyAlignment="1">
      <alignment horizontal="center" vertical="center" wrapText="1"/>
    </xf>
    <xf numFmtId="37" fontId="96" fillId="9" borderId="140" xfId="0" applyNumberFormat="1" applyFont="1" applyFill="1" applyBorder="1" applyAlignment="1">
      <alignment horizontal="center" vertical="center" wrapText="1"/>
    </xf>
    <xf numFmtId="164" fontId="42" fillId="0" borderId="104" xfId="0" applyFont="1" applyBorder="1" applyAlignment="1">
      <alignment horizontal="center" vertical="center" wrapText="1"/>
    </xf>
    <xf numFmtId="164" fontId="23" fillId="0" borderId="0" xfId="0" applyFont="1" applyAlignment="1">
      <alignment horizontal="center" vertical="center" wrapText="1"/>
    </xf>
    <xf numFmtId="206" fontId="23" fillId="0" borderId="0" xfId="0" applyNumberFormat="1" applyFont="1" applyAlignment="1">
      <alignment horizontal="center" vertical="center" wrapText="1"/>
    </xf>
    <xf numFmtId="164" fontId="42" fillId="0" borderId="181" xfId="0" applyFont="1" applyBorder="1" applyAlignment="1">
      <alignment horizontal="center" vertical="center" wrapText="1"/>
    </xf>
    <xf numFmtId="39" fontId="85" fillId="0" borderId="207" xfId="0" applyNumberFormat="1" applyFont="1" applyBorder="1" applyAlignment="1">
      <alignment horizontal="center" vertical="center" wrapText="1"/>
    </xf>
    <xf numFmtId="193" fontId="13" fillId="0" borderId="175" xfId="0" applyNumberFormat="1" applyFont="1" applyBorder="1" applyAlignment="1">
      <alignment horizontal="center" vertical="center" wrapText="1"/>
    </xf>
    <xf numFmtId="193" fontId="5" fillId="0" borderId="41" xfId="0" applyNumberFormat="1" applyFont="1" applyBorder="1" applyAlignment="1">
      <alignment horizontal="center" vertical="center" wrapText="1"/>
    </xf>
    <xf numFmtId="193" fontId="13" fillId="0" borderId="124" xfId="0" applyNumberFormat="1" applyFont="1" applyBorder="1" applyAlignment="1">
      <alignment horizontal="center" vertical="center" wrapText="1"/>
    </xf>
    <xf numFmtId="164" fontId="42" fillId="0" borderId="64" xfId="0" applyFont="1" applyBorder="1" applyAlignment="1">
      <alignment horizontal="center" vertical="center" wrapText="1"/>
    </xf>
    <xf numFmtId="164" fontId="42" fillId="0" borderId="196" xfId="0" applyFont="1" applyBorder="1" applyAlignment="1">
      <alignment horizontal="center" vertical="center" wrapText="1"/>
    </xf>
    <xf numFmtId="39" fontId="5" fillId="9" borderId="124" xfId="0" applyNumberFormat="1" applyFont="1" applyFill="1" applyBorder="1" applyAlignment="1">
      <alignment horizontal="center" vertical="center" wrapText="1"/>
    </xf>
    <xf numFmtId="208" fontId="5" fillId="10" borderId="0" xfId="0" applyNumberFormat="1" applyFont="1" applyFill="1" applyAlignment="1">
      <alignment horizontal="center" vertical="center" wrapText="1"/>
    </xf>
    <xf numFmtId="208" fontId="5" fillId="10" borderId="72" xfId="0" applyNumberFormat="1" applyFont="1" applyFill="1" applyBorder="1" applyAlignment="1">
      <alignment horizontal="center" vertical="center" wrapText="1"/>
    </xf>
    <xf numFmtId="208" fontId="5" fillId="10" borderId="68" xfId="0" applyNumberFormat="1" applyFont="1" applyFill="1" applyBorder="1" applyAlignment="1">
      <alignment horizontal="center" vertical="center" wrapText="1"/>
    </xf>
    <xf numFmtId="164" fontId="42" fillId="0" borderId="198" xfId="0" applyFont="1" applyBorder="1" applyAlignment="1">
      <alignment horizontal="center" vertical="center" wrapText="1"/>
    </xf>
    <xf numFmtId="189" fontId="85" fillId="0" borderId="62" xfId="0" applyNumberFormat="1" applyFont="1" applyBorder="1" applyAlignment="1">
      <alignment horizontal="center" vertical="center" wrapText="1"/>
    </xf>
    <xf numFmtId="189" fontId="85" fillId="0" borderId="0" xfId="0" applyNumberFormat="1" applyFont="1" applyAlignment="1">
      <alignment horizontal="center" vertical="center" wrapText="1"/>
    </xf>
    <xf numFmtId="189" fontId="85" fillId="0" borderId="47" xfId="0" applyNumberFormat="1" applyFont="1" applyBorder="1" applyAlignment="1">
      <alignment horizontal="center" vertical="center" wrapText="1"/>
    </xf>
    <xf numFmtId="189" fontId="85" fillId="0" borderId="61" xfId="0" applyNumberFormat="1" applyFont="1" applyBorder="1" applyAlignment="1">
      <alignment horizontal="center" vertical="center" wrapText="1"/>
    </xf>
    <xf numFmtId="37" fontId="5" fillId="10" borderId="49" xfId="0" applyNumberFormat="1" applyFont="1" applyFill="1" applyBorder="1" applyAlignment="1">
      <alignment horizontal="center" vertical="center" wrapText="1"/>
    </xf>
    <xf numFmtId="189" fontId="85" fillId="0" borderId="73" xfId="0" applyNumberFormat="1" applyFont="1" applyBorder="1" applyAlignment="1">
      <alignment horizontal="center" vertical="center" wrapText="1"/>
    </xf>
    <xf numFmtId="37" fontId="5" fillId="10" borderId="55" xfId="0" applyNumberFormat="1" applyFont="1" applyFill="1" applyBorder="1" applyAlignment="1">
      <alignment horizontal="center" vertical="center" wrapText="1"/>
    </xf>
    <xf numFmtId="39" fontId="13" fillId="0" borderId="140" xfId="0" applyNumberFormat="1" applyFont="1" applyBorder="1" applyAlignment="1">
      <alignment horizontal="center" vertical="center" wrapText="1"/>
    </xf>
    <xf numFmtId="37" fontId="42" fillId="0" borderId="104" xfId="0" applyNumberFormat="1" applyFont="1" applyBorder="1" applyAlignment="1">
      <alignment horizontal="center" vertical="center" wrapText="1"/>
    </xf>
    <xf numFmtId="37" fontId="5" fillId="10" borderId="9" xfId="0" applyNumberFormat="1" applyFont="1" applyFill="1" applyBorder="1" applyAlignment="1">
      <alignment horizontal="center" vertical="center" wrapText="1"/>
    </xf>
    <xf numFmtId="39" fontId="42" fillId="0" borderId="149" xfId="0" applyNumberFormat="1" applyFont="1" applyBorder="1" applyAlignment="1">
      <alignment horizontal="center" vertical="center" wrapText="1"/>
    </xf>
    <xf numFmtId="208" fontId="5" fillId="0" borderId="0" xfId="0" applyNumberFormat="1" applyFont="1" applyAlignment="1">
      <alignment horizontal="center" vertical="center" wrapText="1"/>
    </xf>
    <xf numFmtId="39" fontId="85" fillId="0" borderId="194" xfId="0" applyNumberFormat="1" applyFont="1" applyBorder="1" applyAlignment="1">
      <alignment horizontal="center" vertical="center" wrapText="1"/>
    </xf>
    <xf numFmtId="39" fontId="35" fillId="0" borderId="179" xfId="0" applyNumberFormat="1" applyFont="1" applyBorder="1" applyAlignment="1">
      <alignment horizontal="center" vertical="center" wrapText="1"/>
    </xf>
    <xf numFmtId="37" fontId="84" fillId="26" borderId="202" xfId="4" applyNumberFormat="1" applyFont="1" applyFill="1" applyBorder="1" applyAlignment="1" applyProtection="1">
      <alignment vertical="center" wrapText="1"/>
    </xf>
    <xf numFmtId="164" fontId="42" fillId="26" borderId="208" xfId="0" applyFont="1" applyFill="1" applyBorder="1" applyAlignment="1">
      <alignment horizontal="center" vertical="center" wrapText="1"/>
    </xf>
    <xf numFmtId="164" fontId="35" fillId="0" borderId="186" xfId="0" applyFont="1" applyBorder="1" applyAlignment="1">
      <alignment horizontal="center" vertical="center" wrapText="1"/>
    </xf>
    <xf numFmtId="164" fontId="5" fillId="0" borderId="170" xfId="0" applyFont="1" applyBorder="1" applyAlignment="1">
      <alignment horizontal="center" vertical="center" wrapText="1"/>
    </xf>
    <xf numFmtId="164" fontId="35" fillId="0" borderId="51" xfId="0" applyFont="1" applyBorder="1" applyAlignment="1">
      <alignment horizontal="center" vertical="center" wrapText="1"/>
    </xf>
    <xf numFmtId="164" fontId="35" fillId="0" borderId="141" xfId="0" applyFont="1" applyBorder="1" applyAlignment="1">
      <alignment horizontal="center" vertical="center" wrapText="1"/>
    </xf>
    <xf numFmtId="164" fontId="5" fillId="0" borderId="49" xfId="0" applyFont="1" applyBorder="1" applyAlignment="1">
      <alignment horizontal="center" vertical="center" wrapText="1"/>
    </xf>
    <xf numFmtId="164" fontId="35" fillId="0" borderId="191" xfId="0" applyFont="1" applyBorder="1" applyAlignment="1">
      <alignment horizontal="center" vertical="center" wrapText="1"/>
    </xf>
    <xf numFmtId="164" fontId="35" fillId="0" borderId="57" xfId="0" applyFont="1" applyBorder="1" applyAlignment="1">
      <alignment horizontal="center" vertical="center" wrapText="1"/>
    </xf>
    <xf numFmtId="164" fontId="5" fillId="0" borderId="55" xfId="0" applyFont="1" applyBorder="1" applyAlignment="1">
      <alignment horizontal="center" vertical="center" wrapText="1"/>
    </xf>
    <xf numFmtId="164" fontId="35" fillId="0" borderId="146" xfId="0" applyFont="1" applyBorder="1" applyAlignment="1">
      <alignment horizontal="center" vertical="center" wrapText="1"/>
    </xf>
    <xf numFmtId="164" fontId="35" fillId="0" borderId="150" xfId="0" applyFont="1" applyBorder="1" applyAlignment="1">
      <alignment horizontal="center" vertical="center" wrapText="1"/>
    </xf>
    <xf numFmtId="164" fontId="35" fillId="0" borderId="132" xfId="0" applyFont="1" applyBorder="1" applyAlignment="1">
      <alignment horizontal="center" vertical="center" wrapText="1"/>
    </xf>
    <xf numFmtId="164" fontId="35" fillId="0" borderId="139" xfId="0" applyFont="1" applyBorder="1" applyAlignment="1">
      <alignment horizontal="center" vertical="center" wrapText="1"/>
    </xf>
    <xf numFmtId="164" fontId="35" fillId="0" borderId="136" xfId="0" applyFont="1" applyBorder="1" applyAlignment="1">
      <alignment horizontal="center" vertical="center" wrapText="1"/>
    </xf>
    <xf numFmtId="164" fontId="5" fillId="0" borderId="9" xfId="0" applyFont="1" applyBorder="1" applyAlignment="1">
      <alignment horizontal="center" vertical="center" wrapText="1"/>
    </xf>
    <xf numFmtId="39" fontId="35" fillId="0" borderId="132" xfId="0" applyNumberFormat="1" applyFont="1" applyBorder="1" applyAlignment="1">
      <alignment horizontal="center" vertical="center" wrapText="1"/>
    </xf>
    <xf numFmtId="39" fontId="35" fillId="0" borderId="136" xfId="0" applyNumberFormat="1" applyFont="1" applyBorder="1" applyAlignment="1">
      <alignment horizontal="center" vertical="center" wrapText="1"/>
    </xf>
    <xf numFmtId="39" fontId="35" fillId="0" borderId="139" xfId="0" applyNumberFormat="1" applyFont="1" applyBorder="1" applyAlignment="1">
      <alignment horizontal="center" vertical="center" wrapText="1"/>
    </xf>
    <xf numFmtId="164" fontId="35" fillId="0" borderId="142" xfId="0" applyFont="1" applyBorder="1" applyAlignment="1">
      <alignment horizontal="center" vertical="center" wrapText="1"/>
    </xf>
    <xf numFmtId="164" fontId="35" fillId="30" borderId="68" xfId="0" applyFont="1" applyFill="1" applyBorder="1" applyAlignment="1">
      <alignment horizontal="center" vertical="center" wrapText="1"/>
    </xf>
    <xf numFmtId="164" fontId="5" fillId="15" borderId="9" xfId="0" applyFont="1" applyFill="1" applyBorder="1" applyAlignment="1">
      <alignment horizontal="center" vertical="center" wrapText="1"/>
    </xf>
    <xf numFmtId="164" fontId="35" fillId="10" borderId="139" xfId="0" applyFont="1" applyFill="1" applyBorder="1" applyAlignment="1">
      <alignment horizontal="center" vertical="center" wrapText="1"/>
    </xf>
    <xf numFmtId="164" fontId="35" fillId="31" borderId="57" xfId="0" applyFont="1" applyFill="1" applyBorder="1" applyAlignment="1">
      <alignment horizontal="center" vertical="center" wrapText="1"/>
    </xf>
    <xf numFmtId="164" fontId="44" fillId="9" borderId="68" xfId="0" applyFont="1" applyFill="1" applyBorder="1" applyAlignment="1">
      <alignment horizontal="center" vertical="center" wrapText="1"/>
    </xf>
    <xf numFmtId="164" fontId="41" fillId="9" borderId="68" xfId="0" applyFont="1" applyFill="1" applyBorder="1" applyAlignment="1">
      <alignment horizontal="center" vertical="center" wrapText="1"/>
    </xf>
    <xf numFmtId="164" fontId="41" fillId="0" borderId="68" xfId="0" applyFont="1" applyBorder="1" applyAlignment="1">
      <alignment vertical="center" wrapText="1"/>
    </xf>
    <xf numFmtId="164" fontId="41" fillId="15" borderId="68" xfId="0" applyFont="1" applyFill="1" applyBorder="1" applyAlignment="1">
      <alignment horizontal="center" vertical="center" wrapText="1"/>
    </xf>
    <xf numFmtId="164" fontId="35" fillId="10" borderId="136" xfId="0" applyFont="1" applyFill="1" applyBorder="1" applyAlignment="1">
      <alignment horizontal="center" vertical="center" wrapText="1"/>
    </xf>
    <xf numFmtId="164" fontId="85" fillId="0" borderId="76" xfId="0" applyFont="1" applyBorder="1" applyAlignment="1">
      <alignment horizontal="center" vertical="center" wrapText="1"/>
    </xf>
    <xf numFmtId="164" fontId="35" fillId="31" borderId="67" xfId="0" applyFont="1" applyFill="1" applyBorder="1" applyAlignment="1">
      <alignment horizontal="center" vertical="center" wrapText="1"/>
    </xf>
    <xf numFmtId="164" fontId="5" fillId="0" borderId="71" xfId="0" applyFont="1" applyBorder="1" applyAlignment="1">
      <alignment horizontal="center" vertical="center" wrapText="1"/>
    </xf>
    <xf numFmtId="164" fontId="5" fillId="0" borderId="41" xfId="0" applyFont="1" applyBorder="1" applyAlignment="1">
      <alignment horizontal="center" vertical="center" wrapText="1"/>
    </xf>
    <xf numFmtId="164" fontId="35" fillId="10" borderId="132" xfId="0" applyFont="1" applyFill="1" applyBorder="1" applyAlignment="1">
      <alignment horizontal="center" vertical="center" wrapText="1"/>
    </xf>
    <xf numFmtId="164" fontId="5" fillId="10" borderId="9" xfId="0" applyFont="1" applyFill="1" applyBorder="1" applyAlignment="1">
      <alignment horizontal="center" vertical="center" wrapText="1"/>
    </xf>
    <xf numFmtId="164" fontId="85" fillId="0" borderId="207" xfId="0" applyFont="1" applyBorder="1" applyAlignment="1">
      <alignment horizontal="center" vertical="center" wrapText="1"/>
    </xf>
    <xf numFmtId="164" fontId="35" fillId="0" borderId="52" xfId="0" applyFont="1" applyBorder="1" applyAlignment="1">
      <alignment horizontal="center" vertical="center" wrapText="1"/>
    </xf>
    <xf numFmtId="164" fontId="5" fillId="0" borderId="74" xfId="0" applyFont="1" applyBorder="1" applyAlignment="1">
      <alignment horizontal="center" vertical="center" wrapText="1"/>
    </xf>
    <xf numFmtId="164" fontId="42" fillId="0" borderId="68" xfId="0" applyFont="1" applyBorder="1" applyAlignment="1">
      <alignment horizontal="center" vertical="center" wrapText="1"/>
    </xf>
    <xf numFmtId="164" fontId="42" fillId="0" borderId="52" xfId="0" applyFont="1" applyBorder="1" applyAlignment="1">
      <alignment horizontal="center" vertical="center" wrapText="1"/>
    </xf>
    <xf numFmtId="164" fontId="85" fillId="0" borderId="197" xfId="0" applyFont="1" applyBorder="1" applyAlignment="1">
      <alignment horizontal="center" vertical="center" wrapText="1"/>
    </xf>
    <xf numFmtId="9" fontId="5" fillId="0" borderId="10" xfId="3" applyFont="1" applyBorder="1" applyAlignment="1">
      <alignment horizontal="center" vertical="center" wrapText="1"/>
    </xf>
    <xf numFmtId="164" fontId="35" fillId="0" borderId="149" xfId="0" applyFont="1" applyBorder="1" applyAlignment="1">
      <alignment horizontal="center" vertical="center" wrapText="1"/>
    </xf>
    <xf numFmtId="164" fontId="5" fillId="0" borderId="150" xfId="0" applyFont="1" applyBorder="1" applyAlignment="1">
      <alignment horizontal="center" vertical="center" wrapText="1"/>
    </xf>
    <xf numFmtId="164" fontId="85" fillId="0" borderId="77" xfId="0" applyFont="1" applyBorder="1" applyAlignment="1">
      <alignment horizontal="center" vertical="center" wrapText="1"/>
    </xf>
    <xf numFmtId="164" fontId="35" fillId="0" borderId="72" xfId="0" applyFont="1" applyBorder="1" applyAlignment="1">
      <alignment horizontal="center" vertical="center" wrapText="1"/>
    </xf>
    <xf numFmtId="164" fontId="35" fillId="0" borderId="67" xfId="0" applyFont="1" applyBorder="1" applyAlignment="1">
      <alignment horizontal="center" vertical="center" wrapText="1"/>
    </xf>
    <xf numFmtId="164" fontId="35" fillId="0" borderId="64" xfId="0" applyFont="1" applyBorder="1" applyAlignment="1">
      <alignment horizontal="center" vertical="center" wrapText="1"/>
    </xf>
    <xf numFmtId="164" fontId="35" fillId="0" borderId="196" xfId="0" applyFont="1" applyBorder="1" applyAlignment="1">
      <alignment horizontal="center" vertical="center" wrapText="1"/>
    </xf>
    <xf numFmtId="164" fontId="36" fillId="0" borderId="194" xfId="0" applyFont="1" applyBorder="1" applyAlignment="1">
      <alignment horizontal="center" vertical="center" wrapText="1"/>
    </xf>
    <xf numFmtId="164" fontId="35" fillId="0" borderId="154" xfId="0" applyFont="1" applyBorder="1" applyAlignment="1">
      <alignment horizontal="center" vertical="center" wrapText="1"/>
    </xf>
    <xf numFmtId="39" fontId="42" fillId="26" borderId="209" xfId="0" applyNumberFormat="1" applyFont="1" applyFill="1" applyBorder="1" applyAlignment="1">
      <alignment horizontal="center" vertical="center" wrapText="1"/>
    </xf>
    <xf numFmtId="39" fontId="13" fillId="0" borderId="210" xfId="0" applyNumberFormat="1" applyFont="1" applyBorder="1" applyAlignment="1">
      <alignment horizontal="center" vertical="center" wrapText="1"/>
    </xf>
    <xf numFmtId="39" fontId="99" fillId="9" borderId="137" xfId="0" applyNumberFormat="1" applyFont="1" applyFill="1" applyBorder="1" applyAlignment="1">
      <alignment horizontal="center" vertical="center" wrapText="1"/>
    </xf>
    <xf numFmtId="164" fontId="42" fillId="0" borderId="173" xfId="0" applyFont="1" applyBorder="1" applyAlignment="1">
      <alignment horizontal="center" vertical="center" wrapText="1"/>
    </xf>
    <xf numFmtId="164" fontId="114" fillId="0" borderId="81" xfId="0" applyFont="1" applyBorder="1" applyAlignment="1">
      <alignment horizontal="center" vertical="center" wrapText="1"/>
    </xf>
    <xf numFmtId="39" fontId="99" fillId="9" borderId="151" xfId="0" applyNumberFormat="1" applyFont="1" applyFill="1" applyBorder="1" applyAlignment="1">
      <alignment horizontal="center" vertical="center" wrapText="1"/>
    </xf>
    <xf numFmtId="39" fontId="99" fillId="9" borderId="147" xfId="0" applyNumberFormat="1" applyFont="1" applyFill="1" applyBorder="1" applyAlignment="1">
      <alignment horizontal="center" vertical="center" wrapText="1"/>
    </xf>
    <xf numFmtId="39" fontId="99" fillId="9" borderId="211" xfId="0" applyNumberFormat="1" applyFont="1" applyFill="1" applyBorder="1" applyAlignment="1">
      <alignment horizontal="center" vertical="center" wrapText="1"/>
    </xf>
    <xf numFmtId="39" fontId="5" fillId="9" borderId="205" xfId="0" applyNumberFormat="1" applyFont="1" applyFill="1" applyBorder="1" applyAlignment="1">
      <alignment horizontal="center" vertical="center" wrapText="1"/>
    </xf>
    <xf numFmtId="39" fontId="35" fillId="9" borderId="5" xfId="0" applyNumberFormat="1" applyFont="1" applyFill="1" applyBorder="1" applyAlignment="1">
      <alignment horizontal="center" vertical="center" wrapText="1"/>
    </xf>
    <xf numFmtId="39" fontId="13" fillId="0" borderId="5" xfId="0" applyNumberFormat="1" applyFont="1" applyBorder="1" applyAlignment="1">
      <alignment horizontal="center" vertical="center" wrapText="1"/>
    </xf>
    <xf numFmtId="39" fontId="5" fillId="9" borderId="5" xfId="0" applyNumberFormat="1" applyFont="1" applyFill="1" applyBorder="1" applyAlignment="1">
      <alignment horizontal="center" vertical="center" wrapText="1"/>
    </xf>
    <xf numFmtId="164" fontId="35" fillId="0" borderId="55" xfId="0" applyFont="1" applyBorder="1" applyAlignment="1">
      <alignment horizontal="center" vertical="center" wrapText="1"/>
    </xf>
    <xf numFmtId="39" fontId="99" fillId="9" borderId="140" xfId="0" applyNumberFormat="1" applyFont="1" applyFill="1" applyBorder="1" applyAlignment="1">
      <alignment horizontal="center" vertical="center" wrapText="1"/>
    </xf>
    <xf numFmtId="39" fontId="13" fillId="0" borderId="211" xfId="0" applyNumberFormat="1" applyFont="1" applyBorder="1" applyAlignment="1">
      <alignment horizontal="center" vertical="center" wrapText="1"/>
    </xf>
    <xf numFmtId="39" fontId="5" fillId="9" borderId="211" xfId="0" applyNumberFormat="1" applyFont="1" applyFill="1" applyBorder="1" applyAlignment="1">
      <alignment horizontal="center" vertical="center" wrapText="1"/>
    </xf>
    <xf numFmtId="39" fontId="42" fillId="9" borderId="5" xfId="0" applyNumberFormat="1" applyFont="1" applyFill="1" applyBorder="1" applyAlignment="1">
      <alignment horizontal="center" vertical="center" wrapText="1"/>
    </xf>
    <xf numFmtId="164" fontId="85" fillId="0" borderId="66" xfId="0" applyFont="1" applyBorder="1" applyAlignment="1">
      <alignment horizontal="center" vertical="center" wrapText="1"/>
    </xf>
    <xf numFmtId="164" fontId="85" fillId="0" borderId="78" xfId="0" applyFont="1" applyBorder="1" applyAlignment="1">
      <alignment horizontal="center" vertical="center" wrapText="1"/>
    </xf>
    <xf numFmtId="39" fontId="5" fillId="9" borderId="162" xfId="0" applyNumberFormat="1" applyFont="1" applyFill="1" applyBorder="1" applyAlignment="1">
      <alignment horizontal="center" vertical="center" wrapText="1"/>
    </xf>
    <xf numFmtId="39" fontId="42" fillId="9" borderId="147" xfId="0" applyNumberFormat="1" applyFont="1" applyFill="1" applyBorder="1" applyAlignment="1">
      <alignment horizontal="center" vertical="center" wrapText="1"/>
    </xf>
    <xf numFmtId="39" fontId="5" fillId="9" borderId="134" xfId="0" applyNumberFormat="1" applyFont="1" applyFill="1" applyBorder="1" applyAlignment="1">
      <alignment horizontal="center" vertical="center" wrapText="1"/>
    </xf>
    <xf numFmtId="10" fontId="13" fillId="24" borderId="9" xfId="3" applyNumberFormat="1" applyFont="1" applyFill="1" applyBorder="1" applyAlignment="1">
      <alignment horizontal="center" vertical="center" wrapText="1"/>
    </xf>
    <xf numFmtId="39" fontId="5" fillId="9" borderId="147" xfId="0" applyNumberFormat="1" applyFont="1" applyFill="1" applyBorder="1" applyAlignment="1">
      <alignment horizontal="center" vertical="center" wrapText="1"/>
    </xf>
    <xf numFmtId="39" fontId="5" fillId="9" borderId="140" xfId="0" applyNumberFormat="1" applyFont="1" applyFill="1" applyBorder="1" applyAlignment="1">
      <alignment horizontal="center" vertical="center" wrapText="1"/>
    </xf>
    <xf numFmtId="164" fontId="42" fillId="0" borderId="103" xfId="0" applyFont="1" applyBorder="1" applyAlignment="1">
      <alignment horizontal="center" vertical="center" wrapText="1"/>
    </xf>
    <xf numFmtId="164" fontId="13" fillId="10" borderId="41" xfId="0" applyFont="1" applyFill="1" applyBorder="1" applyAlignment="1">
      <alignment horizontal="center" vertical="center" wrapText="1"/>
    </xf>
    <xf numFmtId="164" fontId="5" fillId="10" borderId="71" xfId="0" applyFont="1" applyFill="1" applyBorder="1" applyAlignment="1">
      <alignment horizontal="center" vertical="center" wrapText="1"/>
    </xf>
    <xf numFmtId="164" fontId="13" fillId="10" borderId="9" xfId="0" applyFont="1" applyFill="1" applyBorder="1" applyAlignment="1">
      <alignment horizontal="center" vertical="center" wrapText="1"/>
    </xf>
    <xf numFmtId="39" fontId="13" fillId="0" borderId="205" xfId="0" applyNumberFormat="1" applyFont="1" applyBorder="1" applyAlignment="1">
      <alignment horizontal="center" vertical="center" wrapText="1"/>
    </xf>
    <xf numFmtId="164" fontId="42" fillId="0" borderId="85" xfId="0" applyFont="1" applyBorder="1" applyAlignment="1">
      <alignment horizontal="center" vertical="center" wrapText="1"/>
    </xf>
    <xf numFmtId="164" fontId="36" fillId="0" borderId="213" xfId="0" applyFont="1" applyBorder="1" applyAlignment="1">
      <alignment horizontal="center" vertical="center" wrapText="1"/>
    </xf>
    <xf numFmtId="39" fontId="115" fillId="0" borderId="128" xfId="0" applyNumberFormat="1" applyFont="1" applyBorder="1" applyAlignment="1">
      <alignment vertical="center" wrapText="1"/>
    </xf>
    <xf numFmtId="39" fontId="116" fillId="0" borderId="179" xfId="0" applyNumberFormat="1" applyFont="1" applyBorder="1" applyAlignment="1">
      <alignment vertical="center" wrapText="1"/>
    </xf>
    <xf numFmtId="39" fontId="96" fillId="9" borderId="129" xfId="0" applyNumberFormat="1" applyFont="1" applyFill="1" applyBorder="1" applyAlignment="1">
      <alignment horizontal="center" vertical="center" wrapText="1"/>
    </xf>
    <xf numFmtId="164" fontId="42" fillId="26" borderId="209" xfId="0" applyFont="1" applyFill="1" applyBorder="1" applyAlignment="1">
      <alignment horizontal="center" vertical="center" wrapText="1"/>
    </xf>
    <xf numFmtId="164" fontId="85" fillId="0" borderId="169" xfId="0" applyFont="1" applyBorder="1" applyAlignment="1">
      <alignment horizontal="center" vertical="center" wrapText="1"/>
    </xf>
    <xf numFmtId="193" fontId="13" fillId="0" borderId="210" xfId="0" applyNumberFormat="1" applyFont="1" applyBorder="1" applyAlignment="1">
      <alignment horizontal="center" vertical="center" wrapText="1"/>
    </xf>
    <xf numFmtId="193" fontId="99" fillId="9" borderId="137" xfId="0" applyNumberFormat="1" applyFont="1" applyFill="1" applyBorder="1" applyAlignment="1">
      <alignment horizontal="center" vertical="center" wrapText="1"/>
    </xf>
    <xf numFmtId="164" fontId="114" fillId="0" borderId="82" xfId="0" applyFont="1" applyBorder="1" applyAlignment="1">
      <alignment horizontal="center" vertical="center" wrapText="1"/>
    </xf>
    <xf numFmtId="193" fontId="99" fillId="9" borderId="151" xfId="0" applyNumberFormat="1" applyFont="1" applyFill="1" applyBorder="1" applyAlignment="1">
      <alignment horizontal="center" vertical="center" wrapText="1"/>
    </xf>
    <xf numFmtId="193" fontId="99" fillId="9" borderId="140" xfId="0" applyNumberFormat="1" applyFont="1" applyFill="1" applyBorder="1" applyAlignment="1">
      <alignment horizontal="center" vertical="center" wrapText="1"/>
    </xf>
    <xf numFmtId="193" fontId="5" fillId="9" borderId="205" xfId="0" applyNumberFormat="1" applyFont="1" applyFill="1" applyBorder="1" applyAlignment="1">
      <alignment horizontal="center" vertical="center" wrapText="1"/>
    </xf>
    <xf numFmtId="193" fontId="42" fillId="9" borderId="5" xfId="0" applyNumberFormat="1" applyFont="1" applyFill="1" applyBorder="1" applyAlignment="1">
      <alignment horizontal="center" vertical="center" wrapText="1"/>
    </xf>
    <xf numFmtId="193" fontId="13" fillId="0" borderId="211" xfId="0" applyNumberFormat="1" applyFont="1" applyBorder="1" applyAlignment="1">
      <alignment horizontal="center" vertical="center" wrapText="1"/>
    </xf>
    <xf numFmtId="193" fontId="13" fillId="9" borderId="205" xfId="0" applyNumberFormat="1" applyFont="1" applyFill="1" applyBorder="1" applyAlignment="1">
      <alignment horizontal="center" vertical="center" wrapText="1"/>
    </xf>
    <xf numFmtId="205" fontId="5" fillId="0" borderId="9" xfId="0" applyNumberFormat="1" applyFont="1" applyBorder="1" applyAlignment="1">
      <alignment horizontal="center" vertical="center" wrapText="1"/>
    </xf>
    <xf numFmtId="205" fontId="42" fillId="9" borderId="5" xfId="0" applyNumberFormat="1" applyFont="1" applyFill="1" applyBorder="1" applyAlignment="1">
      <alignment horizontal="center" vertical="center" wrapText="1"/>
    </xf>
    <xf numFmtId="205" fontId="42" fillId="9" borderId="124" xfId="0" applyNumberFormat="1" applyFont="1" applyFill="1" applyBorder="1" applyAlignment="1">
      <alignment horizontal="center" vertical="center" wrapText="1"/>
    </xf>
    <xf numFmtId="205" fontId="42" fillId="9" borderId="206" xfId="0" applyNumberFormat="1" applyFont="1" applyFill="1" applyBorder="1" applyAlignment="1">
      <alignment horizontal="center" vertical="center" wrapText="1"/>
    </xf>
    <xf numFmtId="193" fontId="13" fillId="0" borderId="5" xfId="0" applyNumberFormat="1" applyFont="1" applyBorder="1" applyAlignment="1">
      <alignment horizontal="center" vertical="center" wrapText="1"/>
    </xf>
    <xf numFmtId="193" fontId="13" fillId="0" borderId="206" xfId="0" applyNumberFormat="1" applyFont="1" applyBorder="1" applyAlignment="1">
      <alignment horizontal="center" vertical="center" wrapText="1"/>
    </xf>
    <xf numFmtId="193" fontId="5" fillId="0" borderId="9" xfId="0" quotePrefix="1" applyNumberFormat="1" applyFont="1" applyBorder="1" applyAlignment="1">
      <alignment horizontal="center" vertical="center" wrapText="1"/>
    </xf>
    <xf numFmtId="164" fontId="23" fillId="0" borderId="0" xfId="0" applyFont="1" applyAlignment="1">
      <alignment horizontal="center" vertical="center"/>
    </xf>
    <xf numFmtId="193" fontId="5" fillId="9" borderId="211" xfId="0" applyNumberFormat="1" applyFont="1" applyFill="1" applyBorder="1" applyAlignment="1">
      <alignment horizontal="center" vertical="center" wrapText="1"/>
    </xf>
    <xf numFmtId="205" fontId="85" fillId="0" borderId="63" xfId="0" applyNumberFormat="1" applyFont="1" applyBorder="1" applyAlignment="1">
      <alignment horizontal="center" vertical="center" wrapText="1"/>
    </xf>
    <xf numFmtId="205" fontId="35" fillId="0" borderId="52" xfId="0" applyNumberFormat="1" applyFont="1" applyBorder="1" applyAlignment="1">
      <alignment horizontal="center" vertical="center" wrapText="1"/>
    </xf>
    <xf numFmtId="205" fontId="5" fillId="0" borderId="74" xfId="0" applyNumberFormat="1" applyFont="1" applyBorder="1" applyAlignment="1">
      <alignment horizontal="center" vertical="center" wrapText="1"/>
    </xf>
    <xf numFmtId="205" fontId="13" fillId="9" borderId="216" xfId="0" applyNumberFormat="1" applyFont="1" applyFill="1" applyBorder="1" applyAlignment="1">
      <alignment horizontal="center" vertical="center" wrapText="1"/>
    </xf>
    <xf numFmtId="205" fontId="5" fillId="9" borderId="5" xfId="0" applyNumberFormat="1" applyFont="1" applyFill="1" applyBorder="1" applyAlignment="1">
      <alignment horizontal="center" vertical="center" wrapText="1"/>
    </xf>
    <xf numFmtId="209" fontId="35" fillId="0" borderId="68" xfId="0" applyNumberFormat="1" applyFont="1" applyBorder="1" applyAlignment="1">
      <alignment horizontal="center" vertical="center" wrapText="1"/>
    </xf>
    <xf numFmtId="209" fontId="35" fillId="0" borderId="57" xfId="0" applyNumberFormat="1" applyFont="1" applyBorder="1" applyAlignment="1">
      <alignment horizontal="center" vertical="center" wrapText="1"/>
    </xf>
    <xf numFmtId="164" fontId="36" fillId="0" borderId="7" xfId="0" applyFont="1" applyBorder="1" applyAlignment="1">
      <alignment horizontal="center" vertical="center" wrapText="1"/>
    </xf>
    <xf numFmtId="39" fontId="117" fillId="0" borderId="182" xfId="0" applyNumberFormat="1" applyFont="1" applyBorder="1" applyAlignment="1">
      <alignment vertical="center" wrapText="1"/>
    </xf>
    <xf numFmtId="193" fontId="118" fillId="0" borderId="179" xfId="0" applyNumberFormat="1" applyFont="1" applyBorder="1" applyAlignment="1">
      <alignment vertical="center" wrapText="1"/>
    </xf>
    <xf numFmtId="193" fontId="96" fillId="9" borderId="217" xfId="0" applyNumberFormat="1" applyFont="1" applyFill="1" applyBorder="1" applyAlignment="1">
      <alignment horizontal="center" vertical="center" wrapText="1"/>
    </xf>
    <xf numFmtId="193" fontId="42" fillId="10" borderId="10" xfId="0" applyNumberFormat="1" applyFont="1" applyFill="1" applyBorder="1" applyAlignment="1">
      <alignment horizontal="center" vertical="center" wrapText="1"/>
    </xf>
    <xf numFmtId="164" fontId="85" fillId="0" borderId="2" xfId="0" applyFont="1" applyBorder="1" applyAlignment="1">
      <alignment horizontal="center" vertical="center" wrapText="1"/>
    </xf>
    <xf numFmtId="164" fontId="35" fillId="0" borderId="2" xfId="0" applyFont="1" applyBorder="1" applyAlignment="1">
      <alignment horizontal="center" vertical="center" wrapText="1"/>
    </xf>
    <xf numFmtId="164" fontId="5" fillId="9" borderId="157" xfId="0" applyFont="1" applyFill="1" applyBorder="1" applyAlignment="1">
      <alignment horizontal="center" vertical="center" wrapText="1"/>
    </xf>
    <xf numFmtId="164" fontId="5" fillId="0" borderId="157" xfId="0" applyFont="1" applyBorder="1" applyAlignment="1">
      <alignment horizontal="center" vertical="center" wrapText="1"/>
    </xf>
    <xf numFmtId="39" fontId="13" fillId="0" borderId="3" xfId="0" applyNumberFormat="1" applyFont="1" applyBorder="1" applyAlignment="1">
      <alignment horizontal="center" vertical="center" wrapText="1"/>
    </xf>
    <xf numFmtId="164" fontId="5" fillId="9" borderId="9" xfId="0" applyFont="1" applyFill="1" applyBorder="1" applyAlignment="1">
      <alignment horizontal="center" vertical="center" wrapText="1"/>
    </xf>
    <xf numFmtId="37" fontId="119" fillId="9" borderId="5" xfId="0" applyNumberFormat="1" applyFont="1" applyFill="1" applyBorder="1" applyAlignment="1">
      <alignment horizontal="center" vertical="center" wrapText="1"/>
    </xf>
    <xf numFmtId="164" fontId="35" fillId="0" borderId="47" xfId="0" applyFont="1" applyBorder="1" applyAlignment="1">
      <alignment horizontal="center" vertical="center" wrapText="1"/>
    </xf>
    <xf numFmtId="164" fontId="5" fillId="9" borderId="55" xfId="0" applyFont="1" applyFill="1" applyBorder="1" applyAlignment="1">
      <alignment horizontal="center" vertical="center" wrapText="1"/>
    </xf>
    <xf numFmtId="193" fontId="13" fillId="0" borderId="205" xfId="0" applyNumberFormat="1" applyFont="1" applyBorder="1" applyAlignment="1">
      <alignment horizontal="center" vertical="center" wrapText="1"/>
    </xf>
    <xf numFmtId="201" fontId="5" fillId="10" borderId="0" xfId="0" applyNumberFormat="1" applyFont="1" applyFill="1" applyAlignment="1">
      <alignment horizontal="center" vertical="center" wrapText="1"/>
    </xf>
    <xf numFmtId="201" fontId="5" fillId="10" borderId="72" xfId="0" applyNumberFormat="1" applyFont="1" applyFill="1" applyBorder="1" applyAlignment="1">
      <alignment horizontal="center" vertical="center" wrapText="1"/>
    </xf>
    <xf numFmtId="201" fontId="5" fillId="10" borderId="68" xfId="0" applyNumberFormat="1" applyFont="1" applyFill="1" applyBorder="1" applyAlignment="1">
      <alignment horizontal="center" vertical="center" wrapText="1"/>
    </xf>
    <xf numFmtId="193" fontId="13" fillId="0" borderId="189" xfId="0" applyNumberFormat="1" applyFont="1" applyBorder="1" applyAlignment="1">
      <alignment horizontal="center" vertical="center" wrapText="1"/>
    </xf>
    <xf numFmtId="164" fontId="35" fillId="0" borderId="62" xfId="0" applyFont="1" applyBorder="1" applyAlignment="1">
      <alignment horizontal="center" vertical="center" wrapText="1"/>
    </xf>
    <xf numFmtId="193" fontId="13" fillId="9" borderId="5" xfId="0" applyNumberFormat="1" applyFont="1" applyFill="1" applyBorder="1" applyAlignment="1">
      <alignment horizontal="center" vertical="center" wrapText="1"/>
    </xf>
    <xf numFmtId="193" fontId="5" fillId="9" borderId="9" xfId="0" applyNumberFormat="1" applyFont="1" applyFill="1" applyBorder="1" applyAlignment="1">
      <alignment horizontal="center" vertical="center" wrapText="1"/>
    </xf>
    <xf numFmtId="193" fontId="5" fillId="9" borderId="55" xfId="0" applyNumberFormat="1" applyFont="1" applyFill="1" applyBorder="1" applyAlignment="1">
      <alignment horizontal="center" vertical="center" wrapText="1"/>
    </xf>
    <xf numFmtId="193" fontId="5" fillId="9" borderId="150" xfId="0" applyNumberFormat="1" applyFont="1" applyFill="1" applyBorder="1" applyAlignment="1">
      <alignment horizontal="center" vertical="center" wrapText="1"/>
    </xf>
    <xf numFmtId="189" fontId="85" fillId="0" borderId="65" xfId="0" applyNumberFormat="1" applyFont="1" applyBorder="1" applyAlignment="1">
      <alignment horizontal="center" vertical="center" wrapText="1"/>
    </xf>
    <xf numFmtId="3" fontId="5" fillId="0" borderId="9" xfId="0" applyNumberFormat="1" applyFont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5" fillId="0" borderId="57" xfId="0" applyNumberFormat="1" applyFont="1" applyBorder="1" applyAlignment="1">
      <alignment horizontal="center" vertical="center" wrapText="1"/>
    </xf>
    <xf numFmtId="193" fontId="35" fillId="0" borderId="55" xfId="0" applyNumberFormat="1" applyFont="1" applyBorder="1" applyAlignment="1">
      <alignment horizontal="center" vertical="center" wrapText="1"/>
    </xf>
    <xf numFmtId="39" fontId="118" fillId="0" borderId="7" xfId="0" applyNumberFormat="1" applyFont="1" applyBorder="1" applyAlignment="1">
      <alignment vertical="center" wrapText="1"/>
    </xf>
    <xf numFmtId="39" fontId="118" fillId="0" borderId="154" xfId="0" applyNumberFormat="1" applyFont="1" applyBorder="1" applyAlignment="1">
      <alignment vertical="center" wrapText="1"/>
    </xf>
    <xf numFmtId="39" fontId="118" fillId="0" borderId="179" xfId="0" applyNumberFormat="1" applyFont="1" applyBorder="1" applyAlignment="1">
      <alignment vertical="center" wrapText="1"/>
    </xf>
    <xf numFmtId="37" fontId="18" fillId="9" borderId="217" xfId="0" applyNumberFormat="1" applyFont="1" applyFill="1" applyBorder="1" applyAlignment="1">
      <alignment horizontal="center" vertical="center" wrapText="1"/>
    </xf>
    <xf numFmtId="164" fontId="13" fillId="26" borderId="109" xfId="0" applyFont="1" applyFill="1" applyBorder="1" applyAlignment="1">
      <alignment horizontal="center" vertical="center" wrapText="1"/>
    </xf>
    <xf numFmtId="164" fontId="120" fillId="0" borderId="169" xfId="0" applyFont="1" applyBorder="1" applyAlignment="1">
      <alignment horizontal="left" vertical="center"/>
    </xf>
    <xf numFmtId="164" fontId="41" fillId="0" borderId="169" xfId="0" applyFont="1" applyBorder="1" applyAlignment="1">
      <alignment horizontal="left" vertical="center"/>
    </xf>
    <xf numFmtId="193" fontId="23" fillId="0" borderId="186" xfId="0" applyNumberFormat="1" applyFont="1" applyBorder="1" applyAlignment="1">
      <alignment horizontal="center" vertical="center" wrapText="1"/>
    </xf>
    <xf numFmtId="164" fontId="15" fillId="0" borderId="171" xfId="0" applyFont="1" applyBorder="1" applyAlignment="1">
      <alignment horizontal="center" vertical="center" wrapText="1"/>
    </xf>
    <xf numFmtId="164" fontId="13" fillId="0" borderId="140" xfId="0" applyFont="1" applyBorder="1" applyAlignment="1">
      <alignment horizontal="center" vertical="center" wrapText="1"/>
    </xf>
    <xf numFmtId="164" fontId="5" fillId="9" borderId="134" xfId="0" applyFont="1" applyFill="1" applyBorder="1" applyAlignment="1">
      <alignment horizontal="center" vertical="center" wrapText="1"/>
    </xf>
    <xf numFmtId="164" fontId="5" fillId="10" borderId="49" xfId="0" applyFont="1" applyFill="1" applyBorder="1" applyAlignment="1">
      <alignment horizontal="center" vertical="center" wrapText="1"/>
    </xf>
    <xf numFmtId="164" fontId="13" fillId="9" borderId="134" xfId="0" applyFont="1" applyFill="1" applyBorder="1" applyAlignment="1">
      <alignment horizontal="center" vertical="center" wrapText="1"/>
    </xf>
    <xf numFmtId="164" fontId="5" fillId="10" borderId="41" xfId="0" applyFont="1" applyFill="1" applyBorder="1" applyAlignment="1">
      <alignment horizontal="center" vertical="center" wrapText="1"/>
    </xf>
    <xf numFmtId="164" fontId="5" fillId="9" borderId="124" xfId="0" applyFont="1" applyFill="1" applyBorder="1" applyAlignment="1">
      <alignment horizontal="center" vertical="center" wrapText="1"/>
    </xf>
    <xf numFmtId="164" fontId="5" fillId="10" borderId="55" xfId="0" applyFont="1" applyFill="1" applyBorder="1" applyAlignment="1">
      <alignment horizontal="center" vertical="center" wrapText="1"/>
    </xf>
    <xf numFmtId="164" fontId="5" fillId="9" borderId="140" xfId="0" applyFont="1" applyFill="1" applyBorder="1" applyAlignment="1">
      <alignment horizontal="center" vertical="center" wrapText="1"/>
    </xf>
    <xf numFmtId="164" fontId="5" fillId="9" borderId="147" xfId="0" applyFont="1" applyFill="1" applyBorder="1" applyAlignment="1">
      <alignment horizontal="center" vertical="center" wrapText="1"/>
    </xf>
    <xf numFmtId="164" fontId="23" fillId="10" borderId="9" xfId="0" applyFont="1" applyFill="1" applyBorder="1" applyAlignment="1">
      <alignment horizontal="center" vertical="center" wrapText="1"/>
    </xf>
    <xf numFmtId="164" fontId="42" fillId="0" borderId="149" xfId="0" applyFont="1" applyBorder="1" applyAlignment="1">
      <alignment horizontal="center" vertical="center" wrapText="1"/>
    </xf>
    <xf numFmtId="164" fontId="5" fillId="9" borderId="151" xfId="0" applyFont="1" applyFill="1" applyBorder="1" applyAlignment="1">
      <alignment horizontal="center" vertical="center" wrapText="1"/>
    </xf>
    <xf numFmtId="39" fontId="5" fillId="10" borderId="41" xfId="0" applyNumberFormat="1" applyFont="1" applyFill="1" applyBorder="1" applyAlignment="1">
      <alignment horizontal="center" vertical="center" wrapText="1"/>
    </xf>
    <xf numFmtId="164" fontId="13" fillId="0" borderId="137" xfId="0" applyFont="1" applyBorder="1" applyAlignment="1">
      <alignment horizontal="center" vertical="center" wrapText="1"/>
    </xf>
    <xf numFmtId="164" fontId="42" fillId="0" borderId="141" xfId="0" applyFont="1" applyBorder="1" applyAlignment="1">
      <alignment horizontal="center" vertical="center" wrapText="1"/>
    </xf>
    <xf numFmtId="164" fontId="5" fillId="10" borderId="74" xfId="0" applyFont="1" applyFill="1" applyBorder="1" applyAlignment="1">
      <alignment horizontal="center" vertical="center" wrapText="1"/>
    </xf>
    <xf numFmtId="164" fontId="5" fillId="9" borderId="175" xfId="0" applyFont="1" applyFill="1" applyBorder="1" applyAlignment="1">
      <alignment horizontal="center" vertical="center" wrapText="1"/>
    </xf>
    <xf numFmtId="164" fontId="42" fillId="0" borderId="200" xfId="0" applyFont="1" applyBorder="1" applyAlignment="1">
      <alignment horizontal="center" vertical="center" wrapText="1"/>
    </xf>
    <xf numFmtId="164" fontId="85" fillId="0" borderId="220" xfId="0" applyFont="1" applyBorder="1" applyAlignment="1">
      <alignment horizontal="center" vertical="center" wrapText="1"/>
    </xf>
    <xf numFmtId="164" fontId="35" fillId="0" borderId="58" xfId="0" applyFont="1" applyBorder="1" applyAlignment="1">
      <alignment horizontal="center" vertical="center" wrapText="1"/>
    </xf>
    <xf numFmtId="164" fontId="5" fillId="0" borderId="59" xfId="0" applyFont="1" applyBorder="1" applyAlignment="1">
      <alignment horizontal="center" vertical="center" wrapText="1"/>
    </xf>
    <xf numFmtId="164" fontId="13" fillId="0" borderId="164" xfId="0" applyFont="1" applyBorder="1" applyAlignment="1">
      <alignment horizontal="center" vertical="center" wrapText="1"/>
    </xf>
    <xf numFmtId="164" fontId="35" fillId="9" borderId="68" xfId="0" applyFont="1" applyFill="1" applyBorder="1" applyAlignment="1">
      <alignment horizontal="center" vertical="center" wrapText="1"/>
    </xf>
    <xf numFmtId="37" fontId="5" fillId="10" borderId="71" xfId="0" applyNumberFormat="1" applyFont="1" applyFill="1" applyBorder="1" applyAlignment="1">
      <alignment horizontal="center" vertical="center" wrapText="1"/>
    </xf>
    <xf numFmtId="37" fontId="5" fillId="10" borderId="41" xfId="0" applyNumberFormat="1" applyFont="1" applyFill="1" applyBorder="1" applyAlignment="1">
      <alignment horizontal="center" vertical="center" wrapText="1"/>
    </xf>
    <xf numFmtId="164" fontId="13" fillId="0" borderId="151" xfId="0" applyFont="1" applyBorder="1" applyAlignment="1">
      <alignment horizontal="center" vertical="center" wrapText="1"/>
    </xf>
    <xf numFmtId="164" fontId="5" fillId="0" borderId="85" xfId="0" applyFont="1" applyBorder="1" applyAlignment="1">
      <alignment horizontal="center" vertical="center" wrapText="1"/>
    </xf>
    <xf numFmtId="164" fontId="5" fillId="0" borderId="65" xfId="0" applyFont="1" applyBorder="1" applyAlignment="1">
      <alignment horizontal="center" vertical="center" wrapText="1"/>
    </xf>
    <xf numFmtId="39" fontId="5" fillId="10" borderId="49" xfId="0" applyNumberFormat="1" applyFont="1" applyFill="1" applyBorder="1" applyAlignment="1">
      <alignment horizontal="center" vertical="center" wrapText="1"/>
    </xf>
    <xf numFmtId="39" fontId="5" fillId="10" borderId="55" xfId="0" applyNumberFormat="1" applyFont="1" applyFill="1" applyBorder="1" applyAlignment="1">
      <alignment horizontal="center" vertical="center" wrapText="1"/>
    </xf>
    <xf numFmtId="164" fontId="42" fillId="0" borderId="13" xfId="0" applyFont="1" applyBorder="1" applyAlignment="1">
      <alignment horizontal="center" vertical="center" wrapText="1"/>
    </xf>
    <xf numFmtId="37" fontId="85" fillId="0" borderId="207" xfId="0" applyNumberFormat="1" applyFont="1" applyBorder="1" applyAlignment="1">
      <alignment horizontal="center" vertical="center" wrapText="1"/>
    </xf>
    <xf numFmtId="37" fontId="35" fillId="0" borderId="52" xfId="0" applyNumberFormat="1" applyFont="1" applyBorder="1" applyAlignment="1">
      <alignment horizontal="center" vertical="center" wrapText="1"/>
    </xf>
    <xf numFmtId="164" fontId="42" fillId="0" borderId="72" xfId="0" applyFont="1" applyBorder="1" applyAlignment="1">
      <alignment horizontal="center" vertical="center" wrapText="1"/>
    </xf>
    <xf numFmtId="37" fontId="85" fillId="0" borderId="65" xfId="0" applyNumberFormat="1" applyFont="1" applyBorder="1" applyAlignment="1">
      <alignment horizontal="center" vertical="center" wrapText="1"/>
    </xf>
    <xf numFmtId="37" fontId="35" fillId="0" borderId="68" xfId="0" applyNumberFormat="1" applyFont="1" applyBorder="1" applyAlignment="1">
      <alignment horizontal="center" vertical="center" wrapText="1"/>
    </xf>
    <xf numFmtId="37" fontId="85" fillId="0" borderId="76" xfId="0" applyNumberFormat="1" applyFont="1" applyBorder="1" applyAlignment="1">
      <alignment horizontal="center" vertical="center" wrapText="1"/>
    </xf>
    <xf numFmtId="37" fontId="35" fillId="0" borderId="67" xfId="0" applyNumberFormat="1" applyFont="1" applyBorder="1" applyAlignment="1">
      <alignment horizontal="center" vertical="center" wrapText="1"/>
    </xf>
    <xf numFmtId="37" fontId="85" fillId="0" borderId="197" xfId="0" applyNumberFormat="1" applyFont="1" applyBorder="1" applyAlignment="1">
      <alignment horizontal="center" vertical="center" wrapText="1"/>
    </xf>
    <xf numFmtId="37" fontId="35" fillId="0" borderId="13" xfId="0" applyNumberFormat="1" applyFont="1" applyBorder="1" applyAlignment="1">
      <alignment horizontal="center" vertical="center" wrapText="1"/>
    </xf>
    <xf numFmtId="164" fontId="5" fillId="9" borderId="120" xfId="0" applyFont="1" applyFill="1" applyBorder="1" applyAlignment="1">
      <alignment horizontal="center" vertical="center" wrapText="1"/>
    </xf>
    <xf numFmtId="193" fontId="35" fillId="10" borderId="173" xfId="0" applyNumberFormat="1" applyFont="1" applyFill="1" applyBorder="1" applyAlignment="1">
      <alignment horizontal="center" vertical="center" wrapText="1"/>
    </xf>
    <xf numFmtId="193" fontId="35" fillId="10" borderId="123" xfId="0" applyNumberFormat="1" applyFont="1" applyFill="1" applyBorder="1" applyAlignment="1">
      <alignment horizontal="center" vertical="center" wrapText="1"/>
    </xf>
    <xf numFmtId="193" fontId="35" fillId="10" borderId="68" xfId="0" applyNumberFormat="1" applyFont="1" applyFill="1" applyBorder="1" applyAlignment="1">
      <alignment horizontal="center" vertical="center" wrapText="1"/>
    </xf>
    <xf numFmtId="0" fontId="35" fillId="10" borderId="9" xfId="0" applyNumberFormat="1" applyFont="1" applyFill="1" applyBorder="1" applyAlignment="1">
      <alignment horizontal="center" vertical="center" wrapText="1"/>
    </xf>
    <xf numFmtId="0" fontId="35" fillId="10" borderId="103" xfId="0" quotePrefix="1" applyNumberFormat="1" applyFont="1" applyFill="1" applyBorder="1" applyAlignment="1">
      <alignment horizontal="center" vertical="center" wrapText="1"/>
    </xf>
    <xf numFmtId="0" fontId="35" fillId="10" borderId="102" xfId="0" quotePrefix="1" applyNumberFormat="1" applyFont="1" applyFill="1" applyBorder="1" applyAlignment="1">
      <alignment horizontal="center" vertical="center" wrapText="1"/>
    </xf>
    <xf numFmtId="0" fontId="35" fillId="10" borderId="68" xfId="0" quotePrefix="1" applyNumberFormat="1" applyFont="1" applyFill="1" applyBorder="1" applyAlignment="1">
      <alignment horizontal="center" vertical="center" wrapText="1"/>
    </xf>
    <xf numFmtId="197" fontId="35" fillId="10" borderId="142" xfId="0" quotePrefix="1" applyNumberFormat="1" applyFont="1" applyFill="1" applyBorder="1" applyAlignment="1">
      <alignment horizontal="center" vertical="center" wrapText="1"/>
    </xf>
    <xf numFmtId="198" fontId="35" fillId="10" borderId="122" xfId="0" quotePrefix="1" applyNumberFormat="1" applyFont="1" applyFill="1" applyBorder="1" applyAlignment="1">
      <alignment horizontal="center" vertical="center" wrapText="1"/>
    </xf>
    <xf numFmtId="198" fontId="35" fillId="10" borderId="142" xfId="0" quotePrefix="1" applyNumberFormat="1" applyFont="1" applyFill="1" applyBorder="1" applyAlignment="1">
      <alignment horizontal="center" vertical="center" wrapText="1"/>
    </xf>
    <xf numFmtId="197" fontId="35" fillId="10" borderId="67" xfId="0" quotePrefix="1" applyNumberFormat="1" applyFont="1" applyFill="1" applyBorder="1" applyAlignment="1">
      <alignment horizontal="center" vertical="center" wrapText="1"/>
    </xf>
    <xf numFmtId="210" fontId="35" fillId="10" borderId="71" xfId="0" quotePrefix="1" applyNumberFormat="1" applyFont="1" applyFill="1" applyBorder="1" applyAlignment="1">
      <alignment horizontal="center" vertical="center" wrapText="1"/>
    </xf>
    <xf numFmtId="196" fontId="35" fillId="10" borderId="0" xfId="0" quotePrefix="1" applyNumberFormat="1" applyFont="1" applyFill="1" applyAlignment="1">
      <alignment horizontal="center" vertical="center" wrapText="1"/>
    </xf>
    <xf numFmtId="197" fontId="35" fillId="10" borderId="85" xfId="0" quotePrefix="1" applyNumberFormat="1" applyFont="1" applyFill="1" applyBorder="1" applyAlignment="1">
      <alignment horizontal="center" vertical="center" wrapText="1"/>
    </xf>
    <xf numFmtId="198" fontId="35" fillId="10" borderId="65" xfId="0" quotePrefix="1" applyNumberFormat="1" applyFont="1" applyFill="1" applyBorder="1" applyAlignment="1">
      <alignment horizontal="center" vertical="center" wrapText="1"/>
    </xf>
    <xf numFmtId="198" fontId="35" fillId="10" borderId="0" xfId="0" quotePrefix="1" applyNumberFormat="1" applyFont="1" applyFill="1" applyAlignment="1">
      <alignment horizontal="center" vertical="center" wrapText="1"/>
    </xf>
    <xf numFmtId="198" fontId="35" fillId="10" borderId="85" xfId="0" quotePrefix="1" applyNumberFormat="1" applyFont="1" applyFill="1" applyBorder="1" applyAlignment="1">
      <alignment horizontal="center" vertical="center" wrapText="1"/>
    </xf>
    <xf numFmtId="197" fontId="35" fillId="10" borderId="0" xfId="0" quotePrefix="1" applyNumberFormat="1" applyFont="1" applyFill="1" applyAlignment="1">
      <alignment horizontal="center" vertical="center" wrapText="1"/>
    </xf>
    <xf numFmtId="200" fontId="35" fillId="10" borderId="0" xfId="0" quotePrefix="1" applyNumberFormat="1" applyFont="1" applyFill="1" applyAlignment="1">
      <alignment horizontal="center" vertical="center" wrapText="1"/>
    </xf>
    <xf numFmtId="210" fontId="35" fillId="10" borderId="0" xfId="0" quotePrefix="1" applyNumberFormat="1" applyFont="1" applyFill="1" applyAlignment="1">
      <alignment horizontal="center" vertical="center" wrapText="1"/>
    </xf>
    <xf numFmtId="199" fontId="35" fillId="10" borderId="0" xfId="0" quotePrefix="1" applyNumberFormat="1" applyFont="1" applyFill="1" applyAlignment="1">
      <alignment horizontal="center" vertical="center" wrapText="1"/>
    </xf>
    <xf numFmtId="164" fontId="13" fillId="0" borderId="147" xfId="0" applyFont="1" applyBorder="1" applyAlignment="1">
      <alignment horizontal="center" vertical="center" wrapText="1"/>
    </xf>
    <xf numFmtId="201" fontId="35" fillId="10" borderId="200" xfId="0" applyNumberFormat="1" applyFont="1" applyFill="1" applyBorder="1" applyAlignment="1">
      <alignment horizontal="center" vertical="center" wrapText="1"/>
    </xf>
    <xf numFmtId="201" fontId="35" fillId="10" borderId="65" xfId="0" applyNumberFormat="1" applyFont="1" applyFill="1" applyBorder="1" applyAlignment="1">
      <alignment horizontal="center" vertical="center" wrapText="1"/>
    </xf>
    <xf numFmtId="201" fontId="35" fillId="10" borderId="85" xfId="0" applyNumberFormat="1" applyFont="1" applyFill="1" applyBorder="1" applyAlignment="1">
      <alignment horizontal="center" vertical="center" wrapText="1"/>
    </xf>
    <xf numFmtId="37" fontId="85" fillId="0" borderId="73" xfId="0" applyNumberFormat="1" applyFont="1" applyBorder="1" applyAlignment="1">
      <alignment horizontal="center" vertical="center" wrapText="1"/>
    </xf>
    <xf numFmtId="37" fontId="35" fillId="0" borderId="57" xfId="0" applyNumberFormat="1" applyFont="1" applyBorder="1" applyAlignment="1">
      <alignment horizontal="center" vertical="center" wrapText="1"/>
    </xf>
    <xf numFmtId="164" fontId="5" fillId="10" borderId="0" xfId="0" applyFont="1" applyFill="1" applyAlignment="1">
      <alignment horizontal="center" vertical="center" wrapText="1"/>
    </xf>
    <xf numFmtId="164" fontId="5" fillId="10" borderId="85" xfId="0" applyFont="1" applyFill="1" applyBorder="1" applyAlignment="1">
      <alignment horizontal="center" vertical="center" wrapText="1"/>
    </xf>
    <xf numFmtId="164" fontId="5" fillId="10" borderId="65" xfId="0" applyFont="1" applyFill="1" applyBorder="1" applyAlignment="1">
      <alignment horizontal="center" vertical="center" wrapText="1"/>
    </xf>
    <xf numFmtId="164" fontId="13" fillId="9" borderId="137" xfId="0" applyFont="1" applyFill="1" applyBorder="1" applyAlignment="1">
      <alignment horizontal="center" vertical="center" wrapText="1"/>
    </xf>
    <xf numFmtId="175" fontId="44" fillId="9" borderId="68" xfId="7" applyNumberFormat="1" applyFont="1" applyFill="1" applyBorder="1" applyAlignment="1">
      <alignment horizontal="center" vertical="center" wrapText="1"/>
    </xf>
    <xf numFmtId="1" fontId="5" fillId="0" borderId="68" xfId="0" applyNumberFormat="1" applyFont="1" applyBorder="1" applyAlignment="1">
      <alignment horizontal="center" vertical="center" wrapText="1"/>
    </xf>
    <xf numFmtId="1" fontId="5" fillId="0" borderId="67" xfId="0" applyNumberFormat="1" applyFont="1" applyBorder="1" applyAlignment="1">
      <alignment horizontal="center" vertical="center" wrapText="1"/>
    </xf>
    <xf numFmtId="1" fontId="5" fillId="0" borderId="72" xfId="0" applyNumberFormat="1" applyFont="1" applyBorder="1" applyAlignment="1">
      <alignment horizontal="center" vertical="center" wrapText="1"/>
    </xf>
    <xf numFmtId="164" fontId="13" fillId="0" borderId="124" xfId="0" applyFont="1" applyBorder="1" applyAlignment="1">
      <alignment horizontal="center" vertical="center" wrapText="1"/>
    </xf>
    <xf numFmtId="164" fontId="42" fillId="0" borderId="199" xfId="0" applyFont="1" applyBorder="1" applyAlignment="1">
      <alignment horizontal="center" vertical="center" wrapText="1"/>
    </xf>
    <xf numFmtId="37" fontId="5" fillId="9" borderId="134" xfId="0" applyNumberFormat="1" applyFont="1" applyFill="1" applyBorder="1" applyAlignment="1">
      <alignment horizontal="center" vertical="center" wrapText="1"/>
    </xf>
    <xf numFmtId="37" fontId="23" fillId="0" borderId="85" xfId="0" applyNumberFormat="1" applyFont="1" applyBorder="1" applyAlignment="1">
      <alignment horizontal="center" vertical="center" wrapText="1"/>
    </xf>
    <xf numFmtId="37" fontId="23" fillId="0" borderId="65" xfId="0" applyNumberFormat="1" applyFont="1" applyBorder="1" applyAlignment="1">
      <alignment horizontal="center" vertical="center" wrapText="1"/>
    </xf>
    <xf numFmtId="164" fontId="23" fillId="0" borderId="85" xfId="0" applyFont="1" applyBorder="1" applyAlignment="1">
      <alignment horizontal="center" vertical="center" wrapText="1"/>
    </xf>
    <xf numFmtId="164" fontId="23" fillId="0" borderId="65" xfId="0" applyFont="1" applyBorder="1" applyAlignment="1">
      <alignment horizontal="center" vertical="center" wrapText="1"/>
    </xf>
    <xf numFmtId="164" fontId="13" fillId="0" borderId="134" xfId="0" applyFont="1" applyBorder="1" applyAlignment="1">
      <alignment horizontal="center" vertical="center" wrapText="1"/>
    </xf>
    <xf numFmtId="164" fontId="42" fillId="0" borderId="128" xfId="0" applyFont="1" applyBorder="1" applyAlignment="1">
      <alignment horizontal="center" vertical="center" wrapText="1"/>
    </xf>
    <xf numFmtId="164" fontId="5" fillId="0" borderId="179" xfId="0" applyFont="1" applyBorder="1" applyAlignment="1">
      <alignment horizontal="center" vertical="center" wrapText="1"/>
    </xf>
    <xf numFmtId="37" fontId="18" fillId="9" borderId="129" xfId="0" applyNumberFormat="1" applyFont="1" applyFill="1" applyBorder="1" applyAlignment="1">
      <alignment horizontal="center" vertical="center" wrapText="1"/>
    </xf>
    <xf numFmtId="39" fontId="42" fillId="26" borderId="108" xfId="0" applyNumberFormat="1" applyFont="1" applyFill="1" applyBorder="1" applyAlignment="1">
      <alignment horizontal="center" vertical="center" wrapText="1"/>
    </xf>
    <xf numFmtId="164" fontId="85" fillId="0" borderId="183" xfId="0" applyFont="1" applyBorder="1" applyAlignment="1">
      <alignment horizontal="center" vertical="center" wrapText="1"/>
    </xf>
    <xf numFmtId="164" fontId="35" fillId="0" borderId="133" xfId="0" applyFont="1" applyBorder="1" applyAlignment="1">
      <alignment horizontal="center" vertical="center" wrapText="1"/>
    </xf>
    <xf numFmtId="164" fontId="5" fillId="10" borderId="157" xfId="0" applyFont="1" applyFill="1" applyBorder="1" applyAlignment="1">
      <alignment horizontal="center" vertical="center" wrapText="1"/>
    </xf>
    <xf numFmtId="164" fontId="42" fillId="0" borderId="198" xfId="0" applyFont="1" applyBorder="1" applyAlignment="1">
      <alignment horizontal="centerContinuous" vertical="center" wrapText="1"/>
    </xf>
    <xf numFmtId="164" fontId="122" fillId="9" borderId="137" xfId="0" applyFont="1" applyFill="1" applyBorder="1" applyAlignment="1">
      <alignment horizontal="center" vertical="center" wrapText="1"/>
    </xf>
    <xf numFmtId="164" fontId="42" fillId="0" borderId="199" xfId="0" applyFont="1" applyBorder="1" applyAlignment="1">
      <alignment horizontal="centerContinuous" vertical="center" wrapText="1"/>
    </xf>
    <xf numFmtId="164" fontId="122" fillId="9" borderId="140" xfId="0" applyFont="1" applyFill="1" applyBorder="1" applyAlignment="1">
      <alignment horizontal="center" vertical="center" wrapText="1"/>
    </xf>
    <xf numFmtId="164" fontId="13" fillId="9" borderId="140" xfId="0" applyFont="1" applyFill="1" applyBorder="1" applyAlignment="1">
      <alignment horizontal="center" vertical="center" wrapText="1"/>
    </xf>
    <xf numFmtId="164" fontId="85" fillId="0" borderId="82" xfId="0" applyFont="1" applyBorder="1" applyAlignment="1">
      <alignment horizontal="center" vertical="center" wrapText="1"/>
    </xf>
    <xf numFmtId="164" fontId="5" fillId="0" borderId="141" xfId="0" applyFont="1" applyBorder="1" applyAlignment="1">
      <alignment horizontal="center" vertical="center" wrapText="1"/>
    </xf>
    <xf numFmtId="209" fontId="5" fillId="10" borderId="9" xfId="0" applyNumberFormat="1" applyFont="1" applyFill="1" applyBorder="1" applyAlignment="1">
      <alignment horizontal="center" vertical="center" wrapText="1"/>
    </xf>
    <xf numFmtId="164" fontId="42" fillId="0" borderId="196" xfId="0" applyFont="1" applyBorder="1" applyAlignment="1">
      <alignment horizontal="centerContinuous" vertical="center" wrapText="1"/>
    </xf>
    <xf numFmtId="9" fontId="5" fillId="10" borderId="71" xfId="3" applyFont="1" applyFill="1" applyBorder="1" applyAlignment="1">
      <alignment horizontal="center" vertical="center" wrapText="1"/>
    </xf>
    <xf numFmtId="164" fontId="42" fillId="9" borderId="147" xfId="0" applyFont="1" applyFill="1" applyBorder="1" applyAlignment="1">
      <alignment horizontal="center" vertical="center" wrapText="1"/>
    </xf>
    <xf numFmtId="164" fontId="42" fillId="0" borderId="200" xfId="0" applyFont="1" applyBorder="1" applyAlignment="1">
      <alignment horizontal="centerContinuous" vertical="center" wrapText="1"/>
    </xf>
    <xf numFmtId="209" fontId="5" fillId="0" borderId="9" xfId="3" applyNumberFormat="1" applyFont="1" applyFill="1" applyBorder="1" applyAlignment="1">
      <alignment horizontal="center" vertical="center" wrapText="1"/>
    </xf>
    <xf numFmtId="193" fontId="42" fillId="10" borderId="70" xfId="0" applyNumberFormat="1" applyFont="1" applyFill="1" applyBorder="1" applyAlignment="1">
      <alignment horizontal="center" vertical="center" wrapText="1"/>
    </xf>
    <xf numFmtId="193" fontId="35" fillId="10" borderId="88" xfId="0" applyNumberFormat="1" applyFont="1" applyFill="1" applyBorder="1" applyAlignment="1">
      <alignment horizontal="center" vertical="center" wrapText="1"/>
    </xf>
    <xf numFmtId="0" fontId="35" fillId="10" borderId="88" xfId="0" quotePrefix="1" applyNumberFormat="1" applyFont="1" applyFill="1" applyBorder="1" applyAlignment="1">
      <alignment horizontal="center" vertical="center" wrapText="1"/>
    </xf>
    <xf numFmtId="210" fontId="35" fillId="10" borderId="221" xfId="0" quotePrefix="1" applyNumberFormat="1" applyFont="1" applyFill="1" applyBorder="1" applyAlignment="1">
      <alignment horizontal="center" vertical="center" wrapText="1"/>
    </xf>
    <xf numFmtId="201" fontId="35" fillId="10" borderId="88" xfId="0" applyNumberFormat="1" applyFont="1" applyFill="1" applyBorder="1" applyAlignment="1">
      <alignment horizontal="center" vertical="center" wrapText="1"/>
    </xf>
    <xf numFmtId="164" fontId="15" fillId="10" borderId="49" xfId="0" applyFont="1" applyFill="1" applyBorder="1" applyAlignment="1">
      <alignment horizontal="center" vertical="center" wrapText="1"/>
    </xf>
    <xf numFmtId="164" fontId="5" fillId="10" borderId="150" xfId="0" applyFont="1" applyFill="1" applyBorder="1" applyAlignment="1">
      <alignment horizontal="center" vertical="center" wrapText="1"/>
    </xf>
    <xf numFmtId="39" fontId="35" fillId="0" borderId="128" xfId="0" applyNumberFormat="1" applyFont="1" applyBorder="1" applyAlignment="1">
      <alignment horizontal="center" vertical="center" wrapText="1"/>
    </xf>
    <xf numFmtId="164" fontId="35" fillId="0" borderId="179" xfId="0" applyFont="1" applyBorder="1" applyAlignment="1">
      <alignment horizontal="center" vertical="center" wrapText="1"/>
    </xf>
    <xf numFmtId="164" fontId="18" fillId="9" borderId="129" xfId="0" applyFont="1" applyFill="1" applyBorder="1" applyAlignment="1">
      <alignment horizontal="center" vertical="center" wrapText="1"/>
    </xf>
    <xf numFmtId="0" fontId="1" fillId="0" borderId="0" xfId="20" applyAlignment="1">
      <alignment horizontal="center" vertical="center"/>
    </xf>
    <xf numFmtId="0" fontId="2" fillId="26" borderId="223" xfId="20" applyFont="1" applyFill="1" applyBorder="1" applyAlignment="1">
      <alignment horizontal="center" vertical="center"/>
    </xf>
    <xf numFmtId="0" fontId="2" fillId="26" borderId="59" xfId="20" applyFont="1" applyFill="1" applyBorder="1" applyAlignment="1">
      <alignment horizontal="center" vertical="center"/>
    </xf>
    <xf numFmtId="0" fontId="2" fillId="26" borderId="59" xfId="20" applyFont="1" applyFill="1" applyBorder="1" applyAlignment="1">
      <alignment horizontal="center" vertical="center" wrapText="1"/>
    </xf>
    <xf numFmtId="0" fontId="1" fillId="0" borderId="76" xfId="20" applyBorder="1" applyAlignment="1">
      <alignment horizontal="right" vertical="center"/>
    </xf>
    <xf numFmtId="211" fontId="1" fillId="0" borderId="67" xfId="20" applyNumberFormat="1" applyBorder="1" applyAlignment="1">
      <alignment horizontal="left" vertical="center"/>
    </xf>
    <xf numFmtId="0" fontId="1" fillId="0" borderId="10" xfId="20" applyBorder="1" applyAlignment="1">
      <alignment horizontal="center" vertical="center"/>
    </xf>
    <xf numFmtId="0" fontId="1" fillId="0" borderId="71" xfId="20" applyBorder="1" applyAlignment="1">
      <alignment horizontal="center" vertical="center"/>
    </xf>
    <xf numFmtId="0" fontId="1" fillId="24" borderId="71" xfId="20" applyFill="1" applyBorder="1" applyAlignment="1">
      <alignment horizontal="center" vertical="center"/>
    </xf>
    <xf numFmtId="0" fontId="1" fillId="24" borderId="142" xfId="20" applyFill="1" applyBorder="1" applyAlignment="1">
      <alignment horizontal="center" vertical="center"/>
    </xf>
    <xf numFmtId="0" fontId="1" fillId="0" borderId="197" xfId="20" applyBorder="1" applyAlignment="1">
      <alignment horizontal="right" vertical="center"/>
    </xf>
    <xf numFmtId="212" fontId="1" fillId="0" borderId="67" xfId="20" applyNumberFormat="1" applyBorder="1" applyAlignment="1">
      <alignment horizontal="left" vertical="center"/>
    </xf>
    <xf numFmtId="4" fontId="1" fillId="0" borderId="10" xfId="20" applyNumberFormat="1" applyBorder="1" applyAlignment="1">
      <alignment horizontal="center" vertical="center"/>
    </xf>
    <xf numFmtId="4" fontId="1" fillId="0" borderId="136" xfId="20" applyNumberFormat="1" applyBorder="1" applyAlignment="1">
      <alignment horizontal="center" vertical="center"/>
    </xf>
    <xf numFmtId="211" fontId="1" fillId="0" borderId="13" xfId="20" applyNumberFormat="1" applyBorder="1" applyAlignment="1">
      <alignment horizontal="left" vertical="center"/>
    </xf>
    <xf numFmtId="202" fontId="1" fillId="0" borderId="10" xfId="20" applyNumberFormat="1" applyBorder="1" applyAlignment="1">
      <alignment horizontal="center" vertical="center"/>
    </xf>
    <xf numFmtId="2" fontId="1" fillId="0" borderId="10" xfId="20" applyNumberFormat="1" applyBorder="1" applyAlignment="1">
      <alignment horizontal="center" vertical="center"/>
    </xf>
    <xf numFmtId="212" fontId="1" fillId="0" borderId="13" xfId="20" applyNumberFormat="1" applyBorder="1" applyAlignment="1">
      <alignment horizontal="left" vertical="center"/>
    </xf>
    <xf numFmtId="4" fontId="124" fillId="0" borderId="10" xfId="20" applyNumberFormat="1" applyFont="1" applyBorder="1" applyAlignment="1">
      <alignment horizontal="center" vertical="center"/>
    </xf>
    <xf numFmtId="4" fontId="124" fillId="0" borderId="136" xfId="20" applyNumberFormat="1" applyFont="1" applyBorder="1" applyAlignment="1">
      <alignment horizontal="center" vertical="center"/>
    </xf>
    <xf numFmtId="0" fontId="1" fillId="24" borderId="220" xfId="20" applyFill="1" applyBorder="1" applyAlignment="1">
      <alignment horizontal="center" vertical="center"/>
    </xf>
    <xf numFmtId="0" fontId="1" fillId="24" borderId="190" xfId="20" applyFill="1" applyBorder="1" applyAlignment="1">
      <alignment horizontal="center" vertical="center"/>
    </xf>
    <xf numFmtId="0" fontId="1" fillId="24" borderId="199" xfId="20" applyFill="1" applyBorder="1" applyAlignment="1">
      <alignment horizontal="center" vertical="center"/>
    </xf>
    <xf numFmtId="2" fontId="1" fillId="0" borderId="0" xfId="20" applyNumberFormat="1" applyAlignment="1">
      <alignment horizontal="center" vertical="center"/>
    </xf>
    <xf numFmtId="164" fontId="125" fillId="0" borderId="0" xfId="0" applyFont="1"/>
    <xf numFmtId="164" fontId="5" fillId="0" borderId="0" xfId="0" applyFont="1"/>
    <xf numFmtId="164" fontId="77" fillId="0" borderId="0" xfId="0" applyFont="1"/>
    <xf numFmtId="164" fontId="39" fillId="26" borderId="108" xfId="21" applyNumberFormat="1" applyFont="1" applyFill="1" applyBorder="1" applyAlignment="1">
      <alignment horizontal="center" vertical="center" wrapText="1"/>
    </xf>
    <xf numFmtId="39" fontId="13" fillId="26" borderId="109" xfId="21" applyNumberFormat="1" applyFont="1" applyFill="1" applyBorder="1" applyAlignment="1">
      <alignment horizontal="center" vertical="center" wrapText="1"/>
    </xf>
    <xf numFmtId="164" fontId="42" fillId="0" borderId="0" xfId="21" applyNumberFormat="1" applyFont="1" applyAlignment="1">
      <alignment horizontal="center" vertical="center" wrapText="1"/>
    </xf>
    <xf numFmtId="164" fontId="35" fillId="0" borderId="224" xfId="21" applyNumberFormat="1" applyFont="1" applyBorder="1" applyAlignment="1">
      <alignment horizontal="center" vertical="center" wrapText="1"/>
    </xf>
    <xf numFmtId="213" fontId="35" fillId="0" borderId="225" xfId="21" applyNumberFormat="1" applyFont="1" applyBorder="1" applyAlignment="1">
      <alignment horizontal="center" vertical="center" wrapText="1"/>
    </xf>
    <xf numFmtId="164" fontId="85" fillId="0" borderId="0" xfId="21" applyNumberFormat="1" applyFont="1" applyAlignment="1">
      <alignment horizontal="center" vertical="center"/>
    </xf>
    <xf numFmtId="164" fontId="5" fillId="0" borderId="68" xfId="21" applyNumberFormat="1" applyFont="1" applyBorder="1" applyAlignment="1">
      <alignment horizontal="center" vertical="center" wrapText="1"/>
    </xf>
    <xf numFmtId="164" fontId="5" fillId="0" borderId="0" xfId="21" applyNumberFormat="1" applyFont="1" applyAlignment="1">
      <alignment horizontal="center" vertical="center" wrapText="1"/>
    </xf>
    <xf numFmtId="164" fontId="42" fillId="0" borderId="122" xfId="21" applyNumberFormat="1" applyFont="1" applyBorder="1" applyAlignment="1">
      <alignment horizontal="center" vertical="center" wrapText="1"/>
    </xf>
    <xf numFmtId="49" fontId="35" fillId="0" borderId="142" xfId="21" applyNumberFormat="1" applyFont="1" applyBorder="1" applyAlignment="1">
      <alignment horizontal="left" vertical="center" wrapText="1" indent="2"/>
    </xf>
    <xf numFmtId="164" fontId="126" fillId="0" borderId="0" xfId="21" applyNumberFormat="1" applyFont="1" applyAlignment="1">
      <alignment horizontal="center" vertical="center"/>
    </xf>
    <xf numFmtId="164" fontId="35" fillId="0" borderId="68" xfId="21" applyNumberFormat="1" applyFont="1" applyBorder="1" applyAlignment="1">
      <alignment horizontal="center" vertical="center" wrapText="1"/>
    </xf>
    <xf numFmtId="164" fontId="35" fillId="0" borderId="123" xfId="21" applyNumberFormat="1" applyFont="1" applyBorder="1" applyAlignment="1">
      <alignment horizontal="center" vertical="center" wrapText="1"/>
    </xf>
    <xf numFmtId="213" fontId="35" fillId="0" borderId="173" xfId="21" applyNumberFormat="1" applyFont="1" applyBorder="1" applyAlignment="1">
      <alignment horizontal="center" vertical="center" wrapText="1"/>
    </xf>
    <xf numFmtId="164" fontId="42" fillId="0" borderId="102" xfId="21" applyNumberFormat="1" applyFont="1" applyBorder="1" applyAlignment="1">
      <alignment horizontal="center" vertical="center" wrapText="1"/>
    </xf>
    <xf numFmtId="164" fontId="5" fillId="22" borderId="68" xfId="21" applyNumberFormat="1" applyFont="1" applyFill="1" applyBorder="1" applyAlignment="1">
      <alignment horizontal="center" vertical="center" wrapText="1"/>
    </xf>
    <xf numFmtId="164" fontId="114" fillId="0" borderId="0" xfId="21" applyNumberFormat="1" applyFont="1" applyAlignment="1">
      <alignment horizontal="center" vertical="center"/>
    </xf>
    <xf numFmtId="164" fontId="35" fillId="0" borderId="0" xfId="21" applyNumberFormat="1" applyFont="1" applyAlignment="1">
      <alignment horizontal="center" vertical="center" wrapText="1"/>
    </xf>
    <xf numFmtId="37" fontId="5" fillId="0" borderId="41" xfId="21" applyNumberFormat="1" applyFont="1" applyBorder="1" applyAlignment="1">
      <alignment horizontal="center" vertical="center" wrapText="1"/>
    </xf>
    <xf numFmtId="39" fontId="13" fillId="0" borderId="147" xfId="21" applyNumberFormat="1" applyFont="1" applyBorder="1" applyAlignment="1">
      <alignment horizontal="center" vertical="center" wrapText="1"/>
    </xf>
    <xf numFmtId="39" fontId="5" fillId="9" borderId="147" xfId="21" applyNumberFormat="1" applyFont="1" applyFill="1" applyBorder="1" applyAlignment="1">
      <alignment horizontal="center" vertical="center" wrapText="1"/>
    </xf>
    <xf numFmtId="39" fontId="127" fillId="0" borderId="0" xfId="21" applyNumberFormat="1" applyFont="1" applyAlignment="1">
      <alignment horizontal="center" vertical="center" wrapText="1"/>
    </xf>
    <xf numFmtId="39" fontId="90" fillId="0" borderId="59" xfId="21" applyNumberFormat="1" applyFont="1" applyBorder="1" applyAlignment="1">
      <alignment horizontal="center" vertical="center" wrapText="1"/>
    </xf>
    <xf numFmtId="39" fontId="13" fillId="0" borderId="140" xfId="21" applyNumberFormat="1" applyFont="1" applyBorder="1" applyAlignment="1">
      <alignment horizontal="center" vertical="center" wrapText="1"/>
    </xf>
    <xf numFmtId="39" fontId="35" fillId="0" borderId="0" xfId="21" applyNumberFormat="1" applyFont="1" applyAlignment="1">
      <alignment horizontal="center" vertical="center" wrapText="1"/>
    </xf>
    <xf numFmtId="37" fontId="5" fillId="0" borderId="49" xfId="21" applyNumberFormat="1" applyFont="1" applyBorder="1" applyAlignment="1">
      <alignment horizontal="center" vertical="center" wrapText="1"/>
    </xf>
    <xf numFmtId="39" fontId="5" fillId="9" borderId="134" xfId="21" applyNumberFormat="1" applyFont="1" applyFill="1" applyBorder="1" applyAlignment="1">
      <alignment horizontal="center" vertical="center" wrapText="1"/>
    </xf>
    <xf numFmtId="39" fontId="5" fillId="20" borderId="0" xfId="0" applyNumberFormat="1" applyFont="1" applyFill="1" applyAlignment="1">
      <alignment horizontal="center" vertical="center" wrapText="1"/>
    </xf>
    <xf numFmtId="184" fontId="42" fillId="0" borderId="13" xfId="21" applyNumberFormat="1" applyFont="1" applyBorder="1" applyAlignment="1">
      <alignment horizontal="center" vertical="center" wrapText="1"/>
    </xf>
    <xf numFmtId="0" fontId="42" fillId="0" borderId="136" xfId="21" applyFont="1" applyBorder="1" applyAlignment="1">
      <alignment horizontal="left" vertical="top" wrapText="1"/>
    </xf>
    <xf numFmtId="37" fontId="5" fillId="0" borderId="71" xfId="21" applyNumberFormat="1" applyFont="1" applyBorder="1" applyAlignment="1">
      <alignment horizontal="center" vertical="center" wrapText="1"/>
    </xf>
    <xf numFmtId="37" fontId="5" fillId="0" borderId="10" xfId="21" applyNumberFormat="1" applyFont="1" applyBorder="1" applyAlignment="1">
      <alignment horizontal="center" vertical="center" wrapText="1"/>
    </xf>
    <xf numFmtId="39" fontId="5" fillId="9" borderId="124" xfId="21" applyNumberFormat="1" applyFont="1" applyFill="1" applyBorder="1" applyAlignment="1">
      <alignment horizontal="center" vertical="center" wrapText="1"/>
    </xf>
    <xf numFmtId="37" fontId="5" fillId="0" borderId="9" xfId="21" applyNumberFormat="1" applyFont="1" applyBorder="1" applyAlignment="1">
      <alignment horizontal="center" vertical="center" wrapText="1"/>
    </xf>
    <xf numFmtId="39" fontId="35" fillId="0" borderId="68" xfId="21" applyNumberFormat="1" applyFont="1" applyBorder="1" applyAlignment="1">
      <alignment horizontal="center" vertical="center" wrapText="1"/>
    </xf>
    <xf numFmtId="37" fontId="90" fillId="0" borderId="74" xfId="21" applyNumberFormat="1" applyFont="1" applyBorder="1" applyAlignment="1">
      <alignment horizontal="center" vertical="center" wrapText="1"/>
    </xf>
    <xf numFmtId="39" fontId="13" fillId="0" borderId="120" xfId="21" applyNumberFormat="1" applyFont="1" applyBorder="1" applyAlignment="1">
      <alignment horizontal="center" vertical="center" wrapText="1"/>
    </xf>
    <xf numFmtId="37" fontId="90" fillId="0" borderId="10" xfId="21" applyNumberFormat="1" applyFont="1" applyBorder="1" applyAlignment="1">
      <alignment horizontal="center" vertical="center" wrapText="1"/>
    </xf>
    <xf numFmtId="37" fontId="90" fillId="0" borderId="41" xfId="21" applyNumberFormat="1" applyFont="1" applyBorder="1" applyAlignment="1">
      <alignment horizontal="center" vertical="center" wrapText="1"/>
    </xf>
    <xf numFmtId="39" fontId="13" fillId="0" borderId="124" xfId="21" applyNumberFormat="1" applyFont="1" applyBorder="1" applyAlignment="1">
      <alignment horizontal="center" vertical="center" wrapText="1"/>
    </xf>
    <xf numFmtId="164" fontId="114" fillId="0" borderId="63" xfId="21" applyNumberFormat="1" applyFont="1" applyBorder="1" applyAlignment="1">
      <alignment horizontal="center" vertical="center"/>
    </xf>
    <xf numFmtId="164" fontId="35" fillId="0" borderId="52" xfId="21" applyNumberFormat="1" applyFont="1" applyBorder="1" applyAlignment="1">
      <alignment horizontal="center" vertical="center" wrapText="1"/>
    </xf>
    <xf numFmtId="39" fontId="13" fillId="0" borderId="134" xfId="21" applyNumberFormat="1" applyFont="1" applyBorder="1" applyAlignment="1">
      <alignment horizontal="center" vertical="center" wrapText="1"/>
    </xf>
    <xf numFmtId="164" fontId="114" fillId="0" borderId="78" xfId="21" applyNumberFormat="1" applyFont="1" applyBorder="1" applyAlignment="1">
      <alignment horizontal="center" vertical="center"/>
    </xf>
    <xf numFmtId="164" fontId="35" fillId="0" borderId="78" xfId="21" applyNumberFormat="1" applyFont="1" applyBorder="1" applyAlignment="1">
      <alignment horizontal="center" vertical="center" wrapText="1"/>
    </xf>
    <xf numFmtId="39" fontId="13" fillId="0" borderId="164" xfId="21" applyNumberFormat="1" applyFont="1" applyBorder="1" applyAlignment="1">
      <alignment horizontal="center" vertical="center" wrapText="1"/>
    </xf>
    <xf numFmtId="2" fontId="35" fillId="0" borderId="141" xfId="21" applyNumberFormat="1" applyFont="1" applyBorder="1" applyAlignment="1">
      <alignment horizontal="center" vertical="center" wrapText="1"/>
    </xf>
    <xf numFmtId="2" fontId="35" fillId="0" borderId="181" xfId="21" applyNumberFormat="1" applyFont="1" applyBorder="1" applyAlignment="1">
      <alignment horizontal="center" vertical="center" wrapText="1"/>
    </xf>
    <xf numFmtId="39" fontId="42" fillId="0" borderId="0" xfId="21" applyNumberFormat="1" applyFont="1" applyAlignment="1">
      <alignment horizontal="center" vertical="center" wrapText="1"/>
    </xf>
    <xf numFmtId="164" fontId="42" fillId="0" borderId="67" xfId="21" applyNumberFormat="1" applyFont="1" applyBorder="1" applyAlignment="1">
      <alignment horizontal="center" vertical="center" wrapText="1"/>
    </xf>
    <xf numFmtId="0" fontId="42" fillId="0" borderId="142" xfId="21" applyFont="1" applyBorder="1" applyAlignment="1">
      <alignment vertical="center" wrapText="1"/>
    </xf>
    <xf numFmtId="164" fontId="44" fillId="18" borderId="0" xfId="21" applyNumberFormat="1" applyFont="1" applyFill="1" applyAlignment="1">
      <alignment horizontal="left" vertical="center"/>
    </xf>
    <xf numFmtId="164" fontId="41" fillId="18" borderId="85" xfId="21" applyNumberFormat="1" applyFont="1" applyFill="1" applyBorder="1" applyAlignment="1">
      <alignment vertical="center"/>
    </xf>
    <xf numFmtId="39" fontId="23" fillId="18" borderId="10" xfId="21" applyNumberFormat="1" applyFont="1" applyFill="1" applyBorder="1" applyAlignment="1">
      <alignment horizontal="center" vertical="center" wrapText="1"/>
    </xf>
    <xf numFmtId="164" fontId="23" fillId="18" borderId="10" xfId="21" applyNumberFormat="1" applyFont="1" applyFill="1" applyBorder="1" applyAlignment="1">
      <alignment horizontal="center" vertical="center" wrapText="1"/>
    </xf>
    <xf numFmtId="2" fontId="35" fillId="0" borderId="72" xfId="21" applyNumberFormat="1" applyFont="1" applyBorder="1" applyAlignment="1">
      <alignment horizontal="center" vertical="center" wrapText="1"/>
    </xf>
    <xf numFmtId="2" fontId="35" fillId="0" borderId="173" xfId="21" applyNumberFormat="1" applyFont="1" applyBorder="1" applyAlignment="1">
      <alignment horizontal="center" vertical="center" wrapText="1"/>
    </xf>
    <xf numFmtId="0" fontId="41" fillId="0" borderId="142" xfId="21" applyFont="1" applyBorder="1" applyAlignment="1">
      <alignment horizontal="center" wrapText="1"/>
    </xf>
    <xf numFmtId="164" fontId="128" fillId="0" borderId="0" xfId="21" applyNumberFormat="1" applyFont="1" applyAlignment="1">
      <alignment horizontal="center" vertical="center"/>
    </xf>
    <xf numFmtId="164" fontId="44" fillId="18" borderId="85" xfId="21" applyNumberFormat="1" applyFont="1" applyFill="1" applyBorder="1" applyAlignment="1">
      <alignment horizontal="center" vertical="center"/>
    </xf>
    <xf numFmtId="39" fontId="5" fillId="0" borderId="55" xfId="21" applyNumberFormat="1" applyFont="1" applyBorder="1" applyAlignment="1">
      <alignment horizontal="center" vertical="center" wrapText="1"/>
    </xf>
    <xf numFmtId="164" fontId="42" fillId="0" borderId="141" xfId="21" applyNumberFormat="1" applyFont="1" applyBorder="1" applyAlignment="1">
      <alignment horizontal="center" vertical="center" wrapText="1"/>
    </xf>
    <xf numFmtId="39" fontId="42" fillId="0" borderId="68" xfId="21" applyNumberFormat="1" applyFont="1" applyBorder="1" applyAlignment="1">
      <alignment horizontal="center" vertical="center" wrapText="1"/>
    </xf>
    <xf numFmtId="39" fontId="5" fillId="0" borderId="49" xfId="21" applyNumberFormat="1" applyFont="1" applyBorder="1" applyAlignment="1">
      <alignment horizontal="center" vertical="center" wrapText="1"/>
    </xf>
    <xf numFmtId="39" fontId="5" fillId="0" borderId="71" xfId="21" applyNumberFormat="1" applyFont="1" applyBorder="1" applyAlignment="1">
      <alignment horizontal="center" vertical="center" wrapText="1"/>
    </xf>
    <xf numFmtId="39" fontId="5" fillId="0" borderId="59" xfId="21" applyNumberFormat="1" applyFont="1" applyBorder="1" applyAlignment="1">
      <alignment horizontal="center" vertical="center" wrapText="1"/>
    </xf>
    <xf numFmtId="0" fontId="42" fillId="0" borderId="198" xfId="21" applyFont="1" applyBorder="1" applyAlignment="1">
      <alignment vertical="center" wrapText="1"/>
    </xf>
    <xf numFmtId="0" fontId="129" fillId="0" borderId="198" xfId="21" applyFont="1" applyBorder="1" applyAlignment="1">
      <alignment horizontal="center" vertical="center" wrapText="1"/>
    </xf>
    <xf numFmtId="0" fontId="42" fillId="0" borderId="85" xfId="21" applyFont="1" applyBorder="1" applyAlignment="1">
      <alignment vertical="center" wrapText="1"/>
    </xf>
    <xf numFmtId="0" fontId="42" fillId="0" borderId="198" xfId="21" applyFont="1" applyBorder="1" applyAlignment="1">
      <alignment horizontal="center" vertical="center" wrapText="1"/>
    </xf>
    <xf numFmtId="164" fontId="42" fillId="0" borderId="67" xfId="22" applyNumberFormat="1" applyFont="1" applyBorder="1" applyAlignment="1">
      <alignment horizontal="center" vertical="center" wrapText="1"/>
    </xf>
    <xf numFmtId="164" fontId="35" fillId="0" borderId="141" xfId="21" applyNumberFormat="1" applyFont="1" applyBorder="1" applyAlignment="1">
      <alignment horizontal="center" vertical="center" wrapText="1"/>
    </xf>
    <xf numFmtId="2" fontId="35" fillId="0" borderId="103" xfId="21" applyNumberFormat="1" applyFont="1" applyBorder="1" applyAlignment="1">
      <alignment horizontal="center" vertical="center" wrapText="1"/>
    </xf>
    <xf numFmtId="164" fontId="130" fillId="0" borderId="0" xfId="21" applyNumberFormat="1" applyFont="1" applyAlignment="1">
      <alignment horizontal="center" vertical="center"/>
    </xf>
    <xf numFmtId="164" fontId="42" fillId="0" borderId="132" xfId="21" applyNumberFormat="1" applyFont="1" applyBorder="1" applyAlignment="1">
      <alignment horizontal="center" vertical="center" wrapText="1"/>
    </xf>
    <xf numFmtId="164" fontId="42" fillId="0" borderId="142" xfId="21" applyNumberFormat="1" applyFont="1" applyBorder="1" applyAlignment="1">
      <alignment horizontal="center" vertical="center" wrapText="1"/>
    </xf>
    <xf numFmtId="164" fontId="42" fillId="0" borderId="136" xfId="21" applyNumberFormat="1" applyFont="1" applyBorder="1" applyAlignment="1">
      <alignment horizontal="center" vertical="center" wrapText="1"/>
    </xf>
    <xf numFmtId="164" fontId="42" fillId="0" borderId="139" xfId="21" applyNumberFormat="1" applyFont="1" applyBorder="1" applyAlignment="1">
      <alignment horizontal="center" vertical="center" wrapText="1"/>
    </xf>
    <xf numFmtId="0" fontId="42" fillId="0" borderId="132" xfId="21" applyFont="1" applyBorder="1" applyAlignment="1">
      <alignment horizontal="center" vertical="center" wrapText="1"/>
    </xf>
    <xf numFmtId="37" fontId="5" fillId="0" borderId="74" xfId="21" applyNumberFormat="1" applyFont="1" applyBorder="1" applyAlignment="1">
      <alignment horizontal="center" vertical="center" wrapText="1"/>
    </xf>
    <xf numFmtId="0" fontId="42" fillId="0" borderId="103" xfId="21" applyFont="1" applyBorder="1" applyAlignment="1">
      <alignment horizontal="center" vertical="center" wrapText="1"/>
    </xf>
    <xf numFmtId="39" fontId="13" fillId="0" borderId="137" xfId="21" applyNumberFormat="1" applyFont="1" applyBorder="1" applyAlignment="1">
      <alignment horizontal="center" vertical="center" wrapText="1"/>
    </xf>
    <xf numFmtId="0" fontId="42" fillId="0" borderId="139" xfId="21" applyFont="1" applyBorder="1" applyAlignment="1">
      <alignment horizontal="center" vertical="center" wrapText="1"/>
    </xf>
    <xf numFmtId="37" fontId="5" fillId="0" borderId="59" xfId="21" applyNumberFormat="1" applyFont="1" applyBorder="1" applyAlignment="1">
      <alignment horizontal="center" vertical="center" wrapText="1"/>
    </xf>
    <xf numFmtId="164" fontId="114" fillId="0" borderId="154" xfId="0" applyFont="1" applyBorder="1" applyAlignment="1">
      <alignment horizontal="center" vertical="center" wrapText="1"/>
    </xf>
    <xf numFmtId="164" fontId="5" fillId="0" borderId="154" xfId="0" applyFont="1" applyBorder="1" applyAlignment="1">
      <alignment horizontal="center" vertical="center" wrapText="1"/>
    </xf>
    <xf numFmtId="39" fontId="18" fillId="9" borderId="129" xfId="0" applyNumberFormat="1" applyFont="1" applyFill="1" applyBorder="1" applyAlignment="1">
      <alignment horizontal="center" vertical="center" wrapText="1"/>
    </xf>
    <xf numFmtId="0" fontId="5" fillId="0" borderId="0" xfId="21" applyFont="1" applyAlignment="1">
      <alignment horizontal="center" vertical="center" wrapText="1"/>
    </xf>
    <xf numFmtId="164" fontId="5" fillId="0" borderId="0" xfId="21" applyNumberFormat="1" applyFont="1" applyAlignment="1">
      <alignment horizontal="center" vertical="center"/>
    </xf>
    <xf numFmtId="164" fontId="5" fillId="0" borderId="2" xfId="21" applyNumberFormat="1" applyFont="1" applyBorder="1" applyAlignment="1">
      <alignment horizontal="center" vertical="center" wrapText="1"/>
    </xf>
    <xf numFmtId="39" fontId="5" fillId="0" borderId="0" xfId="21" applyNumberFormat="1" applyFont="1" applyAlignment="1">
      <alignment horizontal="center" vertical="center" wrapText="1"/>
    </xf>
    <xf numFmtId="164" fontId="13" fillId="0" borderId="0" xfId="0" applyFont="1" applyAlignment="1">
      <alignment horizontal="center"/>
    </xf>
    <xf numFmtId="164" fontId="13" fillId="0" borderId="0" xfId="0" applyFont="1" applyAlignment="1">
      <alignment horizontal="right"/>
    </xf>
    <xf numFmtId="0" fontId="5" fillId="31" borderId="0" xfId="0" applyNumberFormat="1" applyFont="1" applyFill="1" applyAlignment="1">
      <alignment horizontal="left"/>
    </xf>
    <xf numFmtId="164" fontId="5" fillId="0" borderId="0" xfId="0" applyFont="1" applyAlignment="1">
      <alignment horizontal="center"/>
    </xf>
    <xf numFmtId="164" fontId="24" fillId="0" borderId="230" xfId="0" applyFont="1" applyBorder="1" applyAlignment="1">
      <alignment horizontal="center" vertical="center" wrapText="1"/>
    </xf>
    <xf numFmtId="164" fontId="24" fillId="0" borderId="231" xfId="0" applyFont="1" applyBorder="1" applyAlignment="1">
      <alignment horizontal="center" vertical="center" wrapText="1"/>
    </xf>
    <xf numFmtId="164" fontId="131" fillId="0" borderId="233" xfId="0" applyFont="1" applyBorder="1" applyAlignment="1">
      <alignment horizontal="center" vertical="center" wrapText="1"/>
    </xf>
    <xf numFmtId="164" fontId="24" fillId="0" borderId="234" xfId="0" applyFont="1" applyBorder="1" applyAlignment="1">
      <alignment horizontal="center" vertical="center" wrapText="1"/>
    </xf>
    <xf numFmtId="164" fontId="131" fillId="0" borderId="234" xfId="0" applyFont="1" applyBorder="1" applyAlignment="1">
      <alignment horizontal="center" vertical="center" wrapText="1"/>
    </xf>
    <xf numFmtId="164" fontId="24" fillId="7" borderId="233" xfId="0" applyFont="1" applyFill="1" applyBorder="1" applyAlignment="1">
      <alignment horizontal="center" vertical="center" wrapText="1"/>
    </xf>
    <xf numFmtId="164" fontId="24" fillId="7" borderId="234" xfId="0" applyFont="1" applyFill="1" applyBorder="1" applyAlignment="1">
      <alignment horizontal="center" vertical="center" wrapText="1"/>
    </xf>
    <xf numFmtId="164" fontId="24" fillId="18" borderId="234" xfId="0" applyFont="1" applyFill="1" applyBorder="1" applyAlignment="1">
      <alignment horizontal="center" vertical="center" wrapText="1"/>
    </xf>
    <xf numFmtId="164" fontId="24" fillId="18" borderId="234" xfId="0" applyFont="1" applyFill="1" applyBorder="1" applyAlignment="1">
      <alignment horizontal="left" vertical="center" wrapText="1" indent="1"/>
    </xf>
    <xf numFmtId="164" fontId="13" fillId="18" borderId="0" xfId="0" applyFont="1" applyFill="1"/>
    <xf numFmtId="164" fontId="135" fillId="0" borderId="236" xfId="0" applyFont="1" applyBorder="1" applyAlignment="1">
      <alignment vertical="center" wrapText="1"/>
    </xf>
    <xf numFmtId="164" fontId="135" fillId="0" borderId="0" xfId="0" applyFont="1" applyAlignment="1">
      <alignment vertical="center" wrapText="1"/>
    </xf>
    <xf numFmtId="164" fontId="5" fillId="31" borderId="0" xfId="0" applyFont="1" applyFill="1"/>
    <xf numFmtId="164" fontId="136" fillId="0" borderId="0" xfId="0" applyFont="1" applyAlignment="1">
      <alignment vertical="center"/>
    </xf>
    <xf numFmtId="164" fontId="4" fillId="0" borderId="0" xfId="0" applyFont="1" applyAlignment="1">
      <alignment horizontal="center"/>
    </xf>
    <xf numFmtId="164" fontId="24" fillId="0" borderId="233" xfId="0" applyFont="1" applyBorder="1" applyAlignment="1">
      <alignment horizontal="center" vertical="center" wrapText="1"/>
    </xf>
    <xf numFmtId="164" fontId="24" fillId="0" borderId="0" xfId="0" applyFont="1" applyAlignment="1">
      <alignment horizontal="center" vertical="center"/>
    </xf>
    <xf numFmtId="164" fontId="24" fillId="0" borderId="0" xfId="0" applyFont="1" applyAlignment="1">
      <alignment vertical="center"/>
    </xf>
    <xf numFmtId="164" fontId="24" fillId="0" borderId="231" xfId="0" applyFont="1" applyBorder="1" applyAlignment="1">
      <alignment horizontal="left" vertical="center" wrapText="1" indent="1"/>
    </xf>
    <xf numFmtId="164" fontId="24" fillId="0" borderId="234" xfId="0" applyFont="1" applyBorder="1" applyAlignment="1">
      <alignment horizontal="left" vertical="center" wrapText="1" indent="1"/>
    </xf>
    <xf numFmtId="164" fontId="137" fillId="0" borderId="0" xfId="0" applyFont="1" applyAlignment="1">
      <alignment vertical="center"/>
    </xf>
    <xf numFmtId="164" fontId="24" fillId="18" borderId="234" xfId="0" applyFont="1" applyFill="1" applyBorder="1" applyAlignment="1">
      <alignment horizontal="right" vertical="center" wrapText="1"/>
    </xf>
    <xf numFmtId="164" fontId="139" fillId="0" borderId="0" xfId="0" applyFont="1" applyAlignment="1">
      <alignment vertical="center"/>
    </xf>
    <xf numFmtId="164" fontId="24" fillId="0" borderId="232" xfId="0" applyFont="1" applyBorder="1" applyAlignment="1">
      <alignment horizontal="center" vertical="center" wrapText="1"/>
    </xf>
    <xf numFmtId="164" fontId="24" fillId="0" borderId="238" xfId="0" applyFont="1" applyBorder="1" applyAlignment="1">
      <alignment horizontal="center" vertical="center" wrapText="1"/>
    </xf>
    <xf numFmtId="164" fontId="24" fillId="0" borderId="238" xfId="0" applyFont="1" applyBorder="1" applyAlignment="1">
      <alignment horizontal="left" vertical="center" wrapText="1" indent="1"/>
    </xf>
    <xf numFmtId="164" fontId="24" fillId="7" borderId="234" xfId="0" applyFont="1" applyFill="1" applyBorder="1" applyAlignment="1">
      <alignment horizontal="left" vertical="center" wrapText="1" indent="1"/>
    </xf>
    <xf numFmtId="164" fontId="24" fillId="32" borderId="234" xfId="0" applyFont="1" applyFill="1" applyBorder="1" applyAlignment="1">
      <alignment horizontal="center" vertical="center" wrapText="1"/>
    </xf>
    <xf numFmtId="164" fontId="24" fillId="0" borderId="0" xfId="0" applyFont="1" applyAlignment="1">
      <alignment horizontal="center" vertical="center" wrapText="1"/>
    </xf>
    <xf numFmtId="164" fontId="24" fillId="0" borderId="0" xfId="0" applyFont="1" applyAlignment="1">
      <alignment horizontal="left" vertical="center" wrapText="1" indent="1"/>
    </xf>
    <xf numFmtId="164" fontId="24" fillId="0" borderId="241" xfId="0" applyFont="1" applyBorder="1" applyAlignment="1">
      <alignment horizontal="center" vertical="center" wrapText="1"/>
    </xf>
    <xf numFmtId="164" fontId="140" fillId="0" borderId="241" xfId="0" applyFont="1" applyBorder="1" applyAlignment="1">
      <alignment horizontal="center" vertical="center" wrapText="1"/>
    </xf>
    <xf numFmtId="164" fontId="131" fillId="0" borderId="241" xfId="0" applyFont="1" applyBorder="1" applyAlignment="1">
      <alignment horizontal="center" vertical="center" wrapText="1"/>
    </xf>
    <xf numFmtId="164" fontId="24" fillId="7" borderId="241" xfId="0" applyFont="1" applyFill="1" applyBorder="1" applyAlignment="1">
      <alignment horizontal="center" vertical="center" wrapText="1"/>
    </xf>
    <xf numFmtId="164" fontId="24" fillId="18" borderId="241" xfId="0" applyFont="1" applyFill="1" applyBorder="1" applyAlignment="1">
      <alignment horizontal="center" vertical="center" wrapText="1"/>
    </xf>
    <xf numFmtId="164" fontId="24" fillId="18" borderId="241" xfId="0" applyFont="1" applyFill="1" applyBorder="1" applyAlignment="1">
      <alignment horizontal="left" vertical="center" wrapText="1" indent="1"/>
    </xf>
    <xf numFmtId="164" fontId="132" fillId="0" borderId="0" xfId="0" applyFont="1" applyAlignment="1">
      <alignment vertical="center"/>
    </xf>
    <xf numFmtId="164" fontId="24" fillId="7" borderId="234" xfId="0" applyFont="1" applyFill="1" applyBorder="1" applyAlignment="1">
      <alignment horizontal="right" vertical="center" wrapText="1"/>
    </xf>
    <xf numFmtId="164" fontId="105" fillId="0" borderId="0" xfId="0" applyFont="1" applyAlignment="1">
      <alignment vertical="center"/>
    </xf>
    <xf numFmtId="164" fontId="24" fillId="31" borderId="0" xfId="0" applyFont="1" applyFill="1" applyAlignment="1">
      <alignment vertical="center"/>
    </xf>
    <xf numFmtId="164" fontId="141" fillId="0" borderId="0" xfId="0" applyFont="1" applyAlignment="1">
      <alignment vertical="center"/>
    </xf>
    <xf numFmtId="164" fontId="103" fillId="0" borderId="0" xfId="0" applyFont="1" applyAlignment="1">
      <alignment vertical="center"/>
    </xf>
    <xf numFmtId="164" fontId="113" fillId="0" borderId="0" xfId="0" applyFont="1" applyAlignment="1">
      <alignment vertical="center"/>
    </xf>
    <xf numFmtId="164" fontId="24" fillId="32" borderId="0" xfId="0" applyFont="1" applyFill="1" applyAlignment="1">
      <alignment vertical="center"/>
    </xf>
    <xf numFmtId="164" fontId="24" fillId="0" borderId="238" xfId="0" applyFont="1" applyBorder="1" applyAlignment="1">
      <alignment horizontal="left" vertical="center" wrapText="1"/>
    </xf>
    <xf numFmtId="164" fontId="24" fillId="0" borderId="234" xfId="0" applyFont="1" applyBorder="1" applyAlignment="1">
      <alignment horizontal="left" vertical="center" wrapText="1"/>
    </xf>
    <xf numFmtId="164" fontId="105" fillId="31" borderId="0" xfId="0" applyFont="1" applyFill="1"/>
    <xf numFmtId="164" fontId="24" fillId="32" borderId="234" xfId="0" applyFont="1" applyFill="1" applyBorder="1" applyAlignment="1">
      <alignment horizontal="left" vertical="center" wrapText="1" indent="1"/>
    </xf>
    <xf numFmtId="164" fontId="143" fillId="0" borderId="233" xfId="0" applyFont="1" applyBorder="1" applyAlignment="1">
      <alignment horizontal="center" vertical="center" wrapText="1"/>
    </xf>
    <xf numFmtId="164" fontId="143" fillId="0" borderId="234" xfId="0" applyFont="1" applyBorder="1" applyAlignment="1">
      <alignment horizontal="center" vertical="center" wrapText="1"/>
    </xf>
    <xf numFmtId="164" fontId="143" fillId="0" borderId="231" xfId="0" applyFont="1" applyBorder="1" applyAlignment="1">
      <alignment horizontal="center" vertical="center" wrapText="1"/>
    </xf>
    <xf numFmtId="164" fontId="138" fillId="0" borderId="0" xfId="0" applyFont="1" applyAlignment="1">
      <alignment vertical="center"/>
    </xf>
    <xf numFmtId="164" fontId="145" fillId="0" borderId="0" xfId="0" applyFont="1" applyAlignment="1">
      <alignment vertical="center"/>
    </xf>
    <xf numFmtId="164" fontId="24" fillId="7" borderId="229" xfId="0" applyFont="1" applyFill="1" applyBorder="1" applyAlignment="1">
      <alignment vertical="center" wrapText="1"/>
    </xf>
    <xf numFmtId="164" fontId="5" fillId="0" borderId="236" xfId="0" applyFont="1" applyBorder="1"/>
    <xf numFmtId="164" fontId="24" fillId="0" borderId="0" xfId="0" applyFont="1" applyAlignment="1">
      <alignment horizontal="left" vertical="center" wrapText="1"/>
    </xf>
    <xf numFmtId="164" fontId="143" fillId="0" borderId="239" xfId="0" applyFont="1" applyBorder="1" applyAlignment="1">
      <alignment vertical="center" wrapText="1"/>
    </xf>
    <xf numFmtId="164" fontId="24" fillId="7" borderId="227" xfId="0" applyFont="1" applyFill="1" applyBorder="1" applyAlignment="1">
      <alignment vertical="center" wrapText="1"/>
    </xf>
    <xf numFmtId="164" fontId="24" fillId="32" borderId="233" xfId="0" applyFont="1" applyFill="1" applyBorder="1" applyAlignment="1">
      <alignment horizontal="center" vertical="center" wrapText="1"/>
    </xf>
    <xf numFmtId="164" fontId="5" fillId="0" borderId="236" xfId="0" applyFont="1" applyBorder="1" applyAlignment="1">
      <alignment horizontal="center"/>
    </xf>
    <xf numFmtId="164" fontId="24" fillId="0" borderId="239" xfId="0" applyFont="1" applyBorder="1" applyAlignment="1">
      <alignment horizontal="center" vertical="center" wrapText="1"/>
    </xf>
    <xf numFmtId="164" fontId="24" fillId="32" borderId="241" xfId="0" applyFont="1" applyFill="1" applyBorder="1" applyAlignment="1">
      <alignment horizontal="center" vertical="center" wrapText="1"/>
    </xf>
    <xf numFmtId="164" fontId="140" fillId="0" borderId="236" xfId="0" applyFont="1" applyBorder="1" applyAlignment="1">
      <alignment vertical="center" wrapText="1"/>
    </xf>
    <xf numFmtId="164" fontId="140" fillId="0" borderId="0" xfId="0" applyFont="1" applyAlignment="1">
      <alignment vertical="center" wrapText="1"/>
    </xf>
    <xf numFmtId="164" fontId="131" fillId="0" borderId="0" xfId="0" applyFont="1" applyAlignment="1">
      <alignment vertical="center"/>
    </xf>
    <xf numFmtId="164" fontId="146" fillId="0" borderId="0" xfId="0" applyFont="1" applyAlignment="1">
      <alignment vertical="center"/>
    </xf>
    <xf numFmtId="164" fontId="84" fillId="26" borderId="105" xfId="4" applyNumberFormat="1" applyFont="1" applyFill="1" applyBorder="1" applyAlignment="1" applyProtection="1">
      <alignment vertical="center" wrapText="1"/>
    </xf>
    <xf numFmtId="164" fontId="42" fillId="26" borderId="107" xfId="4" applyNumberFormat="1" applyFont="1" applyFill="1" applyBorder="1" applyAlignment="1" applyProtection="1">
      <alignment vertical="center" wrapText="1"/>
    </xf>
    <xf numFmtId="164" fontId="13" fillId="10" borderId="0" xfId="0" applyFont="1" applyFill="1" applyAlignment="1">
      <alignment horizontal="center" vertical="center" wrapText="1"/>
    </xf>
    <xf numFmtId="164" fontId="147" fillId="9" borderId="134" xfId="0" applyFont="1" applyFill="1" applyBorder="1" applyAlignment="1">
      <alignment horizontal="center" vertical="center" wrapText="1"/>
    </xf>
    <xf numFmtId="164" fontId="5" fillId="0" borderId="57" xfId="0" applyFont="1" applyBorder="1" applyAlignment="1">
      <alignment horizontal="center" vertical="center" wrapText="1"/>
    </xf>
    <xf numFmtId="164" fontId="147" fillId="9" borderId="140" xfId="0" applyFont="1" applyFill="1" applyBorder="1" applyAlignment="1">
      <alignment horizontal="center" vertical="center" wrapText="1"/>
    </xf>
    <xf numFmtId="164" fontId="5" fillId="0" borderId="68" xfId="0" applyFont="1" applyBorder="1" applyAlignment="1">
      <alignment horizontal="center" vertical="center" wrapText="1"/>
    </xf>
    <xf numFmtId="164" fontId="5" fillId="0" borderId="146" xfId="0" applyFont="1" applyBorder="1" applyAlignment="1">
      <alignment horizontal="center" vertical="center" wrapText="1"/>
    </xf>
    <xf numFmtId="164" fontId="5" fillId="29" borderId="141" xfId="0" applyFont="1" applyFill="1" applyBorder="1" applyAlignment="1">
      <alignment horizontal="center" vertical="center"/>
    </xf>
    <xf numFmtId="164" fontId="42" fillId="0" borderId="173" xfId="0" applyFont="1" applyBorder="1" applyAlignment="1">
      <alignment horizontal="centerContinuous" vertical="center" wrapText="1"/>
    </xf>
    <xf numFmtId="164" fontId="5" fillId="10" borderId="68" xfId="3" applyNumberFormat="1" applyFont="1" applyFill="1" applyBorder="1" applyAlignment="1">
      <alignment horizontal="center" vertical="center" wrapText="1"/>
    </xf>
    <xf numFmtId="164" fontId="5" fillId="0" borderId="52" xfId="0" applyFont="1" applyBorder="1" applyAlignment="1">
      <alignment horizontal="center" vertical="center" wrapText="1"/>
    </xf>
    <xf numFmtId="164" fontId="13" fillId="0" borderId="175" xfId="0" applyFont="1" applyBorder="1" applyAlignment="1">
      <alignment horizontal="center" vertical="center" wrapText="1"/>
    </xf>
    <xf numFmtId="164" fontId="5" fillId="0" borderId="72" xfId="0" applyFont="1" applyBorder="1" applyAlignment="1">
      <alignment horizontal="center" vertical="center" wrapText="1"/>
    </xf>
    <xf numFmtId="164" fontId="5" fillId="0" borderId="67" xfId="0" applyFont="1" applyBorder="1" applyAlignment="1">
      <alignment horizontal="center" vertical="center" wrapText="1"/>
    </xf>
    <xf numFmtId="164" fontId="5" fillId="0" borderId="128" xfId="0" applyFont="1" applyBorder="1" applyAlignment="1">
      <alignment horizontal="center" vertical="center" wrapText="1"/>
    </xf>
    <xf numFmtId="164" fontId="5" fillId="9" borderId="0" xfId="0" applyFont="1" applyFill="1" applyAlignment="1">
      <alignment horizontal="center" vertical="center" wrapText="1"/>
    </xf>
    <xf numFmtId="209" fontId="5" fillId="5" borderId="74" xfId="23" applyNumberFormat="1" applyFont="1" applyFill="1" applyBorder="1" applyAlignment="1">
      <alignment horizontal="centerContinuous" vertical="center" wrapText="1"/>
    </xf>
    <xf numFmtId="209" fontId="5" fillId="5" borderId="51" xfId="23" applyNumberFormat="1" applyFont="1" applyFill="1" applyBorder="1" applyAlignment="1">
      <alignment horizontal="centerContinuous" vertical="center" wrapText="1"/>
    </xf>
    <xf numFmtId="209" fontId="5" fillId="5" borderId="132" xfId="23" applyNumberFormat="1" applyFont="1" applyFill="1" applyBorder="1" applyAlignment="1">
      <alignment horizontal="centerContinuous" vertical="center" wrapText="1"/>
    </xf>
    <xf numFmtId="0" fontId="5" fillId="0" borderId="0" xfId="24"/>
    <xf numFmtId="209" fontId="35" fillId="5" borderId="59" xfId="23" applyNumberFormat="1" applyFont="1" applyFill="1" applyBorder="1" applyAlignment="1" applyProtection="1">
      <alignment horizontal="center" vertical="center" wrapText="1"/>
      <protection locked="0"/>
    </xf>
    <xf numFmtId="209" fontId="35" fillId="5" borderId="139" xfId="23" applyNumberFormat="1" applyFont="1" applyFill="1" applyBorder="1" applyAlignment="1" applyProtection="1">
      <alignment horizontal="center" vertical="center" wrapText="1"/>
      <protection locked="0"/>
    </xf>
    <xf numFmtId="164" fontId="35" fillId="0" borderId="49" xfId="23" applyFont="1" applyBorder="1" applyAlignment="1" applyProtection="1">
      <alignment horizontal="center" vertical="center" wrapText="1"/>
      <protection locked="0"/>
    </xf>
    <xf numFmtId="164" fontId="90" fillId="0" borderId="49" xfId="23" applyFont="1" applyBorder="1" applyAlignment="1" applyProtection="1">
      <alignment horizontal="center" vertical="center" wrapText="1"/>
      <protection locked="0"/>
    </xf>
    <xf numFmtId="37" fontId="35" fillId="0" borderId="49" xfId="23" applyNumberFormat="1" applyFont="1" applyBorder="1" applyAlignment="1" applyProtection="1">
      <alignment horizontal="center" vertical="center" wrapText="1"/>
      <protection locked="0"/>
    </xf>
    <xf numFmtId="209" fontId="35" fillId="0" borderId="49" xfId="23" applyNumberFormat="1" applyFont="1" applyBorder="1" applyAlignment="1" applyProtection="1">
      <alignment horizontal="center" vertical="center" wrapText="1"/>
      <protection locked="0"/>
    </xf>
    <xf numFmtId="0" fontId="35" fillId="0" borderId="50" xfId="24" applyFont="1" applyBorder="1" applyAlignment="1">
      <alignment horizontal="center" vertical="center"/>
    </xf>
    <xf numFmtId="164" fontId="35" fillId="0" borderId="62" xfId="23" applyFont="1" applyBorder="1" applyAlignment="1" applyProtection="1">
      <alignment horizontal="center" vertical="center" wrapText="1"/>
      <protection locked="0"/>
    </xf>
    <xf numFmtId="0" fontId="35" fillId="0" borderId="141" xfId="24" applyFont="1" applyBorder="1" applyAlignment="1">
      <alignment horizontal="center" vertical="center"/>
    </xf>
    <xf numFmtId="0" fontId="35" fillId="0" borderId="49" xfId="24" applyFont="1" applyBorder="1" applyAlignment="1">
      <alignment horizontal="center" vertical="center"/>
    </xf>
    <xf numFmtId="164" fontId="35" fillId="0" borderId="9" xfId="23" applyFont="1" applyBorder="1" applyAlignment="1" applyProtection="1">
      <alignment horizontal="center" vertical="center" wrapText="1"/>
      <protection locked="0"/>
    </xf>
    <xf numFmtId="164" fontId="90" fillId="0" borderId="9" xfId="23" applyFont="1" applyBorder="1" applyAlignment="1" applyProtection="1">
      <alignment horizontal="center" vertical="center" wrapText="1"/>
      <protection locked="0"/>
    </xf>
    <xf numFmtId="37" fontId="35" fillId="0" borderId="9" xfId="23" applyNumberFormat="1" applyFont="1" applyBorder="1" applyAlignment="1" applyProtection="1">
      <alignment horizontal="center" vertical="center" wrapText="1"/>
      <protection locked="0"/>
    </xf>
    <xf numFmtId="209" fontId="35" fillId="0" borderId="9" xfId="23" applyNumberFormat="1" applyFont="1" applyBorder="1" applyAlignment="1" applyProtection="1">
      <alignment horizontal="center" vertical="center" wrapText="1"/>
      <protection locked="0"/>
    </xf>
    <xf numFmtId="0" fontId="35" fillId="0" borderId="80" xfId="24" applyFont="1" applyBorder="1" applyAlignment="1">
      <alignment horizontal="center" vertical="center"/>
    </xf>
    <xf numFmtId="164" fontId="35" fillId="0" borderId="0" xfId="23" applyFont="1" applyAlignment="1" applyProtection="1">
      <alignment horizontal="center" vertical="center" wrapText="1"/>
      <protection locked="0"/>
    </xf>
    <xf numFmtId="0" fontId="35" fillId="0" borderId="68" xfId="24" applyFont="1" applyBorder="1" applyAlignment="1">
      <alignment horizontal="center" vertical="center"/>
    </xf>
    <xf numFmtId="0" fontId="35" fillId="0" borderId="9" xfId="24" applyFont="1" applyBorder="1" applyAlignment="1">
      <alignment horizontal="center" vertical="center"/>
    </xf>
    <xf numFmtId="164" fontId="35" fillId="0" borderId="68" xfId="23" applyFont="1" applyBorder="1" applyAlignment="1" applyProtection="1">
      <alignment horizontal="center" vertical="center" wrapText="1"/>
      <protection locked="0"/>
    </xf>
    <xf numFmtId="164" fontId="5" fillId="0" borderId="0" xfId="23" applyFont="1" applyAlignment="1" applyProtection="1">
      <alignment horizontal="center" vertical="center" wrapText="1"/>
      <protection locked="0"/>
    </xf>
    <xf numFmtId="164" fontId="5" fillId="0" borderId="0" xfId="23" applyFont="1" applyProtection="1">
      <protection locked="0"/>
    </xf>
    <xf numFmtId="0" fontId="91" fillId="0" borderId="0" xfId="24" applyFont="1" applyAlignment="1">
      <alignment horizontal="center" vertical="center" wrapText="1"/>
    </xf>
    <xf numFmtId="0" fontId="91" fillId="0" borderId="0" xfId="24" applyFont="1" applyAlignment="1">
      <alignment horizontal="center" vertical="center"/>
    </xf>
    <xf numFmtId="214" fontId="91" fillId="0" borderId="0" xfId="24" applyNumberFormat="1" applyFont="1" applyAlignment="1">
      <alignment horizontal="center" vertical="center" wrapText="1"/>
    </xf>
    <xf numFmtId="164" fontId="5" fillId="0" borderId="0" xfId="23" applyFont="1" applyAlignment="1" applyProtection="1">
      <alignment wrapText="1"/>
      <protection locked="0"/>
    </xf>
    <xf numFmtId="215" fontId="91" fillId="0" borderId="0" xfId="24" applyNumberFormat="1" applyFont="1" applyAlignment="1">
      <alignment horizontal="center" vertical="center" wrapText="1"/>
    </xf>
    <xf numFmtId="209" fontId="13" fillId="0" borderId="0" xfId="23" applyNumberFormat="1" applyFont="1" applyAlignment="1">
      <alignment horizontal="left" vertical="center"/>
    </xf>
    <xf numFmtId="164" fontId="5" fillId="0" borderId="0" xfId="23" applyFont="1" applyAlignment="1" applyProtection="1">
      <alignment vertical="center" wrapText="1"/>
      <protection locked="0"/>
    </xf>
    <xf numFmtId="164" fontId="5" fillId="0" borderId="0" xfId="23" applyFont="1" applyAlignment="1" applyProtection="1">
      <alignment horizontal="center" vertical="center"/>
      <protection locked="0"/>
    </xf>
    <xf numFmtId="164" fontId="35" fillId="0" borderId="0" xfId="23" applyFont="1" applyAlignment="1" applyProtection="1">
      <alignment horizontal="center" vertical="center"/>
      <protection locked="0"/>
    </xf>
    <xf numFmtId="164" fontId="5" fillId="0" borderId="0" xfId="23" applyFont="1" applyAlignment="1" applyProtection="1">
      <alignment horizontal="left" vertical="center"/>
      <protection locked="0"/>
    </xf>
    <xf numFmtId="209" fontId="5" fillId="0" borderId="0" xfId="23" applyNumberFormat="1" applyFont="1" applyAlignment="1" applyProtection="1">
      <alignment horizontal="left" vertical="center"/>
      <protection locked="0"/>
    </xf>
    <xf numFmtId="214" fontId="35" fillId="0" borderId="0" xfId="0" applyNumberFormat="1" applyFont="1" applyAlignment="1">
      <alignment horizontal="center" vertical="center" wrapText="1"/>
    </xf>
    <xf numFmtId="164" fontId="5" fillId="0" borderId="0" xfId="23" applyFont="1" applyAlignment="1" applyProtection="1">
      <alignment horizontal="left"/>
      <protection locked="0"/>
    </xf>
    <xf numFmtId="164" fontId="5" fillId="0" borderId="10" xfId="0" applyFont="1" applyBorder="1" applyAlignment="1">
      <alignment horizontal="center" vertical="center"/>
    </xf>
    <xf numFmtId="209" fontId="5" fillId="0" borderId="10" xfId="0" applyNumberFormat="1" applyFont="1" applyBorder="1" applyAlignment="1">
      <alignment horizontal="center" vertical="center" wrapText="1"/>
    </xf>
    <xf numFmtId="2" fontId="5" fillId="0" borderId="10" xfId="0" applyNumberFormat="1" applyFont="1" applyBorder="1" applyAlignment="1">
      <alignment horizontal="center" vertical="center"/>
    </xf>
    <xf numFmtId="2" fontId="5" fillId="0" borderId="41" xfId="0" applyNumberFormat="1" applyFont="1" applyBorder="1" applyAlignment="1">
      <alignment horizontal="center" vertical="center"/>
    </xf>
    <xf numFmtId="2" fontId="5" fillId="0" borderId="71" xfId="0" applyNumberFormat="1" applyFont="1" applyBorder="1" applyAlignment="1">
      <alignment horizontal="center" vertical="center"/>
    </xf>
    <xf numFmtId="37" fontId="0" fillId="0" borderId="0" xfId="0" applyNumberFormat="1"/>
    <xf numFmtId="39" fontId="0" fillId="0" borderId="0" xfId="0" applyNumberFormat="1"/>
    <xf numFmtId="209" fontId="0" fillId="0" borderId="0" xfId="0" applyNumberFormat="1"/>
    <xf numFmtId="164" fontId="13" fillId="26" borderId="243" xfId="23" applyFont="1" applyFill="1" applyBorder="1" applyAlignment="1" applyProtection="1">
      <alignment horizontal="center" vertical="center" wrapText="1"/>
      <protection locked="0"/>
    </xf>
    <xf numFmtId="164" fontId="13" fillId="26" borderId="150" xfId="23" applyFont="1" applyFill="1" applyBorder="1" applyAlignment="1" applyProtection="1">
      <alignment horizontal="center" vertical="center" wrapText="1"/>
      <protection locked="0"/>
    </xf>
    <xf numFmtId="164" fontId="13" fillId="26" borderId="149" xfId="23" applyFont="1" applyFill="1" applyBorder="1" applyAlignment="1" applyProtection="1">
      <alignment horizontal="center" vertical="center" wrapText="1"/>
      <protection locked="0"/>
    </xf>
    <xf numFmtId="164" fontId="154" fillId="0" borderId="0" xfId="23" applyFont="1" applyAlignment="1" applyProtection="1">
      <alignment horizontal="center" vertical="center" wrapText="1"/>
      <protection locked="0"/>
    </xf>
    <xf numFmtId="49" fontId="5" fillId="0" borderId="74" xfId="23" applyNumberFormat="1" applyFont="1" applyBorder="1" applyAlignment="1" applyProtection="1">
      <alignment horizontal="center" vertical="center"/>
      <protection locked="0"/>
    </xf>
    <xf numFmtId="0" fontId="0" fillId="0" borderId="0" xfId="0" applyNumberFormat="1"/>
    <xf numFmtId="37" fontId="13" fillId="0" borderId="102" xfId="23" applyNumberFormat="1" applyFont="1" applyBorder="1" applyAlignment="1">
      <alignment horizontal="center" vertical="center"/>
    </xf>
    <xf numFmtId="37" fontId="13" fillId="0" borderId="9" xfId="23" applyNumberFormat="1" applyFont="1" applyBorder="1" applyAlignment="1">
      <alignment horizontal="center" vertical="center"/>
    </xf>
    <xf numFmtId="37" fontId="13" fillId="0" borderId="49" xfId="23" applyNumberFormat="1" applyFont="1" applyBorder="1" applyAlignment="1">
      <alignment horizontal="center" vertical="center"/>
    </xf>
    <xf numFmtId="37" fontId="13" fillId="0" borderId="181" xfId="23" applyNumberFormat="1" applyFont="1" applyBorder="1" applyAlignment="1">
      <alignment horizontal="center" vertical="center"/>
    </xf>
    <xf numFmtId="37" fontId="5" fillId="0" borderId="0" xfId="23" applyNumberFormat="1" applyFont="1" applyAlignment="1">
      <alignment horizontal="center" vertical="center" wrapText="1"/>
    </xf>
    <xf numFmtId="11" fontId="35" fillId="0" borderId="10" xfId="0" applyNumberFormat="1" applyFont="1" applyBorder="1" applyAlignment="1">
      <alignment horizontal="center" vertical="center"/>
    </xf>
    <xf numFmtId="214" fontId="5" fillId="4" borderId="102" xfId="23" applyNumberFormat="1" applyFont="1" applyFill="1" applyBorder="1" applyAlignment="1">
      <alignment horizontal="center" vertical="center" wrapText="1"/>
    </xf>
    <xf numFmtId="214" fontId="5" fillId="4" borderId="9" xfId="23" applyNumberFormat="1" applyFont="1" applyFill="1" applyBorder="1" applyAlignment="1">
      <alignment horizontal="center" vertical="center" wrapText="1"/>
    </xf>
    <xf numFmtId="214" fontId="5" fillId="4" borderId="103" xfId="23" applyNumberFormat="1" applyFont="1" applyFill="1" applyBorder="1" applyAlignment="1">
      <alignment horizontal="center" vertical="center" wrapText="1"/>
    </xf>
    <xf numFmtId="164" fontId="154" fillId="0" borderId="0" xfId="23" applyFont="1" applyAlignment="1">
      <alignment horizontal="center" vertical="center" wrapText="1"/>
    </xf>
    <xf numFmtId="164" fontId="5" fillId="0" borderId="59" xfId="23" applyFont="1" applyBorder="1" applyAlignment="1" applyProtection="1">
      <alignment horizontal="center" vertical="center"/>
      <protection locked="0"/>
    </xf>
    <xf numFmtId="164" fontId="5" fillId="0" borderId="59" xfId="23" applyFont="1" applyBorder="1" applyAlignment="1" applyProtection="1">
      <alignment horizontal="center" vertical="center" wrapText="1"/>
      <protection locked="0"/>
    </xf>
    <xf numFmtId="209" fontId="5" fillId="0" borderId="102" xfId="23" applyNumberFormat="1" applyFont="1" applyBorder="1" applyAlignment="1">
      <alignment horizontal="center" vertical="center"/>
    </xf>
    <xf numFmtId="209" fontId="5" fillId="0" borderId="9" xfId="23" applyNumberFormat="1" applyFont="1" applyBorder="1" applyAlignment="1">
      <alignment horizontal="center" vertical="center"/>
    </xf>
    <xf numFmtId="209" fontId="5" fillId="0" borderId="103" xfId="23" applyNumberFormat="1" applyFont="1" applyBorder="1" applyAlignment="1">
      <alignment horizontal="center" vertical="center"/>
    </xf>
    <xf numFmtId="37" fontId="154" fillId="0" borderId="0" xfId="23" applyNumberFormat="1" applyFont="1" applyAlignment="1" applyProtection="1">
      <alignment horizontal="center" vertical="center"/>
      <protection locked="0"/>
    </xf>
    <xf numFmtId="37" fontId="5" fillId="0" borderId="59" xfId="23" applyNumberFormat="1" applyFont="1" applyBorder="1" applyAlignment="1" applyProtection="1">
      <alignment horizontal="center" vertical="center"/>
      <protection locked="0"/>
    </xf>
    <xf numFmtId="37" fontId="5" fillId="0" borderId="59" xfId="23" applyNumberFormat="1" applyFont="1" applyBorder="1" applyAlignment="1" applyProtection="1">
      <alignment horizontal="center" vertical="center" wrapText="1"/>
      <protection locked="0"/>
    </xf>
    <xf numFmtId="214" fontId="154" fillId="0" borderId="0" xfId="23" applyNumberFormat="1" applyFont="1" applyAlignment="1">
      <alignment horizontal="center" vertical="center"/>
    </xf>
    <xf numFmtId="209" fontId="5" fillId="0" borderId="0" xfId="23" applyNumberFormat="1" applyFont="1" applyAlignment="1">
      <alignment horizontal="center" vertical="center" wrapText="1"/>
    </xf>
    <xf numFmtId="209" fontId="5" fillId="9" borderId="9" xfId="23" applyNumberFormat="1" applyFont="1" applyFill="1" applyBorder="1" applyAlignment="1">
      <alignment horizontal="center" vertical="center"/>
    </xf>
    <xf numFmtId="209" fontId="154" fillId="0" borderId="0" xfId="23" applyNumberFormat="1" applyFont="1" applyAlignment="1">
      <alignment horizontal="center" vertical="center"/>
    </xf>
    <xf numFmtId="209" fontId="5" fillId="0" borderId="0" xfId="23" applyNumberFormat="1" applyFont="1" applyAlignment="1" applyProtection="1">
      <alignment horizontal="center" vertical="center" wrapText="1"/>
      <protection locked="0"/>
    </xf>
    <xf numFmtId="209" fontId="5" fillId="9" borderId="103" xfId="23" applyNumberFormat="1" applyFont="1" applyFill="1" applyBorder="1" applyAlignment="1">
      <alignment horizontal="center" vertical="center"/>
    </xf>
    <xf numFmtId="209" fontId="5" fillId="4" borderId="102" xfId="23" applyNumberFormat="1" applyFont="1" applyFill="1" applyBorder="1" applyAlignment="1">
      <alignment horizontal="center" vertical="center"/>
    </xf>
    <xf numFmtId="209" fontId="5" fillId="4" borderId="9" xfId="23" applyNumberFormat="1" applyFont="1" applyFill="1" applyBorder="1" applyAlignment="1">
      <alignment horizontal="center" vertical="center"/>
    </xf>
    <xf numFmtId="209" fontId="5" fillId="4" borderId="103" xfId="23" applyNumberFormat="1" applyFont="1" applyFill="1" applyBorder="1" applyAlignment="1">
      <alignment horizontal="center" vertical="center"/>
    </xf>
    <xf numFmtId="209" fontId="5" fillId="7" borderId="9" xfId="23" applyNumberFormat="1" applyFont="1" applyFill="1" applyBorder="1" applyAlignment="1">
      <alignment horizontal="center" vertical="center"/>
    </xf>
    <xf numFmtId="209" fontId="5" fillId="7" borderId="103" xfId="23" applyNumberFormat="1" applyFont="1" applyFill="1" applyBorder="1" applyAlignment="1">
      <alignment horizontal="center" vertical="center"/>
    </xf>
    <xf numFmtId="37" fontId="5" fillId="4" borderId="122" xfId="23" applyNumberFormat="1" applyFont="1" applyFill="1" applyBorder="1" applyAlignment="1">
      <alignment horizontal="center" vertical="center"/>
    </xf>
    <xf numFmtId="37" fontId="5" fillId="4" borderId="71" xfId="23" applyNumberFormat="1" applyFont="1" applyFill="1" applyBorder="1" applyAlignment="1">
      <alignment horizontal="center" vertical="center"/>
    </xf>
    <xf numFmtId="37" fontId="5" fillId="4" borderId="142" xfId="23" applyNumberFormat="1" applyFont="1" applyFill="1" applyBorder="1" applyAlignment="1">
      <alignment horizontal="center" vertical="center"/>
    </xf>
    <xf numFmtId="37" fontId="154" fillId="0" borderId="0" xfId="23" applyNumberFormat="1" applyFont="1" applyAlignment="1">
      <alignment horizontal="center" vertical="center"/>
    </xf>
    <xf numFmtId="39" fontId="4" fillId="4" borderId="122" xfId="23" applyNumberFormat="1" applyFont="1" applyFill="1" applyBorder="1" applyAlignment="1">
      <alignment horizontal="center" vertical="center"/>
    </xf>
    <xf numFmtId="39" fontId="4" fillId="4" borderId="71" xfId="23" applyNumberFormat="1" applyFont="1" applyFill="1" applyBorder="1" applyAlignment="1">
      <alignment horizontal="center" vertical="center"/>
    </xf>
    <xf numFmtId="39" fontId="4" fillId="4" borderId="142" xfId="23" applyNumberFormat="1" applyFont="1" applyFill="1" applyBorder="1" applyAlignment="1">
      <alignment horizontal="center" vertical="center"/>
    </xf>
    <xf numFmtId="39" fontId="155" fillId="0" borderId="0" xfId="23" applyNumberFormat="1" applyFont="1" applyAlignment="1">
      <alignment horizontal="center" vertical="center"/>
    </xf>
    <xf numFmtId="209" fontId="5" fillId="4" borderId="123" xfId="23" applyNumberFormat="1" applyFont="1" applyFill="1" applyBorder="1" applyAlignment="1">
      <alignment horizontal="center" vertical="center"/>
    </xf>
    <xf numFmtId="209" fontId="5" fillId="4" borderId="41" xfId="23" applyNumberFormat="1" applyFont="1" applyFill="1" applyBorder="1" applyAlignment="1">
      <alignment horizontal="center" vertical="center"/>
    </xf>
    <xf numFmtId="209" fontId="5" fillId="4" borderId="173" xfId="23" applyNumberFormat="1" applyFont="1" applyFill="1" applyBorder="1" applyAlignment="1">
      <alignment horizontal="center" vertical="center"/>
    </xf>
    <xf numFmtId="209" fontId="5" fillId="4" borderId="122" xfId="23" applyNumberFormat="1" applyFont="1" applyFill="1" applyBorder="1" applyAlignment="1">
      <alignment horizontal="center" vertical="center"/>
    </xf>
    <xf numFmtId="209" fontId="5" fillId="4" borderId="71" xfId="23" applyNumberFormat="1" applyFont="1" applyFill="1" applyBorder="1" applyAlignment="1">
      <alignment horizontal="center" vertical="center"/>
    </xf>
    <xf numFmtId="209" fontId="5" fillId="4" borderId="142" xfId="23" applyNumberFormat="1" applyFont="1" applyFill="1" applyBorder="1" applyAlignment="1">
      <alignment horizontal="center" vertical="center"/>
    </xf>
    <xf numFmtId="37" fontId="5" fillId="0" borderId="0" xfId="23" applyNumberFormat="1" applyFont="1" applyAlignment="1" applyProtection="1">
      <alignment horizontal="center" vertical="center" wrapText="1"/>
      <protection locked="0"/>
    </xf>
    <xf numFmtId="164" fontId="42" fillId="0" borderId="136" xfId="23" applyFont="1" applyBorder="1" applyAlignment="1">
      <alignment horizontal="center" vertical="center"/>
    </xf>
    <xf numFmtId="164" fontId="42" fillId="0" borderId="136" xfId="23" applyFont="1" applyBorder="1" applyAlignment="1">
      <alignment horizontal="center" vertical="center" wrapText="1"/>
    </xf>
    <xf numFmtId="190" fontId="5" fillId="4" borderId="102" xfId="23" applyNumberFormat="1" applyFont="1" applyFill="1" applyBorder="1" applyAlignment="1">
      <alignment horizontal="center" vertical="center"/>
    </xf>
    <xf numFmtId="190" fontId="5" fillId="4" borderId="9" xfId="23" applyNumberFormat="1" applyFont="1" applyFill="1" applyBorder="1" applyAlignment="1">
      <alignment horizontal="center" vertical="center"/>
    </xf>
    <xf numFmtId="190" fontId="5" fillId="4" borderId="103" xfId="23" applyNumberFormat="1" applyFont="1" applyFill="1" applyBorder="1" applyAlignment="1">
      <alignment horizontal="center" vertical="center"/>
    </xf>
    <xf numFmtId="37" fontId="5" fillId="0" borderId="102" xfId="23" applyNumberFormat="1" applyFont="1" applyBorder="1" applyAlignment="1">
      <alignment horizontal="center" vertical="center"/>
    </xf>
    <xf numFmtId="37" fontId="5" fillId="0" borderId="9" xfId="23" applyNumberFormat="1" applyFont="1" applyBorder="1" applyAlignment="1">
      <alignment horizontal="center" vertical="center"/>
    </xf>
    <xf numFmtId="37" fontId="5" fillId="0" borderId="103" xfId="23" applyNumberFormat="1" applyFont="1" applyBorder="1" applyAlignment="1">
      <alignment horizontal="center" vertical="center"/>
    </xf>
    <xf numFmtId="37" fontId="5" fillId="4" borderId="102" xfId="23" applyNumberFormat="1" applyFont="1" applyFill="1" applyBorder="1" applyAlignment="1">
      <alignment horizontal="center" vertical="center"/>
    </xf>
    <xf numFmtId="37" fontId="5" fillId="4" borderId="9" xfId="23" applyNumberFormat="1" applyFont="1" applyFill="1" applyBorder="1" applyAlignment="1">
      <alignment horizontal="center" vertical="center"/>
    </xf>
    <xf numFmtId="37" fontId="5" fillId="4" borderId="103" xfId="23" applyNumberFormat="1" applyFont="1" applyFill="1" applyBorder="1" applyAlignment="1">
      <alignment horizontal="center" vertical="center"/>
    </xf>
    <xf numFmtId="37" fontId="13" fillId="0" borderId="103" xfId="23" applyNumberFormat="1" applyFont="1" applyBorder="1" applyAlignment="1">
      <alignment horizontal="center" vertical="center"/>
    </xf>
    <xf numFmtId="39" fontId="5" fillId="4" borderId="122" xfId="23" applyNumberFormat="1" applyFont="1" applyFill="1" applyBorder="1" applyAlignment="1">
      <alignment horizontal="center" vertical="center"/>
    </xf>
    <xf numFmtId="39" fontId="5" fillId="4" borderId="71" xfId="23" applyNumberFormat="1" applyFont="1" applyFill="1" applyBorder="1" applyAlignment="1">
      <alignment horizontal="center" vertical="center"/>
    </xf>
    <xf numFmtId="39" fontId="5" fillId="4" borderId="142" xfId="23" applyNumberFormat="1" applyFont="1" applyFill="1" applyBorder="1" applyAlignment="1">
      <alignment horizontal="center" vertical="center"/>
    </xf>
    <xf numFmtId="0" fontId="42" fillId="0" borderId="136" xfId="0" applyNumberFormat="1" applyFont="1" applyBorder="1" applyAlignment="1">
      <alignment horizontal="center" vertical="center"/>
    </xf>
    <xf numFmtId="37" fontId="5" fillId="4" borderId="123" xfId="23" applyNumberFormat="1" applyFont="1" applyFill="1" applyBorder="1" applyAlignment="1">
      <alignment horizontal="center" vertical="center"/>
    </xf>
    <xf numFmtId="37" fontId="5" fillId="4" borderId="41" xfId="23" applyNumberFormat="1" applyFont="1" applyFill="1" applyBorder="1" applyAlignment="1">
      <alignment horizontal="center" vertical="center"/>
    </xf>
    <xf numFmtId="37" fontId="5" fillId="4" borderId="173" xfId="23" applyNumberFormat="1" applyFont="1" applyFill="1" applyBorder="1" applyAlignment="1">
      <alignment horizontal="center" vertical="center"/>
    </xf>
    <xf numFmtId="209" fontId="5" fillId="0" borderId="0" xfId="23" applyNumberFormat="1" applyFont="1" applyAlignment="1">
      <alignment horizontal="left" vertical="center"/>
    </xf>
    <xf numFmtId="37" fontId="5" fillId="4" borderId="102" xfId="23" applyNumberFormat="1" applyFont="1" applyFill="1" applyBorder="1" applyAlignment="1" applyProtection="1">
      <alignment horizontal="center" vertical="center"/>
      <protection locked="0"/>
    </xf>
    <xf numFmtId="37" fontId="5" fillId="4" borderId="9" xfId="23" applyNumberFormat="1" applyFont="1" applyFill="1" applyBorder="1" applyAlignment="1" applyProtection="1">
      <alignment horizontal="center" vertical="center"/>
      <protection locked="0"/>
    </xf>
    <xf numFmtId="37" fontId="5" fillId="4" borderId="103" xfId="23" applyNumberFormat="1" applyFont="1" applyFill="1" applyBorder="1" applyAlignment="1" applyProtection="1">
      <alignment horizontal="center" vertical="center"/>
      <protection locked="0"/>
    </xf>
    <xf numFmtId="37" fontId="5" fillId="0" borderId="0" xfId="23" applyNumberFormat="1" applyFont="1" applyAlignment="1" applyProtection="1">
      <alignment horizontal="center" vertical="center"/>
      <protection locked="0"/>
    </xf>
    <xf numFmtId="0" fontId="42" fillId="0" borderId="173" xfId="0" applyNumberFormat="1" applyFont="1" applyBorder="1" applyAlignment="1">
      <alignment horizontal="center" vertical="center"/>
    </xf>
    <xf numFmtId="209" fontId="5" fillId="0" borderId="54" xfId="23" applyNumberFormat="1" applyFont="1" applyBorder="1" applyAlignment="1">
      <alignment horizontal="center" vertical="center"/>
    </xf>
    <xf numFmtId="209" fontId="5" fillId="0" borderId="55" xfId="23" applyNumberFormat="1" applyFont="1" applyBorder="1" applyAlignment="1">
      <alignment horizontal="center" vertical="center"/>
    </xf>
    <xf numFmtId="209" fontId="5" fillId="0" borderId="104" xfId="23" applyNumberFormat="1" applyFont="1" applyBorder="1" applyAlignment="1">
      <alignment horizontal="center" vertical="center"/>
    </xf>
    <xf numFmtId="0" fontId="5" fillId="0" borderId="0" xfId="0" applyNumberFormat="1" applyFont="1" applyAlignment="1">
      <alignment horizontal="center"/>
    </xf>
    <xf numFmtId="0" fontId="0" fillId="0" borderId="0" xfId="0" applyNumberFormat="1" applyAlignment="1">
      <alignment vertical="center"/>
    </xf>
    <xf numFmtId="164" fontId="5" fillId="0" borderId="0" xfId="23" applyFont="1" applyAlignment="1" applyProtection="1">
      <alignment vertical="center"/>
      <protection locked="0"/>
    </xf>
    <xf numFmtId="43" fontId="5" fillId="0" borderId="0" xfId="1" applyFont="1" applyBorder="1" applyAlignment="1">
      <alignment horizontal="center" vertical="top" wrapText="1"/>
    </xf>
    <xf numFmtId="43" fontId="23" fillId="0" borderId="0" xfId="1" applyFont="1" applyBorder="1" applyAlignment="1">
      <alignment horizontal="center" vertical="top" wrapText="1"/>
    </xf>
    <xf numFmtId="37" fontId="37" fillId="0" borderId="0" xfId="0" applyNumberFormat="1" applyFont="1" applyAlignment="1">
      <alignment horizontal="right" vertical="center"/>
    </xf>
    <xf numFmtId="37" fontId="37" fillId="0" borderId="0" xfId="0" applyNumberFormat="1" applyFont="1" applyAlignment="1">
      <alignment horizontal="left" vertical="center"/>
    </xf>
    <xf numFmtId="37" fontId="160" fillId="0" borderId="0" xfId="0" applyNumberFormat="1" applyFont="1" applyAlignment="1">
      <alignment horizontal="left" vertical="center"/>
    </xf>
    <xf numFmtId="37" fontId="13" fillId="4" borderId="16" xfId="0" applyNumberFormat="1" applyFont="1" applyFill="1" applyBorder="1" applyAlignment="1">
      <alignment horizontal="left" vertical="center"/>
    </xf>
    <xf numFmtId="216" fontId="5" fillId="4" borderId="36" xfId="0" applyNumberFormat="1" applyFont="1" applyFill="1" applyBorder="1" applyAlignment="1">
      <alignment horizontal="center" vertical="center"/>
    </xf>
    <xf numFmtId="216" fontId="5" fillId="4" borderId="244" xfId="0" applyNumberFormat="1" applyFont="1" applyFill="1" applyBorder="1" applyAlignment="1">
      <alignment horizontal="center" vertical="center"/>
    </xf>
    <xf numFmtId="40" fontId="5" fillId="0" borderId="0" xfId="0" applyNumberFormat="1" applyFont="1" applyAlignment="1">
      <alignment horizontal="center" vertical="center"/>
    </xf>
    <xf numFmtId="38" fontId="5" fillId="0" borderId="0" xfId="0" applyNumberFormat="1" applyFont="1" applyAlignment="1">
      <alignment vertical="center"/>
    </xf>
    <xf numFmtId="38" fontId="161" fillId="0" borderId="0" xfId="0" applyNumberFormat="1" applyFont="1" applyAlignment="1">
      <alignment vertical="center"/>
    </xf>
    <xf numFmtId="40" fontId="4" fillId="0" borderId="0" xfId="0" applyNumberFormat="1" applyFont="1" applyAlignment="1">
      <alignment vertical="center"/>
    </xf>
    <xf numFmtId="40" fontId="4" fillId="0" borderId="0" xfId="0" applyNumberFormat="1" applyFont="1" applyAlignment="1">
      <alignment horizontal="right" vertical="center"/>
    </xf>
    <xf numFmtId="37" fontId="5" fillId="0" borderId="0" xfId="0" applyNumberFormat="1" applyFont="1" applyAlignment="1">
      <alignment vertical="center"/>
    </xf>
    <xf numFmtId="40" fontId="23" fillId="0" borderId="0" xfId="0" applyNumberFormat="1" applyFont="1" applyAlignment="1">
      <alignment vertical="center"/>
    </xf>
    <xf numFmtId="37" fontId="162" fillId="4" borderId="246" xfId="0" applyNumberFormat="1" applyFont="1" applyFill="1" applyBorder="1" applyAlignment="1">
      <alignment horizontal="center" vertical="center"/>
    </xf>
    <xf numFmtId="216" fontId="23" fillId="4" borderId="0" xfId="0" applyNumberFormat="1" applyFont="1" applyFill="1" applyAlignment="1">
      <alignment horizontal="center" vertical="center"/>
    </xf>
    <xf numFmtId="216" fontId="23" fillId="4" borderId="97" xfId="0" applyNumberFormat="1" applyFont="1" applyFill="1" applyBorder="1" applyAlignment="1">
      <alignment horizontal="center" vertical="center"/>
    </xf>
    <xf numFmtId="40" fontId="35" fillId="33" borderId="247" xfId="0" applyNumberFormat="1" applyFont="1" applyFill="1" applyBorder="1" applyAlignment="1">
      <alignment horizontal="centerContinuous" vertical="center"/>
    </xf>
    <xf numFmtId="40" fontId="35" fillId="33" borderId="66" xfId="0" applyNumberFormat="1" applyFont="1" applyFill="1" applyBorder="1" applyAlignment="1">
      <alignment horizontal="centerContinuous" vertical="center"/>
    </xf>
    <xf numFmtId="40" fontId="35" fillId="33" borderId="248" xfId="0" applyNumberFormat="1" applyFont="1" applyFill="1" applyBorder="1" applyAlignment="1">
      <alignment horizontal="centerContinuous" vertical="center"/>
    </xf>
    <xf numFmtId="38" fontId="5" fillId="0" borderId="0" xfId="0" applyNumberFormat="1" applyFont="1" applyAlignment="1">
      <alignment horizontal="right" vertical="center"/>
    </xf>
    <xf numFmtId="38" fontId="161" fillId="0" borderId="0" xfId="0" applyNumberFormat="1" applyFont="1" applyAlignment="1">
      <alignment horizontal="left" vertical="center"/>
    </xf>
    <xf numFmtId="40" fontId="6" fillId="0" borderId="0" xfId="0" applyNumberFormat="1" applyFont="1" applyAlignment="1">
      <alignment vertical="center"/>
    </xf>
    <xf numFmtId="164" fontId="6" fillId="0" borderId="0" xfId="0" applyFont="1" applyAlignment="1">
      <alignment horizontal="center" vertical="center"/>
    </xf>
    <xf numFmtId="38" fontId="6" fillId="0" borderId="0" xfId="0" applyNumberFormat="1" applyFont="1" applyAlignment="1">
      <alignment horizontal="center" vertical="center"/>
    </xf>
    <xf numFmtId="40" fontId="35" fillId="0" borderId="0" xfId="0" applyNumberFormat="1" applyFont="1" applyAlignment="1">
      <alignment horizontal="left" vertical="center"/>
    </xf>
    <xf numFmtId="40" fontId="35" fillId="4" borderId="246" xfId="0" applyNumberFormat="1" applyFont="1" applyFill="1" applyBorder="1" applyAlignment="1">
      <alignment horizontal="right" vertical="center"/>
    </xf>
    <xf numFmtId="217" fontId="35" fillId="4" borderId="0" xfId="0" applyNumberFormat="1" applyFont="1" applyFill="1" applyAlignment="1">
      <alignment horizontal="left" vertical="center"/>
    </xf>
    <xf numFmtId="40" fontId="35" fillId="4" borderId="80" xfId="0" applyNumberFormat="1" applyFont="1" applyFill="1" applyBorder="1" applyAlignment="1">
      <alignment horizontal="right" vertical="center"/>
    </xf>
    <xf numFmtId="38" fontId="35" fillId="4" borderId="97" xfId="0" applyNumberFormat="1" applyFont="1" applyFill="1" applyBorder="1" applyAlignment="1">
      <alignment horizontal="left" vertical="center"/>
    </xf>
    <xf numFmtId="44" fontId="5" fillId="0" borderId="0" xfId="2" applyFont="1" applyFill="1" applyBorder="1" applyAlignment="1">
      <alignment vertical="center"/>
    </xf>
    <xf numFmtId="37" fontId="37" fillId="0" borderId="0" xfId="0" applyNumberFormat="1" applyFont="1" applyAlignment="1">
      <alignment horizontal="right" vertical="top"/>
    </xf>
    <xf numFmtId="37" fontId="160" fillId="0" borderId="0" xfId="0" applyNumberFormat="1" applyFont="1" applyAlignment="1">
      <alignment horizontal="right" vertical="top"/>
    </xf>
    <xf numFmtId="37" fontId="37" fillId="0" borderId="0" xfId="0" applyNumberFormat="1" applyFont="1" applyAlignment="1">
      <alignment horizontal="left" vertical="top"/>
    </xf>
    <xf numFmtId="37" fontId="160" fillId="0" borderId="0" xfId="0" applyNumberFormat="1" applyFont="1" applyAlignment="1">
      <alignment horizontal="left" vertical="top"/>
    </xf>
    <xf numFmtId="164" fontId="14" fillId="0" borderId="0" xfId="0" applyFont="1" applyAlignment="1">
      <alignment horizontal="center" vertical="center"/>
    </xf>
    <xf numFmtId="38" fontId="35" fillId="0" borderId="0" xfId="0" applyNumberFormat="1" applyFont="1" applyAlignment="1">
      <alignment horizontal="center" vertical="center"/>
    </xf>
    <xf numFmtId="217" fontId="35" fillId="4" borderId="97" xfId="0" applyNumberFormat="1" applyFont="1" applyFill="1" applyBorder="1" applyAlignment="1">
      <alignment horizontal="left" vertical="center"/>
    </xf>
    <xf numFmtId="37" fontId="23" fillId="0" borderId="0" xfId="0" applyNumberFormat="1" applyFont="1" applyAlignment="1">
      <alignment vertical="center"/>
    </xf>
    <xf numFmtId="179" fontId="5" fillId="0" borderId="0" xfId="0" applyNumberFormat="1" applyFont="1" applyAlignment="1">
      <alignment horizontal="fill" vertical="center"/>
    </xf>
    <xf numFmtId="164" fontId="154" fillId="0" borderId="0" xfId="0" applyFont="1" applyAlignment="1">
      <alignment vertical="center"/>
    </xf>
    <xf numFmtId="164" fontId="154" fillId="0" borderId="0" xfId="0" applyFont="1" applyAlignment="1">
      <alignment horizontal="center" vertical="center"/>
    </xf>
    <xf numFmtId="0" fontId="154" fillId="0" borderId="0" xfId="0" applyNumberFormat="1" applyFont="1" applyAlignment="1">
      <alignment horizontal="center" vertical="center"/>
    </xf>
    <xf numFmtId="37" fontId="162" fillId="4" borderId="27" xfId="0" applyNumberFormat="1" applyFont="1" applyFill="1" applyBorder="1" applyAlignment="1">
      <alignment horizontal="center" vertical="center"/>
    </xf>
    <xf numFmtId="0" fontId="23" fillId="4" borderId="45" xfId="0" applyNumberFormat="1" applyFont="1" applyFill="1" applyBorder="1" applyAlignment="1">
      <alignment horizontal="center" vertical="center"/>
    </xf>
    <xf numFmtId="216" fontId="23" fillId="4" borderId="45" xfId="0" applyNumberFormat="1" applyFont="1" applyFill="1" applyBorder="1" applyAlignment="1">
      <alignment horizontal="center" vertical="center"/>
    </xf>
    <xf numFmtId="216" fontId="23" fillId="4" borderId="46" xfId="0" applyNumberFormat="1" applyFont="1" applyFill="1" applyBorder="1" applyAlignment="1">
      <alignment horizontal="center" vertical="center"/>
    </xf>
    <xf numFmtId="38" fontId="5" fillId="0" borderId="0" xfId="0" applyNumberFormat="1" applyFont="1" applyAlignment="1">
      <alignment horizontal="center" vertical="center"/>
    </xf>
    <xf numFmtId="40" fontId="35" fillId="4" borderId="27" xfId="0" applyNumberFormat="1" applyFont="1" applyFill="1" applyBorder="1" applyAlignment="1">
      <alignment horizontal="right" vertical="center"/>
    </xf>
    <xf numFmtId="38" fontId="13" fillId="4" borderId="45" xfId="0" applyNumberFormat="1" applyFont="1" applyFill="1" applyBorder="1" applyAlignment="1">
      <alignment horizontal="left" vertical="center"/>
    </xf>
    <xf numFmtId="40" fontId="42" fillId="4" borderId="99" xfId="0" applyNumberFormat="1" applyFont="1" applyFill="1" applyBorder="1" applyAlignment="1">
      <alignment horizontal="centerContinuous" vertical="center" wrapText="1"/>
    </xf>
    <xf numFmtId="38" fontId="35" fillId="4" borderId="46" xfId="0" quotePrefix="1" applyNumberFormat="1" applyFont="1" applyFill="1" applyBorder="1" applyAlignment="1">
      <alignment horizontal="centerContinuous" vertical="center" wrapText="1"/>
    </xf>
    <xf numFmtId="164" fontId="4" fillId="0" borderId="0" xfId="0" applyFont="1" applyAlignment="1">
      <alignment horizontal="left" vertical="center"/>
    </xf>
    <xf numFmtId="38" fontId="161" fillId="0" borderId="0" xfId="0" applyNumberFormat="1" applyFont="1" applyAlignment="1">
      <alignment horizontal="center" vertical="center"/>
    </xf>
    <xf numFmtId="37" fontId="12" fillId="0" borderId="0" xfId="0" applyNumberFormat="1" applyFont="1" applyAlignment="1">
      <alignment horizontal="left" vertical="center"/>
    </xf>
    <xf numFmtId="37" fontId="163" fillId="0" borderId="0" xfId="0" applyNumberFormat="1" applyFont="1" applyAlignment="1">
      <alignment horizontal="left" vertical="center"/>
    </xf>
    <xf numFmtId="40" fontId="5" fillId="0" borderId="0" xfId="0" applyNumberFormat="1" applyFont="1" applyAlignment="1">
      <alignment horizontal="centerContinuous" vertical="center"/>
    </xf>
    <xf numFmtId="40" fontId="28" fillId="0" borderId="0" xfId="0" applyNumberFormat="1" applyFont="1" applyAlignment="1">
      <alignment horizontal="centerContinuous" vertical="center"/>
    </xf>
    <xf numFmtId="40" fontId="35" fillId="0" borderId="0" xfId="0" applyNumberFormat="1" applyFont="1" applyAlignment="1">
      <alignment horizontal="centerContinuous" vertical="center"/>
    </xf>
    <xf numFmtId="40" fontId="35" fillId="0" borderId="0" xfId="0" applyNumberFormat="1" applyFont="1" applyAlignment="1">
      <alignment horizontal="right" vertical="center"/>
    </xf>
    <xf numFmtId="37" fontId="164" fillId="0" borderId="45" xfId="0" applyNumberFormat="1" applyFont="1" applyBorder="1" applyAlignment="1">
      <alignment horizontal="center" vertical="center"/>
    </xf>
    <xf numFmtId="37" fontId="23" fillId="0" borderId="0" xfId="0" applyNumberFormat="1" applyFont="1" applyAlignment="1">
      <alignment horizontal="center" vertical="center"/>
    </xf>
    <xf numFmtId="0" fontId="164" fillId="0" borderId="0" xfId="0" applyNumberFormat="1" applyFont="1" applyAlignment="1">
      <alignment horizontal="center" vertical="center"/>
    </xf>
    <xf numFmtId="0" fontId="23" fillId="0" borderId="0" xfId="0" applyNumberFormat="1" applyFont="1" applyAlignment="1">
      <alignment horizontal="center" vertical="center"/>
    </xf>
    <xf numFmtId="37" fontId="164" fillId="0" borderId="0" xfId="0" applyNumberFormat="1" applyFont="1" applyAlignment="1">
      <alignment horizontal="center" vertical="center"/>
    </xf>
    <xf numFmtId="40" fontId="5" fillId="0" borderId="0" xfId="0" applyNumberFormat="1" applyFont="1"/>
    <xf numFmtId="164" fontId="165" fillId="4" borderId="18" xfId="0" applyFont="1" applyFill="1" applyBorder="1" applyAlignment="1">
      <alignment horizontal="centerContinuous" vertical="center"/>
    </xf>
    <xf numFmtId="4" fontId="165" fillId="4" borderId="18" xfId="0" applyNumberFormat="1" applyFont="1" applyFill="1" applyBorder="1" applyAlignment="1">
      <alignment horizontal="centerContinuous" vertical="center"/>
    </xf>
    <xf numFmtId="38" fontId="161" fillId="0" borderId="10" xfId="0" applyNumberFormat="1" applyFont="1" applyBorder="1" applyAlignment="1">
      <alignment horizontal="centerContinuous" vertical="center"/>
    </xf>
    <xf numFmtId="40" fontId="161" fillId="0" borderId="10" xfId="0" applyNumberFormat="1" applyFont="1" applyBorder="1" applyAlignment="1">
      <alignment horizontal="centerContinuous" vertical="center"/>
    </xf>
    <xf numFmtId="164" fontId="165" fillId="4" borderId="41" xfId="0" applyFont="1" applyFill="1" applyBorder="1" applyAlignment="1">
      <alignment horizontal="center" vertical="center"/>
    </xf>
    <xf numFmtId="164" fontId="165" fillId="4" borderId="10" xfId="0" applyFont="1" applyFill="1" applyBorder="1" applyAlignment="1">
      <alignment horizontal="centerContinuous" vertical="center"/>
    </xf>
    <xf numFmtId="4" fontId="165" fillId="4" borderId="41" xfId="0" applyNumberFormat="1" applyFont="1" applyFill="1" applyBorder="1" applyAlignment="1">
      <alignment horizontal="center" vertical="center"/>
    </xf>
    <xf numFmtId="38" fontId="42" fillId="4" borderId="94" xfId="0" applyNumberFormat="1" applyFont="1" applyFill="1" applyBorder="1" applyAlignment="1">
      <alignment horizontal="centerContinuous" vertical="center" wrapText="1"/>
    </xf>
    <xf numFmtId="40" fontId="42" fillId="4" borderId="66" xfId="0" applyNumberFormat="1" applyFont="1" applyFill="1" applyBorder="1" applyAlignment="1">
      <alignment horizontal="centerContinuous" vertical="center"/>
    </xf>
    <xf numFmtId="40" fontId="161" fillId="0" borderId="10" xfId="0" applyNumberFormat="1" applyFont="1" applyBorder="1" applyAlignment="1">
      <alignment horizontal="center" vertical="center"/>
    </xf>
    <xf numFmtId="179" fontId="42" fillId="4" borderId="99" xfId="0" applyNumberFormat="1" applyFont="1" applyFill="1" applyBorder="1" applyAlignment="1">
      <alignment horizontal="center" vertical="center"/>
    </xf>
    <xf numFmtId="179" fontId="165" fillId="4" borderId="99" xfId="0" applyNumberFormat="1" applyFont="1" applyFill="1" applyBorder="1" applyAlignment="1">
      <alignment horizontal="center" vertical="center"/>
    </xf>
    <xf numFmtId="40" fontId="42" fillId="4" borderId="99" xfId="0" applyNumberFormat="1" applyFont="1" applyFill="1" applyBorder="1" applyAlignment="1">
      <alignment horizontal="center" vertical="center"/>
    </xf>
    <xf numFmtId="217" fontId="42" fillId="4" borderId="99" xfId="0" applyNumberFormat="1" applyFont="1" applyFill="1" applyBorder="1" applyAlignment="1">
      <alignment horizontal="center" vertical="center"/>
    </xf>
    <xf numFmtId="40" fontId="42" fillId="4" borderId="29" xfId="0" applyNumberFormat="1" applyFont="1" applyFill="1" applyBorder="1" applyAlignment="1">
      <alignment horizontal="center" vertical="center"/>
    </xf>
    <xf numFmtId="164" fontId="165" fillId="4" borderId="29" xfId="0" applyFont="1" applyFill="1" applyBorder="1" applyAlignment="1">
      <alignment horizontal="center" vertical="center"/>
    </xf>
    <xf numFmtId="4" fontId="165" fillId="4" borderId="29" xfId="0" applyNumberFormat="1" applyFont="1" applyFill="1" applyBorder="1" applyAlignment="1">
      <alignment horizontal="center" vertical="center"/>
    </xf>
    <xf numFmtId="40" fontId="42" fillId="4" borderId="99" xfId="0" applyNumberFormat="1" applyFont="1" applyFill="1" applyBorder="1" applyAlignment="1">
      <alignment horizontal="center" vertical="center" wrapText="1"/>
    </xf>
    <xf numFmtId="40" fontId="165" fillId="4" borderId="99" xfId="0" applyNumberFormat="1" applyFont="1" applyFill="1" applyBorder="1" applyAlignment="1">
      <alignment horizontal="center" vertical="center"/>
    </xf>
    <xf numFmtId="38" fontId="161" fillId="0" borderId="10" xfId="0" applyNumberFormat="1" applyFont="1" applyBorder="1" applyAlignment="1">
      <alignment horizontal="center" vertical="center"/>
    </xf>
    <xf numFmtId="40" fontId="42" fillId="4" borderId="10" xfId="0" applyNumberFormat="1" applyFont="1" applyFill="1" applyBorder="1" applyAlignment="1">
      <alignment horizontal="center" vertical="center" wrapText="1"/>
    </xf>
    <xf numFmtId="37" fontId="5" fillId="0" borderId="9" xfId="0" applyNumberFormat="1" applyFont="1" applyBorder="1" applyAlignment="1">
      <alignment horizontal="center" vertical="center"/>
    </xf>
    <xf numFmtId="37" fontId="23" fillId="0" borderId="9" xfId="0" applyNumberFormat="1" applyFont="1" applyBorder="1" applyAlignment="1">
      <alignment horizontal="center" vertical="center"/>
    </xf>
    <xf numFmtId="179" fontId="5" fillId="0" borderId="9" xfId="0" applyNumberFormat="1" applyFont="1" applyBorder="1" applyAlignment="1">
      <alignment horizontal="center" vertical="center"/>
    </xf>
    <xf numFmtId="179" fontId="4" fillId="0" borderId="9" xfId="0" applyNumberFormat="1" applyFont="1" applyBorder="1" applyAlignment="1">
      <alignment horizontal="center" vertical="center"/>
    </xf>
    <xf numFmtId="40" fontId="5" fillId="0" borderId="9" xfId="0" applyNumberFormat="1" applyFont="1" applyBorder="1" applyAlignment="1">
      <alignment horizontal="center" vertical="center"/>
    </xf>
    <xf numFmtId="217" fontId="5" fillId="0" borderId="9" xfId="0" applyNumberFormat="1" applyFont="1" applyBorder="1" applyAlignment="1">
      <alignment horizontal="center" vertical="center"/>
    </xf>
    <xf numFmtId="39" fontId="161" fillId="0" borderId="80" xfId="0" applyNumberFormat="1" applyFont="1" applyBorder="1" applyAlignment="1">
      <alignment horizontal="center" vertical="center"/>
    </xf>
    <xf numFmtId="39" fontId="161" fillId="0" borderId="0" xfId="0" applyNumberFormat="1" applyFont="1" applyAlignment="1">
      <alignment horizontal="center" vertical="center"/>
    </xf>
    <xf numFmtId="39" fontId="161" fillId="0" borderId="68" xfId="0" applyNumberFormat="1" applyFont="1" applyBorder="1" applyAlignment="1">
      <alignment horizontal="center" vertical="center"/>
    </xf>
    <xf numFmtId="39" fontId="5" fillId="0" borderId="9" xfId="0" applyNumberFormat="1" applyFont="1" applyBorder="1" applyAlignment="1">
      <alignment horizontal="center" vertical="center"/>
    </xf>
    <xf numFmtId="39" fontId="23" fillId="0" borderId="9" xfId="0" applyNumberFormat="1" applyFont="1" applyBorder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218" fontId="5" fillId="0" borderId="9" xfId="0" applyNumberFormat="1" applyFont="1" applyBorder="1" applyAlignment="1">
      <alignment horizontal="center" vertical="center"/>
    </xf>
    <xf numFmtId="179" fontId="4" fillId="0" borderId="0" xfId="0" applyNumberFormat="1" applyFont="1" applyAlignment="1">
      <alignment horizontal="center" vertical="center"/>
    </xf>
    <xf numFmtId="38" fontId="5" fillId="0" borderId="9" xfId="0" applyNumberFormat="1" applyFont="1" applyBorder="1" applyAlignment="1">
      <alignment horizontal="center" vertical="center"/>
    </xf>
    <xf numFmtId="179" fontId="4" fillId="0" borderId="0" xfId="0" applyNumberFormat="1" applyFont="1" applyAlignment="1">
      <alignment vertical="center"/>
    </xf>
    <xf numFmtId="40" fontId="166" fillId="0" borderId="0" xfId="0" applyNumberFormat="1" applyFont="1" applyAlignment="1">
      <alignment vertical="center"/>
    </xf>
    <xf numFmtId="38" fontId="167" fillId="0" borderId="0" xfId="0" applyNumberFormat="1" applyFont="1" applyAlignment="1">
      <alignment horizontal="center" vertical="center"/>
    </xf>
    <xf numFmtId="37" fontId="4" fillId="0" borderId="9" xfId="0" applyNumberFormat="1" applyFont="1" applyBorder="1" applyAlignment="1">
      <alignment horizontal="center" vertical="center"/>
    </xf>
    <xf numFmtId="189" fontId="4" fillId="0" borderId="9" xfId="0" applyNumberFormat="1" applyFont="1" applyBorder="1" applyAlignment="1">
      <alignment horizontal="center" vertical="center"/>
    </xf>
    <xf numFmtId="40" fontId="161" fillId="0" borderId="9" xfId="0" applyNumberFormat="1" applyFont="1" applyBorder="1" applyAlignment="1">
      <alignment horizontal="center" vertical="center"/>
    </xf>
    <xf numFmtId="40" fontId="35" fillId="0" borderId="10" xfId="0" applyNumberFormat="1" applyFont="1" applyBorder="1" applyAlignment="1">
      <alignment horizontal="center" vertical="center"/>
    </xf>
    <xf numFmtId="37" fontId="35" fillId="0" borderId="10" xfId="0" applyNumberFormat="1" applyFont="1" applyBorder="1" applyAlignment="1">
      <alignment horizontal="center" vertical="center"/>
    </xf>
    <xf numFmtId="37" fontId="5" fillId="0" borderId="71" xfId="0" applyNumberFormat="1" applyFont="1" applyBorder="1" applyAlignment="1">
      <alignment horizontal="center" vertical="center"/>
    </xf>
    <xf numFmtId="37" fontId="23" fillId="0" borderId="71" xfId="0" applyNumberFormat="1" applyFont="1" applyBorder="1" applyAlignment="1">
      <alignment horizontal="center" vertical="center"/>
    </xf>
    <xf numFmtId="179" fontId="5" fillId="0" borderId="71" xfId="0" applyNumberFormat="1" applyFont="1" applyBorder="1" applyAlignment="1">
      <alignment horizontal="center" vertical="center"/>
    </xf>
    <xf numFmtId="179" fontId="4" fillId="0" borderId="71" xfId="0" applyNumberFormat="1" applyFont="1" applyBorder="1" applyAlignment="1">
      <alignment horizontal="center" vertical="center"/>
    </xf>
    <xf numFmtId="40" fontId="5" fillId="0" borderId="71" xfId="0" applyNumberFormat="1" applyFont="1" applyBorder="1" applyAlignment="1">
      <alignment horizontal="center" vertical="center"/>
    </xf>
    <xf numFmtId="217" fontId="5" fillId="0" borderId="71" xfId="0" applyNumberFormat="1" applyFont="1" applyBorder="1" applyAlignment="1">
      <alignment horizontal="center" vertical="center"/>
    </xf>
    <xf numFmtId="39" fontId="161" fillId="0" borderId="94" xfId="0" applyNumberFormat="1" applyFont="1" applyBorder="1" applyAlignment="1">
      <alignment horizontal="center" vertical="center"/>
    </xf>
    <xf numFmtId="39" fontId="161" fillId="0" borderId="66" xfId="0" applyNumberFormat="1" applyFont="1" applyBorder="1" applyAlignment="1">
      <alignment horizontal="center" vertical="center"/>
    </xf>
    <xf numFmtId="39" fontId="161" fillId="0" borderId="67" xfId="0" applyNumberFormat="1" applyFont="1" applyBorder="1" applyAlignment="1">
      <alignment horizontal="center" vertical="center"/>
    </xf>
    <xf numFmtId="39" fontId="5" fillId="0" borderId="71" xfId="0" applyNumberFormat="1" applyFont="1" applyBorder="1" applyAlignment="1">
      <alignment horizontal="center" vertical="center"/>
    </xf>
    <xf numFmtId="39" fontId="23" fillId="0" borderId="71" xfId="0" applyNumberFormat="1" applyFont="1" applyBorder="1" applyAlignment="1">
      <alignment horizontal="center" vertical="center"/>
    </xf>
    <xf numFmtId="4" fontId="5" fillId="0" borderId="66" xfId="0" applyNumberFormat="1" applyFont="1" applyBorder="1" applyAlignment="1">
      <alignment horizontal="center" vertical="center"/>
    </xf>
    <xf numFmtId="218" fontId="5" fillId="0" borderId="71" xfId="0" applyNumberFormat="1" applyFont="1" applyBorder="1" applyAlignment="1">
      <alignment horizontal="center" vertical="center"/>
    </xf>
    <xf numFmtId="40" fontId="5" fillId="0" borderId="66" xfId="0" applyNumberFormat="1" applyFont="1" applyBorder="1" applyAlignment="1">
      <alignment horizontal="center" vertical="center"/>
    </xf>
    <xf numFmtId="179" fontId="4" fillId="0" borderId="66" xfId="0" applyNumberFormat="1" applyFont="1" applyBorder="1" applyAlignment="1">
      <alignment horizontal="center" vertical="center"/>
    </xf>
    <xf numFmtId="38" fontId="5" fillId="0" borderId="71" xfId="0" applyNumberFormat="1" applyFont="1" applyBorder="1" applyAlignment="1">
      <alignment horizontal="center" vertical="center"/>
    </xf>
    <xf numFmtId="40" fontId="5" fillId="0" borderId="66" xfId="0" applyNumberFormat="1" applyFont="1" applyBorder="1" applyAlignment="1">
      <alignment vertical="center"/>
    </xf>
    <xf numFmtId="179" fontId="4" fillId="0" borderId="66" xfId="0" applyNumberFormat="1" applyFont="1" applyBorder="1" applyAlignment="1">
      <alignment vertical="center"/>
    </xf>
    <xf numFmtId="40" fontId="166" fillId="0" borderId="66" xfId="0" applyNumberFormat="1" applyFont="1" applyBorder="1" applyAlignment="1">
      <alignment vertical="center"/>
    </xf>
    <xf numFmtId="38" fontId="167" fillId="0" borderId="66" xfId="0" applyNumberFormat="1" applyFont="1" applyBorder="1" applyAlignment="1">
      <alignment horizontal="center" vertical="center"/>
    </xf>
    <xf numFmtId="37" fontId="4" fillId="0" borderId="71" xfId="0" applyNumberFormat="1" applyFont="1" applyBorder="1" applyAlignment="1">
      <alignment horizontal="center" vertical="center"/>
    </xf>
    <xf numFmtId="189" fontId="4" fillId="0" borderId="71" xfId="0" applyNumberFormat="1" applyFont="1" applyBorder="1" applyAlignment="1">
      <alignment horizontal="center" vertical="center"/>
    </xf>
    <xf numFmtId="40" fontId="161" fillId="0" borderId="71" xfId="0" applyNumberFormat="1" applyFont="1" applyBorder="1" applyAlignment="1">
      <alignment horizontal="center" vertical="center"/>
    </xf>
    <xf numFmtId="37" fontId="5" fillId="0" borderId="0" xfId="0" applyNumberFormat="1" applyFont="1"/>
    <xf numFmtId="37" fontId="23" fillId="0" borderId="0" xfId="0" applyNumberFormat="1" applyFont="1"/>
    <xf numFmtId="179" fontId="5" fillId="0" borderId="0" xfId="0" applyNumberFormat="1" applyFont="1"/>
    <xf numFmtId="217" fontId="5" fillId="0" borderId="0" xfId="0" applyNumberFormat="1" applyFont="1"/>
    <xf numFmtId="164" fontId="35" fillId="0" borderId="0" xfId="0" applyFont="1"/>
    <xf numFmtId="4" fontId="5" fillId="0" borderId="0" xfId="0" applyNumberFormat="1" applyFont="1"/>
    <xf numFmtId="40" fontId="5" fillId="0" borderId="0" xfId="0" applyNumberFormat="1" applyFont="1" applyAlignment="1">
      <alignment horizontal="center"/>
    </xf>
    <xf numFmtId="40" fontId="23" fillId="0" borderId="0" xfId="0" applyNumberFormat="1" applyFont="1" applyAlignment="1">
      <alignment horizontal="center"/>
    </xf>
    <xf numFmtId="38" fontId="5" fillId="0" borderId="0" xfId="0" applyNumberFormat="1" applyFont="1"/>
    <xf numFmtId="38" fontId="161" fillId="0" borderId="0" xfId="0" applyNumberFormat="1" applyFont="1"/>
    <xf numFmtId="40" fontId="161" fillId="0" borderId="0" xfId="0" applyNumberFormat="1" applyFont="1" applyAlignment="1">
      <alignment horizontal="center"/>
    </xf>
    <xf numFmtId="40" fontId="4" fillId="0" borderId="0" xfId="0" applyNumberFormat="1" applyFont="1"/>
    <xf numFmtId="37" fontId="11" fillId="0" borderId="0" xfId="0" applyNumberFormat="1" applyFont="1" applyAlignment="1">
      <alignment horizontal="left" vertical="center"/>
    </xf>
    <xf numFmtId="0" fontId="5" fillId="0" borderId="0" xfId="0" applyNumberFormat="1" applyFont="1"/>
    <xf numFmtId="40" fontId="42" fillId="33" borderId="0" xfId="0" applyNumberFormat="1" applyFont="1" applyFill="1" applyAlignment="1">
      <alignment horizontal="center" vertical="center"/>
    </xf>
    <xf numFmtId="40" fontId="35" fillId="33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left" vertical="center"/>
    </xf>
    <xf numFmtId="40" fontId="35" fillId="0" borderId="0" xfId="0" applyNumberFormat="1" applyFont="1" applyAlignment="1">
      <alignment horizontal="center" vertical="center"/>
    </xf>
    <xf numFmtId="0" fontId="13" fillId="24" borderId="0" xfId="0" applyNumberFormat="1" applyFont="1" applyFill="1" applyAlignment="1">
      <alignment vertical="center"/>
    </xf>
    <xf numFmtId="0" fontId="5" fillId="24" borderId="0" xfId="0" applyNumberFormat="1" applyFont="1" applyFill="1" applyAlignment="1">
      <alignment vertical="center"/>
    </xf>
    <xf numFmtId="40" fontId="35" fillId="0" borderId="0" xfId="0" quotePrefix="1" applyNumberFormat="1" applyFont="1" applyAlignment="1">
      <alignment horizontal="center" vertical="center" wrapText="1"/>
    </xf>
    <xf numFmtId="164" fontId="13" fillId="0" borderId="0" xfId="0" applyFont="1"/>
    <xf numFmtId="179" fontId="35" fillId="0" borderId="0" xfId="0" applyNumberFormat="1" applyFont="1" applyAlignment="1">
      <alignment horizontal="center" vertical="center"/>
    </xf>
    <xf numFmtId="40" fontId="35" fillId="0" borderId="15" xfId="0" applyNumberFormat="1" applyFont="1" applyBorder="1" applyAlignment="1">
      <alignment horizontal="right" vertical="center"/>
    </xf>
    <xf numFmtId="217" fontId="35" fillId="0" borderId="15" xfId="0" applyNumberFormat="1" applyFont="1" applyBorder="1" applyAlignment="1">
      <alignment horizontal="left" vertical="center"/>
    </xf>
    <xf numFmtId="38" fontId="35" fillId="0" borderId="15" xfId="0" applyNumberFormat="1" applyFont="1" applyBorder="1" applyAlignment="1">
      <alignment horizontal="left" vertical="center"/>
    </xf>
    <xf numFmtId="40" fontId="35" fillId="0" borderId="12" xfId="0" applyNumberFormat="1" applyFont="1" applyBorder="1" applyAlignment="1">
      <alignment horizontal="right" vertical="center"/>
    </xf>
    <xf numFmtId="217" fontId="35" fillId="0" borderId="12" xfId="0" applyNumberFormat="1" applyFont="1" applyBorder="1" applyAlignment="1">
      <alignment horizontal="left" vertical="center"/>
    </xf>
    <xf numFmtId="38" fontId="13" fillId="0" borderId="12" xfId="0" applyNumberFormat="1" applyFont="1" applyBorder="1" applyAlignment="1">
      <alignment horizontal="left" vertical="center"/>
    </xf>
    <xf numFmtId="40" fontId="35" fillId="0" borderId="12" xfId="0" applyNumberFormat="1" applyFont="1" applyBorder="1" applyAlignment="1">
      <alignment horizontal="right" vertical="center" wrapText="1"/>
    </xf>
    <xf numFmtId="38" fontId="35" fillId="0" borderId="12" xfId="0" applyNumberFormat="1" applyFont="1" applyBorder="1" applyAlignment="1">
      <alignment horizontal="left" vertical="center"/>
    </xf>
    <xf numFmtId="38" fontId="35" fillId="0" borderId="0" xfId="0" applyNumberFormat="1" applyFont="1" applyAlignment="1">
      <alignment horizontal="left" vertical="center"/>
    </xf>
    <xf numFmtId="217" fontId="35" fillId="0" borderId="0" xfId="0" applyNumberFormat="1" applyFont="1" applyAlignment="1">
      <alignment horizontal="left" vertical="center"/>
    </xf>
    <xf numFmtId="0" fontId="5" fillId="0" borderId="66" xfId="0" applyNumberFormat="1" applyFont="1" applyBorder="1" applyAlignment="1">
      <alignment horizontal="center" vertical="center"/>
    </xf>
    <xf numFmtId="2" fontId="5" fillId="0" borderId="12" xfId="0" applyNumberFormat="1" applyFont="1" applyBorder="1" applyAlignment="1">
      <alignment horizontal="center" vertical="center"/>
    </xf>
    <xf numFmtId="2" fontId="5" fillId="0" borderId="66" xfId="0" applyNumberFormat="1" applyFont="1" applyBorder="1" applyAlignment="1">
      <alignment horizontal="center" vertical="center"/>
    </xf>
    <xf numFmtId="40" fontId="127" fillId="0" borderId="0" xfId="0" applyNumberFormat="1" applyFont="1" applyAlignment="1">
      <alignment horizontal="centerContinuous" vertical="center" wrapText="1"/>
    </xf>
    <xf numFmtId="38" fontId="35" fillId="0" borderId="0" xfId="0" quotePrefix="1" applyNumberFormat="1" applyFont="1" applyAlignment="1">
      <alignment horizontal="centerContinuous" vertical="center" wrapText="1"/>
    </xf>
    <xf numFmtId="0" fontId="5" fillId="0" borderId="12" xfId="0" applyNumberFormat="1" applyFont="1" applyBorder="1" applyAlignment="1">
      <alignment horizontal="center" vertical="center"/>
    </xf>
    <xf numFmtId="0" fontId="5" fillId="0" borderId="12" xfId="0" applyNumberFormat="1" applyFont="1" applyBorder="1" applyAlignment="1">
      <alignment vertical="center"/>
    </xf>
    <xf numFmtId="0" fontId="35" fillId="0" borderId="12" xfId="0" applyNumberFormat="1" applyFont="1" applyBorder="1" applyAlignment="1">
      <alignment horizontal="center" vertical="center"/>
    </xf>
    <xf numFmtId="4" fontId="5" fillId="24" borderId="12" xfId="0" applyNumberFormat="1" applyFont="1" applyFill="1" applyBorder="1" applyAlignment="1">
      <alignment horizontal="center" vertical="center"/>
    </xf>
    <xf numFmtId="219" fontId="5" fillId="0" borderId="0" xfId="0" applyNumberFormat="1" applyFont="1"/>
    <xf numFmtId="2" fontId="5" fillId="24" borderId="66" xfId="0" applyNumberFormat="1" applyFont="1" applyFill="1" applyBorder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vertical="center"/>
    </xf>
    <xf numFmtId="0" fontId="5" fillId="0" borderId="0" xfId="0" quotePrefix="1" applyNumberFormat="1" applyFont="1" applyAlignment="1">
      <alignment vertical="center"/>
    </xf>
    <xf numFmtId="4" fontId="5" fillId="0" borderId="0" xfId="0" applyNumberFormat="1" applyFont="1" applyAlignment="1">
      <alignment horizontal="right" vertical="center"/>
    </xf>
    <xf numFmtId="220" fontId="5" fillId="0" borderId="0" xfId="0" quotePrefix="1" applyNumberFormat="1" applyFont="1" applyAlignment="1">
      <alignment horizontal="left" vertical="center"/>
    </xf>
    <xf numFmtId="213" fontId="5" fillId="0" borderId="0" xfId="0" applyNumberFormat="1" applyFont="1" applyAlignment="1">
      <alignment horizontal="left" vertical="center"/>
    </xf>
    <xf numFmtId="221" fontId="5" fillId="0" borderId="0" xfId="0" applyNumberFormat="1" applyFont="1" applyAlignment="1">
      <alignment horizontal="left" vertical="center"/>
    </xf>
    <xf numFmtId="0" fontId="13" fillId="0" borderId="0" xfId="0" applyNumberFormat="1" applyFont="1"/>
    <xf numFmtId="0" fontId="5" fillId="24" borderId="39" xfId="0" applyNumberFormat="1" applyFont="1" applyFill="1" applyBorder="1" applyAlignment="1">
      <alignment horizontal="center" vertical="center"/>
    </xf>
    <xf numFmtId="0" fontId="5" fillId="24" borderId="37" xfId="0" applyNumberFormat="1" applyFont="1" applyFill="1" applyBorder="1" applyAlignment="1">
      <alignment horizontal="center" vertical="center"/>
    </xf>
    <xf numFmtId="0" fontId="5" fillId="24" borderId="40" xfId="0" applyNumberFormat="1" applyFont="1" applyFill="1" applyBorder="1" applyAlignment="1">
      <alignment horizontal="center" vertical="center"/>
    </xf>
    <xf numFmtId="0" fontId="5" fillId="0" borderId="22" xfId="0" applyNumberFormat="1" applyFont="1" applyBorder="1" applyAlignment="1">
      <alignment horizontal="center"/>
    </xf>
    <xf numFmtId="4" fontId="5" fillId="34" borderId="20" xfId="0" applyNumberFormat="1" applyFont="1" applyFill="1" applyBorder="1" applyAlignment="1">
      <alignment horizontal="center" vertical="center"/>
    </xf>
    <xf numFmtId="0" fontId="5" fillId="0" borderId="11" xfId="0" applyNumberFormat="1" applyFont="1" applyBorder="1" applyAlignment="1">
      <alignment horizontal="center"/>
    </xf>
    <xf numFmtId="4" fontId="5" fillId="0" borderId="12" xfId="0" applyNumberFormat="1" applyFont="1" applyBorder="1" applyAlignment="1">
      <alignment horizontal="center" vertical="center"/>
    </xf>
    <xf numFmtId="4" fontId="5" fillId="34" borderId="13" xfId="0" applyNumberFormat="1" applyFont="1" applyFill="1" applyBorder="1" applyAlignment="1">
      <alignment horizontal="center" vertical="center"/>
    </xf>
    <xf numFmtId="0" fontId="5" fillId="0" borderId="11" xfId="0" applyNumberFormat="1" applyFont="1" applyBorder="1" applyAlignment="1">
      <alignment horizontal="center" vertical="center" wrapText="1"/>
    </xf>
    <xf numFmtId="0" fontId="5" fillId="0" borderId="66" xfId="0" applyNumberFormat="1" applyFont="1" applyBorder="1" applyAlignment="1">
      <alignment horizontal="center"/>
    </xf>
    <xf numFmtId="4" fontId="5" fillId="4" borderId="66" xfId="0" applyNumberFormat="1" applyFont="1" applyFill="1" applyBorder="1" applyAlignment="1">
      <alignment horizontal="center" vertical="center"/>
    </xf>
    <xf numFmtId="0" fontId="5" fillId="0" borderId="12" xfId="0" applyNumberFormat="1" applyFont="1" applyBorder="1" applyAlignment="1">
      <alignment horizontal="center"/>
    </xf>
    <xf numFmtId="4" fontId="5" fillId="4" borderId="12" xfId="0" applyNumberFormat="1" applyFont="1" applyFill="1" applyBorder="1" applyAlignment="1">
      <alignment horizontal="center" vertical="center"/>
    </xf>
    <xf numFmtId="0" fontId="5" fillId="0" borderId="12" xfId="0" applyNumberFormat="1" applyFont="1" applyBorder="1" applyAlignment="1">
      <alignment horizontal="center" vertical="center" wrapText="1"/>
    </xf>
    <xf numFmtId="0" fontId="5" fillId="24" borderId="245" xfId="0" applyNumberFormat="1" applyFont="1" applyFill="1" applyBorder="1" applyAlignment="1">
      <alignment horizontal="centerContinuous" vertical="center"/>
    </xf>
    <xf numFmtId="0" fontId="5" fillId="24" borderId="15" xfId="0" applyNumberFormat="1" applyFont="1" applyFill="1" applyBorder="1" applyAlignment="1">
      <alignment horizontal="centerContinuous" vertical="center"/>
    </xf>
    <xf numFmtId="0" fontId="5" fillId="24" borderId="20" xfId="0" applyNumberFormat="1" applyFont="1" applyFill="1" applyBorder="1" applyAlignment="1">
      <alignment horizontal="centerContinuous" vertical="center"/>
    </xf>
    <xf numFmtId="0" fontId="5" fillId="24" borderId="24" xfId="0" applyNumberFormat="1" applyFont="1" applyFill="1" applyBorder="1" applyAlignment="1">
      <alignment horizontal="centerContinuous" vertical="center"/>
    </xf>
    <xf numFmtId="164" fontId="83" fillId="0" borderId="0" xfId="0" applyFont="1" applyAlignment="1">
      <alignment horizontal="right" vertical="center"/>
    </xf>
    <xf numFmtId="49" fontId="35" fillId="24" borderId="34" xfId="0" applyNumberFormat="1" applyFont="1" applyFill="1" applyBorder="1" applyAlignment="1">
      <alignment horizontal="center" vertical="center" wrapText="1"/>
    </xf>
    <xf numFmtId="49" fontId="35" fillId="24" borderId="32" xfId="0" applyNumberFormat="1" applyFont="1" applyFill="1" applyBorder="1" applyAlignment="1">
      <alignment horizontal="center" vertical="center"/>
    </xf>
    <xf numFmtId="0" fontId="90" fillId="24" borderId="32" xfId="0" applyNumberFormat="1" applyFont="1" applyFill="1" applyBorder="1" applyAlignment="1">
      <alignment horizontal="center" vertical="center" wrapText="1"/>
    </xf>
    <xf numFmtId="49" fontId="35" fillId="24" borderId="30" xfId="0" applyNumberFormat="1" applyFont="1" applyFill="1" applyBorder="1" applyAlignment="1">
      <alignment horizontal="center" vertical="center"/>
    </xf>
    <xf numFmtId="0" fontId="5" fillId="0" borderId="0" xfId="0" quotePrefix="1" applyNumberFormat="1" applyFont="1" applyAlignment="1">
      <alignment horizontal="center" vertical="center"/>
    </xf>
    <xf numFmtId="2" fontId="5" fillId="0" borderId="15" xfId="0" applyNumberFormat="1" applyFont="1" applyBorder="1" applyAlignment="1">
      <alignment horizontal="center"/>
    </xf>
    <xf numFmtId="202" fontId="5" fillId="0" borderId="15" xfId="0" applyNumberFormat="1" applyFont="1" applyBorder="1" applyAlignment="1">
      <alignment horizontal="center"/>
    </xf>
    <xf numFmtId="2" fontId="5" fillId="0" borderId="0" xfId="0" applyNumberFormat="1" applyFont="1" applyAlignment="1">
      <alignment horizontal="center"/>
    </xf>
    <xf numFmtId="0" fontId="5" fillId="0" borderId="0" xfId="0" quotePrefix="1" applyNumberFormat="1" applyFont="1"/>
    <xf numFmtId="49" fontId="35" fillId="24" borderId="32" xfId="0" applyNumberFormat="1" applyFont="1" applyFill="1" applyBorder="1" applyAlignment="1">
      <alignment horizontal="center" vertical="center" wrapText="1"/>
    </xf>
    <xf numFmtId="49" fontId="35" fillId="24" borderId="30" xfId="0" applyNumberFormat="1" applyFont="1" applyFill="1" applyBorder="1" applyAlignment="1">
      <alignment horizontal="center" vertical="center" wrapText="1"/>
    </xf>
    <xf numFmtId="1" fontId="5" fillId="0" borderId="15" xfId="0" applyNumberFormat="1" applyFont="1" applyBorder="1" applyAlignment="1">
      <alignment horizontal="center"/>
    </xf>
    <xf numFmtId="2" fontId="5" fillId="0" borderId="15" xfId="0" applyNumberFormat="1" applyFont="1" applyBorder="1" applyAlignment="1">
      <alignment horizontal="center" vertical="center"/>
    </xf>
    <xf numFmtId="2" fontId="5" fillId="7" borderId="0" xfId="0" applyNumberFormat="1" applyFont="1" applyFill="1"/>
    <xf numFmtId="2" fontId="5" fillId="0" borderId="12" xfId="0" applyNumberFormat="1" applyFont="1" applyBorder="1" applyAlignment="1">
      <alignment horizontal="center"/>
    </xf>
    <xf numFmtId="202" fontId="5" fillId="0" borderId="12" xfId="0" applyNumberFormat="1" applyFont="1" applyBorder="1" applyAlignment="1">
      <alignment horizontal="center"/>
    </xf>
    <xf numFmtId="1" fontId="5" fillId="0" borderId="12" xfId="0" applyNumberFormat="1" applyFont="1" applyBorder="1" applyAlignment="1">
      <alignment horizontal="center"/>
    </xf>
    <xf numFmtId="2" fontId="5" fillId="0" borderId="0" xfId="0" applyNumberFormat="1" applyFont="1"/>
    <xf numFmtId="202" fontId="5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 vertical="center"/>
    </xf>
    <xf numFmtId="164" fontId="83" fillId="0" borderId="0" xfId="0" applyFont="1" applyAlignment="1">
      <alignment horizontal="left" vertical="center"/>
    </xf>
    <xf numFmtId="0" fontId="5" fillId="0" borderId="0" xfId="0" quotePrefix="1" applyNumberFormat="1" applyFont="1" applyAlignment="1">
      <alignment horizontal="right" vertical="center"/>
    </xf>
    <xf numFmtId="0" fontId="5" fillId="24" borderId="23" xfId="0" applyNumberFormat="1" applyFont="1" applyFill="1" applyBorder="1" applyAlignment="1">
      <alignment horizontal="centerContinuous" vertical="center"/>
    </xf>
    <xf numFmtId="0" fontId="5" fillId="24" borderId="21" xfId="0" applyNumberFormat="1" applyFont="1" applyFill="1" applyBorder="1" applyAlignment="1">
      <alignment horizontal="centerContinuous" vertical="center"/>
    </xf>
    <xf numFmtId="0" fontId="5" fillId="24" borderId="19" xfId="0" applyNumberFormat="1" applyFont="1" applyFill="1" applyBorder="1" applyAlignment="1">
      <alignment horizontal="centerContinuous" vertical="center"/>
    </xf>
    <xf numFmtId="49" fontId="35" fillId="24" borderId="34" xfId="0" applyNumberFormat="1" applyFont="1" applyFill="1" applyBorder="1" applyAlignment="1">
      <alignment horizontal="center" vertical="center"/>
    </xf>
    <xf numFmtId="164" fontId="90" fillId="24" borderId="32" xfId="0" applyFont="1" applyFill="1" applyBorder="1" applyAlignment="1">
      <alignment horizontal="center" vertical="center" wrapText="1"/>
    </xf>
    <xf numFmtId="0" fontId="5" fillId="0" borderId="15" xfId="0" applyNumberFormat="1" applyFont="1" applyBorder="1" applyAlignment="1">
      <alignment horizontal="center"/>
    </xf>
    <xf numFmtId="37" fontId="5" fillId="0" borderId="66" xfId="0" applyNumberFormat="1" applyFont="1" applyBorder="1" applyAlignment="1">
      <alignment horizontal="center" vertical="center"/>
    </xf>
    <xf numFmtId="37" fontId="5" fillId="0" borderId="15" xfId="0" applyNumberFormat="1" applyFont="1" applyBorder="1" applyAlignment="1">
      <alignment horizontal="center" vertical="center"/>
    </xf>
    <xf numFmtId="38" fontId="13" fillId="0" borderId="0" xfId="0" applyNumberFormat="1" applyFont="1" applyAlignment="1">
      <alignment horizontal="left" vertical="center"/>
    </xf>
    <xf numFmtId="40" fontId="35" fillId="0" borderId="0" xfId="0" applyNumberFormat="1" applyFont="1" applyAlignment="1">
      <alignment horizontal="right" vertical="center" wrapText="1"/>
    </xf>
    <xf numFmtId="38" fontId="5" fillId="0" borderId="245" xfId="0" applyNumberFormat="1" applyFont="1" applyBorder="1" applyAlignment="1">
      <alignment horizontal="center" vertical="center"/>
    </xf>
    <xf numFmtId="40" fontId="5" fillId="0" borderId="24" xfId="0" applyNumberFormat="1" applyFont="1" applyBorder="1" applyAlignment="1">
      <alignment horizontal="center" vertical="center"/>
    </xf>
    <xf numFmtId="38" fontId="5" fillId="0" borderId="252" xfId="0" applyNumberFormat="1" applyFont="1" applyBorder="1" applyAlignment="1">
      <alignment horizontal="center" vertical="center"/>
    </xf>
    <xf numFmtId="40" fontId="5" fillId="0" borderId="253" xfId="0" applyNumberFormat="1" applyFont="1" applyBorder="1" applyAlignment="1">
      <alignment horizontal="center" vertical="center"/>
    </xf>
    <xf numFmtId="38" fontId="5" fillId="0" borderId="254" xfId="0" applyNumberFormat="1" applyFont="1" applyBorder="1" applyAlignment="1">
      <alignment horizontal="center" vertical="center"/>
    </xf>
    <xf numFmtId="40" fontId="5" fillId="0" borderId="35" xfId="0" applyNumberFormat="1" applyFont="1" applyBorder="1" applyAlignment="1">
      <alignment horizontal="center" vertical="center"/>
    </xf>
    <xf numFmtId="0" fontId="5" fillId="24" borderId="12" xfId="0" applyNumberFormat="1" applyFont="1" applyFill="1" applyBorder="1" applyAlignment="1">
      <alignment horizontal="center" vertical="center"/>
    </xf>
    <xf numFmtId="0" fontId="39" fillId="0" borderId="0" xfId="0" applyNumberFormat="1" applyFont="1" applyAlignment="1">
      <alignment horizontal="left" vertical="center" wrapText="1"/>
    </xf>
    <xf numFmtId="0" fontId="39" fillId="0" borderId="0" xfId="0" applyNumberFormat="1" applyFont="1" applyAlignment="1">
      <alignment horizontal="left" vertical="center"/>
    </xf>
    <xf numFmtId="0" fontId="39" fillId="0" borderId="0" xfId="0" applyNumberFormat="1" applyFont="1" applyAlignment="1">
      <alignment vertical="top"/>
    </xf>
    <xf numFmtId="0" fontId="39" fillId="0" borderId="0" xfId="0" applyNumberFormat="1" applyFont="1" applyAlignment="1">
      <alignment vertical="top" wrapText="1"/>
    </xf>
    <xf numFmtId="164" fontId="90" fillId="0" borderId="0" xfId="0" applyFont="1" applyAlignment="1">
      <alignment wrapText="1"/>
    </xf>
    <xf numFmtId="49" fontId="39" fillId="0" borderId="0" xfId="0" applyNumberFormat="1" applyFont="1" applyAlignment="1">
      <alignment horizontal="right" vertical="center" wrapText="1"/>
    </xf>
    <xf numFmtId="0" fontId="39" fillId="0" borderId="0" xfId="6" applyFont="1" applyAlignment="1">
      <alignment vertical="center"/>
    </xf>
    <xf numFmtId="164" fontId="39" fillId="35" borderId="41" xfId="0" applyFont="1" applyFill="1" applyBorder="1" applyAlignment="1">
      <alignment horizontal="center" vertical="center" wrapText="1"/>
    </xf>
    <xf numFmtId="164" fontId="39" fillId="35" borderId="41" xfId="0" applyFont="1" applyFill="1" applyBorder="1" applyAlignment="1">
      <alignment horizontal="center" vertical="center"/>
    </xf>
    <xf numFmtId="164" fontId="39" fillId="35" borderId="10" xfId="0" applyFont="1" applyFill="1" applyBorder="1" applyAlignment="1">
      <alignment horizontal="center" vertical="center"/>
    </xf>
    <xf numFmtId="164" fontId="90" fillId="35" borderId="10" xfId="0" applyFont="1" applyFill="1" applyBorder="1" applyAlignment="1">
      <alignment horizontal="justify" vertical="center"/>
    </xf>
    <xf numFmtId="164" fontId="90" fillId="35" borderId="10" xfId="0" applyFont="1" applyFill="1" applyBorder="1" applyAlignment="1">
      <alignment horizontal="center" vertical="center"/>
    </xf>
    <xf numFmtId="164" fontId="90" fillId="35" borderId="10" xfId="0" applyFont="1" applyFill="1" applyBorder="1" applyAlignment="1">
      <alignment vertical="center"/>
    </xf>
    <xf numFmtId="164" fontId="90" fillId="0" borderId="10" xfId="0" applyFont="1" applyBorder="1" applyAlignment="1">
      <alignment horizontal="center"/>
    </xf>
    <xf numFmtId="164" fontId="39" fillId="35" borderId="10" xfId="0" applyFont="1" applyFill="1" applyBorder="1" applyAlignment="1">
      <alignment horizontal="right" vertical="center"/>
    </xf>
    <xf numFmtId="164" fontId="90" fillId="35" borderId="10" xfId="0" applyFont="1" applyFill="1" applyBorder="1" applyAlignment="1">
      <alignment horizontal="justify" vertical="center" wrapText="1"/>
    </xf>
    <xf numFmtId="164" fontId="90" fillId="0" borderId="0" xfId="0" applyFont="1"/>
    <xf numFmtId="43" fontId="90" fillId="35" borderId="10" xfId="1" applyFont="1" applyFill="1" applyBorder="1" applyAlignment="1">
      <alignment horizontal="right" vertical="center"/>
    </xf>
    <xf numFmtId="43" fontId="90" fillId="35" borderId="10" xfId="1" applyFont="1" applyFill="1" applyBorder="1" applyAlignment="1">
      <alignment horizontal="center" vertical="center"/>
    </xf>
    <xf numFmtId="43" fontId="39" fillId="35" borderId="10" xfId="1" applyFont="1" applyFill="1" applyBorder="1" applyAlignment="1">
      <alignment horizontal="right" vertical="center"/>
    </xf>
    <xf numFmtId="43" fontId="90" fillId="35" borderId="10" xfId="1" applyFont="1" applyFill="1" applyBorder="1" applyAlignment="1">
      <alignment vertical="center"/>
    </xf>
    <xf numFmtId="164" fontId="4" fillId="0" borderId="0" xfId="0" applyFont="1" applyAlignment="1">
      <alignment horizontal="center" vertical="center"/>
    </xf>
    <xf numFmtId="0" fontId="20" fillId="15" borderId="9" xfId="5" applyFont="1" applyFill="1" applyBorder="1" applyAlignment="1">
      <alignment horizontal="center" vertical="center" wrapText="1"/>
    </xf>
    <xf numFmtId="0" fontId="20" fillId="9" borderId="9" xfId="5" applyFont="1" applyFill="1" applyBorder="1" applyAlignment="1">
      <alignment horizontal="center" vertical="center" wrapText="1"/>
    </xf>
    <xf numFmtId="0" fontId="20" fillId="6" borderId="9" xfId="7" applyNumberFormat="1" applyFont="1" applyFill="1" applyBorder="1" applyAlignment="1">
      <alignment horizontal="center" vertical="center" wrapText="1"/>
    </xf>
    <xf numFmtId="0" fontId="20" fillId="5" borderId="9" xfId="7" applyNumberFormat="1" applyFont="1" applyFill="1" applyBorder="1" applyAlignment="1">
      <alignment horizontal="center" vertical="center" wrapText="1"/>
    </xf>
    <xf numFmtId="0" fontId="20" fillId="14" borderId="9" xfId="7" applyNumberFormat="1" applyFont="1" applyFill="1" applyBorder="1" applyAlignment="1">
      <alignment horizontal="center" vertical="center" wrapText="1"/>
    </xf>
    <xf numFmtId="0" fontId="20" fillId="11" borderId="9" xfId="7" applyNumberFormat="1" applyFont="1" applyFill="1" applyBorder="1" applyAlignment="1">
      <alignment horizontal="center" vertical="center" wrapText="1"/>
    </xf>
    <xf numFmtId="0" fontId="20" fillId="12" borderId="9" xfId="7" applyNumberFormat="1" applyFont="1" applyFill="1" applyBorder="1" applyAlignment="1">
      <alignment horizontal="center" vertical="center" wrapText="1"/>
    </xf>
    <xf numFmtId="0" fontId="20" fillId="13" borderId="9" xfId="7" applyNumberFormat="1" applyFont="1" applyFill="1" applyBorder="1" applyAlignment="1">
      <alignment horizontal="center" vertical="center" wrapText="1"/>
    </xf>
    <xf numFmtId="0" fontId="13" fillId="4" borderId="19" xfId="0" applyNumberFormat="1" applyFont="1" applyFill="1" applyBorder="1" applyAlignment="1">
      <alignment horizontal="center" vertical="center" wrapText="1"/>
    </xf>
    <xf numFmtId="0" fontId="13" fillId="4" borderId="30" xfId="0" applyNumberFormat="1" applyFont="1" applyFill="1" applyBorder="1" applyAlignment="1">
      <alignment horizontal="center" vertical="center" wrapText="1"/>
    </xf>
    <xf numFmtId="43" fontId="13" fillId="4" borderId="20" xfId="0" applyNumberFormat="1" applyFont="1" applyFill="1" applyBorder="1" applyAlignment="1">
      <alignment horizontal="center" vertical="center" wrapText="1"/>
    </xf>
    <xf numFmtId="43" fontId="13" fillId="4" borderId="31" xfId="0" applyNumberFormat="1" applyFont="1" applyFill="1" applyBorder="1" applyAlignment="1">
      <alignment horizontal="center" vertical="center" wrapText="1"/>
    </xf>
    <xf numFmtId="43" fontId="13" fillId="4" borderId="21" xfId="0" applyNumberFormat="1" applyFont="1" applyFill="1" applyBorder="1" applyAlignment="1">
      <alignment horizontal="center" vertical="center" wrapText="1"/>
    </xf>
    <xf numFmtId="43" fontId="13" fillId="4" borderId="32" xfId="0" applyNumberFormat="1" applyFont="1" applyFill="1" applyBorder="1" applyAlignment="1">
      <alignment horizontal="center" vertical="center" wrapText="1"/>
    </xf>
    <xf numFmtId="43" fontId="13" fillId="4" borderId="22" xfId="0" applyNumberFormat="1" applyFont="1" applyFill="1" applyBorder="1" applyAlignment="1">
      <alignment horizontal="center" vertical="center" wrapText="1"/>
    </xf>
    <xf numFmtId="43" fontId="13" fillId="4" borderId="33" xfId="0" applyNumberFormat="1" applyFont="1" applyFill="1" applyBorder="1" applyAlignment="1">
      <alignment horizontal="center" vertical="center" wrapText="1"/>
    </xf>
    <xf numFmtId="43" fontId="13" fillId="4" borderId="14" xfId="0" applyNumberFormat="1" applyFont="1" applyFill="1" applyBorder="1" applyAlignment="1">
      <alignment horizontal="center" vertical="center" wrapText="1"/>
    </xf>
    <xf numFmtId="43" fontId="13" fillId="4" borderId="25" xfId="0" applyNumberFormat="1" applyFont="1" applyFill="1" applyBorder="1" applyAlignment="1">
      <alignment horizontal="center" vertical="center" wrapText="1"/>
    </xf>
    <xf numFmtId="0" fontId="13" fillId="4" borderId="14" xfId="0" applyNumberFormat="1" applyFont="1" applyFill="1" applyBorder="1" applyAlignment="1">
      <alignment horizontal="center" vertical="center" wrapText="1"/>
    </xf>
    <xf numFmtId="0" fontId="13" fillId="4" borderId="25" xfId="0" applyNumberFormat="1" applyFont="1" applyFill="1" applyBorder="1" applyAlignment="1">
      <alignment horizontal="center" vertical="center" wrapText="1"/>
    </xf>
    <xf numFmtId="0" fontId="13" fillId="4" borderId="15" xfId="0" applyNumberFormat="1" applyFont="1" applyFill="1" applyBorder="1" applyAlignment="1">
      <alignment horizontal="center" vertical="center" wrapText="1"/>
    </xf>
    <xf numFmtId="0" fontId="13" fillId="4" borderId="26" xfId="0" applyNumberFormat="1" applyFont="1" applyFill="1" applyBorder="1" applyAlignment="1">
      <alignment horizontal="center" vertical="center" wrapText="1"/>
    </xf>
    <xf numFmtId="0" fontId="13" fillId="4" borderId="20" xfId="0" applyNumberFormat="1" applyFont="1" applyFill="1" applyBorder="1" applyAlignment="1">
      <alignment horizontal="center" vertical="center" wrapText="1"/>
    </xf>
    <xf numFmtId="0" fontId="13" fillId="4" borderId="31" xfId="0" applyNumberFormat="1" applyFont="1" applyFill="1" applyBorder="1" applyAlignment="1">
      <alignment horizontal="center" vertical="center" wrapText="1"/>
    </xf>
    <xf numFmtId="0" fontId="13" fillId="4" borderId="21" xfId="0" applyNumberFormat="1" applyFont="1" applyFill="1" applyBorder="1" applyAlignment="1">
      <alignment horizontal="center" vertical="center" wrapText="1"/>
    </xf>
    <xf numFmtId="0" fontId="13" fillId="4" borderId="32" xfId="0" applyNumberFormat="1" applyFont="1" applyFill="1" applyBorder="1" applyAlignment="1">
      <alignment horizontal="center" vertical="center" wrapText="1"/>
    </xf>
    <xf numFmtId="43" fontId="13" fillId="4" borderId="19" xfId="0" applyNumberFormat="1" applyFont="1" applyFill="1" applyBorder="1" applyAlignment="1">
      <alignment horizontal="center" vertical="center" wrapText="1"/>
    </xf>
    <xf numFmtId="43" fontId="13" fillId="4" borderId="30" xfId="0" applyNumberFormat="1" applyFont="1" applyFill="1" applyBorder="1" applyAlignment="1">
      <alignment horizontal="center" vertical="center" wrapText="1"/>
    </xf>
    <xf numFmtId="0" fontId="13" fillId="4" borderId="23" xfId="0" applyNumberFormat="1" applyFont="1" applyFill="1" applyBorder="1" applyAlignment="1">
      <alignment horizontal="center" vertical="center" wrapText="1"/>
    </xf>
    <xf numFmtId="0" fontId="13" fillId="4" borderId="34" xfId="0" applyNumberFormat="1" applyFont="1" applyFill="1" applyBorder="1" applyAlignment="1">
      <alignment horizontal="center" vertical="center" wrapText="1"/>
    </xf>
    <xf numFmtId="49" fontId="13" fillId="4" borderId="19" xfId="0" applyNumberFormat="1" applyFont="1" applyFill="1" applyBorder="1" applyAlignment="1">
      <alignment horizontal="center" vertical="center" wrapText="1"/>
    </xf>
    <xf numFmtId="49" fontId="13" fillId="4" borderId="30" xfId="0" applyNumberFormat="1" applyFont="1" applyFill="1" applyBorder="1" applyAlignment="1">
      <alignment horizontal="center" vertical="center" wrapText="1"/>
    </xf>
    <xf numFmtId="0" fontId="13" fillId="4" borderId="22" xfId="0" applyNumberFormat="1" applyFont="1" applyFill="1" applyBorder="1" applyAlignment="1">
      <alignment horizontal="center" vertical="center" wrapText="1"/>
    </xf>
    <xf numFmtId="0" fontId="5" fillId="4" borderId="20" xfId="0" applyNumberFormat="1" applyFont="1" applyFill="1" applyBorder="1" applyAlignment="1">
      <alignment horizontal="center" vertical="center"/>
    </xf>
    <xf numFmtId="0" fontId="5" fillId="4" borderId="31" xfId="0" applyNumberFormat="1" applyFont="1" applyFill="1" applyBorder="1" applyAlignment="1">
      <alignment horizontal="center" vertical="center"/>
    </xf>
    <xf numFmtId="0" fontId="5" fillId="4" borderId="21" xfId="0" applyNumberFormat="1" applyFont="1" applyFill="1" applyBorder="1" applyAlignment="1">
      <alignment horizontal="center" vertical="center"/>
    </xf>
    <xf numFmtId="0" fontId="5" fillId="4" borderId="32" xfId="0" applyNumberFormat="1" applyFont="1" applyFill="1" applyBorder="1" applyAlignment="1">
      <alignment horizontal="center" vertical="center"/>
    </xf>
    <xf numFmtId="0" fontId="11" fillId="0" borderId="0" xfId="0" applyNumberFormat="1" applyFont="1" applyAlignment="1">
      <alignment horizontal="center" vertical="center" wrapText="1"/>
    </xf>
    <xf numFmtId="0" fontId="13" fillId="4" borderId="19" xfId="0" applyNumberFormat="1" applyFont="1" applyFill="1" applyBorder="1" applyAlignment="1">
      <alignment horizontal="center" vertical="center"/>
    </xf>
    <xf numFmtId="0" fontId="13" fillId="4" borderId="30" xfId="0" applyNumberFormat="1" applyFont="1" applyFill="1" applyBorder="1" applyAlignment="1">
      <alignment horizontal="center" vertical="center"/>
    </xf>
    <xf numFmtId="0" fontId="13" fillId="4" borderId="20" xfId="0" applyNumberFormat="1" applyFont="1" applyFill="1" applyBorder="1" applyAlignment="1">
      <alignment horizontal="center" vertical="center"/>
    </xf>
    <xf numFmtId="0" fontId="13" fillId="4" borderId="31" xfId="0" applyNumberFormat="1" applyFont="1" applyFill="1" applyBorder="1" applyAlignment="1">
      <alignment horizontal="center" vertical="center"/>
    </xf>
    <xf numFmtId="0" fontId="13" fillId="4" borderId="21" xfId="0" applyNumberFormat="1" applyFont="1" applyFill="1" applyBorder="1" applyAlignment="1">
      <alignment horizontal="center" vertical="center"/>
    </xf>
    <xf numFmtId="0" fontId="13" fillId="4" borderId="32" xfId="0" applyNumberFormat="1" applyFont="1" applyFill="1" applyBorder="1" applyAlignment="1">
      <alignment horizontal="center" vertical="center"/>
    </xf>
    <xf numFmtId="0" fontId="11" fillId="4" borderId="24" xfId="0" applyNumberFormat="1" applyFont="1" applyFill="1" applyBorder="1" applyAlignment="1">
      <alignment horizontal="center" vertical="center" wrapText="1"/>
    </xf>
    <xf numFmtId="0" fontId="11" fillId="4" borderId="35" xfId="0" applyNumberFormat="1" applyFont="1" applyFill="1" applyBorder="1" applyAlignment="1">
      <alignment horizontal="center" vertical="center" wrapText="1"/>
    </xf>
    <xf numFmtId="49" fontId="13" fillId="4" borderId="14" xfId="0" applyNumberFormat="1" applyFont="1" applyFill="1" applyBorder="1" applyAlignment="1">
      <alignment horizontal="center" vertical="center"/>
    </xf>
    <xf numFmtId="49" fontId="13" fillId="4" borderId="25" xfId="0" applyNumberFormat="1" applyFont="1" applyFill="1" applyBorder="1" applyAlignment="1">
      <alignment horizontal="center" vertical="center"/>
    </xf>
    <xf numFmtId="0" fontId="5" fillId="4" borderId="15" xfId="0" applyNumberFormat="1" applyFont="1" applyFill="1" applyBorder="1" applyAlignment="1">
      <alignment horizontal="center" vertical="center"/>
    </xf>
    <xf numFmtId="0" fontId="5" fillId="4" borderId="26" xfId="0" applyNumberFormat="1" applyFont="1" applyFill="1" applyBorder="1" applyAlignment="1">
      <alignment horizontal="center" vertical="center"/>
    </xf>
    <xf numFmtId="0" fontId="13" fillId="4" borderId="16" xfId="0" applyNumberFormat="1" applyFont="1" applyFill="1" applyBorder="1" applyAlignment="1">
      <alignment horizontal="center" vertical="center"/>
    </xf>
    <xf numFmtId="0" fontId="13" fillId="4" borderId="17" xfId="0" applyNumberFormat="1" applyFont="1" applyFill="1" applyBorder="1" applyAlignment="1">
      <alignment horizontal="center" vertical="center"/>
    </xf>
    <xf numFmtId="0" fontId="13" fillId="4" borderId="27" xfId="0" applyNumberFormat="1" applyFont="1" applyFill="1" applyBorder="1" applyAlignment="1">
      <alignment horizontal="center" vertical="center"/>
    </xf>
    <xf numFmtId="0" fontId="13" fillId="4" borderId="28" xfId="0" applyNumberFormat="1" applyFont="1" applyFill="1" applyBorder="1" applyAlignment="1">
      <alignment horizontal="center" vertical="center"/>
    </xf>
    <xf numFmtId="0" fontId="13" fillId="4" borderId="18" xfId="0" applyNumberFormat="1" applyFont="1" applyFill="1" applyBorder="1" applyAlignment="1">
      <alignment horizontal="center" vertical="center"/>
    </xf>
    <xf numFmtId="0" fontId="13" fillId="4" borderId="29" xfId="0" applyNumberFormat="1" applyFont="1" applyFill="1" applyBorder="1" applyAlignment="1">
      <alignment horizontal="center" vertical="center"/>
    </xf>
    <xf numFmtId="0" fontId="11" fillId="0" borderId="0" xfId="0" applyNumberFormat="1" applyFont="1" applyAlignment="1">
      <alignment horizontal="center" vertical="center"/>
    </xf>
    <xf numFmtId="10" fontId="11" fillId="2" borderId="10" xfId="3" applyNumberFormat="1" applyFont="1" applyFill="1" applyBorder="1" applyAlignment="1">
      <alignment horizontal="center" vertical="center"/>
    </xf>
    <xf numFmtId="0" fontId="31" fillId="4" borderId="0" xfId="9" applyFont="1" applyFill="1" applyAlignment="1">
      <alignment horizontal="center" vertical="center"/>
    </xf>
    <xf numFmtId="164" fontId="13" fillId="4" borderId="11" xfId="0" applyFont="1" applyFill="1" applyBorder="1" applyAlignment="1">
      <alignment horizontal="right"/>
    </xf>
    <xf numFmtId="164" fontId="13" fillId="4" borderId="13" xfId="0" applyFont="1" applyFill="1" applyBorder="1" applyAlignment="1">
      <alignment horizontal="right"/>
    </xf>
    <xf numFmtId="164" fontId="13" fillId="4" borderId="11" xfId="0" applyFont="1" applyFill="1" applyBorder="1" applyAlignment="1">
      <alignment horizontal="right" vertical="center"/>
    </xf>
    <xf numFmtId="164" fontId="13" fillId="4" borderId="13" xfId="0" applyFont="1" applyFill="1" applyBorder="1" applyAlignment="1">
      <alignment horizontal="right" vertical="center"/>
    </xf>
    <xf numFmtId="164" fontId="42" fillId="4" borderId="72" xfId="11" applyNumberFormat="1" applyFont="1" applyFill="1" applyBorder="1" applyAlignment="1">
      <alignment horizontal="center" vertical="center"/>
    </xf>
    <xf numFmtId="164" fontId="42" fillId="4" borderId="57" xfId="11" applyNumberFormat="1" applyFont="1" applyFill="1" applyBorder="1" applyAlignment="1">
      <alignment horizontal="center" vertical="center"/>
    </xf>
    <xf numFmtId="164" fontId="45" fillId="13" borderId="0" xfId="11" applyNumberFormat="1" applyFont="1" applyFill="1" applyAlignment="1">
      <alignment horizontal="center" vertical="center" wrapText="1"/>
    </xf>
    <xf numFmtId="164" fontId="45" fillId="20" borderId="0" xfId="11" applyNumberFormat="1" applyFont="1" applyFill="1" applyAlignment="1">
      <alignment horizontal="center" vertical="center" wrapText="1"/>
    </xf>
    <xf numFmtId="164" fontId="42" fillId="4" borderId="67" xfId="11" applyNumberFormat="1" applyFont="1" applyFill="1" applyBorder="1" applyAlignment="1">
      <alignment horizontal="center" vertical="center"/>
    </xf>
    <xf numFmtId="44" fontId="42" fillId="4" borderId="11" xfId="14" applyNumberFormat="1" applyFont="1" applyFill="1" applyBorder="1" applyAlignment="1">
      <alignment horizontal="center" vertical="center" wrapText="1"/>
    </xf>
    <xf numFmtId="44" fontId="42" fillId="4" borderId="13" xfId="14" applyNumberFormat="1" applyFont="1" applyFill="1" applyBorder="1" applyAlignment="1">
      <alignment horizontal="center" vertical="center" wrapText="1"/>
    </xf>
    <xf numFmtId="10" fontId="42" fillId="4" borderId="11" xfId="12" applyNumberFormat="1" applyFont="1" applyFill="1" applyBorder="1" applyAlignment="1">
      <alignment horizontal="center" vertical="center"/>
    </xf>
    <xf numFmtId="10" fontId="42" fillId="4" borderId="13" xfId="12" applyNumberFormat="1" applyFont="1" applyFill="1" applyBorder="1" applyAlignment="1">
      <alignment horizontal="center" vertical="center"/>
    </xf>
    <xf numFmtId="183" fontId="42" fillId="4" borderId="11" xfId="12" applyNumberFormat="1" applyFont="1" applyFill="1" applyBorder="1" applyAlignment="1">
      <alignment horizontal="center" vertical="center"/>
    </xf>
    <xf numFmtId="183" fontId="42" fillId="4" borderId="13" xfId="12" applyNumberFormat="1" applyFont="1" applyFill="1" applyBorder="1" applyAlignment="1">
      <alignment horizontal="center" vertical="center"/>
    </xf>
    <xf numFmtId="164" fontId="42" fillId="4" borderId="52" xfId="11" applyNumberFormat="1" applyFont="1" applyFill="1" applyBorder="1" applyAlignment="1">
      <alignment horizontal="center" vertical="center"/>
    </xf>
    <xf numFmtId="164" fontId="42" fillId="4" borderId="13" xfId="11" applyNumberFormat="1" applyFont="1" applyFill="1" applyBorder="1" applyAlignment="1">
      <alignment horizontal="center" vertical="center"/>
    </xf>
    <xf numFmtId="44" fontId="42" fillId="4" borderId="51" xfId="14" applyNumberFormat="1" applyFont="1" applyFill="1" applyBorder="1" applyAlignment="1">
      <alignment horizontal="center" vertical="center" wrapText="1"/>
    </xf>
    <xf numFmtId="44" fontId="42" fillId="4" borderId="52" xfId="14" applyNumberFormat="1" applyFont="1" applyFill="1" applyBorder="1" applyAlignment="1">
      <alignment horizontal="center" vertical="center" wrapText="1"/>
    </xf>
    <xf numFmtId="37" fontId="42" fillId="0" borderId="61" xfId="11" applyNumberFormat="1" applyFont="1" applyBorder="1" applyAlignment="1">
      <alignment horizontal="center" vertical="center"/>
    </xf>
    <xf numFmtId="37" fontId="42" fillId="0" borderId="65" xfId="11" applyNumberFormat="1" applyFont="1" applyBorder="1" applyAlignment="1">
      <alignment horizontal="center" vertical="center"/>
    </xf>
    <xf numFmtId="37" fontId="42" fillId="0" borderId="73" xfId="11" applyNumberFormat="1" applyFont="1" applyBorder="1" applyAlignment="1">
      <alignment horizontal="center" vertical="center"/>
    </xf>
    <xf numFmtId="37" fontId="42" fillId="0" borderId="49" xfId="11" applyNumberFormat="1" applyFont="1" applyBorder="1" applyAlignment="1">
      <alignment horizontal="center" vertical="center" wrapText="1"/>
    </xf>
    <xf numFmtId="37" fontId="42" fillId="0" borderId="9" xfId="11" applyNumberFormat="1" applyFont="1" applyBorder="1" applyAlignment="1">
      <alignment horizontal="center" vertical="center" wrapText="1"/>
    </xf>
    <xf numFmtId="37" fontId="42" fillId="0" borderId="55" xfId="11" applyNumberFormat="1" applyFont="1" applyBorder="1" applyAlignment="1">
      <alignment horizontal="center" vertical="center" wrapText="1"/>
    </xf>
    <xf numFmtId="44" fontId="35" fillId="0" borderId="66" xfId="14" applyNumberFormat="1" applyFont="1" applyBorder="1" applyAlignment="1">
      <alignment horizontal="center" vertical="center" wrapText="1"/>
    </xf>
    <xf numFmtId="44" fontId="35" fillId="0" borderId="67" xfId="14" applyNumberFormat="1" applyFont="1" applyBorder="1" applyAlignment="1">
      <alignment horizontal="center" vertical="center" wrapText="1"/>
    </xf>
    <xf numFmtId="180" fontId="35" fillId="7" borderId="65" xfId="12" applyNumberFormat="1" applyFont="1" applyFill="1" applyBorder="1" applyAlignment="1">
      <alignment horizontal="center" vertical="center"/>
    </xf>
    <xf numFmtId="37" fontId="35" fillId="18" borderId="0" xfId="11" applyNumberFormat="1" applyFont="1" applyFill="1" applyAlignment="1">
      <alignment horizontal="center" vertical="center"/>
    </xf>
    <xf numFmtId="181" fontId="35" fillId="19" borderId="41" xfId="12" applyNumberFormat="1" applyFont="1" applyFill="1" applyBorder="1" applyAlignment="1">
      <alignment horizontal="center" vertical="center" wrapText="1"/>
    </xf>
    <xf numFmtId="181" fontId="35" fillId="19" borderId="71" xfId="12" applyNumberFormat="1" applyFont="1" applyFill="1" applyBorder="1" applyAlignment="1">
      <alignment horizontal="center" vertical="center" wrapText="1"/>
    </xf>
    <xf numFmtId="181" fontId="35" fillId="0" borderId="41" xfId="12" applyNumberFormat="1" applyFont="1" applyBorder="1" applyAlignment="1">
      <alignment horizontal="center" vertical="center" wrapText="1"/>
    </xf>
    <xf numFmtId="181" fontId="35" fillId="0" borderId="55" xfId="12" applyNumberFormat="1" applyFont="1" applyBorder="1" applyAlignment="1">
      <alignment horizontal="center" vertical="center" wrapText="1"/>
    </xf>
    <xf numFmtId="0" fontId="13" fillId="0" borderId="0" xfId="10" applyFont="1" applyAlignment="1">
      <alignment horizontal="center" vertical="top"/>
    </xf>
    <xf numFmtId="0" fontId="13" fillId="0" borderId="0" xfId="10" applyFont="1" applyAlignment="1">
      <alignment horizontal="center" vertical="center"/>
    </xf>
    <xf numFmtId="164" fontId="39" fillId="4" borderId="48" xfId="4" applyNumberFormat="1" applyFont="1" applyFill="1" applyBorder="1" applyAlignment="1" applyProtection="1">
      <alignment horizontal="center" vertical="center"/>
    </xf>
    <xf numFmtId="164" fontId="39" fillId="4" borderId="54" xfId="4" applyNumberFormat="1" applyFont="1" applyFill="1" applyBorder="1" applyAlignment="1" applyProtection="1">
      <alignment horizontal="center" vertical="center"/>
    </xf>
    <xf numFmtId="164" fontId="39" fillId="4" borderId="49" xfId="11" applyNumberFormat="1" applyFont="1" applyFill="1" applyBorder="1" applyAlignment="1">
      <alignment horizontal="center" vertical="center"/>
    </xf>
    <xf numFmtId="164" fontId="39" fillId="4" borderId="55" xfId="11" applyNumberFormat="1" applyFont="1" applyFill="1" applyBorder="1" applyAlignment="1">
      <alignment horizontal="center" vertical="center"/>
    </xf>
    <xf numFmtId="164" fontId="39" fillId="4" borderId="51" xfId="11" applyNumberFormat="1" applyFont="1" applyFill="1" applyBorder="1" applyAlignment="1">
      <alignment horizontal="center" vertical="center"/>
    </xf>
    <xf numFmtId="164" fontId="39" fillId="4" borderId="52" xfId="11" applyNumberFormat="1" applyFont="1" applyFill="1" applyBorder="1" applyAlignment="1">
      <alignment horizontal="center" vertical="center"/>
    </xf>
    <xf numFmtId="164" fontId="39" fillId="4" borderId="53" xfId="11" applyNumberFormat="1" applyFont="1" applyFill="1" applyBorder="1" applyAlignment="1">
      <alignment horizontal="center" vertical="center"/>
    </xf>
    <xf numFmtId="164" fontId="39" fillId="4" borderId="60" xfId="11" applyNumberFormat="1" applyFont="1" applyFill="1" applyBorder="1" applyAlignment="1">
      <alignment horizontal="center" vertical="center"/>
    </xf>
    <xf numFmtId="164" fontId="39" fillId="4" borderId="56" xfId="11" applyNumberFormat="1" applyFont="1" applyFill="1" applyBorder="1" applyAlignment="1">
      <alignment horizontal="center" vertical="center"/>
    </xf>
    <xf numFmtId="164" fontId="39" fillId="4" borderId="57" xfId="11" applyNumberFormat="1" applyFont="1" applyFill="1" applyBorder="1" applyAlignment="1">
      <alignment horizontal="center" vertical="center"/>
    </xf>
    <xf numFmtId="164" fontId="66" fillId="21" borderId="81" xfId="0" applyFont="1" applyFill="1" applyBorder="1" applyAlignment="1">
      <alignment horizontal="center" vertical="center"/>
    </xf>
    <xf numFmtId="164" fontId="66" fillId="21" borderId="82" xfId="0" applyFont="1" applyFill="1" applyBorder="1" applyAlignment="1">
      <alignment horizontal="center" vertical="center"/>
    </xf>
    <xf numFmtId="164" fontId="66" fillId="21" borderId="83" xfId="0" applyFont="1" applyFill="1" applyBorder="1" applyAlignment="1">
      <alignment horizontal="center" vertical="center"/>
    </xf>
    <xf numFmtId="164" fontId="65" fillId="0" borderId="0" xfId="0" applyFont="1" applyAlignment="1">
      <alignment horizontal="center" vertical="center" wrapText="1"/>
    </xf>
    <xf numFmtId="164" fontId="65" fillId="0" borderId="66" xfId="0" applyFont="1" applyBorder="1" applyAlignment="1">
      <alignment horizontal="center" vertical="center" wrapText="1"/>
    </xf>
    <xf numFmtId="164" fontId="64" fillId="0" borderId="0" xfId="0" applyFont="1" applyAlignment="1">
      <alignment horizontal="center" vertical="center" wrapText="1"/>
    </xf>
    <xf numFmtId="0" fontId="16" fillId="0" borderId="0" xfId="0" applyNumberFormat="1" applyFont="1" applyAlignment="1">
      <alignment horizontal="center" vertical="top"/>
    </xf>
    <xf numFmtId="164" fontId="42" fillId="24" borderId="0" xfId="0" applyFont="1" applyFill="1" applyAlignment="1">
      <alignment horizontal="right" vertical="top"/>
    </xf>
    <xf numFmtId="164" fontId="42" fillId="24" borderId="0" xfId="0" applyFont="1" applyFill="1" applyAlignment="1">
      <alignment horizontal="left" vertical="top" wrapText="1"/>
    </xf>
    <xf numFmtId="164" fontId="5" fillId="0" borderId="18" xfId="0" applyFont="1" applyBorder="1" applyAlignment="1">
      <alignment horizontal="center" vertical="center" wrapText="1"/>
    </xf>
    <xf numFmtId="164" fontId="5" fillId="0" borderId="71" xfId="0" applyFont="1" applyBorder="1" applyAlignment="1">
      <alignment horizontal="center" vertical="center"/>
    </xf>
    <xf numFmtId="164" fontId="5" fillId="0" borderId="90" xfId="0" applyFont="1" applyBorder="1" applyAlignment="1">
      <alignment horizontal="center" vertical="center"/>
    </xf>
    <xf numFmtId="164" fontId="5" fillId="0" borderId="93" xfId="0" applyFont="1" applyBorder="1" applyAlignment="1">
      <alignment horizontal="center" vertical="center"/>
    </xf>
    <xf numFmtId="164" fontId="23" fillId="0" borderId="90" xfId="0" applyFont="1" applyBorder="1" applyAlignment="1">
      <alignment horizontal="center" vertical="center"/>
    </xf>
    <xf numFmtId="164" fontId="23" fillId="0" borderId="93" xfId="0" applyFont="1" applyBorder="1" applyAlignment="1">
      <alignment horizontal="center" vertical="center"/>
    </xf>
    <xf numFmtId="164" fontId="5" fillId="0" borderId="91" xfId="0" applyFont="1" applyBorder="1" applyAlignment="1">
      <alignment horizontal="center" vertical="center"/>
    </xf>
    <xf numFmtId="164" fontId="5" fillId="0" borderId="94" xfId="0" applyFont="1" applyBorder="1" applyAlignment="1">
      <alignment horizontal="center" vertical="center"/>
    </xf>
    <xf numFmtId="164" fontId="5" fillId="0" borderId="18" xfId="0" applyFont="1" applyBorder="1" applyAlignment="1">
      <alignment horizontal="center" vertical="center"/>
    </xf>
    <xf numFmtId="164" fontId="5" fillId="0" borderId="92" xfId="0" applyFont="1" applyBorder="1" applyAlignment="1">
      <alignment horizontal="center" vertical="center" wrapText="1"/>
    </xf>
    <xf numFmtId="164" fontId="5" fillId="0" borderId="95" xfId="0" applyFont="1" applyBorder="1" applyAlignment="1">
      <alignment horizontal="center" vertical="center"/>
    </xf>
    <xf numFmtId="164" fontId="5" fillId="0" borderId="0" xfId="0" applyFont="1" applyAlignment="1">
      <alignment horizontal="center" vertical="center"/>
    </xf>
    <xf numFmtId="0" fontId="5" fillId="0" borderId="22" xfId="18" applyNumberFormat="1" applyFont="1" applyBorder="1" applyAlignment="1">
      <alignment horizontal="center" vertical="center"/>
    </xf>
    <xf numFmtId="0" fontId="5" fillId="0" borderId="20" xfId="18" applyNumberFormat="1" applyFont="1" applyBorder="1" applyAlignment="1">
      <alignment horizontal="center" vertical="center"/>
    </xf>
    <xf numFmtId="164" fontId="5" fillId="0" borderId="22" xfId="0" applyFont="1" applyBorder="1" applyAlignment="1">
      <alignment horizontal="center" vertical="center"/>
    </xf>
    <xf numFmtId="164" fontId="5" fillId="0" borderId="15" xfId="0" applyFont="1" applyBorder="1" applyAlignment="1">
      <alignment horizontal="center" vertical="center"/>
    </xf>
    <xf numFmtId="164" fontId="5" fillId="0" borderId="20" xfId="0" applyFont="1" applyBorder="1" applyAlignment="1">
      <alignment horizontal="center" vertical="center"/>
    </xf>
    <xf numFmtId="0" fontId="5" fillId="0" borderId="33" xfId="18" applyNumberFormat="1" applyFont="1" applyBorder="1" applyAlignment="1">
      <alignment horizontal="center" vertical="center" wrapText="1"/>
    </xf>
    <xf numFmtId="0" fontId="5" fillId="0" borderId="31" xfId="18" applyNumberFormat="1" applyFont="1" applyBorder="1" applyAlignment="1">
      <alignment horizontal="center" vertical="center" wrapText="1"/>
    </xf>
    <xf numFmtId="164" fontId="35" fillId="0" borderId="33" xfId="0" applyFont="1" applyBorder="1" applyAlignment="1">
      <alignment horizontal="center" vertical="center"/>
    </xf>
    <xf numFmtId="164" fontId="35" fillId="0" borderId="26" xfId="0" applyFont="1" applyBorder="1" applyAlignment="1">
      <alignment horizontal="center" vertical="center"/>
    </xf>
    <xf numFmtId="164" fontId="35" fillId="0" borderId="31" xfId="0" applyFont="1" applyBorder="1" applyAlignment="1">
      <alignment horizontal="center" vertical="center"/>
    </xf>
    <xf numFmtId="164" fontId="5" fillId="0" borderId="91" xfId="0" quotePrefix="1" applyFont="1" applyBorder="1" applyAlignment="1">
      <alignment horizontal="center" vertical="center"/>
    </xf>
    <xf numFmtId="164" fontId="5" fillId="0" borderId="94" xfId="0" quotePrefix="1" applyFont="1" applyBorder="1" applyAlignment="1">
      <alignment horizontal="center" vertical="center"/>
    </xf>
    <xf numFmtId="164" fontId="4" fillId="0" borderId="0" xfId="0" applyFont="1" applyAlignment="1">
      <alignment horizontal="center"/>
    </xf>
    <xf numFmtId="0" fontId="13" fillId="10" borderId="90" xfId="0" applyNumberFormat="1" applyFont="1" applyFill="1" applyBorder="1" applyAlignment="1">
      <alignment horizontal="center" vertical="center"/>
    </xf>
    <xf numFmtId="0" fontId="13" fillId="10" borderId="89" xfId="0" applyNumberFormat="1" applyFont="1" applyFill="1" applyBorder="1" applyAlignment="1">
      <alignment horizontal="center" vertical="center"/>
    </xf>
    <xf numFmtId="0" fontId="13" fillId="10" borderId="91" xfId="0" applyNumberFormat="1" applyFont="1" applyFill="1" applyBorder="1" applyAlignment="1">
      <alignment horizontal="center" vertical="center" wrapText="1"/>
    </xf>
    <xf numFmtId="0" fontId="13" fillId="10" borderId="99" xfId="0" applyNumberFormat="1" applyFont="1" applyFill="1" applyBorder="1" applyAlignment="1">
      <alignment horizontal="center" vertical="center" wrapText="1"/>
    </xf>
    <xf numFmtId="0" fontId="13" fillId="10" borderId="21" xfId="0" applyNumberFormat="1" applyFont="1" applyFill="1" applyBorder="1" applyAlignment="1">
      <alignment horizontal="center" vertical="center"/>
    </xf>
    <xf numFmtId="0" fontId="13" fillId="10" borderId="19" xfId="0" applyNumberFormat="1" applyFont="1" applyFill="1" applyBorder="1" applyAlignment="1">
      <alignment horizontal="center" vertical="center"/>
    </xf>
    <xf numFmtId="0" fontId="73" fillId="0" borderId="0" xfId="10" applyFont="1" applyAlignment="1">
      <alignment horizontal="center" vertical="center"/>
    </xf>
    <xf numFmtId="0" fontId="42" fillId="4" borderId="22" xfId="0" applyNumberFormat="1" applyFont="1" applyFill="1" applyBorder="1" applyAlignment="1">
      <alignment horizontal="center" vertical="center" wrapText="1"/>
    </xf>
    <xf numFmtId="0" fontId="42" fillId="4" borderId="15" xfId="0" applyNumberFormat="1" applyFont="1" applyFill="1" applyBorder="1" applyAlignment="1">
      <alignment horizontal="center" vertical="center" wrapText="1"/>
    </xf>
    <xf numFmtId="0" fontId="42" fillId="4" borderId="20" xfId="0" applyNumberFormat="1" applyFont="1" applyFill="1" applyBorder="1" applyAlignment="1">
      <alignment horizontal="center" vertical="center" wrapText="1"/>
    </xf>
    <xf numFmtId="0" fontId="42" fillId="4" borderId="21" xfId="0" applyNumberFormat="1" applyFont="1" applyFill="1" applyBorder="1" applyAlignment="1">
      <alignment horizontal="center" vertical="center"/>
    </xf>
    <xf numFmtId="0" fontId="42" fillId="4" borderId="19" xfId="0" applyNumberFormat="1" applyFont="1" applyFill="1" applyBorder="1" applyAlignment="1">
      <alignment horizontal="center" vertical="center"/>
    </xf>
    <xf numFmtId="37" fontId="35" fillId="0" borderId="10" xfId="0" applyNumberFormat="1" applyFont="1" applyBorder="1" applyAlignment="1">
      <alignment horizontal="center" vertical="center" wrapText="1"/>
    </xf>
    <xf numFmtId="164" fontId="36" fillId="26" borderId="1" xfId="0" applyFont="1" applyFill="1" applyBorder="1" applyAlignment="1">
      <alignment horizontal="center" vertical="center" textRotation="90" wrapText="1"/>
    </xf>
    <xf numFmtId="164" fontId="36" fillId="26" borderId="110" xfId="0" applyFont="1" applyFill="1" applyBorder="1" applyAlignment="1">
      <alignment horizontal="center" vertical="center" textRotation="90" wrapText="1"/>
    </xf>
    <xf numFmtId="164" fontId="36" fillId="26" borderId="125" xfId="0" applyFont="1" applyFill="1" applyBorder="1" applyAlignment="1">
      <alignment horizontal="center" vertical="center" textRotation="90" wrapText="1"/>
    </xf>
    <xf numFmtId="164" fontId="42" fillId="0" borderId="121" xfId="0" applyFont="1" applyBorder="1" applyAlignment="1">
      <alignment horizontal="center" vertical="center" wrapText="1"/>
    </xf>
    <xf numFmtId="164" fontId="42" fillId="0" borderId="4" xfId="0" applyFont="1" applyBorder="1" applyAlignment="1">
      <alignment horizontal="center" vertical="center" wrapText="1"/>
    </xf>
    <xf numFmtId="164" fontId="42" fillId="0" borderId="111" xfId="0" applyFont="1" applyBorder="1" applyAlignment="1">
      <alignment horizontal="center" vertical="center" wrapText="1"/>
    </xf>
    <xf numFmtId="37" fontId="5" fillId="0" borderId="10" xfId="0" applyNumberFormat="1" applyFont="1" applyBorder="1" applyAlignment="1">
      <alignment horizontal="center" vertical="center" wrapText="1"/>
    </xf>
    <xf numFmtId="37" fontId="5" fillId="24" borderId="10" xfId="0" applyNumberFormat="1" applyFont="1" applyFill="1" applyBorder="1" applyAlignment="1">
      <alignment horizontal="center" vertical="center" wrapText="1"/>
    </xf>
    <xf numFmtId="0" fontId="83" fillId="0" borderId="0" xfId="0" applyNumberFormat="1" applyFont="1" applyAlignment="1">
      <alignment horizontal="center" vertical="top" wrapText="1"/>
    </xf>
    <xf numFmtId="0" fontId="82" fillId="0" borderId="0" xfId="0" applyNumberFormat="1" applyFont="1" applyAlignment="1">
      <alignment horizontal="center" vertical="top"/>
    </xf>
    <xf numFmtId="164" fontId="42" fillId="0" borderId="131" xfId="0" applyFont="1" applyBorder="1" applyAlignment="1">
      <alignment horizontal="center" vertical="center" wrapText="1"/>
    </xf>
    <xf numFmtId="164" fontId="42" fillId="0" borderId="135" xfId="0" applyFont="1" applyBorder="1" applyAlignment="1">
      <alignment horizontal="center" vertical="center" wrapText="1"/>
    </xf>
    <xf numFmtId="164" fontId="42" fillId="0" borderId="138" xfId="0" applyFont="1" applyBorder="1" applyAlignment="1">
      <alignment horizontal="center" vertical="center" wrapText="1"/>
    </xf>
    <xf numFmtId="39" fontId="42" fillId="0" borderId="131" xfId="0" applyNumberFormat="1" applyFont="1" applyBorder="1" applyAlignment="1">
      <alignment horizontal="center" vertical="center" wrapText="1"/>
    </xf>
    <xf numFmtId="39" fontId="42" fillId="0" borderId="135" xfId="0" applyNumberFormat="1" applyFont="1" applyBorder="1" applyAlignment="1">
      <alignment horizontal="center" vertical="center" wrapText="1"/>
    </xf>
    <xf numFmtId="39" fontId="42" fillId="0" borderId="138" xfId="0" applyNumberFormat="1" applyFont="1" applyBorder="1" applyAlignment="1">
      <alignment horizontal="center" vertical="center" wrapText="1"/>
    </xf>
    <xf numFmtId="39" fontId="42" fillId="0" borderId="148" xfId="0" applyNumberFormat="1" applyFont="1" applyBorder="1" applyAlignment="1">
      <alignment horizontal="center" vertical="center" wrapText="1"/>
    </xf>
    <xf numFmtId="39" fontId="42" fillId="0" borderId="149" xfId="0" applyNumberFormat="1" applyFont="1" applyBorder="1" applyAlignment="1">
      <alignment horizontal="center" vertical="center" wrapText="1"/>
    </xf>
    <xf numFmtId="39" fontId="42" fillId="0" borderId="152" xfId="0" applyNumberFormat="1" applyFont="1" applyBorder="1" applyAlignment="1">
      <alignment horizontal="center" vertical="center" wrapText="1"/>
    </xf>
    <xf numFmtId="39" fontId="42" fillId="0" borderId="153" xfId="0" applyNumberFormat="1" applyFont="1" applyBorder="1" applyAlignment="1">
      <alignment horizontal="center" vertical="center" wrapText="1"/>
    </xf>
    <xf numFmtId="37" fontId="11" fillId="26" borderId="107" xfId="4" applyNumberFormat="1" applyFont="1" applyFill="1" applyBorder="1" applyAlignment="1" applyProtection="1">
      <alignment horizontal="center" vertical="center" wrapText="1"/>
    </xf>
    <xf numFmtId="37" fontId="11" fillId="26" borderId="130" xfId="4" applyNumberFormat="1" applyFont="1" applyFill="1" applyBorder="1" applyAlignment="1" applyProtection="1">
      <alignment horizontal="center" vertical="center" wrapText="1"/>
    </xf>
    <xf numFmtId="39" fontId="42" fillId="0" borderId="4" xfId="0" applyNumberFormat="1" applyFont="1" applyBorder="1" applyAlignment="1">
      <alignment horizontal="center" vertical="center" wrapText="1"/>
    </xf>
    <xf numFmtId="39" fontId="42" fillId="0" borderId="143" xfId="0" applyNumberFormat="1" applyFont="1" applyBorder="1" applyAlignment="1">
      <alignment horizontal="center" vertical="center" wrapText="1"/>
    </xf>
    <xf numFmtId="39" fontId="42" fillId="0" borderId="144" xfId="0" applyNumberFormat="1" applyFont="1" applyBorder="1" applyAlignment="1">
      <alignment horizontal="center" vertical="center" wrapText="1"/>
    </xf>
    <xf numFmtId="39" fontId="42" fillId="0" borderId="145" xfId="0" applyNumberFormat="1" applyFont="1" applyBorder="1" applyAlignment="1">
      <alignment horizontal="center" vertical="center" wrapText="1"/>
    </xf>
    <xf numFmtId="39" fontId="42" fillId="0" borderId="83" xfId="0" applyNumberFormat="1" applyFont="1" applyBorder="1" applyAlignment="1">
      <alignment horizontal="center" vertical="center" wrapText="1"/>
    </xf>
    <xf numFmtId="39" fontId="42" fillId="0" borderId="166" xfId="0" applyNumberFormat="1" applyFont="1" applyBorder="1" applyAlignment="1">
      <alignment horizontal="center" vertical="center" wrapText="1"/>
    </xf>
    <xf numFmtId="39" fontId="42" fillId="0" borderId="121" xfId="0" applyNumberFormat="1" applyFont="1" applyBorder="1" applyAlignment="1">
      <alignment horizontal="center" vertical="center" wrapText="1"/>
    </xf>
    <xf numFmtId="39" fontId="42" fillId="0" borderId="111" xfId="0" applyNumberFormat="1" applyFont="1" applyBorder="1" applyAlignment="1">
      <alignment horizontal="center" vertical="center" wrapText="1"/>
    </xf>
    <xf numFmtId="39" fontId="42" fillId="0" borderId="159" xfId="0" applyNumberFormat="1" applyFont="1" applyBorder="1" applyAlignment="1">
      <alignment horizontal="center" vertical="center" wrapText="1"/>
    </xf>
    <xf numFmtId="39" fontId="42" fillId="0" borderId="160" xfId="0" applyNumberFormat="1" applyFont="1" applyBorder="1" applyAlignment="1">
      <alignment horizontal="center" vertical="center" wrapText="1"/>
    </xf>
    <xf numFmtId="39" fontId="42" fillId="0" borderId="162" xfId="0" applyNumberFormat="1" applyFont="1" applyBorder="1" applyAlignment="1">
      <alignment horizontal="center" vertical="center" wrapText="1"/>
    </xf>
    <xf numFmtId="37" fontId="42" fillId="0" borderId="161" xfId="0" applyNumberFormat="1" applyFont="1" applyBorder="1" applyAlignment="1">
      <alignment horizontal="center" vertical="center" wrapText="1"/>
    </xf>
    <xf numFmtId="39" fontId="42" fillId="0" borderId="156" xfId="0" applyNumberFormat="1" applyFont="1" applyBorder="1" applyAlignment="1">
      <alignment horizontal="center" vertical="center" wrapText="1"/>
    </xf>
    <xf numFmtId="39" fontId="42" fillId="0" borderId="120" xfId="0" applyNumberFormat="1" applyFont="1" applyBorder="1" applyAlignment="1">
      <alignment horizontal="center" vertical="center" wrapText="1"/>
    </xf>
    <xf numFmtId="37" fontId="42" fillId="0" borderId="159" xfId="0" applyNumberFormat="1" applyFont="1" applyBorder="1" applyAlignment="1">
      <alignment horizontal="center" vertical="center" wrapText="1"/>
    </xf>
    <xf numFmtId="37" fontId="42" fillId="0" borderId="160" xfId="0" applyNumberFormat="1" applyFont="1" applyBorder="1" applyAlignment="1">
      <alignment horizontal="center" vertical="center" wrapText="1"/>
    </xf>
    <xf numFmtId="37" fontId="42" fillId="0" borderId="156" xfId="0" applyNumberFormat="1" applyFont="1" applyBorder="1" applyAlignment="1">
      <alignment horizontal="center" vertical="center" wrapText="1"/>
    </xf>
    <xf numFmtId="37" fontId="42" fillId="0" borderId="135" xfId="0" applyNumberFormat="1" applyFont="1" applyBorder="1" applyAlignment="1">
      <alignment horizontal="center" vertical="center" wrapText="1"/>
    </xf>
    <xf numFmtId="37" fontId="42" fillId="0" borderId="156" xfId="0" applyNumberFormat="1" applyFont="1" applyBorder="1" applyAlignment="1">
      <alignment horizontal="center" vertical="center" textRotation="90" wrapText="1"/>
    </xf>
    <xf numFmtId="37" fontId="42" fillId="0" borderId="120" xfId="0" applyNumberFormat="1" applyFont="1" applyBorder="1" applyAlignment="1">
      <alignment horizontal="center" vertical="center" wrapText="1"/>
    </xf>
    <xf numFmtId="39" fontId="42" fillId="0" borderId="161" xfId="0" applyNumberFormat="1" applyFont="1" applyBorder="1" applyAlignment="1">
      <alignment horizontal="center" vertical="center" wrapText="1"/>
    </xf>
    <xf numFmtId="37" fontId="42" fillId="0" borderId="118" xfId="0" applyNumberFormat="1" applyFont="1" applyBorder="1" applyAlignment="1">
      <alignment horizontal="center" vertical="center" wrapText="1"/>
    </xf>
    <xf numFmtId="37" fontId="42" fillId="0" borderId="158" xfId="0" applyNumberFormat="1" applyFont="1" applyBorder="1" applyAlignment="1">
      <alignment horizontal="center" vertical="center" wrapText="1"/>
    </xf>
    <xf numFmtId="164" fontId="36" fillId="26" borderId="5" xfId="0" applyFont="1" applyFill="1" applyBorder="1" applyAlignment="1">
      <alignment horizontal="center" vertical="center" textRotation="90" wrapText="1"/>
    </xf>
    <xf numFmtId="39" fontId="11" fillId="0" borderId="155" xfId="4" applyNumberFormat="1" applyFont="1" applyBorder="1" applyAlignment="1" applyProtection="1">
      <alignment horizontal="center" vertical="center" wrapText="1"/>
    </xf>
    <xf numFmtId="39" fontId="11" fillId="0" borderId="117" xfId="4" applyNumberFormat="1" applyFont="1" applyBorder="1" applyAlignment="1" applyProtection="1">
      <alignment horizontal="center" vertical="center" wrapText="1"/>
    </xf>
    <xf numFmtId="39" fontId="41" fillId="0" borderId="156" xfId="0" applyNumberFormat="1" applyFont="1" applyBorder="1" applyAlignment="1">
      <alignment horizontal="center" vertical="center" wrapText="1"/>
    </xf>
    <xf numFmtId="39" fontId="41" fillId="0" borderId="120" xfId="0" applyNumberFormat="1" applyFont="1" applyBorder="1" applyAlignment="1">
      <alignment horizontal="center" vertical="center" wrapText="1"/>
    </xf>
    <xf numFmtId="39" fontId="42" fillId="0" borderId="118" xfId="0" applyNumberFormat="1" applyFont="1" applyBorder="1" applyAlignment="1">
      <alignment horizontal="center" vertical="center" wrapText="1"/>
    </xf>
    <xf numFmtId="39" fontId="42" fillId="0" borderId="158" xfId="0" applyNumberFormat="1" applyFont="1" applyBorder="1" applyAlignment="1">
      <alignment horizontal="center" vertical="center" wrapText="1"/>
    </xf>
    <xf numFmtId="39" fontId="42" fillId="0" borderId="12" xfId="0" applyNumberFormat="1" applyFont="1" applyBorder="1" applyAlignment="1">
      <alignment horizontal="center" vertical="center" wrapText="1"/>
    </xf>
    <xf numFmtId="39" fontId="42" fillId="0" borderId="176" xfId="0" applyNumberFormat="1" applyFont="1" applyBorder="1" applyAlignment="1">
      <alignment horizontal="center" vertical="center" wrapText="1"/>
    </xf>
    <xf numFmtId="39" fontId="42" fillId="0" borderId="177" xfId="0" applyNumberFormat="1" applyFont="1" applyBorder="1" applyAlignment="1">
      <alignment horizontal="center" vertical="center" wrapText="1"/>
    </xf>
    <xf numFmtId="39" fontId="42" fillId="0" borderId="167" xfId="0" applyNumberFormat="1" applyFont="1" applyBorder="1" applyAlignment="1">
      <alignment horizontal="center" vertical="center" wrapText="1"/>
    </xf>
    <xf numFmtId="39" fontId="42" fillId="0" borderId="168" xfId="0" applyNumberFormat="1" applyFont="1" applyBorder="1" applyAlignment="1">
      <alignment horizontal="center" vertical="center" wrapText="1"/>
    </xf>
    <xf numFmtId="37" fontId="42" fillId="0" borderId="144" xfId="0" applyNumberFormat="1" applyFont="1" applyBorder="1" applyAlignment="1">
      <alignment horizontal="center" vertical="center" wrapText="1"/>
    </xf>
    <xf numFmtId="37" fontId="42" fillId="0" borderId="4" xfId="0" applyNumberFormat="1" applyFont="1" applyBorder="1" applyAlignment="1">
      <alignment horizontal="center" vertical="center" wrapText="1"/>
    </xf>
    <xf numFmtId="37" fontId="42" fillId="0" borderId="143" xfId="0" applyNumberFormat="1" applyFont="1" applyBorder="1" applyAlignment="1">
      <alignment horizontal="center" vertical="center" wrapText="1"/>
    </xf>
    <xf numFmtId="39" fontId="42" fillId="0" borderId="172" xfId="0" applyNumberFormat="1" applyFont="1" applyBorder="1" applyAlignment="1">
      <alignment horizontal="center" vertical="center" wrapText="1"/>
    </xf>
    <xf numFmtId="39" fontId="42" fillId="0" borderId="174" xfId="0" applyNumberFormat="1" applyFont="1" applyBorder="1" applyAlignment="1">
      <alignment horizontal="center" vertical="center" wrapText="1"/>
    </xf>
    <xf numFmtId="189" fontId="42" fillId="0" borderId="131" xfId="0" applyNumberFormat="1" applyFont="1" applyBorder="1" applyAlignment="1">
      <alignment horizontal="center" vertical="center" wrapText="1"/>
    </xf>
    <xf numFmtId="189" fontId="42" fillId="0" borderId="135" xfId="0" applyNumberFormat="1" applyFont="1" applyBorder="1" applyAlignment="1">
      <alignment horizontal="center" vertical="center" wrapText="1"/>
    </xf>
    <xf numFmtId="189" fontId="42" fillId="0" borderId="138" xfId="0" applyNumberFormat="1" applyFont="1" applyBorder="1" applyAlignment="1">
      <alignment horizontal="center" vertical="center" wrapText="1"/>
    </xf>
    <xf numFmtId="189" fontId="42" fillId="0" borderId="172" xfId="0" applyNumberFormat="1" applyFont="1" applyBorder="1" applyAlignment="1">
      <alignment horizontal="center" vertical="center" wrapText="1"/>
    </xf>
    <xf numFmtId="189" fontId="42" fillId="0" borderId="160" xfId="0" applyNumberFormat="1" applyFont="1" applyBorder="1" applyAlignment="1">
      <alignment horizontal="center" vertical="center" wrapText="1"/>
    </xf>
    <xf numFmtId="189" fontId="42" fillId="0" borderId="156" xfId="0" applyNumberFormat="1" applyFont="1" applyBorder="1" applyAlignment="1">
      <alignment horizontal="center" vertical="center" wrapText="1"/>
    </xf>
    <xf numFmtId="189" fontId="42" fillId="0" borderId="159" xfId="0" applyNumberFormat="1" applyFont="1" applyBorder="1" applyAlignment="1">
      <alignment horizontal="center" vertical="center" wrapText="1"/>
    </xf>
    <xf numFmtId="189" fontId="42" fillId="0" borderId="174" xfId="0" applyNumberFormat="1" applyFont="1" applyBorder="1" applyAlignment="1">
      <alignment horizontal="center" vertical="center" wrapText="1"/>
    </xf>
    <xf numFmtId="39" fontId="42" fillId="0" borderId="128" xfId="0" applyNumberFormat="1" applyFont="1" applyBorder="1" applyAlignment="1">
      <alignment horizontal="center" vertical="center" wrapText="1"/>
    </xf>
    <xf numFmtId="189" fontId="42" fillId="0" borderId="141" xfId="0" applyNumberFormat="1" applyFont="1" applyBorder="1" applyAlignment="1">
      <alignment horizontal="center" vertical="center" wrapText="1"/>
    </xf>
    <xf numFmtId="189" fontId="42" fillId="0" borderId="68" xfId="0" applyNumberFormat="1" applyFont="1" applyBorder="1" applyAlignment="1">
      <alignment horizontal="center" vertical="center" wrapText="1"/>
    </xf>
    <xf numFmtId="189" fontId="42" fillId="0" borderId="57" xfId="0" applyNumberFormat="1" applyFont="1" applyBorder="1" applyAlignment="1">
      <alignment horizontal="center" vertical="center" wrapText="1"/>
    </xf>
    <xf numFmtId="189" fontId="42" fillId="0" borderId="48" xfId="0" applyNumberFormat="1" applyFont="1" applyBorder="1" applyAlignment="1">
      <alignment horizontal="center" vertical="center" wrapText="1"/>
    </xf>
    <xf numFmtId="189" fontId="42" fillId="0" borderId="102" xfId="0" applyNumberFormat="1" applyFont="1" applyBorder="1" applyAlignment="1">
      <alignment horizontal="center" vertical="center" wrapText="1"/>
    </xf>
    <xf numFmtId="189" fontId="42" fillId="0" borderId="54" xfId="0" applyNumberFormat="1" applyFont="1" applyBorder="1" applyAlignment="1">
      <alignment horizontal="center" vertical="center" wrapText="1"/>
    </xf>
    <xf numFmtId="164" fontId="42" fillId="0" borderId="159" xfId="0" applyFont="1" applyBorder="1" applyAlignment="1">
      <alignment horizontal="center" vertical="center" wrapText="1"/>
    </xf>
    <xf numFmtId="189" fontId="42" fillId="0" borderId="82" xfId="0" applyNumberFormat="1" applyFont="1" applyBorder="1" applyAlignment="1">
      <alignment horizontal="center" vertical="center" wrapText="1"/>
    </xf>
    <xf numFmtId="189" fontId="42" fillId="0" borderId="83" xfId="0" applyNumberFormat="1" applyFont="1" applyBorder="1" applyAlignment="1">
      <alignment horizontal="center" vertical="center" wrapText="1"/>
    </xf>
    <xf numFmtId="189" fontId="42" fillId="0" borderId="148" xfId="0" applyNumberFormat="1" applyFont="1" applyBorder="1" applyAlignment="1">
      <alignment horizontal="center" vertical="center" wrapText="1"/>
    </xf>
    <xf numFmtId="189" fontId="44" fillId="0" borderId="131" xfId="0" applyNumberFormat="1" applyFont="1" applyBorder="1" applyAlignment="1">
      <alignment horizontal="center" vertical="center" textRotation="90" wrapText="1"/>
    </xf>
    <xf numFmtId="189" fontId="44" fillId="0" borderId="135" xfId="0" applyNumberFormat="1" applyFont="1" applyBorder="1" applyAlignment="1">
      <alignment horizontal="center" vertical="center" textRotation="90" wrapText="1"/>
    </xf>
    <xf numFmtId="189" fontId="44" fillId="0" borderId="138" xfId="0" applyNumberFormat="1" applyFont="1" applyBorder="1" applyAlignment="1">
      <alignment horizontal="center" vertical="center" textRotation="90" wrapText="1"/>
    </xf>
    <xf numFmtId="189" fontId="42" fillId="0" borderId="131" xfId="0" applyNumberFormat="1" applyFont="1" applyBorder="1" applyAlignment="1">
      <alignment horizontal="center" vertical="center" textRotation="90" wrapText="1"/>
    </xf>
    <xf numFmtId="189" fontId="42" fillId="0" borderId="135" xfId="0" applyNumberFormat="1" applyFont="1" applyBorder="1" applyAlignment="1">
      <alignment horizontal="center" vertical="center" textRotation="90" wrapText="1"/>
    </xf>
    <xf numFmtId="189" fontId="42" fillId="0" borderId="138" xfId="0" applyNumberFormat="1" applyFont="1" applyBorder="1" applyAlignment="1">
      <alignment horizontal="center" vertical="center" textRotation="90" wrapText="1"/>
    </xf>
    <xf numFmtId="39" fontId="42" fillId="0" borderId="68" xfId="0" applyNumberFormat="1" applyFont="1" applyBorder="1" applyAlignment="1">
      <alignment horizontal="center" vertical="center" wrapText="1"/>
    </xf>
    <xf numFmtId="39" fontId="42" fillId="0" borderId="103" xfId="0" applyNumberFormat="1" applyFont="1" applyBorder="1" applyAlignment="1">
      <alignment horizontal="center" vertical="center" wrapText="1"/>
    </xf>
    <xf numFmtId="39" fontId="42" fillId="0" borderId="52" xfId="0" applyNumberFormat="1" applyFont="1" applyBorder="1" applyAlignment="1">
      <alignment horizontal="center" vertical="center" wrapText="1"/>
    </xf>
    <xf numFmtId="39" fontId="42" fillId="0" borderId="13" xfId="0" applyNumberFormat="1" applyFont="1" applyBorder="1" applyAlignment="1">
      <alignment horizontal="center" vertical="center" wrapText="1"/>
    </xf>
    <xf numFmtId="39" fontId="42" fillId="0" borderId="58" xfId="0" applyNumberFormat="1" applyFont="1" applyBorder="1" applyAlignment="1">
      <alignment horizontal="center" vertical="center" wrapText="1"/>
    </xf>
    <xf numFmtId="37" fontId="42" fillId="0" borderId="67" xfId="0" applyNumberFormat="1" applyFont="1" applyBorder="1" applyAlignment="1">
      <alignment horizontal="center" vertical="center" wrapText="1"/>
    </xf>
    <xf numFmtId="37" fontId="42" fillId="0" borderId="142" xfId="0" applyNumberFormat="1" applyFont="1" applyBorder="1" applyAlignment="1">
      <alignment horizontal="center" vertical="center" wrapText="1"/>
    </xf>
    <xf numFmtId="37" fontId="42" fillId="0" borderId="58" xfId="0" applyNumberFormat="1" applyFont="1" applyBorder="1" applyAlignment="1">
      <alignment horizontal="center" vertical="center" wrapText="1"/>
    </xf>
    <xf numFmtId="37" fontId="42" fillId="0" borderId="139" xfId="0" applyNumberFormat="1" applyFont="1" applyBorder="1" applyAlignment="1">
      <alignment horizontal="center" vertical="center" wrapText="1"/>
    </xf>
    <xf numFmtId="189" fontId="42" fillId="0" borderId="62" xfId="0" applyNumberFormat="1" applyFont="1" applyBorder="1" applyAlignment="1">
      <alignment horizontal="center" vertical="center" wrapText="1"/>
    </xf>
    <xf numFmtId="189" fontId="42" fillId="0" borderId="0" xfId="0" applyNumberFormat="1" applyFont="1" applyAlignment="1">
      <alignment horizontal="center" vertical="center" wrapText="1"/>
    </xf>
    <xf numFmtId="189" fontId="42" fillId="0" borderId="47" xfId="0" applyNumberFormat="1" applyFont="1" applyBorder="1" applyAlignment="1">
      <alignment horizontal="center" vertical="center" wrapText="1"/>
    </xf>
    <xf numFmtId="37" fontId="42" fillId="0" borderId="146" xfId="0" applyNumberFormat="1" applyFont="1" applyBorder="1" applyAlignment="1">
      <alignment horizontal="center" vertical="center" wrapText="1"/>
    </xf>
    <xf numFmtId="37" fontId="42" fillId="0" borderId="149" xfId="0" applyNumberFormat="1" applyFont="1" applyBorder="1" applyAlignment="1">
      <alignment horizontal="center" vertical="center" wrapText="1"/>
    </xf>
    <xf numFmtId="37" fontId="101" fillId="0" borderId="131" xfId="0" applyNumberFormat="1" applyFont="1" applyBorder="1" applyAlignment="1">
      <alignment horizontal="center" vertical="center" wrapText="1"/>
    </xf>
    <xf numFmtId="37" fontId="101" fillId="0" borderId="138" xfId="0" applyNumberFormat="1" applyFont="1" applyBorder="1" applyAlignment="1">
      <alignment horizontal="center" vertical="center" wrapText="1"/>
    </xf>
    <xf numFmtId="37" fontId="42" fillId="0" borderId="124" xfId="0" applyNumberFormat="1" applyFont="1" applyBorder="1" applyAlignment="1">
      <alignment horizontal="center" vertical="center" wrapText="1"/>
    </xf>
    <xf numFmtId="37" fontId="42" fillId="0" borderId="172" xfId="0" applyNumberFormat="1" applyFont="1" applyBorder="1" applyAlignment="1">
      <alignment horizontal="center" vertical="center" wrapText="1"/>
    </xf>
    <xf numFmtId="37" fontId="42" fillId="0" borderId="175" xfId="0" applyNumberFormat="1" applyFont="1" applyBorder="1" applyAlignment="1">
      <alignment horizontal="center" vertical="center" wrapText="1"/>
    </xf>
    <xf numFmtId="37" fontId="42" fillId="0" borderId="131" xfId="0" applyNumberFormat="1" applyFont="1" applyBorder="1" applyAlignment="1">
      <alignment horizontal="center" vertical="center" wrapText="1"/>
    </xf>
    <xf numFmtId="37" fontId="42" fillId="0" borderId="138" xfId="0" applyNumberFormat="1" applyFont="1" applyBorder="1" applyAlignment="1">
      <alignment horizontal="center" vertical="center" wrapText="1"/>
    </xf>
    <xf numFmtId="37" fontId="42" fillId="0" borderId="148" xfId="0" applyNumberFormat="1" applyFont="1" applyBorder="1" applyAlignment="1">
      <alignment horizontal="center" vertical="center" wrapText="1"/>
    </xf>
    <xf numFmtId="37" fontId="42" fillId="0" borderId="131" xfId="0" applyNumberFormat="1" applyFont="1" applyBorder="1" applyAlignment="1">
      <alignment horizontal="center" vertical="center" textRotation="90" wrapText="1"/>
    </xf>
    <xf numFmtId="37" fontId="42" fillId="0" borderId="135" xfId="0" applyNumberFormat="1" applyFont="1" applyBorder="1" applyAlignment="1">
      <alignment horizontal="center" vertical="center" textRotation="90" wrapText="1"/>
    </xf>
    <xf numFmtId="37" fontId="42" fillId="0" borderId="138" xfId="0" applyNumberFormat="1" applyFont="1" applyBorder="1" applyAlignment="1">
      <alignment horizontal="center" vertical="center" textRotation="90" wrapText="1"/>
    </xf>
    <xf numFmtId="37" fontId="42" fillId="0" borderId="145" xfId="0" applyNumberFormat="1" applyFont="1" applyBorder="1" applyAlignment="1">
      <alignment horizontal="center" vertical="center" wrapText="1"/>
    </xf>
    <xf numFmtId="37" fontId="42" fillId="0" borderId="83" xfId="0" applyNumberFormat="1" applyFont="1" applyBorder="1" applyAlignment="1">
      <alignment horizontal="center" vertical="center" wrapText="1"/>
    </xf>
    <xf numFmtId="39" fontId="42" fillId="0" borderId="184" xfId="0" applyNumberFormat="1" applyFont="1" applyBorder="1" applyAlignment="1">
      <alignment horizontal="center" vertical="center" wrapText="1"/>
    </xf>
    <xf numFmtId="39" fontId="42" fillId="0" borderId="84" xfId="0" applyNumberFormat="1" applyFont="1" applyBorder="1" applyAlignment="1">
      <alignment horizontal="center" vertical="center" wrapText="1"/>
    </xf>
    <xf numFmtId="39" fontId="42" fillId="10" borderId="41" xfId="0" applyNumberFormat="1" applyFont="1" applyFill="1" applyBorder="1" applyAlignment="1">
      <alignment horizontal="center" vertical="center" wrapText="1"/>
    </xf>
    <xf numFmtId="39" fontId="42" fillId="10" borderId="9" xfId="0" applyNumberFormat="1" applyFont="1" applyFill="1" applyBorder="1" applyAlignment="1">
      <alignment horizontal="center" vertical="center" wrapText="1"/>
    </xf>
    <xf numFmtId="39" fontId="42" fillId="10" borderId="71" xfId="0" applyNumberFormat="1" applyFont="1" applyFill="1" applyBorder="1" applyAlignment="1">
      <alignment horizontal="center" vertical="center" wrapText="1"/>
    </xf>
    <xf numFmtId="193" fontId="42" fillId="10" borderId="11" xfId="0" applyNumberFormat="1" applyFont="1" applyFill="1" applyBorder="1" applyAlignment="1">
      <alignment horizontal="center" vertical="center" wrapText="1"/>
    </xf>
    <xf numFmtId="193" fontId="42" fillId="10" borderId="12" xfId="0" applyNumberFormat="1" applyFont="1" applyFill="1" applyBorder="1" applyAlignment="1">
      <alignment horizontal="center" vertical="center" wrapText="1"/>
    </xf>
    <xf numFmtId="193" fontId="42" fillId="10" borderId="13" xfId="0" applyNumberFormat="1" applyFont="1" applyFill="1" applyBorder="1" applyAlignment="1">
      <alignment horizontal="center" vertical="center" wrapText="1"/>
    </xf>
    <xf numFmtId="37" fontId="42" fillId="0" borderId="132" xfId="0" applyNumberFormat="1" applyFont="1" applyBorder="1" applyAlignment="1">
      <alignment horizontal="center" vertical="center" wrapText="1"/>
    </xf>
    <xf numFmtId="37" fontId="42" fillId="0" borderId="104" xfId="0" applyNumberFormat="1" applyFont="1" applyBorder="1" applyAlignment="1">
      <alignment horizontal="center" vertical="center" wrapText="1"/>
    </xf>
    <xf numFmtId="164" fontId="36" fillId="26" borderId="4" xfId="0" applyFont="1" applyFill="1" applyBorder="1" applyAlignment="1">
      <alignment horizontal="center" vertical="center" textRotation="90" wrapText="1"/>
    </xf>
    <xf numFmtId="164" fontId="36" fillId="26" borderId="6" xfId="0" applyFont="1" applyFill="1" applyBorder="1" applyAlignment="1">
      <alignment horizontal="center" vertical="center" textRotation="90" wrapText="1"/>
    </xf>
    <xf numFmtId="39" fontId="42" fillId="0" borderId="193" xfId="0" applyNumberFormat="1" applyFont="1" applyBorder="1" applyAlignment="1">
      <alignment horizontal="center" vertical="center" wrapText="1"/>
    </xf>
    <xf numFmtId="37" fontId="42" fillId="0" borderId="52" xfId="0" applyNumberFormat="1" applyFont="1" applyBorder="1" applyAlignment="1">
      <alignment horizontal="center" vertical="center" wrapText="1"/>
    </xf>
    <xf numFmtId="37" fontId="42" fillId="0" borderId="13" xfId="0" applyNumberFormat="1" applyFont="1" applyBorder="1" applyAlignment="1">
      <alignment horizontal="center" vertical="center" wrapText="1"/>
    </xf>
    <xf numFmtId="164" fontId="42" fillId="0" borderId="141" xfId="0" applyFont="1" applyBorder="1" applyAlignment="1">
      <alignment horizontal="center" vertical="center" wrapText="1"/>
    </xf>
    <xf numFmtId="164" fontId="42" fillId="0" borderId="57" xfId="0" applyFont="1" applyBorder="1" applyAlignment="1">
      <alignment horizontal="center" vertical="center" wrapText="1"/>
    </xf>
    <xf numFmtId="189" fontId="42" fillId="0" borderId="67" xfId="0" applyNumberFormat="1" applyFont="1" applyBorder="1" applyAlignment="1">
      <alignment horizontal="center" vertical="center" wrapText="1"/>
    </xf>
    <xf numFmtId="189" fontId="42" fillId="0" borderId="13" xfId="0" applyNumberFormat="1" applyFont="1" applyBorder="1" applyAlignment="1">
      <alignment horizontal="center" vertical="center" wrapText="1"/>
    </xf>
    <xf numFmtId="189" fontId="42" fillId="0" borderId="58" xfId="0" applyNumberFormat="1" applyFont="1" applyBorder="1" applyAlignment="1">
      <alignment horizontal="center" vertical="center" wrapText="1"/>
    </xf>
    <xf numFmtId="39" fontId="13" fillId="26" borderId="82" xfId="0" applyNumberFormat="1" applyFont="1" applyFill="1" applyBorder="1" applyAlignment="1">
      <alignment horizontal="center" vertical="center" wrapText="1"/>
    </xf>
    <xf numFmtId="39" fontId="42" fillId="0" borderId="141" xfId="0" applyNumberFormat="1" applyFont="1" applyBorder="1" applyAlignment="1">
      <alignment horizontal="center" vertical="center" wrapText="1"/>
    </xf>
    <xf numFmtId="39" fontId="42" fillId="0" borderId="57" xfId="0" applyNumberFormat="1" applyFont="1" applyBorder="1" applyAlignment="1">
      <alignment horizontal="center" vertical="center" wrapText="1"/>
    </xf>
    <xf numFmtId="39" fontId="42" fillId="0" borderId="62" xfId="0" applyNumberFormat="1" applyFont="1" applyBorder="1" applyAlignment="1">
      <alignment horizontal="center" vertical="center" wrapText="1"/>
    </xf>
    <xf numFmtId="39" fontId="42" fillId="0" borderId="47" xfId="0" applyNumberFormat="1" applyFont="1" applyBorder="1" applyAlignment="1">
      <alignment horizontal="center" vertical="center" wrapText="1"/>
    </xf>
    <xf numFmtId="164" fontId="42" fillId="0" borderId="68" xfId="0" applyFont="1" applyBorder="1" applyAlignment="1">
      <alignment horizontal="center" vertical="center" wrapText="1"/>
    </xf>
    <xf numFmtId="37" fontId="42" fillId="0" borderId="62" xfId="0" applyNumberFormat="1" applyFont="1" applyBorder="1" applyAlignment="1">
      <alignment horizontal="center" vertical="center" wrapText="1"/>
    </xf>
    <xf numFmtId="37" fontId="42" fillId="0" borderId="47" xfId="0" applyNumberFormat="1" applyFont="1" applyBorder="1" applyAlignment="1">
      <alignment horizontal="center" vertical="center" wrapText="1"/>
    </xf>
    <xf numFmtId="37" fontId="42" fillId="0" borderId="82" xfId="0" applyNumberFormat="1" applyFont="1" applyBorder="1" applyAlignment="1">
      <alignment horizontal="center" vertical="center" wrapText="1"/>
    </xf>
    <xf numFmtId="39" fontId="42" fillId="0" borderId="82" xfId="0" applyNumberFormat="1" applyFont="1" applyBorder="1" applyAlignment="1">
      <alignment horizontal="center" vertical="center" wrapText="1"/>
    </xf>
    <xf numFmtId="39" fontId="42" fillId="0" borderId="87" xfId="0" applyNumberFormat="1" applyFont="1" applyBorder="1" applyAlignment="1">
      <alignment horizontal="center" vertical="center" wrapText="1"/>
    </xf>
    <xf numFmtId="37" fontId="42" fillId="0" borderId="0" xfId="0" applyNumberFormat="1" applyFont="1" applyAlignment="1">
      <alignment horizontal="center" vertical="center" wrapText="1"/>
    </xf>
    <xf numFmtId="39" fontId="42" fillId="0" borderId="186" xfId="0" applyNumberFormat="1" applyFont="1" applyBorder="1" applyAlignment="1">
      <alignment horizontal="center" vertical="center" wrapText="1"/>
    </xf>
    <xf numFmtId="39" fontId="42" fillId="0" borderId="187" xfId="0" applyNumberFormat="1" applyFont="1" applyBorder="1" applyAlignment="1">
      <alignment horizontal="center" vertical="center" wrapText="1"/>
    </xf>
    <xf numFmtId="39" fontId="42" fillId="0" borderId="63" xfId="0" applyNumberFormat="1" applyFont="1" applyBorder="1" applyAlignment="1">
      <alignment horizontal="center" vertical="center" wrapText="1"/>
    </xf>
    <xf numFmtId="39" fontId="42" fillId="0" borderId="0" xfId="0" applyNumberFormat="1" applyFont="1" applyAlignment="1">
      <alignment horizontal="center" vertical="center" wrapText="1"/>
    </xf>
    <xf numFmtId="39" fontId="42" fillId="0" borderId="190" xfId="0" applyNumberFormat="1" applyFont="1" applyBorder="1" applyAlignment="1">
      <alignment horizontal="center" vertical="center" wrapText="1"/>
    </xf>
    <xf numFmtId="164" fontId="28" fillId="0" borderId="68" xfId="0" applyFont="1" applyBorder="1" applyAlignment="1">
      <alignment horizontal="center" vertical="center" wrapText="1"/>
    </xf>
    <xf numFmtId="164" fontId="28" fillId="0" borderId="57" xfId="0" applyFont="1" applyBorder="1" applyAlignment="1">
      <alignment horizontal="center" vertical="center" wrapText="1"/>
    </xf>
    <xf numFmtId="37" fontId="85" fillId="26" borderId="107" xfId="4" applyNumberFormat="1" applyFont="1" applyFill="1" applyBorder="1" applyAlignment="1" applyProtection="1">
      <alignment horizontal="center" vertical="center" wrapText="1"/>
    </xf>
    <xf numFmtId="37" fontId="85" fillId="26" borderId="130" xfId="4" applyNumberFormat="1" applyFont="1" applyFill="1" applyBorder="1" applyAlignment="1" applyProtection="1">
      <alignment horizontal="center" vertical="center" wrapText="1"/>
    </xf>
    <xf numFmtId="39" fontId="42" fillId="0" borderId="11" xfId="0" applyNumberFormat="1" applyFont="1" applyBorder="1" applyAlignment="1">
      <alignment horizontal="center" vertical="center" wrapText="1"/>
    </xf>
    <xf numFmtId="39" fontId="42" fillId="0" borderId="200" xfId="0" applyNumberFormat="1" applyFont="1" applyBorder="1" applyAlignment="1">
      <alignment horizontal="center" vertical="center" wrapText="1"/>
    </xf>
    <xf numFmtId="39" fontId="42" fillId="0" borderId="191" xfId="0" applyNumberFormat="1" applyFont="1" applyBorder="1" applyAlignment="1">
      <alignment horizontal="center" vertical="center" wrapText="1"/>
    </xf>
    <xf numFmtId="39" fontId="42" fillId="0" borderId="199" xfId="0" applyNumberFormat="1" applyFont="1" applyBorder="1" applyAlignment="1">
      <alignment horizontal="center" vertical="center" wrapText="1"/>
    </xf>
    <xf numFmtId="39" fontId="42" fillId="0" borderId="7" xfId="0" applyNumberFormat="1" applyFont="1" applyBorder="1" applyAlignment="1">
      <alignment horizontal="center" vertical="center" wrapText="1"/>
    </xf>
    <xf numFmtId="39" fontId="42" fillId="0" borderId="41" xfId="0" applyNumberFormat="1" applyFont="1" applyBorder="1" applyAlignment="1">
      <alignment horizontal="center" vertical="center" wrapText="1"/>
    </xf>
    <xf numFmtId="39" fontId="42" fillId="0" borderId="9" xfId="0" applyNumberFormat="1" applyFont="1" applyBorder="1" applyAlignment="1">
      <alignment horizontal="center" vertical="center" wrapText="1"/>
    </xf>
    <xf numFmtId="39" fontId="42" fillId="0" borderId="71" xfId="0" applyNumberFormat="1" applyFont="1" applyBorder="1" applyAlignment="1">
      <alignment horizontal="center" vertical="center" wrapText="1"/>
    </xf>
    <xf numFmtId="39" fontId="42" fillId="0" borderId="51" xfId="0" applyNumberFormat="1" applyFont="1" applyBorder="1" applyAlignment="1">
      <alignment horizontal="center" vertical="center" wrapText="1"/>
    </xf>
    <xf numFmtId="39" fontId="42" fillId="0" borderId="64" xfId="0" applyNumberFormat="1" applyFont="1" applyBorder="1" applyAlignment="1">
      <alignment horizontal="center" vertical="center" wrapText="1"/>
    </xf>
    <xf numFmtId="39" fontId="42" fillId="0" borderId="196" xfId="0" applyNumberFormat="1" applyFont="1" applyBorder="1" applyAlignment="1">
      <alignment horizontal="center" vertical="center" wrapText="1"/>
    </xf>
    <xf numFmtId="39" fontId="42" fillId="0" borderId="55" xfId="0" applyNumberFormat="1" applyFont="1" applyBorder="1" applyAlignment="1">
      <alignment horizontal="center" vertical="center" wrapText="1"/>
    </xf>
    <xf numFmtId="39" fontId="42" fillId="0" borderId="49" xfId="0" applyNumberFormat="1" applyFont="1" applyBorder="1" applyAlignment="1">
      <alignment horizontal="center" vertical="center" wrapText="1"/>
    </xf>
    <xf numFmtId="37" fontId="11" fillId="26" borderId="105" xfId="4" applyNumberFormat="1" applyFont="1" applyFill="1" applyBorder="1" applyAlignment="1" applyProtection="1">
      <alignment horizontal="center" vertical="center" wrapText="1"/>
    </xf>
    <xf numFmtId="39" fontId="42" fillId="0" borderId="157" xfId="0" applyNumberFormat="1" applyFont="1" applyBorder="1" applyAlignment="1">
      <alignment horizontal="center" vertical="center" wrapText="1"/>
    </xf>
    <xf numFmtId="164" fontId="42" fillId="0" borderId="179" xfId="0" applyFont="1" applyBorder="1" applyAlignment="1">
      <alignment horizontal="center" vertical="center" wrapText="1"/>
    </xf>
    <xf numFmtId="164" fontId="42" fillId="0" borderId="177" xfId="0" applyFont="1" applyBorder="1" applyAlignment="1">
      <alignment horizontal="center" vertical="center" wrapText="1"/>
    </xf>
    <xf numFmtId="164" fontId="11" fillId="26" borderId="105" xfId="4" applyNumberFormat="1" applyFont="1" applyFill="1" applyBorder="1" applyAlignment="1" applyProtection="1">
      <alignment horizontal="center" vertical="center" wrapText="1"/>
    </xf>
    <xf numFmtId="164" fontId="11" fillId="26" borderId="201" xfId="4" applyNumberFormat="1" applyFont="1" applyFill="1" applyBorder="1" applyAlignment="1" applyProtection="1">
      <alignment horizontal="center" vertical="center" wrapText="1"/>
    </xf>
    <xf numFmtId="39" fontId="42" fillId="0" borderId="203" xfId="0" applyNumberFormat="1" applyFont="1" applyBorder="1" applyAlignment="1">
      <alignment horizontal="center" vertical="center" wrapText="1"/>
    </xf>
    <xf numFmtId="39" fontId="42" fillId="0" borderId="204" xfId="0" applyNumberFormat="1" applyFont="1" applyBorder="1" applyAlignment="1">
      <alignment horizontal="center" vertical="center" wrapText="1"/>
    </xf>
    <xf numFmtId="164" fontId="42" fillId="0" borderId="10" xfId="0" applyFont="1" applyBorder="1" applyAlignment="1">
      <alignment horizontal="center" vertical="center" wrapText="1"/>
    </xf>
    <xf numFmtId="164" fontId="42" fillId="0" borderId="144" xfId="0" applyFont="1" applyBorder="1" applyAlignment="1">
      <alignment horizontal="center" vertical="center" wrapText="1"/>
    </xf>
    <xf numFmtId="164" fontId="42" fillId="0" borderId="143" xfId="0" applyFont="1" applyBorder="1" applyAlignment="1">
      <alignment horizontal="center" vertical="center" wrapText="1"/>
    </xf>
    <xf numFmtId="164" fontId="42" fillId="0" borderId="176" xfId="0" applyFont="1" applyBorder="1" applyAlignment="1">
      <alignment horizontal="center" vertical="center" wrapText="1"/>
    </xf>
    <xf numFmtId="189" fontId="42" fillId="0" borderId="145" xfId="0" applyNumberFormat="1" applyFont="1" applyBorder="1" applyAlignment="1">
      <alignment horizontal="center" vertical="center" wrapText="1"/>
    </xf>
    <xf numFmtId="189" fontId="42" fillId="0" borderId="146" xfId="0" applyNumberFormat="1" applyFont="1" applyBorder="1" applyAlignment="1">
      <alignment horizontal="center" vertical="center" wrapText="1"/>
    </xf>
    <xf numFmtId="164" fontId="42" fillId="0" borderId="145" xfId="0" applyFont="1" applyBorder="1" applyAlignment="1">
      <alignment horizontal="center" vertical="center" wrapText="1"/>
    </xf>
    <xf numFmtId="164" fontId="42" fillId="0" borderId="146" xfId="0" applyFont="1" applyBorder="1" applyAlignment="1">
      <alignment horizontal="center" vertical="center" wrapText="1"/>
    </xf>
    <xf numFmtId="37" fontId="42" fillId="0" borderId="49" xfId="0" applyNumberFormat="1" applyFont="1" applyBorder="1" applyAlignment="1">
      <alignment horizontal="center" vertical="center" wrapText="1"/>
    </xf>
    <xf numFmtId="37" fontId="42" fillId="0" borderId="55" xfId="0" applyNumberFormat="1" applyFont="1" applyBorder="1" applyAlignment="1">
      <alignment horizontal="center" vertical="center" wrapText="1"/>
    </xf>
    <xf numFmtId="39" fontId="13" fillId="10" borderId="11" xfId="0" applyNumberFormat="1" applyFont="1" applyFill="1" applyBorder="1" applyAlignment="1">
      <alignment horizontal="center" vertical="center"/>
    </xf>
    <xf numFmtId="39" fontId="13" fillId="10" borderId="12" xfId="0" applyNumberFormat="1" applyFont="1" applyFill="1" applyBorder="1" applyAlignment="1">
      <alignment horizontal="center" vertical="center"/>
    </xf>
    <xf numFmtId="39" fontId="13" fillId="10" borderId="13" xfId="0" applyNumberFormat="1" applyFont="1" applyFill="1" applyBorder="1" applyAlignment="1">
      <alignment horizontal="center" vertical="center"/>
    </xf>
    <xf numFmtId="164" fontId="13" fillId="10" borderId="11" xfId="0" applyFont="1" applyFill="1" applyBorder="1" applyAlignment="1">
      <alignment horizontal="center" vertical="center" wrapText="1"/>
    </xf>
    <xf numFmtId="164" fontId="13" fillId="10" borderId="13" xfId="0" applyFont="1" applyFill="1" applyBorder="1" applyAlignment="1">
      <alignment horizontal="center" vertical="center" wrapText="1"/>
    </xf>
    <xf numFmtId="164" fontId="42" fillId="0" borderId="72" xfId="0" applyFont="1" applyBorder="1" applyAlignment="1">
      <alignment horizontal="center" vertical="center" wrapText="1"/>
    </xf>
    <xf numFmtId="164" fontId="42" fillId="0" borderId="67" xfId="0" applyFont="1" applyBorder="1" applyAlignment="1">
      <alignment horizontal="center" vertical="center" wrapText="1"/>
    </xf>
    <xf numFmtId="164" fontId="42" fillId="0" borderId="190" xfId="0" applyFont="1" applyBorder="1" applyAlignment="1">
      <alignment horizontal="center" vertical="center" wrapText="1"/>
    </xf>
    <xf numFmtId="164" fontId="42" fillId="0" borderId="199" xfId="0" applyFont="1" applyBorder="1" applyAlignment="1">
      <alignment horizontal="center" vertical="center" wrapText="1"/>
    </xf>
    <xf numFmtId="164" fontId="42" fillId="0" borderId="131" xfId="0" applyFont="1" applyBorder="1" applyAlignment="1">
      <alignment horizontal="center" vertical="center" textRotation="90" wrapText="1"/>
    </xf>
    <xf numFmtId="164" fontId="42" fillId="0" borderId="135" xfId="0" applyFont="1" applyBorder="1" applyAlignment="1">
      <alignment horizontal="center" vertical="center" textRotation="90" wrapText="1"/>
    </xf>
    <xf numFmtId="164" fontId="42" fillId="0" borderId="138" xfId="0" applyFont="1" applyBorder="1" applyAlignment="1">
      <alignment horizontal="center" vertical="center" textRotation="90" wrapText="1"/>
    </xf>
    <xf numFmtId="164" fontId="13" fillId="10" borderId="12" xfId="0" applyFont="1" applyFill="1" applyBorder="1" applyAlignment="1">
      <alignment horizontal="center" vertical="center" wrapText="1"/>
    </xf>
    <xf numFmtId="164" fontId="42" fillId="0" borderId="49" xfId="0" applyFont="1" applyBorder="1" applyAlignment="1">
      <alignment horizontal="center" vertical="center" wrapText="1"/>
    </xf>
    <xf numFmtId="164" fontId="42" fillId="0" borderId="9" xfId="0" applyFont="1" applyBorder="1" applyAlignment="1">
      <alignment horizontal="center" vertical="center" wrapText="1"/>
    </xf>
    <xf numFmtId="164" fontId="42" fillId="0" borderId="55" xfId="0" applyFont="1" applyBorder="1" applyAlignment="1">
      <alignment horizontal="center" vertical="center" wrapText="1"/>
    </xf>
    <xf numFmtId="39" fontId="35" fillId="15" borderId="141" xfId="0" applyNumberFormat="1" applyFont="1" applyFill="1" applyBorder="1" applyAlignment="1">
      <alignment horizontal="center" vertical="center" wrapText="1"/>
    </xf>
    <xf numFmtId="39" fontId="35" fillId="15" borderId="68" xfId="0" applyNumberFormat="1" applyFont="1" applyFill="1" applyBorder="1" applyAlignment="1">
      <alignment horizontal="center" vertical="center" wrapText="1"/>
    </xf>
    <xf numFmtId="206" fontId="35" fillId="17" borderId="68" xfId="0" applyNumberFormat="1" applyFont="1" applyFill="1" applyBorder="1" applyAlignment="1">
      <alignment horizontal="center" vertical="center" wrapText="1"/>
    </xf>
    <xf numFmtId="206" fontId="35" fillId="17" borderId="57" xfId="0" applyNumberFormat="1" applyFont="1" applyFill="1" applyBorder="1" applyAlignment="1">
      <alignment horizontal="center" vertical="center" wrapText="1"/>
    </xf>
    <xf numFmtId="164" fontId="11" fillId="26" borderId="107" xfId="4" applyNumberFormat="1" applyFont="1" applyFill="1" applyBorder="1" applyAlignment="1" applyProtection="1">
      <alignment horizontal="center" vertical="center" wrapText="1"/>
    </xf>
    <xf numFmtId="164" fontId="11" fillId="26" borderId="108" xfId="4" applyNumberFormat="1" applyFont="1" applyFill="1" applyBorder="1" applyAlignment="1" applyProtection="1">
      <alignment horizontal="center" vertical="center" wrapText="1"/>
    </xf>
    <xf numFmtId="164" fontId="11" fillId="26" borderId="202" xfId="4" applyNumberFormat="1" applyFont="1" applyFill="1" applyBorder="1" applyAlignment="1" applyProtection="1">
      <alignment horizontal="center" vertical="center" wrapText="1"/>
    </xf>
    <xf numFmtId="164" fontId="42" fillId="0" borderId="167" xfId="0" applyFont="1" applyBorder="1" applyAlignment="1">
      <alignment horizontal="center" vertical="center" wrapText="1"/>
    </xf>
    <xf numFmtId="164" fontId="42" fillId="0" borderId="170" xfId="0" applyFont="1" applyBorder="1" applyAlignment="1">
      <alignment horizontal="center" vertical="center" wrapText="1"/>
    </xf>
    <xf numFmtId="164" fontId="42" fillId="0" borderId="168" xfId="0" applyFont="1" applyBorder="1" applyAlignment="1">
      <alignment horizontal="center" vertical="center" wrapText="1"/>
    </xf>
    <xf numFmtId="164" fontId="42" fillId="0" borderId="148" xfId="0" applyFont="1" applyBorder="1" applyAlignment="1">
      <alignment horizontal="center" vertical="center" wrapText="1"/>
    </xf>
    <xf numFmtId="164" fontId="42" fillId="0" borderId="150" xfId="0" applyFont="1" applyBorder="1" applyAlignment="1">
      <alignment horizontal="center" vertical="center" wrapText="1"/>
    </xf>
    <xf numFmtId="164" fontId="42" fillId="0" borderId="149" xfId="0" applyFont="1" applyBorder="1" applyAlignment="1">
      <alignment horizontal="center" vertical="center" wrapText="1"/>
    </xf>
    <xf numFmtId="39" fontId="42" fillId="0" borderId="150" xfId="0" applyNumberFormat="1" applyFont="1" applyBorder="1" applyAlignment="1">
      <alignment horizontal="center" vertical="center" wrapText="1"/>
    </xf>
    <xf numFmtId="164" fontId="41" fillId="13" borderId="80" xfId="0" applyFont="1" applyFill="1" applyBorder="1" applyAlignment="1">
      <alignment horizontal="center" vertical="center"/>
    </xf>
    <xf numFmtId="164" fontId="41" fillId="13" borderId="0" xfId="0" applyFont="1" applyFill="1" applyAlignment="1">
      <alignment horizontal="center" vertical="center"/>
    </xf>
    <xf numFmtId="164" fontId="41" fillId="13" borderId="68" xfId="0" applyFont="1" applyFill="1" applyBorder="1" applyAlignment="1">
      <alignment horizontal="center" vertical="center"/>
    </xf>
    <xf numFmtId="39" fontId="35" fillId="9" borderId="141" xfId="0" applyNumberFormat="1" applyFont="1" applyFill="1" applyBorder="1" applyAlignment="1">
      <alignment horizontal="center" vertical="center" wrapText="1"/>
    </xf>
    <xf numFmtId="39" fontId="35" fillId="9" borderId="68" xfId="0" applyNumberFormat="1" applyFont="1" applyFill="1" applyBorder="1" applyAlignment="1">
      <alignment horizontal="center" vertical="center" wrapText="1"/>
    </xf>
    <xf numFmtId="39" fontId="35" fillId="9" borderId="57" xfId="0" applyNumberFormat="1" applyFont="1" applyFill="1" applyBorder="1" applyAlignment="1">
      <alignment horizontal="center" vertical="center" wrapText="1"/>
    </xf>
    <xf numFmtId="39" fontId="35" fillId="17" borderId="68" xfId="0" applyNumberFormat="1" applyFont="1" applyFill="1" applyBorder="1" applyAlignment="1">
      <alignment horizontal="center" vertical="center" wrapText="1"/>
    </xf>
    <xf numFmtId="164" fontId="42" fillId="0" borderId="62" xfId="0" applyFont="1" applyBorder="1" applyAlignment="1">
      <alignment horizontal="center" vertical="center" wrapText="1"/>
    </xf>
    <xf numFmtId="164" fontId="42" fillId="0" borderId="0" xfId="0" applyFont="1" applyAlignment="1">
      <alignment horizontal="center" vertical="center" wrapText="1"/>
    </xf>
    <xf numFmtId="0" fontId="39" fillId="0" borderId="0" xfId="0" applyNumberFormat="1" applyFont="1" applyAlignment="1">
      <alignment horizontal="left" vertical="center" wrapText="1"/>
    </xf>
    <xf numFmtId="164" fontId="35" fillId="0" borderId="182" xfId="0" applyFont="1" applyBorder="1" applyAlignment="1">
      <alignment horizontal="center" vertical="center" wrapText="1"/>
    </xf>
    <xf numFmtId="164" fontId="35" fillId="0" borderId="154" xfId="0" applyFont="1" applyBorder="1" applyAlignment="1">
      <alignment horizontal="center" vertical="center" wrapText="1"/>
    </xf>
    <xf numFmtId="164" fontId="35" fillId="0" borderId="178" xfId="0" applyFont="1" applyBorder="1" applyAlignment="1">
      <alignment horizontal="center" vertical="center" wrapText="1"/>
    </xf>
    <xf numFmtId="164" fontId="35" fillId="0" borderId="148" xfId="0" applyFont="1" applyBorder="1" applyAlignment="1">
      <alignment horizontal="center" vertical="center" wrapText="1"/>
    </xf>
    <xf numFmtId="164" fontId="35" fillId="0" borderId="150" xfId="0" applyFont="1" applyBorder="1" applyAlignment="1">
      <alignment horizontal="center" vertical="center" wrapText="1"/>
    </xf>
    <xf numFmtId="164" fontId="35" fillId="0" borderId="156" xfId="0" applyFont="1" applyBorder="1" applyAlignment="1">
      <alignment horizontal="center" vertical="center" wrapText="1"/>
    </xf>
    <xf numFmtId="164" fontId="35" fillId="0" borderId="10" xfId="0" applyFont="1" applyBorder="1" applyAlignment="1">
      <alignment horizontal="center" vertical="center" wrapText="1"/>
    </xf>
    <xf numFmtId="164" fontId="35" fillId="0" borderId="174" xfId="0" applyFont="1" applyBorder="1" applyAlignment="1">
      <alignment horizontal="center" vertical="center" wrapText="1"/>
    </xf>
    <xf numFmtId="164" fontId="35" fillId="0" borderId="59" xfId="0" applyFont="1" applyBorder="1" applyAlignment="1">
      <alignment horizontal="center" vertical="center" wrapText="1"/>
    </xf>
    <xf numFmtId="164" fontId="35" fillId="0" borderId="145" xfId="0" applyFont="1" applyBorder="1" applyAlignment="1">
      <alignment horizontal="center" vertical="center" wrapText="1"/>
    </xf>
    <xf numFmtId="164" fontId="35" fillId="0" borderId="146" xfId="0" applyFont="1" applyBorder="1" applyAlignment="1">
      <alignment horizontal="center" vertical="center" wrapText="1"/>
    </xf>
    <xf numFmtId="164" fontId="35" fillId="0" borderId="144" xfId="0" applyFont="1" applyBorder="1" applyAlignment="1">
      <alignment horizontal="center" vertical="center" wrapText="1"/>
    </xf>
    <xf numFmtId="164" fontId="35" fillId="0" borderId="141" xfId="0" applyFont="1" applyBorder="1" applyAlignment="1">
      <alignment horizontal="center" vertical="center" wrapText="1"/>
    </xf>
    <xf numFmtId="164" fontId="35" fillId="0" borderId="4" xfId="0" applyFont="1" applyBorder="1" applyAlignment="1">
      <alignment horizontal="center" vertical="center" wrapText="1"/>
    </xf>
    <xf numFmtId="164" fontId="35" fillId="0" borderId="68" xfId="0" applyFont="1" applyBorder="1" applyAlignment="1">
      <alignment horizontal="center" vertical="center" wrapText="1"/>
    </xf>
    <xf numFmtId="164" fontId="35" fillId="0" borderId="143" xfId="0" applyFont="1" applyBorder="1" applyAlignment="1">
      <alignment horizontal="center" vertical="center" wrapText="1"/>
    </xf>
    <xf numFmtId="164" fontId="35" fillId="0" borderId="57" xfId="0" applyFont="1" applyBorder="1" applyAlignment="1">
      <alignment horizontal="center" vertical="center" wrapText="1"/>
    </xf>
    <xf numFmtId="164" fontId="35" fillId="10" borderId="131" xfId="0" applyFont="1" applyFill="1" applyBorder="1" applyAlignment="1">
      <alignment horizontal="center" vertical="center" wrapText="1"/>
    </xf>
    <xf numFmtId="164" fontId="35" fillId="10" borderId="49" xfId="0" applyFont="1" applyFill="1" applyBorder="1" applyAlignment="1">
      <alignment horizontal="center" vertical="center" wrapText="1"/>
    </xf>
    <xf numFmtId="164" fontId="35" fillId="10" borderId="135" xfId="0" applyFont="1" applyFill="1" applyBorder="1" applyAlignment="1">
      <alignment horizontal="center" vertical="center" wrapText="1"/>
    </xf>
    <xf numFmtId="164" fontId="35" fillId="10" borderId="9" xfId="0" applyFont="1" applyFill="1" applyBorder="1" applyAlignment="1">
      <alignment horizontal="center" vertical="center" wrapText="1"/>
    </xf>
    <xf numFmtId="164" fontId="42" fillId="29" borderId="68" xfId="0" applyFont="1" applyFill="1" applyBorder="1" applyAlignment="1">
      <alignment horizontal="center" vertical="center" wrapText="1"/>
    </xf>
    <xf numFmtId="164" fontId="42" fillId="29" borderId="57" xfId="0" applyFont="1" applyFill="1" applyBorder="1" applyAlignment="1">
      <alignment horizontal="center" vertical="center" wrapText="1"/>
    </xf>
    <xf numFmtId="164" fontId="35" fillId="0" borderId="160" xfId="0" applyFont="1" applyBorder="1" applyAlignment="1">
      <alignment horizontal="center" vertical="center" wrapText="1"/>
    </xf>
    <xf numFmtId="164" fontId="35" fillId="0" borderId="71" xfId="0" applyFont="1" applyBorder="1" applyAlignment="1">
      <alignment horizontal="center" vertical="center" wrapText="1"/>
    </xf>
    <xf numFmtId="164" fontId="35" fillId="0" borderId="131" xfId="0" applyFont="1" applyBorder="1" applyAlignment="1">
      <alignment horizontal="center" vertical="center" wrapText="1"/>
    </xf>
    <xf numFmtId="164" fontId="35" fillId="0" borderId="49" xfId="0" applyFont="1" applyBorder="1" applyAlignment="1">
      <alignment horizontal="center" vertical="center" wrapText="1"/>
    </xf>
    <xf numFmtId="164" fontId="35" fillId="0" borderId="135" xfId="0" applyFont="1" applyBorder="1" applyAlignment="1">
      <alignment horizontal="center" vertical="center" wrapText="1"/>
    </xf>
    <xf numFmtId="164" fontId="35" fillId="0" borderId="9" xfId="0" applyFont="1" applyBorder="1" applyAlignment="1">
      <alignment horizontal="center" vertical="center" wrapText="1"/>
    </xf>
    <xf numFmtId="164" fontId="35" fillId="0" borderId="138" xfId="0" applyFont="1" applyBorder="1" applyAlignment="1">
      <alignment horizontal="center" vertical="center" wrapText="1"/>
    </xf>
    <xf numFmtId="164" fontId="35" fillId="0" borderId="55" xfId="0" applyFont="1" applyBorder="1" applyAlignment="1">
      <alignment horizontal="center" vertical="center" wrapText="1"/>
    </xf>
    <xf numFmtId="164" fontId="35" fillId="29" borderId="141" xfId="0" applyFont="1" applyFill="1" applyBorder="1" applyAlignment="1">
      <alignment horizontal="center" vertical="center" wrapText="1"/>
    </xf>
    <xf numFmtId="164" fontId="35" fillId="29" borderId="68" xfId="0" applyFont="1" applyFill="1" applyBorder="1" applyAlignment="1">
      <alignment horizontal="center" vertical="center" wrapText="1"/>
    </xf>
    <xf numFmtId="164" fontId="35" fillId="29" borderId="67" xfId="0" applyFont="1" applyFill="1" applyBorder="1" applyAlignment="1">
      <alignment horizontal="center" vertical="center" wrapText="1"/>
    </xf>
    <xf numFmtId="164" fontId="35" fillId="0" borderId="172" xfId="0" applyFont="1" applyBorder="1" applyAlignment="1">
      <alignment horizontal="center" vertical="center" wrapText="1"/>
    </xf>
    <xf numFmtId="164" fontId="35" fillId="0" borderId="74" xfId="0" applyFont="1" applyBorder="1" applyAlignment="1">
      <alignment horizontal="center" vertical="center" wrapText="1"/>
    </xf>
    <xf numFmtId="164" fontId="35" fillId="0" borderId="148" xfId="0" applyFont="1" applyBorder="1" applyAlignment="1">
      <alignment horizontal="center" vertical="center" textRotation="90" wrapText="1"/>
    </xf>
    <xf numFmtId="164" fontId="35" fillId="0" borderId="131" xfId="0" applyFont="1" applyBorder="1" applyAlignment="1">
      <alignment horizontal="center" vertical="center" textRotation="90" wrapText="1"/>
    </xf>
    <xf numFmtId="164" fontId="35" fillId="0" borderId="135" xfId="0" applyFont="1" applyBorder="1" applyAlignment="1">
      <alignment horizontal="center" vertical="center" textRotation="90" wrapText="1"/>
    </xf>
    <xf numFmtId="164" fontId="35" fillId="0" borderId="138" xfId="0" applyFont="1" applyBorder="1" applyAlignment="1">
      <alignment horizontal="center" vertical="center" textRotation="90" wrapText="1"/>
    </xf>
    <xf numFmtId="164" fontId="41" fillId="15" borderId="68" xfId="0" applyFont="1" applyFill="1" applyBorder="1" applyAlignment="1">
      <alignment horizontal="center" vertical="center" wrapText="1"/>
    </xf>
    <xf numFmtId="164" fontId="35" fillId="0" borderId="167" xfId="0" applyFont="1" applyBorder="1" applyAlignment="1">
      <alignment horizontal="center" vertical="center" wrapText="1"/>
    </xf>
    <xf numFmtId="164" fontId="35" fillId="0" borderId="170" xfId="0" applyFont="1" applyBorder="1" applyAlignment="1">
      <alignment horizontal="center" vertical="center" wrapText="1"/>
    </xf>
    <xf numFmtId="164" fontId="35" fillId="0" borderId="187" xfId="0" applyFont="1" applyBorder="1" applyAlignment="1">
      <alignment horizontal="center" vertical="center" wrapText="1"/>
    </xf>
    <xf numFmtId="164" fontId="35" fillId="0" borderId="82" xfId="0" applyFont="1" applyBorder="1" applyAlignment="1">
      <alignment horizontal="center" vertical="center" wrapText="1"/>
    </xf>
    <xf numFmtId="0" fontId="35" fillId="0" borderId="131" xfId="0" applyNumberFormat="1" applyFont="1" applyBorder="1" applyAlignment="1">
      <alignment horizontal="center" vertical="center" textRotation="90" wrapText="1"/>
    </xf>
    <xf numFmtId="164" fontId="4" fillId="0" borderId="135" xfId="0" applyFont="1" applyBorder="1" applyAlignment="1">
      <alignment horizontal="center" vertical="center" textRotation="90" wrapText="1"/>
    </xf>
    <xf numFmtId="164" fontId="4" fillId="0" borderId="138" xfId="0" applyFont="1" applyBorder="1" applyAlignment="1">
      <alignment horizontal="center" vertical="center" textRotation="90" wrapText="1"/>
    </xf>
    <xf numFmtId="0" fontId="35" fillId="0" borderId="49" xfId="0" applyNumberFormat="1" applyFont="1" applyBorder="1" applyAlignment="1">
      <alignment horizontal="center" vertical="center" wrapText="1"/>
    </xf>
    <xf numFmtId="0" fontId="35" fillId="0" borderId="9" xfId="0" applyNumberFormat="1" applyFont="1" applyBorder="1" applyAlignment="1">
      <alignment horizontal="center" vertical="center" wrapText="1"/>
    </xf>
    <xf numFmtId="0" fontId="35" fillId="0" borderId="55" xfId="0" applyNumberFormat="1" applyFont="1" applyBorder="1" applyAlignment="1">
      <alignment horizontal="center" vertical="center" wrapText="1"/>
    </xf>
    <xf numFmtId="0" fontId="35" fillId="0" borderId="144" xfId="0" applyNumberFormat="1" applyFont="1" applyBorder="1" applyAlignment="1">
      <alignment horizontal="center" vertical="center" wrapText="1"/>
    </xf>
    <xf numFmtId="0" fontId="35" fillId="0" borderId="141" xfId="0" applyNumberFormat="1" applyFont="1" applyBorder="1" applyAlignment="1">
      <alignment horizontal="center" vertical="center" wrapText="1"/>
    </xf>
    <xf numFmtId="0" fontId="35" fillId="0" borderId="4" xfId="0" applyNumberFormat="1" applyFont="1" applyBorder="1" applyAlignment="1">
      <alignment horizontal="center" vertical="center" wrapText="1"/>
    </xf>
    <xf numFmtId="0" fontId="35" fillId="0" borderId="68" xfId="0" applyNumberFormat="1" applyFont="1" applyBorder="1" applyAlignment="1">
      <alignment horizontal="center" vertical="center" wrapText="1"/>
    </xf>
    <xf numFmtId="0" fontId="35" fillId="0" borderId="143" xfId="0" applyNumberFormat="1" applyFont="1" applyBorder="1" applyAlignment="1">
      <alignment horizontal="center" vertical="center" wrapText="1"/>
    </xf>
    <xf numFmtId="0" fontId="35" fillId="0" borderId="57" xfId="0" applyNumberFormat="1" applyFont="1" applyBorder="1" applyAlignment="1">
      <alignment horizontal="center" vertical="center" wrapText="1"/>
    </xf>
    <xf numFmtId="164" fontId="4" fillId="0" borderId="49" xfId="0" applyFont="1" applyBorder="1"/>
    <xf numFmtId="164" fontId="4" fillId="0" borderId="135" xfId="0" applyFont="1" applyBorder="1"/>
    <xf numFmtId="164" fontId="4" fillId="0" borderId="9" xfId="0" applyFont="1" applyBorder="1"/>
    <xf numFmtId="164" fontId="4" fillId="0" borderId="138" xfId="0" applyFont="1" applyBorder="1"/>
    <xf numFmtId="164" fontId="4" fillId="0" borderId="55" xfId="0" applyFont="1" applyBorder="1"/>
    <xf numFmtId="164" fontId="42" fillId="0" borderId="126" xfId="0" applyFont="1" applyBorder="1" applyAlignment="1">
      <alignment horizontal="center" vertical="center" wrapText="1"/>
    </xf>
    <xf numFmtId="164" fontId="42" fillId="0" borderId="212" xfId="0" applyFont="1" applyBorder="1" applyAlignment="1">
      <alignment horizontal="center" vertical="center" wrapText="1"/>
    </xf>
    <xf numFmtId="164" fontId="42" fillId="0" borderId="160" xfId="0" applyFont="1" applyBorder="1" applyAlignment="1">
      <alignment horizontal="center" vertical="center" wrapText="1"/>
    </xf>
    <xf numFmtId="164" fontId="42" fillId="0" borderId="172" xfId="0" applyFont="1" applyBorder="1" applyAlignment="1">
      <alignment horizontal="center" vertical="center" wrapText="1"/>
    </xf>
    <xf numFmtId="164" fontId="42" fillId="0" borderId="156" xfId="0" applyFont="1" applyBorder="1" applyAlignment="1">
      <alignment horizontal="center" vertical="center" wrapText="1"/>
    </xf>
    <xf numFmtId="164" fontId="42" fillId="0" borderId="203" xfId="0" applyFont="1" applyBorder="1" applyAlignment="1">
      <alignment horizontal="center" vertical="center" wrapText="1"/>
    </xf>
    <xf numFmtId="164" fontId="42" fillId="0" borderId="204" xfId="0" applyFont="1" applyBorder="1" applyAlignment="1">
      <alignment horizontal="center" vertical="center" wrapText="1"/>
    </xf>
    <xf numFmtId="164" fontId="42" fillId="0" borderId="83" xfId="0" applyFont="1" applyBorder="1" applyAlignment="1">
      <alignment horizontal="center" vertical="center" wrapText="1"/>
    </xf>
    <xf numFmtId="164" fontId="42" fillId="0" borderId="52" xfId="0" applyFont="1" applyBorder="1" applyAlignment="1">
      <alignment horizontal="center" vertical="center" wrapText="1"/>
    </xf>
    <xf numFmtId="164" fontId="42" fillId="0" borderId="13" xfId="0" applyFont="1" applyBorder="1" applyAlignment="1">
      <alignment horizontal="center" vertical="center" wrapText="1"/>
    </xf>
    <xf numFmtId="164" fontId="42" fillId="0" borderId="58" xfId="0" applyFont="1" applyBorder="1" applyAlignment="1">
      <alignment horizontal="center" vertical="center" wrapText="1"/>
    </xf>
    <xf numFmtId="164" fontId="42" fillId="0" borderId="48" xfId="0" applyFont="1" applyBorder="1" applyAlignment="1">
      <alignment horizontal="center" vertical="center" wrapText="1"/>
    </xf>
    <xf numFmtId="164" fontId="42" fillId="0" borderId="102" xfId="0" applyFont="1" applyBorder="1" applyAlignment="1">
      <alignment horizontal="center" vertical="center" wrapText="1"/>
    </xf>
    <xf numFmtId="164" fontId="42" fillId="0" borderId="54" xfId="0" applyFont="1" applyBorder="1" applyAlignment="1">
      <alignment horizontal="center" vertical="center" wrapText="1"/>
    </xf>
    <xf numFmtId="37" fontId="42" fillId="0" borderId="141" xfId="0" applyNumberFormat="1" applyFont="1" applyBorder="1" applyAlignment="1">
      <alignment horizontal="center" vertical="center" wrapText="1"/>
    </xf>
    <xf numFmtId="37" fontId="42" fillId="0" borderId="57" xfId="0" applyNumberFormat="1" applyFont="1" applyBorder="1" applyAlignment="1">
      <alignment horizontal="center" vertical="center" wrapText="1"/>
    </xf>
    <xf numFmtId="164" fontId="11" fillId="26" borderId="130" xfId="4" applyNumberFormat="1" applyFont="1" applyFill="1" applyBorder="1" applyAlignment="1" applyProtection="1">
      <alignment horizontal="center" vertical="center" wrapText="1"/>
    </xf>
    <xf numFmtId="164" fontId="42" fillId="0" borderId="214" xfId="0" applyFont="1" applyBorder="1" applyAlignment="1">
      <alignment horizontal="center" vertical="center" textRotation="90" wrapText="1"/>
    </xf>
    <xf numFmtId="164" fontId="42" fillId="0" borderId="215" xfId="0" applyFont="1" applyBorder="1" applyAlignment="1">
      <alignment horizontal="center" vertical="center" textRotation="90" wrapText="1"/>
    </xf>
    <xf numFmtId="164" fontId="42" fillId="0" borderId="4" xfId="0" applyFont="1" applyBorder="1" applyAlignment="1">
      <alignment horizontal="center" vertical="center" textRotation="90" wrapText="1"/>
    </xf>
    <xf numFmtId="164" fontId="42" fillId="0" borderId="47" xfId="0" applyFont="1" applyBorder="1" applyAlignment="1">
      <alignment horizontal="center" vertical="center" wrapText="1"/>
    </xf>
    <xf numFmtId="164" fontId="42" fillId="0" borderId="122" xfId="0" applyFont="1" applyBorder="1" applyAlignment="1">
      <alignment horizontal="center" vertical="center" wrapText="1"/>
    </xf>
    <xf numFmtId="164" fontId="42" fillId="0" borderId="218" xfId="0" applyFont="1" applyBorder="1" applyAlignment="1">
      <alignment horizontal="center" vertical="center" wrapText="1"/>
    </xf>
    <xf numFmtId="164" fontId="42" fillId="0" borderId="219" xfId="0" applyFont="1" applyBorder="1" applyAlignment="1">
      <alignment horizontal="center" vertical="center" wrapText="1"/>
    </xf>
    <xf numFmtId="164" fontId="42" fillId="0" borderId="81" xfId="0" applyFont="1" applyBorder="1" applyAlignment="1">
      <alignment horizontal="center" vertical="center" wrapText="1"/>
    </xf>
    <xf numFmtId="189" fontId="42" fillId="0" borderId="11" xfId="0" applyNumberFormat="1" applyFont="1" applyBorder="1" applyAlignment="1">
      <alignment horizontal="center" vertical="center" wrapText="1"/>
    </xf>
    <xf numFmtId="189" fontId="42" fillId="0" borderId="196" xfId="0" applyNumberFormat="1" applyFont="1" applyBorder="1" applyAlignment="1">
      <alignment horizontal="center" vertical="center" wrapText="1"/>
    </xf>
    <xf numFmtId="189" fontId="42" fillId="0" borderId="192" xfId="0" applyNumberFormat="1" applyFont="1" applyBorder="1" applyAlignment="1">
      <alignment horizontal="center" vertical="center" wrapText="1"/>
    </xf>
    <xf numFmtId="189" fontId="42" fillId="0" borderId="200" xfId="0" applyNumberFormat="1" applyFont="1" applyBorder="1" applyAlignment="1">
      <alignment horizontal="center" vertical="center" wrapText="1"/>
    </xf>
    <xf numFmtId="164" fontId="42" fillId="0" borderId="213" xfId="0" applyFont="1" applyBorder="1" applyAlignment="1">
      <alignment horizontal="center" vertical="center" wrapText="1"/>
    </xf>
    <xf numFmtId="189" fontId="42" fillId="0" borderId="51" xfId="0" applyNumberFormat="1" applyFont="1" applyBorder="1" applyAlignment="1">
      <alignment horizontal="center" vertical="center" wrapText="1"/>
    </xf>
    <xf numFmtId="189" fontId="42" fillId="0" borderId="64" xfId="0" applyNumberFormat="1" applyFont="1" applyBorder="1" applyAlignment="1">
      <alignment horizontal="center" vertical="center" wrapText="1"/>
    </xf>
    <xf numFmtId="189" fontId="42" fillId="0" borderId="191" xfId="0" applyNumberFormat="1" applyFont="1" applyBorder="1" applyAlignment="1">
      <alignment horizontal="center" vertical="center" wrapText="1"/>
    </xf>
    <xf numFmtId="189" fontId="42" fillId="0" borderId="199" xfId="0" applyNumberFormat="1" applyFont="1" applyBorder="1" applyAlignment="1">
      <alignment horizontal="center" vertical="center" wrapText="1"/>
    </xf>
    <xf numFmtId="39" fontId="42" fillId="0" borderId="192" xfId="0" applyNumberFormat="1" applyFont="1" applyBorder="1" applyAlignment="1">
      <alignment horizontal="center" vertical="center" wrapText="1"/>
    </xf>
    <xf numFmtId="164" fontId="42" fillId="0" borderId="74" xfId="0" applyFont="1" applyBorder="1" applyAlignment="1">
      <alignment horizontal="center" vertical="center" wrapText="1"/>
    </xf>
    <xf numFmtId="164" fontId="42" fillId="0" borderId="59" xfId="0" applyFont="1" applyBorder="1" applyAlignment="1">
      <alignment horizontal="center" vertical="center" wrapText="1"/>
    </xf>
    <xf numFmtId="164" fontId="42" fillId="0" borderId="11" xfId="0" applyFont="1" applyBorder="1" applyAlignment="1">
      <alignment horizontal="center" vertical="center" wrapText="1"/>
    </xf>
    <xf numFmtId="164" fontId="42" fillId="0" borderId="196" xfId="0" applyFont="1" applyBorder="1" applyAlignment="1">
      <alignment horizontal="center" vertical="center" wrapText="1"/>
    </xf>
    <xf numFmtId="164" fontId="42" fillId="0" borderId="174" xfId="0" applyFont="1" applyBorder="1" applyAlignment="1">
      <alignment horizontal="center" vertical="center" wrapText="1"/>
    </xf>
    <xf numFmtId="164" fontId="42" fillId="0" borderId="51" xfId="0" applyFont="1" applyBorder="1" applyAlignment="1">
      <alignment horizontal="center" vertical="center" wrapText="1"/>
    </xf>
    <xf numFmtId="164" fontId="42" fillId="0" borderId="64" xfId="0" applyFont="1" applyBorder="1" applyAlignment="1">
      <alignment horizontal="center" vertical="center" wrapText="1"/>
    </xf>
    <xf numFmtId="164" fontId="42" fillId="0" borderId="191" xfId="0" applyFont="1" applyBorder="1" applyAlignment="1">
      <alignment horizontal="center" vertical="center" wrapText="1"/>
    </xf>
    <xf numFmtId="164" fontId="42" fillId="0" borderId="94" xfId="0" applyFont="1" applyBorder="1" applyAlignment="1">
      <alignment horizontal="center" vertical="center" wrapText="1"/>
    </xf>
    <xf numFmtId="164" fontId="42" fillId="0" borderId="198" xfId="0" applyFont="1" applyBorder="1" applyAlignment="1">
      <alignment horizontal="center" vertical="center" wrapText="1"/>
    </xf>
    <xf numFmtId="164" fontId="42" fillId="0" borderId="71" xfId="0" applyFont="1" applyBorder="1" applyAlignment="1">
      <alignment horizontal="center" vertical="center" wrapText="1"/>
    </xf>
    <xf numFmtId="164" fontId="42" fillId="0" borderId="82" xfId="0" applyFont="1" applyBorder="1" applyAlignment="1">
      <alignment horizontal="center" vertical="center" wrapText="1"/>
    </xf>
    <xf numFmtId="193" fontId="42" fillId="10" borderId="41" xfId="0" applyNumberFormat="1" applyFont="1" applyFill="1" applyBorder="1" applyAlignment="1">
      <alignment horizontal="center" vertical="center" wrapText="1"/>
    </xf>
    <xf numFmtId="193" fontId="42" fillId="10" borderId="71" xfId="0" applyNumberFormat="1" applyFont="1" applyFill="1" applyBorder="1" applyAlignment="1">
      <alignment horizontal="center" vertical="center" wrapText="1"/>
    </xf>
    <xf numFmtId="193" fontId="42" fillId="10" borderId="196" xfId="0" applyNumberFormat="1" applyFont="1" applyFill="1" applyBorder="1" applyAlignment="1">
      <alignment horizontal="center" vertical="center" wrapText="1"/>
    </xf>
    <xf numFmtId="193" fontId="42" fillId="10" borderId="197" xfId="0" applyNumberFormat="1" applyFont="1" applyFill="1" applyBorder="1" applyAlignment="1">
      <alignment horizontal="center" vertical="center" wrapText="1"/>
    </xf>
    <xf numFmtId="39" fontId="42" fillId="10" borderId="197" xfId="0" applyNumberFormat="1" applyFont="1" applyFill="1" applyBorder="1" applyAlignment="1">
      <alignment horizontal="center" vertical="center" wrapText="1"/>
    </xf>
    <xf numFmtId="39" fontId="42" fillId="10" borderId="13" xfId="0" applyNumberFormat="1" applyFont="1" applyFill="1" applyBorder="1" applyAlignment="1">
      <alignment horizontal="center" vertical="center" wrapText="1"/>
    </xf>
    <xf numFmtId="164" fontId="42" fillId="0" borderId="12" xfId="0" applyFont="1" applyBorder="1" applyAlignment="1">
      <alignment horizontal="center" vertical="center" wrapText="1"/>
    </xf>
    <xf numFmtId="164" fontId="42" fillId="0" borderId="63" xfId="0" applyFont="1" applyBorder="1" applyAlignment="1">
      <alignment horizontal="center" vertical="center" wrapText="1"/>
    </xf>
    <xf numFmtId="164" fontId="42" fillId="0" borderId="41" xfId="0" applyFont="1" applyBorder="1" applyAlignment="1">
      <alignment horizontal="center" vertical="center" wrapText="1"/>
    </xf>
    <xf numFmtId="164" fontId="41" fillId="0" borderId="203" xfId="0" applyFont="1" applyBorder="1" applyAlignment="1">
      <alignment horizontal="center" vertical="center" wrapText="1"/>
    </xf>
    <xf numFmtId="164" fontId="41" fillId="0" borderId="169" xfId="0" applyFont="1" applyBorder="1" applyAlignment="1">
      <alignment horizontal="center" vertical="center" wrapText="1"/>
    </xf>
    <xf numFmtId="164" fontId="41" fillId="0" borderId="204" xfId="0" applyFont="1" applyBorder="1" applyAlignment="1">
      <alignment horizontal="center" vertical="center" wrapText="1"/>
    </xf>
    <xf numFmtId="164" fontId="42" fillId="0" borderId="86" xfId="0" applyFont="1" applyBorder="1" applyAlignment="1">
      <alignment horizontal="center" vertical="center" wrapText="1"/>
    </xf>
    <xf numFmtId="164" fontId="42" fillId="0" borderId="222" xfId="0" applyFont="1" applyBorder="1" applyAlignment="1">
      <alignment horizontal="center" vertical="center" wrapText="1"/>
    </xf>
    <xf numFmtId="164" fontId="42" fillId="0" borderId="141" xfId="0" applyFont="1" applyBorder="1" applyAlignment="1">
      <alignment horizontal="center" vertical="center" textRotation="90" wrapText="1"/>
    </xf>
    <xf numFmtId="164" fontId="42" fillId="0" borderId="68" xfId="0" applyFont="1" applyBorder="1" applyAlignment="1">
      <alignment horizontal="center" vertical="center" textRotation="90" wrapText="1"/>
    </xf>
    <xf numFmtId="164" fontId="42" fillId="0" borderId="57" xfId="0" applyFont="1" applyBorder="1" applyAlignment="1">
      <alignment horizontal="center" vertical="center" textRotation="90" wrapText="1"/>
    </xf>
    <xf numFmtId="164" fontId="42" fillId="0" borderId="49" xfId="0" applyFont="1" applyBorder="1" applyAlignment="1">
      <alignment horizontal="center" vertical="center" textRotation="90" wrapText="1"/>
    </xf>
    <xf numFmtId="164" fontId="42" fillId="0" borderId="9" xfId="0" applyFont="1" applyBorder="1" applyAlignment="1">
      <alignment horizontal="center" vertical="center" textRotation="90" wrapText="1"/>
    </xf>
    <xf numFmtId="164" fontId="42" fillId="0" borderId="55" xfId="0" applyFont="1" applyBorder="1" applyAlignment="1">
      <alignment horizontal="center" vertical="center" textRotation="90" wrapText="1"/>
    </xf>
    <xf numFmtId="164" fontId="11" fillId="26" borderId="107" xfId="0" applyFont="1" applyFill="1" applyBorder="1" applyAlignment="1">
      <alignment horizontal="center" vertical="center" wrapText="1"/>
    </xf>
    <xf numFmtId="164" fontId="11" fillId="26" borderId="108" xfId="0" applyFont="1" applyFill="1" applyBorder="1" applyAlignment="1">
      <alignment horizontal="center" vertical="center" wrapText="1"/>
    </xf>
    <xf numFmtId="164" fontId="11" fillId="26" borderId="130" xfId="0" applyFont="1" applyFill="1" applyBorder="1" applyAlignment="1">
      <alignment horizontal="center" vertical="center" wrapText="1"/>
    </xf>
    <xf numFmtId="164" fontId="42" fillId="0" borderId="155" xfId="0" applyFont="1" applyBorder="1" applyAlignment="1">
      <alignment horizontal="center" vertical="center" wrapText="1"/>
    </xf>
    <xf numFmtId="164" fontId="42" fillId="0" borderId="116" xfId="0" applyFont="1" applyBorder="1" applyAlignment="1">
      <alignment horizontal="center" vertical="center" wrapText="1"/>
    </xf>
    <xf numFmtId="164" fontId="42" fillId="0" borderId="195" xfId="0" applyFont="1" applyBorder="1" applyAlignment="1">
      <alignment horizontal="center" vertical="center" wrapText="1"/>
    </xf>
    <xf numFmtId="164" fontId="42" fillId="0" borderId="78" xfId="0" applyFont="1" applyBorder="1" applyAlignment="1">
      <alignment horizontal="center" vertical="center" wrapText="1"/>
    </xf>
    <xf numFmtId="164" fontId="42" fillId="0" borderId="200" xfId="0" applyFont="1" applyBorder="1" applyAlignment="1">
      <alignment horizontal="center" vertical="center" wrapText="1"/>
    </xf>
    <xf numFmtId="164" fontId="42" fillId="0" borderId="118" xfId="0" applyFont="1" applyBorder="1" applyAlignment="1">
      <alignment horizontal="center" vertical="center" wrapText="1"/>
    </xf>
    <xf numFmtId="164" fontId="42" fillId="0" borderId="104" xfId="0" applyFont="1" applyBorder="1" applyAlignment="1">
      <alignment horizontal="center" vertical="center" wrapText="1"/>
    </xf>
    <xf numFmtId="0" fontId="123" fillId="26" borderId="81" xfId="20" applyFont="1" applyFill="1" applyBorder="1" applyAlignment="1">
      <alignment horizontal="center" vertical="center"/>
    </xf>
    <xf numFmtId="0" fontId="123" fillId="26" borderId="82" xfId="20" applyFont="1" applyFill="1" applyBorder="1" applyAlignment="1">
      <alignment horizontal="center" vertical="center"/>
    </xf>
    <xf numFmtId="0" fontId="123" fillId="26" borderId="83" xfId="20" applyFont="1" applyFill="1" applyBorder="1" applyAlignment="1">
      <alignment horizontal="center" vertical="center"/>
    </xf>
    <xf numFmtId="164" fontId="13" fillId="26" borderId="1" xfId="0" applyFont="1" applyFill="1" applyBorder="1" applyAlignment="1">
      <alignment horizontal="center" vertical="center" textRotation="90" wrapText="1"/>
    </xf>
    <xf numFmtId="164" fontId="13" fillId="26" borderId="4" xfId="0" applyFont="1" applyFill="1" applyBorder="1" applyAlignment="1">
      <alignment horizontal="center" vertical="center" textRotation="90" wrapText="1"/>
    </xf>
    <xf numFmtId="164" fontId="13" fillId="26" borderId="6" xfId="0" applyFont="1" applyFill="1" applyBorder="1" applyAlignment="1">
      <alignment horizontal="center" vertical="center" textRotation="90" wrapText="1"/>
    </xf>
    <xf numFmtId="0" fontId="2" fillId="26" borderId="207" xfId="20" applyFont="1" applyFill="1" applyBorder="1" applyAlignment="1">
      <alignment horizontal="center" vertical="center"/>
    </xf>
    <xf numFmtId="0" fontId="2" fillId="26" borderId="52" xfId="20" applyFont="1" applyFill="1" applyBorder="1" applyAlignment="1">
      <alignment horizontal="center" vertical="center"/>
    </xf>
    <xf numFmtId="0" fontId="2" fillId="26" borderId="51" xfId="20" applyFont="1" applyFill="1" applyBorder="1" applyAlignment="1">
      <alignment horizontal="center" vertical="center"/>
    </xf>
    <xf numFmtId="0" fontId="2" fillId="26" borderId="49" xfId="20" applyFont="1" applyFill="1" applyBorder="1" applyAlignment="1">
      <alignment horizontal="center" vertical="center" wrapText="1"/>
    </xf>
    <xf numFmtId="0" fontId="2" fillId="26" borderId="55" xfId="20" applyFont="1" applyFill="1" applyBorder="1" applyAlignment="1">
      <alignment horizontal="center" vertical="center" wrapText="1"/>
    </xf>
    <xf numFmtId="0" fontId="2" fillId="26" borderId="64" xfId="20" applyFont="1" applyFill="1" applyBorder="1" applyAlignment="1">
      <alignment horizontal="center" vertical="center"/>
    </xf>
    <xf numFmtId="164" fontId="13" fillId="0" borderId="214" xfId="21" applyNumberFormat="1" applyFont="1" applyBorder="1" applyAlignment="1">
      <alignment horizontal="center" vertical="center" wrapText="1"/>
    </xf>
    <xf numFmtId="164" fontId="13" fillId="0" borderId="215" xfId="21" applyNumberFormat="1" applyFont="1" applyBorder="1" applyAlignment="1">
      <alignment horizontal="center" vertical="center" wrapText="1"/>
    </xf>
    <xf numFmtId="164" fontId="13" fillId="0" borderId="226" xfId="21" applyNumberFormat="1" applyFont="1" applyBorder="1" applyAlignment="1">
      <alignment horizontal="center" vertical="center" wrapText="1"/>
    </xf>
    <xf numFmtId="164" fontId="42" fillId="0" borderId="141" xfId="21" applyNumberFormat="1" applyFont="1" applyBorder="1" applyAlignment="1">
      <alignment horizontal="center" vertical="center" wrapText="1"/>
    </xf>
    <xf numFmtId="164" fontId="4" fillId="0" borderId="68" xfId="0" applyFont="1" applyBorder="1" applyAlignment="1">
      <alignment horizontal="center" vertical="center" wrapText="1"/>
    </xf>
    <xf numFmtId="164" fontId="4" fillId="0" borderId="67" xfId="0" applyFont="1" applyBorder="1" applyAlignment="1">
      <alignment horizontal="center" vertical="center" wrapText="1"/>
    </xf>
    <xf numFmtId="164" fontId="42" fillId="0" borderId="68" xfId="21" applyNumberFormat="1" applyFont="1" applyBorder="1" applyAlignment="1">
      <alignment horizontal="center" vertical="center" wrapText="1"/>
    </xf>
    <xf numFmtId="164" fontId="4" fillId="0" borderId="57" xfId="0" applyFont="1" applyBorder="1" applyAlignment="1">
      <alignment horizontal="center" vertical="center" wrapText="1"/>
    </xf>
    <xf numFmtId="164" fontId="13" fillId="0" borderId="145" xfId="22" applyNumberFormat="1" applyFont="1" applyBorder="1" applyAlignment="1">
      <alignment horizontal="center" vertical="center" wrapText="1"/>
    </xf>
    <xf numFmtId="164" fontId="13" fillId="0" borderId="82" xfId="22" applyNumberFormat="1" applyFont="1" applyBorder="1" applyAlignment="1">
      <alignment horizontal="center" vertical="center" wrapText="1"/>
    </xf>
    <xf numFmtId="164" fontId="13" fillId="0" borderId="83" xfId="22" applyNumberFormat="1" applyFont="1" applyBorder="1" applyAlignment="1">
      <alignment horizontal="center" vertical="center" wrapText="1"/>
    </xf>
    <xf numFmtId="164" fontId="13" fillId="0" borderId="144" xfId="21" applyNumberFormat="1" applyFont="1" applyBorder="1" applyAlignment="1">
      <alignment horizontal="center" vertical="center" wrapText="1"/>
    </xf>
    <xf numFmtId="164" fontId="13" fillId="0" borderId="141" xfId="21" applyNumberFormat="1" applyFont="1" applyBorder="1" applyAlignment="1">
      <alignment horizontal="center" vertical="center" wrapText="1"/>
    </xf>
    <xf numFmtId="164" fontId="13" fillId="0" borderId="4" xfId="21" applyNumberFormat="1" applyFont="1" applyBorder="1" applyAlignment="1">
      <alignment horizontal="center" vertical="center" wrapText="1"/>
    </xf>
    <xf numFmtId="164" fontId="13" fillId="0" borderId="68" xfId="21" applyNumberFormat="1" applyFont="1" applyBorder="1" applyAlignment="1">
      <alignment horizontal="center" vertical="center" wrapText="1"/>
    </xf>
    <xf numFmtId="164" fontId="13" fillId="0" borderId="143" xfId="21" applyNumberFormat="1" applyFont="1" applyBorder="1" applyAlignment="1">
      <alignment horizontal="center" vertical="center" wrapText="1"/>
    </xf>
    <xf numFmtId="164" fontId="13" fillId="0" borderId="57" xfId="21" applyNumberFormat="1" applyFont="1" applyBorder="1" applyAlignment="1">
      <alignment horizontal="center" vertical="center" wrapText="1"/>
    </xf>
    <xf numFmtId="164" fontId="13" fillId="0" borderId="126" xfId="0" applyFont="1" applyBorder="1" applyAlignment="1">
      <alignment horizontal="center" vertical="center" wrapText="1"/>
    </xf>
    <xf numFmtId="164" fontId="13" fillId="0" borderId="213" xfId="0" applyFont="1" applyBorder="1" applyAlignment="1">
      <alignment horizontal="center" vertical="center" wrapText="1"/>
    </xf>
    <xf numFmtId="164" fontId="13" fillId="0" borderId="212" xfId="0" applyFont="1" applyBorder="1" applyAlignment="1">
      <alignment horizontal="center" vertical="center" wrapText="1"/>
    </xf>
    <xf numFmtId="39" fontId="5" fillId="9" borderId="120" xfId="21" applyNumberFormat="1" applyFont="1" applyFill="1" applyBorder="1" applyAlignment="1">
      <alignment horizontal="center" vertical="center" wrapText="1"/>
    </xf>
    <xf numFmtId="164" fontId="39" fillId="0" borderId="47" xfId="21" applyNumberFormat="1" applyFont="1" applyBorder="1" applyAlignment="1">
      <alignment horizontal="center" vertical="center" wrapText="1"/>
    </xf>
    <xf numFmtId="164" fontId="39" fillId="0" borderId="86" xfId="21" applyNumberFormat="1" applyFont="1" applyBorder="1" applyAlignment="1">
      <alignment horizontal="center" vertical="center" wrapText="1"/>
    </xf>
    <xf numFmtId="2" fontId="35" fillId="0" borderId="181" xfId="21" applyNumberFormat="1" applyFont="1" applyBorder="1" applyAlignment="1">
      <alignment horizontal="center" vertical="center" wrapText="1"/>
    </xf>
    <xf numFmtId="2" fontId="35" fillId="0" borderId="142" xfId="21" applyNumberFormat="1" applyFont="1" applyBorder="1" applyAlignment="1">
      <alignment horizontal="center" vertical="center" wrapText="1"/>
    </xf>
    <xf numFmtId="39" fontId="5" fillId="0" borderId="49" xfId="21" applyNumberFormat="1" applyFont="1" applyBorder="1" applyAlignment="1">
      <alignment horizontal="center" vertical="center" wrapText="1"/>
    </xf>
    <xf numFmtId="39" fontId="5" fillId="0" borderId="71" xfId="21" applyNumberFormat="1" applyFont="1" applyBorder="1" applyAlignment="1">
      <alignment horizontal="center" vertical="center" wrapText="1"/>
    </xf>
    <xf numFmtId="39" fontId="5" fillId="0" borderId="41" xfId="21" applyNumberFormat="1" applyFont="1" applyBorder="1" applyAlignment="1">
      <alignment horizontal="center" vertical="center" wrapText="1"/>
    </xf>
    <xf numFmtId="164" fontId="13" fillId="0" borderId="214" xfId="21" applyNumberFormat="1" applyFont="1" applyBorder="1" applyAlignment="1">
      <alignment horizontal="center" vertical="center" textRotation="90" wrapText="1"/>
    </xf>
    <xf numFmtId="164" fontId="13" fillId="0" borderId="215" xfId="21" applyNumberFormat="1" applyFont="1" applyBorder="1" applyAlignment="1">
      <alignment horizontal="center" vertical="center" textRotation="90" wrapText="1"/>
    </xf>
    <xf numFmtId="164" fontId="13" fillId="0" borderId="226" xfId="21" applyNumberFormat="1" applyFont="1" applyBorder="1" applyAlignment="1">
      <alignment horizontal="center" vertical="center" textRotation="90" wrapText="1"/>
    </xf>
    <xf numFmtId="39" fontId="5" fillId="9" borderId="175" xfId="21" applyNumberFormat="1" applyFont="1" applyFill="1" applyBorder="1" applyAlignment="1">
      <alignment horizontal="center" vertical="center" wrapText="1"/>
    </xf>
    <xf numFmtId="39" fontId="5" fillId="0" borderId="9" xfId="21" applyNumberFormat="1" applyFont="1" applyBorder="1" applyAlignment="1">
      <alignment horizontal="center" vertical="center" wrapText="1"/>
    </xf>
    <xf numFmtId="39" fontId="5" fillId="9" borderId="147" xfId="21" applyNumberFormat="1" applyFont="1" applyFill="1" applyBorder="1" applyAlignment="1">
      <alignment horizontal="center" vertical="center" wrapText="1"/>
    </xf>
    <xf numFmtId="39" fontId="5" fillId="9" borderId="137" xfId="21" applyNumberFormat="1" applyFont="1" applyFill="1" applyBorder="1" applyAlignment="1">
      <alignment horizontal="center" vertical="center" wrapText="1"/>
    </xf>
    <xf numFmtId="37" fontId="5" fillId="0" borderId="41" xfId="21" applyNumberFormat="1" applyFont="1" applyBorder="1" applyAlignment="1">
      <alignment horizontal="center" vertical="center" wrapText="1"/>
    </xf>
    <xf numFmtId="37" fontId="5" fillId="0" borderId="71" xfId="21" applyNumberFormat="1" applyFont="1" applyBorder="1" applyAlignment="1">
      <alignment horizontal="center" vertical="center" wrapText="1"/>
    </xf>
    <xf numFmtId="37" fontId="5" fillId="0" borderId="49" xfId="21" applyNumberFormat="1" applyFont="1" applyBorder="1" applyAlignment="1">
      <alignment horizontal="center" vertical="center" wrapText="1"/>
    </xf>
    <xf numFmtId="164" fontId="42" fillId="0" borderId="214" xfId="21" applyNumberFormat="1" applyFont="1" applyBorder="1" applyAlignment="1">
      <alignment horizontal="center" vertical="center" textRotation="90" wrapText="1"/>
    </xf>
    <xf numFmtId="164" fontId="42" fillId="0" borderId="215" xfId="21" applyNumberFormat="1" applyFont="1" applyBorder="1" applyAlignment="1">
      <alignment horizontal="center" vertical="center" textRotation="90" wrapText="1"/>
    </xf>
    <xf numFmtId="164" fontId="42" fillId="0" borderId="226" xfId="21" applyNumberFormat="1" applyFont="1" applyBorder="1" applyAlignment="1">
      <alignment horizontal="center" vertical="center" textRotation="90" wrapText="1"/>
    </xf>
    <xf numFmtId="39" fontId="5" fillId="9" borderId="134" xfId="21" applyNumberFormat="1" applyFont="1" applyFill="1" applyBorder="1" applyAlignment="1">
      <alignment horizontal="center" vertical="center" wrapText="1"/>
    </xf>
    <xf numFmtId="39" fontId="5" fillId="0" borderId="55" xfId="21" applyNumberFormat="1" applyFont="1" applyBorder="1" applyAlignment="1">
      <alignment horizontal="center" vertical="center" wrapText="1"/>
    </xf>
    <xf numFmtId="39" fontId="5" fillId="9" borderId="124" xfId="21" applyNumberFormat="1" applyFont="1" applyFill="1" applyBorder="1" applyAlignment="1">
      <alignment horizontal="center" vertical="center" wrapText="1"/>
    </xf>
    <xf numFmtId="164" fontId="36" fillId="0" borderId="215" xfId="21" applyNumberFormat="1" applyFont="1" applyBorder="1" applyAlignment="1">
      <alignment horizontal="center" vertical="center" textRotation="90" wrapText="1"/>
    </xf>
    <xf numFmtId="164" fontId="13" fillId="0" borderId="222" xfId="21" applyNumberFormat="1" applyFont="1" applyBorder="1" applyAlignment="1">
      <alignment horizontal="center" vertical="center"/>
    </xf>
    <xf numFmtId="164" fontId="13" fillId="0" borderId="63" xfId="21" applyNumberFormat="1" applyFont="1" applyBorder="1" applyAlignment="1">
      <alignment horizontal="center" vertical="center"/>
    </xf>
    <xf numFmtId="164" fontId="13" fillId="0" borderId="64" xfId="21" applyNumberFormat="1" applyFont="1" applyBorder="1" applyAlignment="1">
      <alignment horizontal="center" vertical="center"/>
    </xf>
    <xf numFmtId="164" fontId="13" fillId="0" borderId="118" xfId="21" applyNumberFormat="1" applyFont="1" applyBorder="1" applyAlignment="1">
      <alignment horizontal="center" vertical="center"/>
    </xf>
    <xf numFmtId="164" fontId="13" fillId="0" borderId="12" xfId="21" applyNumberFormat="1" applyFont="1" applyBorder="1" applyAlignment="1">
      <alignment horizontal="center" vertical="center"/>
    </xf>
    <xf numFmtId="164" fontId="13" fillId="0" borderId="196" xfId="21" applyNumberFormat="1" applyFont="1" applyBorder="1" applyAlignment="1">
      <alignment horizontal="center" vertical="center"/>
    </xf>
    <xf numFmtId="164" fontId="13" fillId="0" borderId="121" xfId="21" applyNumberFormat="1" applyFont="1" applyBorder="1" applyAlignment="1">
      <alignment horizontal="center" vertical="center"/>
    </xf>
    <xf numFmtId="164" fontId="13" fillId="0" borderId="78" xfId="21" applyNumberFormat="1" applyFont="1" applyBorder="1" applyAlignment="1">
      <alignment horizontal="center" vertical="center"/>
    </xf>
    <xf numFmtId="164" fontId="13" fillId="0" borderId="200" xfId="21" applyNumberFormat="1" applyFont="1" applyBorder="1" applyAlignment="1">
      <alignment horizontal="center" vertical="center"/>
    </xf>
    <xf numFmtId="164" fontId="13" fillId="0" borderId="190" xfId="21" applyNumberFormat="1" applyFont="1" applyBorder="1" applyAlignment="1">
      <alignment horizontal="center" vertical="center"/>
    </xf>
    <xf numFmtId="164" fontId="13" fillId="0" borderId="199" xfId="21" applyNumberFormat="1" applyFont="1" applyBorder="1" applyAlignment="1">
      <alignment horizontal="center" vertical="center"/>
    </xf>
    <xf numFmtId="164" fontId="39" fillId="0" borderId="197" xfId="21" applyNumberFormat="1" applyFont="1" applyBorder="1" applyAlignment="1">
      <alignment horizontal="center" vertical="center" wrapText="1"/>
    </xf>
    <xf numFmtId="164" fontId="39" fillId="0" borderId="196" xfId="21" applyNumberFormat="1" applyFont="1" applyBorder="1" applyAlignment="1">
      <alignment horizontal="center" vertical="center" wrapText="1"/>
    </xf>
    <xf numFmtId="164" fontId="39" fillId="0" borderId="220" xfId="21" applyNumberFormat="1" applyFont="1" applyBorder="1" applyAlignment="1">
      <alignment horizontal="center" vertical="center" wrapText="1"/>
    </xf>
    <xf numFmtId="164" fontId="39" fillId="0" borderId="199" xfId="21" applyNumberFormat="1" applyFont="1" applyBorder="1" applyAlignment="1">
      <alignment horizontal="center" vertical="center" wrapText="1"/>
    </xf>
    <xf numFmtId="164" fontId="73" fillId="0" borderId="214" xfId="21" applyNumberFormat="1" applyFont="1" applyBorder="1" applyAlignment="1">
      <alignment horizontal="center" vertical="center" textRotation="90" wrapText="1"/>
    </xf>
    <xf numFmtId="164" fontId="73" fillId="0" borderId="215" xfId="21" applyNumberFormat="1" applyFont="1" applyBorder="1" applyAlignment="1">
      <alignment horizontal="center" vertical="center" textRotation="90" wrapText="1"/>
    </xf>
    <xf numFmtId="164" fontId="73" fillId="0" borderId="226" xfId="21" applyNumberFormat="1" applyFont="1" applyBorder="1" applyAlignment="1">
      <alignment horizontal="center" vertical="center" textRotation="90" wrapText="1"/>
    </xf>
    <xf numFmtId="164" fontId="39" fillId="0" borderId="63" xfId="21" applyNumberFormat="1" applyFont="1" applyBorder="1" applyAlignment="1">
      <alignment horizontal="center" vertical="center" wrapText="1"/>
    </xf>
    <xf numFmtId="164" fontId="39" fillId="0" borderId="64" xfId="21" applyNumberFormat="1" applyFont="1" applyBorder="1" applyAlignment="1">
      <alignment horizontal="center" vertical="center" wrapText="1"/>
    </xf>
    <xf numFmtId="164" fontId="39" fillId="0" borderId="12" xfId="21" applyNumberFormat="1" applyFont="1" applyBorder="1" applyAlignment="1">
      <alignment horizontal="center" vertical="center" wrapText="1"/>
    </xf>
    <xf numFmtId="37" fontId="5" fillId="0" borderId="157" xfId="21" applyNumberFormat="1" applyFont="1" applyBorder="1" applyAlignment="1">
      <alignment horizontal="center" vertical="center" wrapText="1"/>
    </xf>
    <xf numFmtId="39" fontId="5" fillId="9" borderId="180" xfId="21" applyNumberFormat="1" applyFont="1" applyFill="1" applyBorder="1" applyAlignment="1">
      <alignment horizontal="center" vertical="center" wrapText="1"/>
    </xf>
    <xf numFmtId="164" fontId="36" fillId="26" borderId="1" xfId="21" applyNumberFormat="1" applyFont="1" applyFill="1" applyBorder="1" applyAlignment="1">
      <alignment horizontal="center" vertical="center" textRotation="90" wrapText="1"/>
    </xf>
    <xf numFmtId="164" fontId="36" fillId="26" borderId="4" xfId="21" applyNumberFormat="1" applyFont="1" applyFill="1" applyBorder="1" applyAlignment="1">
      <alignment horizontal="center" vertical="center" textRotation="90" wrapText="1"/>
    </xf>
    <xf numFmtId="164" fontId="36" fillId="26" borderId="6" xfId="21" applyNumberFormat="1" applyFont="1" applyFill="1" applyBorder="1" applyAlignment="1">
      <alignment horizontal="center" vertical="center" textRotation="90" wrapText="1"/>
    </xf>
    <xf numFmtId="37" fontId="42" fillId="26" borderId="105" xfId="4" applyNumberFormat="1" applyFont="1" applyFill="1" applyBorder="1" applyAlignment="1" applyProtection="1">
      <alignment horizontal="center" vertical="center" wrapText="1"/>
    </xf>
    <xf numFmtId="164" fontId="13" fillId="0" borderId="1" xfId="21" applyNumberFormat="1" applyFont="1" applyBorder="1" applyAlignment="1">
      <alignment horizontal="center" vertical="center" textRotation="90" wrapText="1"/>
    </xf>
    <xf numFmtId="164" fontId="13" fillId="0" borderId="4" xfId="21" applyNumberFormat="1" applyFont="1" applyBorder="1" applyAlignment="1">
      <alignment horizontal="center" vertical="center" textRotation="90" wrapText="1"/>
    </xf>
    <xf numFmtId="164" fontId="36" fillId="0" borderId="4" xfId="21" applyNumberFormat="1" applyFont="1" applyBorder="1" applyAlignment="1">
      <alignment horizontal="center" vertical="center" textRotation="90" wrapText="1"/>
    </xf>
    <xf numFmtId="164" fontId="13" fillId="0" borderId="143" xfId="21" applyNumberFormat="1" applyFont="1" applyBorder="1" applyAlignment="1">
      <alignment horizontal="center" vertical="center" textRotation="90" wrapText="1"/>
    </xf>
    <xf numFmtId="164" fontId="142" fillId="0" borderId="232" xfId="0" applyFont="1" applyBorder="1" applyAlignment="1">
      <alignment horizontal="left" vertical="center" wrapText="1"/>
    </xf>
    <xf numFmtId="164" fontId="142" fillId="0" borderId="233" xfId="0" applyFont="1" applyBorder="1" applyAlignment="1">
      <alignment horizontal="left" vertical="center" wrapText="1"/>
    </xf>
    <xf numFmtId="164" fontId="24" fillId="0" borderId="227" xfId="0" applyFont="1" applyBorder="1" applyAlignment="1">
      <alignment horizontal="center" vertical="center" wrapText="1"/>
    </xf>
    <xf numFmtId="164" fontId="24" fillId="0" borderId="228" xfId="0" applyFont="1" applyBorder="1" applyAlignment="1">
      <alignment horizontal="center" vertical="center" wrapText="1"/>
    </xf>
    <xf numFmtId="164" fontId="24" fillId="0" borderId="229" xfId="0" applyFont="1" applyBorder="1" applyAlignment="1">
      <alignment horizontal="center" vertical="center" wrapText="1"/>
    </xf>
    <xf numFmtId="164" fontId="140" fillId="0" borderId="235" xfId="0" applyFont="1" applyBorder="1" applyAlignment="1">
      <alignment horizontal="left" vertical="center" wrapText="1"/>
    </xf>
    <xf numFmtId="164" fontId="140" fillId="0" borderId="0" xfId="0" applyFont="1" applyAlignment="1">
      <alignment horizontal="left" vertical="center" wrapText="1"/>
    </xf>
    <xf numFmtId="164" fontId="142" fillId="0" borderId="232" xfId="0" applyFont="1" applyBorder="1" applyAlignment="1">
      <alignment horizontal="center" vertical="center" wrapText="1"/>
    </xf>
    <xf numFmtId="164" fontId="142" fillId="0" borderId="233" xfId="0" applyFont="1" applyBorder="1" applyAlignment="1">
      <alignment horizontal="center" vertical="center" wrapText="1"/>
    </xf>
    <xf numFmtId="164" fontId="140" fillId="0" borderId="231" xfId="0" applyFont="1" applyBorder="1" applyAlignment="1">
      <alignment horizontal="left" vertical="center" wrapText="1"/>
    </xf>
    <xf numFmtId="164" fontId="24" fillId="0" borderId="227" xfId="0" applyFont="1" applyBorder="1" applyAlignment="1">
      <alignment horizontal="left" vertical="center" wrapText="1"/>
    </xf>
    <xf numFmtId="164" fontId="24" fillId="0" borderId="228" xfId="0" applyFont="1" applyBorder="1" applyAlignment="1">
      <alignment horizontal="left" vertical="center" wrapText="1"/>
    </xf>
    <xf numFmtId="164" fontId="24" fillId="0" borderId="229" xfId="0" applyFont="1" applyBorder="1" applyAlignment="1">
      <alignment horizontal="left" vertical="center" wrapText="1"/>
    </xf>
    <xf numFmtId="164" fontId="24" fillId="18" borderId="227" xfId="0" applyFont="1" applyFill="1" applyBorder="1" applyAlignment="1">
      <alignment horizontal="center" vertical="center" wrapText="1"/>
    </xf>
    <xf numFmtId="164" fontId="24" fillId="18" borderId="228" xfId="0" applyFont="1" applyFill="1" applyBorder="1" applyAlignment="1">
      <alignment horizontal="center" vertical="center" wrapText="1"/>
    </xf>
    <xf numFmtId="164" fontId="24" fillId="18" borderId="229" xfId="0" applyFont="1" applyFill="1" applyBorder="1" applyAlignment="1">
      <alignment horizontal="center" vertical="center" wrapText="1"/>
    </xf>
    <xf numFmtId="164" fontId="140" fillId="0" borderId="228" xfId="0" applyFont="1" applyBorder="1" applyAlignment="1">
      <alignment horizontal="left" vertical="center" wrapText="1"/>
    </xf>
    <xf numFmtId="164" fontId="24" fillId="0" borderId="232" xfId="0" applyFont="1" applyBorder="1" applyAlignment="1">
      <alignment horizontal="center" vertical="center" wrapText="1"/>
    </xf>
    <xf numFmtId="164" fontId="24" fillId="0" borderId="233" xfId="0" applyFont="1" applyBorder="1" applyAlignment="1">
      <alignment horizontal="center" vertical="center" wrapText="1"/>
    </xf>
    <xf numFmtId="164" fontId="5" fillId="0" borderId="227" xfId="0" applyFont="1" applyBorder="1" applyAlignment="1">
      <alignment horizontal="center" wrapText="1"/>
    </xf>
    <xf numFmtId="164" fontId="5" fillId="0" borderId="229" xfId="0" applyFont="1" applyBorder="1" applyAlignment="1">
      <alignment horizontal="center" wrapText="1"/>
    </xf>
    <xf numFmtId="164" fontId="135" fillId="0" borderId="240" xfId="0" applyFont="1" applyBorder="1" applyAlignment="1">
      <alignment horizontal="left" vertical="center" wrapText="1"/>
    </xf>
    <xf numFmtId="164" fontId="135" fillId="0" borderId="235" xfId="0" applyFont="1" applyBorder="1" applyAlignment="1">
      <alignment horizontal="left" vertical="center" wrapText="1"/>
    </xf>
    <xf numFmtId="164" fontId="138" fillId="0" borderId="0" xfId="0" applyFont="1" applyAlignment="1">
      <alignment horizontal="left" vertical="center" wrapText="1"/>
    </xf>
    <xf numFmtId="164" fontId="138" fillId="0" borderId="231" xfId="0" applyFont="1" applyBorder="1" applyAlignment="1">
      <alignment horizontal="left" vertical="center" wrapText="1"/>
    </xf>
    <xf numFmtId="164" fontId="24" fillId="0" borderId="227" xfId="0" applyFont="1" applyBorder="1" applyAlignment="1">
      <alignment horizontal="left" vertical="center" wrapText="1" indent="2"/>
    </xf>
    <xf numFmtId="164" fontId="24" fillId="0" borderId="229" xfId="0" applyFont="1" applyBorder="1" applyAlignment="1">
      <alignment horizontal="left" vertical="center" wrapText="1" indent="2"/>
    </xf>
    <xf numFmtId="164" fontId="138" fillId="0" borderId="236" xfId="0" applyFont="1" applyBorder="1" applyAlignment="1">
      <alignment horizontal="left" vertical="center" wrapText="1"/>
    </xf>
    <xf numFmtId="164" fontId="138" fillId="0" borderId="236" xfId="0" applyFont="1" applyBorder="1" applyAlignment="1">
      <alignment horizontal="center" vertical="center" wrapText="1"/>
    </xf>
    <xf numFmtId="164" fontId="135" fillId="0" borderId="0" xfId="0" applyFont="1" applyAlignment="1">
      <alignment horizontal="left" vertical="center" wrapText="1"/>
    </xf>
    <xf numFmtId="164" fontId="135" fillId="0" borderId="0" xfId="0" applyFont="1" applyAlignment="1">
      <alignment horizontal="center" vertical="center" wrapText="1"/>
    </xf>
    <xf numFmtId="164" fontId="135" fillId="0" borderId="236" xfId="0" applyFont="1" applyBorder="1" applyAlignment="1">
      <alignment horizontal="left" vertical="center" wrapText="1"/>
    </xf>
    <xf numFmtId="164" fontId="131" fillId="0" borderId="232" xfId="0" applyFont="1" applyBorder="1" applyAlignment="1">
      <alignment horizontal="center" vertical="center" wrapText="1"/>
    </xf>
    <xf numFmtId="164" fontId="131" fillId="0" borderId="233" xfId="0" applyFont="1" applyBorder="1" applyAlignment="1">
      <alignment horizontal="center" vertical="center" wrapText="1"/>
    </xf>
    <xf numFmtId="164" fontId="135" fillId="0" borderId="231" xfId="0" applyFont="1" applyBorder="1" applyAlignment="1">
      <alignment horizontal="left" vertical="center" wrapText="1"/>
    </xf>
    <xf numFmtId="164" fontId="24" fillId="0" borderId="237" xfId="0" applyFont="1" applyBorder="1" applyAlignment="1">
      <alignment horizontal="center" vertical="center" wrapText="1"/>
    </xf>
    <xf numFmtId="164" fontId="24" fillId="0" borderId="238" xfId="0" applyFont="1" applyBorder="1" applyAlignment="1">
      <alignment horizontal="center" vertical="center" wrapText="1"/>
    </xf>
    <xf numFmtId="164" fontId="24" fillId="0" borderId="239" xfId="0" applyFont="1" applyBorder="1" applyAlignment="1">
      <alignment horizontal="center" vertical="center" wrapText="1"/>
    </xf>
    <xf numFmtId="164" fontId="24" fillId="0" borderId="234" xfId="0" applyFont="1" applyBorder="1" applyAlignment="1">
      <alignment horizontal="center" vertical="center" wrapText="1"/>
    </xf>
    <xf numFmtId="164" fontId="135" fillId="0" borderId="228" xfId="0" applyFont="1" applyBorder="1" applyAlignment="1">
      <alignment horizontal="left" vertical="center" wrapText="1"/>
    </xf>
    <xf numFmtId="164" fontId="42" fillId="0" borderId="181" xfId="0" applyFont="1" applyBorder="1" applyAlignment="1">
      <alignment horizontal="center" vertical="center" wrapText="1"/>
    </xf>
    <xf numFmtId="209" fontId="35" fillId="5" borderId="191" xfId="23" applyNumberFormat="1" applyFont="1" applyFill="1" applyBorder="1" applyAlignment="1" applyProtection="1">
      <alignment horizontal="center" vertical="center" wrapText="1"/>
      <protection locked="0"/>
    </xf>
    <xf numFmtId="209" fontId="35" fillId="5" borderId="190" xfId="23" applyNumberFormat="1" applyFont="1" applyFill="1" applyBorder="1" applyAlignment="1" applyProtection="1">
      <alignment horizontal="center" vertical="center" wrapText="1"/>
      <protection locked="0"/>
    </xf>
    <xf numFmtId="209" fontId="35" fillId="5" borderId="58" xfId="23" applyNumberFormat="1" applyFont="1" applyFill="1" applyBorder="1" applyAlignment="1" applyProtection="1">
      <alignment horizontal="center" vertical="center" wrapText="1"/>
      <protection locked="0"/>
    </xf>
    <xf numFmtId="164" fontId="5" fillId="5" borderId="242" xfId="23" applyFont="1" applyFill="1" applyBorder="1" applyAlignment="1">
      <alignment horizontal="center" vertical="center" wrapText="1"/>
    </xf>
    <xf numFmtId="164" fontId="5" fillId="5" borderId="223" xfId="23" applyFont="1" applyFill="1" applyBorder="1" applyAlignment="1">
      <alignment horizontal="center" vertical="center" wrapText="1"/>
    </xf>
    <xf numFmtId="164" fontId="5" fillId="5" borderId="74" xfId="23" applyFont="1" applyFill="1" applyBorder="1" applyAlignment="1">
      <alignment horizontal="center" vertical="center" wrapText="1"/>
    </xf>
    <xf numFmtId="164" fontId="5" fillId="5" borderId="59" xfId="23" applyFont="1" applyFill="1" applyBorder="1" applyAlignment="1">
      <alignment horizontal="center" vertical="center" wrapText="1"/>
    </xf>
    <xf numFmtId="11" fontId="5" fillId="5" borderId="74" xfId="23" applyNumberFormat="1" applyFont="1" applyFill="1" applyBorder="1" applyAlignment="1">
      <alignment horizontal="center" vertical="center" wrapText="1"/>
    </xf>
    <xf numFmtId="11" fontId="5" fillId="5" borderId="59" xfId="23" applyNumberFormat="1" applyFont="1" applyFill="1" applyBorder="1" applyAlignment="1">
      <alignment horizontal="center" vertical="center" wrapText="1"/>
    </xf>
    <xf numFmtId="11" fontId="5" fillId="5" borderId="49" xfId="23" applyNumberFormat="1" applyFont="1" applyFill="1" applyBorder="1" applyAlignment="1">
      <alignment horizontal="center" vertical="center" wrapText="1"/>
    </xf>
    <xf numFmtId="11" fontId="5" fillId="5" borderId="55" xfId="23" applyNumberFormat="1" applyFont="1" applyFill="1" applyBorder="1" applyAlignment="1">
      <alignment horizontal="center" vertical="center" wrapText="1"/>
    </xf>
    <xf numFmtId="209" fontId="5" fillId="5" borderId="49" xfId="23" applyNumberFormat="1" applyFont="1" applyFill="1" applyBorder="1" applyAlignment="1">
      <alignment horizontal="center" vertical="center" wrapText="1"/>
    </xf>
    <xf numFmtId="209" fontId="5" fillId="5" borderId="55" xfId="23" applyNumberFormat="1" applyFont="1" applyFill="1" applyBorder="1" applyAlignment="1">
      <alignment horizontal="center" vertical="center" wrapText="1"/>
    </xf>
    <xf numFmtId="164" fontId="153" fillId="10" borderId="11" xfId="0" applyFont="1" applyFill="1" applyBorder="1" applyAlignment="1">
      <alignment horizontal="left" vertical="center"/>
    </xf>
    <xf numFmtId="164" fontId="153" fillId="10" borderId="12" xfId="0" applyFont="1" applyFill="1" applyBorder="1" applyAlignment="1">
      <alignment horizontal="left" vertical="center"/>
    </xf>
    <xf numFmtId="164" fontId="153" fillId="10" borderId="13" xfId="0" applyFont="1" applyFill="1" applyBorder="1" applyAlignment="1">
      <alignment horizontal="left" vertical="center"/>
    </xf>
    <xf numFmtId="164" fontId="5" fillId="10" borderId="12" xfId="0" applyFont="1" applyFill="1" applyBorder="1" applyAlignment="1">
      <alignment horizontal="center" vertical="center"/>
    </xf>
    <xf numFmtId="164" fontId="5" fillId="10" borderId="13" xfId="0" applyFont="1" applyFill="1" applyBorder="1" applyAlignment="1">
      <alignment horizontal="center" vertical="center"/>
    </xf>
    <xf numFmtId="164" fontId="5" fillId="0" borderId="41" xfId="0" applyFont="1" applyBorder="1" applyAlignment="1">
      <alignment horizontal="center" vertical="center" wrapText="1"/>
    </xf>
    <xf numFmtId="164" fontId="5" fillId="0" borderId="71" xfId="0" applyFont="1" applyBorder="1" applyAlignment="1">
      <alignment horizontal="center" vertical="center" wrapText="1"/>
    </xf>
    <xf numFmtId="164" fontId="5" fillId="0" borderId="10" xfId="0" applyFont="1" applyBorder="1" applyAlignment="1">
      <alignment horizontal="center" vertical="center"/>
    </xf>
    <xf numFmtId="37" fontId="5" fillId="0" borderId="10" xfId="0" applyNumberFormat="1" applyFont="1" applyBorder="1" applyAlignment="1">
      <alignment horizontal="center" vertical="center"/>
    </xf>
    <xf numFmtId="39" fontId="5" fillId="0" borderId="10" xfId="0" applyNumberFormat="1" applyFont="1" applyBorder="1" applyAlignment="1">
      <alignment horizontal="center" vertical="center"/>
    </xf>
    <xf numFmtId="209" fontId="5" fillId="0" borderId="10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164" fontId="5" fillId="0" borderId="41" xfId="0" applyFont="1" applyBorder="1" applyAlignment="1">
      <alignment horizontal="center" vertical="center"/>
    </xf>
    <xf numFmtId="37" fontId="5" fillId="0" borderId="41" xfId="0" applyNumberFormat="1" applyFont="1" applyBorder="1" applyAlignment="1">
      <alignment horizontal="center" vertical="center"/>
    </xf>
    <xf numFmtId="37" fontId="5" fillId="0" borderId="71" xfId="0" applyNumberFormat="1" applyFont="1" applyBorder="1" applyAlignment="1">
      <alignment horizontal="center" vertical="center"/>
    </xf>
    <xf numFmtId="39" fontId="5" fillId="0" borderId="41" xfId="0" applyNumberFormat="1" applyFont="1" applyBorder="1" applyAlignment="1">
      <alignment horizontal="center" vertical="center"/>
    </xf>
    <xf numFmtId="39" fontId="5" fillId="0" borderId="71" xfId="0" applyNumberFormat="1" applyFont="1" applyBorder="1" applyAlignment="1">
      <alignment horizontal="center" vertical="center"/>
    </xf>
    <xf numFmtId="209" fontId="5" fillId="0" borderId="41" xfId="0" applyNumberFormat="1" applyFont="1" applyBorder="1" applyAlignment="1">
      <alignment horizontal="center" vertical="center"/>
    </xf>
    <xf numFmtId="209" fontId="5" fillId="0" borderId="71" xfId="0" applyNumberFormat="1" applyFont="1" applyBorder="1" applyAlignment="1">
      <alignment horizontal="center" vertical="center"/>
    </xf>
    <xf numFmtId="2" fontId="5" fillId="0" borderId="41" xfId="0" applyNumberFormat="1" applyFont="1" applyBorder="1" applyAlignment="1">
      <alignment horizontal="center" vertical="center"/>
    </xf>
    <xf numFmtId="2" fontId="5" fillId="0" borderId="71" xfId="0" applyNumberFormat="1" applyFont="1" applyBorder="1" applyAlignment="1">
      <alignment horizontal="center" vertical="center"/>
    </xf>
    <xf numFmtId="164" fontId="152" fillId="0" borderId="11" xfId="0" applyFont="1" applyBorder="1" applyAlignment="1">
      <alignment horizontal="center" vertical="center"/>
    </xf>
    <xf numFmtId="164" fontId="152" fillId="0" borderId="12" xfId="0" applyFont="1" applyBorder="1" applyAlignment="1">
      <alignment horizontal="center" vertical="center"/>
    </xf>
    <xf numFmtId="164" fontId="152" fillId="0" borderId="13" xfId="0" applyFont="1" applyBorder="1" applyAlignment="1">
      <alignment horizontal="center" vertical="center"/>
    </xf>
    <xf numFmtId="164" fontId="5" fillId="0" borderId="10" xfId="0" applyFont="1" applyBorder="1" applyAlignment="1">
      <alignment horizontal="center" vertical="center" wrapText="1"/>
    </xf>
    <xf numFmtId="164" fontId="42" fillId="0" borderId="220" xfId="23" applyFont="1" applyBorder="1" applyAlignment="1">
      <alignment horizontal="center" vertical="center" wrapText="1"/>
    </xf>
    <xf numFmtId="164" fontId="42" fillId="0" borderId="190" xfId="23" applyFont="1" applyBorder="1" applyAlignment="1">
      <alignment horizontal="center" vertical="center" wrapText="1"/>
    </xf>
    <xf numFmtId="164" fontId="42" fillId="0" borderId="199" xfId="23" applyFont="1" applyBorder="1" applyAlignment="1">
      <alignment horizontal="center" vertical="center" wrapText="1"/>
    </xf>
    <xf numFmtId="164" fontId="13" fillId="0" borderId="119" xfId="23" applyFont="1" applyBorder="1" applyAlignment="1">
      <alignment horizontal="center" vertical="center" wrapText="1"/>
    </xf>
    <xf numFmtId="0" fontId="38" fillId="0" borderId="119" xfId="0" applyNumberFormat="1" applyFont="1" applyBorder="1"/>
    <xf numFmtId="0" fontId="38" fillId="0" borderId="123" xfId="0" applyNumberFormat="1" applyFont="1" applyBorder="1"/>
    <xf numFmtId="164" fontId="42" fillId="0" borderId="41" xfId="23" applyFont="1" applyBorder="1" applyAlignment="1">
      <alignment horizontal="center" vertical="center" wrapText="1"/>
    </xf>
    <xf numFmtId="164" fontId="42" fillId="0" borderId="71" xfId="23" applyFont="1" applyBorder="1" applyAlignment="1">
      <alignment horizontal="center" vertical="center" wrapText="1"/>
    </xf>
    <xf numFmtId="164" fontId="5" fillId="7" borderId="61" xfId="23" applyFont="1" applyFill="1" applyBorder="1" applyAlignment="1" applyProtection="1">
      <alignment horizontal="center" vertical="center" wrapText="1"/>
      <protection locked="0"/>
    </xf>
    <xf numFmtId="164" fontId="5" fillId="7" borderId="62" xfId="23" applyFont="1" applyFill="1" applyBorder="1" applyAlignment="1" applyProtection="1">
      <alignment horizontal="center" vertical="center" wrapText="1"/>
      <protection locked="0"/>
    </xf>
    <xf numFmtId="164" fontId="5" fillId="7" borderId="87" xfId="23" applyFont="1" applyFill="1" applyBorder="1" applyAlignment="1" applyProtection="1">
      <alignment horizontal="center" vertical="center" wrapText="1"/>
      <protection locked="0"/>
    </xf>
    <xf numFmtId="164" fontId="5" fillId="7" borderId="73" xfId="23" applyFont="1" applyFill="1" applyBorder="1" applyAlignment="1" applyProtection="1">
      <alignment horizontal="center" vertical="center" wrapText="1"/>
      <protection locked="0"/>
    </xf>
    <xf numFmtId="164" fontId="5" fillId="7" borderId="47" xfId="23" applyFont="1" applyFill="1" applyBorder="1" applyAlignment="1" applyProtection="1">
      <alignment horizontal="center" vertical="center" wrapText="1"/>
      <protection locked="0"/>
    </xf>
    <xf numFmtId="164" fontId="5" fillId="7" borderId="86" xfId="23" applyFont="1" applyFill="1" applyBorder="1" applyAlignment="1" applyProtection="1">
      <alignment horizontal="center" vertical="center" wrapText="1"/>
      <protection locked="0"/>
    </xf>
    <xf numFmtId="164" fontId="42" fillId="0" borderId="9" xfId="23" applyFont="1" applyBorder="1" applyAlignment="1">
      <alignment horizontal="center" vertical="center" wrapText="1"/>
    </xf>
    <xf numFmtId="164" fontId="42" fillId="0" borderId="10" xfId="23" applyFont="1" applyBorder="1" applyAlignment="1">
      <alignment horizontal="center" vertical="center"/>
    </xf>
    <xf numFmtId="0" fontId="38" fillId="0" borderId="10" xfId="0" applyNumberFormat="1" applyFont="1" applyBorder="1"/>
    <xf numFmtId="164" fontId="42" fillId="0" borderId="10" xfId="23" applyFont="1" applyBorder="1" applyAlignment="1">
      <alignment horizontal="center" vertical="center" wrapText="1"/>
    </xf>
    <xf numFmtId="164" fontId="42" fillId="0" borderId="136" xfId="23" applyFont="1" applyBorder="1" applyAlignment="1">
      <alignment horizontal="center" vertical="center"/>
    </xf>
    <xf numFmtId="0" fontId="38" fillId="0" borderId="136" xfId="0" applyNumberFormat="1" applyFont="1" applyBorder="1"/>
    <xf numFmtId="0" fontId="13" fillId="0" borderId="10" xfId="0" applyNumberFormat="1" applyFont="1" applyBorder="1"/>
    <xf numFmtId="0" fontId="13" fillId="0" borderId="136" xfId="0" applyNumberFormat="1" applyFont="1" applyBorder="1"/>
    <xf numFmtId="164" fontId="28" fillId="0" borderId="197" xfId="23" applyFont="1" applyBorder="1" applyAlignment="1">
      <alignment horizontal="center" vertical="center" wrapText="1"/>
    </xf>
    <xf numFmtId="164" fontId="28" fillId="0" borderId="12" xfId="23" applyFont="1" applyBorder="1" applyAlignment="1">
      <alignment horizontal="center" vertical="center" wrapText="1"/>
    </xf>
    <xf numFmtId="164" fontId="28" fillId="0" borderId="196" xfId="23" applyFont="1" applyBorder="1" applyAlignment="1">
      <alignment horizontal="center" vertical="center" wrapText="1"/>
    </xf>
    <xf numFmtId="164" fontId="36" fillId="26" borderId="61" xfId="0" applyFont="1" applyFill="1" applyBorder="1" applyAlignment="1">
      <alignment horizontal="center" vertical="center" textRotation="90" wrapText="1"/>
    </xf>
    <xf numFmtId="164" fontId="36" fillId="26" borderId="65" xfId="0" applyFont="1" applyFill="1" applyBorder="1" applyAlignment="1">
      <alignment horizontal="center" vertical="center" textRotation="90" wrapText="1"/>
    </xf>
    <xf numFmtId="164" fontId="36" fillId="26" borderId="73" xfId="0" applyFont="1" applyFill="1" applyBorder="1" applyAlignment="1">
      <alignment horizontal="center" vertical="center" textRotation="90" wrapText="1"/>
    </xf>
    <xf numFmtId="164" fontId="11" fillId="26" borderId="146" xfId="4" applyNumberFormat="1" applyFont="1" applyFill="1" applyBorder="1" applyAlignment="1" applyProtection="1">
      <alignment horizontal="center" vertical="center"/>
    </xf>
    <xf numFmtId="0" fontId="11" fillId="26" borderId="150" xfId="4" applyFont="1" applyFill="1" applyBorder="1" applyAlignment="1" applyProtection="1"/>
    <xf numFmtId="0" fontId="11" fillId="26" borderId="149" xfId="4" applyFont="1" applyFill="1" applyBorder="1" applyAlignment="1" applyProtection="1"/>
    <xf numFmtId="164" fontId="13" fillId="0" borderId="122" xfId="23" applyFont="1" applyBorder="1" applyAlignment="1">
      <alignment horizontal="center" vertical="center"/>
    </xf>
    <xf numFmtId="164" fontId="13" fillId="0" borderId="119" xfId="23" applyFont="1" applyBorder="1" applyAlignment="1">
      <alignment horizontal="center" vertical="center"/>
    </xf>
    <xf numFmtId="164" fontId="42" fillId="0" borderId="71" xfId="23" applyFont="1" applyBorder="1" applyAlignment="1">
      <alignment horizontal="center" vertical="center"/>
    </xf>
    <xf numFmtId="0" fontId="38" fillId="0" borderId="142" xfId="0" applyNumberFormat="1" applyFont="1" applyBorder="1"/>
    <xf numFmtId="40" fontId="5" fillId="4" borderId="41" xfId="0" applyNumberFormat="1" applyFont="1" applyFill="1" applyBorder="1" applyAlignment="1">
      <alignment horizontal="center" vertical="center" wrapText="1"/>
    </xf>
    <xf numFmtId="40" fontId="5" fillId="4" borderId="9" xfId="0" applyNumberFormat="1" applyFont="1" applyFill="1" applyBorder="1" applyAlignment="1">
      <alignment horizontal="center" vertical="center" wrapText="1"/>
    </xf>
    <xf numFmtId="40" fontId="5" fillId="4" borderId="71" xfId="0" applyNumberFormat="1" applyFont="1" applyFill="1" applyBorder="1" applyAlignment="1">
      <alignment horizontal="center" vertical="center" wrapText="1"/>
    </xf>
    <xf numFmtId="179" fontId="42" fillId="4" borderId="11" xfId="0" applyNumberFormat="1" applyFont="1" applyFill="1" applyBorder="1" applyAlignment="1">
      <alignment horizontal="center" vertical="center"/>
    </xf>
    <xf numFmtId="179" fontId="42" fillId="4" borderId="12" xfId="0" applyNumberFormat="1" applyFont="1" applyFill="1" applyBorder="1" applyAlignment="1">
      <alignment horizontal="center" vertical="center"/>
    </xf>
    <xf numFmtId="179" fontId="42" fillId="4" borderId="13" xfId="0" applyNumberFormat="1" applyFont="1" applyFill="1" applyBorder="1" applyAlignment="1">
      <alignment horizontal="center" vertical="center"/>
    </xf>
    <xf numFmtId="217" fontId="42" fillId="4" borderId="11" xfId="0" applyNumberFormat="1" applyFont="1" applyFill="1" applyBorder="1" applyAlignment="1">
      <alignment horizontal="center" vertical="center"/>
    </xf>
    <xf numFmtId="217" fontId="42" fillId="4" borderId="12" xfId="0" applyNumberFormat="1" applyFont="1" applyFill="1" applyBorder="1" applyAlignment="1">
      <alignment horizontal="center" vertical="center"/>
    </xf>
    <xf numFmtId="217" fontId="42" fillId="4" borderId="13" xfId="0" applyNumberFormat="1" applyFont="1" applyFill="1" applyBorder="1" applyAlignment="1">
      <alignment horizontal="center" vertical="center"/>
    </xf>
    <xf numFmtId="40" fontId="42" fillId="4" borderId="41" xfId="0" applyNumberFormat="1" applyFont="1" applyFill="1" applyBorder="1" applyAlignment="1">
      <alignment horizontal="center" vertical="center" wrapText="1"/>
    </xf>
    <xf numFmtId="40" fontId="42" fillId="4" borderId="29" xfId="0" applyNumberFormat="1" applyFont="1" applyFill="1" applyBorder="1" applyAlignment="1">
      <alignment horizontal="center" vertical="center"/>
    </xf>
    <xf numFmtId="40" fontId="42" fillId="4" borderId="11" xfId="0" applyNumberFormat="1" applyFont="1" applyFill="1" applyBorder="1" applyAlignment="1">
      <alignment horizontal="center" vertical="center"/>
    </xf>
    <xf numFmtId="40" fontId="42" fillId="4" borderId="13" xfId="0" applyNumberFormat="1" applyFont="1" applyFill="1" applyBorder="1" applyAlignment="1">
      <alignment horizontal="center" vertical="center"/>
    </xf>
    <xf numFmtId="40" fontId="42" fillId="4" borderId="80" xfId="0" applyNumberFormat="1" applyFont="1" applyFill="1" applyBorder="1" applyAlignment="1">
      <alignment horizontal="center" vertical="center" wrapText="1"/>
    </xf>
    <xf numFmtId="164" fontId="42" fillId="4" borderId="99" xfId="0" applyFont="1" applyFill="1" applyBorder="1" applyAlignment="1">
      <alignment vertical="center" wrapText="1"/>
    </xf>
    <xf numFmtId="40" fontId="165" fillId="4" borderId="80" xfId="0" applyNumberFormat="1" applyFont="1" applyFill="1" applyBorder="1" applyAlignment="1">
      <alignment horizontal="center" vertical="center" wrapText="1"/>
    </xf>
    <xf numFmtId="164" fontId="165" fillId="4" borderId="99" xfId="0" applyFont="1" applyFill="1" applyBorder="1" applyAlignment="1">
      <alignment vertical="center" wrapText="1"/>
    </xf>
    <xf numFmtId="40" fontId="42" fillId="4" borderId="22" xfId="0" applyNumberFormat="1" applyFont="1" applyFill="1" applyBorder="1" applyAlignment="1">
      <alignment horizontal="center" vertical="center"/>
    </xf>
    <xf numFmtId="40" fontId="42" fillId="4" borderId="15" xfId="0" applyNumberFormat="1" applyFont="1" applyFill="1" applyBorder="1" applyAlignment="1">
      <alignment horizontal="center" vertical="center"/>
    </xf>
    <xf numFmtId="40" fontId="42" fillId="4" borderId="20" xfId="0" applyNumberFormat="1" applyFont="1" applyFill="1" applyBorder="1" applyAlignment="1">
      <alignment horizontal="center" vertical="center"/>
    </xf>
    <xf numFmtId="40" fontId="42" fillId="4" borderId="91" xfId="0" applyNumberFormat="1" applyFont="1" applyFill="1" applyBorder="1" applyAlignment="1">
      <alignment horizontal="center" vertical="center" wrapText="1"/>
    </xf>
    <xf numFmtId="40" fontId="42" fillId="4" borderId="17" xfId="0" applyNumberFormat="1" applyFont="1" applyFill="1" applyBorder="1" applyAlignment="1">
      <alignment horizontal="center" vertical="center"/>
    </xf>
    <xf numFmtId="40" fontId="42" fillId="4" borderId="94" xfId="0" applyNumberFormat="1" applyFont="1" applyFill="1" applyBorder="1" applyAlignment="1">
      <alignment horizontal="center" vertical="center"/>
    </xf>
    <xf numFmtId="40" fontId="42" fillId="4" borderId="67" xfId="0" applyNumberFormat="1" applyFont="1" applyFill="1" applyBorder="1" applyAlignment="1">
      <alignment horizontal="center" vertical="center"/>
    </xf>
    <xf numFmtId="40" fontId="42" fillId="4" borderId="18" xfId="0" applyNumberFormat="1" applyFont="1" applyFill="1" applyBorder="1" applyAlignment="1">
      <alignment horizontal="center" vertical="center" wrapText="1"/>
    </xf>
    <xf numFmtId="40" fontId="42" fillId="4" borderId="9" xfId="0" applyNumberFormat="1" applyFont="1" applyFill="1" applyBorder="1" applyAlignment="1">
      <alignment horizontal="center" vertical="center"/>
    </xf>
    <xf numFmtId="40" fontId="42" fillId="4" borderId="92" xfId="0" applyNumberFormat="1" applyFont="1" applyFill="1" applyBorder="1" applyAlignment="1">
      <alignment horizontal="center" vertical="center" wrapText="1"/>
    </xf>
    <xf numFmtId="40" fontId="42" fillId="4" borderId="98" xfId="0" applyNumberFormat="1" applyFont="1" applyFill="1" applyBorder="1" applyAlignment="1">
      <alignment horizontal="center" vertical="center"/>
    </xf>
    <xf numFmtId="40" fontId="42" fillId="4" borderId="249" xfId="0" applyNumberFormat="1" applyFont="1" applyFill="1" applyBorder="1" applyAlignment="1">
      <alignment horizontal="center" vertical="center"/>
    </xf>
    <xf numFmtId="40" fontId="161" fillId="0" borderId="10" xfId="0" applyNumberFormat="1" applyFont="1" applyBorder="1" applyAlignment="1">
      <alignment horizontal="center" vertical="center"/>
    </xf>
    <xf numFmtId="40" fontId="42" fillId="4" borderId="10" xfId="0" applyNumberFormat="1" applyFont="1" applyFill="1" applyBorder="1" applyAlignment="1">
      <alignment horizontal="center" vertical="center" wrapText="1"/>
    </xf>
    <xf numFmtId="40" fontId="42" fillId="4" borderId="10" xfId="0" applyNumberFormat="1" applyFont="1" applyFill="1" applyBorder="1" applyAlignment="1">
      <alignment horizontal="center" vertical="center"/>
    </xf>
    <xf numFmtId="38" fontId="161" fillId="0" borderId="11" xfId="0" applyNumberFormat="1" applyFont="1" applyBorder="1" applyAlignment="1">
      <alignment horizontal="center" vertical="center"/>
    </xf>
    <xf numFmtId="38" fontId="161" fillId="0" borderId="12" xfId="0" applyNumberFormat="1" applyFont="1" applyBorder="1" applyAlignment="1">
      <alignment horizontal="center" vertical="center"/>
    </xf>
    <xf numFmtId="38" fontId="161" fillId="0" borderId="13" xfId="0" applyNumberFormat="1" applyFont="1" applyBorder="1" applyAlignment="1">
      <alignment horizontal="center" vertical="center"/>
    </xf>
    <xf numFmtId="37" fontId="42" fillId="4" borderId="10" xfId="0" applyNumberFormat="1" applyFont="1" applyFill="1" applyBorder="1" applyAlignment="1">
      <alignment horizontal="center" vertical="center" wrapText="1"/>
    </xf>
    <xf numFmtId="37" fontId="28" fillId="4" borderId="10" xfId="0" applyNumberFormat="1" applyFont="1" applyFill="1" applyBorder="1" applyAlignment="1">
      <alignment horizontal="center" vertical="center" wrapText="1"/>
    </xf>
    <xf numFmtId="40" fontId="35" fillId="4" borderId="245" xfId="0" applyNumberFormat="1" applyFont="1" applyFill="1" applyBorder="1" applyAlignment="1">
      <alignment horizontal="center" vertical="center"/>
    </xf>
    <xf numFmtId="40" fontId="35" fillId="4" borderId="15" xfId="0" applyNumberFormat="1" applyFont="1" applyFill="1" applyBorder="1" applyAlignment="1">
      <alignment horizontal="center" vertical="center"/>
    </xf>
    <xf numFmtId="40" fontId="35" fillId="4" borderId="24" xfId="0" applyNumberFormat="1" applyFont="1" applyFill="1" applyBorder="1" applyAlignment="1">
      <alignment horizontal="center" vertical="center"/>
    </xf>
    <xf numFmtId="165" fontId="13" fillId="0" borderId="0" xfId="0" applyNumberFormat="1" applyFont="1" applyAlignment="1">
      <alignment horizontal="left" vertical="center"/>
    </xf>
    <xf numFmtId="37" fontId="42" fillId="4" borderId="18" xfId="4" applyNumberFormat="1" applyFont="1" applyFill="1" applyBorder="1" applyAlignment="1" applyProtection="1">
      <alignment horizontal="center" vertical="center"/>
    </xf>
    <xf numFmtId="37" fontId="42" fillId="4" borderId="9" xfId="4" applyNumberFormat="1" applyFont="1" applyFill="1" applyBorder="1" applyAlignment="1" applyProtection="1">
      <alignment horizontal="center" vertical="center"/>
    </xf>
    <xf numFmtId="37" fontId="42" fillId="4" borderId="29" xfId="4" applyNumberFormat="1" applyFont="1" applyFill="1" applyBorder="1" applyAlignment="1" applyProtection="1">
      <alignment horizontal="center" vertical="center"/>
    </xf>
    <xf numFmtId="37" fontId="41" fillId="4" borderId="18" xfId="4" applyNumberFormat="1" applyFont="1" applyFill="1" applyBorder="1" applyAlignment="1" applyProtection="1">
      <alignment horizontal="center" vertical="center"/>
    </xf>
    <xf numFmtId="37" fontId="41" fillId="4" borderId="9" xfId="4" applyNumberFormat="1" applyFont="1" applyFill="1" applyBorder="1" applyAlignment="1" applyProtection="1">
      <alignment horizontal="center" vertical="center"/>
    </xf>
    <xf numFmtId="37" fontId="41" fillId="4" borderId="29" xfId="4" applyNumberFormat="1" applyFont="1" applyFill="1" applyBorder="1" applyAlignment="1" applyProtection="1">
      <alignment horizontal="center" vertical="center"/>
    </xf>
    <xf numFmtId="179" fontId="42" fillId="4" borderId="22" xfId="0" applyNumberFormat="1" applyFont="1" applyFill="1" applyBorder="1" applyAlignment="1">
      <alignment horizontal="center" vertical="center"/>
    </xf>
    <xf numFmtId="179" fontId="42" fillId="4" borderId="15" xfId="0" applyNumberFormat="1" applyFont="1" applyFill="1" applyBorder="1" applyAlignment="1">
      <alignment horizontal="center" vertical="center"/>
    </xf>
    <xf numFmtId="179" fontId="42" fillId="4" borderId="20" xfId="0" applyNumberFormat="1" applyFont="1" applyFill="1" applyBorder="1" applyAlignment="1">
      <alignment horizontal="center" vertical="center"/>
    </xf>
    <xf numFmtId="40" fontId="41" fillId="4" borderId="18" xfId="0" applyNumberFormat="1" applyFont="1" applyFill="1" applyBorder="1" applyAlignment="1">
      <alignment horizontal="center" vertical="center" wrapText="1"/>
    </xf>
    <xf numFmtId="40" fontId="41" fillId="4" borderId="9" xfId="0" applyNumberFormat="1" applyFont="1" applyFill="1" applyBorder="1" applyAlignment="1">
      <alignment horizontal="center" vertical="center"/>
    </xf>
    <xf numFmtId="40" fontId="41" fillId="4" borderId="29" xfId="0" applyNumberFormat="1" applyFont="1" applyFill="1" applyBorder="1" applyAlignment="1">
      <alignment horizontal="center" vertical="center"/>
    </xf>
    <xf numFmtId="40" fontId="42" fillId="4" borderId="9" xfId="0" applyNumberFormat="1" applyFont="1" applyFill="1" applyBorder="1" applyAlignment="1">
      <alignment horizontal="center" vertical="center" wrapText="1"/>
    </xf>
    <xf numFmtId="40" fontId="42" fillId="4" borderId="29" xfId="0" applyNumberFormat="1" applyFont="1" applyFill="1" applyBorder="1" applyAlignment="1">
      <alignment horizontal="center" vertical="center" wrapText="1"/>
    </xf>
    <xf numFmtId="164" fontId="5" fillId="24" borderId="245" xfId="0" applyFont="1" applyFill="1" applyBorder="1" applyAlignment="1">
      <alignment horizontal="center" vertical="center"/>
    </xf>
    <xf numFmtId="164" fontId="5" fillId="24" borderId="15" xfId="0" applyFont="1" applyFill="1" applyBorder="1" applyAlignment="1">
      <alignment horizontal="center" vertical="center"/>
    </xf>
    <xf numFmtId="164" fontId="5" fillId="24" borderId="24" xfId="0" applyFont="1" applyFill="1" applyBorder="1" applyAlignment="1">
      <alignment horizontal="center" vertical="center"/>
    </xf>
    <xf numFmtId="0" fontId="5" fillId="24" borderId="21" xfId="0" applyNumberFormat="1" applyFont="1" applyFill="1" applyBorder="1" applyAlignment="1">
      <alignment horizontal="center" vertical="center" wrapText="1"/>
    </xf>
    <xf numFmtId="0" fontId="5" fillId="24" borderId="10" xfId="0" applyNumberFormat="1" applyFont="1" applyFill="1" applyBorder="1" applyAlignment="1">
      <alignment horizontal="center" vertical="center" wrapText="1"/>
    </xf>
    <xf numFmtId="0" fontId="5" fillId="24" borderId="32" xfId="0" applyNumberFormat="1" applyFont="1" applyFill="1" applyBorder="1" applyAlignment="1">
      <alignment horizontal="center" vertical="center" wrapText="1"/>
    </xf>
    <xf numFmtId="0" fontId="5" fillId="24" borderId="19" xfId="0" applyNumberFormat="1" applyFont="1" applyFill="1" applyBorder="1" applyAlignment="1">
      <alignment horizontal="center" vertical="center" wrapText="1"/>
    </xf>
    <xf numFmtId="0" fontId="5" fillId="24" borderId="251" xfId="0" applyNumberFormat="1" applyFont="1" applyFill="1" applyBorder="1" applyAlignment="1">
      <alignment horizontal="center" vertical="center" wrapText="1"/>
    </xf>
    <xf numFmtId="0" fontId="5" fillId="24" borderId="30" xfId="0" applyNumberFormat="1" applyFont="1" applyFill="1" applyBorder="1" applyAlignment="1">
      <alignment horizontal="center" vertical="center" wrapText="1"/>
    </xf>
    <xf numFmtId="2" fontId="5" fillId="24" borderId="66" xfId="0" applyNumberFormat="1" applyFont="1" applyFill="1" applyBorder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0" fontId="5" fillId="24" borderId="245" xfId="0" applyNumberFormat="1" applyFont="1" applyFill="1" applyBorder="1" applyAlignment="1">
      <alignment horizontal="center" vertical="center"/>
    </xf>
    <xf numFmtId="0" fontId="5" fillId="24" borderId="15" xfId="0" applyNumberFormat="1" applyFont="1" applyFill="1" applyBorder="1" applyAlignment="1">
      <alignment horizontal="center" vertical="center"/>
    </xf>
    <xf numFmtId="164" fontId="4" fillId="0" borderId="24" xfId="0" applyFont="1" applyBorder="1" applyAlignment="1">
      <alignment vertical="center"/>
    </xf>
    <xf numFmtId="40" fontId="35" fillId="24" borderId="16" xfId="0" applyNumberFormat="1" applyFont="1" applyFill="1" applyBorder="1" applyAlignment="1">
      <alignment horizontal="center"/>
    </xf>
    <xf numFmtId="40" fontId="35" fillId="24" borderId="36" xfId="0" applyNumberFormat="1" applyFont="1" applyFill="1" applyBorder="1" applyAlignment="1">
      <alignment horizontal="center"/>
    </xf>
    <xf numFmtId="40" fontId="35" fillId="24" borderId="244" xfId="0" applyNumberFormat="1" applyFont="1" applyFill="1" applyBorder="1" applyAlignment="1">
      <alignment horizontal="center"/>
    </xf>
    <xf numFmtId="40" fontId="35" fillId="24" borderId="246" xfId="0" applyNumberFormat="1" applyFont="1" applyFill="1" applyBorder="1" applyAlignment="1">
      <alignment horizontal="center" vertical="center"/>
    </xf>
    <xf numFmtId="40" fontId="35" fillId="24" borderId="0" xfId="0" applyNumberFormat="1" applyFont="1" applyFill="1" applyAlignment="1">
      <alignment horizontal="center" vertical="center"/>
    </xf>
    <xf numFmtId="40" fontId="35" fillId="24" borderId="97" xfId="0" applyNumberFormat="1" applyFont="1" applyFill="1" applyBorder="1" applyAlignment="1">
      <alignment horizontal="center" vertical="center"/>
    </xf>
    <xf numFmtId="40" fontId="35" fillId="24" borderId="27" xfId="0" applyNumberFormat="1" applyFont="1" applyFill="1" applyBorder="1" applyAlignment="1">
      <alignment horizontal="center" vertical="center"/>
    </xf>
    <xf numFmtId="40" fontId="35" fillId="24" borderId="45" xfId="0" applyNumberFormat="1" applyFont="1" applyFill="1" applyBorder="1" applyAlignment="1">
      <alignment horizontal="center" vertical="center"/>
    </xf>
    <xf numFmtId="40" fontId="35" fillId="24" borderId="46" xfId="0" applyNumberFormat="1" applyFont="1" applyFill="1" applyBorder="1" applyAlignment="1">
      <alignment horizontal="center" vertical="center"/>
    </xf>
    <xf numFmtId="0" fontId="5" fillId="24" borderId="23" xfId="0" applyNumberFormat="1" applyFont="1" applyFill="1" applyBorder="1" applyAlignment="1">
      <alignment horizontal="center" vertical="center"/>
    </xf>
    <xf numFmtId="0" fontId="5" fillId="24" borderId="250" xfId="0" applyNumberFormat="1" applyFont="1" applyFill="1" applyBorder="1" applyAlignment="1">
      <alignment horizontal="center" vertical="center"/>
    </xf>
    <xf numFmtId="0" fontId="5" fillId="24" borderId="34" xfId="0" applyNumberFormat="1" applyFont="1" applyFill="1" applyBorder="1" applyAlignment="1">
      <alignment horizontal="center" vertical="center"/>
    </xf>
  </cellXfs>
  <cellStyles count="25">
    <cellStyle name="Hiperlink" xfId="4" builtinId="8"/>
    <cellStyle name="Moeda" xfId="2" builtinId="4"/>
    <cellStyle name="Moeda 2" xfId="14" xr:uid="{091F4513-81CE-40A5-9C19-AA8E507EA924}"/>
    <cellStyle name="Normal" xfId="0" builtinId="0"/>
    <cellStyle name="Normal 14 2" xfId="23" xr:uid="{FC8EE847-CAF9-4A18-9D61-BE1C2162CB6C}"/>
    <cellStyle name="Normal 2 26 10 2" xfId="11" xr:uid="{E8454607-2F79-4675-8D41-C55CAEE73B0F}"/>
    <cellStyle name="Normal 2 26 10 2 2" xfId="13" xr:uid="{970F4182-B1E2-443F-906C-B53CFD9BEE66}"/>
    <cellStyle name="Normal 2 3 28" xfId="10" xr:uid="{02B40492-A8D2-41F3-B4EA-D9BADB4498B0}"/>
    <cellStyle name="Normal 36" xfId="6" xr:uid="{A6032886-C8FD-4A4A-87A0-95AE6DB36E97}"/>
    <cellStyle name="Normal 39 2" xfId="21" xr:uid="{66DECC8A-3AFE-4ACF-B17A-117516468655}"/>
    <cellStyle name="Normal 39 4" xfId="22" xr:uid="{CA82A590-E0D7-42D8-841C-7CA3C486709E}"/>
    <cellStyle name="Normal 4" xfId="18" xr:uid="{30DA9577-B127-454C-A77A-997E781D5AE9}"/>
    <cellStyle name="Normal 40" xfId="24" xr:uid="{93FDC480-20E0-4E47-898E-2D554722844E}"/>
    <cellStyle name="Normal 42 2" xfId="20" xr:uid="{23341650-25DE-493D-8CB7-B03590E42099}"/>
    <cellStyle name="Normal 44" xfId="15" xr:uid="{12692EBB-934D-4A6C-940E-985C68D5577A}"/>
    <cellStyle name="Normal 45" xfId="9" xr:uid="{0ADE5D60-7868-48C3-8860-25B610A3F759}"/>
    <cellStyle name="Normal_Composições CEF - Emergencia" xfId="7" xr:uid="{42BDEE73-BC3B-44EE-8ADC-91EDA9537551}"/>
    <cellStyle name="Normal_Composições CEF - Emergencia 2" xfId="5" xr:uid="{6B1CB58D-1C65-458B-A078-2FCCFA6DF025}"/>
    <cellStyle name="Normal_Composições CEF - Emergencia 7" xfId="8" xr:uid="{F621F154-F756-4DA2-BDF1-96241DA3FC51}"/>
    <cellStyle name="Porcentagem" xfId="3" builtinId="5"/>
    <cellStyle name="Porcentagem 2 10" xfId="12" xr:uid="{6743F653-3C19-4A05-9383-D802C30819B9}"/>
    <cellStyle name="Porcentagem 21" xfId="17" xr:uid="{DDDF4484-35D7-4E24-945E-872507E7FC10}"/>
    <cellStyle name="Separador de milhares 3 10 2" xfId="19" xr:uid="{F7C8029B-00F0-4BDE-AC61-E59BC0B78B16}"/>
    <cellStyle name="Vírgula" xfId="1" builtinId="3"/>
    <cellStyle name="Vírgula 5" xfId="16" xr:uid="{C52527C3-EE63-4EEB-BCD2-E193E6DC623F}"/>
  </cellStyles>
  <dxfs count="139">
    <dxf>
      <font>
        <b/>
        <i val="0"/>
        <color rgb="FFFF000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2"/>
        </patternFill>
      </fill>
    </dxf>
    <dxf>
      <fill>
        <patternFill>
          <bgColor rgb="FFFFCCCC"/>
        </patternFill>
      </fill>
    </dxf>
    <dxf>
      <fill>
        <patternFill>
          <bgColor theme="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99CC"/>
        </patternFill>
      </fill>
    </dxf>
    <dxf>
      <fill>
        <patternFill patternType="none">
          <bgColor auto="1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99CC"/>
        </patternFill>
      </fill>
    </dxf>
    <dxf>
      <fill>
        <patternFill>
          <bgColor rgb="FFFF9966"/>
        </patternFill>
      </fill>
    </dxf>
    <dxf>
      <font>
        <color theme="0"/>
      </font>
    </dxf>
    <dxf>
      <font>
        <b/>
        <i val="0"/>
        <color rgb="FFFF0000"/>
      </font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CCCC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6" tint="0.59996337778862885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C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indexed="10"/>
      </font>
    </dxf>
    <dxf>
      <font>
        <b/>
        <i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indexed="10"/>
      </font>
    </dxf>
    <dxf>
      <font>
        <b/>
        <i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34998626667073579"/>
        </patternFill>
      </fill>
    </dxf>
    <dxf>
      <font>
        <b/>
        <i val="0"/>
        <color rgb="FFFF0000"/>
      </font>
      <fill>
        <patternFill>
          <bgColor theme="9" tint="0.79998168889431442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34998626667073579"/>
        </patternFill>
      </fill>
    </dxf>
    <dxf>
      <font>
        <b/>
        <i val="0"/>
        <color rgb="FFFF0000"/>
      </font>
      <fill>
        <patternFill>
          <bgColor theme="9" tint="0.79998168889431442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8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61" Type="http://schemas.microsoft.com/office/2017/10/relationships/person" Target="persons/person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microsoft.com/office/2017/06/relationships/rdRichValue" Target="richData/rdrichvalue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57" Type="http://schemas.microsoft.com/office/2017/06/relationships/rdRichValueStructure" Target="richData/rdrichvaluestructure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eetMetadata" Target="metadata.xml"/><Relationship Id="rId60" Type="http://schemas.microsoft.com/office/2022/10/relationships/richValueRel" Target="richData/richValueRel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CURVA</a:t>
            </a:r>
            <a:r>
              <a:rPr lang="pt-BR" sz="20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ABC - DIAGRAMA DE PARETO - NÃO DESONERADO</a:t>
            </a:r>
            <a:endParaRPr lang="pt-BR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8767447056907208"/>
          <c:y val="2.0948063076217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'Curva ABC'!$H$12</c:f>
              <c:strCache>
                <c:ptCount val="1"/>
                <c:pt idx="0">
                  <c:v>PARCIAL (%)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delete val="1"/>
          </c:dLbls>
          <c:cat>
            <c:strRef>
              <c:f>'Curva ABC'!$A$14:$A$89</c:f>
              <c:strCache>
                <c:ptCount val="22"/>
                <c:pt idx="0">
                  <c:v>RE/0052</c:v>
                </c:pt>
                <c:pt idx="1">
                  <c:v>RE/0021</c:v>
                </c:pt>
                <c:pt idx="2">
                  <c:v>PA/0025</c:v>
                </c:pt>
                <c:pt idx="3">
                  <c:v>93599</c:v>
                </c:pt>
                <c:pt idx="4">
                  <c:v>95879</c:v>
                </c:pt>
                <c:pt idx="5">
                  <c:v>CPU Adm Local</c:v>
                </c:pt>
                <c:pt idx="6">
                  <c:v>RE/0015</c:v>
                </c:pt>
                <c:pt idx="7">
                  <c:v>95876</c:v>
                </c:pt>
                <c:pt idx="8">
                  <c:v>PA/0023</c:v>
                </c:pt>
                <c:pt idx="9">
                  <c:v>IEQ000430</c:v>
                </c:pt>
                <c:pt idx="10">
                  <c:v>10777</c:v>
                </c:pt>
                <c:pt idx="11">
                  <c:v>10775</c:v>
                </c:pt>
                <c:pt idx="12">
                  <c:v>101203</c:v>
                </c:pt>
                <c:pt idx="13">
                  <c:v>10776</c:v>
                </c:pt>
                <c:pt idx="14">
                  <c:v>SC/0120</c:v>
                </c:pt>
                <c:pt idx="15">
                  <c:v>SP/0001</c:v>
                </c:pt>
                <c:pt idx="16">
                  <c:v>100979</c:v>
                </c:pt>
                <c:pt idx="17">
                  <c:v>SC/0068</c:v>
                </c:pt>
                <c:pt idx="18">
                  <c:v>93593</c:v>
                </c:pt>
                <c:pt idx="19">
                  <c:v>98525</c:v>
                </c:pt>
                <c:pt idx="20">
                  <c:v>102333</c:v>
                </c:pt>
                <c:pt idx="21">
                  <c:v>102332</c:v>
                </c:pt>
              </c:strCache>
            </c:strRef>
          </c:cat>
          <c:val>
            <c:numRef>
              <c:f>'Curva ABC'!$H$14:$H$35</c:f>
              <c:numCache>
                <c:formatCode>0.00%</c:formatCode>
                <c:ptCount val="22"/>
                <c:pt idx="0">
                  <c:v>0.49754613307078932</c:v>
                </c:pt>
                <c:pt idx="1">
                  <c:v>0.27943971912907567</c:v>
                </c:pt>
                <c:pt idx="2">
                  <c:v>3.551191170877839E-2</c:v>
                </c:pt>
                <c:pt idx="3">
                  <c:v>3.4353260681027474E-2</c:v>
                </c:pt>
                <c:pt idx="4">
                  <c:v>3.2686873016475403E-2</c:v>
                </c:pt>
                <c:pt idx="5">
                  <c:v>3.2564449035756012E-2</c:v>
                </c:pt>
                <c:pt idx="6">
                  <c:v>3.2101204634637739E-2</c:v>
                </c:pt>
                <c:pt idx="7">
                  <c:v>1.6095566670627282E-2</c:v>
                </c:pt>
                <c:pt idx="8">
                  <c:v>7.9720618121747414E-3</c:v>
                </c:pt>
                <c:pt idx="9">
                  <c:v>7.2596815867994975E-3</c:v>
                </c:pt>
                <c:pt idx="10">
                  <c:v>4.4271310503587562E-3</c:v>
                </c:pt>
                <c:pt idx="11">
                  <c:v>3.8991224588010112E-3</c:v>
                </c:pt>
                <c:pt idx="12">
                  <c:v>3.0545363635472314E-3</c:v>
                </c:pt>
                <c:pt idx="13">
                  <c:v>3.0462063977707145E-3</c:v>
                </c:pt>
                <c:pt idx="14">
                  <c:v>2.7805593913495788E-3</c:v>
                </c:pt>
                <c:pt idx="15">
                  <c:v>2.2526090060744335E-3</c:v>
                </c:pt>
                <c:pt idx="16">
                  <c:v>1.2482013935308399E-3</c:v>
                </c:pt>
                <c:pt idx="17">
                  <c:v>1.1681677549559997E-3</c:v>
                </c:pt>
                <c:pt idx="18">
                  <c:v>8.9815527733987251E-4</c:v>
                </c:pt>
                <c:pt idx="19">
                  <c:v>6.1439964966543935E-4</c:v>
                </c:pt>
                <c:pt idx="20">
                  <c:v>5.5619336706555554E-4</c:v>
                </c:pt>
                <c:pt idx="21">
                  <c:v>5.238565433989535E-4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B1-4FCF-A23B-97F25996CA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73"/>
        <c:axId val="2069116256"/>
        <c:axId val="2069120064"/>
      </c:barChart>
      <c:lineChart>
        <c:grouping val="standard"/>
        <c:varyColors val="0"/>
        <c:ser>
          <c:idx val="1"/>
          <c:order val="1"/>
          <c:tx>
            <c:strRef>
              <c:f>'Curva ABC'!$I$12</c:f>
              <c:strCache>
                <c:ptCount val="1"/>
                <c:pt idx="0">
                  <c:v>Σ 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elete val="1"/>
          </c:dLbls>
          <c:cat>
            <c:strRef>
              <c:f>'Curva ABC'!$A$14:$A$89</c:f>
              <c:strCache>
                <c:ptCount val="22"/>
                <c:pt idx="0">
                  <c:v>RE/0052</c:v>
                </c:pt>
                <c:pt idx="1">
                  <c:v>RE/0021</c:v>
                </c:pt>
                <c:pt idx="2">
                  <c:v>PA/0025</c:v>
                </c:pt>
                <c:pt idx="3">
                  <c:v>93599</c:v>
                </c:pt>
                <c:pt idx="4">
                  <c:v>95879</c:v>
                </c:pt>
                <c:pt idx="5">
                  <c:v>CPU Adm Local</c:v>
                </c:pt>
                <c:pt idx="6">
                  <c:v>RE/0015</c:v>
                </c:pt>
                <c:pt idx="7">
                  <c:v>95876</c:v>
                </c:pt>
                <c:pt idx="8">
                  <c:v>PA/0023</c:v>
                </c:pt>
                <c:pt idx="9">
                  <c:v>IEQ000430</c:v>
                </c:pt>
                <c:pt idx="10">
                  <c:v>10777</c:v>
                </c:pt>
                <c:pt idx="11">
                  <c:v>10775</c:v>
                </c:pt>
                <c:pt idx="12">
                  <c:v>101203</c:v>
                </c:pt>
                <c:pt idx="13">
                  <c:v>10776</c:v>
                </c:pt>
                <c:pt idx="14">
                  <c:v>SC/0120</c:v>
                </c:pt>
                <c:pt idx="15">
                  <c:v>SP/0001</c:v>
                </c:pt>
                <c:pt idx="16">
                  <c:v>100979</c:v>
                </c:pt>
                <c:pt idx="17">
                  <c:v>SC/0068</c:v>
                </c:pt>
                <c:pt idx="18">
                  <c:v>93593</c:v>
                </c:pt>
                <c:pt idx="19">
                  <c:v>98525</c:v>
                </c:pt>
                <c:pt idx="20">
                  <c:v>102333</c:v>
                </c:pt>
                <c:pt idx="21">
                  <c:v>102332</c:v>
                </c:pt>
              </c:strCache>
            </c:strRef>
          </c:cat>
          <c:val>
            <c:numRef>
              <c:f>'Curva ABC'!$I$14:$I$35</c:f>
              <c:numCache>
                <c:formatCode>0.00%</c:formatCode>
                <c:ptCount val="22"/>
                <c:pt idx="0">
                  <c:v>0.49754613307078932</c:v>
                </c:pt>
                <c:pt idx="1">
                  <c:v>0.77698585219986493</c:v>
                </c:pt>
                <c:pt idx="2">
                  <c:v>0.81249776390864337</c:v>
                </c:pt>
                <c:pt idx="3">
                  <c:v>0.84685102458967088</c:v>
                </c:pt>
                <c:pt idx="4">
                  <c:v>0.87953789760614631</c:v>
                </c:pt>
                <c:pt idx="5">
                  <c:v>0.91210234664190237</c:v>
                </c:pt>
                <c:pt idx="6">
                  <c:v>0.9442035512765401</c:v>
                </c:pt>
                <c:pt idx="7">
                  <c:v>0.96029911794716738</c:v>
                </c:pt>
                <c:pt idx="8">
                  <c:v>0.96827117975934207</c:v>
                </c:pt>
                <c:pt idx="9">
                  <c:v>0.97553086134614153</c:v>
                </c:pt>
                <c:pt idx="10">
                  <c:v>0.97995799239650028</c:v>
                </c:pt>
                <c:pt idx="11">
                  <c:v>0.98385711485530125</c:v>
                </c:pt>
                <c:pt idx="12">
                  <c:v>0.9869116512188485</c:v>
                </c:pt>
                <c:pt idx="13">
                  <c:v>0.98995785761661925</c:v>
                </c:pt>
                <c:pt idx="14">
                  <c:v>0.99273841700796883</c:v>
                </c:pt>
                <c:pt idx="15">
                  <c:v>0.99499102601404321</c:v>
                </c:pt>
                <c:pt idx="16">
                  <c:v>0.99623922740757409</c:v>
                </c:pt>
                <c:pt idx="17">
                  <c:v>0.99740739516253007</c:v>
                </c:pt>
                <c:pt idx="18">
                  <c:v>0.9983055504398699</c:v>
                </c:pt>
                <c:pt idx="19">
                  <c:v>0.99891995008953538</c:v>
                </c:pt>
                <c:pt idx="20">
                  <c:v>0.99947614345660096</c:v>
                </c:pt>
                <c:pt idx="21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B1-4FCF-A23B-97F25996CA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69116256"/>
        <c:axId val="2069120064"/>
      </c:lineChart>
      <c:catAx>
        <c:axId val="2069116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9120064"/>
        <c:crosses val="autoZero"/>
        <c:auto val="1"/>
        <c:lblAlgn val="ctr"/>
        <c:lblOffset val="100"/>
        <c:tickMarkSkip val="1"/>
        <c:noMultiLvlLbl val="0"/>
      </c:catAx>
      <c:valAx>
        <c:axId val="20691200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9116256"/>
        <c:crossesAt val="0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417494231463855"/>
          <c:y val="0.9516254562057469"/>
          <c:w val="0.15040064844835571"/>
          <c:h val="3.2244960229801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CURVA</a:t>
            </a:r>
            <a:r>
              <a:rPr lang="pt-BR" sz="20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ABC - DIAGRAMA DE PARETO - DESONERADO</a:t>
            </a:r>
            <a:endParaRPr lang="pt-BR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20464005661251305"/>
          <c:y val="2.0948063076217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'Curva ABC'!$M$12</c:f>
              <c:strCache>
                <c:ptCount val="1"/>
                <c:pt idx="0">
                  <c:v>PARCIAL (%)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delete val="1"/>
          </c:dLbls>
          <c:cat>
            <c:strRef>
              <c:f>'Curva ABC'!$A$14:$A$89</c:f>
              <c:strCache>
                <c:ptCount val="22"/>
                <c:pt idx="0">
                  <c:v>RE/0052</c:v>
                </c:pt>
                <c:pt idx="1">
                  <c:v>RE/0021</c:v>
                </c:pt>
                <c:pt idx="2">
                  <c:v>PA/0025</c:v>
                </c:pt>
                <c:pt idx="3">
                  <c:v>93599</c:v>
                </c:pt>
                <c:pt idx="4">
                  <c:v>95879</c:v>
                </c:pt>
                <c:pt idx="5">
                  <c:v>CPU Adm Local</c:v>
                </c:pt>
                <c:pt idx="6">
                  <c:v>RE/0015</c:v>
                </c:pt>
                <c:pt idx="7">
                  <c:v>95876</c:v>
                </c:pt>
                <c:pt idx="8">
                  <c:v>PA/0023</c:v>
                </c:pt>
                <c:pt idx="9">
                  <c:v>IEQ000430</c:v>
                </c:pt>
                <c:pt idx="10">
                  <c:v>10777</c:v>
                </c:pt>
                <c:pt idx="11">
                  <c:v>10775</c:v>
                </c:pt>
                <c:pt idx="12">
                  <c:v>101203</c:v>
                </c:pt>
                <c:pt idx="13">
                  <c:v>10776</c:v>
                </c:pt>
                <c:pt idx="14">
                  <c:v>SC/0120</c:v>
                </c:pt>
                <c:pt idx="15">
                  <c:v>SP/0001</c:v>
                </c:pt>
                <c:pt idx="16">
                  <c:v>100979</c:v>
                </c:pt>
                <c:pt idx="17">
                  <c:v>SC/0068</c:v>
                </c:pt>
                <c:pt idx="18">
                  <c:v>93593</c:v>
                </c:pt>
                <c:pt idx="19">
                  <c:v>98525</c:v>
                </c:pt>
                <c:pt idx="20">
                  <c:v>102333</c:v>
                </c:pt>
                <c:pt idx="21">
                  <c:v>102332</c:v>
                </c:pt>
              </c:strCache>
            </c:strRef>
          </c:cat>
          <c:val>
            <c:numRef>
              <c:f>'Curva ABC'!$M$14:$M$35</c:f>
              <c:numCache>
                <c:formatCode>0.00%</c:formatCode>
                <c:ptCount val="22"/>
                <c:pt idx="0">
                  <c:v>0.47335408927213307</c:v>
                </c:pt>
                <c:pt idx="1">
                  <c:v>0.24858061795418201</c:v>
                </c:pt>
                <c:pt idx="2">
                  <c:v>3.3656842439337351E-2</c:v>
                </c:pt>
                <c:pt idx="3">
                  <c:v>3.2633367901932823E-2</c:v>
                </c:pt>
                <c:pt idx="4">
                  <c:v>3.1293066805005348E-2</c:v>
                </c:pt>
                <c:pt idx="5">
                  <c:v>9.9273416696027877E-2</c:v>
                </c:pt>
                <c:pt idx="6">
                  <c:v>2.8752268274002849E-2</c:v>
                </c:pt>
                <c:pt idx="7">
                  <c:v>1.5447493266520491E-2</c:v>
                </c:pt>
                <c:pt idx="8">
                  <c:v>7.4764823189793061E-3</c:v>
                </c:pt>
                <c:pt idx="9">
                  <c:v>6.9309804811035951E-3</c:v>
                </c:pt>
                <c:pt idx="10">
                  <c:v>4.2266748775763871E-3</c:v>
                </c:pt>
                <c:pt idx="11">
                  <c:v>3.7226054943151152E-3</c:v>
                </c:pt>
                <c:pt idx="12">
                  <c:v>2.606140205097824E-3</c:v>
                </c:pt>
                <c:pt idx="13">
                  <c:v>2.9082690041454915E-3</c:v>
                </c:pt>
                <c:pt idx="14">
                  <c:v>2.521461229413006E-3</c:v>
                </c:pt>
                <c:pt idx="15">
                  <c:v>2.1145017342769331E-3</c:v>
                </c:pt>
                <c:pt idx="16">
                  <c:v>1.1922268199088082E-3</c:v>
                </c:pt>
                <c:pt idx="17">
                  <c:v>1.0602880318856078E-3</c:v>
                </c:pt>
                <c:pt idx="18">
                  <c:v>8.6513623121619438E-4</c:v>
                </c:pt>
                <c:pt idx="19">
                  <c:v>3.3811611415416264E-4</c:v>
                </c:pt>
                <c:pt idx="20">
                  <c:v>5.4098578264666017E-4</c:v>
                </c:pt>
                <c:pt idx="21">
                  <c:v>5.0496906613893414E-4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B-49CC-A24D-0BDBDF10E4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73"/>
        <c:axId val="2069116256"/>
        <c:axId val="2069120064"/>
      </c:barChart>
      <c:lineChart>
        <c:grouping val="standard"/>
        <c:varyColors val="0"/>
        <c:ser>
          <c:idx val="1"/>
          <c:order val="1"/>
          <c:tx>
            <c:strRef>
              <c:f>'Curva ABC'!$N$12</c:f>
              <c:strCache>
                <c:ptCount val="1"/>
                <c:pt idx="0">
                  <c:v>Σ 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elete val="1"/>
          </c:dLbls>
          <c:cat>
            <c:strRef>
              <c:f>'Curva ABC'!$A$14:$A$89</c:f>
              <c:strCache>
                <c:ptCount val="22"/>
                <c:pt idx="0">
                  <c:v>RE/0052</c:v>
                </c:pt>
                <c:pt idx="1">
                  <c:v>RE/0021</c:v>
                </c:pt>
                <c:pt idx="2">
                  <c:v>PA/0025</c:v>
                </c:pt>
                <c:pt idx="3">
                  <c:v>93599</c:v>
                </c:pt>
                <c:pt idx="4">
                  <c:v>95879</c:v>
                </c:pt>
                <c:pt idx="5">
                  <c:v>CPU Adm Local</c:v>
                </c:pt>
                <c:pt idx="6">
                  <c:v>RE/0015</c:v>
                </c:pt>
                <c:pt idx="7">
                  <c:v>95876</c:v>
                </c:pt>
                <c:pt idx="8">
                  <c:v>PA/0023</c:v>
                </c:pt>
                <c:pt idx="9">
                  <c:v>IEQ000430</c:v>
                </c:pt>
                <c:pt idx="10">
                  <c:v>10777</c:v>
                </c:pt>
                <c:pt idx="11">
                  <c:v>10775</c:v>
                </c:pt>
                <c:pt idx="12">
                  <c:v>101203</c:v>
                </c:pt>
                <c:pt idx="13">
                  <c:v>10776</c:v>
                </c:pt>
                <c:pt idx="14">
                  <c:v>SC/0120</c:v>
                </c:pt>
                <c:pt idx="15">
                  <c:v>SP/0001</c:v>
                </c:pt>
                <c:pt idx="16">
                  <c:v>100979</c:v>
                </c:pt>
                <c:pt idx="17">
                  <c:v>SC/0068</c:v>
                </c:pt>
                <c:pt idx="18">
                  <c:v>93593</c:v>
                </c:pt>
                <c:pt idx="19">
                  <c:v>98525</c:v>
                </c:pt>
                <c:pt idx="20">
                  <c:v>102333</c:v>
                </c:pt>
                <c:pt idx="21">
                  <c:v>102332</c:v>
                </c:pt>
              </c:strCache>
            </c:strRef>
          </c:cat>
          <c:val>
            <c:numRef>
              <c:f>'Curva ABC'!$N$14:$N$35</c:f>
              <c:numCache>
                <c:formatCode>0.00%</c:formatCode>
                <c:ptCount val="22"/>
                <c:pt idx="0">
                  <c:v>0.47335408927213307</c:v>
                </c:pt>
                <c:pt idx="1">
                  <c:v>0.72193470722631514</c:v>
                </c:pt>
                <c:pt idx="2">
                  <c:v>0.75559154966565245</c:v>
                </c:pt>
                <c:pt idx="3">
                  <c:v>0.78822491756758528</c:v>
                </c:pt>
                <c:pt idx="4">
                  <c:v>0.8195179843725906</c:v>
                </c:pt>
                <c:pt idx="5">
                  <c:v>0.91879140106861845</c:v>
                </c:pt>
                <c:pt idx="6">
                  <c:v>0.94754366934262135</c:v>
                </c:pt>
                <c:pt idx="7">
                  <c:v>0.96299116260914186</c:v>
                </c:pt>
                <c:pt idx="8">
                  <c:v>0.97046764492812121</c:v>
                </c:pt>
                <c:pt idx="9">
                  <c:v>0.97739862540922484</c:v>
                </c:pt>
                <c:pt idx="10">
                  <c:v>0.98162530028680128</c:v>
                </c:pt>
                <c:pt idx="11">
                  <c:v>0.98534790578111642</c:v>
                </c:pt>
                <c:pt idx="12">
                  <c:v>0.98795404598621428</c:v>
                </c:pt>
                <c:pt idx="13">
                  <c:v>0.99086231499035982</c:v>
                </c:pt>
                <c:pt idx="14">
                  <c:v>0.99338377621977281</c:v>
                </c:pt>
                <c:pt idx="15">
                  <c:v>0.99549827795404977</c:v>
                </c:pt>
                <c:pt idx="16">
                  <c:v>0.9966905047739586</c:v>
                </c:pt>
                <c:pt idx="17">
                  <c:v>0.99775079280584422</c:v>
                </c:pt>
                <c:pt idx="18">
                  <c:v>0.99861592903706042</c:v>
                </c:pt>
                <c:pt idx="19">
                  <c:v>0.99895404515121455</c:v>
                </c:pt>
                <c:pt idx="20">
                  <c:v>0.99949503093386116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5B-49CC-A24D-0BDBDF10E4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69116256"/>
        <c:axId val="2069120064"/>
      </c:lineChart>
      <c:catAx>
        <c:axId val="2069116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9120064"/>
        <c:crosses val="autoZero"/>
        <c:auto val="1"/>
        <c:lblAlgn val="ctr"/>
        <c:lblOffset val="100"/>
        <c:tickMarkSkip val="1"/>
        <c:noMultiLvlLbl val="0"/>
      </c:catAx>
      <c:valAx>
        <c:axId val="20691200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9116256"/>
        <c:crossesAt val="0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417494231463855"/>
          <c:y val="0.9516254562057469"/>
          <c:w val="0.15040064844835571"/>
          <c:h val="3.2244960229801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CURVA</a:t>
            </a:r>
            <a:r>
              <a:rPr lang="pt-BR" sz="20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ABC - DIAGRAMA DE PARETO - NÃO DESONERADO</a:t>
            </a:r>
            <a:endParaRPr lang="pt-BR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8767447056907208"/>
          <c:y val="2.0948063076217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'Curva ABC'!$H$12</c:f>
              <c:strCache>
                <c:ptCount val="1"/>
                <c:pt idx="0">
                  <c:v>PARCIAL (%)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delete val="1"/>
          </c:dLbls>
          <c:cat>
            <c:strRef>
              <c:f>'Curva ABC'!$A$14:$A$89</c:f>
              <c:strCache>
                <c:ptCount val="22"/>
                <c:pt idx="0">
                  <c:v>RE/0052</c:v>
                </c:pt>
                <c:pt idx="1">
                  <c:v>RE/0021</c:v>
                </c:pt>
                <c:pt idx="2">
                  <c:v>PA/0025</c:v>
                </c:pt>
                <c:pt idx="3">
                  <c:v>93599</c:v>
                </c:pt>
                <c:pt idx="4">
                  <c:v>95879</c:v>
                </c:pt>
                <c:pt idx="5">
                  <c:v>CPU Adm Local</c:v>
                </c:pt>
                <c:pt idx="6">
                  <c:v>RE/0015</c:v>
                </c:pt>
                <c:pt idx="7">
                  <c:v>95876</c:v>
                </c:pt>
                <c:pt idx="8">
                  <c:v>PA/0023</c:v>
                </c:pt>
                <c:pt idx="9">
                  <c:v>IEQ000430</c:v>
                </c:pt>
                <c:pt idx="10">
                  <c:v>10777</c:v>
                </c:pt>
                <c:pt idx="11">
                  <c:v>10775</c:v>
                </c:pt>
                <c:pt idx="12">
                  <c:v>101203</c:v>
                </c:pt>
                <c:pt idx="13">
                  <c:v>10776</c:v>
                </c:pt>
                <c:pt idx="14">
                  <c:v>SC/0120</c:v>
                </c:pt>
                <c:pt idx="15">
                  <c:v>SP/0001</c:v>
                </c:pt>
                <c:pt idx="16">
                  <c:v>100979</c:v>
                </c:pt>
                <c:pt idx="17">
                  <c:v>SC/0068</c:v>
                </c:pt>
                <c:pt idx="18">
                  <c:v>93593</c:v>
                </c:pt>
                <c:pt idx="19">
                  <c:v>98525</c:v>
                </c:pt>
                <c:pt idx="20">
                  <c:v>102333</c:v>
                </c:pt>
                <c:pt idx="21">
                  <c:v>102332</c:v>
                </c:pt>
              </c:strCache>
            </c:strRef>
          </c:cat>
          <c:val>
            <c:numRef>
              <c:f>'Curva ABC'!$H$14:$H$35</c:f>
              <c:numCache>
                <c:formatCode>0.00%</c:formatCode>
                <c:ptCount val="22"/>
                <c:pt idx="0">
                  <c:v>0.49754613307078932</c:v>
                </c:pt>
                <c:pt idx="1">
                  <c:v>0.27943971912907567</c:v>
                </c:pt>
                <c:pt idx="2">
                  <c:v>3.551191170877839E-2</c:v>
                </c:pt>
                <c:pt idx="3">
                  <c:v>3.4353260681027474E-2</c:v>
                </c:pt>
                <c:pt idx="4">
                  <c:v>3.2686873016475403E-2</c:v>
                </c:pt>
                <c:pt idx="5">
                  <c:v>3.2564449035756012E-2</c:v>
                </c:pt>
                <c:pt idx="6">
                  <c:v>3.2101204634637739E-2</c:v>
                </c:pt>
                <c:pt idx="7">
                  <c:v>1.6095566670627282E-2</c:v>
                </c:pt>
                <c:pt idx="8">
                  <c:v>7.9720618121747414E-3</c:v>
                </c:pt>
                <c:pt idx="9">
                  <c:v>7.2596815867994975E-3</c:v>
                </c:pt>
                <c:pt idx="10">
                  <c:v>4.4271310503587562E-3</c:v>
                </c:pt>
                <c:pt idx="11">
                  <c:v>3.8991224588010112E-3</c:v>
                </c:pt>
                <c:pt idx="12">
                  <c:v>3.0545363635472314E-3</c:v>
                </c:pt>
                <c:pt idx="13">
                  <c:v>3.0462063977707145E-3</c:v>
                </c:pt>
                <c:pt idx="14">
                  <c:v>2.7805593913495788E-3</c:v>
                </c:pt>
                <c:pt idx="15">
                  <c:v>2.2526090060744335E-3</c:v>
                </c:pt>
                <c:pt idx="16">
                  <c:v>1.2482013935308399E-3</c:v>
                </c:pt>
                <c:pt idx="17">
                  <c:v>1.1681677549559997E-3</c:v>
                </c:pt>
                <c:pt idx="18">
                  <c:v>8.9815527733987251E-4</c:v>
                </c:pt>
                <c:pt idx="19">
                  <c:v>6.1439964966543935E-4</c:v>
                </c:pt>
                <c:pt idx="20">
                  <c:v>5.5619336706555554E-4</c:v>
                </c:pt>
                <c:pt idx="21">
                  <c:v>5.238565433989535E-4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3-41CD-8639-B4BDE92358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73"/>
        <c:axId val="2069116256"/>
        <c:axId val="2069120064"/>
      </c:barChart>
      <c:lineChart>
        <c:grouping val="standard"/>
        <c:varyColors val="0"/>
        <c:ser>
          <c:idx val="1"/>
          <c:order val="1"/>
          <c:tx>
            <c:strRef>
              <c:f>'Curva ABC'!$I$12</c:f>
              <c:strCache>
                <c:ptCount val="1"/>
                <c:pt idx="0">
                  <c:v>Σ 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elete val="1"/>
          </c:dLbls>
          <c:cat>
            <c:strRef>
              <c:f>'Curva ABC'!$A$14:$A$89</c:f>
              <c:strCache>
                <c:ptCount val="22"/>
                <c:pt idx="0">
                  <c:v>RE/0052</c:v>
                </c:pt>
                <c:pt idx="1">
                  <c:v>RE/0021</c:v>
                </c:pt>
                <c:pt idx="2">
                  <c:v>PA/0025</c:v>
                </c:pt>
                <c:pt idx="3">
                  <c:v>93599</c:v>
                </c:pt>
                <c:pt idx="4">
                  <c:v>95879</c:v>
                </c:pt>
                <c:pt idx="5">
                  <c:v>CPU Adm Local</c:v>
                </c:pt>
                <c:pt idx="6">
                  <c:v>RE/0015</c:v>
                </c:pt>
                <c:pt idx="7">
                  <c:v>95876</c:v>
                </c:pt>
                <c:pt idx="8">
                  <c:v>PA/0023</c:v>
                </c:pt>
                <c:pt idx="9">
                  <c:v>IEQ000430</c:v>
                </c:pt>
                <c:pt idx="10">
                  <c:v>10777</c:v>
                </c:pt>
                <c:pt idx="11">
                  <c:v>10775</c:v>
                </c:pt>
                <c:pt idx="12">
                  <c:v>101203</c:v>
                </c:pt>
                <c:pt idx="13">
                  <c:v>10776</c:v>
                </c:pt>
                <c:pt idx="14">
                  <c:v>SC/0120</c:v>
                </c:pt>
                <c:pt idx="15">
                  <c:v>SP/0001</c:v>
                </c:pt>
                <c:pt idx="16">
                  <c:v>100979</c:v>
                </c:pt>
                <c:pt idx="17">
                  <c:v>SC/0068</c:v>
                </c:pt>
                <c:pt idx="18">
                  <c:v>93593</c:v>
                </c:pt>
                <c:pt idx="19">
                  <c:v>98525</c:v>
                </c:pt>
                <c:pt idx="20">
                  <c:v>102333</c:v>
                </c:pt>
                <c:pt idx="21">
                  <c:v>102332</c:v>
                </c:pt>
              </c:strCache>
            </c:strRef>
          </c:cat>
          <c:val>
            <c:numRef>
              <c:f>'Curva ABC'!$I$14:$I$35</c:f>
              <c:numCache>
                <c:formatCode>0.00%</c:formatCode>
                <c:ptCount val="22"/>
                <c:pt idx="0">
                  <c:v>0.49754613307078932</c:v>
                </c:pt>
                <c:pt idx="1">
                  <c:v>0.77698585219986493</c:v>
                </c:pt>
                <c:pt idx="2">
                  <c:v>0.81249776390864337</c:v>
                </c:pt>
                <c:pt idx="3">
                  <c:v>0.84685102458967088</c:v>
                </c:pt>
                <c:pt idx="4">
                  <c:v>0.87953789760614631</c:v>
                </c:pt>
                <c:pt idx="5">
                  <c:v>0.91210234664190237</c:v>
                </c:pt>
                <c:pt idx="6">
                  <c:v>0.9442035512765401</c:v>
                </c:pt>
                <c:pt idx="7">
                  <c:v>0.96029911794716738</c:v>
                </c:pt>
                <c:pt idx="8">
                  <c:v>0.96827117975934207</c:v>
                </c:pt>
                <c:pt idx="9">
                  <c:v>0.97553086134614153</c:v>
                </c:pt>
                <c:pt idx="10">
                  <c:v>0.97995799239650028</c:v>
                </c:pt>
                <c:pt idx="11">
                  <c:v>0.98385711485530125</c:v>
                </c:pt>
                <c:pt idx="12">
                  <c:v>0.9869116512188485</c:v>
                </c:pt>
                <c:pt idx="13">
                  <c:v>0.98995785761661925</c:v>
                </c:pt>
                <c:pt idx="14">
                  <c:v>0.99273841700796883</c:v>
                </c:pt>
                <c:pt idx="15">
                  <c:v>0.99499102601404321</c:v>
                </c:pt>
                <c:pt idx="16">
                  <c:v>0.99623922740757409</c:v>
                </c:pt>
                <c:pt idx="17">
                  <c:v>0.99740739516253007</c:v>
                </c:pt>
                <c:pt idx="18">
                  <c:v>0.9983055504398699</c:v>
                </c:pt>
                <c:pt idx="19">
                  <c:v>0.99891995008953538</c:v>
                </c:pt>
                <c:pt idx="20">
                  <c:v>0.99947614345660096</c:v>
                </c:pt>
                <c:pt idx="21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B3-41CD-8639-B4BDE92358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69116256"/>
        <c:axId val="2069120064"/>
      </c:lineChart>
      <c:catAx>
        <c:axId val="2069116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9120064"/>
        <c:crosses val="autoZero"/>
        <c:auto val="1"/>
        <c:lblAlgn val="ctr"/>
        <c:lblOffset val="100"/>
        <c:tickMarkSkip val="1"/>
        <c:noMultiLvlLbl val="0"/>
      </c:catAx>
      <c:valAx>
        <c:axId val="20691200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9116256"/>
        <c:crossesAt val="0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417494231463855"/>
          <c:y val="0.9516254562057469"/>
          <c:w val="0.15040064844835571"/>
          <c:h val="3.2244960229801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CURVA</a:t>
            </a:r>
            <a:r>
              <a:rPr lang="pt-BR" sz="20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ABC - DIAGRAMA DE PARETO - DESONERADO</a:t>
            </a:r>
            <a:endParaRPr lang="pt-BR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20464005661251305"/>
          <c:y val="2.0948063076217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'Curva ABC'!$M$12</c:f>
              <c:strCache>
                <c:ptCount val="1"/>
                <c:pt idx="0">
                  <c:v>PARCIAL (%)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delete val="1"/>
          </c:dLbls>
          <c:cat>
            <c:strRef>
              <c:f>'Curva ABC'!$A$14:$A$89</c:f>
              <c:strCache>
                <c:ptCount val="22"/>
                <c:pt idx="0">
                  <c:v>RE/0052</c:v>
                </c:pt>
                <c:pt idx="1">
                  <c:v>RE/0021</c:v>
                </c:pt>
                <c:pt idx="2">
                  <c:v>PA/0025</c:v>
                </c:pt>
                <c:pt idx="3">
                  <c:v>93599</c:v>
                </c:pt>
                <c:pt idx="4">
                  <c:v>95879</c:v>
                </c:pt>
                <c:pt idx="5">
                  <c:v>CPU Adm Local</c:v>
                </c:pt>
                <c:pt idx="6">
                  <c:v>RE/0015</c:v>
                </c:pt>
                <c:pt idx="7">
                  <c:v>95876</c:v>
                </c:pt>
                <c:pt idx="8">
                  <c:v>PA/0023</c:v>
                </c:pt>
                <c:pt idx="9">
                  <c:v>IEQ000430</c:v>
                </c:pt>
                <c:pt idx="10">
                  <c:v>10777</c:v>
                </c:pt>
                <c:pt idx="11">
                  <c:v>10775</c:v>
                </c:pt>
                <c:pt idx="12">
                  <c:v>101203</c:v>
                </c:pt>
                <c:pt idx="13">
                  <c:v>10776</c:v>
                </c:pt>
                <c:pt idx="14">
                  <c:v>SC/0120</c:v>
                </c:pt>
                <c:pt idx="15">
                  <c:v>SP/0001</c:v>
                </c:pt>
                <c:pt idx="16">
                  <c:v>100979</c:v>
                </c:pt>
                <c:pt idx="17">
                  <c:v>SC/0068</c:v>
                </c:pt>
                <c:pt idx="18">
                  <c:v>93593</c:v>
                </c:pt>
                <c:pt idx="19">
                  <c:v>98525</c:v>
                </c:pt>
                <c:pt idx="20">
                  <c:v>102333</c:v>
                </c:pt>
                <c:pt idx="21">
                  <c:v>102332</c:v>
                </c:pt>
              </c:strCache>
            </c:strRef>
          </c:cat>
          <c:val>
            <c:numRef>
              <c:f>'Curva ABC'!$M$14:$M$35</c:f>
              <c:numCache>
                <c:formatCode>0.00%</c:formatCode>
                <c:ptCount val="22"/>
                <c:pt idx="0">
                  <c:v>0.47335408927213307</c:v>
                </c:pt>
                <c:pt idx="1">
                  <c:v>0.24858061795418201</c:v>
                </c:pt>
                <c:pt idx="2">
                  <c:v>3.3656842439337351E-2</c:v>
                </c:pt>
                <c:pt idx="3">
                  <c:v>3.2633367901932823E-2</c:v>
                </c:pt>
                <c:pt idx="4">
                  <c:v>3.1293066805005348E-2</c:v>
                </c:pt>
                <c:pt idx="5">
                  <c:v>9.9273416696027877E-2</c:v>
                </c:pt>
                <c:pt idx="6">
                  <c:v>2.8752268274002849E-2</c:v>
                </c:pt>
                <c:pt idx="7">
                  <c:v>1.5447493266520491E-2</c:v>
                </c:pt>
                <c:pt idx="8">
                  <c:v>7.4764823189793061E-3</c:v>
                </c:pt>
                <c:pt idx="9">
                  <c:v>6.9309804811035951E-3</c:v>
                </c:pt>
                <c:pt idx="10">
                  <c:v>4.2266748775763871E-3</c:v>
                </c:pt>
                <c:pt idx="11">
                  <c:v>3.7226054943151152E-3</c:v>
                </c:pt>
                <c:pt idx="12">
                  <c:v>2.606140205097824E-3</c:v>
                </c:pt>
                <c:pt idx="13">
                  <c:v>2.9082690041454915E-3</c:v>
                </c:pt>
                <c:pt idx="14">
                  <c:v>2.521461229413006E-3</c:v>
                </c:pt>
                <c:pt idx="15">
                  <c:v>2.1145017342769331E-3</c:v>
                </c:pt>
                <c:pt idx="16">
                  <c:v>1.1922268199088082E-3</c:v>
                </c:pt>
                <c:pt idx="17">
                  <c:v>1.0602880318856078E-3</c:v>
                </c:pt>
                <c:pt idx="18">
                  <c:v>8.6513623121619438E-4</c:v>
                </c:pt>
                <c:pt idx="19">
                  <c:v>3.3811611415416264E-4</c:v>
                </c:pt>
                <c:pt idx="20">
                  <c:v>5.4098578264666017E-4</c:v>
                </c:pt>
                <c:pt idx="21">
                  <c:v>5.0496906613893414E-4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8C-43C5-8505-A241908BA0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73"/>
        <c:axId val="2069116256"/>
        <c:axId val="2069120064"/>
      </c:barChart>
      <c:lineChart>
        <c:grouping val="standard"/>
        <c:varyColors val="0"/>
        <c:ser>
          <c:idx val="1"/>
          <c:order val="1"/>
          <c:tx>
            <c:strRef>
              <c:f>'Curva ABC'!$N$12</c:f>
              <c:strCache>
                <c:ptCount val="1"/>
                <c:pt idx="0">
                  <c:v>Σ 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elete val="1"/>
          </c:dLbls>
          <c:cat>
            <c:strRef>
              <c:f>'Curva ABC'!$A$14:$A$89</c:f>
              <c:strCache>
                <c:ptCount val="22"/>
                <c:pt idx="0">
                  <c:v>RE/0052</c:v>
                </c:pt>
                <c:pt idx="1">
                  <c:v>RE/0021</c:v>
                </c:pt>
                <c:pt idx="2">
                  <c:v>PA/0025</c:v>
                </c:pt>
                <c:pt idx="3">
                  <c:v>93599</c:v>
                </c:pt>
                <c:pt idx="4">
                  <c:v>95879</c:v>
                </c:pt>
                <c:pt idx="5">
                  <c:v>CPU Adm Local</c:v>
                </c:pt>
                <c:pt idx="6">
                  <c:v>RE/0015</c:v>
                </c:pt>
                <c:pt idx="7">
                  <c:v>95876</c:v>
                </c:pt>
                <c:pt idx="8">
                  <c:v>PA/0023</c:v>
                </c:pt>
                <c:pt idx="9">
                  <c:v>IEQ000430</c:v>
                </c:pt>
                <c:pt idx="10">
                  <c:v>10777</c:v>
                </c:pt>
                <c:pt idx="11">
                  <c:v>10775</c:v>
                </c:pt>
                <c:pt idx="12">
                  <c:v>101203</c:v>
                </c:pt>
                <c:pt idx="13">
                  <c:v>10776</c:v>
                </c:pt>
                <c:pt idx="14">
                  <c:v>SC/0120</c:v>
                </c:pt>
                <c:pt idx="15">
                  <c:v>SP/0001</c:v>
                </c:pt>
                <c:pt idx="16">
                  <c:v>100979</c:v>
                </c:pt>
                <c:pt idx="17">
                  <c:v>SC/0068</c:v>
                </c:pt>
                <c:pt idx="18">
                  <c:v>93593</c:v>
                </c:pt>
                <c:pt idx="19">
                  <c:v>98525</c:v>
                </c:pt>
                <c:pt idx="20">
                  <c:v>102333</c:v>
                </c:pt>
                <c:pt idx="21">
                  <c:v>102332</c:v>
                </c:pt>
              </c:strCache>
            </c:strRef>
          </c:cat>
          <c:val>
            <c:numRef>
              <c:f>'Curva ABC'!$N$14:$N$35</c:f>
              <c:numCache>
                <c:formatCode>0.00%</c:formatCode>
                <c:ptCount val="22"/>
                <c:pt idx="0">
                  <c:v>0.47335408927213307</c:v>
                </c:pt>
                <c:pt idx="1">
                  <c:v>0.72193470722631514</c:v>
                </c:pt>
                <c:pt idx="2">
                  <c:v>0.75559154966565245</c:v>
                </c:pt>
                <c:pt idx="3">
                  <c:v>0.78822491756758528</c:v>
                </c:pt>
                <c:pt idx="4">
                  <c:v>0.8195179843725906</c:v>
                </c:pt>
                <c:pt idx="5">
                  <c:v>0.91879140106861845</c:v>
                </c:pt>
                <c:pt idx="6">
                  <c:v>0.94754366934262135</c:v>
                </c:pt>
                <c:pt idx="7">
                  <c:v>0.96299116260914186</c:v>
                </c:pt>
                <c:pt idx="8">
                  <c:v>0.97046764492812121</c:v>
                </c:pt>
                <c:pt idx="9">
                  <c:v>0.97739862540922484</c:v>
                </c:pt>
                <c:pt idx="10">
                  <c:v>0.98162530028680128</c:v>
                </c:pt>
                <c:pt idx="11">
                  <c:v>0.98534790578111642</c:v>
                </c:pt>
                <c:pt idx="12">
                  <c:v>0.98795404598621428</c:v>
                </c:pt>
                <c:pt idx="13">
                  <c:v>0.99086231499035982</c:v>
                </c:pt>
                <c:pt idx="14">
                  <c:v>0.99338377621977281</c:v>
                </c:pt>
                <c:pt idx="15">
                  <c:v>0.99549827795404977</c:v>
                </c:pt>
                <c:pt idx="16">
                  <c:v>0.9966905047739586</c:v>
                </c:pt>
                <c:pt idx="17">
                  <c:v>0.99775079280584422</c:v>
                </c:pt>
                <c:pt idx="18">
                  <c:v>0.99861592903706042</c:v>
                </c:pt>
                <c:pt idx="19">
                  <c:v>0.99895404515121455</c:v>
                </c:pt>
                <c:pt idx="20">
                  <c:v>0.99949503093386116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8C-43C5-8505-A241908BA0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69116256"/>
        <c:axId val="2069120064"/>
      </c:lineChart>
      <c:catAx>
        <c:axId val="2069116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9120064"/>
        <c:crosses val="autoZero"/>
        <c:auto val="1"/>
        <c:lblAlgn val="ctr"/>
        <c:lblOffset val="100"/>
        <c:tickMarkSkip val="1"/>
        <c:noMultiLvlLbl val="0"/>
      </c:catAx>
      <c:valAx>
        <c:axId val="20691200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9116256"/>
        <c:crossesAt val="0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417494231463855"/>
          <c:y val="0.9516254562057469"/>
          <c:w val="0.15040064844835571"/>
          <c:h val="3.2244960229801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'B_Amort_01 -'!$B$43</c:f>
              <c:strCache>
                <c:ptCount val="1"/>
                <c:pt idx="0">
                  <c:v>T. detenção (min)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358036307673245"/>
                  <c:y val="-0.568219170994150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>
                  <a:softEdge rad="101600"/>
                </a:effectLst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</c:trendlineLbl>
          </c:trendline>
          <c:xVal>
            <c:numRef>
              <c:f>'B_Amort_01 -'!$C$38:$L$38</c:f>
              <c:numCache>
                <c:formatCode>#,##0.00</c:formatCode>
                <c:ptCount val="10"/>
                <c:pt idx="0">
                  <c:v>0</c:v>
                </c:pt>
                <c:pt idx="1">
                  <c:v>10</c:v>
                </c:pt>
                <c:pt idx="2">
                  <c:v>16.947001241079278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78.074485983622807</c:v>
                </c:pt>
              </c:numCache>
            </c:numRef>
          </c:xVal>
          <c:yVal>
            <c:numRef>
              <c:f>'B_Amort_01 -'!$C$43:$L$43</c:f>
              <c:numCache>
                <c:formatCode>#,##0.00</c:formatCode>
                <c:ptCount val="10"/>
                <c:pt idx="0">
                  <c:v>0</c:v>
                </c:pt>
                <c:pt idx="1">
                  <c:v>2.1882129483181686E-2</c:v>
                </c:pt>
                <c:pt idx="2">
                  <c:v>3.8565868735876779E-2</c:v>
                </c:pt>
                <c:pt idx="3">
                  <c:v>7.4077155544883283E-2</c:v>
                </c:pt>
                <c:pt idx="4">
                  <c:v>0.10609242345468863</c:v>
                </c:pt>
                <c:pt idx="5">
                  <c:v>0.14395844839231645</c:v>
                </c:pt>
                <c:pt idx="6">
                  <c:v>0.19030271742619551</c:v>
                </c:pt>
                <c:pt idx="7">
                  <c:v>0.25005087184700503</c:v>
                </c:pt>
                <c:pt idx="8">
                  <c:v>0.33426116581851201</c:v>
                </c:pt>
                <c:pt idx="9">
                  <c:v>0.31517074020806546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06-475F-8D1B-7C42889CE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80816"/>
        <c:axId val="130686800"/>
      </c:scatterChart>
      <c:valAx>
        <c:axId val="130680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VAZÃO (m³/s)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6800"/>
        <c:crosses val="autoZero"/>
        <c:crossBetween val="midCat"/>
      </c:valAx>
      <c:valAx>
        <c:axId val="13068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ALTURA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0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1416382627361127"/>
          <c:y val="6.7646064816587068E-2"/>
          <c:w val="0.84919575183614571"/>
          <c:h val="0.83828977608392097"/>
        </c:manualLayout>
      </c:layout>
      <c:scatterChart>
        <c:scatterStyle val="smoothMarker"/>
        <c:varyColors val="0"/>
        <c:ser>
          <c:idx val="0"/>
          <c:order val="0"/>
          <c:tx>
            <c:v>H=J/Ab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358036307673245"/>
                  <c:y val="-0.568219170994150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>
                  <a:softEdge rad="101600"/>
                </a:effectLst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</c:trendlineLbl>
          </c:trendline>
          <c:xVal>
            <c:numLit>
              <c:formatCode>General</c:formatCode>
              <c:ptCount val="10"/>
              <c:pt idx="0">
                <c:v>2.9706596046997</c:v>
              </c:pt>
              <c:pt idx="1">
                <c:v>2.6735936442297299</c:v>
              </c:pt>
              <c:pt idx="2">
                <c:v>2.4672218846230014</c:v>
              </c:pt>
              <c:pt idx="3">
                <c:v>2.0794617232897901</c:v>
              </c:pt>
              <c:pt idx="4">
                <c:v>1.7823957628198199</c:v>
              </c:pt>
              <c:pt idx="5">
                <c:v>1.48532980234985</c:v>
              </c:pt>
              <c:pt idx="6">
                <c:v>1.1882638418798801</c:v>
              </c:pt>
              <c:pt idx="7">
                <c:v>0.89119788140990996</c:v>
              </c:pt>
              <c:pt idx="8">
                <c:v>0.59413192093994005</c:v>
              </c:pt>
              <c:pt idx="9">
                <c:v>0.29706596046997003</c:v>
              </c:pt>
            </c:numLit>
          </c:xVal>
          <c:yVal>
            <c:numLit>
              <c:formatCode>General</c:formatCode>
              <c:ptCount val="10"/>
              <c:pt idx="0">
                <c:v>0</c:v>
              </c:pt>
              <c:pt idx="1">
                <c:v>1.8910289338970206E-2</c:v>
              </c:pt>
              <c:pt idx="2">
                <c:v>3.3328188509472945E-2</c:v>
              </c:pt>
              <c:pt idx="3">
                <c:v>6.4016641791572251E-2</c:v>
              </c:pt>
              <c:pt idx="4">
                <c:v>9.1683874996840636E-2</c:v>
              </c:pt>
              <c:pt idx="5">
                <c:v>0.12440726639426178</c:v>
              </c:pt>
              <c:pt idx="6">
                <c:v>0.16445746065471104</c:v>
              </c:pt>
              <c:pt idx="7">
                <c:v>0.21609114139110241</c:v>
              </c:pt>
              <c:pt idx="8">
                <c:v>0.28886472704897287</c:v>
              </c:pt>
              <c:pt idx="9">
                <c:v>0.41327199344323462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A262-4484-897C-0A15D3A6A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80816"/>
        <c:axId val="130686800"/>
      </c:scatterChart>
      <c:valAx>
        <c:axId val="130680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VAZÃO (m³/s)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6800"/>
        <c:crosses val="autoZero"/>
        <c:crossBetween val="midCat"/>
      </c:valAx>
      <c:valAx>
        <c:axId val="13068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ALTURA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0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B_Amort_01!$B$41</c:f>
              <c:strCache>
                <c:ptCount val="1"/>
                <c:pt idx="0">
                  <c:v>H=J/Ab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358036307673245"/>
                  <c:y val="-0.568219170994150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>
                  <a:softEdge rad="101600"/>
                </a:effectLst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</c:trendlineLbl>
          </c:trendline>
          <c:xVal>
            <c:numRef>
              <c:f>B_Amort_01!$C$36:$L$36</c:f>
              <c:numCache>
                <c:formatCode>#,##0.00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xVal>
          <c:yVal>
            <c:numRef>
              <c:f>B_Amort_01!$C$41:$L$41</c:f>
              <c:numCache>
                <c:formatCode>#,##0.00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8C4-4120-820A-108B2D91F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80816"/>
        <c:axId val="130686800"/>
      </c:scatterChart>
      <c:valAx>
        <c:axId val="130680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VAZÃO (m³/s)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6800"/>
        <c:crosses val="autoZero"/>
        <c:crossBetween val="midCat"/>
      </c:valAx>
      <c:valAx>
        <c:axId val="13068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ALTURA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0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Sinalizacao!A1"/><Relationship Id="rId13" Type="http://schemas.openxmlformats.org/officeDocument/2006/relationships/hyperlink" Target="#Dre_Ser_Prelim!A1"/><Relationship Id="rId18" Type="http://schemas.openxmlformats.org/officeDocument/2006/relationships/hyperlink" Target="#Recap_Previo!A1"/><Relationship Id="rId3" Type="http://schemas.openxmlformats.org/officeDocument/2006/relationships/hyperlink" Target="#S_Preliminares!A1"/><Relationship Id="rId21" Type="http://schemas.openxmlformats.org/officeDocument/2006/relationships/hyperlink" Target="#Dre_Fecha_Vala!A1"/><Relationship Id="rId7" Type="http://schemas.openxmlformats.org/officeDocument/2006/relationships/hyperlink" Target="#Traffic_Calming!A1"/><Relationship Id="rId12" Type="http://schemas.openxmlformats.org/officeDocument/2006/relationships/hyperlink" Target="#Dren_Quantificacao!A1"/><Relationship Id="rId17" Type="http://schemas.openxmlformats.org/officeDocument/2006/relationships/hyperlink" Target="#Pav_Dim!A1"/><Relationship Id="rId2" Type="http://schemas.openxmlformats.org/officeDocument/2006/relationships/hyperlink" Target="#Cronograma_N&#227;o_Deson!A1"/><Relationship Id="rId16" Type="http://schemas.openxmlformats.org/officeDocument/2006/relationships/hyperlink" Target="#Pav_Estrutura!A1"/><Relationship Id="rId20" Type="http://schemas.openxmlformats.org/officeDocument/2006/relationships/hyperlink" Target="#Dre_Profunda!A1"/><Relationship Id="rId1" Type="http://schemas.openxmlformats.org/officeDocument/2006/relationships/hyperlink" Target="#Or&#231;amento!A1"/><Relationship Id="rId6" Type="http://schemas.openxmlformats.org/officeDocument/2006/relationships/hyperlink" Target="#Acessibilidade!A1"/><Relationship Id="rId11" Type="http://schemas.openxmlformats.org/officeDocument/2006/relationships/hyperlink" Target="#Dren_Dim!A1"/><Relationship Id="rId24" Type="http://schemas.openxmlformats.org/officeDocument/2006/relationships/hyperlink" Target="#'Bacia deten&#231;&#227;o'!A1"/><Relationship Id="rId5" Type="http://schemas.openxmlformats.org/officeDocument/2006/relationships/hyperlink" Target="#Ciclovia!A1"/><Relationship Id="rId15" Type="http://schemas.openxmlformats.org/officeDocument/2006/relationships/hyperlink" Target="#Dre_Disp_Estruturais!A1"/><Relationship Id="rId23" Type="http://schemas.openxmlformats.org/officeDocument/2006/relationships/hyperlink" Target="#'Curva ABC'!A1"/><Relationship Id="rId10" Type="http://schemas.openxmlformats.org/officeDocument/2006/relationships/hyperlink" Target="#Dren_Dados!A1"/><Relationship Id="rId19" Type="http://schemas.openxmlformats.org/officeDocument/2006/relationships/hyperlink" Target="#Recap_Final!A1"/><Relationship Id="rId4" Type="http://schemas.openxmlformats.org/officeDocument/2006/relationships/hyperlink" Target="#Pav_Dados!A1"/><Relationship Id="rId9" Type="http://schemas.openxmlformats.org/officeDocument/2006/relationships/hyperlink" Target="#Pav_Terraplenagem!A1"/><Relationship Id="rId14" Type="http://schemas.openxmlformats.org/officeDocument/2006/relationships/hyperlink" Target="#Dre_Terraplenagem!A1"/><Relationship Id="rId22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8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1.jpeg"/><Relationship Id="rId21" Type="http://schemas.openxmlformats.org/officeDocument/2006/relationships/image" Target="../media/image25.jpeg"/><Relationship Id="rId42" Type="http://schemas.openxmlformats.org/officeDocument/2006/relationships/image" Target="../media/image46.jpeg"/><Relationship Id="rId63" Type="http://schemas.openxmlformats.org/officeDocument/2006/relationships/image" Target="../media/image67.jpeg"/><Relationship Id="rId84" Type="http://schemas.openxmlformats.org/officeDocument/2006/relationships/image" Target="../media/image88.jpeg"/><Relationship Id="rId138" Type="http://schemas.openxmlformats.org/officeDocument/2006/relationships/image" Target="../media/image142.jpeg"/><Relationship Id="rId159" Type="http://schemas.openxmlformats.org/officeDocument/2006/relationships/image" Target="../media/image163.jpeg"/><Relationship Id="rId107" Type="http://schemas.openxmlformats.org/officeDocument/2006/relationships/image" Target="../media/image111.jpeg"/><Relationship Id="rId11" Type="http://schemas.openxmlformats.org/officeDocument/2006/relationships/image" Target="../media/image15.jpeg"/><Relationship Id="rId32" Type="http://schemas.openxmlformats.org/officeDocument/2006/relationships/image" Target="../media/image36.jpeg"/><Relationship Id="rId53" Type="http://schemas.openxmlformats.org/officeDocument/2006/relationships/image" Target="../media/image57.jpeg"/><Relationship Id="rId74" Type="http://schemas.openxmlformats.org/officeDocument/2006/relationships/image" Target="../media/image78.jpeg"/><Relationship Id="rId128" Type="http://schemas.openxmlformats.org/officeDocument/2006/relationships/image" Target="../media/image132.jpeg"/><Relationship Id="rId149" Type="http://schemas.openxmlformats.org/officeDocument/2006/relationships/image" Target="../media/image153.jpeg"/><Relationship Id="rId5" Type="http://schemas.openxmlformats.org/officeDocument/2006/relationships/image" Target="../media/image9.jpeg"/><Relationship Id="rId95" Type="http://schemas.openxmlformats.org/officeDocument/2006/relationships/image" Target="../media/image99.jpeg"/><Relationship Id="rId160" Type="http://schemas.openxmlformats.org/officeDocument/2006/relationships/image" Target="../media/image164.jpeg"/><Relationship Id="rId22" Type="http://schemas.openxmlformats.org/officeDocument/2006/relationships/image" Target="../media/image26.jpeg"/><Relationship Id="rId43" Type="http://schemas.openxmlformats.org/officeDocument/2006/relationships/image" Target="../media/image47.jpeg"/><Relationship Id="rId64" Type="http://schemas.openxmlformats.org/officeDocument/2006/relationships/image" Target="../media/image68.jpeg"/><Relationship Id="rId118" Type="http://schemas.openxmlformats.org/officeDocument/2006/relationships/image" Target="../media/image122.jpeg"/><Relationship Id="rId139" Type="http://schemas.openxmlformats.org/officeDocument/2006/relationships/image" Target="../media/image143.jpeg"/><Relationship Id="rId85" Type="http://schemas.openxmlformats.org/officeDocument/2006/relationships/image" Target="../media/image89.jpeg"/><Relationship Id="rId150" Type="http://schemas.openxmlformats.org/officeDocument/2006/relationships/image" Target="../media/image154.jpeg"/><Relationship Id="rId12" Type="http://schemas.openxmlformats.org/officeDocument/2006/relationships/image" Target="../media/image16.jpeg"/><Relationship Id="rId33" Type="http://schemas.openxmlformats.org/officeDocument/2006/relationships/image" Target="../media/image37.jpeg"/><Relationship Id="rId108" Type="http://schemas.openxmlformats.org/officeDocument/2006/relationships/image" Target="../media/image112.jpeg"/><Relationship Id="rId129" Type="http://schemas.openxmlformats.org/officeDocument/2006/relationships/image" Target="../media/image133.jpeg"/><Relationship Id="rId54" Type="http://schemas.openxmlformats.org/officeDocument/2006/relationships/image" Target="../media/image58.jpeg"/><Relationship Id="rId70" Type="http://schemas.openxmlformats.org/officeDocument/2006/relationships/image" Target="../media/image74.jpeg"/><Relationship Id="rId75" Type="http://schemas.openxmlformats.org/officeDocument/2006/relationships/image" Target="../media/image79.jpeg"/><Relationship Id="rId91" Type="http://schemas.openxmlformats.org/officeDocument/2006/relationships/image" Target="../media/image95.jpeg"/><Relationship Id="rId96" Type="http://schemas.openxmlformats.org/officeDocument/2006/relationships/image" Target="../media/image100.jpeg"/><Relationship Id="rId140" Type="http://schemas.openxmlformats.org/officeDocument/2006/relationships/image" Target="../media/image144.jpeg"/><Relationship Id="rId145" Type="http://schemas.openxmlformats.org/officeDocument/2006/relationships/image" Target="../media/image149.jpeg"/><Relationship Id="rId161" Type="http://schemas.openxmlformats.org/officeDocument/2006/relationships/image" Target="../media/image165.jpeg"/><Relationship Id="rId166" Type="http://schemas.openxmlformats.org/officeDocument/2006/relationships/image" Target="../media/image170.pn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23" Type="http://schemas.openxmlformats.org/officeDocument/2006/relationships/image" Target="../media/image27.jpeg"/><Relationship Id="rId28" Type="http://schemas.openxmlformats.org/officeDocument/2006/relationships/image" Target="../media/image32.jpeg"/><Relationship Id="rId49" Type="http://schemas.openxmlformats.org/officeDocument/2006/relationships/image" Target="../media/image53.jpeg"/><Relationship Id="rId114" Type="http://schemas.openxmlformats.org/officeDocument/2006/relationships/image" Target="../media/image118.jpeg"/><Relationship Id="rId119" Type="http://schemas.openxmlformats.org/officeDocument/2006/relationships/image" Target="../media/image123.jpeg"/><Relationship Id="rId44" Type="http://schemas.openxmlformats.org/officeDocument/2006/relationships/image" Target="../media/image48.jpeg"/><Relationship Id="rId60" Type="http://schemas.openxmlformats.org/officeDocument/2006/relationships/image" Target="../media/image64.jpeg"/><Relationship Id="rId65" Type="http://schemas.openxmlformats.org/officeDocument/2006/relationships/image" Target="../media/image69.jpeg"/><Relationship Id="rId81" Type="http://schemas.openxmlformats.org/officeDocument/2006/relationships/image" Target="../media/image85.jpeg"/><Relationship Id="rId86" Type="http://schemas.openxmlformats.org/officeDocument/2006/relationships/image" Target="../media/image90.jpeg"/><Relationship Id="rId130" Type="http://schemas.openxmlformats.org/officeDocument/2006/relationships/image" Target="../media/image134.jpeg"/><Relationship Id="rId135" Type="http://schemas.openxmlformats.org/officeDocument/2006/relationships/image" Target="../media/image139.jpeg"/><Relationship Id="rId151" Type="http://schemas.openxmlformats.org/officeDocument/2006/relationships/image" Target="../media/image155.jpeg"/><Relationship Id="rId156" Type="http://schemas.openxmlformats.org/officeDocument/2006/relationships/image" Target="../media/image160.jpeg"/><Relationship Id="rId13" Type="http://schemas.openxmlformats.org/officeDocument/2006/relationships/image" Target="../media/image17.jpeg"/><Relationship Id="rId18" Type="http://schemas.openxmlformats.org/officeDocument/2006/relationships/image" Target="../media/image22.jpeg"/><Relationship Id="rId39" Type="http://schemas.openxmlformats.org/officeDocument/2006/relationships/image" Target="../media/image43.jpeg"/><Relationship Id="rId109" Type="http://schemas.openxmlformats.org/officeDocument/2006/relationships/image" Target="../media/image113.jpeg"/><Relationship Id="rId34" Type="http://schemas.openxmlformats.org/officeDocument/2006/relationships/image" Target="../media/image38.jpeg"/><Relationship Id="rId50" Type="http://schemas.openxmlformats.org/officeDocument/2006/relationships/image" Target="../media/image54.jpeg"/><Relationship Id="rId55" Type="http://schemas.openxmlformats.org/officeDocument/2006/relationships/image" Target="../media/image59.jpeg"/><Relationship Id="rId76" Type="http://schemas.openxmlformats.org/officeDocument/2006/relationships/image" Target="../media/image80.jpeg"/><Relationship Id="rId97" Type="http://schemas.openxmlformats.org/officeDocument/2006/relationships/image" Target="../media/image101.jpeg"/><Relationship Id="rId104" Type="http://schemas.openxmlformats.org/officeDocument/2006/relationships/image" Target="../media/image108.jpeg"/><Relationship Id="rId120" Type="http://schemas.openxmlformats.org/officeDocument/2006/relationships/image" Target="../media/image124.jpeg"/><Relationship Id="rId125" Type="http://schemas.openxmlformats.org/officeDocument/2006/relationships/image" Target="../media/image129.jpeg"/><Relationship Id="rId141" Type="http://schemas.openxmlformats.org/officeDocument/2006/relationships/image" Target="../media/image145.jpeg"/><Relationship Id="rId146" Type="http://schemas.openxmlformats.org/officeDocument/2006/relationships/image" Target="../media/image150.jpeg"/><Relationship Id="rId167" Type="http://schemas.openxmlformats.org/officeDocument/2006/relationships/image" Target="../media/image171.png"/><Relationship Id="rId7" Type="http://schemas.openxmlformats.org/officeDocument/2006/relationships/image" Target="../media/image11.jpeg"/><Relationship Id="rId71" Type="http://schemas.openxmlformats.org/officeDocument/2006/relationships/image" Target="../media/image75.jpeg"/><Relationship Id="rId92" Type="http://schemas.openxmlformats.org/officeDocument/2006/relationships/image" Target="../media/image96.jpeg"/><Relationship Id="rId162" Type="http://schemas.openxmlformats.org/officeDocument/2006/relationships/image" Target="../media/image166.jpeg"/><Relationship Id="rId2" Type="http://schemas.openxmlformats.org/officeDocument/2006/relationships/image" Target="../media/image6.PNG"/><Relationship Id="rId29" Type="http://schemas.openxmlformats.org/officeDocument/2006/relationships/image" Target="../media/image33.jpeg"/><Relationship Id="rId24" Type="http://schemas.openxmlformats.org/officeDocument/2006/relationships/image" Target="../media/image28.jpeg"/><Relationship Id="rId40" Type="http://schemas.openxmlformats.org/officeDocument/2006/relationships/image" Target="../media/image44.jpeg"/><Relationship Id="rId45" Type="http://schemas.openxmlformats.org/officeDocument/2006/relationships/image" Target="../media/image49.jpeg"/><Relationship Id="rId66" Type="http://schemas.openxmlformats.org/officeDocument/2006/relationships/image" Target="../media/image70.jpeg"/><Relationship Id="rId87" Type="http://schemas.openxmlformats.org/officeDocument/2006/relationships/image" Target="../media/image91.jpeg"/><Relationship Id="rId110" Type="http://schemas.openxmlformats.org/officeDocument/2006/relationships/image" Target="../media/image114.jpeg"/><Relationship Id="rId115" Type="http://schemas.openxmlformats.org/officeDocument/2006/relationships/image" Target="../media/image119.jpeg"/><Relationship Id="rId131" Type="http://schemas.openxmlformats.org/officeDocument/2006/relationships/image" Target="../media/image135.jpeg"/><Relationship Id="rId136" Type="http://schemas.openxmlformats.org/officeDocument/2006/relationships/image" Target="../media/image140.jpeg"/><Relationship Id="rId157" Type="http://schemas.openxmlformats.org/officeDocument/2006/relationships/image" Target="../media/image161.jpeg"/><Relationship Id="rId61" Type="http://schemas.openxmlformats.org/officeDocument/2006/relationships/image" Target="../media/image65.jpeg"/><Relationship Id="rId82" Type="http://schemas.openxmlformats.org/officeDocument/2006/relationships/image" Target="../media/image86.jpeg"/><Relationship Id="rId152" Type="http://schemas.openxmlformats.org/officeDocument/2006/relationships/image" Target="../media/image156.jpeg"/><Relationship Id="rId19" Type="http://schemas.openxmlformats.org/officeDocument/2006/relationships/image" Target="../media/image23.jpeg"/><Relationship Id="rId14" Type="http://schemas.openxmlformats.org/officeDocument/2006/relationships/image" Target="../media/image18.jpeg"/><Relationship Id="rId30" Type="http://schemas.openxmlformats.org/officeDocument/2006/relationships/image" Target="../media/image34.jpeg"/><Relationship Id="rId35" Type="http://schemas.openxmlformats.org/officeDocument/2006/relationships/image" Target="../media/image39.jpeg"/><Relationship Id="rId56" Type="http://schemas.openxmlformats.org/officeDocument/2006/relationships/image" Target="../media/image60.jpeg"/><Relationship Id="rId77" Type="http://schemas.openxmlformats.org/officeDocument/2006/relationships/image" Target="../media/image81.jpeg"/><Relationship Id="rId100" Type="http://schemas.openxmlformats.org/officeDocument/2006/relationships/image" Target="../media/image104.jpeg"/><Relationship Id="rId105" Type="http://schemas.openxmlformats.org/officeDocument/2006/relationships/image" Target="../media/image109.jpeg"/><Relationship Id="rId126" Type="http://schemas.openxmlformats.org/officeDocument/2006/relationships/image" Target="../media/image130.jpeg"/><Relationship Id="rId147" Type="http://schemas.openxmlformats.org/officeDocument/2006/relationships/image" Target="../media/image151.jpeg"/><Relationship Id="rId168" Type="http://schemas.openxmlformats.org/officeDocument/2006/relationships/image" Target="../media/image172.jpeg"/><Relationship Id="rId8" Type="http://schemas.openxmlformats.org/officeDocument/2006/relationships/image" Target="../media/image12.jpeg"/><Relationship Id="rId51" Type="http://schemas.openxmlformats.org/officeDocument/2006/relationships/image" Target="../media/image55.jpeg"/><Relationship Id="rId72" Type="http://schemas.openxmlformats.org/officeDocument/2006/relationships/image" Target="../media/image76.jpeg"/><Relationship Id="rId93" Type="http://schemas.openxmlformats.org/officeDocument/2006/relationships/image" Target="../media/image97.jpeg"/><Relationship Id="rId98" Type="http://schemas.openxmlformats.org/officeDocument/2006/relationships/image" Target="../media/image102.jpeg"/><Relationship Id="rId121" Type="http://schemas.openxmlformats.org/officeDocument/2006/relationships/image" Target="../media/image125.jpeg"/><Relationship Id="rId142" Type="http://schemas.openxmlformats.org/officeDocument/2006/relationships/image" Target="../media/image146.jpeg"/><Relationship Id="rId163" Type="http://schemas.openxmlformats.org/officeDocument/2006/relationships/image" Target="../media/image167.jpeg"/><Relationship Id="rId3" Type="http://schemas.openxmlformats.org/officeDocument/2006/relationships/image" Target="../media/image7.jpeg"/><Relationship Id="rId25" Type="http://schemas.openxmlformats.org/officeDocument/2006/relationships/image" Target="../media/image29.jpeg"/><Relationship Id="rId46" Type="http://schemas.openxmlformats.org/officeDocument/2006/relationships/image" Target="../media/image50.jpeg"/><Relationship Id="rId67" Type="http://schemas.openxmlformats.org/officeDocument/2006/relationships/image" Target="../media/image71.jpeg"/><Relationship Id="rId116" Type="http://schemas.openxmlformats.org/officeDocument/2006/relationships/image" Target="../media/image120.jpeg"/><Relationship Id="rId137" Type="http://schemas.openxmlformats.org/officeDocument/2006/relationships/image" Target="../media/image141.jpeg"/><Relationship Id="rId158" Type="http://schemas.openxmlformats.org/officeDocument/2006/relationships/image" Target="../media/image162.jpeg"/><Relationship Id="rId20" Type="http://schemas.openxmlformats.org/officeDocument/2006/relationships/image" Target="../media/image24.jpeg"/><Relationship Id="rId41" Type="http://schemas.openxmlformats.org/officeDocument/2006/relationships/image" Target="../media/image45.jpeg"/><Relationship Id="rId62" Type="http://schemas.openxmlformats.org/officeDocument/2006/relationships/image" Target="../media/image66.jpeg"/><Relationship Id="rId83" Type="http://schemas.openxmlformats.org/officeDocument/2006/relationships/image" Target="../media/image87.jpeg"/><Relationship Id="rId88" Type="http://schemas.openxmlformats.org/officeDocument/2006/relationships/image" Target="../media/image92.jpeg"/><Relationship Id="rId111" Type="http://schemas.openxmlformats.org/officeDocument/2006/relationships/image" Target="../media/image115.jpeg"/><Relationship Id="rId132" Type="http://schemas.openxmlformats.org/officeDocument/2006/relationships/image" Target="../media/image136.jpeg"/><Relationship Id="rId153" Type="http://schemas.openxmlformats.org/officeDocument/2006/relationships/image" Target="../media/image157.jpeg"/><Relationship Id="rId15" Type="http://schemas.openxmlformats.org/officeDocument/2006/relationships/image" Target="../media/image19.jpeg"/><Relationship Id="rId36" Type="http://schemas.openxmlformats.org/officeDocument/2006/relationships/image" Target="../media/image40.jpeg"/><Relationship Id="rId57" Type="http://schemas.openxmlformats.org/officeDocument/2006/relationships/image" Target="../media/image61.jpeg"/><Relationship Id="rId106" Type="http://schemas.openxmlformats.org/officeDocument/2006/relationships/image" Target="../media/image110.jpeg"/><Relationship Id="rId127" Type="http://schemas.openxmlformats.org/officeDocument/2006/relationships/image" Target="../media/image131.jpeg"/><Relationship Id="rId10" Type="http://schemas.openxmlformats.org/officeDocument/2006/relationships/image" Target="../media/image14.jpeg"/><Relationship Id="rId31" Type="http://schemas.openxmlformats.org/officeDocument/2006/relationships/image" Target="../media/image35.jpeg"/><Relationship Id="rId52" Type="http://schemas.openxmlformats.org/officeDocument/2006/relationships/image" Target="../media/image56.jpeg"/><Relationship Id="rId73" Type="http://schemas.openxmlformats.org/officeDocument/2006/relationships/image" Target="../media/image77.jpeg"/><Relationship Id="rId78" Type="http://schemas.openxmlformats.org/officeDocument/2006/relationships/image" Target="../media/image82.jpeg"/><Relationship Id="rId94" Type="http://schemas.openxmlformats.org/officeDocument/2006/relationships/image" Target="../media/image98.jpeg"/><Relationship Id="rId99" Type="http://schemas.openxmlformats.org/officeDocument/2006/relationships/image" Target="../media/image103.jpeg"/><Relationship Id="rId101" Type="http://schemas.openxmlformats.org/officeDocument/2006/relationships/image" Target="../media/image105.jpeg"/><Relationship Id="rId122" Type="http://schemas.openxmlformats.org/officeDocument/2006/relationships/image" Target="../media/image126.jpeg"/><Relationship Id="rId143" Type="http://schemas.openxmlformats.org/officeDocument/2006/relationships/image" Target="../media/image147.jpeg"/><Relationship Id="rId148" Type="http://schemas.openxmlformats.org/officeDocument/2006/relationships/image" Target="../media/image152.jpeg"/><Relationship Id="rId164" Type="http://schemas.openxmlformats.org/officeDocument/2006/relationships/image" Target="../media/image168.jpeg"/><Relationship Id="rId169" Type="http://schemas.openxmlformats.org/officeDocument/2006/relationships/image" Target="../media/image173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26" Type="http://schemas.openxmlformats.org/officeDocument/2006/relationships/image" Target="../media/image30.jpeg"/><Relationship Id="rId47" Type="http://schemas.openxmlformats.org/officeDocument/2006/relationships/image" Target="../media/image51.jpeg"/><Relationship Id="rId68" Type="http://schemas.openxmlformats.org/officeDocument/2006/relationships/image" Target="../media/image72.jpeg"/><Relationship Id="rId89" Type="http://schemas.openxmlformats.org/officeDocument/2006/relationships/image" Target="../media/image93.jpeg"/><Relationship Id="rId112" Type="http://schemas.openxmlformats.org/officeDocument/2006/relationships/image" Target="../media/image116.jpeg"/><Relationship Id="rId133" Type="http://schemas.openxmlformats.org/officeDocument/2006/relationships/image" Target="../media/image137.jpeg"/><Relationship Id="rId154" Type="http://schemas.openxmlformats.org/officeDocument/2006/relationships/image" Target="../media/image158.jpeg"/><Relationship Id="rId16" Type="http://schemas.openxmlformats.org/officeDocument/2006/relationships/image" Target="../media/image20.jpeg"/><Relationship Id="rId37" Type="http://schemas.openxmlformats.org/officeDocument/2006/relationships/image" Target="../media/image41.jpeg"/><Relationship Id="rId58" Type="http://schemas.openxmlformats.org/officeDocument/2006/relationships/image" Target="../media/image62.jpeg"/><Relationship Id="rId79" Type="http://schemas.openxmlformats.org/officeDocument/2006/relationships/image" Target="../media/image83.jpeg"/><Relationship Id="rId102" Type="http://schemas.openxmlformats.org/officeDocument/2006/relationships/image" Target="../media/image106.jpeg"/><Relationship Id="rId123" Type="http://schemas.openxmlformats.org/officeDocument/2006/relationships/image" Target="../media/image127.jpeg"/><Relationship Id="rId144" Type="http://schemas.openxmlformats.org/officeDocument/2006/relationships/image" Target="../media/image148.jpeg"/><Relationship Id="rId90" Type="http://schemas.openxmlformats.org/officeDocument/2006/relationships/image" Target="../media/image94.jpeg"/><Relationship Id="rId165" Type="http://schemas.openxmlformats.org/officeDocument/2006/relationships/image" Target="../media/image169.png"/><Relationship Id="rId27" Type="http://schemas.openxmlformats.org/officeDocument/2006/relationships/image" Target="../media/image31.jpeg"/><Relationship Id="rId48" Type="http://schemas.openxmlformats.org/officeDocument/2006/relationships/image" Target="../media/image52.jpeg"/><Relationship Id="rId69" Type="http://schemas.openxmlformats.org/officeDocument/2006/relationships/image" Target="../media/image73.jpeg"/><Relationship Id="rId113" Type="http://schemas.openxmlformats.org/officeDocument/2006/relationships/image" Target="../media/image117.jpeg"/><Relationship Id="rId134" Type="http://schemas.openxmlformats.org/officeDocument/2006/relationships/image" Target="../media/image138.jpeg"/><Relationship Id="rId80" Type="http://schemas.openxmlformats.org/officeDocument/2006/relationships/image" Target="../media/image84.jpeg"/><Relationship Id="rId155" Type="http://schemas.openxmlformats.org/officeDocument/2006/relationships/image" Target="../media/image159.jpeg"/><Relationship Id="rId17" Type="http://schemas.openxmlformats.org/officeDocument/2006/relationships/image" Target="../media/image21.jpeg"/><Relationship Id="rId38" Type="http://schemas.openxmlformats.org/officeDocument/2006/relationships/image" Target="../media/image42.jpeg"/><Relationship Id="rId59" Type="http://schemas.openxmlformats.org/officeDocument/2006/relationships/image" Target="../media/image63.jpeg"/><Relationship Id="rId103" Type="http://schemas.openxmlformats.org/officeDocument/2006/relationships/image" Target="../media/image107.jpeg"/><Relationship Id="rId124" Type="http://schemas.openxmlformats.org/officeDocument/2006/relationships/image" Target="../media/image128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1.png"/><Relationship Id="rId13" Type="http://schemas.openxmlformats.org/officeDocument/2006/relationships/image" Target="../media/image186.png"/><Relationship Id="rId18" Type="http://schemas.openxmlformats.org/officeDocument/2006/relationships/image" Target="../media/image191.png"/><Relationship Id="rId3" Type="http://schemas.openxmlformats.org/officeDocument/2006/relationships/image" Target="../media/image176.png"/><Relationship Id="rId7" Type="http://schemas.openxmlformats.org/officeDocument/2006/relationships/image" Target="../media/image180.png"/><Relationship Id="rId12" Type="http://schemas.openxmlformats.org/officeDocument/2006/relationships/image" Target="../media/image185.png"/><Relationship Id="rId17" Type="http://schemas.openxmlformats.org/officeDocument/2006/relationships/image" Target="../media/image190.png"/><Relationship Id="rId2" Type="http://schemas.openxmlformats.org/officeDocument/2006/relationships/image" Target="../media/image175.png"/><Relationship Id="rId16" Type="http://schemas.openxmlformats.org/officeDocument/2006/relationships/image" Target="../media/image189.png"/><Relationship Id="rId1" Type="http://schemas.openxmlformats.org/officeDocument/2006/relationships/image" Target="../media/image174.png"/><Relationship Id="rId6" Type="http://schemas.openxmlformats.org/officeDocument/2006/relationships/image" Target="../media/image179.png"/><Relationship Id="rId11" Type="http://schemas.openxmlformats.org/officeDocument/2006/relationships/image" Target="../media/image184.png"/><Relationship Id="rId5" Type="http://schemas.openxmlformats.org/officeDocument/2006/relationships/image" Target="../media/image178.png"/><Relationship Id="rId15" Type="http://schemas.openxmlformats.org/officeDocument/2006/relationships/image" Target="../media/image188.jpeg"/><Relationship Id="rId10" Type="http://schemas.openxmlformats.org/officeDocument/2006/relationships/image" Target="../media/image183.png"/><Relationship Id="rId19" Type="http://schemas.openxmlformats.org/officeDocument/2006/relationships/image" Target="../media/image192.png"/><Relationship Id="rId4" Type="http://schemas.openxmlformats.org/officeDocument/2006/relationships/image" Target="../media/image177.png"/><Relationship Id="rId9" Type="http://schemas.openxmlformats.org/officeDocument/2006/relationships/image" Target="../media/image182.png"/><Relationship Id="rId14" Type="http://schemas.openxmlformats.org/officeDocument/2006/relationships/image" Target="../media/image187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0.png"/><Relationship Id="rId3" Type="http://schemas.openxmlformats.org/officeDocument/2006/relationships/image" Target="../media/image195.png"/><Relationship Id="rId7" Type="http://schemas.openxmlformats.org/officeDocument/2006/relationships/image" Target="../media/image199.png"/><Relationship Id="rId12" Type="http://schemas.openxmlformats.org/officeDocument/2006/relationships/image" Target="../media/image204.emf"/><Relationship Id="rId2" Type="http://schemas.openxmlformats.org/officeDocument/2006/relationships/image" Target="../media/image194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1" Type="http://schemas.openxmlformats.org/officeDocument/2006/relationships/image" Target="../media/image203.emf"/><Relationship Id="rId5" Type="http://schemas.openxmlformats.org/officeDocument/2006/relationships/image" Target="../media/image197.png"/><Relationship Id="rId10" Type="http://schemas.openxmlformats.org/officeDocument/2006/relationships/image" Target="../media/image202.png"/><Relationship Id="rId4" Type="http://schemas.openxmlformats.org/officeDocument/2006/relationships/image" Target="../media/image196.jpeg"/><Relationship Id="rId9" Type="http://schemas.openxmlformats.org/officeDocument/2006/relationships/image" Target="../media/image20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5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206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20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674076</xdr:colOff>
      <xdr:row>1</xdr:row>
      <xdr:rowOff>21981</xdr:rowOff>
    </xdr:from>
    <xdr:to>
      <xdr:col>9</xdr:col>
      <xdr:colOff>7326</xdr:colOff>
      <xdr:row>7</xdr:row>
      <xdr:rowOff>123824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974421-035C-427A-88C3-0871EBAEB40C}"/>
            </a:ext>
          </a:extLst>
        </xdr:cNvPr>
        <xdr:cNvSpPr/>
      </xdr:nvSpPr>
      <xdr:spPr>
        <a:xfrm>
          <a:off x="4101715" y="198873"/>
          <a:ext cx="2079172" cy="108019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500"/>
            <a:t>ORÇAMENTO</a:t>
          </a:r>
        </a:p>
      </xdr:txBody>
    </xdr:sp>
    <xdr:clientData/>
  </xdr:twoCellAnchor>
  <xdr:twoCellAnchor>
    <xdr:from>
      <xdr:col>9</xdr:col>
      <xdr:colOff>7581</xdr:colOff>
      <xdr:row>9</xdr:row>
      <xdr:rowOff>139723</xdr:rowOff>
    </xdr:from>
    <xdr:to>
      <xdr:col>11</xdr:col>
      <xdr:colOff>19495</xdr:colOff>
      <xdr:row>13</xdr:row>
      <xdr:rowOff>138258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3473E1-3C8C-4D4E-AE53-AF23FA39F2CC}"/>
            </a:ext>
          </a:extLst>
        </xdr:cNvPr>
        <xdr:cNvSpPr/>
      </xdr:nvSpPr>
      <xdr:spPr>
        <a:xfrm>
          <a:off x="6181142" y="1618819"/>
          <a:ext cx="1384874" cy="65167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CRONOGRAMA</a:t>
          </a:r>
        </a:p>
      </xdr:txBody>
    </xdr:sp>
    <xdr:clientData/>
  </xdr:twoCellAnchor>
  <xdr:twoCellAnchor>
    <xdr:from>
      <xdr:col>0</xdr:col>
      <xdr:colOff>688730</xdr:colOff>
      <xdr:row>19</xdr:row>
      <xdr:rowOff>21980</xdr:rowOff>
    </xdr:from>
    <xdr:to>
      <xdr:col>3</xdr:col>
      <xdr:colOff>681403</xdr:colOff>
      <xdr:row>22</xdr:row>
      <xdr:rowOff>153865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C6D8BDD9-B2E8-4DB3-B986-817AED4E6572}"/>
            </a:ext>
          </a:extLst>
        </xdr:cNvPr>
        <xdr:cNvSpPr/>
      </xdr:nvSpPr>
      <xdr:spPr>
        <a:xfrm>
          <a:off x="688730" y="2974730"/>
          <a:ext cx="2050073" cy="61902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PAVIMENTAÇÃO</a:t>
          </a:r>
        </a:p>
      </xdr:txBody>
    </xdr:sp>
    <xdr:clientData/>
  </xdr:twoCellAnchor>
  <xdr:twoCellAnchor>
    <xdr:from>
      <xdr:col>11</xdr:col>
      <xdr:colOff>20053</xdr:colOff>
      <xdr:row>19</xdr:row>
      <xdr:rowOff>20053</xdr:rowOff>
    </xdr:from>
    <xdr:to>
      <xdr:col>13</xdr:col>
      <xdr:colOff>674076</xdr:colOff>
      <xdr:row>22</xdr:row>
      <xdr:rowOff>131884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C1192024-2DA0-4004-80B7-C7412BD81D2D}"/>
            </a:ext>
          </a:extLst>
        </xdr:cNvPr>
        <xdr:cNvSpPr/>
      </xdr:nvSpPr>
      <xdr:spPr>
        <a:xfrm>
          <a:off x="7566574" y="2972803"/>
          <a:ext cx="2021541" cy="60168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DRENAGEM</a:t>
          </a:r>
        </a:p>
      </xdr:txBody>
    </xdr:sp>
    <xdr:clientData/>
  </xdr:twoCellAnchor>
  <xdr:twoCellAnchor>
    <xdr:from>
      <xdr:col>5</xdr:col>
      <xdr:colOff>681404</xdr:colOff>
      <xdr:row>19</xdr:row>
      <xdr:rowOff>14654</xdr:rowOff>
    </xdr:from>
    <xdr:to>
      <xdr:col>8</xdr:col>
      <xdr:colOff>681404</xdr:colOff>
      <xdr:row>23</xdr:row>
      <xdr:rowOff>0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4A0AA10-8DFB-4B44-93AD-C57E2DA02BF2}"/>
            </a:ext>
          </a:extLst>
        </xdr:cNvPr>
        <xdr:cNvSpPr/>
      </xdr:nvSpPr>
      <xdr:spPr>
        <a:xfrm>
          <a:off x="4110404" y="2967404"/>
          <a:ext cx="2057400" cy="63576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SERVIÇOS PRELIMINARES</a:t>
          </a:r>
        </a:p>
      </xdr:txBody>
    </xdr:sp>
    <xdr:clientData/>
  </xdr:twoCellAnchor>
  <xdr:twoCellAnchor>
    <xdr:from>
      <xdr:col>1</xdr:col>
      <xdr:colOff>159164</xdr:colOff>
      <xdr:row>27</xdr:row>
      <xdr:rowOff>107961</xdr:rowOff>
    </xdr:from>
    <xdr:to>
      <xdr:col>3</xdr:col>
      <xdr:colOff>534864</xdr:colOff>
      <xdr:row>30</xdr:row>
      <xdr:rowOff>91309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B3457E3-66B0-45FC-A3FD-2B260F32F872}"/>
            </a:ext>
          </a:extLst>
        </xdr:cNvPr>
        <xdr:cNvSpPr/>
      </xdr:nvSpPr>
      <xdr:spPr>
        <a:xfrm>
          <a:off x="846325" y="4362914"/>
          <a:ext cx="1745939" cy="477287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QUANTIFICAÇÃO</a:t>
          </a:r>
        </a:p>
      </xdr:txBody>
    </xdr:sp>
    <xdr:clientData/>
  </xdr:twoCellAnchor>
  <xdr:twoCellAnchor>
    <xdr:from>
      <xdr:col>6</xdr:col>
      <xdr:colOff>0</xdr:colOff>
      <xdr:row>28</xdr:row>
      <xdr:rowOff>155862</xdr:rowOff>
    </xdr:from>
    <xdr:to>
      <xdr:col>9</xdr:col>
      <xdr:colOff>0</xdr:colOff>
      <xdr:row>32</xdr:row>
      <xdr:rowOff>139210</xdr:rowOff>
    </xdr:to>
    <xdr:sp macro="" textlink="">
      <xdr:nvSpPr>
        <xdr:cNvPr id="8" name="Retângul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8E1FA77-9B27-4F9E-82E7-886E3E59687A}"/>
            </a:ext>
          </a:extLst>
        </xdr:cNvPr>
        <xdr:cNvSpPr/>
      </xdr:nvSpPr>
      <xdr:spPr>
        <a:xfrm>
          <a:off x="4114800" y="4575462"/>
          <a:ext cx="2057400" cy="63513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CICLOVIA</a:t>
          </a:r>
        </a:p>
      </xdr:txBody>
    </xdr:sp>
    <xdr:clientData/>
  </xdr:twoCellAnchor>
  <xdr:twoCellAnchor>
    <xdr:from>
      <xdr:col>6</xdr:col>
      <xdr:colOff>0</xdr:colOff>
      <xdr:row>39</xdr:row>
      <xdr:rowOff>69278</xdr:rowOff>
    </xdr:from>
    <xdr:to>
      <xdr:col>9</xdr:col>
      <xdr:colOff>0</xdr:colOff>
      <xdr:row>43</xdr:row>
      <xdr:rowOff>52626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34BEC7C-A3C7-4557-BB86-A980C294CCFF}"/>
            </a:ext>
          </a:extLst>
        </xdr:cNvPr>
        <xdr:cNvSpPr/>
      </xdr:nvSpPr>
      <xdr:spPr>
        <a:xfrm>
          <a:off x="4114800" y="6283660"/>
          <a:ext cx="2057400" cy="64057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ACESSIBILIDADE</a:t>
          </a:r>
        </a:p>
      </xdr:txBody>
    </xdr:sp>
    <xdr:clientData/>
  </xdr:twoCellAnchor>
  <xdr:twoCellAnchor>
    <xdr:from>
      <xdr:col>6</xdr:col>
      <xdr:colOff>0</xdr:colOff>
      <xdr:row>49</xdr:row>
      <xdr:rowOff>101912</xdr:rowOff>
    </xdr:from>
    <xdr:to>
      <xdr:col>9</xdr:col>
      <xdr:colOff>0</xdr:colOff>
      <xdr:row>53</xdr:row>
      <xdr:rowOff>87257</xdr:rowOff>
    </xdr:to>
    <xdr:sp macro="" textlink="">
      <xdr:nvSpPr>
        <xdr:cNvPr id="10" name="Retângul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F7C9C89-D6CD-40F9-86A0-D156325B01B6}"/>
            </a:ext>
          </a:extLst>
        </xdr:cNvPr>
        <xdr:cNvSpPr/>
      </xdr:nvSpPr>
      <xdr:spPr>
        <a:xfrm>
          <a:off x="4114800" y="7949151"/>
          <a:ext cx="2057400" cy="64121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TRAFFIC CALMING</a:t>
          </a:r>
        </a:p>
      </xdr:txBody>
    </xdr:sp>
    <xdr:clientData/>
  </xdr:twoCellAnchor>
  <xdr:twoCellAnchor>
    <xdr:from>
      <xdr:col>6</xdr:col>
      <xdr:colOff>0</xdr:colOff>
      <xdr:row>58</xdr:row>
      <xdr:rowOff>86590</xdr:rowOff>
    </xdr:from>
    <xdr:to>
      <xdr:col>9</xdr:col>
      <xdr:colOff>0</xdr:colOff>
      <xdr:row>62</xdr:row>
      <xdr:rowOff>69937</xdr:rowOff>
    </xdr:to>
    <xdr:sp macro="" textlink="">
      <xdr:nvSpPr>
        <xdr:cNvPr id="11" name="Retângul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09ED469-568F-4B34-A64A-163E265EB5CB}"/>
            </a:ext>
          </a:extLst>
        </xdr:cNvPr>
        <xdr:cNvSpPr/>
      </xdr:nvSpPr>
      <xdr:spPr>
        <a:xfrm>
          <a:off x="4114800" y="9406122"/>
          <a:ext cx="2057400" cy="63376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SINALIZAÇÃO PERMANENTE</a:t>
          </a:r>
        </a:p>
      </xdr:txBody>
    </xdr:sp>
    <xdr:clientData/>
  </xdr:twoCellAnchor>
  <xdr:twoCellAnchor>
    <xdr:from>
      <xdr:col>1</xdr:col>
      <xdr:colOff>171324</xdr:colOff>
      <xdr:row>36</xdr:row>
      <xdr:rowOff>66650</xdr:rowOff>
    </xdr:from>
    <xdr:to>
      <xdr:col>3</xdr:col>
      <xdr:colOff>527537</xdr:colOff>
      <xdr:row>39</xdr:row>
      <xdr:rowOff>51840</xdr:rowOff>
    </xdr:to>
    <xdr:sp macro="" textlink="">
      <xdr:nvSpPr>
        <xdr:cNvPr id="12" name="Retângul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3D6A77C-5585-4209-8CE8-A4DE53610838}"/>
            </a:ext>
          </a:extLst>
        </xdr:cNvPr>
        <xdr:cNvSpPr/>
      </xdr:nvSpPr>
      <xdr:spPr>
        <a:xfrm>
          <a:off x="859845" y="5791175"/>
          <a:ext cx="1723731" cy="477769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TERRAPLENAGEM</a:t>
          </a:r>
        </a:p>
      </xdr:txBody>
    </xdr:sp>
    <xdr:clientData/>
  </xdr:twoCellAnchor>
  <xdr:twoCellAnchor>
    <xdr:from>
      <xdr:col>11</xdr:col>
      <xdr:colOff>195801</xdr:colOff>
      <xdr:row>25</xdr:row>
      <xdr:rowOff>4054</xdr:rowOff>
    </xdr:from>
    <xdr:to>
      <xdr:col>13</xdr:col>
      <xdr:colOff>593482</xdr:colOff>
      <xdr:row>27</xdr:row>
      <xdr:rowOff>143266</xdr:rowOff>
    </xdr:to>
    <xdr:sp macro="" textlink="">
      <xdr:nvSpPr>
        <xdr:cNvPr id="13" name="Retângulo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4F4B4DD-8F1A-4817-B4D6-E45EAFDDD656}"/>
            </a:ext>
          </a:extLst>
        </xdr:cNvPr>
        <xdr:cNvSpPr/>
      </xdr:nvSpPr>
      <xdr:spPr>
        <a:xfrm>
          <a:off x="7740962" y="3933797"/>
          <a:ext cx="1770641" cy="464422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11</xdr:col>
      <xdr:colOff>200633</xdr:colOff>
      <xdr:row>30</xdr:row>
      <xdr:rowOff>154971</xdr:rowOff>
    </xdr:from>
    <xdr:to>
      <xdr:col>13</xdr:col>
      <xdr:colOff>586156</xdr:colOff>
      <xdr:row>33</xdr:row>
      <xdr:rowOff>140161</xdr:rowOff>
    </xdr:to>
    <xdr:sp macro="" textlink="">
      <xdr:nvSpPr>
        <xdr:cNvPr id="14" name="Retângulo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5D8624F-1D1E-4EA3-9D54-1880FDA25967}"/>
            </a:ext>
          </a:extLst>
        </xdr:cNvPr>
        <xdr:cNvSpPr/>
      </xdr:nvSpPr>
      <xdr:spPr>
        <a:xfrm>
          <a:off x="7745794" y="4901142"/>
          <a:ext cx="1758483" cy="473687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DIMENSIONAMENTO</a:t>
          </a:r>
          <a:r>
            <a:rPr lang="pt-BR" sz="1100" baseline="0"/>
            <a:t> GAP</a:t>
          </a:r>
          <a:endParaRPr lang="pt-BR" sz="1100"/>
        </a:p>
      </xdr:txBody>
    </xdr:sp>
    <xdr:clientData/>
  </xdr:twoCellAnchor>
  <xdr:twoCellAnchor>
    <xdr:from>
      <xdr:col>11</xdr:col>
      <xdr:colOff>209804</xdr:colOff>
      <xdr:row>43</xdr:row>
      <xdr:rowOff>54864</xdr:rowOff>
    </xdr:from>
    <xdr:to>
      <xdr:col>13</xdr:col>
      <xdr:colOff>602974</xdr:colOff>
      <xdr:row>46</xdr:row>
      <xdr:rowOff>38212</xdr:rowOff>
    </xdr:to>
    <xdr:sp macro="" textlink="">
      <xdr:nvSpPr>
        <xdr:cNvPr id="15" name="Retângul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80E7D81-1B5F-4153-B3C2-942831726636}"/>
            </a:ext>
          </a:extLst>
        </xdr:cNvPr>
        <xdr:cNvSpPr/>
      </xdr:nvSpPr>
      <xdr:spPr>
        <a:xfrm>
          <a:off x="7756325" y="6926471"/>
          <a:ext cx="1760688" cy="470484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QUANTIFICAÇÃO</a:t>
          </a:r>
        </a:p>
      </xdr:txBody>
    </xdr:sp>
    <xdr:clientData/>
  </xdr:twoCellAnchor>
  <xdr:twoCellAnchor>
    <xdr:from>
      <xdr:col>11</xdr:col>
      <xdr:colOff>179925</xdr:colOff>
      <xdr:row>49</xdr:row>
      <xdr:rowOff>77656</xdr:rowOff>
    </xdr:from>
    <xdr:to>
      <xdr:col>13</xdr:col>
      <xdr:colOff>606494</xdr:colOff>
      <xdr:row>52</xdr:row>
      <xdr:rowOff>61003</xdr:rowOff>
    </xdr:to>
    <xdr:sp macro="" textlink="">
      <xdr:nvSpPr>
        <xdr:cNvPr id="16" name="Retângulo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D52C815-9736-47C2-882E-E3A84A0C6EA7}"/>
            </a:ext>
          </a:extLst>
        </xdr:cNvPr>
        <xdr:cNvSpPr/>
      </xdr:nvSpPr>
      <xdr:spPr>
        <a:xfrm>
          <a:off x="7722364" y="7926256"/>
          <a:ext cx="1799530" cy="475925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SERVIÇOS PRELIMINARES</a:t>
          </a:r>
        </a:p>
      </xdr:txBody>
    </xdr:sp>
    <xdr:clientData/>
  </xdr:twoCellAnchor>
  <xdr:twoCellAnchor>
    <xdr:from>
      <xdr:col>11</xdr:col>
      <xdr:colOff>178652</xdr:colOff>
      <xdr:row>55</xdr:row>
      <xdr:rowOff>152567</xdr:rowOff>
    </xdr:from>
    <xdr:to>
      <xdr:col>13</xdr:col>
      <xdr:colOff>605221</xdr:colOff>
      <xdr:row>58</xdr:row>
      <xdr:rowOff>137757</xdr:rowOff>
    </xdr:to>
    <xdr:sp macro="" textlink="">
      <xdr:nvSpPr>
        <xdr:cNvPr id="17" name="Retângulo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93F17D1-2596-47C6-AC69-C3302A9305ED}"/>
            </a:ext>
          </a:extLst>
        </xdr:cNvPr>
        <xdr:cNvSpPr/>
      </xdr:nvSpPr>
      <xdr:spPr>
        <a:xfrm>
          <a:off x="7721091" y="8980881"/>
          <a:ext cx="1799530" cy="477768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TERRAPLENAGEM</a:t>
          </a:r>
        </a:p>
      </xdr:txBody>
    </xdr:sp>
    <xdr:clientData/>
  </xdr:twoCellAnchor>
  <xdr:twoCellAnchor>
    <xdr:from>
      <xdr:col>11</xdr:col>
      <xdr:colOff>166492</xdr:colOff>
      <xdr:row>62</xdr:row>
      <xdr:rowOff>50113</xdr:rowOff>
    </xdr:from>
    <xdr:to>
      <xdr:col>13</xdr:col>
      <xdr:colOff>593061</xdr:colOff>
      <xdr:row>65</xdr:row>
      <xdr:rowOff>35303</xdr:rowOff>
    </xdr:to>
    <xdr:sp macro="" textlink="">
      <xdr:nvSpPr>
        <xdr:cNvPr id="18" name="Retângulo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AE9C14D-E827-4FA7-830F-A6D182476E82}"/>
            </a:ext>
          </a:extLst>
        </xdr:cNvPr>
        <xdr:cNvSpPr/>
      </xdr:nvSpPr>
      <xdr:spPr>
        <a:xfrm>
          <a:off x="7711653" y="10022788"/>
          <a:ext cx="1799529" cy="473686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ESTRUTURA</a:t>
          </a:r>
        </a:p>
      </xdr:txBody>
    </xdr:sp>
    <xdr:clientData/>
  </xdr:twoCellAnchor>
  <xdr:twoCellAnchor>
    <xdr:from>
      <xdr:col>1</xdr:col>
      <xdr:colOff>180495</xdr:colOff>
      <xdr:row>45</xdr:row>
      <xdr:rowOff>8106</xdr:rowOff>
    </xdr:from>
    <xdr:to>
      <xdr:col>3</xdr:col>
      <xdr:colOff>534864</xdr:colOff>
      <xdr:row>47</xdr:row>
      <xdr:rowOff>147318</xdr:rowOff>
    </xdr:to>
    <xdr:sp macro="" textlink="">
      <xdr:nvSpPr>
        <xdr:cNvPr id="19" name="Retângulo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C46806B-A52D-42B5-8C12-EA43FAA0F996}"/>
            </a:ext>
          </a:extLst>
        </xdr:cNvPr>
        <xdr:cNvSpPr/>
      </xdr:nvSpPr>
      <xdr:spPr>
        <a:xfrm>
          <a:off x="864934" y="7204924"/>
          <a:ext cx="1727330" cy="463062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ESTRUTURA</a:t>
          </a:r>
        </a:p>
      </xdr:txBody>
    </xdr:sp>
    <xdr:clientData/>
  </xdr:twoCellAnchor>
  <xdr:twoCellAnchor>
    <xdr:from>
      <xdr:col>1</xdr:col>
      <xdr:colOff>150615</xdr:colOff>
      <xdr:row>53</xdr:row>
      <xdr:rowOff>4055</xdr:rowOff>
    </xdr:from>
    <xdr:to>
      <xdr:col>3</xdr:col>
      <xdr:colOff>534863</xdr:colOff>
      <xdr:row>55</xdr:row>
      <xdr:rowOff>143266</xdr:rowOff>
    </xdr:to>
    <xdr:sp macro="" textlink="">
      <xdr:nvSpPr>
        <xdr:cNvPr id="20" name="Retângulo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A12A48C-4879-4304-A709-B15ADF137BC3}"/>
            </a:ext>
          </a:extLst>
        </xdr:cNvPr>
        <xdr:cNvSpPr/>
      </xdr:nvSpPr>
      <xdr:spPr>
        <a:xfrm>
          <a:off x="836415" y="8505798"/>
          <a:ext cx="1755848" cy="464421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DIMENSIONAMENTO</a:t>
          </a:r>
        </a:p>
      </xdr:txBody>
    </xdr:sp>
    <xdr:clientData/>
  </xdr:twoCellAnchor>
  <xdr:twoCellAnchor>
    <xdr:from>
      <xdr:col>1</xdr:col>
      <xdr:colOff>149343</xdr:colOff>
      <xdr:row>60</xdr:row>
      <xdr:rowOff>46058</xdr:rowOff>
    </xdr:from>
    <xdr:to>
      <xdr:col>3</xdr:col>
      <xdr:colOff>534864</xdr:colOff>
      <xdr:row>63</xdr:row>
      <xdr:rowOff>31248</xdr:rowOff>
    </xdr:to>
    <xdr:sp macro="" textlink="">
      <xdr:nvSpPr>
        <xdr:cNvPr id="21" name="Retângulo 2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D3804C9F-D87A-42D1-85C6-D77DB2D63AA5}"/>
            </a:ext>
          </a:extLst>
        </xdr:cNvPr>
        <xdr:cNvSpPr/>
      </xdr:nvSpPr>
      <xdr:spPr>
        <a:xfrm>
          <a:off x="835143" y="9692162"/>
          <a:ext cx="1757121" cy="472325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RECAPEAMENTO PRÉVIO</a:t>
          </a:r>
        </a:p>
      </xdr:txBody>
    </xdr:sp>
    <xdr:clientData/>
  </xdr:twoCellAnchor>
  <xdr:twoCellAnchor>
    <xdr:from>
      <xdr:col>1</xdr:col>
      <xdr:colOff>137182</xdr:colOff>
      <xdr:row>68</xdr:row>
      <xdr:rowOff>50105</xdr:rowOff>
    </xdr:from>
    <xdr:to>
      <xdr:col>3</xdr:col>
      <xdr:colOff>542190</xdr:colOff>
      <xdr:row>71</xdr:row>
      <xdr:rowOff>35295</xdr:rowOff>
    </xdr:to>
    <xdr:sp macro="" textlink="">
      <xdr:nvSpPr>
        <xdr:cNvPr id="22" name="Retângulo 2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8270BDC5-3157-455B-B85E-2F03BF81D0AE}"/>
            </a:ext>
          </a:extLst>
        </xdr:cNvPr>
        <xdr:cNvSpPr/>
      </xdr:nvSpPr>
      <xdr:spPr>
        <a:xfrm>
          <a:off x="825703" y="11002495"/>
          <a:ext cx="1775248" cy="473686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RECAPEAMENTO FINAL</a:t>
          </a:r>
        </a:p>
      </xdr:txBody>
    </xdr:sp>
    <xdr:clientData/>
  </xdr:twoCellAnchor>
  <xdr:twoCellAnchor>
    <xdr:from>
      <xdr:col>6</xdr:col>
      <xdr:colOff>0</xdr:colOff>
      <xdr:row>67</xdr:row>
      <xdr:rowOff>69270</xdr:rowOff>
    </xdr:from>
    <xdr:to>
      <xdr:col>9</xdr:col>
      <xdr:colOff>0</xdr:colOff>
      <xdr:row>71</xdr:row>
      <xdr:rowOff>52618</xdr:rowOff>
    </xdr:to>
    <xdr:sp macro="" textlink="">
      <xdr:nvSpPr>
        <xdr:cNvPr id="23" name="Retângulo 2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C07EDB3-6C67-4BA6-A7E7-BF94CB757A64}"/>
            </a:ext>
          </a:extLst>
        </xdr:cNvPr>
        <xdr:cNvSpPr/>
      </xdr:nvSpPr>
      <xdr:spPr>
        <a:xfrm>
          <a:off x="4114800" y="10855652"/>
          <a:ext cx="2057400" cy="64057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DRENAGEM PROFUNDA</a:t>
          </a:r>
        </a:p>
      </xdr:txBody>
    </xdr:sp>
    <xdr:clientData/>
  </xdr:twoCellAnchor>
  <xdr:twoCellAnchor>
    <xdr:from>
      <xdr:col>11</xdr:col>
      <xdr:colOff>166492</xdr:colOff>
      <xdr:row>68</xdr:row>
      <xdr:rowOff>50117</xdr:rowOff>
    </xdr:from>
    <xdr:to>
      <xdr:col>13</xdr:col>
      <xdr:colOff>593061</xdr:colOff>
      <xdr:row>71</xdr:row>
      <xdr:rowOff>35307</xdr:rowOff>
    </xdr:to>
    <xdr:sp macro="" textlink="">
      <xdr:nvSpPr>
        <xdr:cNvPr id="24" name="Retângulo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DED54308-6B8A-4915-AB92-B298093D369A}"/>
            </a:ext>
          </a:extLst>
        </xdr:cNvPr>
        <xdr:cNvSpPr/>
      </xdr:nvSpPr>
      <xdr:spPr>
        <a:xfrm>
          <a:off x="7711653" y="11002507"/>
          <a:ext cx="1799529" cy="473686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FECHAMENTO</a:t>
          </a:r>
          <a:r>
            <a:rPr lang="pt-BR" sz="1100" baseline="0"/>
            <a:t> DE VALA</a:t>
          </a:r>
          <a:endParaRPr lang="pt-BR" sz="1100"/>
        </a:p>
      </xdr:txBody>
    </xdr:sp>
    <xdr:clientData/>
  </xdr:twoCellAnchor>
  <xdr:twoCellAnchor>
    <xdr:from>
      <xdr:col>7</xdr:col>
      <xdr:colOff>338504</xdr:colOff>
      <xdr:row>7</xdr:row>
      <xdr:rowOff>123824</xdr:rowOff>
    </xdr:from>
    <xdr:to>
      <xdr:col>7</xdr:col>
      <xdr:colOff>340701</xdr:colOff>
      <xdr:row>19</xdr:row>
      <xdr:rowOff>14654</xdr:rowOff>
    </xdr:to>
    <xdr:cxnSp macro="">
      <xdr:nvCxnSpPr>
        <xdr:cNvPr id="25" name="Conector reto 24">
          <a:extLst>
            <a:ext uri="{FF2B5EF4-FFF2-40B4-BE49-F238E27FC236}">
              <a16:creationId xmlns:a16="http://schemas.microsoft.com/office/drawing/2014/main" id="{3543381D-1127-4BDB-8CE3-32838FDF1E06}"/>
            </a:ext>
          </a:extLst>
        </xdr:cNvPr>
        <xdr:cNvCxnSpPr>
          <a:stCxn id="2" idx="2"/>
          <a:endCxn id="6" idx="0"/>
        </xdr:cNvCxnSpPr>
      </xdr:nvCxnSpPr>
      <xdr:spPr>
        <a:xfrm flipH="1">
          <a:off x="5139104" y="1279071"/>
          <a:ext cx="2197" cy="1688333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664005</xdr:colOff>
      <xdr:row>11</xdr:row>
      <xdr:rowOff>138991</xdr:rowOff>
    </xdr:from>
    <xdr:to>
      <xdr:col>9</xdr:col>
      <xdr:colOff>7581</xdr:colOff>
      <xdr:row>11</xdr:row>
      <xdr:rowOff>145807</xdr:rowOff>
    </xdr:to>
    <xdr:cxnSp macro="">
      <xdr:nvCxnSpPr>
        <xdr:cNvPr id="26" name="Conector reto 25">
          <a:extLst>
            <a:ext uri="{FF2B5EF4-FFF2-40B4-BE49-F238E27FC236}">
              <a16:creationId xmlns:a16="http://schemas.microsoft.com/office/drawing/2014/main" id="{CA3A47FC-BD85-453E-A287-DBFAAF351E24}"/>
            </a:ext>
          </a:extLst>
        </xdr:cNvPr>
        <xdr:cNvCxnSpPr>
          <a:stCxn id="31" idx="3"/>
          <a:endCxn id="3" idx="1"/>
        </xdr:cNvCxnSpPr>
      </xdr:nvCxnSpPr>
      <xdr:spPr>
        <a:xfrm flipV="1">
          <a:off x="4095726" y="1944659"/>
          <a:ext cx="2085416" cy="6816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342167</xdr:colOff>
      <xdr:row>16</xdr:row>
      <xdr:rowOff>9525</xdr:rowOff>
    </xdr:from>
    <xdr:to>
      <xdr:col>2</xdr:col>
      <xdr:colOff>342900</xdr:colOff>
      <xdr:row>19</xdr:row>
      <xdr:rowOff>21980</xdr:rowOff>
    </xdr:to>
    <xdr:cxnSp macro="">
      <xdr:nvCxnSpPr>
        <xdr:cNvPr id="27" name="Conector reto 26">
          <a:extLst>
            <a:ext uri="{FF2B5EF4-FFF2-40B4-BE49-F238E27FC236}">
              <a16:creationId xmlns:a16="http://schemas.microsoft.com/office/drawing/2014/main" id="{A4D461C0-9317-4068-A301-421A4EAE5081}"/>
            </a:ext>
          </a:extLst>
        </xdr:cNvPr>
        <xdr:cNvCxnSpPr>
          <a:stCxn id="4" idx="0"/>
        </xdr:cNvCxnSpPr>
      </xdr:nvCxnSpPr>
      <xdr:spPr>
        <a:xfrm flipV="1">
          <a:off x="1713767" y="2634343"/>
          <a:ext cx="733" cy="340387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333375</xdr:colOff>
      <xdr:row>16</xdr:row>
      <xdr:rowOff>0</xdr:rowOff>
    </xdr:from>
    <xdr:to>
      <xdr:col>12</xdr:col>
      <xdr:colOff>353786</xdr:colOff>
      <xdr:row>16</xdr:row>
      <xdr:rowOff>10886</xdr:rowOff>
    </xdr:to>
    <xdr:cxnSp macro="">
      <xdr:nvCxnSpPr>
        <xdr:cNvPr id="28" name="Conector reto 27">
          <a:extLst>
            <a:ext uri="{FF2B5EF4-FFF2-40B4-BE49-F238E27FC236}">
              <a16:creationId xmlns:a16="http://schemas.microsoft.com/office/drawing/2014/main" id="{16284717-C36A-49F3-95EA-DF96A34A3D1E}"/>
            </a:ext>
          </a:extLst>
        </xdr:cNvPr>
        <xdr:cNvCxnSpPr/>
      </xdr:nvCxnSpPr>
      <xdr:spPr>
        <a:xfrm>
          <a:off x="1703614" y="2623457"/>
          <a:ext cx="6881133" cy="12247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347065</xdr:colOff>
      <xdr:row>16</xdr:row>
      <xdr:rowOff>5443</xdr:rowOff>
    </xdr:from>
    <xdr:to>
      <xdr:col>12</xdr:col>
      <xdr:colOff>353786</xdr:colOff>
      <xdr:row>19</xdr:row>
      <xdr:rowOff>20053</xdr:rowOff>
    </xdr:to>
    <xdr:cxnSp macro="">
      <xdr:nvCxnSpPr>
        <xdr:cNvPr id="29" name="Conector reto 28">
          <a:extLst>
            <a:ext uri="{FF2B5EF4-FFF2-40B4-BE49-F238E27FC236}">
              <a16:creationId xmlns:a16="http://schemas.microsoft.com/office/drawing/2014/main" id="{ADBEC132-2B0E-47FD-89AF-B9DA3AEBD2F7}"/>
            </a:ext>
          </a:extLst>
        </xdr:cNvPr>
        <xdr:cNvCxnSpPr>
          <a:endCxn id="5" idx="0"/>
        </xdr:cNvCxnSpPr>
      </xdr:nvCxnSpPr>
      <xdr:spPr>
        <a:xfrm flipH="1">
          <a:off x="8576665" y="2630261"/>
          <a:ext cx="8082" cy="342542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672353</xdr:colOff>
      <xdr:row>1</xdr:row>
      <xdr:rowOff>112059</xdr:rowOff>
    </xdr:from>
    <xdr:to>
      <xdr:col>1</xdr:col>
      <xdr:colOff>670992</xdr:colOff>
      <xdr:row>6</xdr:row>
      <xdr:rowOff>562</xdr:rowOff>
    </xdr:to>
    <xdr:pic>
      <xdr:nvPicPr>
        <xdr:cNvPr id="30" name="Imagem 29" descr="Schettini capa.jpg">
          <a:extLst>
            <a:ext uri="{FF2B5EF4-FFF2-40B4-BE49-F238E27FC236}">
              <a16:creationId xmlns:a16="http://schemas.microsoft.com/office/drawing/2014/main" id="{EF893FE4-3E1E-488D-A5F0-7BA8F0D61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56792" y="286230"/>
          <a:ext cx="0" cy="704932"/>
        </a:xfrm>
        <a:prstGeom prst="rect">
          <a:avLst/>
        </a:prstGeom>
      </xdr:spPr>
    </xdr:pic>
    <xdr:clientData/>
  </xdr:twoCellAnchor>
  <xdr:twoCellAnchor>
    <xdr:from>
      <xdr:col>3</xdr:col>
      <xdr:colOff>652092</xdr:colOff>
      <xdr:row>9</xdr:row>
      <xdr:rowOff>146539</xdr:rowOff>
    </xdr:from>
    <xdr:to>
      <xdr:col>5</xdr:col>
      <xdr:colOff>664005</xdr:colOff>
      <xdr:row>13</xdr:row>
      <xdr:rowOff>145074</xdr:rowOff>
    </xdr:to>
    <xdr:sp macro="" textlink="">
      <xdr:nvSpPr>
        <xdr:cNvPr id="31" name="Retângulo 30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E630CF54-FBD9-4BAD-B075-400D74499CB2}"/>
            </a:ext>
          </a:extLst>
        </xdr:cNvPr>
        <xdr:cNvSpPr/>
      </xdr:nvSpPr>
      <xdr:spPr>
        <a:xfrm>
          <a:off x="2709492" y="1625635"/>
          <a:ext cx="1386234" cy="65167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CURVA</a:t>
          </a:r>
          <a:r>
            <a:rPr lang="pt-BR" sz="1100" baseline="0"/>
            <a:t> ABC</a:t>
          </a:r>
          <a:endParaRPr lang="pt-BR" sz="1100"/>
        </a:p>
      </xdr:txBody>
    </xdr:sp>
    <xdr:clientData/>
  </xdr:twoCellAnchor>
  <xdr:twoCellAnchor>
    <xdr:from>
      <xdr:col>11</xdr:col>
      <xdr:colOff>161925</xdr:colOff>
      <xdr:row>37</xdr:row>
      <xdr:rowOff>0</xdr:rowOff>
    </xdr:from>
    <xdr:to>
      <xdr:col>13</xdr:col>
      <xdr:colOff>588494</xdr:colOff>
      <xdr:row>39</xdr:row>
      <xdr:rowOff>147115</xdr:rowOff>
    </xdr:to>
    <xdr:sp macro="" textlink="">
      <xdr:nvSpPr>
        <xdr:cNvPr id="32" name="Retângulo 3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1EE92F1-F2B0-4B65-A851-BA1044FAF506}"/>
            </a:ext>
          </a:extLst>
        </xdr:cNvPr>
        <xdr:cNvSpPr/>
      </xdr:nvSpPr>
      <xdr:spPr>
        <a:xfrm>
          <a:off x="7707086" y="5889171"/>
          <a:ext cx="1799529" cy="472326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BACIA</a:t>
          </a:r>
          <a:r>
            <a:rPr lang="pt-BR" sz="1100" baseline="0"/>
            <a:t> DE AMORTECIMENTO</a:t>
          </a:r>
          <a:endParaRPr lang="pt-BR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0.04095</cdr:x>
      <cdr:y>0.23806</cdr:y>
    </cdr:from>
    <cdr:to>
      <cdr:x>0.17367</cdr:x>
      <cdr:y>0.23806</cdr:y>
    </cdr:to>
    <cdr:cxnSp macro="">
      <cdr:nvCxnSpPr>
        <cdr:cNvPr id="4" name="Conector de Seta Reta 3">
          <a:extLst xmlns:a="http://schemas.openxmlformats.org/drawingml/2006/main">
            <a:ext uri="{FF2B5EF4-FFF2-40B4-BE49-F238E27FC236}">
              <a16:creationId xmlns:a16="http://schemas.microsoft.com/office/drawing/2014/main" id="{D8D01968-9FBB-448F-AB7E-99560E8034BE}"/>
            </a:ext>
          </a:extLst>
        </cdr:cNvPr>
        <cdr:cNvCxnSpPr/>
      </cdr:nvCxnSpPr>
      <cdr:spPr>
        <a:xfrm xmlns:a="http://schemas.openxmlformats.org/drawingml/2006/main">
          <a:off x="428846" y="1428688"/>
          <a:ext cx="1389870" cy="0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0.17581</cdr:x>
      <cdr:y>0.24286</cdr:y>
    </cdr:from>
    <cdr:to>
      <cdr:x>0.17583</cdr:x>
      <cdr:y>0.83539</cdr:y>
    </cdr:to>
    <cdr:cxnSp macro="">
      <cdr:nvCxnSpPr>
        <cdr:cNvPr id="6" name="Conector de Seta Reta 5">
          <a:extLst xmlns:a="http://schemas.openxmlformats.org/drawingml/2006/main">
            <a:ext uri="{FF2B5EF4-FFF2-40B4-BE49-F238E27FC236}">
              <a16:creationId xmlns:a16="http://schemas.microsoft.com/office/drawing/2014/main" id="{D8D01968-9FBB-448F-AB7E-99560E8034BE}"/>
            </a:ext>
          </a:extLst>
        </cdr:cNvPr>
        <cdr:cNvCxnSpPr/>
      </cdr:nvCxnSpPr>
      <cdr:spPr>
        <a:xfrm xmlns:a="http://schemas.openxmlformats.org/drawingml/2006/main" flipH="1">
          <a:off x="1841139" y="1457490"/>
          <a:ext cx="210" cy="3555997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0.42124</cdr:x>
      <cdr:y>0.12899</cdr:y>
    </cdr:from>
    <cdr:to>
      <cdr:x>0.42124</cdr:x>
      <cdr:y>0.82908</cdr:y>
    </cdr:to>
    <cdr:cxnSp macro="">
      <cdr:nvCxnSpPr>
        <cdr:cNvPr id="13" name="Conector de Seta Reta 12">
          <a:extLst xmlns:a="http://schemas.openxmlformats.org/drawingml/2006/main">
            <a:ext uri="{FF2B5EF4-FFF2-40B4-BE49-F238E27FC236}">
              <a16:creationId xmlns:a16="http://schemas.microsoft.com/office/drawing/2014/main" id="{EB61151D-669B-44E4-A41A-DAAEA20F5DB6}"/>
            </a:ext>
          </a:extLst>
        </cdr:cNvPr>
        <cdr:cNvCxnSpPr/>
      </cdr:nvCxnSpPr>
      <cdr:spPr>
        <a:xfrm xmlns:a="http://schemas.openxmlformats.org/drawingml/2006/main">
          <a:off x="4390147" y="782448"/>
          <a:ext cx="0" cy="4246753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0.04332</cdr:x>
      <cdr:y>0.12585</cdr:y>
    </cdr:from>
    <cdr:to>
      <cdr:x>0.42346</cdr:x>
      <cdr:y>0.12585</cdr:y>
    </cdr:to>
    <cdr:cxnSp macro="">
      <cdr:nvCxnSpPr>
        <cdr:cNvPr id="7" name="Conector de Seta Reta 6">
          <a:extLst xmlns:a="http://schemas.openxmlformats.org/drawingml/2006/main">
            <a:ext uri="{FF2B5EF4-FFF2-40B4-BE49-F238E27FC236}">
              <a16:creationId xmlns:a16="http://schemas.microsoft.com/office/drawing/2014/main" id="{4B932907-348D-4CFE-950E-CCDDA35C5112}"/>
            </a:ext>
          </a:extLst>
        </cdr:cNvPr>
        <cdr:cNvCxnSpPr/>
      </cdr:nvCxnSpPr>
      <cdr:spPr>
        <a:xfrm xmlns:a="http://schemas.openxmlformats.org/drawingml/2006/main">
          <a:off x="451459" y="763411"/>
          <a:ext cx="3961792" cy="0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0.10833</cdr:x>
      <cdr:y>0.52655</cdr:y>
    </cdr:from>
    <cdr:to>
      <cdr:x>0.14755</cdr:x>
      <cdr:y>0.64332</cdr:y>
    </cdr:to>
    <cdr:sp macro="" textlink="">
      <cdr:nvSpPr>
        <cdr:cNvPr id="23" name="CaixaDeTexto 22">
          <a:extLst xmlns:a="http://schemas.openxmlformats.org/drawingml/2006/main">
            <a:ext uri="{FF2B5EF4-FFF2-40B4-BE49-F238E27FC236}">
              <a16:creationId xmlns:a16="http://schemas.microsoft.com/office/drawing/2014/main" id="{9DC73EE8-C4AA-4BF6-8E09-7F5CE0853B56}"/>
            </a:ext>
          </a:extLst>
        </cdr:cNvPr>
        <cdr:cNvSpPr txBox="1"/>
      </cdr:nvSpPr>
      <cdr:spPr>
        <a:xfrm xmlns:a="http://schemas.openxmlformats.org/drawingml/2006/main">
          <a:off x="1129007" y="3194030"/>
          <a:ext cx="408751" cy="7083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4000"/>
            <a:t>A</a:t>
          </a:r>
        </a:p>
      </cdr:txBody>
    </cdr:sp>
  </cdr:relSizeAnchor>
  <cdr:relSizeAnchor xmlns:cdr="http://schemas.openxmlformats.org/drawingml/2006/chartDrawing">
    <cdr:from>
      <cdr:x>0.27191</cdr:x>
      <cdr:y>0.44321</cdr:y>
    </cdr:from>
    <cdr:to>
      <cdr:x>0.31848</cdr:x>
      <cdr:y>0.55325</cdr:y>
    </cdr:to>
    <cdr:sp macro="" textlink="">
      <cdr:nvSpPr>
        <cdr:cNvPr id="24" name="CaixaDeTexto 23">
          <a:extLst xmlns:a="http://schemas.openxmlformats.org/drawingml/2006/main">
            <a:ext uri="{FF2B5EF4-FFF2-40B4-BE49-F238E27FC236}">
              <a16:creationId xmlns:a16="http://schemas.microsoft.com/office/drawing/2014/main" id="{7508A606-63EF-41FF-8F20-41E36B7C67EB}"/>
            </a:ext>
          </a:extLst>
        </cdr:cNvPr>
        <cdr:cNvSpPr txBox="1"/>
      </cdr:nvSpPr>
      <cdr:spPr>
        <a:xfrm xmlns:a="http://schemas.openxmlformats.org/drawingml/2006/main">
          <a:off x="2833849" y="2688493"/>
          <a:ext cx="485353" cy="6675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4000"/>
            <a:t>B</a:t>
          </a:r>
        </a:p>
      </cdr:txBody>
    </cdr:sp>
  </cdr:relSizeAnchor>
  <cdr:relSizeAnchor xmlns:cdr="http://schemas.openxmlformats.org/drawingml/2006/chartDrawing">
    <cdr:from>
      <cdr:x>0.74415</cdr:x>
      <cdr:y>0.36335</cdr:y>
    </cdr:from>
    <cdr:to>
      <cdr:x>0.79072</cdr:x>
      <cdr:y>0.47191</cdr:y>
    </cdr:to>
    <cdr:sp macro="" textlink="">
      <cdr:nvSpPr>
        <cdr:cNvPr id="17" name="CaixaDeTexto 1">
          <a:extLst xmlns:a="http://schemas.openxmlformats.org/drawingml/2006/main">
            <a:ext uri="{FF2B5EF4-FFF2-40B4-BE49-F238E27FC236}">
              <a16:creationId xmlns:a16="http://schemas.microsoft.com/office/drawing/2014/main" id="{B6132C02-5454-5FF3-C161-5A2E76746B1D}"/>
            </a:ext>
          </a:extLst>
        </cdr:cNvPr>
        <cdr:cNvSpPr txBox="1"/>
      </cdr:nvSpPr>
      <cdr:spPr>
        <a:xfrm xmlns:a="http://schemas.openxmlformats.org/drawingml/2006/main">
          <a:off x="7793053" y="2180613"/>
          <a:ext cx="487700" cy="6514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4000"/>
            <a:t>C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88900</xdr:rowOff>
    </xdr:from>
    <xdr:to>
      <xdr:col>15</xdr:col>
      <xdr:colOff>622299</xdr:colOff>
      <xdr:row>36</xdr:row>
      <xdr:rowOff>158549</xdr:rowOff>
    </xdr:to>
    <xdr:graphicFrame macro="">
      <xdr:nvGraphicFramePr>
        <xdr:cNvPr id="2" name="PARETO_ND">
          <a:extLst>
            <a:ext uri="{FF2B5EF4-FFF2-40B4-BE49-F238E27FC236}">
              <a16:creationId xmlns:a16="http://schemas.microsoft.com/office/drawing/2014/main" id="{2C3A0F07-0FA3-44AB-A0D6-64810B173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19049</xdr:colOff>
      <xdr:row>0</xdr:row>
      <xdr:rowOff>88899</xdr:rowOff>
    </xdr:from>
    <xdr:to>
      <xdr:col>31</xdr:col>
      <xdr:colOff>630299</xdr:colOff>
      <xdr:row>37</xdr:row>
      <xdr:rowOff>1749</xdr:rowOff>
    </xdr:to>
    <xdr:graphicFrame macro="">
      <xdr:nvGraphicFramePr>
        <xdr:cNvPr id="3" name="PARETO_DE">
          <a:extLst>
            <a:ext uri="{FF2B5EF4-FFF2-40B4-BE49-F238E27FC236}">
              <a16:creationId xmlns:a16="http://schemas.microsoft.com/office/drawing/2014/main" id="{5C2FA8EF-DC66-42BA-BD33-4026067F5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0.04238</cdr:x>
      <cdr:y>0.2396</cdr:y>
    </cdr:from>
    <cdr:to>
      <cdr:x>0.16645</cdr:x>
      <cdr:y>0.2396</cdr:y>
    </cdr:to>
    <cdr:cxnSp macro="">
      <cdr:nvCxnSpPr>
        <cdr:cNvPr id="4" name="Conector de Seta Reta 3">
          <a:extLst xmlns:a="http://schemas.openxmlformats.org/drawingml/2006/main">
            <a:ext uri="{FF2B5EF4-FFF2-40B4-BE49-F238E27FC236}">
              <a16:creationId xmlns:a16="http://schemas.microsoft.com/office/drawing/2014/main" id="{D8D01968-9FBB-448F-AB7E-99560E8034BE}"/>
            </a:ext>
          </a:extLst>
        </cdr:cNvPr>
        <cdr:cNvCxnSpPr/>
      </cdr:nvCxnSpPr>
      <cdr:spPr>
        <a:xfrm xmlns:a="http://schemas.openxmlformats.org/drawingml/2006/main">
          <a:off x="443751" y="1437911"/>
          <a:ext cx="1299137" cy="0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0.16146</cdr:x>
      <cdr:y>0.24319</cdr:y>
    </cdr:from>
    <cdr:to>
      <cdr:x>0.16204</cdr:x>
      <cdr:y>0.82669</cdr:y>
    </cdr:to>
    <cdr:cxnSp macro="">
      <cdr:nvCxnSpPr>
        <cdr:cNvPr id="6" name="Conector de Seta Reta 5">
          <a:extLst xmlns:a="http://schemas.openxmlformats.org/drawingml/2006/main">
            <a:ext uri="{FF2B5EF4-FFF2-40B4-BE49-F238E27FC236}">
              <a16:creationId xmlns:a16="http://schemas.microsoft.com/office/drawing/2014/main" id="{D8D01968-9FBB-448F-AB7E-99560E8034BE}"/>
            </a:ext>
          </a:extLst>
        </cdr:cNvPr>
        <cdr:cNvCxnSpPr/>
      </cdr:nvCxnSpPr>
      <cdr:spPr>
        <a:xfrm xmlns:a="http://schemas.openxmlformats.org/drawingml/2006/main" flipH="1">
          <a:off x="1690592" y="1459455"/>
          <a:ext cx="6073" cy="3501756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0.42357</cdr:x>
      <cdr:y>0.12158</cdr:y>
    </cdr:from>
    <cdr:to>
      <cdr:x>0.42465</cdr:x>
      <cdr:y>0.82669</cdr:y>
    </cdr:to>
    <cdr:cxnSp macro="">
      <cdr:nvCxnSpPr>
        <cdr:cNvPr id="13" name="Conector de Seta Reta 12">
          <a:extLst xmlns:a="http://schemas.openxmlformats.org/drawingml/2006/main">
            <a:ext uri="{FF2B5EF4-FFF2-40B4-BE49-F238E27FC236}">
              <a16:creationId xmlns:a16="http://schemas.microsoft.com/office/drawing/2014/main" id="{EB61151D-669B-44E4-A41A-DAAEA20F5DB6}"/>
            </a:ext>
          </a:extLst>
        </cdr:cNvPr>
        <cdr:cNvCxnSpPr/>
      </cdr:nvCxnSpPr>
      <cdr:spPr>
        <a:xfrm xmlns:a="http://schemas.openxmlformats.org/drawingml/2006/main" flipH="1">
          <a:off x="4435114" y="729638"/>
          <a:ext cx="11308" cy="4231573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0.03864</cdr:x>
      <cdr:y>0.12082</cdr:y>
    </cdr:from>
    <cdr:to>
      <cdr:x>0.42188</cdr:x>
      <cdr:y>0.12082</cdr:y>
    </cdr:to>
    <cdr:cxnSp macro="">
      <cdr:nvCxnSpPr>
        <cdr:cNvPr id="7" name="Conector de Seta Reta 6">
          <a:extLst xmlns:a="http://schemas.openxmlformats.org/drawingml/2006/main">
            <a:ext uri="{FF2B5EF4-FFF2-40B4-BE49-F238E27FC236}">
              <a16:creationId xmlns:a16="http://schemas.microsoft.com/office/drawing/2014/main" id="{4B932907-348D-4CFE-950E-CCDDA35C5112}"/>
            </a:ext>
          </a:extLst>
        </cdr:cNvPr>
        <cdr:cNvCxnSpPr/>
      </cdr:nvCxnSpPr>
      <cdr:spPr>
        <a:xfrm xmlns:a="http://schemas.openxmlformats.org/drawingml/2006/main">
          <a:off x="404591" y="725077"/>
          <a:ext cx="4012768" cy="0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0.09308</cdr:x>
      <cdr:y>0.53508</cdr:y>
    </cdr:from>
    <cdr:to>
      <cdr:x>0.1323</cdr:x>
      <cdr:y>0.65185</cdr:y>
    </cdr:to>
    <cdr:sp macro="" textlink="">
      <cdr:nvSpPr>
        <cdr:cNvPr id="23" name="CaixaDeTexto 22">
          <a:extLst xmlns:a="http://schemas.openxmlformats.org/drawingml/2006/main">
            <a:ext uri="{FF2B5EF4-FFF2-40B4-BE49-F238E27FC236}">
              <a16:creationId xmlns:a16="http://schemas.microsoft.com/office/drawing/2014/main" id="{9DC73EE8-C4AA-4BF6-8E09-7F5CE0853B56}"/>
            </a:ext>
          </a:extLst>
        </cdr:cNvPr>
        <cdr:cNvSpPr txBox="1"/>
      </cdr:nvSpPr>
      <cdr:spPr>
        <a:xfrm xmlns:a="http://schemas.openxmlformats.org/drawingml/2006/main">
          <a:off x="969897" y="3244737"/>
          <a:ext cx="408686" cy="708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4000"/>
            <a:t>A</a:t>
          </a:r>
        </a:p>
      </cdr:txBody>
    </cdr:sp>
  </cdr:relSizeAnchor>
  <cdr:relSizeAnchor xmlns:cdr="http://schemas.openxmlformats.org/drawingml/2006/chartDrawing">
    <cdr:from>
      <cdr:x>0.26913</cdr:x>
      <cdr:y>0.45099</cdr:y>
    </cdr:from>
    <cdr:to>
      <cdr:x>0.3157</cdr:x>
      <cdr:y>0.57723</cdr:y>
    </cdr:to>
    <cdr:sp macro="" textlink="">
      <cdr:nvSpPr>
        <cdr:cNvPr id="24" name="CaixaDeTexto 23">
          <a:extLst xmlns:a="http://schemas.openxmlformats.org/drawingml/2006/main">
            <a:ext uri="{FF2B5EF4-FFF2-40B4-BE49-F238E27FC236}">
              <a16:creationId xmlns:a16="http://schemas.microsoft.com/office/drawing/2014/main" id="{7508A606-63EF-41FF-8F20-41E36B7C67EB}"/>
            </a:ext>
          </a:extLst>
        </cdr:cNvPr>
        <cdr:cNvSpPr txBox="1"/>
      </cdr:nvSpPr>
      <cdr:spPr>
        <a:xfrm xmlns:a="http://schemas.openxmlformats.org/drawingml/2006/main">
          <a:off x="2804432" y="2734845"/>
          <a:ext cx="485275" cy="7655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4000"/>
            <a:t>B</a:t>
          </a:r>
        </a:p>
      </cdr:txBody>
    </cdr:sp>
  </cdr:relSizeAnchor>
  <cdr:relSizeAnchor xmlns:cdr="http://schemas.openxmlformats.org/drawingml/2006/chartDrawing">
    <cdr:from>
      <cdr:x>0.72774</cdr:x>
      <cdr:y>0.36833</cdr:y>
    </cdr:from>
    <cdr:to>
      <cdr:x>0.77431</cdr:x>
      <cdr:y>0.48436</cdr:y>
    </cdr:to>
    <cdr:sp macro="" textlink="">
      <cdr:nvSpPr>
        <cdr:cNvPr id="17" name="CaixaDeTexto 1">
          <a:extLst xmlns:a="http://schemas.openxmlformats.org/drawingml/2006/main">
            <a:ext uri="{FF2B5EF4-FFF2-40B4-BE49-F238E27FC236}">
              <a16:creationId xmlns:a16="http://schemas.microsoft.com/office/drawing/2014/main" id="{B6132C02-5454-5FF3-C161-5A2E76746B1D}"/>
            </a:ext>
          </a:extLst>
        </cdr:cNvPr>
        <cdr:cNvSpPr txBox="1"/>
      </cdr:nvSpPr>
      <cdr:spPr>
        <a:xfrm xmlns:a="http://schemas.openxmlformats.org/drawingml/2006/main">
          <a:off x="7619978" y="2210461"/>
          <a:ext cx="487624" cy="696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4000"/>
            <a:t>C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0.04095</cdr:x>
      <cdr:y>0.23806</cdr:y>
    </cdr:from>
    <cdr:to>
      <cdr:x>0.17367</cdr:x>
      <cdr:y>0.23806</cdr:y>
    </cdr:to>
    <cdr:cxnSp macro="">
      <cdr:nvCxnSpPr>
        <cdr:cNvPr id="4" name="Conector de Seta Reta 3">
          <a:extLst xmlns:a="http://schemas.openxmlformats.org/drawingml/2006/main">
            <a:ext uri="{FF2B5EF4-FFF2-40B4-BE49-F238E27FC236}">
              <a16:creationId xmlns:a16="http://schemas.microsoft.com/office/drawing/2014/main" id="{D8D01968-9FBB-448F-AB7E-99560E8034BE}"/>
            </a:ext>
          </a:extLst>
        </cdr:cNvPr>
        <cdr:cNvCxnSpPr/>
      </cdr:nvCxnSpPr>
      <cdr:spPr>
        <a:xfrm xmlns:a="http://schemas.openxmlformats.org/drawingml/2006/main">
          <a:off x="428846" y="1428688"/>
          <a:ext cx="1389870" cy="0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0.17581</cdr:x>
      <cdr:y>0.24286</cdr:y>
    </cdr:from>
    <cdr:to>
      <cdr:x>0.17583</cdr:x>
      <cdr:y>0.83539</cdr:y>
    </cdr:to>
    <cdr:cxnSp macro="">
      <cdr:nvCxnSpPr>
        <cdr:cNvPr id="6" name="Conector de Seta Reta 5">
          <a:extLst xmlns:a="http://schemas.openxmlformats.org/drawingml/2006/main">
            <a:ext uri="{FF2B5EF4-FFF2-40B4-BE49-F238E27FC236}">
              <a16:creationId xmlns:a16="http://schemas.microsoft.com/office/drawing/2014/main" id="{D8D01968-9FBB-448F-AB7E-99560E8034BE}"/>
            </a:ext>
          </a:extLst>
        </cdr:cNvPr>
        <cdr:cNvCxnSpPr/>
      </cdr:nvCxnSpPr>
      <cdr:spPr>
        <a:xfrm xmlns:a="http://schemas.openxmlformats.org/drawingml/2006/main" flipH="1">
          <a:off x="1841139" y="1457490"/>
          <a:ext cx="210" cy="3555997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0.42124</cdr:x>
      <cdr:y>0.12899</cdr:y>
    </cdr:from>
    <cdr:to>
      <cdr:x>0.42124</cdr:x>
      <cdr:y>0.82908</cdr:y>
    </cdr:to>
    <cdr:cxnSp macro="">
      <cdr:nvCxnSpPr>
        <cdr:cNvPr id="13" name="Conector de Seta Reta 12">
          <a:extLst xmlns:a="http://schemas.openxmlformats.org/drawingml/2006/main">
            <a:ext uri="{FF2B5EF4-FFF2-40B4-BE49-F238E27FC236}">
              <a16:creationId xmlns:a16="http://schemas.microsoft.com/office/drawing/2014/main" id="{EB61151D-669B-44E4-A41A-DAAEA20F5DB6}"/>
            </a:ext>
          </a:extLst>
        </cdr:cNvPr>
        <cdr:cNvCxnSpPr/>
      </cdr:nvCxnSpPr>
      <cdr:spPr>
        <a:xfrm xmlns:a="http://schemas.openxmlformats.org/drawingml/2006/main">
          <a:off x="4390147" y="782448"/>
          <a:ext cx="0" cy="4246753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0.04332</cdr:x>
      <cdr:y>0.12585</cdr:y>
    </cdr:from>
    <cdr:to>
      <cdr:x>0.42346</cdr:x>
      <cdr:y>0.12585</cdr:y>
    </cdr:to>
    <cdr:cxnSp macro="">
      <cdr:nvCxnSpPr>
        <cdr:cNvPr id="7" name="Conector de Seta Reta 6">
          <a:extLst xmlns:a="http://schemas.openxmlformats.org/drawingml/2006/main">
            <a:ext uri="{FF2B5EF4-FFF2-40B4-BE49-F238E27FC236}">
              <a16:creationId xmlns:a16="http://schemas.microsoft.com/office/drawing/2014/main" id="{4B932907-348D-4CFE-950E-CCDDA35C5112}"/>
            </a:ext>
          </a:extLst>
        </cdr:cNvPr>
        <cdr:cNvCxnSpPr/>
      </cdr:nvCxnSpPr>
      <cdr:spPr>
        <a:xfrm xmlns:a="http://schemas.openxmlformats.org/drawingml/2006/main">
          <a:off x="451459" y="763411"/>
          <a:ext cx="3961792" cy="0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0.10833</cdr:x>
      <cdr:y>0.52655</cdr:y>
    </cdr:from>
    <cdr:to>
      <cdr:x>0.14755</cdr:x>
      <cdr:y>0.64332</cdr:y>
    </cdr:to>
    <cdr:sp macro="" textlink="">
      <cdr:nvSpPr>
        <cdr:cNvPr id="23" name="CaixaDeTexto 22">
          <a:extLst xmlns:a="http://schemas.openxmlformats.org/drawingml/2006/main">
            <a:ext uri="{FF2B5EF4-FFF2-40B4-BE49-F238E27FC236}">
              <a16:creationId xmlns:a16="http://schemas.microsoft.com/office/drawing/2014/main" id="{9DC73EE8-C4AA-4BF6-8E09-7F5CE0853B56}"/>
            </a:ext>
          </a:extLst>
        </cdr:cNvPr>
        <cdr:cNvSpPr txBox="1"/>
      </cdr:nvSpPr>
      <cdr:spPr>
        <a:xfrm xmlns:a="http://schemas.openxmlformats.org/drawingml/2006/main">
          <a:off x="1129007" y="3194030"/>
          <a:ext cx="408751" cy="7083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4000"/>
            <a:t>A</a:t>
          </a:r>
        </a:p>
      </cdr:txBody>
    </cdr:sp>
  </cdr:relSizeAnchor>
  <cdr:relSizeAnchor xmlns:cdr="http://schemas.openxmlformats.org/drawingml/2006/chartDrawing">
    <cdr:from>
      <cdr:x>0.27191</cdr:x>
      <cdr:y>0.44321</cdr:y>
    </cdr:from>
    <cdr:to>
      <cdr:x>0.31848</cdr:x>
      <cdr:y>0.55325</cdr:y>
    </cdr:to>
    <cdr:sp macro="" textlink="">
      <cdr:nvSpPr>
        <cdr:cNvPr id="24" name="CaixaDeTexto 23">
          <a:extLst xmlns:a="http://schemas.openxmlformats.org/drawingml/2006/main">
            <a:ext uri="{FF2B5EF4-FFF2-40B4-BE49-F238E27FC236}">
              <a16:creationId xmlns:a16="http://schemas.microsoft.com/office/drawing/2014/main" id="{7508A606-63EF-41FF-8F20-41E36B7C67EB}"/>
            </a:ext>
          </a:extLst>
        </cdr:cNvPr>
        <cdr:cNvSpPr txBox="1"/>
      </cdr:nvSpPr>
      <cdr:spPr>
        <a:xfrm xmlns:a="http://schemas.openxmlformats.org/drawingml/2006/main">
          <a:off x="2833849" y="2688493"/>
          <a:ext cx="485353" cy="6675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4000"/>
            <a:t>B</a:t>
          </a:r>
        </a:p>
      </cdr:txBody>
    </cdr:sp>
  </cdr:relSizeAnchor>
  <cdr:relSizeAnchor xmlns:cdr="http://schemas.openxmlformats.org/drawingml/2006/chartDrawing">
    <cdr:from>
      <cdr:x>0.74415</cdr:x>
      <cdr:y>0.36335</cdr:y>
    </cdr:from>
    <cdr:to>
      <cdr:x>0.79072</cdr:x>
      <cdr:y>0.47191</cdr:y>
    </cdr:to>
    <cdr:sp macro="" textlink="">
      <cdr:nvSpPr>
        <cdr:cNvPr id="17" name="CaixaDeTexto 1">
          <a:extLst xmlns:a="http://schemas.openxmlformats.org/drawingml/2006/main">
            <a:ext uri="{FF2B5EF4-FFF2-40B4-BE49-F238E27FC236}">
              <a16:creationId xmlns:a16="http://schemas.microsoft.com/office/drawing/2014/main" id="{B6132C02-5454-5FF3-C161-5A2E76746B1D}"/>
            </a:ext>
          </a:extLst>
        </cdr:cNvPr>
        <cdr:cNvSpPr txBox="1"/>
      </cdr:nvSpPr>
      <cdr:spPr>
        <a:xfrm xmlns:a="http://schemas.openxmlformats.org/drawingml/2006/main">
          <a:off x="7793053" y="2180613"/>
          <a:ext cx="487700" cy="6514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4000"/>
            <a:t>C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146957</xdr:colOff>
      <xdr:row>73</xdr:row>
      <xdr:rowOff>39461</xdr:rowOff>
    </xdr:from>
    <xdr:to>
      <xdr:col>13</xdr:col>
      <xdr:colOff>269916</xdr:colOff>
      <xdr:row>82</xdr:row>
      <xdr:rowOff>111669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8C1CE41-38B1-4353-B6A8-4FB5EF868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996" y="7751990"/>
          <a:ext cx="4777963" cy="15417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146957</xdr:colOff>
      <xdr:row>73</xdr:row>
      <xdr:rowOff>39461</xdr:rowOff>
    </xdr:from>
    <xdr:to>
      <xdr:col>13</xdr:col>
      <xdr:colOff>272637</xdr:colOff>
      <xdr:row>82</xdr:row>
      <xdr:rowOff>111669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848FD11-1CC2-4A9E-8BB5-BBA57CD54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996" y="7751990"/>
          <a:ext cx="4777963" cy="15417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169688</xdr:colOff>
      <xdr:row>23</xdr:row>
      <xdr:rowOff>387654</xdr:rowOff>
    </xdr:from>
    <xdr:to>
      <xdr:col>15</xdr:col>
      <xdr:colOff>122465</xdr:colOff>
      <xdr:row>29</xdr:row>
      <xdr:rowOff>179293</xdr:rowOff>
    </xdr:to>
    <xdr:sp macro="" textlink="">
      <xdr:nvSpPr>
        <xdr:cNvPr id="2" name="Seta para a Esquerda 1">
          <a:extLst>
            <a:ext uri="{FF2B5EF4-FFF2-40B4-BE49-F238E27FC236}">
              <a16:creationId xmlns:a16="http://schemas.microsoft.com/office/drawing/2014/main" id="{1188CA1D-942F-47B6-B980-1E4D009ABF9A}"/>
            </a:ext>
          </a:extLst>
        </xdr:cNvPr>
        <xdr:cNvSpPr/>
      </xdr:nvSpPr>
      <xdr:spPr>
        <a:xfrm>
          <a:off x="12467823" y="4985657"/>
          <a:ext cx="1323017" cy="607918"/>
        </a:xfrm>
        <a:prstGeom prst="leftArrow">
          <a:avLst>
            <a:gd name="adj1" fmla="val 20410"/>
            <a:gd name="adj2" fmla="val 1821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Campo Grande = 0 km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95249</xdr:colOff>
      <xdr:row>0</xdr:row>
      <xdr:rowOff>123826</xdr:rowOff>
    </xdr:from>
    <xdr:to>
      <xdr:col>18</xdr:col>
      <xdr:colOff>1695450</xdr:colOff>
      <xdr:row>2</xdr:row>
      <xdr:rowOff>104775</xdr:rowOff>
    </xdr:to>
    <xdr:sp macro="" textlink="">
      <xdr:nvSpPr>
        <xdr:cNvPr id="2" name="Texto explicativo em seta para a esquerda e para a direita 3">
          <a:extLst>
            <a:ext uri="{FF2B5EF4-FFF2-40B4-BE49-F238E27FC236}">
              <a16:creationId xmlns:a16="http://schemas.microsoft.com/office/drawing/2014/main" id="{55F0EA20-4166-4B32-A1AB-8532FB8C2454}"/>
            </a:ext>
          </a:extLst>
        </xdr:cNvPr>
        <xdr:cNvSpPr/>
      </xdr:nvSpPr>
      <xdr:spPr>
        <a:xfrm>
          <a:off x="16225156" y="125187"/>
          <a:ext cx="3657601" cy="1066798"/>
        </a:xfrm>
        <a:prstGeom prst="leftRightArrowCallout">
          <a:avLst>
            <a:gd name="adj1" fmla="val 25000"/>
            <a:gd name="adj2" fmla="val 25000"/>
            <a:gd name="adj3" fmla="val 25000"/>
            <a:gd name="adj4" fmla="val 73123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Barraco proporcional a dimensão da</a:t>
          </a:r>
          <a:r>
            <a:rPr lang="pt-BR" sz="1100" baseline="0"/>
            <a:t> obra:</a:t>
          </a:r>
        </a:p>
        <a:p>
          <a:pPr algn="ctr"/>
          <a:r>
            <a:rPr lang="pt-BR" sz="1100" baseline="0"/>
            <a:t>L </a:t>
          </a:r>
          <a:r>
            <a:rPr lang="pt-BR" sz="1100" baseline="0">
              <a:latin typeface="Calibri" panose="020F0502020204030204" pitchFamily="34" charset="0"/>
              <a:cs typeface="Calibri" panose="020F0502020204030204" pitchFamily="34" charset="0"/>
            </a:rPr>
            <a:t>≤ </a:t>
          </a:r>
          <a:r>
            <a:rPr lang="pt-BR" sz="1100" baseline="0"/>
            <a:t>5 km = 1 un</a:t>
          </a:r>
        </a:p>
        <a:p>
          <a:pPr algn="ctr"/>
          <a:r>
            <a:rPr lang="pt-BR" sz="1100" baseline="0"/>
            <a:t>5 km &lt; L </a:t>
          </a:r>
          <a:r>
            <a:rPr lang="pt-BR" sz="1100" baseline="0">
              <a:latin typeface="Calibri" panose="020F0502020204030204" pitchFamily="34" charset="0"/>
              <a:cs typeface="Calibri" panose="020F0502020204030204" pitchFamily="34" charset="0"/>
            </a:rPr>
            <a:t>≤ </a:t>
          </a:r>
          <a:r>
            <a:rPr lang="pt-BR" sz="1100" baseline="0"/>
            <a:t>10 km = 2un</a:t>
          </a:r>
        </a:p>
        <a:p>
          <a:pPr algn="ctr"/>
          <a:r>
            <a:rPr lang="pt-BR" sz="1100"/>
            <a:t>L &gt; 10 km = 3 un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785905</xdr:colOff>
      <xdr:row>316</xdr:row>
      <xdr:rowOff>66674</xdr:rowOff>
    </xdr:from>
    <xdr:to>
      <xdr:col>3</xdr:col>
      <xdr:colOff>1422420</xdr:colOff>
      <xdr:row>316</xdr:row>
      <xdr:rowOff>533400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1939E24-D4A4-4FE9-8598-29AC5C41E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80987" y="762000"/>
          <a:ext cx="639237" cy="0"/>
        </a:xfrm>
        <a:prstGeom prst="rect">
          <a:avLst/>
        </a:prstGeom>
      </xdr:spPr>
    </xdr:pic>
    <xdr:clientData/>
  </xdr:twoCellAnchor>
  <xdr:twoCellAnchor>
    <xdr:from>
      <xdr:col>3</xdr:col>
      <xdr:colOff>530181</xdr:colOff>
      <xdr:row>384</xdr:row>
      <xdr:rowOff>107576</xdr:rowOff>
    </xdr:from>
    <xdr:to>
      <xdr:col>3</xdr:col>
      <xdr:colOff>1632900</xdr:colOff>
      <xdr:row>384</xdr:row>
      <xdr:rowOff>437265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A5DBA18-B19C-45BB-A41E-8681DCE07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6624" y="762000"/>
          <a:ext cx="1101358" cy="0"/>
        </a:xfrm>
        <a:prstGeom prst="rect">
          <a:avLst/>
        </a:prstGeom>
      </xdr:spPr>
    </xdr:pic>
    <xdr:clientData/>
  </xdr:twoCellAnchor>
  <xdr:twoCellAnchor>
    <xdr:from>
      <xdr:col>3</xdr:col>
      <xdr:colOff>1646448</xdr:colOff>
      <xdr:row>260</xdr:row>
      <xdr:rowOff>60743</xdr:rowOff>
    </xdr:from>
    <xdr:to>
      <xdr:col>3</xdr:col>
      <xdr:colOff>1862057</xdr:colOff>
      <xdr:row>260</xdr:row>
      <xdr:rowOff>584063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9433556-6FE0-4808-9234-F287056F2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950696" y="655556"/>
          <a:ext cx="0" cy="212887"/>
        </a:xfrm>
        <a:prstGeom prst="rect">
          <a:avLst/>
        </a:prstGeom>
      </xdr:spPr>
    </xdr:pic>
    <xdr:clientData/>
  </xdr:twoCellAnchor>
  <xdr:twoCellAnchor>
    <xdr:from>
      <xdr:col>3</xdr:col>
      <xdr:colOff>1661576</xdr:colOff>
      <xdr:row>262</xdr:row>
      <xdr:rowOff>71782</xdr:rowOff>
    </xdr:from>
    <xdr:to>
      <xdr:col>3</xdr:col>
      <xdr:colOff>1858178</xdr:colOff>
      <xdr:row>262</xdr:row>
      <xdr:rowOff>592533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18AC1D0B-09A5-4F02-9163-884D277CB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957000" y="665740"/>
          <a:ext cx="0" cy="192520"/>
        </a:xfrm>
        <a:prstGeom prst="rect">
          <a:avLst/>
        </a:prstGeom>
      </xdr:spPr>
    </xdr:pic>
    <xdr:clientData/>
  </xdr:twoCellAnchor>
  <xdr:twoCellAnchor>
    <xdr:from>
      <xdr:col>3</xdr:col>
      <xdr:colOff>1405261</xdr:colOff>
      <xdr:row>6</xdr:row>
      <xdr:rowOff>43337</xdr:rowOff>
    </xdr:from>
    <xdr:to>
      <xdr:col>3</xdr:col>
      <xdr:colOff>1919517</xdr:colOff>
      <xdr:row>6</xdr:row>
      <xdr:rowOff>572088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D1124D5-3181-47CA-9B57-D23AE3C6D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1704" y="762000"/>
          <a:ext cx="516977" cy="0"/>
        </a:xfrm>
        <a:prstGeom prst="rect">
          <a:avLst/>
        </a:prstGeom>
      </xdr:spPr>
    </xdr:pic>
    <xdr:clientData/>
  </xdr:twoCellAnchor>
  <xdr:twoCellAnchor>
    <xdr:from>
      <xdr:col>3</xdr:col>
      <xdr:colOff>1174378</xdr:colOff>
      <xdr:row>2</xdr:row>
      <xdr:rowOff>34571</xdr:rowOff>
    </xdr:from>
    <xdr:to>
      <xdr:col>3</xdr:col>
      <xdr:colOff>1937813</xdr:colOff>
      <xdr:row>2</xdr:row>
      <xdr:rowOff>579197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C5CA9FA-823D-44EE-B357-D8265E9DF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9460" y="762000"/>
          <a:ext cx="763435" cy="0"/>
        </a:xfrm>
        <a:prstGeom prst="rect">
          <a:avLst/>
        </a:prstGeom>
      </xdr:spPr>
    </xdr:pic>
    <xdr:clientData/>
  </xdr:twoCellAnchor>
  <xdr:twoCellAnchor>
    <xdr:from>
      <xdr:col>3</xdr:col>
      <xdr:colOff>1256120</xdr:colOff>
      <xdr:row>4</xdr:row>
      <xdr:rowOff>81230</xdr:rowOff>
    </xdr:from>
    <xdr:to>
      <xdr:col>3</xdr:col>
      <xdr:colOff>1893958</xdr:colOff>
      <xdr:row>4</xdr:row>
      <xdr:rowOff>555689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15EBA897-9211-44C2-9A42-0C83DF317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2563" y="762000"/>
          <a:ext cx="636477" cy="0"/>
        </a:xfrm>
        <a:prstGeom prst="rect">
          <a:avLst/>
        </a:prstGeom>
      </xdr:spPr>
    </xdr:pic>
    <xdr:clientData/>
  </xdr:twoCellAnchor>
  <xdr:twoCellAnchor>
    <xdr:from>
      <xdr:col>3</xdr:col>
      <xdr:colOff>705259</xdr:colOff>
      <xdr:row>19</xdr:row>
      <xdr:rowOff>0</xdr:rowOff>
    </xdr:from>
    <xdr:to>
      <xdr:col>3</xdr:col>
      <xdr:colOff>1478015</xdr:colOff>
      <xdr:row>19</xdr:row>
      <xdr:rowOff>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450C847-0C83-47EF-8E2D-B57E37B09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4423" y="762000"/>
          <a:ext cx="768674" cy="0"/>
        </a:xfrm>
        <a:prstGeom prst="rect">
          <a:avLst/>
        </a:prstGeom>
      </xdr:spPr>
    </xdr:pic>
    <xdr:clientData/>
  </xdr:twoCellAnchor>
  <xdr:twoCellAnchor>
    <xdr:from>
      <xdr:col>3</xdr:col>
      <xdr:colOff>1301623</xdr:colOff>
      <xdr:row>18</xdr:row>
      <xdr:rowOff>66186</xdr:rowOff>
    </xdr:from>
    <xdr:to>
      <xdr:col>3</xdr:col>
      <xdr:colOff>2051868</xdr:colOff>
      <xdr:row>18</xdr:row>
      <xdr:rowOff>623263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4FFBFF6D-F47C-49EF-9ECC-124C60BFF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27" y="762000"/>
          <a:ext cx="747523" cy="0"/>
        </a:xfrm>
        <a:prstGeom prst="rect">
          <a:avLst/>
        </a:prstGeom>
      </xdr:spPr>
    </xdr:pic>
    <xdr:clientData/>
  </xdr:twoCellAnchor>
  <xdr:twoCellAnchor>
    <xdr:from>
      <xdr:col>3</xdr:col>
      <xdr:colOff>1301309</xdr:colOff>
      <xdr:row>20</xdr:row>
      <xdr:rowOff>49066</xdr:rowOff>
    </xdr:from>
    <xdr:to>
      <xdr:col>3</xdr:col>
      <xdr:colOff>2074269</xdr:colOff>
      <xdr:row>20</xdr:row>
      <xdr:rowOff>592809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B69B2F8-C849-40A1-A705-5A1697E41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113" y="762000"/>
          <a:ext cx="774320" cy="0"/>
        </a:xfrm>
        <a:prstGeom prst="rect">
          <a:avLst/>
        </a:prstGeom>
      </xdr:spPr>
    </xdr:pic>
    <xdr:clientData/>
  </xdr:twoCellAnchor>
  <xdr:twoCellAnchor>
    <xdr:from>
      <xdr:col>3</xdr:col>
      <xdr:colOff>1301793</xdr:colOff>
      <xdr:row>22</xdr:row>
      <xdr:rowOff>46973</xdr:rowOff>
    </xdr:from>
    <xdr:to>
      <xdr:col>3</xdr:col>
      <xdr:colOff>2078912</xdr:colOff>
      <xdr:row>22</xdr:row>
      <xdr:rowOff>590715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1273A305-76C5-4D46-B5C4-6E47F6465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597" y="762000"/>
          <a:ext cx="778479" cy="0"/>
        </a:xfrm>
        <a:prstGeom prst="rect">
          <a:avLst/>
        </a:prstGeom>
      </xdr:spPr>
    </xdr:pic>
    <xdr:clientData/>
  </xdr:twoCellAnchor>
  <xdr:twoCellAnchor>
    <xdr:from>
      <xdr:col>3</xdr:col>
      <xdr:colOff>1297783</xdr:colOff>
      <xdr:row>8</xdr:row>
      <xdr:rowOff>57626</xdr:rowOff>
    </xdr:from>
    <xdr:to>
      <xdr:col>3</xdr:col>
      <xdr:colOff>2055708</xdr:colOff>
      <xdr:row>8</xdr:row>
      <xdr:rowOff>605179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E561D1B7-D880-4D93-BE72-1266BB1FF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4226" y="762000"/>
          <a:ext cx="757925" cy="0"/>
        </a:xfrm>
        <a:prstGeom prst="rect">
          <a:avLst/>
        </a:prstGeom>
      </xdr:spPr>
    </xdr:pic>
    <xdr:clientData/>
  </xdr:twoCellAnchor>
  <xdr:twoCellAnchor>
    <xdr:from>
      <xdr:col>3</xdr:col>
      <xdr:colOff>1293574</xdr:colOff>
      <xdr:row>10</xdr:row>
      <xdr:rowOff>57626</xdr:rowOff>
    </xdr:from>
    <xdr:to>
      <xdr:col>3</xdr:col>
      <xdr:colOff>2070958</xdr:colOff>
      <xdr:row>10</xdr:row>
      <xdr:rowOff>608989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B11D824B-C915-4850-9801-9958F326F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017" y="762000"/>
          <a:ext cx="778745" cy="0"/>
        </a:xfrm>
        <a:prstGeom prst="rect">
          <a:avLst/>
        </a:prstGeom>
      </xdr:spPr>
    </xdr:pic>
    <xdr:clientData/>
  </xdr:twoCellAnchor>
  <xdr:twoCellAnchor>
    <xdr:from>
      <xdr:col>3</xdr:col>
      <xdr:colOff>1289313</xdr:colOff>
      <xdr:row>12</xdr:row>
      <xdr:rowOff>54779</xdr:rowOff>
    </xdr:from>
    <xdr:to>
      <xdr:col>3</xdr:col>
      <xdr:colOff>2064178</xdr:colOff>
      <xdr:row>12</xdr:row>
      <xdr:rowOff>587093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F90798-BC2E-44C5-979A-09CB56D7D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4395" y="762000"/>
          <a:ext cx="777587" cy="0"/>
        </a:xfrm>
        <a:prstGeom prst="rect">
          <a:avLst/>
        </a:prstGeom>
      </xdr:spPr>
    </xdr:pic>
    <xdr:clientData/>
  </xdr:twoCellAnchor>
  <xdr:twoCellAnchor>
    <xdr:from>
      <xdr:col>3</xdr:col>
      <xdr:colOff>1305884</xdr:colOff>
      <xdr:row>14</xdr:row>
      <xdr:rowOff>71152</xdr:rowOff>
    </xdr:from>
    <xdr:to>
      <xdr:col>3</xdr:col>
      <xdr:colOff>2058648</xdr:colOff>
      <xdr:row>14</xdr:row>
      <xdr:rowOff>611085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83680D8E-D25F-49EE-BD3A-9A9C97159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3688" y="762000"/>
          <a:ext cx="751403" cy="0"/>
        </a:xfrm>
        <a:prstGeom prst="rect">
          <a:avLst/>
        </a:prstGeom>
      </xdr:spPr>
    </xdr:pic>
    <xdr:clientData/>
  </xdr:twoCellAnchor>
  <xdr:twoCellAnchor>
    <xdr:from>
      <xdr:col>3</xdr:col>
      <xdr:colOff>705935</xdr:colOff>
      <xdr:row>27</xdr:row>
      <xdr:rowOff>0</xdr:rowOff>
    </xdr:from>
    <xdr:to>
      <xdr:col>3</xdr:col>
      <xdr:colOff>1477339</xdr:colOff>
      <xdr:row>27</xdr:row>
      <xdr:rowOff>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574905AF-6B95-40C9-805B-EAF86A9D2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099" y="762000"/>
          <a:ext cx="767322" cy="0"/>
        </a:xfrm>
        <a:prstGeom prst="rect">
          <a:avLst/>
        </a:prstGeom>
      </xdr:spPr>
    </xdr:pic>
    <xdr:clientData/>
  </xdr:twoCellAnchor>
  <xdr:twoCellAnchor>
    <xdr:from>
      <xdr:col>3</xdr:col>
      <xdr:colOff>1303698</xdr:colOff>
      <xdr:row>26</xdr:row>
      <xdr:rowOff>56303</xdr:rowOff>
    </xdr:from>
    <xdr:to>
      <xdr:col>3</xdr:col>
      <xdr:colOff>2077007</xdr:colOff>
      <xdr:row>26</xdr:row>
      <xdr:rowOff>596237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E1C8A157-43F2-46E1-A104-F9610FF69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502" y="762000"/>
          <a:ext cx="774669" cy="0"/>
        </a:xfrm>
        <a:prstGeom prst="rect">
          <a:avLst/>
        </a:prstGeom>
      </xdr:spPr>
    </xdr:pic>
    <xdr:clientData/>
  </xdr:twoCellAnchor>
  <xdr:twoCellAnchor>
    <xdr:from>
      <xdr:col>3</xdr:col>
      <xdr:colOff>1309364</xdr:colOff>
      <xdr:row>28</xdr:row>
      <xdr:rowOff>44571</xdr:rowOff>
    </xdr:from>
    <xdr:to>
      <xdr:col>3</xdr:col>
      <xdr:colOff>2082384</xdr:colOff>
      <xdr:row>28</xdr:row>
      <xdr:rowOff>595935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D8319F12-E1EF-443E-B0FD-7F8C1D085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7168" y="762000"/>
          <a:ext cx="770298" cy="0"/>
        </a:xfrm>
        <a:prstGeom prst="rect">
          <a:avLst/>
        </a:prstGeom>
      </xdr:spPr>
    </xdr:pic>
    <xdr:clientData/>
  </xdr:twoCellAnchor>
  <xdr:twoCellAnchor>
    <xdr:from>
      <xdr:col>3</xdr:col>
      <xdr:colOff>1308562</xdr:colOff>
      <xdr:row>30</xdr:row>
      <xdr:rowOff>34772</xdr:rowOff>
    </xdr:from>
    <xdr:to>
      <xdr:col>3</xdr:col>
      <xdr:colOff>2072142</xdr:colOff>
      <xdr:row>30</xdr:row>
      <xdr:rowOff>578514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DD8E9E3F-89B9-48C7-BE23-1C25FA97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6366" y="762000"/>
          <a:ext cx="764940" cy="0"/>
        </a:xfrm>
        <a:prstGeom prst="rect">
          <a:avLst/>
        </a:prstGeom>
      </xdr:spPr>
    </xdr:pic>
    <xdr:clientData/>
  </xdr:twoCellAnchor>
  <xdr:twoCellAnchor>
    <xdr:from>
      <xdr:col>3</xdr:col>
      <xdr:colOff>1314126</xdr:colOff>
      <xdr:row>32</xdr:row>
      <xdr:rowOff>50095</xdr:rowOff>
    </xdr:from>
    <xdr:to>
      <xdr:col>3</xdr:col>
      <xdr:colOff>2077621</xdr:colOff>
      <xdr:row>32</xdr:row>
      <xdr:rowOff>601458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CDA3A8C2-29C5-44FD-9853-27F02D01C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3290" y="762000"/>
          <a:ext cx="763495" cy="0"/>
        </a:xfrm>
        <a:prstGeom prst="rect">
          <a:avLst/>
        </a:prstGeom>
      </xdr:spPr>
    </xdr:pic>
    <xdr:clientData/>
  </xdr:twoCellAnchor>
  <xdr:twoCellAnchor>
    <xdr:from>
      <xdr:col>3</xdr:col>
      <xdr:colOff>1317967</xdr:colOff>
      <xdr:row>34</xdr:row>
      <xdr:rowOff>44023</xdr:rowOff>
    </xdr:from>
    <xdr:to>
      <xdr:col>3</xdr:col>
      <xdr:colOff>2064257</xdr:colOff>
      <xdr:row>34</xdr:row>
      <xdr:rowOff>584120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D2C7AB2D-D449-4096-A178-818C6A40D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7131" y="762000"/>
          <a:ext cx="744930" cy="0"/>
        </a:xfrm>
        <a:prstGeom prst="rect">
          <a:avLst/>
        </a:prstGeom>
      </xdr:spPr>
    </xdr:pic>
    <xdr:clientData/>
  </xdr:twoCellAnchor>
  <xdr:twoCellAnchor>
    <xdr:from>
      <xdr:col>3</xdr:col>
      <xdr:colOff>1315489</xdr:colOff>
      <xdr:row>36</xdr:row>
      <xdr:rowOff>59619</xdr:rowOff>
    </xdr:from>
    <xdr:to>
      <xdr:col>3</xdr:col>
      <xdr:colOff>2087303</xdr:colOff>
      <xdr:row>36</xdr:row>
      <xdr:rowOff>599552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F5C3A725-E27F-413B-96F4-198CC8A86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653" y="762000"/>
          <a:ext cx="767732" cy="0"/>
        </a:xfrm>
        <a:prstGeom prst="rect">
          <a:avLst/>
        </a:prstGeom>
      </xdr:spPr>
    </xdr:pic>
    <xdr:clientData/>
  </xdr:twoCellAnchor>
  <xdr:twoCellAnchor>
    <xdr:from>
      <xdr:col>3</xdr:col>
      <xdr:colOff>1317244</xdr:colOff>
      <xdr:row>38</xdr:row>
      <xdr:rowOff>31155</xdr:rowOff>
    </xdr:from>
    <xdr:to>
      <xdr:col>3</xdr:col>
      <xdr:colOff>2085546</xdr:colOff>
      <xdr:row>38</xdr:row>
      <xdr:rowOff>568553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39FBF74A-F91E-4E2D-898C-3151132EE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408" y="762000"/>
          <a:ext cx="764220" cy="0"/>
        </a:xfrm>
        <a:prstGeom prst="rect">
          <a:avLst/>
        </a:prstGeom>
      </xdr:spPr>
    </xdr:pic>
    <xdr:clientData/>
  </xdr:twoCellAnchor>
  <xdr:twoCellAnchor>
    <xdr:from>
      <xdr:col>3</xdr:col>
      <xdr:colOff>1330415</xdr:colOff>
      <xdr:row>40</xdr:row>
      <xdr:rowOff>54096</xdr:rowOff>
    </xdr:from>
    <xdr:to>
      <xdr:col>3</xdr:col>
      <xdr:colOff>2094464</xdr:colOff>
      <xdr:row>40</xdr:row>
      <xdr:rowOff>594030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CD338174-39F3-4422-8C1E-1FA08D034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6858" y="762000"/>
          <a:ext cx="764049" cy="0"/>
        </a:xfrm>
        <a:prstGeom prst="rect">
          <a:avLst/>
        </a:prstGeom>
      </xdr:spPr>
    </xdr:pic>
    <xdr:clientData/>
  </xdr:twoCellAnchor>
  <xdr:twoCellAnchor>
    <xdr:from>
      <xdr:col>3</xdr:col>
      <xdr:colOff>1352428</xdr:colOff>
      <xdr:row>42</xdr:row>
      <xdr:rowOff>53821</xdr:rowOff>
    </xdr:from>
    <xdr:to>
      <xdr:col>3</xdr:col>
      <xdr:colOff>2116622</xdr:colOff>
      <xdr:row>42</xdr:row>
      <xdr:rowOff>605184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B4842545-F220-4C66-9059-DEFD2C386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592" y="762000"/>
          <a:ext cx="764194" cy="0"/>
        </a:xfrm>
        <a:prstGeom prst="rect">
          <a:avLst/>
        </a:prstGeom>
      </xdr:spPr>
    </xdr:pic>
    <xdr:clientData/>
  </xdr:twoCellAnchor>
  <xdr:twoCellAnchor>
    <xdr:from>
      <xdr:col>3</xdr:col>
      <xdr:colOff>1363678</xdr:colOff>
      <xdr:row>44</xdr:row>
      <xdr:rowOff>49543</xdr:rowOff>
    </xdr:from>
    <xdr:to>
      <xdr:col>3</xdr:col>
      <xdr:colOff>2127462</xdr:colOff>
      <xdr:row>44</xdr:row>
      <xdr:rowOff>591547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D4F50CBF-C1F7-4607-8C3A-6E9D7C994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8760" y="762000"/>
          <a:ext cx="763784" cy="0"/>
        </a:xfrm>
        <a:prstGeom prst="rect">
          <a:avLst/>
        </a:prstGeom>
      </xdr:spPr>
    </xdr:pic>
    <xdr:clientData/>
  </xdr:twoCellAnchor>
  <xdr:twoCellAnchor>
    <xdr:from>
      <xdr:col>3</xdr:col>
      <xdr:colOff>1369416</xdr:colOff>
      <xdr:row>46</xdr:row>
      <xdr:rowOff>59345</xdr:rowOff>
    </xdr:from>
    <xdr:to>
      <xdr:col>3</xdr:col>
      <xdr:colOff>2132767</xdr:colOff>
      <xdr:row>46</xdr:row>
      <xdr:rowOff>595633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F5A2B7B2-A0BA-4819-AF27-B4C1FF174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5859" y="762000"/>
          <a:ext cx="763351" cy="0"/>
        </a:xfrm>
        <a:prstGeom prst="rect">
          <a:avLst/>
        </a:prstGeom>
      </xdr:spPr>
    </xdr:pic>
    <xdr:clientData/>
  </xdr:twoCellAnchor>
  <xdr:twoCellAnchor>
    <xdr:from>
      <xdr:col>3</xdr:col>
      <xdr:colOff>1459618</xdr:colOff>
      <xdr:row>48</xdr:row>
      <xdr:rowOff>74391</xdr:rowOff>
    </xdr:from>
    <xdr:to>
      <xdr:col>3</xdr:col>
      <xdr:colOff>2042565</xdr:colOff>
      <xdr:row>48</xdr:row>
      <xdr:rowOff>616395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5023279-499F-4A2E-B4AD-4287B7038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422" y="762000"/>
          <a:ext cx="584307" cy="0"/>
        </a:xfrm>
        <a:prstGeom prst="rect">
          <a:avLst/>
        </a:prstGeom>
      </xdr:spPr>
    </xdr:pic>
    <xdr:clientData/>
  </xdr:twoCellAnchor>
  <xdr:twoCellAnchor>
    <xdr:from>
      <xdr:col>3</xdr:col>
      <xdr:colOff>1453989</xdr:colOff>
      <xdr:row>50</xdr:row>
      <xdr:rowOff>33526</xdr:rowOff>
    </xdr:from>
    <xdr:to>
      <xdr:col>3</xdr:col>
      <xdr:colOff>2048194</xdr:colOff>
      <xdr:row>50</xdr:row>
      <xdr:rowOff>584888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F020A1F6-6FCC-4C6E-A7E5-F2DC12F9F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1793" y="762000"/>
          <a:ext cx="591483" cy="0"/>
        </a:xfrm>
        <a:prstGeom prst="rect">
          <a:avLst/>
        </a:prstGeom>
      </xdr:spPr>
    </xdr:pic>
    <xdr:clientData/>
  </xdr:twoCellAnchor>
  <xdr:twoCellAnchor>
    <xdr:from>
      <xdr:col>3</xdr:col>
      <xdr:colOff>1453023</xdr:colOff>
      <xdr:row>52</xdr:row>
      <xdr:rowOff>37527</xdr:rowOff>
    </xdr:from>
    <xdr:to>
      <xdr:col>3</xdr:col>
      <xdr:colOff>2004987</xdr:colOff>
      <xdr:row>52</xdr:row>
      <xdr:rowOff>577461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292C1CD9-9E62-4398-9035-6E751ED4E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0827" y="762000"/>
          <a:ext cx="553324" cy="0"/>
        </a:xfrm>
        <a:prstGeom prst="rect">
          <a:avLst/>
        </a:prstGeom>
      </xdr:spPr>
    </xdr:pic>
    <xdr:clientData/>
  </xdr:twoCellAnchor>
  <xdr:twoCellAnchor>
    <xdr:from>
      <xdr:col>3</xdr:col>
      <xdr:colOff>1453055</xdr:colOff>
      <xdr:row>54</xdr:row>
      <xdr:rowOff>44568</xdr:rowOff>
    </xdr:from>
    <xdr:to>
      <xdr:col>3</xdr:col>
      <xdr:colOff>2015996</xdr:colOff>
      <xdr:row>54</xdr:row>
      <xdr:rowOff>595931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26623915-BAF0-4EFF-914E-A7CD6CB48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0859" y="762000"/>
          <a:ext cx="561580" cy="0"/>
        </a:xfrm>
        <a:prstGeom prst="rect">
          <a:avLst/>
        </a:prstGeom>
      </xdr:spPr>
    </xdr:pic>
    <xdr:clientData/>
  </xdr:twoCellAnchor>
  <xdr:twoCellAnchor>
    <xdr:from>
      <xdr:col>3</xdr:col>
      <xdr:colOff>1453006</xdr:colOff>
      <xdr:row>56</xdr:row>
      <xdr:rowOff>49539</xdr:rowOff>
    </xdr:from>
    <xdr:to>
      <xdr:col>3</xdr:col>
      <xdr:colOff>2005002</xdr:colOff>
      <xdr:row>56</xdr:row>
      <xdr:rowOff>600903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1BF0F655-78D6-417B-A626-67255FA6B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0810" y="762000"/>
          <a:ext cx="553356" cy="0"/>
        </a:xfrm>
        <a:prstGeom prst="rect">
          <a:avLst/>
        </a:prstGeom>
      </xdr:spPr>
    </xdr:pic>
    <xdr:clientData/>
  </xdr:twoCellAnchor>
  <xdr:twoCellAnchor>
    <xdr:from>
      <xdr:col>3</xdr:col>
      <xdr:colOff>1344357</xdr:colOff>
      <xdr:row>58</xdr:row>
      <xdr:rowOff>35738</xdr:rowOff>
    </xdr:from>
    <xdr:to>
      <xdr:col>3</xdr:col>
      <xdr:colOff>2113652</xdr:colOff>
      <xdr:row>58</xdr:row>
      <xdr:rowOff>587100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E5B227EA-5DE5-429D-BE38-765EE5E41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2161" y="762000"/>
          <a:ext cx="770655" cy="0"/>
        </a:xfrm>
        <a:prstGeom prst="rect">
          <a:avLst/>
        </a:prstGeom>
      </xdr:spPr>
    </xdr:pic>
    <xdr:clientData/>
  </xdr:twoCellAnchor>
  <xdr:twoCellAnchor>
    <xdr:from>
      <xdr:col>3</xdr:col>
      <xdr:colOff>1338836</xdr:colOff>
      <xdr:row>60</xdr:row>
      <xdr:rowOff>52301</xdr:rowOff>
    </xdr:from>
    <xdr:to>
      <xdr:col>3</xdr:col>
      <xdr:colOff>2108131</xdr:colOff>
      <xdr:row>60</xdr:row>
      <xdr:rowOff>603664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D7D75391-B471-4AD8-A7AD-3F1A7B031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6640" y="762000"/>
          <a:ext cx="769295" cy="0"/>
        </a:xfrm>
        <a:prstGeom prst="rect">
          <a:avLst/>
        </a:prstGeom>
      </xdr:spPr>
    </xdr:pic>
    <xdr:clientData/>
  </xdr:twoCellAnchor>
  <xdr:twoCellAnchor>
    <xdr:from>
      <xdr:col>3</xdr:col>
      <xdr:colOff>1330619</xdr:colOff>
      <xdr:row>62</xdr:row>
      <xdr:rowOff>55450</xdr:rowOff>
    </xdr:from>
    <xdr:to>
      <xdr:col>3</xdr:col>
      <xdr:colOff>2094259</xdr:colOff>
      <xdr:row>62</xdr:row>
      <xdr:rowOff>597287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E6E1EC1F-6F4C-43C4-AEC3-2632F1FDD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7062" y="762000"/>
          <a:ext cx="763640" cy="0"/>
        </a:xfrm>
        <a:prstGeom prst="rect">
          <a:avLst/>
        </a:prstGeom>
      </xdr:spPr>
    </xdr:pic>
    <xdr:clientData/>
  </xdr:twoCellAnchor>
  <xdr:twoCellAnchor>
    <xdr:from>
      <xdr:col>3</xdr:col>
      <xdr:colOff>1344322</xdr:colOff>
      <xdr:row>64</xdr:row>
      <xdr:rowOff>30604</xdr:rowOff>
    </xdr:from>
    <xdr:to>
      <xdr:col>3</xdr:col>
      <xdr:colOff>2107757</xdr:colOff>
      <xdr:row>64</xdr:row>
      <xdr:rowOff>572442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50E2A5-D9B0-4908-8532-0582BE870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2126" y="762000"/>
          <a:ext cx="763435" cy="0"/>
        </a:xfrm>
        <a:prstGeom prst="rect">
          <a:avLst/>
        </a:prstGeom>
      </xdr:spPr>
    </xdr:pic>
    <xdr:clientData/>
  </xdr:twoCellAnchor>
  <xdr:twoCellAnchor>
    <xdr:from>
      <xdr:col>3</xdr:col>
      <xdr:colOff>1468035</xdr:colOff>
      <xdr:row>66</xdr:row>
      <xdr:rowOff>54127</xdr:rowOff>
    </xdr:from>
    <xdr:to>
      <xdr:col>3</xdr:col>
      <xdr:colOff>2017173</xdr:colOff>
      <xdr:row>66</xdr:row>
      <xdr:rowOff>586440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E9FAD80-20E9-41B4-B248-59DA8817E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199" y="762000"/>
          <a:ext cx="546417" cy="0"/>
        </a:xfrm>
        <a:prstGeom prst="rect">
          <a:avLst/>
        </a:prstGeom>
      </xdr:spPr>
    </xdr:pic>
    <xdr:clientData/>
  </xdr:twoCellAnchor>
  <xdr:twoCellAnchor>
    <xdr:from>
      <xdr:col>3</xdr:col>
      <xdr:colOff>1353581</xdr:colOff>
      <xdr:row>68</xdr:row>
      <xdr:rowOff>53462</xdr:rowOff>
    </xdr:from>
    <xdr:to>
      <xdr:col>3</xdr:col>
      <xdr:colOff>2109541</xdr:colOff>
      <xdr:row>68</xdr:row>
      <xdr:rowOff>593396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9E336462-343C-4A00-8567-450794EC4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745" y="762000"/>
          <a:ext cx="754600" cy="0"/>
        </a:xfrm>
        <a:prstGeom prst="rect">
          <a:avLst/>
        </a:prstGeom>
      </xdr:spPr>
    </xdr:pic>
    <xdr:clientData/>
  </xdr:twoCellAnchor>
  <xdr:twoCellAnchor>
    <xdr:from>
      <xdr:col>3</xdr:col>
      <xdr:colOff>1349964</xdr:colOff>
      <xdr:row>70</xdr:row>
      <xdr:rowOff>56501</xdr:rowOff>
    </xdr:from>
    <xdr:to>
      <xdr:col>3</xdr:col>
      <xdr:colOff>2102114</xdr:colOff>
      <xdr:row>70</xdr:row>
      <xdr:rowOff>596435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3143493B-F697-4C54-BC1B-A7BEB7855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9128" y="762000"/>
          <a:ext cx="750790" cy="0"/>
        </a:xfrm>
        <a:prstGeom prst="rect">
          <a:avLst/>
        </a:prstGeom>
      </xdr:spPr>
    </xdr:pic>
    <xdr:clientData/>
  </xdr:twoCellAnchor>
  <xdr:twoCellAnchor>
    <xdr:from>
      <xdr:col>3</xdr:col>
      <xdr:colOff>1338944</xdr:colOff>
      <xdr:row>72</xdr:row>
      <xdr:rowOff>54020</xdr:rowOff>
    </xdr:from>
    <xdr:to>
      <xdr:col>3</xdr:col>
      <xdr:colOff>2102090</xdr:colOff>
      <xdr:row>72</xdr:row>
      <xdr:rowOff>593952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E1243228-2A43-4D8D-A004-BC7DFDFBE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6748" y="762000"/>
          <a:ext cx="763146" cy="0"/>
        </a:xfrm>
        <a:prstGeom prst="rect">
          <a:avLst/>
        </a:prstGeom>
      </xdr:spPr>
    </xdr:pic>
    <xdr:clientData/>
  </xdr:twoCellAnchor>
  <xdr:twoCellAnchor>
    <xdr:from>
      <xdr:col>3</xdr:col>
      <xdr:colOff>1350139</xdr:colOff>
      <xdr:row>74</xdr:row>
      <xdr:rowOff>57744</xdr:rowOff>
    </xdr:from>
    <xdr:to>
      <xdr:col>3</xdr:col>
      <xdr:colOff>2101940</xdr:colOff>
      <xdr:row>74</xdr:row>
      <xdr:rowOff>607202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4F248931-90E6-4DC6-B138-B553EBB6F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9303" y="762000"/>
          <a:ext cx="750441" cy="0"/>
        </a:xfrm>
        <a:prstGeom prst="rect">
          <a:avLst/>
        </a:prstGeom>
      </xdr:spPr>
    </xdr:pic>
    <xdr:clientData/>
  </xdr:twoCellAnchor>
  <xdr:twoCellAnchor>
    <xdr:from>
      <xdr:col>3</xdr:col>
      <xdr:colOff>1346371</xdr:colOff>
      <xdr:row>76</xdr:row>
      <xdr:rowOff>71550</xdr:rowOff>
    </xdr:from>
    <xdr:to>
      <xdr:col>3</xdr:col>
      <xdr:colOff>2105707</xdr:colOff>
      <xdr:row>76</xdr:row>
      <xdr:rowOff>601957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9F1C70B1-2884-4EFE-99F3-E70433B5A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4175" y="762000"/>
          <a:ext cx="759336" cy="0"/>
        </a:xfrm>
        <a:prstGeom prst="rect">
          <a:avLst/>
        </a:prstGeom>
      </xdr:spPr>
    </xdr:pic>
    <xdr:clientData/>
  </xdr:twoCellAnchor>
  <xdr:twoCellAnchor>
    <xdr:from>
      <xdr:col>3</xdr:col>
      <xdr:colOff>1372051</xdr:colOff>
      <xdr:row>78</xdr:row>
      <xdr:rowOff>57744</xdr:rowOff>
    </xdr:from>
    <xdr:to>
      <xdr:col>3</xdr:col>
      <xdr:colOff>2124201</xdr:colOff>
      <xdr:row>78</xdr:row>
      <xdr:rowOff>607202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A08B4C9B-FF3C-43F0-B2E7-2AE3C004A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8494" y="762000"/>
          <a:ext cx="750789" cy="0"/>
        </a:xfrm>
        <a:prstGeom prst="rect">
          <a:avLst/>
        </a:prstGeom>
      </xdr:spPr>
    </xdr:pic>
    <xdr:clientData/>
  </xdr:twoCellAnchor>
  <xdr:twoCellAnchor>
    <xdr:from>
      <xdr:col>3</xdr:col>
      <xdr:colOff>1379183</xdr:colOff>
      <xdr:row>80</xdr:row>
      <xdr:rowOff>48219</xdr:rowOff>
    </xdr:from>
    <xdr:to>
      <xdr:col>3</xdr:col>
      <xdr:colOff>2139157</xdr:colOff>
      <xdr:row>80</xdr:row>
      <xdr:rowOff>591962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B4DD4D70-19A4-468A-9E0C-D5BF9C33A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6987" y="762000"/>
          <a:ext cx="759974" cy="0"/>
        </a:xfrm>
        <a:prstGeom prst="rect">
          <a:avLst/>
        </a:prstGeom>
      </xdr:spPr>
    </xdr:pic>
    <xdr:clientData/>
  </xdr:twoCellAnchor>
  <xdr:twoCellAnchor>
    <xdr:from>
      <xdr:col>3</xdr:col>
      <xdr:colOff>1491076</xdr:colOff>
      <xdr:row>82</xdr:row>
      <xdr:rowOff>51911</xdr:rowOff>
    </xdr:from>
    <xdr:to>
      <xdr:col>3</xdr:col>
      <xdr:colOff>2027266</xdr:colOff>
      <xdr:row>82</xdr:row>
      <xdr:rowOff>570183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4AE7F50D-0B6E-473E-8443-789805187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956975" y="493905"/>
          <a:ext cx="0" cy="536190"/>
        </a:xfrm>
        <a:prstGeom prst="rect">
          <a:avLst/>
        </a:prstGeom>
      </xdr:spPr>
    </xdr:pic>
    <xdr:clientData/>
  </xdr:twoCellAnchor>
  <xdr:twoCellAnchor>
    <xdr:from>
      <xdr:col>3</xdr:col>
      <xdr:colOff>1342038</xdr:colOff>
      <xdr:row>84</xdr:row>
      <xdr:rowOff>44216</xdr:rowOff>
    </xdr:from>
    <xdr:to>
      <xdr:col>3</xdr:col>
      <xdr:colOff>2110042</xdr:colOff>
      <xdr:row>84</xdr:row>
      <xdr:rowOff>591769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5EA0FB48-B4BA-4276-A792-9A7B70B1D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9842" y="762000"/>
          <a:ext cx="769364" cy="0"/>
        </a:xfrm>
        <a:prstGeom prst="rect">
          <a:avLst/>
        </a:prstGeom>
      </xdr:spPr>
    </xdr:pic>
    <xdr:clientData/>
  </xdr:twoCellAnchor>
  <xdr:twoCellAnchor>
    <xdr:from>
      <xdr:col>3</xdr:col>
      <xdr:colOff>1357095</xdr:colOff>
      <xdr:row>86</xdr:row>
      <xdr:rowOff>56779</xdr:rowOff>
    </xdr:from>
    <xdr:to>
      <xdr:col>3</xdr:col>
      <xdr:colOff>2117069</xdr:colOff>
      <xdr:row>86</xdr:row>
      <xdr:rowOff>596712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EDC19F8F-D974-44E9-9BF2-C2071FE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9" y="762000"/>
          <a:ext cx="759974" cy="0"/>
        </a:xfrm>
        <a:prstGeom prst="rect">
          <a:avLst/>
        </a:prstGeom>
      </xdr:spPr>
    </xdr:pic>
    <xdr:clientData/>
  </xdr:twoCellAnchor>
  <xdr:twoCellAnchor>
    <xdr:from>
      <xdr:col>3</xdr:col>
      <xdr:colOff>1349463</xdr:colOff>
      <xdr:row>88</xdr:row>
      <xdr:rowOff>35933</xdr:rowOff>
    </xdr:from>
    <xdr:to>
      <xdr:col>3</xdr:col>
      <xdr:colOff>2113657</xdr:colOff>
      <xdr:row>88</xdr:row>
      <xdr:rowOff>587295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ED5738CA-8DCF-43A7-BA8A-013483751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8627" y="762000"/>
          <a:ext cx="764194" cy="0"/>
        </a:xfrm>
        <a:prstGeom prst="rect">
          <a:avLst/>
        </a:prstGeom>
      </xdr:spPr>
    </xdr:pic>
    <xdr:clientData/>
  </xdr:twoCellAnchor>
  <xdr:twoCellAnchor>
    <xdr:from>
      <xdr:col>3</xdr:col>
      <xdr:colOff>1354226</xdr:colOff>
      <xdr:row>90</xdr:row>
      <xdr:rowOff>56501</xdr:rowOff>
    </xdr:from>
    <xdr:to>
      <xdr:col>3</xdr:col>
      <xdr:colOff>2108895</xdr:colOff>
      <xdr:row>90</xdr:row>
      <xdr:rowOff>596434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E6079757-2B2D-49A2-BC11-D2960A36D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390" y="762000"/>
          <a:ext cx="753309" cy="0"/>
        </a:xfrm>
        <a:prstGeom prst="rect">
          <a:avLst/>
        </a:prstGeom>
      </xdr:spPr>
    </xdr:pic>
    <xdr:clientData/>
  </xdr:twoCellAnchor>
  <xdr:twoCellAnchor>
    <xdr:from>
      <xdr:col>3</xdr:col>
      <xdr:colOff>1343184</xdr:colOff>
      <xdr:row>92</xdr:row>
      <xdr:rowOff>34417</xdr:rowOff>
    </xdr:from>
    <xdr:to>
      <xdr:col>3</xdr:col>
      <xdr:colOff>2097853</xdr:colOff>
      <xdr:row>92</xdr:row>
      <xdr:rowOff>574349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DBC65D22-BA86-4153-95C3-851269693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0988" y="762000"/>
          <a:ext cx="753308" cy="0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94</xdr:row>
      <xdr:rowOff>41177</xdr:rowOff>
    </xdr:from>
    <xdr:to>
      <xdr:col>3</xdr:col>
      <xdr:colOff>2113197</xdr:colOff>
      <xdr:row>94</xdr:row>
      <xdr:rowOff>575396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FA57A3A7-266C-47CE-9CE3-5A361D8C4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8312" y="762000"/>
          <a:ext cx="764049" cy="0"/>
        </a:xfrm>
        <a:prstGeom prst="rect">
          <a:avLst/>
        </a:prstGeom>
      </xdr:spPr>
    </xdr:pic>
    <xdr:clientData/>
  </xdr:twoCellAnchor>
  <xdr:twoCellAnchor>
    <xdr:from>
      <xdr:col>3</xdr:col>
      <xdr:colOff>1357262</xdr:colOff>
      <xdr:row>96</xdr:row>
      <xdr:rowOff>38972</xdr:rowOff>
    </xdr:from>
    <xdr:to>
      <xdr:col>3</xdr:col>
      <xdr:colOff>2127171</xdr:colOff>
      <xdr:row>96</xdr:row>
      <xdr:rowOff>577000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7A0BFE2F-A093-4F14-87B1-A421190A3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426" y="762000"/>
          <a:ext cx="765827" cy="0"/>
        </a:xfrm>
        <a:prstGeom prst="rect">
          <a:avLst/>
        </a:prstGeom>
      </xdr:spPr>
    </xdr:pic>
    <xdr:clientData/>
  </xdr:twoCellAnchor>
  <xdr:twoCellAnchor>
    <xdr:from>
      <xdr:col>3</xdr:col>
      <xdr:colOff>1367762</xdr:colOff>
      <xdr:row>98</xdr:row>
      <xdr:rowOff>59261</xdr:rowOff>
    </xdr:from>
    <xdr:to>
      <xdr:col>3</xdr:col>
      <xdr:colOff>2127712</xdr:colOff>
      <xdr:row>98</xdr:row>
      <xdr:rowOff>599195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AEB7E5E7-789B-4949-9026-3AE194E18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4205" y="762000"/>
          <a:ext cx="758589" cy="0"/>
        </a:xfrm>
        <a:prstGeom prst="rect">
          <a:avLst/>
        </a:prstGeom>
      </xdr:spPr>
    </xdr:pic>
    <xdr:clientData/>
  </xdr:twoCellAnchor>
  <xdr:twoCellAnchor>
    <xdr:from>
      <xdr:col>3</xdr:col>
      <xdr:colOff>1379421</xdr:colOff>
      <xdr:row>100</xdr:row>
      <xdr:rowOff>36596</xdr:rowOff>
    </xdr:from>
    <xdr:to>
      <xdr:col>3</xdr:col>
      <xdr:colOff>2149185</xdr:colOff>
      <xdr:row>100</xdr:row>
      <xdr:rowOff>584148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760B6713-565B-466C-889F-E3772C70E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7225" y="762000"/>
          <a:ext cx="771124" cy="0"/>
        </a:xfrm>
        <a:prstGeom prst="rect">
          <a:avLst/>
        </a:prstGeom>
      </xdr:spPr>
    </xdr:pic>
    <xdr:clientData/>
  </xdr:twoCellAnchor>
  <xdr:twoCellAnchor>
    <xdr:from>
      <xdr:col>3</xdr:col>
      <xdr:colOff>1393248</xdr:colOff>
      <xdr:row>106</xdr:row>
      <xdr:rowOff>45458</xdr:rowOff>
    </xdr:from>
    <xdr:to>
      <xdr:col>3</xdr:col>
      <xdr:colOff>2157442</xdr:colOff>
      <xdr:row>106</xdr:row>
      <xdr:rowOff>585391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DAAC3B70-870F-486C-99D5-CFAE9BED6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2412" y="762000"/>
          <a:ext cx="760112" cy="0"/>
        </a:xfrm>
        <a:prstGeom prst="rect">
          <a:avLst/>
        </a:prstGeom>
      </xdr:spPr>
    </xdr:pic>
    <xdr:clientData/>
  </xdr:twoCellAnchor>
  <xdr:twoCellAnchor>
    <xdr:from>
      <xdr:col>3</xdr:col>
      <xdr:colOff>1387800</xdr:colOff>
      <xdr:row>108</xdr:row>
      <xdr:rowOff>49738</xdr:rowOff>
    </xdr:from>
    <xdr:to>
      <xdr:col>3</xdr:col>
      <xdr:colOff>2151849</xdr:colOff>
      <xdr:row>108</xdr:row>
      <xdr:rowOff>589671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7926F6E2-1A30-44DC-80AD-E08406C9B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6964" y="762000"/>
          <a:ext cx="764049" cy="0"/>
        </a:xfrm>
        <a:prstGeom prst="rect">
          <a:avLst/>
        </a:prstGeom>
      </xdr:spPr>
    </xdr:pic>
    <xdr:clientData/>
  </xdr:twoCellAnchor>
  <xdr:twoCellAnchor>
    <xdr:from>
      <xdr:col>3</xdr:col>
      <xdr:colOff>1393322</xdr:colOff>
      <xdr:row>110</xdr:row>
      <xdr:rowOff>59261</xdr:rowOff>
    </xdr:from>
    <xdr:to>
      <xdr:col>3</xdr:col>
      <xdr:colOff>2157371</xdr:colOff>
      <xdr:row>110</xdr:row>
      <xdr:rowOff>599195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7A102660-D6C4-41BF-BDD7-EEC99E712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2486" y="762000"/>
          <a:ext cx="764049" cy="0"/>
        </a:xfrm>
        <a:prstGeom prst="rect">
          <a:avLst/>
        </a:prstGeom>
      </xdr:spPr>
    </xdr:pic>
    <xdr:clientData/>
  </xdr:twoCellAnchor>
  <xdr:twoCellAnchor>
    <xdr:from>
      <xdr:col>3</xdr:col>
      <xdr:colOff>1426453</xdr:colOff>
      <xdr:row>112</xdr:row>
      <xdr:rowOff>103316</xdr:rowOff>
    </xdr:from>
    <xdr:to>
      <xdr:col>3</xdr:col>
      <xdr:colOff>2120349</xdr:colOff>
      <xdr:row>112</xdr:row>
      <xdr:rowOff>593674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8594267C-4EA1-4211-B270-1B3B8E108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5617" y="762000"/>
          <a:ext cx="689814" cy="0"/>
        </a:xfrm>
        <a:prstGeom prst="rect">
          <a:avLst/>
        </a:prstGeom>
      </xdr:spPr>
    </xdr:pic>
    <xdr:clientData/>
  </xdr:twoCellAnchor>
  <xdr:twoCellAnchor>
    <xdr:from>
      <xdr:col>3</xdr:col>
      <xdr:colOff>1405124</xdr:colOff>
      <xdr:row>114</xdr:row>
      <xdr:rowOff>57744</xdr:rowOff>
    </xdr:from>
    <xdr:to>
      <xdr:col>3</xdr:col>
      <xdr:colOff>2168764</xdr:colOff>
      <xdr:row>114</xdr:row>
      <xdr:rowOff>595772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C3791F61-399A-4362-889B-B329E451E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1567" y="762000"/>
          <a:ext cx="763640" cy="0"/>
        </a:xfrm>
        <a:prstGeom prst="rect">
          <a:avLst/>
        </a:prstGeom>
      </xdr:spPr>
    </xdr:pic>
    <xdr:clientData/>
  </xdr:twoCellAnchor>
  <xdr:twoCellAnchor>
    <xdr:from>
      <xdr:col>3</xdr:col>
      <xdr:colOff>1410640</xdr:colOff>
      <xdr:row>116</xdr:row>
      <xdr:rowOff>49659</xdr:rowOff>
    </xdr:from>
    <xdr:to>
      <xdr:col>3</xdr:col>
      <xdr:colOff>2174279</xdr:colOff>
      <xdr:row>116</xdr:row>
      <xdr:rowOff>587687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88EEA568-1205-4918-8B13-C30AB66EF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07083" y="762000"/>
          <a:ext cx="763639" cy="0"/>
        </a:xfrm>
        <a:prstGeom prst="rect">
          <a:avLst/>
        </a:prstGeom>
      </xdr:spPr>
    </xdr:pic>
    <xdr:clientData/>
  </xdr:twoCellAnchor>
  <xdr:twoCellAnchor>
    <xdr:from>
      <xdr:col>3</xdr:col>
      <xdr:colOff>1394082</xdr:colOff>
      <xdr:row>118</xdr:row>
      <xdr:rowOff>41575</xdr:rowOff>
    </xdr:from>
    <xdr:to>
      <xdr:col>3</xdr:col>
      <xdr:colOff>2157721</xdr:colOff>
      <xdr:row>118</xdr:row>
      <xdr:rowOff>579602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E8AD6CEC-7978-4BFA-929C-685D7EBA6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93246" y="762000"/>
          <a:ext cx="759557" cy="0"/>
        </a:xfrm>
        <a:prstGeom prst="rect">
          <a:avLst/>
        </a:prstGeom>
      </xdr:spPr>
    </xdr:pic>
    <xdr:clientData/>
  </xdr:twoCellAnchor>
  <xdr:twoCellAnchor>
    <xdr:from>
      <xdr:col>3</xdr:col>
      <xdr:colOff>1399604</xdr:colOff>
      <xdr:row>120</xdr:row>
      <xdr:rowOff>52618</xdr:rowOff>
    </xdr:from>
    <xdr:to>
      <xdr:col>3</xdr:col>
      <xdr:colOff>2163243</xdr:colOff>
      <xdr:row>120</xdr:row>
      <xdr:rowOff>590646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F2BCF13B-5CA7-4575-84B2-FD8AD67B6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94686" y="762000"/>
          <a:ext cx="763639" cy="0"/>
        </a:xfrm>
        <a:prstGeom prst="rect">
          <a:avLst/>
        </a:prstGeom>
      </xdr:spPr>
    </xdr:pic>
    <xdr:clientData/>
  </xdr:twoCellAnchor>
  <xdr:twoCellAnchor>
    <xdr:from>
      <xdr:col>3</xdr:col>
      <xdr:colOff>1410648</xdr:colOff>
      <xdr:row>122</xdr:row>
      <xdr:rowOff>58139</xdr:rowOff>
    </xdr:from>
    <xdr:to>
      <xdr:col>3</xdr:col>
      <xdr:colOff>2174287</xdr:colOff>
      <xdr:row>122</xdr:row>
      <xdr:rowOff>596166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970AB198-1F46-4BA1-B84D-8CDB035FD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07091" y="762000"/>
          <a:ext cx="763639" cy="0"/>
        </a:xfrm>
        <a:prstGeom prst="rect">
          <a:avLst/>
        </a:prstGeom>
      </xdr:spPr>
    </xdr:pic>
    <xdr:clientData/>
  </xdr:twoCellAnchor>
  <xdr:twoCellAnchor>
    <xdr:from>
      <xdr:col>3</xdr:col>
      <xdr:colOff>1416170</xdr:colOff>
      <xdr:row>124</xdr:row>
      <xdr:rowOff>41573</xdr:rowOff>
    </xdr:from>
    <xdr:to>
      <xdr:col>3</xdr:col>
      <xdr:colOff>2179809</xdr:colOff>
      <xdr:row>124</xdr:row>
      <xdr:rowOff>579601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11D9ED5A-D3D4-4110-9D29-01F828C5F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13974" y="762000"/>
          <a:ext cx="763639" cy="0"/>
        </a:xfrm>
        <a:prstGeom prst="rect">
          <a:avLst/>
        </a:prstGeom>
      </xdr:spPr>
    </xdr:pic>
    <xdr:clientData/>
  </xdr:twoCellAnchor>
  <xdr:twoCellAnchor>
    <xdr:from>
      <xdr:col>3</xdr:col>
      <xdr:colOff>1410648</xdr:colOff>
      <xdr:row>126</xdr:row>
      <xdr:rowOff>58139</xdr:rowOff>
    </xdr:from>
    <xdr:to>
      <xdr:col>3</xdr:col>
      <xdr:colOff>2174286</xdr:colOff>
      <xdr:row>126</xdr:row>
      <xdr:rowOff>596166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6FFBE9C2-D031-4421-A098-3279DDAC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07091" y="762000"/>
          <a:ext cx="763638" cy="0"/>
        </a:xfrm>
        <a:prstGeom prst="rect">
          <a:avLst/>
        </a:prstGeom>
      </xdr:spPr>
    </xdr:pic>
    <xdr:clientData/>
  </xdr:twoCellAnchor>
  <xdr:twoCellAnchor>
    <xdr:from>
      <xdr:col>3</xdr:col>
      <xdr:colOff>1399604</xdr:colOff>
      <xdr:row>128</xdr:row>
      <xdr:rowOff>69182</xdr:rowOff>
    </xdr:from>
    <xdr:to>
      <xdr:col>3</xdr:col>
      <xdr:colOff>2163242</xdr:colOff>
      <xdr:row>128</xdr:row>
      <xdr:rowOff>607209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16F525BA-DD68-4754-A966-E3B740D41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94686" y="762000"/>
          <a:ext cx="763638" cy="0"/>
        </a:xfrm>
        <a:prstGeom prst="rect">
          <a:avLst/>
        </a:prstGeom>
      </xdr:spPr>
    </xdr:pic>
    <xdr:clientData/>
  </xdr:twoCellAnchor>
  <xdr:twoCellAnchor>
    <xdr:from>
      <xdr:col>3</xdr:col>
      <xdr:colOff>1438256</xdr:colOff>
      <xdr:row>134</xdr:row>
      <xdr:rowOff>36054</xdr:rowOff>
    </xdr:from>
    <xdr:to>
      <xdr:col>3</xdr:col>
      <xdr:colOff>2201894</xdr:colOff>
      <xdr:row>134</xdr:row>
      <xdr:rowOff>574079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63D63A93-67DA-4D53-8D6C-E20CFF1FE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3338" y="762000"/>
          <a:ext cx="763638" cy="0"/>
        </a:xfrm>
        <a:prstGeom prst="rect">
          <a:avLst/>
        </a:prstGeom>
      </xdr:spPr>
    </xdr:pic>
    <xdr:clientData/>
  </xdr:twoCellAnchor>
  <xdr:twoCellAnchor>
    <xdr:from>
      <xdr:col>3</xdr:col>
      <xdr:colOff>1421692</xdr:colOff>
      <xdr:row>136</xdr:row>
      <xdr:rowOff>52616</xdr:rowOff>
    </xdr:from>
    <xdr:to>
      <xdr:col>3</xdr:col>
      <xdr:colOff>2185330</xdr:colOff>
      <xdr:row>136</xdr:row>
      <xdr:rowOff>590643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BC484487-949D-40E5-8A1B-5B9F30BF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19496" y="762000"/>
          <a:ext cx="763638" cy="0"/>
        </a:xfrm>
        <a:prstGeom prst="rect">
          <a:avLst/>
        </a:prstGeom>
      </xdr:spPr>
    </xdr:pic>
    <xdr:clientData/>
  </xdr:twoCellAnchor>
  <xdr:twoCellAnchor>
    <xdr:from>
      <xdr:col>3</xdr:col>
      <xdr:colOff>1416171</xdr:colOff>
      <xdr:row>138</xdr:row>
      <xdr:rowOff>47096</xdr:rowOff>
    </xdr:from>
    <xdr:to>
      <xdr:col>3</xdr:col>
      <xdr:colOff>2179807</xdr:colOff>
      <xdr:row>138</xdr:row>
      <xdr:rowOff>585122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279BE61D-54B5-4346-B5D5-B24124BC7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13975" y="762000"/>
          <a:ext cx="763636" cy="0"/>
        </a:xfrm>
        <a:prstGeom prst="rect">
          <a:avLst/>
        </a:prstGeom>
      </xdr:spPr>
    </xdr:pic>
    <xdr:clientData/>
  </xdr:twoCellAnchor>
  <xdr:twoCellAnchor>
    <xdr:from>
      <xdr:col>3</xdr:col>
      <xdr:colOff>1410649</xdr:colOff>
      <xdr:row>140</xdr:row>
      <xdr:rowOff>69182</xdr:rowOff>
    </xdr:from>
    <xdr:to>
      <xdr:col>3</xdr:col>
      <xdr:colOff>2174285</xdr:colOff>
      <xdr:row>140</xdr:row>
      <xdr:rowOff>607209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A1094AF1-6001-4CDE-B56F-C4E9EBCB6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07092" y="762000"/>
          <a:ext cx="763636" cy="0"/>
        </a:xfrm>
        <a:prstGeom prst="rect">
          <a:avLst/>
        </a:prstGeom>
      </xdr:spPr>
    </xdr:pic>
    <xdr:clientData/>
  </xdr:twoCellAnchor>
  <xdr:twoCellAnchor>
    <xdr:from>
      <xdr:col>3</xdr:col>
      <xdr:colOff>1396646</xdr:colOff>
      <xdr:row>142</xdr:row>
      <xdr:rowOff>77268</xdr:rowOff>
    </xdr:from>
    <xdr:to>
      <xdr:col>3</xdr:col>
      <xdr:colOff>2160282</xdr:colOff>
      <xdr:row>142</xdr:row>
      <xdr:rowOff>615292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1B01E00D-CC27-481E-B153-FE59DD83F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91728" y="762000"/>
          <a:ext cx="763636" cy="0"/>
        </a:xfrm>
        <a:prstGeom prst="rect">
          <a:avLst/>
        </a:prstGeom>
      </xdr:spPr>
    </xdr:pic>
    <xdr:clientData/>
  </xdr:twoCellAnchor>
  <xdr:twoCellAnchor>
    <xdr:from>
      <xdr:col>3</xdr:col>
      <xdr:colOff>1402168</xdr:colOff>
      <xdr:row>144</xdr:row>
      <xdr:rowOff>44137</xdr:rowOff>
    </xdr:from>
    <xdr:to>
      <xdr:col>3</xdr:col>
      <xdr:colOff>2165803</xdr:colOff>
      <xdr:row>144</xdr:row>
      <xdr:rowOff>582162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8305E8DF-A32F-4A0B-AA0F-0136CE2F7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97250" y="762000"/>
          <a:ext cx="763635" cy="0"/>
        </a:xfrm>
        <a:prstGeom prst="rect">
          <a:avLst/>
        </a:prstGeom>
      </xdr:spPr>
    </xdr:pic>
    <xdr:clientData/>
  </xdr:twoCellAnchor>
  <xdr:twoCellAnchor>
    <xdr:from>
      <xdr:col>3</xdr:col>
      <xdr:colOff>1413211</xdr:colOff>
      <xdr:row>146</xdr:row>
      <xdr:rowOff>44138</xdr:rowOff>
    </xdr:from>
    <xdr:to>
      <xdr:col>3</xdr:col>
      <xdr:colOff>2176846</xdr:colOff>
      <xdr:row>146</xdr:row>
      <xdr:rowOff>582161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2311824D-E0CE-4BB1-A136-BED8545E7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09654" y="762000"/>
          <a:ext cx="764996" cy="0"/>
        </a:xfrm>
        <a:prstGeom prst="rect">
          <a:avLst/>
        </a:prstGeom>
      </xdr:spPr>
    </xdr:pic>
    <xdr:clientData/>
  </xdr:twoCellAnchor>
  <xdr:twoCellAnchor>
    <xdr:from>
      <xdr:col>3</xdr:col>
      <xdr:colOff>1435298</xdr:colOff>
      <xdr:row>148</xdr:row>
      <xdr:rowOff>60703</xdr:rowOff>
    </xdr:from>
    <xdr:to>
      <xdr:col>3</xdr:col>
      <xdr:colOff>2198933</xdr:colOff>
      <xdr:row>148</xdr:row>
      <xdr:rowOff>598727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64938334-2E02-40A4-A979-A8B1D7ED4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0380" y="762000"/>
          <a:ext cx="763635" cy="0"/>
        </a:xfrm>
        <a:prstGeom prst="rect">
          <a:avLst/>
        </a:prstGeom>
      </xdr:spPr>
    </xdr:pic>
    <xdr:clientData/>
  </xdr:twoCellAnchor>
  <xdr:twoCellAnchor>
    <xdr:from>
      <xdr:col>3</xdr:col>
      <xdr:colOff>1446342</xdr:colOff>
      <xdr:row>150</xdr:row>
      <xdr:rowOff>55180</xdr:rowOff>
    </xdr:from>
    <xdr:to>
      <xdr:col>3</xdr:col>
      <xdr:colOff>2209976</xdr:colOff>
      <xdr:row>150</xdr:row>
      <xdr:rowOff>593204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38D06AA5-037E-40B0-9E08-F3B35F631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2785" y="762000"/>
          <a:ext cx="763634" cy="0"/>
        </a:xfrm>
        <a:prstGeom prst="rect">
          <a:avLst/>
        </a:prstGeom>
      </xdr:spPr>
    </xdr:pic>
    <xdr:clientData/>
  </xdr:twoCellAnchor>
  <xdr:twoCellAnchor>
    <xdr:from>
      <xdr:col>3</xdr:col>
      <xdr:colOff>1446342</xdr:colOff>
      <xdr:row>152</xdr:row>
      <xdr:rowOff>44137</xdr:rowOff>
    </xdr:from>
    <xdr:to>
      <xdr:col>3</xdr:col>
      <xdr:colOff>2209976</xdr:colOff>
      <xdr:row>152</xdr:row>
      <xdr:rowOff>582161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A1144212-F6EE-44E8-9D28-72718C6FE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2785" y="762000"/>
          <a:ext cx="763634" cy="0"/>
        </a:xfrm>
        <a:prstGeom prst="rect">
          <a:avLst/>
        </a:prstGeom>
      </xdr:spPr>
    </xdr:pic>
    <xdr:clientData/>
  </xdr:twoCellAnchor>
  <xdr:twoCellAnchor>
    <xdr:from>
      <xdr:col>3</xdr:col>
      <xdr:colOff>1446343</xdr:colOff>
      <xdr:row>154</xdr:row>
      <xdr:rowOff>66224</xdr:rowOff>
    </xdr:from>
    <xdr:to>
      <xdr:col>3</xdr:col>
      <xdr:colOff>2209975</xdr:colOff>
      <xdr:row>154</xdr:row>
      <xdr:rowOff>604247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66F3669E-5D12-4F47-9064-6A154FD17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2786" y="762000"/>
          <a:ext cx="763632" cy="0"/>
        </a:xfrm>
        <a:prstGeom prst="rect">
          <a:avLst/>
        </a:prstGeom>
      </xdr:spPr>
    </xdr:pic>
    <xdr:clientData/>
  </xdr:twoCellAnchor>
  <xdr:twoCellAnchor>
    <xdr:from>
      <xdr:col>3</xdr:col>
      <xdr:colOff>1451864</xdr:colOff>
      <xdr:row>156</xdr:row>
      <xdr:rowOff>55181</xdr:rowOff>
    </xdr:from>
    <xdr:to>
      <xdr:col>3</xdr:col>
      <xdr:colOff>2215496</xdr:colOff>
      <xdr:row>156</xdr:row>
      <xdr:rowOff>593203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3E14D173-FE6A-4FEA-95BF-E7F2EE780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8307" y="762000"/>
          <a:ext cx="764993" cy="0"/>
        </a:xfrm>
        <a:prstGeom prst="rect">
          <a:avLst/>
        </a:prstGeom>
      </xdr:spPr>
    </xdr:pic>
    <xdr:clientData/>
  </xdr:twoCellAnchor>
  <xdr:twoCellAnchor>
    <xdr:from>
      <xdr:col>3</xdr:col>
      <xdr:colOff>1446343</xdr:colOff>
      <xdr:row>158</xdr:row>
      <xdr:rowOff>44138</xdr:rowOff>
    </xdr:from>
    <xdr:to>
      <xdr:col>3</xdr:col>
      <xdr:colOff>2209974</xdr:colOff>
      <xdr:row>158</xdr:row>
      <xdr:rowOff>582159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A0C19091-E117-4890-921B-69CE10AD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2786" y="762000"/>
          <a:ext cx="763631" cy="0"/>
        </a:xfrm>
        <a:prstGeom prst="rect">
          <a:avLst/>
        </a:prstGeom>
      </xdr:spPr>
    </xdr:pic>
    <xdr:clientData/>
  </xdr:twoCellAnchor>
  <xdr:twoCellAnchor>
    <xdr:from>
      <xdr:col>3</xdr:col>
      <xdr:colOff>1448905</xdr:colOff>
      <xdr:row>160</xdr:row>
      <xdr:rowOff>55971</xdr:rowOff>
    </xdr:from>
    <xdr:to>
      <xdr:col>3</xdr:col>
      <xdr:colOff>2212536</xdr:colOff>
      <xdr:row>160</xdr:row>
      <xdr:rowOff>593992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5A2DEE8C-E59F-4BC0-89AB-39575E35E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5348" y="762000"/>
          <a:ext cx="763631" cy="0"/>
        </a:xfrm>
        <a:prstGeom prst="rect">
          <a:avLst/>
        </a:prstGeom>
      </xdr:spPr>
    </xdr:pic>
    <xdr:clientData/>
  </xdr:twoCellAnchor>
  <xdr:twoCellAnchor>
    <xdr:from>
      <xdr:col>3</xdr:col>
      <xdr:colOff>1459950</xdr:colOff>
      <xdr:row>162</xdr:row>
      <xdr:rowOff>44927</xdr:rowOff>
    </xdr:from>
    <xdr:to>
      <xdr:col>3</xdr:col>
      <xdr:colOff>2223579</xdr:colOff>
      <xdr:row>162</xdr:row>
      <xdr:rowOff>582948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219121DF-56CB-4DB7-BAE8-88D1FC17E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57754" y="762000"/>
          <a:ext cx="763629" cy="0"/>
        </a:xfrm>
        <a:prstGeom prst="rect">
          <a:avLst/>
        </a:prstGeom>
      </xdr:spPr>
    </xdr:pic>
    <xdr:clientData/>
  </xdr:twoCellAnchor>
  <xdr:twoCellAnchor>
    <xdr:from>
      <xdr:col>3</xdr:col>
      <xdr:colOff>1443385</xdr:colOff>
      <xdr:row>164</xdr:row>
      <xdr:rowOff>55970</xdr:rowOff>
    </xdr:from>
    <xdr:to>
      <xdr:col>3</xdr:col>
      <xdr:colOff>2207014</xdr:colOff>
      <xdr:row>164</xdr:row>
      <xdr:rowOff>593990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35BC0D6A-00C2-4F32-860C-4D6307C2F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9828" y="762000"/>
          <a:ext cx="763629" cy="0"/>
        </a:xfrm>
        <a:prstGeom prst="rect">
          <a:avLst/>
        </a:prstGeom>
      </xdr:spPr>
    </xdr:pic>
    <xdr:clientData/>
  </xdr:twoCellAnchor>
  <xdr:twoCellAnchor>
    <xdr:from>
      <xdr:col>3</xdr:col>
      <xdr:colOff>1448907</xdr:colOff>
      <xdr:row>170</xdr:row>
      <xdr:rowOff>50447</xdr:rowOff>
    </xdr:from>
    <xdr:to>
      <xdr:col>3</xdr:col>
      <xdr:colOff>2212535</xdr:colOff>
      <xdr:row>170</xdr:row>
      <xdr:rowOff>588466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7D9BF699-0531-4A56-96C5-B885F9A0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5350" y="762000"/>
          <a:ext cx="763628" cy="0"/>
        </a:xfrm>
        <a:prstGeom prst="rect">
          <a:avLst/>
        </a:prstGeom>
      </xdr:spPr>
    </xdr:pic>
    <xdr:clientData/>
  </xdr:twoCellAnchor>
  <xdr:twoCellAnchor>
    <xdr:from>
      <xdr:col>3</xdr:col>
      <xdr:colOff>1443386</xdr:colOff>
      <xdr:row>172</xdr:row>
      <xdr:rowOff>28363</xdr:rowOff>
    </xdr:from>
    <xdr:to>
      <xdr:col>3</xdr:col>
      <xdr:colOff>2207012</xdr:colOff>
      <xdr:row>172</xdr:row>
      <xdr:rowOff>566381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7C876F86-8E4F-4EBB-A1CF-CA69403DF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9829" y="762000"/>
          <a:ext cx="763626" cy="0"/>
        </a:xfrm>
        <a:prstGeom prst="rect">
          <a:avLst/>
        </a:prstGeom>
      </xdr:spPr>
    </xdr:pic>
    <xdr:clientData/>
  </xdr:twoCellAnchor>
  <xdr:twoCellAnchor>
    <xdr:from>
      <xdr:col>3</xdr:col>
      <xdr:colOff>1448907</xdr:colOff>
      <xdr:row>174</xdr:row>
      <xdr:rowOff>33883</xdr:rowOff>
    </xdr:from>
    <xdr:to>
      <xdr:col>3</xdr:col>
      <xdr:colOff>2212533</xdr:colOff>
      <xdr:row>174</xdr:row>
      <xdr:rowOff>571901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D202CFBA-B033-4BAD-9788-8DB7D59E7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5350" y="762000"/>
          <a:ext cx="763626" cy="0"/>
        </a:xfrm>
        <a:prstGeom prst="rect">
          <a:avLst/>
        </a:prstGeom>
      </xdr:spPr>
    </xdr:pic>
    <xdr:clientData/>
  </xdr:twoCellAnchor>
  <xdr:twoCellAnchor>
    <xdr:from>
      <xdr:col>3</xdr:col>
      <xdr:colOff>1448907</xdr:colOff>
      <xdr:row>176</xdr:row>
      <xdr:rowOff>55971</xdr:rowOff>
    </xdr:from>
    <xdr:to>
      <xdr:col>3</xdr:col>
      <xdr:colOff>2212532</xdr:colOff>
      <xdr:row>176</xdr:row>
      <xdr:rowOff>593988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273B14A2-DA33-4838-B887-AAD317F3B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5350" y="762000"/>
          <a:ext cx="763625" cy="0"/>
        </a:xfrm>
        <a:prstGeom prst="rect">
          <a:avLst/>
        </a:prstGeom>
      </xdr:spPr>
    </xdr:pic>
    <xdr:clientData/>
  </xdr:twoCellAnchor>
  <xdr:twoCellAnchor>
    <xdr:from>
      <xdr:col>3</xdr:col>
      <xdr:colOff>1448907</xdr:colOff>
      <xdr:row>178</xdr:row>
      <xdr:rowOff>67565</xdr:rowOff>
    </xdr:from>
    <xdr:to>
      <xdr:col>3</xdr:col>
      <xdr:colOff>2212532</xdr:colOff>
      <xdr:row>178</xdr:row>
      <xdr:rowOff>605583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69876030-E7ED-4AD6-A06A-91ADFC2F3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5350" y="762000"/>
          <a:ext cx="763625" cy="0"/>
        </a:xfrm>
        <a:prstGeom prst="rect">
          <a:avLst/>
        </a:prstGeom>
      </xdr:spPr>
    </xdr:pic>
    <xdr:clientData/>
  </xdr:twoCellAnchor>
  <xdr:twoCellAnchor>
    <xdr:from>
      <xdr:col>3</xdr:col>
      <xdr:colOff>1470995</xdr:colOff>
      <xdr:row>180</xdr:row>
      <xdr:rowOff>50449</xdr:rowOff>
    </xdr:from>
    <xdr:to>
      <xdr:col>3</xdr:col>
      <xdr:colOff>2234619</xdr:colOff>
      <xdr:row>180</xdr:row>
      <xdr:rowOff>588466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9A1BDAE9-A08E-4E2D-A752-C5826A22E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70159" y="762000"/>
          <a:ext cx="759542" cy="0"/>
        </a:xfrm>
        <a:prstGeom prst="rect">
          <a:avLst/>
        </a:prstGeom>
      </xdr:spPr>
    </xdr:pic>
    <xdr:clientData/>
  </xdr:twoCellAnchor>
  <xdr:twoCellAnchor>
    <xdr:from>
      <xdr:col>3</xdr:col>
      <xdr:colOff>1465473</xdr:colOff>
      <xdr:row>182</xdr:row>
      <xdr:rowOff>44531</xdr:rowOff>
    </xdr:from>
    <xdr:to>
      <xdr:col>3</xdr:col>
      <xdr:colOff>2229097</xdr:colOff>
      <xdr:row>182</xdr:row>
      <xdr:rowOff>582548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52E16699-D82E-4D16-AD9E-C8D4823B8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64637" y="762000"/>
          <a:ext cx="763624" cy="0"/>
        </a:xfrm>
        <a:prstGeom prst="rect">
          <a:avLst/>
        </a:prstGeom>
      </xdr:spPr>
    </xdr:pic>
    <xdr:clientData/>
  </xdr:twoCellAnchor>
  <xdr:twoCellAnchor>
    <xdr:from>
      <xdr:col>3</xdr:col>
      <xdr:colOff>1454431</xdr:colOff>
      <xdr:row>184</xdr:row>
      <xdr:rowOff>66620</xdr:rowOff>
    </xdr:from>
    <xdr:to>
      <xdr:col>3</xdr:col>
      <xdr:colOff>2218053</xdr:colOff>
      <xdr:row>184</xdr:row>
      <xdr:rowOff>604635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E9A2212C-1D91-481B-AAAF-D4DE3E53F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52235" y="762000"/>
          <a:ext cx="763622" cy="0"/>
        </a:xfrm>
        <a:prstGeom prst="rect">
          <a:avLst/>
        </a:prstGeom>
      </xdr:spPr>
    </xdr:pic>
    <xdr:clientData/>
  </xdr:twoCellAnchor>
  <xdr:twoCellAnchor>
    <xdr:from>
      <xdr:col>3</xdr:col>
      <xdr:colOff>1459953</xdr:colOff>
      <xdr:row>186</xdr:row>
      <xdr:rowOff>55576</xdr:rowOff>
    </xdr:from>
    <xdr:to>
      <xdr:col>3</xdr:col>
      <xdr:colOff>2223575</xdr:colOff>
      <xdr:row>186</xdr:row>
      <xdr:rowOff>593591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8EA24768-446C-45E0-BC06-82B15EC9F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57757" y="762000"/>
          <a:ext cx="763622" cy="0"/>
        </a:xfrm>
        <a:prstGeom prst="rect">
          <a:avLst/>
        </a:prstGeom>
      </xdr:spPr>
    </xdr:pic>
    <xdr:clientData/>
  </xdr:twoCellAnchor>
  <xdr:twoCellAnchor>
    <xdr:from>
      <xdr:col>3</xdr:col>
      <xdr:colOff>1448909</xdr:colOff>
      <xdr:row>188</xdr:row>
      <xdr:rowOff>22446</xdr:rowOff>
    </xdr:from>
    <xdr:to>
      <xdr:col>3</xdr:col>
      <xdr:colOff>2212530</xdr:colOff>
      <xdr:row>188</xdr:row>
      <xdr:rowOff>560460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45C4FFE0-B0B7-456B-A57F-4D14282AA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5352" y="762000"/>
          <a:ext cx="763621" cy="0"/>
        </a:xfrm>
        <a:prstGeom prst="rect">
          <a:avLst/>
        </a:prstGeom>
      </xdr:spPr>
    </xdr:pic>
    <xdr:clientData/>
  </xdr:twoCellAnchor>
  <xdr:twoCellAnchor>
    <xdr:from>
      <xdr:col>3</xdr:col>
      <xdr:colOff>1448910</xdr:colOff>
      <xdr:row>190</xdr:row>
      <xdr:rowOff>44532</xdr:rowOff>
    </xdr:from>
    <xdr:to>
      <xdr:col>3</xdr:col>
      <xdr:colOff>2212531</xdr:colOff>
      <xdr:row>190</xdr:row>
      <xdr:rowOff>582546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90B0B1EA-6629-48EF-A44B-CC80661D7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5353" y="762000"/>
          <a:ext cx="763621" cy="0"/>
        </a:xfrm>
        <a:prstGeom prst="rect">
          <a:avLst/>
        </a:prstGeom>
      </xdr:spPr>
    </xdr:pic>
    <xdr:clientData/>
  </xdr:twoCellAnchor>
  <xdr:twoCellAnchor>
    <xdr:from>
      <xdr:col>3</xdr:col>
      <xdr:colOff>1459954</xdr:colOff>
      <xdr:row>192</xdr:row>
      <xdr:rowOff>55575</xdr:rowOff>
    </xdr:from>
    <xdr:to>
      <xdr:col>3</xdr:col>
      <xdr:colOff>2223573</xdr:colOff>
      <xdr:row>192</xdr:row>
      <xdr:rowOff>593589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7CFCC058-CBBF-4990-BDCA-196CFFCDD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57758" y="762000"/>
          <a:ext cx="763619" cy="0"/>
        </a:xfrm>
        <a:prstGeom prst="rect">
          <a:avLst/>
        </a:prstGeom>
      </xdr:spPr>
    </xdr:pic>
    <xdr:clientData/>
  </xdr:twoCellAnchor>
  <xdr:twoCellAnchor>
    <xdr:from>
      <xdr:col>3</xdr:col>
      <xdr:colOff>1451862</xdr:colOff>
      <xdr:row>194</xdr:row>
      <xdr:rowOff>37648</xdr:rowOff>
    </xdr:from>
    <xdr:to>
      <xdr:col>3</xdr:col>
      <xdr:colOff>2215481</xdr:colOff>
      <xdr:row>194</xdr:row>
      <xdr:rowOff>575662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622837C3-7FD4-4235-A342-FF48C1E22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8305" y="762000"/>
          <a:ext cx="764980" cy="0"/>
        </a:xfrm>
        <a:prstGeom prst="rect">
          <a:avLst/>
        </a:prstGeom>
      </xdr:spPr>
    </xdr:pic>
    <xdr:clientData/>
  </xdr:twoCellAnchor>
  <xdr:twoCellAnchor>
    <xdr:from>
      <xdr:col>3</xdr:col>
      <xdr:colOff>1457384</xdr:colOff>
      <xdr:row>196</xdr:row>
      <xdr:rowOff>49660</xdr:rowOff>
    </xdr:from>
    <xdr:to>
      <xdr:col>3</xdr:col>
      <xdr:colOff>2221002</xdr:colOff>
      <xdr:row>196</xdr:row>
      <xdr:rowOff>587673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7B7868D5-0E91-48AB-A955-B7793DEA7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55188" y="762000"/>
          <a:ext cx="763618" cy="0"/>
        </a:xfrm>
        <a:prstGeom prst="rect">
          <a:avLst/>
        </a:prstGeom>
      </xdr:spPr>
    </xdr:pic>
    <xdr:clientData/>
  </xdr:twoCellAnchor>
  <xdr:twoCellAnchor>
    <xdr:from>
      <xdr:col>3</xdr:col>
      <xdr:colOff>1448910</xdr:colOff>
      <xdr:row>198</xdr:row>
      <xdr:rowOff>66619</xdr:rowOff>
    </xdr:from>
    <xdr:to>
      <xdr:col>3</xdr:col>
      <xdr:colOff>2212529</xdr:colOff>
      <xdr:row>198</xdr:row>
      <xdr:rowOff>604632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070F496B-563C-47E3-A09D-EC2D1A772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5353" y="762000"/>
          <a:ext cx="763619" cy="0"/>
        </a:xfrm>
        <a:prstGeom prst="rect">
          <a:avLst/>
        </a:prstGeom>
      </xdr:spPr>
    </xdr:pic>
    <xdr:clientData/>
  </xdr:twoCellAnchor>
  <xdr:twoCellAnchor>
    <xdr:from>
      <xdr:col>3</xdr:col>
      <xdr:colOff>1456995</xdr:colOff>
      <xdr:row>200</xdr:row>
      <xdr:rowOff>55576</xdr:rowOff>
    </xdr:from>
    <xdr:to>
      <xdr:col>3</xdr:col>
      <xdr:colOff>2220613</xdr:colOff>
      <xdr:row>200</xdr:row>
      <xdr:rowOff>593588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6CB96A36-70FD-4C89-88B1-55B51C4F6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54799" y="762000"/>
          <a:ext cx="763618" cy="0"/>
        </a:xfrm>
        <a:prstGeom prst="rect">
          <a:avLst/>
        </a:prstGeom>
      </xdr:spPr>
    </xdr:pic>
    <xdr:clientData/>
  </xdr:twoCellAnchor>
  <xdr:twoCellAnchor>
    <xdr:from>
      <xdr:col>3</xdr:col>
      <xdr:colOff>1434908</xdr:colOff>
      <xdr:row>202</xdr:row>
      <xdr:rowOff>50054</xdr:rowOff>
    </xdr:from>
    <xdr:to>
      <xdr:col>3</xdr:col>
      <xdr:colOff>2198526</xdr:colOff>
      <xdr:row>202</xdr:row>
      <xdr:rowOff>588066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013DC474-6AF6-4884-9D3B-988E9FFF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29990" y="762000"/>
          <a:ext cx="763618" cy="0"/>
        </a:xfrm>
        <a:prstGeom prst="rect">
          <a:avLst/>
        </a:prstGeom>
      </xdr:spPr>
    </xdr:pic>
    <xdr:clientData/>
  </xdr:twoCellAnchor>
  <xdr:twoCellAnchor>
    <xdr:from>
      <xdr:col>3</xdr:col>
      <xdr:colOff>1445952</xdr:colOff>
      <xdr:row>204</xdr:row>
      <xdr:rowOff>33490</xdr:rowOff>
    </xdr:from>
    <xdr:to>
      <xdr:col>3</xdr:col>
      <xdr:colOff>2209569</xdr:colOff>
      <xdr:row>204</xdr:row>
      <xdr:rowOff>571501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4E7C8119-9832-484B-B2F6-2DB6EC09B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2395" y="762000"/>
          <a:ext cx="763617" cy="0"/>
        </a:xfrm>
        <a:prstGeom prst="rect">
          <a:avLst/>
        </a:prstGeom>
      </xdr:spPr>
    </xdr:pic>
    <xdr:clientData/>
  </xdr:twoCellAnchor>
  <xdr:twoCellAnchor>
    <xdr:from>
      <xdr:col>3</xdr:col>
      <xdr:colOff>1440429</xdr:colOff>
      <xdr:row>206</xdr:row>
      <xdr:rowOff>44531</xdr:rowOff>
    </xdr:from>
    <xdr:to>
      <xdr:col>3</xdr:col>
      <xdr:colOff>2204046</xdr:colOff>
      <xdr:row>206</xdr:row>
      <xdr:rowOff>582543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4ACC6E29-307F-4C4B-8932-E5A2BA598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5511" y="762000"/>
          <a:ext cx="763617" cy="0"/>
        </a:xfrm>
        <a:prstGeom prst="rect">
          <a:avLst/>
        </a:prstGeom>
      </xdr:spPr>
    </xdr:pic>
    <xdr:clientData/>
  </xdr:twoCellAnchor>
  <xdr:twoCellAnchor>
    <xdr:from>
      <xdr:col>3</xdr:col>
      <xdr:colOff>1440429</xdr:colOff>
      <xdr:row>208</xdr:row>
      <xdr:rowOff>66618</xdr:rowOff>
    </xdr:from>
    <xdr:to>
      <xdr:col>3</xdr:col>
      <xdr:colOff>2204046</xdr:colOff>
      <xdr:row>208</xdr:row>
      <xdr:rowOff>604630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5B1C42B0-0B2B-4B1C-BB8A-F863DF8CF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5511" y="762000"/>
          <a:ext cx="763617" cy="0"/>
        </a:xfrm>
        <a:prstGeom prst="rect">
          <a:avLst/>
        </a:prstGeom>
      </xdr:spPr>
    </xdr:pic>
    <xdr:clientData/>
  </xdr:twoCellAnchor>
  <xdr:twoCellAnchor>
    <xdr:from>
      <xdr:col>3</xdr:col>
      <xdr:colOff>1440430</xdr:colOff>
      <xdr:row>210</xdr:row>
      <xdr:rowOff>66619</xdr:rowOff>
    </xdr:from>
    <xdr:to>
      <xdr:col>3</xdr:col>
      <xdr:colOff>2204045</xdr:colOff>
      <xdr:row>210</xdr:row>
      <xdr:rowOff>604630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BD2F943A-6AC3-400C-A6CE-5000E6A36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5512" y="762000"/>
          <a:ext cx="763615" cy="0"/>
        </a:xfrm>
        <a:prstGeom prst="rect">
          <a:avLst/>
        </a:prstGeom>
      </xdr:spPr>
    </xdr:pic>
    <xdr:clientData/>
  </xdr:twoCellAnchor>
  <xdr:twoCellAnchor>
    <xdr:from>
      <xdr:col>3</xdr:col>
      <xdr:colOff>1418344</xdr:colOff>
      <xdr:row>212</xdr:row>
      <xdr:rowOff>72140</xdr:rowOff>
    </xdr:from>
    <xdr:to>
      <xdr:col>3</xdr:col>
      <xdr:colOff>2181959</xdr:colOff>
      <xdr:row>212</xdr:row>
      <xdr:rowOff>610150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AA3846D4-7F85-430F-979E-B54615BF9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16148" y="762000"/>
          <a:ext cx="763615" cy="0"/>
        </a:xfrm>
        <a:prstGeom prst="rect">
          <a:avLst/>
        </a:prstGeom>
      </xdr:spPr>
    </xdr:pic>
    <xdr:clientData/>
  </xdr:twoCellAnchor>
  <xdr:twoCellAnchor>
    <xdr:from>
      <xdr:col>3</xdr:col>
      <xdr:colOff>1423864</xdr:colOff>
      <xdr:row>214</xdr:row>
      <xdr:rowOff>39007</xdr:rowOff>
    </xdr:from>
    <xdr:to>
      <xdr:col>3</xdr:col>
      <xdr:colOff>2214217</xdr:colOff>
      <xdr:row>214</xdr:row>
      <xdr:rowOff>595854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42CC8AB4-64E8-48A6-8B02-E35E8724F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21668" y="762000"/>
          <a:ext cx="788992" cy="0"/>
        </a:xfrm>
        <a:prstGeom prst="rect">
          <a:avLst/>
        </a:prstGeom>
      </xdr:spPr>
    </xdr:pic>
    <xdr:clientData/>
  </xdr:twoCellAnchor>
  <xdr:twoCellAnchor>
    <xdr:from>
      <xdr:col>3</xdr:col>
      <xdr:colOff>1617870</xdr:colOff>
      <xdr:row>216</xdr:row>
      <xdr:rowOff>18907</xdr:rowOff>
    </xdr:from>
    <xdr:to>
      <xdr:col>3</xdr:col>
      <xdr:colOff>2031122</xdr:colOff>
      <xdr:row>216</xdr:row>
      <xdr:rowOff>612915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5A99B166-EB34-48A3-A362-C9F61EA44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17034" y="762000"/>
          <a:ext cx="411892" cy="0"/>
        </a:xfrm>
        <a:prstGeom prst="rect">
          <a:avLst/>
        </a:prstGeom>
      </xdr:spPr>
    </xdr:pic>
    <xdr:clientData/>
  </xdr:twoCellAnchor>
  <xdr:twoCellAnchor>
    <xdr:from>
      <xdr:col>3</xdr:col>
      <xdr:colOff>1442993</xdr:colOff>
      <xdr:row>218</xdr:row>
      <xdr:rowOff>52618</xdr:rowOff>
    </xdr:from>
    <xdr:to>
      <xdr:col>3</xdr:col>
      <xdr:colOff>2206607</xdr:colOff>
      <xdr:row>218</xdr:row>
      <xdr:rowOff>590627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562576E5-3C02-4F5F-A4DF-47C8BE0CE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8075" y="762000"/>
          <a:ext cx="764975" cy="0"/>
        </a:xfrm>
        <a:prstGeom prst="rect">
          <a:avLst/>
        </a:prstGeom>
      </xdr:spPr>
    </xdr:pic>
    <xdr:clientData/>
  </xdr:twoCellAnchor>
  <xdr:twoCellAnchor>
    <xdr:from>
      <xdr:col>3</xdr:col>
      <xdr:colOff>1442993</xdr:colOff>
      <xdr:row>220</xdr:row>
      <xdr:rowOff>58138</xdr:rowOff>
    </xdr:from>
    <xdr:to>
      <xdr:col>3</xdr:col>
      <xdr:colOff>2206607</xdr:colOff>
      <xdr:row>220</xdr:row>
      <xdr:rowOff>596149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999EAA8E-78B5-4E34-BD96-802083804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8075" y="762000"/>
          <a:ext cx="764975" cy="0"/>
        </a:xfrm>
        <a:prstGeom prst="rect">
          <a:avLst/>
        </a:prstGeom>
      </xdr:spPr>
    </xdr:pic>
    <xdr:clientData/>
  </xdr:twoCellAnchor>
  <xdr:twoCellAnchor>
    <xdr:from>
      <xdr:col>3</xdr:col>
      <xdr:colOff>1448515</xdr:colOff>
      <xdr:row>222</xdr:row>
      <xdr:rowOff>69183</xdr:rowOff>
    </xdr:from>
    <xdr:to>
      <xdr:col>3</xdr:col>
      <xdr:colOff>2212129</xdr:colOff>
      <xdr:row>222</xdr:row>
      <xdr:rowOff>607192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CE4ADBAD-09A0-4172-87CC-8C7A63C33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4958" y="762000"/>
          <a:ext cx="763614" cy="0"/>
        </a:xfrm>
        <a:prstGeom prst="rect">
          <a:avLst/>
        </a:prstGeom>
      </xdr:spPr>
    </xdr:pic>
    <xdr:clientData/>
  </xdr:twoCellAnchor>
  <xdr:twoCellAnchor>
    <xdr:from>
      <xdr:col>3</xdr:col>
      <xdr:colOff>1431951</xdr:colOff>
      <xdr:row>224</xdr:row>
      <xdr:rowOff>74703</xdr:rowOff>
    </xdr:from>
    <xdr:to>
      <xdr:col>3</xdr:col>
      <xdr:colOff>2195563</xdr:colOff>
      <xdr:row>224</xdr:row>
      <xdr:rowOff>612713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4B5D1C7F-40BA-4625-80AF-951F37E53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1115" y="762000"/>
          <a:ext cx="759530" cy="0"/>
        </a:xfrm>
        <a:prstGeom prst="rect">
          <a:avLst/>
        </a:prstGeom>
      </xdr:spPr>
    </xdr:pic>
    <xdr:clientData/>
  </xdr:twoCellAnchor>
  <xdr:twoCellAnchor>
    <xdr:from>
      <xdr:col>3</xdr:col>
      <xdr:colOff>1442994</xdr:colOff>
      <xdr:row>226</xdr:row>
      <xdr:rowOff>52618</xdr:rowOff>
    </xdr:from>
    <xdr:to>
      <xdr:col>3</xdr:col>
      <xdr:colOff>2206606</xdr:colOff>
      <xdr:row>226</xdr:row>
      <xdr:rowOff>590625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B702EBDE-B9C1-42B3-8553-13BEBD17A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8076" y="762000"/>
          <a:ext cx="764973" cy="0"/>
        </a:xfrm>
        <a:prstGeom prst="rect">
          <a:avLst/>
        </a:prstGeom>
      </xdr:spPr>
    </xdr:pic>
    <xdr:clientData/>
  </xdr:twoCellAnchor>
  <xdr:twoCellAnchor>
    <xdr:from>
      <xdr:col>3</xdr:col>
      <xdr:colOff>1459559</xdr:colOff>
      <xdr:row>228</xdr:row>
      <xdr:rowOff>69182</xdr:rowOff>
    </xdr:from>
    <xdr:to>
      <xdr:col>3</xdr:col>
      <xdr:colOff>2223170</xdr:colOff>
      <xdr:row>228</xdr:row>
      <xdr:rowOff>607190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7D9B9217-C4FE-4DD1-93D4-B664ED9AD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57363" y="762000"/>
          <a:ext cx="763611" cy="0"/>
        </a:xfrm>
        <a:prstGeom prst="rect">
          <a:avLst/>
        </a:prstGeom>
      </xdr:spPr>
    </xdr:pic>
    <xdr:clientData/>
  </xdr:twoCellAnchor>
  <xdr:twoCellAnchor>
    <xdr:from>
      <xdr:col>3</xdr:col>
      <xdr:colOff>1437473</xdr:colOff>
      <xdr:row>230</xdr:row>
      <xdr:rowOff>52617</xdr:rowOff>
    </xdr:from>
    <xdr:to>
      <xdr:col>3</xdr:col>
      <xdr:colOff>2201084</xdr:colOff>
      <xdr:row>230</xdr:row>
      <xdr:rowOff>590623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9D5BAC26-B5D6-4503-BAFD-C16DF9E45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2555" y="762000"/>
          <a:ext cx="763611" cy="0"/>
        </a:xfrm>
        <a:prstGeom prst="rect">
          <a:avLst/>
        </a:prstGeom>
      </xdr:spPr>
    </xdr:pic>
    <xdr:clientData/>
  </xdr:twoCellAnchor>
  <xdr:twoCellAnchor>
    <xdr:from>
      <xdr:col>3</xdr:col>
      <xdr:colOff>1437473</xdr:colOff>
      <xdr:row>232</xdr:row>
      <xdr:rowOff>85748</xdr:rowOff>
    </xdr:from>
    <xdr:to>
      <xdr:col>3</xdr:col>
      <xdr:colOff>2201082</xdr:colOff>
      <xdr:row>232</xdr:row>
      <xdr:rowOff>623755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5B84FE5C-C87F-47ED-ACC7-EEF136E8E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2555" y="762000"/>
          <a:ext cx="763609" cy="0"/>
        </a:xfrm>
        <a:prstGeom prst="rect">
          <a:avLst/>
        </a:prstGeom>
      </xdr:spPr>
    </xdr:pic>
    <xdr:clientData/>
  </xdr:twoCellAnchor>
  <xdr:twoCellAnchor>
    <xdr:from>
      <xdr:col>3</xdr:col>
      <xdr:colOff>1437473</xdr:colOff>
      <xdr:row>234</xdr:row>
      <xdr:rowOff>47096</xdr:rowOff>
    </xdr:from>
    <xdr:to>
      <xdr:col>3</xdr:col>
      <xdr:colOff>2201082</xdr:colOff>
      <xdr:row>234</xdr:row>
      <xdr:rowOff>585102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EA4CC7C5-5908-488A-97EF-F86137187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2555" y="762000"/>
          <a:ext cx="763609" cy="0"/>
        </a:xfrm>
        <a:prstGeom prst="rect">
          <a:avLst/>
        </a:prstGeom>
      </xdr:spPr>
    </xdr:pic>
    <xdr:clientData/>
  </xdr:twoCellAnchor>
  <xdr:twoCellAnchor>
    <xdr:from>
      <xdr:col>3</xdr:col>
      <xdr:colOff>1418735</xdr:colOff>
      <xdr:row>236</xdr:row>
      <xdr:rowOff>57743</xdr:rowOff>
    </xdr:from>
    <xdr:to>
      <xdr:col>3</xdr:col>
      <xdr:colOff>2182343</xdr:colOff>
      <xdr:row>236</xdr:row>
      <xdr:rowOff>595750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9707CDF1-AACA-4A83-BC06-68E1BB4D4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16539" y="762000"/>
          <a:ext cx="763608" cy="0"/>
        </a:xfrm>
        <a:prstGeom prst="rect">
          <a:avLst/>
        </a:prstGeom>
      </xdr:spPr>
    </xdr:pic>
    <xdr:clientData/>
  </xdr:twoCellAnchor>
  <xdr:twoCellAnchor>
    <xdr:from>
      <xdr:col>3</xdr:col>
      <xdr:colOff>1426426</xdr:colOff>
      <xdr:row>238</xdr:row>
      <xdr:rowOff>68788</xdr:rowOff>
    </xdr:from>
    <xdr:to>
      <xdr:col>3</xdr:col>
      <xdr:colOff>2190034</xdr:colOff>
      <xdr:row>238</xdr:row>
      <xdr:rowOff>606793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7F628C27-15F4-40AE-B792-917D8F227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25590" y="762000"/>
          <a:ext cx="763608" cy="0"/>
        </a:xfrm>
        <a:prstGeom prst="rect">
          <a:avLst/>
        </a:prstGeom>
      </xdr:spPr>
    </xdr:pic>
    <xdr:clientData/>
  </xdr:twoCellAnchor>
  <xdr:twoCellAnchor>
    <xdr:from>
      <xdr:col>3</xdr:col>
      <xdr:colOff>1465078</xdr:colOff>
      <xdr:row>240</xdr:row>
      <xdr:rowOff>44532</xdr:rowOff>
    </xdr:from>
    <xdr:to>
      <xdr:col>3</xdr:col>
      <xdr:colOff>2228686</xdr:colOff>
      <xdr:row>240</xdr:row>
      <xdr:rowOff>582537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0F90DA54-AC47-4556-8034-658964855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64242" y="762000"/>
          <a:ext cx="763608" cy="0"/>
        </a:xfrm>
        <a:prstGeom prst="rect">
          <a:avLst/>
        </a:prstGeom>
      </xdr:spPr>
    </xdr:pic>
    <xdr:clientData/>
  </xdr:twoCellAnchor>
  <xdr:twoCellAnchor>
    <xdr:from>
      <xdr:col>3</xdr:col>
      <xdr:colOff>1442991</xdr:colOff>
      <xdr:row>242</xdr:row>
      <xdr:rowOff>55378</xdr:rowOff>
    </xdr:from>
    <xdr:to>
      <xdr:col>3</xdr:col>
      <xdr:colOff>2206599</xdr:colOff>
      <xdr:row>242</xdr:row>
      <xdr:rowOff>595355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7189E1D2-7C57-4EE1-8E98-A26F124F1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8073" y="762000"/>
          <a:ext cx="764969" cy="0"/>
        </a:xfrm>
        <a:prstGeom prst="rect">
          <a:avLst/>
        </a:prstGeom>
      </xdr:spPr>
    </xdr:pic>
    <xdr:clientData/>
  </xdr:twoCellAnchor>
  <xdr:twoCellAnchor>
    <xdr:from>
      <xdr:col>3</xdr:col>
      <xdr:colOff>1415382</xdr:colOff>
      <xdr:row>246</xdr:row>
      <xdr:rowOff>52618</xdr:rowOff>
    </xdr:from>
    <xdr:to>
      <xdr:col>3</xdr:col>
      <xdr:colOff>2178990</xdr:colOff>
      <xdr:row>246</xdr:row>
      <xdr:rowOff>590622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FEF3B538-E92E-4FDF-BF37-262758432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13186" y="762000"/>
          <a:ext cx="763608" cy="0"/>
        </a:xfrm>
        <a:prstGeom prst="rect">
          <a:avLst/>
        </a:prstGeom>
      </xdr:spPr>
    </xdr:pic>
    <xdr:clientData/>
  </xdr:twoCellAnchor>
  <xdr:twoCellAnchor>
    <xdr:from>
      <xdr:col>3</xdr:col>
      <xdr:colOff>1382252</xdr:colOff>
      <xdr:row>244</xdr:row>
      <xdr:rowOff>63654</xdr:rowOff>
    </xdr:from>
    <xdr:to>
      <xdr:col>3</xdr:col>
      <xdr:colOff>2145860</xdr:colOff>
      <xdr:row>244</xdr:row>
      <xdr:rowOff>601659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BC0F5D1F-C806-46B6-BFF5-F200EB685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80056" y="762000"/>
          <a:ext cx="763608" cy="0"/>
        </a:xfrm>
        <a:prstGeom prst="rect">
          <a:avLst/>
        </a:prstGeom>
      </xdr:spPr>
    </xdr:pic>
    <xdr:clientData/>
  </xdr:twoCellAnchor>
  <xdr:twoCellAnchor>
    <xdr:from>
      <xdr:col>3</xdr:col>
      <xdr:colOff>1404339</xdr:colOff>
      <xdr:row>250</xdr:row>
      <xdr:rowOff>94228</xdr:rowOff>
    </xdr:from>
    <xdr:to>
      <xdr:col>3</xdr:col>
      <xdr:colOff>2167947</xdr:colOff>
      <xdr:row>250</xdr:row>
      <xdr:rowOff>632233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B75DD4D1-26D4-4741-911A-6C96497CD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99421" y="762000"/>
          <a:ext cx="764969" cy="0"/>
        </a:xfrm>
        <a:prstGeom prst="rect">
          <a:avLst/>
        </a:prstGeom>
      </xdr:spPr>
    </xdr:pic>
    <xdr:clientData/>
  </xdr:twoCellAnchor>
  <xdr:twoCellAnchor>
    <xdr:from>
      <xdr:col>3</xdr:col>
      <xdr:colOff>1404339</xdr:colOff>
      <xdr:row>252</xdr:row>
      <xdr:rowOff>74703</xdr:rowOff>
    </xdr:from>
    <xdr:to>
      <xdr:col>3</xdr:col>
      <xdr:colOff>2167947</xdr:colOff>
      <xdr:row>252</xdr:row>
      <xdr:rowOff>612709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A9F8EBF1-68BB-4A19-A2A0-1A2A6D469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99421" y="762000"/>
          <a:ext cx="764969" cy="0"/>
        </a:xfrm>
        <a:prstGeom prst="rect">
          <a:avLst/>
        </a:prstGeom>
      </xdr:spPr>
    </xdr:pic>
    <xdr:clientData/>
  </xdr:twoCellAnchor>
  <xdr:twoCellAnchor>
    <xdr:from>
      <xdr:col>3</xdr:col>
      <xdr:colOff>1376735</xdr:colOff>
      <xdr:row>254</xdr:row>
      <xdr:rowOff>91270</xdr:rowOff>
    </xdr:from>
    <xdr:to>
      <xdr:col>3</xdr:col>
      <xdr:colOff>2140343</xdr:colOff>
      <xdr:row>254</xdr:row>
      <xdr:rowOff>629275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AC12EEE2-A8CD-4C8F-A94E-19A053A89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74539" y="762000"/>
          <a:ext cx="763608" cy="0"/>
        </a:xfrm>
        <a:prstGeom prst="rect">
          <a:avLst/>
        </a:prstGeom>
      </xdr:spPr>
    </xdr:pic>
    <xdr:clientData/>
  </xdr:twoCellAnchor>
  <xdr:twoCellAnchor>
    <xdr:from>
      <xdr:col>3</xdr:col>
      <xdr:colOff>1344396</xdr:colOff>
      <xdr:row>256</xdr:row>
      <xdr:rowOff>173270</xdr:rowOff>
    </xdr:from>
    <xdr:to>
      <xdr:col>3</xdr:col>
      <xdr:colOff>2108000</xdr:colOff>
      <xdr:row>256</xdr:row>
      <xdr:rowOff>486924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75E2249A-2F57-4F9A-8F0E-73F22BD17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42200" y="762000"/>
          <a:ext cx="763604" cy="0"/>
        </a:xfrm>
        <a:prstGeom prst="rect">
          <a:avLst/>
        </a:prstGeom>
      </xdr:spPr>
    </xdr:pic>
    <xdr:clientData/>
  </xdr:twoCellAnchor>
  <xdr:twoCellAnchor>
    <xdr:from>
      <xdr:col>3</xdr:col>
      <xdr:colOff>1589644</xdr:colOff>
      <xdr:row>258</xdr:row>
      <xdr:rowOff>73717</xdr:rowOff>
    </xdr:from>
    <xdr:to>
      <xdr:col>3</xdr:col>
      <xdr:colOff>1971598</xdr:colOff>
      <xdr:row>258</xdr:row>
      <xdr:rowOff>613694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F686310D-7C55-4842-BCB2-C1EAF21CA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84726" y="762000"/>
          <a:ext cx="381954" cy="0"/>
        </a:xfrm>
        <a:prstGeom prst="rect">
          <a:avLst/>
        </a:prstGeom>
      </xdr:spPr>
    </xdr:pic>
    <xdr:clientData/>
  </xdr:twoCellAnchor>
  <xdr:twoCellAnchor>
    <xdr:from>
      <xdr:col>3</xdr:col>
      <xdr:colOff>1284845</xdr:colOff>
      <xdr:row>16</xdr:row>
      <xdr:rowOff>54201</xdr:rowOff>
    </xdr:from>
    <xdr:to>
      <xdr:col>3</xdr:col>
      <xdr:colOff>2057601</xdr:colOff>
      <xdr:row>16</xdr:row>
      <xdr:rowOff>607469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9626A70A-8DAB-4689-A292-49BAF3934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9927" y="762000"/>
          <a:ext cx="774117" cy="0"/>
        </a:xfrm>
        <a:prstGeom prst="rect">
          <a:avLst/>
        </a:prstGeom>
      </xdr:spPr>
    </xdr:pic>
    <xdr:clientData/>
  </xdr:twoCellAnchor>
  <xdr:twoCellAnchor>
    <xdr:from>
      <xdr:col>3</xdr:col>
      <xdr:colOff>1304650</xdr:colOff>
      <xdr:row>24</xdr:row>
      <xdr:rowOff>59618</xdr:rowOff>
    </xdr:from>
    <xdr:to>
      <xdr:col>3</xdr:col>
      <xdr:colOff>2076054</xdr:colOff>
      <xdr:row>24</xdr:row>
      <xdr:rowOff>601457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5B78AB87-FF2A-414C-A85F-035A7533A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454" y="762000"/>
          <a:ext cx="772764" cy="0"/>
        </a:xfrm>
        <a:prstGeom prst="rect">
          <a:avLst/>
        </a:prstGeom>
      </xdr:spPr>
    </xdr:pic>
    <xdr:clientData/>
  </xdr:twoCellAnchor>
  <xdr:twoCellAnchor>
    <xdr:from>
      <xdr:col>3</xdr:col>
      <xdr:colOff>1399604</xdr:colOff>
      <xdr:row>130</xdr:row>
      <xdr:rowOff>63662</xdr:rowOff>
    </xdr:from>
    <xdr:to>
      <xdr:col>3</xdr:col>
      <xdr:colOff>2163242</xdr:colOff>
      <xdr:row>130</xdr:row>
      <xdr:rowOff>601687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B5804543-2D28-4874-BF22-4BFF30785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94686" y="762000"/>
          <a:ext cx="763638" cy="0"/>
        </a:xfrm>
        <a:prstGeom prst="rect">
          <a:avLst/>
        </a:prstGeom>
      </xdr:spPr>
    </xdr:pic>
    <xdr:clientData/>
  </xdr:twoCellAnchor>
  <xdr:twoCellAnchor>
    <xdr:from>
      <xdr:col>3</xdr:col>
      <xdr:colOff>1421692</xdr:colOff>
      <xdr:row>132</xdr:row>
      <xdr:rowOff>41574</xdr:rowOff>
    </xdr:from>
    <xdr:to>
      <xdr:col>3</xdr:col>
      <xdr:colOff>2185330</xdr:colOff>
      <xdr:row>132</xdr:row>
      <xdr:rowOff>579600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id="{A99BC656-7862-4554-96DB-20C4DF1A0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19496" y="762000"/>
          <a:ext cx="763638" cy="0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285</xdr:row>
      <xdr:rowOff>133883</xdr:rowOff>
    </xdr:from>
    <xdr:to>
      <xdr:col>3</xdr:col>
      <xdr:colOff>2038350</xdr:colOff>
      <xdr:row>285</xdr:row>
      <xdr:rowOff>601094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804D2E2C-7E6B-4E50-8973-73B46518E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7414" y="762000"/>
          <a:ext cx="800100" cy="0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285</xdr:row>
      <xdr:rowOff>146601</xdr:rowOff>
    </xdr:from>
    <xdr:to>
      <xdr:col>3</xdr:col>
      <xdr:colOff>965532</xdr:colOff>
      <xdr:row>285</xdr:row>
      <xdr:rowOff>591568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2C45052C-6FDE-4526-B298-0C4DD575A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6223" y="762000"/>
          <a:ext cx="807113" cy="0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286</xdr:row>
      <xdr:rowOff>133883</xdr:rowOff>
    </xdr:from>
    <xdr:to>
      <xdr:col>3</xdr:col>
      <xdr:colOff>2038350</xdr:colOff>
      <xdr:row>286</xdr:row>
      <xdr:rowOff>601094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E441C593-ABD1-4FBC-A148-A67254B4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7414" y="762000"/>
          <a:ext cx="800100" cy="0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286</xdr:row>
      <xdr:rowOff>146601</xdr:rowOff>
    </xdr:from>
    <xdr:to>
      <xdr:col>3</xdr:col>
      <xdr:colOff>965532</xdr:colOff>
      <xdr:row>286</xdr:row>
      <xdr:rowOff>591568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9DAE1CDF-6B40-4F58-BE33-65FBD2325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6223" y="762000"/>
          <a:ext cx="807113" cy="0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287</xdr:row>
      <xdr:rowOff>133883</xdr:rowOff>
    </xdr:from>
    <xdr:to>
      <xdr:col>3</xdr:col>
      <xdr:colOff>2038350</xdr:colOff>
      <xdr:row>287</xdr:row>
      <xdr:rowOff>601094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92C31669-629A-451F-8A5D-03E7C9C19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7414" y="762000"/>
          <a:ext cx="800100" cy="0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287</xdr:row>
      <xdr:rowOff>146601</xdr:rowOff>
    </xdr:from>
    <xdr:to>
      <xdr:col>3</xdr:col>
      <xdr:colOff>965532</xdr:colOff>
      <xdr:row>287</xdr:row>
      <xdr:rowOff>591568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47EFC613-4B58-4783-80B0-33C15FC87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6223" y="762000"/>
          <a:ext cx="807113" cy="0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281</xdr:row>
      <xdr:rowOff>133883</xdr:rowOff>
    </xdr:from>
    <xdr:to>
      <xdr:col>3</xdr:col>
      <xdr:colOff>2038350</xdr:colOff>
      <xdr:row>281</xdr:row>
      <xdr:rowOff>601094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49FA06D7-6055-4EA1-AF0E-663273DB8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7414" y="762000"/>
          <a:ext cx="800100" cy="0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281</xdr:row>
      <xdr:rowOff>146601</xdr:rowOff>
    </xdr:from>
    <xdr:to>
      <xdr:col>3</xdr:col>
      <xdr:colOff>965532</xdr:colOff>
      <xdr:row>281</xdr:row>
      <xdr:rowOff>591568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F8634B31-A0AC-4E88-8736-48D8638C2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6223" y="762000"/>
          <a:ext cx="807113" cy="0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282</xdr:row>
      <xdr:rowOff>133883</xdr:rowOff>
    </xdr:from>
    <xdr:to>
      <xdr:col>3</xdr:col>
      <xdr:colOff>2038350</xdr:colOff>
      <xdr:row>282</xdr:row>
      <xdr:rowOff>601094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A84EC79E-5677-4AC5-BDCA-D6281E16F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7414" y="762000"/>
          <a:ext cx="800100" cy="0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282</xdr:row>
      <xdr:rowOff>146601</xdr:rowOff>
    </xdr:from>
    <xdr:to>
      <xdr:col>3</xdr:col>
      <xdr:colOff>965532</xdr:colOff>
      <xdr:row>282</xdr:row>
      <xdr:rowOff>591568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98A2D6A8-75A4-4548-B49F-58C6367F0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6223" y="762000"/>
          <a:ext cx="807113" cy="0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283</xdr:row>
      <xdr:rowOff>133883</xdr:rowOff>
    </xdr:from>
    <xdr:to>
      <xdr:col>3</xdr:col>
      <xdr:colOff>2038350</xdr:colOff>
      <xdr:row>283</xdr:row>
      <xdr:rowOff>601094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3548B9F7-3E56-419B-926F-258B306BB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7414" y="762000"/>
          <a:ext cx="800100" cy="0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283</xdr:row>
      <xdr:rowOff>146601</xdr:rowOff>
    </xdr:from>
    <xdr:to>
      <xdr:col>3</xdr:col>
      <xdr:colOff>965532</xdr:colOff>
      <xdr:row>283</xdr:row>
      <xdr:rowOff>591568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6100743D-BC0D-4824-854B-DD757524D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6223" y="762000"/>
          <a:ext cx="807113" cy="0"/>
        </a:xfrm>
        <a:prstGeom prst="rect">
          <a:avLst/>
        </a:prstGeom>
      </xdr:spPr>
    </xdr:pic>
    <xdr:clientData/>
  </xdr:twoCellAnchor>
  <xdr:twoCellAnchor>
    <xdr:from>
      <xdr:col>3</xdr:col>
      <xdr:colOff>679685</xdr:colOff>
      <xdr:row>318</xdr:row>
      <xdr:rowOff>85726</xdr:rowOff>
    </xdr:from>
    <xdr:to>
      <xdr:col>3</xdr:col>
      <xdr:colOff>1528640</xdr:colOff>
      <xdr:row>318</xdr:row>
      <xdr:rowOff>542926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68AB8348-C01D-4FC1-865C-9E8AB8611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4767" y="762000"/>
          <a:ext cx="850316" cy="0"/>
        </a:xfrm>
        <a:prstGeom prst="rect">
          <a:avLst/>
        </a:prstGeom>
      </xdr:spPr>
    </xdr:pic>
    <xdr:clientData/>
  </xdr:twoCellAnchor>
  <xdr:twoCellAnchor>
    <xdr:from>
      <xdr:col>3</xdr:col>
      <xdr:colOff>679685</xdr:colOff>
      <xdr:row>320</xdr:row>
      <xdr:rowOff>66675</xdr:rowOff>
    </xdr:from>
    <xdr:to>
      <xdr:col>3</xdr:col>
      <xdr:colOff>1528639</xdr:colOff>
      <xdr:row>320</xdr:row>
      <xdr:rowOff>552450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DBC1CB9A-BE9A-4FA7-8530-D04F15565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4767" y="762000"/>
          <a:ext cx="850315" cy="0"/>
        </a:xfrm>
        <a:prstGeom prst="rect">
          <a:avLst/>
        </a:prstGeom>
      </xdr:spPr>
    </xdr:pic>
    <xdr:clientData/>
  </xdr:twoCellAnchor>
  <xdr:twoCellAnchor>
    <xdr:from>
      <xdr:col>3</xdr:col>
      <xdr:colOff>679685</xdr:colOff>
      <xdr:row>322</xdr:row>
      <xdr:rowOff>85725</xdr:rowOff>
    </xdr:from>
    <xdr:to>
      <xdr:col>3</xdr:col>
      <xdr:colOff>1528639</xdr:colOff>
      <xdr:row>322</xdr:row>
      <xdr:rowOff>523875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id="{69717F1A-A07D-4DCA-83EF-798C9E732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4767" y="762000"/>
          <a:ext cx="850315" cy="0"/>
        </a:xfrm>
        <a:prstGeom prst="rect">
          <a:avLst/>
        </a:prstGeom>
      </xdr:spPr>
    </xdr:pic>
    <xdr:clientData/>
  </xdr:twoCellAnchor>
  <xdr:twoCellAnchor>
    <xdr:from>
      <xdr:col>3</xdr:col>
      <xdr:colOff>747705</xdr:colOff>
      <xdr:row>324</xdr:row>
      <xdr:rowOff>114300</xdr:rowOff>
    </xdr:from>
    <xdr:to>
      <xdr:col>3</xdr:col>
      <xdr:colOff>1460620</xdr:colOff>
      <xdr:row>324</xdr:row>
      <xdr:rowOff>495300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8ED53E58-E217-42D7-AB6D-A9E09DAEE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46869" y="762000"/>
          <a:ext cx="711555" cy="0"/>
        </a:xfrm>
        <a:prstGeom prst="rect">
          <a:avLst/>
        </a:prstGeom>
      </xdr:spPr>
    </xdr:pic>
    <xdr:clientData/>
  </xdr:twoCellAnchor>
  <xdr:twoCellAnchor>
    <xdr:from>
      <xdr:col>3</xdr:col>
      <xdr:colOff>726610</xdr:colOff>
      <xdr:row>326</xdr:row>
      <xdr:rowOff>85725</xdr:rowOff>
    </xdr:from>
    <xdr:to>
      <xdr:col>3</xdr:col>
      <xdr:colOff>1481715</xdr:colOff>
      <xdr:row>326</xdr:row>
      <xdr:rowOff>523875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id="{D2750538-6B81-4DEB-BB4E-7031E110B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23053" y="762000"/>
          <a:ext cx="755105" cy="0"/>
        </a:xfrm>
        <a:prstGeom prst="rect">
          <a:avLst/>
        </a:prstGeom>
      </xdr:spPr>
    </xdr:pic>
    <xdr:clientData/>
  </xdr:twoCellAnchor>
  <xdr:twoCellAnchor>
    <xdr:from>
      <xdr:col>3</xdr:col>
      <xdr:colOff>726610</xdr:colOff>
      <xdr:row>328</xdr:row>
      <xdr:rowOff>76200</xdr:rowOff>
    </xdr:from>
    <xdr:to>
      <xdr:col>3</xdr:col>
      <xdr:colOff>1481715</xdr:colOff>
      <xdr:row>328</xdr:row>
      <xdr:rowOff>542925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D9E732DC-6323-4F66-AEE0-C7058D2EA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23053" y="762000"/>
          <a:ext cx="755105" cy="0"/>
        </a:xfrm>
        <a:prstGeom prst="rect">
          <a:avLst/>
        </a:prstGeom>
      </xdr:spPr>
    </xdr:pic>
    <xdr:clientData/>
  </xdr:twoCellAnchor>
  <xdr:twoCellAnchor>
    <xdr:from>
      <xdr:col>3</xdr:col>
      <xdr:colOff>726610</xdr:colOff>
      <xdr:row>330</xdr:row>
      <xdr:rowOff>76200</xdr:rowOff>
    </xdr:from>
    <xdr:to>
      <xdr:col>3</xdr:col>
      <xdr:colOff>1481715</xdr:colOff>
      <xdr:row>330</xdr:row>
      <xdr:rowOff>542925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1086BEE6-D7AF-48C7-9017-17478FE97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23053" y="762000"/>
          <a:ext cx="755105" cy="0"/>
        </a:xfrm>
        <a:prstGeom prst="rect">
          <a:avLst/>
        </a:prstGeom>
      </xdr:spPr>
    </xdr:pic>
    <xdr:clientData/>
  </xdr:twoCellAnchor>
  <xdr:twoCellAnchor>
    <xdr:from>
      <xdr:col>3</xdr:col>
      <xdr:colOff>713836</xdr:colOff>
      <xdr:row>332</xdr:row>
      <xdr:rowOff>58492</xdr:rowOff>
    </xdr:from>
    <xdr:to>
      <xdr:col>3</xdr:col>
      <xdr:colOff>1560755</xdr:colOff>
      <xdr:row>332</xdr:row>
      <xdr:rowOff>514350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1EAD312-6FF7-40A1-9137-CEBC0B97D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16200000">
          <a:off x="5333058" y="337860"/>
          <a:ext cx="0" cy="848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708670</xdr:colOff>
      <xdr:row>334</xdr:row>
      <xdr:rowOff>75346</xdr:rowOff>
    </xdr:from>
    <xdr:to>
      <xdr:col>3</xdr:col>
      <xdr:colOff>1565920</xdr:colOff>
      <xdr:row>334</xdr:row>
      <xdr:rowOff>523875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19A85396-13FD-4770-BB34-D8CE58B12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07834" y="762000"/>
          <a:ext cx="85452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708671</xdr:colOff>
      <xdr:row>336</xdr:row>
      <xdr:rowOff>75346</xdr:rowOff>
    </xdr:from>
    <xdr:to>
      <xdr:col>3</xdr:col>
      <xdr:colOff>1565920</xdr:colOff>
      <xdr:row>336</xdr:row>
      <xdr:rowOff>523875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B1E26EB9-55AF-4F81-B186-E75E6BD8B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07835" y="762000"/>
          <a:ext cx="85452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708671</xdr:colOff>
      <xdr:row>338</xdr:row>
      <xdr:rowOff>75347</xdr:rowOff>
    </xdr:from>
    <xdr:to>
      <xdr:col>3</xdr:col>
      <xdr:colOff>1565920</xdr:colOff>
      <xdr:row>338</xdr:row>
      <xdr:rowOff>533401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40B34C3E-AF5B-4321-BFBF-B0C40CE5A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07835" y="762000"/>
          <a:ext cx="85452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777377</xdr:colOff>
      <xdr:row>340</xdr:row>
      <xdr:rowOff>67064</xdr:rowOff>
    </xdr:from>
    <xdr:to>
      <xdr:col>3</xdr:col>
      <xdr:colOff>1634626</xdr:colOff>
      <xdr:row>340</xdr:row>
      <xdr:rowOff>542925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8742E293-8C90-499F-9E50-79D53CB93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76541" y="762000"/>
          <a:ext cx="85452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793566</xdr:colOff>
      <xdr:row>342</xdr:row>
      <xdr:rowOff>42354</xdr:rowOff>
    </xdr:from>
    <xdr:to>
      <xdr:col>3</xdr:col>
      <xdr:colOff>1650815</xdr:colOff>
      <xdr:row>342</xdr:row>
      <xdr:rowOff>584200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C7AEFBCA-EC37-492D-9B3A-4CB9AAF89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88648" y="762000"/>
          <a:ext cx="85997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720850</xdr:colOff>
      <xdr:row>344</xdr:row>
      <xdr:rowOff>80950</xdr:rowOff>
    </xdr:from>
    <xdr:to>
      <xdr:col>3</xdr:col>
      <xdr:colOff>1578097</xdr:colOff>
      <xdr:row>344</xdr:row>
      <xdr:rowOff>542926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87E26B15-9FFD-4BD0-8ADD-663EB47E5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17293" y="762000"/>
          <a:ext cx="85996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887681</xdr:colOff>
      <xdr:row>346</xdr:row>
      <xdr:rowOff>92583</xdr:rowOff>
    </xdr:from>
    <xdr:to>
      <xdr:col>3</xdr:col>
      <xdr:colOff>1337208</xdr:colOff>
      <xdr:row>346</xdr:row>
      <xdr:rowOff>549847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031C076B-47AB-471D-B0E0-1C77B57DF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85485" y="762000"/>
          <a:ext cx="4481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671817</xdr:colOff>
      <xdr:row>369</xdr:row>
      <xdr:rowOff>60024</xdr:rowOff>
    </xdr:from>
    <xdr:to>
      <xdr:col>3</xdr:col>
      <xdr:colOff>1440667</xdr:colOff>
      <xdr:row>369</xdr:row>
      <xdr:rowOff>564024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AAFDC73E-AF3B-484B-A7FE-7F085A92F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66899" y="762000"/>
          <a:ext cx="768850" cy="0"/>
        </a:xfrm>
        <a:prstGeom prst="rect">
          <a:avLst/>
        </a:prstGeom>
      </xdr:spPr>
    </xdr:pic>
    <xdr:clientData/>
  </xdr:twoCellAnchor>
  <xdr:twoCellAnchor>
    <xdr:from>
      <xdr:col>3</xdr:col>
      <xdr:colOff>816663</xdr:colOff>
      <xdr:row>377</xdr:row>
      <xdr:rowOff>69988</xdr:rowOff>
    </xdr:from>
    <xdr:to>
      <xdr:col>3</xdr:col>
      <xdr:colOff>1327283</xdr:colOff>
      <xdr:row>377</xdr:row>
      <xdr:rowOff>573988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3AEE5349-02DD-4A0F-8AA1-409541573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5827" y="762000"/>
          <a:ext cx="506538" cy="0"/>
        </a:xfrm>
        <a:prstGeom prst="rect">
          <a:avLst/>
        </a:prstGeom>
      </xdr:spPr>
    </xdr:pic>
    <xdr:clientData/>
  </xdr:twoCellAnchor>
  <xdr:twoCellAnchor>
    <xdr:from>
      <xdr:col>3</xdr:col>
      <xdr:colOff>826188</xdr:colOff>
      <xdr:row>379</xdr:row>
      <xdr:rowOff>69988</xdr:rowOff>
    </xdr:from>
    <xdr:to>
      <xdr:col>3</xdr:col>
      <xdr:colOff>1336808</xdr:colOff>
      <xdr:row>379</xdr:row>
      <xdr:rowOff>573988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AAD88A69-BC7E-4CEA-B141-E0274D9FE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1270" y="762000"/>
          <a:ext cx="511981" cy="0"/>
        </a:xfrm>
        <a:prstGeom prst="rect">
          <a:avLst/>
        </a:prstGeom>
      </xdr:spPr>
    </xdr:pic>
    <xdr:clientData/>
  </xdr:twoCellAnchor>
  <xdr:twoCellAnchor>
    <xdr:from>
      <xdr:col>3</xdr:col>
      <xdr:colOff>1422304</xdr:colOff>
      <xdr:row>166</xdr:row>
      <xdr:rowOff>47687</xdr:rowOff>
    </xdr:from>
    <xdr:to>
      <xdr:col>3</xdr:col>
      <xdr:colOff>2185932</xdr:colOff>
      <xdr:row>166</xdr:row>
      <xdr:rowOff>585708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5A71BFBB-AD1B-48C9-894F-FA7AEAE8A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20108" y="762000"/>
          <a:ext cx="763628" cy="0"/>
        </a:xfrm>
        <a:prstGeom prst="rect">
          <a:avLst/>
        </a:prstGeom>
      </xdr:spPr>
    </xdr:pic>
    <xdr:clientData/>
  </xdr:twoCellAnchor>
  <xdr:twoCellAnchor>
    <xdr:from>
      <xdr:col>3</xdr:col>
      <xdr:colOff>1648099</xdr:colOff>
      <xdr:row>168</xdr:row>
      <xdr:rowOff>65374</xdr:rowOff>
    </xdr:from>
    <xdr:to>
      <xdr:col>3</xdr:col>
      <xdr:colOff>2009913</xdr:colOff>
      <xdr:row>168</xdr:row>
      <xdr:rowOff>582427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B1DC1DDF-F6ED-4141-854D-E77A500F8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5903" y="762000"/>
          <a:ext cx="359092" cy="0"/>
        </a:xfrm>
        <a:prstGeom prst="rect">
          <a:avLst/>
        </a:prstGeom>
      </xdr:spPr>
    </xdr:pic>
    <xdr:clientData/>
  </xdr:twoCellAnchor>
  <xdr:twoCellAnchor>
    <xdr:from>
      <xdr:col>3</xdr:col>
      <xdr:colOff>1536690</xdr:colOff>
      <xdr:row>248</xdr:row>
      <xdr:rowOff>36325</xdr:rowOff>
    </xdr:from>
    <xdr:to>
      <xdr:col>3</xdr:col>
      <xdr:colOff>2093723</xdr:colOff>
      <xdr:row>248</xdr:row>
      <xdr:rowOff>607537</xdr:rowOff>
    </xdr:to>
    <xdr:pic>
      <xdr:nvPicPr>
        <xdr:cNvPr id="164" name="Imagem 163" descr="Rua sem Saída.jpg">
          <a:extLst>
            <a:ext uri="{FF2B5EF4-FFF2-40B4-BE49-F238E27FC236}">
              <a16:creationId xmlns:a16="http://schemas.microsoft.com/office/drawing/2014/main" id="{A433C8E0-E3DD-4F92-B5A2-76D490C61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5734494" y="762000"/>
          <a:ext cx="555672" cy="0"/>
        </a:xfrm>
        <a:prstGeom prst="rect">
          <a:avLst/>
        </a:prstGeom>
      </xdr:spPr>
    </xdr:pic>
    <xdr:clientData/>
  </xdr:twoCellAnchor>
  <xdr:twoCellAnchor>
    <xdr:from>
      <xdr:col>3</xdr:col>
      <xdr:colOff>1615569</xdr:colOff>
      <xdr:row>270</xdr:row>
      <xdr:rowOff>55216</xdr:rowOff>
    </xdr:from>
    <xdr:to>
      <xdr:col>3</xdr:col>
      <xdr:colOff>1957791</xdr:colOff>
      <xdr:row>270</xdr:row>
      <xdr:rowOff>614433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id="{9FD97099-BCF8-430D-BBD0-FA1DB7511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733" y="762000"/>
          <a:ext cx="342222" cy="0"/>
        </a:xfrm>
        <a:prstGeom prst="rect">
          <a:avLst/>
        </a:prstGeom>
      </xdr:spPr>
    </xdr:pic>
    <xdr:clientData/>
  </xdr:twoCellAnchor>
  <xdr:twoCellAnchor>
    <xdr:from>
      <xdr:col>3</xdr:col>
      <xdr:colOff>1566966</xdr:colOff>
      <xdr:row>276</xdr:row>
      <xdr:rowOff>22657</xdr:rowOff>
    </xdr:from>
    <xdr:to>
      <xdr:col>3</xdr:col>
      <xdr:colOff>1976783</xdr:colOff>
      <xdr:row>276</xdr:row>
      <xdr:rowOff>627406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8DC271E7-8D1F-41D0-9F51-A10AD1B87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4770" y="762000"/>
          <a:ext cx="408456" cy="0"/>
        </a:xfrm>
        <a:prstGeom prst="rect">
          <a:avLst/>
        </a:prstGeom>
      </xdr:spPr>
    </xdr:pic>
    <xdr:clientData/>
  </xdr:twoCellAnchor>
  <xdr:twoCellAnchor>
    <xdr:from>
      <xdr:col>3</xdr:col>
      <xdr:colOff>1609980</xdr:colOff>
      <xdr:row>272</xdr:row>
      <xdr:rowOff>55218</xdr:rowOff>
    </xdr:from>
    <xdr:to>
      <xdr:col>3</xdr:col>
      <xdr:colOff>1984133</xdr:colOff>
      <xdr:row>272</xdr:row>
      <xdr:rowOff>604331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id="{5E80BC00-16DC-435B-9CBB-090B359F1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784" y="762000"/>
          <a:ext cx="372792" cy="0"/>
        </a:xfrm>
        <a:prstGeom prst="rect">
          <a:avLst/>
        </a:prstGeom>
      </xdr:spPr>
    </xdr:pic>
    <xdr:clientData/>
  </xdr:twoCellAnchor>
  <xdr:twoCellAnchor>
    <xdr:from>
      <xdr:col>3</xdr:col>
      <xdr:colOff>1599012</xdr:colOff>
      <xdr:row>274</xdr:row>
      <xdr:rowOff>46283</xdr:rowOff>
    </xdr:from>
    <xdr:to>
      <xdr:col>3</xdr:col>
      <xdr:colOff>1938131</xdr:colOff>
      <xdr:row>274</xdr:row>
      <xdr:rowOff>592821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1C0340FE-0F3B-4DA3-AF6E-C86B60B54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95455" y="762000"/>
          <a:ext cx="337758" cy="0"/>
        </a:xfrm>
        <a:prstGeom prst="rect">
          <a:avLst/>
        </a:prstGeom>
      </xdr:spPr>
    </xdr:pic>
    <xdr:clientData/>
  </xdr:twoCellAnchor>
  <xdr:twoCellAnchor>
    <xdr:from>
      <xdr:col>3</xdr:col>
      <xdr:colOff>438150</xdr:colOff>
      <xdr:row>296</xdr:row>
      <xdr:rowOff>257175</xdr:rowOff>
    </xdr:from>
    <xdr:to>
      <xdr:col>3</xdr:col>
      <xdr:colOff>1733550</xdr:colOff>
      <xdr:row>296</xdr:row>
      <xdr:rowOff>302894</xdr:rowOff>
    </xdr:to>
    <xdr:sp macro="" textlink="">
      <xdr:nvSpPr>
        <xdr:cNvPr id="169" name="Retângulo 168">
          <a:extLst>
            <a:ext uri="{FF2B5EF4-FFF2-40B4-BE49-F238E27FC236}">
              <a16:creationId xmlns:a16="http://schemas.microsoft.com/office/drawing/2014/main" id="{781CAF9C-8AC5-45C6-A114-9D52368075A2}"/>
            </a:ext>
          </a:extLst>
        </xdr:cNvPr>
        <xdr:cNvSpPr/>
      </xdr:nvSpPr>
      <xdr:spPr>
        <a:xfrm>
          <a:off x="4637314" y="762000"/>
          <a:ext cx="129540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146585</xdr:colOff>
      <xdr:row>299</xdr:row>
      <xdr:rowOff>311305</xdr:rowOff>
    </xdr:from>
    <xdr:to>
      <xdr:col>3</xdr:col>
      <xdr:colOff>478577</xdr:colOff>
      <xdr:row>299</xdr:row>
      <xdr:rowOff>357024</xdr:rowOff>
    </xdr:to>
    <xdr:sp macro="" textlink="">
      <xdr:nvSpPr>
        <xdr:cNvPr id="170" name="Retângulo 169">
          <a:extLst>
            <a:ext uri="{FF2B5EF4-FFF2-40B4-BE49-F238E27FC236}">
              <a16:creationId xmlns:a16="http://schemas.microsoft.com/office/drawing/2014/main" id="{DBCC17DD-0508-4370-AE1A-1C7D9E109623}"/>
            </a:ext>
          </a:extLst>
        </xdr:cNvPr>
        <xdr:cNvSpPr/>
      </xdr:nvSpPr>
      <xdr:spPr>
        <a:xfrm>
          <a:off x="4341667" y="762000"/>
          <a:ext cx="336074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917878</xdr:colOff>
      <xdr:row>299</xdr:row>
      <xdr:rowOff>311305</xdr:rowOff>
    </xdr:from>
    <xdr:to>
      <xdr:col>3</xdr:col>
      <xdr:colOff>1249870</xdr:colOff>
      <xdr:row>299</xdr:row>
      <xdr:rowOff>357024</xdr:rowOff>
    </xdr:to>
    <xdr:sp macro="" textlink="">
      <xdr:nvSpPr>
        <xdr:cNvPr id="171" name="Retângulo 170">
          <a:extLst>
            <a:ext uri="{FF2B5EF4-FFF2-40B4-BE49-F238E27FC236}">
              <a16:creationId xmlns:a16="http://schemas.microsoft.com/office/drawing/2014/main" id="{BC3EA50C-E8B4-40EE-8420-645BA59C25E9}"/>
            </a:ext>
          </a:extLst>
        </xdr:cNvPr>
        <xdr:cNvSpPr/>
      </xdr:nvSpPr>
      <xdr:spPr>
        <a:xfrm>
          <a:off x="5114321" y="762000"/>
          <a:ext cx="330631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1675231</xdr:colOff>
      <xdr:row>299</xdr:row>
      <xdr:rowOff>311305</xdr:rowOff>
    </xdr:from>
    <xdr:to>
      <xdr:col>3</xdr:col>
      <xdr:colOff>2007223</xdr:colOff>
      <xdr:row>299</xdr:row>
      <xdr:rowOff>357024</xdr:rowOff>
    </xdr:to>
    <xdr:sp macro="" textlink="">
      <xdr:nvSpPr>
        <xdr:cNvPr id="172" name="Retângulo 171">
          <a:extLst>
            <a:ext uri="{FF2B5EF4-FFF2-40B4-BE49-F238E27FC236}">
              <a16:creationId xmlns:a16="http://schemas.microsoft.com/office/drawing/2014/main" id="{2C6350DB-D1DB-4112-A93B-25C9CEA2A446}"/>
            </a:ext>
          </a:extLst>
        </xdr:cNvPr>
        <xdr:cNvSpPr/>
      </xdr:nvSpPr>
      <xdr:spPr>
        <a:xfrm>
          <a:off x="5871674" y="762000"/>
          <a:ext cx="330631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374252</xdr:colOff>
      <xdr:row>302</xdr:row>
      <xdr:rowOff>302012</xdr:rowOff>
    </xdr:from>
    <xdr:to>
      <xdr:col>3</xdr:col>
      <xdr:colOff>706244</xdr:colOff>
      <xdr:row>302</xdr:row>
      <xdr:rowOff>347731</xdr:rowOff>
    </xdr:to>
    <xdr:sp macro="" textlink="">
      <xdr:nvSpPr>
        <xdr:cNvPr id="173" name="Retângulo 172">
          <a:extLst>
            <a:ext uri="{FF2B5EF4-FFF2-40B4-BE49-F238E27FC236}">
              <a16:creationId xmlns:a16="http://schemas.microsoft.com/office/drawing/2014/main" id="{A716154C-E0F0-4EF2-9D07-460BDD71EACC}"/>
            </a:ext>
          </a:extLst>
        </xdr:cNvPr>
        <xdr:cNvSpPr/>
      </xdr:nvSpPr>
      <xdr:spPr>
        <a:xfrm>
          <a:off x="4569334" y="762000"/>
          <a:ext cx="336074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955047</xdr:colOff>
      <xdr:row>302</xdr:row>
      <xdr:rowOff>302012</xdr:rowOff>
    </xdr:from>
    <xdr:to>
      <xdr:col>3</xdr:col>
      <xdr:colOff>1287039</xdr:colOff>
      <xdr:row>302</xdr:row>
      <xdr:rowOff>347731</xdr:rowOff>
    </xdr:to>
    <xdr:sp macro="" textlink="">
      <xdr:nvSpPr>
        <xdr:cNvPr id="174" name="Retângulo 173">
          <a:extLst>
            <a:ext uri="{FF2B5EF4-FFF2-40B4-BE49-F238E27FC236}">
              <a16:creationId xmlns:a16="http://schemas.microsoft.com/office/drawing/2014/main" id="{426B2A77-F953-4020-9523-77DACF0FE0FE}"/>
            </a:ext>
          </a:extLst>
        </xdr:cNvPr>
        <xdr:cNvSpPr/>
      </xdr:nvSpPr>
      <xdr:spPr>
        <a:xfrm>
          <a:off x="5151490" y="762000"/>
          <a:ext cx="330631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1526551</xdr:colOff>
      <xdr:row>302</xdr:row>
      <xdr:rowOff>302012</xdr:rowOff>
    </xdr:from>
    <xdr:to>
      <xdr:col>3</xdr:col>
      <xdr:colOff>1858543</xdr:colOff>
      <xdr:row>302</xdr:row>
      <xdr:rowOff>347731</xdr:rowOff>
    </xdr:to>
    <xdr:sp macro="" textlink="">
      <xdr:nvSpPr>
        <xdr:cNvPr id="175" name="Retângulo 174">
          <a:extLst>
            <a:ext uri="{FF2B5EF4-FFF2-40B4-BE49-F238E27FC236}">
              <a16:creationId xmlns:a16="http://schemas.microsoft.com/office/drawing/2014/main" id="{8EE1C52C-A7D7-4751-93DB-43FAA01F10CF}"/>
            </a:ext>
          </a:extLst>
        </xdr:cNvPr>
        <xdr:cNvSpPr/>
      </xdr:nvSpPr>
      <xdr:spPr>
        <a:xfrm>
          <a:off x="5722994" y="762000"/>
          <a:ext cx="330631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374252</xdr:colOff>
      <xdr:row>306</xdr:row>
      <xdr:rowOff>302012</xdr:rowOff>
    </xdr:from>
    <xdr:to>
      <xdr:col>3</xdr:col>
      <xdr:colOff>706244</xdr:colOff>
      <xdr:row>306</xdr:row>
      <xdr:rowOff>347731</xdr:rowOff>
    </xdr:to>
    <xdr:sp macro="" textlink="">
      <xdr:nvSpPr>
        <xdr:cNvPr id="176" name="Retângulo 175">
          <a:extLst>
            <a:ext uri="{FF2B5EF4-FFF2-40B4-BE49-F238E27FC236}">
              <a16:creationId xmlns:a16="http://schemas.microsoft.com/office/drawing/2014/main" id="{7CDC177E-EDE3-43C6-9CB7-6C327E4BDBAC}"/>
            </a:ext>
          </a:extLst>
        </xdr:cNvPr>
        <xdr:cNvSpPr/>
      </xdr:nvSpPr>
      <xdr:spPr>
        <a:xfrm>
          <a:off x="4569334" y="762000"/>
          <a:ext cx="336074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955047</xdr:colOff>
      <xdr:row>306</xdr:row>
      <xdr:rowOff>302012</xdr:rowOff>
    </xdr:from>
    <xdr:to>
      <xdr:col>3</xdr:col>
      <xdr:colOff>1287039</xdr:colOff>
      <xdr:row>306</xdr:row>
      <xdr:rowOff>347731</xdr:rowOff>
    </xdr:to>
    <xdr:sp macro="" textlink="">
      <xdr:nvSpPr>
        <xdr:cNvPr id="177" name="Retângulo 176">
          <a:extLst>
            <a:ext uri="{FF2B5EF4-FFF2-40B4-BE49-F238E27FC236}">
              <a16:creationId xmlns:a16="http://schemas.microsoft.com/office/drawing/2014/main" id="{54C5CD43-3239-41DD-B394-C9EB7FEA4536}"/>
            </a:ext>
          </a:extLst>
        </xdr:cNvPr>
        <xdr:cNvSpPr/>
      </xdr:nvSpPr>
      <xdr:spPr>
        <a:xfrm>
          <a:off x="5151490" y="762000"/>
          <a:ext cx="330631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1526551</xdr:colOff>
      <xdr:row>306</xdr:row>
      <xdr:rowOff>302012</xdr:rowOff>
    </xdr:from>
    <xdr:to>
      <xdr:col>3</xdr:col>
      <xdr:colOff>1858543</xdr:colOff>
      <xdr:row>306</xdr:row>
      <xdr:rowOff>347731</xdr:rowOff>
    </xdr:to>
    <xdr:sp macro="" textlink="">
      <xdr:nvSpPr>
        <xdr:cNvPr id="178" name="Retângulo 177">
          <a:extLst>
            <a:ext uri="{FF2B5EF4-FFF2-40B4-BE49-F238E27FC236}">
              <a16:creationId xmlns:a16="http://schemas.microsoft.com/office/drawing/2014/main" id="{DCF6D858-D04D-4EEE-BB13-181015012B32}"/>
            </a:ext>
          </a:extLst>
        </xdr:cNvPr>
        <xdr:cNvSpPr/>
      </xdr:nvSpPr>
      <xdr:spPr>
        <a:xfrm>
          <a:off x="5722994" y="762000"/>
          <a:ext cx="330631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440512</xdr:colOff>
      <xdr:row>308</xdr:row>
      <xdr:rowOff>277164</xdr:rowOff>
    </xdr:from>
    <xdr:to>
      <xdr:col>3</xdr:col>
      <xdr:colOff>1689652</xdr:colOff>
      <xdr:row>308</xdr:row>
      <xdr:rowOff>322883</xdr:rowOff>
    </xdr:to>
    <xdr:sp macro="" textlink="">
      <xdr:nvSpPr>
        <xdr:cNvPr id="179" name="Retângulo 178">
          <a:extLst>
            <a:ext uri="{FF2B5EF4-FFF2-40B4-BE49-F238E27FC236}">
              <a16:creationId xmlns:a16="http://schemas.microsoft.com/office/drawing/2014/main" id="{F452CAF5-F429-441B-A44B-6D27CF98D2E0}"/>
            </a:ext>
          </a:extLst>
        </xdr:cNvPr>
        <xdr:cNvSpPr/>
      </xdr:nvSpPr>
      <xdr:spPr>
        <a:xfrm>
          <a:off x="4639676" y="762000"/>
          <a:ext cx="1247780" cy="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440512</xdr:colOff>
      <xdr:row>310</xdr:row>
      <xdr:rowOff>256762</xdr:rowOff>
    </xdr:from>
    <xdr:to>
      <xdr:col>3</xdr:col>
      <xdr:colOff>1689652</xdr:colOff>
      <xdr:row>310</xdr:row>
      <xdr:rowOff>339450</xdr:rowOff>
    </xdr:to>
    <xdr:sp macro="" textlink="">
      <xdr:nvSpPr>
        <xdr:cNvPr id="180" name="Retângulo 179">
          <a:extLst>
            <a:ext uri="{FF2B5EF4-FFF2-40B4-BE49-F238E27FC236}">
              <a16:creationId xmlns:a16="http://schemas.microsoft.com/office/drawing/2014/main" id="{4D41A65F-C035-4DF2-979E-C552C412CB04}"/>
            </a:ext>
          </a:extLst>
        </xdr:cNvPr>
        <xdr:cNvSpPr/>
      </xdr:nvSpPr>
      <xdr:spPr>
        <a:xfrm>
          <a:off x="4639676" y="762000"/>
          <a:ext cx="124778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525947</xdr:colOff>
      <xdr:row>313</xdr:row>
      <xdr:rowOff>255380</xdr:rowOff>
    </xdr:from>
    <xdr:to>
      <xdr:col>3</xdr:col>
      <xdr:colOff>1775087</xdr:colOff>
      <xdr:row>313</xdr:row>
      <xdr:rowOff>371198</xdr:rowOff>
    </xdr:to>
    <xdr:sp macro="" textlink="">
      <xdr:nvSpPr>
        <xdr:cNvPr id="181" name="Retângulo 180">
          <a:extLst>
            <a:ext uri="{FF2B5EF4-FFF2-40B4-BE49-F238E27FC236}">
              <a16:creationId xmlns:a16="http://schemas.microsoft.com/office/drawing/2014/main" id="{987631B5-C3EC-491A-9ACB-2BE1A173B27D}"/>
            </a:ext>
          </a:extLst>
        </xdr:cNvPr>
        <xdr:cNvSpPr/>
      </xdr:nvSpPr>
      <xdr:spPr>
        <a:xfrm>
          <a:off x="4721029" y="762000"/>
          <a:ext cx="1253222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468797</xdr:colOff>
      <xdr:row>363</xdr:row>
      <xdr:rowOff>247931</xdr:rowOff>
    </xdr:from>
    <xdr:to>
      <xdr:col>3</xdr:col>
      <xdr:colOff>1717937</xdr:colOff>
      <xdr:row>363</xdr:row>
      <xdr:rowOff>363749</xdr:rowOff>
    </xdr:to>
    <xdr:sp macro="" textlink="">
      <xdr:nvSpPr>
        <xdr:cNvPr id="182" name="Retângulo 181">
          <a:extLst>
            <a:ext uri="{FF2B5EF4-FFF2-40B4-BE49-F238E27FC236}">
              <a16:creationId xmlns:a16="http://schemas.microsoft.com/office/drawing/2014/main" id="{4BBC0EC6-1760-4E1E-BFCF-1F0408EB1672}"/>
            </a:ext>
          </a:extLst>
        </xdr:cNvPr>
        <xdr:cNvSpPr/>
      </xdr:nvSpPr>
      <xdr:spPr>
        <a:xfrm>
          <a:off x="4666601" y="762000"/>
          <a:ext cx="1247779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419337</xdr:colOff>
      <xdr:row>365</xdr:row>
      <xdr:rowOff>259126</xdr:rowOff>
    </xdr:from>
    <xdr:to>
      <xdr:col>3</xdr:col>
      <xdr:colOff>510444</xdr:colOff>
      <xdr:row>365</xdr:row>
      <xdr:rowOff>358383</xdr:rowOff>
    </xdr:to>
    <xdr:sp macro="" textlink="">
      <xdr:nvSpPr>
        <xdr:cNvPr id="183" name="Retângulo 182">
          <a:extLst>
            <a:ext uri="{FF2B5EF4-FFF2-40B4-BE49-F238E27FC236}">
              <a16:creationId xmlns:a16="http://schemas.microsoft.com/office/drawing/2014/main" id="{8BE8BF45-E9AF-4CB0-AA47-BC67050FDB79}"/>
            </a:ext>
          </a:extLst>
        </xdr:cNvPr>
        <xdr:cNvSpPr/>
      </xdr:nvSpPr>
      <xdr:spPr>
        <a:xfrm>
          <a:off x="4615780" y="762000"/>
          <a:ext cx="93828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653380</xdr:colOff>
      <xdr:row>365</xdr:row>
      <xdr:rowOff>259126</xdr:rowOff>
    </xdr:from>
    <xdr:to>
      <xdr:col>3</xdr:col>
      <xdr:colOff>744487</xdr:colOff>
      <xdr:row>365</xdr:row>
      <xdr:rowOff>358383</xdr:rowOff>
    </xdr:to>
    <xdr:sp macro="" textlink="">
      <xdr:nvSpPr>
        <xdr:cNvPr id="184" name="Retângulo 183">
          <a:extLst>
            <a:ext uri="{FF2B5EF4-FFF2-40B4-BE49-F238E27FC236}">
              <a16:creationId xmlns:a16="http://schemas.microsoft.com/office/drawing/2014/main" id="{7AF22E2E-6EC7-43F3-8AA4-3AE07022B725}"/>
            </a:ext>
          </a:extLst>
        </xdr:cNvPr>
        <xdr:cNvSpPr/>
      </xdr:nvSpPr>
      <xdr:spPr>
        <a:xfrm>
          <a:off x="4851184" y="762000"/>
          <a:ext cx="9246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887423</xdr:colOff>
      <xdr:row>365</xdr:row>
      <xdr:rowOff>259126</xdr:rowOff>
    </xdr:from>
    <xdr:to>
      <xdr:col>3</xdr:col>
      <xdr:colOff>978530</xdr:colOff>
      <xdr:row>365</xdr:row>
      <xdr:rowOff>358383</xdr:rowOff>
    </xdr:to>
    <xdr:sp macro="" textlink="">
      <xdr:nvSpPr>
        <xdr:cNvPr id="185" name="Retângulo 184">
          <a:extLst>
            <a:ext uri="{FF2B5EF4-FFF2-40B4-BE49-F238E27FC236}">
              <a16:creationId xmlns:a16="http://schemas.microsoft.com/office/drawing/2014/main" id="{435EBE76-C7F6-470E-996F-E91BBEF5A41A}"/>
            </a:ext>
          </a:extLst>
        </xdr:cNvPr>
        <xdr:cNvSpPr/>
      </xdr:nvSpPr>
      <xdr:spPr>
        <a:xfrm>
          <a:off x="5085227" y="762000"/>
          <a:ext cx="88385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1126909</xdr:colOff>
      <xdr:row>365</xdr:row>
      <xdr:rowOff>259126</xdr:rowOff>
    </xdr:from>
    <xdr:to>
      <xdr:col>3</xdr:col>
      <xdr:colOff>1218016</xdr:colOff>
      <xdr:row>365</xdr:row>
      <xdr:rowOff>358383</xdr:rowOff>
    </xdr:to>
    <xdr:sp macro="" textlink="">
      <xdr:nvSpPr>
        <xdr:cNvPr id="186" name="Retângulo 185">
          <a:extLst>
            <a:ext uri="{FF2B5EF4-FFF2-40B4-BE49-F238E27FC236}">
              <a16:creationId xmlns:a16="http://schemas.microsoft.com/office/drawing/2014/main" id="{01411E62-15C7-4AE5-A4DF-A9A44B6F51AB}"/>
            </a:ext>
          </a:extLst>
        </xdr:cNvPr>
        <xdr:cNvSpPr/>
      </xdr:nvSpPr>
      <xdr:spPr>
        <a:xfrm>
          <a:off x="5326073" y="762000"/>
          <a:ext cx="88386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1366395</xdr:colOff>
      <xdr:row>365</xdr:row>
      <xdr:rowOff>259126</xdr:rowOff>
    </xdr:from>
    <xdr:to>
      <xdr:col>3</xdr:col>
      <xdr:colOff>1457502</xdr:colOff>
      <xdr:row>365</xdr:row>
      <xdr:rowOff>358383</xdr:rowOff>
    </xdr:to>
    <xdr:sp macro="" textlink="">
      <xdr:nvSpPr>
        <xdr:cNvPr id="187" name="Retângulo 186">
          <a:extLst>
            <a:ext uri="{FF2B5EF4-FFF2-40B4-BE49-F238E27FC236}">
              <a16:creationId xmlns:a16="http://schemas.microsoft.com/office/drawing/2014/main" id="{EE536B98-EC75-4F21-B20B-CF91112948EE}"/>
            </a:ext>
          </a:extLst>
        </xdr:cNvPr>
        <xdr:cNvSpPr/>
      </xdr:nvSpPr>
      <xdr:spPr>
        <a:xfrm>
          <a:off x="5561477" y="762000"/>
          <a:ext cx="93829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1605881</xdr:colOff>
      <xdr:row>365</xdr:row>
      <xdr:rowOff>259126</xdr:rowOff>
    </xdr:from>
    <xdr:to>
      <xdr:col>3</xdr:col>
      <xdr:colOff>1696988</xdr:colOff>
      <xdr:row>365</xdr:row>
      <xdr:rowOff>358383</xdr:rowOff>
    </xdr:to>
    <xdr:sp macro="" textlink="">
      <xdr:nvSpPr>
        <xdr:cNvPr id="188" name="Retângulo 187">
          <a:extLst>
            <a:ext uri="{FF2B5EF4-FFF2-40B4-BE49-F238E27FC236}">
              <a16:creationId xmlns:a16="http://schemas.microsoft.com/office/drawing/2014/main" id="{2856C506-DE60-4E19-9E5D-DED56C3F5EC3}"/>
            </a:ext>
          </a:extLst>
        </xdr:cNvPr>
        <xdr:cNvSpPr/>
      </xdr:nvSpPr>
      <xdr:spPr>
        <a:xfrm>
          <a:off x="5803685" y="762000"/>
          <a:ext cx="9246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419337</xdr:colOff>
      <xdr:row>381</xdr:row>
      <xdr:rowOff>259126</xdr:rowOff>
    </xdr:from>
    <xdr:to>
      <xdr:col>3</xdr:col>
      <xdr:colOff>510444</xdr:colOff>
      <xdr:row>381</xdr:row>
      <xdr:rowOff>358383</xdr:rowOff>
    </xdr:to>
    <xdr:sp macro="" textlink="">
      <xdr:nvSpPr>
        <xdr:cNvPr id="189" name="Retângulo 188">
          <a:extLst>
            <a:ext uri="{FF2B5EF4-FFF2-40B4-BE49-F238E27FC236}">
              <a16:creationId xmlns:a16="http://schemas.microsoft.com/office/drawing/2014/main" id="{6F44D92D-FC3F-4500-92EC-0DD1BE9332F9}"/>
            </a:ext>
          </a:extLst>
        </xdr:cNvPr>
        <xdr:cNvSpPr/>
      </xdr:nvSpPr>
      <xdr:spPr>
        <a:xfrm>
          <a:off x="4615780" y="762000"/>
          <a:ext cx="93828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653380</xdr:colOff>
      <xdr:row>381</xdr:row>
      <xdr:rowOff>259126</xdr:rowOff>
    </xdr:from>
    <xdr:to>
      <xdr:col>3</xdr:col>
      <xdr:colOff>744487</xdr:colOff>
      <xdr:row>381</xdr:row>
      <xdr:rowOff>358383</xdr:rowOff>
    </xdr:to>
    <xdr:sp macro="" textlink="">
      <xdr:nvSpPr>
        <xdr:cNvPr id="190" name="Retângulo 189">
          <a:extLst>
            <a:ext uri="{FF2B5EF4-FFF2-40B4-BE49-F238E27FC236}">
              <a16:creationId xmlns:a16="http://schemas.microsoft.com/office/drawing/2014/main" id="{63EB0AB3-0196-498E-8D1C-FECE373D89A5}"/>
            </a:ext>
          </a:extLst>
        </xdr:cNvPr>
        <xdr:cNvSpPr/>
      </xdr:nvSpPr>
      <xdr:spPr>
        <a:xfrm>
          <a:off x="4851184" y="762000"/>
          <a:ext cx="9246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887423</xdr:colOff>
      <xdr:row>381</xdr:row>
      <xdr:rowOff>259126</xdr:rowOff>
    </xdr:from>
    <xdr:to>
      <xdr:col>3</xdr:col>
      <xdr:colOff>978530</xdr:colOff>
      <xdr:row>381</xdr:row>
      <xdr:rowOff>358383</xdr:rowOff>
    </xdr:to>
    <xdr:sp macro="" textlink="">
      <xdr:nvSpPr>
        <xdr:cNvPr id="191" name="Retângulo 190">
          <a:extLst>
            <a:ext uri="{FF2B5EF4-FFF2-40B4-BE49-F238E27FC236}">
              <a16:creationId xmlns:a16="http://schemas.microsoft.com/office/drawing/2014/main" id="{3511CA3C-88D7-4340-AE39-AD50409A0FD1}"/>
            </a:ext>
          </a:extLst>
        </xdr:cNvPr>
        <xdr:cNvSpPr/>
      </xdr:nvSpPr>
      <xdr:spPr>
        <a:xfrm>
          <a:off x="5085227" y="762000"/>
          <a:ext cx="88385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1126909</xdr:colOff>
      <xdr:row>381</xdr:row>
      <xdr:rowOff>259126</xdr:rowOff>
    </xdr:from>
    <xdr:to>
      <xdr:col>3</xdr:col>
      <xdr:colOff>1218016</xdr:colOff>
      <xdr:row>381</xdr:row>
      <xdr:rowOff>358383</xdr:rowOff>
    </xdr:to>
    <xdr:sp macro="" textlink="">
      <xdr:nvSpPr>
        <xdr:cNvPr id="192" name="Retângulo 191">
          <a:extLst>
            <a:ext uri="{FF2B5EF4-FFF2-40B4-BE49-F238E27FC236}">
              <a16:creationId xmlns:a16="http://schemas.microsoft.com/office/drawing/2014/main" id="{661C74AC-A893-49DE-ABFE-DAB669F7C9BC}"/>
            </a:ext>
          </a:extLst>
        </xdr:cNvPr>
        <xdr:cNvSpPr/>
      </xdr:nvSpPr>
      <xdr:spPr>
        <a:xfrm>
          <a:off x="5326073" y="762000"/>
          <a:ext cx="88386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1366395</xdr:colOff>
      <xdr:row>381</xdr:row>
      <xdr:rowOff>259126</xdr:rowOff>
    </xdr:from>
    <xdr:to>
      <xdr:col>3</xdr:col>
      <xdr:colOff>1457502</xdr:colOff>
      <xdr:row>381</xdr:row>
      <xdr:rowOff>358383</xdr:rowOff>
    </xdr:to>
    <xdr:sp macro="" textlink="">
      <xdr:nvSpPr>
        <xdr:cNvPr id="193" name="Retângulo 192">
          <a:extLst>
            <a:ext uri="{FF2B5EF4-FFF2-40B4-BE49-F238E27FC236}">
              <a16:creationId xmlns:a16="http://schemas.microsoft.com/office/drawing/2014/main" id="{07297A47-6E5A-4FE5-B871-7D15D933C46C}"/>
            </a:ext>
          </a:extLst>
        </xdr:cNvPr>
        <xdr:cNvSpPr/>
      </xdr:nvSpPr>
      <xdr:spPr>
        <a:xfrm>
          <a:off x="5561477" y="762000"/>
          <a:ext cx="93829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1605881</xdr:colOff>
      <xdr:row>381</xdr:row>
      <xdr:rowOff>259126</xdr:rowOff>
    </xdr:from>
    <xdr:to>
      <xdr:col>3</xdr:col>
      <xdr:colOff>1696988</xdr:colOff>
      <xdr:row>381</xdr:row>
      <xdr:rowOff>358383</xdr:rowOff>
    </xdr:to>
    <xdr:sp macro="" textlink="">
      <xdr:nvSpPr>
        <xdr:cNvPr id="194" name="Retângulo 193">
          <a:extLst>
            <a:ext uri="{FF2B5EF4-FFF2-40B4-BE49-F238E27FC236}">
              <a16:creationId xmlns:a16="http://schemas.microsoft.com/office/drawing/2014/main" id="{240BA58D-A066-46CC-A773-3C15649F5B49}"/>
            </a:ext>
          </a:extLst>
        </xdr:cNvPr>
        <xdr:cNvSpPr/>
      </xdr:nvSpPr>
      <xdr:spPr>
        <a:xfrm>
          <a:off x="5803685" y="762000"/>
          <a:ext cx="9246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419101</xdr:colOff>
      <xdr:row>367</xdr:row>
      <xdr:rowOff>52304</xdr:rowOff>
    </xdr:from>
    <xdr:to>
      <xdr:col>3</xdr:col>
      <xdr:colOff>510445</xdr:colOff>
      <xdr:row>367</xdr:row>
      <xdr:rowOff>555171</xdr:rowOff>
    </xdr:to>
    <xdr:sp macro="" textlink="">
      <xdr:nvSpPr>
        <xdr:cNvPr id="195" name="Retângulo 194">
          <a:extLst>
            <a:ext uri="{FF2B5EF4-FFF2-40B4-BE49-F238E27FC236}">
              <a16:creationId xmlns:a16="http://schemas.microsoft.com/office/drawing/2014/main" id="{EDEFBB68-EB2D-4889-972A-6202C0B7D79F}"/>
            </a:ext>
          </a:extLst>
        </xdr:cNvPr>
        <xdr:cNvSpPr/>
      </xdr:nvSpPr>
      <xdr:spPr>
        <a:xfrm>
          <a:off x="4615544" y="762000"/>
          <a:ext cx="94065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653144</xdr:colOff>
      <xdr:row>367</xdr:row>
      <xdr:rowOff>52304</xdr:rowOff>
    </xdr:from>
    <xdr:to>
      <xdr:col>3</xdr:col>
      <xdr:colOff>744488</xdr:colOff>
      <xdr:row>367</xdr:row>
      <xdr:rowOff>555171</xdr:rowOff>
    </xdr:to>
    <xdr:sp macro="" textlink="">
      <xdr:nvSpPr>
        <xdr:cNvPr id="196" name="Retângulo 195">
          <a:extLst>
            <a:ext uri="{FF2B5EF4-FFF2-40B4-BE49-F238E27FC236}">
              <a16:creationId xmlns:a16="http://schemas.microsoft.com/office/drawing/2014/main" id="{9719AD35-2DF2-491D-9E9D-996CCA3EE893}"/>
            </a:ext>
          </a:extLst>
        </xdr:cNvPr>
        <xdr:cNvSpPr/>
      </xdr:nvSpPr>
      <xdr:spPr>
        <a:xfrm>
          <a:off x="4850948" y="762000"/>
          <a:ext cx="92704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887187</xdr:colOff>
      <xdr:row>367</xdr:row>
      <xdr:rowOff>52304</xdr:rowOff>
    </xdr:from>
    <xdr:to>
      <xdr:col>3</xdr:col>
      <xdr:colOff>978531</xdr:colOff>
      <xdr:row>367</xdr:row>
      <xdr:rowOff>555171</xdr:rowOff>
    </xdr:to>
    <xdr:sp macro="" textlink="">
      <xdr:nvSpPr>
        <xdr:cNvPr id="197" name="Retângulo 196">
          <a:extLst>
            <a:ext uri="{FF2B5EF4-FFF2-40B4-BE49-F238E27FC236}">
              <a16:creationId xmlns:a16="http://schemas.microsoft.com/office/drawing/2014/main" id="{D38BC146-5F56-49A1-905E-EF2EBCED3DEB}"/>
            </a:ext>
          </a:extLst>
        </xdr:cNvPr>
        <xdr:cNvSpPr/>
      </xdr:nvSpPr>
      <xdr:spPr>
        <a:xfrm>
          <a:off x="5084991" y="762000"/>
          <a:ext cx="88622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1126673</xdr:colOff>
      <xdr:row>367</xdr:row>
      <xdr:rowOff>52304</xdr:rowOff>
    </xdr:from>
    <xdr:to>
      <xdr:col>3</xdr:col>
      <xdr:colOff>1218017</xdr:colOff>
      <xdr:row>367</xdr:row>
      <xdr:rowOff>555171</xdr:rowOff>
    </xdr:to>
    <xdr:sp macro="" textlink="">
      <xdr:nvSpPr>
        <xdr:cNvPr id="198" name="Retângulo 197">
          <a:extLst>
            <a:ext uri="{FF2B5EF4-FFF2-40B4-BE49-F238E27FC236}">
              <a16:creationId xmlns:a16="http://schemas.microsoft.com/office/drawing/2014/main" id="{122B21B9-7C23-42FA-97F0-B2CC4057179D}"/>
            </a:ext>
          </a:extLst>
        </xdr:cNvPr>
        <xdr:cNvSpPr/>
      </xdr:nvSpPr>
      <xdr:spPr>
        <a:xfrm>
          <a:off x="5325837" y="762000"/>
          <a:ext cx="88623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1366159</xdr:colOff>
      <xdr:row>367</xdr:row>
      <xdr:rowOff>52304</xdr:rowOff>
    </xdr:from>
    <xdr:to>
      <xdr:col>3</xdr:col>
      <xdr:colOff>1457503</xdr:colOff>
      <xdr:row>367</xdr:row>
      <xdr:rowOff>555171</xdr:rowOff>
    </xdr:to>
    <xdr:sp macro="" textlink="">
      <xdr:nvSpPr>
        <xdr:cNvPr id="199" name="Retângulo 198">
          <a:extLst>
            <a:ext uri="{FF2B5EF4-FFF2-40B4-BE49-F238E27FC236}">
              <a16:creationId xmlns:a16="http://schemas.microsoft.com/office/drawing/2014/main" id="{946EEA63-5C20-4A31-973D-21FE6D19C7FE}"/>
            </a:ext>
          </a:extLst>
        </xdr:cNvPr>
        <xdr:cNvSpPr/>
      </xdr:nvSpPr>
      <xdr:spPr>
        <a:xfrm>
          <a:off x="5561241" y="762000"/>
          <a:ext cx="94066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1605645</xdr:colOff>
      <xdr:row>367</xdr:row>
      <xdr:rowOff>52304</xdr:rowOff>
    </xdr:from>
    <xdr:to>
      <xdr:col>3</xdr:col>
      <xdr:colOff>1696989</xdr:colOff>
      <xdr:row>367</xdr:row>
      <xdr:rowOff>555171</xdr:rowOff>
    </xdr:to>
    <xdr:sp macro="" textlink="">
      <xdr:nvSpPr>
        <xdr:cNvPr id="200" name="Retângulo 199">
          <a:extLst>
            <a:ext uri="{FF2B5EF4-FFF2-40B4-BE49-F238E27FC236}">
              <a16:creationId xmlns:a16="http://schemas.microsoft.com/office/drawing/2014/main" id="{61F695EA-CC7C-410C-A468-E383FA942709}"/>
            </a:ext>
          </a:extLst>
        </xdr:cNvPr>
        <xdr:cNvSpPr/>
      </xdr:nvSpPr>
      <xdr:spPr>
        <a:xfrm>
          <a:off x="5803449" y="762000"/>
          <a:ext cx="92704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675622</xdr:colOff>
      <xdr:row>371</xdr:row>
      <xdr:rowOff>60024</xdr:rowOff>
    </xdr:from>
    <xdr:to>
      <xdr:col>3</xdr:col>
      <xdr:colOff>1437652</xdr:colOff>
      <xdr:row>371</xdr:row>
      <xdr:rowOff>564024</xdr:rowOff>
    </xdr:to>
    <xdr:pic>
      <xdr:nvPicPr>
        <xdr:cNvPr id="201" name="Imagem 200">
          <a:extLst>
            <a:ext uri="{FF2B5EF4-FFF2-40B4-BE49-F238E27FC236}">
              <a16:creationId xmlns:a16="http://schemas.microsoft.com/office/drawing/2014/main" id="{53E1F662-2E0B-4D93-A9F4-CDD01C83D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0704" y="762000"/>
          <a:ext cx="762030" cy="0"/>
        </a:xfrm>
        <a:prstGeom prst="rect">
          <a:avLst/>
        </a:prstGeom>
      </xdr:spPr>
    </xdr:pic>
    <xdr:clientData/>
  </xdr:twoCellAnchor>
  <xdr:twoCellAnchor>
    <xdr:from>
      <xdr:col>3</xdr:col>
      <xdr:colOff>672955</xdr:colOff>
      <xdr:row>373</xdr:row>
      <xdr:rowOff>60024</xdr:rowOff>
    </xdr:from>
    <xdr:to>
      <xdr:col>3</xdr:col>
      <xdr:colOff>1439764</xdr:colOff>
      <xdr:row>373</xdr:row>
      <xdr:rowOff>564024</xdr:rowOff>
    </xdr:to>
    <xdr:pic>
      <xdr:nvPicPr>
        <xdr:cNvPr id="202" name="Imagem 201">
          <a:extLst>
            <a:ext uri="{FF2B5EF4-FFF2-40B4-BE49-F238E27FC236}">
              <a16:creationId xmlns:a16="http://schemas.microsoft.com/office/drawing/2014/main" id="{3DE83C48-81E3-4281-9EA9-9BA0CDE02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68037" y="762000"/>
          <a:ext cx="766809" cy="0"/>
        </a:xfrm>
        <a:prstGeom prst="rect">
          <a:avLst/>
        </a:prstGeom>
      </xdr:spPr>
    </xdr:pic>
    <xdr:clientData/>
  </xdr:twoCellAnchor>
  <xdr:twoCellAnchor>
    <xdr:from>
      <xdr:col>3</xdr:col>
      <xdr:colOff>680154</xdr:colOff>
      <xdr:row>375</xdr:row>
      <xdr:rowOff>60024</xdr:rowOff>
    </xdr:from>
    <xdr:to>
      <xdr:col>3</xdr:col>
      <xdr:colOff>1434061</xdr:colOff>
      <xdr:row>375</xdr:row>
      <xdr:rowOff>564024</xdr:rowOff>
    </xdr:to>
    <xdr:pic>
      <xdr:nvPicPr>
        <xdr:cNvPr id="203" name="Imagem 202">
          <a:extLst>
            <a:ext uri="{FF2B5EF4-FFF2-40B4-BE49-F238E27FC236}">
              <a16:creationId xmlns:a16="http://schemas.microsoft.com/office/drawing/2014/main" id="{EDA8283F-DFD9-4D65-8902-16E4AF3BA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5236" y="762000"/>
          <a:ext cx="753907" cy="0"/>
        </a:xfrm>
        <a:prstGeom prst="rect">
          <a:avLst/>
        </a:prstGeom>
      </xdr:spPr>
    </xdr:pic>
    <xdr:clientData/>
  </xdr:twoCellAnchor>
  <xdr:twoCellAnchor>
    <xdr:from>
      <xdr:col>3</xdr:col>
      <xdr:colOff>530181</xdr:colOff>
      <xdr:row>387</xdr:row>
      <xdr:rowOff>107576</xdr:rowOff>
    </xdr:from>
    <xdr:to>
      <xdr:col>3</xdr:col>
      <xdr:colOff>1632900</xdr:colOff>
      <xdr:row>387</xdr:row>
      <xdr:rowOff>437265</xdr:rowOff>
    </xdr:to>
    <xdr:pic>
      <xdr:nvPicPr>
        <xdr:cNvPr id="204" name="Imagem 203">
          <a:extLst>
            <a:ext uri="{FF2B5EF4-FFF2-40B4-BE49-F238E27FC236}">
              <a16:creationId xmlns:a16="http://schemas.microsoft.com/office/drawing/2014/main" id="{C6FA7DDD-6492-4CC8-898F-BCA0A79F6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6624" y="762000"/>
          <a:ext cx="1101358" cy="0"/>
        </a:xfrm>
        <a:prstGeom prst="rect">
          <a:avLst/>
        </a:prstGeom>
      </xdr:spPr>
    </xdr:pic>
    <xdr:clientData/>
  </xdr:twoCellAnchor>
  <xdr:twoCellAnchor>
    <xdr:from>
      <xdr:col>3</xdr:col>
      <xdr:colOff>886402</xdr:colOff>
      <xdr:row>356</xdr:row>
      <xdr:rowOff>86552</xdr:rowOff>
    </xdr:from>
    <xdr:to>
      <xdr:col>3</xdr:col>
      <xdr:colOff>1344003</xdr:colOff>
      <xdr:row>356</xdr:row>
      <xdr:rowOff>518552</xdr:rowOff>
    </xdr:to>
    <xdr:pic>
      <xdr:nvPicPr>
        <xdr:cNvPr id="205" name="Imagem 204">
          <a:extLst>
            <a:ext uri="{FF2B5EF4-FFF2-40B4-BE49-F238E27FC236}">
              <a16:creationId xmlns:a16="http://schemas.microsoft.com/office/drawing/2014/main" id="{F48648B0-1713-4B8A-B756-EAC8FCD05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84206" y="762000"/>
          <a:ext cx="457601" cy="0"/>
        </a:xfrm>
        <a:prstGeom prst="rect">
          <a:avLst/>
        </a:prstGeom>
      </xdr:spPr>
    </xdr:pic>
    <xdr:clientData/>
  </xdr:twoCellAnchor>
  <xdr:twoCellAnchor>
    <xdr:from>
      <xdr:col>3</xdr:col>
      <xdr:colOff>897654</xdr:colOff>
      <xdr:row>360</xdr:row>
      <xdr:rowOff>111238</xdr:rowOff>
    </xdr:from>
    <xdr:to>
      <xdr:col>3</xdr:col>
      <xdr:colOff>1343408</xdr:colOff>
      <xdr:row>360</xdr:row>
      <xdr:rowOff>471238</xdr:rowOff>
    </xdr:to>
    <xdr:pic>
      <xdr:nvPicPr>
        <xdr:cNvPr id="206" name="Imagem 205">
          <a:extLst>
            <a:ext uri="{FF2B5EF4-FFF2-40B4-BE49-F238E27FC236}">
              <a16:creationId xmlns:a16="http://schemas.microsoft.com/office/drawing/2014/main" id="{69372C21-A483-4772-96F2-5A94D6911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96818" y="762000"/>
          <a:ext cx="44439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874092</xdr:colOff>
      <xdr:row>358</xdr:row>
      <xdr:rowOff>163167</xdr:rowOff>
    </xdr:from>
    <xdr:to>
      <xdr:col>3</xdr:col>
      <xdr:colOff>1342148</xdr:colOff>
      <xdr:row>358</xdr:row>
      <xdr:rowOff>398394</xdr:rowOff>
    </xdr:to>
    <xdr:pic>
      <xdr:nvPicPr>
        <xdr:cNvPr id="207" name="Imagem 206" descr="Sentido Obrigatório.jpg">
          <a:extLst>
            <a:ext uri="{FF2B5EF4-FFF2-40B4-BE49-F238E27FC236}">
              <a16:creationId xmlns:a16="http://schemas.microsoft.com/office/drawing/2014/main" id="{F909D0E6-3545-4241-9CC0-97536C60C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5070535" y="762000"/>
          <a:ext cx="469417" cy="0"/>
        </a:xfrm>
        <a:prstGeom prst="rect">
          <a:avLst/>
        </a:prstGeom>
      </xdr:spPr>
    </xdr:pic>
    <xdr:clientData/>
  </xdr:twoCellAnchor>
  <xdr:twoCellAnchor>
    <xdr:from>
      <xdr:col>3</xdr:col>
      <xdr:colOff>1382279</xdr:colOff>
      <xdr:row>102</xdr:row>
      <xdr:rowOff>44602</xdr:rowOff>
    </xdr:from>
    <xdr:to>
      <xdr:col>3</xdr:col>
      <xdr:colOff>2146328</xdr:colOff>
      <xdr:row>102</xdr:row>
      <xdr:rowOff>586440</xdr:rowOff>
    </xdr:to>
    <xdr:pic>
      <xdr:nvPicPr>
        <xdr:cNvPr id="208" name="Imagem 207">
          <a:extLst>
            <a:ext uri="{FF2B5EF4-FFF2-40B4-BE49-F238E27FC236}">
              <a16:creationId xmlns:a16="http://schemas.microsoft.com/office/drawing/2014/main" id="{F776C3E3-029F-46E8-BD82-ABF6996F0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0083" y="762000"/>
          <a:ext cx="764049" cy="0"/>
        </a:xfrm>
        <a:prstGeom prst="rect">
          <a:avLst/>
        </a:prstGeom>
      </xdr:spPr>
    </xdr:pic>
    <xdr:clientData/>
  </xdr:twoCellAnchor>
  <xdr:twoCellAnchor>
    <xdr:from>
      <xdr:col>3</xdr:col>
      <xdr:colOff>1333975</xdr:colOff>
      <xdr:row>104</xdr:row>
      <xdr:rowOff>17484</xdr:rowOff>
    </xdr:from>
    <xdr:to>
      <xdr:col>3</xdr:col>
      <xdr:colOff>2181699</xdr:colOff>
      <xdr:row>104</xdr:row>
      <xdr:rowOff>614814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id="{B52DA504-01E2-4352-8F20-DA122E92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30418" y="762000"/>
          <a:ext cx="849085" cy="0"/>
        </a:xfrm>
        <a:prstGeom prst="rect">
          <a:avLst/>
        </a:prstGeom>
      </xdr:spPr>
    </xdr:pic>
    <xdr:clientData/>
  </xdr:twoCellAnchor>
  <xdr:twoCellAnchor>
    <xdr:from>
      <xdr:col>3</xdr:col>
      <xdr:colOff>889000</xdr:colOff>
      <xdr:row>353</xdr:row>
      <xdr:rowOff>57150</xdr:rowOff>
    </xdr:from>
    <xdr:to>
      <xdr:col>3</xdr:col>
      <xdr:colOff>1422427</xdr:colOff>
      <xdr:row>353</xdr:row>
      <xdr:rowOff>577877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id="{2641B2C4-0021-4570-8336-20AAC2A1D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5086804" y="762000"/>
          <a:ext cx="533427" cy="0"/>
        </a:xfrm>
        <a:prstGeom prst="rect">
          <a:avLst/>
        </a:prstGeom>
      </xdr:spPr>
    </xdr:pic>
    <xdr:clientData/>
  </xdr:twoCellAnchor>
  <xdr:twoCellAnchor>
    <xdr:from>
      <xdr:col>3</xdr:col>
      <xdr:colOff>908050</xdr:colOff>
      <xdr:row>351</xdr:row>
      <xdr:rowOff>76200</xdr:rowOff>
    </xdr:from>
    <xdr:to>
      <xdr:col>3</xdr:col>
      <xdr:colOff>1384324</xdr:colOff>
      <xdr:row>351</xdr:row>
      <xdr:rowOff>552474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id="{15F33F9D-81CC-4D1C-B08E-4EBAE2CFB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5103132" y="762000"/>
          <a:ext cx="478996" cy="0"/>
        </a:xfrm>
        <a:prstGeom prst="rect">
          <a:avLst/>
        </a:prstGeom>
      </xdr:spPr>
    </xdr:pic>
    <xdr:clientData/>
  </xdr:twoCellAnchor>
  <xdr:twoCellAnchor>
    <xdr:from>
      <xdr:col>3</xdr:col>
      <xdr:colOff>963964</xdr:colOff>
      <xdr:row>349</xdr:row>
      <xdr:rowOff>95250</xdr:rowOff>
    </xdr:from>
    <xdr:to>
      <xdr:col>3</xdr:col>
      <xdr:colOff>1376735</xdr:colOff>
      <xdr:row>350</xdr:row>
      <xdr:rowOff>0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id="{6200E20C-D17E-487E-BEE7-AEA88479C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161768" y="762000"/>
          <a:ext cx="412771" cy="0"/>
        </a:xfrm>
        <a:prstGeom prst="rect">
          <a:avLst/>
        </a:prstGeom>
      </xdr:spPr>
    </xdr:pic>
    <xdr:clientData/>
  </xdr:twoCellAnchor>
  <xdr:twoCellAnchor>
    <xdr:from>
      <xdr:col>3</xdr:col>
      <xdr:colOff>1401847</xdr:colOff>
      <xdr:row>264</xdr:row>
      <xdr:rowOff>66260</xdr:rowOff>
    </xdr:from>
    <xdr:to>
      <xdr:col>3</xdr:col>
      <xdr:colOff>2081546</xdr:colOff>
      <xdr:row>264</xdr:row>
      <xdr:rowOff>568738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id="{F6B13962-803E-4E02-ABE7-7A19BFD82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936779" y="422150"/>
          <a:ext cx="0" cy="679699"/>
        </a:xfrm>
        <a:prstGeom prst="rect">
          <a:avLst/>
        </a:prstGeom>
      </xdr:spPr>
    </xdr:pic>
    <xdr:clientData fLocksWithSheet="0"/>
  </xdr:twoCellAnchor>
  <xdr:twoCellAnchor>
    <xdr:from>
      <xdr:col>3</xdr:col>
      <xdr:colOff>1225589</xdr:colOff>
      <xdr:row>266</xdr:row>
      <xdr:rowOff>60739</xdr:rowOff>
    </xdr:from>
    <xdr:to>
      <xdr:col>3</xdr:col>
      <xdr:colOff>2139157</xdr:colOff>
      <xdr:row>266</xdr:row>
      <xdr:rowOff>551855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id="{CE3CCB3C-1600-4377-8922-1B8084AAB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880177" y="305216"/>
          <a:ext cx="0" cy="913568"/>
        </a:xfrm>
        <a:prstGeom prst="rect">
          <a:avLst/>
        </a:prstGeom>
      </xdr:spPr>
    </xdr:pic>
    <xdr:clientData fLock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390525</xdr:colOff>
      <xdr:row>8</xdr:row>
      <xdr:rowOff>152400</xdr:rowOff>
    </xdr:from>
    <xdr:ext cx="5133884" cy="4036967"/>
    <xdr:pic>
      <xdr:nvPicPr>
        <xdr:cNvPr id="2" name="image3.png">
          <a:extLst>
            <a:ext uri="{FF2B5EF4-FFF2-40B4-BE49-F238E27FC236}">
              <a16:creationId xmlns:a16="http://schemas.microsoft.com/office/drawing/2014/main" id="{7CEB5EAE-9621-46D4-BD2F-5CB3130127D6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1886" y="1458686"/>
          <a:ext cx="5133884" cy="4036967"/>
        </a:xfrm>
        <a:prstGeom prst="rect">
          <a:avLst/>
        </a:prstGeom>
      </xdr:spPr>
    </xdr:pic>
    <xdr:clientData/>
  </xdr:oneCellAnchor>
  <xdr:oneCellAnchor>
    <xdr:from>
      <xdr:col>0</xdr:col>
      <xdr:colOff>403225</xdr:colOff>
      <xdr:row>51</xdr:row>
      <xdr:rowOff>6350</xdr:rowOff>
    </xdr:from>
    <xdr:ext cx="4867185" cy="4261393"/>
    <xdr:pic>
      <xdr:nvPicPr>
        <xdr:cNvPr id="3" name="image4.png">
          <a:extLst>
            <a:ext uri="{FF2B5EF4-FFF2-40B4-BE49-F238E27FC236}">
              <a16:creationId xmlns:a16="http://schemas.microsoft.com/office/drawing/2014/main" id="{5B09C2E8-0221-4A95-998C-5E4834FBA02B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5946" y="8509454"/>
          <a:ext cx="4867185" cy="4261393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99</xdr:row>
      <xdr:rowOff>142875</xdr:rowOff>
    </xdr:from>
    <xdr:ext cx="5853975" cy="2867388"/>
    <xdr:pic>
      <xdr:nvPicPr>
        <xdr:cNvPr id="4" name="image5.png">
          <a:extLst>
            <a:ext uri="{FF2B5EF4-FFF2-40B4-BE49-F238E27FC236}">
              <a16:creationId xmlns:a16="http://schemas.microsoft.com/office/drawing/2014/main" id="{199E1CE3-328E-40CA-BBD1-569F85D90862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8471" y="16687800"/>
          <a:ext cx="5853975" cy="286738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140</xdr:row>
      <xdr:rowOff>0</xdr:rowOff>
    </xdr:from>
    <xdr:ext cx="5685881" cy="2921181"/>
    <xdr:pic>
      <xdr:nvPicPr>
        <xdr:cNvPr id="5" name="image6.png">
          <a:extLst>
            <a:ext uri="{FF2B5EF4-FFF2-40B4-BE49-F238E27FC236}">
              <a16:creationId xmlns:a16="http://schemas.microsoft.com/office/drawing/2014/main" id="{B83BA166-C205-4A3D-98F4-2877A3549E0A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23431500"/>
          <a:ext cx="5685881" cy="2921181"/>
        </a:xfrm>
        <a:prstGeom prst="rect">
          <a:avLst/>
        </a:prstGeom>
      </xdr:spPr>
    </xdr:pic>
    <xdr:clientData/>
  </xdr:oneCellAnchor>
  <xdr:oneCellAnchor>
    <xdr:from>
      <xdr:col>0</xdr:col>
      <xdr:colOff>247650</xdr:colOff>
      <xdr:row>186</xdr:row>
      <xdr:rowOff>142875</xdr:rowOff>
    </xdr:from>
    <xdr:ext cx="5737770" cy="2640784"/>
    <xdr:pic>
      <xdr:nvPicPr>
        <xdr:cNvPr id="6" name="image7.png">
          <a:extLst>
            <a:ext uri="{FF2B5EF4-FFF2-40B4-BE49-F238E27FC236}">
              <a16:creationId xmlns:a16="http://schemas.microsoft.com/office/drawing/2014/main" id="{E408F3FB-8F09-43D4-AD24-81E0E1876E3F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0371" y="31307314"/>
          <a:ext cx="5737770" cy="26407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215</xdr:row>
      <xdr:rowOff>0</xdr:rowOff>
    </xdr:from>
    <xdr:ext cx="5744482" cy="2635340"/>
    <xdr:pic>
      <xdr:nvPicPr>
        <xdr:cNvPr id="7" name="image7.png">
          <a:extLst>
            <a:ext uri="{FF2B5EF4-FFF2-40B4-BE49-F238E27FC236}">
              <a16:creationId xmlns:a16="http://schemas.microsoft.com/office/drawing/2014/main" id="{322B5C67-3CFB-491F-B191-BD672025144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36592329"/>
          <a:ext cx="5744482" cy="2635340"/>
        </a:xfrm>
        <a:prstGeom prst="rect">
          <a:avLst/>
        </a:prstGeom>
      </xdr:spPr>
    </xdr:pic>
    <xdr:clientData/>
  </xdr:oneCellAnchor>
  <xdr:twoCellAnchor>
    <xdr:from>
      <xdr:col>0</xdr:col>
      <xdr:colOff>723900</xdr:colOff>
      <xdr:row>242</xdr:row>
      <xdr:rowOff>9525</xdr:rowOff>
    </xdr:from>
    <xdr:to>
      <xdr:col>3</xdr:col>
      <xdr:colOff>838200</xdr:colOff>
      <xdr:row>258</xdr:row>
      <xdr:rowOff>85725</xdr:rowOff>
    </xdr:to>
    <xdr:pic>
      <xdr:nvPicPr>
        <xdr:cNvPr id="8" name="image8.png">
          <a:extLst>
            <a:ext uri="{FF2B5EF4-FFF2-40B4-BE49-F238E27FC236}">
              <a16:creationId xmlns:a16="http://schemas.microsoft.com/office/drawing/2014/main" id="{C6A05D1D-6012-443A-B8DA-2B4290355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41577986"/>
          <a:ext cx="2830286" cy="2688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504825</xdr:colOff>
      <xdr:row>265</xdr:row>
      <xdr:rowOff>57806</xdr:rowOff>
    </xdr:from>
    <xdr:to>
      <xdr:col>5</xdr:col>
      <xdr:colOff>723900</xdr:colOff>
      <xdr:row>275</xdr:row>
      <xdr:rowOff>190499</xdr:rowOff>
    </xdr:to>
    <xdr:pic>
      <xdr:nvPicPr>
        <xdr:cNvPr id="9" name="image9.png">
          <a:extLst>
            <a:ext uri="{FF2B5EF4-FFF2-40B4-BE49-F238E27FC236}">
              <a16:creationId xmlns:a16="http://schemas.microsoft.com/office/drawing/2014/main" id="{5A8045ED-CF9B-4E0A-A52D-CFC7347C2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186" y="45443070"/>
          <a:ext cx="4838700" cy="1762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23812</xdr:colOff>
      <xdr:row>287</xdr:row>
      <xdr:rowOff>150812</xdr:rowOff>
    </xdr:from>
    <xdr:ext cx="5627915" cy="1273901"/>
    <xdr:pic>
      <xdr:nvPicPr>
        <xdr:cNvPr id="10" name="image10.png">
          <a:extLst>
            <a:ext uri="{FF2B5EF4-FFF2-40B4-BE49-F238E27FC236}">
              <a16:creationId xmlns:a16="http://schemas.microsoft.com/office/drawing/2014/main" id="{79F60924-40B3-4A79-97CB-7E6D5BB20631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533" y="49299812"/>
          <a:ext cx="5627915" cy="1273901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303</xdr:row>
      <xdr:rowOff>28575</xdr:rowOff>
    </xdr:from>
    <xdr:ext cx="5632087" cy="1270726"/>
    <xdr:pic>
      <xdr:nvPicPr>
        <xdr:cNvPr id="11" name="image10.png">
          <a:extLst>
            <a:ext uri="{FF2B5EF4-FFF2-40B4-BE49-F238E27FC236}">
              <a16:creationId xmlns:a16="http://schemas.microsoft.com/office/drawing/2014/main" id="{C22013B8-F008-4794-900A-83CC495E6CB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4300" y="51821443"/>
          <a:ext cx="5632087" cy="1270726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323</xdr:row>
      <xdr:rowOff>114300</xdr:rowOff>
    </xdr:from>
    <xdr:ext cx="5624739" cy="1625146"/>
    <xdr:pic>
      <xdr:nvPicPr>
        <xdr:cNvPr id="12" name="image11.png">
          <a:extLst>
            <a:ext uri="{FF2B5EF4-FFF2-40B4-BE49-F238E27FC236}">
              <a16:creationId xmlns:a16="http://schemas.microsoft.com/office/drawing/2014/main" id="{945EF528-C409-4414-B34D-95E8AD425197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8986" y="55408286"/>
          <a:ext cx="5624739" cy="162514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345</xdr:row>
      <xdr:rowOff>0</xdr:rowOff>
    </xdr:from>
    <xdr:ext cx="5630182" cy="1625782"/>
    <xdr:pic>
      <xdr:nvPicPr>
        <xdr:cNvPr id="13" name="image11.png">
          <a:extLst>
            <a:ext uri="{FF2B5EF4-FFF2-40B4-BE49-F238E27FC236}">
              <a16:creationId xmlns:a16="http://schemas.microsoft.com/office/drawing/2014/main" id="{6A74F000-E942-490A-8DDD-93D59ACA5751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58967914"/>
          <a:ext cx="5630182" cy="162578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367</xdr:row>
      <xdr:rowOff>19050</xdr:rowOff>
    </xdr:from>
    <xdr:ext cx="5492841" cy="3407864"/>
    <xdr:pic>
      <xdr:nvPicPr>
        <xdr:cNvPr id="14" name="image12.png">
          <a:extLst>
            <a:ext uri="{FF2B5EF4-FFF2-40B4-BE49-F238E27FC236}">
              <a16:creationId xmlns:a16="http://schemas.microsoft.com/office/drawing/2014/main" id="{4EC6C794-D89B-4693-9863-584AF0EAEEDB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62663614"/>
          <a:ext cx="5492841" cy="3407864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399</xdr:row>
      <xdr:rowOff>9525</xdr:rowOff>
    </xdr:from>
    <xdr:ext cx="5687151" cy="1677397"/>
    <xdr:pic>
      <xdr:nvPicPr>
        <xdr:cNvPr id="15" name="image13.png">
          <a:extLst>
            <a:ext uri="{FF2B5EF4-FFF2-40B4-BE49-F238E27FC236}">
              <a16:creationId xmlns:a16="http://schemas.microsoft.com/office/drawing/2014/main" id="{594D206A-F4A0-46BC-8C09-AF8354DD7AC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7214" y="67959515"/>
          <a:ext cx="5687151" cy="167739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420</xdr:row>
      <xdr:rowOff>0</xdr:rowOff>
    </xdr:from>
    <xdr:ext cx="5172982" cy="1615530"/>
    <xdr:pic>
      <xdr:nvPicPr>
        <xdr:cNvPr id="16" name="image14.png">
          <a:extLst>
            <a:ext uri="{FF2B5EF4-FFF2-40B4-BE49-F238E27FC236}">
              <a16:creationId xmlns:a16="http://schemas.microsoft.com/office/drawing/2014/main" id="{62B119E7-77EC-4EB8-995D-AA30D128C749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71938243"/>
          <a:ext cx="5172982" cy="1615530"/>
        </a:xfrm>
        <a:prstGeom prst="rect">
          <a:avLst/>
        </a:prstGeom>
      </xdr:spPr>
    </xdr:pic>
    <xdr:clientData/>
  </xdr:oneCellAnchor>
  <xdr:oneCellAnchor>
    <xdr:from>
      <xdr:col>0</xdr:col>
      <xdr:colOff>698500</xdr:colOff>
      <xdr:row>437</xdr:row>
      <xdr:rowOff>7938</xdr:rowOff>
    </xdr:from>
    <xdr:ext cx="4140109" cy="2219053"/>
    <xdr:pic>
      <xdr:nvPicPr>
        <xdr:cNvPr id="17" name="image15.png">
          <a:extLst>
            <a:ext uri="{FF2B5EF4-FFF2-40B4-BE49-F238E27FC236}">
              <a16:creationId xmlns:a16="http://schemas.microsoft.com/office/drawing/2014/main" id="{5A1F50A6-4403-4525-AB5E-B3D06388C76D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99861" y="74783270"/>
          <a:ext cx="4140109" cy="221905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462</xdr:row>
      <xdr:rowOff>0</xdr:rowOff>
    </xdr:from>
    <xdr:ext cx="5680710" cy="1531983"/>
    <xdr:pic>
      <xdr:nvPicPr>
        <xdr:cNvPr id="18" name="image16.png">
          <a:extLst>
            <a:ext uri="{FF2B5EF4-FFF2-40B4-BE49-F238E27FC236}">
              <a16:creationId xmlns:a16="http://schemas.microsoft.com/office/drawing/2014/main" id="{3F16602E-9A68-4812-9F76-D23D8B994A04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78937757"/>
          <a:ext cx="5680710" cy="1531983"/>
        </a:xfrm>
        <a:prstGeom prst="rect">
          <a:avLst/>
        </a:prstGeom>
      </xdr:spPr>
    </xdr:pic>
    <xdr:clientData/>
  </xdr:oneCellAnchor>
  <xdr:oneCellAnchor>
    <xdr:from>
      <xdr:col>0</xdr:col>
      <xdr:colOff>103187</xdr:colOff>
      <xdr:row>478</xdr:row>
      <xdr:rowOff>134937</xdr:rowOff>
    </xdr:from>
    <xdr:ext cx="5807166" cy="2378529"/>
    <xdr:pic>
      <xdr:nvPicPr>
        <xdr:cNvPr id="19" name="image17.jpeg">
          <a:extLst>
            <a:ext uri="{FF2B5EF4-FFF2-40B4-BE49-F238E27FC236}">
              <a16:creationId xmlns:a16="http://schemas.microsoft.com/office/drawing/2014/main" id="{9A7A396F-8282-4576-8C7F-3D0AEB1E0E87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1826" y="81736972"/>
          <a:ext cx="5807166" cy="2378529"/>
        </a:xfrm>
        <a:prstGeom prst="rect">
          <a:avLst/>
        </a:prstGeom>
      </xdr:spPr>
    </xdr:pic>
    <xdr:clientData/>
  </xdr:oneCellAnchor>
  <xdr:oneCellAnchor>
    <xdr:from>
      <xdr:col>1</xdr:col>
      <xdr:colOff>77787</xdr:colOff>
      <xdr:row>504</xdr:row>
      <xdr:rowOff>150812</xdr:rowOff>
    </xdr:from>
    <xdr:ext cx="3905432" cy="2872559"/>
    <xdr:pic>
      <xdr:nvPicPr>
        <xdr:cNvPr id="20" name="image18.png">
          <a:extLst>
            <a:ext uri="{FF2B5EF4-FFF2-40B4-BE49-F238E27FC236}">
              <a16:creationId xmlns:a16="http://schemas.microsoft.com/office/drawing/2014/main" id="{9CD5B618-C898-4953-82A7-858644C11C45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30287" y="86104412"/>
          <a:ext cx="3905432" cy="2872559"/>
        </a:xfrm>
        <a:prstGeom prst="rect">
          <a:avLst/>
        </a:prstGeom>
      </xdr:spPr>
    </xdr:pic>
    <xdr:clientData/>
  </xdr:oneCellAnchor>
  <xdr:twoCellAnchor>
    <xdr:from>
      <xdr:col>1</xdr:col>
      <xdr:colOff>171450</xdr:colOff>
      <xdr:row>536</xdr:row>
      <xdr:rowOff>133350</xdr:rowOff>
    </xdr:from>
    <xdr:to>
      <xdr:col>6</xdr:col>
      <xdr:colOff>85725</xdr:colOff>
      <xdr:row>564</xdr:row>
      <xdr:rowOff>47625</xdr:rowOff>
    </xdr:to>
    <xdr:pic>
      <xdr:nvPicPr>
        <xdr:cNvPr id="21" name="image19.png">
          <a:extLst>
            <a:ext uri="{FF2B5EF4-FFF2-40B4-BE49-F238E27FC236}">
              <a16:creationId xmlns:a16="http://schemas.microsoft.com/office/drawing/2014/main" id="{AC2A3A97-AD37-4B0D-ADB7-21EA1165C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671" y="91918971"/>
          <a:ext cx="4533901" cy="4484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742950</xdr:colOff>
      <xdr:row>583</xdr:row>
      <xdr:rowOff>66675</xdr:rowOff>
    </xdr:from>
    <xdr:ext cx="4432119" cy="4556307"/>
    <xdr:pic>
      <xdr:nvPicPr>
        <xdr:cNvPr id="22" name="image20.png">
          <a:extLst>
            <a:ext uri="{FF2B5EF4-FFF2-40B4-BE49-F238E27FC236}">
              <a16:creationId xmlns:a16="http://schemas.microsoft.com/office/drawing/2014/main" id="{46BAA45D-5786-4293-9173-5D0386CF9E5C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45671" y="99685928"/>
          <a:ext cx="4432119" cy="4556307"/>
        </a:xfrm>
        <a:prstGeom prst="rect">
          <a:avLst/>
        </a:prstGeom>
      </xdr:spPr>
    </xdr:pic>
    <xdr:clientData/>
  </xdr:oneCellAnchor>
  <xdr:twoCellAnchor>
    <xdr:from>
      <xdr:col>1</xdr:col>
      <xdr:colOff>28575</xdr:colOff>
      <xdr:row>637</xdr:row>
      <xdr:rowOff>0</xdr:rowOff>
    </xdr:from>
    <xdr:to>
      <xdr:col>6</xdr:col>
      <xdr:colOff>514350</xdr:colOff>
      <xdr:row>653</xdr:row>
      <xdr:rowOff>85725</xdr:rowOff>
    </xdr:to>
    <xdr:pic>
      <xdr:nvPicPr>
        <xdr:cNvPr id="23" name="image21.png">
          <a:extLst>
            <a:ext uri="{FF2B5EF4-FFF2-40B4-BE49-F238E27FC236}">
              <a16:creationId xmlns:a16="http://schemas.microsoft.com/office/drawing/2014/main" id="{190BE8E2-1CF3-4871-921F-83DB6229F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714" y="108704743"/>
          <a:ext cx="5110843" cy="2699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405427</xdr:colOff>
      <xdr:row>4411</xdr:row>
      <xdr:rowOff>100739</xdr:rowOff>
    </xdr:from>
    <xdr:to>
      <xdr:col>23</xdr:col>
      <xdr:colOff>443933</xdr:colOff>
      <xdr:row>4419</xdr:row>
      <xdr:rowOff>138755</xdr:rowOff>
    </xdr:to>
    <xdr:sp macro="" textlink="">
      <xdr:nvSpPr>
        <xdr:cNvPr id="2" name="Text Box 910" hidden="1">
          <a:extLst>
            <a:ext uri="{FF2B5EF4-FFF2-40B4-BE49-F238E27FC236}">
              <a16:creationId xmlns:a16="http://schemas.microsoft.com/office/drawing/2014/main" id="{F5D3DD59-65E1-4E48-AE5C-7D6E16773FFB}"/>
            </a:ext>
          </a:extLst>
        </xdr:cNvPr>
        <xdr:cNvSpPr txBox="1">
          <a:spLocks noChangeArrowheads="1"/>
        </xdr:cNvSpPr>
      </xdr:nvSpPr>
      <xdr:spPr bwMode="auto">
        <a:xfrm>
          <a:off x="15807355" y="533110217"/>
          <a:ext cx="1226409" cy="134430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51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51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72259</xdr:rowOff>
    </xdr:from>
    <xdr:to>
      <xdr:col>4</xdr:col>
      <xdr:colOff>376402</xdr:colOff>
      <xdr:row>22</xdr:row>
      <xdr:rowOff>25995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1D3088C-223B-428A-9D1A-77EB2C5D5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86416"/>
          <a:ext cx="4687145" cy="7715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45982</xdr:colOff>
      <xdr:row>22</xdr:row>
      <xdr:rowOff>124811</xdr:rowOff>
    </xdr:from>
    <xdr:to>
      <xdr:col>4</xdr:col>
      <xdr:colOff>480877</xdr:colOff>
      <xdr:row>27</xdr:row>
      <xdr:rowOff>52788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8874916B-6148-4335-AB53-8C8D17949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343" y="5356758"/>
          <a:ext cx="4745639" cy="7376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147610</xdr:colOff>
      <xdr:row>31</xdr:row>
      <xdr:rowOff>132107</xdr:rowOff>
    </xdr:from>
    <xdr:to>
      <xdr:col>14</xdr:col>
      <xdr:colOff>634732</xdr:colOff>
      <xdr:row>39</xdr:row>
      <xdr:rowOff>114301</xdr:rowOff>
    </xdr:to>
    <xdr:pic>
      <xdr:nvPicPr>
        <xdr:cNvPr id="4" name="Imagem 3" descr="Sem título2.png">
          <a:extLst>
            <a:ext uri="{FF2B5EF4-FFF2-40B4-BE49-F238E27FC236}">
              <a16:creationId xmlns:a16="http://schemas.microsoft.com/office/drawing/2014/main" id="{4C59E835-47D8-4235-A0B6-81AAEFDFF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35988" b="66472"/>
        <a:stretch>
          <a:fillRect/>
        </a:stretch>
      </xdr:blipFill>
      <xdr:spPr>
        <a:xfrm>
          <a:off x="7477778" y="6834985"/>
          <a:ext cx="4435916" cy="1285759"/>
        </a:xfrm>
        <a:prstGeom prst="rect">
          <a:avLst/>
        </a:prstGeom>
      </xdr:spPr>
    </xdr:pic>
    <xdr:clientData/>
  </xdr:twoCellAnchor>
  <xdr:twoCellAnchor editAs="oneCell">
    <xdr:from>
      <xdr:col>8</xdr:col>
      <xdr:colOff>84063</xdr:colOff>
      <xdr:row>40</xdr:row>
      <xdr:rowOff>81536</xdr:rowOff>
    </xdr:from>
    <xdr:to>
      <xdr:col>14</xdr:col>
      <xdr:colOff>553987</xdr:colOff>
      <xdr:row>62</xdr:row>
      <xdr:rowOff>129157</xdr:rowOff>
    </xdr:to>
    <xdr:pic>
      <xdr:nvPicPr>
        <xdr:cNvPr id="5" name="Imagem 4" descr="Sem título.jpg">
          <a:extLst>
            <a:ext uri="{FF2B5EF4-FFF2-40B4-BE49-F238E27FC236}">
              <a16:creationId xmlns:a16="http://schemas.microsoft.com/office/drawing/2014/main" id="{44C2DD29-BD6C-47C3-B8BD-64A5034C1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31250" b="1010"/>
        <a:stretch>
          <a:fillRect/>
        </a:stretch>
      </xdr:blipFill>
      <xdr:spPr>
        <a:xfrm>
          <a:off x="7416953" y="8252626"/>
          <a:ext cx="4406470" cy="3698416"/>
        </a:xfrm>
        <a:prstGeom prst="rect">
          <a:avLst/>
        </a:prstGeom>
      </xdr:spPr>
    </xdr:pic>
    <xdr:clientData/>
  </xdr:twoCellAnchor>
  <xdr:twoCellAnchor editAs="oneCell">
    <xdr:from>
      <xdr:col>15</xdr:col>
      <xdr:colOff>151452</xdr:colOff>
      <xdr:row>31</xdr:row>
      <xdr:rowOff>94600</xdr:rowOff>
    </xdr:from>
    <xdr:to>
      <xdr:col>21</xdr:col>
      <xdr:colOff>558482</xdr:colOff>
      <xdr:row>47</xdr:row>
      <xdr:rowOff>73065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DCFF833B-30BC-40BF-A296-D26D0F6D5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14852" y="6797478"/>
          <a:ext cx="4519110" cy="2588316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266166</xdr:colOff>
      <xdr:row>48</xdr:row>
      <xdr:rowOff>593</xdr:rowOff>
    </xdr:from>
    <xdr:to>
      <xdr:col>22</xdr:col>
      <xdr:colOff>26089</xdr:colOff>
      <xdr:row>55</xdr:row>
      <xdr:rowOff>59129</xdr:rowOff>
    </xdr:to>
    <xdr:pic>
      <xdr:nvPicPr>
        <xdr:cNvPr id="7" name="Picture 13">
          <a:extLst>
            <a:ext uri="{FF2B5EF4-FFF2-40B4-BE49-F238E27FC236}">
              <a16:creationId xmlns:a16="http://schemas.microsoft.com/office/drawing/2014/main" id="{D9702623-20B9-4DFE-9577-B7786BB9F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229566" y="9476607"/>
          <a:ext cx="4553721" cy="125868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208308</xdr:colOff>
      <xdr:row>56</xdr:row>
      <xdr:rowOff>65020</xdr:rowOff>
    </xdr:from>
    <xdr:to>
      <xdr:col>21</xdr:col>
      <xdr:colOff>597234</xdr:colOff>
      <xdr:row>65</xdr:row>
      <xdr:rowOff>63237</xdr:rowOff>
    </xdr:to>
    <xdr:pic>
      <xdr:nvPicPr>
        <xdr:cNvPr id="8" name="Picture 114">
          <a:extLst>
            <a:ext uri="{FF2B5EF4-FFF2-40B4-BE49-F238E27FC236}">
              <a16:creationId xmlns:a16="http://schemas.microsoft.com/office/drawing/2014/main" id="{D787E771-1C51-47EF-9AF1-EF9D41A31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174429" y="10911273"/>
          <a:ext cx="4498285" cy="14664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57979</xdr:colOff>
      <xdr:row>56</xdr:row>
      <xdr:rowOff>149087</xdr:rowOff>
    </xdr:from>
    <xdr:to>
      <xdr:col>4</xdr:col>
      <xdr:colOff>682353</xdr:colOff>
      <xdr:row>65</xdr:row>
      <xdr:rowOff>74544</xdr:rowOff>
    </xdr:to>
    <xdr:pic>
      <xdr:nvPicPr>
        <xdr:cNvPr id="9" name="Picture 116">
          <a:extLst>
            <a:ext uri="{FF2B5EF4-FFF2-40B4-BE49-F238E27FC236}">
              <a16:creationId xmlns:a16="http://schemas.microsoft.com/office/drawing/2014/main" id="{5A57A0FB-0508-4156-8809-53004EB7E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0700" y="10996701"/>
          <a:ext cx="4932396" cy="139502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500651</xdr:colOff>
      <xdr:row>0</xdr:row>
      <xdr:rowOff>0</xdr:rowOff>
    </xdr:from>
    <xdr:to>
      <xdr:col>26</xdr:col>
      <xdr:colOff>360589</xdr:colOff>
      <xdr:row>27</xdr:row>
      <xdr:rowOff>137101</xdr:rowOff>
    </xdr:to>
    <xdr:pic>
      <xdr:nvPicPr>
        <xdr:cNvPr id="10" name="Picture 104">
          <a:extLst>
            <a:ext uri="{FF2B5EF4-FFF2-40B4-BE49-F238E27FC236}">
              <a16:creationId xmlns:a16="http://schemas.microsoft.com/office/drawing/2014/main" id="{D0EF6D69-5D6E-4502-8AC8-89552EE67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08012" y="0"/>
          <a:ext cx="9452973" cy="61854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67</xdr:row>
      <xdr:rowOff>67236</xdr:rowOff>
    </xdr:from>
    <xdr:to>
      <xdr:col>5</xdr:col>
      <xdr:colOff>75356</xdr:colOff>
      <xdr:row>75</xdr:row>
      <xdr:rowOff>61470</xdr:rowOff>
    </xdr:to>
    <xdr:pic>
      <xdr:nvPicPr>
        <xdr:cNvPr id="11" name="Picture 106">
          <a:extLst>
            <a:ext uri="{FF2B5EF4-FFF2-40B4-BE49-F238E27FC236}">
              <a16:creationId xmlns:a16="http://schemas.microsoft.com/office/drawing/2014/main" id="{A3AD2D26-D2E9-4C90-891D-2F5118932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2709632"/>
          <a:ext cx="5071899" cy="12991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38101</xdr:colOff>
      <xdr:row>46</xdr:row>
      <xdr:rowOff>19050</xdr:rowOff>
    </xdr:from>
    <xdr:to>
      <xdr:col>5</xdr:col>
      <xdr:colOff>444180</xdr:colOff>
      <xdr:row>50</xdr:row>
      <xdr:rowOff>138791</xdr:rowOff>
    </xdr:to>
    <xdr:pic>
      <xdr:nvPicPr>
        <xdr:cNvPr id="12" name="Picture 107">
          <a:extLst>
            <a:ext uri="{FF2B5EF4-FFF2-40B4-BE49-F238E27FC236}">
              <a16:creationId xmlns:a16="http://schemas.microsoft.com/office/drawing/2014/main" id="{7154A4E4-6D9E-4F0E-8957-D0107B6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101" y="9171214"/>
          <a:ext cx="5403984" cy="76744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865909</xdr:colOff>
      <xdr:row>71</xdr:row>
      <xdr:rowOff>247</xdr:rowOff>
    </xdr:from>
    <xdr:to>
      <xdr:col>19</xdr:col>
      <xdr:colOff>442602</xdr:colOff>
      <xdr:row>97</xdr:row>
      <xdr:rowOff>60992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576B1410-BA80-4E2E-9A0F-27626B9AC02C}"/>
            </a:ext>
          </a:extLst>
        </xdr:cNvPr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98005" y="13297147"/>
          <a:ext cx="7841673" cy="4303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137431</xdr:colOff>
      <xdr:row>0</xdr:row>
      <xdr:rowOff>533400</xdr:rowOff>
    </xdr:from>
    <xdr:to>
      <xdr:col>8</xdr:col>
      <xdr:colOff>1257300</xdr:colOff>
      <xdr:row>1</xdr:row>
      <xdr:rowOff>139547</xdr:rowOff>
    </xdr:to>
    <xdr:sp macro="" textlink="">
      <xdr:nvSpPr>
        <xdr:cNvPr id="2" name="Caixa de Texto 80" hidden="1">
          <a:extLst>
            <a:ext uri="{FF2B5EF4-FFF2-40B4-BE49-F238E27FC236}">
              <a16:creationId xmlns:a16="http://schemas.microsoft.com/office/drawing/2014/main" id="{3A7634C8-67A6-45EE-B400-B99F79F13E94}"/>
            </a:ext>
          </a:extLst>
        </xdr:cNvPr>
        <xdr:cNvSpPr txBox="1">
          <a:spLocks noChangeArrowheads="1"/>
        </xdr:cNvSpPr>
      </xdr:nvSpPr>
      <xdr:spPr bwMode="auto">
        <a:xfrm>
          <a:off x="5290457" y="533400"/>
          <a:ext cx="1115786" cy="821266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137431</xdr:colOff>
      <xdr:row>55</xdr:row>
      <xdr:rowOff>177487</xdr:rowOff>
    </xdr:from>
    <xdr:to>
      <xdr:col>9</xdr:col>
      <xdr:colOff>114300</xdr:colOff>
      <xdr:row>57</xdr:row>
      <xdr:rowOff>216948</xdr:rowOff>
    </xdr:to>
    <xdr:sp macro="" textlink="">
      <xdr:nvSpPr>
        <xdr:cNvPr id="3" name="Caixa de Texto 81" hidden="1">
          <a:extLst>
            <a:ext uri="{FF2B5EF4-FFF2-40B4-BE49-F238E27FC236}">
              <a16:creationId xmlns:a16="http://schemas.microsoft.com/office/drawing/2014/main" id="{5DA56378-96E5-4E98-884D-3ECB2F308D29}"/>
            </a:ext>
          </a:extLst>
        </xdr:cNvPr>
        <xdr:cNvSpPr txBox="1">
          <a:spLocks noChangeArrowheads="1"/>
        </xdr:cNvSpPr>
      </xdr:nvSpPr>
      <xdr:spPr bwMode="auto">
        <a:xfrm>
          <a:off x="5290457" y="13610459"/>
          <a:ext cx="1257300" cy="67491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137431</xdr:colOff>
      <xdr:row>58</xdr:row>
      <xdr:rowOff>151235</xdr:rowOff>
    </xdr:from>
    <xdr:to>
      <xdr:col>9</xdr:col>
      <xdr:colOff>114300</xdr:colOff>
      <xdr:row>61</xdr:row>
      <xdr:rowOff>142</xdr:rowOff>
    </xdr:to>
    <xdr:sp macro="" textlink="">
      <xdr:nvSpPr>
        <xdr:cNvPr id="4" name="Caixa de Texto 82" hidden="1">
          <a:extLst>
            <a:ext uri="{FF2B5EF4-FFF2-40B4-BE49-F238E27FC236}">
              <a16:creationId xmlns:a16="http://schemas.microsoft.com/office/drawing/2014/main" id="{C5AB7C2F-3D07-43F0-8EBF-AD35CAEA982E}"/>
            </a:ext>
          </a:extLst>
        </xdr:cNvPr>
        <xdr:cNvSpPr txBox="1">
          <a:spLocks noChangeArrowheads="1"/>
        </xdr:cNvSpPr>
      </xdr:nvSpPr>
      <xdr:spPr bwMode="auto">
        <a:xfrm>
          <a:off x="5290457" y="14531264"/>
          <a:ext cx="1257300" cy="795964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137431</xdr:colOff>
      <xdr:row>60</xdr:row>
      <xdr:rowOff>138987</xdr:rowOff>
    </xdr:from>
    <xdr:to>
      <xdr:col>8</xdr:col>
      <xdr:colOff>861331</xdr:colOff>
      <xdr:row>61</xdr:row>
      <xdr:rowOff>173406</xdr:rowOff>
    </xdr:to>
    <xdr:sp macro="" textlink="">
      <xdr:nvSpPr>
        <xdr:cNvPr id="5" name="Caixa de Texto 83" hidden="1">
          <a:extLst>
            <a:ext uri="{FF2B5EF4-FFF2-40B4-BE49-F238E27FC236}">
              <a16:creationId xmlns:a16="http://schemas.microsoft.com/office/drawing/2014/main" id="{C117D8A1-28DB-4DD3-821F-38190B6CEB36}"/>
            </a:ext>
          </a:extLst>
        </xdr:cNvPr>
        <xdr:cNvSpPr txBox="1">
          <a:spLocks noChangeArrowheads="1"/>
        </xdr:cNvSpPr>
      </xdr:nvSpPr>
      <xdr:spPr bwMode="auto">
        <a:xfrm>
          <a:off x="5290457" y="15146306"/>
          <a:ext cx="723900" cy="347383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137431</xdr:colOff>
      <xdr:row>62</xdr:row>
      <xdr:rowOff>216948</xdr:rowOff>
    </xdr:from>
    <xdr:to>
      <xdr:col>9</xdr:col>
      <xdr:colOff>404131</xdr:colOff>
      <xdr:row>64</xdr:row>
      <xdr:rowOff>331195</xdr:rowOff>
    </xdr:to>
    <xdr:sp macro="" textlink="">
      <xdr:nvSpPr>
        <xdr:cNvPr id="6" name="Caixa de Texto 84" hidden="1">
          <a:extLst>
            <a:ext uri="{FF2B5EF4-FFF2-40B4-BE49-F238E27FC236}">
              <a16:creationId xmlns:a16="http://schemas.microsoft.com/office/drawing/2014/main" id="{5878D544-F88D-4A69-9E61-22D4F80D9BD6}"/>
            </a:ext>
          </a:extLst>
        </xdr:cNvPr>
        <xdr:cNvSpPr txBox="1">
          <a:spLocks noChangeArrowheads="1"/>
        </xdr:cNvSpPr>
      </xdr:nvSpPr>
      <xdr:spPr bwMode="auto">
        <a:xfrm>
          <a:off x="5290457" y="15863802"/>
          <a:ext cx="1551214" cy="741537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137431</xdr:colOff>
      <xdr:row>64</xdr:row>
      <xdr:rowOff>100887</xdr:rowOff>
    </xdr:from>
    <xdr:to>
      <xdr:col>8</xdr:col>
      <xdr:colOff>708931</xdr:colOff>
      <xdr:row>65</xdr:row>
      <xdr:rowOff>27755</xdr:rowOff>
    </xdr:to>
    <xdr:sp macro="" textlink="">
      <xdr:nvSpPr>
        <xdr:cNvPr id="7" name="Caixa de Texto 85" hidden="1">
          <a:extLst>
            <a:ext uri="{FF2B5EF4-FFF2-40B4-BE49-F238E27FC236}">
              <a16:creationId xmlns:a16="http://schemas.microsoft.com/office/drawing/2014/main" id="{BAB4A609-C696-40C2-90FA-D77E3814678D}"/>
            </a:ext>
          </a:extLst>
        </xdr:cNvPr>
        <xdr:cNvSpPr txBox="1">
          <a:spLocks noChangeArrowheads="1"/>
        </xdr:cNvSpPr>
      </xdr:nvSpPr>
      <xdr:spPr bwMode="auto">
        <a:xfrm>
          <a:off x="5290457" y="16370949"/>
          <a:ext cx="571500" cy="566403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137431</xdr:colOff>
      <xdr:row>64</xdr:row>
      <xdr:rowOff>405687</xdr:rowOff>
    </xdr:from>
    <xdr:to>
      <xdr:col>8</xdr:col>
      <xdr:colOff>327931</xdr:colOff>
      <xdr:row>66</xdr:row>
      <xdr:rowOff>26394</xdr:rowOff>
    </xdr:to>
    <xdr:sp macro="" textlink="">
      <xdr:nvSpPr>
        <xdr:cNvPr id="8" name="Caixa de Texto 86" hidden="1">
          <a:extLst>
            <a:ext uri="{FF2B5EF4-FFF2-40B4-BE49-F238E27FC236}">
              <a16:creationId xmlns:a16="http://schemas.microsoft.com/office/drawing/2014/main" id="{3259E708-D5FF-40C9-9071-3877FA13C2B6}"/>
            </a:ext>
          </a:extLst>
        </xdr:cNvPr>
        <xdr:cNvSpPr txBox="1">
          <a:spLocks noChangeArrowheads="1"/>
        </xdr:cNvSpPr>
      </xdr:nvSpPr>
      <xdr:spPr bwMode="auto">
        <a:xfrm>
          <a:off x="5290457" y="16675749"/>
          <a:ext cx="190500" cy="571846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137431</xdr:colOff>
      <xdr:row>67</xdr:row>
      <xdr:rowOff>61774</xdr:rowOff>
    </xdr:from>
    <xdr:to>
      <xdr:col>9</xdr:col>
      <xdr:colOff>114300</xdr:colOff>
      <xdr:row>72</xdr:row>
      <xdr:rowOff>41417</xdr:rowOff>
    </xdr:to>
    <xdr:sp macro="" textlink="">
      <xdr:nvSpPr>
        <xdr:cNvPr id="9" name="Caixa de Texto 87" hidden="1">
          <a:extLst>
            <a:ext uri="{FF2B5EF4-FFF2-40B4-BE49-F238E27FC236}">
              <a16:creationId xmlns:a16="http://schemas.microsoft.com/office/drawing/2014/main" id="{710C5C16-A5E2-4DF7-91AC-27BCD7EAFA06}"/>
            </a:ext>
          </a:extLst>
        </xdr:cNvPr>
        <xdr:cNvSpPr txBox="1">
          <a:spLocks noChangeArrowheads="1"/>
        </xdr:cNvSpPr>
      </xdr:nvSpPr>
      <xdr:spPr bwMode="auto">
        <a:xfrm>
          <a:off x="5290457" y="17590497"/>
          <a:ext cx="1257300" cy="804234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137431</xdr:colOff>
      <xdr:row>69</xdr:row>
      <xdr:rowOff>27755</xdr:rowOff>
    </xdr:from>
    <xdr:to>
      <xdr:col>8</xdr:col>
      <xdr:colOff>823231</xdr:colOff>
      <xdr:row>70</xdr:row>
      <xdr:rowOff>64548</xdr:rowOff>
    </xdr:to>
    <xdr:sp macro="" textlink="">
      <xdr:nvSpPr>
        <xdr:cNvPr id="10" name="Caixa de Texto 88" hidden="1">
          <a:extLst>
            <a:ext uri="{FF2B5EF4-FFF2-40B4-BE49-F238E27FC236}">
              <a16:creationId xmlns:a16="http://schemas.microsoft.com/office/drawing/2014/main" id="{190D6EE8-396A-4CB1-937E-282529F87CAC}"/>
            </a:ext>
          </a:extLst>
        </xdr:cNvPr>
        <xdr:cNvSpPr txBox="1">
          <a:spLocks noChangeArrowheads="1"/>
        </xdr:cNvSpPr>
      </xdr:nvSpPr>
      <xdr:spPr bwMode="auto">
        <a:xfrm>
          <a:off x="5290457" y="17895295"/>
          <a:ext cx="685800" cy="200079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137431</xdr:colOff>
      <xdr:row>74</xdr:row>
      <xdr:rowOff>140695</xdr:rowOff>
    </xdr:from>
    <xdr:to>
      <xdr:col>8</xdr:col>
      <xdr:colOff>902152</xdr:colOff>
      <xdr:row>76</xdr:row>
      <xdr:rowOff>41417</xdr:rowOff>
    </xdr:to>
    <xdr:sp macro="" textlink="">
      <xdr:nvSpPr>
        <xdr:cNvPr id="11" name="Caixa de Texto 89" hidden="1">
          <a:extLst>
            <a:ext uri="{FF2B5EF4-FFF2-40B4-BE49-F238E27FC236}">
              <a16:creationId xmlns:a16="http://schemas.microsoft.com/office/drawing/2014/main" id="{F9883140-E547-4E14-AD9A-3F266C1F5152}"/>
            </a:ext>
          </a:extLst>
        </xdr:cNvPr>
        <xdr:cNvSpPr txBox="1">
          <a:spLocks noChangeArrowheads="1"/>
        </xdr:cNvSpPr>
      </xdr:nvSpPr>
      <xdr:spPr bwMode="auto">
        <a:xfrm>
          <a:off x="5290457" y="18820582"/>
          <a:ext cx="756557" cy="227292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oneCell">
    <xdr:from>
      <xdr:col>22</xdr:col>
      <xdr:colOff>2955</xdr:colOff>
      <xdr:row>49</xdr:row>
      <xdr:rowOff>144356</xdr:rowOff>
    </xdr:from>
    <xdr:to>
      <xdr:col>29</xdr:col>
      <xdr:colOff>305476</xdr:colOff>
      <xdr:row>58</xdr:row>
      <xdr:rowOff>254330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54B888AB-FA03-4900-A8B4-D33D3E14A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5755" y="12801600"/>
          <a:ext cx="5103121" cy="1830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282329</xdr:colOff>
      <xdr:row>1</xdr:row>
      <xdr:rowOff>76201</xdr:rowOff>
    </xdr:from>
    <xdr:ext cx="2023930" cy="481195"/>
    <xdr:pic>
      <xdr:nvPicPr>
        <xdr:cNvPr id="2" name="Imagem 1">
          <a:extLst>
            <a:ext uri="{FF2B5EF4-FFF2-40B4-BE49-F238E27FC236}">
              <a16:creationId xmlns:a16="http://schemas.microsoft.com/office/drawing/2014/main" id="{79E62516-46DB-4456-900E-A8D812E62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6336" y="266701"/>
          <a:ext cx="2023930" cy="481195"/>
        </a:xfrm>
        <a:prstGeom prst="rect">
          <a:avLst/>
        </a:prstGeom>
      </xdr:spPr>
    </xdr:pic>
    <xdr:clientData/>
  </xdr:oneCellAnchor>
  <xdr:twoCellAnchor>
    <xdr:from>
      <xdr:col>12</xdr:col>
      <xdr:colOff>600754</xdr:colOff>
      <xdr:row>1</xdr:row>
      <xdr:rowOff>178933</xdr:rowOff>
    </xdr:from>
    <xdr:to>
      <xdr:col>20</xdr:col>
      <xdr:colOff>115661</xdr:colOff>
      <xdr:row>36</xdr:row>
      <xdr:rowOff>168729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06D7451-38AC-41B7-9097-2613FA786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9</xdr:col>
      <xdr:colOff>282329</xdr:colOff>
      <xdr:row>1</xdr:row>
      <xdr:rowOff>76201</xdr:rowOff>
    </xdr:from>
    <xdr:ext cx="2023930" cy="481195"/>
    <xdr:pic>
      <xdr:nvPicPr>
        <xdr:cNvPr id="4" name="Imagem 3">
          <a:extLst>
            <a:ext uri="{FF2B5EF4-FFF2-40B4-BE49-F238E27FC236}">
              <a16:creationId xmlns:a16="http://schemas.microsoft.com/office/drawing/2014/main" id="{CE02F50F-F454-4A69-A5DE-04110BADE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6336" y="266701"/>
          <a:ext cx="2023930" cy="481195"/>
        </a:xfrm>
        <a:prstGeom prst="rect">
          <a:avLst/>
        </a:prstGeom>
      </xdr:spPr>
    </xdr:pic>
    <xdr:clientData/>
  </xdr:oneCellAnchor>
  <xdr:twoCellAnchor>
    <xdr:from>
      <xdr:col>12</xdr:col>
      <xdr:colOff>553129</xdr:colOff>
      <xdr:row>2</xdr:row>
      <xdr:rowOff>74158</xdr:rowOff>
    </xdr:from>
    <xdr:to>
      <xdr:col>20</xdr:col>
      <xdr:colOff>68036</xdr:colOff>
      <xdr:row>36</xdr:row>
      <xdr:rowOff>63954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E311FDC-83C9-44B7-ADB8-1345C310A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282329</xdr:colOff>
      <xdr:row>1</xdr:row>
      <xdr:rowOff>76201</xdr:rowOff>
    </xdr:from>
    <xdr:ext cx="2023930" cy="481195"/>
    <xdr:pic>
      <xdr:nvPicPr>
        <xdr:cNvPr id="2" name="Imagem 1">
          <a:extLst>
            <a:ext uri="{FF2B5EF4-FFF2-40B4-BE49-F238E27FC236}">
              <a16:creationId xmlns:a16="http://schemas.microsoft.com/office/drawing/2014/main" id="{2B423EE4-C707-4839-AF1A-ECCAC5233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2921" y="266701"/>
          <a:ext cx="2023930" cy="481195"/>
        </a:xfrm>
        <a:prstGeom prst="rect">
          <a:avLst/>
        </a:prstGeom>
      </xdr:spPr>
    </xdr:pic>
    <xdr:clientData/>
  </xdr:oneCellAnchor>
  <xdr:twoCellAnchor>
    <xdr:from>
      <xdr:col>12</xdr:col>
      <xdr:colOff>385761</xdr:colOff>
      <xdr:row>0</xdr:row>
      <xdr:rowOff>157162</xdr:rowOff>
    </xdr:from>
    <xdr:to>
      <xdr:col>19</xdr:col>
      <xdr:colOff>561975</xdr:colOff>
      <xdr:row>33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37B89FA-424A-473B-8CBA-0A6C1853E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406785</xdr:colOff>
      <xdr:row>4411</xdr:row>
      <xdr:rowOff>102097</xdr:rowOff>
    </xdr:from>
    <xdr:to>
      <xdr:col>23</xdr:col>
      <xdr:colOff>443931</xdr:colOff>
      <xdr:row>4419</xdr:row>
      <xdr:rowOff>140113</xdr:rowOff>
    </xdr:to>
    <xdr:sp macro="" textlink="">
      <xdr:nvSpPr>
        <xdr:cNvPr id="2" name="Text Box 910" hidden="1">
          <a:extLst>
            <a:ext uri="{FF2B5EF4-FFF2-40B4-BE49-F238E27FC236}">
              <a16:creationId xmlns:a16="http://schemas.microsoft.com/office/drawing/2014/main" id="{FCB597CA-9076-469B-915A-F6A39D18A677}"/>
            </a:ext>
          </a:extLst>
        </xdr:cNvPr>
        <xdr:cNvSpPr txBox="1">
          <a:spLocks noChangeArrowheads="1"/>
        </xdr:cNvSpPr>
      </xdr:nvSpPr>
      <xdr:spPr bwMode="auto">
        <a:xfrm>
          <a:off x="15801909" y="533112935"/>
          <a:ext cx="1241377" cy="134430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51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51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0</xdr:colOff>
      <xdr:row>157</xdr:row>
      <xdr:rowOff>0</xdr:rowOff>
    </xdr:from>
    <xdr:to>
      <xdr:col>44</xdr:col>
      <xdr:colOff>0</xdr:colOff>
      <xdr:row>157</xdr:row>
      <xdr:rowOff>0</xdr:rowOff>
    </xdr:to>
    <xdr:sp macro="" textlink="">
      <xdr:nvSpPr>
        <xdr:cNvPr id="2" name="Seta: Curva para Cima 1">
          <a:extLst>
            <a:ext uri="{FF2B5EF4-FFF2-40B4-BE49-F238E27FC236}">
              <a16:creationId xmlns:a16="http://schemas.microsoft.com/office/drawing/2014/main" id="{73542430-A230-4CA1-A537-7C9CB2E115A5}"/>
            </a:ext>
          </a:extLst>
        </xdr:cNvPr>
        <xdr:cNvSpPr/>
      </xdr:nvSpPr>
      <xdr:spPr>
        <a:xfrm>
          <a:off x="20808043" y="4468586"/>
          <a:ext cx="0" cy="0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44</xdr:col>
      <xdr:colOff>0</xdr:colOff>
      <xdr:row>155</xdr:row>
      <xdr:rowOff>123824</xdr:rowOff>
    </xdr:from>
    <xdr:to>
      <xdr:col>44</xdr:col>
      <xdr:colOff>0</xdr:colOff>
      <xdr:row>157</xdr:row>
      <xdr:rowOff>0</xdr:rowOff>
    </xdr:to>
    <xdr:sp macro="" textlink="">
      <xdr:nvSpPr>
        <xdr:cNvPr id="3" name="Texto Explicativo: Seta para a Esquerda 2">
          <a:extLst>
            <a:ext uri="{FF2B5EF4-FFF2-40B4-BE49-F238E27FC236}">
              <a16:creationId xmlns:a16="http://schemas.microsoft.com/office/drawing/2014/main" id="{DC3620EC-4311-4D27-8530-EDF85CC903A1}"/>
            </a:ext>
          </a:extLst>
        </xdr:cNvPr>
        <xdr:cNvSpPr/>
      </xdr:nvSpPr>
      <xdr:spPr>
        <a:xfrm>
          <a:off x="20808043" y="4136571"/>
          <a:ext cx="0" cy="332015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valor digitado</a:t>
          </a:r>
          <a:r>
            <a:rPr lang="pt-BR" sz="1100" baseline="0"/>
            <a:t> para distribuir erro de aproximação calculado na célula S76</a:t>
          </a:r>
          <a:endParaRPr lang="pt-BR" sz="1100"/>
        </a:p>
      </xdr:txBody>
    </xdr:sp>
    <xdr:clientData/>
  </xdr:twoCellAnchor>
  <xdr:twoCellAnchor>
    <xdr:from>
      <xdr:col>50</xdr:col>
      <xdr:colOff>467417</xdr:colOff>
      <xdr:row>27</xdr:row>
      <xdr:rowOff>182470</xdr:rowOff>
    </xdr:from>
    <xdr:to>
      <xdr:col>52</xdr:col>
      <xdr:colOff>111365</xdr:colOff>
      <xdr:row>32</xdr:row>
      <xdr:rowOff>56188</xdr:rowOff>
    </xdr:to>
    <xdr:sp macro="" textlink="">
      <xdr:nvSpPr>
        <xdr:cNvPr id="4" name="Texto Explicativo: Seta para a Esquerda 3">
          <a:extLst>
            <a:ext uri="{FF2B5EF4-FFF2-40B4-BE49-F238E27FC236}">
              <a16:creationId xmlns:a16="http://schemas.microsoft.com/office/drawing/2014/main" id="{232D161E-4A80-42B7-AB15-86CC6F2F907A}"/>
            </a:ext>
          </a:extLst>
        </xdr:cNvPr>
        <xdr:cNvSpPr/>
      </xdr:nvSpPr>
      <xdr:spPr>
        <a:xfrm>
          <a:off x="20808043" y="2846614"/>
          <a:ext cx="0" cy="0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contagem da amostragem</a:t>
          </a:r>
          <a:r>
            <a:rPr lang="pt-BR" sz="1100" baseline="0"/>
            <a:t> para distribuir o erro de aproximação</a:t>
          </a:r>
          <a:endParaRPr lang="pt-BR" sz="1100"/>
        </a:p>
      </xdr:txBody>
    </xdr:sp>
    <xdr:clientData/>
  </xdr:twoCellAnchor>
  <xdr:twoCellAnchor>
    <xdr:from>
      <xdr:col>44</xdr:col>
      <xdr:colOff>0</xdr:colOff>
      <xdr:row>165</xdr:row>
      <xdr:rowOff>0</xdr:rowOff>
    </xdr:from>
    <xdr:to>
      <xdr:col>44</xdr:col>
      <xdr:colOff>0</xdr:colOff>
      <xdr:row>165</xdr:row>
      <xdr:rowOff>0</xdr:rowOff>
    </xdr:to>
    <xdr:sp macro="" textlink="">
      <xdr:nvSpPr>
        <xdr:cNvPr id="5" name="Seta: Curva para Cima 4">
          <a:extLst>
            <a:ext uri="{FF2B5EF4-FFF2-40B4-BE49-F238E27FC236}">
              <a16:creationId xmlns:a16="http://schemas.microsoft.com/office/drawing/2014/main" id="{B287AB47-0083-48A0-B2BF-8502D0ED1872}"/>
            </a:ext>
          </a:extLst>
        </xdr:cNvPr>
        <xdr:cNvSpPr/>
      </xdr:nvSpPr>
      <xdr:spPr>
        <a:xfrm>
          <a:off x="20808043" y="5382986"/>
          <a:ext cx="0" cy="0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44</xdr:col>
      <xdr:colOff>0</xdr:colOff>
      <xdr:row>163</xdr:row>
      <xdr:rowOff>123824</xdr:rowOff>
    </xdr:from>
    <xdr:to>
      <xdr:col>44</xdr:col>
      <xdr:colOff>0</xdr:colOff>
      <xdr:row>165</xdr:row>
      <xdr:rowOff>0</xdr:rowOff>
    </xdr:to>
    <xdr:sp macro="" textlink="">
      <xdr:nvSpPr>
        <xdr:cNvPr id="6" name="Texto Explicativo: Seta para a Esquerda 5">
          <a:extLst>
            <a:ext uri="{FF2B5EF4-FFF2-40B4-BE49-F238E27FC236}">
              <a16:creationId xmlns:a16="http://schemas.microsoft.com/office/drawing/2014/main" id="{CBCE9DD1-F61B-4849-93C3-EF5DF2C42ED8}"/>
            </a:ext>
          </a:extLst>
        </xdr:cNvPr>
        <xdr:cNvSpPr/>
      </xdr:nvSpPr>
      <xdr:spPr>
        <a:xfrm>
          <a:off x="20808043" y="5382986"/>
          <a:ext cx="0" cy="0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valor digitado</a:t>
          </a:r>
          <a:r>
            <a:rPr lang="pt-BR" sz="1100" baseline="0"/>
            <a:t> para distribuir erro de aproximação calculado na célula S76</a:t>
          </a:r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0</xdr:colOff>
      <xdr:row>157</xdr:row>
      <xdr:rowOff>0</xdr:rowOff>
    </xdr:from>
    <xdr:to>
      <xdr:col>44</xdr:col>
      <xdr:colOff>0</xdr:colOff>
      <xdr:row>157</xdr:row>
      <xdr:rowOff>0</xdr:rowOff>
    </xdr:to>
    <xdr:sp macro="" textlink="">
      <xdr:nvSpPr>
        <xdr:cNvPr id="2" name="Seta: Curva para Cima 1">
          <a:extLst>
            <a:ext uri="{FF2B5EF4-FFF2-40B4-BE49-F238E27FC236}">
              <a16:creationId xmlns:a16="http://schemas.microsoft.com/office/drawing/2014/main" id="{13EE8649-4A27-4E4A-BA9C-525F95A9F435}"/>
            </a:ext>
          </a:extLst>
        </xdr:cNvPr>
        <xdr:cNvSpPr/>
      </xdr:nvSpPr>
      <xdr:spPr>
        <a:xfrm>
          <a:off x="20808043" y="4468586"/>
          <a:ext cx="0" cy="0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44</xdr:col>
      <xdr:colOff>0</xdr:colOff>
      <xdr:row>155</xdr:row>
      <xdr:rowOff>123824</xdr:rowOff>
    </xdr:from>
    <xdr:to>
      <xdr:col>44</xdr:col>
      <xdr:colOff>0</xdr:colOff>
      <xdr:row>157</xdr:row>
      <xdr:rowOff>0</xdr:rowOff>
    </xdr:to>
    <xdr:sp macro="" textlink="">
      <xdr:nvSpPr>
        <xdr:cNvPr id="3" name="Texto Explicativo: Seta para a Esquerda 2">
          <a:extLst>
            <a:ext uri="{FF2B5EF4-FFF2-40B4-BE49-F238E27FC236}">
              <a16:creationId xmlns:a16="http://schemas.microsoft.com/office/drawing/2014/main" id="{80956C2B-F4A8-4D91-8403-C533FC7B4CBC}"/>
            </a:ext>
          </a:extLst>
        </xdr:cNvPr>
        <xdr:cNvSpPr/>
      </xdr:nvSpPr>
      <xdr:spPr>
        <a:xfrm>
          <a:off x="20808043" y="4136571"/>
          <a:ext cx="0" cy="332015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valor digitado</a:t>
          </a:r>
          <a:r>
            <a:rPr lang="pt-BR" sz="1100" baseline="0"/>
            <a:t> para distribuir erro de aproximação calculado na célula S76</a:t>
          </a:r>
          <a:endParaRPr lang="pt-BR" sz="1100"/>
        </a:p>
      </xdr:txBody>
    </xdr:sp>
    <xdr:clientData/>
  </xdr:twoCellAnchor>
  <xdr:twoCellAnchor>
    <xdr:from>
      <xdr:col>50</xdr:col>
      <xdr:colOff>467417</xdr:colOff>
      <xdr:row>27</xdr:row>
      <xdr:rowOff>182470</xdr:rowOff>
    </xdr:from>
    <xdr:to>
      <xdr:col>52</xdr:col>
      <xdr:colOff>111365</xdr:colOff>
      <xdr:row>32</xdr:row>
      <xdr:rowOff>56188</xdr:rowOff>
    </xdr:to>
    <xdr:sp macro="" textlink="">
      <xdr:nvSpPr>
        <xdr:cNvPr id="4" name="Texto Explicativo: Seta para a Esquerda 3">
          <a:extLst>
            <a:ext uri="{FF2B5EF4-FFF2-40B4-BE49-F238E27FC236}">
              <a16:creationId xmlns:a16="http://schemas.microsoft.com/office/drawing/2014/main" id="{B0D719E0-F0C6-4759-8570-71B3CC573582}"/>
            </a:ext>
          </a:extLst>
        </xdr:cNvPr>
        <xdr:cNvSpPr/>
      </xdr:nvSpPr>
      <xdr:spPr>
        <a:xfrm>
          <a:off x="20808043" y="2846614"/>
          <a:ext cx="0" cy="0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contagem da amostragem</a:t>
          </a:r>
          <a:r>
            <a:rPr lang="pt-BR" sz="1100" baseline="0"/>
            <a:t> para distribuir o erro de aproximação</a:t>
          </a:r>
          <a:endParaRPr lang="pt-BR" sz="1100"/>
        </a:p>
      </xdr:txBody>
    </xdr:sp>
    <xdr:clientData/>
  </xdr:twoCellAnchor>
  <xdr:twoCellAnchor>
    <xdr:from>
      <xdr:col>44</xdr:col>
      <xdr:colOff>0</xdr:colOff>
      <xdr:row>165</xdr:row>
      <xdr:rowOff>0</xdr:rowOff>
    </xdr:from>
    <xdr:to>
      <xdr:col>44</xdr:col>
      <xdr:colOff>0</xdr:colOff>
      <xdr:row>165</xdr:row>
      <xdr:rowOff>0</xdr:rowOff>
    </xdr:to>
    <xdr:sp macro="" textlink="">
      <xdr:nvSpPr>
        <xdr:cNvPr id="5" name="Seta: Curva para Cima 4">
          <a:extLst>
            <a:ext uri="{FF2B5EF4-FFF2-40B4-BE49-F238E27FC236}">
              <a16:creationId xmlns:a16="http://schemas.microsoft.com/office/drawing/2014/main" id="{DD81A87A-90BB-4561-AE80-81CE878A5B94}"/>
            </a:ext>
          </a:extLst>
        </xdr:cNvPr>
        <xdr:cNvSpPr/>
      </xdr:nvSpPr>
      <xdr:spPr>
        <a:xfrm>
          <a:off x="20808043" y="5382986"/>
          <a:ext cx="0" cy="0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44</xdr:col>
      <xdr:colOff>0</xdr:colOff>
      <xdr:row>163</xdr:row>
      <xdr:rowOff>123824</xdr:rowOff>
    </xdr:from>
    <xdr:to>
      <xdr:col>44</xdr:col>
      <xdr:colOff>0</xdr:colOff>
      <xdr:row>165</xdr:row>
      <xdr:rowOff>0</xdr:rowOff>
    </xdr:to>
    <xdr:sp macro="" textlink="">
      <xdr:nvSpPr>
        <xdr:cNvPr id="6" name="Texto Explicativo: Seta para a Esquerda 5">
          <a:extLst>
            <a:ext uri="{FF2B5EF4-FFF2-40B4-BE49-F238E27FC236}">
              <a16:creationId xmlns:a16="http://schemas.microsoft.com/office/drawing/2014/main" id="{07364D17-BDD3-4B8F-A830-9479DF251EAE}"/>
            </a:ext>
          </a:extLst>
        </xdr:cNvPr>
        <xdr:cNvSpPr/>
      </xdr:nvSpPr>
      <xdr:spPr>
        <a:xfrm>
          <a:off x="20808043" y="5382986"/>
          <a:ext cx="0" cy="0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valor digitado</a:t>
          </a:r>
          <a:r>
            <a:rPr lang="pt-BR" sz="1100" baseline="0"/>
            <a:t> para distribuir erro de aproximação calculado na célula S76</a:t>
          </a:r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100315</xdr:colOff>
      <xdr:row>27</xdr:row>
      <xdr:rowOff>25115</xdr:rowOff>
    </xdr:from>
    <xdr:to>
      <xdr:col>2</xdr:col>
      <xdr:colOff>490390</xdr:colOff>
      <xdr:row>29</xdr:row>
      <xdr:rowOff>152115</xdr:rowOff>
    </xdr:to>
    <xdr:pic>
      <xdr:nvPicPr>
        <xdr:cNvPr id="2" name="Picture 10">
          <a:extLst>
            <a:ext uri="{FF2B5EF4-FFF2-40B4-BE49-F238E27FC236}">
              <a16:creationId xmlns:a16="http://schemas.microsoft.com/office/drawing/2014/main" id="{D3295623-67A3-4655-9DB5-6BDE30A3DCC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-27000"/>
        <a:stretch>
          <a:fillRect/>
        </a:stretch>
      </xdr:blipFill>
      <xdr:spPr bwMode="auto">
        <a:xfrm>
          <a:off x="1421568" y="5678883"/>
          <a:ext cx="4058561" cy="531132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100315</xdr:colOff>
      <xdr:row>27</xdr:row>
      <xdr:rowOff>25115</xdr:rowOff>
    </xdr:from>
    <xdr:to>
      <xdr:col>2</xdr:col>
      <xdr:colOff>490390</xdr:colOff>
      <xdr:row>29</xdr:row>
      <xdr:rowOff>152115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BBB9C54D-2852-4F65-8D0C-B6290365186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-27000"/>
        <a:stretch>
          <a:fillRect/>
        </a:stretch>
      </xdr:blipFill>
      <xdr:spPr bwMode="auto">
        <a:xfrm>
          <a:off x="1421568" y="5678883"/>
          <a:ext cx="4058561" cy="5311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5</xdr:col>
      <xdr:colOff>23129</xdr:colOff>
      <xdr:row>6</xdr:row>
      <xdr:rowOff>24873</xdr:rowOff>
    </xdr:to>
    <xdr:grpSp>
      <xdr:nvGrpSpPr>
        <xdr:cNvPr id="4" name="Agrupar 3">
          <a:extLst>
            <a:ext uri="{FF2B5EF4-FFF2-40B4-BE49-F238E27FC236}">
              <a16:creationId xmlns:a16="http://schemas.microsoft.com/office/drawing/2014/main" id="{13D12D83-B6F5-47C6-9E36-845DAAEB0166}"/>
            </a:ext>
          </a:extLst>
        </xdr:cNvPr>
        <xdr:cNvGrpSpPr/>
      </xdr:nvGrpSpPr>
      <xdr:grpSpPr>
        <a:xfrm>
          <a:off x="1323975" y="771525"/>
          <a:ext cx="7233554" cy="472548"/>
          <a:chOff x="1419224" y="390525"/>
          <a:chExt cx="5029200" cy="447675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96EBBC8A-FECC-92E7-787A-7304C2E46A00}"/>
              </a:ext>
            </a:extLst>
          </xdr:cNvPr>
          <xdr:cNvSpPr txBox="1"/>
        </xdr:nvSpPr>
        <xdr:spPr>
          <a:xfrm>
            <a:off x="1419224" y="390525"/>
            <a:ext cx="885825" cy="4442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2800" b="1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BDI</a:t>
            </a:r>
          </a:p>
        </xdr:txBody>
      </xdr:sp>
      <xdr:sp macro="" textlink="$B$4">
        <xdr:nvSpPr>
          <xdr:cNvPr id="6" name="CaixaDeTexto 5">
            <a:extLst>
              <a:ext uri="{FF2B5EF4-FFF2-40B4-BE49-F238E27FC236}">
                <a16:creationId xmlns:a16="http://schemas.microsoft.com/office/drawing/2014/main" id="{6DA0B583-5777-C83E-9D1D-63D0279E1543}"/>
              </a:ext>
            </a:extLst>
          </xdr:cNvPr>
          <xdr:cNvSpPr txBox="1"/>
        </xdr:nvSpPr>
        <xdr:spPr>
          <a:xfrm>
            <a:off x="2305049" y="390525"/>
            <a:ext cx="4143375" cy="4476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99837A90-5827-4AA2-8F69-95C95DA85A0D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Tahoma" panose="020B0604030504040204" pitchFamily="34" charset="0"/>
                <a:cs typeface="Calibri"/>
              </a:rPr>
              <a:pPr algn="l"/>
              <a:t>INFRAESTRUTURA URBANA - SEM DESONERAÇÃO</a:t>
            </a:fld>
            <a:endParaRPr lang="pt-BR" sz="11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7</xdr:col>
      <xdr:colOff>100315</xdr:colOff>
      <xdr:row>27</xdr:row>
      <xdr:rowOff>25115</xdr:rowOff>
    </xdr:from>
    <xdr:to>
      <xdr:col>8</xdr:col>
      <xdr:colOff>490390</xdr:colOff>
      <xdr:row>29</xdr:row>
      <xdr:rowOff>152115</xdr:rowOff>
    </xdr:to>
    <xdr:pic>
      <xdr:nvPicPr>
        <xdr:cNvPr id="7" name="Picture 10">
          <a:extLst>
            <a:ext uri="{FF2B5EF4-FFF2-40B4-BE49-F238E27FC236}">
              <a16:creationId xmlns:a16="http://schemas.microsoft.com/office/drawing/2014/main" id="{23384ABE-E54C-4DBB-B4E8-967A5AE31FA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-27000"/>
        <a:stretch>
          <a:fillRect/>
        </a:stretch>
      </xdr:blipFill>
      <xdr:spPr bwMode="auto">
        <a:xfrm>
          <a:off x="10195454" y="5678883"/>
          <a:ext cx="4058561" cy="531132"/>
        </a:xfrm>
        <a:prstGeom prst="rect">
          <a:avLst/>
        </a:prstGeom>
        <a:noFill/>
      </xdr:spPr>
    </xdr:pic>
    <xdr:clientData/>
  </xdr:twoCellAnchor>
  <xdr:twoCellAnchor>
    <xdr:from>
      <xdr:col>7</xdr:col>
      <xdr:colOff>100315</xdr:colOff>
      <xdr:row>27</xdr:row>
      <xdr:rowOff>25115</xdr:rowOff>
    </xdr:from>
    <xdr:to>
      <xdr:col>8</xdr:col>
      <xdr:colOff>490390</xdr:colOff>
      <xdr:row>29</xdr:row>
      <xdr:rowOff>152115</xdr:rowOff>
    </xdr:to>
    <xdr:pic>
      <xdr:nvPicPr>
        <xdr:cNvPr id="8" name="Picture 10">
          <a:extLst>
            <a:ext uri="{FF2B5EF4-FFF2-40B4-BE49-F238E27FC236}">
              <a16:creationId xmlns:a16="http://schemas.microsoft.com/office/drawing/2014/main" id="{688F744D-6D59-48BA-AE75-19A937E16B6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-27000"/>
        <a:stretch>
          <a:fillRect/>
        </a:stretch>
      </xdr:blipFill>
      <xdr:spPr bwMode="auto">
        <a:xfrm>
          <a:off x="10195454" y="5678883"/>
          <a:ext cx="4058561" cy="531132"/>
        </a:xfrm>
        <a:prstGeom prst="rect">
          <a:avLst/>
        </a:prstGeom>
        <a:noFill/>
      </xdr:spPr>
    </xdr:pic>
    <xdr:clientData/>
  </xdr:twoCellAnchor>
  <xdr:twoCellAnchor>
    <xdr:from>
      <xdr:col>7</xdr:col>
      <xdr:colOff>100315</xdr:colOff>
      <xdr:row>27</xdr:row>
      <xdr:rowOff>25115</xdr:rowOff>
    </xdr:from>
    <xdr:to>
      <xdr:col>8</xdr:col>
      <xdr:colOff>490390</xdr:colOff>
      <xdr:row>29</xdr:row>
      <xdr:rowOff>152115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7D86569A-8622-46B2-B94F-2FBD54B7D8F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-27000"/>
        <a:stretch>
          <a:fillRect/>
        </a:stretch>
      </xdr:blipFill>
      <xdr:spPr bwMode="auto">
        <a:xfrm>
          <a:off x="10195454" y="5678883"/>
          <a:ext cx="4058561" cy="531132"/>
        </a:xfrm>
        <a:prstGeom prst="rect">
          <a:avLst/>
        </a:prstGeom>
        <a:noFill/>
      </xdr:spPr>
    </xdr:pic>
    <xdr:clientData/>
  </xdr:twoCellAnchor>
  <xdr:twoCellAnchor>
    <xdr:from>
      <xdr:col>7</xdr:col>
      <xdr:colOff>100315</xdr:colOff>
      <xdr:row>27</xdr:row>
      <xdr:rowOff>25115</xdr:rowOff>
    </xdr:from>
    <xdr:to>
      <xdr:col>8</xdr:col>
      <xdr:colOff>490390</xdr:colOff>
      <xdr:row>29</xdr:row>
      <xdr:rowOff>152115</xdr:rowOff>
    </xdr:to>
    <xdr:pic>
      <xdr:nvPicPr>
        <xdr:cNvPr id="10" name="Picture 10">
          <a:extLst>
            <a:ext uri="{FF2B5EF4-FFF2-40B4-BE49-F238E27FC236}">
              <a16:creationId xmlns:a16="http://schemas.microsoft.com/office/drawing/2014/main" id="{792E71FC-F8E7-40F7-81F4-DBC660C296F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-27000"/>
        <a:stretch>
          <a:fillRect/>
        </a:stretch>
      </xdr:blipFill>
      <xdr:spPr bwMode="auto">
        <a:xfrm>
          <a:off x="10195454" y="5678883"/>
          <a:ext cx="4058561" cy="531132"/>
        </a:xfrm>
        <a:prstGeom prst="rect">
          <a:avLst/>
        </a:prstGeom>
        <a:noFill/>
      </xdr:spPr>
    </xdr:pic>
    <xdr:clientData/>
  </xdr:twoCellAnchor>
  <xdr:twoCellAnchor>
    <xdr:from>
      <xdr:col>7</xdr:col>
      <xdr:colOff>100315</xdr:colOff>
      <xdr:row>27</xdr:row>
      <xdr:rowOff>25115</xdr:rowOff>
    </xdr:from>
    <xdr:to>
      <xdr:col>8</xdr:col>
      <xdr:colOff>490390</xdr:colOff>
      <xdr:row>29</xdr:row>
      <xdr:rowOff>152115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F3CE2A2-9746-4A6C-A0E5-D9263C4238B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-27000"/>
        <a:stretch>
          <a:fillRect/>
        </a:stretch>
      </xdr:blipFill>
      <xdr:spPr bwMode="auto">
        <a:xfrm>
          <a:off x="10195454" y="5678883"/>
          <a:ext cx="4058561" cy="531132"/>
        </a:xfrm>
        <a:prstGeom prst="rect">
          <a:avLst/>
        </a:prstGeom>
        <a:noFill/>
      </xdr:spPr>
    </xdr:pic>
    <xdr:clientData/>
  </xdr:twoCellAnchor>
  <xdr:twoCellAnchor>
    <xdr:from>
      <xdr:col>7</xdr:col>
      <xdr:colOff>100315</xdr:colOff>
      <xdr:row>27</xdr:row>
      <xdr:rowOff>25115</xdr:rowOff>
    </xdr:from>
    <xdr:to>
      <xdr:col>8</xdr:col>
      <xdr:colOff>490390</xdr:colOff>
      <xdr:row>29</xdr:row>
      <xdr:rowOff>152115</xdr:rowOff>
    </xdr:to>
    <xdr:pic>
      <xdr:nvPicPr>
        <xdr:cNvPr id="12" name="Picture 10">
          <a:extLst>
            <a:ext uri="{FF2B5EF4-FFF2-40B4-BE49-F238E27FC236}">
              <a16:creationId xmlns:a16="http://schemas.microsoft.com/office/drawing/2014/main" id="{D24CE01D-CF37-42ED-BBF6-F20511650CB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-27000"/>
        <a:stretch>
          <a:fillRect/>
        </a:stretch>
      </xdr:blipFill>
      <xdr:spPr bwMode="auto">
        <a:xfrm>
          <a:off x="10195454" y="5678883"/>
          <a:ext cx="4058561" cy="531132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100315</xdr:colOff>
      <xdr:row>54</xdr:row>
      <xdr:rowOff>25115</xdr:rowOff>
    </xdr:from>
    <xdr:to>
      <xdr:col>2</xdr:col>
      <xdr:colOff>490390</xdr:colOff>
      <xdr:row>56</xdr:row>
      <xdr:rowOff>152115</xdr:rowOff>
    </xdr:to>
    <xdr:pic>
      <xdr:nvPicPr>
        <xdr:cNvPr id="13" name="Picture 10">
          <a:extLst>
            <a:ext uri="{FF2B5EF4-FFF2-40B4-BE49-F238E27FC236}">
              <a16:creationId xmlns:a16="http://schemas.microsoft.com/office/drawing/2014/main" id="{C15C7981-FEE6-4A17-A6B2-AC85056D818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-27000"/>
        <a:stretch>
          <a:fillRect/>
        </a:stretch>
      </xdr:blipFill>
      <xdr:spPr bwMode="auto">
        <a:xfrm>
          <a:off x="1421568" y="11192497"/>
          <a:ext cx="4058561" cy="531132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100315</xdr:colOff>
      <xdr:row>54</xdr:row>
      <xdr:rowOff>25115</xdr:rowOff>
    </xdr:from>
    <xdr:to>
      <xdr:col>2</xdr:col>
      <xdr:colOff>490390</xdr:colOff>
      <xdr:row>56</xdr:row>
      <xdr:rowOff>152115</xdr:rowOff>
    </xdr:to>
    <xdr:pic>
      <xdr:nvPicPr>
        <xdr:cNvPr id="14" name="Picture 10">
          <a:extLst>
            <a:ext uri="{FF2B5EF4-FFF2-40B4-BE49-F238E27FC236}">
              <a16:creationId xmlns:a16="http://schemas.microsoft.com/office/drawing/2014/main" id="{4B49BF92-0DA3-45CD-B905-5E725AA9794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-27000"/>
        <a:stretch>
          <a:fillRect/>
        </a:stretch>
      </xdr:blipFill>
      <xdr:spPr bwMode="auto">
        <a:xfrm>
          <a:off x="1421568" y="11192497"/>
          <a:ext cx="4058561" cy="531132"/>
        </a:xfrm>
        <a:prstGeom prst="rect">
          <a:avLst/>
        </a:prstGeom>
        <a:noFill/>
      </xdr:spPr>
    </xdr:pic>
    <xdr:clientData/>
  </xdr:twoCellAnchor>
  <xdr:twoCellAnchor>
    <xdr:from>
      <xdr:col>7</xdr:col>
      <xdr:colOff>100315</xdr:colOff>
      <xdr:row>27</xdr:row>
      <xdr:rowOff>25115</xdr:rowOff>
    </xdr:from>
    <xdr:to>
      <xdr:col>8</xdr:col>
      <xdr:colOff>490390</xdr:colOff>
      <xdr:row>29</xdr:row>
      <xdr:rowOff>152115</xdr:rowOff>
    </xdr:to>
    <xdr:pic>
      <xdr:nvPicPr>
        <xdr:cNvPr id="15" name="Picture 10">
          <a:extLst>
            <a:ext uri="{FF2B5EF4-FFF2-40B4-BE49-F238E27FC236}">
              <a16:creationId xmlns:a16="http://schemas.microsoft.com/office/drawing/2014/main" id="{94321E12-7063-452E-930A-A41D2DD1D27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-27000"/>
        <a:stretch>
          <a:fillRect/>
        </a:stretch>
      </xdr:blipFill>
      <xdr:spPr bwMode="auto">
        <a:xfrm>
          <a:off x="10195454" y="5678883"/>
          <a:ext cx="4058561" cy="531132"/>
        </a:xfrm>
        <a:prstGeom prst="rect">
          <a:avLst/>
        </a:prstGeom>
        <a:noFill/>
      </xdr:spPr>
    </xdr:pic>
    <xdr:clientData/>
  </xdr:twoCellAnchor>
  <xdr:twoCellAnchor>
    <xdr:from>
      <xdr:col>7</xdr:col>
      <xdr:colOff>100315</xdr:colOff>
      <xdr:row>27</xdr:row>
      <xdr:rowOff>25115</xdr:rowOff>
    </xdr:from>
    <xdr:to>
      <xdr:col>8</xdr:col>
      <xdr:colOff>490390</xdr:colOff>
      <xdr:row>29</xdr:row>
      <xdr:rowOff>152115</xdr:rowOff>
    </xdr:to>
    <xdr:pic>
      <xdr:nvPicPr>
        <xdr:cNvPr id="16" name="Picture 10">
          <a:extLst>
            <a:ext uri="{FF2B5EF4-FFF2-40B4-BE49-F238E27FC236}">
              <a16:creationId xmlns:a16="http://schemas.microsoft.com/office/drawing/2014/main" id="{9F2C56DD-35DF-447D-9B89-BECCB9E0553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-27000"/>
        <a:stretch>
          <a:fillRect/>
        </a:stretch>
      </xdr:blipFill>
      <xdr:spPr bwMode="auto">
        <a:xfrm>
          <a:off x="10195454" y="5678883"/>
          <a:ext cx="4058561" cy="531132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100315</xdr:colOff>
      <xdr:row>54</xdr:row>
      <xdr:rowOff>25115</xdr:rowOff>
    </xdr:from>
    <xdr:to>
      <xdr:col>2</xdr:col>
      <xdr:colOff>490390</xdr:colOff>
      <xdr:row>56</xdr:row>
      <xdr:rowOff>152115</xdr:rowOff>
    </xdr:to>
    <xdr:pic>
      <xdr:nvPicPr>
        <xdr:cNvPr id="17" name="Picture 10">
          <a:extLst>
            <a:ext uri="{FF2B5EF4-FFF2-40B4-BE49-F238E27FC236}">
              <a16:creationId xmlns:a16="http://schemas.microsoft.com/office/drawing/2014/main" id="{E402A0C5-878E-45A9-AB4E-B18761BE950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-27000"/>
        <a:stretch>
          <a:fillRect/>
        </a:stretch>
      </xdr:blipFill>
      <xdr:spPr bwMode="auto">
        <a:xfrm>
          <a:off x="1421568" y="11192497"/>
          <a:ext cx="4058561" cy="53113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11</xdr:col>
      <xdr:colOff>23129</xdr:colOff>
      <xdr:row>6</xdr:row>
      <xdr:rowOff>24873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063578B1-3F4F-4894-BE83-2EAF3F3F6327}"/>
            </a:ext>
          </a:extLst>
        </xdr:cNvPr>
        <xdr:cNvGrpSpPr/>
      </xdr:nvGrpSpPr>
      <xdr:grpSpPr>
        <a:xfrm>
          <a:off x="10096500" y="771525"/>
          <a:ext cx="7233554" cy="472548"/>
          <a:chOff x="1419224" y="390525"/>
          <a:chExt cx="5029200" cy="447675"/>
        </a:xfrm>
      </xdr:grpSpPr>
      <xdr:sp macro="" textlink="">
        <xdr:nvSpPr>
          <xdr:cNvPr id="19" name="CaixaDeTexto 18">
            <a:extLst>
              <a:ext uri="{FF2B5EF4-FFF2-40B4-BE49-F238E27FC236}">
                <a16:creationId xmlns:a16="http://schemas.microsoft.com/office/drawing/2014/main" id="{51575650-57C0-8681-F536-7D1A40BE77B3}"/>
              </a:ext>
            </a:extLst>
          </xdr:cNvPr>
          <xdr:cNvSpPr txBox="1"/>
        </xdr:nvSpPr>
        <xdr:spPr>
          <a:xfrm>
            <a:off x="1419224" y="390525"/>
            <a:ext cx="885825" cy="4442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2800" b="1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BDI</a:t>
            </a:r>
          </a:p>
        </xdr:txBody>
      </xdr:sp>
      <xdr:sp macro="" textlink="$H$4">
        <xdr:nvSpPr>
          <xdr:cNvPr id="20" name="CaixaDeTexto 19">
            <a:extLst>
              <a:ext uri="{FF2B5EF4-FFF2-40B4-BE49-F238E27FC236}">
                <a16:creationId xmlns:a16="http://schemas.microsoft.com/office/drawing/2014/main" id="{087112F6-D216-8A7F-F67E-413B60266954}"/>
              </a:ext>
            </a:extLst>
          </xdr:cNvPr>
          <xdr:cNvSpPr txBox="1"/>
        </xdr:nvSpPr>
        <xdr:spPr>
          <a:xfrm>
            <a:off x="2305049" y="390525"/>
            <a:ext cx="4143375" cy="4476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298DD53C-FF58-40DA-954F-8089463AC356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Tahoma" panose="020B0604030504040204" pitchFamily="34" charset="0"/>
                <a:cs typeface="Calibri"/>
              </a:rPr>
              <a:pPr algn="l"/>
              <a:t>INFRAESTRUTURA URBANA - COM DESONERAÇÃO</a:t>
            </a:fld>
            <a:endParaRPr lang="pt-BR" sz="11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0</xdr:colOff>
      <xdr:row>31</xdr:row>
      <xdr:rowOff>0</xdr:rowOff>
    </xdr:from>
    <xdr:to>
      <xdr:col>5</xdr:col>
      <xdr:colOff>23129</xdr:colOff>
      <xdr:row>34</xdr:row>
      <xdr:rowOff>24873</xdr:rowOff>
    </xdr:to>
    <xdr:grpSp>
      <xdr:nvGrpSpPr>
        <xdr:cNvPr id="21" name="Agrupar 20">
          <a:extLst>
            <a:ext uri="{FF2B5EF4-FFF2-40B4-BE49-F238E27FC236}">
              <a16:creationId xmlns:a16="http://schemas.microsoft.com/office/drawing/2014/main" id="{F5633E88-9DFD-41E7-851A-345E9CBADBB7}"/>
            </a:ext>
          </a:extLst>
        </xdr:cNvPr>
        <xdr:cNvGrpSpPr/>
      </xdr:nvGrpSpPr>
      <xdr:grpSpPr>
        <a:xfrm>
          <a:off x="1323975" y="6448425"/>
          <a:ext cx="7233554" cy="472548"/>
          <a:chOff x="1419224" y="390525"/>
          <a:chExt cx="5029200" cy="447675"/>
        </a:xfrm>
      </xdr:grpSpPr>
      <xdr:sp macro="" textlink="">
        <xdr:nvSpPr>
          <xdr:cNvPr id="22" name="CaixaDeTexto 21">
            <a:extLst>
              <a:ext uri="{FF2B5EF4-FFF2-40B4-BE49-F238E27FC236}">
                <a16:creationId xmlns:a16="http://schemas.microsoft.com/office/drawing/2014/main" id="{F8980021-8D76-BEDC-72DF-381DF6E93691}"/>
              </a:ext>
            </a:extLst>
          </xdr:cNvPr>
          <xdr:cNvSpPr txBox="1"/>
        </xdr:nvSpPr>
        <xdr:spPr>
          <a:xfrm>
            <a:off x="1419224" y="390525"/>
            <a:ext cx="885825" cy="4442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2800" b="1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BDI</a:t>
            </a:r>
          </a:p>
        </xdr:txBody>
      </xdr:sp>
      <xdr:sp macro="" textlink="$B$32">
        <xdr:nvSpPr>
          <xdr:cNvPr id="23" name="CaixaDeTexto 22">
            <a:extLst>
              <a:ext uri="{FF2B5EF4-FFF2-40B4-BE49-F238E27FC236}">
                <a16:creationId xmlns:a16="http://schemas.microsoft.com/office/drawing/2014/main" id="{E9C24912-4DBD-6976-7C52-04D2B85A657B}"/>
              </a:ext>
            </a:extLst>
          </xdr:cNvPr>
          <xdr:cNvSpPr txBox="1"/>
        </xdr:nvSpPr>
        <xdr:spPr>
          <a:xfrm>
            <a:off x="2305049" y="390525"/>
            <a:ext cx="4143375" cy="4476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1100" b="0" i="0" u="none" strike="noStrike">
                <a:solidFill>
                  <a:srgbClr val="000000"/>
                </a:solidFill>
                <a:latin typeface="Calibri"/>
                <a:ea typeface="Tahoma" panose="020B0604030504040204" pitchFamily="34" charset="0"/>
                <a:cs typeface="Calibri"/>
              </a:rPr>
              <a:t> </a:t>
            </a:r>
            <a:fld id="{4A661C54-4C8A-4E01-8FC1-9B5D133A6428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Tahoma" panose="020B0604030504040204" pitchFamily="34" charset="0"/>
                <a:cs typeface="Calibri"/>
              </a:rPr>
              <a:pPr algn="l"/>
              <a:t>FORNECIMENTO DE MATERIAIS E EQUIPAMENTOS</a:t>
            </a:fld>
            <a:r>
              <a:rPr lang="en-US" sz="1100" b="0" i="0" u="none" strike="noStrike">
                <a:solidFill>
                  <a:srgbClr val="000000"/>
                </a:solidFill>
                <a:latin typeface="Calibri"/>
                <a:ea typeface="Tahoma" panose="020B0604030504040204" pitchFamily="34" charset="0"/>
                <a:cs typeface="Calibri"/>
              </a:rPr>
              <a:t> - SEM DESONERAÇÃO</a:t>
            </a:r>
            <a:endParaRPr lang="pt-BR" sz="11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oneCellAnchor>
    <xdr:from>
      <xdr:col>2</xdr:col>
      <xdr:colOff>962296</xdr:colOff>
      <xdr:row>1</xdr:row>
      <xdr:rowOff>79119</xdr:rowOff>
    </xdr:from>
    <xdr:ext cx="2533835" cy="2602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aixaDeTexto 23">
              <a:extLst>
                <a:ext uri="{FF2B5EF4-FFF2-40B4-BE49-F238E27FC236}">
                  <a16:creationId xmlns:a16="http://schemas.microsoft.com/office/drawing/2014/main" id="{3603FBD2-A48E-4601-9544-DE044E10A9E3}"/>
                </a:ext>
              </a:extLst>
            </xdr:cNvPr>
            <xdr:cNvSpPr txBox="1"/>
          </xdr:nvSpPr>
          <xdr:spPr>
            <a:xfrm>
              <a:off x="5954757" y="373033"/>
              <a:ext cx="2533835" cy="2602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900" b="0" i="1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900" b="0" i="1">
                            <a:solidFill>
                              <a:schemeClr val="tx1">
                                <a:lumMod val="75000"/>
                                <a:lumOff val="25000"/>
                              </a:schemeClr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900" b="0" i="1">
                            <a:solidFill>
                              <a:schemeClr val="tx1">
                                <a:lumMod val="75000"/>
                                <a:lumOff val="25000"/>
                              </a:schemeClr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𝐶𝑈𝑆𝑇𝑂</m:t>
                        </m:r>
                        <m:r>
                          <a:rPr lang="pt-BR" sz="900" b="0" i="1">
                            <a:solidFill>
                              <a:schemeClr val="tx1">
                                <a:lumMod val="75000"/>
                                <a:lumOff val="25000"/>
                              </a:schemeClr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pt-BR" sz="900" b="0" i="1">
                            <a:solidFill>
                              <a:schemeClr val="tx1">
                                <a:lumMod val="75000"/>
                                <a:lumOff val="25000"/>
                              </a:schemeClr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𝑇𝑂𝑇𝐴𝐿</m:t>
                        </m:r>
                        <m:r>
                          <a:rPr lang="pt-BR" sz="900" b="0" i="1">
                            <a:solidFill>
                              <a:schemeClr val="tx1">
                                <a:lumMod val="75000"/>
                                <a:lumOff val="25000"/>
                              </a:schemeClr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−</m:t>
                        </m:r>
                        <m:r>
                          <a:rPr lang="pt-BR" sz="900" b="0" i="1">
                            <a:solidFill>
                              <a:schemeClr val="tx1">
                                <a:lumMod val="75000"/>
                                <a:lumOff val="25000"/>
                              </a:schemeClr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𝐶𝑈𝑆𝑇𝑂</m:t>
                        </m:r>
                        <m:r>
                          <a:rPr lang="pt-BR" sz="900" b="0" i="1">
                            <a:solidFill>
                              <a:schemeClr val="tx1">
                                <a:lumMod val="75000"/>
                                <a:lumOff val="25000"/>
                              </a:schemeClr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pt-BR" sz="900" b="0" i="1">
                            <a:solidFill>
                              <a:schemeClr val="tx1">
                                <a:lumMod val="75000"/>
                                <a:lumOff val="25000"/>
                              </a:schemeClr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𝐷𝐸</m:t>
                        </m:r>
                        <m:r>
                          <a:rPr lang="pt-BR" sz="900" b="0" i="1">
                            <a:solidFill>
                              <a:schemeClr val="tx1">
                                <a:lumMod val="75000"/>
                                <a:lumOff val="25000"/>
                              </a:schemeClr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pt-BR" sz="900" b="0" i="1">
                            <a:solidFill>
                              <a:schemeClr val="tx1">
                                <a:lumMod val="75000"/>
                                <a:lumOff val="25000"/>
                              </a:schemeClr>
                            </a:solidFill>
                            <a:latin typeface="Cambria Math" panose="02040503050406030204" pitchFamily="18" charset="0"/>
                          </a:rPr>
                          <m:t>𝑀𝐴𝑇𝐸𝑅𝐼𝐴𝐼𝑆</m:t>
                        </m:r>
                      </m:num>
                      <m:den>
                        <m:r>
                          <a:rPr lang="pt-BR" sz="900" b="0" i="1">
                            <a:solidFill>
                              <a:schemeClr val="tx1">
                                <a:lumMod val="75000"/>
                                <a:lumOff val="25000"/>
                              </a:schemeClr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𝐶𝑈𝑆𝑇𝑂</m:t>
                        </m:r>
                        <m:r>
                          <a:rPr lang="pt-BR" sz="900" b="0" i="1">
                            <a:solidFill>
                              <a:schemeClr val="tx1">
                                <a:lumMod val="75000"/>
                                <a:lumOff val="25000"/>
                              </a:schemeClr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pt-BR" sz="900" b="0" i="1">
                            <a:solidFill>
                              <a:schemeClr val="tx1">
                                <a:lumMod val="75000"/>
                                <a:lumOff val="25000"/>
                              </a:schemeClr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𝑇𝑂𝑇𝐴𝐿</m:t>
                        </m:r>
                        <m:r>
                          <a:rPr lang="pt-BR" sz="900" b="0" i="1">
                            <a:solidFill>
                              <a:schemeClr val="tx1">
                                <a:lumMod val="75000"/>
                                <a:lumOff val="25000"/>
                              </a:schemeClr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</m:oMath>
                </m:oMathPara>
              </a14:m>
              <a:endParaRPr lang="pt-BR" sz="900">
                <a:solidFill>
                  <a:schemeClr val="tx1">
                    <a:lumMod val="75000"/>
                    <a:lumOff val="25000"/>
                  </a:schemeClr>
                </a:solidFill>
              </a:endParaRPr>
            </a:p>
          </xdr:txBody>
        </xdr:sp>
      </mc:Choice>
      <mc:Fallback xmlns="">
        <xdr:sp macro="" textlink="">
          <xdr:nvSpPr>
            <xdr:cNvPr id="24" name="CaixaDeTexto 23">
              <a:extLst>
                <a:ext uri="{FF2B5EF4-FFF2-40B4-BE49-F238E27FC236}">
                  <a16:creationId xmlns:a16="http://schemas.microsoft.com/office/drawing/2014/main" id="{3603FBD2-A48E-4601-9544-DE044E10A9E3}"/>
                </a:ext>
              </a:extLst>
            </xdr:cNvPr>
            <xdr:cNvSpPr txBox="1"/>
          </xdr:nvSpPr>
          <xdr:spPr>
            <a:xfrm>
              <a:off x="5954757" y="373033"/>
              <a:ext cx="2533835" cy="2602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pt-BR" sz="900" b="0" i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mbria Math" panose="02040503050406030204" pitchFamily="18" charset="0"/>
                </a:rPr>
                <a:t>=(</a:t>
              </a:r>
              <a:r>
                <a:rPr lang="pt-BR" sz="900" b="0" i="0">
                  <a:solidFill>
                    <a:schemeClr val="tx1">
                      <a:lumMod val="75000"/>
                      <a:lumOff val="25000"/>
                    </a:schemeClr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𝐶𝑈𝑆𝑇𝑂 𝑇𝑂𝑇𝐴𝐿 −𝐶𝑈𝑆𝑇𝑂 𝐷𝐸 </a:t>
              </a:r>
              <a:r>
                <a:rPr lang="pt-BR" sz="900" b="0" i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mbria Math" panose="02040503050406030204" pitchFamily="18" charset="0"/>
                </a:rPr>
                <a:t>𝑀𝐴𝑇𝐸𝑅𝐼𝐴𝐼𝑆)/(</a:t>
              </a:r>
              <a:r>
                <a:rPr lang="pt-BR" sz="900" b="0" i="0">
                  <a:solidFill>
                    <a:schemeClr val="tx1">
                      <a:lumMod val="75000"/>
                      <a:lumOff val="25000"/>
                    </a:schemeClr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𝐶𝑈𝑆𝑇𝑂 𝑇𝑂𝑇𝐴𝐿 )</a:t>
              </a:r>
              <a:endParaRPr lang="pt-BR" sz="900">
                <a:solidFill>
                  <a:schemeClr val="tx1">
                    <a:lumMod val="75000"/>
                    <a:lumOff val="25000"/>
                  </a:schemeClr>
                </a:solidFill>
              </a:endParaRPr>
            </a:p>
          </xdr:txBody>
        </xdr:sp>
      </mc:Fallback>
    </mc:AlternateContent>
    <xdr:clientData/>
  </xdr:oneCellAnchor>
  <xdr:twoCellAnchor>
    <xdr:from>
      <xdr:col>7</xdr:col>
      <xdr:colOff>100315</xdr:colOff>
      <xdr:row>54</xdr:row>
      <xdr:rowOff>25115</xdr:rowOff>
    </xdr:from>
    <xdr:to>
      <xdr:col>8</xdr:col>
      <xdr:colOff>490390</xdr:colOff>
      <xdr:row>56</xdr:row>
      <xdr:rowOff>152115</xdr:rowOff>
    </xdr:to>
    <xdr:pic>
      <xdr:nvPicPr>
        <xdr:cNvPr id="25" name="Picture 10">
          <a:extLst>
            <a:ext uri="{FF2B5EF4-FFF2-40B4-BE49-F238E27FC236}">
              <a16:creationId xmlns:a16="http://schemas.microsoft.com/office/drawing/2014/main" id="{DB88F0F4-6793-4413-9489-8A1B73E197A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-27000"/>
        <a:stretch>
          <a:fillRect/>
        </a:stretch>
      </xdr:blipFill>
      <xdr:spPr bwMode="auto">
        <a:xfrm>
          <a:off x="10195454" y="11192497"/>
          <a:ext cx="4058561" cy="531132"/>
        </a:xfrm>
        <a:prstGeom prst="rect">
          <a:avLst/>
        </a:prstGeom>
        <a:noFill/>
      </xdr:spPr>
    </xdr:pic>
    <xdr:clientData/>
  </xdr:twoCellAnchor>
  <xdr:twoCellAnchor>
    <xdr:from>
      <xdr:col>7</xdr:col>
      <xdr:colOff>100315</xdr:colOff>
      <xdr:row>54</xdr:row>
      <xdr:rowOff>25115</xdr:rowOff>
    </xdr:from>
    <xdr:to>
      <xdr:col>8</xdr:col>
      <xdr:colOff>490390</xdr:colOff>
      <xdr:row>56</xdr:row>
      <xdr:rowOff>152115</xdr:rowOff>
    </xdr:to>
    <xdr:pic>
      <xdr:nvPicPr>
        <xdr:cNvPr id="26" name="Picture 10">
          <a:extLst>
            <a:ext uri="{FF2B5EF4-FFF2-40B4-BE49-F238E27FC236}">
              <a16:creationId xmlns:a16="http://schemas.microsoft.com/office/drawing/2014/main" id="{7EBEC6AF-E927-4BDC-9BC1-3FADEC7078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-27000"/>
        <a:stretch>
          <a:fillRect/>
        </a:stretch>
      </xdr:blipFill>
      <xdr:spPr bwMode="auto">
        <a:xfrm>
          <a:off x="10195454" y="11192497"/>
          <a:ext cx="4058561" cy="531132"/>
        </a:xfrm>
        <a:prstGeom prst="rect">
          <a:avLst/>
        </a:prstGeom>
        <a:noFill/>
      </xdr:spPr>
    </xdr:pic>
    <xdr:clientData/>
  </xdr:twoCellAnchor>
  <xdr:twoCellAnchor>
    <xdr:from>
      <xdr:col>7</xdr:col>
      <xdr:colOff>100315</xdr:colOff>
      <xdr:row>54</xdr:row>
      <xdr:rowOff>25115</xdr:rowOff>
    </xdr:from>
    <xdr:to>
      <xdr:col>8</xdr:col>
      <xdr:colOff>490390</xdr:colOff>
      <xdr:row>56</xdr:row>
      <xdr:rowOff>152115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id="{32FFE71E-6B30-4DAA-AD7E-04F73BEA6A8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-27000"/>
        <a:stretch>
          <a:fillRect/>
        </a:stretch>
      </xdr:blipFill>
      <xdr:spPr bwMode="auto">
        <a:xfrm>
          <a:off x="10195454" y="11192497"/>
          <a:ext cx="4058561" cy="531132"/>
        </a:xfrm>
        <a:prstGeom prst="rect">
          <a:avLst/>
        </a:prstGeom>
        <a:noFill/>
      </xdr:spPr>
    </xdr:pic>
    <xdr:clientData/>
  </xdr:twoCellAnchor>
  <xdr:oneCellAnchor>
    <xdr:from>
      <xdr:col>7</xdr:col>
      <xdr:colOff>0</xdr:colOff>
      <xdr:row>31</xdr:row>
      <xdr:rowOff>0</xdr:rowOff>
    </xdr:from>
    <xdr:ext cx="7226300" cy="461212"/>
    <xdr:grpSp>
      <xdr:nvGrpSpPr>
        <xdr:cNvPr id="28" name="Agrupar 27">
          <a:extLst>
            <a:ext uri="{FF2B5EF4-FFF2-40B4-BE49-F238E27FC236}">
              <a16:creationId xmlns:a16="http://schemas.microsoft.com/office/drawing/2014/main" id="{3EAA9093-FAD4-4FFE-A089-F24E6690E35B}"/>
            </a:ext>
          </a:extLst>
        </xdr:cNvPr>
        <xdr:cNvGrpSpPr/>
      </xdr:nvGrpSpPr>
      <xdr:grpSpPr>
        <a:xfrm>
          <a:off x="10096500" y="6448425"/>
          <a:ext cx="7226300" cy="461212"/>
          <a:chOff x="1419224" y="390525"/>
          <a:chExt cx="5029200" cy="447675"/>
        </a:xfrm>
      </xdr:grpSpPr>
      <xdr:sp macro="" textlink="">
        <xdr:nvSpPr>
          <xdr:cNvPr id="29" name="CaixaDeTexto 28">
            <a:extLst>
              <a:ext uri="{FF2B5EF4-FFF2-40B4-BE49-F238E27FC236}">
                <a16:creationId xmlns:a16="http://schemas.microsoft.com/office/drawing/2014/main" id="{D0C62B95-7B0D-442B-CC2A-E736401971B9}"/>
              </a:ext>
            </a:extLst>
          </xdr:cNvPr>
          <xdr:cNvSpPr txBox="1"/>
        </xdr:nvSpPr>
        <xdr:spPr>
          <a:xfrm>
            <a:off x="1419224" y="390525"/>
            <a:ext cx="885825" cy="4442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2800" b="1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BDI</a:t>
            </a:r>
          </a:p>
        </xdr:txBody>
      </xdr:sp>
      <xdr:sp macro="" textlink="$B$32">
        <xdr:nvSpPr>
          <xdr:cNvPr id="30" name="CaixaDeTexto 29">
            <a:extLst>
              <a:ext uri="{FF2B5EF4-FFF2-40B4-BE49-F238E27FC236}">
                <a16:creationId xmlns:a16="http://schemas.microsoft.com/office/drawing/2014/main" id="{A745D05F-93EB-1032-5F65-6D6A21574241}"/>
              </a:ext>
            </a:extLst>
          </xdr:cNvPr>
          <xdr:cNvSpPr txBox="1"/>
        </xdr:nvSpPr>
        <xdr:spPr>
          <a:xfrm>
            <a:off x="2305049" y="390525"/>
            <a:ext cx="4143375" cy="4476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4A661C54-4C8A-4E01-8FC1-9B5D133A6428}" type="TxLink">
              <a:rPr lang="en-US" sz="1100" b="0" i="0" u="none" strike="noStrike">
                <a:solidFill>
                  <a:srgbClr val="000000"/>
                </a:solidFill>
                <a:latin typeface="Calibri"/>
                <a:ea typeface="Tahoma" panose="020B0604030504040204" pitchFamily="34" charset="0"/>
                <a:cs typeface="Calibri"/>
              </a:rPr>
              <a:pPr algn="l"/>
              <a:t>FORNECIMENTO DE MATERIAIS E EQUIPAMENTOS</a:t>
            </a:fld>
            <a:r>
              <a:rPr lang="en-US" sz="1100" b="0" i="0" u="none" strike="noStrike">
                <a:solidFill>
                  <a:srgbClr val="000000"/>
                </a:solidFill>
                <a:latin typeface="Calibri"/>
                <a:ea typeface="Tahoma" panose="020B0604030504040204" pitchFamily="34" charset="0"/>
                <a:cs typeface="Calibri"/>
              </a:rPr>
              <a:t> - COM DESONERAÇÃO</a:t>
            </a:r>
            <a:endParaRPr lang="pt-BR" sz="1100" b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923924</xdr:colOff>
      <xdr:row>23</xdr:row>
      <xdr:rowOff>85725</xdr:rowOff>
    </xdr:from>
    <xdr:to>
      <xdr:col>1</xdr:col>
      <xdr:colOff>3760024</xdr:colOff>
      <xdr:row>26</xdr:row>
      <xdr:rowOff>132053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2CA33DA-A23F-4B2E-86C5-713E1A471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171" y="4599215"/>
          <a:ext cx="2832019" cy="609663"/>
        </a:xfrm>
        <a:prstGeom prst="rect">
          <a:avLst/>
        </a:prstGeom>
      </xdr:spPr>
    </xdr:pic>
    <xdr:clientData/>
  </xdr:twoCellAnchor>
  <xdr:oneCellAnchor>
    <xdr:from>
      <xdr:col>4</xdr:col>
      <xdr:colOff>862613</xdr:colOff>
      <xdr:row>23</xdr:row>
      <xdr:rowOff>24414</xdr:rowOff>
    </xdr:from>
    <xdr:ext cx="2834741" cy="617946"/>
    <xdr:pic>
      <xdr:nvPicPr>
        <xdr:cNvPr id="3" name="Imagem 2">
          <a:extLst>
            <a:ext uri="{FF2B5EF4-FFF2-40B4-BE49-F238E27FC236}">
              <a16:creationId xmlns:a16="http://schemas.microsoft.com/office/drawing/2014/main" id="{CFE5A0F2-26F8-4A74-89FE-E9FB50865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9723" y="4535182"/>
          <a:ext cx="2834741" cy="617946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88900</xdr:rowOff>
    </xdr:from>
    <xdr:to>
      <xdr:col>15</xdr:col>
      <xdr:colOff>622299</xdr:colOff>
      <xdr:row>36</xdr:row>
      <xdr:rowOff>158549</xdr:rowOff>
    </xdr:to>
    <xdr:graphicFrame macro="">
      <xdr:nvGraphicFramePr>
        <xdr:cNvPr id="2" name="PARETO_ND">
          <a:extLst>
            <a:ext uri="{FF2B5EF4-FFF2-40B4-BE49-F238E27FC236}">
              <a16:creationId xmlns:a16="http://schemas.microsoft.com/office/drawing/2014/main" id="{DC52C60C-BE26-4172-8AEC-74F68E112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19049</xdr:colOff>
      <xdr:row>0</xdr:row>
      <xdr:rowOff>88899</xdr:rowOff>
    </xdr:from>
    <xdr:to>
      <xdr:col>31</xdr:col>
      <xdr:colOff>630299</xdr:colOff>
      <xdr:row>37</xdr:row>
      <xdr:rowOff>1749</xdr:rowOff>
    </xdr:to>
    <xdr:graphicFrame macro="">
      <xdr:nvGraphicFramePr>
        <xdr:cNvPr id="3" name="PARETO_DE">
          <a:extLst>
            <a:ext uri="{FF2B5EF4-FFF2-40B4-BE49-F238E27FC236}">
              <a16:creationId xmlns:a16="http://schemas.microsoft.com/office/drawing/2014/main" id="{DE1EAC09-D735-42AD-A1C7-7E57DFC1A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0.04238</cdr:x>
      <cdr:y>0.2396</cdr:y>
    </cdr:from>
    <cdr:to>
      <cdr:x>0.16645</cdr:x>
      <cdr:y>0.2396</cdr:y>
    </cdr:to>
    <cdr:cxnSp macro="">
      <cdr:nvCxnSpPr>
        <cdr:cNvPr id="4" name="Conector de Seta Reta 3">
          <a:extLst xmlns:a="http://schemas.openxmlformats.org/drawingml/2006/main">
            <a:ext uri="{FF2B5EF4-FFF2-40B4-BE49-F238E27FC236}">
              <a16:creationId xmlns:a16="http://schemas.microsoft.com/office/drawing/2014/main" id="{D8D01968-9FBB-448F-AB7E-99560E8034BE}"/>
            </a:ext>
          </a:extLst>
        </cdr:cNvPr>
        <cdr:cNvCxnSpPr/>
      </cdr:nvCxnSpPr>
      <cdr:spPr>
        <a:xfrm xmlns:a="http://schemas.openxmlformats.org/drawingml/2006/main">
          <a:off x="443751" y="1437911"/>
          <a:ext cx="1299137" cy="0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0.16146</cdr:x>
      <cdr:y>0.24319</cdr:y>
    </cdr:from>
    <cdr:to>
      <cdr:x>0.16204</cdr:x>
      <cdr:y>0.82669</cdr:y>
    </cdr:to>
    <cdr:cxnSp macro="">
      <cdr:nvCxnSpPr>
        <cdr:cNvPr id="6" name="Conector de Seta Reta 5">
          <a:extLst xmlns:a="http://schemas.openxmlformats.org/drawingml/2006/main">
            <a:ext uri="{FF2B5EF4-FFF2-40B4-BE49-F238E27FC236}">
              <a16:creationId xmlns:a16="http://schemas.microsoft.com/office/drawing/2014/main" id="{D8D01968-9FBB-448F-AB7E-99560E8034BE}"/>
            </a:ext>
          </a:extLst>
        </cdr:cNvPr>
        <cdr:cNvCxnSpPr/>
      </cdr:nvCxnSpPr>
      <cdr:spPr>
        <a:xfrm xmlns:a="http://schemas.openxmlformats.org/drawingml/2006/main" flipH="1">
          <a:off x="1690592" y="1459455"/>
          <a:ext cx="6073" cy="3501756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0.42357</cdr:x>
      <cdr:y>0.12158</cdr:y>
    </cdr:from>
    <cdr:to>
      <cdr:x>0.42465</cdr:x>
      <cdr:y>0.82669</cdr:y>
    </cdr:to>
    <cdr:cxnSp macro="">
      <cdr:nvCxnSpPr>
        <cdr:cNvPr id="13" name="Conector de Seta Reta 12">
          <a:extLst xmlns:a="http://schemas.openxmlformats.org/drawingml/2006/main">
            <a:ext uri="{FF2B5EF4-FFF2-40B4-BE49-F238E27FC236}">
              <a16:creationId xmlns:a16="http://schemas.microsoft.com/office/drawing/2014/main" id="{EB61151D-669B-44E4-A41A-DAAEA20F5DB6}"/>
            </a:ext>
          </a:extLst>
        </cdr:cNvPr>
        <cdr:cNvCxnSpPr/>
      </cdr:nvCxnSpPr>
      <cdr:spPr>
        <a:xfrm xmlns:a="http://schemas.openxmlformats.org/drawingml/2006/main" flipH="1">
          <a:off x="4435114" y="729638"/>
          <a:ext cx="11308" cy="4231573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0.03864</cdr:x>
      <cdr:y>0.12082</cdr:y>
    </cdr:from>
    <cdr:to>
      <cdr:x>0.42188</cdr:x>
      <cdr:y>0.12082</cdr:y>
    </cdr:to>
    <cdr:cxnSp macro="">
      <cdr:nvCxnSpPr>
        <cdr:cNvPr id="7" name="Conector de Seta Reta 6">
          <a:extLst xmlns:a="http://schemas.openxmlformats.org/drawingml/2006/main">
            <a:ext uri="{FF2B5EF4-FFF2-40B4-BE49-F238E27FC236}">
              <a16:creationId xmlns:a16="http://schemas.microsoft.com/office/drawing/2014/main" id="{4B932907-348D-4CFE-950E-CCDDA35C5112}"/>
            </a:ext>
          </a:extLst>
        </cdr:cNvPr>
        <cdr:cNvCxnSpPr/>
      </cdr:nvCxnSpPr>
      <cdr:spPr>
        <a:xfrm xmlns:a="http://schemas.openxmlformats.org/drawingml/2006/main">
          <a:off x="404591" y="725077"/>
          <a:ext cx="4012768" cy="0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0.09308</cdr:x>
      <cdr:y>0.53508</cdr:y>
    </cdr:from>
    <cdr:to>
      <cdr:x>0.1323</cdr:x>
      <cdr:y>0.65185</cdr:y>
    </cdr:to>
    <cdr:sp macro="" textlink="">
      <cdr:nvSpPr>
        <cdr:cNvPr id="23" name="CaixaDeTexto 22">
          <a:extLst xmlns:a="http://schemas.openxmlformats.org/drawingml/2006/main">
            <a:ext uri="{FF2B5EF4-FFF2-40B4-BE49-F238E27FC236}">
              <a16:creationId xmlns:a16="http://schemas.microsoft.com/office/drawing/2014/main" id="{9DC73EE8-C4AA-4BF6-8E09-7F5CE0853B56}"/>
            </a:ext>
          </a:extLst>
        </cdr:cNvPr>
        <cdr:cNvSpPr txBox="1"/>
      </cdr:nvSpPr>
      <cdr:spPr>
        <a:xfrm xmlns:a="http://schemas.openxmlformats.org/drawingml/2006/main">
          <a:off x="969897" y="3244737"/>
          <a:ext cx="408686" cy="708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4000"/>
            <a:t>A</a:t>
          </a:r>
        </a:p>
      </cdr:txBody>
    </cdr:sp>
  </cdr:relSizeAnchor>
  <cdr:relSizeAnchor xmlns:cdr="http://schemas.openxmlformats.org/drawingml/2006/chartDrawing">
    <cdr:from>
      <cdr:x>0.26913</cdr:x>
      <cdr:y>0.45099</cdr:y>
    </cdr:from>
    <cdr:to>
      <cdr:x>0.3157</cdr:x>
      <cdr:y>0.57723</cdr:y>
    </cdr:to>
    <cdr:sp macro="" textlink="">
      <cdr:nvSpPr>
        <cdr:cNvPr id="24" name="CaixaDeTexto 23">
          <a:extLst xmlns:a="http://schemas.openxmlformats.org/drawingml/2006/main">
            <a:ext uri="{FF2B5EF4-FFF2-40B4-BE49-F238E27FC236}">
              <a16:creationId xmlns:a16="http://schemas.microsoft.com/office/drawing/2014/main" id="{7508A606-63EF-41FF-8F20-41E36B7C67EB}"/>
            </a:ext>
          </a:extLst>
        </cdr:cNvPr>
        <cdr:cNvSpPr txBox="1"/>
      </cdr:nvSpPr>
      <cdr:spPr>
        <a:xfrm xmlns:a="http://schemas.openxmlformats.org/drawingml/2006/main">
          <a:off x="2804432" y="2734845"/>
          <a:ext cx="485275" cy="7655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4000"/>
            <a:t>B</a:t>
          </a:r>
        </a:p>
      </cdr:txBody>
    </cdr:sp>
  </cdr:relSizeAnchor>
  <cdr:relSizeAnchor xmlns:cdr="http://schemas.openxmlformats.org/drawingml/2006/chartDrawing">
    <cdr:from>
      <cdr:x>0.72774</cdr:x>
      <cdr:y>0.36833</cdr:y>
    </cdr:from>
    <cdr:to>
      <cdr:x>0.77431</cdr:x>
      <cdr:y>0.48436</cdr:y>
    </cdr:to>
    <cdr:sp macro="" textlink="">
      <cdr:nvSpPr>
        <cdr:cNvPr id="17" name="CaixaDeTexto 1">
          <a:extLst xmlns:a="http://schemas.openxmlformats.org/drawingml/2006/main">
            <a:ext uri="{FF2B5EF4-FFF2-40B4-BE49-F238E27FC236}">
              <a16:creationId xmlns:a16="http://schemas.microsoft.com/office/drawing/2014/main" id="{B6132C02-5454-5FF3-C161-5A2E76746B1D}"/>
            </a:ext>
          </a:extLst>
        </cdr:cNvPr>
        <cdr:cNvSpPr txBox="1"/>
      </cdr:nvSpPr>
      <cdr:spPr>
        <a:xfrm xmlns:a="http://schemas.openxmlformats.org/drawingml/2006/main">
          <a:off x="7619978" y="2210461"/>
          <a:ext cx="487624" cy="696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4000"/>
            <a:t>C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QUIPE\BARBARA\ESTUDO\TAPA%20BURACO\04%20-%20ORCAMENTO\OR&#199;AMENTO%20-%20TAPA_BURA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DB"/>
      <sheetName val="DADOS"/>
      <sheetName val="HISTORICO"/>
      <sheetName val="ANALISE_ORCAMENTO"/>
      <sheetName val="Orcamento"/>
      <sheetName val="ORC.PLAN.TES"/>
      <sheetName val="Memoria_Insumos"/>
      <sheetName val="Cronograma"/>
      <sheetName val="BDI Obra"/>
      <sheetName val="BDI Projeto"/>
      <sheetName val="Curva ABC"/>
      <sheetName val="Pareto"/>
      <sheetName val="ADM_Local"/>
      <sheetName val="Dados_DMT"/>
      <sheetName val="Estatística_Deson"/>
      <sheetName val="S_Preliminares"/>
      <sheetName val="CANTEIRO"/>
      <sheetName val="Demolicao"/>
      <sheetName val="Dren_Quantificacao"/>
      <sheetName val="Dre_Ser_Prelim"/>
      <sheetName val="Dre_Terraplenagem"/>
      <sheetName val="Dre_Disp_Estruturais"/>
      <sheetName val="Dre_Profunda"/>
      <sheetName val="Dre_Fecha_Vala"/>
      <sheetName val="Bacia_Amortecimento"/>
      <sheetName val="Recap_Previo"/>
      <sheetName val="Recap_Final"/>
      <sheetName val="Pav_Dados"/>
      <sheetName val="Pav_Terraplenagem"/>
      <sheetName val="Pav_Estrutura"/>
      <sheetName val="S_Complementares"/>
      <sheetName val="Passeio"/>
      <sheetName val="Ciclovia"/>
      <sheetName val="Cubação - Canteiro"/>
      <sheetName val="Tabelas Auxiliares"/>
      <sheetName val="Sinal_Via"/>
      <sheetName val="MEMÓRIA_PONTE"/>
      <sheetName val="Ponto_Onibus"/>
      <sheetName val="Calculo numero N"/>
      <sheetName val="Geotecnia"/>
      <sheetName val="Pav_Dim"/>
      <sheetName val="Dren_Dados"/>
      <sheetName val="Dren_Dim"/>
      <sheetName val="Dre_DB"/>
      <sheetName val="Dre_DB_Id"/>
      <sheetName val="B_Amort_01 -"/>
      <sheetName val="B_Amort_01"/>
    </sheetNames>
    <sheetDataSet>
      <sheetData sheetId="0"/>
      <sheetData sheetId="1"/>
      <sheetData sheetId="2">
        <row r="6">
          <cell r="H6">
            <v>45383</v>
          </cell>
        </row>
        <row r="7">
          <cell r="F7">
            <v>18</v>
          </cell>
        </row>
        <row r="9">
          <cell r="F9">
            <v>0.79</v>
          </cell>
        </row>
        <row r="10">
          <cell r="F10">
            <v>1146.93</v>
          </cell>
        </row>
        <row r="11">
          <cell r="F11">
            <v>12</v>
          </cell>
        </row>
        <row r="12">
          <cell r="F12">
            <v>0.18</v>
          </cell>
        </row>
        <row r="18">
          <cell r="E18">
            <v>0.20699999999999999</v>
          </cell>
          <cell r="H18">
            <v>1.0676000000000001</v>
          </cell>
        </row>
        <row r="21">
          <cell r="E21">
            <v>0.26739999999999997</v>
          </cell>
          <cell r="H21">
            <v>0.64390000000000003</v>
          </cell>
        </row>
        <row r="24">
          <cell r="H24">
            <v>0.79349999999999998</v>
          </cell>
        </row>
        <row r="27">
          <cell r="H27">
            <v>0.42449999999999999</v>
          </cell>
        </row>
        <row r="51">
          <cell r="B51">
            <v>12</v>
          </cell>
        </row>
        <row r="55">
          <cell r="B55">
            <v>10</v>
          </cell>
        </row>
        <row r="59">
          <cell r="B59">
            <v>0.1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ITA SILVA" id="{E6E08C6D-DF17-4D68-AC51-E2E310901CE7}" userId="RITA SILVA" providerId="None"/>
  <person displayName="José Augusto Queiroz Comparotto Gomes" id="{2D03D02F-C8CE-4D1E-B110-184AB32B39EE}" userId="S::jose.gomes@schettini.eng.br::86abbbc7-6c50-4cbf-8068-522d6ea301b7" providerId="AD"/>
  <person displayName="Rita C. F. Silva" id="{15E9101C-BEA5-4022-B11C-FD07929BB1A4}" userId="S::rita.silva@schettini.eng.br::cab581b7-c5dc-4ce3-812a-64099699bfe0" providerId="AD"/>
</personList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9.jpeg"/></Relationships>
</file>

<file path=xl/richData/rdRichValueTypes.xml><?xml version="1.0" encoding="utf-8"?>
<rvTypesInfo xmlns="http://schemas.microsoft.com/office/spreadsheetml/2017/richdata2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  <v>S:\_G\IMG\MS_064.jpg</v>
  </rv>
  <rv s="0">
    <v>0</v>
    <v>4</v>
    <v>S:\_G\IMG\MS_064.jpg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3226FB8-6DD2-40AB-8DCD-9CA3EA952D49}" name="Tabela1" displayName="Tabela1" ref="A3:F19" totalsRowShown="0" headerRowDxfId="138" dataDxfId="137">
  <autoFilter ref="A3:F19" xr:uid="{C4E0879F-F697-4207-B9C8-9B48AC04B6F1}"/>
  <sortState xmlns:xlrd2="http://schemas.microsoft.com/office/spreadsheetml/2017/richdata2" ref="A4:F19">
    <sortCondition ref="D3:D19"/>
  </sortState>
  <tableColumns count="6">
    <tableColumn id="1" xr3:uid="{080E2FC6-E5A0-4474-A15B-7F8A5B0F773F}" name="Tipo" dataDxfId="136"/>
    <tableColumn id="2" xr3:uid="{E9CF097D-DA00-49C6-A9DD-77B10C020733}" name="Diâmetro" dataDxfId="135"/>
    <tableColumn id="3" xr3:uid="{9BC736E7-0E0A-44DA-A8FB-6B312E78497F}" name="Comprimento" dataDxfId="134"/>
    <tableColumn id="4" xr3:uid="{DBA1E6B1-FAD4-4274-98C9-6FB7FE1B81CB}" name="Descrição" dataDxfId="133">
      <calculatedColumnFormula>A4&amp; " d=" &amp;TEXT(B4,"0,00")&amp;"m - L=" &amp; TEXT(C4,"0,00")&amp;"m"</calculatedColumnFormula>
    </tableColumn>
    <tableColumn id="5" xr3:uid="{69048AF7-7282-4F1E-8FF4-F0B804A6F2FE}" name="Unidade" dataDxfId="132"/>
    <tableColumn id="6" xr3:uid="{C99D4E7D-2EBC-424F-89FA-D4BE932CB372}" name="Valor" dataDxfId="131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89" dT="2024-05-23T12:39:29.40" personId="{15E9101C-BEA5-4022-B11C-FD07929BB1A4}" id="{3136B4A9-641B-457B-94E1-4AA0992DFAC4}">
    <text>Falta recorte mecânico de pavimento</text>
  </threadedComment>
  <threadedComment ref="E146" dT="2024-05-23T18:33:56.44" personId="{15E9101C-BEA5-4022-B11C-FD07929BB1A4}" id="{5A66FA54-D587-4F90-B155-6568FF4C938E}">
    <text>Rever a forma como é dimensionado o tipo de escoramento.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E89" dT="2024-05-23T12:39:29.40" personId="{15E9101C-BEA5-4022-B11C-FD07929BB1A4}" id="{030F01ED-7206-4C65-AE66-AD8449C8592B}">
    <text>Falta recorte mecânico de pavimento</text>
  </threadedComment>
  <threadedComment ref="E146" dT="2024-05-23T18:33:56.44" personId="{15E9101C-BEA5-4022-B11C-FD07929BB1A4}" id="{A170B4B0-6373-4397-8033-B8AA69C73904}">
    <text>Rever a forma como é dimensionado o tipo de escoramento.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C2" dT="2023-05-25T11:35:30.45" personId="{2D03D02F-C8CE-4D1E-B110-184AB32B39EE}" id="{1A079586-1C14-4AD7-9A8B-183FAE2F831D}">
    <text>Para calcular o B.D.I. com base na relação real entre os insumos do orçamento, utilize este campo.
(O fator será aplicado à alíquota cheia do ISS do município)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E208" dT="2021-05-20T17:12:05.77" personId="{E6E08C6D-DF17-4D68-AC51-E2E310901CE7}" id="{093A11E8-AA36-40D4-88BC-0635175EECF8}">
    <text>ITEM ALTERADO</text>
  </threadedComment>
  <threadedComment ref="F413" dT="2021-05-20T17:16:33.57" personId="{E6E08C6D-DF17-4D68-AC51-E2E310901CE7}" id="{A9E26FC1-6F16-4737-902E-472D041F219F}">
    <text>PRANCHA 8</text>
  </threadedComment>
  <threadedComment ref="A502" dT="2021-05-20T17:19:22.90" personId="{E6E08C6D-DF17-4D68-AC51-E2E310901CE7}" id="{896FFB98-213C-4BAC-8530-B46DFB6FE231}">
    <text>ESTAVA 16 UN, DAÍ FOI CORRIGIDO</text>
  </threadedComment>
  <threadedComment ref="F572" dT="2021-05-20T17:34:47.73" personId="{E6E08C6D-DF17-4D68-AC51-E2E310901CE7}" id="{8B5A04EA-DDA7-490A-B63E-A480080A343E}">
    <text>era 4,7</text>
  </threadedComment>
  <threadedComment ref="F577" dT="2021-05-20T17:34:37.18" personId="{E6E08C6D-DF17-4D68-AC51-E2E310901CE7}" id="{8989E014-2D42-423B-8679-B5C9AADCFC07}">
    <text>era=4,7m</text>
  </threadedComment>
  <threadedComment ref="E582" dT="2021-05-20T17:33:46.79" personId="{E6E08C6D-DF17-4D68-AC51-E2E310901CE7}" id="{D52462E1-CB86-44F8-8AE5-EC443B487507}">
    <text>era 3,5 m e foi alterado pois não correspondia com o projeto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aixa.gov.br/Downloads/sinapi-composicoes-aferidas-lote3-saneamento-infraestrutura-urbana/SINAPI_CT_TRANSPORTE_CARGA_DESCARGA_06_2023.pdf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aixa.gov.br/Downloads/sinapi-composicoes-aferidas-lote3-saneamento-infraestrutura-urbana/SINAPI_CT_TRANSPORTE_CARGA_DESCARGA_06_2023.pdf" TargetMode="External"/><Relationship Id="rId6" Type="http://schemas.microsoft.com/office/2017/10/relationships/threadedComment" Target="../threadedComments/threadedComment2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9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2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22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4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E5D1A-196B-4936-BCCE-2808BE898C68}">
  <sheetPr codeName="Planilha1">
    <pageSetUpPr fitToPage="1"/>
  </sheetPr>
  <dimension ref="A1:N74"/>
  <sheetViews>
    <sheetView showZeros="0" zoomScaleNormal="100" workbookViewId="0">
      <selection activeCell="J31" sqref="J31"/>
    </sheetView>
  </sheetViews>
  <sheetFormatPr defaultColWidth="9" defaultRowHeight="12.75" customHeight="1"/>
  <cols>
    <col min="1" max="13" width="9" style="4" customWidth="1"/>
    <col min="14" max="14" width="17.125" style="4" customWidth="1"/>
    <col min="15" max="18" width="9" style="4" customWidth="1"/>
    <col min="19" max="16384" width="9" style="4"/>
  </cols>
  <sheetData>
    <row r="1" spans="1:14" ht="13.5" thickTop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4" ht="12.75" customHeight="1">
      <c r="A2" s="5"/>
      <c r="N2" s="6"/>
    </row>
    <row r="3" spans="1:14" ht="12.75" customHeight="1">
      <c r="A3" s="5"/>
      <c r="N3" s="6"/>
    </row>
    <row r="4" spans="1:14" ht="12.75" customHeight="1">
      <c r="A4" s="5"/>
      <c r="L4" s="2419">
        <v>0</v>
      </c>
      <c r="M4" s="2419"/>
      <c r="N4" s="6"/>
    </row>
    <row r="5" spans="1:14" ht="12.75" customHeight="1">
      <c r="A5" s="5"/>
      <c r="L5" s="2419"/>
      <c r="M5" s="2419"/>
      <c r="N5" s="6"/>
    </row>
    <row r="6" spans="1:14" ht="12.75" customHeight="1">
      <c r="A6" s="5"/>
      <c r="L6" s="2419"/>
      <c r="M6" s="2419"/>
      <c r="N6" s="6"/>
    </row>
    <row r="7" spans="1:14" ht="12.75" customHeight="1">
      <c r="A7" s="5"/>
      <c r="N7" s="6"/>
    </row>
    <row r="8" spans="1:14" ht="12.75" customHeight="1">
      <c r="A8" s="5"/>
      <c r="N8" s="6"/>
    </row>
    <row r="9" spans="1:14" ht="12.75" customHeight="1">
      <c r="A9" s="5"/>
      <c r="N9" s="6"/>
    </row>
    <row r="10" spans="1:14" ht="12.75" customHeight="1">
      <c r="A10" s="5"/>
      <c r="N10" s="6"/>
    </row>
    <row r="11" spans="1:14" ht="12.75" customHeight="1">
      <c r="A11" s="5"/>
      <c r="N11" s="6"/>
    </row>
    <row r="12" spans="1:14" ht="12.75" customHeight="1">
      <c r="A12" s="5"/>
      <c r="N12" s="6"/>
    </row>
    <row r="13" spans="1:14" ht="12.75" customHeight="1">
      <c r="A13" s="5"/>
      <c r="N13" s="6"/>
    </row>
    <row r="14" spans="1:14" ht="12.75" customHeight="1">
      <c r="A14" s="5"/>
      <c r="N14" s="6"/>
    </row>
    <row r="15" spans="1:14" ht="12.75" customHeight="1">
      <c r="A15" s="5"/>
      <c r="N15" s="6"/>
    </row>
    <row r="16" spans="1:14" ht="12.75" customHeight="1">
      <c r="A16" s="5"/>
      <c r="N16" s="6"/>
    </row>
    <row r="17" spans="1:14" ht="12.75" customHeight="1">
      <c r="A17" s="5"/>
      <c r="N17" s="6"/>
    </row>
    <row r="18" spans="1:14" ht="12.75" customHeight="1">
      <c r="A18" s="5"/>
      <c r="N18" s="6"/>
    </row>
    <row r="19" spans="1:14" hidden="1">
      <c r="A19" s="5"/>
      <c r="N19" s="6"/>
    </row>
    <row r="20" spans="1:14" ht="12.75" customHeight="1">
      <c r="A20" s="5"/>
      <c r="N20" s="6"/>
    </row>
    <row r="21" spans="1:14" ht="12.75" customHeight="1">
      <c r="A21" s="5"/>
      <c r="N21" s="6"/>
    </row>
    <row r="22" spans="1:14" ht="12.75" customHeight="1">
      <c r="A22" s="5"/>
      <c r="N22" s="6"/>
    </row>
    <row r="23" spans="1:14" ht="12.75" customHeight="1">
      <c r="A23" s="5"/>
      <c r="N23" s="6"/>
    </row>
    <row r="24" spans="1:14" ht="12.75" customHeight="1">
      <c r="A24" s="5"/>
      <c r="N24" s="6"/>
    </row>
    <row r="25" spans="1:14" ht="12.75" customHeight="1">
      <c r="A25" s="5"/>
      <c r="N25" s="6"/>
    </row>
    <row r="26" spans="1:14" ht="12.75" customHeight="1">
      <c r="A26" s="5"/>
      <c r="N26" s="6"/>
    </row>
    <row r="27" spans="1:14" ht="12.75" customHeight="1">
      <c r="A27" s="5"/>
      <c r="N27" s="6"/>
    </row>
    <row r="28" spans="1:14" ht="12.75" customHeight="1">
      <c r="A28" s="5"/>
      <c r="N28" s="6"/>
    </row>
    <row r="29" spans="1:14" ht="12.75" customHeight="1">
      <c r="A29" s="5"/>
      <c r="N29" s="6"/>
    </row>
    <row r="30" spans="1:14" ht="12.75" customHeight="1">
      <c r="A30" s="5"/>
      <c r="N30" s="6"/>
    </row>
    <row r="31" spans="1:14" ht="12.75" customHeight="1">
      <c r="A31" s="5"/>
      <c r="N31" s="6"/>
    </row>
    <row r="32" spans="1:14" ht="12.75" customHeight="1">
      <c r="A32" s="5"/>
      <c r="N32" s="6"/>
    </row>
    <row r="33" spans="1:14" ht="12.75" customHeight="1">
      <c r="A33" s="5"/>
      <c r="N33" s="6"/>
    </row>
    <row r="34" spans="1:14" ht="12.75" customHeight="1">
      <c r="A34" s="5"/>
      <c r="N34" s="6"/>
    </row>
    <row r="35" spans="1:14" ht="12.75" customHeight="1">
      <c r="A35" s="5"/>
      <c r="N35" s="6"/>
    </row>
    <row r="36" spans="1:14" ht="12.75" customHeight="1">
      <c r="A36" s="5"/>
      <c r="N36" s="6"/>
    </row>
    <row r="37" spans="1:14" ht="12.75" customHeight="1">
      <c r="A37" s="5"/>
      <c r="N37" s="6"/>
    </row>
    <row r="38" spans="1:14" ht="12.75" customHeight="1">
      <c r="A38" s="5"/>
      <c r="N38" s="6"/>
    </row>
    <row r="39" spans="1:14" ht="12.75" customHeight="1">
      <c r="A39" s="5"/>
      <c r="N39" s="6"/>
    </row>
    <row r="40" spans="1:14" ht="12.75" customHeight="1">
      <c r="A40" s="5"/>
      <c r="N40" s="6"/>
    </row>
    <row r="41" spans="1:14" ht="12.75" customHeight="1">
      <c r="A41" s="5"/>
      <c r="N41" s="6"/>
    </row>
    <row r="42" spans="1:14" ht="12.75" customHeight="1">
      <c r="A42" s="5"/>
      <c r="N42" s="6"/>
    </row>
    <row r="43" spans="1:14" ht="12.75" customHeight="1">
      <c r="A43" s="5"/>
      <c r="N43" s="6"/>
    </row>
    <row r="44" spans="1:14" ht="12.75" customHeight="1">
      <c r="A44" s="5"/>
      <c r="N44" s="6"/>
    </row>
    <row r="45" spans="1:14" ht="12.75" customHeight="1">
      <c r="A45" s="5"/>
      <c r="N45" s="6"/>
    </row>
    <row r="46" spans="1:14" ht="12.75" customHeight="1">
      <c r="A46" s="5"/>
      <c r="N46" s="6"/>
    </row>
    <row r="47" spans="1:14" ht="12.75" customHeight="1">
      <c r="A47" s="5"/>
      <c r="N47" s="6"/>
    </row>
    <row r="48" spans="1:14" ht="12.75" customHeight="1">
      <c r="A48" s="5"/>
      <c r="N48" s="6"/>
    </row>
    <row r="49" spans="1:14" ht="12.75" customHeight="1">
      <c r="A49" s="5"/>
      <c r="N49" s="6"/>
    </row>
    <row r="50" spans="1:14" ht="12.75" customHeight="1">
      <c r="A50" s="5"/>
      <c r="N50" s="6"/>
    </row>
    <row r="51" spans="1:14" ht="12.75" customHeight="1">
      <c r="A51" s="5"/>
      <c r="N51" s="6"/>
    </row>
    <row r="52" spans="1:14" ht="12.75" customHeight="1">
      <c r="A52" s="5"/>
      <c r="N52" s="6"/>
    </row>
    <row r="53" spans="1:14">
      <c r="A53" s="5"/>
      <c r="N53" s="6"/>
    </row>
    <row r="54" spans="1:14">
      <c r="A54" s="5"/>
      <c r="N54" s="6"/>
    </row>
    <row r="55" spans="1:14" ht="12.75" customHeight="1">
      <c r="A55" s="5"/>
      <c r="N55" s="6"/>
    </row>
    <row r="56" spans="1:14" ht="12.75" customHeight="1">
      <c r="A56" s="5"/>
      <c r="N56" s="6"/>
    </row>
    <row r="57" spans="1:14" ht="12.75" customHeight="1">
      <c r="A57" s="5"/>
      <c r="N57" s="6"/>
    </row>
    <row r="58" spans="1:14" ht="12.75" customHeight="1">
      <c r="A58" s="5"/>
      <c r="N58" s="6"/>
    </row>
    <row r="59" spans="1:14" ht="12.75" customHeight="1">
      <c r="A59" s="5"/>
      <c r="N59" s="6"/>
    </row>
    <row r="60" spans="1:14" ht="12.75" customHeight="1">
      <c r="A60" s="5"/>
      <c r="N60" s="6"/>
    </row>
    <row r="61" spans="1:14" ht="12.75" customHeight="1">
      <c r="A61" s="5"/>
      <c r="N61" s="6"/>
    </row>
    <row r="62" spans="1:14" ht="12.75" customHeight="1">
      <c r="A62" s="5"/>
      <c r="N62" s="6"/>
    </row>
    <row r="63" spans="1:14" ht="12.75" customHeight="1">
      <c r="A63" s="5"/>
      <c r="N63" s="6"/>
    </row>
    <row r="64" spans="1:14" ht="12.75" customHeight="1">
      <c r="A64" s="5"/>
      <c r="N64" s="6"/>
    </row>
    <row r="65" spans="1:14" ht="12.75" customHeight="1">
      <c r="A65" s="5"/>
      <c r="N65" s="6"/>
    </row>
    <row r="66" spans="1:14" ht="12.75" customHeight="1">
      <c r="A66" s="5"/>
      <c r="N66" s="6"/>
    </row>
    <row r="67" spans="1:14" ht="12.75" customHeight="1">
      <c r="A67" s="5"/>
      <c r="N67" s="6"/>
    </row>
    <row r="68" spans="1:14" ht="12.75" customHeight="1">
      <c r="A68" s="5"/>
      <c r="N68" s="6"/>
    </row>
    <row r="69" spans="1:14" ht="12.75" customHeight="1">
      <c r="A69" s="5"/>
      <c r="N69" s="6"/>
    </row>
    <row r="70" spans="1:14" ht="12.75" customHeight="1">
      <c r="A70" s="5"/>
      <c r="N70" s="6"/>
    </row>
    <row r="71" spans="1:14" ht="12.75" customHeight="1">
      <c r="A71" s="5"/>
      <c r="N71" s="6"/>
    </row>
    <row r="72" spans="1:14" ht="12.75" customHeight="1">
      <c r="A72" s="5"/>
      <c r="N72" s="6"/>
    </row>
    <row r="73" spans="1:14" ht="13.5" thickBot="1">
      <c r="A73" s="7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9"/>
    </row>
    <row r="74" spans="1:14" ht="13.5" thickTop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</sheetData>
  <mergeCells count="1">
    <mergeCell ref="L4:M6"/>
  </mergeCells>
  <pageMargins left="0.39370078740157477" right="0.59055118110236215" top="0.39370078740157477" bottom="0.59055118110236215" header="0.31496062992125984" footer="0.31496062992125984"/>
  <pageSetup paperSize="9" scale="70" orientation="portrait" r:id="rId1"/>
  <headerFooter>
    <oddFooter>&amp;C&amp;8Página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7F562-1ABC-4CA5-9AA2-60F8F4A2C174}">
  <sheetPr codeName="Planilha4">
    <tabColor rgb="FF92D050"/>
  </sheetPr>
  <dimension ref="A1:P613"/>
  <sheetViews>
    <sheetView showZeros="0" zoomScaleNormal="100" workbookViewId="0">
      <selection activeCell="B13" sqref="B13"/>
    </sheetView>
  </sheetViews>
  <sheetFormatPr defaultColWidth="9" defaultRowHeight="12.75"/>
  <cols>
    <col min="1" max="1" width="18.125" style="13" customWidth="1"/>
    <col min="2" max="2" width="90.625" style="13" customWidth="1"/>
    <col min="3" max="3" width="7.625" style="13" customWidth="1"/>
    <col min="4" max="4" width="8.75" style="13" customWidth="1"/>
    <col min="5" max="6" width="12.625" style="13" customWidth="1"/>
    <col min="7" max="7" width="18.25" style="13" customWidth="1"/>
    <col min="8" max="8" width="12.875" style="13" customWidth="1"/>
    <col min="9" max="9" width="13.75" style="13" customWidth="1"/>
    <col min="10" max="10" width="16" style="13" customWidth="1"/>
    <col min="11" max="11" width="12.625" style="13" hidden="1" customWidth="1"/>
    <col min="12" max="12" width="18.25" style="13" hidden="1" customWidth="1"/>
    <col min="13" max="13" width="12.875" style="13" hidden="1" customWidth="1"/>
    <col min="14" max="14" width="13.75" style="13" hidden="1" customWidth="1"/>
    <col min="15" max="15" width="16" style="13" hidden="1" customWidth="1"/>
    <col min="16" max="16" width="10.625" style="13" customWidth="1"/>
    <col min="17" max="16384" width="9" style="13"/>
  </cols>
  <sheetData>
    <row r="1" spans="1:16" s="12" customFormat="1" ht="28.9" customHeight="1">
      <c r="A1" s="24" t="s">
        <v>3516</v>
      </c>
      <c r="B1" s="473"/>
      <c r="C1" s="474"/>
      <c r="D1" s="474"/>
      <c r="H1" s="475"/>
      <c r="M1" s="475"/>
      <c r="P1" s="12" t="s">
        <v>1236</v>
      </c>
    </row>
    <row r="2" spans="1:16" s="12" customFormat="1" ht="28.9" customHeight="1">
      <c r="A2" s="23" t="s">
        <v>3517</v>
      </c>
      <c r="B2" s="23"/>
      <c r="C2" s="66"/>
      <c r="D2" s="66"/>
      <c r="E2" s="476"/>
      <c r="H2" s="475"/>
      <c r="M2" s="475"/>
      <c r="P2" s="12" t="s">
        <v>1236</v>
      </c>
    </row>
    <row r="3" spans="1:16" s="12" customFormat="1" ht="28.9" customHeight="1">
      <c r="A3" s="477"/>
      <c r="B3" s="42"/>
      <c r="C3" s="66"/>
      <c r="D3" s="66"/>
      <c r="E3" s="476"/>
      <c r="H3" s="475"/>
      <c r="M3" s="475"/>
      <c r="P3" s="12" t="s">
        <v>1236</v>
      </c>
    </row>
    <row r="4" spans="1:16" s="12" customFormat="1" ht="28.9" customHeight="1">
      <c r="A4" s="478">
        <v>0</v>
      </c>
      <c r="B4" s="479">
        <v>0</v>
      </c>
      <c r="C4" s="50"/>
      <c r="D4" s="50"/>
      <c r="E4" s="480"/>
      <c r="F4" s="475"/>
      <c r="G4" s="481"/>
      <c r="H4" s="475"/>
      <c r="K4" s="475"/>
      <c r="L4" s="481"/>
      <c r="M4" s="475"/>
      <c r="P4" s="12" t="s">
        <v>1236</v>
      </c>
    </row>
    <row r="5" spans="1:16" s="12" customFormat="1" ht="28.9" customHeight="1">
      <c r="A5" s="478" t="s">
        <v>16</v>
      </c>
      <c r="B5" s="479" t="s">
        <v>3518</v>
      </c>
      <c r="C5" s="57"/>
      <c r="D5" s="57"/>
      <c r="E5" s="43"/>
      <c r="F5" s="29" t="s">
        <v>3</v>
      </c>
      <c r="G5" s="281">
        <v>45383</v>
      </c>
      <c r="H5" s="475"/>
      <c r="K5" s="29" t="s">
        <v>3</v>
      </c>
      <c r="L5" s="281">
        <v>45383</v>
      </c>
      <c r="M5" s="475"/>
      <c r="P5" s="12" t="s">
        <v>1236</v>
      </c>
    </row>
    <row r="6" spans="1:16" s="12" customFormat="1" ht="28.9" customHeight="1">
      <c r="A6" s="478" t="s">
        <v>18</v>
      </c>
      <c r="B6" s="26" t="s">
        <v>3519</v>
      </c>
      <c r="C6" s="57"/>
      <c r="D6" s="57"/>
      <c r="E6" s="50"/>
      <c r="F6" s="29" t="s">
        <v>7</v>
      </c>
      <c r="G6" s="286" t="s">
        <v>8</v>
      </c>
      <c r="H6" s="475"/>
      <c r="K6" s="29" t="s">
        <v>7</v>
      </c>
      <c r="L6" s="286" t="s">
        <v>9</v>
      </c>
      <c r="M6" s="475"/>
      <c r="P6" s="12" t="s">
        <v>1236</v>
      </c>
    </row>
    <row r="7" spans="1:16" s="12" customFormat="1" ht="28.9" customHeight="1">
      <c r="A7" s="478" t="s">
        <v>21</v>
      </c>
      <c r="B7" s="479" t="s">
        <v>3520</v>
      </c>
      <c r="C7" s="62"/>
      <c r="D7" s="62"/>
      <c r="E7" s="50"/>
      <c r="F7" s="50"/>
      <c r="G7" s="50"/>
      <c r="H7" s="482"/>
      <c r="K7" s="50"/>
      <c r="L7" s="50"/>
      <c r="M7" s="482"/>
      <c r="P7" s="12" t="s">
        <v>1236</v>
      </c>
    </row>
    <row r="8" spans="1:16" s="12" customFormat="1" ht="28.9" customHeight="1">
      <c r="A8" s="43"/>
      <c r="B8" s="43"/>
      <c r="C8" s="62"/>
      <c r="D8" s="62"/>
      <c r="E8" s="50"/>
      <c r="F8" s="2530">
        <v>0</v>
      </c>
      <c r="G8" s="2530"/>
      <c r="I8" s="483" t="s">
        <v>1237</v>
      </c>
      <c r="J8" s="484">
        <v>0.8</v>
      </c>
      <c r="K8" s="2530">
        <v>0</v>
      </c>
      <c r="L8" s="2530"/>
      <c r="N8" s="483" t="s">
        <v>1237</v>
      </c>
      <c r="O8" s="484">
        <v>0.8</v>
      </c>
      <c r="P8" s="12" t="s">
        <v>1236</v>
      </c>
    </row>
    <row r="9" spans="1:16" s="12" customFormat="1" ht="28.9" customHeight="1">
      <c r="B9" s="43"/>
      <c r="C9" s="43"/>
      <c r="D9" s="43"/>
      <c r="E9" s="50"/>
      <c r="F9" s="2530"/>
      <c r="G9" s="2530"/>
      <c r="I9" s="485" t="s">
        <v>1238</v>
      </c>
      <c r="J9" s="486">
        <v>0.95</v>
      </c>
      <c r="K9" s="2530"/>
      <c r="L9" s="2530"/>
      <c r="N9" s="485" t="s">
        <v>1238</v>
      </c>
      <c r="O9" s="486">
        <v>0.95</v>
      </c>
      <c r="P9" s="12" t="s">
        <v>1236</v>
      </c>
    </row>
    <row r="10" spans="1:16" s="12" customFormat="1" ht="28.9" customHeight="1">
      <c r="A10" s="487" t="s">
        <v>1239</v>
      </c>
      <c r="B10" s="488"/>
      <c r="C10" s="489"/>
      <c r="D10" s="489"/>
      <c r="E10" s="50"/>
      <c r="F10" s="50"/>
      <c r="G10" s="50"/>
      <c r="I10" s="490" t="s">
        <v>1240</v>
      </c>
      <c r="J10" s="491">
        <v>1</v>
      </c>
      <c r="K10" s="50"/>
      <c r="L10" s="50"/>
      <c r="N10" s="490" t="s">
        <v>1240</v>
      </c>
      <c r="O10" s="491">
        <v>1</v>
      </c>
      <c r="P10" s="12" t="s">
        <v>1236</v>
      </c>
    </row>
    <row r="11" spans="1:16" s="12" customFormat="1" ht="28.9" customHeight="1" thickBot="1">
      <c r="P11" s="12" t="s">
        <v>1236</v>
      </c>
    </row>
    <row r="12" spans="1:16" s="105" customFormat="1" ht="50.1" customHeight="1" thickTop="1" thickBot="1">
      <c r="A12" s="492" t="s">
        <v>63</v>
      </c>
      <c r="B12" s="493" t="s">
        <v>66</v>
      </c>
      <c r="C12" s="493" t="s">
        <v>28</v>
      </c>
      <c r="D12" s="493" t="s">
        <v>1241</v>
      </c>
      <c r="E12" s="493" t="s">
        <v>29</v>
      </c>
      <c r="F12" s="494" t="s">
        <v>1242</v>
      </c>
      <c r="G12" s="494" t="s">
        <v>31</v>
      </c>
      <c r="H12" s="493" t="s">
        <v>1243</v>
      </c>
      <c r="I12" s="495" t="s">
        <v>1244</v>
      </c>
      <c r="J12" s="496" t="s">
        <v>1245</v>
      </c>
      <c r="K12" s="494" t="s">
        <v>1242</v>
      </c>
      <c r="L12" s="494" t="s">
        <v>31</v>
      </c>
      <c r="M12" s="493" t="s">
        <v>1243</v>
      </c>
      <c r="N12" s="495" t="s">
        <v>1244</v>
      </c>
      <c r="O12" s="496" t="s">
        <v>1245</v>
      </c>
    </row>
    <row r="13" spans="1:16" ht="28.9" customHeight="1" thickTop="1">
      <c r="A13" s="497"/>
      <c r="B13" s="498" t="s">
        <v>451</v>
      </c>
      <c r="C13" s="499"/>
      <c r="D13" s="500">
        <v>277</v>
      </c>
      <c r="E13" s="497"/>
      <c r="F13" s="501"/>
      <c r="G13" s="502">
        <v>3092449.68</v>
      </c>
      <c r="H13" s="503" t="s">
        <v>3521</v>
      </c>
      <c r="I13" s="504"/>
      <c r="J13" s="505"/>
      <c r="K13" s="501"/>
      <c r="L13" s="502">
        <v>3401198.4400000004</v>
      </c>
      <c r="M13" s="503" t="s">
        <v>3521</v>
      </c>
      <c r="N13" s="504"/>
      <c r="O13" s="505"/>
      <c r="P13" s="13" t="s">
        <v>1236</v>
      </c>
    </row>
    <row r="14" spans="1:16" s="14" customFormat="1" ht="50.1" customHeight="1">
      <c r="A14" s="506" t="s">
        <v>288</v>
      </c>
      <c r="B14" s="507" t="s">
        <v>3530</v>
      </c>
      <c r="C14" s="506" t="s">
        <v>464</v>
      </c>
      <c r="D14" s="506">
        <v>1</v>
      </c>
      <c r="E14" s="511">
        <v>775.8</v>
      </c>
      <c r="F14" s="511">
        <v>1983.29</v>
      </c>
      <c r="G14" s="511">
        <v>1538636.38</v>
      </c>
      <c r="H14" s="513">
        <v>0.49754613307078932</v>
      </c>
      <c r="I14" s="513">
        <v>0.49754613307078932</v>
      </c>
      <c r="J14" s="514" t="s">
        <v>1237</v>
      </c>
      <c r="K14" s="511">
        <v>2075.2399999999998</v>
      </c>
      <c r="L14" s="511">
        <v>1609971.19</v>
      </c>
      <c r="M14" s="513">
        <v>0.47335408927213307</v>
      </c>
      <c r="N14" s="513">
        <v>0.47335408927213307</v>
      </c>
      <c r="O14" s="514" t="s">
        <v>1237</v>
      </c>
      <c r="P14" s="14" t="s">
        <v>1236</v>
      </c>
    </row>
    <row r="15" spans="1:16" s="14" customFormat="1" ht="39.950000000000003" customHeight="1">
      <c r="A15" s="506" t="s">
        <v>278</v>
      </c>
      <c r="B15" s="507" t="s">
        <v>3531</v>
      </c>
      <c r="C15" s="509" t="s">
        <v>464</v>
      </c>
      <c r="D15" s="506">
        <v>1</v>
      </c>
      <c r="E15" s="511">
        <v>3620.4</v>
      </c>
      <c r="F15" s="511">
        <v>238.69</v>
      </c>
      <c r="G15" s="511">
        <v>864153.27</v>
      </c>
      <c r="H15" s="513">
        <v>0.27943971912907567</v>
      </c>
      <c r="I15" s="513">
        <v>0.77698585219986493</v>
      </c>
      <c r="J15" s="514" t="s">
        <v>1237</v>
      </c>
      <c r="K15" s="511">
        <v>233.53</v>
      </c>
      <c r="L15" s="511">
        <v>845472.01</v>
      </c>
      <c r="M15" s="513">
        <v>0.24858061795418201</v>
      </c>
      <c r="N15" s="513">
        <v>0.72193470722631514</v>
      </c>
      <c r="O15" s="514" t="s">
        <v>1237</v>
      </c>
      <c r="P15" s="14" t="s">
        <v>1236</v>
      </c>
    </row>
    <row r="16" spans="1:16" s="14" customFormat="1" ht="30" customHeight="1">
      <c r="A16" s="506" t="s">
        <v>249</v>
      </c>
      <c r="B16" s="220" t="s">
        <v>3532</v>
      </c>
      <c r="C16" s="509" t="s">
        <v>1418</v>
      </c>
      <c r="D16" s="506">
        <v>4</v>
      </c>
      <c r="E16" s="511">
        <v>17240</v>
      </c>
      <c r="F16" s="511">
        <v>6.37</v>
      </c>
      <c r="G16" s="511">
        <v>109818.8</v>
      </c>
      <c r="H16" s="513">
        <v>3.551191170877839E-2</v>
      </c>
      <c r="I16" s="513">
        <v>0.81249776390864337</v>
      </c>
      <c r="J16" s="514" t="s">
        <v>1238</v>
      </c>
      <c r="K16" s="511">
        <v>6.64</v>
      </c>
      <c r="L16" s="511">
        <v>114473.60000000001</v>
      </c>
      <c r="M16" s="513">
        <v>3.3656842439337351E-2</v>
      </c>
      <c r="N16" s="513">
        <v>0.75559154966565245</v>
      </c>
      <c r="O16" s="514" t="s">
        <v>1237</v>
      </c>
      <c r="P16" s="14" t="s">
        <v>1236</v>
      </c>
    </row>
    <row r="17" spans="1:16" s="14" customFormat="1" ht="30" customHeight="1">
      <c r="A17" s="506">
        <v>93599</v>
      </c>
      <c r="B17" s="507" t="s">
        <v>3533</v>
      </c>
      <c r="C17" s="509" t="s">
        <v>3534</v>
      </c>
      <c r="D17" s="506">
        <v>12</v>
      </c>
      <c r="E17" s="511">
        <v>158560.79999999999</v>
      </c>
      <c r="F17" s="511">
        <v>0.67</v>
      </c>
      <c r="G17" s="511">
        <v>106235.73</v>
      </c>
      <c r="H17" s="513">
        <v>3.4353260681027474E-2</v>
      </c>
      <c r="I17" s="513">
        <v>0.84685102458967088</v>
      </c>
      <c r="J17" s="514" t="s">
        <v>1238</v>
      </c>
      <c r="K17" s="511">
        <v>0.7</v>
      </c>
      <c r="L17" s="511">
        <v>110992.56</v>
      </c>
      <c r="M17" s="513">
        <v>3.2633367901932823E-2</v>
      </c>
      <c r="N17" s="513">
        <v>0.78822491756758528</v>
      </c>
      <c r="O17" s="514" t="s">
        <v>1237</v>
      </c>
      <c r="P17" s="14" t="s">
        <v>1236</v>
      </c>
    </row>
    <row r="18" spans="1:16" s="14" customFormat="1" ht="39.950000000000003" customHeight="1">
      <c r="A18" s="506">
        <v>95879</v>
      </c>
      <c r="B18" s="507" t="s">
        <v>3535</v>
      </c>
      <c r="C18" s="509" t="s">
        <v>3534</v>
      </c>
      <c r="D18" s="506">
        <v>12</v>
      </c>
      <c r="E18" s="511">
        <v>59460.3</v>
      </c>
      <c r="F18" s="511">
        <v>1.7</v>
      </c>
      <c r="G18" s="511">
        <v>101082.51</v>
      </c>
      <c r="H18" s="513">
        <v>3.2686873016475403E-2</v>
      </c>
      <c r="I18" s="513">
        <v>0.87953789760614631</v>
      </c>
      <c r="J18" s="514" t="s">
        <v>1238</v>
      </c>
      <c r="K18" s="511">
        <v>1.79</v>
      </c>
      <c r="L18" s="511">
        <v>106433.93</v>
      </c>
      <c r="M18" s="513">
        <v>3.1293066805005348E-2</v>
      </c>
      <c r="N18" s="513">
        <v>0.8195179843725906</v>
      </c>
      <c r="O18" s="514" t="s">
        <v>1238</v>
      </c>
      <c r="P18" s="14" t="s">
        <v>1236</v>
      </c>
    </row>
    <row r="19" spans="1:16" s="14" customFormat="1" ht="39.950000000000003" customHeight="1">
      <c r="A19" s="506" t="s">
        <v>412</v>
      </c>
      <c r="B19" s="507" t="s">
        <v>1256</v>
      </c>
      <c r="C19" s="509" t="s">
        <v>1258</v>
      </c>
      <c r="D19" s="506">
        <v>1</v>
      </c>
      <c r="E19" s="511">
        <v>1</v>
      </c>
      <c r="F19" s="511">
        <v>100703.92</v>
      </c>
      <c r="G19" s="511">
        <v>100703.92</v>
      </c>
      <c r="H19" s="513">
        <v>3.2564449035756012E-2</v>
      </c>
      <c r="I19" s="513">
        <v>0.91210234664190237</v>
      </c>
      <c r="J19" s="514" t="s">
        <v>1238</v>
      </c>
      <c r="K19" s="511">
        <v>337648.59</v>
      </c>
      <c r="L19" s="511">
        <v>337648.59</v>
      </c>
      <c r="M19" s="513">
        <v>9.9273416696027877E-2</v>
      </c>
      <c r="N19" s="513">
        <v>0.91879140106861845</v>
      </c>
      <c r="O19" s="514" t="s">
        <v>1238</v>
      </c>
      <c r="P19" s="14" t="s">
        <v>1236</v>
      </c>
    </row>
    <row r="20" spans="1:16" s="14" customFormat="1" ht="39.950000000000003" customHeight="1">
      <c r="A20" s="506" t="s">
        <v>277</v>
      </c>
      <c r="B20" s="507" t="s">
        <v>3536</v>
      </c>
      <c r="C20" s="509" t="s">
        <v>464</v>
      </c>
      <c r="D20" s="506">
        <v>1</v>
      </c>
      <c r="E20" s="511">
        <v>258.60000000000002</v>
      </c>
      <c r="F20" s="511">
        <v>383.88</v>
      </c>
      <c r="G20" s="511">
        <v>99271.360000000001</v>
      </c>
      <c r="H20" s="513">
        <v>3.2101204634637739E-2</v>
      </c>
      <c r="I20" s="513">
        <v>0.9442035512765401</v>
      </c>
      <c r="J20" s="514" t="s">
        <v>1238</v>
      </c>
      <c r="K20" s="511">
        <v>378.16</v>
      </c>
      <c r="L20" s="511">
        <v>97792.17</v>
      </c>
      <c r="M20" s="513">
        <v>2.8752268274002849E-2</v>
      </c>
      <c r="N20" s="513">
        <v>0.94754366934262135</v>
      </c>
      <c r="O20" s="514" t="s">
        <v>1238</v>
      </c>
      <c r="P20" s="14" t="s">
        <v>1236</v>
      </c>
    </row>
    <row r="21" spans="1:16" s="14" customFormat="1" ht="39.950000000000003" customHeight="1">
      <c r="A21" s="506">
        <v>95876</v>
      </c>
      <c r="B21" s="507" t="s">
        <v>3537</v>
      </c>
      <c r="C21" s="509" t="s">
        <v>3538</v>
      </c>
      <c r="D21" s="506">
        <v>95</v>
      </c>
      <c r="E21" s="511">
        <v>19751.88</v>
      </c>
      <c r="F21" s="511">
        <v>2.52</v>
      </c>
      <c r="G21" s="511">
        <v>49774.73</v>
      </c>
      <c r="H21" s="513">
        <v>1.6095566670627282E-2</v>
      </c>
      <c r="I21" s="513">
        <v>0.96029911794716738</v>
      </c>
      <c r="J21" s="514" t="s">
        <v>1240</v>
      </c>
      <c r="K21" s="511">
        <v>2.66</v>
      </c>
      <c r="L21" s="511">
        <v>52539.990000000005</v>
      </c>
      <c r="M21" s="513">
        <v>1.5447493266520491E-2</v>
      </c>
      <c r="N21" s="513">
        <v>0.96299116260914186</v>
      </c>
      <c r="O21" s="514" t="s">
        <v>1240</v>
      </c>
      <c r="P21" s="14" t="s">
        <v>1236</v>
      </c>
    </row>
    <row r="22" spans="1:16" s="14" customFormat="1" ht="39.950000000000003" customHeight="1">
      <c r="A22" s="506" t="s">
        <v>287</v>
      </c>
      <c r="B22" s="507" t="s">
        <v>3539</v>
      </c>
      <c r="C22" s="509" t="s">
        <v>1418</v>
      </c>
      <c r="D22" s="506">
        <v>6</v>
      </c>
      <c r="E22" s="511">
        <v>8620</v>
      </c>
      <c r="F22" s="511">
        <v>2.86</v>
      </c>
      <c r="G22" s="511">
        <v>24653.200000000001</v>
      </c>
      <c r="H22" s="513">
        <v>7.9720618121747414E-3</v>
      </c>
      <c r="I22" s="513">
        <v>0.96827117975934207</v>
      </c>
      <c r="J22" s="514" t="s">
        <v>1240</v>
      </c>
      <c r="K22" s="511">
        <v>2.95</v>
      </c>
      <c r="L22" s="511">
        <v>25429</v>
      </c>
      <c r="M22" s="513">
        <v>7.4764823189793061E-3</v>
      </c>
      <c r="N22" s="513">
        <v>0.97046764492812121</v>
      </c>
      <c r="O22" s="514" t="s">
        <v>1240</v>
      </c>
      <c r="P22" s="14" t="s">
        <v>1236</v>
      </c>
    </row>
    <row r="23" spans="1:16" s="14" customFormat="1" ht="30" customHeight="1">
      <c r="A23" s="506" t="s">
        <v>89</v>
      </c>
      <c r="B23" s="507" t="s">
        <v>3540</v>
      </c>
      <c r="C23" s="509" t="s">
        <v>3541</v>
      </c>
      <c r="D23" s="506">
        <v>2</v>
      </c>
      <c r="E23" s="511">
        <v>12</v>
      </c>
      <c r="F23" s="511">
        <v>1870.85</v>
      </c>
      <c r="G23" s="511">
        <v>22450.2</v>
      </c>
      <c r="H23" s="513">
        <v>7.2596815867994975E-3</v>
      </c>
      <c r="I23" s="513">
        <v>0.97553086134614153</v>
      </c>
      <c r="J23" s="514" t="s">
        <v>1240</v>
      </c>
      <c r="K23" s="511">
        <v>1964.47</v>
      </c>
      <c r="L23" s="511">
        <v>23573.64</v>
      </c>
      <c r="M23" s="513">
        <v>6.9309804811035951E-3</v>
      </c>
      <c r="N23" s="513">
        <v>0.97739862540922484</v>
      </c>
      <c r="O23" s="514" t="s">
        <v>1240</v>
      </c>
      <c r="P23" s="14" t="s">
        <v>1236</v>
      </c>
    </row>
    <row r="24" spans="1:16" s="14" customFormat="1" ht="39.950000000000003" customHeight="1">
      <c r="A24" s="506" t="s">
        <v>88</v>
      </c>
      <c r="B24" s="507" t="s">
        <v>1449</v>
      </c>
      <c r="C24" s="509" t="s">
        <v>3542</v>
      </c>
      <c r="D24" s="506">
        <v>1</v>
      </c>
      <c r="E24" s="511">
        <v>12</v>
      </c>
      <c r="F24" s="511">
        <v>1140.8900000000001</v>
      </c>
      <c r="G24" s="511">
        <v>13690.68</v>
      </c>
      <c r="H24" s="513">
        <v>4.4271310503587562E-3</v>
      </c>
      <c r="I24" s="513">
        <v>0.97995799239650028</v>
      </c>
      <c r="J24" s="514" t="s">
        <v>1240</v>
      </c>
      <c r="K24" s="511">
        <v>1197.98</v>
      </c>
      <c r="L24" s="511">
        <v>14375.76</v>
      </c>
      <c r="M24" s="513">
        <v>4.2266748775763871E-3</v>
      </c>
      <c r="N24" s="513">
        <v>0.98162530028680128</v>
      </c>
      <c r="O24" s="514" t="s">
        <v>1240</v>
      </c>
      <c r="P24" s="14" t="s">
        <v>1236</v>
      </c>
    </row>
    <row r="25" spans="1:16" s="14" customFormat="1" ht="39.950000000000003" customHeight="1">
      <c r="A25" s="506" t="s">
        <v>86</v>
      </c>
      <c r="B25" s="507" t="s">
        <v>1435</v>
      </c>
      <c r="C25" s="509" t="s">
        <v>3542</v>
      </c>
      <c r="D25" s="506">
        <v>1</v>
      </c>
      <c r="E25" s="511">
        <v>12</v>
      </c>
      <c r="F25" s="511">
        <v>1004.82</v>
      </c>
      <c r="G25" s="511">
        <v>12057.84</v>
      </c>
      <c r="H25" s="513">
        <v>3.8991224588010112E-3</v>
      </c>
      <c r="I25" s="513">
        <v>0.98385711485530125</v>
      </c>
      <c r="J25" s="514" t="s">
        <v>1240</v>
      </c>
      <c r="K25" s="511">
        <v>1055.1099999999999</v>
      </c>
      <c r="L25" s="511">
        <v>12661.32</v>
      </c>
      <c r="M25" s="513">
        <v>3.7226054943151152E-3</v>
      </c>
      <c r="N25" s="513">
        <v>0.98534790578111642</v>
      </c>
      <c r="O25" s="514" t="s">
        <v>1240</v>
      </c>
      <c r="P25" s="14" t="s">
        <v>1236</v>
      </c>
    </row>
    <row r="26" spans="1:16" s="14" customFormat="1" ht="50.1" customHeight="1">
      <c r="A26" s="506" t="s">
        <v>93</v>
      </c>
      <c r="B26" s="507" t="s">
        <v>1432</v>
      </c>
      <c r="C26" s="509" t="s">
        <v>58</v>
      </c>
      <c r="D26" s="506">
        <v>1</v>
      </c>
      <c r="E26" s="511">
        <v>200</v>
      </c>
      <c r="F26" s="511">
        <v>47.23</v>
      </c>
      <c r="G26" s="511">
        <v>9446</v>
      </c>
      <c r="H26" s="513">
        <v>3.0545363635472314E-3</v>
      </c>
      <c r="I26" s="513">
        <v>0.9869116512188485</v>
      </c>
      <c r="J26" s="514" t="s">
        <v>1240</v>
      </c>
      <c r="K26" s="511">
        <v>44.32</v>
      </c>
      <c r="L26" s="511">
        <v>8864</v>
      </c>
      <c r="M26" s="513">
        <v>2.606140205097824E-3</v>
      </c>
      <c r="N26" s="513">
        <v>0.98795404598621428</v>
      </c>
      <c r="O26" s="514" t="s">
        <v>1240</v>
      </c>
      <c r="P26" s="14" t="s">
        <v>1236</v>
      </c>
    </row>
    <row r="27" spans="1:16" s="14" customFormat="1" ht="39.950000000000003" customHeight="1">
      <c r="A27" s="506" t="s">
        <v>87</v>
      </c>
      <c r="B27" s="507" t="s">
        <v>1440</v>
      </c>
      <c r="C27" s="509" t="s">
        <v>3542</v>
      </c>
      <c r="D27" s="506">
        <v>1</v>
      </c>
      <c r="E27" s="511">
        <v>12</v>
      </c>
      <c r="F27" s="511">
        <v>785.02</v>
      </c>
      <c r="G27" s="511">
        <v>9420.24</v>
      </c>
      <c r="H27" s="513">
        <v>3.0462063977707145E-3</v>
      </c>
      <c r="I27" s="513">
        <v>0.98995785761661925</v>
      </c>
      <c r="J27" s="514" t="s">
        <v>1240</v>
      </c>
      <c r="K27" s="511">
        <v>824.3</v>
      </c>
      <c r="L27" s="511">
        <v>9891.6</v>
      </c>
      <c r="M27" s="513">
        <v>2.9082690041454915E-3</v>
      </c>
      <c r="N27" s="513">
        <v>0.99086231499035982</v>
      </c>
      <c r="O27" s="514" t="s">
        <v>1240</v>
      </c>
      <c r="P27" s="14" t="s">
        <v>1236</v>
      </c>
    </row>
    <row r="28" spans="1:16" s="14" customFormat="1" ht="39.950000000000003" customHeight="1">
      <c r="A28" s="506" t="s">
        <v>94</v>
      </c>
      <c r="B28" s="507" t="s">
        <v>3543</v>
      </c>
      <c r="C28" s="509" t="s">
        <v>1418</v>
      </c>
      <c r="D28" s="506">
        <v>3</v>
      </c>
      <c r="E28" s="511">
        <v>7.2</v>
      </c>
      <c r="F28" s="511">
        <v>1194.27</v>
      </c>
      <c r="G28" s="511">
        <v>8598.74</v>
      </c>
      <c r="H28" s="513">
        <v>2.7805593913495788E-3</v>
      </c>
      <c r="I28" s="513">
        <v>0.99273841700796883</v>
      </c>
      <c r="J28" s="514" t="s">
        <v>1240</v>
      </c>
      <c r="K28" s="511">
        <v>1191.1099999999999</v>
      </c>
      <c r="L28" s="511">
        <v>8575.99</v>
      </c>
      <c r="M28" s="513">
        <v>2.521461229413006E-3</v>
      </c>
      <c r="N28" s="513">
        <v>0.99338377621977281</v>
      </c>
      <c r="O28" s="514" t="s">
        <v>1240</v>
      </c>
      <c r="P28" s="14" t="s">
        <v>1236</v>
      </c>
    </row>
    <row r="29" spans="1:16" s="14" customFormat="1" ht="39.950000000000003" customHeight="1">
      <c r="A29" s="506" t="s">
        <v>82</v>
      </c>
      <c r="B29" s="507" t="s">
        <v>3544</v>
      </c>
      <c r="C29" s="509" t="s">
        <v>1418</v>
      </c>
      <c r="D29" s="506">
        <v>1</v>
      </c>
      <c r="E29" s="511">
        <v>16</v>
      </c>
      <c r="F29" s="511">
        <v>435.38</v>
      </c>
      <c r="G29" s="511">
        <v>6966.08</v>
      </c>
      <c r="H29" s="513">
        <v>2.2526090060744335E-3</v>
      </c>
      <c r="I29" s="513">
        <v>0.99499102601404321</v>
      </c>
      <c r="J29" s="514" t="s">
        <v>1240</v>
      </c>
      <c r="K29" s="511">
        <v>449.49</v>
      </c>
      <c r="L29" s="511">
        <v>7191.84</v>
      </c>
      <c r="M29" s="513">
        <v>2.1145017342769331E-3</v>
      </c>
      <c r="N29" s="513">
        <v>0.99549827795404977</v>
      </c>
      <c r="O29" s="514" t="s">
        <v>1240</v>
      </c>
      <c r="P29" s="14" t="s">
        <v>1236</v>
      </c>
    </row>
    <row r="30" spans="1:16" s="14" customFormat="1" ht="50.1" customHeight="1">
      <c r="A30" s="506">
        <v>100979</v>
      </c>
      <c r="B30" s="507" t="s">
        <v>1420</v>
      </c>
      <c r="C30" s="509" t="s">
        <v>464</v>
      </c>
      <c r="D30" s="506">
        <v>6</v>
      </c>
      <c r="E30" s="511">
        <v>500</v>
      </c>
      <c r="F30" s="511">
        <v>7.72</v>
      </c>
      <c r="G30" s="511">
        <v>3860</v>
      </c>
      <c r="H30" s="513">
        <v>1.2482013935308399E-3</v>
      </c>
      <c r="I30" s="513">
        <v>0.99623922740757409</v>
      </c>
      <c r="J30" s="514" t="s">
        <v>1240</v>
      </c>
      <c r="K30" s="511">
        <v>8.11</v>
      </c>
      <c r="L30" s="511">
        <v>4055</v>
      </c>
      <c r="M30" s="513">
        <v>1.1922268199088082E-3</v>
      </c>
      <c r="N30" s="513">
        <v>0.9966905047739586</v>
      </c>
      <c r="O30" s="514" t="s">
        <v>1240</v>
      </c>
      <c r="P30" s="14" t="s">
        <v>1236</v>
      </c>
    </row>
    <row r="31" spans="1:16" s="14" customFormat="1" ht="39.950000000000003" customHeight="1">
      <c r="A31" s="506" t="s">
        <v>91</v>
      </c>
      <c r="B31" s="507" t="s">
        <v>1425</v>
      </c>
      <c r="C31" s="509" t="s">
        <v>1418</v>
      </c>
      <c r="D31" s="506">
        <v>2</v>
      </c>
      <c r="E31" s="511">
        <v>625</v>
      </c>
      <c r="F31" s="511">
        <v>5.78</v>
      </c>
      <c r="G31" s="511">
        <v>3612.5</v>
      </c>
      <c r="H31" s="513">
        <v>1.1681677549559997E-3</v>
      </c>
      <c r="I31" s="513">
        <v>0.99740739516253007</v>
      </c>
      <c r="J31" s="514" t="s">
        <v>1240</v>
      </c>
      <c r="K31" s="511">
        <v>5.77</v>
      </c>
      <c r="L31" s="511">
        <v>3606.25</v>
      </c>
      <c r="M31" s="513">
        <v>1.0602880318856078E-3</v>
      </c>
      <c r="N31" s="513">
        <v>0.99775079280584422</v>
      </c>
      <c r="O31" s="514" t="s">
        <v>1240</v>
      </c>
      <c r="P31" s="14" t="s">
        <v>1236</v>
      </c>
    </row>
    <row r="32" spans="1:16" s="14" customFormat="1" ht="39.950000000000003" customHeight="1">
      <c r="A32" s="506">
        <v>93593</v>
      </c>
      <c r="B32" s="507" t="s">
        <v>3545</v>
      </c>
      <c r="C32" s="509" t="s">
        <v>3538</v>
      </c>
      <c r="D32" s="506">
        <v>85</v>
      </c>
      <c r="E32" s="511">
        <v>2750</v>
      </c>
      <c r="F32" s="511">
        <v>1.01</v>
      </c>
      <c r="G32" s="511">
        <v>2777.5</v>
      </c>
      <c r="H32" s="513">
        <v>8.9815527733987251E-4</v>
      </c>
      <c r="I32" s="513">
        <v>0.9983055504398699</v>
      </c>
      <c r="J32" s="514" t="s">
        <v>1240</v>
      </c>
      <c r="K32" s="511">
        <v>1.07</v>
      </c>
      <c r="L32" s="511">
        <v>2942.5</v>
      </c>
      <c r="M32" s="513">
        <v>8.6513623121619438E-4</v>
      </c>
      <c r="N32" s="513">
        <v>0.99861592903706042</v>
      </c>
      <c r="O32" s="514" t="s">
        <v>1240</v>
      </c>
      <c r="P32" s="14" t="s">
        <v>1236</v>
      </c>
    </row>
    <row r="33" spans="1:16" s="14" customFormat="1" ht="39.950000000000003" customHeight="1">
      <c r="A33" s="506" t="s">
        <v>90</v>
      </c>
      <c r="B33" s="507" t="s">
        <v>1417</v>
      </c>
      <c r="C33" s="509" t="s">
        <v>1418</v>
      </c>
      <c r="D33" s="506">
        <v>1</v>
      </c>
      <c r="E33" s="511">
        <v>2500</v>
      </c>
      <c r="F33" s="511">
        <v>0.76</v>
      </c>
      <c r="G33" s="511">
        <v>1900</v>
      </c>
      <c r="H33" s="513">
        <v>6.1439964966543935E-4</v>
      </c>
      <c r="I33" s="513">
        <v>0.99891995008953538</v>
      </c>
      <c r="J33" s="515" t="s">
        <v>1240</v>
      </c>
      <c r="K33" s="511">
        <v>0.46</v>
      </c>
      <c r="L33" s="511">
        <v>1150</v>
      </c>
      <c r="M33" s="513">
        <v>3.3811611415416264E-4</v>
      </c>
      <c r="N33" s="513">
        <v>0.99895404515121455</v>
      </c>
      <c r="O33" s="514" t="s">
        <v>1240</v>
      </c>
      <c r="P33" s="14" t="s">
        <v>1236</v>
      </c>
    </row>
    <row r="34" spans="1:16" s="14" customFormat="1" ht="39.950000000000003" customHeight="1">
      <c r="A34" s="506">
        <v>102333</v>
      </c>
      <c r="B34" s="507" t="s">
        <v>3546</v>
      </c>
      <c r="C34" s="509" t="s">
        <v>3534</v>
      </c>
      <c r="D34" s="506">
        <v>20</v>
      </c>
      <c r="E34" s="511">
        <v>2000</v>
      </c>
      <c r="F34" s="511">
        <v>0.86</v>
      </c>
      <c r="G34" s="511">
        <v>1720</v>
      </c>
      <c r="H34" s="513">
        <v>5.5619336706555554E-4</v>
      </c>
      <c r="I34" s="513">
        <v>0.99947614345660096</v>
      </c>
      <c r="J34" s="515" t="s">
        <v>1240</v>
      </c>
      <c r="K34" s="511">
        <v>0.92</v>
      </c>
      <c r="L34" s="511">
        <v>1840</v>
      </c>
      <c r="M34" s="513">
        <v>5.4098578264666017E-4</v>
      </c>
      <c r="N34" s="513">
        <v>0.99949503093386116</v>
      </c>
      <c r="O34" s="514" t="s">
        <v>1240</v>
      </c>
      <c r="P34" s="14" t="s">
        <v>1236</v>
      </c>
    </row>
    <row r="35" spans="1:16" ht="30" customHeight="1">
      <c r="A35" s="28">
        <v>102332</v>
      </c>
      <c r="B35" s="508" t="s">
        <v>3547</v>
      </c>
      <c r="C35" s="510" t="s">
        <v>3534</v>
      </c>
      <c r="D35" s="28">
        <v>20</v>
      </c>
      <c r="E35" s="512">
        <v>750</v>
      </c>
      <c r="F35" s="512">
        <v>2.16</v>
      </c>
      <c r="G35" s="512">
        <v>1620</v>
      </c>
      <c r="H35" s="516">
        <v>5.238565433989535E-4</v>
      </c>
      <c r="I35" s="516">
        <v>0.99999999999999989</v>
      </c>
      <c r="J35" s="517" t="s">
        <v>1240</v>
      </c>
      <c r="K35" s="512">
        <v>2.29</v>
      </c>
      <c r="L35" s="512">
        <v>1717.5</v>
      </c>
      <c r="M35" s="513">
        <v>5.0496906613893414E-4</v>
      </c>
      <c r="N35" s="516">
        <v>1</v>
      </c>
      <c r="O35" s="518" t="s">
        <v>1240</v>
      </c>
      <c r="P35" s="13" t="s">
        <v>1236</v>
      </c>
    </row>
    <row r="36" spans="1:16">
      <c r="A36" s="28"/>
      <c r="B36" s="508"/>
      <c r="C36" s="510"/>
      <c r="D36" s="28"/>
      <c r="E36" s="512"/>
      <c r="F36" s="512"/>
      <c r="G36" s="512"/>
      <c r="H36" s="516">
        <v>0</v>
      </c>
      <c r="I36" s="516">
        <v>0.99999999999999989</v>
      </c>
      <c r="J36" s="517" t="s">
        <v>1240</v>
      </c>
      <c r="K36" s="512"/>
      <c r="L36" s="512"/>
      <c r="M36" s="513">
        <v>0</v>
      </c>
      <c r="N36" s="516">
        <v>1</v>
      </c>
      <c r="O36" s="518" t="s">
        <v>1240</v>
      </c>
      <c r="P36" s="13" t="s">
        <v>1236</v>
      </c>
    </row>
    <row r="37" spans="1:16">
      <c r="A37" s="28"/>
      <c r="B37" s="508"/>
      <c r="C37" s="510"/>
      <c r="D37" s="28"/>
      <c r="E37" s="512"/>
      <c r="F37" s="512"/>
      <c r="G37" s="512"/>
      <c r="H37" s="516">
        <v>0</v>
      </c>
      <c r="I37" s="516">
        <v>0.99999999999999989</v>
      </c>
      <c r="J37" s="517" t="s">
        <v>1240</v>
      </c>
      <c r="K37" s="512"/>
      <c r="L37" s="512"/>
      <c r="M37" s="513">
        <v>0</v>
      </c>
      <c r="N37" s="516">
        <v>1</v>
      </c>
      <c r="O37" s="518" t="s">
        <v>1240</v>
      </c>
      <c r="P37" s="13" t="s">
        <v>1236</v>
      </c>
    </row>
    <row r="38" spans="1:16">
      <c r="A38" s="28"/>
      <c r="B38" s="508"/>
      <c r="C38" s="510"/>
      <c r="D38" s="28"/>
      <c r="E38" s="512"/>
      <c r="F38" s="512"/>
      <c r="G38" s="512"/>
      <c r="H38" s="516">
        <v>0</v>
      </c>
      <c r="I38" s="516">
        <v>0.99999999999999989</v>
      </c>
      <c r="J38" s="517" t="s">
        <v>1240</v>
      </c>
      <c r="K38" s="512"/>
      <c r="L38" s="512"/>
      <c r="M38" s="513">
        <v>0</v>
      </c>
      <c r="N38" s="516">
        <v>1</v>
      </c>
      <c r="O38" s="518" t="s">
        <v>1240</v>
      </c>
      <c r="P38" s="13" t="s">
        <v>1236</v>
      </c>
    </row>
    <row r="39" spans="1:16">
      <c r="A39" s="28"/>
      <c r="B39" s="508"/>
      <c r="C39" s="510"/>
      <c r="D39" s="28"/>
      <c r="E39" s="512"/>
      <c r="F39" s="512"/>
      <c r="G39" s="512"/>
      <c r="H39" s="516">
        <v>0</v>
      </c>
      <c r="I39" s="516">
        <v>0.99999999999999989</v>
      </c>
      <c r="J39" s="517" t="s">
        <v>1240</v>
      </c>
      <c r="K39" s="512"/>
      <c r="L39" s="512"/>
      <c r="M39" s="513">
        <v>0</v>
      </c>
      <c r="N39" s="516">
        <v>1</v>
      </c>
      <c r="O39" s="518" t="s">
        <v>1240</v>
      </c>
      <c r="P39" s="13" t="s">
        <v>1236</v>
      </c>
    </row>
    <row r="40" spans="1:16">
      <c r="A40" s="28"/>
      <c r="B40" s="508"/>
      <c r="C40" s="510"/>
      <c r="D40" s="28"/>
      <c r="E40" s="512"/>
      <c r="F40" s="512"/>
      <c r="G40" s="512"/>
      <c r="H40" s="516">
        <v>0</v>
      </c>
      <c r="I40" s="516">
        <v>0.99999999999999989</v>
      </c>
      <c r="J40" s="517" t="s">
        <v>1240</v>
      </c>
      <c r="K40" s="512"/>
      <c r="L40" s="512"/>
      <c r="M40" s="513">
        <v>0</v>
      </c>
      <c r="N40" s="516">
        <v>1</v>
      </c>
      <c r="O40" s="518" t="s">
        <v>1240</v>
      </c>
      <c r="P40" s="13" t="s">
        <v>1236</v>
      </c>
    </row>
    <row r="41" spans="1:16">
      <c r="A41" s="28"/>
      <c r="B41" s="508"/>
      <c r="C41" s="510"/>
      <c r="D41" s="28"/>
      <c r="E41" s="512"/>
      <c r="F41" s="512"/>
      <c r="G41" s="512"/>
      <c r="H41" s="516">
        <v>0</v>
      </c>
      <c r="I41" s="516">
        <v>0.99999999999999989</v>
      </c>
      <c r="J41" s="517" t="s">
        <v>1240</v>
      </c>
      <c r="K41" s="512"/>
      <c r="L41" s="512"/>
      <c r="M41" s="513">
        <v>0</v>
      </c>
      <c r="N41" s="516">
        <v>1</v>
      </c>
      <c r="O41" s="518" t="s">
        <v>1240</v>
      </c>
      <c r="P41" s="13" t="s">
        <v>1236</v>
      </c>
    </row>
    <row r="42" spans="1:16">
      <c r="A42" s="28"/>
      <c r="B42" s="508"/>
      <c r="C42" s="510"/>
      <c r="D42" s="28"/>
      <c r="E42" s="512"/>
      <c r="F42" s="512"/>
      <c r="G42" s="512"/>
      <c r="H42" s="516">
        <v>0</v>
      </c>
      <c r="I42" s="516">
        <v>0.99999999999999989</v>
      </c>
      <c r="J42" s="517" t="s">
        <v>1240</v>
      </c>
      <c r="K42" s="512"/>
      <c r="L42" s="512"/>
      <c r="M42" s="513">
        <v>0</v>
      </c>
      <c r="N42" s="516">
        <v>1</v>
      </c>
      <c r="O42" s="518" t="s">
        <v>1240</v>
      </c>
      <c r="P42" s="13" t="s">
        <v>1236</v>
      </c>
    </row>
    <row r="43" spans="1:16">
      <c r="A43" s="28"/>
      <c r="B43" s="508"/>
      <c r="C43" s="510"/>
      <c r="D43" s="28"/>
      <c r="E43" s="512"/>
      <c r="F43" s="512"/>
      <c r="G43" s="512"/>
      <c r="H43" s="516">
        <v>0</v>
      </c>
      <c r="I43" s="516">
        <v>0.99999999999999989</v>
      </c>
      <c r="J43" s="517" t="s">
        <v>1240</v>
      </c>
      <c r="K43" s="512"/>
      <c r="L43" s="512"/>
      <c r="M43" s="513">
        <v>0</v>
      </c>
      <c r="N43" s="516">
        <v>1</v>
      </c>
      <c r="O43" s="518" t="s">
        <v>1240</v>
      </c>
      <c r="P43" s="13" t="s">
        <v>1236</v>
      </c>
    </row>
    <row r="44" spans="1:16">
      <c r="A44" s="28"/>
      <c r="B44" s="508"/>
      <c r="C44" s="510"/>
      <c r="D44" s="28"/>
      <c r="E44" s="512"/>
      <c r="F44" s="512"/>
      <c r="G44" s="512"/>
      <c r="H44" s="516">
        <v>0</v>
      </c>
      <c r="I44" s="516">
        <v>0.99999999999999989</v>
      </c>
      <c r="J44" s="517" t="s">
        <v>1240</v>
      </c>
      <c r="K44" s="512"/>
      <c r="L44" s="512"/>
      <c r="M44" s="513">
        <v>0</v>
      </c>
      <c r="N44" s="516">
        <v>1</v>
      </c>
      <c r="O44" s="518" t="s">
        <v>1240</v>
      </c>
      <c r="P44" s="13" t="s">
        <v>1236</v>
      </c>
    </row>
    <row r="45" spans="1:16">
      <c r="A45" s="28"/>
      <c r="B45" s="508"/>
      <c r="C45" s="510"/>
      <c r="D45" s="28"/>
      <c r="E45" s="512"/>
      <c r="F45" s="512"/>
      <c r="G45" s="512"/>
      <c r="H45" s="516">
        <v>0</v>
      </c>
      <c r="I45" s="516">
        <v>0.99999999999999989</v>
      </c>
      <c r="J45" s="517" t="s">
        <v>1240</v>
      </c>
      <c r="K45" s="512"/>
      <c r="L45" s="512"/>
      <c r="M45" s="513">
        <v>0</v>
      </c>
      <c r="N45" s="516">
        <v>1</v>
      </c>
      <c r="O45" s="518" t="s">
        <v>1240</v>
      </c>
      <c r="P45" s="13" t="s">
        <v>1236</v>
      </c>
    </row>
    <row r="46" spans="1:16">
      <c r="A46" s="28"/>
      <c r="B46" s="508"/>
      <c r="C46" s="510"/>
      <c r="D46" s="28"/>
      <c r="E46" s="512"/>
      <c r="F46" s="512"/>
      <c r="G46" s="512"/>
      <c r="H46" s="516">
        <v>0</v>
      </c>
      <c r="I46" s="516">
        <v>0.99999999999999989</v>
      </c>
      <c r="J46" s="517" t="s">
        <v>1240</v>
      </c>
      <c r="K46" s="512"/>
      <c r="L46" s="512"/>
      <c r="M46" s="513">
        <v>0</v>
      </c>
      <c r="N46" s="516">
        <v>1</v>
      </c>
      <c r="O46" s="518" t="s">
        <v>1240</v>
      </c>
      <c r="P46" s="13" t="s">
        <v>1236</v>
      </c>
    </row>
    <row r="47" spans="1:16">
      <c r="A47" s="28"/>
      <c r="B47" s="508"/>
      <c r="C47" s="510"/>
      <c r="D47" s="28"/>
      <c r="E47" s="512"/>
      <c r="F47" s="512"/>
      <c r="G47" s="512"/>
      <c r="H47" s="516">
        <v>0</v>
      </c>
      <c r="I47" s="516">
        <v>0.99999999999999989</v>
      </c>
      <c r="J47" s="517" t="s">
        <v>1240</v>
      </c>
      <c r="K47" s="512"/>
      <c r="L47" s="512"/>
      <c r="M47" s="513">
        <v>0</v>
      </c>
      <c r="N47" s="516">
        <v>1</v>
      </c>
      <c r="O47" s="518" t="s">
        <v>1240</v>
      </c>
      <c r="P47" s="13" t="s">
        <v>1236</v>
      </c>
    </row>
    <row r="48" spans="1:16">
      <c r="A48" s="28"/>
      <c r="B48" s="508"/>
      <c r="C48" s="510"/>
      <c r="D48" s="28"/>
      <c r="E48" s="512"/>
      <c r="F48" s="512"/>
      <c r="G48" s="512"/>
      <c r="H48" s="516">
        <v>0</v>
      </c>
      <c r="I48" s="516">
        <v>0.99999999999999989</v>
      </c>
      <c r="J48" s="517" t="s">
        <v>1240</v>
      </c>
      <c r="K48" s="512"/>
      <c r="L48" s="512"/>
      <c r="M48" s="513">
        <v>0</v>
      </c>
      <c r="N48" s="516">
        <v>1</v>
      </c>
      <c r="O48" s="518" t="s">
        <v>1240</v>
      </c>
      <c r="P48" s="13" t="s">
        <v>1236</v>
      </c>
    </row>
    <row r="49" spans="1:16">
      <c r="A49" s="28"/>
      <c r="B49" s="508"/>
      <c r="C49" s="510"/>
      <c r="D49" s="28"/>
      <c r="E49" s="512"/>
      <c r="F49" s="512"/>
      <c r="G49" s="512"/>
      <c r="H49" s="516">
        <v>0</v>
      </c>
      <c r="I49" s="516">
        <v>0.99999999999999989</v>
      </c>
      <c r="J49" s="517" t="s">
        <v>1240</v>
      </c>
      <c r="K49" s="512"/>
      <c r="L49" s="512"/>
      <c r="M49" s="513">
        <v>0</v>
      </c>
      <c r="N49" s="516">
        <v>1</v>
      </c>
      <c r="O49" s="518" t="s">
        <v>1240</v>
      </c>
      <c r="P49" s="13" t="s">
        <v>1236</v>
      </c>
    </row>
    <row r="50" spans="1:16">
      <c r="A50" s="28"/>
      <c r="B50" s="508"/>
      <c r="C50" s="510"/>
      <c r="D50" s="28"/>
      <c r="E50" s="512"/>
      <c r="F50" s="512"/>
      <c r="G50" s="512"/>
      <c r="H50" s="516">
        <v>0</v>
      </c>
      <c r="I50" s="516">
        <v>0.99999999999999989</v>
      </c>
      <c r="J50" s="517" t="s">
        <v>1240</v>
      </c>
      <c r="K50" s="512"/>
      <c r="L50" s="512"/>
      <c r="M50" s="513">
        <v>0</v>
      </c>
      <c r="N50" s="516">
        <v>1</v>
      </c>
      <c r="O50" s="518" t="s">
        <v>1240</v>
      </c>
      <c r="P50" s="13" t="s">
        <v>1236</v>
      </c>
    </row>
    <row r="51" spans="1:16">
      <c r="A51" s="28"/>
      <c r="B51" s="508"/>
      <c r="C51" s="510"/>
      <c r="D51" s="28"/>
      <c r="E51" s="512"/>
      <c r="F51" s="512"/>
      <c r="G51" s="512"/>
      <c r="H51" s="516">
        <v>0</v>
      </c>
      <c r="I51" s="516">
        <v>0.99999999999999989</v>
      </c>
      <c r="J51" s="517" t="s">
        <v>1240</v>
      </c>
      <c r="K51" s="512"/>
      <c r="L51" s="512"/>
      <c r="M51" s="513">
        <v>0</v>
      </c>
      <c r="N51" s="516">
        <v>1</v>
      </c>
      <c r="O51" s="518" t="s">
        <v>1240</v>
      </c>
      <c r="P51" s="13" t="s">
        <v>1236</v>
      </c>
    </row>
    <row r="52" spans="1:16">
      <c r="A52" s="28"/>
      <c r="B52" s="508"/>
      <c r="C52" s="510"/>
      <c r="D52" s="28"/>
      <c r="E52" s="512"/>
      <c r="F52" s="512"/>
      <c r="G52" s="512"/>
      <c r="H52" s="516">
        <v>0</v>
      </c>
      <c r="I52" s="516">
        <v>0.99999999999999989</v>
      </c>
      <c r="J52" s="517" t="s">
        <v>1240</v>
      </c>
      <c r="K52" s="512"/>
      <c r="L52" s="512"/>
      <c r="M52" s="513">
        <v>0</v>
      </c>
      <c r="N52" s="516">
        <v>1</v>
      </c>
      <c r="O52" s="518" t="s">
        <v>1240</v>
      </c>
      <c r="P52" s="13" t="s">
        <v>1236</v>
      </c>
    </row>
    <row r="53" spans="1:16">
      <c r="A53" s="28"/>
      <c r="B53" s="508"/>
      <c r="C53" s="510"/>
      <c r="D53" s="28"/>
      <c r="E53" s="512"/>
      <c r="F53" s="512"/>
      <c r="G53" s="512"/>
      <c r="H53" s="516">
        <v>0</v>
      </c>
      <c r="I53" s="516">
        <v>0.99999999999999989</v>
      </c>
      <c r="J53" s="517" t="s">
        <v>1240</v>
      </c>
      <c r="K53" s="512"/>
      <c r="L53" s="512"/>
      <c r="M53" s="513">
        <v>0</v>
      </c>
      <c r="N53" s="516">
        <v>1</v>
      </c>
      <c r="O53" s="518" t="s">
        <v>1240</v>
      </c>
      <c r="P53" s="13" t="s">
        <v>1236</v>
      </c>
    </row>
    <row r="54" spans="1:16">
      <c r="A54" s="28"/>
      <c r="B54" s="508"/>
      <c r="C54" s="510"/>
      <c r="D54" s="28"/>
      <c r="E54" s="512"/>
      <c r="F54" s="512"/>
      <c r="G54" s="512"/>
      <c r="H54" s="516">
        <v>0</v>
      </c>
      <c r="I54" s="516">
        <v>0.99999999999999989</v>
      </c>
      <c r="J54" s="517" t="s">
        <v>1240</v>
      </c>
      <c r="K54" s="512"/>
      <c r="L54" s="512"/>
      <c r="M54" s="513">
        <v>0</v>
      </c>
      <c r="N54" s="516">
        <v>1</v>
      </c>
      <c r="O54" s="518" t="s">
        <v>1240</v>
      </c>
      <c r="P54" s="13" t="s">
        <v>1236</v>
      </c>
    </row>
    <row r="55" spans="1:16">
      <c r="A55" s="28"/>
      <c r="B55" s="508"/>
      <c r="C55" s="510"/>
      <c r="D55" s="28"/>
      <c r="E55" s="512"/>
      <c r="F55" s="512"/>
      <c r="G55" s="512"/>
      <c r="H55" s="516">
        <v>0</v>
      </c>
      <c r="I55" s="516">
        <v>0.99999999999999989</v>
      </c>
      <c r="J55" s="517" t="s">
        <v>1240</v>
      </c>
      <c r="K55" s="512"/>
      <c r="L55" s="512"/>
      <c r="M55" s="513">
        <v>0</v>
      </c>
      <c r="N55" s="516">
        <v>1</v>
      </c>
      <c r="O55" s="518" t="s">
        <v>1240</v>
      </c>
      <c r="P55" s="13" t="s">
        <v>1236</v>
      </c>
    </row>
    <row r="56" spans="1:16">
      <c r="A56" s="28"/>
      <c r="B56" s="508"/>
      <c r="C56" s="510"/>
      <c r="D56" s="28"/>
      <c r="E56" s="512"/>
      <c r="F56" s="512"/>
      <c r="G56" s="512"/>
      <c r="H56" s="516">
        <v>0</v>
      </c>
      <c r="I56" s="516">
        <v>0.99999999999999989</v>
      </c>
      <c r="J56" s="517" t="s">
        <v>1240</v>
      </c>
      <c r="K56" s="512"/>
      <c r="L56" s="512"/>
      <c r="M56" s="513">
        <v>0</v>
      </c>
      <c r="N56" s="516">
        <v>1</v>
      </c>
      <c r="O56" s="518" t="s">
        <v>1240</v>
      </c>
      <c r="P56" s="13" t="s">
        <v>1236</v>
      </c>
    </row>
    <row r="57" spans="1:16">
      <c r="A57" s="28"/>
      <c r="B57" s="508"/>
      <c r="C57" s="510"/>
      <c r="D57" s="28"/>
      <c r="E57" s="512"/>
      <c r="F57" s="512"/>
      <c r="G57" s="512"/>
      <c r="H57" s="516">
        <v>0</v>
      </c>
      <c r="I57" s="516">
        <v>0.99999999999999989</v>
      </c>
      <c r="J57" s="517" t="s">
        <v>1240</v>
      </c>
      <c r="K57" s="512"/>
      <c r="L57" s="512"/>
      <c r="M57" s="513">
        <v>0</v>
      </c>
      <c r="N57" s="516">
        <v>1</v>
      </c>
      <c r="O57" s="518" t="s">
        <v>1240</v>
      </c>
      <c r="P57" s="13" t="s">
        <v>1236</v>
      </c>
    </row>
    <row r="58" spans="1:16">
      <c r="A58" s="28"/>
      <c r="B58" s="508"/>
      <c r="C58" s="510"/>
      <c r="D58" s="28"/>
      <c r="E58" s="512"/>
      <c r="F58" s="512"/>
      <c r="G58" s="512"/>
      <c r="H58" s="516">
        <v>0</v>
      </c>
      <c r="I58" s="516">
        <v>0.99999999999999989</v>
      </c>
      <c r="J58" s="517" t="s">
        <v>1240</v>
      </c>
      <c r="K58" s="512"/>
      <c r="L58" s="512"/>
      <c r="M58" s="513">
        <v>0</v>
      </c>
      <c r="N58" s="516">
        <v>1</v>
      </c>
      <c r="O58" s="518" t="s">
        <v>1240</v>
      </c>
      <c r="P58" s="13" t="s">
        <v>1236</v>
      </c>
    </row>
    <row r="59" spans="1:16">
      <c r="A59" s="28"/>
      <c r="B59" s="508"/>
      <c r="C59" s="510"/>
      <c r="D59" s="28"/>
      <c r="E59" s="512"/>
      <c r="F59" s="512"/>
      <c r="G59" s="512"/>
      <c r="H59" s="516">
        <v>0</v>
      </c>
      <c r="I59" s="516">
        <v>0.99999999999999989</v>
      </c>
      <c r="J59" s="517" t="s">
        <v>1240</v>
      </c>
      <c r="K59" s="512"/>
      <c r="L59" s="512"/>
      <c r="M59" s="513">
        <v>0</v>
      </c>
      <c r="N59" s="516">
        <v>1</v>
      </c>
      <c r="O59" s="518" t="s">
        <v>1240</v>
      </c>
      <c r="P59" s="13" t="s">
        <v>1236</v>
      </c>
    </row>
    <row r="60" spans="1:16">
      <c r="A60" s="28"/>
      <c r="B60" s="508"/>
      <c r="C60" s="510"/>
      <c r="D60" s="28"/>
      <c r="E60" s="512"/>
      <c r="F60" s="512"/>
      <c r="G60" s="512"/>
      <c r="H60" s="516">
        <v>0</v>
      </c>
      <c r="I60" s="516">
        <v>0.99999999999999989</v>
      </c>
      <c r="J60" s="517" t="s">
        <v>1240</v>
      </c>
      <c r="K60" s="512"/>
      <c r="L60" s="512"/>
      <c r="M60" s="513">
        <v>0</v>
      </c>
      <c r="N60" s="516">
        <v>1</v>
      </c>
      <c r="O60" s="518" t="s">
        <v>1240</v>
      </c>
      <c r="P60" s="13" t="s">
        <v>1236</v>
      </c>
    </row>
    <row r="61" spans="1:16">
      <c r="A61" s="28"/>
      <c r="B61" s="508"/>
      <c r="C61" s="510"/>
      <c r="D61" s="28"/>
      <c r="E61" s="512"/>
      <c r="F61" s="512"/>
      <c r="G61" s="512"/>
      <c r="H61" s="516">
        <v>0</v>
      </c>
      <c r="I61" s="516">
        <v>0.99999999999999989</v>
      </c>
      <c r="J61" s="517" t="s">
        <v>1240</v>
      </c>
      <c r="K61" s="512"/>
      <c r="L61" s="512"/>
      <c r="M61" s="513">
        <v>0</v>
      </c>
      <c r="N61" s="516">
        <v>1</v>
      </c>
      <c r="O61" s="518" t="s">
        <v>1240</v>
      </c>
      <c r="P61" s="13" t="s">
        <v>1236</v>
      </c>
    </row>
    <row r="62" spans="1:16">
      <c r="A62" s="28"/>
      <c r="B62" s="508"/>
      <c r="C62" s="510"/>
      <c r="D62" s="28"/>
      <c r="E62" s="512"/>
      <c r="F62" s="512"/>
      <c r="G62" s="512"/>
      <c r="H62" s="516">
        <v>0</v>
      </c>
      <c r="I62" s="516">
        <v>0.99999999999999989</v>
      </c>
      <c r="J62" s="517" t="s">
        <v>1240</v>
      </c>
      <c r="K62" s="512"/>
      <c r="L62" s="512"/>
      <c r="M62" s="513">
        <v>0</v>
      </c>
      <c r="N62" s="516">
        <v>1</v>
      </c>
      <c r="O62" s="518" t="s">
        <v>1240</v>
      </c>
      <c r="P62" s="13" t="s">
        <v>1236</v>
      </c>
    </row>
    <row r="63" spans="1:16">
      <c r="A63" s="28"/>
      <c r="B63" s="508"/>
      <c r="C63" s="510"/>
      <c r="D63" s="28"/>
      <c r="E63" s="512"/>
      <c r="F63" s="512"/>
      <c r="G63" s="512"/>
      <c r="H63" s="516">
        <v>0</v>
      </c>
      <c r="I63" s="516">
        <v>0.99999999999999989</v>
      </c>
      <c r="J63" s="517" t="s">
        <v>1240</v>
      </c>
      <c r="K63" s="512"/>
      <c r="L63" s="512"/>
      <c r="M63" s="513">
        <v>0</v>
      </c>
      <c r="N63" s="516">
        <v>1</v>
      </c>
      <c r="O63" s="518" t="s">
        <v>1240</v>
      </c>
      <c r="P63" s="13" t="s">
        <v>1236</v>
      </c>
    </row>
    <row r="64" spans="1:16">
      <c r="A64" s="28"/>
      <c r="B64" s="508"/>
      <c r="C64" s="510"/>
      <c r="D64" s="28"/>
      <c r="E64" s="512"/>
      <c r="F64" s="512"/>
      <c r="G64" s="512"/>
      <c r="H64" s="516">
        <v>0</v>
      </c>
      <c r="I64" s="516">
        <v>0.99999999999999989</v>
      </c>
      <c r="J64" s="517" t="s">
        <v>1240</v>
      </c>
      <c r="K64" s="512"/>
      <c r="L64" s="512"/>
      <c r="M64" s="513">
        <v>0</v>
      </c>
      <c r="N64" s="516">
        <v>1</v>
      </c>
      <c r="O64" s="518" t="s">
        <v>1240</v>
      </c>
      <c r="P64" s="13" t="s">
        <v>1236</v>
      </c>
    </row>
    <row r="65" spans="1:16">
      <c r="A65" s="28"/>
      <c r="B65" s="508"/>
      <c r="C65" s="510"/>
      <c r="D65" s="28"/>
      <c r="E65" s="512"/>
      <c r="F65" s="512"/>
      <c r="G65" s="512"/>
      <c r="H65" s="516">
        <v>0</v>
      </c>
      <c r="I65" s="516">
        <v>0.99999999999999989</v>
      </c>
      <c r="J65" s="517" t="s">
        <v>1240</v>
      </c>
      <c r="K65" s="512"/>
      <c r="L65" s="512"/>
      <c r="M65" s="513">
        <v>0</v>
      </c>
      <c r="N65" s="516">
        <v>1</v>
      </c>
      <c r="O65" s="518" t="s">
        <v>1240</v>
      </c>
      <c r="P65" s="13" t="s">
        <v>1236</v>
      </c>
    </row>
    <row r="66" spans="1:16">
      <c r="A66" s="28"/>
      <c r="B66" s="508"/>
      <c r="C66" s="510"/>
      <c r="D66" s="28"/>
      <c r="E66" s="512"/>
      <c r="F66" s="512"/>
      <c r="G66" s="512"/>
      <c r="H66" s="516">
        <v>0</v>
      </c>
      <c r="I66" s="516">
        <v>0.99999999999999989</v>
      </c>
      <c r="J66" s="517" t="s">
        <v>1240</v>
      </c>
      <c r="K66" s="512"/>
      <c r="L66" s="512"/>
      <c r="M66" s="513">
        <v>0</v>
      </c>
      <c r="N66" s="516">
        <v>1</v>
      </c>
      <c r="O66" s="518" t="s">
        <v>1240</v>
      </c>
      <c r="P66" s="13" t="s">
        <v>1236</v>
      </c>
    </row>
    <row r="67" spans="1:16">
      <c r="A67" s="28"/>
      <c r="B67" s="508"/>
      <c r="C67" s="510"/>
      <c r="D67" s="28"/>
      <c r="E67" s="512"/>
      <c r="F67" s="512"/>
      <c r="G67" s="512"/>
      <c r="H67" s="516">
        <v>0</v>
      </c>
      <c r="I67" s="516">
        <v>0.99999999999999989</v>
      </c>
      <c r="J67" s="517" t="s">
        <v>1240</v>
      </c>
      <c r="K67" s="512"/>
      <c r="L67" s="512"/>
      <c r="M67" s="513">
        <v>0</v>
      </c>
      <c r="N67" s="516">
        <v>1</v>
      </c>
      <c r="O67" s="518" t="s">
        <v>1240</v>
      </c>
      <c r="P67" s="13" t="s">
        <v>1236</v>
      </c>
    </row>
    <row r="68" spans="1:16">
      <c r="A68" s="28"/>
      <c r="B68" s="508"/>
      <c r="C68" s="510"/>
      <c r="D68" s="28"/>
      <c r="E68" s="512"/>
      <c r="F68" s="512"/>
      <c r="G68" s="512"/>
      <c r="H68" s="516">
        <v>0</v>
      </c>
      <c r="I68" s="516">
        <v>0.99999999999999989</v>
      </c>
      <c r="J68" s="517" t="s">
        <v>1240</v>
      </c>
      <c r="K68" s="512"/>
      <c r="L68" s="512"/>
      <c r="M68" s="513">
        <v>0</v>
      </c>
      <c r="N68" s="516">
        <v>1</v>
      </c>
      <c r="O68" s="518" t="s">
        <v>1240</v>
      </c>
      <c r="P68" s="13" t="s">
        <v>1236</v>
      </c>
    </row>
    <row r="69" spans="1:16">
      <c r="A69" s="28"/>
      <c r="B69" s="508"/>
      <c r="C69" s="510"/>
      <c r="D69" s="28"/>
      <c r="E69" s="512"/>
      <c r="F69" s="512"/>
      <c r="G69" s="512"/>
      <c r="H69" s="516">
        <v>0</v>
      </c>
      <c r="I69" s="516">
        <v>0.99999999999999989</v>
      </c>
      <c r="J69" s="517" t="s">
        <v>1240</v>
      </c>
      <c r="K69" s="512"/>
      <c r="L69" s="512"/>
      <c r="M69" s="513">
        <v>0</v>
      </c>
      <c r="N69" s="516">
        <v>1</v>
      </c>
      <c r="O69" s="518" t="s">
        <v>1240</v>
      </c>
      <c r="P69" s="13" t="s">
        <v>1236</v>
      </c>
    </row>
    <row r="70" spans="1:16">
      <c r="A70" s="28"/>
      <c r="B70" s="508"/>
      <c r="C70" s="510"/>
      <c r="D70" s="28"/>
      <c r="E70" s="512"/>
      <c r="F70" s="512"/>
      <c r="G70" s="512"/>
      <c r="H70" s="516">
        <v>0</v>
      </c>
      <c r="I70" s="516">
        <v>0.99999999999999989</v>
      </c>
      <c r="J70" s="517" t="s">
        <v>1240</v>
      </c>
      <c r="K70" s="512"/>
      <c r="L70" s="512"/>
      <c r="M70" s="513">
        <v>0</v>
      </c>
      <c r="N70" s="516">
        <v>1</v>
      </c>
      <c r="O70" s="518" t="s">
        <v>1240</v>
      </c>
      <c r="P70" s="13" t="s">
        <v>1236</v>
      </c>
    </row>
    <row r="71" spans="1:16">
      <c r="A71" s="28"/>
      <c r="B71" s="508"/>
      <c r="C71" s="510"/>
      <c r="D71" s="28"/>
      <c r="E71" s="512"/>
      <c r="F71" s="512"/>
      <c r="G71" s="512"/>
      <c r="H71" s="516">
        <v>0</v>
      </c>
      <c r="I71" s="516">
        <v>0.99999999999999989</v>
      </c>
      <c r="J71" s="517" t="s">
        <v>1240</v>
      </c>
      <c r="K71" s="512"/>
      <c r="L71" s="512"/>
      <c r="M71" s="513">
        <v>0</v>
      </c>
      <c r="N71" s="516">
        <v>1</v>
      </c>
      <c r="O71" s="518" t="s">
        <v>1240</v>
      </c>
      <c r="P71" s="13" t="s">
        <v>1236</v>
      </c>
    </row>
    <row r="72" spans="1:16">
      <c r="A72" s="28"/>
      <c r="B72" s="508"/>
      <c r="C72" s="510"/>
      <c r="D72" s="28"/>
      <c r="E72" s="512"/>
      <c r="F72" s="512"/>
      <c r="G72" s="512"/>
      <c r="H72" s="516">
        <v>0</v>
      </c>
      <c r="I72" s="516">
        <v>0.99999999999999989</v>
      </c>
      <c r="J72" s="517" t="s">
        <v>1240</v>
      </c>
      <c r="K72" s="512"/>
      <c r="L72" s="512"/>
      <c r="M72" s="513">
        <v>0</v>
      </c>
      <c r="N72" s="516">
        <v>1</v>
      </c>
      <c r="O72" s="518" t="s">
        <v>1240</v>
      </c>
      <c r="P72" s="13" t="s">
        <v>1236</v>
      </c>
    </row>
    <row r="73" spans="1:16">
      <c r="A73" s="28"/>
      <c r="B73" s="508"/>
      <c r="C73" s="510"/>
      <c r="D73" s="28"/>
      <c r="E73" s="512"/>
      <c r="F73" s="512"/>
      <c r="G73" s="512"/>
      <c r="H73" s="516">
        <v>0</v>
      </c>
      <c r="I73" s="516">
        <v>0.99999999999999989</v>
      </c>
      <c r="J73" s="517" t="s">
        <v>1240</v>
      </c>
      <c r="K73" s="512"/>
      <c r="L73" s="512"/>
      <c r="M73" s="513">
        <v>0</v>
      </c>
      <c r="N73" s="516">
        <v>1</v>
      </c>
      <c r="O73" s="518" t="s">
        <v>1240</v>
      </c>
      <c r="P73" s="13" t="s">
        <v>1236</v>
      </c>
    </row>
    <row r="74" spans="1:16">
      <c r="A74" s="28"/>
      <c r="B74" s="508"/>
      <c r="C74" s="510"/>
      <c r="D74" s="28"/>
      <c r="E74" s="512"/>
      <c r="F74" s="512"/>
      <c r="G74" s="512"/>
      <c r="H74" s="516">
        <v>0</v>
      </c>
      <c r="I74" s="516">
        <v>0.99999999999999989</v>
      </c>
      <c r="J74" s="517" t="s">
        <v>1240</v>
      </c>
      <c r="K74" s="512"/>
      <c r="L74" s="512"/>
      <c r="M74" s="513">
        <v>0</v>
      </c>
      <c r="N74" s="516">
        <v>1</v>
      </c>
      <c r="O74" s="518" t="s">
        <v>1240</v>
      </c>
      <c r="P74" s="13" t="s">
        <v>1236</v>
      </c>
    </row>
    <row r="75" spans="1:16">
      <c r="A75" s="28"/>
      <c r="B75" s="508"/>
      <c r="C75" s="510"/>
      <c r="D75" s="28"/>
      <c r="E75" s="512"/>
      <c r="F75" s="512"/>
      <c r="G75" s="512"/>
      <c r="H75" s="516">
        <v>0</v>
      </c>
      <c r="I75" s="516">
        <v>0.99999999999999989</v>
      </c>
      <c r="J75" s="517" t="s">
        <v>1240</v>
      </c>
      <c r="K75" s="512"/>
      <c r="L75" s="512"/>
      <c r="M75" s="513">
        <v>0</v>
      </c>
      <c r="N75" s="516">
        <v>1</v>
      </c>
      <c r="O75" s="518" t="s">
        <v>1240</v>
      </c>
      <c r="P75" s="13" t="s">
        <v>1236</v>
      </c>
    </row>
    <row r="76" spans="1:16">
      <c r="A76" s="28"/>
      <c r="B76" s="508"/>
      <c r="C76" s="510"/>
      <c r="D76" s="28"/>
      <c r="E76" s="512"/>
      <c r="F76" s="512"/>
      <c r="G76" s="512"/>
      <c r="H76" s="516">
        <v>0</v>
      </c>
      <c r="I76" s="516">
        <v>0.99999999999999989</v>
      </c>
      <c r="J76" s="517" t="s">
        <v>1240</v>
      </c>
      <c r="K76" s="512"/>
      <c r="L76" s="512"/>
      <c r="M76" s="513">
        <v>0</v>
      </c>
      <c r="N76" s="516">
        <v>1</v>
      </c>
      <c r="O76" s="518" t="s">
        <v>1240</v>
      </c>
      <c r="P76" s="13" t="s">
        <v>1236</v>
      </c>
    </row>
    <row r="77" spans="1:16">
      <c r="A77" s="28"/>
      <c r="B77" s="508"/>
      <c r="C77" s="510"/>
      <c r="D77" s="28"/>
      <c r="E77" s="512"/>
      <c r="F77" s="512"/>
      <c r="G77" s="512"/>
      <c r="H77" s="516">
        <v>0</v>
      </c>
      <c r="I77" s="516">
        <v>0.99999999999999989</v>
      </c>
      <c r="J77" s="517" t="s">
        <v>1240</v>
      </c>
      <c r="K77" s="512"/>
      <c r="L77" s="512"/>
      <c r="M77" s="513">
        <v>0</v>
      </c>
      <c r="N77" s="516">
        <v>1</v>
      </c>
      <c r="O77" s="518" t="s">
        <v>1240</v>
      </c>
      <c r="P77" s="13" t="s">
        <v>1236</v>
      </c>
    </row>
    <row r="78" spans="1:16">
      <c r="A78" s="28"/>
      <c r="B78" s="508"/>
      <c r="C78" s="510"/>
      <c r="D78" s="28"/>
      <c r="E78" s="512"/>
      <c r="F78" s="512"/>
      <c r="G78" s="512"/>
      <c r="H78" s="516">
        <v>0</v>
      </c>
      <c r="I78" s="516">
        <v>0.99999999999999989</v>
      </c>
      <c r="J78" s="517" t="s">
        <v>1240</v>
      </c>
      <c r="K78" s="512"/>
      <c r="L78" s="512"/>
      <c r="M78" s="513">
        <v>0</v>
      </c>
      <c r="N78" s="516">
        <v>1</v>
      </c>
      <c r="O78" s="518" t="s">
        <v>1240</v>
      </c>
      <c r="P78" s="13" t="s">
        <v>1236</v>
      </c>
    </row>
    <row r="79" spans="1:16">
      <c r="A79" s="28"/>
      <c r="B79" s="508"/>
      <c r="C79" s="510"/>
      <c r="D79" s="28"/>
      <c r="E79" s="512"/>
      <c r="F79" s="512"/>
      <c r="G79" s="512"/>
      <c r="H79" s="516">
        <v>0</v>
      </c>
      <c r="I79" s="516">
        <v>0.99999999999999989</v>
      </c>
      <c r="J79" s="517" t="s">
        <v>1240</v>
      </c>
      <c r="K79" s="512"/>
      <c r="L79" s="512"/>
      <c r="M79" s="513">
        <v>0</v>
      </c>
      <c r="N79" s="516">
        <v>1</v>
      </c>
      <c r="O79" s="518" t="s">
        <v>1240</v>
      </c>
      <c r="P79" s="13" t="s">
        <v>1236</v>
      </c>
    </row>
    <row r="80" spans="1:16">
      <c r="A80" s="28"/>
      <c r="B80" s="508"/>
      <c r="C80" s="510"/>
      <c r="D80" s="28"/>
      <c r="E80" s="512"/>
      <c r="F80" s="512"/>
      <c r="G80" s="512"/>
      <c r="H80" s="516">
        <v>0</v>
      </c>
      <c r="I80" s="516">
        <v>0.99999999999999989</v>
      </c>
      <c r="J80" s="517" t="s">
        <v>1240</v>
      </c>
      <c r="K80" s="512"/>
      <c r="L80" s="512"/>
      <c r="M80" s="513">
        <v>0</v>
      </c>
      <c r="N80" s="516">
        <v>1</v>
      </c>
      <c r="O80" s="518" t="s">
        <v>1240</v>
      </c>
      <c r="P80" s="13" t="s">
        <v>1236</v>
      </c>
    </row>
    <row r="81" spans="1:16">
      <c r="A81" s="28"/>
      <c r="B81" s="508"/>
      <c r="C81" s="510"/>
      <c r="D81" s="28"/>
      <c r="E81" s="512"/>
      <c r="F81" s="512"/>
      <c r="G81" s="512"/>
      <c r="H81" s="516">
        <v>0</v>
      </c>
      <c r="I81" s="516">
        <v>0.99999999999999989</v>
      </c>
      <c r="J81" s="517" t="s">
        <v>1240</v>
      </c>
      <c r="K81" s="512"/>
      <c r="L81" s="512"/>
      <c r="M81" s="513">
        <v>0</v>
      </c>
      <c r="N81" s="516">
        <v>1</v>
      </c>
      <c r="O81" s="518" t="s">
        <v>1240</v>
      </c>
      <c r="P81" s="13" t="s">
        <v>1236</v>
      </c>
    </row>
    <row r="82" spans="1:16">
      <c r="A82" s="28"/>
      <c r="B82" s="508"/>
      <c r="C82" s="510"/>
      <c r="D82" s="28"/>
      <c r="E82" s="512"/>
      <c r="F82" s="512"/>
      <c r="G82" s="512"/>
      <c r="H82" s="516">
        <v>0</v>
      </c>
      <c r="I82" s="516">
        <v>0.99999999999999989</v>
      </c>
      <c r="J82" s="517" t="s">
        <v>1240</v>
      </c>
      <c r="K82" s="512"/>
      <c r="L82" s="512"/>
      <c r="M82" s="513">
        <v>0</v>
      </c>
      <c r="N82" s="516">
        <v>1</v>
      </c>
      <c r="O82" s="518" t="s">
        <v>1240</v>
      </c>
      <c r="P82" s="13" t="s">
        <v>1236</v>
      </c>
    </row>
    <row r="83" spans="1:16">
      <c r="A83" s="28"/>
      <c r="B83" s="508"/>
      <c r="C83" s="510"/>
      <c r="D83" s="28"/>
      <c r="E83" s="512"/>
      <c r="F83" s="512"/>
      <c r="G83" s="512"/>
      <c r="H83" s="516">
        <v>0</v>
      </c>
      <c r="I83" s="516">
        <v>0.99999999999999989</v>
      </c>
      <c r="J83" s="517" t="s">
        <v>1240</v>
      </c>
      <c r="K83" s="512"/>
      <c r="L83" s="512"/>
      <c r="M83" s="513">
        <v>0</v>
      </c>
      <c r="N83" s="516">
        <v>1</v>
      </c>
      <c r="O83" s="518" t="s">
        <v>1240</v>
      </c>
      <c r="P83" s="13" t="s">
        <v>1236</v>
      </c>
    </row>
    <row r="84" spans="1:16">
      <c r="A84" s="28"/>
      <c r="B84" s="508"/>
      <c r="C84" s="510"/>
      <c r="D84" s="28"/>
      <c r="E84" s="512"/>
      <c r="F84" s="512"/>
      <c r="G84" s="512"/>
      <c r="H84" s="516">
        <v>0</v>
      </c>
      <c r="I84" s="516">
        <v>0.99999999999999989</v>
      </c>
      <c r="J84" s="517" t="s">
        <v>1240</v>
      </c>
      <c r="K84" s="512"/>
      <c r="L84" s="512"/>
      <c r="M84" s="513">
        <v>0</v>
      </c>
      <c r="N84" s="516">
        <v>1</v>
      </c>
      <c r="O84" s="518" t="s">
        <v>1240</v>
      </c>
      <c r="P84" s="13" t="s">
        <v>1236</v>
      </c>
    </row>
    <row r="85" spans="1:16">
      <c r="A85" s="28"/>
      <c r="B85" s="508"/>
      <c r="C85" s="510"/>
      <c r="D85" s="28"/>
      <c r="E85" s="512"/>
      <c r="F85" s="512"/>
      <c r="G85" s="512"/>
      <c r="H85" s="516">
        <v>0</v>
      </c>
      <c r="I85" s="516">
        <v>0.99999999999999989</v>
      </c>
      <c r="J85" s="517" t="s">
        <v>1240</v>
      </c>
      <c r="K85" s="512"/>
      <c r="L85" s="512"/>
      <c r="M85" s="513">
        <v>0</v>
      </c>
      <c r="N85" s="516">
        <v>1</v>
      </c>
      <c r="O85" s="518" t="s">
        <v>1240</v>
      </c>
      <c r="P85" s="13" t="s">
        <v>1236</v>
      </c>
    </row>
    <row r="86" spans="1:16">
      <c r="A86" s="28"/>
      <c r="B86" s="508"/>
      <c r="C86" s="510"/>
      <c r="D86" s="28"/>
      <c r="E86" s="512"/>
      <c r="F86" s="512"/>
      <c r="G86" s="512"/>
      <c r="H86" s="516">
        <v>0</v>
      </c>
      <c r="I86" s="516">
        <v>0.99999999999999989</v>
      </c>
      <c r="J86" s="517" t="s">
        <v>1240</v>
      </c>
      <c r="K86" s="512"/>
      <c r="L86" s="512"/>
      <c r="M86" s="513">
        <v>0</v>
      </c>
      <c r="N86" s="516">
        <v>1</v>
      </c>
      <c r="O86" s="518" t="s">
        <v>1240</v>
      </c>
      <c r="P86" s="13" t="s">
        <v>1236</v>
      </c>
    </row>
    <row r="87" spans="1:16">
      <c r="A87" s="28"/>
      <c r="B87" s="508"/>
      <c r="C87" s="510"/>
      <c r="D87" s="28"/>
      <c r="E87" s="512"/>
      <c r="F87" s="512"/>
      <c r="G87" s="512"/>
      <c r="H87" s="516">
        <v>0</v>
      </c>
      <c r="I87" s="516">
        <v>0.99999999999999989</v>
      </c>
      <c r="J87" s="517" t="s">
        <v>1240</v>
      </c>
      <c r="K87" s="512"/>
      <c r="L87" s="512"/>
      <c r="M87" s="513">
        <v>0</v>
      </c>
      <c r="N87" s="516">
        <v>1</v>
      </c>
      <c r="O87" s="518" t="s">
        <v>1240</v>
      </c>
      <c r="P87" s="13" t="s">
        <v>1236</v>
      </c>
    </row>
    <row r="88" spans="1:16">
      <c r="A88" s="28"/>
      <c r="B88" s="508"/>
      <c r="C88" s="510"/>
      <c r="D88" s="28"/>
      <c r="E88" s="512"/>
      <c r="F88" s="512"/>
      <c r="G88" s="512"/>
      <c r="H88" s="516">
        <v>0</v>
      </c>
      <c r="I88" s="516">
        <v>0.99999999999999989</v>
      </c>
      <c r="J88" s="517" t="s">
        <v>1240</v>
      </c>
      <c r="K88" s="512"/>
      <c r="L88" s="512"/>
      <c r="M88" s="513">
        <v>0</v>
      </c>
      <c r="N88" s="516">
        <v>1</v>
      </c>
      <c r="O88" s="518" t="s">
        <v>1240</v>
      </c>
      <c r="P88" s="13" t="s">
        <v>1236</v>
      </c>
    </row>
    <row r="89" spans="1:16">
      <c r="A89" s="28"/>
      <c r="B89" s="508"/>
      <c r="C89" s="510"/>
      <c r="D89" s="28"/>
      <c r="E89" s="512"/>
      <c r="F89" s="512"/>
      <c r="G89" s="512"/>
      <c r="H89" s="516">
        <v>0</v>
      </c>
      <c r="I89" s="516">
        <v>0.99999999999999989</v>
      </c>
      <c r="J89" s="517" t="s">
        <v>1240</v>
      </c>
      <c r="K89" s="512"/>
      <c r="L89" s="512"/>
      <c r="M89" s="513">
        <v>0</v>
      </c>
      <c r="N89" s="516">
        <v>1</v>
      </c>
      <c r="O89" s="518" t="s">
        <v>1240</v>
      </c>
      <c r="P89" s="13" t="s">
        <v>1236</v>
      </c>
    </row>
    <row r="90" spans="1:16">
      <c r="A90" s="28"/>
      <c r="B90" s="508"/>
      <c r="C90" s="510"/>
      <c r="D90" s="28"/>
      <c r="E90" s="512"/>
      <c r="F90" s="512"/>
      <c r="G90" s="512"/>
      <c r="H90" s="516">
        <v>0</v>
      </c>
      <c r="I90" s="516">
        <v>0.99999999999999989</v>
      </c>
      <c r="J90" s="517" t="s">
        <v>1240</v>
      </c>
      <c r="K90" s="512"/>
      <c r="L90" s="512"/>
      <c r="M90" s="513">
        <v>0</v>
      </c>
      <c r="N90" s="516">
        <v>1</v>
      </c>
      <c r="O90" s="518" t="s">
        <v>1240</v>
      </c>
      <c r="P90" s="13" t="s">
        <v>1236</v>
      </c>
    </row>
    <row r="91" spans="1:16">
      <c r="A91" s="28"/>
      <c r="B91" s="508"/>
      <c r="C91" s="510"/>
      <c r="D91" s="28"/>
      <c r="E91" s="512"/>
      <c r="F91" s="512"/>
      <c r="G91" s="512"/>
      <c r="H91" s="516">
        <v>0</v>
      </c>
      <c r="I91" s="516">
        <v>0.99999999999999989</v>
      </c>
      <c r="J91" s="517" t="s">
        <v>1240</v>
      </c>
      <c r="K91" s="512"/>
      <c r="L91" s="512"/>
      <c r="M91" s="513">
        <v>0</v>
      </c>
      <c r="N91" s="516">
        <v>1</v>
      </c>
      <c r="O91" s="518" t="s">
        <v>1240</v>
      </c>
      <c r="P91" s="13" t="s">
        <v>1236</v>
      </c>
    </row>
    <row r="92" spans="1:16">
      <c r="A92" s="28"/>
      <c r="B92" s="508"/>
      <c r="C92" s="510"/>
      <c r="D92" s="28"/>
      <c r="E92" s="512"/>
      <c r="F92" s="512"/>
      <c r="G92" s="512"/>
      <c r="H92" s="516">
        <v>0</v>
      </c>
      <c r="I92" s="516">
        <v>0.99999999999999989</v>
      </c>
      <c r="J92" s="517" t="s">
        <v>1240</v>
      </c>
      <c r="K92" s="512"/>
      <c r="L92" s="512"/>
      <c r="M92" s="513">
        <v>0</v>
      </c>
      <c r="N92" s="516">
        <v>1</v>
      </c>
      <c r="O92" s="518" t="s">
        <v>1240</v>
      </c>
      <c r="P92" s="13" t="s">
        <v>1236</v>
      </c>
    </row>
    <row r="93" spans="1:16">
      <c r="A93" s="28"/>
      <c r="B93" s="508"/>
      <c r="C93" s="510"/>
      <c r="D93" s="28"/>
      <c r="E93" s="512"/>
      <c r="F93" s="512"/>
      <c r="G93" s="512"/>
      <c r="H93" s="516">
        <v>0</v>
      </c>
      <c r="I93" s="516">
        <v>0.99999999999999989</v>
      </c>
      <c r="J93" s="517" t="s">
        <v>1240</v>
      </c>
      <c r="K93" s="512"/>
      <c r="L93" s="512"/>
      <c r="M93" s="513">
        <v>0</v>
      </c>
      <c r="N93" s="516">
        <v>1</v>
      </c>
      <c r="O93" s="518" t="s">
        <v>1240</v>
      </c>
      <c r="P93" s="13" t="s">
        <v>1236</v>
      </c>
    </row>
    <row r="94" spans="1:16">
      <c r="A94" s="28"/>
      <c r="B94" s="508"/>
      <c r="C94" s="510"/>
      <c r="D94" s="28"/>
      <c r="E94" s="512"/>
      <c r="F94" s="512"/>
      <c r="G94" s="512"/>
      <c r="H94" s="516">
        <v>0</v>
      </c>
      <c r="I94" s="516">
        <v>0.99999999999999989</v>
      </c>
      <c r="J94" s="517" t="s">
        <v>1240</v>
      </c>
      <c r="K94" s="512"/>
      <c r="L94" s="512"/>
      <c r="M94" s="513">
        <v>0</v>
      </c>
      <c r="N94" s="516">
        <v>1</v>
      </c>
      <c r="O94" s="518" t="s">
        <v>1240</v>
      </c>
      <c r="P94" s="13" t="s">
        <v>1236</v>
      </c>
    </row>
    <row r="95" spans="1:16">
      <c r="A95" s="28"/>
      <c r="B95" s="508"/>
      <c r="C95" s="510"/>
      <c r="D95" s="28"/>
      <c r="E95" s="512"/>
      <c r="F95" s="512"/>
      <c r="G95" s="512"/>
      <c r="H95" s="516">
        <v>0</v>
      </c>
      <c r="I95" s="516">
        <v>0.99999999999999989</v>
      </c>
      <c r="J95" s="517" t="s">
        <v>1240</v>
      </c>
      <c r="K95" s="512"/>
      <c r="L95" s="512"/>
      <c r="M95" s="513">
        <v>0</v>
      </c>
      <c r="N95" s="516">
        <v>1</v>
      </c>
      <c r="O95" s="518" t="s">
        <v>1240</v>
      </c>
      <c r="P95" s="13" t="s">
        <v>1236</v>
      </c>
    </row>
    <row r="96" spans="1:16">
      <c r="A96" s="28"/>
      <c r="B96" s="508"/>
      <c r="C96" s="510"/>
      <c r="D96" s="28"/>
      <c r="E96" s="512"/>
      <c r="F96" s="512"/>
      <c r="G96" s="512"/>
      <c r="H96" s="516">
        <v>0</v>
      </c>
      <c r="I96" s="516">
        <v>0.99999999999999989</v>
      </c>
      <c r="J96" s="517" t="s">
        <v>1240</v>
      </c>
      <c r="K96" s="512"/>
      <c r="L96" s="512"/>
      <c r="M96" s="513">
        <v>0</v>
      </c>
      <c r="N96" s="516">
        <v>1</v>
      </c>
      <c r="O96" s="518" t="s">
        <v>1240</v>
      </c>
      <c r="P96" s="13" t="s">
        <v>1236</v>
      </c>
    </row>
    <row r="97" spans="1:16">
      <c r="A97" s="28"/>
      <c r="B97" s="508"/>
      <c r="C97" s="510"/>
      <c r="D97" s="28"/>
      <c r="E97" s="512"/>
      <c r="F97" s="512"/>
      <c r="G97" s="512"/>
      <c r="H97" s="516">
        <v>0</v>
      </c>
      <c r="I97" s="516">
        <v>0.99999999999999989</v>
      </c>
      <c r="J97" s="517" t="s">
        <v>1240</v>
      </c>
      <c r="K97" s="512"/>
      <c r="L97" s="512"/>
      <c r="M97" s="513">
        <v>0</v>
      </c>
      <c r="N97" s="516">
        <v>1</v>
      </c>
      <c r="O97" s="518" t="s">
        <v>1240</v>
      </c>
      <c r="P97" s="13" t="s">
        <v>1236</v>
      </c>
    </row>
    <row r="98" spans="1:16">
      <c r="A98" s="28"/>
      <c r="B98" s="508"/>
      <c r="C98" s="510"/>
      <c r="D98" s="28"/>
      <c r="E98" s="512"/>
      <c r="F98" s="512"/>
      <c r="G98" s="512"/>
      <c r="H98" s="516">
        <v>0</v>
      </c>
      <c r="I98" s="516">
        <v>0.99999999999999989</v>
      </c>
      <c r="J98" s="517" t="s">
        <v>1240</v>
      </c>
      <c r="K98" s="512"/>
      <c r="L98" s="512"/>
      <c r="M98" s="513">
        <v>0</v>
      </c>
      <c r="N98" s="516">
        <v>1</v>
      </c>
      <c r="O98" s="518" t="s">
        <v>1240</v>
      </c>
      <c r="P98" s="13" t="s">
        <v>1236</v>
      </c>
    </row>
    <row r="99" spans="1:16">
      <c r="A99" s="28"/>
      <c r="B99" s="508"/>
      <c r="C99" s="510"/>
      <c r="D99" s="28"/>
      <c r="E99" s="512"/>
      <c r="F99" s="512"/>
      <c r="G99" s="512"/>
      <c r="H99" s="516">
        <v>0</v>
      </c>
      <c r="I99" s="516">
        <v>0.99999999999999989</v>
      </c>
      <c r="J99" s="517" t="s">
        <v>1240</v>
      </c>
      <c r="K99" s="512"/>
      <c r="L99" s="512"/>
      <c r="M99" s="513">
        <v>0</v>
      </c>
      <c r="N99" s="516">
        <v>1</v>
      </c>
      <c r="O99" s="518" t="s">
        <v>1240</v>
      </c>
      <c r="P99" s="13" t="s">
        <v>1236</v>
      </c>
    </row>
    <row r="100" spans="1:16">
      <c r="A100" s="28"/>
      <c r="B100" s="508"/>
      <c r="C100" s="510"/>
      <c r="D100" s="28"/>
      <c r="E100" s="512"/>
      <c r="F100" s="512"/>
      <c r="G100" s="512"/>
      <c r="H100" s="516">
        <v>0</v>
      </c>
      <c r="I100" s="516">
        <v>0.99999999999999989</v>
      </c>
      <c r="J100" s="517" t="s">
        <v>1240</v>
      </c>
      <c r="K100" s="512"/>
      <c r="L100" s="512"/>
      <c r="M100" s="513">
        <v>0</v>
      </c>
      <c r="N100" s="516">
        <v>1</v>
      </c>
      <c r="O100" s="518" t="s">
        <v>1240</v>
      </c>
      <c r="P100" s="13" t="s">
        <v>1236</v>
      </c>
    </row>
    <row r="101" spans="1:16">
      <c r="A101" s="28"/>
      <c r="B101" s="508"/>
      <c r="C101" s="510"/>
      <c r="D101" s="28"/>
      <c r="E101" s="512"/>
      <c r="F101" s="512"/>
      <c r="G101" s="512"/>
      <c r="H101" s="516">
        <v>0</v>
      </c>
      <c r="I101" s="516">
        <v>0.99999999999999989</v>
      </c>
      <c r="J101" s="517" t="s">
        <v>1240</v>
      </c>
      <c r="K101" s="512"/>
      <c r="L101" s="512"/>
      <c r="M101" s="513">
        <v>0</v>
      </c>
      <c r="N101" s="516">
        <v>1</v>
      </c>
      <c r="O101" s="518" t="s">
        <v>1240</v>
      </c>
      <c r="P101" s="13" t="s">
        <v>1236</v>
      </c>
    </row>
    <row r="102" spans="1:16">
      <c r="A102" s="28"/>
      <c r="B102" s="508"/>
      <c r="C102" s="510"/>
      <c r="D102" s="28"/>
      <c r="E102" s="512"/>
      <c r="F102" s="512"/>
      <c r="G102" s="512"/>
      <c r="H102" s="516">
        <v>0</v>
      </c>
      <c r="I102" s="516">
        <v>0.99999999999999989</v>
      </c>
      <c r="J102" s="517" t="s">
        <v>1240</v>
      </c>
      <c r="K102" s="512"/>
      <c r="L102" s="512"/>
      <c r="M102" s="513">
        <v>0</v>
      </c>
      <c r="N102" s="516">
        <v>1</v>
      </c>
      <c r="O102" s="518" t="s">
        <v>1240</v>
      </c>
      <c r="P102" s="13" t="s">
        <v>1236</v>
      </c>
    </row>
    <row r="103" spans="1:16">
      <c r="A103" s="28"/>
      <c r="B103" s="508"/>
      <c r="C103" s="510"/>
      <c r="D103" s="28"/>
      <c r="E103" s="512"/>
      <c r="F103" s="512"/>
      <c r="G103" s="512"/>
      <c r="H103" s="516">
        <v>0</v>
      </c>
      <c r="I103" s="516">
        <v>0.99999999999999989</v>
      </c>
      <c r="J103" s="517" t="s">
        <v>1240</v>
      </c>
      <c r="K103" s="512"/>
      <c r="L103" s="512"/>
      <c r="M103" s="513">
        <v>0</v>
      </c>
      <c r="N103" s="516">
        <v>1</v>
      </c>
      <c r="O103" s="518" t="s">
        <v>1240</v>
      </c>
      <c r="P103" s="13" t="s">
        <v>1236</v>
      </c>
    </row>
    <row r="104" spans="1:16">
      <c r="A104" s="28"/>
      <c r="B104" s="508"/>
      <c r="C104" s="510"/>
      <c r="D104" s="28"/>
      <c r="E104" s="512"/>
      <c r="F104" s="512"/>
      <c r="G104" s="512"/>
      <c r="H104" s="516">
        <v>0</v>
      </c>
      <c r="I104" s="516">
        <v>0.99999999999999989</v>
      </c>
      <c r="J104" s="517" t="s">
        <v>1240</v>
      </c>
      <c r="K104" s="512"/>
      <c r="L104" s="512"/>
      <c r="M104" s="513">
        <v>0</v>
      </c>
      <c r="N104" s="516">
        <v>1</v>
      </c>
      <c r="O104" s="518" t="s">
        <v>1240</v>
      </c>
      <c r="P104" s="13" t="s">
        <v>1236</v>
      </c>
    </row>
    <row r="105" spans="1:16">
      <c r="A105" s="28"/>
      <c r="B105" s="508"/>
      <c r="C105" s="510"/>
      <c r="D105" s="28"/>
      <c r="E105" s="512"/>
      <c r="F105" s="512"/>
      <c r="G105" s="512"/>
      <c r="H105" s="516">
        <v>0</v>
      </c>
      <c r="I105" s="516">
        <v>0.99999999999999989</v>
      </c>
      <c r="J105" s="517" t="s">
        <v>1240</v>
      </c>
      <c r="K105" s="512"/>
      <c r="L105" s="512"/>
      <c r="M105" s="513">
        <v>0</v>
      </c>
      <c r="N105" s="516">
        <v>1</v>
      </c>
      <c r="O105" s="518" t="s">
        <v>1240</v>
      </c>
      <c r="P105" s="13" t="s">
        <v>1236</v>
      </c>
    </row>
    <row r="106" spans="1:16">
      <c r="A106" s="28"/>
      <c r="B106" s="508"/>
      <c r="C106" s="510"/>
      <c r="D106" s="28"/>
      <c r="E106" s="512"/>
      <c r="F106" s="512"/>
      <c r="G106" s="512"/>
      <c r="H106" s="516">
        <v>0</v>
      </c>
      <c r="I106" s="516">
        <v>0.99999999999999989</v>
      </c>
      <c r="J106" s="517" t="s">
        <v>1240</v>
      </c>
      <c r="K106" s="512"/>
      <c r="L106" s="512"/>
      <c r="M106" s="513">
        <v>0</v>
      </c>
      <c r="N106" s="516">
        <v>1</v>
      </c>
      <c r="O106" s="518" t="s">
        <v>1240</v>
      </c>
      <c r="P106" s="13" t="s">
        <v>1236</v>
      </c>
    </row>
    <row r="107" spans="1:16">
      <c r="A107" s="28"/>
      <c r="B107" s="508"/>
      <c r="C107" s="510"/>
      <c r="D107" s="28"/>
      <c r="E107" s="512"/>
      <c r="F107" s="512"/>
      <c r="G107" s="512"/>
      <c r="H107" s="516">
        <v>0</v>
      </c>
      <c r="I107" s="516">
        <v>0.99999999999999989</v>
      </c>
      <c r="J107" s="517" t="s">
        <v>1240</v>
      </c>
      <c r="K107" s="512"/>
      <c r="L107" s="512"/>
      <c r="M107" s="513">
        <v>0</v>
      </c>
      <c r="N107" s="516">
        <v>1</v>
      </c>
      <c r="O107" s="518" t="s">
        <v>1240</v>
      </c>
      <c r="P107" s="13" t="s">
        <v>1236</v>
      </c>
    </row>
    <row r="108" spans="1:16">
      <c r="A108" s="28"/>
      <c r="B108" s="508"/>
      <c r="C108" s="510"/>
      <c r="D108" s="28"/>
      <c r="E108" s="512"/>
      <c r="F108" s="512"/>
      <c r="G108" s="512"/>
      <c r="H108" s="516">
        <v>0</v>
      </c>
      <c r="I108" s="516">
        <v>0.99999999999999989</v>
      </c>
      <c r="J108" s="517" t="s">
        <v>1240</v>
      </c>
      <c r="K108" s="512"/>
      <c r="L108" s="512"/>
      <c r="M108" s="513">
        <v>0</v>
      </c>
      <c r="N108" s="516">
        <v>1</v>
      </c>
      <c r="O108" s="518" t="s">
        <v>1240</v>
      </c>
      <c r="P108" s="13" t="s">
        <v>1236</v>
      </c>
    </row>
    <row r="109" spans="1:16">
      <c r="A109" s="28"/>
      <c r="B109" s="508"/>
      <c r="C109" s="510"/>
      <c r="D109" s="28"/>
      <c r="E109" s="512"/>
      <c r="F109" s="512"/>
      <c r="G109" s="512"/>
      <c r="H109" s="516">
        <v>0</v>
      </c>
      <c r="I109" s="516">
        <v>0.99999999999999989</v>
      </c>
      <c r="J109" s="517" t="s">
        <v>1240</v>
      </c>
      <c r="K109" s="512"/>
      <c r="L109" s="512"/>
      <c r="M109" s="513">
        <v>0</v>
      </c>
      <c r="N109" s="516">
        <v>1</v>
      </c>
      <c r="O109" s="518" t="s">
        <v>1240</v>
      </c>
      <c r="P109" s="13" t="s">
        <v>1236</v>
      </c>
    </row>
    <row r="110" spans="1:16">
      <c r="A110" s="28"/>
      <c r="B110" s="508"/>
      <c r="C110" s="510"/>
      <c r="D110" s="28"/>
      <c r="E110" s="512"/>
      <c r="F110" s="512"/>
      <c r="G110" s="512"/>
      <c r="H110" s="516">
        <v>0</v>
      </c>
      <c r="I110" s="516">
        <v>0.99999999999999989</v>
      </c>
      <c r="J110" s="517" t="s">
        <v>1240</v>
      </c>
      <c r="K110" s="512"/>
      <c r="L110" s="512"/>
      <c r="M110" s="513">
        <v>0</v>
      </c>
      <c r="N110" s="516">
        <v>1</v>
      </c>
      <c r="O110" s="518" t="s">
        <v>1240</v>
      </c>
      <c r="P110" s="13" t="s">
        <v>1236</v>
      </c>
    </row>
    <row r="111" spans="1:16">
      <c r="A111" s="28"/>
      <c r="B111" s="508"/>
      <c r="C111" s="510"/>
      <c r="D111" s="28"/>
      <c r="E111" s="512"/>
      <c r="F111" s="512"/>
      <c r="G111" s="512"/>
      <c r="H111" s="516">
        <v>0</v>
      </c>
      <c r="I111" s="516">
        <v>0.99999999999999989</v>
      </c>
      <c r="J111" s="517" t="s">
        <v>1240</v>
      </c>
      <c r="K111" s="512"/>
      <c r="L111" s="512"/>
      <c r="M111" s="513">
        <v>0</v>
      </c>
      <c r="N111" s="516">
        <v>1</v>
      </c>
      <c r="O111" s="518" t="s">
        <v>1240</v>
      </c>
      <c r="P111" s="13" t="s">
        <v>1236</v>
      </c>
    </row>
    <row r="112" spans="1:16">
      <c r="A112" s="28"/>
      <c r="B112" s="508"/>
      <c r="C112" s="510"/>
      <c r="D112" s="28"/>
      <c r="E112" s="512"/>
      <c r="F112" s="512"/>
      <c r="G112" s="512"/>
      <c r="H112" s="516">
        <v>0</v>
      </c>
      <c r="I112" s="516">
        <v>0.99999999999999989</v>
      </c>
      <c r="J112" s="517" t="s">
        <v>1240</v>
      </c>
      <c r="K112" s="512"/>
      <c r="L112" s="512"/>
      <c r="M112" s="513">
        <v>0</v>
      </c>
      <c r="N112" s="516">
        <v>1</v>
      </c>
      <c r="O112" s="518" t="s">
        <v>1240</v>
      </c>
      <c r="P112" s="13" t="s">
        <v>1236</v>
      </c>
    </row>
    <row r="113" spans="1:16">
      <c r="A113" s="28"/>
      <c r="B113" s="508"/>
      <c r="C113" s="510"/>
      <c r="D113" s="28"/>
      <c r="E113" s="512"/>
      <c r="F113" s="512"/>
      <c r="G113" s="512"/>
      <c r="H113" s="516">
        <v>0</v>
      </c>
      <c r="I113" s="516">
        <v>0.99999999999999989</v>
      </c>
      <c r="J113" s="517" t="s">
        <v>1240</v>
      </c>
      <c r="K113" s="512"/>
      <c r="L113" s="512"/>
      <c r="M113" s="513">
        <v>0</v>
      </c>
      <c r="N113" s="516">
        <v>1</v>
      </c>
      <c r="O113" s="518" t="s">
        <v>1240</v>
      </c>
      <c r="P113" s="13" t="s">
        <v>1236</v>
      </c>
    </row>
    <row r="114" spans="1:16">
      <c r="A114" s="28"/>
      <c r="B114" s="508"/>
      <c r="C114" s="510"/>
      <c r="D114" s="28"/>
      <c r="E114" s="512"/>
      <c r="F114" s="512"/>
      <c r="G114" s="512"/>
      <c r="H114" s="516">
        <v>0</v>
      </c>
      <c r="I114" s="516">
        <v>0.99999999999999989</v>
      </c>
      <c r="J114" s="517" t="s">
        <v>1240</v>
      </c>
      <c r="K114" s="512"/>
      <c r="L114" s="512"/>
      <c r="M114" s="513">
        <v>0</v>
      </c>
      <c r="N114" s="516">
        <v>1</v>
      </c>
      <c r="O114" s="518" t="s">
        <v>1240</v>
      </c>
      <c r="P114" s="13" t="s">
        <v>1236</v>
      </c>
    </row>
    <row r="115" spans="1:16">
      <c r="A115" s="28"/>
      <c r="B115" s="508"/>
      <c r="C115" s="510"/>
      <c r="D115" s="28"/>
      <c r="E115" s="512"/>
      <c r="F115" s="512"/>
      <c r="G115" s="512"/>
      <c r="H115" s="516">
        <v>0</v>
      </c>
      <c r="I115" s="516">
        <v>0.99999999999999989</v>
      </c>
      <c r="J115" s="517" t="s">
        <v>1240</v>
      </c>
      <c r="K115" s="512"/>
      <c r="L115" s="512"/>
      <c r="M115" s="513">
        <v>0</v>
      </c>
      <c r="N115" s="516">
        <v>1</v>
      </c>
      <c r="O115" s="518" t="s">
        <v>1240</v>
      </c>
      <c r="P115" s="13" t="s">
        <v>1236</v>
      </c>
    </row>
    <row r="116" spans="1:16">
      <c r="A116" s="28"/>
      <c r="B116" s="508"/>
      <c r="C116" s="510"/>
      <c r="D116" s="28"/>
      <c r="E116" s="512"/>
      <c r="F116" s="512"/>
      <c r="G116" s="512"/>
      <c r="H116" s="516">
        <v>0</v>
      </c>
      <c r="I116" s="516">
        <v>0.99999999999999989</v>
      </c>
      <c r="J116" s="517" t="s">
        <v>1240</v>
      </c>
      <c r="K116" s="512"/>
      <c r="L116" s="512"/>
      <c r="M116" s="513">
        <v>0</v>
      </c>
      <c r="N116" s="516">
        <v>1</v>
      </c>
      <c r="O116" s="518" t="s">
        <v>1240</v>
      </c>
      <c r="P116" s="13" t="s">
        <v>1236</v>
      </c>
    </row>
    <row r="117" spans="1:16">
      <c r="A117" s="28"/>
      <c r="B117" s="508"/>
      <c r="C117" s="510"/>
      <c r="D117" s="28"/>
      <c r="E117" s="512"/>
      <c r="F117" s="512"/>
      <c r="G117" s="512"/>
      <c r="H117" s="516">
        <v>0</v>
      </c>
      <c r="I117" s="516">
        <v>0.99999999999999989</v>
      </c>
      <c r="J117" s="517" t="s">
        <v>1240</v>
      </c>
      <c r="K117" s="512"/>
      <c r="L117" s="512"/>
      <c r="M117" s="513">
        <v>0</v>
      </c>
      <c r="N117" s="516">
        <v>1</v>
      </c>
      <c r="O117" s="518" t="s">
        <v>1240</v>
      </c>
      <c r="P117" s="13" t="s">
        <v>1236</v>
      </c>
    </row>
    <row r="118" spans="1:16">
      <c r="A118" s="28"/>
      <c r="B118" s="508"/>
      <c r="C118" s="510"/>
      <c r="D118" s="28"/>
      <c r="E118" s="512"/>
      <c r="F118" s="512"/>
      <c r="G118" s="512"/>
      <c r="H118" s="516">
        <v>0</v>
      </c>
      <c r="I118" s="516">
        <v>0.99999999999999989</v>
      </c>
      <c r="J118" s="517" t="s">
        <v>1240</v>
      </c>
      <c r="K118" s="512"/>
      <c r="L118" s="512"/>
      <c r="M118" s="513">
        <v>0</v>
      </c>
      <c r="N118" s="516">
        <v>1</v>
      </c>
      <c r="O118" s="518" t="s">
        <v>1240</v>
      </c>
      <c r="P118" s="13" t="s">
        <v>1236</v>
      </c>
    </row>
    <row r="119" spans="1:16">
      <c r="A119" s="28"/>
      <c r="B119" s="508"/>
      <c r="C119" s="510"/>
      <c r="D119" s="28"/>
      <c r="E119" s="512"/>
      <c r="F119" s="512"/>
      <c r="G119" s="512"/>
      <c r="H119" s="516">
        <v>0</v>
      </c>
      <c r="I119" s="516">
        <v>0.99999999999999989</v>
      </c>
      <c r="J119" s="517" t="s">
        <v>1240</v>
      </c>
      <c r="K119" s="512"/>
      <c r="L119" s="512"/>
      <c r="M119" s="513">
        <v>0</v>
      </c>
      <c r="N119" s="516">
        <v>1</v>
      </c>
      <c r="O119" s="518" t="s">
        <v>1240</v>
      </c>
      <c r="P119" s="13" t="s">
        <v>1236</v>
      </c>
    </row>
    <row r="120" spans="1:16">
      <c r="A120" s="28"/>
      <c r="B120" s="508"/>
      <c r="C120" s="510"/>
      <c r="D120" s="28"/>
      <c r="E120" s="512"/>
      <c r="F120" s="512"/>
      <c r="G120" s="512"/>
      <c r="H120" s="516">
        <v>0</v>
      </c>
      <c r="I120" s="516">
        <v>0.99999999999999989</v>
      </c>
      <c r="J120" s="517" t="s">
        <v>1240</v>
      </c>
      <c r="K120" s="512"/>
      <c r="L120" s="512"/>
      <c r="M120" s="513">
        <v>0</v>
      </c>
      <c r="N120" s="516">
        <v>1</v>
      </c>
      <c r="O120" s="518" t="s">
        <v>1240</v>
      </c>
      <c r="P120" s="13" t="s">
        <v>1236</v>
      </c>
    </row>
    <row r="121" spans="1:16">
      <c r="A121" s="28"/>
      <c r="B121" s="508"/>
      <c r="C121" s="510"/>
      <c r="D121" s="28"/>
      <c r="E121" s="512"/>
      <c r="F121" s="512"/>
      <c r="G121" s="512"/>
      <c r="H121" s="516">
        <v>0</v>
      </c>
      <c r="I121" s="516">
        <v>0.99999999999999989</v>
      </c>
      <c r="J121" s="517" t="s">
        <v>1240</v>
      </c>
      <c r="K121" s="512"/>
      <c r="L121" s="512"/>
      <c r="M121" s="513">
        <v>0</v>
      </c>
      <c r="N121" s="516">
        <v>1</v>
      </c>
      <c r="O121" s="518" t="s">
        <v>1240</v>
      </c>
      <c r="P121" s="13" t="s">
        <v>1236</v>
      </c>
    </row>
    <row r="122" spans="1:16">
      <c r="A122" s="28"/>
      <c r="B122" s="508"/>
      <c r="C122" s="510"/>
      <c r="D122" s="28"/>
      <c r="E122" s="512"/>
      <c r="F122" s="512"/>
      <c r="G122" s="512"/>
      <c r="H122" s="516">
        <v>0</v>
      </c>
      <c r="I122" s="516">
        <v>0.99999999999999989</v>
      </c>
      <c r="J122" s="517" t="s">
        <v>1240</v>
      </c>
      <c r="K122" s="512"/>
      <c r="L122" s="512"/>
      <c r="M122" s="513">
        <v>0</v>
      </c>
      <c r="N122" s="516">
        <v>1</v>
      </c>
      <c r="O122" s="518" t="s">
        <v>1240</v>
      </c>
      <c r="P122" s="13" t="s">
        <v>1236</v>
      </c>
    </row>
    <row r="123" spans="1:16">
      <c r="A123" s="28"/>
      <c r="B123" s="508"/>
      <c r="C123" s="510"/>
      <c r="D123" s="28"/>
      <c r="E123" s="512"/>
      <c r="F123" s="512"/>
      <c r="G123" s="512"/>
      <c r="H123" s="516">
        <v>0</v>
      </c>
      <c r="I123" s="516">
        <v>0.99999999999999989</v>
      </c>
      <c r="J123" s="517" t="s">
        <v>1240</v>
      </c>
      <c r="K123" s="512"/>
      <c r="L123" s="512"/>
      <c r="M123" s="513">
        <v>0</v>
      </c>
      <c r="N123" s="516">
        <v>1</v>
      </c>
      <c r="O123" s="518" t="s">
        <v>1240</v>
      </c>
      <c r="P123" s="13" t="s">
        <v>1236</v>
      </c>
    </row>
    <row r="124" spans="1:16">
      <c r="A124" s="28"/>
      <c r="B124" s="508"/>
      <c r="C124" s="510"/>
      <c r="D124" s="28"/>
      <c r="E124" s="512"/>
      <c r="F124" s="512"/>
      <c r="G124" s="512"/>
      <c r="H124" s="516">
        <v>0</v>
      </c>
      <c r="I124" s="516">
        <v>0.99999999999999989</v>
      </c>
      <c r="J124" s="517" t="s">
        <v>1240</v>
      </c>
      <c r="K124" s="512"/>
      <c r="L124" s="512"/>
      <c r="M124" s="513">
        <v>0</v>
      </c>
      <c r="N124" s="516">
        <v>1</v>
      </c>
      <c r="O124" s="518" t="s">
        <v>1240</v>
      </c>
      <c r="P124" s="13" t="s">
        <v>1236</v>
      </c>
    </row>
    <row r="125" spans="1:16">
      <c r="A125" s="28"/>
      <c r="B125" s="508"/>
      <c r="C125" s="510"/>
      <c r="D125" s="28"/>
      <c r="E125" s="512"/>
      <c r="F125" s="512"/>
      <c r="G125" s="512"/>
      <c r="H125" s="516">
        <v>0</v>
      </c>
      <c r="I125" s="516">
        <v>0.99999999999999989</v>
      </c>
      <c r="J125" s="517" t="s">
        <v>1240</v>
      </c>
      <c r="K125" s="512"/>
      <c r="L125" s="512"/>
      <c r="M125" s="513">
        <v>0</v>
      </c>
      <c r="N125" s="516">
        <v>1</v>
      </c>
      <c r="O125" s="518" t="s">
        <v>1240</v>
      </c>
      <c r="P125" s="13" t="s">
        <v>1236</v>
      </c>
    </row>
    <row r="126" spans="1:16">
      <c r="A126" s="28"/>
      <c r="B126" s="508"/>
      <c r="C126" s="510"/>
      <c r="D126" s="28"/>
      <c r="E126" s="512"/>
      <c r="F126" s="512"/>
      <c r="G126" s="512"/>
      <c r="H126" s="516">
        <v>0</v>
      </c>
      <c r="I126" s="516">
        <v>0.99999999999999989</v>
      </c>
      <c r="J126" s="517" t="s">
        <v>1240</v>
      </c>
      <c r="K126" s="512"/>
      <c r="L126" s="512"/>
      <c r="M126" s="513">
        <v>0</v>
      </c>
      <c r="N126" s="516">
        <v>1</v>
      </c>
      <c r="O126" s="518" t="s">
        <v>1240</v>
      </c>
      <c r="P126" s="13" t="s">
        <v>1236</v>
      </c>
    </row>
    <row r="127" spans="1:16">
      <c r="A127" s="28"/>
      <c r="B127" s="508"/>
      <c r="C127" s="510"/>
      <c r="D127" s="28"/>
      <c r="E127" s="512"/>
      <c r="F127" s="512"/>
      <c r="G127" s="512"/>
      <c r="H127" s="516">
        <v>0</v>
      </c>
      <c r="I127" s="516">
        <v>0.99999999999999989</v>
      </c>
      <c r="J127" s="517" t="s">
        <v>1240</v>
      </c>
      <c r="K127" s="512"/>
      <c r="L127" s="512"/>
      <c r="M127" s="513">
        <v>0</v>
      </c>
      <c r="N127" s="516">
        <v>1</v>
      </c>
      <c r="O127" s="518" t="s">
        <v>1240</v>
      </c>
      <c r="P127" s="13" t="s">
        <v>1236</v>
      </c>
    </row>
    <row r="128" spans="1:16">
      <c r="A128" s="28"/>
      <c r="B128" s="508"/>
      <c r="C128" s="510"/>
      <c r="D128" s="28"/>
      <c r="E128" s="512"/>
      <c r="F128" s="512"/>
      <c r="G128" s="512"/>
      <c r="H128" s="516">
        <v>0</v>
      </c>
      <c r="I128" s="516">
        <v>0.99999999999999989</v>
      </c>
      <c r="J128" s="517" t="s">
        <v>1240</v>
      </c>
      <c r="K128" s="512"/>
      <c r="L128" s="512"/>
      <c r="M128" s="513">
        <v>0</v>
      </c>
      <c r="N128" s="516">
        <v>1</v>
      </c>
      <c r="O128" s="518" t="s">
        <v>1240</v>
      </c>
      <c r="P128" s="13" t="s">
        <v>1236</v>
      </c>
    </row>
    <row r="129" spans="1:16">
      <c r="A129" s="28"/>
      <c r="B129" s="508"/>
      <c r="C129" s="510"/>
      <c r="D129" s="28"/>
      <c r="E129" s="512"/>
      <c r="F129" s="512"/>
      <c r="G129" s="512"/>
      <c r="H129" s="516">
        <v>0</v>
      </c>
      <c r="I129" s="516">
        <v>0.99999999999999989</v>
      </c>
      <c r="J129" s="517" t="s">
        <v>1240</v>
      </c>
      <c r="K129" s="512"/>
      <c r="L129" s="512"/>
      <c r="M129" s="513">
        <v>0</v>
      </c>
      <c r="N129" s="516">
        <v>1</v>
      </c>
      <c r="O129" s="518" t="s">
        <v>1240</v>
      </c>
      <c r="P129" s="13" t="s">
        <v>1236</v>
      </c>
    </row>
    <row r="130" spans="1:16">
      <c r="A130" s="28"/>
      <c r="B130" s="508"/>
      <c r="C130" s="510"/>
      <c r="D130" s="28"/>
      <c r="E130" s="512"/>
      <c r="F130" s="512"/>
      <c r="G130" s="512"/>
      <c r="H130" s="516">
        <v>0</v>
      </c>
      <c r="I130" s="516">
        <v>0.99999999999999989</v>
      </c>
      <c r="J130" s="517" t="s">
        <v>1240</v>
      </c>
      <c r="K130" s="512"/>
      <c r="L130" s="512"/>
      <c r="M130" s="513">
        <v>0</v>
      </c>
      <c r="N130" s="516">
        <v>1</v>
      </c>
      <c r="O130" s="518" t="s">
        <v>1240</v>
      </c>
      <c r="P130" s="13" t="s">
        <v>1236</v>
      </c>
    </row>
    <row r="131" spans="1:16">
      <c r="A131" s="28"/>
      <c r="B131" s="508"/>
      <c r="C131" s="510"/>
      <c r="D131" s="28"/>
      <c r="E131" s="512"/>
      <c r="F131" s="512"/>
      <c r="G131" s="512"/>
      <c r="H131" s="516">
        <v>0</v>
      </c>
      <c r="I131" s="516">
        <v>0.99999999999999989</v>
      </c>
      <c r="J131" s="517" t="s">
        <v>1240</v>
      </c>
      <c r="K131" s="512"/>
      <c r="L131" s="512"/>
      <c r="M131" s="513">
        <v>0</v>
      </c>
      <c r="N131" s="516">
        <v>1</v>
      </c>
      <c r="O131" s="518" t="s">
        <v>1240</v>
      </c>
      <c r="P131" s="13" t="s">
        <v>1236</v>
      </c>
    </row>
    <row r="132" spans="1:16">
      <c r="A132" s="28"/>
      <c r="B132" s="508"/>
      <c r="C132" s="510"/>
      <c r="D132" s="28"/>
      <c r="E132" s="512"/>
      <c r="F132" s="512"/>
      <c r="G132" s="512"/>
      <c r="H132" s="516">
        <v>0</v>
      </c>
      <c r="I132" s="516">
        <v>0.99999999999999989</v>
      </c>
      <c r="J132" s="517" t="s">
        <v>1240</v>
      </c>
      <c r="K132" s="512"/>
      <c r="L132" s="512"/>
      <c r="M132" s="513">
        <v>0</v>
      </c>
      <c r="N132" s="516">
        <v>1</v>
      </c>
      <c r="O132" s="518" t="s">
        <v>1240</v>
      </c>
      <c r="P132" s="13" t="s">
        <v>1236</v>
      </c>
    </row>
    <row r="133" spans="1:16">
      <c r="A133" s="28"/>
      <c r="B133" s="508"/>
      <c r="C133" s="510"/>
      <c r="D133" s="28"/>
      <c r="E133" s="512"/>
      <c r="F133" s="512"/>
      <c r="G133" s="512"/>
      <c r="H133" s="516">
        <v>0</v>
      </c>
      <c r="I133" s="516">
        <v>0.99999999999999989</v>
      </c>
      <c r="J133" s="517" t="s">
        <v>1240</v>
      </c>
      <c r="K133" s="512"/>
      <c r="L133" s="512"/>
      <c r="M133" s="513">
        <v>0</v>
      </c>
      <c r="N133" s="516">
        <v>1</v>
      </c>
      <c r="O133" s="518" t="s">
        <v>1240</v>
      </c>
      <c r="P133" s="13" t="s">
        <v>1236</v>
      </c>
    </row>
    <row r="134" spans="1:16">
      <c r="A134" s="28"/>
      <c r="B134" s="508"/>
      <c r="C134" s="510"/>
      <c r="D134" s="28"/>
      <c r="E134" s="512"/>
      <c r="F134" s="512"/>
      <c r="G134" s="512"/>
      <c r="H134" s="516">
        <v>0</v>
      </c>
      <c r="I134" s="516">
        <v>0.99999999999999989</v>
      </c>
      <c r="J134" s="517" t="s">
        <v>1240</v>
      </c>
      <c r="K134" s="512"/>
      <c r="L134" s="512"/>
      <c r="M134" s="513">
        <v>0</v>
      </c>
      <c r="N134" s="516">
        <v>1</v>
      </c>
      <c r="O134" s="518" t="s">
        <v>1240</v>
      </c>
      <c r="P134" s="13" t="s">
        <v>1236</v>
      </c>
    </row>
    <row r="135" spans="1:16">
      <c r="A135" s="28"/>
      <c r="B135" s="508"/>
      <c r="C135" s="510"/>
      <c r="D135" s="28"/>
      <c r="E135" s="512"/>
      <c r="F135" s="512"/>
      <c r="G135" s="512"/>
      <c r="H135" s="516">
        <v>0</v>
      </c>
      <c r="I135" s="516">
        <v>0.99999999999999989</v>
      </c>
      <c r="J135" s="517" t="s">
        <v>1240</v>
      </c>
      <c r="K135" s="512"/>
      <c r="L135" s="512"/>
      <c r="M135" s="513">
        <v>0</v>
      </c>
      <c r="N135" s="516">
        <v>1</v>
      </c>
      <c r="O135" s="518" t="s">
        <v>1240</v>
      </c>
      <c r="P135" s="13" t="s">
        <v>1236</v>
      </c>
    </row>
    <row r="136" spans="1:16">
      <c r="A136" s="28"/>
      <c r="B136" s="508"/>
      <c r="C136" s="510"/>
      <c r="D136" s="28"/>
      <c r="E136" s="512"/>
      <c r="F136" s="512"/>
      <c r="G136" s="512"/>
      <c r="H136" s="516">
        <v>0</v>
      </c>
      <c r="I136" s="516">
        <v>0.99999999999999989</v>
      </c>
      <c r="J136" s="517" t="s">
        <v>1240</v>
      </c>
      <c r="K136" s="512"/>
      <c r="L136" s="512"/>
      <c r="M136" s="513">
        <v>0</v>
      </c>
      <c r="N136" s="516">
        <v>1</v>
      </c>
      <c r="O136" s="518" t="s">
        <v>1240</v>
      </c>
      <c r="P136" s="13" t="s">
        <v>1236</v>
      </c>
    </row>
    <row r="137" spans="1:16">
      <c r="A137" s="28"/>
      <c r="B137" s="508"/>
      <c r="C137" s="510"/>
      <c r="D137" s="28"/>
      <c r="E137" s="512"/>
      <c r="F137" s="512"/>
      <c r="G137" s="512"/>
      <c r="H137" s="516">
        <v>0</v>
      </c>
      <c r="I137" s="516">
        <v>0.99999999999999989</v>
      </c>
      <c r="J137" s="517" t="s">
        <v>1240</v>
      </c>
      <c r="K137" s="512"/>
      <c r="L137" s="512"/>
      <c r="M137" s="513">
        <v>0</v>
      </c>
      <c r="N137" s="516">
        <v>1</v>
      </c>
      <c r="O137" s="518" t="s">
        <v>1240</v>
      </c>
      <c r="P137" s="13" t="s">
        <v>1236</v>
      </c>
    </row>
    <row r="138" spans="1:16">
      <c r="A138" s="28"/>
      <c r="B138" s="508"/>
      <c r="C138" s="510"/>
      <c r="D138" s="28"/>
      <c r="E138" s="512"/>
      <c r="F138" s="512"/>
      <c r="G138" s="512"/>
      <c r="H138" s="516">
        <v>0</v>
      </c>
      <c r="I138" s="516">
        <v>0.99999999999999989</v>
      </c>
      <c r="J138" s="517" t="s">
        <v>1240</v>
      </c>
      <c r="K138" s="512"/>
      <c r="L138" s="512"/>
      <c r="M138" s="513">
        <v>0</v>
      </c>
      <c r="N138" s="516">
        <v>1</v>
      </c>
      <c r="O138" s="518" t="s">
        <v>1240</v>
      </c>
      <c r="P138" s="13" t="s">
        <v>1236</v>
      </c>
    </row>
    <row r="139" spans="1:16">
      <c r="A139" s="28"/>
      <c r="B139" s="508"/>
      <c r="C139" s="510"/>
      <c r="D139" s="28"/>
      <c r="E139" s="512"/>
      <c r="F139" s="512"/>
      <c r="G139" s="512"/>
      <c r="H139" s="516">
        <v>0</v>
      </c>
      <c r="I139" s="516">
        <v>0.99999999999999989</v>
      </c>
      <c r="J139" s="517" t="s">
        <v>1240</v>
      </c>
      <c r="K139" s="512"/>
      <c r="L139" s="512"/>
      <c r="M139" s="513">
        <v>0</v>
      </c>
      <c r="N139" s="516">
        <v>1</v>
      </c>
      <c r="O139" s="518" t="s">
        <v>1240</v>
      </c>
      <c r="P139" s="13" t="s">
        <v>1236</v>
      </c>
    </row>
    <row r="140" spans="1:16">
      <c r="A140" s="28"/>
      <c r="B140" s="508"/>
      <c r="C140" s="510"/>
      <c r="D140" s="28"/>
      <c r="E140" s="512"/>
      <c r="F140" s="512"/>
      <c r="G140" s="512"/>
      <c r="H140" s="516">
        <v>0</v>
      </c>
      <c r="I140" s="516">
        <v>0.99999999999999989</v>
      </c>
      <c r="J140" s="517" t="s">
        <v>1240</v>
      </c>
      <c r="K140" s="512"/>
      <c r="L140" s="512"/>
      <c r="M140" s="513">
        <v>0</v>
      </c>
      <c r="N140" s="516">
        <v>1</v>
      </c>
      <c r="O140" s="518" t="s">
        <v>1240</v>
      </c>
      <c r="P140" s="13" t="s">
        <v>1236</v>
      </c>
    </row>
    <row r="141" spans="1:16">
      <c r="A141" s="28"/>
      <c r="B141" s="508"/>
      <c r="C141" s="510"/>
      <c r="D141" s="28"/>
      <c r="E141" s="512"/>
      <c r="F141" s="512"/>
      <c r="G141" s="512"/>
      <c r="H141" s="516">
        <v>0</v>
      </c>
      <c r="I141" s="516">
        <v>0.99999999999999989</v>
      </c>
      <c r="J141" s="517" t="s">
        <v>1240</v>
      </c>
      <c r="K141" s="512"/>
      <c r="L141" s="512"/>
      <c r="M141" s="513">
        <v>0</v>
      </c>
      <c r="N141" s="516">
        <v>1</v>
      </c>
      <c r="O141" s="518" t="s">
        <v>1240</v>
      </c>
      <c r="P141" s="13" t="s">
        <v>1236</v>
      </c>
    </row>
    <row r="142" spans="1:16">
      <c r="A142" s="28"/>
      <c r="B142" s="508"/>
      <c r="C142" s="510"/>
      <c r="D142" s="28"/>
      <c r="E142" s="512"/>
      <c r="F142" s="512"/>
      <c r="G142" s="512"/>
      <c r="H142" s="516">
        <v>0</v>
      </c>
      <c r="I142" s="516">
        <v>0.99999999999999989</v>
      </c>
      <c r="J142" s="517" t="s">
        <v>1240</v>
      </c>
      <c r="K142" s="512"/>
      <c r="L142" s="512"/>
      <c r="M142" s="513">
        <v>0</v>
      </c>
      <c r="N142" s="516">
        <v>1</v>
      </c>
      <c r="O142" s="518" t="s">
        <v>1240</v>
      </c>
      <c r="P142" s="13" t="s">
        <v>1236</v>
      </c>
    </row>
    <row r="143" spans="1:16">
      <c r="A143" s="28"/>
      <c r="B143" s="508"/>
      <c r="C143" s="510"/>
      <c r="D143" s="28"/>
      <c r="E143" s="512"/>
      <c r="F143" s="512"/>
      <c r="G143" s="512"/>
      <c r="H143" s="516">
        <v>0</v>
      </c>
      <c r="I143" s="516">
        <v>0.99999999999999989</v>
      </c>
      <c r="J143" s="517" t="s">
        <v>1240</v>
      </c>
      <c r="K143" s="512"/>
      <c r="L143" s="512"/>
      <c r="M143" s="513">
        <v>0</v>
      </c>
      <c r="N143" s="516">
        <v>1</v>
      </c>
      <c r="O143" s="518" t="s">
        <v>1240</v>
      </c>
      <c r="P143" s="13" t="s">
        <v>1236</v>
      </c>
    </row>
    <row r="144" spans="1:16">
      <c r="A144" s="28"/>
      <c r="B144" s="508"/>
      <c r="C144" s="510"/>
      <c r="D144" s="28"/>
      <c r="E144" s="512"/>
      <c r="F144" s="512"/>
      <c r="G144" s="512"/>
      <c r="H144" s="516">
        <v>0</v>
      </c>
      <c r="I144" s="516">
        <v>0.99999999999999989</v>
      </c>
      <c r="J144" s="517" t="s">
        <v>1240</v>
      </c>
      <c r="K144" s="512"/>
      <c r="L144" s="512"/>
      <c r="M144" s="513">
        <v>0</v>
      </c>
      <c r="N144" s="516">
        <v>1</v>
      </c>
      <c r="O144" s="518" t="s">
        <v>1240</v>
      </c>
      <c r="P144" s="13" t="s">
        <v>1236</v>
      </c>
    </row>
    <row r="145" spans="1:16">
      <c r="A145" s="28"/>
      <c r="B145" s="508"/>
      <c r="C145" s="510"/>
      <c r="D145" s="28"/>
      <c r="E145" s="512"/>
      <c r="F145" s="512"/>
      <c r="G145" s="512"/>
      <c r="H145" s="516">
        <v>0</v>
      </c>
      <c r="I145" s="516">
        <v>0.99999999999999989</v>
      </c>
      <c r="J145" s="517" t="s">
        <v>1240</v>
      </c>
      <c r="K145" s="512"/>
      <c r="L145" s="512"/>
      <c r="M145" s="513">
        <v>0</v>
      </c>
      <c r="N145" s="516">
        <v>1</v>
      </c>
      <c r="O145" s="518" t="s">
        <v>1240</v>
      </c>
      <c r="P145" s="13" t="s">
        <v>1236</v>
      </c>
    </row>
    <row r="146" spans="1:16">
      <c r="A146" s="28"/>
      <c r="B146" s="508"/>
      <c r="C146" s="510"/>
      <c r="D146" s="28"/>
      <c r="E146" s="512"/>
      <c r="F146" s="512"/>
      <c r="G146" s="512"/>
      <c r="H146" s="516">
        <v>0</v>
      </c>
      <c r="I146" s="516">
        <v>0.99999999999999989</v>
      </c>
      <c r="J146" s="517" t="s">
        <v>1240</v>
      </c>
      <c r="K146" s="512"/>
      <c r="L146" s="512"/>
      <c r="M146" s="513">
        <v>0</v>
      </c>
      <c r="N146" s="516">
        <v>1</v>
      </c>
      <c r="O146" s="518" t="s">
        <v>1240</v>
      </c>
      <c r="P146" s="13" t="s">
        <v>1236</v>
      </c>
    </row>
    <row r="147" spans="1:16">
      <c r="A147" s="28"/>
      <c r="B147" s="508"/>
      <c r="C147" s="510"/>
      <c r="D147" s="28"/>
      <c r="E147" s="512"/>
      <c r="F147" s="512"/>
      <c r="G147" s="512"/>
      <c r="H147" s="516">
        <v>0</v>
      </c>
      <c r="I147" s="516">
        <v>0.99999999999999989</v>
      </c>
      <c r="J147" s="517" t="s">
        <v>1240</v>
      </c>
      <c r="K147" s="512"/>
      <c r="L147" s="512"/>
      <c r="M147" s="513">
        <v>0</v>
      </c>
      <c r="N147" s="516">
        <v>1</v>
      </c>
      <c r="O147" s="518" t="s">
        <v>1240</v>
      </c>
      <c r="P147" s="13" t="s">
        <v>1236</v>
      </c>
    </row>
    <row r="148" spans="1:16">
      <c r="A148" s="28"/>
      <c r="B148" s="508"/>
      <c r="C148" s="510"/>
      <c r="D148" s="28"/>
      <c r="E148" s="512"/>
      <c r="F148" s="512"/>
      <c r="G148" s="512"/>
      <c r="H148" s="516">
        <v>0</v>
      </c>
      <c r="I148" s="516">
        <v>0.99999999999999989</v>
      </c>
      <c r="J148" s="517" t="s">
        <v>1240</v>
      </c>
      <c r="K148" s="512"/>
      <c r="L148" s="512"/>
      <c r="M148" s="513">
        <v>0</v>
      </c>
      <c r="N148" s="516">
        <v>1</v>
      </c>
      <c r="O148" s="518" t="s">
        <v>1240</v>
      </c>
      <c r="P148" s="13" t="s">
        <v>1236</v>
      </c>
    </row>
    <row r="149" spans="1:16">
      <c r="A149" s="28"/>
      <c r="B149" s="508"/>
      <c r="C149" s="510"/>
      <c r="D149" s="28"/>
      <c r="E149" s="512"/>
      <c r="F149" s="512"/>
      <c r="G149" s="512"/>
      <c r="H149" s="516">
        <v>0</v>
      </c>
      <c r="I149" s="516">
        <v>0.99999999999999989</v>
      </c>
      <c r="J149" s="517" t="s">
        <v>1240</v>
      </c>
      <c r="K149" s="512"/>
      <c r="L149" s="512"/>
      <c r="M149" s="513">
        <v>0</v>
      </c>
      <c r="N149" s="516">
        <v>1</v>
      </c>
      <c r="O149" s="518" t="s">
        <v>1240</v>
      </c>
      <c r="P149" s="13" t="s">
        <v>1236</v>
      </c>
    </row>
    <row r="150" spans="1:16">
      <c r="A150" s="28"/>
      <c r="B150" s="508"/>
      <c r="C150" s="510"/>
      <c r="D150" s="28"/>
      <c r="E150" s="512"/>
      <c r="F150" s="512"/>
      <c r="G150" s="512"/>
      <c r="H150" s="516">
        <v>0</v>
      </c>
      <c r="I150" s="516">
        <v>0.99999999999999989</v>
      </c>
      <c r="J150" s="517" t="s">
        <v>1240</v>
      </c>
      <c r="K150" s="512"/>
      <c r="L150" s="512"/>
      <c r="M150" s="513">
        <v>0</v>
      </c>
      <c r="N150" s="516">
        <v>1</v>
      </c>
      <c r="O150" s="518" t="s">
        <v>1240</v>
      </c>
      <c r="P150" s="13" t="s">
        <v>1236</v>
      </c>
    </row>
    <row r="151" spans="1:16">
      <c r="A151" s="28"/>
      <c r="B151" s="508"/>
      <c r="C151" s="510"/>
      <c r="D151" s="28"/>
      <c r="E151" s="512"/>
      <c r="F151" s="512"/>
      <c r="G151" s="512"/>
      <c r="H151" s="516">
        <v>0</v>
      </c>
      <c r="I151" s="516">
        <v>0.99999999999999989</v>
      </c>
      <c r="J151" s="517" t="s">
        <v>1240</v>
      </c>
      <c r="K151" s="512"/>
      <c r="L151" s="512"/>
      <c r="M151" s="513">
        <v>0</v>
      </c>
      <c r="N151" s="516">
        <v>1</v>
      </c>
      <c r="O151" s="518" t="s">
        <v>1240</v>
      </c>
      <c r="P151" s="13" t="s">
        <v>1236</v>
      </c>
    </row>
    <row r="152" spans="1:16">
      <c r="A152" s="28"/>
      <c r="B152" s="508"/>
      <c r="C152" s="510"/>
      <c r="D152" s="28"/>
      <c r="E152" s="512"/>
      <c r="F152" s="512"/>
      <c r="G152" s="512"/>
      <c r="H152" s="516">
        <v>0</v>
      </c>
      <c r="I152" s="516">
        <v>0.99999999999999989</v>
      </c>
      <c r="J152" s="517" t="s">
        <v>1240</v>
      </c>
      <c r="K152" s="512"/>
      <c r="L152" s="512"/>
      <c r="M152" s="513">
        <v>0</v>
      </c>
      <c r="N152" s="516">
        <v>1</v>
      </c>
      <c r="O152" s="518" t="s">
        <v>1240</v>
      </c>
      <c r="P152" s="13" t="s">
        <v>1236</v>
      </c>
    </row>
    <row r="153" spans="1:16">
      <c r="A153" s="28"/>
      <c r="B153" s="508"/>
      <c r="C153" s="510"/>
      <c r="D153" s="28"/>
      <c r="E153" s="512"/>
      <c r="F153" s="512"/>
      <c r="G153" s="512"/>
      <c r="H153" s="516">
        <v>0</v>
      </c>
      <c r="I153" s="516">
        <v>0.99999999999999989</v>
      </c>
      <c r="J153" s="517" t="s">
        <v>1240</v>
      </c>
      <c r="K153" s="512"/>
      <c r="L153" s="512"/>
      <c r="M153" s="513">
        <v>0</v>
      </c>
      <c r="N153" s="516">
        <v>1</v>
      </c>
      <c r="O153" s="518" t="s">
        <v>1240</v>
      </c>
      <c r="P153" s="13" t="s">
        <v>1236</v>
      </c>
    </row>
    <row r="154" spans="1:16">
      <c r="A154" s="28"/>
      <c r="B154" s="508"/>
      <c r="C154" s="510"/>
      <c r="D154" s="28"/>
      <c r="E154" s="512"/>
      <c r="F154" s="512"/>
      <c r="G154" s="512"/>
      <c r="H154" s="516">
        <v>0</v>
      </c>
      <c r="I154" s="516">
        <v>0.99999999999999989</v>
      </c>
      <c r="J154" s="517" t="s">
        <v>1240</v>
      </c>
      <c r="K154" s="512"/>
      <c r="L154" s="512"/>
      <c r="M154" s="513">
        <v>0</v>
      </c>
      <c r="N154" s="516">
        <v>1</v>
      </c>
      <c r="O154" s="518" t="s">
        <v>1240</v>
      </c>
      <c r="P154" s="13" t="s">
        <v>1236</v>
      </c>
    </row>
    <row r="155" spans="1:16">
      <c r="A155" s="28"/>
      <c r="B155" s="508"/>
      <c r="C155" s="510"/>
      <c r="D155" s="28"/>
      <c r="E155" s="512"/>
      <c r="F155" s="512"/>
      <c r="G155" s="512"/>
      <c r="H155" s="516">
        <v>0</v>
      </c>
      <c r="I155" s="516">
        <v>0.99999999999999989</v>
      </c>
      <c r="J155" s="517" t="s">
        <v>1240</v>
      </c>
      <c r="K155" s="512"/>
      <c r="L155" s="512"/>
      <c r="M155" s="513">
        <v>0</v>
      </c>
      <c r="N155" s="516">
        <v>1</v>
      </c>
      <c r="O155" s="518" t="s">
        <v>1240</v>
      </c>
      <c r="P155" s="13" t="s">
        <v>1236</v>
      </c>
    </row>
    <row r="156" spans="1:16">
      <c r="A156" s="28"/>
      <c r="B156" s="508"/>
      <c r="C156" s="510"/>
      <c r="D156" s="28"/>
      <c r="E156" s="512"/>
      <c r="F156" s="512"/>
      <c r="G156" s="512"/>
      <c r="H156" s="516">
        <v>0</v>
      </c>
      <c r="I156" s="516">
        <v>0.99999999999999989</v>
      </c>
      <c r="J156" s="517" t="s">
        <v>1240</v>
      </c>
      <c r="K156" s="512"/>
      <c r="L156" s="512"/>
      <c r="M156" s="513">
        <v>0</v>
      </c>
      <c r="N156" s="516">
        <v>1</v>
      </c>
      <c r="O156" s="518" t="s">
        <v>1240</v>
      </c>
      <c r="P156" s="13" t="s">
        <v>1236</v>
      </c>
    </row>
    <row r="157" spans="1:16">
      <c r="A157" s="28"/>
      <c r="B157" s="508"/>
      <c r="C157" s="510"/>
      <c r="D157" s="28"/>
      <c r="E157" s="512"/>
      <c r="F157" s="512"/>
      <c r="G157" s="512"/>
      <c r="H157" s="516">
        <v>0</v>
      </c>
      <c r="I157" s="516">
        <v>0.99999999999999989</v>
      </c>
      <c r="J157" s="517" t="s">
        <v>1240</v>
      </c>
      <c r="K157" s="512"/>
      <c r="L157" s="512"/>
      <c r="M157" s="513">
        <v>0</v>
      </c>
      <c r="N157" s="516">
        <v>1</v>
      </c>
      <c r="O157" s="518" t="s">
        <v>1240</v>
      </c>
      <c r="P157" s="13" t="s">
        <v>1236</v>
      </c>
    </row>
    <row r="158" spans="1:16">
      <c r="A158" s="28"/>
      <c r="B158" s="508"/>
      <c r="C158" s="510"/>
      <c r="D158" s="28"/>
      <c r="E158" s="512"/>
      <c r="F158" s="512"/>
      <c r="G158" s="512"/>
      <c r="H158" s="516">
        <v>0</v>
      </c>
      <c r="I158" s="516">
        <v>0.99999999999999989</v>
      </c>
      <c r="J158" s="517" t="s">
        <v>1240</v>
      </c>
      <c r="K158" s="512"/>
      <c r="L158" s="512"/>
      <c r="M158" s="513">
        <v>0</v>
      </c>
      <c r="N158" s="516">
        <v>1</v>
      </c>
      <c r="O158" s="518" t="s">
        <v>1240</v>
      </c>
      <c r="P158" s="13" t="s">
        <v>1236</v>
      </c>
    </row>
    <row r="159" spans="1:16">
      <c r="A159" s="28"/>
      <c r="B159" s="508"/>
      <c r="C159" s="510"/>
      <c r="D159" s="28"/>
      <c r="E159" s="512"/>
      <c r="F159" s="512"/>
      <c r="G159" s="512"/>
      <c r="H159" s="516">
        <v>0</v>
      </c>
      <c r="I159" s="516">
        <v>0.99999999999999989</v>
      </c>
      <c r="J159" s="517" t="s">
        <v>1240</v>
      </c>
      <c r="K159" s="512"/>
      <c r="L159" s="512"/>
      <c r="M159" s="513">
        <v>0</v>
      </c>
      <c r="N159" s="516">
        <v>1</v>
      </c>
      <c r="O159" s="518" t="s">
        <v>1240</v>
      </c>
      <c r="P159" s="13" t="s">
        <v>1236</v>
      </c>
    </row>
    <row r="160" spans="1:16">
      <c r="A160" s="28"/>
      <c r="B160" s="508"/>
      <c r="C160" s="510"/>
      <c r="D160" s="28"/>
      <c r="E160" s="512"/>
      <c r="F160" s="512"/>
      <c r="G160" s="512"/>
      <c r="H160" s="516">
        <v>0</v>
      </c>
      <c r="I160" s="516">
        <v>0.99999999999999989</v>
      </c>
      <c r="J160" s="517" t="s">
        <v>1240</v>
      </c>
      <c r="K160" s="512"/>
      <c r="L160" s="512"/>
      <c r="M160" s="513">
        <v>0</v>
      </c>
      <c r="N160" s="516">
        <v>1</v>
      </c>
      <c r="O160" s="518" t="s">
        <v>1240</v>
      </c>
      <c r="P160" s="13" t="s">
        <v>1236</v>
      </c>
    </row>
    <row r="161" spans="1:16">
      <c r="A161" s="28"/>
      <c r="B161" s="508"/>
      <c r="C161" s="510"/>
      <c r="D161" s="28"/>
      <c r="E161" s="512"/>
      <c r="F161" s="512"/>
      <c r="G161" s="512"/>
      <c r="H161" s="516">
        <v>0</v>
      </c>
      <c r="I161" s="516">
        <v>0.99999999999999989</v>
      </c>
      <c r="J161" s="517" t="s">
        <v>1240</v>
      </c>
      <c r="K161" s="512"/>
      <c r="L161" s="512"/>
      <c r="M161" s="513">
        <v>0</v>
      </c>
      <c r="N161" s="516">
        <v>1</v>
      </c>
      <c r="O161" s="518" t="s">
        <v>1240</v>
      </c>
      <c r="P161" s="13" t="s">
        <v>1236</v>
      </c>
    </row>
    <row r="162" spans="1:16">
      <c r="A162" s="28"/>
      <c r="B162" s="508"/>
      <c r="C162" s="510"/>
      <c r="D162" s="28"/>
      <c r="E162" s="512"/>
      <c r="F162" s="512"/>
      <c r="G162" s="512"/>
      <c r="H162" s="516">
        <v>0</v>
      </c>
      <c r="I162" s="516">
        <v>0.99999999999999989</v>
      </c>
      <c r="J162" s="517" t="s">
        <v>1240</v>
      </c>
      <c r="K162" s="512"/>
      <c r="L162" s="512"/>
      <c r="M162" s="513">
        <v>0</v>
      </c>
      <c r="N162" s="516">
        <v>1</v>
      </c>
      <c r="O162" s="518" t="s">
        <v>1240</v>
      </c>
      <c r="P162" s="13" t="s">
        <v>1236</v>
      </c>
    </row>
    <row r="163" spans="1:16">
      <c r="A163" s="28"/>
      <c r="B163" s="508"/>
      <c r="C163" s="510"/>
      <c r="D163" s="28"/>
      <c r="E163" s="512"/>
      <c r="F163" s="512"/>
      <c r="G163" s="512"/>
      <c r="H163" s="516">
        <v>0</v>
      </c>
      <c r="I163" s="516">
        <v>0.99999999999999989</v>
      </c>
      <c r="J163" s="517" t="s">
        <v>1240</v>
      </c>
      <c r="K163" s="512"/>
      <c r="L163" s="512"/>
      <c r="M163" s="513">
        <v>0</v>
      </c>
      <c r="N163" s="516">
        <v>1</v>
      </c>
      <c r="O163" s="518" t="s">
        <v>1240</v>
      </c>
      <c r="P163" s="13" t="s">
        <v>1236</v>
      </c>
    </row>
    <row r="164" spans="1:16">
      <c r="A164" s="28"/>
      <c r="B164" s="508"/>
      <c r="C164" s="510"/>
      <c r="D164" s="28"/>
      <c r="E164" s="512"/>
      <c r="F164" s="512"/>
      <c r="G164" s="512"/>
      <c r="H164" s="516">
        <v>0</v>
      </c>
      <c r="I164" s="516">
        <v>0.99999999999999989</v>
      </c>
      <c r="J164" s="517" t="s">
        <v>1240</v>
      </c>
      <c r="K164" s="512"/>
      <c r="L164" s="512"/>
      <c r="M164" s="513">
        <v>0</v>
      </c>
      <c r="N164" s="516">
        <v>1</v>
      </c>
      <c r="O164" s="518" t="s">
        <v>1240</v>
      </c>
      <c r="P164" s="13" t="s">
        <v>1236</v>
      </c>
    </row>
    <row r="165" spans="1:16">
      <c r="A165" s="28"/>
      <c r="B165" s="508"/>
      <c r="C165" s="510"/>
      <c r="D165" s="28"/>
      <c r="E165" s="512"/>
      <c r="F165" s="512"/>
      <c r="G165" s="512"/>
      <c r="H165" s="516">
        <v>0</v>
      </c>
      <c r="I165" s="516">
        <v>0.99999999999999989</v>
      </c>
      <c r="J165" s="517" t="s">
        <v>1240</v>
      </c>
      <c r="K165" s="512"/>
      <c r="L165" s="512"/>
      <c r="M165" s="513">
        <v>0</v>
      </c>
      <c r="N165" s="516">
        <v>1</v>
      </c>
      <c r="O165" s="518" t="s">
        <v>1240</v>
      </c>
      <c r="P165" s="13" t="s">
        <v>1236</v>
      </c>
    </row>
    <row r="166" spans="1:16">
      <c r="A166" s="28"/>
      <c r="B166" s="508"/>
      <c r="C166" s="510"/>
      <c r="D166" s="28"/>
      <c r="E166" s="512"/>
      <c r="F166" s="512"/>
      <c r="G166" s="512"/>
      <c r="H166" s="516">
        <v>0</v>
      </c>
      <c r="I166" s="516">
        <v>0.99999999999999989</v>
      </c>
      <c r="J166" s="517" t="s">
        <v>1240</v>
      </c>
      <c r="K166" s="512"/>
      <c r="L166" s="512"/>
      <c r="M166" s="513">
        <v>0</v>
      </c>
      <c r="N166" s="516">
        <v>1</v>
      </c>
      <c r="O166" s="518" t="s">
        <v>1240</v>
      </c>
      <c r="P166" s="13" t="s">
        <v>1236</v>
      </c>
    </row>
    <row r="167" spans="1:16">
      <c r="A167" s="28"/>
      <c r="B167" s="508"/>
      <c r="C167" s="510"/>
      <c r="D167" s="28"/>
      <c r="E167" s="512"/>
      <c r="F167" s="512"/>
      <c r="G167" s="512"/>
      <c r="H167" s="516">
        <v>0</v>
      </c>
      <c r="I167" s="516">
        <v>0.99999999999999989</v>
      </c>
      <c r="J167" s="517" t="s">
        <v>1240</v>
      </c>
      <c r="K167" s="512"/>
      <c r="L167" s="512"/>
      <c r="M167" s="513">
        <v>0</v>
      </c>
      <c r="N167" s="516">
        <v>1</v>
      </c>
      <c r="O167" s="518" t="s">
        <v>1240</v>
      </c>
      <c r="P167" s="13" t="s">
        <v>1236</v>
      </c>
    </row>
    <row r="168" spans="1:16">
      <c r="A168" s="28"/>
      <c r="B168" s="508"/>
      <c r="C168" s="510"/>
      <c r="D168" s="28"/>
      <c r="E168" s="512"/>
      <c r="F168" s="512"/>
      <c r="G168" s="512"/>
      <c r="H168" s="516">
        <v>0</v>
      </c>
      <c r="I168" s="516">
        <v>0.99999999999999989</v>
      </c>
      <c r="J168" s="517" t="s">
        <v>1240</v>
      </c>
      <c r="K168" s="512"/>
      <c r="L168" s="512"/>
      <c r="M168" s="513">
        <v>0</v>
      </c>
      <c r="N168" s="516">
        <v>1</v>
      </c>
      <c r="O168" s="518" t="s">
        <v>1240</v>
      </c>
      <c r="P168" s="13" t="s">
        <v>1236</v>
      </c>
    </row>
    <row r="169" spans="1:16">
      <c r="A169" s="28"/>
      <c r="B169" s="508"/>
      <c r="C169" s="510"/>
      <c r="D169" s="28"/>
      <c r="E169" s="512"/>
      <c r="F169" s="512"/>
      <c r="G169" s="512"/>
      <c r="H169" s="516">
        <v>0</v>
      </c>
      <c r="I169" s="516">
        <v>0.99999999999999989</v>
      </c>
      <c r="J169" s="517" t="s">
        <v>1240</v>
      </c>
      <c r="K169" s="512"/>
      <c r="L169" s="512"/>
      <c r="M169" s="513">
        <v>0</v>
      </c>
      <c r="N169" s="516">
        <v>1</v>
      </c>
      <c r="O169" s="518" t="s">
        <v>1240</v>
      </c>
      <c r="P169" s="13" t="s">
        <v>1236</v>
      </c>
    </row>
    <row r="170" spans="1:16">
      <c r="A170" s="28"/>
      <c r="B170" s="508"/>
      <c r="C170" s="510"/>
      <c r="D170" s="28"/>
      <c r="E170" s="512"/>
      <c r="F170" s="512"/>
      <c r="G170" s="512"/>
      <c r="H170" s="516">
        <v>0</v>
      </c>
      <c r="I170" s="516">
        <v>0.99999999999999989</v>
      </c>
      <c r="J170" s="517" t="s">
        <v>1240</v>
      </c>
      <c r="K170" s="512"/>
      <c r="L170" s="512"/>
      <c r="M170" s="513">
        <v>0</v>
      </c>
      <c r="N170" s="516">
        <v>1</v>
      </c>
      <c r="O170" s="518" t="s">
        <v>1240</v>
      </c>
      <c r="P170" s="13" t="s">
        <v>1236</v>
      </c>
    </row>
    <row r="171" spans="1:16">
      <c r="G171" s="512"/>
      <c r="H171" s="516">
        <v>0</v>
      </c>
      <c r="I171" s="516">
        <v>0.99999999999999989</v>
      </c>
      <c r="J171" s="517" t="s">
        <v>1240</v>
      </c>
      <c r="L171" s="512"/>
      <c r="M171" s="513">
        <v>0</v>
      </c>
      <c r="N171" s="516">
        <v>1</v>
      </c>
      <c r="O171" s="518" t="s">
        <v>1240</v>
      </c>
      <c r="P171" s="13" t="s">
        <v>1236</v>
      </c>
    </row>
    <row r="172" spans="1:16">
      <c r="G172" s="512"/>
      <c r="H172" s="516">
        <v>0</v>
      </c>
      <c r="I172" s="516">
        <v>0.99999999999999989</v>
      </c>
      <c r="J172" s="517" t="s">
        <v>1240</v>
      </c>
      <c r="L172" s="512"/>
      <c r="M172" s="513">
        <v>0</v>
      </c>
      <c r="N172" s="516">
        <v>1</v>
      </c>
      <c r="O172" s="518" t="s">
        <v>1240</v>
      </c>
      <c r="P172" s="13" t="s">
        <v>1236</v>
      </c>
    </row>
    <row r="173" spans="1:16">
      <c r="G173" s="512"/>
      <c r="H173" s="516">
        <v>0</v>
      </c>
      <c r="I173" s="516">
        <v>0.99999999999999989</v>
      </c>
      <c r="J173" s="517" t="s">
        <v>1240</v>
      </c>
      <c r="L173" s="512"/>
      <c r="M173" s="513">
        <v>0</v>
      </c>
      <c r="N173" s="516">
        <v>1</v>
      </c>
      <c r="O173" s="518" t="s">
        <v>1240</v>
      </c>
      <c r="P173" s="13" t="s">
        <v>1236</v>
      </c>
    </row>
    <row r="174" spans="1:16">
      <c r="G174" s="512"/>
      <c r="H174" s="516">
        <v>0</v>
      </c>
      <c r="I174" s="516">
        <v>0.99999999999999989</v>
      </c>
      <c r="J174" s="517" t="s">
        <v>1240</v>
      </c>
      <c r="L174" s="512"/>
      <c r="M174" s="513">
        <v>0</v>
      </c>
      <c r="N174" s="516">
        <v>1</v>
      </c>
      <c r="O174" s="518" t="s">
        <v>1240</v>
      </c>
      <c r="P174" s="13" t="s">
        <v>1236</v>
      </c>
    </row>
    <row r="175" spans="1:16">
      <c r="G175" s="512"/>
      <c r="H175" s="516">
        <v>0</v>
      </c>
      <c r="I175" s="516">
        <v>0.99999999999999989</v>
      </c>
      <c r="J175" s="517" t="s">
        <v>1240</v>
      </c>
      <c r="L175" s="512"/>
      <c r="M175" s="513">
        <v>0</v>
      </c>
      <c r="N175" s="516">
        <v>1</v>
      </c>
      <c r="O175" s="518" t="s">
        <v>1240</v>
      </c>
      <c r="P175" s="13" t="s">
        <v>1236</v>
      </c>
    </row>
    <row r="176" spans="1:16">
      <c r="G176" s="512"/>
      <c r="H176" s="516">
        <v>0</v>
      </c>
      <c r="I176" s="516">
        <v>0.99999999999999989</v>
      </c>
      <c r="J176" s="517" t="s">
        <v>1240</v>
      </c>
      <c r="L176" s="512"/>
      <c r="M176" s="513">
        <v>0</v>
      </c>
      <c r="N176" s="516">
        <v>1</v>
      </c>
      <c r="O176" s="518" t="s">
        <v>1240</v>
      </c>
      <c r="P176" s="13" t="s">
        <v>1236</v>
      </c>
    </row>
    <row r="177" spans="7:16">
      <c r="G177" s="512"/>
      <c r="H177" s="516">
        <v>0</v>
      </c>
      <c r="I177" s="516">
        <v>0.99999999999999989</v>
      </c>
      <c r="J177" s="517" t="s">
        <v>1240</v>
      </c>
      <c r="L177" s="512"/>
      <c r="M177" s="513">
        <v>0</v>
      </c>
      <c r="N177" s="516">
        <v>1</v>
      </c>
      <c r="O177" s="518" t="s">
        <v>1240</v>
      </c>
      <c r="P177" s="13" t="s">
        <v>1236</v>
      </c>
    </row>
    <row r="178" spans="7:16">
      <c r="G178" s="512"/>
      <c r="H178" s="516">
        <v>0</v>
      </c>
      <c r="I178" s="516">
        <v>0.99999999999999989</v>
      </c>
      <c r="J178" s="517" t="s">
        <v>1240</v>
      </c>
      <c r="L178" s="512"/>
      <c r="M178" s="513">
        <v>0</v>
      </c>
      <c r="N178" s="516">
        <v>1</v>
      </c>
      <c r="O178" s="518" t="s">
        <v>1240</v>
      </c>
      <c r="P178" s="13" t="s">
        <v>1236</v>
      </c>
    </row>
    <row r="179" spans="7:16">
      <c r="G179" s="512"/>
      <c r="H179" s="516">
        <v>0</v>
      </c>
      <c r="I179" s="516">
        <v>0.99999999999999989</v>
      </c>
      <c r="J179" s="517" t="s">
        <v>1240</v>
      </c>
      <c r="L179" s="512"/>
      <c r="M179" s="513">
        <v>0</v>
      </c>
      <c r="N179" s="516">
        <v>1</v>
      </c>
      <c r="O179" s="518" t="s">
        <v>1240</v>
      </c>
      <c r="P179" s="13" t="s">
        <v>1236</v>
      </c>
    </row>
    <row r="180" spans="7:16">
      <c r="G180" s="512"/>
      <c r="H180" s="516">
        <v>0</v>
      </c>
      <c r="I180" s="516">
        <v>0.99999999999999989</v>
      </c>
      <c r="J180" s="517" t="s">
        <v>1240</v>
      </c>
      <c r="L180" s="512"/>
      <c r="M180" s="513">
        <v>0</v>
      </c>
      <c r="N180" s="516">
        <v>1</v>
      </c>
      <c r="O180" s="518" t="s">
        <v>1240</v>
      </c>
      <c r="P180" s="13" t="s">
        <v>1236</v>
      </c>
    </row>
    <row r="181" spans="7:16">
      <c r="G181" s="512"/>
      <c r="H181" s="516">
        <v>0</v>
      </c>
      <c r="I181" s="516">
        <v>0.99999999999999989</v>
      </c>
      <c r="J181" s="517" t="s">
        <v>1240</v>
      </c>
      <c r="L181" s="512"/>
      <c r="M181" s="513">
        <v>0</v>
      </c>
      <c r="N181" s="516">
        <v>1</v>
      </c>
      <c r="O181" s="518" t="s">
        <v>1240</v>
      </c>
      <c r="P181" s="13" t="s">
        <v>1236</v>
      </c>
    </row>
    <row r="182" spans="7:16">
      <c r="G182" s="512"/>
      <c r="H182" s="516">
        <v>0</v>
      </c>
      <c r="I182" s="516">
        <v>0.99999999999999989</v>
      </c>
      <c r="J182" s="517" t="s">
        <v>1240</v>
      </c>
      <c r="L182" s="512"/>
      <c r="M182" s="513">
        <v>0</v>
      </c>
      <c r="N182" s="516">
        <v>1</v>
      </c>
      <c r="O182" s="518" t="s">
        <v>1240</v>
      </c>
      <c r="P182" s="13" t="s">
        <v>1236</v>
      </c>
    </row>
    <row r="183" spans="7:16">
      <c r="G183" s="512"/>
      <c r="H183" s="516">
        <v>0</v>
      </c>
      <c r="I183" s="516">
        <v>0.99999999999999989</v>
      </c>
      <c r="J183" s="517" t="s">
        <v>1240</v>
      </c>
      <c r="L183" s="512"/>
      <c r="M183" s="513">
        <v>0</v>
      </c>
      <c r="N183" s="516">
        <v>1</v>
      </c>
      <c r="O183" s="518" t="s">
        <v>1240</v>
      </c>
      <c r="P183" s="13" t="s">
        <v>1236</v>
      </c>
    </row>
    <row r="184" spans="7:16">
      <c r="G184" s="512"/>
      <c r="H184" s="516">
        <v>0</v>
      </c>
      <c r="I184" s="516">
        <v>0.99999999999999989</v>
      </c>
      <c r="J184" s="517" t="s">
        <v>1240</v>
      </c>
      <c r="L184" s="512"/>
      <c r="M184" s="513">
        <v>0</v>
      </c>
      <c r="N184" s="516">
        <v>1</v>
      </c>
      <c r="O184" s="518" t="s">
        <v>1240</v>
      </c>
      <c r="P184" s="13" t="s">
        <v>1236</v>
      </c>
    </row>
    <row r="185" spans="7:16">
      <c r="G185" s="512"/>
      <c r="H185" s="516">
        <v>0</v>
      </c>
      <c r="I185" s="516">
        <v>0.99999999999999989</v>
      </c>
      <c r="J185" s="517" t="s">
        <v>1240</v>
      </c>
      <c r="L185" s="512"/>
      <c r="M185" s="513">
        <v>0</v>
      </c>
      <c r="N185" s="516">
        <v>1</v>
      </c>
      <c r="O185" s="518" t="s">
        <v>1240</v>
      </c>
      <c r="P185" s="13" t="s">
        <v>1236</v>
      </c>
    </row>
    <row r="186" spans="7:16">
      <c r="G186" s="512"/>
      <c r="H186" s="516">
        <v>0</v>
      </c>
      <c r="I186" s="516">
        <v>0.99999999999999989</v>
      </c>
      <c r="J186" s="517" t="s">
        <v>1240</v>
      </c>
      <c r="L186" s="512"/>
      <c r="M186" s="513">
        <v>0</v>
      </c>
      <c r="N186" s="516">
        <v>1</v>
      </c>
      <c r="O186" s="518" t="s">
        <v>1240</v>
      </c>
      <c r="P186" s="13" t="s">
        <v>1236</v>
      </c>
    </row>
    <row r="187" spans="7:16">
      <c r="G187" s="512"/>
      <c r="H187" s="516">
        <v>0</v>
      </c>
      <c r="I187" s="516">
        <v>0.99999999999999989</v>
      </c>
      <c r="J187" s="517" t="s">
        <v>1240</v>
      </c>
      <c r="L187" s="512"/>
      <c r="M187" s="513">
        <v>0</v>
      </c>
      <c r="N187" s="516">
        <v>1</v>
      </c>
      <c r="O187" s="518" t="s">
        <v>1240</v>
      </c>
      <c r="P187" s="13" t="s">
        <v>1236</v>
      </c>
    </row>
    <row r="188" spans="7:16">
      <c r="G188" s="512"/>
      <c r="H188" s="516">
        <v>0</v>
      </c>
      <c r="I188" s="516">
        <v>0.99999999999999989</v>
      </c>
      <c r="J188" s="517" t="s">
        <v>1240</v>
      </c>
      <c r="L188" s="512"/>
      <c r="M188" s="513">
        <v>0</v>
      </c>
      <c r="N188" s="516">
        <v>1</v>
      </c>
      <c r="O188" s="518" t="s">
        <v>1240</v>
      </c>
      <c r="P188" s="13" t="s">
        <v>1236</v>
      </c>
    </row>
    <row r="189" spans="7:16">
      <c r="G189" s="512"/>
      <c r="H189" s="516">
        <v>0</v>
      </c>
      <c r="I189" s="516">
        <v>0.99999999999999989</v>
      </c>
      <c r="J189" s="517" t="s">
        <v>1240</v>
      </c>
      <c r="L189" s="512"/>
      <c r="M189" s="513">
        <v>0</v>
      </c>
      <c r="N189" s="516">
        <v>1</v>
      </c>
      <c r="O189" s="518" t="s">
        <v>1240</v>
      </c>
      <c r="P189" s="13" t="s">
        <v>1236</v>
      </c>
    </row>
    <row r="190" spans="7:16">
      <c r="G190" s="512"/>
      <c r="H190" s="516">
        <v>0</v>
      </c>
      <c r="I190" s="516">
        <v>0.99999999999999989</v>
      </c>
      <c r="J190" s="517" t="s">
        <v>1240</v>
      </c>
      <c r="L190" s="512"/>
      <c r="M190" s="513">
        <v>0</v>
      </c>
      <c r="N190" s="516">
        <v>1</v>
      </c>
      <c r="O190" s="518" t="s">
        <v>1240</v>
      </c>
      <c r="P190" s="13" t="s">
        <v>1236</v>
      </c>
    </row>
    <row r="191" spans="7:16">
      <c r="G191" s="512"/>
      <c r="H191" s="516">
        <v>0</v>
      </c>
      <c r="I191" s="516">
        <v>0.99999999999999989</v>
      </c>
      <c r="J191" s="517" t="s">
        <v>1240</v>
      </c>
      <c r="L191" s="512"/>
      <c r="M191" s="513">
        <v>0</v>
      </c>
      <c r="N191" s="516">
        <v>1</v>
      </c>
      <c r="O191" s="518" t="s">
        <v>1240</v>
      </c>
      <c r="P191" s="13" t="s">
        <v>1236</v>
      </c>
    </row>
    <row r="192" spans="7:16">
      <c r="G192" s="512"/>
      <c r="H192" s="516">
        <v>0</v>
      </c>
      <c r="I192" s="516">
        <v>0.99999999999999989</v>
      </c>
      <c r="J192" s="517" t="s">
        <v>1240</v>
      </c>
      <c r="L192" s="512"/>
      <c r="M192" s="513">
        <v>0</v>
      </c>
      <c r="N192" s="516">
        <v>1</v>
      </c>
      <c r="O192" s="518" t="s">
        <v>1240</v>
      </c>
      <c r="P192" s="13" t="s">
        <v>1236</v>
      </c>
    </row>
    <row r="193" spans="7:16">
      <c r="G193" s="512"/>
      <c r="H193" s="516">
        <v>0</v>
      </c>
      <c r="I193" s="516">
        <v>0.99999999999999989</v>
      </c>
      <c r="J193" s="517" t="s">
        <v>1240</v>
      </c>
      <c r="L193" s="512"/>
      <c r="M193" s="513">
        <v>0</v>
      </c>
      <c r="N193" s="516">
        <v>1</v>
      </c>
      <c r="O193" s="518" t="s">
        <v>1240</v>
      </c>
      <c r="P193" s="13" t="s">
        <v>1236</v>
      </c>
    </row>
    <row r="194" spans="7:16">
      <c r="G194" s="512"/>
      <c r="H194" s="516">
        <v>0</v>
      </c>
      <c r="I194" s="516">
        <v>0.99999999999999989</v>
      </c>
      <c r="J194" s="517" t="s">
        <v>1240</v>
      </c>
      <c r="L194" s="512"/>
      <c r="M194" s="513">
        <v>0</v>
      </c>
      <c r="N194" s="516">
        <v>1</v>
      </c>
      <c r="O194" s="518" t="s">
        <v>1240</v>
      </c>
      <c r="P194" s="13" t="s">
        <v>1236</v>
      </c>
    </row>
    <row r="195" spans="7:16">
      <c r="G195" s="512"/>
      <c r="H195" s="516">
        <v>0</v>
      </c>
      <c r="I195" s="516">
        <v>0.99999999999999989</v>
      </c>
      <c r="J195" s="517" t="s">
        <v>1240</v>
      </c>
      <c r="L195" s="512"/>
      <c r="M195" s="513">
        <v>0</v>
      </c>
      <c r="N195" s="516">
        <v>1</v>
      </c>
      <c r="O195" s="518" t="s">
        <v>1240</v>
      </c>
      <c r="P195" s="13" t="s">
        <v>1236</v>
      </c>
    </row>
    <row r="196" spans="7:16">
      <c r="G196" s="512"/>
      <c r="H196" s="516">
        <v>0</v>
      </c>
      <c r="I196" s="516">
        <v>0.99999999999999989</v>
      </c>
      <c r="J196" s="517" t="s">
        <v>1240</v>
      </c>
      <c r="L196" s="512"/>
      <c r="M196" s="513">
        <v>0</v>
      </c>
      <c r="N196" s="516">
        <v>1</v>
      </c>
      <c r="O196" s="518" t="s">
        <v>1240</v>
      </c>
      <c r="P196" s="13" t="s">
        <v>1236</v>
      </c>
    </row>
    <row r="197" spans="7:16">
      <c r="G197" s="512"/>
      <c r="H197" s="516">
        <v>0</v>
      </c>
      <c r="I197" s="516">
        <v>0.99999999999999989</v>
      </c>
      <c r="J197" s="517" t="s">
        <v>1240</v>
      </c>
      <c r="L197" s="512"/>
      <c r="M197" s="513">
        <v>0</v>
      </c>
      <c r="N197" s="516">
        <v>1</v>
      </c>
      <c r="O197" s="518" t="s">
        <v>1240</v>
      </c>
      <c r="P197" s="13" t="s">
        <v>1236</v>
      </c>
    </row>
    <row r="198" spans="7:16">
      <c r="G198" s="512"/>
      <c r="H198" s="516">
        <v>0</v>
      </c>
      <c r="I198" s="516">
        <v>0.99999999999999989</v>
      </c>
      <c r="J198" s="517" t="s">
        <v>1240</v>
      </c>
      <c r="L198" s="512"/>
      <c r="M198" s="513">
        <v>0</v>
      </c>
      <c r="N198" s="516">
        <v>1</v>
      </c>
      <c r="O198" s="518" t="s">
        <v>1240</v>
      </c>
      <c r="P198" s="13" t="s">
        <v>1236</v>
      </c>
    </row>
    <row r="199" spans="7:16">
      <c r="H199" s="516">
        <v>0</v>
      </c>
      <c r="I199" s="516">
        <v>0.99999999999999989</v>
      </c>
      <c r="J199" s="517" t="s">
        <v>1240</v>
      </c>
      <c r="M199" s="513">
        <v>0</v>
      </c>
      <c r="N199" s="516">
        <v>1</v>
      </c>
      <c r="O199" s="518" t="s">
        <v>1240</v>
      </c>
      <c r="P199" s="13" t="s">
        <v>1236</v>
      </c>
    </row>
    <row r="200" spans="7:16">
      <c r="H200" s="516">
        <v>0</v>
      </c>
      <c r="I200" s="516">
        <v>0.99999999999999989</v>
      </c>
      <c r="J200" s="517" t="s">
        <v>1240</v>
      </c>
      <c r="M200" s="513">
        <v>0</v>
      </c>
      <c r="N200" s="516">
        <v>1</v>
      </c>
      <c r="O200" s="518" t="s">
        <v>1240</v>
      </c>
      <c r="P200" s="13" t="s">
        <v>1236</v>
      </c>
    </row>
    <row r="201" spans="7:16">
      <c r="H201" s="516">
        <v>0</v>
      </c>
      <c r="I201" s="516">
        <v>0.99999999999999989</v>
      </c>
      <c r="J201" s="517" t="s">
        <v>1240</v>
      </c>
      <c r="M201" s="513">
        <v>0</v>
      </c>
      <c r="N201" s="516">
        <v>1</v>
      </c>
      <c r="O201" s="518" t="s">
        <v>1240</v>
      </c>
      <c r="P201" s="13" t="s">
        <v>1236</v>
      </c>
    </row>
    <row r="202" spans="7:16">
      <c r="H202" s="516">
        <v>0</v>
      </c>
      <c r="I202" s="516">
        <v>0.99999999999999989</v>
      </c>
      <c r="J202" s="517" t="s">
        <v>1240</v>
      </c>
      <c r="M202" s="513">
        <v>0</v>
      </c>
      <c r="N202" s="516">
        <v>1</v>
      </c>
      <c r="O202" s="518" t="s">
        <v>1240</v>
      </c>
      <c r="P202" s="13" t="s">
        <v>1236</v>
      </c>
    </row>
    <row r="203" spans="7:16">
      <c r="H203" s="516">
        <v>0</v>
      </c>
      <c r="I203" s="516">
        <v>0.99999999999999989</v>
      </c>
      <c r="J203" s="517" t="s">
        <v>1240</v>
      </c>
      <c r="M203" s="513">
        <v>0</v>
      </c>
      <c r="N203" s="516">
        <v>1</v>
      </c>
      <c r="O203" s="518" t="s">
        <v>1240</v>
      </c>
      <c r="P203" s="13" t="s">
        <v>1236</v>
      </c>
    </row>
    <row r="204" spans="7:16">
      <c r="H204" s="516">
        <v>0</v>
      </c>
      <c r="I204" s="516">
        <v>0.99999999999999989</v>
      </c>
      <c r="J204" s="517" t="s">
        <v>1240</v>
      </c>
      <c r="M204" s="513">
        <v>0</v>
      </c>
      <c r="N204" s="516">
        <v>1</v>
      </c>
      <c r="O204" s="518" t="s">
        <v>1240</v>
      </c>
      <c r="P204" s="13" t="s">
        <v>1236</v>
      </c>
    </row>
    <row r="205" spans="7:16">
      <c r="H205" s="516">
        <v>0</v>
      </c>
      <c r="I205" s="516">
        <v>0.99999999999999989</v>
      </c>
      <c r="J205" s="517" t="s">
        <v>1240</v>
      </c>
      <c r="M205" s="513">
        <v>0</v>
      </c>
      <c r="N205" s="516">
        <v>1</v>
      </c>
      <c r="O205" s="518" t="s">
        <v>1240</v>
      </c>
      <c r="P205" s="13" t="s">
        <v>1236</v>
      </c>
    </row>
    <row r="206" spans="7:16">
      <c r="H206" s="516">
        <v>0</v>
      </c>
      <c r="I206" s="516">
        <v>0.99999999999999989</v>
      </c>
      <c r="J206" s="517" t="s">
        <v>1240</v>
      </c>
      <c r="M206" s="513">
        <v>0</v>
      </c>
      <c r="N206" s="516">
        <v>1</v>
      </c>
      <c r="O206" s="518" t="s">
        <v>1240</v>
      </c>
      <c r="P206" s="13" t="s">
        <v>1236</v>
      </c>
    </row>
    <row r="207" spans="7:16">
      <c r="H207" s="516">
        <v>0</v>
      </c>
      <c r="I207" s="516">
        <v>0.99999999999999989</v>
      </c>
      <c r="J207" s="517" t="s">
        <v>1240</v>
      </c>
      <c r="M207" s="513">
        <v>0</v>
      </c>
      <c r="N207" s="516">
        <v>1</v>
      </c>
      <c r="O207" s="518" t="s">
        <v>1240</v>
      </c>
      <c r="P207" s="13" t="s">
        <v>1236</v>
      </c>
    </row>
    <row r="208" spans="7:16">
      <c r="H208" s="516">
        <v>0</v>
      </c>
      <c r="I208" s="516">
        <v>0.99999999999999989</v>
      </c>
      <c r="J208" s="517" t="s">
        <v>1240</v>
      </c>
      <c r="M208" s="513">
        <v>0</v>
      </c>
      <c r="N208" s="516">
        <v>1</v>
      </c>
      <c r="O208" s="518" t="s">
        <v>1240</v>
      </c>
      <c r="P208" s="13" t="s">
        <v>1236</v>
      </c>
    </row>
    <row r="209" spans="8:16">
      <c r="H209" s="516">
        <v>0</v>
      </c>
      <c r="I209" s="516">
        <v>0.99999999999999989</v>
      </c>
      <c r="J209" s="517" t="s">
        <v>1240</v>
      </c>
      <c r="M209" s="513">
        <v>0</v>
      </c>
      <c r="N209" s="516">
        <v>1</v>
      </c>
      <c r="O209" s="518" t="s">
        <v>1240</v>
      </c>
      <c r="P209" s="13" t="s">
        <v>1236</v>
      </c>
    </row>
    <row r="210" spans="8:16">
      <c r="H210" s="516">
        <v>0</v>
      </c>
      <c r="I210" s="516">
        <v>0.99999999999999989</v>
      </c>
      <c r="J210" s="517" t="s">
        <v>1240</v>
      </c>
      <c r="M210" s="513">
        <v>0</v>
      </c>
      <c r="N210" s="516">
        <v>1</v>
      </c>
      <c r="O210" s="518" t="s">
        <v>1240</v>
      </c>
      <c r="P210" s="13" t="s">
        <v>1236</v>
      </c>
    </row>
    <row r="211" spans="8:16">
      <c r="H211" s="516">
        <v>0</v>
      </c>
      <c r="I211" s="516">
        <v>0.99999999999999989</v>
      </c>
      <c r="J211" s="517" t="s">
        <v>1240</v>
      </c>
      <c r="M211" s="513">
        <v>0</v>
      </c>
      <c r="N211" s="516">
        <v>1</v>
      </c>
      <c r="O211" s="518" t="s">
        <v>1240</v>
      </c>
      <c r="P211" s="13" t="s">
        <v>1236</v>
      </c>
    </row>
    <row r="212" spans="8:16">
      <c r="H212" s="516">
        <v>0</v>
      </c>
      <c r="I212" s="516">
        <v>0.99999999999999989</v>
      </c>
      <c r="J212" s="517" t="s">
        <v>1240</v>
      </c>
      <c r="M212" s="513">
        <v>0</v>
      </c>
      <c r="N212" s="516">
        <v>1</v>
      </c>
      <c r="O212" s="518" t="s">
        <v>1240</v>
      </c>
      <c r="P212" s="13" t="s">
        <v>1236</v>
      </c>
    </row>
    <row r="213" spans="8:16">
      <c r="H213" s="516">
        <v>0</v>
      </c>
      <c r="I213" s="516">
        <v>0.99999999999999989</v>
      </c>
      <c r="J213" s="517" t="s">
        <v>1240</v>
      </c>
      <c r="M213" s="513">
        <v>0</v>
      </c>
      <c r="N213" s="516">
        <v>1</v>
      </c>
      <c r="O213" s="518" t="s">
        <v>1240</v>
      </c>
      <c r="P213" s="13" t="s">
        <v>1236</v>
      </c>
    </row>
    <row r="214" spans="8:16">
      <c r="H214" s="516">
        <v>0</v>
      </c>
      <c r="I214" s="516">
        <v>0.99999999999999989</v>
      </c>
      <c r="J214" s="517" t="s">
        <v>1240</v>
      </c>
      <c r="M214" s="513">
        <v>0</v>
      </c>
      <c r="N214" s="516">
        <v>1</v>
      </c>
      <c r="O214" s="518" t="s">
        <v>1240</v>
      </c>
      <c r="P214" s="13" t="s">
        <v>1236</v>
      </c>
    </row>
    <row r="215" spans="8:16">
      <c r="H215" s="516">
        <v>0</v>
      </c>
      <c r="I215" s="516">
        <v>0.99999999999999989</v>
      </c>
      <c r="J215" s="517" t="s">
        <v>1240</v>
      </c>
      <c r="M215" s="513">
        <v>0</v>
      </c>
      <c r="N215" s="516">
        <v>1</v>
      </c>
      <c r="O215" s="518" t="s">
        <v>1240</v>
      </c>
      <c r="P215" s="13" t="s">
        <v>1236</v>
      </c>
    </row>
    <row r="216" spans="8:16">
      <c r="H216" s="516">
        <v>0</v>
      </c>
      <c r="I216" s="516">
        <v>0.99999999999999989</v>
      </c>
      <c r="J216" s="517" t="s">
        <v>1240</v>
      </c>
      <c r="M216" s="513">
        <v>0</v>
      </c>
      <c r="N216" s="516">
        <v>1</v>
      </c>
      <c r="O216" s="518" t="s">
        <v>1240</v>
      </c>
      <c r="P216" s="13" t="s">
        <v>1236</v>
      </c>
    </row>
    <row r="217" spans="8:16">
      <c r="H217" s="516">
        <v>0</v>
      </c>
      <c r="I217" s="516">
        <v>0.99999999999999989</v>
      </c>
      <c r="J217" s="517" t="s">
        <v>1240</v>
      </c>
      <c r="M217" s="513">
        <v>0</v>
      </c>
      <c r="N217" s="516">
        <v>1</v>
      </c>
      <c r="O217" s="518" t="s">
        <v>1240</v>
      </c>
      <c r="P217" s="13" t="s">
        <v>1236</v>
      </c>
    </row>
    <row r="218" spans="8:16">
      <c r="H218" s="516">
        <v>0</v>
      </c>
      <c r="I218" s="516">
        <v>0.99999999999999989</v>
      </c>
      <c r="J218" s="517" t="s">
        <v>1240</v>
      </c>
      <c r="M218" s="513">
        <v>0</v>
      </c>
      <c r="N218" s="516">
        <v>1</v>
      </c>
      <c r="O218" s="518" t="s">
        <v>1240</v>
      </c>
      <c r="P218" s="13" t="s">
        <v>1236</v>
      </c>
    </row>
    <row r="219" spans="8:16">
      <c r="H219" s="516">
        <v>0</v>
      </c>
      <c r="I219" s="516">
        <v>0.99999999999999989</v>
      </c>
      <c r="J219" s="517" t="s">
        <v>1240</v>
      </c>
      <c r="M219" s="513">
        <v>0</v>
      </c>
      <c r="N219" s="516">
        <v>1</v>
      </c>
      <c r="O219" s="518" t="s">
        <v>1240</v>
      </c>
      <c r="P219" s="13" t="s">
        <v>1236</v>
      </c>
    </row>
    <row r="220" spans="8:16">
      <c r="H220" s="516">
        <v>0</v>
      </c>
      <c r="I220" s="516">
        <v>0.99999999999999989</v>
      </c>
      <c r="J220" s="517" t="s">
        <v>1240</v>
      </c>
      <c r="M220" s="513">
        <v>0</v>
      </c>
      <c r="N220" s="516">
        <v>1</v>
      </c>
      <c r="O220" s="518" t="s">
        <v>1240</v>
      </c>
      <c r="P220" s="13" t="s">
        <v>1236</v>
      </c>
    </row>
    <row r="221" spans="8:16">
      <c r="H221" s="516">
        <v>0</v>
      </c>
      <c r="I221" s="516">
        <v>0.99999999999999989</v>
      </c>
      <c r="J221" s="517" t="s">
        <v>1240</v>
      </c>
      <c r="M221" s="513">
        <v>0</v>
      </c>
      <c r="N221" s="516">
        <v>1</v>
      </c>
      <c r="O221" s="518" t="s">
        <v>1240</v>
      </c>
      <c r="P221" s="13" t="s">
        <v>1236</v>
      </c>
    </row>
    <row r="222" spans="8:16">
      <c r="H222" s="516">
        <v>0</v>
      </c>
      <c r="I222" s="516">
        <v>0.99999999999999989</v>
      </c>
      <c r="J222" s="517" t="s">
        <v>1240</v>
      </c>
      <c r="M222" s="513">
        <v>0</v>
      </c>
      <c r="N222" s="516">
        <v>1</v>
      </c>
      <c r="O222" s="518" t="s">
        <v>1240</v>
      </c>
      <c r="P222" s="13" t="s">
        <v>1236</v>
      </c>
    </row>
    <row r="223" spans="8:16">
      <c r="H223" s="516">
        <v>0</v>
      </c>
      <c r="I223" s="516">
        <v>0.99999999999999989</v>
      </c>
      <c r="J223" s="517" t="s">
        <v>1240</v>
      </c>
      <c r="M223" s="513">
        <v>0</v>
      </c>
      <c r="N223" s="516">
        <v>1</v>
      </c>
      <c r="O223" s="518" t="s">
        <v>1240</v>
      </c>
      <c r="P223" s="13" t="s">
        <v>1236</v>
      </c>
    </row>
    <row r="224" spans="8:16">
      <c r="H224" s="516">
        <v>0</v>
      </c>
      <c r="I224" s="516">
        <v>0.99999999999999989</v>
      </c>
      <c r="J224" s="517" t="s">
        <v>1240</v>
      </c>
      <c r="M224" s="513">
        <v>0</v>
      </c>
      <c r="N224" s="516">
        <v>1</v>
      </c>
      <c r="O224" s="518" t="s">
        <v>1240</v>
      </c>
      <c r="P224" s="13" t="s">
        <v>1236</v>
      </c>
    </row>
    <row r="225" spans="8:16">
      <c r="H225" s="516">
        <v>0</v>
      </c>
      <c r="I225" s="516">
        <v>0.99999999999999989</v>
      </c>
      <c r="J225" s="517" t="s">
        <v>1240</v>
      </c>
      <c r="M225" s="513">
        <v>0</v>
      </c>
      <c r="N225" s="516">
        <v>1</v>
      </c>
      <c r="O225" s="518" t="s">
        <v>1240</v>
      </c>
      <c r="P225" s="13" t="s">
        <v>1236</v>
      </c>
    </row>
    <row r="226" spans="8:16">
      <c r="H226" s="516">
        <v>0</v>
      </c>
      <c r="I226" s="516">
        <v>0.99999999999999989</v>
      </c>
      <c r="J226" s="517" t="s">
        <v>1240</v>
      </c>
      <c r="M226" s="513">
        <v>0</v>
      </c>
      <c r="N226" s="516">
        <v>1</v>
      </c>
      <c r="O226" s="518" t="s">
        <v>1240</v>
      </c>
      <c r="P226" s="13" t="s">
        <v>1236</v>
      </c>
    </row>
    <row r="227" spans="8:16">
      <c r="H227" s="516">
        <v>0</v>
      </c>
      <c r="I227" s="516">
        <v>0.99999999999999989</v>
      </c>
      <c r="J227" s="517" t="s">
        <v>1240</v>
      </c>
      <c r="M227" s="513">
        <v>0</v>
      </c>
      <c r="N227" s="516">
        <v>1</v>
      </c>
      <c r="O227" s="518" t="s">
        <v>1240</v>
      </c>
      <c r="P227" s="13" t="s">
        <v>1236</v>
      </c>
    </row>
    <row r="228" spans="8:16">
      <c r="H228" s="516">
        <v>0</v>
      </c>
      <c r="I228" s="516">
        <v>0.99999999999999989</v>
      </c>
      <c r="J228" s="517" t="s">
        <v>1240</v>
      </c>
      <c r="M228" s="513">
        <v>0</v>
      </c>
      <c r="N228" s="516">
        <v>1</v>
      </c>
      <c r="O228" s="518" t="s">
        <v>1240</v>
      </c>
      <c r="P228" s="13" t="s">
        <v>1236</v>
      </c>
    </row>
    <row r="229" spans="8:16">
      <c r="H229" s="516">
        <v>0</v>
      </c>
      <c r="I229" s="516">
        <v>0.99999999999999989</v>
      </c>
      <c r="J229" s="517" t="s">
        <v>1240</v>
      </c>
      <c r="M229" s="513">
        <v>0</v>
      </c>
      <c r="N229" s="516">
        <v>1</v>
      </c>
      <c r="O229" s="518" t="s">
        <v>1240</v>
      </c>
      <c r="P229" s="13" t="s">
        <v>1236</v>
      </c>
    </row>
    <row r="230" spans="8:16">
      <c r="H230" s="516">
        <v>0</v>
      </c>
      <c r="I230" s="516">
        <v>0.99999999999999989</v>
      </c>
      <c r="J230" s="517" t="s">
        <v>1240</v>
      </c>
      <c r="M230" s="513">
        <v>0</v>
      </c>
      <c r="N230" s="516">
        <v>1</v>
      </c>
      <c r="O230" s="518" t="s">
        <v>1240</v>
      </c>
      <c r="P230" s="13" t="s">
        <v>1236</v>
      </c>
    </row>
    <row r="231" spans="8:16">
      <c r="H231" s="516">
        <v>0</v>
      </c>
      <c r="I231" s="516">
        <v>0.99999999999999989</v>
      </c>
      <c r="J231" s="517" t="s">
        <v>1240</v>
      </c>
      <c r="M231" s="513">
        <v>0</v>
      </c>
      <c r="N231" s="516">
        <v>1</v>
      </c>
      <c r="O231" s="518" t="s">
        <v>1240</v>
      </c>
      <c r="P231" s="13" t="s">
        <v>1236</v>
      </c>
    </row>
    <row r="232" spans="8:16">
      <c r="H232" s="516">
        <v>0</v>
      </c>
      <c r="I232" s="516">
        <v>0.99999999999999989</v>
      </c>
      <c r="J232" s="517" t="s">
        <v>1240</v>
      </c>
      <c r="M232" s="513">
        <v>0</v>
      </c>
      <c r="N232" s="516">
        <v>1</v>
      </c>
      <c r="O232" s="518" t="s">
        <v>1240</v>
      </c>
      <c r="P232" s="13" t="s">
        <v>1236</v>
      </c>
    </row>
    <row r="233" spans="8:16">
      <c r="H233" s="516">
        <v>0</v>
      </c>
      <c r="I233" s="516">
        <v>0.99999999999999989</v>
      </c>
      <c r="J233" s="517" t="s">
        <v>1240</v>
      </c>
      <c r="M233" s="513">
        <v>0</v>
      </c>
      <c r="N233" s="516">
        <v>1</v>
      </c>
      <c r="O233" s="518" t="s">
        <v>1240</v>
      </c>
      <c r="P233" s="13" t="s">
        <v>1236</v>
      </c>
    </row>
    <row r="234" spans="8:16">
      <c r="H234" s="516">
        <v>0</v>
      </c>
      <c r="I234" s="516">
        <v>0.99999999999999989</v>
      </c>
      <c r="J234" s="517" t="s">
        <v>1240</v>
      </c>
      <c r="M234" s="513">
        <v>0</v>
      </c>
      <c r="N234" s="516">
        <v>1</v>
      </c>
      <c r="O234" s="518" t="s">
        <v>1240</v>
      </c>
      <c r="P234" s="13" t="s">
        <v>1236</v>
      </c>
    </row>
    <row r="235" spans="8:16">
      <c r="H235" s="516">
        <v>0</v>
      </c>
      <c r="I235" s="516">
        <v>0.99999999999999989</v>
      </c>
      <c r="J235" s="517" t="s">
        <v>1240</v>
      </c>
      <c r="M235" s="513">
        <v>0</v>
      </c>
      <c r="N235" s="516">
        <v>1</v>
      </c>
      <c r="O235" s="518" t="s">
        <v>1240</v>
      </c>
      <c r="P235" s="13" t="s">
        <v>1236</v>
      </c>
    </row>
    <row r="236" spans="8:16">
      <c r="H236" s="516">
        <v>0</v>
      </c>
      <c r="I236" s="516">
        <v>0.99999999999999989</v>
      </c>
      <c r="J236" s="517" t="s">
        <v>1240</v>
      </c>
      <c r="M236" s="513">
        <v>0</v>
      </c>
      <c r="N236" s="516">
        <v>1</v>
      </c>
      <c r="O236" s="518" t="s">
        <v>1240</v>
      </c>
      <c r="P236" s="13" t="s">
        <v>1236</v>
      </c>
    </row>
    <row r="237" spans="8:16">
      <c r="H237" s="516">
        <v>0</v>
      </c>
      <c r="I237" s="516">
        <v>0.99999999999999989</v>
      </c>
      <c r="J237" s="517" t="s">
        <v>1240</v>
      </c>
      <c r="M237" s="513">
        <v>0</v>
      </c>
      <c r="N237" s="516">
        <v>1</v>
      </c>
      <c r="O237" s="518" t="s">
        <v>1240</v>
      </c>
      <c r="P237" s="13" t="s">
        <v>1236</v>
      </c>
    </row>
    <row r="238" spans="8:16">
      <c r="H238" s="516">
        <v>0</v>
      </c>
      <c r="I238" s="516">
        <v>0.99999999999999989</v>
      </c>
      <c r="J238" s="517" t="s">
        <v>1240</v>
      </c>
      <c r="M238" s="513">
        <v>0</v>
      </c>
      <c r="N238" s="516">
        <v>1</v>
      </c>
      <c r="O238" s="518" t="s">
        <v>1240</v>
      </c>
      <c r="P238" s="13" t="s">
        <v>1236</v>
      </c>
    </row>
    <row r="239" spans="8:16">
      <c r="H239" s="516">
        <v>0</v>
      </c>
      <c r="I239" s="516">
        <v>0.99999999999999989</v>
      </c>
      <c r="J239" s="517" t="s">
        <v>1240</v>
      </c>
      <c r="M239" s="513">
        <v>0</v>
      </c>
      <c r="N239" s="516">
        <v>1</v>
      </c>
      <c r="O239" s="518" t="s">
        <v>1240</v>
      </c>
      <c r="P239" s="13" t="s">
        <v>1236</v>
      </c>
    </row>
    <row r="240" spans="8:16">
      <c r="H240" s="516">
        <v>0</v>
      </c>
      <c r="I240" s="516">
        <v>0.99999999999999989</v>
      </c>
      <c r="J240" s="517" t="s">
        <v>1240</v>
      </c>
      <c r="M240" s="513">
        <v>0</v>
      </c>
      <c r="N240" s="516">
        <v>1</v>
      </c>
      <c r="O240" s="518" t="s">
        <v>1240</v>
      </c>
      <c r="P240" s="13" t="s">
        <v>1236</v>
      </c>
    </row>
    <row r="241" spans="8:16">
      <c r="H241" s="516">
        <v>0</v>
      </c>
      <c r="I241" s="516">
        <v>0.99999999999999989</v>
      </c>
      <c r="J241" s="517" t="s">
        <v>1240</v>
      </c>
      <c r="M241" s="513">
        <v>0</v>
      </c>
      <c r="N241" s="516">
        <v>1</v>
      </c>
      <c r="O241" s="518" t="s">
        <v>1240</v>
      </c>
      <c r="P241" s="13" t="s">
        <v>1236</v>
      </c>
    </row>
    <row r="242" spans="8:16">
      <c r="H242" s="516">
        <v>0</v>
      </c>
      <c r="I242" s="516">
        <v>0.99999999999999989</v>
      </c>
      <c r="J242" s="517" t="s">
        <v>1240</v>
      </c>
      <c r="M242" s="513">
        <v>0</v>
      </c>
      <c r="N242" s="516">
        <v>1</v>
      </c>
      <c r="O242" s="518" t="s">
        <v>1240</v>
      </c>
      <c r="P242" s="13" t="s">
        <v>1236</v>
      </c>
    </row>
    <row r="243" spans="8:16">
      <c r="H243" s="516">
        <v>0</v>
      </c>
      <c r="I243" s="516">
        <v>0.99999999999999989</v>
      </c>
      <c r="J243" s="517" t="s">
        <v>1240</v>
      </c>
      <c r="M243" s="513">
        <v>0</v>
      </c>
      <c r="N243" s="516">
        <v>1</v>
      </c>
      <c r="O243" s="518" t="s">
        <v>1240</v>
      </c>
      <c r="P243" s="13" t="s">
        <v>1236</v>
      </c>
    </row>
    <row r="244" spans="8:16">
      <c r="H244" s="516">
        <v>0</v>
      </c>
      <c r="I244" s="516">
        <v>0.99999999999999989</v>
      </c>
      <c r="J244" s="517" t="s">
        <v>1240</v>
      </c>
      <c r="M244" s="513">
        <v>0</v>
      </c>
      <c r="N244" s="516">
        <v>1</v>
      </c>
      <c r="O244" s="518" t="s">
        <v>1240</v>
      </c>
      <c r="P244" s="13" t="s">
        <v>1236</v>
      </c>
    </row>
    <row r="245" spans="8:16">
      <c r="H245" s="516">
        <v>0</v>
      </c>
      <c r="I245" s="516">
        <v>0.99999999999999989</v>
      </c>
      <c r="J245" s="517" t="s">
        <v>1240</v>
      </c>
      <c r="M245" s="513">
        <v>0</v>
      </c>
      <c r="N245" s="516">
        <v>1</v>
      </c>
      <c r="O245" s="518" t="s">
        <v>1240</v>
      </c>
      <c r="P245" s="13" t="s">
        <v>1236</v>
      </c>
    </row>
    <row r="246" spans="8:16">
      <c r="H246" s="516">
        <v>0</v>
      </c>
      <c r="I246" s="516">
        <v>0.99999999999999989</v>
      </c>
      <c r="J246" s="517" t="s">
        <v>1240</v>
      </c>
      <c r="M246" s="513">
        <v>0</v>
      </c>
      <c r="N246" s="516">
        <v>1</v>
      </c>
      <c r="O246" s="518" t="s">
        <v>1240</v>
      </c>
      <c r="P246" s="13" t="s">
        <v>1236</v>
      </c>
    </row>
    <row r="247" spans="8:16">
      <c r="H247" s="516">
        <v>0</v>
      </c>
      <c r="I247" s="516">
        <v>0.99999999999999989</v>
      </c>
      <c r="J247" s="517" t="s">
        <v>1240</v>
      </c>
      <c r="M247" s="513">
        <v>0</v>
      </c>
      <c r="N247" s="516">
        <v>1</v>
      </c>
      <c r="O247" s="518" t="s">
        <v>1240</v>
      </c>
      <c r="P247" s="13" t="s">
        <v>1236</v>
      </c>
    </row>
    <row r="248" spans="8:16">
      <c r="H248" s="516">
        <v>0</v>
      </c>
      <c r="I248" s="516">
        <v>0.99999999999999989</v>
      </c>
      <c r="J248" s="517" t="s">
        <v>1240</v>
      </c>
      <c r="M248" s="513">
        <v>0</v>
      </c>
      <c r="N248" s="516">
        <v>1</v>
      </c>
      <c r="O248" s="518" t="s">
        <v>1240</v>
      </c>
      <c r="P248" s="13" t="s">
        <v>1236</v>
      </c>
    </row>
    <row r="249" spans="8:16">
      <c r="H249" s="516">
        <v>0</v>
      </c>
      <c r="I249" s="516">
        <v>0.99999999999999989</v>
      </c>
      <c r="J249" s="517" t="s">
        <v>1240</v>
      </c>
      <c r="M249" s="513">
        <v>0</v>
      </c>
      <c r="N249" s="516">
        <v>1</v>
      </c>
      <c r="O249" s="518" t="s">
        <v>1240</v>
      </c>
      <c r="P249" s="13" t="s">
        <v>1236</v>
      </c>
    </row>
    <row r="250" spans="8:16">
      <c r="H250" s="516">
        <v>0</v>
      </c>
      <c r="I250" s="516">
        <v>0.99999999999999989</v>
      </c>
      <c r="J250" s="517" t="s">
        <v>1240</v>
      </c>
      <c r="M250" s="513">
        <v>0</v>
      </c>
      <c r="N250" s="516">
        <v>1</v>
      </c>
      <c r="O250" s="518" t="s">
        <v>1240</v>
      </c>
      <c r="P250" s="13" t="s">
        <v>1236</v>
      </c>
    </row>
    <row r="251" spans="8:16">
      <c r="H251" s="516">
        <v>0</v>
      </c>
      <c r="I251" s="516">
        <v>0.99999999999999989</v>
      </c>
      <c r="J251" s="517" t="s">
        <v>1240</v>
      </c>
      <c r="M251" s="513">
        <v>0</v>
      </c>
      <c r="N251" s="516">
        <v>1</v>
      </c>
      <c r="O251" s="518" t="s">
        <v>1240</v>
      </c>
      <c r="P251" s="13" t="s">
        <v>1236</v>
      </c>
    </row>
    <row r="252" spans="8:16">
      <c r="H252" s="516">
        <v>0</v>
      </c>
      <c r="I252" s="516">
        <v>0.99999999999999989</v>
      </c>
      <c r="J252" s="517" t="s">
        <v>1240</v>
      </c>
      <c r="M252" s="513">
        <v>0</v>
      </c>
      <c r="N252" s="516">
        <v>1</v>
      </c>
      <c r="O252" s="518" t="s">
        <v>1240</v>
      </c>
      <c r="P252" s="13" t="s">
        <v>1236</v>
      </c>
    </row>
    <row r="253" spans="8:16">
      <c r="H253" s="516">
        <v>0</v>
      </c>
      <c r="I253" s="516">
        <v>0.99999999999999989</v>
      </c>
      <c r="J253" s="517" t="s">
        <v>1240</v>
      </c>
      <c r="M253" s="513">
        <v>0</v>
      </c>
      <c r="N253" s="516">
        <v>1</v>
      </c>
      <c r="O253" s="518" t="s">
        <v>1240</v>
      </c>
      <c r="P253" s="13" t="s">
        <v>1236</v>
      </c>
    </row>
    <row r="254" spans="8:16">
      <c r="H254" s="516">
        <v>0</v>
      </c>
      <c r="I254" s="516">
        <v>0.99999999999999989</v>
      </c>
      <c r="J254" s="517" t="s">
        <v>1240</v>
      </c>
      <c r="M254" s="513">
        <v>0</v>
      </c>
      <c r="N254" s="516">
        <v>1</v>
      </c>
      <c r="O254" s="518" t="s">
        <v>1240</v>
      </c>
      <c r="P254" s="13" t="s">
        <v>1236</v>
      </c>
    </row>
    <row r="255" spans="8:16">
      <c r="H255" s="516">
        <v>0</v>
      </c>
      <c r="I255" s="516">
        <v>0.99999999999999989</v>
      </c>
      <c r="J255" s="517" t="s">
        <v>1240</v>
      </c>
      <c r="M255" s="513">
        <v>0</v>
      </c>
      <c r="N255" s="516">
        <v>1</v>
      </c>
      <c r="O255" s="518" t="s">
        <v>1240</v>
      </c>
      <c r="P255" s="13" t="s">
        <v>1236</v>
      </c>
    </row>
    <row r="256" spans="8:16">
      <c r="H256" s="516">
        <v>0</v>
      </c>
      <c r="I256" s="516">
        <v>0.99999999999999989</v>
      </c>
      <c r="J256" s="517" t="s">
        <v>1240</v>
      </c>
      <c r="M256" s="513">
        <v>0</v>
      </c>
      <c r="N256" s="516">
        <v>1</v>
      </c>
      <c r="O256" s="518" t="s">
        <v>1240</v>
      </c>
      <c r="P256" s="13" t="s">
        <v>1236</v>
      </c>
    </row>
    <row r="257" spans="8:16">
      <c r="H257" s="516">
        <v>0</v>
      </c>
      <c r="I257" s="516">
        <v>0.99999999999999989</v>
      </c>
      <c r="J257" s="517" t="s">
        <v>1240</v>
      </c>
      <c r="M257" s="513">
        <v>0</v>
      </c>
      <c r="N257" s="516">
        <v>1</v>
      </c>
      <c r="O257" s="518" t="s">
        <v>1240</v>
      </c>
      <c r="P257" s="13" t="s">
        <v>1236</v>
      </c>
    </row>
    <row r="258" spans="8:16">
      <c r="H258" s="516">
        <v>0</v>
      </c>
      <c r="I258" s="516">
        <v>0.99999999999999989</v>
      </c>
      <c r="J258" s="517" t="s">
        <v>1240</v>
      </c>
      <c r="M258" s="513">
        <v>0</v>
      </c>
      <c r="N258" s="516">
        <v>1</v>
      </c>
      <c r="O258" s="518" t="s">
        <v>1240</v>
      </c>
      <c r="P258" s="13" t="s">
        <v>1236</v>
      </c>
    </row>
    <row r="259" spans="8:16">
      <c r="H259" s="516">
        <v>0</v>
      </c>
      <c r="I259" s="516">
        <v>0.99999999999999989</v>
      </c>
      <c r="J259" s="517" t="s">
        <v>1240</v>
      </c>
      <c r="M259" s="513">
        <v>0</v>
      </c>
      <c r="N259" s="516">
        <v>1</v>
      </c>
      <c r="O259" s="518" t="s">
        <v>1240</v>
      </c>
      <c r="P259" s="13" t="s">
        <v>1236</v>
      </c>
    </row>
    <row r="260" spans="8:16">
      <c r="H260" s="516">
        <v>0</v>
      </c>
      <c r="I260" s="516">
        <v>0.99999999999999989</v>
      </c>
      <c r="J260" s="517" t="s">
        <v>1240</v>
      </c>
      <c r="M260" s="513">
        <v>0</v>
      </c>
      <c r="N260" s="516">
        <v>1</v>
      </c>
      <c r="O260" s="518" t="s">
        <v>1240</v>
      </c>
      <c r="P260" s="13" t="s">
        <v>1236</v>
      </c>
    </row>
    <row r="261" spans="8:16">
      <c r="H261" s="516">
        <v>0</v>
      </c>
      <c r="I261" s="516">
        <v>0.99999999999999989</v>
      </c>
      <c r="J261" s="517" t="s">
        <v>1240</v>
      </c>
      <c r="M261" s="513">
        <v>0</v>
      </c>
      <c r="N261" s="516">
        <v>1</v>
      </c>
      <c r="O261" s="518" t="s">
        <v>1240</v>
      </c>
      <c r="P261" s="13" t="s">
        <v>1236</v>
      </c>
    </row>
    <row r="262" spans="8:16">
      <c r="H262" s="516">
        <v>0</v>
      </c>
      <c r="I262" s="516">
        <v>0.99999999999999989</v>
      </c>
      <c r="J262" s="517" t="s">
        <v>1240</v>
      </c>
      <c r="M262" s="513">
        <v>0</v>
      </c>
      <c r="N262" s="516">
        <v>1</v>
      </c>
      <c r="O262" s="518" t="s">
        <v>1240</v>
      </c>
      <c r="P262" s="13" t="s">
        <v>1236</v>
      </c>
    </row>
    <row r="263" spans="8:16">
      <c r="H263" s="516">
        <v>0</v>
      </c>
      <c r="I263" s="516">
        <v>0.99999999999999989</v>
      </c>
      <c r="J263" s="517" t="s">
        <v>1240</v>
      </c>
      <c r="M263" s="513">
        <v>0</v>
      </c>
      <c r="N263" s="516">
        <v>1</v>
      </c>
      <c r="O263" s="518" t="s">
        <v>1240</v>
      </c>
      <c r="P263" s="13" t="s">
        <v>1236</v>
      </c>
    </row>
    <row r="264" spans="8:16">
      <c r="H264" s="516">
        <v>0</v>
      </c>
      <c r="I264" s="516">
        <v>0.99999999999999989</v>
      </c>
      <c r="J264" s="517" t="s">
        <v>1240</v>
      </c>
      <c r="M264" s="513">
        <v>0</v>
      </c>
      <c r="N264" s="516">
        <v>1</v>
      </c>
      <c r="O264" s="518" t="s">
        <v>1240</v>
      </c>
      <c r="P264" s="13" t="s">
        <v>1236</v>
      </c>
    </row>
    <row r="265" spans="8:16">
      <c r="H265" s="516">
        <v>0</v>
      </c>
      <c r="I265" s="516">
        <v>0.99999999999999989</v>
      </c>
      <c r="J265" s="517" t="s">
        <v>1240</v>
      </c>
      <c r="M265" s="513">
        <v>0</v>
      </c>
      <c r="N265" s="516">
        <v>1</v>
      </c>
      <c r="O265" s="518" t="s">
        <v>1240</v>
      </c>
      <c r="P265" s="13" t="s">
        <v>1236</v>
      </c>
    </row>
    <row r="266" spans="8:16">
      <c r="H266" s="516">
        <v>0</v>
      </c>
      <c r="I266" s="516">
        <v>0.99999999999999989</v>
      </c>
      <c r="J266" s="517" t="s">
        <v>1240</v>
      </c>
      <c r="M266" s="513">
        <v>0</v>
      </c>
      <c r="N266" s="516">
        <v>1</v>
      </c>
      <c r="O266" s="518" t="s">
        <v>1240</v>
      </c>
      <c r="P266" s="13" t="s">
        <v>1236</v>
      </c>
    </row>
    <row r="267" spans="8:16">
      <c r="H267" s="516">
        <v>0</v>
      </c>
      <c r="I267" s="516">
        <v>0.99999999999999989</v>
      </c>
      <c r="J267" s="517" t="s">
        <v>1240</v>
      </c>
      <c r="M267" s="513">
        <v>0</v>
      </c>
      <c r="N267" s="516">
        <v>1</v>
      </c>
      <c r="O267" s="518" t="s">
        <v>1240</v>
      </c>
      <c r="P267" s="13" t="s">
        <v>1236</v>
      </c>
    </row>
    <row r="268" spans="8:16">
      <c r="H268" s="516">
        <v>0</v>
      </c>
      <c r="I268" s="516">
        <v>0.99999999999999989</v>
      </c>
      <c r="J268" s="517" t="s">
        <v>1240</v>
      </c>
      <c r="M268" s="513">
        <v>0</v>
      </c>
      <c r="N268" s="516">
        <v>1</v>
      </c>
      <c r="O268" s="518" t="s">
        <v>1240</v>
      </c>
      <c r="P268" s="13" t="s">
        <v>1236</v>
      </c>
    </row>
    <row r="269" spans="8:16">
      <c r="H269" s="516">
        <v>0</v>
      </c>
      <c r="I269" s="516">
        <v>0.99999999999999989</v>
      </c>
      <c r="J269" s="517" t="s">
        <v>1240</v>
      </c>
      <c r="M269" s="513">
        <v>0</v>
      </c>
      <c r="N269" s="516">
        <v>1</v>
      </c>
      <c r="O269" s="518" t="s">
        <v>1240</v>
      </c>
      <c r="P269" s="13" t="s">
        <v>1236</v>
      </c>
    </row>
    <row r="270" spans="8:16">
      <c r="H270" s="516">
        <v>0</v>
      </c>
      <c r="I270" s="516">
        <v>0.99999999999999989</v>
      </c>
      <c r="J270" s="517" t="s">
        <v>1240</v>
      </c>
      <c r="M270" s="513">
        <v>0</v>
      </c>
      <c r="N270" s="516">
        <v>1</v>
      </c>
      <c r="O270" s="518" t="s">
        <v>1240</v>
      </c>
      <c r="P270" s="13" t="s">
        <v>1236</v>
      </c>
    </row>
    <row r="271" spans="8:16">
      <c r="H271" s="516">
        <v>0</v>
      </c>
      <c r="I271" s="516">
        <v>0.99999999999999989</v>
      </c>
      <c r="J271" s="517" t="s">
        <v>1240</v>
      </c>
      <c r="M271" s="513">
        <v>0</v>
      </c>
      <c r="N271" s="516">
        <v>1</v>
      </c>
      <c r="O271" s="518" t="s">
        <v>1240</v>
      </c>
      <c r="P271" s="13" t="s">
        <v>1236</v>
      </c>
    </row>
    <row r="272" spans="8:16">
      <c r="H272" s="516">
        <v>0</v>
      </c>
      <c r="I272" s="516">
        <v>0.99999999999999989</v>
      </c>
      <c r="J272" s="517" t="s">
        <v>1240</v>
      </c>
      <c r="M272" s="513">
        <v>0</v>
      </c>
      <c r="N272" s="516">
        <v>1</v>
      </c>
      <c r="O272" s="518" t="s">
        <v>1240</v>
      </c>
      <c r="P272" s="13" t="s">
        <v>1236</v>
      </c>
    </row>
    <row r="273" spans="8:16">
      <c r="H273" s="516">
        <v>0</v>
      </c>
      <c r="I273" s="516">
        <v>0.99999999999999989</v>
      </c>
      <c r="J273" s="517" t="s">
        <v>1240</v>
      </c>
      <c r="M273" s="513">
        <v>0</v>
      </c>
      <c r="N273" s="516">
        <v>1</v>
      </c>
      <c r="O273" s="518" t="s">
        <v>1240</v>
      </c>
      <c r="P273" s="13" t="s">
        <v>1236</v>
      </c>
    </row>
    <row r="274" spans="8:16">
      <c r="H274" s="516">
        <v>0</v>
      </c>
      <c r="I274" s="516">
        <v>0.99999999999999989</v>
      </c>
      <c r="J274" s="517" t="s">
        <v>1240</v>
      </c>
      <c r="M274" s="513">
        <v>0</v>
      </c>
      <c r="N274" s="516">
        <v>1</v>
      </c>
      <c r="O274" s="518" t="s">
        <v>1240</v>
      </c>
      <c r="P274" s="13" t="s">
        <v>1236</v>
      </c>
    </row>
    <row r="275" spans="8:16">
      <c r="H275" s="516">
        <v>0</v>
      </c>
      <c r="I275" s="516">
        <v>0.99999999999999989</v>
      </c>
      <c r="J275" s="517" t="s">
        <v>1240</v>
      </c>
      <c r="M275" s="513">
        <v>0</v>
      </c>
      <c r="N275" s="516">
        <v>1</v>
      </c>
      <c r="O275" s="518" t="s">
        <v>1240</v>
      </c>
      <c r="P275" s="13" t="s">
        <v>1236</v>
      </c>
    </row>
    <row r="276" spans="8:16">
      <c r="H276" s="516">
        <v>0</v>
      </c>
      <c r="I276" s="516">
        <v>0.99999999999999989</v>
      </c>
      <c r="J276" s="517" t="s">
        <v>1240</v>
      </c>
      <c r="M276" s="513">
        <v>0</v>
      </c>
      <c r="N276" s="516">
        <v>1</v>
      </c>
      <c r="O276" s="518" t="s">
        <v>1240</v>
      </c>
      <c r="P276" s="13" t="s">
        <v>1236</v>
      </c>
    </row>
    <row r="277" spans="8:16">
      <c r="H277" s="516">
        <v>0</v>
      </c>
      <c r="I277" s="516">
        <v>0.99999999999999989</v>
      </c>
      <c r="J277" s="517" t="s">
        <v>1240</v>
      </c>
      <c r="M277" s="513">
        <v>0</v>
      </c>
      <c r="N277" s="516">
        <v>1</v>
      </c>
      <c r="O277" s="518" t="s">
        <v>1240</v>
      </c>
      <c r="P277" s="13" t="s">
        <v>1236</v>
      </c>
    </row>
    <row r="278" spans="8:16">
      <c r="H278" s="516">
        <v>0</v>
      </c>
      <c r="I278" s="516">
        <v>0.99999999999999989</v>
      </c>
      <c r="J278" s="517" t="s">
        <v>1240</v>
      </c>
      <c r="M278" s="513">
        <v>0</v>
      </c>
      <c r="N278" s="516">
        <v>1</v>
      </c>
      <c r="O278" s="518" t="s">
        <v>1240</v>
      </c>
      <c r="P278" s="13" t="s">
        <v>1236</v>
      </c>
    </row>
    <row r="279" spans="8:16">
      <c r="H279" s="516">
        <v>0</v>
      </c>
      <c r="I279" s="516">
        <v>0.99999999999999989</v>
      </c>
      <c r="J279" s="517" t="s">
        <v>1240</v>
      </c>
      <c r="M279" s="513">
        <v>0</v>
      </c>
      <c r="N279" s="516">
        <v>1</v>
      </c>
      <c r="O279" s="518" t="s">
        <v>1240</v>
      </c>
      <c r="P279" s="13" t="s">
        <v>1236</v>
      </c>
    </row>
    <row r="280" spans="8:16">
      <c r="H280" s="516">
        <v>0</v>
      </c>
      <c r="I280" s="516">
        <v>0.99999999999999989</v>
      </c>
      <c r="J280" s="517" t="s">
        <v>1240</v>
      </c>
      <c r="M280" s="513">
        <v>0</v>
      </c>
      <c r="N280" s="516">
        <v>1</v>
      </c>
      <c r="O280" s="518" t="s">
        <v>1240</v>
      </c>
      <c r="P280" s="13" t="s">
        <v>1236</v>
      </c>
    </row>
    <row r="281" spans="8:16">
      <c r="H281" s="516">
        <v>0</v>
      </c>
      <c r="I281" s="516">
        <v>0.99999999999999989</v>
      </c>
      <c r="J281" s="517" t="s">
        <v>1240</v>
      </c>
      <c r="M281" s="513">
        <v>0</v>
      </c>
      <c r="N281" s="516">
        <v>1</v>
      </c>
      <c r="O281" s="518" t="s">
        <v>1240</v>
      </c>
      <c r="P281" s="13" t="s">
        <v>1236</v>
      </c>
    </row>
    <row r="282" spans="8:16">
      <c r="H282" s="516">
        <v>0</v>
      </c>
      <c r="I282" s="516">
        <v>0.99999999999999989</v>
      </c>
      <c r="J282" s="517" t="s">
        <v>1240</v>
      </c>
      <c r="M282" s="513">
        <v>0</v>
      </c>
      <c r="N282" s="516">
        <v>1</v>
      </c>
      <c r="O282" s="518" t="s">
        <v>1240</v>
      </c>
      <c r="P282" s="13" t="s">
        <v>1236</v>
      </c>
    </row>
    <row r="283" spans="8:16">
      <c r="H283" s="516">
        <v>0</v>
      </c>
      <c r="I283" s="516">
        <v>0.99999999999999989</v>
      </c>
      <c r="J283" s="517" t="s">
        <v>1240</v>
      </c>
      <c r="M283" s="513">
        <v>0</v>
      </c>
      <c r="N283" s="516">
        <v>1</v>
      </c>
      <c r="O283" s="518" t="s">
        <v>1240</v>
      </c>
      <c r="P283" s="13" t="s">
        <v>1236</v>
      </c>
    </row>
    <row r="284" spans="8:16">
      <c r="H284" s="516">
        <v>0</v>
      </c>
      <c r="I284" s="516">
        <v>0.99999999999999989</v>
      </c>
      <c r="J284" s="517" t="s">
        <v>1240</v>
      </c>
      <c r="M284" s="513">
        <v>0</v>
      </c>
      <c r="N284" s="516">
        <v>1</v>
      </c>
      <c r="O284" s="518" t="s">
        <v>1240</v>
      </c>
      <c r="P284" s="13" t="s">
        <v>1236</v>
      </c>
    </row>
    <row r="285" spans="8:16">
      <c r="H285" s="516">
        <v>0</v>
      </c>
      <c r="I285" s="516">
        <v>0.99999999999999989</v>
      </c>
      <c r="J285" s="517" t="s">
        <v>1240</v>
      </c>
      <c r="M285" s="513">
        <v>0</v>
      </c>
      <c r="N285" s="516">
        <v>1</v>
      </c>
      <c r="O285" s="518" t="s">
        <v>1240</v>
      </c>
      <c r="P285" s="13" t="s">
        <v>1236</v>
      </c>
    </row>
    <row r="286" spans="8:16">
      <c r="H286" s="516">
        <v>0</v>
      </c>
      <c r="I286" s="516">
        <v>0.99999999999999989</v>
      </c>
      <c r="J286" s="517" t="s">
        <v>1240</v>
      </c>
      <c r="M286" s="513">
        <v>0</v>
      </c>
      <c r="N286" s="516">
        <v>1</v>
      </c>
      <c r="O286" s="518" t="s">
        <v>1240</v>
      </c>
      <c r="P286" s="13" t="s">
        <v>1236</v>
      </c>
    </row>
    <row r="287" spans="8:16">
      <c r="H287" s="516">
        <v>0</v>
      </c>
      <c r="I287" s="516">
        <v>0.99999999999999989</v>
      </c>
      <c r="J287" s="517" t="s">
        <v>1240</v>
      </c>
      <c r="M287" s="513">
        <v>0</v>
      </c>
      <c r="N287" s="516">
        <v>1</v>
      </c>
      <c r="O287" s="518" t="s">
        <v>1240</v>
      </c>
      <c r="P287" s="13" t="s">
        <v>1236</v>
      </c>
    </row>
    <row r="288" spans="8:16">
      <c r="H288" s="516">
        <v>0</v>
      </c>
      <c r="I288" s="516">
        <v>0.99999999999999989</v>
      </c>
      <c r="J288" s="517" t="s">
        <v>1240</v>
      </c>
      <c r="M288" s="513">
        <v>0</v>
      </c>
      <c r="N288" s="516">
        <v>1</v>
      </c>
      <c r="O288" s="518" t="s">
        <v>1240</v>
      </c>
      <c r="P288" s="13" t="s">
        <v>1236</v>
      </c>
    </row>
    <row r="289" spans="8:16">
      <c r="H289" s="516">
        <v>0</v>
      </c>
      <c r="I289" s="516">
        <v>0.99999999999999989</v>
      </c>
      <c r="J289" s="517" t="s">
        <v>1240</v>
      </c>
      <c r="M289" s="513">
        <v>0</v>
      </c>
      <c r="N289" s="516">
        <v>1</v>
      </c>
      <c r="O289" s="518" t="s">
        <v>1240</v>
      </c>
      <c r="P289" s="13" t="s">
        <v>1236</v>
      </c>
    </row>
    <row r="290" spans="8:16">
      <c r="H290" s="516">
        <v>0</v>
      </c>
      <c r="I290" s="516">
        <v>0.99999999999999989</v>
      </c>
      <c r="J290" s="517" t="s">
        <v>1240</v>
      </c>
      <c r="M290" s="513">
        <v>0</v>
      </c>
      <c r="N290" s="516">
        <v>1</v>
      </c>
      <c r="O290" s="518" t="s">
        <v>1240</v>
      </c>
      <c r="P290" s="13" t="s">
        <v>1236</v>
      </c>
    </row>
    <row r="291" spans="8:16">
      <c r="H291" s="516">
        <v>0</v>
      </c>
      <c r="I291" s="516">
        <v>0.99999999999999989</v>
      </c>
      <c r="J291" s="517" t="s">
        <v>1240</v>
      </c>
      <c r="M291" s="513">
        <v>0</v>
      </c>
      <c r="N291" s="516">
        <v>1</v>
      </c>
      <c r="O291" s="518" t="s">
        <v>1240</v>
      </c>
      <c r="P291" s="13" t="s">
        <v>1236</v>
      </c>
    </row>
    <row r="292" spans="8:16">
      <c r="H292" s="516">
        <v>0</v>
      </c>
      <c r="I292" s="516">
        <v>0.99999999999999989</v>
      </c>
      <c r="J292" s="517" t="s">
        <v>1240</v>
      </c>
      <c r="M292" s="513">
        <v>0</v>
      </c>
      <c r="N292" s="516">
        <v>1</v>
      </c>
      <c r="O292" s="518" t="s">
        <v>1240</v>
      </c>
      <c r="P292" s="13" t="s">
        <v>1236</v>
      </c>
    </row>
    <row r="293" spans="8:16">
      <c r="H293" s="516">
        <v>0</v>
      </c>
      <c r="I293" s="516">
        <v>0.99999999999999989</v>
      </c>
      <c r="J293" s="517" t="s">
        <v>1240</v>
      </c>
      <c r="M293" s="513">
        <v>0</v>
      </c>
      <c r="N293" s="516">
        <v>1</v>
      </c>
      <c r="O293" s="518" t="s">
        <v>1240</v>
      </c>
      <c r="P293" s="13" t="s">
        <v>1236</v>
      </c>
    </row>
    <row r="294" spans="8:16">
      <c r="H294" s="516">
        <v>0</v>
      </c>
      <c r="I294" s="516">
        <v>0.99999999999999989</v>
      </c>
      <c r="J294" s="517" t="s">
        <v>1240</v>
      </c>
      <c r="M294" s="513">
        <v>0</v>
      </c>
      <c r="N294" s="516">
        <v>1</v>
      </c>
      <c r="O294" s="518" t="s">
        <v>1240</v>
      </c>
      <c r="P294" s="13" t="s">
        <v>1236</v>
      </c>
    </row>
    <row r="295" spans="8:16">
      <c r="H295" s="516">
        <v>0</v>
      </c>
      <c r="I295" s="516">
        <v>0.99999999999999989</v>
      </c>
      <c r="J295" s="517" t="s">
        <v>1240</v>
      </c>
      <c r="M295" s="513">
        <v>0</v>
      </c>
      <c r="N295" s="516">
        <v>1</v>
      </c>
      <c r="O295" s="518" t="s">
        <v>1240</v>
      </c>
      <c r="P295" s="13" t="s">
        <v>1236</v>
      </c>
    </row>
    <row r="296" spans="8:16">
      <c r="H296" s="516">
        <v>0</v>
      </c>
      <c r="I296" s="516">
        <v>0.99999999999999989</v>
      </c>
      <c r="J296" s="517" t="s">
        <v>1240</v>
      </c>
      <c r="M296" s="513">
        <v>0</v>
      </c>
      <c r="N296" s="516">
        <v>1</v>
      </c>
      <c r="O296" s="518" t="s">
        <v>1240</v>
      </c>
      <c r="P296" s="13" t="s">
        <v>1236</v>
      </c>
    </row>
    <row r="297" spans="8:16">
      <c r="H297" s="516">
        <v>0</v>
      </c>
      <c r="I297" s="516">
        <v>0.99999999999999989</v>
      </c>
      <c r="J297" s="517" t="s">
        <v>1240</v>
      </c>
      <c r="M297" s="513">
        <v>0</v>
      </c>
      <c r="N297" s="516">
        <v>1</v>
      </c>
      <c r="O297" s="518" t="s">
        <v>1240</v>
      </c>
      <c r="P297" s="13" t="s">
        <v>1236</v>
      </c>
    </row>
    <row r="298" spans="8:16">
      <c r="H298" s="516">
        <v>0</v>
      </c>
      <c r="I298" s="516">
        <v>0.99999999999999989</v>
      </c>
      <c r="J298" s="517" t="s">
        <v>1240</v>
      </c>
      <c r="M298" s="513">
        <v>0</v>
      </c>
      <c r="N298" s="516">
        <v>1</v>
      </c>
      <c r="O298" s="518" t="s">
        <v>1240</v>
      </c>
      <c r="P298" s="13" t="s">
        <v>1236</v>
      </c>
    </row>
    <row r="299" spans="8:16">
      <c r="H299" s="516">
        <v>0</v>
      </c>
      <c r="I299" s="516">
        <v>0.99999999999999989</v>
      </c>
      <c r="J299" s="517" t="s">
        <v>1240</v>
      </c>
      <c r="M299" s="513">
        <v>0</v>
      </c>
      <c r="N299" s="516">
        <v>1</v>
      </c>
      <c r="O299" s="518" t="s">
        <v>1240</v>
      </c>
      <c r="P299" s="13" t="s">
        <v>1236</v>
      </c>
    </row>
    <row r="300" spans="8:16">
      <c r="H300" s="516">
        <v>0</v>
      </c>
      <c r="I300" s="516">
        <v>0.99999999999999989</v>
      </c>
      <c r="J300" s="517" t="s">
        <v>1240</v>
      </c>
      <c r="M300" s="513">
        <v>0</v>
      </c>
      <c r="N300" s="516">
        <v>1</v>
      </c>
      <c r="O300" s="518" t="s">
        <v>1240</v>
      </c>
      <c r="P300" s="13" t="s">
        <v>1236</v>
      </c>
    </row>
    <row r="301" spans="8:16">
      <c r="H301" s="516">
        <v>0</v>
      </c>
      <c r="I301" s="516">
        <v>0.99999999999999989</v>
      </c>
      <c r="J301" s="517" t="s">
        <v>1240</v>
      </c>
      <c r="M301" s="513">
        <v>0</v>
      </c>
      <c r="N301" s="516">
        <v>1</v>
      </c>
      <c r="O301" s="518" t="s">
        <v>1240</v>
      </c>
      <c r="P301" s="13" t="s">
        <v>1236</v>
      </c>
    </row>
    <row r="302" spans="8:16">
      <c r="H302" s="516">
        <v>0</v>
      </c>
      <c r="I302" s="516">
        <v>0.99999999999999989</v>
      </c>
      <c r="J302" s="517" t="s">
        <v>1240</v>
      </c>
      <c r="M302" s="513">
        <v>0</v>
      </c>
      <c r="N302" s="516">
        <v>1</v>
      </c>
      <c r="O302" s="518" t="s">
        <v>1240</v>
      </c>
      <c r="P302" s="13" t="s">
        <v>1236</v>
      </c>
    </row>
    <row r="303" spans="8:16">
      <c r="H303" s="516">
        <v>0</v>
      </c>
      <c r="I303" s="516">
        <v>0.99999999999999989</v>
      </c>
      <c r="J303" s="517" t="s">
        <v>1240</v>
      </c>
      <c r="M303" s="513">
        <v>0</v>
      </c>
      <c r="N303" s="516">
        <v>1</v>
      </c>
      <c r="O303" s="518" t="s">
        <v>1240</v>
      </c>
      <c r="P303" s="13" t="s">
        <v>1236</v>
      </c>
    </row>
    <row r="304" spans="8:16">
      <c r="H304" s="516">
        <v>0</v>
      </c>
      <c r="I304" s="516">
        <v>0.99999999999999989</v>
      </c>
      <c r="J304" s="517" t="s">
        <v>1240</v>
      </c>
      <c r="M304" s="513">
        <v>0</v>
      </c>
      <c r="N304" s="516">
        <v>1</v>
      </c>
      <c r="O304" s="518" t="s">
        <v>1240</v>
      </c>
      <c r="P304" s="13" t="s">
        <v>1236</v>
      </c>
    </row>
    <row r="305" spans="8:16">
      <c r="H305" s="516">
        <v>0</v>
      </c>
      <c r="I305" s="516">
        <v>0.99999999999999989</v>
      </c>
      <c r="J305" s="517" t="s">
        <v>1240</v>
      </c>
      <c r="M305" s="513">
        <v>0</v>
      </c>
      <c r="N305" s="516">
        <v>1</v>
      </c>
      <c r="O305" s="518" t="s">
        <v>1240</v>
      </c>
      <c r="P305" s="13" t="s">
        <v>1236</v>
      </c>
    </row>
    <row r="306" spans="8:16">
      <c r="H306" s="516">
        <v>0</v>
      </c>
      <c r="I306" s="516">
        <v>0.99999999999999989</v>
      </c>
      <c r="J306" s="517" t="s">
        <v>1240</v>
      </c>
      <c r="M306" s="513">
        <v>0</v>
      </c>
      <c r="N306" s="516">
        <v>1</v>
      </c>
      <c r="O306" s="518" t="s">
        <v>1240</v>
      </c>
      <c r="P306" s="13" t="s">
        <v>1236</v>
      </c>
    </row>
    <row r="307" spans="8:16">
      <c r="H307" s="516">
        <v>0</v>
      </c>
      <c r="I307" s="516">
        <v>0.99999999999999989</v>
      </c>
      <c r="J307" s="517" t="s">
        <v>1240</v>
      </c>
      <c r="M307" s="513">
        <v>0</v>
      </c>
      <c r="N307" s="516">
        <v>1</v>
      </c>
      <c r="O307" s="518" t="s">
        <v>1240</v>
      </c>
      <c r="P307" s="13" t="s">
        <v>1236</v>
      </c>
    </row>
    <row r="308" spans="8:16">
      <c r="H308" s="516">
        <v>0</v>
      </c>
      <c r="I308" s="516">
        <v>0.99999999999999989</v>
      </c>
      <c r="J308" s="517" t="s">
        <v>1240</v>
      </c>
      <c r="M308" s="513">
        <v>0</v>
      </c>
      <c r="N308" s="516">
        <v>1</v>
      </c>
      <c r="O308" s="518" t="s">
        <v>1240</v>
      </c>
      <c r="P308" s="13" t="s">
        <v>1236</v>
      </c>
    </row>
    <row r="309" spans="8:16">
      <c r="H309" s="516">
        <v>0</v>
      </c>
      <c r="I309" s="516">
        <v>0.99999999999999989</v>
      </c>
      <c r="J309" s="517" t="s">
        <v>1240</v>
      </c>
      <c r="M309" s="513">
        <v>0</v>
      </c>
      <c r="N309" s="516">
        <v>1</v>
      </c>
      <c r="O309" s="518" t="s">
        <v>1240</v>
      </c>
      <c r="P309" s="13" t="s">
        <v>1236</v>
      </c>
    </row>
    <row r="310" spans="8:16">
      <c r="H310" s="516">
        <v>0</v>
      </c>
      <c r="I310" s="516">
        <v>0.99999999999999989</v>
      </c>
      <c r="J310" s="517" t="s">
        <v>1240</v>
      </c>
      <c r="M310" s="513">
        <v>0</v>
      </c>
      <c r="N310" s="516">
        <v>1</v>
      </c>
      <c r="O310" s="518" t="s">
        <v>1240</v>
      </c>
      <c r="P310" s="13" t="s">
        <v>1236</v>
      </c>
    </row>
    <row r="311" spans="8:16">
      <c r="H311" s="516">
        <v>0</v>
      </c>
      <c r="I311" s="516">
        <v>0.99999999999999989</v>
      </c>
      <c r="J311" s="517" t="s">
        <v>1240</v>
      </c>
      <c r="M311" s="513">
        <v>0</v>
      </c>
      <c r="N311" s="516">
        <v>1</v>
      </c>
      <c r="O311" s="518" t="s">
        <v>1240</v>
      </c>
      <c r="P311" s="13" t="s">
        <v>1236</v>
      </c>
    </row>
    <row r="312" spans="8:16">
      <c r="H312" s="516">
        <v>0</v>
      </c>
      <c r="I312" s="516">
        <v>0.99999999999999989</v>
      </c>
      <c r="J312" s="517" t="s">
        <v>1240</v>
      </c>
      <c r="M312" s="513">
        <v>0</v>
      </c>
      <c r="N312" s="516">
        <v>1</v>
      </c>
      <c r="O312" s="518" t="s">
        <v>1240</v>
      </c>
      <c r="P312" s="13" t="s">
        <v>1236</v>
      </c>
    </row>
    <row r="313" spans="8:16">
      <c r="H313" s="516">
        <v>0</v>
      </c>
      <c r="I313" s="516">
        <v>0.99999999999999989</v>
      </c>
      <c r="J313" s="517" t="s">
        <v>1240</v>
      </c>
      <c r="M313" s="513">
        <v>0</v>
      </c>
      <c r="N313" s="516">
        <v>1</v>
      </c>
      <c r="O313" s="518" t="s">
        <v>1240</v>
      </c>
      <c r="P313" s="13" t="s">
        <v>1236</v>
      </c>
    </row>
    <row r="314" spans="8:16">
      <c r="H314" s="516">
        <v>0</v>
      </c>
      <c r="I314" s="516">
        <v>0.99999999999999989</v>
      </c>
      <c r="J314" s="517" t="s">
        <v>1240</v>
      </c>
      <c r="M314" s="513">
        <v>0</v>
      </c>
      <c r="N314" s="516">
        <v>1</v>
      </c>
      <c r="O314" s="518" t="s">
        <v>1240</v>
      </c>
      <c r="P314" s="13" t="s">
        <v>1236</v>
      </c>
    </row>
    <row r="315" spans="8:16">
      <c r="H315" s="516">
        <v>0</v>
      </c>
      <c r="I315" s="516">
        <v>0.99999999999999989</v>
      </c>
      <c r="J315" s="517" t="s">
        <v>1240</v>
      </c>
      <c r="M315" s="513">
        <v>0</v>
      </c>
      <c r="N315" s="516">
        <v>1</v>
      </c>
      <c r="O315" s="518" t="s">
        <v>1240</v>
      </c>
      <c r="P315" s="13" t="s">
        <v>1236</v>
      </c>
    </row>
    <row r="316" spans="8:16">
      <c r="H316" s="516">
        <v>0</v>
      </c>
      <c r="I316" s="516">
        <v>0.99999999999999989</v>
      </c>
      <c r="J316" s="517" t="s">
        <v>1240</v>
      </c>
      <c r="M316" s="513">
        <v>0</v>
      </c>
      <c r="N316" s="516">
        <v>1</v>
      </c>
      <c r="O316" s="518" t="s">
        <v>1240</v>
      </c>
      <c r="P316" s="13" t="s">
        <v>1236</v>
      </c>
    </row>
    <row r="317" spans="8:16">
      <c r="H317" s="516">
        <v>0</v>
      </c>
      <c r="I317" s="516">
        <v>0.99999999999999989</v>
      </c>
      <c r="J317" s="517" t="s">
        <v>1240</v>
      </c>
      <c r="M317" s="513">
        <v>0</v>
      </c>
      <c r="N317" s="516">
        <v>1</v>
      </c>
      <c r="O317" s="518" t="s">
        <v>1240</v>
      </c>
      <c r="P317" s="13" t="s">
        <v>1236</v>
      </c>
    </row>
    <row r="318" spans="8:16">
      <c r="H318" s="516">
        <v>0</v>
      </c>
      <c r="I318" s="516">
        <v>0.99999999999999989</v>
      </c>
      <c r="J318" s="517" t="s">
        <v>1240</v>
      </c>
      <c r="M318" s="513">
        <v>0</v>
      </c>
      <c r="N318" s="516">
        <v>1</v>
      </c>
      <c r="O318" s="518" t="s">
        <v>1240</v>
      </c>
      <c r="P318" s="13" t="s">
        <v>1236</v>
      </c>
    </row>
    <row r="319" spans="8:16">
      <c r="H319" s="516">
        <v>0</v>
      </c>
      <c r="I319" s="516">
        <v>0.99999999999999989</v>
      </c>
      <c r="J319" s="517" t="s">
        <v>1240</v>
      </c>
      <c r="M319" s="513">
        <v>0</v>
      </c>
      <c r="N319" s="516">
        <v>1</v>
      </c>
      <c r="O319" s="518" t="s">
        <v>1240</v>
      </c>
      <c r="P319" s="13" t="s">
        <v>1236</v>
      </c>
    </row>
    <row r="320" spans="8:16">
      <c r="H320" s="516">
        <v>0</v>
      </c>
      <c r="I320" s="516">
        <v>0.99999999999999989</v>
      </c>
      <c r="J320" s="517" t="s">
        <v>1240</v>
      </c>
      <c r="M320" s="513">
        <v>0</v>
      </c>
      <c r="N320" s="516">
        <v>1</v>
      </c>
      <c r="O320" s="518" t="s">
        <v>1240</v>
      </c>
      <c r="P320" s="13" t="s">
        <v>1236</v>
      </c>
    </row>
    <row r="321" spans="8:16">
      <c r="H321" s="516">
        <v>0</v>
      </c>
      <c r="I321" s="516">
        <v>0.99999999999999989</v>
      </c>
      <c r="J321" s="517" t="s">
        <v>1240</v>
      </c>
      <c r="M321" s="513">
        <v>0</v>
      </c>
      <c r="N321" s="516">
        <v>1</v>
      </c>
      <c r="O321" s="518" t="s">
        <v>1240</v>
      </c>
      <c r="P321" s="13" t="s">
        <v>1236</v>
      </c>
    </row>
    <row r="322" spans="8:16">
      <c r="H322" s="516">
        <v>0</v>
      </c>
      <c r="I322" s="516">
        <v>0.99999999999999989</v>
      </c>
      <c r="J322" s="517" t="s">
        <v>1240</v>
      </c>
      <c r="M322" s="513">
        <v>0</v>
      </c>
      <c r="N322" s="516">
        <v>1</v>
      </c>
      <c r="O322" s="518" t="s">
        <v>1240</v>
      </c>
      <c r="P322" s="13" t="s">
        <v>1236</v>
      </c>
    </row>
    <row r="323" spans="8:16">
      <c r="H323" s="516">
        <v>0</v>
      </c>
      <c r="I323" s="516">
        <v>0.99999999999999989</v>
      </c>
      <c r="J323" s="517" t="s">
        <v>1240</v>
      </c>
      <c r="M323" s="513">
        <v>0</v>
      </c>
      <c r="N323" s="516">
        <v>1</v>
      </c>
      <c r="O323" s="518" t="s">
        <v>1240</v>
      </c>
      <c r="P323" s="13" t="s">
        <v>1236</v>
      </c>
    </row>
    <row r="324" spans="8:16">
      <c r="H324" s="516">
        <v>0</v>
      </c>
      <c r="I324" s="516">
        <v>0.99999999999999989</v>
      </c>
      <c r="J324" s="517" t="s">
        <v>1240</v>
      </c>
      <c r="M324" s="513">
        <v>0</v>
      </c>
      <c r="N324" s="516">
        <v>1</v>
      </c>
      <c r="O324" s="518" t="s">
        <v>1240</v>
      </c>
      <c r="P324" s="13" t="s">
        <v>1236</v>
      </c>
    </row>
    <row r="325" spans="8:16">
      <c r="H325" s="516">
        <v>0</v>
      </c>
      <c r="I325" s="516">
        <v>0.99999999999999989</v>
      </c>
      <c r="J325" s="517" t="s">
        <v>1240</v>
      </c>
      <c r="M325" s="513">
        <v>0</v>
      </c>
      <c r="N325" s="516">
        <v>1</v>
      </c>
      <c r="O325" s="518" t="s">
        <v>1240</v>
      </c>
      <c r="P325" s="13" t="s">
        <v>1236</v>
      </c>
    </row>
    <row r="326" spans="8:16">
      <c r="H326" s="516">
        <v>0</v>
      </c>
      <c r="I326" s="516">
        <v>0.99999999999999989</v>
      </c>
      <c r="J326" s="517" t="s">
        <v>1240</v>
      </c>
      <c r="M326" s="513">
        <v>0</v>
      </c>
      <c r="N326" s="516">
        <v>1</v>
      </c>
      <c r="O326" s="518" t="s">
        <v>1240</v>
      </c>
      <c r="P326" s="13" t="s">
        <v>1236</v>
      </c>
    </row>
    <row r="327" spans="8:16">
      <c r="H327" s="516">
        <v>0</v>
      </c>
      <c r="I327" s="516">
        <v>0.99999999999999989</v>
      </c>
      <c r="J327" s="517" t="s">
        <v>1240</v>
      </c>
      <c r="M327" s="513">
        <v>0</v>
      </c>
      <c r="N327" s="516">
        <v>1</v>
      </c>
      <c r="O327" s="518" t="s">
        <v>1240</v>
      </c>
      <c r="P327" s="13" t="s">
        <v>1236</v>
      </c>
    </row>
    <row r="328" spans="8:16">
      <c r="H328" s="516">
        <v>0</v>
      </c>
      <c r="I328" s="516">
        <v>0.99999999999999989</v>
      </c>
      <c r="J328" s="517" t="s">
        <v>1240</v>
      </c>
      <c r="M328" s="513">
        <v>0</v>
      </c>
      <c r="N328" s="516">
        <v>1</v>
      </c>
      <c r="O328" s="518" t="s">
        <v>1240</v>
      </c>
      <c r="P328" s="13" t="s">
        <v>1236</v>
      </c>
    </row>
    <row r="329" spans="8:16">
      <c r="H329" s="516">
        <v>0</v>
      </c>
      <c r="I329" s="516">
        <v>0.99999999999999989</v>
      </c>
      <c r="J329" s="517" t="s">
        <v>1240</v>
      </c>
      <c r="M329" s="513">
        <v>0</v>
      </c>
      <c r="N329" s="516">
        <v>1</v>
      </c>
      <c r="O329" s="518" t="s">
        <v>1240</v>
      </c>
      <c r="P329" s="13" t="s">
        <v>1236</v>
      </c>
    </row>
    <row r="330" spans="8:16">
      <c r="H330" s="516">
        <v>0</v>
      </c>
      <c r="I330" s="516">
        <v>0.99999999999999989</v>
      </c>
      <c r="J330" s="517" t="s">
        <v>1240</v>
      </c>
      <c r="M330" s="513">
        <v>0</v>
      </c>
      <c r="N330" s="516">
        <v>1</v>
      </c>
      <c r="O330" s="518" t="s">
        <v>1240</v>
      </c>
      <c r="P330" s="13" t="s">
        <v>1236</v>
      </c>
    </row>
    <row r="331" spans="8:16">
      <c r="H331" s="516">
        <v>0</v>
      </c>
      <c r="I331" s="516">
        <v>0.99999999999999989</v>
      </c>
      <c r="J331" s="517" t="s">
        <v>1240</v>
      </c>
      <c r="M331" s="513">
        <v>0</v>
      </c>
      <c r="N331" s="516">
        <v>1</v>
      </c>
      <c r="O331" s="518" t="s">
        <v>1240</v>
      </c>
      <c r="P331" s="13" t="s">
        <v>1236</v>
      </c>
    </row>
    <row r="332" spans="8:16">
      <c r="H332" s="516">
        <v>0</v>
      </c>
      <c r="I332" s="516">
        <v>0.99999999999999989</v>
      </c>
      <c r="J332" s="517" t="s">
        <v>1240</v>
      </c>
      <c r="M332" s="513">
        <v>0</v>
      </c>
      <c r="N332" s="516">
        <v>1</v>
      </c>
      <c r="O332" s="518" t="s">
        <v>1240</v>
      </c>
      <c r="P332" s="13" t="s">
        <v>1236</v>
      </c>
    </row>
    <row r="333" spans="8:16">
      <c r="H333" s="516">
        <v>0</v>
      </c>
      <c r="I333" s="516">
        <v>0.99999999999999989</v>
      </c>
      <c r="J333" s="517" t="s">
        <v>1240</v>
      </c>
      <c r="M333" s="513">
        <v>0</v>
      </c>
      <c r="N333" s="516">
        <v>1</v>
      </c>
      <c r="O333" s="518" t="s">
        <v>1240</v>
      </c>
      <c r="P333" s="13" t="s">
        <v>1236</v>
      </c>
    </row>
    <row r="334" spans="8:16">
      <c r="H334" s="516">
        <v>0</v>
      </c>
      <c r="I334" s="516">
        <v>0.99999999999999989</v>
      </c>
      <c r="J334" s="517" t="s">
        <v>1240</v>
      </c>
      <c r="M334" s="513">
        <v>0</v>
      </c>
      <c r="N334" s="516">
        <v>1</v>
      </c>
      <c r="O334" s="518" t="s">
        <v>1240</v>
      </c>
      <c r="P334" s="13" t="s">
        <v>1236</v>
      </c>
    </row>
    <row r="335" spans="8:16">
      <c r="H335" s="516">
        <v>0</v>
      </c>
      <c r="I335" s="516">
        <v>0.99999999999999989</v>
      </c>
      <c r="J335" s="517" t="s">
        <v>1240</v>
      </c>
      <c r="M335" s="513">
        <v>0</v>
      </c>
      <c r="N335" s="516">
        <v>1</v>
      </c>
      <c r="O335" s="518" t="s">
        <v>1240</v>
      </c>
      <c r="P335" s="13" t="s">
        <v>1236</v>
      </c>
    </row>
    <row r="336" spans="8:16">
      <c r="H336" s="516">
        <v>0</v>
      </c>
      <c r="I336" s="516">
        <v>0.99999999999999989</v>
      </c>
      <c r="J336" s="517" t="s">
        <v>1240</v>
      </c>
      <c r="M336" s="513">
        <v>0</v>
      </c>
      <c r="N336" s="516">
        <v>1</v>
      </c>
      <c r="O336" s="518" t="s">
        <v>1240</v>
      </c>
      <c r="P336" s="13" t="s">
        <v>1236</v>
      </c>
    </row>
    <row r="337" spans="8:16">
      <c r="H337" s="516">
        <v>0</v>
      </c>
      <c r="I337" s="516">
        <v>0.99999999999999989</v>
      </c>
      <c r="J337" s="517" t="s">
        <v>1240</v>
      </c>
      <c r="M337" s="513">
        <v>0</v>
      </c>
      <c r="N337" s="516">
        <v>1</v>
      </c>
      <c r="O337" s="518" t="s">
        <v>1240</v>
      </c>
      <c r="P337" s="13" t="s">
        <v>1236</v>
      </c>
    </row>
    <row r="338" spans="8:16">
      <c r="H338" s="516">
        <v>0</v>
      </c>
      <c r="I338" s="516">
        <v>0.99999999999999989</v>
      </c>
      <c r="J338" s="517" t="s">
        <v>1240</v>
      </c>
      <c r="M338" s="513">
        <v>0</v>
      </c>
      <c r="N338" s="516">
        <v>1</v>
      </c>
      <c r="O338" s="518" t="s">
        <v>1240</v>
      </c>
      <c r="P338" s="13" t="s">
        <v>1236</v>
      </c>
    </row>
    <row r="339" spans="8:16">
      <c r="H339" s="516">
        <v>0</v>
      </c>
      <c r="I339" s="516">
        <v>0.99999999999999989</v>
      </c>
      <c r="J339" s="517" t="s">
        <v>1240</v>
      </c>
      <c r="M339" s="513">
        <v>0</v>
      </c>
      <c r="N339" s="516">
        <v>1</v>
      </c>
      <c r="O339" s="518" t="s">
        <v>1240</v>
      </c>
      <c r="P339" s="13" t="s">
        <v>1236</v>
      </c>
    </row>
    <row r="340" spans="8:16">
      <c r="H340" s="516">
        <v>0</v>
      </c>
      <c r="I340" s="516">
        <v>0.99999999999999989</v>
      </c>
      <c r="J340" s="517" t="s">
        <v>1240</v>
      </c>
      <c r="M340" s="513">
        <v>0</v>
      </c>
      <c r="N340" s="516">
        <v>1</v>
      </c>
      <c r="O340" s="518" t="s">
        <v>1240</v>
      </c>
      <c r="P340" s="13" t="s">
        <v>1236</v>
      </c>
    </row>
    <row r="341" spans="8:16">
      <c r="H341" s="516">
        <v>0</v>
      </c>
      <c r="I341" s="516">
        <v>0.99999999999999989</v>
      </c>
      <c r="J341" s="517" t="s">
        <v>1240</v>
      </c>
      <c r="M341" s="513">
        <v>0</v>
      </c>
      <c r="N341" s="516">
        <v>1</v>
      </c>
      <c r="O341" s="518" t="s">
        <v>1240</v>
      </c>
      <c r="P341" s="13" t="s">
        <v>1236</v>
      </c>
    </row>
    <row r="342" spans="8:16">
      <c r="H342" s="516">
        <v>0</v>
      </c>
      <c r="I342" s="516">
        <v>0.99999999999999989</v>
      </c>
      <c r="J342" s="517" t="s">
        <v>1240</v>
      </c>
      <c r="M342" s="513">
        <v>0</v>
      </c>
      <c r="N342" s="516">
        <v>1</v>
      </c>
      <c r="O342" s="518" t="s">
        <v>1240</v>
      </c>
      <c r="P342" s="13" t="s">
        <v>1236</v>
      </c>
    </row>
    <row r="343" spans="8:16">
      <c r="H343" s="516">
        <v>0</v>
      </c>
      <c r="I343" s="516">
        <v>0.99999999999999989</v>
      </c>
      <c r="J343" s="517" t="s">
        <v>1240</v>
      </c>
      <c r="M343" s="513">
        <v>0</v>
      </c>
      <c r="N343" s="516">
        <v>1</v>
      </c>
      <c r="O343" s="518" t="s">
        <v>1240</v>
      </c>
      <c r="P343" s="13" t="s">
        <v>1236</v>
      </c>
    </row>
    <row r="344" spans="8:16">
      <c r="H344" s="516">
        <v>0</v>
      </c>
      <c r="I344" s="516">
        <v>0.99999999999999989</v>
      </c>
      <c r="J344" s="517" t="s">
        <v>1240</v>
      </c>
      <c r="M344" s="513">
        <v>0</v>
      </c>
      <c r="N344" s="516">
        <v>1</v>
      </c>
      <c r="O344" s="518" t="s">
        <v>1240</v>
      </c>
      <c r="P344" s="13" t="s">
        <v>1236</v>
      </c>
    </row>
    <row r="345" spans="8:16">
      <c r="H345" s="516">
        <v>0</v>
      </c>
      <c r="I345" s="516">
        <v>0.99999999999999989</v>
      </c>
      <c r="J345" s="517" t="s">
        <v>1240</v>
      </c>
      <c r="M345" s="513">
        <v>0</v>
      </c>
      <c r="N345" s="516">
        <v>1</v>
      </c>
      <c r="O345" s="518" t="s">
        <v>1240</v>
      </c>
      <c r="P345" s="13" t="s">
        <v>1236</v>
      </c>
    </row>
    <row r="346" spans="8:16">
      <c r="H346" s="516">
        <v>0</v>
      </c>
      <c r="I346" s="516">
        <v>0.99999999999999989</v>
      </c>
      <c r="J346" s="517" t="s">
        <v>1240</v>
      </c>
      <c r="M346" s="513">
        <v>0</v>
      </c>
      <c r="N346" s="516">
        <v>1</v>
      </c>
      <c r="O346" s="518" t="s">
        <v>1240</v>
      </c>
      <c r="P346" s="13" t="s">
        <v>1236</v>
      </c>
    </row>
    <row r="347" spans="8:16">
      <c r="H347" s="516">
        <v>0</v>
      </c>
      <c r="I347" s="516">
        <v>0.99999999999999989</v>
      </c>
      <c r="J347" s="517" t="s">
        <v>1240</v>
      </c>
      <c r="M347" s="513">
        <v>0</v>
      </c>
      <c r="N347" s="516">
        <v>1</v>
      </c>
      <c r="O347" s="518" t="s">
        <v>1240</v>
      </c>
      <c r="P347" s="13" t="s">
        <v>1236</v>
      </c>
    </row>
    <row r="348" spans="8:16">
      <c r="H348" s="516">
        <v>0</v>
      </c>
      <c r="I348" s="516">
        <v>0.99999999999999989</v>
      </c>
      <c r="J348" s="517" t="s">
        <v>1240</v>
      </c>
      <c r="M348" s="513">
        <v>0</v>
      </c>
      <c r="N348" s="516">
        <v>1</v>
      </c>
      <c r="O348" s="518" t="s">
        <v>1240</v>
      </c>
      <c r="P348" s="13" t="s">
        <v>1236</v>
      </c>
    </row>
    <row r="349" spans="8:16">
      <c r="H349" s="516">
        <v>0</v>
      </c>
      <c r="I349" s="516">
        <v>0.99999999999999989</v>
      </c>
      <c r="J349" s="517" t="s">
        <v>1240</v>
      </c>
      <c r="M349" s="513">
        <v>0</v>
      </c>
      <c r="N349" s="516">
        <v>1</v>
      </c>
      <c r="O349" s="518" t="s">
        <v>1240</v>
      </c>
      <c r="P349" s="13" t="s">
        <v>1236</v>
      </c>
    </row>
    <row r="350" spans="8:16">
      <c r="H350" s="516">
        <v>0</v>
      </c>
      <c r="I350" s="516">
        <v>0.99999999999999989</v>
      </c>
      <c r="J350" s="517" t="s">
        <v>1240</v>
      </c>
      <c r="M350" s="513">
        <v>0</v>
      </c>
      <c r="N350" s="516">
        <v>1</v>
      </c>
      <c r="O350" s="518" t="s">
        <v>1240</v>
      </c>
      <c r="P350" s="13" t="s">
        <v>1236</v>
      </c>
    </row>
    <row r="351" spans="8:16">
      <c r="H351" s="516">
        <v>0</v>
      </c>
      <c r="I351" s="516">
        <v>0.99999999999999989</v>
      </c>
      <c r="J351" s="517" t="s">
        <v>1240</v>
      </c>
      <c r="M351" s="513">
        <v>0</v>
      </c>
      <c r="N351" s="516">
        <v>1</v>
      </c>
      <c r="O351" s="518" t="s">
        <v>1240</v>
      </c>
      <c r="P351" s="13" t="s">
        <v>1236</v>
      </c>
    </row>
    <row r="352" spans="8:16">
      <c r="H352" s="516">
        <v>0</v>
      </c>
      <c r="I352" s="516">
        <v>0.99999999999999989</v>
      </c>
      <c r="J352" s="517" t="s">
        <v>1240</v>
      </c>
      <c r="M352" s="513">
        <v>0</v>
      </c>
      <c r="N352" s="516">
        <v>1</v>
      </c>
      <c r="O352" s="518" t="s">
        <v>1240</v>
      </c>
      <c r="P352" s="13" t="s">
        <v>1236</v>
      </c>
    </row>
    <row r="353" spans="8:16">
      <c r="H353" s="516">
        <v>0</v>
      </c>
      <c r="I353" s="516">
        <v>0.99999999999999989</v>
      </c>
      <c r="J353" s="517" t="s">
        <v>1240</v>
      </c>
      <c r="M353" s="513">
        <v>0</v>
      </c>
      <c r="N353" s="516">
        <v>1</v>
      </c>
      <c r="O353" s="518" t="s">
        <v>1240</v>
      </c>
      <c r="P353" s="13" t="s">
        <v>1236</v>
      </c>
    </row>
    <row r="354" spans="8:16">
      <c r="H354" s="516">
        <v>0</v>
      </c>
      <c r="I354" s="516">
        <v>0.99999999999999989</v>
      </c>
      <c r="J354" s="517" t="s">
        <v>1240</v>
      </c>
      <c r="M354" s="513">
        <v>0</v>
      </c>
      <c r="N354" s="516">
        <v>1</v>
      </c>
      <c r="O354" s="518" t="s">
        <v>1240</v>
      </c>
      <c r="P354" s="13" t="s">
        <v>1236</v>
      </c>
    </row>
    <row r="355" spans="8:16">
      <c r="H355" s="516">
        <v>0</v>
      </c>
      <c r="I355" s="516">
        <v>0.99999999999999989</v>
      </c>
      <c r="J355" s="517" t="s">
        <v>1240</v>
      </c>
      <c r="M355" s="513">
        <v>0</v>
      </c>
      <c r="N355" s="516">
        <v>1</v>
      </c>
      <c r="O355" s="518" t="s">
        <v>1240</v>
      </c>
      <c r="P355" s="13" t="s">
        <v>1236</v>
      </c>
    </row>
    <row r="356" spans="8:16">
      <c r="H356" s="516">
        <v>0</v>
      </c>
      <c r="I356" s="516">
        <v>0.99999999999999989</v>
      </c>
      <c r="J356" s="517" t="s">
        <v>1240</v>
      </c>
      <c r="M356" s="513">
        <v>0</v>
      </c>
      <c r="N356" s="516">
        <v>1</v>
      </c>
      <c r="O356" s="518" t="s">
        <v>1240</v>
      </c>
      <c r="P356" s="13" t="s">
        <v>1236</v>
      </c>
    </row>
    <row r="357" spans="8:16">
      <c r="H357" s="516">
        <v>0</v>
      </c>
      <c r="I357" s="516">
        <v>0.99999999999999989</v>
      </c>
      <c r="J357" s="517" t="s">
        <v>1240</v>
      </c>
      <c r="M357" s="513">
        <v>0</v>
      </c>
      <c r="N357" s="516">
        <v>1</v>
      </c>
      <c r="O357" s="518" t="s">
        <v>1240</v>
      </c>
      <c r="P357" s="13" t="s">
        <v>1236</v>
      </c>
    </row>
    <row r="358" spans="8:16">
      <c r="H358" s="516">
        <v>0</v>
      </c>
      <c r="I358" s="516">
        <v>0.99999999999999989</v>
      </c>
      <c r="J358" s="517" t="s">
        <v>1240</v>
      </c>
      <c r="M358" s="513">
        <v>0</v>
      </c>
      <c r="N358" s="516">
        <v>1</v>
      </c>
      <c r="O358" s="518" t="s">
        <v>1240</v>
      </c>
      <c r="P358" s="13" t="s">
        <v>1236</v>
      </c>
    </row>
    <row r="359" spans="8:16">
      <c r="H359" s="516">
        <v>0</v>
      </c>
      <c r="I359" s="516">
        <v>0.99999999999999989</v>
      </c>
      <c r="J359" s="517" t="s">
        <v>1240</v>
      </c>
      <c r="M359" s="513">
        <v>0</v>
      </c>
      <c r="N359" s="516">
        <v>1</v>
      </c>
      <c r="O359" s="518" t="s">
        <v>1240</v>
      </c>
      <c r="P359" s="13" t="s">
        <v>1236</v>
      </c>
    </row>
    <row r="360" spans="8:16">
      <c r="H360" s="516">
        <v>0</v>
      </c>
      <c r="I360" s="516">
        <v>0.99999999999999989</v>
      </c>
      <c r="J360" s="517" t="s">
        <v>1240</v>
      </c>
      <c r="M360" s="513">
        <v>0</v>
      </c>
      <c r="N360" s="516">
        <v>1</v>
      </c>
      <c r="O360" s="518" t="s">
        <v>1240</v>
      </c>
      <c r="P360" s="13" t="s">
        <v>1236</v>
      </c>
    </row>
    <row r="361" spans="8:16">
      <c r="H361" s="516">
        <v>0</v>
      </c>
      <c r="I361" s="516">
        <v>0.99999999999999989</v>
      </c>
      <c r="J361" s="517" t="s">
        <v>1240</v>
      </c>
      <c r="M361" s="513">
        <v>0</v>
      </c>
      <c r="N361" s="516">
        <v>1</v>
      </c>
      <c r="O361" s="518" t="s">
        <v>1240</v>
      </c>
      <c r="P361" s="13" t="s">
        <v>1236</v>
      </c>
    </row>
    <row r="362" spans="8:16">
      <c r="H362" s="516">
        <v>0</v>
      </c>
      <c r="I362" s="516">
        <v>0.99999999999999989</v>
      </c>
      <c r="J362" s="517" t="s">
        <v>1240</v>
      </c>
      <c r="M362" s="513">
        <v>0</v>
      </c>
      <c r="N362" s="516">
        <v>1</v>
      </c>
      <c r="O362" s="518" t="s">
        <v>1240</v>
      </c>
      <c r="P362" s="13" t="s">
        <v>1236</v>
      </c>
    </row>
    <row r="363" spans="8:16">
      <c r="H363" s="516">
        <v>0</v>
      </c>
      <c r="I363" s="516">
        <v>0.99999999999999989</v>
      </c>
      <c r="J363" s="517" t="s">
        <v>1240</v>
      </c>
      <c r="M363" s="513">
        <v>0</v>
      </c>
      <c r="N363" s="516">
        <v>1</v>
      </c>
      <c r="O363" s="518" t="s">
        <v>1240</v>
      </c>
      <c r="P363" s="13" t="s">
        <v>1236</v>
      </c>
    </row>
    <row r="364" spans="8:16">
      <c r="H364" s="516">
        <v>0</v>
      </c>
      <c r="I364" s="516">
        <v>0.99999999999999989</v>
      </c>
      <c r="J364" s="517" t="s">
        <v>1240</v>
      </c>
      <c r="M364" s="513">
        <v>0</v>
      </c>
      <c r="N364" s="516">
        <v>1</v>
      </c>
      <c r="O364" s="518" t="s">
        <v>1240</v>
      </c>
      <c r="P364" s="13" t="s">
        <v>1236</v>
      </c>
    </row>
    <row r="365" spans="8:16">
      <c r="H365" s="516">
        <v>0</v>
      </c>
      <c r="I365" s="516">
        <v>0.99999999999999989</v>
      </c>
      <c r="J365" s="517" t="s">
        <v>1240</v>
      </c>
      <c r="M365" s="513">
        <v>0</v>
      </c>
      <c r="N365" s="516">
        <v>1</v>
      </c>
      <c r="O365" s="518" t="s">
        <v>1240</v>
      </c>
      <c r="P365" s="13" t="s">
        <v>1236</v>
      </c>
    </row>
    <row r="366" spans="8:16">
      <c r="H366" s="516">
        <v>0</v>
      </c>
      <c r="I366" s="516">
        <v>0.99999999999999989</v>
      </c>
      <c r="J366" s="517" t="s">
        <v>1240</v>
      </c>
      <c r="M366" s="513">
        <v>0</v>
      </c>
      <c r="N366" s="516">
        <v>1</v>
      </c>
      <c r="O366" s="518" t="s">
        <v>1240</v>
      </c>
      <c r="P366" s="13" t="s">
        <v>1236</v>
      </c>
    </row>
    <row r="367" spans="8:16">
      <c r="H367" s="516">
        <v>0</v>
      </c>
      <c r="I367" s="516">
        <v>0.99999999999999989</v>
      </c>
      <c r="J367" s="517" t="s">
        <v>1240</v>
      </c>
      <c r="M367" s="513">
        <v>0</v>
      </c>
      <c r="N367" s="516">
        <v>1</v>
      </c>
      <c r="O367" s="518" t="s">
        <v>1240</v>
      </c>
      <c r="P367" s="13" t="s">
        <v>1236</v>
      </c>
    </row>
    <row r="368" spans="8:16">
      <c r="H368" s="516">
        <v>0</v>
      </c>
      <c r="I368" s="516">
        <v>0.99999999999999989</v>
      </c>
      <c r="J368" s="517" t="s">
        <v>1240</v>
      </c>
      <c r="M368" s="513">
        <v>0</v>
      </c>
      <c r="N368" s="516">
        <v>1</v>
      </c>
      <c r="O368" s="518" t="s">
        <v>1240</v>
      </c>
      <c r="P368" s="13" t="s">
        <v>1236</v>
      </c>
    </row>
    <row r="369" spans="8:16">
      <c r="H369" s="516">
        <v>0</v>
      </c>
      <c r="I369" s="516">
        <v>0.99999999999999989</v>
      </c>
      <c r="J369" s="517" t="s">
        <v>1240</v>
      </c>
      <c r="M369" s="513">
        <v>0</v>
      </c>
      <c r="N369" s="516">
        <v>1</v>
      </c>
      <c r="O369" s="518" t="s">
        <v>1240</v>
      </c>
      <c r="P369" s="13" t="s">
        <v>1236</v>
      </c>
    </row>
    <row r="370" spans="8:16">
      <c r="H370" s="516">
        <v>0</v>
      </c>
      <c r="I370" s="516">
        <v>0.99999999999999989</v>
      </c>
      <c r="J370" s="517" t="s">
        <v>1240</v>
      </c>
      <c r="M370" s="513">
        <v>0</v>
      </c>
      <c r="N370" s="516">
        <v>1</v>
      </c>
      <c r="O370" s="518" t="s">
        <v>1240</v>
      </c>
      <c r="P370" s="13" t="s">
        <v>1236</v>
      </c>
    </row>
    <row r="371" spans="8:16">
      <c r="H371" s="516">
        <v>0</v>
      </c>
      <c r="I371" s="516">
        <v>0.99999999999999989</v>
      </c>
      <c r="J371" s="517" t="s">
        <v>1240</v>
      </c>
      <c r="M371" s="513">
        <v>0</v>
      </c>
      <c r="N371" s="516">
        <v>1</v>
      </c>
      <c r="O371" s="518" t="s">
        <v>1240</v>
      </c>
      <c r="P371" s="13" t="s">
        <v>1236</v>
      </c>
    </row>
    <row r="372" spans="8:16">
      <c r="H372" s="516">
        <v>0</v>
      </c>
      <c r="I372" s="516">
        <v>0.99999999999999989</v>
      </c>
      <c r="J372" s="517" t="s">
        <v>1240</v>
      </c>
      <c r="M372" s="513">
        <v>0</v>
      </c>
      <c r="N372" s="516">
        <v>1</v>
      </c>
      <c r="O372" s="518" t="s">
        <v>1240</v>
      </c>
      <c r="P372" s="13" t="s">
        <v>1236</v>
      </c>
    </row>
    <row r="373" spans="8:16">
      <c r="H373" s="516">
        <v>0</v>
      </c>
      <c r="I373" s="516">
        <v>0.99999999999999989</v>
      </c>
      <c r="J373" s="517" t="s">
        <v>1240</v>
      </c>
      <c r="M373" s="513">
        <v>0</v>
      </c>
      <c r="N373" s="516">
        <v>1</v>
      </c>
      <c r="O373" s="518" t="s">
        <v>1240</v>
      </c>
      <c r="P373" s="13" t="s">
        <v>1236</v>
      </c>
    </row>
    <row r="374" spans="8:16">
      <c r="H374" s="516">
        <v>0</v>
      </c>
      <c r="I374" s="516">
        <v>0.99999999999999989</v>
      </c>
      <c r="J374" s="517" t="s">
        <v>1240</v>
      </c>
      <c r="M374" s="513">
        <v>0</v>
      </c>
      <c r="N374" s="516">
        <v>1</v>
      </c>
      <c r="O374" s="518" t="s">
        <v>1240</v>
      </c>
      <c r="P374" s="13" t="s">
        <v>1236</v>
      </c>
    </row>
    <row r="375" spans="8:16">
      <c r="H375" s="516">
        <v>0</v>
      </c>
      <c r="I375" s="516">
        <v>0.99999999999999989</v>
      </c>
      <c r="J375" s="517" t="s">
        <v>1240</v>
      </c>
      <c r="M375" s="513">
        <v>0</v>
      </c>
      <c r="N375" s="516">
        <v>1</v>
      </c>
      <c r="O375" s="518" t="s">
        <v>1240</v>
      </c>
      <c r="P375" s="13" t="s">
        <v>1236</v>
      </c>
    </row>
    <row r="376" spans="8:16">
      <c r="H376" s="516">
        <v>0</v>
      </c>
      <c r="I376" s="516">
        <v>0.99999999999999989</v>
      </c>
      <c r="J376" s="517" t="s">
        <v>1240</v>
      </c>
      <c r="M376" s="513">
        <v>0</v>
      </c>
      <c r="N376" s="516">
        <v>1</v>
      </c>
      <c r="O376" s="518" t="s">
        <v>1240</v>
      </c>
      <c r="P376" s="13" t="s">
        <v>1236</v>
      </c>
    </row>
    <row r="377" spans="8:16">
      <c r="H377" s="516">
        <v>0</v>
      </c>
      <c r="I377" s="516">
        <v>0.99999999999999989</v>
      </c>
      <c r="J377" s="517" t="s">
        <v>1240</v>
      </c>
      <c r="M377" s="513">
        <v>0</v>
      </c>
      <c r="N377" s="516">
        <v>1</v>
      </c>
      <c r="O377" s="518" t="s">
        <v>1240</v>
      </c>
      <c r="P377" s="13" t="s">
        <v>1236</v>
      </c>
    </row>
    <row r="378" spans="8:16">
      <c r="H378" s="516">
        <v>0</v>
      </c>
      <c r="I378" s="516">
        <v>0.99999999999999989</v>
      </c>
      <c r="J378" s="517" t="s">
        <v>1240</v>
      </c>
      <c r="M378" s="513">
        <v>0</v>
      </c>
      <c r="N378" s="516">
        <v>1</v>
      </c>
      <c r="O378" s="518" t="s">
        <v>1240</v>
      </c>
      <c r="P378" s="13" t="s">
        <v>1236</v>
      </c>
    </row>
    <row r="379" spans="8:16">
      <c r="H379" s="516">
        <v>0</v>
      </c>
      <c r="I379" s="516">
        <v>0.99999999999999989</v>
      </c>
      <c r="J379" s="517" t="s">
        <v>1240</v>
      </c>
      <c r="M379" s="513">
        <v>0</v>
      </c>
      <c r="N379" s="516">
        <v>1</v>
      </c>
      <c r="O379" s="518" t="s">
        <v>1240</v>
      </c>
      <c r="P379" s="13" t="s">
        <v>1236</v>
      </c>
    </row>
    <row r="380" spans="8:16">
      <c r="H380" s="516">
        <v>0</v>
      </c>
      <c r="I380" s="516">
        <v>0.99999999999999989</v>
      </c>
      <c r="J380" s="517" t="s">
        <v>1240</v>
      </c>
      <c r="M380" s="513">
        <v>0</v>
      </c>
      <c r="N380" s="516">
        <v>1</v>
      </c>
      <c r="O380" s="518" t="s">
        <v>1240</v>
      </c>
      <c r="P380" s="13" t="s">
        <v>1236</v>
      </c>
    </row>
    <row r="381" spans="8:16">
      <c r="H381" s="516">
        <v>0</v>
      </c>
      <c r="I381" s="516">
        <v>0.99999999999999989</v>
      </c>
      <c r="J381" s="517" t="s">
        <v>1240</v>
      </c>
      <c r="M381" s="513">
        <v>0</v>
      </c>
      <c r="N381" s="516">
        <v>1</v>
      </c>
      <c r="O381" s="518" t="s">
        <v>1240</v>
      </c>
      <c r="P381" s="13" t="s">
        <v>1236</v>
      </c>
    </row>
    <row r="382" spans="8:16">
      <c r="H382" s="516">
        <v>0</v>
      </c>
      <c r="I382" s="516">
        <v>0.99999999999999989</v>
      </c>
      <c r="J382" s="517" t="s">
        <v>1240</v>
      </c>
      <c r="M382" s="513">
        <v>0</v>
      </c>
      <c r="N382" s="516">
        <v>1</v>
      </c>
      <c r="O382" s="518" t="s">
        <v>1240</v>
      </c>
      <c r="P382" s="13" t="s">
        <v>1236</v>
      </c>
    </row>
    <row r="383" spans="8:16">
      <c r="H383" s="516">
        <v>0</v>
      </c>
      <c r="I383" s="516">
        <v>0.99999999999999989</v>
      </c>
      <c r="J383" s="517" t="s">
        <v>1240</v>
      </c>
      <c r="M383" s="513">
        <v>0</v>
      </c>
      <c r="N383" s="516">
        <v>1</v>
      </c>
      <c r="O383" s="518" t="s">
        <v>1240</v>
      </c>
      <c r="P383" s="13" t="s">
        <v>1236</v>
      </c>
    </row>
    <row r="384" spans="8:16">
      <c r="H384" s="516">
        <v>0</v>
      </c>
      <c r="I384" s="516">
        <v>0.99999999999999989</v>
      </c>
      <c r="J384" s="517" t="s">
        <v>1240</v>
      </c>
      <c r="M384" s="513">
        <v>0</v>
      </c>
      <c r="N384" s="516">
        <v>1</v>
      </c>
      <c r="O384" s="518" t="s">
        <v>1240</v>
      </c>
      <c r="P384" s="13" t="s">
        <v>1236</v>
      </c>
    </row>
    <row r="385" spans="8:16">
      <c r="H385" s="516">
        <v>0</v>
      </c>
      <c r="I385" s="516">
        <v>0.99999999999999989</v>
      </c>
      <c r="J385" s="517" t="s">
        <v>1240</v>
      </c>
      <c r="M385" s="513">
        <v>0</v>
      </c>
      <c r="N385" s="516">
        <v>1</v>
      </c>
      <c r="O385" s="518" t="s">
        <v>1240</v>
      </c>
      <c r="P385" s="13" t="s">
        <v>1236</v>
      </c>
    </row>
    <row r="386" spans="8:16">
      <c r="H386" s="516">
        <v>0</v>
      </c>
      <c r="I386" s="516">
        <v>0.99999999999999989</v>
      </c>
      <c r="J386" s="517" t="s">
        <v>1240</v>
      </c>
      <c r="M386" s="513">
        <v>0</v>
      </c>
      <c r="N386" s="516">
        <v>1</v>
      </c>
      <c r="O386" s="518" t="s">
        <v>1240</v>
      </c>
      <c r="P386" s="13" t="s">
        <v>1236</v>
      </c>
    </row>
    <row r="387" spans="8:16">
      <c r="H387" s="516">
        <v>0</v>
      </c>
      <c r="I387" s="516">
        <v>0.99999999999999989</v>
      </c>
      <c r="J387" s="517" t="s">
        <v>1240</v>
      </c>
      <c r="M387" s="513">
        <v>0</v>
      </c>
      <c r="N387" s="516">
        <v>1</v>
      </c>
      <c r="O387" s="518" t="s">
        <v>1240</v>
      </c>
      <c r="P387" s="13" t="s">
        <v>1236</v>
      </c>
    </row>
    <row r="388" spans="8:16">
      <c r="H388" s="516">
        <v>0</v>
      </c>
      <c r="I388" s="516">
        <v>0.99999999999999989</v>
      </c>
      <c r="J388" s="517" t="s">
        <v>1240</v>
      </c>
      <c r="M388" s="513">
        <v>0</v>
      </c>
      <c r="N388" s="516">
        <v>1</v>
      </c>
      <c r="O388" s="518" t="s">
        <v>1240</v>
      </c>
      <c r="P388" s="13" t="s">
        <v>1236</v>
      </c>
    </row>
    <row r="389" spans="8:16">
      <c r="H389" s="516">
        <v>0</v>
      </c>
      <c r="I389" s="516">
        <v>0.99999999999999989</v>
      </c>
      <c r="J389" s="517" t="s">
        <v>1240</v>
      </c>
      <c r="M389" s="513">
        <v>0</v>
      </c>
      <c r="N389" s="516">
        <v>1</v>
      </c>
      <c r="O389" s="518" t="s">
        <v>1240</v>
      </c>
      <c r="P389" s="13" t="s">
        <v>1236</v>
      </c>
    </row>
    <row r="390" spans="8:16">
      <c r="H390" s="516">
        <v>0</v>
      </c>
      <c r="I390" s="516">
        <v>0.99999999999999989</v>
      </c>
      <c r="J390" s="517" t="s">
        <v>1240</v>
      </c>
      <c r="M390" s="513">
        <v>0</v>
      </c>
      <c r="N390" s="516">
        <v>1</v>
      </c>
      <c r="O390" s="518" t="s">
        <v>1240</v>
      </c>
      <c r="P390" s="13" t="s">
        <v>1236</v>
      </c>
    </row>
    <row r="391" spans="8:16">
      <c r="H391" s="516">
        <v>0</v>
      </c>
      <c r="I391" s="516">
        <v>0.99999999999999989</v>
      </c>
      <c r="J391" s="517" t="s">
        <v>1240</v>
      </c>
      <c r="M391" s="513">
        <v>0</v>
      </c>
      <c r="N391" s="516">
        <v>1</v>
      </c>
      <c r="O391" s="518" t="s">
        <v>1240</v>
      </c>
      <c r="P391" s="13" t="s">
        <v>1236</v>
      </c>
    </row>
    <row r="392" spans="8:16">
      <c r="H392" s="516">
        <v>0</v>
      </c>
      <c r="I392" s="516">
        <v>0.99999999999999989</v>
      </c>
      <c r="J392" s="517" t="s">
        <v>1240</v>
      </c>
      <c r="M392" s="513">
        <v>0</v>
      </c>
      <c r="N392" s="516">
        <v>1</v>
      </c>
      <c r="O392" s="518" t="s">
        <v>1240</v>
      </c>
      <c r="P392" s="13" t="s">
        <v>1236</v>
      </c>
    </row>
    <row r="393" spans="8:16">
      <c r="H393" s="516">
        <v>0</v>
      </c>
      <c r="I393" s="516">
        <v>0.99999999999999989</v>
      </c>
      <c r="J393" s="517" t="s">
        <v>1240</v>
      </c>
      <c r="M393" s="513">
        <v>0</v>
      </c>
      <c r="N393" s="516">
        <v>1</v>
      </c>
      <c r="O393" s="518" t="s">
        <v>1240</v>
      </c>
      <c r="P393" s="13" t="s">
        <v>1236</v>
      </c>
    </row>
    <row r="394" spans="8:16">
      <c r="H394" s="516">
        <v>0</v>
      </c>
      <c r="I394" s="516">
        <v>0.99999999999999989</v>
      </c>
      <c r="J394" s="517" t="s">
        <v>1240</v>
      </c>
      <c r="M394" s="513">
        <v>0</v>
      </c>
      <c r="N394" s="516">
        <v>1</v>
      </c>
      <c r="O394" s="518" t="s">
        <v>1240</v>
      </c>
      <c r="P394" s="13" t="s">
        <v>1236</v>
      </c>
    </row>
    <row r="395" spans="8:16">
      <c r="H395" s="516">
        <v>0</v>
      </c>
      <c r="I395" s="516">
        <v>0.99999999999999989</v>
      </c>
      <c r="J395" s="517" t="s">
        <v>1240</v>
      </c>
      <c r="M395" s="513">
        <v>0</v>
      </c>
      <c r="N395" s="516">
        <v>1</v>
      </c>
      <c r="O395" s="518" t="s">
        <v>1240</v>
      </c>
      <c r="P395" s="13" t="s">
        <v>1236</v>
      </c>
    </row>
    <row r="396" spans="8:16">
      <c r="H396" s="516">
        <v>0</v>
      </c>
      <c r="I396" s="516">
        <v>0.99999999999999989</v>
      </c>
      <c r="J396" s="517" t="s">
        <v>1240</v>
      </c>
      <c r="M396" s="513">
        <v>0</v>
      </c>
      <c r="N396" s="516">
        <v>1</v>
      </c>
      <c r="O396" s="518" t="s">
        <v>1240</v>
      </c>
      <c r="P396" s="13" t="s">
        <v>1236</v>
      </c>
    </row>
    <row r="397" spans="8:16">
      <c r="H397" s="516">
        <v>0</v>
      </c>
      <c r="I397" s="516">
        <v>0.99999999999999989</v>
      </c>
      <c r="J397" s="517" t="s">
        <v>1240</v>
      </c>
      <c r="M397" s="513">
        <v>0</v>
      </c>
      <c r="N397" s="516">
        <v>1</v>
      </c>
      <c r="O397" s="518" t="s">
        <v>1240</v>
      </c>
      <c r="P397" s="13" t="s">
        <v>1236</v>
      </c>
    </row>
    <row r="398" spans="8:16">
      <c r="H398" s="516">
        <v>0</v>
      </c>
      <c r="I398" s="516">
        <v>0.99999999999999989</v>
      </c>
      <c r="J398" s="517" t="s">
        <v>1240</v>
      </c>
      <c r="M398" s="513">
        <v>0</v>
      </c>
      <c r="N398" s="516">
        <v>1</v>
      </c>
      <c r="O398" s="518" t="s">
        <v>1240</v>
      </c>
      <c r="P398" s="13" t="s">
        <v>1236</v>
      </c>
    </row>
    <row r="399" spans="8:16">
      <c r="H399" s="516">
        <v>0</v>
      </c>
      <c r="I399" s="516">
        <v>0.99999999999999989</v>
      </c>
      <c r="J399" s="517" t="s">
        <v>1240</v>
      </c>
      <c r="M399" s="513">
        <v>0</v>
      </c>
      <c r="N399" s="516">
        <v>1</v>
      </c>
      <c r="O399" s="518" t="s">
        <v>1240</v>
      </c>
      <c r="P399" s="13" t="s">
        <v>1236</v>
      </c>
    </row>
    <row r="400" spans="8:16">
      <c r="H400" s="516">
        <v>0</v>
      </c>
      <c r="I400" s="516">
        <v>0.99999999999999989</v>
      </c>
      <c r="J400" s="517" t="s">
        <v>1240</v>
      </c>
      <c r="M400" s="513">
        <v>0</v>
      </c>
      <c r="N400" s="516">
        <v>1</v>
      </c>
      <c r="O400" s="518" t="s">
        <v>1240</v>
      </c>
      <c r="P400" s="13" t="s">
        <v>1236</v>
      </c>
    </row>
    <row r="401" spans="8:16">
      <c r="H401" s="516">
        <v>0</v>
      </c>
      <c r="I401" s="516">
        <v>0.99999999999999989</v>
      </c>
      <c r="J401" s="517" t="s">
        <v>1240</v>
      </c>
      <c r="M401" s="513">
        <v>0</v>
      </c>
      <c r="N401" s="516">
        <v>1</v>
      </c>
      <c r="O401" s="518" t="s">
        <v>1240</v>
      </c>
      <c r="P401" s="13" t="s">
        <v>1236</v>
      </c>
    </row>
    <row r="402" spans="8:16">
      <c r="H402" s="516">
        <v>0</v>
      </c>
      <c r="I402" s="516">
        <v>0.99999999999999989</v>
      </c>
      <c r="J402" s="517" t="s">
        <v>1240</v>
      </c>
      <c r="M402" s="513">
        <v>0</v>
      </c>
      <c r="N402" s="516">
        <v>1</v>
      </c>
      <c r="O402" s="518" t="s">
        <v>1240</v>
      </c>
      <c r="P402" s="13" t="s">
        <v>1236</v>
      </c>
    </row>
    <row r="403" spans="8:16">
      <c r="H403" s="516">
        <v>0</v>
      </c>
      <c r="I403" s="516">
        <v>0.99999999999999989</v>
      </c>
      <c r="J403" s="517" t="s">
        <v>1240</v>
      </c>
      <c r="M403" s="513">
        <v>0</v>
      </c>
      <c r="N403" s="516">
        <v>1</v>
      </c>
      <c r="O403" s="518" t="s">
        <v>1240</v>
      </c>
      <c r="P403" s="13" t="s">
        <v>1236</v>
      </c>
    </row>
    <row r="404" spans="8:16">
      <c r="H404" s="516">
        <v>0</v>
      </c>
      <c r="I404" s="516">
        <v>0.99999999999999989</v>
      </c>
      <c r="J404" s="517" t="s">
        <v>1240</v>
      </c>
      <c r="M404" s="513">
        <v>0</v>
      </c>
      <c r="N404" s="516">
        <v>1</v>
      </c>
      <c r="O404" s="518" t="s">
        <v>1240</v>
      </c>
      <c r="P404" s="13" t="s">
        <v>1236</v>
      </c>
    </row>
    <row r="405" spans="8:16">
      <c r="H405" s="516">
        <v>0</v>
      </c>
      <c r="I405" s="516">
        <v>0.99999999999999989</v>
      </c>
      <c r="J405" s="517" t="s">
        <v>1240</v>
      </c>
      <c r="M405" s="513">
        <v>0</v>
      </c>
      <c r="N405" s="516">
        <v>1</v>
      </c>
      <c r="O405" s="518" t="s">
        <v>1240</v>
      </c>
      <c r="P405" s="13" t="s">
        <v>1236</v>
      </c>
    </row>
    <row r="406" spans="8:16">
      <c r="H406" s="516">
        <v>0</v>
      </c>
      <c r="I406" s="516">
        <v>0.99999999999999989</v>
      </c>
      <c r="J406" s="517" t="s">
        <v>1240</v>
      </c>
      <c r="M406" s="513">
        <v>0</v>
      </c>
      <c r="N406" s="516">
        <v>1</v>
      </c>
      <c r="O406" s="518" t="s">
        <v>1240</v>
      </c>
      <c r="P406" s="13" t="s">
        <v>1236</v>
      </c>
    </row>
    <row r="407" spans="8:16">
      <c r="H407" s="516">
        <v>0</v>
      </c>
      <c r="I407" s="516">
        <v>0.99999999999999989</v>
      </c>
      <c r="J407" s="517" t="s">
        <v>1240</v>
      </c>
      <c r="M407" s="513">
        <v>0</v>
      </c>
      <c r="N407" s="516">
        <v>1</v>
      </c>
      <c r="O407" s="518" t="s">
        <v>1240</v>
      </c>
      <c r="P407" s="13" t="s">
        <v>1236</v>
      </c>
    </row>
    <row r="408" spans="8:16">
      <c r="H408" s="516">
        <v>0</v>
      </c>
      <c r="I408" s="516">
        <v>0.99999999999999989</v>
      </c>
      <c r="J408" s="517" t="s">
        <v>1240</v>
      </c>
      <c r="M408" s="513">
        <v>0</v>
      </c>
      <c r="N408" s="516">
        <v>1</v>
      </c>
      <c r="O408" s="518" t="s">
        <v>1240</v>
      </c>
      <c r="P408" s="13" t="s">
        <v>1236</v>
      </c>
    </row>
    <row r="409" spans="8:16">
      <c r="H409" s="516">
        <v>0</v>
      </c>
      <c r="I409" s="516">
        <v>0.99999999999999989</v>
      </c>
      <c r="J409" s="517" t="s">
        <v>1240</v>
      </c>
      <c r="M409" s="513">
        <v>0</v>
      </c>
      <c r="N409" s="516">
        <v>1</v>
      </c>
      <c r="O409" s="518" t="s">
        <v>1240</v>
      </c>
      <c r="P409" s="13" t="s">
        <v>1236</v>
      </c>
    </row>
    <row r="410" spans="8:16">
      <c r="H410" s="516">
        <v>0</v>
      </c>
      <c r="I410" s="516">
        <v>0.99999999999999989</v>
      </c>
      <c r="J410" s="517" t="s">
        <v>1240</v>
      </c>
      <c r="M410" s="513">
        <v>0</v>
      </c>
      <c r="N410" s="516">
        <v>1</v>
      </c>
      <c r="O410" s="518" t="s">
        <v>1240</v>
      </c>
      <c r="P410" s="13" t="s">
        <v>1236</v>
      </c>
    </row>
    <row r="411" spans="8:16">
      <c r="H411" s="516">
        <v>0</v>
      </c>
      <c r="I411" s="516">
        <v>0.99999999999999989</v>
      </c>
      <c r="J411" s="517" t="s">
        <v>1240</v>
      </c>
      <c r="M411" s="513">
        <v>0</v>
      </c>
      <c r="N411" s="516">
        <v>1</v>
      </c>
      <c r="O411" s="518" t="s">
        <v>1240</v>
      </c>
      <c r="P411" s="13" t="s">
        <v>1236</v>
      </c>
    </row>
    <row r="412" spans="8:16">
      <c r="H412" s="516">
        <v>0</v>
      </c>
      <c r="I412" s="516">
        <v>0.99999999999999989</v>
      </c>
      <c r="J412" s="517" t="s">
        <v>1240</v>
      </c>
      <c r="M412" s="513">
        <v>0</v>
      </c>
      <c r="N412" s="516">
        <v>1</v>
      </c>
      <c r="O412" s="518" t="s">
        <v>1240</v>
      </c>
      <c r="P412" s="13" t="s">
        <v>1236</v>
      </c>
    </row>
    <row r="413" spans="8:16">
      <c r="H413" s="516">
        <v>0</v>
      </c>
      <c r="I413" s="516">
        <v>0.99999999999999989</v>
      </c>
      <c r="J413" s="517" t="s">
        <v>1240</v>
      </c>
      <c r="M413" s="513">
        <v>0</v>
      </c>
      <c r="N413" s="516">
        <v>1</v>
      </c>
      <c r="O413" s="518" t="s">
        <v>1240</v>
      </c>
      <c r="P413" s="13" t="s">
        <v>1236</v>
      </c>
    </row>
    <row r="414" spans="8:16">
      <c r="H414" s="516">
        <v>0</v>
      </c>
      <c r="I414" s="516">
        <v>0.99999999999999989</v>
      </c>
      <c r="J414" s="517" t="s">
        <v>1240</v>
      </c>
      <c r="M414" s="513">
        <v>0</v>
      </c>
      <c r="N414" s="516">
        <v>1</v>
      </c>
      <c r="O414" s="518" t="s">
        <v>1240</v>
      </c>
      <c r="P414" s="13" t="s">
        <v>1236</v>
      </c>
    </row>
    <row r="415" spans="8:16">
      <c r="H415" s="516">
        <v>0</v>
      </c>
      <c r="I415" s="516">
        <v>0.99999999999999989</v>
      </c>
      <c r="J415" s="517" t="s">
        <v>1240</v>
      </c>
      <c r="M415" s="513">
        <v>0</v>
      </c>
      <c r="N415" s="516">
        <v>1</v>
      </c>
      <c r="O415" s="518" t="s">
        <v>1240</v>
      </c>
      <c r="P415" s="13" t="s">
        <v>1236</v>
      </c>
    </row>
    <row r="416" spans="8:16">
      <c r="H416" s="516">
        <v>0</v>
      </c>
      <c r="I416" s="516">
        <v>0.99999999999999989</v>
      </c>
      <c r="J416" s="517" t="s">
        <v>1240</v>
      </c>
      <c r="M416" s="513">
        <v>0</v>
      </c>
      <c r="N416" s="516">
        <v>1</v>
      </c>
      <c r="O416" s="518" t="s">
        <v>1240</v>
      </c>
      <c r="P416" s="13" t="s">
        <v>1236</v>
      </c>
    </row>
    <row r="417" spans="8:16">
      <c r="H417" s="516">
        <v>0</v>
      </c>
      <c r="I417" s="516">
        <v>0.99999999999999989</v>
      </c>
      <c r="J417" s="517" t="s">
        <v>1240</v>
      </c>
      <c r="M417" s="513">
        <v>0</v>
      </c>
      <c r="N417" s="516">
        <v>1</v>
      </c>
      <c r="O417" s="518" t="s">
        <v>1240</v>
      </c>
      <c r="P417" s="13" t="s">
        <v>1236</v>
      </c>
    </row>
    <row r="418" spans="8:16">
      <c r="H418" s="516">
        <v>0</v>
      </c>
      <c r="I418" s="516">
        <v>0.99999999999999989</v>
      </c>
      <c r="J418" s="517" t="s">
        <v>1240</v>
      </c>
      <c r="M418" s="513">
        <v>0</v>
      </c>
      <c r="N418" s="516">
        <v>1</v>
      </c>
      <c r="O418" s="518" t="s">
        <v>1240</v>
      </c>
      <c r="P418" s="13" t="s">
        <v>1236</v>
      </c>
    </row>
    <row r="419" spans="8:16">
      <c r="H419" s="516">
        <v>0</v>
      </c>
      <c r="I419" s="516">
        <v>0.99999999999999989</v>
      </c>
      <c r="J419" s="517" t="s">
        <v>1240</v>
      </c>
      <c r="M419" s="513">
        <v>0</v>
      </c>
      <c r="N419" s="516">
        <v>1</v>
      </c>
      <c r="O419" s="518" t="s">
        <v>1240</v>
      </c>
      <c r="P419" s="13" t="s">
        <v>1236</v>
      </c>
    </row>
    <row r="420" spans="8:16">
      <c r="H420" s="516">
        <v>0</v>
      </c>
      <c r="I420" s="516">
        <v>0.99999999999999989</v>
      </c>
      <c r="J420" s="517" t="s">
        <v>1240</v>
      </c>
      <c r="M420" s="513">
        <v>0</v>
      </c>
      <c r="N420" s="516">
        <v>1</v>
      </c>
      <c r="O420" s="518" t="s">
        <v>1240</v>
      </c>
      <c r="P420" s="13" t="s">
        <v>1236</v>
      </c>
    </row>
    <row r="421" spans="8:16">
      <c r="H421" s="516">
        <v>0</v>
      </c>
      <c r="I421" s="516">
        <v>0.99999999999999989</v>
      </c>
      <c r="J421" s="517" t="s">
        <v>1240</v>
      </c>
      <c r="M421" s="513">
        <v>0</v>
      </c>
      <c r="N421" s="516">
        <v>1</v>
      </c>
      <c r="O421" s="518" t="s">
        <v>1240</v>
      </c>
      <c r="P421" s="13" t="s">
        <v>1236</v>
      </c>
    </row>
    <row r="422" spans="8:16">
      <c r="H422" s="516">
        <v>0</v>
      </c>
      <c r="I422" s="516">
        <v>0.99999999999999989</v>
      </c>
      <c r="J422" s="517" t="s">
        <v>1240</v>
      </c>
      <c r="M422" s="513">
        <v>0</v>
      </c>
      <c r="N422" s="516">
        <v>1</v>
      </c>
      <c r="O422" s="518" t="s">
        <v>1240</v>
      </c>
      <c r="P422" s="13" t="s">
        <v>1236</v>
      </c>
    </row>
    <row r="423" spans="8:16">
      <c r="H423" s="516">
        <v>0</v>
      </c>
      <c r="I423" s="516">
        <v>0.99999999999999989</v>
      </c>
      <c r="J423" s="517" t="s">
        <v>1240</v>
      </c>
      <c r="M423" s="513">
        <v>0</v>
      </c>
      <c r="N423" s="516">
        <v>1</v>
      </c>
      <c r="O423" s="518" t="s">
        <v>1240</v>
      </c>
      <c r="P423" s="13" t="s">
        <v>1236</v>
      </c>
    </row>
    <row r="424" spans="8:16">
      <c r="H424" s="516">
        <v>0</v>
      </c>
      <c r="I424" s="516">
        <v>0.99999999999999989</v>
      </c>
      <c r="J424" s="517" t="s">
        <v>1240</v>
      </c>
      <c r="M424" s="513">
        <v>0</v>
      </c>
      <c r="N424" s="516">
        <v>1</v>
      </c>
      <c r="O424" s="518" t="s">
        <v>1240</v>
      </c>
      <c r="P424" s="13" t="s">
        <v>1236</v>
      </c>
    </row>
    <row r="425" spans="8:16">
      <c r="H425" s="516">
        <v>0</v>
      </c>
      <c r="I425" s="516">
        <v>0.99999999999999989</v>
      </c>
      <c r="J425" s="517" t="s">
        <v>1240</v>
      </c>
      <c r="M425" s="513">
        <v>0</v>
      </c>
      <c r="N425" s="516">
        <v>1</v>
      </c>
      <c r="O425" s="518" t="s">
        <v>1240</v>
      </c>
      <c r="P425" s="13" t="s">
        <v>1236</v>
      </c>
    </row>
    <row r="426" spans="8:16">
      <c r="H426" s="516">
        <v>0</v>
      </c>
      <c r="I426" s="516">
        <v>0.99999999999999989</v>
      </c>
      <c r="J426" s="517" t="s">
        <v>1240</v>
      </c>
      <c r="M426" s="513">
        <v>0</v>
      </c>
      <c r="N426" s="516">
        <v>1</v>
      </c>
      <c r="O426" s="518" t="s">
        <v>1240</v>
      </c>
      <c r="P426" s="13" t="s">
        <v>1236</v>
      </c>
    </row>
    <row r="427" spans="8:16">
      <c r="H427" s="516">
        <v>0</v>
      </c>
      <c r="I427" s="516">
        <v>0.99999999999999989</v>
      </c>
      <c r="J427" s="517" t="s">
        <v>1240</v>
      </c>
      <c r="M427" s="513">
        <v>0</v>
      </c>
      <c r="N427" s="516">
        <v>1</v>
      </c>
      <c r="O427" s="518" t="s">
        <v>1240</v>
      </c>
      <c r="P427" s="13" t="s">
        <v>1236</v>
      </c>
    </row>
    <row r="428" spans="8:16">
      <c r="H428" s="516">
        <v>0</v>
      </c>
      <c r="I428" s="516">
        <v>0.99999999999999989</v>
      </c>
      <c r="J428" s="517" t="s">
        <v>1240</v>
      </c>
      <c r="M428" s="513">
        <v>0</v>
      </c>
      <c r="N428" s="516">
        <v>1</v>
      </c>
      <c r="O428" s="518" t="s">
        <v>1240</v>
      </c>
      <c r="P428" s="13" t="s">
        <v>1236</v>
      </c>
    </row>
    <row r="429" spans="8:16">
      <c r="H429" s="516">
        <v>0</v>
      </c>
      <c r="I429" s="516">
        <v>0.99999999999999989</v>
      </c>
      <c r="J429" s="517" t="s">
        <v>1240</v>
      </c>
      <c r="M429" s="513">
        <v>0</v>
      </c>
      <c r="N429" s="516">
        <v>1</v>
      </c>
      <c r="O429" s="518" t="s">
        <v>1240</v>
      </c>
      <c r="P429" s="13" t="s">
        <v>1236</v>
      </c>
    </row>
    <row r="430" spans="8:16">
      <c r="H430" s="516">
        <v>0</v>
      </c>
      <c r="I430" s="516">
        <v>0.99999999999999989</v>
      </c>
      <c r="J430" s="517" t="s">
        <v>1240</v>
      </c>
      <c r="M430" s="513">
        <v>0</v>
      </c>
      <c r="N430" s="516">
        <v>1</v>
      </c>
      <c r="O430" s="518" t="s">
        <v>1240</v>
      </c>
      <c r="P430" s="13" t="s">
        <v>1236</v>
      </c>
    </row>
    <row r="431" spans="8:16">
      <c r="H431" s="516">
        <v>0</v>
      </c>
      <c r="I431" s="516">
        <v>0.99999999999999989</v>
      </c>
      <c r="J431" s="517" t="s">
        <v>1240</v>
      </c>
      <c r="M431" s="513">
        <v>0</v>
      </c>
      <c r="N431" s="516">
        <v>1</v>
      </c>
      <c r="O431" s="518" t="s">
        <v>1240</v>
      </c>
      <c r="P431" s="13" t="s">
        <v>1236</v>
      </c>
    </row>
    <row r="432" spans="8:16">
      <c r="H432" s="516">
        <v>0</v>
      </c>
      <c r="I432" s="516">
        <v>0.99999999999999989</v>
      </c>
      <c r="J432" s="517" t="s">
        <v>1240</v>
      </c>
      <c r="M432" s="513">
        <v>0</v>
      </c>
      <c r="N432" s="516">
        <v>1</v>
      </c>
      <c r="O432" s="518" t="s">
        <v>1240</v>
      </c>
      <c r="P432" s="13" t="s">
        <v>1236</v>
      </c>
    </row>
    <row r="433" spans="8:16">
      <c r="H433" s="516">
        <v>0</v>
      </c>
      <c r="I433" s="516">
        <v>0.99999999999999989</v>
      </c>
      <c r="J433" s="517" t="s">
        <v>1240</v>
      </c>
      <c r="M433" s="513">
        <v>0</v>
      </c>
      <c r="N433" s="516">
        <v>1</v>
      </c>
      <c r="O433" s="518" t="s">
        <v>1240</v>
      </c>
      <c r="P433" s="13" t="s">
        <v>1236</v>
      </c>
    </row>
    <row r="434" spans="8:16">
      <c r="H434" s="516">
        <v>0</v>
      </c>
      <c r="I434" s="516">
        <v>0.99999999999999989</v>
      </c>
      <c r="J434" s="517" t="s">
        <v>1240</v>
      </c>
      <c r="M434" s="513">
        <v>0</v>
      </c>
      <c r="N434" s="516">
        <v>1</v>
      </c>
      <c r="O434" s="518" t="s">
        <v>1240</v>
      </c>
      <c r="P434" s="13" t="s">
        <v>1236</v>
      </c>
    </row>
    <row r="435" spans="8:16">
      <c r="H435" s="516">
        <v>0</v>
      </c>
      <c r="I435" s="516">
        <v>0.99999999999999989</v>
      </c>
      <c r="J435" s="517" t="s">
        <v>1240</v>
      </c>
      <c r="M435" s="513">
        <v>0</v>
      </c>
      <c r="N435" s="516">
        <v>1</v>
      </c>
      <c r="O435" s="518" t="s">
        <v>1240</v>
      </c>
      <c r="P435" s="13" t="s">
        <v>1236</v>
      </c>
    </row>
    <row r="436" spans="8:16">
      <c r="H436" s="516">
        <v>0</v>
      </c>
      <c r="I436" s="516">
        <v>0.99999999999999989</v>
      </c>
      <c r="J436" s="517" t="s">
        <v>1240</v>
      </c>
      <c r="M436" s="513">
        <v>0</v>
      </c>
      <c r="N436" s="516">
        <v>1</v>
      </c>
      <c r="O436" s="518" t="s">
        <v>1240</v>
      </c>
      <c r="P436" s="13" t="s">
        <v>1236</v>
      </c>
    </row>
    <row r="437" spans="8:16">
      <c r="H437" s="516">
        <v>0</v>
      </c>
      <c r="I437" s="516">
        <v>0.99999999999999989</v>
      </c>
      <c r="J437" s="517" t="s">
        <v>1240</v>
      </c>
      <c r="M437" s="513">
        <v>0</v>
      </c>
      <c r="N437" s="516">
        <v>1</v>
      </c>
      <c r="O437" s="518" t="s">
        <v>1240</v>
      </c>
      <c r="P437" s="13" t="s">
        <v>1236</v>
      </c>
    </row>
    <row r="438" spans="8:16">
      <c r="H438" s="516">
        <v>0</v>
      </c>
      <c r="I438" s="516">
        <v>0.99999999999999989</v>
      </c>
      <c r="J438" s="517" t="s">
        <v>1240</v>
      </c>
      <c r="M438" s="513">
        <v>0</v>
      </c>
      <c r="N438" s="516">
        <v>1</v>
      </c>
      <c r="O438" s="518" t="s">
        <v>1240</v>
      </c>
      <c r="P438" s="13" t="s">
        <v>1236</v>
      </c>
    </row>
    <row r="439" spans="8:16">
      <c r="H439" s="516">
        <v>0</v>
      </c>
      <c r="I439" s="516">
        <v>0.99999999999999989</v>
      </c>
      <c r="J439" s="517" t="s">
        <v>1240</v>
      </c>
      <c r="M439" s="513">
        <v>0</v>
      </c>
      <c r="N439" s="516">
        <v>1</v>
      </c>
      <c r="O439" s="518" t="s">
        <v>1240</v>
      </c>
      <c r="P439" s="13" t="s">
        <v>1236</v>
      </c>
    </row>
    <row r="440" spans="8:16">
      <c r="H440" s="516">
        <v>0</v>
      </c>
      <c r="I440" s="516">
        <v>0.99999999999999989</v>
      </c>
      <c r="J440" s="517" t="s">
        <v>1240</v>
      </c>
      <c r="M440" s="513">
        <v>0</v>
      </c>
      <c r="N440" s="516">
        <v>1</v>
      </c>
      <c r="O440" s="518" t="s">
        <v>1240</v>
      </c>
      <c r="P440" s="13" t="s">
        <v>1236</v>
      </c>
    </row>
    <row r="441" spans="8:16">
      <c r="H441" s="516">
        <v>0</v>
      </c>
      <c r="I441" s="516">
        <v>0.99999999999999989</v>
      </c>
      <c r="J441" s="517" t="s">
        <v>1240</v>
      </c>
      <c r="M441" s="513">
        <v>0</v>
      </c>
      <c r="N441" s="516">
        <v>1</v>
      </c>
      <c r="O441" s="518" t="s">
        <v>1240</v>
      </c>
      <c r="P441" s="13" t="s">
        <v>1236</v>
      </c>
    </row>
    <row r="442" spans="8:16">
      <c r="H442" s="516">
        <v>0</v>
      </c>
      <c r="I442" s="516">
        <v>0.99999999999999989</v>
      </c>
      <c r="J442" s="517" t="s">
        <v>1240</v>
      </c>
      <c r="M442" s="513">
        <v>0</v>
      </c>
      <c r="N442" s="516">
        <v>1</v>
      </c>
      <c r="O442" s="518" t="s">
        <v>1240</v>
      </c>
      <c r="P442" s="13" t="s">
        <v>1236</v>
      </c>
    </row>
    <row r="443" spans="8:16">
      <c r="H443" s="516">
        <v>0</v>
      </c>
      <c r="I443" s="516">
        <v>0.99999999999999989</v>
      </c>
      <c r="J443" s="517" t="s">
        <v>1240</v>
      </c>
      <c r="M443" s="513">
        <v>0</v>
      </c>
      <c r="N443" s="516">
        <v>1</v>
      </c>
      <c r="O443" s="518" t="s">
        <v>1240</v>
      </c>
      <c r="P443" s="13" t="s">
        <v>1236</v>
      </c>
    </row>
    <row r="444" spans="8:16">
      <c r="H444" s="516">
        <v>0</v>
      </c>
      <c r="I444" s="516">
        <v>0.99999999999999989</v>
      </c>
      <c r="J444" s="517" t="s">
        <v>1240</v>
      </c>
      <c r="M444" s="513">
        <v>0</v>
      </c>
      <c r="N444" s="516">
        <v>1</v>
      </c>
      <c r="O444" s="518" t="s">
        <v>1240</v>
      </c>
      <c r="P444" s="13" t="s">
        <v>1236</v>
      </c>
    </row>
    <row r="445" spans="8:16">
      <c r="H445" s="516">
        <v>0</v>
      </c>
      <c r="I445" s="516">
        <v>0.99999999999999989</v>
      </c>
      <c r="J445" s="517" t="s">
        <v>1240</v>
      </c>
      <c r="M445" s="513">
        <v>0</v>
      </c>
      <c r="N445" s="516">
        <v>1</v>
      </c>
      <c r="O445" s="518" t="s">
        <v>1240</v>
      </c>
      <c r="P445" s="13" t="s">
        <v>1236</v>
      </c>
    </row>
    <row r="446" spans="8:16">
      <c r="H446" s="516">
        <v>0</v>
      </c>
      <c r="I446" s="516">
        <v>0.99999999999999989</v>
      </c>
      <c r="J446" s="517" t="s">
        <v>1240</v>
      </c>
      <c r="M446" s="513">
        <v>0</v>
      </c>
      <c r="N446" s="516">
        <v>1</v>
      </c>
      <c r="O446" s="518" t="s">
        <v>1240</v>
      </c>
      <c r="P446" s="13" t="s">
        <v>1236</v>
      </c>
    </row>
    <row r="447" spans="8:16">
      <c r="H447" s="516">
        <v>0</v>
      </c>
      <c r="I447" s="516">
        <v>0.99999999999999989</v>
      </c>
      <c r="J447" s="517" t="s">
        <v>1240</v>
      </c>
      <c r="M447" s="513">
        <v>0</v>
      </c>
      <c r="N447" s="516">
        <v>1</v>
      </c>
      <c r="O447" s="518" t="s">
        <v>1240</v>
      </c>
      <c r="P447" s="13" t="s">
        <v>1236</v>
      </c>
    </row>
    <row r="448" spans="8:16">
      <c r="H448" s="516">
        <v>0</v>
      </c>
      <c r="I448" s="516">
        <v>0.99999999999999989</v>
      </c>
      <c r="J448" s="517" t="s">
        <v>1240</v>
      </c>
      <c r="M448" s="513">
        <v>0</v>
      </c>
      <c r="N448" s="516">
        <v>1</v>
      </c>
      <c r="O448" s="518" t="s">
        <v>1240</v>
      </c>
      <c r="P448" s="13" t="s">
        <v>1236</v>
      </c>
    </row>
    <row r="449" spans="8:16">
      <c r="H449" s="516">
        <v>0</v>
      </c>
      <c r="I449" s="516">
        <v>0.99999999999999989</v>
      </c>
      <c r="J449" s="517" t="s">
        <v>1240</v>
      </c>
      <c r="M449" s="513">
        <v>0</v>
      </c>
      <c r="N449" s="516">
        <v>1</v>
      </c>
      <c r="O449" s="518" t="s">
        <v>1240</v>
      </c>
      <c r="P449" s="13" t="s">
        <v>1236</v>
      </c>
    </row>
    <row r="450" spans="8:16">
      <c r="H450" s="516">
        <v>0</v>
      </c>
      <c r="I450" s="516">
        <v>0.99999999999999989</v>
      </c>
      <c r="J450" s="517" t="s">
        <v>1240</v>
      </c>
      <c r="M450" s="513">
        <v>0</v>
      </c>
      <c r="N450" s="516">
        <v>1</v>
      </c>
      <c r="O450" s="518" t="s">
        <v>1240</v>
      </c>
      <c r="P450" s="13" t="s">
        <v>1236</v>
      </c>
    </row>
    <row r="451" spans="8:16">
      <c r="H451" s="516">
        <v>0</v>
      </c>
      <c r="I451" s="516">
        <v>0.99999999999999989</v>
      </c>
      <c r="J451" s="517" t="s">
        <v>1240</v>
      </c>
      <c r="M451" s="513">
        <v>0</v>
      </c>
      <c r="N451" s="516">
        <v>1</v>
      </c>
      <c r="O451" s="518" t="s">
        <v>1240</v>
      </c>
      <c r="P451" s="13" t="s">
        <v>1236</v>
      </c>
    </row>
    <row r="452" spans="8:16">
      <c r="H452" s="516">
        <v>0</v>
      </c>
      <c r="I452" s="516">
        <v>0.99999999999999989</v>
      </c>
      <c r="J452" s="517" t="s">
        <v>1240</v>
      </c>
      <c r="M452" s="513">
        <v>0</v>
      </c>
      <c r="N452" s="516">
        <v>1</v>
      </c>
      <c r="O452" s="518" t="s">
        <v>1240</v>
      </c>
      <c r="P452" s="13" t="s">
        <v>1236</v>
      </c>
    </row>
    <row r="453" spans="8:16">
      <c r="H453" s="516">
        <v>0</v>
      </c>
      <c r="I453" s="516">
        <v>0.99999999999999989</v>
      </c>
      <c r="J453" s="517" t="s">
        <v>1240</v>
      </c>
      <c r="M453" s="513">
        <v>0</v>
      </c>
      <c r="N453" s="516">
        <v>1</v>
      </c>
      <c r="O453" s="518" t="s">
        <v>1240</v>
      </c>
      <c r="P453" s="13" t="s">
        <v>1236</v>
      </c>
    </row>
    <row r="454" spans="8:16">
      <c r="H454" s="516">
        <v>0</v>
      </c>
      <c r="I454" s="516">
        <v>0.99999999999999989</v>
      </c>
      <c r="J454" s="517" t="s">
        <v>1240</v>
      </c>
      <c r="M454" s="513">
        <v>0</v>
      </c>
      <c r="N454" s="516">
        <v>1</v>
      </c>
      <c r="O454" s="518" t="s">
        <v>1240</v>
      </c>
      <c r="P454" s="13" t="s">
        <v>1236</v>
      </c>
    </row>
    <row r="455" spans="8:16">
      <c r="H455" s="516">
        <v>0</v>
      </c>
      <c r="I455" s="516">
        <v>0.99999999999999989</v>
      </c>
      <c r="J455" s="517" t="s">
        <v>1240</v>
      </c>
      <c r="M455" s="513">
        <v>0</v>
      </c>
      <c r="N455" s="516">
        <v>1</v>
      </c>
      <c r="O455" s="518" t="s">
        <v>1240</v>
      </c>
      <c r="P455" s="13" t="s">
        <v>1236</v>
      </c>
    </row>
    <row r="456" spans="8:16">
      <c r="H456" s="516">
        <v>0</v>
      </c>
      <c r="I456" s="516">
        <v>0.99999999999999989</v>
      </c>
      <c r="J456" s="517" t="s">
        <v>1240</v>
      </c>
      <c r="M456" s="513">
        <v>0</v>
      </c>
      <c r="N456" s="516">
        <v>1</v>
      </c>
      <c r="O456" s="518" t="s">
        <v>1240</v>
      </c>
      <c r="P456" s="13" t="s">
        <v>1236</v>
      </c>
    </row>
    <row r="457" spans="8:16">
      <c r="H457" s="516">
        <v>0</v>
      </c>
      <c r="I457" s="516">
        <v>0.99999999999999989</v>
      </c>
      <c r="J457" s="517" t="s">
        <v>1240</v>
      </c>
      <c r="M457" s="513">
        <v>0</v>
      </c>
      <c r="N457" s="516">
        <v>1</v>
      </c>
      <c r="O457" s="518" t="s">
        <v>1240</v>
      </c>
      <c r="P457" s="13" t="s">
        <v>1236</v>
      </c>
    </row>
    <row r="458" spans="8:16">
      <c r="H458" s="516">
        <v>0</v>
      </c>
      <c r="I458" s="516">
        <v>0.99999999999999989</v>
      </c>
      <c r="J458" s="517" t="s">
        <v>1240</v>
      </c>
      <c r="M458" s="513">
        <v>0</v>
      </c>
      <c r="N458" s="516">
        <v>1</v>
      </c>
      <c r="O458" s="518" t="s">
        <v>1240</v>
      </c>
      <c r="P458" s="13" t="s">
        <v>1236</v>
      </c>
    </row>
    <row r="459" spans="8:16">
      <c r="H459" s="516">
        <v>0</v>
      </c>
      <c r="I459" s="516">
        <v>0.99999999999999989</v>
      </c>
      <c r="J459" s="517" t="s">
        <v>1240</v>
      </c>
      <c r="M459" s="513">
        <v>0</v>
      </c>
      <c r="N459" s="516">
        <v>1</v>
      </c>
      <c r="O459" s="518" t="s">
        <v>1240</v>
      </c>
      <c r="P459" s="13" t="s">
        <v>1236</v>
      </c>
    </row>
    <row r="460" spans="8:16">
      <c r="H460" s="516">
        <v>0</v>
      </c>
      <c r="I460" s="516">
        <v>0.99999999999999989</v>
      </c>
      <c r="J460" s="517" t="s">
        <v>1240</v>
      </c>
      <c r="M460" s="513">
        <v>0</v>
      </c>
      <c r="N460" s="516">
        <v>1</v>
      </c>
      <c r="O460" s="518" t="s">
        <v>1240</v>
      </c>
      <c r="P460" s="13" t="s">
        <v>1236</v>
      </c>
    </row>
    <row r="461" spans="8:16">
      <c r="H461" s="516">
        <v>0</v>
      </c>
      <c r="I461" s="516">
        <v>0.99999999999999989</v>
      </c>
      <c r="J461" s="517" t="s">
        <v>1240</v>
      </c>
      <c r="M461" s="513">
        <v>0</v>
      </c>
      <c r="N461" s="516">
        <v>1</v>
      </c>
      <c r="O461" s="518" t="s">
        <v>1240</v>
      </c>
      <c r="P461" s="13" t="s">
        <v>1236</v>
      </c>
    </row>
    <row r="462" spans="8:16">
      <c r="H462" s="516">
        <v>0</v>
      </c>
      <c r="I462" s="516">
        <v>0.99999999999999989</v>
      </c>
      <c r="J462" s="517" t="s">
        <v>1240</v>
      </c>
      <c r="M462" s="513">
        <v>0</v>
      </c>
      <c r="N462" s="516">
        <v>1</v>
      </c>
      <c r="O462" s="518" t="s">
        <v>1240</v>
      </c>
      <c r="P462" s="13" t="s">
        <v>1236</v>
      </c>
    </row>
    <row r="463" spans="8:16">
      <c r="H463" s="516">
        <v>0</v>
      </c>
      <c r="I463" s="516">
        <v>0.99999999999999989</v>
      </c>
      <c r="J463" s="517" t="s">
        <v>1240</v>
      </c>
      <c r="M463" s="513">
        <v>0</v>
      </c>
      <c r="N463" s="516">
        <v>1</v>
      </c>
      <c r="O463" s="518" t="s">
        <v>1240</v>
      </c>
      <c r="P463" s="13" t="s">
        <v>1236</v>
      </c>
    </row>
    <row r="464" spans="8:16">
      <c r="H464" s="516">
        <v>0</v>
      </c>
      <c r="I464" s="516">
        <v>0.99999999999999989</v>
      </c>
      <c r="J464" s="517" t="s">
        <v>1240</v>
      </c>
      <c r="M464" s="513">
        <v>0</v>
      </c>
      <c r="N464" s="516">
        <v>1</v>
      </c>
      <c r="O464" s="518" t="s">
        <v>1240</v>
      </c>
      <c r="P464" s="13" t="s">
        <v>1236</v>
      </c>
    </row>
    <row r="465" spans="8:16">
      <c r="H465" s="516">
        <v>0</v>
      </c>
      <c r="I465" s="516">
        <v>0.99999999999999989</v>
      </c>
      <c r="J465" s="517" t="s">
        <v>1240</v>
      </c>
      <c r="M465" s="513">
        <v>0</v>
      </c>
      <c r="N465" s="516">
        <v>1</v>
      </c>
      <c r="O465" s="518" t="s">
        <v>1240</v>
      </c>
      <c r="P465" s="13" t="s">
        <v>1236</v>
      </c>
    </row>
    <row r="466" spans="8:16">
      <c r="H466" s="516">
        <v>0</v>
      </c>
      <c r="I466" s="516">
        <v>0.99999999999999989</v>
      </c>
      <c r="J466" s="517" t="s">
        <v>1240</v>
      </c>
      <c r="M466" s="513">
        <v>0</v>
      </c>
      <c r="N466" s="516">
        <v>1</v>
      </c>
      <c r="O466" s="518" t="s">
        <v>1240</v>
      </c>
      <c r="P466" s="13" t="s">
        <v>1236</v>
      </c>
    </row>
    <row r="467" spans="8:16">
      <c r="H467" s="516">
        <v>0</v>
      </c>
      <c r="I467" s="516">
        <v>0.99999999999999989</v>
      </c>
      <c r="J467" s="517" t="s">
        <v>1240</v>
      </c>
      <c r="M467" s="513">
        <v>0</v>
      </c>
      <c r="N467" s="516">
        <v>1</v>
      </c>
      <c r="O467" s="518" t="s">
        <v>1240</v>
      </c>
      <c r="P467" s="13" t="s">
        <v>1236</v>
      </c>
    </row>
    <row r="468" spans="8:16">
      <c r="H468" s="516">
        <v>0</v>
      </c>
      <c r="I468" s="516">
        <v>0.99999999999999989</v>
      </c>
      <c r="J468" s="517" t="s">
        <v>1240</v>
      </c>
      <c r="M468" s="513">
        <v>0</v>
      </c>
      <c r="N468" s="516">
        <v>1</v>
      </c>
      <c r="O468" s="518" t="s">
        <v>1240</v>
      </c>
      <c r="P468" s="13" t="s">
        <v>1236</v>
      </c>
    </row>
    <row r="469" spans="8:16">
      <c r="H469" s="516">
        <v>0</v>
      </c>
      <c r="I469" s="516">
        <v>0.99999999999999989</v>
      </c>
      <c r="J469" s="517" t="s">
        <v>1240</v>
      </c>
      <c r="M469" s="513">
        <v>0</v>
      </c>
      <c r="N469" s="516">
        <v>1</v>
      </c>
      <c r="O469" s="518" t="s">
        <v>1240</v>
      </c>
      <c r="P469" s="13" t="s">
        <v>1236</v>
      </c>
    </row>
    <row r="470" spans="8:16">
      <c r="H470" s="516">
        <v>0</v>
      </c>
      <c r="I470" s="516">
        <v>0.99999999999999989</v>
      </c>
      <c r="J470" s="517" t="s">
        <v>1240</v>
      </c>
      <c r="M470" s="513">
        <v>0</v>
      </c>
      <c r="N470" s="516">
        <v>1</v>
      </c>
      <c r="O470" s="518" t="s">
        <v>1240</v>
      </c>
      <c r="P470" s="13" t="s">
        <v>1236</v>
      </c>
    </row>
    <row r="471" spans="8:16">
      <c r="H471" s="516">
        <v>0</v>
      </c>
      <c r="I471" s="516">
        <v>0.99999999999999989</v>
      </c>
      <c r="J471" s="517" t="s">
        <v>1240</v>
      </c>
      <c r="M471" s="513">
        <v>0</v>
      </c>
      <c r="N471" s="516">
        <v>1</v>
      </c>
      <c r="O471" s="518" t="s">
        <v>1240</v>
      </c>
      <c r="P471" s="13" t="s">
        <v>1236</v>
      </c>
    </row>
    <row r="472" spans="8:16">
      <c r="H472" s="516">
        <v>0</v>
      </c>
      <c r="I472" s="516">
        <v>0.99999999999999989</v>
      </c>
      <c r="J472" s="517" t="s">
        <v>1240</v>
      </c>
      <c r="M472" s="513">
        <v>0</v>
      </c>
      <c r="N472" s="516">
        <v>1</v>
      </c>
      <c r="O472" s="518" t="s">
        <v>1240</v>
      </c>
      <c r="P472" s="13" t="s">
        <v>1236</v>
      </c>
    </row>
    <row r="473" spans="8:16">
      <c r="H473" s="516">
        <v>0</v>
      </c>
      <c r="I473" s="516">
        <v>0.99999999999999989</v>
      </c>
      <c r="J473" s="517" t="s">
        <v>1240</v>
      </c>
      <c r="M473" s="513">
        <v>0</v>
      </c>
      <c r="N473" s="516">
        <v>1</v>
      </c>
      <c r="O473" s="518" t="s">
        <v>1240</v>
      </c>
      <c r="P473" s="13" t="s">
        <v>1236</v>
      </c>
    </row>
    <row r="474" spans="8:16">
      <c r="H474" s="516">
        <v>0</v>
      </c>
      <c r="I474" s="516">
        <v>0.99999999999999989</v>
      </c>
      <c r="J474" s="517" t="s">
        <v>1240</v>
      </c>
      <c r="M474" s="513">
        <v>0</v>
      </c>
      <c r="N474" s="516">
        <v>1</v>
      </c>
      <c r="O474" s="518" t="s">
        <v>1240</v>
      </c>
      <c r="P474" s="13" t="s">
        <v>1236</v>
      </c>
    </row>
    <row r="475" spans="8:16">
      <c r="H475" s="516">
        <v>0</v>
      </c>
      <c r="I475" s="516">
        <v>0.99999999999999989</v>
      </c>
      <c r="J475" s="517" t="s">
        <v>1240</v>
      </c>
      <c r="M475" s="513">
        <v>0</v>
      </c>
      <c r="N475" s="516">
        <v>1</v>
      </c>
      <c r="O475" s="518" t="s">
        <v>1240</v>
      </c>
      <c r="P475" s="13" t="s">
        <v>1236</v>
      </c>
    </row>
    <row r="476" spans="8:16">
      <c r="H476" s="516">
        <v>0</v>
      </c>
      <c r="I476" s="516">
        <v>0.99999999999999989</v>
      </c>
      <c r="J476" s="517" t="s">
        <v>1240</v>
      </c>
      <c r="M476" s="513">
        <v>0</v>
      </c>
      <c r="N476" s="516">
        <v>1</v>
      </c>
      <c r="O476" s="518" t="s">
        <v>1240</v>
      </c>
      <c r="P476" s="13" t="s">
        <v>1236</v>
      </c>
    </row>
    <row r="477" spans="8:16">
      <c r="H477" s="516">
        <v>0</v>
      </c>
      <c r="I477" s="516">
        <v>0.99999999999999989</v>
      </c>
      <c r="J477" s="517" t="s">
        <v>1240</v>
      </c>
      <c r="M477" s="513">
        <v>0</v>
      </c>
      <c r="N477" s="516">
        <v>1</v>
      </c>
      <c r="O477" s="518" t="s">
        <v>1240</v>
      </c>
      <c r="P477" s="13" t="s">
        <v>1236</v>
      </c>
    </row>
    <row r="478" spans="8:16">
      <c r="H478" s="516">
        <v>0</v>
      </c>
      <c r="I478" s="516">
        <v>0.99999999999999989</v>
      </c>
      <c r="J478" s="517" t="s">
        <v>1240</v>
      </c>
      <c r="M478" s="513">
        <v>0</v>
      </c>
      <c r="N478" s="516">
        <v>1</v>
      </c>
      <c r="O478" s="518" t="s">
        <v>1240</v>
      </c>
      <c r="P478" s="13" t="s">
        <v>1236</v>
      </c>
    </row>
    <row r="479" spans="8:16">
      <c r="H479" s="516">
        <v>0</v>
      </c>
      <c r="I479" s="516">
        <v>0.99999999999999989</v>
      </c>
      <c r="J479" s="517" t="s">
        <v>1240</v>
      </c>
      <c r="M479" s="513">
        <v>0</v>
      </c>
      <c r="N479" s="516">
        <v>1</v>
      </c>
      <c r="O479" s="518" t="s">
        <v>1240</v>
      </c>
      <c r="P479" s="13" t="s">
        <v>1236</v>
      </c>
    </row>
    <row r="480" spans="8:16">
      <c r="H480" s="516">
        <v>0</v>
      </c>
      <c r="I480" s="516">
        <v>0.99999999999999989</v>
      </c>
      <c r="J480" s="517" t="s">
        <v>1240</v>
      </c>
      <c r="M480" s="513">
        <v>0</v>
      </c>
      <c r="N480" s="516">
        <v>1</v>
      </c>
      <c r="O480" s="518" t="s">
        <v>1240</v>
      </c>
      <c r="P480" s="13" t="s">
        <v>1236</v>
      </c>
    </row>
    <row r="481" spans="8:16">
      <c r="H481" s="516">
        <v>0</v>
      </c>
      <c r="I481" s="516">
        <v>0.99999999999999989</v>
      </c>
      <c r="J481" s="517" t="s">
        <v>1240</v>
      </c>
      <c r="M481" s="513">
        <v>0</v>
      </c>
      <c r="N481" s="516">
        <v>1</v>
      </c>
      <c r="O481" s="518" t="s">
        <v>1240</v>
      </c>
      <c r="P481" s="13" t="s">
        <v>1236</v>
      </c>
    </row>
    <row r="482" spans="8:16">
      <c r="H482" s="516">
        <v>0</v>
      </c>
      <c r="I482" s="516">
        <v>0.99999999999999989</v>
      </c>
      <c r="J482" s="517" t="s">
        <v>1240</v>
      </c>
      <c r="M482" s="513">
        <v>0</v>
      </c>
      <c r="N482" s="516">
        <v>1</v>
      </c>
      <c r="O482" s="518" t="s">
        <v>1240</v>
      </c>
      <c r="P482" s="13" t="s">
        <v>1236</v>
      </c>
    </row>
    <row r="483" spans="8:16">
      <c r="H483" s="516">
        <v>0</v>
      </c>
      <c r="I483" s="516">
        <v>0.99999999999999989</v>
      </c>
      <c r="J483" s="517" t="s">
        <v>1240</v>
      </c>
      <c r="M483" s="513">
        <v>0</v>
      </c>
      <c r="N483" s="516">
        <v>1</v>
      </c>
      <c r="O483" s="518" t="s">
        <v>1240</v>
      </c>
      <c r="P483" s="13" t="s">
        <v>1236</v>
      </c>
    </row>
    <row r="484" spans="8:16">
      <c r="H484" s="516">
        <v>0</v>
      </c>
      <c r="I484" s="516">
        <v>0.99999999999999989</v>
      </c>
      <c r="J484" s="517" t="s">
        <v>1240</v>
      </c>
      <c r="M484" s="513">
        <v>0</v>
      </c>
      <c r="N484" s="516">
        <v>1</v>
      </c>
      <c r="O484" s="518" t="s">
        <v>1240</v>
      </c>
      <c r="P484" s="13" t="s">
        <v>1236</v>
      </c>
    </row>
    <row r="485" spans="8:16">
      <c r="H485" s="516">
        <v>0</v>
      </c>
      <c r="I485" s="516">
        <v>0.99999999999999989</v>
      </c>
      <c r="J485" s="517" t="s">
        <v>1240</v>
      </c>
      <c r="M485" s="513">
        <v>0</v>
      </c>
      <c r="N485" s="516">
        <v>1</v>
      </c>
      <c r="O485" s="518" t="s">
        <v>1240</v>
      </c>
      <c r="P485" s="13" t="s">
        <v>1236</v>
      </c>
    </row>
    <row r="486" spans="8:16">
      <c r="H486" s="516">
        <v>0</v>
      </c>
      <c r="I486" s="516">
        <v>0.99999999999999989</v>
      </c>
      <c r="J486" s="517" t="s">
        <v>1240</v>
      </c>
      <c r="M486" s="513">
        <v>0</v>
      </c>
      <c r="N486" s="516">
        <v>1</v>
      </c>
      <c r="O486" s="518" t="s">
        <v>1240</v>
      </c>
      <c r="P486" s="13" t="s">
        <v>1236</v>
      </c>
    </row>
    <row r="487" spans="8:16">
      <c r="H487" s="516">
        <v>0</v>
      </c>
      <c r="I487" s="516">
        <v>0.99999999999999989</v>
      </c>
      <c r="J487" s="517" t="s">
        <v>1240</v>
      </c>
      <c r="M487" s="513">
        <v>0</v>
      </c>
      <c r="N487" s="516">
        <v>1</v>
      </c>
      <c r="O487" s="518" t="s">
        <v>1240</v>
      </c>
      <c r="P487" s="13" t="s">
        <v>1236</v>
      </c>
    </row>
    <row r="488" spans="8:16">
      <c r="H488" s="516">
        <v>0</v>
      </c>
      <c r="I488" s="516">
        <v>0.99999999999999989</v>
      </c>
      <c r="J488" s="517" t="s">
        <v>1240</v>
      </c>
      <c r="M488" s="513">
        <v>0</v>
      </c>
      <c r="N488" s="516">
        <v>1</v>
      </c>
      <c r="O488" s="518" t="s">
        <v>1240</v>
      </c>
      <c r="P488" s="13" t="s">
        <v>1236</v>
      </c>
    </row>
    <row r="489" spans="8:16">
      <c r="H489" s="516">
        <v>0</v>
      </c>
      <c r="I489" s="516">
        <v>0.99999999999999989</v>
      </c>
      <c r="J489" s="517" t="s">
        <v>1240</v>
      </c>
      <c r="M489" s="513">
        <v>0</v>
      </c>
      <c r="N489" s="516">
        <v>1</v>
      </c>
      <c r="O489" s="518" t="s">
        <v>1240</v>
      </c>
      <c r="P489" s="13" t="s">
        <v>1236</v>
      </c>
    </row>
    <row r="490" spans="8:16">
      <c r="H490" s="516">
        <v>0</v>
      </c>
      <c r="I490" s="516">
        <v>0.99999999999999989</v>
      </c>
      <c r="J490" s="517" t="s">
        <v>1240</v>
      </c>
      <c r="M490" s="513">
        <v>0</v>
      </c>
      <c r="N490" s="516">
        <v>1</v>
      </c>
      <c r="O490" s="518" t="s">
        <v>1240</v>
      </c>
      <c r="P490" s="13" t="s">
        <v>1236</v>
      </c>
    </row>
    <row r="491" spans="8:16">
      <c r="H491" s="516">
        <v>0</v>
      </c>
      <c r="I491" s="516">
        <v>0.99999999999999989</v>
      </c>
      <c r="J491" s="517" t="s">
        <v>1240</v>
      </c>
      <c r="M491" s="513">
        <v>0</v>
      </c>
      <c r="N491" s="516">
        <v>1</v>
      </c>
      <c r="O491" s="518" t="s">
        <v>1240</v>
      </c>
      <c r="P491" s="13" t="s">
        <v>1236</v>
      </c>
    </row>
    <row r="492" spans="8:16">
      <c r="H492" s="516">
        <v>0</v>
      </c>
      <c r="I492" s="516">
        <v>0.99999999999999989</v>
      </c>
      <c r="J492" s="517" t="s">
        <v>1240</v>
      </c>
      <c r="M492" s="513">
        <v>0</v>
      </c>
      <c r="N492" s="516">
        <v>1</v>
      </c>
      <c r="O492" s="518" t="s">
        <v>1240</v>
      </c>
      <c r="P492" s="13" t="s">
        <v>1236</v>
      </c>
    </row>
    <row r="493" spans="8:16">
      <c r="H493" s="516">
        <v>0</v>
      </c>
      <c r="I493" s="516">
        <v>0.99999999999999989</v>
      </c>
      <c r="J493" s="517" t="s">
        <v>1240</v>
      </c>
      <c r="M493" s="513">
        <v>0</v>
      </c>
      <c r="N493" s="516">
        <v>1</v>
      </c>
      <c r="O493" s="518" t="s">
        <v>1240</v>
      </c>
      <c r="P493" s="13" t="s">
        <v>1236</v>
      </c>
    </row>
    <row r="494" spans="8:16">
      <c r="H494" s="516">
        <v>0</v>
      </c>
      <c r="I494" s="516">
        <v>0.99999999999999989</v>
      </c>
      <c r="J494" s="517" t="s">
        <v>1240</v>
      </c>
      <c r="M494" s="513">
        <v>0</v>
      </c>
      <c r="N494" s="516">
        <v>1</v>
      </c>
      <c r="O494" s="518" t="s">
        <v>1240</v>
      </c>
      <c r="P494" s="13" t="s">
        <v>1236</v>
      </c>
    </row>
    <row r="495" spans="8:16">
      <c r="H495" s="516">
        <v>0</v>
      </c>
      <c r="I495" s="516">
        <v>0.99999999999999989</v>
      </c>
      <c r="J495" s="517" t="s">
        <v>1240</v>
      </c>
      <c r="M495" s="513">
        <v>0</v>
      </c>
      <c r="N495" s="516">
        <v>1</v>
      </c>
      <c r="O495" s="518" t="s">
        <v>1240</v>
      </c>
      <c r="P495" s="13" t="s">
        <v>1236</v>
      </c>
    </row>
    <row r="496" spans="8:16">
      <c r="H496" s="516">
        <v>0</v>
      </c>
      <c r="I496" s="516">
        <v>0.99999999999999989</v>
      </c>
      <c r="J496" s="517" t="s">
        <v>1240</v>
      </c>
      <c r="M496" s="513">
        <v>0</v>
      </c>
      <c r="N496" s="516">
        <v>1</v>
      </c>
      <c r="O496" s="518" t="s">
        <v>1240</v>
      </c>
      <c r="P496" s="13" t="s">
        <v>1236</v>
      </c>
    </row>
    <row r="497" spans="8:16">
      <c r="H497" s="516">
        <v>0</v>
      </c>
      <c r="I497" s="516">
        <v>0.99999999999999989</v>
      </c>
      <c r="J497" s="517" t="s">
        <v>1240</v>
      </c>
      <c r="M497" s="513">
        <v>0</v>
      </c>
      <c r="N497" s="516">
        <v>1</v>
      </c>
      <c r="O497" s="518" t="s">
        <v>1240</v>
      </c>
      <c r="P497" s="13" t="s">
        <v>1236</v>
      </c>
    </row>
    <row r="498" spans="8:16">
      <c r="H498" s="516">
        <v>0</v>
      </c>
      <c r="I498" s="516">
        <v>0.99999999999999989</v>
      </c>
      <c r="J498" s="517" t="s">
        <v>1240</v>
      </c>
      <c r="M498" s="513">
        <v>0</v>
      </c>
      <c r="N498" s="516">
        <v>1</v>
      </c>
      <c r="O498" s="518" t="s">
        <v>1240</v>
      </c>
      <c r="P498" s="13" t="s">
        <v>1236</v>
      </c>
    </row>
    <row r="499" spans="8:16">
      <c r="H499" s="516">
        <v>0</v>
      </c>
      <c r="I499" s="516">
        <v>0.99999999999999989</v>
      </c>
      <c r="J499" s="517" t="s">
        <v>1240</v>
      </c>
      <c r="M499" s="513">
        <v>0</v>
      </c>
      <c r="N499" s="516">
        <v>1</v>
      </c>
      <c r="O499" s="518" t="s">
        <v>1240</v>
      </c>
      <c r="P499" s="13" t="s">
        <v>1236</v>
      </c>
    </row>
    <row r="500" spans="8:16">
      <c r="H500" s="516">
        <v>0</v>
      </c>
      <c r="I500" s="516">
        <v>0.99999999999999989</v>
      </c>
      <c r="J500" s="517" t="s">
        <v>1240</v>
      </c>
      <c r="M500" s="513">
        <v>0</v>
      </c>
      <c r="N500" s="516">
        <v>1</v>
      </c>
      <c r="O500" s="518" t="s">
        <v>1240</v>
      </c>
      <c r="P500" s="13" t="s">
        <v>1236</v>
      </c>
    </row>
    <row r="501" spans="8:16">
      <c r="H501" s="516">
        <v>0</v>
      </c>
      <c r="I501" s="516">
        <v>0.99999999999999989</v>
      </c>
      <c r="J501" s="517" t="s">
        <v>1240</v>
      </c>
      <c r="M501" s="513">
        <v>0</v>
      </c>
      <c r="N501" s="516">
        <v>1</v>
      </c>
      <c r="O501" s="518" t="s">
        <v>1240</v>
      </c>
      <c r="P501" s="13" t="s">
        <v>1236</v>
      </c>
    </row>
    <row r="502" spans="8:16">
      <c r="H502" s="516">
        <v>0</v>
      </c>
      <c r="I502" s="516">
        <v>0.99999999999999989</v>
      </c>
      <c r="J502" s="517" t="s">
        <v>1240</v>
      </c>
      <c r="M502" s="513">
        <v>0</v>
      </c>
      <c r="N502" s="516">
        <v>1</v>
      </c>
      <c r="O502" s="518" t="s">
        <v>1240</v>
      </c>
      <c r="P502" s="13" t="s">
        <v>1236</v>
      </c>
    </row>
    <row r="503" spans="8:16">
      <c r="H503" s="516">
        <v>0</v>
      </c>
      <c r="I503" s="516">
        <v>0.99999999999999989</v>
      </c>
      <c r="J503" s="517" t="s">
        <v>1240</v>
      </c>
      <c r="M503" s="513">
        <v>0</v>
      </c>
      <c r="N503" s="516">
        <v>1</v>
      </c>
      <c r="O503" s="518" t="s">
        <v>1240</v>
      </c>
      <c r="P503" s="13" t="s">
        <v>1236</v>
      </c>
    </row>
    <row r="504" spans="8:16">
      <c r="H504" s="516">
        <v>0</v>
      </c>
      <c r="I504" s="516">
        <v>0.99999999999999989</v>
      </c>
      <c r="J504" s="517" t="s">
        <v>1240</v>
      </c>
      <c r="M504" s="513">
        <v>0</v>
      </c>
      <c r="N504" s="516">
        <v>1</v>
      </c>
      <c r="O504" s="518" t="s">
        <v>1240</v>
      </c>
      <c r="P504" s="13" t="s">
        <v>1236</v>
      </c>
    </row>
    <row r="505" spans="8:16">
      <c r="H505" s="516">
        <v>0</v>
      </c>
      <c r="I505" s="516">
        <v>0.99999999999999989</v>
      </c>
      <c r="J505" s="517" t="s">
        <v>1240</v>
      </c>
      <c r="M505" s="513">
        <v>0</v>
      </c>
      <c r="N505" s="516">
        <v>1</v>
      </c>
      <c r="O505" s="518" t="s">
        <v>1240</v>
      </c>
      <c r="P505" s="13" t="s">
        <v>1236</v>
      </c>
    </row>
    <row r="506" spans="8:16">
      <c r="H506" s="516">
        <v>0</v>
      </c>
      <c r="I506" s="516">
        <v>0.99999999999999989</v>
      </c>
      <c r="J506" s="517" t="s">
        <v>1240</v>
      </c>
      <c r="M506" s="513">
        <v>0</v>
      </c>
      <c r="N506" s="516">
        <v>1</v>
      </c>
      <c r="O506" s="518" t="s">
        <v>1240</v>
      </c>
      <c r="P506" s="13" t="s">
        <v>1236</v>
      </c>
    </row>
    <row r="507" spans="8:16">
      <c r="H507" s="516">
        <v>0</v>
      </c>
      <c r="I507" s="516">
        <v>0.99999999999999989</v>
      </c>
      <c r="J507" s="517" t="s">
        <v>1240</v>
      </c>
      <c r="M507" s="513">
        <v>0</v>
      </c>
      <c r="N507" s="516">
        <v>1</v>
      </c>
      <c r="O507" s="518" t="s">
        <v>1240</v>
      </c>
      <c r="P507" s="13" t="s">
        <v>1236</v>
      </c>
    </row>
    <row r="508" spans="8:16">
      <c r="H508" s="516">
        <v>0</v>
      </c>
      <c r="I508" s="516">
        <v>0.99999999999999989</v>
      </c>
      <c r="J508" s="517" t="s">
        <v>1240</v>
      </c>
      <c r="M508" s="513">
        <v>0</v>
      </c>
      <c r="N508" s="516">
        <v>1</v>
      </c>
      <c r="O508" s="518" t="s">
        <v>1240</v>
      </c>
      <c r="P508" s="13" t="s">
        <v>1236</v>
      </c>
    </row>
    <row r="509" spans="8:16">
      <c r="H509" s="516">
        <v>0</v>
      </c>
      <c r="I509" s="516">
        <v>0.99999999999999989</v>
      </c>
      <c r="J509" s="517" t="s">
        <v>1240</v>
      </c>
      <c r="M509" s="513">
        <v>0</v>
      </c>
      <c r="N509" s="516">
        <v>1</v>
      </c>
      <c r="O509" s="518" t="s">
        <v>1240</v>
      </c>
      <c r="P509" s="13" t="s">
        <v>1236</v>
      </c>
    </row>
    <row r="510" spans="8:16">
      <c r="H510" s="516">
        <v>0</v>
      </c>
      <c r="I510" s="516">
        <v>0.99999999999999989</v>
      </c>
      <c r="J510" s="517" t="s">
        <v>1240</v>
      </c>
      <c r="M510" s="513">
        <v>0</v>
      </c>
      <c r="N510" s="516">
        <v>1</v>
      </c>
      <c r="O510" s="518" t="s">
        <v>1240</v>
      </c>
      <c r="P510" s="13" t="s">
        <v>1236</v>
      </c>
    </row>
    <row r="511" spans="8:16">
      <c r="H511" s="516">
        <v>0</v>
      </c>
      <c r="I511" s="516">
        <v>0.99999999999999989</v>
      </c>
      <c r="J511" s="517" t="s">
        <v>1240</v>
      </c>
      <c r="M511" s="513">
        <v>0</v>
      </c>
      <c r="N511" s="516">
        <v>1</v>
      </c>
      <c r="O511" s="518" t="s">
        <v>1240</v>
      </c>
      <c r="P511" s="13" t="s">
        <v>1236</v>
      </c>
    </row>
    <row r="512" spans="8:16">
      <c r="H512" s="516">
        <v>0</v>
      </c>
      <c r="I512" s="516">
        <v>0.99999999999999989</v>
      </c>
      <c r="J512" s="517" t="s">
        <v>1240</v>
      </c>
      <c r="M512" s="513">
        <v>0</v>
      </c>
      <c r="N512" s="516">
        <v>1</v>
      </c>
      <c r="O512" s="518" t="s">
        <v>1240</v>
      </c>
      <c r="P512" s="13" t="s">
        <v>1236</v>
      </c>
    </row>
    <row r="513" spans="8:16">
      <c r="H513" s="516">
        <v>0</v>
      </c>
      <c r="I513" s="516">
        <v>0.99999999999999989</v>
      </c>
      <c r="J513" s="517" t="s">
        <v>1240</v>
      </c>
      <c r="M513" s="513">
        <v>0</v>
      </c>
      <c r="N513" s="516">
        <v>1</v>
      </c>
      <c r="O513" s="518" t="s">
        <v>1240</v>
      </c>
      <c r="P513" s="13" t="s">
        <v>1236</v>
      </c>
    </row>
    <row r="514" spans="8:16">
      <c r="H514" s="516">
        <v>0</v>
      </c>
      <c r="I514" s="516">
        <v>0.99999999999999989</v>
      </c>
      <c r="J514" s="517" t="s">
        <v>1240</v>
      </c>
      <c r="M514" s="513">
        <v>0</v>
      </c>
      <c r="N514" s="516">
        <v>1</v>
      </c>
      <c r="O514" s="518" t="s">
        <v>1240</v>
      </c>
      <c r="P514" s="13" t="s">
        <v>1236</v>
      </c>
    </row>
    <row r="515" spans="8:16">
      <c r="H515" s="516">
        <v>0</v>
      </c>
      <c r="I515" s="516">
        <v>0.99999999999999989</v>
      </c>
      <c r="J515" s="517" t="s">
        <v>1240</v>
      </c>
      <c r="M515" s="513">
        <v>0</v>
      </c>
      <c r="N515" s="516">
        <v>1</v>
      </c>
      <c r="O515" s="518" t="s">
        <v>1240</v>
      </c>
      <c r="P515" s="13" t="s">
        <v>1236</v>
      </c>
    </row>
    <row r="516" spans="8:16">
      <c r="H516" s="516">
        <v>0</v>
      </c>
      <c r="I516" s="516">
        <v>0.99999999999999989</v>
      </c>
      <c r="J516" s="517" t="s">
        <v>1240</v>
      </c>
      <c r="M516" s="513">
        <v>0</v>
      </c>
      <c r="N516" s="516">
        <v>1</v>
      </c>
      <c r="O516" s="518" t="s">
        <v>1240</v>
      </c>
      <c r="P516" s="13" t="s">
        <v>1236</v>
      </c>
    </row>
    <row r="517" spans="8:16">
      <c r="H517" s="516">
        <v>0</v>
      </c>
      <c r="I517" s="516">
        <v>0.99999999999999989</v>
      </c>
      <c r="J517" s="517" t="s">
        <v>1240</v>
      </c>
      <c r="M517" s="513">
        <v>0</v>
      </c>
      <c r="N517" s="516">
        <v>1</v>
      </c>
      <c r="O517" s="518" t="s">
        <v>1240</v>
      </c>
      <c r="P517" s="13" t="s">
        <v>1236</v>
      </c>
    </row>
    <row r="518" spans="8:16">
      <c r="H518" s="516">
        <v>0</v>
      </c>
      <c r="I518" s="516">
        <v>0.99999999999999989</v>
      </c>
      <c r="J518" s="517" t="s">
        <v>1240</v>
      </c>
      <c r="M518" s="513">
        <v>0</v>
      </c>
      <c r="N518" s="516">
        <v>1</v>
      </c>
      <c r="O518" s="518" t="s">
        <v>1240</v>
      </c>
      <c r="P518" s="13" t="s">
        <v>1236</v>
      </c>
    </row>
    <row r="519" spans="8:16">
      <c r="H519" s="516">
        <v>0</v>
      </c>
      <c r="I519" s="516">
        <v>0.99999999999999989</v>
      </c>
      <c r="J519" s="517" t="s">
        <v>1240</v>
      </c>
      <c r="M519" s="513">
        <v>0</v>
      </c>
      <c r="N519" s="516">
        <v>1</v>
      </c>
      <c r="O519" s="518" t="s">
        <v>1240</v>
      </c>
      <c r="P519" s="13" t="s">
        <v>1236</v>
      </c>
    </row>
    <row r="520" spans="8:16">
      <c r="H520" s="516">
        <v>0</v>
      </c>
      <c r="I520" s="516">
        <v>0.99999999999999989</v>
      </c>
      <c r="J520" s="517" t="s">
        <v>1240</v>
      </c>
      <c r="M520" s="513">
        <v>0</v>
      </c>
      <c r="N520" s="516">
        <v>1</v>
      </c>
      <c r="O520" s="518" t="s">
        <v>1240</v>
      </c>
      <c r="P520" s="13" t="s">
        <v>1236</v>
      </c>
    </row>
    <row r="521" spans="8:16">
      <c r="H521" s="516">
        <v>0</v>
      </c>
      <c r="I521" s="516">
        <v>0.99999999999999989</v>
      </c>
      <c r="J521" s="517" t="s">
        <v>1240</v>
      </c>
      <c r="M521" s="513">
        <v>0</v>
      </c>
      <c r="N521" s="516">
        <v>1</v>
      </c>
      <c r="O521" s="518" t="s">
        <v>1240</v>
      </c>
      <c r="P521" s="13" t="s">
        <v>1236</v>
      </c>
    </row>
    <row r="522" spans="8:16">
      <c r="H522" s="516">
        <v>0</v>
      </c>
      <c r="I522" s="516">
        <v>0.99999999999999989</v>
      </c>
      <c r="J522" s="517" t="s">
        <v>1240</v>
      </c>
      <c r="M522" s="513">
        <v>0</v>
      </c>
      <c r="N522" s="516">
        <v>1</v>
      </c>
      <c r="O522" s="518" t="s">
        <v>1240</v>
      </c>
      <c r="P522" s="13" t="s">
        <v>1236</v>
      </c>
    </row>
    <row r="523" spans="8:16">
      <c r="H523" s="516">
        <v>0</v>
      </c>
      <c r="I523" s="516">
        <v>0.99999999999999989</v>
      </c>
      <c r="J523" s="517" t="s">
        <v>1240</v>
      </c>
      <c r="M523" s="513">
        <v>0</v>
      </c>
      <c r="N523" s="516">
        <v>1</v>
      </c>
      <c r="O523" s="518" t="s">
        <v>1240</v>
      </c>
      <c r="P523" s="13" t="s">
        <v>1236</v>
      </c>
    </row>
    <row r="524" spans="8:16">
      <c r="H524" s="516">
        <v>0</v>
      </c>
      <c r="I524" s="516">
        <v>0.99999999999999989</v>
      </c>
      <c r="J524" s="517" t="s">
        <v>1240</v>
      </c>
      <c r="M524" s="513">
        <v>0</v>
      </c>
      <c r="N524" s="516">
        <v>1</v>
      </c>
      <c r="O524" s="518" t="s">
        <v>1240</v>
      </c>
      <c r="P524" s="13" t="s">
        <v>1236</v>
      </c>
    </row>
    <row r="525" spans="8:16">
      <c r="H525" s="516">
        <v>0</v>
      </c>
      <c r="I525" s="516">
        <v>0.99999999999999989</v>
      </c>
      <c r="J525" s="517" t="s">
        <v>1240</v>
      </c>
      <c r="M525" s="513">
        <v>0</v>
      </c>
      <c r="N525" s="516">
        <v>1</v>
      </c>
      <c r="O525" s="518" t="s">
        <v>1240</v>
      </c>
      <c r="P525" s="13" t="s">
        <v>1236</v>
      </c>
    </row>
    <row r="526" spans="8:16">
      <c r="H526" s="516">
        <v>0</v>
      </c>
      <c r="I526" s="516">
        <v>0.99999999999999989</v>
      </c>
      <c r="J526" s="517" t="s">
        <v>1240</v>
      </c>
      <c r="M526" s="513">
        <v>0</v>
      </c>
      <c r="N526" s="516">
        <v>1</v>
      </c>
      <c r="O526" s="518" t="s">
        <v>1240</v>
      </c>
      <c r="P526" s="13" t="s">
        <v>1236</v>
      </c>
    </row>
    <row r="527" spans="8:16">
      <c r="H527" s="516">
        <v>0</v>
      </c>
      <c r="I527" s="516">
        <v>0.99999999999999989</v>
      </c>
      <c r="J527" s="517" t="s">
        <v>1240</v>
      </c>
      <c r="M527" s="513">
        <v>0</v>
      </c>
      <c r="N527" s="516">
        <v>1</v>
      </c>
      <c r="O527" s="518" t="s">
        <v>1240</v>
      </c>
      <c r="P527" s="13" t="s">
        <v>1236</v>
      </c>
    </row>
    <row r="528" spans="8:16">
      <c r="H528" s="516">
        <v>0</v>
      </c>
      <c r="I528" s="516">
        <v>0.99999999999999989</v>
      </c>
      <c r="J528" s="517" t="s">
        <v>1240</v>
      </c>
      <c r="M528" s="513">
        <v>0</v>
      </c>
      <c r="N528" s="516">
        <v>1</v>
      </c>
      <c r="O528" s="518" t="s">
        <v>1240</v>
      </c>
      <c r="P528" s="13" t="s">
        <v>1236</v>
      </c>
    </row>
    <row r="529" spans="8:16">
      <c r="H529" s="516">
        <v>0</v>
      </c>
      <c r="I529" s="516">
        <v>0.99999999999999989</v>
      </c>
      <c r="J529" s="517" t="s">
        <v>1240</v>
      </c>
      <c r="M529" s="513">
        <v>0</v>
      </c>
      <c r="N529" s="516">
        <v>1</v>
      </c>
      <c r="O529" s="518" t="s">
        <v>1240</v>
      </c>
      <c r="P529" s="13" t="s">
        <v>1236</v>
      </c>
    </row>
    <row r="530" spans="8:16">
      <c r="H530" s="516">
        <v>0</v>
      </c>
      <c r="I530" s="516">
        <v>0.99999999999999989</v>
      </c>
      <c r="J530" s="517" t="s">
        <v>1240</v>
      </c>
      <c r="M530" s="513">
        <v>0</v>
      </c>
      <c r="N530" s="516">
        <v>1</v>
      </c>
      <c r="O530" s="518" t="s">
        <v>1240</v>
      </c>
      <c r="P530" s="13" t="s">
        <v>1236</v>
      </c>
    </row>
    <row r="531" spans="8:16">
      <c r="H531" s="516">
        <v>0</v>
      </c>
      <c r="I531" s="516">
        <v>0.99999999999999989</v>
      </c>
      <c r="J531" s="517" t="s">
        <v>1240</v>
      </c>
      <c r="M531" s="513">
        <v>0</v>
      </c>
      <c r="N531" s="516">
        <v>1</v>
      </c>
      <c r="O531" s="518" t="s">
        <v>1240</v>
      </c>
      <c r="P531" s="13" t="s">
        <v>1236</v>
      </c>
    </row>
    <row r="532" spans="8:16">
      <c r="H532" s="516">
        <v>0</v>
      </c>
      <c r="I532" s="516">
        <v>0.99999999999999989</v>
      </c>
      <c r="J532" s="517" t="s">
        <v>1240</v>
      </c>
      <c r="M532" s="513">
        <v>0</v>
      </c>
      <c r="N532" s="516">
        <v>1</v>
      </c>
      <c r="O532" s="518" t="s">
        <v>1240</v>
      </c>
      <c r="P532" s="13" t="s">
        <v>1236</v>
      </c>
    </row>
    <row r="533" spans="8:16">
      <c r="H533" s="516">
        <v>0</v>
      </c>
      <c r="I533" s="516">
        <v>0.99999999999999989</v>
      </c>
      <c r="J533" s="517" t="s">
        <v>1240</v>
      </c>
      <c r="M533" s="513">
        <v>0</v>
      </c>
      <c r="N533" s="516">
        <v>1</v>
      </c>
      <c r="O533" s="518" t="s">
        <v>1240</v>
      </c>
      <c r="P533" s="13" t="s">
        <v>1236</v>
      </c>
    </row>
    <row r="534" spans="8:16">
      <c r="H534" s="516">
        <v>0</v>
      </c>
      <c r="I534" s="516">
        <v>0.99999999999999989</v>
      </c>
      <c r="J534" s="517" t="s">
        <v>1240</v>
      </c>
      <c r="M534" s="513">
        <v>0</v>
      </c>
      <c r="N534" s="516">
        <v>1</v>
      </c>
      <c r="O534" s="518" t="s">
        <v>1240</v>
      </c>
      <c r="P534" s="13" t="s">
        <v>1236</v>
      </c>
    </row>
    <row r="535" spans="8:16">
      <c r="H535" s="516">
        <v>0</v>
      </c>
      <c r="I535" s="516">
        <v>0.99999999999999989</v>
      </c>
      <c r="J535" s="517" t="s">
        <v>1240</v>
      </c>
      <c r="M535" s="513">
        <v>0</v>
      </c>
      <c r="N535" s="516">
        <v>1</v>
      </c>
      <c r="O535" s="518" t="s">
        <v>1240</v>
      </c>
      <c r="P535" s="13" t="s">
        <v>1236</v>
      </c>
    </row>
    <row r="536" spans="8:16">
      <c r="H536" s="516">
        <v>0</v>
      </c>
      <c r="I536" s="516">
        <v>0.99999999999999989</v>
      </c>
      <c r="J536" s="517" t="s">
        <v>1240</v>
      </c>
      <c r="M536" s="513">
        <v>0</v>
      </c>
      <c r="N536" s="516">
        <v>1</v>
      </c>
      <c r="O536" s="518" t="s">
        <v>1240</v>
      </c>
      <c r="P536" s="13" t="s">
        <v>1236</v>
      </c>
    </row>
    <row r="537" spans="8:16">
      <c r="H537" s="516">
        <v>0</v>
      </c>
      <c r="I537" s="516">
        <v>0.99999999999999989</v>
      </c>
      <c r="J537" s="517" t="s">
        <v>1240</v>
      </c>
      <c r="M537" s="513">
        <v>0</v>
      </c>
      <c r="N537" s="516">
        <v>1</v>
      </c>
      <c r="O537" s="518" t="s">
        <v>1240</v>
      </c>
      <c r="P537" s="13" t="s">
        <v>1236</v>
      </c>
    </row>
    <row r="538" spans="8:16">
      <c r="H538" s="516">
        <v>0</v>
      </c>
      <c r="I538" s="516">
        <v>0.99999999999999989</v>
      </c>
      <c r="J538" s="517" t="s">
        <v>1240</v>
      </c>
      <c r="M538" s="513">
        <v>0</v>
      </c>
      <c r="N538" s="516">
        <v>1</v>
      </c>
      <c r="O538" s="518" t="s">
        <v>1240</v>
      </c>
      <c r="P538" s="13" t="s">
        <v>1236</v>
      </c>
    </row>
    <row r="539" spans="8:16">
      <c r="H539" s="516">
        <v>0</v>
      </c>
      <c r="I539" s="516">
        <v>0.99999999999999989</v>
      </c>
      <c r="J539" s="517" t="s">
        <v>1240</v>
      </c>
      <c r="M539" s="513">
        <v>0</v>
      </c>
      <c r="N539" s="516">
        <v>1</v>
      </c>
      <c r="O539" s="518" t="s">
        <v>1240</v>
      </c>
      <c r="P539" s="13" t="s">
        <v>1236</v>
      </c>
    </row>
    <row r="540" spans="8:16">
      <c r="H540" s="516">
        <v>0</v>
      </c>
      <c r="I540" s="516">
        <v>0.99999999999999989</v>
      </c>
      <c r="J540" s="517" t="s">
        <v>1240</v>
      </c>
      <c r="M540" s="513">
        <v>0</v>
      </c>
      <c r="N540" s="516">
        <v>1</v>
      </c>
      <c r="O540" s="518" t="s">
        <v>1240</v>
      </c>
      <c r="P540" s="13" t="s">
        <v>1236</v>
      </c>
    </row>
    <row r="541" spans="8:16">
      <c r="H541" s="516">
        <v>0</v>
      </c>
      <c r="I541" s="516">
        <v>0.99999999999999989</v>
      </c>
      <c r="J541" s="517" t="s">
        <v>1240</v>
      </c>
      <c r="M541" s="513">
        <v>0</v>
      </c>
      <c r="N541" s="516">
        <v>1</v>
      </c>
      <c r="O541" s="518" t="s">
        <v>1240</v>
      </c>
      <c r="P541" s="13" t="s">
        <v>1236</v>
      </c>
    </row>
    <row r="542" spans="8:16">
      <c r="H542" s="516">
        <v>0</v>
      </c>
      <c r="I542" s="516">
        <v>0.99999999999999989</v>
      </c>
      <c r="J542" s="517" t="s">
        <v>1240</v>
      </c>
      <c r="M542" s="513">
        <v>0</v>
      </c>
      <c r="N542" s="516">
        <v>1</v>
      </c>
      <c r="O542" s="518" t="s">
        <v>1240</v>
      </c>
      <c r="P542" s="13" t="s">
        <v>1236</v>
      </c>
    </row>
    <row r="543" spans="8:16">
      <c r="H543" s="516">
        <v>0</v>
      </c>
      <c r="I543" s="516">
        <v>0.99999999999999989</v>
      </c>
      <c r="J543" s="517" t="s">
        <v>1240</v>
      </c>
      <c r="M543" s="513">
        <v>0</v>
      </c>
      <c r="N543" s="516">
        <v>1</v>
      </c>
      <c r="O543" s="518" t="s">
        <v>1240</v>
      </c>
      <c r="P543" s="13" t="s">
        <v>1236</v>
      </c>
    </row>
    <row r="544" spans="8:16">
      <c r="H544" s="516">
        <v>0</v>
      </c>
      <c r="I544" s="516">
        <v>0.99999999999999989</v>
      </c>
      <c r="J544" s="517" t="s">
        <v>1240</v>
      </c>
      <c r="M544" s="513">
        <v>0</v>
      </c>
      <c r="N544" s="516">
        <v>1</v>
      </c>
      <c r="O544" s="518" t="s">
        <v>1240</v>
      </c>
      <c r="P544" s="13" t="s">
        <v>1236</v>
      </c>
    </row>
    <row r="545" spans="8:16">
      <c r="H545" s="516">
        <v>0</v>
      </c>
      <c r="I545" s="516">
        <v>0.99999999999999989</v>
      </c>
      <c r="J545" s="517" t="s">
        <v>1240</v>
      </c>
      <c r="M545" s="513">
        <v>0</v>
      </c>
      <c r="N545" s="516">
        <v>1</v>
      </c>
      <c r="O545" s="518" t="s">
        <v>1240</v>
      </c>
      <c r="P545" s="13" t="s">
        <v>1236</v>
      </c>
    </row>
    <row r="546" spans="8:16">
      <c r="H546" s="516">
        <v>0</v>
      </c>
      <c r="I546" s="516">
        <v>0.99999999999999989</v>
      </c>
      <c r="J546" s="517" t="s">
        <v>1240</v>
      </c>
      <c r="M546" s="513">
        <v>0</v>
      </c>
      <c r="N546" s="516">
        <v>1</v>
      </c>
      <c r="O546" s="518" t="s">
        <v>1240</v>
      </c>
      <c r="P546" s="13" t="s">
        <v>1236</v>
      </c>
    </row>
    <row r="547" spans="8:16">
      <c r="H547" s="516">
        <v>0</v>
      </c>
      <c r="I547" s="516">
        <v>0.99999999999999989</v>
      </c>
      <c r="J547" s="517" t="s">
        <v>1240</v>
      </c>
      <c r="M547" s="513">
        <v>0</v>
      </c>
      <c r="N547" s="516">
        <v>1</v>
      </c>
      <c r="O547" s="518" t="s">
        <v>1240</v>
      </c>
      <c r="P547" s="13" t="s">
        <v>1236</v>
      </c>
    </row>
    <row r="548" spans="8:16">
      <c r="H548" s="516">
        <v>0</v>
      </c>
      <c r="I548" s="516">
        <v>0.99999999999999989</v>
      </c>
      <c r="J548" s="517" t="s">
        <v>1240</v>
      </c>
      <c r="M548" s="513">
        <v>0</v>
      </c>
      <c r="N548" s="516">
        <v>1</v>
      </c>
      <c r="O548" s="518" t="s">
        <v>1240</v>
      </c>
      <c r="P548" s="13" t="s">
        <v>1236</v>
      </c>
    </row>
    <row r="549" spans="8:16">
      <c r="H549" s="516">
        <v>0</v>
      </c>
      <c r="I549" s="516">
        <v>0.99999999999999989</v>
      </c>
      <c r="J549" s="517" t="s">
        <v>1240</v>
      </c>
      <c r="M549" s="513">
        <v>0</v>
      </c>
      <c r="N549" s="516">
        <v>1</v>
      </c>
      <c r="O549" s="518" t="s">
        <v>1240</v>
      </c>
      <c r="P549" s="13" t="s">
        <v>1236</v>
      </c>
    </row>
    <row r="550" spans="8:16">
      <c r="H550" s="516">
        <v>0</v>
      </c>
      <c r="I550" s="516">
        <v>0.99999999999999989</v>
      </c>
      <c r="J550" s="517" t="s">
        <v>1240</v>
      </c>
      <c r="M550" s="513">
        <v>0</v>
      </c>
      <c r="N550" s="516">
        <v>1</v>
      </c>
      <c r="O550" s="518" t="s">
        <v>1240</v>
      </c>
      <c r="P550" s="13" t="s">
        <v>1236</v>
      </c>
    </row>
    <row r="551" spans="8:16">
      <c r="H551" s="516">
        <v>0</v>
      </c>
      <c r="I551" s="516">
        <v>0.99999999999999989</v>
      </c>
      <c r="J551" s="517" t="s">
        <v>1240</v>
      </c>
      <c r="M551" s="513">
        <v>0</v>
      </c>
      <c r="N551" s="516">
        <v>1</v>
      </c>
      <c r="O551" s="518" t="s">
        <v>1240</v>
      </c>
      <c r="P551" s="13" t="s">
        <v>1236</v>
      </c>
    </row>
    <row r="552" spans="8:16">
      <c r="H552" s="516">
        <v>0</v>
      </c>
      <c r="I552" s="516">
        <v>0.99999999999999989</v>
      </c>
      <c r="J552" s="517" t="s">
        <v>1240</v>
      </c>
      <c r="M552" s="513">
        <v>0</v>
      </c>
      <c r="N552" s="516">
        <v>1</v>
      </c>
      <c r="O552" s="518" t="s">
        <v>1240</v>
      </c>
      <c r="P552" s="13" t="s">
        <v>1236</v>
      </c>
    </row>
    <row r="553" spans="8:16">
      <c r="H553" s="516">
        <v>0</v>
      </c>
      <c r="I553" s="516">
        <v>0.99999999999999989</v>
      </c>
      <c r="J553" s="517" t="s">
        <v>1240</v>
      </c>
      <c r="M553" s="513">
        <v>0</v>
      </c>
      <c r="N553" s="516">
        <v>1</v>
      </c>
      <c r="O553" s="518" t="s">
        <v>1240</v>
      </c>
      <c r="P553" s="13" t="s">
        <v>1236</v>
      </c>
    </row>
    <row r="554" spans="8:16">
      <c r="H554" s="516">
        <v>0</v>
      </c>
      <c r="I554" s="516">
        <v>0.99999999999999989</v>
      </c>
      <c r="J554" s="517" t="s">
        <v>1240</v>
      </c>
      <c r="M554" s="513">
        <v>0</v>
      </c>
      <c r="N554" s="516">
        <v>1</v>
      </c>
      <c r="O554" s="518" t="s">
        <v>1240</v>
      </c>
      <c r="P554" s="13" t="s">
        <v>1236</v>
      </c>
    </row>
    <row r="555" spans="8:16">
      <c r="H555" s="516">
        <v>0</v>
      </c>
      <c r="I555" s="516">
        <v>0.99999999999999989</v>
      </c>
      <c r="J555" s="517" t="s">
        <v>1240</v>
      </c>
      <c r="M555" s="513">
        <v>0</v>
      </c>
      <c r="N555" s="516">
        <v>1</v>
      </c>
      <c r="O555" s="518" t="s">
        <v>1240</v>
      </c>
      <c r="P555" s="13" t="s">
        <v>1236</v>
      </c>
    </row>
    <row r="556" spans="8:16">
      <c r="H556" s="516">
        <v>0</v>
      </c>
      <c r="I556" s="516">
        <v>0.99999999999999989</v>
      </c>
      <c r="J556" s="517" t="s">
        <v>1240</v>
      </c>
      <c r="M556" s="513">
        <v>0</v>
      </c>
      <c r="N556" s="516">
        <v>1</v>
      </c>
      <c r="O556" s="518" t="s">
        <v>1240</v>
      </c>
      <c r="P556" s="13" t="s">
        <v>1236</v>
      </c>
    </row>
    <row r="557" spans="8:16">
      <c r="H557" s="516">
        <v>0</v>
      </c>
      <c r="I557" s="516">
        <v>0.99999999999999989</v>
      </c>
      <c r="J557" s="517" t="s">
        <v>1240</v>
      </c>
      <c r="M557" s="513">
        <v>0</v>
      </c>
      <c r="N557" s="516">
        <v>1</v>
      </c>
      <c r="O557" s="518" t="s">
        <v>1240</v>
      </c>
      <c r="P557" s="13" t="s">
        <v>1236</v>
      </c>
    </row>
    <row r="558" spans="8:16">
      <c r="H558" s="516">
        <v>0</v>
      </c>
      <c r="I558" s="516">
        <v>0.99999999999999989</v>
      </c>
      <c r="J558" s="517" t="s">
        <v>1240</v>
      </c>
      <c r="M558" s="513">
        <v>0</v>
      </c>
      <c r="N558" s="516">
        <v>1</v>
      </c>
      <c r="O558" s="518" t="s">
        <v>1240</v>
      </c>
      <c r="P558" s="13" t="s">
        <v>1236</v>
      </c>
    </row>
    <row r="559" spans="8:16">
      <c r="H559" s="516">
        <v>0</v>
      </c>
      <c r="I559" s="516">
        <v>0.99999999999999989</v>
      </c>
      <c r="J559" s="517" t="s">
        <v>1240</v>
      </c>
      <c r="M559" s="513">
        <v>0</v>
      </c>
      <c r="N559" s="516">
        <v>1</v>
      </c>
      <c r="O559" s="518" t="s">
        <v>1240</v>
      </c>
      <c r="P559" s="13" t="s">
        <v>1236</v>
      </c>
    </row>
    <row r="560" spans="8:16">
      <c r="H560" s="516">
        <v>0</v>
      </c>
      <c r="I560" s="516">
        <v>0.99999999999999989</v>
      </c>
      <c r="J560" s="517" t="s">
        <v>1240</v>
      </c>
      <c r="M560" s="513">
        <v>0</v>
      </c>
      <c r="N560" s="516">
        <v>1</v>
      </c>
      <c r="O560" s="518" t="s">
        <v>1240</v>
      </c>
      <c r="P560" s="13" t="s">
        <v>1236</v>
      </c>
    </row>
    <row r="561" spans="8:16">
      <c r="H561" s="516">
        <v>0</v>
      </c>
      <c r="I561" s="516">
        <v>0.99999999999999989</v>
      </c>
      <c r="J561" s="517" t="s">
        <v>1240</v>
      </c>
      <c r="M561" s="513">
        <v>0</v>
      </c>
      <c r="N561" s="516">
        <v>1</v>
      </c>
      <c r="O561" s="518" t="s">
        <v>1240</v>
      </c>
      <c r="P561" s="13" t="s">
        <v>1236</v>
      </c>
    </row>
    <row r="562" spans="8:16">
      <c r="H562" s="516">
        <v>0</v>
      </c>
      <c r="I562" s="516">
        <v>0.99999999999999989</v>
      </c>
      <c r="J562" s="517" t="s">
        <v>1240</v>
      </c>
      <c r="M562" s="513">
        <v>0</v>
      </c>
      <c r="N562" s="516">
        <v>1</v>
      </c>
      <c r="O562" s="518" t="s">
        <v>1240</v>
      </c>
      <c r="P562" s="13" t="s">
        <v>1236</v>
      </c>
    </row>
    <row r="563" spans="8:16">
      <c r="H563" s="516">
        <v>0</v>
      </c>
      <c r="I563" s="516">
        <v>0.99999999999999989</v>
      </c>
      <c r="J563" s="517" t="s">
        <v>1240</v>
      </c>
      <c r="M563" s="513">
        <v>0</v>
      </c>
      <c r="N563" s="516">
        <v>1</v>
      </c>
      <c r="O563" s="518" t="s">
        <v>1240</v>
      </c>
      <c r="P563" s="13" t="s">
        <v>1236</v>
      </c>
    </row>
    <row r="564" spans="8:16">
      <c r="H564" s="516">
        <v>0</v>
      </c>
      <c r="I564" s="516">
        <v>0.99999999999999989</v>
      </c>
      <c r="J564" s="517" t="s">
        <v>1240</v>
      </c>
      <c r="M564" s="513">
        <v>0</v>
      </c>
      <c r="N564" s="516">
        <v>1</v>
      </c>
      <c r="O564" s="518" t="s">
        <v>1240</v>
      </c>
      <c r="P564" s="13" t="s">
        <v>1236</v>
      </c>
    </row>
    <row r="565" spans="8:16">
      <c r="H565" s="516">
        <v>0</v>
      </c>
      <c r="I565" s="516">
        <v>0.99999999999999989</v>
      </c>
      <c r="J565" s="517" t="s">
        <v>1240</v>
      </c>
      <c r="M565" s="513">
        <v>0</v>
      </c>
      <c r="N565" s="516">
        <v>1</v>
      </c>
      <c r="O565" s="518" t="s">
        <v>1240</v>
      </c>
      <c r="P565" s="13" t="s">
        <v>1236</v>
      </c>
    </row>
    <row r="566" spans="8:16">
      <c r="H566" s="516">
        <v>0</v>
      </c>
      <c r="I566" s="516">
        <v>0.99999999999999989</v>
      </c>
      <c r="J566" s="517" t="s">
        <v>1240</v>
      </c>
      <c r="M566" s="513">
        <v>0</v>
      </c>
      <c r="N566" s="516">
        <v>1</v>
      </c>
      <c r="O566" s="518" t="s">
        <v>1240</v>
      </c>
      <c r="P566" s="13" t="s">
        <v>1236</v>
      </c>
    </row>
    <row r="567" spans="8:16">
      <c r="H567" s="516">
        <v>0</v>
      </c>
      <c r="I567" s="516">
        <v>0.99999999999999989</v>
      </c>
      <c r="J567" s="517" t="s">
        <v>1240</v>
      </c>
      <c r="M567" s="513">
        <v>0</v>
      </c>
      <c r="N567" s="516">
        <v>1</v>
      </c>
      <c r="O567" s="518" t="s">
        <v>1240</v>
      </c>
      <c r="P567" s="13" t="s">
        <v>1236</v>
      </c>
    </row>
    <row r="568" spans="8:16">
      <c r="H568" s="516">
        <v>0</v>
      </c>
      <c r="I568" s="516">
        <v>0.99999999999999989</v>
      </c>
      <c r="J568" s="517" t="s">
        <v>1240</v>
      </c>
      <c r="M568" s="513">
        <v>0</v>
      </c>
      <c r="N568" s="516">
        <v>1</v>
      </c>
      <c r="O568" s="518" t="s">
        <v>1240</v>
      </c>
      <c r="P568" s="13" t="s">
        <v>1236</v>
      </c>
    </row>
    <row r="569" spans="8:16">
      <c r="H569" s="516">
        <v>0</v>
      </c>
      <c r="I569" s="516">
        <v>0.99999999999999989</v>
      </c>
      <c r="J569" s="517" t="s">
        <v>1240</v>
      </c>
      <c r="M569" s="513">
        <v>0</v>
      </c>
      <c r="N569" s="516">
        <v>1</v>
      </c>
      <c r="O569" s="518" t="s">
        <v>1240</v>
      </c>
      <c r="P569" s="13" t="s">
        <v>1236</v>
      </c>
    </row>
    <row r="570" spans="8:16">
      <c r="H570" s="516">
        <v>0</v>
      </c>
      <c r="I570" s="516">
        <v>0.99999999999999989</v>
      </c>
      <c r="J570" s="517" t="s">
        <v>1240</v>
      </c>
      <c r="M570" s="513">
        <v>0</v>
      </c>
      <c r="N570" s="516">
        <v>1</v>
      </c>
      <c r="O570" s="518" t="s">
        <v>1240</v>
      </c>
      <c r="P570" s="13" t="s">
        <v>1236</v>
      </c>
    </row>
    <row r="571" spans="8:16">
      <c r="H571" s="516">
        <v>0</v>
      </c>
      <c r="I571" s="516">
        <v>0.99999999999999989</v>
      </c>
      <c r="J571" s="517" t="s">
        <v>1240</v>
      </c>
      <c r="M571" s="513">
        <v>0</v>
      </c>
      <c r="N571" s="516">
        <v>1</v>
      </c>
      <c r="O571" s="518" t="s">
        <v>1240</v>
      </c>
      <c r="P571" s="13" t="s">
        <v>1236</v>
      </c>
    </row>
    <row r="572" spans="8:16">
      <c r="H572" s="516">
        <v>0</v>
      </c>
      <c r="I572" s="516">
        <v>0.99999999999999989</v>
      </c>
      <c r="J572" s="517" t="s">
        <v>1240</v>
      </c>
      <c r="M572" s="513">
        <v>0</v>
      </c>
      <c r="N572" s="516">
        <v>1</v>
      </c>
      <c r="O572" s="518" t="s">
        <v>1240</v>
      </c>
      <c r="P572" s="13" t="s">
        <v>1236</v>
      </c>
    </row>
    <row r="573" spans="8:16">
      <c r="H573" s="516">
        <v>0</v>
      </c>
      <c r="I573" s="516">
        <v>0.99999999999999989</v>
      </c>
      <c r="J573" s="517" t="s">
        <v>1240</v>
      </c>
      <c r="M573" s="513">
        <v>0</v>
      </c>
      <c r="N573" s="516">
        <v>1</v>
      </c>
      <c r="O573" s="518" t="s">
        <v>1240</v>
      </c>
      <c r="P573" s="13" t="s">
        <v>1236</v>
      </c>
    </row>
    <row r="574" spans="8:16">
      <c r="H574" s="516">
        <v>0</v>
      </c>
      <c r="I574" s="516">
        <v>0.99999999999999989</v>
      </c>
      <c r="J574" s="517" t="s">
        <v>1240</v>
      </c>
      <c r="M574" s="513">
        <v>0</v>
      </c>
      <c r="N574" s="516">
        <v>1</v>
      </c>
      <c r="O574" s="518" t="s">
        <v>1240</v>
      </c>
      <c r="P574" s="13" t="s">
        <v>1236</v>
      </c>
    </row>
    <row r="575" spans="8:16">
      <c r="H575" s="516">
        <v>0</v>
      </c>
      <c r="I575" s="516">
        <v>0.99999999999999989</v>
      </c>
      <c r="J575" s="517" t="s">
        <v>1240</v>
      </c>
      <c r="M575" s="513">
        <v>0</v>
      </c>
      <c r="N575" s="516">
        <v>1</v>
      </c>
      <c r="O575" s="518" t="s">
        <v>1240</v>
      </c>
      <c r="P575" s="13" t="s">
        <v>1236</v>
      </c>
    </row>
    <row r="576" spans="8:16">
      <c r="H576" s="516">
        <v>0</v>
      </c>
      <c r="I576" s="516">
        <v>0.99999999999999989</v>
      </c>
      <c r="J576" s="517" t="s">
        <v>1240</v>
      </c>
      <c r="M576" s="513">
        <v>0</v>
      </c>
      <c r="N576" s="516">
        <v>1</v>
      </c>
      <c r="O576" s="518" t="s">
        <v>1240</v>
      </c>
      <c r="P576" s="13" t="s">
        <v>1236</v>
      </c>
    </row>
    <row r="577" spans="8:16">
      <c r="H577" s="516">
        <v>0</v>
      </c>
      <c r="I577" s="516">
        <v>0.99999999999999989</v>
      </c>
      <c r="J577" s="517" t="s">
        <v>1240</v>
      </c>
      <c r="M577" s="513">
        <v>0</v>
      </c>
      <c r="N577" s="516">
        <v>1</v>
      </c>
      <c r="O577" s="518" t="s">
        <v>1240</v>
      </c>
      <c r="P577" s="13" t="s">
        <v>1236</v>
      </c>
    </row>
    <row r="578" spans="8:16">
      <c r="H578" s="516">
        <v>0</v>
      </c>
      <c r="I578" s="516">
        <v>0.99999999999999989</v>
      </c>
      <c r="J578" s="517" t="s">
        <v>1240</v>
      </c>
      <c r="M578" s="513">
        <v>0</v>
      </c>
      <c r="N578" s="516">
        <v>1</v>
      </c>
      <c r="O578" s="518" t="s">
        <v>1240</v>
      </c>
      <c r="P578" s="13" t="s">
        <v>1236</v>
      </c>
    </row>
    <row r="579" spans="8:16">
      <c r="H579" s="516">
        <v>0</v>
      </c>
      <c r="I579" s="516">
        <v>0.99999999999999989</v>
      </c>
      <c r="J579" s="517" t="s">
        <v>1240</v>
      </c>
      <c r="M579" s="513">
        <v>0</v>
      </c>
      <c r="N579" s="516">
        <v>1</v>
      </c>
      <c r="O579" s="518" t="s">
        <v>1240</v>
      </c>
      <c r="P579" s="13" t="s">
        <v>1236</v>
      </c>
    </row>
    <row r="580" spans="8:16">
      <c r="H580" s="516">
        <v>0</v>
      </c>
      <c r="I580" s="516">
        <v>0.99999999999999989</v>
      </c>
      <c r="J580" s="517" t="s">
        <v>1240</v>
      </c>
      <c r="M580" s="513">
        <v>0</v>
      </c>
      <c r="N580" s="516">
        <v>1</v>
      </c>
      <c r="O580" s="518" t="s">
        <v>1240</v>
      </c>
      <c r="P580" s="13" t="s">
        <v>1236</v>
      </c>
    </row>
    <row r="581" spans="8:16">
      <c r="H581" s="516">
        <v>0</v>
      </c>
      <c r="I581" s="516">
        <v>0.99999999999999989</v>
      </c>
      <c r="J581" s="517" t="s">
        <v>1240</v>
      </c>
      <c r="M581" s="513">
        <v>0</v>
      </c>
      <c r="N581" s="516">
        <v>1</v>
      </c>
      <c r="O581" s="518" t="s">
        <v>1240</v>
      </c>
      <c r="P581" s="13" t="s">
        <v>1236</v>
      </c>
    </row>
    <row r="582" spans="8:16">
      <c r="H582" s="516">
        <v>0</v>
      </c>
      <c r="I582" s="516">
        <v>0.99999999999999989</v>
      </c>
      <c r="J582" s="517" t="s">
        <v>1240</v>
      </c>
      <c r="M582" s="513">
        <v>0</v>
      </c>
      <c r="N582" s="516">
        <v>1</v>
      </c>
      <c r="O582" s="518" t="s">
        <v>1240</v>
      </c>
      <c r="P582" s="13" t="s">
        <v>1236</v>
      </c>
    </row>
    <row r="583" spans="8:16">
      <c r="H583" s="516">
        <v>0</v>
      </c>
      <c r="I583" s="516">
        <v>0.99999999999999989</v>
      </c>
      <c r="J583" s="517" t="s">
        <v>1240</v>
      </c>
      <c r="M583" s="513">
        <v>0</v>
      </c>
      <c r="N583" s="516">
        <v>1</v>
      </c>
      <c r="O583" s="518" t="s">
        <v>1240</v>
      </c>
      <c r="P583" s="13" t="s">
        <v>1236</v>
      </c>
    </row>
    <row r="584" spans="8:16">
      <c r="H584" s="516">
        <v>0</v>
      </c>
      <c r="I584" s="516">
        <v>0.99999999999999989</v>
      </c>
      <c r="J584" s="517" t="s">
        <v>1240</v>
      </c>
      <c r="M584" s="513">
        <v>0</v>
      </c>
      <c r="N584" s="516">
        <v>1</v>
      </c>
      <c r="O584" s="518" t="s">
        <v>1240</v>
      </c>
      <c r="P584" s="13" t="s">
        <v>1236</v>
      </c>
    </row>
    <row r="585" spans="8:16">
      <c r="H585" s="516">
        <v>0</v>
      </c>
      <c r="I585" s="516">
        <v>0.99999999999999989</v>
      </c>
      <c r="J585" s="517" t="s">
        <v>1240</v>
      </c>
      <c r="M585" s="513">
        <v>0</v>
      </c>
      <c r="N585" s="516">
        <v>1</v>
      </c>
      <c r="O585" s="518" t="s">
        <v>1240</v>
      </c>
      <c r="P585" s="13" t="s">
        <v>1236</v>
      </c>
    </row>
    <row r="586" spans="8:16">
      <c r="H586" s="516">
        <v>0</v>
      </c>
      <c r="I586" s="516">
        <v>0.99999999999999989</v>
      </c>
      <c r="J586" s="517" t="s">
        <v>1240</v>
      </c>
      <c r="M586" s="513">
        <v>0</v>
      </c>
      <c r="N586" s="516">
        <v>1</v>
      </c>
      <c r="O586" s="518" t="s">
        <v>1240</v>
      </c>
      <c r="P586" s="13" t="s">
        <v>1236</v>
      </c>
    </row>
    <row r="587" spans="8:16">
      <c r="H587" s="516">
        <v>0</v>
      </c>
      <c r="I587" s="516">
        <v>0.99999999999999989</v>
      </c>
      <c r="J587" s="517" t="s">
        <v>1240</v>
      </c>
      <c r="M587" s="513">
        <v>0</v>
      </c>
      <c r="N587" s="516">
        <v>1</v>
      </c>
      <c r="O587" s="518" t="s">
        <v>1240</v>
      </c>
      <c r="P587" s="13" t="s">
        <v>1236</v>
      </c>
    </row>
    <row r="588" spans="8:16">
      <c r="H588" s="516">
        <v>0</v>
      </c>
      <c r="I588" s="516">
        <v>0.99999999999999989</v>
      </c>
      <c r="J588" s="517" t="s">
        <v>1240</v>
      </c>
      <c r="M588" s="513">
        <v>0</v>
      </c>
      <c r="N588" s="516">
        <v>1</v>
      </c>
      <c r="O588" s="518" t="s">
        <v>1240</v>
      </c>
      <c r="P588" s="13" t="s">
        <v>1236</v>
      </c>
    </row>
    <row r="589" spans="8:16">
      <c r="H589" s="516">
        <v>0</v>
      </c>
      <c r="I589" s="516">
        <v>0.99999999999999989</v>
      </c>
      <c r="J589" s="517" t="s">
        <v>1240</v>
      </c>
      <c r="M589" s="513">
        <v>0</v>
      </c>
      <c r="N589" s="516">
        <v>1</v>
      </c>
      <c r="O589" s="518" t="s">
        <v>1240</v>
      </c>
      <c r="P589" s="13" t="s">
        <v>1236</v>
      </c>
    </row>
    <row r="590" spans="8:16">
      <c r="H590" s="516">
        <v>0</v>
      </c>
      <c r="I590" s="516">
        <v>0.99999999999999989</v>
      </c>
      <c r="J590" s="517" t="s">
        <v>1240</v>
      </c>
      <c r="M590" s="513">
        <v>0</v>
      </c>
      <c r="N590" s="516">
        <v>1</v>
      </c>
      <c r="O590" s="518" t="s">
        <v>1240</v>
      </c>
      <c r="P590" s="13" t="s">
        <v>1236</v>
      </c>
    </row>
    <row r="591" spans="8:16">
      <c r="H591" s="516">
        <v>0</v>
      </c>
      <c r="I591" s="516">
        <v>0.99999999999999989</v>
      </c>
      <c r="J591" s="517" t="s">
        <v>1240</v>
      </c>
      <c r="M591" s="513">
        <v>0</v>
      </c>
      <c r="N591" s="516">
        <v>1</v>
      </c>
      <c r="O591" s="518" t="s">
        <v>1240</v>
      </c>
      <c r="P591" s="13" t="s">
        <v>1236</v>
      </c>
    </row>
    <row r="592" spans="8:16">
      <c r="H592" s="516">
        <v>0</v>
      </c>
      <c r="I592" s="516">
        <v>0.99999999999999989</v>
      </c>
      <c r="J592" s="517" t="s">
        <v>1240</v>
      </c>
      <c r="M592" s="513">
        <v>0</v>
      </c>
      <c r="N592" s="516">
        <v>1</v>
      </c>
      <c r="O592" s="518" t="s">
        <v>1240</v>
      </c>
      <c r="P592" s="13" t="s">
        <v>1236</v>
      </c>
    </row>
    <row r="593" spans="8:16">
      <c r="H593" s="516">
        <v>0</v>
      </c>
      <c r="I593" s="516">
        <v>0.99999999999999989</v>
      </c>
      <c r="J593" s="517" t="s">
        <v>1240</v>
      </c>
      <c r="M593" s="513">
        <v>0</v>
      </c>
      <c r="N593" s="516">
        <v>1</v>
      </c>
      <c r="O593" s="518" t="s">
        <v>1240</v>
      </c>
      <c r="P593" s="13" t="s">
        <v>1236</v>
      </c>
    </row>
    <row r="594" spans="8:16">
      <c r="H594" s="516">
        <v>0</v>
      </c>
      <c r="I594" s="516">
        <v>0.99999999999999989</v>
      </c>
      <c r="J594" s="517" t="s">
        <v>1240</v>
      </c>
      <c r="M594" s="513">
        <v>0</v>
      </c>
      <c r="N594" s="516">
        <v>1</v>
      </c>
      <c r="O594" s="518" t="s">
        <v>1240</v>
      </c>
      <c r="P594" s="13" t="s">
        <v>1236</v>
      </c>
    </row>
    <row r="595" spans="8:16">
      <c r="H595" s="516">
        <v>0</v>
      </c>
      <c r="I595" s="516">
        <v>0.99999999999999989</v>
      </c>
      <c r="J595" s="517" t="s">
        <v>1240</v>
      </c>
      <c r="M595" s="513">
        <v>0</v>
      </c>
      <c r="N595" s="516">
        <v>1</v>
      </c>
      <c r="O595" s="518" t="s">
        <v>1240</v>
      </c>
      <c r="P595" s="13" t="s">
        <v>1236</v>
      </c>
    </row>
    <row r="596" spans="8:16">
      <c r="H596" s="516">
        <v>0</v>
      </c>
      <c r="I596" s="516">
        <v>0.99999999999999989</v>
      </c>
      <c r="J596" s="517" t="s">
        <v>1240</v>
      </c>
      <c r="M596" s="513">
        <v>0</v>
      </c>
      <c r="N596" s="516">
        <v>1</v>
      </c>
      <c r="O596" s="518" t="s">
        <v>1240</v>
      </c>
      <c r="P596" s="13" t="s">
        <v>1236</v>
      </c>
    </row>
    <row r="597" spans="8:16">
      <c r="H597" s="516">
        <v>0</v>
      </c>
      <c r="I597" s="516">
        <v>0.99999999999999989</v>
      </c>
      <c r="J597" s="517" t="s">
        <v>1240</v>
      </c>
      <c r="M597" s="513">
        <v>0</v>
      </c>
      <c r="N597" s="516">
        <v>1</v>
      </c>
      <c r="O597" s="518" t="s">
        <v>1240</v>
      </c>
      <c r="P597" s="13" t="s">
        <v>1236</v>
      </c>
    </row>
    <row r="598" spans="8:16">
      <c r="H598" s="516">
        <v>0</v>
      </c>
      <c r="I598" s="516">
        <v>0.99999999999999989</v>
      </c>
      <c r="J598" s="517" t="s">
        <v>1240</v>
      </c>
      <c r="M598" s="513">
        <v>0</v>
      </c>
      <c r="N598" s="516">
        <v>1</v>
      </c>
      <c r="O598" s="518" t="s">
        <v>1240</v>
      </c>
      <c r="P598" s="13" t="s">
        <v>1236</v>
      </c>
    </row>
    <row r="599" spans="8:16">
      <c r="H599" s="516">
        <v>0</v>
      </c>
      <c r="I599" s="516">
        <v>0.99999999999999989</v>
      </c>
      <c r="J599" s="517" t="s">
        <v>1240</v>
      </c>
      <c r="M599" s="513">
        <v>0</v>
      </c>
      <c r="N599" s="516">
        <v>1</v>
      </c>
      <c r="O599" s="518" t="s">
        <v>1240</v>
      </c>
      <c r="P599" s="13" t="s">
        <v>1236</v>
      </c>
    </row>
    <row r="600" spans="8:16">
      <c r="H600" s="516">
        <v>0</v>
      </c>
      <c r="I600" s="516">
        <v>0.99999999999999989</v>
      </c>
      <c r="J600" s="517" t="s">
        <v>1240</v>
      </c>
      <c r="M600" s="513">
        <v>0</v>
      </c>
      <c r="N600" s="516">
        <v>1</v>
      </c>
      <c r="O600" s="518" t="s">
        <v>1240</v>
      </c>
      <c r="P600" s="13" t="s">
        <v>1236</v>
      </c>
    </row>
    <row r="601" spans="8:16">
      <c r="H601" s="516"/>
      <c r="I601" s="516"/>
      <c r="J601" s="517"/>
      <c r="M601" s="516"/>
      <c r="N601" s="516"/>
      <c r="O601" s="517"/>
    </row>
    <row r="602" spans="8:16">
      <c r="H602" s="516"/>
      <c r="I602" s="516"/>
      <c r="J602" s="517"/>
      <c r="M602" s="516"/>
      <c r="N602" s="516"/>
      <c r="O602" s="517"/>
    </row>
    <row r="603" spans="8:16">
      <c r="H603" s="516"/>
      <c r="I603" s="516"/>
      <c r="J603" s="517"/>
      <c r="M603" s="516"/>
      <c r="N603" s="516"/>
      <c r="O603" s="517"/>
    </row>
    <row r="604" spans="8:16">
      <c r="H604" s="516"/>
      <c r="I604" s="516"/>
      <c r="J604" s="517"/>
      <c r="M604" s="516"/>
      <c r="N604" s="516"/>
      <c r="O604" s="517"/>
    </row>
    <row r="605" spans="8:16">
      <c r="H605" s="516"/>
      <c r="I605" s="516"/>
      <c r="J605" s="517"/>
      <c r="M605" s="516"/>
      <c r="N605" s="516"/>
      <c r="O605" s="517"/>
    </row>
    <row r="606" spans="8:16">
      <c r="H606" s="516"/>
      <c r="I606" s="516"/>
      <c r="J606" s="517"/>
      <c r="M606" s="516"/>
      <c r="N606" s="516"/>
      <c r="O606" s="517"/>
    </row>
    <row r="607" spans="8:16">
      <c r="H607" s="516"/>
      <c r="I607" s="516"/>
      <c r="J607" s="517"/>
      <c r="M607" s="516"/>
      <c r="N607" s="516"/>
      <c r="O607" s="517"/>
    </row>
    <row r="608" spans="8:16">
      <c r="H608" s="516"/>
      <c r="I608" s="516"/>
      <c r="J608" s="517"/>
      <c r="M608" s="516"/>
      <c r="N608" s="516"/>
      <c r="O608" s="517"/>
    </row>
    <row r="609" spans="8:15">
      <c r="H609" s="516"/>
      <c r="I609" s="516"/>
      <c r="J609" s="517"/>
      <c r="M609" s="516"/>
      <c r="N609" s="516"/>
      <c r="O609" s="517"/>
    </row>
    <row r="610" spans="8:15">
      <c r="H610" s="516"/>
      <c r="I610" s="516"/>
      <c r="J610" s="517"/>
      <c r="M610" s="516"/>
      <c r="N610" s="516"/>
      <c r="O610" s="517"/>
    </row>
    <row r="611" spans="8:15">
      <c r="H611" s="516"/>
      <c r="I611" s="516"/>
      <c r="J611" s="517"/>
      <c r="M611" s="516"/>
      <c r="N611" s="516"/>
      <c r="O611" s="517"/>
    </row>
    <row r="612" spans="8:15">
      <c r="H612" s="516"/>
      <c r="I612" s="516"/>
      <c r="J612" s="517"/>
      <c r="M612" s="516"/>
      <c r="N612" s="516"/>
      <c r="O612" s="517"/>
    </row>
    <row r="613" spans="8:15">
      <c r="H613" s="516"/>
      <c r="I613" s="516"/>
      <c r="J613" s="517"/>
      <c r="M613" s="516"/>
      <c r="N613" s="516"/>
      <c r="O613" s="517"/>
    </row>
  </sheetData>
  <autoFilter ref="A1:H12" xr:uid="{00000000-0009-0000-0000-000001000000}"/>
  <mergeCells count="2">
    <mergeCell ref="F8:G9"/>
    <mergeCell ref="K8:L9"/>
  </mergeCells>
  <conditionalFormatting sqref="I14:J613 N14:P613">
    <cfRule type="expression" dxfId="96" priority="1">
      <formula>$A14=""</formula>
    </cfRule>
  </conditionalFormatting>
  <printOptions horizontalCentered="1"/>
  <pageMargins left="0.39370078740157477" right="0.59055118110236215" top="0.39370078740157477" bottom="0.59055118110236227" header="0.31496062992125984" footer="0.23622047244094491"/>
  <pageSetup paperSize="9" scale="48" fitToHeight="21" orientation="landscape" r:id="rId1"/>
  <headerFooter>
    <oddFooter>&amp;C&amp;8Página &amp;P/&amp;N</oddFooter>
  </headerFooter>
  <rowBreaks count="1" manualBreakCount="1">
    <brk id="24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E6A85-5243-4610-B374-0CC79E1A0CBF}">
  <sheetPr codeName="Planilha3">
    <tabColor rgb="FF92D050"/>
    <pageSetUpPr fitToPage="1"/>
  </sheetPr>
  <dimension ref="H4:R53"/>
  <sheetViews>
    <sheetView showZeros="0" zoomScaleNormal="100" workbookViewId="0"/>
  </sheetViews>
  <sheetFormatPr defaultRowHeight="12.75"/>
  <cols>
    <col min="1" max="34" width="8.5" style="4" customWidth="1"/>
    <col min="35" max="16384" width="9" style="4"/>
  </cols>
  <sheetData>
    <row r="4" ht="20.25" customHeight="1"/>
    <row r="5" ht="16.5" customHeight="1"/>
    <row r="6" ht="23.25" customHeight="1"/>
    <row r="49" spans="8:18" ht="18">
      <c r="H49" s="519" t="str">
        <f>+Orcamento!B2</f>
        <v>PREFEITURA MUNICIPAL DE RIBAS DO RIO PARDO</v>
      </c>
      <c r="I49" s="520"/>
      <c r="J49" s="521"/>
      <c r="K49" s="521"/>
      <c r="L49" s="521"/>
      <c r="M49" s="521"/>
      <c r="N49" s="521"/>
      <c r="O49" s="521"/>
      <c r="P49" s="521"/>
      <c r="Q49" s="522"/>
      <c r="R49" s="522"/>
    </row>
    <row r="50" spans="8:18">
      <c r="H50" s="523" t="str">
        <f>+Orcamento!B3</f>
        <v>ESTADO DE MATO GROSSO DO SUL</v>
      </c>
      <c r="I50" s="520"/>
      <c r="J50" s="521"/>
      <c r="K50" s="521"/>
      <c r="L50" s="521"/>
      <c r="M50" s="521"/>
      <c r="N50" s="521"/>
      <c r="O50" s="521"/>
      <c r="P50" s="521"/>
      <c r="Q50" s="522"/>
      <c r="R50" s="522"/>
    </row>
    <row r="51" spans="8:18">
      <c r="H51" s="521"/>
      <c r="I51" s="522" t="str">
        <f>+Orcamento!B6</f>
        <v>OBRA :</v>
      </c>
      <c r="J51" s="524" t="str">
        <f>+Orcamento!D6</f>
        <v>RESTAURAÇÃO FUNCIONAL DO PAVIMENTO</v>
      </c>
      <c r="K51" s="524"/>
      <c r="L51" s="524"/>
      <c r="M51" s="524"/>
      <c r="N51" s="524"/>
      <c r="O51" s="524"/>
      <c r="P51" s="524"/>
      <c r="Q51" s="522"/>
      <c r="R51" s="522"/>
    </row>
    <row r="52" spans="8:18">
      <c r="H52" s="2531" t="str">
        <f>+Orcamento!B7</f>
        <v>LOCAL :</v>
      </c>
      <c r="I52" s="2531"/>
      <c r="J52" s="2532" t="str">
        <f>+Orcamento!D7</f>
        <v>VÁRIAS RUAS</v>
      </c>
      <c r="K52" s="2532"/>
      <c r="L52" s="2532"/>
      <c r="M52" s="2532"/>
      <c r="N52" s="2532"/>
      <c r="O52" s="2532"/>
      <c r="P52" s="2532"/>
      <c r="Q52" s="522"/>
      <c r="R52" s="522"/>
    </row>
    <row r="53" spans="8:18">
      <c r="H53" s="2531"/>
      <c r="I53" s="2531"/>
      <c r="J53" s="2532"/>
      <c r="K53" s="2532"/>
      <c r="L53" s="2532"/>
      <c r="M53" s="2532"/>
      <c r="N53" s="2532"/>
      <c r="O53" s="2532"/>
      <c r="P53" s="2532"/>
      <c r="Q53" s="522"/>
      <c r="R53" s="522"/>
    </row>
  </sheetData>
  <mergeCells count="2">
    <mergeCell ref="H52:I53"/>
    <mergeCell ref="J52:P53"/>
  </mergeCells>
  <printOptions horizontalCentered="1" verticalCentered="1"/>
  <pageMargins left="0.39370078740157477" right="0.59055118110236215" top="0.39370078740157477" bottom="0.59055118110236215" header="0.82677165354330717" footer="0.23622047244094491"/>
  <pageSetup paperSize="9" fitToWidth="0" orientation="landscape" r:id="rId1"/>
  <headerFooter>
    <oddFooter>&amp;C&amp;8Página &amp;P/&amp;N</oddFooter>
  </headerFooter>
  <rowBreaks count="1" manualBreakCount="1">
    <brk id="31" max="31" man="1"/>
  </rowBreaks>
  <colBreaks count="2" manualBreakCount="2">
    <brk id="16" max="36" man="1"/>
    <brk id="32" max="36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511F5-21FA-489F-96FA-F2997192C5FB}">
  <sheetPr codeName="Planilha48">
    <tabColor rgb="FF92D050"/>
    <pageSetUpPr fitToPage="1"/>
  </sheetPr>
  <dimension ref="Q4:AF6"/>
  <sheetViews>
    <sheetView showZeros="0" tabSelected="1" zoomScaleNormal="100" workbookViewId="0">
      <selection activeCell="AH3" sqref="AH3"/>
    </sheetView>
  </sheetViews>
  <sheetFormatPr defaultRowHeight="12.75"/>
  <cols>
    <col min="1" max="16" width="8.5" style="4" customWidth="1"/>
    <col min="17" max="32" width="8.5" style="4" hidden="1" customWidth="1"/>
    <col min="33" max="34" width="8.5" style="4" customWidth="1"/>
    <col min="35" max="16384" width="9" style="4"/>
  </cols>
  <sheetData>
    <row r="4" ht="20.25" customHeight="1"/>
    <row r="5" ht="16.5" customHeight="1"/>
    <row r="6" ht="23.25" customHeight="1"/>
  </sheetData>
  <printOptions horizontalCentered="1" verticalCentered="1"/>
  <pageMargins left="0.39370078740157477" right="0.59055118110236215" top="0.39370078740157477" bottom="0.59055118110236215" header="0.82677165354330717" footer="0.23622047244094491"/>
  <pageSetup paperSize="9" orientation="landscape" r:id="rId1"/>
  <headerFooter>
    <oddFooter>&amp;C&amp;8Página &amp;P/&amp;N</oddFooter>
  </headerFooter>
  <rowBreaks count="1" manualBreakCount="1">
    <brk id="31" max="31" man="1"/>
  </rowBreaks>
  <colBreaks count="2" manualBreakCount="2">
    <brk id="16" max="36" man="1"/>
    <brk id="32" max="36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A48AB-4509-4EAF-AF80-7A2B8C74A072}">
  <sheetPr codeName="Planilha8">
    <tabColor rgb="FF92D050"/>
    <pageSetUpPr fitToPage="1"/>
  </sheetPr>
  <dimension ref="A1:T72"/>
  <sheetViews>
    <sheetView showZeros="0" zoomScaleNormal="100" workbookViewId="0"/>
  </sheetViews>
  <sheetFormatPr defaultColWidth="10" defaultRowHeight="12.75"/>
  <cols>
    <col min="1" max="1" width="9.875" style="543" customWidth="1"/>
    <col min="2" max="2" width="15.25" style="544" hidden="1" customWidth="1"/>
    <col min="3" max="3" width="60.625" style="545" customWidth="1"/>
    <col min="4" max="4" width="11.5" style="605" customWidth="1"/>
    <col min="5" max="5" width="8.25" style="606" customWidth="1"/>
    <col min="6" max="6" width="9.125" style="545" customWidth="1"/>
    <col min="7" max="7" width="9.125" style="545" hidden="1" customWidth="1"/>
    <col min="8" max="8" width="9.125" style="605" customWidth="1"/>
    <col min="9" max="9" width="9.125" style="605" hidden="1" customWidth="1"/>
    <col min="10" max="10" width="14.5" style="605" customWidth="1"/>
    <col min="11" max="11" width="14.5" style="605" hidden="1" customWidth="1"/>
    <col min="12" max="47" width="10" style="545" customWidth="1"/>
    <col min="48" max="16384" width="10" style="545"/>
  </cols>
  <sheetData>
    <row r="1" spans="1:20" s="527" customFormat="1" ht="21.95" customHeight="1">
      <c r="A1" s="525" t="s">
        <v>1246</v>
      </c>
      <c r="B1" s="526"/>
      <c r="C1" s="525"/>
      <c r="D1" s="525"/>
      <c r="E1" s="525"/>
      <c r="F1" s="525"/>
      <c r="G1" s="525"/>
      <c r="H1" s="525"/>
      <c r="I1" s="525"/>
      <c r="J1" s="525"/>
      <c r="K1" s="525"/>
    </row>
    <row r="2" spans="1:20" s="527" customFormat="1" ht="18" customHeight="1">
      <c r="A2" s="527" t="s">
        <v>1247</v>
      </c>
      <c r="B2" s="528"/>
      <c r="C2" s="527" t="s">
        <v>3518</v>
      </c>
      <c r="D2" s="529"/>
      <c r="E2" s="530"/>
    </row>
    <row r="3" spans="1:20" s="527" customFormat="1" ht="18" customHeight="1">
      <c r="A3" s="527" t="s">
        <v>1248</v>
      </c>
      <c r="B3" s="528"/>
      <c r="C3" s="527" t="s">
        <v>3520</v>
      </c>
      <c r="D3" s="2544">
        <v>0</v>
      </c>
      <c r="E3" s="2544"/>
      <c r="J3" s="531" t="s">
        <v>8</v>
      </c>
      <c r="K3" s="531" t="s">
        <v>1249</v>
      </c>
    </row>
    <row r="4" spans="1:20" s="527" customFormat="1" ht="18" customHeight="1">
      <c r="A4" s="527" t="s">
        <v>1250</v>
      </c>
      <c r="B4" s="528"/>
      <c r="C4" s="30">
        <v>45383</v>
      </c>
      <c r="D4" s="2544"/>
      <c r="E4" s="2544"/>
      <c r="H4" s="532" t="s">
        <v>1251</v>
      </c>
      <c r="I4" s="532" t="s">
        <v>1251</v>
      </c>
      <c r="J4" s="533">
        <v>1.0676000000000001</v>
      </c>
      <c r="K4" s="533">
        <v>0.79349999999999998</v>
      </c>
    </row>
    <row r="5" spans="1:20" s="527" customFormat="1" ht="18" customHeight="1" thickBot="1">
      <c r="B5" s="528"/>
      <c r="H5" s="532" t="s">
        <v>1252</v>
      </c>
      <c r="I5" s="532" t="s">
        <v>1252</v>
      </c>
      <c r="J5" s="533">
        <v>0.64390000000000003</v>
      </c>
      <c r="K5" s="533">
        <v>0.42449999999999999</v>
      </c>
    </row>
    <row r="6" spans="1:20" s="538" customFormat="1" ht="18" customHeight="1" thickTop="1">
      <c r="A6" s="534" t="s">
        <v>63</v>
      </c>
      <c r="B6" s="535"/>
      <c r="C6" s="2545" t="s">
        <v>1253</v>
      </c>
      <c r="D6" s="2546"/>
      <c r="E6" s="2547" t="s">
        <v>1254</v>
      </c>
      <c r="F6" s="2548"/>
      <c r="G6" s="2548"/>
      <c r="H6" s="2549"/>
      <c r="I6" s="536"/>
      <c r="J6" s="537" t="s">
        <v>1255</v>
      </c>
      <c r="K6" s="537" t="s">
        <v>1255</v>
      </c>
      <c r="M6" s="527"/>
      <c r="N6" s="527"/>
      <c r="O6" s="527"/>
      <c r="P6" s="527"/>
      <c r="Q6" s="527"/>
      <c r="R6" s="527"/>
      <c r="S6" s="527"/>
      <c r="T6" s="527"/>
    </row>
    <row r="7" spans="1:20" s="538" customFormat="1" ht="35.1" customHeight="1" thickBot="1">
      <c r="A7" s="539" t="s">
        <v>412</v>
      </c>
      <c r="B7" s="540"/>
      <c r="C7" s="2550" t="s">
        <v>1256</v>
      </c>
      <c r="D7" s="2551"/>
      <c r="E7" s="2552" t="s">
        <v>1257</v>
      </c>
      <c r="F7" s="2553"/>
      <c r="G7" s="2554"/>
      <c r="H7" s="541">
        <v>12</v>
      </c>
      <c r="I7" s="541">
        <v>12</v>
      </c>
      <c r="J7" s="542" t="s">
        <v>1258</v>
      </c>
      <c r="K7" s="542" t="s">
        <v>1258</v>
      </c>
      <c r="M7" s="527"/>
      <c r="N7" s="527"/>
      <c r="O7" s="527"/>
      <c r="P7" s="527"/>
      <c r="Q7" s="527"/>
      <c r="R7" s="527"/>
      <c r="S7" s="527"/>
      <c r="T7" s="527"/>
    </row>
    <row r="8" spans="1:20" ht="18" customHeight="1" thickTop="1" thickBot="1">
      <c r="D8" s="545"/>
      <c r="E8" s="545"/>
      <c r="H8" s="545"/>
      <c r="I8" s="545"/>
      <c r="J8" s="545"/>
      <c r="K8" s="545"/>
      <c r="M8" s="527"/>
      <c r="N8" s="527"/>
      <c r="O8" s="527"/>
      <c r="P8" s="527"/>
      <c r="Q8" s="527"/>
      <c r="R8" s="527"/>
      <c r="S8" s="527"/>
      <c r="T8" s="527"/>
    </row>
    <row r="9" spans="1:20" s="527" customFormat="1" ht="18" customHeight="1" thickTop="1">
      <c r="A9" s="2535" t="s">
        <v>63</v>
      </c>
      <c r="B9" s="2537" t="s">
        <v>1259</v>
      </c>
      <c r="C9" s="2555" t="s">
        <v>1260</v>
      </c>
      <c r="D9" s="2541" t="s">
        <v>65</v>
      </c>
      <c r="E9" s="2541" t="s">
        <v>28</v>
      </c>
      <c r="F9" s="2541" t="s">
        <v>1261</v>
      </c>
      <c r="G9" s="2541" t="s">
        <v>1261</v>
      </c>
      <c r="H9" s="2541" t="s">
        <v>29</v>
      </c>
      <c r="I9" s="2541" t="s">
        <v>29</v>
      </c>
      <c r="J9" s="2542" t="s">
        <v>1262</v>
      </c>
      <c r="K9" s="2542" t="s">
        <v>1262</v>
      </c>
    </row>
    <row r="10" spans="1:20" s="527" customFormat="1">
      <c r="A10" s="2536"/>
      <c r="B10" s="2538"/>
      <c r="C10" s="2556"/>
      <c r="D10" s="2534"/>
      <c r="E10" s="2534"/>
      <c r="F10" s="2534"/>
      <c r="G10" s="2534"/>
      <c r="H10" s="2534"/>
      <c r="I10" s="2534"/>
      <c r="J10" s="2543"/>
      <c r="K10" s="2543"/>
    </row>
    <row r="11" spans="1:20" s="552" customFormat="1" ht="35.1" hidden="1" customHeight="1">
      <c r="A11" s="546" t="s">
        <v>1263</v>
      </c>
      <c r="B11" s="547" t="s">
        <v>1263</v>
      </c>
      <c r="C11" s="548" t="s">
        <v>3548</v>
      </c>
      <c r="D11" s="549" t="s">
        <v>3549</v>
      </c>
      <c r="E11" s="549" t="s">
        <v>3550</v>
      </c>
      <c r="F11" s="549">
        <v>4112.16</v>
      </c>
      <c r="G11" s="549">
        <v>4154.09</v>
      </c>
      <c r="H11" s="550">
        <v>0</v>
      </c>
      <c r="I11" s="550">
        <v>0</v>
      </c>
      <c r="J11" s="551">
        <v>0</v>
      </c>
      <c r="K11" s="551">
        <v>0</v>
      </c>
    </row>
    <row r="12" spans="1:20" s="552" customFormat="1" ht="35.1" hidden="1" customHeight="1">
      <c r="A12" s="546" t="s">
        <v>1264</v>
      </c>
      <c r="B12" s="547" t="s">
        <v>1264</v>
      </c>
      <c r="C12" s="548" t="s">
        <v>3551</v>
      </c>
      <c r="D12" s="549" t="s">
        <v>3549</v>
      </c>
      <c r="E12" s="549" t="s">
        <v>3550</v>
      </c>
      <c r="F12" s="549">
        <v>6673.73</v>
      </c>
      <c r="G12" s="549">
        <v>6939.69</v>
      </c>
      <c r="H12" s="550"/>
      <c r="I12" s="550">
        <v>1</v>
      </c>
      <c r="J12" s="551">
        <v>0</v>
      </c>
      <c r="K12" s="551">
        <v>6939.69</v>
      </c>
    </row>
    <row r="13" spans="1:20" s="552" customFormat="1" ht="35.1" hidden="1" customHeight="1">
      <c r="A13" s="546" t="s">
        <v>1265</v>
      </c>
      <c r="B13" s="547" t="s">
        <v>1265</v>
      </c>
      <c r="C13" s="548" t="s">
        <v>3552</v>
      </c>
      <c r="D13" s="549" t="s">
        <v>3549</v>
      </c>
      <c r="E13" s="549" t="s">
        <v>3550</v>
      </c>
      <c r="F13" s="549">
        <v>10879.69</v>
      </c>
      <c r="G13" s="549">
        <v>10381.98</v>
      </c>
      <c r="H13" s="550"/>
      <c r="I13" s="550"/>
      <c r="J13" s="551">
        <v>0</v>
      </c>
      <c r="K13" s="551">
        <v>0</v>
      </c>
    </row>
    <row r="14" spans="1:20" s="552" customFormat="1" ht="20.100000000000001" hidden="1" customHeight="1">
      <c r="A14" s="546" t="s">
        <v>1266</v>
      </c>
      <c r="B14" s="547" t="s">
        <v>1266</v>
      </c>
      <c r="C14" s="548" t="s">
        <v>3553</v>
      </c>
      <c r="D14" s="549" t="s">
        <v>3554</v>
      </c>
      <c r="E14" s="549" t="s">
        <v>1258</v>
      </c>
      <c r="F14" s="549">
        <v>3201.9</v>
      </c>
      <c r="G14" s="549">
        <v>3201.9</v>
      </c>
      <c r="H14" s="550">
        <v>0</v>
      </c>
      <c r="I14" s="550">
        <v>4</v>
      </c>
      <c r="J14" s="551">
        <v>0</v>
      </c>
      <c r="K14" s="551">
        <v>12807.6</v>
      </c>
    </row>
    <row r="15" spans="1:20" s="552" customFormat="1" ht="20.100000000000001" hidden="1" customHeight="1">
      <c r="A15" s="546" t="s">
        <v>1267</v>
      </c>
      <c r="B15" s="547" t="s">
        <v>1267</v>
      </c>
      <c r="C15" s="548" t="s">
        <v>3555</v>
      </c>
      <c r="D15" s="549" t="s">
        <v>3554</v>
      </c>
      <c r="E15" s="549" t="s">
        <v>1258</v>
      </c>
      <c r="F15" s="549">
        <v>4145.63</v>
      </c>
      <c r="G15" s="549">
        <v>4145.63</v>
      </c>
      <c r="H15" s="550">
        <v>0</v>
      </c>
      <c r="I15" s="550">
        <v>4</v>
      </c>
      <c r="J15" s="551">
        <v>0</v>
      </c>
      <c r="K15" s="551">
        <v>16582.52</v>
      </c>
    </row>
    <row r="16" spans="1:20" s="527" customFormat="1" ht="15.95" customHeight="1" thickBot="1">
      <c r="A16" s="553"/>
      <c r="B16" s="554"/>
      <c r="C16" s="555"/>
      <c r="D16" s="556"/>
      <c r="E16" s="557"/>
      <c r="F16" s="557"/>
      <c r="G16" s="557"/>
      <c r="H16" s="558"/>
      <c r="I16" s="558"/>
      <c r="J16" s="559"/>
      <c r="K16" s="551">
        <v>0</v>
      </c>
    </row>
    <row r="17" spans="1:18" s="527" customFormat="1" ht="18" customHeight="1" thickTop="1">
      <c r="A17" s="560"/>
      <c r="B17" s="561"/>
      <c r="C17" s="562"/>
      <c r="D17" s="563" t="s">
        <v>1268</v>
      </c>
      <c r="E17" s="564"/>
      <c r="F17" s="564"/>
      <c r="G17" s="564"/>
      <c r="H17" s="565"/>
      <c r="I17" s="565"/>
      <c r="J17" s="565">
        <v>0</v>
      </c>
      <c r="K17" s="565">
        <v>36329.81</v>
      </c>
    </row>
    <row r="18" spans="1:18" s="527" customFormat="1" ht="18" customHeight="1" thickBot="1">
      <c r="A18" s="566"/>
      <c r="B18" s="567"/>
      <c r="C18" s="530"/>
      <c r="D18" s="563"/>
      <c r="H18" s="563"/>
      <c r="I18" s="563"/>
      <c r="J18" s="563"/>
      <c r="K18" s="563"/>
    </row>
    <row r="19" spans="1:18" s="527" customFormat="1" ht="18" customHeight="1" thickTop="1">
      <c r="A19" s="2535" t="s">
        <v>63</v>
      </c>
      <c r="B19" s="2537" t="s">
        <v>1259</v>
      </c>
      <c r="C19" s="2539" t="s">
        <v>1269</v>
      </c>
      <c r="D19" s="2541" t="s">
        <v>65</v>
      </c>
      <c r="E19" s="2541" t="s">
        <v>28</v>
      </c>
      <c r="F19" s="2533" t="s">
        <v>1270</v>
      </c>
      <c r="G19" s="2533" t="s">
        <v>1270</v>
      </c>
      <c r="H19" s="2541" t="s">
        <v>29</v>
      </c>
      <c r="I19" s="2541" t="s">
        <v>29</v>
      </c>
      <c r="J19" s="2542" t="s">
        <v>1271</v>
      </c>
      <c r="K19" s="2542" t="s">
        <v>1271</v>
      </c>
    </row>
    <row r="20" spans="1:18" s="527" customFormat="1" ht="18" customHeight="1">
      <c r="A20" s="2536"/>
      <c r="B20" s="2538"/>
      <c r="C20" s="2540"/>
      <c r="D20" s="2534"/>
      <c r="E20" s="2534"/>
      <c r="F20" s="2534"/>
      <c r="G20" s="2534"/>
      <c r="H20" s="2534"/>
      <c r="I20" s="2534"/>
      <c r="J20" s="2543"/>
      <c r="K20" s="2543"/>
      <c r="L20" s="552"/>
      <c r="M20" s="552"/>
      <c r="N20" s="552"/>
      <c r="O20" s="552"/>
      <c r="P20" s="568"/>
      <c r="Q20" s="569"/>
      <c r="R20" s="570"/>
    </row>
    <row r="21" spans="1:18" s="552" customFormat="1" ht="20.100000000000001" customHeight="1">
      <c r="A21" s="571">
        <v>93567</v>
      </c>
      <c r="B21" s="547" t="s">
        <v>3556</v>
      </c>
      <c r="C21" s="548" t="s">
        <v>3557</v>
      </c>
      <c r="D21" s="549" t="s">
        <v>1416</v>
      </c>
      <c r="E21" s="549" t="s">
        <v>3542</v>
      </c>
      <c r="F21" s="549">
        <v>21495.47</v>
      </c>
      <c r="G21" s="549">
        <v>18680.259999999998</v>
      </c>
      <c r="H21" s="572">
        <v>1</v>
      </c>
      <c r="I21" s="573">
        <v>4</v>
      </c>
      <c r="J21" s="551">
        <v>21495.47</v>
      </c>
      <c r="K21" s="551">
        <v>74721.039999999994</v>
      </c>
      <c r="L21" s="574"/>
      <c r="M21" s="574"/>
      <c r="N21" s="574"/>
      <c r="O21" s="574"/>
    </row>
    <row r="22" spans="1:18" s="552" customFormat="1" ht="20.100000000000001" hidden="1" customHeight="1">
      <c r="A22" s="571">
        <v>93565</v>
      </c>
      <c r="B22" s="547" t="s">
        <v>3558</v>
      </c>
      <c r="C22" s="548" t="s">
        <v>3559</v>
      </c>
      <c r="D22" s="549" t="s">
        <v>1416</v>
      </c>
      <c r="E22" s="549" t="s">
        <v>3542</v>
      </c>
      <c r="F22" s="549">
        <v>20381.09</v>
      </c>
      <c r="G22" s="549">
        <v>17714.61</v>
      </c>
      <c r="H22" s="572"/>
      <c r="I22" s="573"/>
      <c r="J22" s="551">
        <v>0</v>
      </c>
      <c r="K22" s="551">
        <v>0</v>
      </c>
      <c r="L22" s="574"/>
      <c r="M22" s="574"/>
      <c r="N22" s="574"/>
      <c r="O22" s="574"/>
    </row>
    <row r="23" spans="1:18" s="552" customFormat="1" ht="20.100000000000001" customHeight="1">
      <c r="A23" s="571">
        <v>93563</v>
      </c>
      <c r="B23" s="547" t="s">
        <v>3560</v>
      </c>
      <c r="C23" s="548" t="s">
        <v>3561</v>
      </c>
      <c r="D23" s="549" t="s">
        <v>1416</v>
      </c>
      <c r="E23" s="549" t="s">
        <v>3542</v>
      </c>
      <c r="F23" s="549">
        <v>3843.68</v>
      </c>
      <c r="G23" s="549">
        <v>3238.58</v>
      </c>
      <c r="H23" s="572">
        <v>1</v>
      </c>
      <c r="I23" s="573">
        <v>5</v>
      </c>
      <c r="J23" s="551">
        <v>3843.68</v>
      </c>
      <c r="K23" s="551">
        <v>16192.9</v>
      </c>
      <c r="L23" s="574"/>
      <c r="M23" s="574"/>
      <c r="N23" s="574"/>
      <c r="O23" s="574"/>
    </row>
    <row r="24" spans="1:18" s="552" customFormat="1" ht="20.100000000000001" customHeight="1">
      <c r="A24" s="571">
        <v>93564</v>
      </c>
      <c r="B24" s="547" t="s">
        <v>3562</v>
      </c>
      <c r="C24" s="548" t="s">
        <v>3563</v>
      </c>
      <c r="D24" s="549" t="s">
        <v>1416</v>
      </c>
      <c r="E24" s="549" t="s">
        <v>3542</v>
      </c>
      <c r="F24" s="549">
        <v>3760.7</v>
      </c>
      <c r="G24" s="549">
        <v>3170.26</v>
      </c>
      <c r="H24" s="572">
        <v>1</v>
      </c>
      <c r="I24" s="573">
        <v>5</v>
      </c>
      <c r="J24" s="551">
        <v>3760.7</v>
      </c>
      <c r="K24" s="551">
        <v>15851.300000000001</v>
      </c>
      <c r="L24" s="574"/>
      <c r="M24" s="574"/>
      <c r="N24" s="574"/>
      <c r="O24" s="574"/>
    </row>
    <row r="25" spans="1:18" s="552" customFormat="1" ht="20.100000000000001" customHeight="1">
      <c r="A25" s="571">
        <v>94295</v>
      </c>
      <c r="B25" s="547" t="s">
        <v>3564</v>
      </c>
      <c r="C25" s="548" t="s">
        <v>3565</v>
      </c>
      <c r="D25" s="549" t="s">
        <v>1416</v>
      </c>
      <c r="E25" s="549" t="s">
        <v>3542</v>
      </c>
      <c r="F25" s="549">
        <v>6138.37</v>
      </c>
      <c r="G25" s="549">
        <v>5387.76</v>
      </c>
      <c r="H25" s="572">
        <v>1</v>
      </c>
      <c r="I25" s="573">
        <v>5</v>
      </c>
      <c r="J25" s="551">
        <v>6138.37</v>
      </c>
      <c r="K25" s="551">
        <v>26938.800000000003</v>
      </c>
      <c r="L25" s="574"/>
      <c r="M25" s="574"/>
      <c r="N25" s="574"/>
      <c r="O25" s="574"/>
    </row>
    <row r="26" spans="1:18" s="552" customFormat="1" ht="20.100000000000001" customHeight="1">
      <c r="A26" s="571">
        <v>100321</v>
      </c>
      <c r="B26" s="547" t="s">
        <v>3566</v>
      </c>
      <c r="C26" s="548" t="s">
        <v>3567</v>
      </c>
      <c r="D26" s="549" t="s">
        <v>1416</v>
      </c>
      <c r="E26" s="549" t="s">
        <v>3542</v>
      </c>
      <c r="F26" s="549">
        <v>5434.22</v>
      </c>
      <c r="G26" s="549">
        <v>4548.1499999999996</v>
      </c>
      <c r="H26" s="572">
        <v>1</v>
      </c>
      <c r="I26" s="573">
        <v>5</v>
      </c>
      <c r="J26" s="551">
        <v>5434.22</v>
      </c>
      <c r="K26" s="551">
        <v>22740.75</v>
      </c>
      <c r="L26" s="574"/>
      <c r="M26" s="574"/>
      <c r="N26" s="574"/>
      <c r="O26" s="574"/>
    </row>
    <row r="27" spans="1:18" s="552" customFormat="1" ht="20.100000000000001" hidden="1" customHeight="1">
      <c r="A27" s="571">
        <v>94296</v>
      </c>
      <c r="B27" s="547" t="s">
        <v>3568</v>
      </c>
      <c r="C27" s="548" t="s">
        <v>3569</v>
      </c>
      <c r="D27" s="549" t="s">
        <v>1416</v>
      </c>
      <c r="E27" s="549" t="s">
        <v>3542</v>
      </c>
      <c r="F27" s="549">
        <v>4309.82</v>
      </c>
      <c r="G27" s="549">
        <v>3788.69</v>
      </c>
      <c r="H27" s="572"/>
      <c r="I27" s="573">
        <v>4</v>
      </c>
      <c r="J27" s="551">
        <v>0</v>
      </c>
      <c r="K27" s="551">
        <v>15154.76</v>
      </c>
      <c r="L27" s="574"/>
      <c r="M27" s="574"/>
      <c r="N27" s="574"/>
      <c r="O27" s="574"/>
      <c r="R27" s="552">
        <v>0</v>
      </c>
    </row>
    <row r="28" spans="1:18" s="552" customFormat="1" ht="20.100000000000001" hidden="1" customHeight="1">
      <c r="A28" s="571">
        <v>101456</v>
      </c>
      <c r="B28" s="547" t="s">
        <v>3570</v>
      </c>
      <c r="C28" s="548" t="s">
        <v>3571</v>
      </c>
      <c r="D28" s="549" t="s">
        <v>1416</v>
      </c>
      <c r="E28" s="549" t="s">
        <v>3542</v>
      </c>
      <c r="F28" s="549">
        <v>5592.07</v>
      </c>
      <c r="G28" s="549">
        <v>4678.1099999999997</v>
      </c>
      <c r="H28" s="572"/>
      <c r="I28" s="573">
        <v>4</v>
      </c>
      <c r="J28" s="551">
        <v>0</v>
      </c>
      <c r="K28" s="551">
        <v>18712.439999999999</v>
      </c>
      <c r="L28" s="574"/>
      <c r="M28" s="574"/>
      <c r="N28" s="574"/>
      <c r="O28" s="574"/>
      <c r="R28" s="552">
        <v>0</v>
      </c>
    </row>
    <row r="29" spans="1:18" s="552" customFormat="1" ht="20.100000000000001" hidden="1" customHeight="1">
      <c r="A29" s="571">
        <v>101389</v>
      </c>
      <c r="B29" s="547" t="s">
        <v>3572</v>
      </c>
      <c r="C29" s="548" t="s">
        <v>3573</v>
      </c>
      <c r="D29" s="549" t="s">
        <v>1416</v>
      </c>
      <c r="E29" s="549" t="s">
        <v>3542</v>
      </c>
      <c r="F29" s="549">
        <v>2162.34</v>
      </c>
      <c r="G29" s="549">
        <v>1927.81</v>
      </c>
      <c r="H29" s="572"/>
      <c r="I29" s="573">
        <v>4</v>
      </c>
      <c r="J29" s="551">
        <v>0</v>
      </c>
      <c r="K29" s="551">
        <v>7711.24</v>
      </c>
      <c r="L29" s="574"/>
      <c r="M29" s="574"/>
      <c r="N29" s="574"/>
      <c r="O29" s="574"/>
    </row>
    <row r="30" spans="1:18" s="552" customFormat="1" ht="20.100000000000001" hidden="1" customHeight="1">
      <c r="A30" s="571">
        <v>101385</v>
      </c>
      <c r="B30" s="547" t="s">
        <v>3574</v>
      </c>
      <c r="C30" s="548" t="s">
        <v>3575</v>
      </c>
      <c r="D30" s="549" t="s">
        <v>1416</v>
      </c>
      <c r="E30" s="549" t="s">
        <v>3542</v>
      </c>
      <c r="F30" s="549">
        <v>4711.88</v>
      </c>
      <c r="G30" s="549">
        <v>3953.41</v>
      </c>
      <c r="H30" s="572"/>
      <c r="I30" s="573">
        <v>4</v>
      </c>
      <c r="J30" s="551">
        <v>0</v>
      </c>
      <c r="K30" s="551">
        <v>15813.64</v>
      </c>
      <c r="L30" s="574"/>
      <c r="M30" s="574"/>
      <c r="N30" s="574"/>
      <c r="O30" s="574"/>
      <c r="R30" s="552">
        <v>0</v>
      </c>
    </row>
    <row r="31" spans="1:18" s="552" customFormat="1" ht="20.100000000000001" customHeight="1">
      <c r="A31" s="575">
        <v>101460</v>
      </c>
      <c r="B31" s="547" t="s">
        <v>3576</v>
      </c>
      <c r="C31" s="548" t="s">
        <v>3577</v>
      </c>
      <c r="D31" s="549" t="s">
        <v>1416</v>
      </c>
      <c r="E31" s="549" t="s">
        <v>3542</v>
      </c>
      <c r="F31" s="549">
        <v>3563.4</v>
      </c>
      <c r="G31" s="549">
        <v>3248.76</v>
      </c>
      <c r="H31" s="572">
        <v>12</v>
      </c>
      <c r="I31" s="573">
        <v>5</v>
      </c>
      <c r="J31" s="551">
        <v>42760.800000000003</v>
      </c>
      <c r="K31" s="551">
        <v>16243.800000000001</v>
      </c>
      <c r="L31" s="574"/>
      <c r="M31" s="574"/>
      <c r="N31" s="574"/>
      <c r="O31" s="574"/>
    </row>
    <row r="32" spans="1:18" s="552" customFormat="1" hidden="1">
      <c r="A32" s="575"/>
      <c r="B32" s="547"/>
      <c r="C32" s="576"/>
      <c r="D32" s="577"/>
      <c r="E32" s="578"/>
      <c r="F32" s="573"/>
      <c r="G32" s="573"/>
      <c r="H32" s="573"/>
      <c r="I32" s="573"/>
      <c r="J32" s="579"/>
      <c r="K32" s="580"/>
      <c r="L32" s="574"/>
      <c r="M32" s="574"/>
      <c r="N32" s="574"/>
      <c r="O32" s="574"/>
    </row>
    <row r="33" spans="1:15" s="552" customFormat="1" hidden="1">
      <c r="A33" s="575"/>
      <c r="B33" s="581"/>
      <c r="C33" s="576"/>
      <c r="D33" s="577"/>
      <c r="E33" s="578"/>
      <c r="F33" s="573"/>
      <c r="G33" s="573"/>
      <c r="H33" s="573"/>
      <c r="I33" s="573"/>
      <c r="J33" s="579"/>
      <c r="K33" s="580"/>
      <c r="L33" s="574"/>
      <c r="M33" s="574"/>
      <c r="N33" s="574"/>
      <c r="O33" s="574"/>
    </row>
    <row r="34" spans="1:15" s="552" customFormat="1" hidden="1">
      <c r="A34" s="575"/>
      <c r="B34" s="581"/>
      <c r="C34" s="576"/>
      <c r="D34" s="577"/>
      <c r="E34" s="578"/>
      <c r="F34" s="573"/>
      <c r="G34" s="573"/>
      <c r="H34" s="573"/>
      <c r="I34" s="573"/>
      <c r="J34" s="580"/>
      <c r="K34" s="580"/>
      <c r="L34" s="574"/>
      <c r="M34" s="574"/>
      <c r="N34" s="574"/>
      <c r="O34" s="574"/>
    </row>
    <row r="35" spans="1:15" s="552" customFormat="1" hidden="1">
      <c r="A35" s="575"/>
      <c r="B35" s="581"/>
      <c r="C35" s="576"/>
      <c r="D35" s="577"/>
      <c r="E35" s="578"/>
      <c r="F35" s="573"/>
      <c r="G35" s="573"/>
      <c r="H35" s="573"/>
      <c r="I35" s="573"/>
      <c r="J35" s="580"/>
      <c r="K35" s="580"/>
      <c r="L35" s="574"/>
      <c r="M35" s="574"/>
      <c r="N35" s="574"/>
      <c r="O35" s="574"/>
    </row>
    <row r="36" spans="1:15" s="552" customFormat="1" hidden="1">
      <c r="A36" s="575"/>
      <c r="B36" s="581"/>
      <c r="C36" s="576"/>
      <c r="D36" s="577"/>
      <c r="E36" s="578"/>
      <c r="F36" s="573"/>
      <c r="G36" s="573"/>
      <c r="H36" s="573"/>
      <c r="I36" s="573"/>
      <c r="J36" s="580"/>
      <c r="K36" s="580"/>
      <c r="L36" s="574"/>
      <c r="M36" s="574"/>
      <c r="N36" s="574"/>
      <c r="O36" s="574"/>
    </row>
    <row r="37" spans="1:15" s="552" customFormat="1" hidden="1">
      <c r="A37" s="575"/>
      <c r="B37" s="581"/>
      <c r="C37" s="576"/>
      <c r="D37" s="577"/>
      <c r="E37" s="578"/>
      <c r="F37" s="573"/>
      <c r="G37" s="573"/>
      <c r="H37" s="573"/>
      <c r="I37" s="573"/>
      <c r="J37" s="580"/>
      <c r="K37" s="580"/>
      <c r="L37" s="574"/>
      <c r="M37" s="574"/>
      <c r="N37" s="574"/>
      <c r="O37" s="574"/>
    </row>
    <row r="38" spans="1:15" s="552" customFormat="1" hidden="1">
      <c r="A38" s="575"/>
      <c r="B38" s="581"/>
      <c r="C38" s="576"/>
      <c r="D38" s="577"/>
      <c r="E38" s="578"/>
      <c r="F38" s="573"/>
      <c r="G38" s="573"/>
      <c r="H38" s="573"/>
      <c r="I38" s="573"/>
      <c r="J38" s="580"/>
      <c r="K38" s="580"/>
      <c r="L38" s="574"/>
      <c r="M38" s="574"/>
      <c r="N38" s="574"/>
      <c r="O38" s="574"/>
    </row>
    <row r="39" spans="1:15" s="552" customFormat="1" hidden="1">
      <c r="A39" s="575"/>
      <c r="B39" s="581"/>
      <c r="C39" s="576"/>
      <c r="D39" s="577"/>
      <c r="E39" s="578"/>
      <c r="F39" s="573"/>
      <c r="G39" s="573"/>
      <c r="H39" s="573"/>
      <c r="I39" s="573"/>
      <c r="J39" s="580"/>
      <c r="K39" s="580"/>
      <c r="L39" s="574"/>
      <c r="M39" s="574"/>
      <c r="N39" s="574"/>
      <c r="O39" s="574"/>
    </row>
    <row r="40" spans="1:15" s="552" customFormat="1" hidden="1">
      <c r="A40" s="575"/>
      <c r="B40" s="581"/>
      <c r="C40" s="576"/>
      <c r="D40" s="577"/>
      <c r="E40" s="578"/>
      <c r="F40" s="573"/>
      <c r="G40" s="573"/>
      <c r="H40" s="573"/>
      <c r="I40" s="573"/>
      <c r="J40" s="580"/>
      <c r="K40" s="580"/>
      <c r="L40" s="574"/>
      <c r="M40" s="574"/>
      <c r="N40" s="574"/>
      <c r="O40" s="574"/>
    </row>
    <row r="41" spans="1:15" s="552" customFormat="1" hidden="1">
      <c r="A41" s="575"/>
      <c r="B41" s="581"/>
      <c r="C41" s="576"/>
      <c r="D41" s="577"/>
      <c r="E41" s="578"/>
      <c r="F41" s="573"/>
      <c r="G41" s="573"/>
      <c r="H41" s="573"/>
      <c r="I41" s="573"/>
      <c r="J41" s="580"/>
      <c r="K41" s="580"/>
      <c r="L41" s="574"/>
      <c r="M41" s="574"/>
      <c r="N41" s="574"/>
      <c r="O41" s="574"/>
    </row>
    <row r="42" spans="1:15" s="552" customFormat="1" hidden="1">
      <c r="A42" s="575"/>
      <c r="B42" s="581"/>
      <c r="C42" s="576"/>
      <c r="D42" s="577"/>
      <c r="E42" s="578"/>
      <c r="F42" s="573"/>
      <c r="G42" s="573"/>
      <c r="H42" s="573"/>
      <c r="I42" s="573"/>
      <c r="J42" s="580"/>
      <c r="K42" s="580"/>
      <c r="L42" s="574"/>
      <c r="M42" s="574"/>
      <c r="N42" s="574"/>
      <c r="O42" s="574"/>
    </row>
    <row r="43" spans="1:15" s="552" customFormat="1" hidden="1">
      <c r="A43" s="575"/>
      <c r="B43" s="581"/>
      <c r="C43" s="576"/>
      <c r="D43" s="577"/>
      <c r="E43" s="578"/>
      <c r="F43" s="573"/>
      <c r="G43" s="573"/>
      <c r="H43" s="573"/>
      <c r="I43" s="573"/>
      <c r="J43" s="580"/>
      <c r="K43" s="580"/>
      <c r="L43" s="574"/>
      <c r="M43" s="574"/>
      <c r="N43" s="574"/>
      <c r="O43" s="574"/>
    </row>
    <row r="44" spans="1:15" s="552" customFormat="1" hidden="1">
      <c r="A44" s="575"/>
      <c r="B44" s="581"/>
      <c r="C44" s="576"/>
      <c r="D44" s="577"/>
      <c r="E44" s="578"/>
      <c r="F44" s="573"/>
      <c r="G44" s="573"/>
      <c r="H44" s="573"/>
      <c r="I44" s="573"/>
      <c r="J44" s="580"/>
      <c r="K44" s="580"/>
      <c r="L44" s="574"/>
      <c r="M44" s="574"/>
      <c r="N44" s="574"/>
      <c r="O44" s="574"/>
    </row>
    <row r="45" spans="1:15" s="552" customFormat="1" hidden="1">
      <c r="A45" s="575"/>
      <c r="B45" s="581"/>
      <c r="C45" s="576"/>
      <c r="D45" s="577"/>
      <c r="E45" s="578"/>
      <c r="F45" s="573"/>
      <c r="G45" s="573"/>
      <c r="H45" s="573"/>
      <c r="I45" s="573"/>
      <c r="J45" s="580"/>
      <c r="K45" s="580"/>
      <c r="L45" s="574"/>
      <c r="M45" s="574"/>
      <c r="N45" s="574"/>
      <c r="O45" s="574"/>
    </row>
    <row r="46" spans="1:15" s="552" customFormat="1" hidden="1">
      <c r="A46" s="575"/>
      <c r="B46" s="581"/>
      <c r="C46" s="576"/>
      <c r="D46" s="577"/>
      <c r="E46" s="578"/>
      <c r="F46" s="573"/>
      <c r="G46" s="573"/>
      <c r="H46" s="573"/>
      <c r="I46" s="573"/>
      <c r="J46" s="580"/>
      <c r="K46" s="580"/>
      <c r="L46" s="574"/>
      <c r="M46" s="574"/>
      <c r="N46" s="574"/>
      <c r="O46" s="574"/>
    </row>
    <row r="47" spans="1:15" s="552" customFormat="1" hidden="1">
      <c r="A47" s="575"/>
      <c r="B47" s="581"/>
      <c r="C47" s="576"/>
      <c r="D47" s="577"/>
      <c r="E47" s="578"/>
      <c r="F47" s="573"/>
      <c r="G47" s="573"/>
      <c r="H47" s="573"/>
      <c r="I47" s="573"/>
      <c r="J47" s="580"/>
      <c r="K47" s="580"/>
      <c r="L47" s="574"/>
      <c r="M47" s="574"/>
      <c r="N47" s="574"/>
      <c r="O47" s="574"/>
    </row>
    <row r="48" spans="1:15" s="552" customFormat="1" hidden="1">
      <c r="A48" s="575"/>
      <c r="B48" s="581"/>
      <c r="C48" s="576"/>
      <c r="D48" s="577"/>
      <c r="E48" s="578"/>
      <c r="F48" s="573"/>
      <c r="G48" s="573"/>
      <c r="H48" s="573"/>
      <c r="I48" s="573"/>
      <c r="J48" s="580"/>
      <c r="K48" s="580"/>
      <c r="L48" s="574"/>
      <c r="M48" s="574"/>
      <c r="N48" s="574"/>
      <c r="O48" s="574"/>
    </row>
    <row r="49" spans="1:15" s="552" customFormat="1" hidden="1">
      <c r="A49" s="575"/>
      <c r="B49" s="581"/>
      <c r="C49" s="576"/>
      <c r="D49" s="577"/>
      <c r="E49" s="578"/>
      <c r="F49" s="573"/>
      <c r="G49" s="573"/>
      <c r="H49" s="573"/>
      <c r="I49" s="573"/>
      <c r="J49" s="580"/>
      <c r="K49" s="580"/>
      <c r="L49" s="574"/>
      <c r="M49" s="574"/>
      <c r="N49" s="574"/>
      <c r="O49" s="574"/>
    </row>
    <row r="50" spans="1:15" s="552" customFormat="1" hidden="1">
      <c r="A50" s="575"/>
      <c r="B50" s="581"/>
      <c r="C50" s="576"/>
      <c r="D50" s="577"/>
      <c r="E50" s="578"/>
      <c r="F50" s="573"/>
      <c r="G50" s="573"/>
      <c r="H50" s="573"/>
      <c r="I50" s="573"/>
      <c r="J50" s="580"/>
      <c r="K50" s="580"/>
      <c r="L50" s="574"/>
      <c r="M50" s="574"/>
      <c r="N50" s="574"/>
      <c r="O50" s="574"/>
    </row>
    <row r="51" spans="1:15" s="552" customFormat="1" hidden="1">
      <c r="A51" s="575"/>
      <c r="B51" s="581"/>
      <c r="C51" s="576"/>
      <c r="D51" s="577"/>
      <c r="E51" s="578"/>
      <c r="F51" s="573"/>
      <c r="G51" s="573"/>
      <c r="H51" s="573"/>
      <c r="I51" s="573"/>
      <c r="J51" s="580"/>
      <c r="K51" s="580"/>
      <c r="L51" s="574"/>
      <c r="M51" s="574"/>
      <c r="N51" s="574"/>
      <c r="O51" s="574"/>
    </row>
    <row r="52" spans="1:15" s="552" customFormat="1" hidden="1">
      <c r="A52" s="575"/>
      <c r="B52" s="581"/>
      <c r="C52" s="576"/>
      <c r="D52" s="577"/>
      <c r="E52" s="578"/>
      <c r="F52" s="573"/>
      <c r="G52" s="573"/>
      <c r="H52" s="573"/>
      <c r="I52" s="573"/>
      <c r="J52" s="580"/>
      <c r="K52" s="580"/>
      <c r="L52" s="574"/>
      <c r="M52" s="574"/>
      <c r="N52" s="574"/>
      <c r="O52" s="574"/>
    </row>
    <row r="53" spans="1:15" s="552" customFormat="1" hidden="1">
      <c r="A53" s="575"/>
      <c r="B53" s="581"/>
      <c r="C53" s="576"/>
      <c r="D53" s="577"/>
      <c r="E53" s="578"/>
      <c r="F53" s="573"/>
      <c r="G53" s="573"/>
      <c r="H53" s="573"/>
      <c r="I53" s="573"/>
      <c r="J53" s="580"/>
      <c r="K53" s="580"/>
      <c r="L53" s="574"/>
      <c r="M53" s="574"/>
      <c r="N53" s="574"/>
      <c r="O53" s="574"/>
    </row>
    <row r="54" spans="1:15" s="552" customFormat="1" hidden="1">
      <c r="A54" s="575"/>
      <c r="B54" s="581"/>
      <c r="C54" s="576"/>
      <c r="D54" s="577"/>
      <c r="E54" s="578"/>
      <c r="F54" s="573"/>
      <c r="G54" s="573"/>
      <c r="H54" s="573"/>
      <c r="I54" s="573"/>
      <c r="J54" s="580"/>
      <c r="K54" s="580"/>
      <c r="L54" s="574"/>
      <c r="M54" s="574"/>
      <c r="N54" s="574"/>
      <c r="O54" s="574"/>
    </row>
    <row r="55" spans="1:15" s="552" customFormat="1" hidden="1">
      <c r="A55" s="575"/>
      <c r="B55" s="581"/>
      <c r="C55" s="576"/>
      <c r="D55" s="577"/>
      <c r="E55" s="578"/>
      <c r="F55" s="573"/>
      <c r="G55" s="573"/>
      <c r="H55" s="573"/>
      <c r="I55" s="573"/>
      <c r="J55" s="580"/>
      <c r="K55" s="580"/>
      <c r="L55" s="574"/>
      <c r="M55" s="574"/>
      <c r="N55" s="574"/>
      <c r="O55" s="574"/>
    </row>
    <row r="56" spans="1:15" s="552" customFormat="1" hidden="1">
      <c r="A56" s="575"/>
      <c r="B56" s="581"/>
      <c r="C56" s="576"/>
      <c r="D56" s="577"/>
      <c r="E56" s="578"/>
      <c r="F56" s="573"/>
      <c r="G56" s="573"/>
      <c r="H56" s="573"/>
      <c r="I56" s="573"/>
      <c r="J56" s="580"/>
      <c r="K56" s="580"/>
      <c r="L56" s="574"/>
      <c r="M56" s="574"/>
      <c r="N56" s="574"/>
      <c r="O56" s="574"/>
    </row>
    <row r="57" spans="1:15" s="552" customFormat="1" hidden="1">
      <c r="A57" s="575"/>
      <c r="B57" s="581"/>
      <c r="C57" s="576"/>
      <c r="D57" s="577"/>
      <c r="E57" s="578"/>
      <c r="F57" s="573"/>
      <c r="G57" s="573"/>
      <c r="H57" s="573"/>
      <c r="I57" s="573"/>
      <c r="J57" s="580"/>
      <c r="K57" s="580"/>
      <c r="L57" s="574"/>
      <c r="M57" s="574"/>
      <c r="N57" s="574"/>
      <c r="O57" s="574"/>
    </row>
    <row r="58" spans="1:15" s="552" customFormat="1" hidden="1">
      <c r="A58" s="575"/>
      <c r="B58" s="581"/>
      <c r="C58" s="576"/>
      <c r="D58" s="577"/>
      <c r="E58" s="578"/>
      <c r="F58" s="573"/>
      <c r="G58" s="573"/>
      <c r="H58" s="573"/>
      <c r="I58" s="573"/>
      <c r="J58" s="580"/>
      <c r="K58" s="580"/>
      <c r="L58" s="574"/>
      <c r="M58" s="574"/>
      <c r="N58" s="574"/>
      <c r="O58" s="574"/>
    </row>
    <row r="59" spans="1:15" s="552" customFormat="1" hidden="1">
      <c r="A59" s="575"/>
      <c r="B59" s="581"/>
      <c r="C59" s="576"/>
      <c r="D59" s="577"/>
      <c r="E59" s="578"/>
      <c r="F59" s="573"/>
      <c r="G59" s="573"/>
      <c r="H59" s="573"/>
      <c r="I59" s="573"/>
      <c r="J59" s="580"/>
      <c r="K59" s="580"/>
      <c r="L59" s="574"/>
      <c r="M59" s="574"/>
      <c r="N59" s="574"/>
      <c r="O59" s="574"/>
    </row>
    <row r="60" spans="1:15" s="552" customFormat="1" hidden="1">
      <c r="A60" s="575"/>
      <c r="B60" s="581"/>
      <c r="C60" s="576"/>
      <c r="D60" s="577"/>
      <c r="E60" s="578"/>
      <c r="F60" s="573"/>
      <c r="G60" s="573"/>
      <c r="H60" s="573"/>
      <c r="I60" s="573"/>
      <c r="J60" s="580"/>
      <c r="K60" s="580"/>
      <c r="L60" s="574"/>
      <c r="M60" s="574"/>
      <c r="N60" s="574"/>
      <c r="O60" s="574"/>
    </row>
    <row r="61" spans="1:15" s="552" customFormat="1">
      <c r="A61" s="575"/>
      <c r="B61" s="581"/>
      <c r="C61" s="576"/>
      <c r="D61" s="577"/>
      <c r="E61" s="578"/>
      <c r="F61" s="573"/>
      <c r="G61" s="573"/>
      <c r="H61" s="573"/>
      <c r="I61" s="573"/>
      <c r="J61" s="580"/>
      <c r="K61" s="580"/>
      <c r="L61" s="574"/>
      <c r="M61" s="574"/>
      <c r="N61" s="574"/>
      <c r="O61" s="574"/>
    </row>
    <row r="62" spans="1:15" s="552" customFormat="1">
      <c r="A62" s="575"/>
      <c r="B62" s="581"/>
      <c r="C62" s="576"/>
      <c r="D62" s="577"/>
      <c r="E62" s="578"/>
      <c r="F62" s="573"/>
      <c r="G62" s="573"/>
      <c r="H62" s="573"/>
      <c r="I62" s="573"/>
      <c r="J62" s="580"/>
      <c r="K62" s="580"/>
      <c r="L62" s="574"/>
      <c r="M62" s="574"/>
      <c r="N62" s="574"/>
      <c r="O62" s="574"/>
    </row>
    <row r="63" spans="1:15" s="552" customFormat="1" ht="13.5" thickBot="1">
      <c r="A63" s="582"/>
      <c r="B63" s="583"/>
      <c r="C63" s="584"/>
      <c r="D63" s="585"/>
      <c r="E63" s="586"/>
      <c r="F63" s="587"/>
      <c r="G63" s="587"/>
      <c r="H63" s="587"/>
      <c r="I63" s="587"/>
      <c r="J63" s="588"/>
      <c r="K63" s="588"/>
      <c r="L63" s="574"/>
      <c r="M63" s="574"/>
      <c r="N63" s="574"/>
      <c r="O63" s="574"/>
    </row>
    <row r="64" spans="1:15" s="527" customFormat="1" ht="18" customHeight="1" thickTop="1">
      <c r="A64" s="589"/>
      <c r="B64" s="581"/>
      <c r="C64" s="530"/>
      <c r="D64" s="590" t="s">
        <v>1272</v>
      </c>
      <c r="H64" s="591"/>
      <c r="I64" s="591"/>
      <c r="J64" s="529">
        <v>83433.240000000005</v>
      </c>
      <c r="K64" s="529">
        <v>230080.66999999998</v>
      </c>
      <c r="L64" s="552"/>
      <c r="M64" s="552"/>
      <c r="N64" s="552"/>
      <c r="O64" s="552"/>
    </row>
    <row r="65" spans="1:15" s="527" customFormat="1" ht="18" customHeight="1">
      <c r="A65" s="566"/>
      <c r="B65" s="567"/>
      <c r="C65" s="530"/>
      <c r="D65" s="592" t="s">
        <v>1273</v>
      </c>
      <c r="H65" s="529"/>
      <c r="I65" s="529"/>
      <c r="J65" s="529">
        <v>83433.240000000005</v>
      </c>
      <c r="K65" s="529">
        <v>266410.48</v>
      </c>
      <c r="L65" s="552"/>
      <c r="M65" s="552"/>
      <c r="N65" s="552"/>
      <c r="O65" s="552"/>
    </row>
    <row r="66" spans="1:15" s="527" customFormat="1" ht="18" customHeight="1">
      <c r="A66" s="589"/>
      <c r="B66" s="581"/>
      <c r="C66" s="530"/>
      <c r="D66" s="592" t="s">
        <v>1274</v>
      </c>
      <c r="J66" s="593">
        <v>6952.77</v>
      </c>
      <c r="K66" s="593">
        <v>22200.873333333333</v>
      </c>
      <c r="L66" s="552"/>
      <c r="M66" s="552"/>
      <c r="N66" s="552"/>
      <c r="O66" s="552"/>
    </row>
    <row r="67" spans="1:15" s="527" customFormat="1" ht="19.5" customHeight="1" thickBot="1">
      <c r="A67" s="589"/>
      <c r="B67" s="581"/>
      <c r="C67" s="594"/>
      <c r="D67" s="594"/>
      <c r="E67" s="594"/>
      <c r="F67" s="594"/>
      <c r="G67" s="594"/>
      <c r="H67" s="595"/>
      <c r="I67" s="595"/>
      <c r="J67" s="596"/>
      <c r="K67" s="596"/>
    </row>
    <row r="68" spans="1:15" s="527" customFormat="1" ht="18" customHeight="1" thickTop="1" thickBot="1">
      <c r="A68" s="597" t="s">
        <v>1275</v>
      </c>
      <c r="B68" s="598"/>
      <c r="C68" s="599"/>
      <c r="D68" s="600"/>
      <c r="E68" s="600"/>
      <c r="F68" s="601"/>
      <c r="G68" s="601"/>
      <c r="H68" s="602" t="s">
        <v>1200</v>
      </c>
      <c r="I68" s="602" t="s">
        <v>1200</v>
      </c>
      <c r="J68" s="603">
        <v>6952.77</v>
      </c>
      <c r="K68" s="603">
        <v>22200.87</v>
      </c>
    </row>
    <row r="69" spans="1:15" s="527" customFormat="1" ht="18" customHeight="1" thickTop="1" thickBot="1">
      <c r="A69" s="597" t="s">
        <v>3578</v>
      </c>
      <c r="B69" s="598"/>
      <c r="C69" s="599"/>
      <c r="D69" s="600"/>
      <c r="E69" s="600"/>
      <c r="F69" s="601"/>
      <c r="G69" s="601"/>
      <c r="H69" s="602" t="s">
        <v>1200</v>
      </c>
      <c r="I69" s="602" t="s">
        <v>1200</v>
      </c>
      <c r="J69" s="603">
        <v>83433.240000000005</v>
      </c>
      <c r="K69" s="603">
        <v>266410.44</v>
      </c>
    </row>
    <row r="70" spans="1:15" s="527" customFormat="1" ht="18" customHeight="1" thickTop="1">
      <c r="A70" s="604" t="s">
        <v>1276</v>
      </c>
      <c r="B70" s="604"/>
      <c r="D70" s="529"/>
      <c r="E70" s="530"/>
      <c r="H70" s="529"/>
      <c r="I70" s="529"/>
      <c r="J70" s="529"/>
      <c r="K70" s="529"/>
    </row>
    <row r="72" spans="1:15">
      <c r="J72" s="607">
        <v>3.2564449035756018E-2</v>
      </c>
      <c r="K72" s="607">
        <v>9.9273416696027905E-2</v>
      </c>
    </row>
  </sheetData>
  <mergeCells count="27">
    <mergeCell ref="A9:A10"/>
    <mergeCell ref="B9:B10"/>
    <mergeCell ref="C9:C10"/>
    <mergeCell ref="D9:D10"/>
    <mergeCell ref="E9:E10"/>
    <mergeCell ref="J9:J10"/>
    <mergeCell ref="K9:K10"/>
    <mergeCell ref="D3:E4"/>
    <mergeCell ref="C6:D6"/>
    <mergeCell ref="E6:H6"/>
    <mergeCell ref="C7:D7"/>
    <mergeCell ref="E7:G7"/>
    <mergeCell ref="F9:F10"/>
    <mergeCell ref="G9:G10"/>
    <mergeCell ref="H9:H10"/>
    <mergeCell ref="I9:I10"/>
    <mergeCell ref="G19:G20"/>
    <mergeCell ref="H19:H20"/>
    <mergeCell ref="I19:I20"/>
    <mergeCell ref="J19:J20"/>
    <mergeCell ref="K19:K20"/>
    <mergeCell ref="F19:F20"/>
    <mergeCell ref="A19:A20"/>
    <mergeCell ref="B19:B20"/>
    <mergeCell ref="C19:C20"/>
    <mergeCell ref="D19:D20"/>
    <mergeCell ref="E19:E20"/>
  </mergeCells>
  <printOptions horizontalCentered="1"/>
  <pageMargins left="0.39370078740157477" right="0.59055118110236215" top="0.39370078740157477" bottom="0.59055118110236215" header="0.23622047244094491" footer="0.23622047244094491"/>
  <pageSetup paperSize="9" scale="77" orientation="portrait" r:id="rId1"/>
  <headerFooter>
    <oddFooter>&amp;C&amp;8Página &amp;P/&amp;N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33103-97BC-49FC-9D1C-DB00075091B2}">
  <sheetPr codeName="Planilha47">
    <tabColor rgb="FF92D050"/>
    <pageSetUpPr fitToPage="1"/>
  </sheetPr>
  <dimension ref="A1:T72"/>
  <sheetViews>
    <sheetView showZeros="0" zoomScaleNormal="100" workbookViewId="0">
      <selection activeCell="C61" sqref="C61"/>
    </sheetView>
  </sheetViews>
  <sheetFormatPr defaultColWidth="10" defaultRowHeight="12.75"/>
  <cols>
    <col min="1" max="1" width="9.875" style="543" customWidth="1"/>
    <col min="2" max="2" width="15.25" style="544" hidden="1" customWidth="1"/>
    <col min="3" max="3" width="60.625" style="545" customWidth="1"/>
    <col min="4" max="4" width="11.5" style="605" customWidth="1"/>
    <col min="5" max="5" width="8.25" style="606" customWidth="1"/>
    <col min="6" max="6" width="9.125" style="545" customWidth="1"/>
    <col min="7" max="7" width="9.125" style="545" hidden="1" customWidth="1"/>
    <col min="8" max="8" width="9.125" style="605" customWidth="1"/>
    <col min="9" max="9" width="9.125" style="605" hidden="1" customWidth="1"/>
    <col min="10" max="10" width="14.5" style="605" customWidth="1"/>
    <col min="11" max="11" width="14.5" style="605" hidden="1" customWidth="1"/>
    <col min="12" max="47" width="10" style="545" customWidth="1"/>
    <col min="48" max="16384" width="10" style="545"/>
  </cols>
  <sheetData>
    <row r="1" spans="1:20" s="527" customFormat="1" ht="21.95" customHeight="1">
      <c r="A1" s="525" t="s">
        <v>1246</v>
      </c>
      <c r="B1" s="526"/>
      <c r="C1" s="525"/>
      <c r="D1" s="525"/>
      <c r="E1" s="525"/>
      <c r="F1" s="525"/>
      <c r="G1" s="525"/>
      <c r="H1" s="525"/>
      <c r="I1" s="525"/>
      <c r="J1" s="525"/>
      <c r="K1" s="525"/>
    </row>
    <row r="2" spans="1:20" s="527" customFormat="1" ht="18" customHeight="1">
      <c r="A2" s="527" t="s">
        <v>1247</v>
      </c>
      <c r="B2" s="528"/>
      <c r="C2" s="527" t="s">
        <v>3518</v>
      </c>
      <c r="D2" s="529"/>
      <c r="E2" s="530"/>
    </row>
    <row r="3" spans="1:20" s="527" customFormat="1" ht="18" customHeight="1">
      <c r="A3" s="527" t="s">
        <v>1248</v>
      </c>
      <c r="B3" s="528"/>
      <c r="C3" s="527" t="s">
        <v>3520</v>
      </c>
      <c r="D3" s="2544">
        <v>0</v>
      </c>
      <c r="E3" s="2544"/>
      <c r="J3" s="531" t="s">
        <v>8</v>
      </c>
      <c r="K3" s="531" t="s">
        <v>1249</v>
      </c>
    </row>
    <row r="4" spans="1:20" s="527" customFormat="1" ht="18" customHeight="1">
      <c r="A4" s="527" t="s">
        <v>1250</v>
      </c>
      <c r="B4" s="528"/>
      <c r="C4" s="30">
        <v>45383</v>
      </c>
      <c r="D4" s="2544"/>
      <c r="E4" s="2544"/>
      <c r="H4" s="532" t="s">
        <v>1251</v>
      </c>
      <c r="I4" s="532" t="s">
        <v>1251</v>
      </c>
      <c r="J4" s="533">
        <v>1.0676000000000001</v>
      </c>
      <c r="K4" s="533">
        <v>0.79349999999999998</v>
      </c>
    </row>
    <row r="5" spans="1:20" s="527" customFormat="1" ht="18" customHeight="1" thickBot="1">
      <c r="B5" s="528"/>
      <c r="H5" s="532" t="s">
        <v>1252</v>
      </c>
      <c r="I5" s="532" t="s">
        <v>1252</v>
      </c>
      <c r="J5" s="533">
        <v>0.64390000000000003</v>
      </c>
      <c r="K5" s="533">
        <v>0.42449999999999999</v>
      </c>
    </row>
    <row r="6" spans="1:20" s="538" customFormat="1" ht="18" customHeight="1" thickTop="1">
      <c r="A6" s="534" t="s">
        <v>63</v>
      </c>
      <c r="B6" s="535"/>
      <c r="C6" s="2545" t="s">
        <v>1253</v>
      </c>
      <c r="D6" s="2546"/>
      <c r="E6" s="2547" t="s">
        <v>1254</v>
      </c>
      <c r="F6" s="2548"/>
      <c r="G6" s="2548"/>
      <c r="H6" s="2549"/>
      <c r="I6" s="536"/>
      <c r="J6" s="537" t="s">
        <v>1255</v>
      </c>
      <c r="K6" s="537" t="s">
        <v>1255</v>
      </c>
      <c r="M6" s="527"/>
      <c r="N6" s="527"/>
      <c r="O6" s="527"/>
      <c r="P6" s="527"/>
      <c r="Q6" s="527"/>
      <c r="R6" s="527"/>
      <c r="S6" s="527"/>
      <c r="T6" s="527"/>
    </row>
    <row r="7" spans="1:20" s="538" customFormat="1" ht="35.1" customHeight="1" thickBot="1">
      <c r="A7" s="539" t="s">
        <v>412</v>
      </c>
      <c r="B7" s="540"/>
      <c r="C7" s="2550" t="s">
        <v>1256</v>
      </c>
      <c r="D7" s="2551"/>
      <c r="E7" s="2552" t="s">
        <v>1257</v>
      </c>
      <c r="F7" s="2553"/>
      <c r="G7" s="2554"/>
      <c r="H7" s="541">
        <v>12</v>
      </c>
      <c r="I7" s="541">
        <v>12</v>
      </c>
      <c r="J7" s="542" t="s">
        <v>1258</v>
      </c>
      <c r="K7" s="542" t="s">
        <v>1258</v>
      </c>
      <c r="M7" s="527"/>
      <c r="N7" s="527"/>
      <c r="O7" s="527"/>
      <c r="P7" s="527"/>
      <c r="Q7" s="527"/>
      <c r="R7" s="527"/>
      <c r="S7" s="527"/>
      <c r="T7" s="527"/>
    </row>
    <row r="8" spans="1:20" ht="18" customHeight="1" thickTop="1" thickBot="1">
      <c r="D8" s="545"/>
      <c r="E8" s="545"/>
      <c r="H8" s="545"/>
      <c r="I8" s="545"/>
      <c r="J8" s="545"/>
      <c r="K8" s="545"/>
      <c r="M8" s="527"/>
      <c r="N8" s="527"/>
      <c r="O8" s="527"/>
      <c r="P8" s="527"/>
      <c r="Q8" s="527"/>
      <c r="R8" s="527"/>
      <c r="S8" s="527"/>
      <c r="T8" s="527"/>
    </row>
    <row r="9" spans="1:20" s="527" customFormat="1" ht="18" customHeight="1" thickTop="1">
      <c r="A9" s="2535" t="s">
        <v>63</v>
      </c>
      <c r="B9" s="2537" t="s">
        <v>1259</v>
      </c>
      <c r="C9" s="2555" t="s">
        <v>1260</v>
      </c>
      <c r="D9" s="2541" t="s">
        <v>65</v>
      </c>
      <c r="E9" s="2541" t="s">
        <v>28</v>
      </c>
      <c r="F9" s="2541" t="s">
        <v>1261</v>
      </c>
      <c r="G9" s="2541" t="s">
        <v>1261</v>
      </c>
      <c r="H9" s="2541" t="s">
        <v>29</v>
      </c>
      <c r="I9" s="2541" t="s">
        <v>29</v>
      </c>
      <c r="J9" s="2542" t="s">
        <v>1262</v>
      </c>
      <c r="K9" s="2542" t="s">
        <v>1262</v>
      </c>
    </row>
    <row r="10" spans="1:20" s="527" customFormat="1">
      <c r="A10" s="2536"/>
      <c r="B10" s="2538"/>
      <c r="C10" s="2556"/>
      <c r="D10" s="2534"/>
      <c r="E10" s="2534"/>
      <c r="F10" s="2534"/>
      <c r="G10" s="2534"/>
      <c r="H10" s="2534"/>
      <c r="I10" s="2534"/>
      <c r="J10" s="2543"/>
      <c r="K10" s="2543"/>
    </row>
    <row r="11" spans="1:20" s="552" customFormat="1" ht="35.1" hidden="1" customHeight="1">
      <c r="A11" s="546" t="s">
        <v>1263</v>
      </c>
      <c r="B11" s="547" t="s">
        <v>1263</v>
      </c>
      <c r="C11" s="548" t="s">
        <v>3548</v>
      </c>
      <c r="D11" s="549" t="s">
        <v>3549</v>
      </c>
      <c r="E11" s="549" t="s">
        <v>3550</v>
      </c>
      <c r="F11" s="549">
        <v>4112.16</v>
      </c>
      <c r="G11" s="549">
        <v>4154.09</v>
      </c>
      <c r="H11" s="550">
        <v>0</v>
      </c>
      <c r="I11" s="550">
        <v>0</v>
      </c>
      <c r="J11" s="551">
        <v>0</v>
      </c>
      <c r="K11" s="551">
        <v>0</v>
      </c>
    </row>
    <row r="12" spans="1:20" s="552" customFormat="1" ht="35.1" hidden="1" customHeight="1">
      <c r="A12" s="546" t="s">
        <v>1264</v>
      </c>
      <c r="B12" s="547" t="s">
        <v>1264</v>
      </c>
      <c r="C12" s="548" t="s">
        <v>3551</v>
      </c>
      <c r="D12" s="549" t="s">
        <v>3549</v>
      </c>
      <c r="E12" s="549" t="s">
        <v>3550</v>
      </c>
      <c r="F12" s="549">
        <v>6673.73</v>
      </c>
      <c r="G12" s="549">
        <v>6939.69</v>
      </c>
      <c r="H12" s="550"/>
      <c r="I12" s="550">
        <v>1</v>
      </c>
      <c r="J12" s="551">
        <v>0</v>
      </c>
      <c r="K12" s="551">
        <v>6939.69</v>
      </c>
    </row>
    <row r="13" spans="1:20" s="552" customFormat="1" ht="35.1" hidden="1" customHeight="1">
      <c r="A13" s="546" t="s">
        <v>1265</v>
      </c>
      <c r="B13" s="547" t="s">
        <v>1265</v>
      </c>
      <c r="C13" s="548" t="s">
        <v>3552</v>
      </c>
      <c r="D13" s="549" t="s">
        <v>3549</v>
      </c>
      <c r="E13" s="549" t="s">
        <v>3550</v>
      </c>
      <c r="F13" s="549">
        <v>10879.69</v>
      </c>
      <c r="G13" s="549">
        <v>10381.98</v>
      </c>
      <c r="H13" s="550"/>
      <c r="I13" s="550"/>
      <c r="J13" s="551">
        <v>0</v>
      </c>
      <c r="K13" s="551">
        <v>0</v>
      </c>
    </row>
    <row r="14" spans="1:20" s="552" customFormat="1" ht="20.100000000000001" hidden="1" customHeight="1">
      <c r="A14" s="546" t="s">
        <v>1266</v>
      </c>
      <c r="B14" s="547" t="s">
        <v>1266</v>
      </c>
      <c r="C14" s="548" t="s">
        <v>3553</v>
      </c>
      <c r="D14" s="549" t="s">
        <v>3554</v>
      </c>
      <c r="E14" s="549" t="s">
        <v>1258</v>
      </c>
      <c r="F14" s="549">
        <v>3201.9</v>
      </c>
      <c r="G14" s="549">
        <v>3201.9</v>
      </c>
      <c r="H14" s="550">
        <v>0</v>
      </c>
      <c r="I14" s="550">
        <v>4</v>
      </c>
      <c r="J14" s="551">
        <v>0</v>
      </c>
      <c r="K14" s="551">
        <v>12807.6</v>
      </c>
    </row>
    <row r="15" spans="1:20" s="552" customFormat="1" ht="20.100000000000001" hidden="1" customHeight="1">
      <c r="A15" s="546" t="s">
        <v>1267</v>
      </c>
      <c r="B15" s="547" t="s">
        <v>1267</v>
      </c>
      <c r="C15" s="548" t="s">
        <v>3555</v>
      </c>
      <c r="D15" s="549" t="s">
        <v>3554</v>
      </c>
      <c r="E15" s="549" t="s">
        <v>1258</v>
      </c>
      <c r="F15" s="549">
        <v>4145.63</v>
      </c>
      <c r="G15" s="549">
        <v>4145.63</v>
      </c>
      <c r="H15" s="550">
        <v>0</v>
      </c>
      <c r="I15" s="550">
        <v>4</v>
      </c>
      <c r="J15" s="551">
        <v>0</v>
      </c>
      <c r="K15" s="551">
        <v>16582.52</v>
      </c>
    </row>
    <row r="16" spans="1:20" s="527" customFormat="1" ht="15.95" customHeight="1" thickBot="1">
      <c r="A16" s="553"/>
      <c r="B16" s="554"/>
      <c r="C16" s="555"/>
      <c r="D16" s="556"/>
      <c r="E16" s="557"/>
      <c r="F16" s="557"/>
      <c r="G16" s="557"/>
      <c r="H16" s="558"/>
      <c r="I16" s="558"/>
      <c r="J16" s="559"/>
      <c r="K16" s="551">
        <v>0</v>
      </c>
    </row>
    <row r="17" spans="1:18" s="527" customFormat="1" ht="18" customHeight="1" thickTop="1">
      <c r="A17" s="560"/>
      <c r="B17" s="561"/>
      <c r="C17" s="562"/>
      <c r="D17" s="563" t="s">
        <v>1268</v>
      </c>
      <c r="E17" s="564"/>
      <c r="F17" s="564"/>
      <c r="G17" s="564"/>
      <c r="H17" s="565"/>
      <c r="I17" s="565"/>
      <c r="J17" s="565">
        <v>0</v>
      </c>
      <c r="K17" s="565">
        <v>36329.81</v>
      </c>
    </row>
    <row r="18" spans="1:18" s="527" customFormat="1" ht="18" customHeight="1" thickBot="1">
      <c r="A18" s="566"/>
      <c r="B18" s="567"/>
      <c r="C18" s="530"/>
      <c r="D18" s="563"/>
      <c r="H18" s="563"/>
      <c r="I18" s="563"/>
      <c r="J18" s="563"/>
      <c r="K18" s="563"/>
    </row>
    <row r="19" spans="1:18" s="527" customFormat="1" ht="18" customHeight="1" thickTop="1">
      <c r="A19" s="2535" t="s">
        <v>63</v>
      </c>
      <c r="B19" s="2537" t="s">
        <v>1259</v>
      </c>
      <c r="C19" s="2539" t="s">
        <v>1269</v>
      </c>
      <c r="D19" s="2541" t="s">
        <v>65</v>
      </c>
      <c r="E19" s="2541" t="s">
        <v>28</v>
      </c>
      <c r="F19" s="2533" t="s">
        <v>1270</v>
      </c>
      <c r="G19" s="2533" t="s">
        <v>1270</v>
      </c>
      <c r="H19" s="2541" t="s">
        <v>29</v>
      </c>
      <c r="I19" s="2541" t="s">
        <v>29</v>
      </c>
      <c r="J19" s="2542" t="s">
        <v>1271</v>
      </c>
      <c r="K19" s="2542" t="s">
        <v>1271</v>
      </c>
    </row>
    <row r="20" spans="1:18" s="527" customFormat="1" ht="18" customHeight="1">
      <c r="A20" s="2536"/>
      <c r="B20" s="2538"/>
      <c r="C20" s="2540"/>
      <c r="D20" s="2534"/>
      <c r="E20" s="2534"/>
      <c r="F20" s="2534"/>
      <c r="G20" s="2534"/>
      <c r="H20" s="2534"/>
      <c r="I20" s="2534"/>
      <c r="J20" s="2543"/>
      <c r="K20" s="2543"/>
      <c r="L20" s="552"/>
      <c r="M20" s="552"/>
      <c r="N20" s="552"/>
      <c r="O20" s="552"/>
      <c r="P20" s="568"/>
      <c r="Q20" s="569"/>
      <c r="R20" s="570"/>
    </row>
    <row r="21" spans="1:18" s="552" customFormat="1" ht="20.100000000000001" customHeight="1">
      <c r="A21" s="571">
        <v>93567</v>
      </c>
      <c r="B21" s="547" t="s">
        <v>3556</v>
      </c>
      <c r="C21" s="548" t="s">
        <v>3557</v>
      </c>
      <c r="D21" s="549" t="s">
        <v>1416</v>
      </c>
      <c r="E21" s="549" t="s">
        <v>3542</v>
      </c>
      <c r="F21" s="549">
        <v>21495.47</v>
      </c>
      <c r="G21" s="549">
        <v>18680.259999999998</v>
      </c>
      <c r="H21" s="572">
        <v>1</v>
      </c>
      <c r="I21" s="573">
        <v>4</v>
      </c>
      <c r="J21" s="551">
        <v>21495.47</v>
      </c>
      <c r="K21" s="551">
        <v>74721.039999999994</v>
      </c>
      <c r="L21" s="574"/>
      <c r="M21" s="574"/>
      <c r="N21" s="574"/>
      <c r="O21" s="574"/>
    </row>
    <row r="22" spans="1:18" s="552" customFormat="1" ht="20.100000000000001" hidden="1" customHeight="1">
      <c r="A22" s="571">
        <v>93565</v>
      </c>
      <c r="B22" s="547" t="s">
        <v>3558</v>
      </c>
      <c r="C22" s="548" t="s">
        <v>3559</v>
      </c>
      <c r="D22" s="549" t="s">
        <v>1416</v>
      </c>
      <c r="E22" s="549" t="s">
        <v>3542</v>
      </c>
      <c r="F22" s="549">
        <v>20381.09</v>
      </c>
      <c r="G22" s="549">
        <v>17714.61</v>
      </c>
      <c r="H22" s="572"/>
      <c r="I22" s="573"/>
      <c r="J22" s="551">
        <v>0</v>
      </c>
      <c r="K22" s="551">
        <v>0</v>
      </c>
      <c r="L22" s="574"/>
      <c r="M22" s="574"/>
      <c r="N22" s="574"/>
      <c r="O22" s="574"/>
    </row>
    <row r="23" spans="1:18" s="552" customFormat="1" ht="20.100000000000001" customHeight="1">
      <c r="A23" s="571">
        <v>93563</v>
      </c>
      <c r="B23" s="547" t="s">
        <v>3560</v>
      </c>
      <c r="C23" s="548" t="s">
        <v>3561</v>
      </c>
      <c r="D23" s="549" t="s">
        <v>1416</v>
      </c>
      <c r="E23" s="549" t="s">
        <v>3542</v>
      </c>
      <c r="F23" s="549">
        <v>3843.68</v>
      </c>
      <c r="G23" s="549">
        <v>3238.58</v>
      </c>
      <c r="H23" s="572">
        <v>1</v>
      </c>
      <c r="I23" s="573">
        <v>5</v>
      </c>
      <c r="J23" s="551">
        <v>3843.68</v>
      </c>
      <c r="K23" s="551">
        <v>16192.9</v>
      </c>
      <c r="L23" s="574"/>
      <c r="M23" s="574"/>
      <c r="N23" s="574"/>
      <c r="O23" s="574"/>
    </row>
    <row r="24" spans="1:18" s="552" customFormat="1" ht="20.100000000000001" customHeight="1">
      <c r="A24" s="571">
        <v>93564</v>
      </c>
      <c r="B24" s="547" t="s">
        <v>3562</v>
      </c>
      <c r="C24" s="548" t="s">
        <v>3563</v>
      </c>
      <c r="D24" s="549" t="s">
        <v>1416</v>
      </c>
      <c r="E24" s="549" t="s">
        <v>3542</v>
      </c>
      <c r="F24" s="549">
        <v>3760.7</v>
      </c>
      <c r="G24" s="549">
        <v>3170.26</v>
      </c>
      <c r="H24" s="572">
        <v>1</v>
      </c>
      <c r="I24" s="573">
        <v>5</v>
      </c>
      <c r="J24" s="551">
        <v>3760.7</v>
      </c>
      <c r="K24" s="551">
        <v>15851.300000000001</v>
      </c>
      <c r="L24" s="574"/>
      <c r="M24" s="574"/>
      <c r="N24" s="574"/>
      <c r="O24" s="574"/>
    </row>
    <row r="25" spans="1:18" s="552" customFormat="1" ht="20.100000000000001" customHeight="1">
      <c r="A25" s="571">
        <v>94295</v>
      </c>
      <c r="B25" s="547" t="s">
        <v>3564</v>
      </c>
      <c r="C25" s="548" t="s">
        <v>3565</v>
      </c>
      <c r="D25" s="549" t="s">
        <v>1416</v>
      </c>
      <c r="E25" s="549" t="s">
        <v>3542</v>
      </c>
      <c r="F25" s="549">
        <v>6138.37</v>
      </c>
      <c r="G25" s="549">
        <v>5387.76</v>
      </c>
      <c r="H25" s="572">
        <v>1</v>
      </c>
      <c r="I25" s="573">
        <v>5</v>
      </c>
      <c r="J25" s="551">
        <v>6138.37</v>
      </c>
      <c r="K25" s="551">
        <v>26938.800000000003</v>
      </c>
      <c r="L25" s="574"/>
      <c r="M25" s="574"/>
      <c r="N25" s="574"/>
      <c r="O25" s="574"/>
    </row>
    <row r="26" spans="1:18" s="552" customFormat="1" ht="20.100000000000001" customHeight="1">
      <c r="A26" s="571">
        <v>100321</v>
      </c>
      <c r="B26" s="547" t="s">
        <v>3566</v>
      </c>
      <c r="C26" s="548" t="s">
        <v>3567</v>
      </c>
      <c r="D26" s="549" t="s">
        <v>1416</v>
      </c>
      <c r="E26" s="549" t="s">
        <v>3542</v>
      </c>
      <c r="F26" s="549">
        <v>5434.22</v>
      </c>
      <c r="G26" s="549">
        <v>4548.1499999999996</v>
      </c>
      <c r="H26" s="572">
        <v>1</v>
      </c>
      <c r="I26" s="573">
        <v>5</v>
      </c>
      <c r="J26" s="551">
        <v>5434.22</v>
      </c>
      <c r="K26" s="551">
        <v>22740.75</v>
      </c>
      <c r="L26" s="574"/>
      <c r="M26" s="574"/>
      <c r="N26" s="574"/>
      <c r="O26" s="574"/>
    </row>
    <row r="27" spans="1:18" s="552" customFormat="1" ht="20.100000000000001" hidden="1" customHeight="1">
      <c r="A27" s="571">
        <v>94296</v>
      </c>
      <c r="B27" s="547" t="s">
        <v>3568</v>
      </c>
      <c r="C27" s="548" t="s">
        <v>3569</v>
      </c>
      <c r="D27" s="549" t="s">
        <v>1416</v>
      </c>
      <c r="E27" s="549" t="s">
        <v>3542</v>
      </c>
      <c r="F27" s="549">
        <v>4309.82</v>
      </c>
      <c r="G27" s="549">
        <v>3788.69</v>
      </c>
      <c r="H27" s="572"/>
      <c r="I27" s="573">
        <v>4</v>
      </c>
      <c r="J27" s="551">
        <v>0</v>
      </c>
      <c r="K27" s="551">
        <v>15154.76</v>
      </c>
      <c r="L27" s="574"/>
      <c r="M27" s="574"/>
      <c r="N27" s="574"/>
      <c r="O27" s="574"/>
      <c r="R27" s="552">
        <v>0</v>
      </c>
    </row>
    <row r="28" spans="1:18" s="552" customFormat="1" ht="20.100000000000001" hidden="1" customHeight="1">
      <c r="A28" s="571">
        <v>101456</v>
      </c>
      <c r="B28" s="547" t="s">
        <v>3570</v>
      </c>
      <c r="C28" s="548" t="s">
        <v>3571</v>
      </c>
      <c r="D28" s="549" t="s">
        <v>1416</v>
      </c>
      <c r="E28" s="549" t="s">
        <v>3542</v>
      </c>
      <c r="F28" s="549">
        <v>5592.07</v>
      </c>
      <c r="G28" s="549">
        <v>4678.1099999999997</v>
      </c>
      <c r="H28" s="572"/>
      <c r="I28" s="573">
        <v>4</v>
      </c>
      <c r="J28" s="551">
        <v>0</v>
      </c>
      <c r="K28" s="551">
        <v>18712.439999999999</v>
      </c>
      <c r="L28" s="574"/>
      <c r="M28" s="574"/>
      <c r="N28" s="574"/>
      <c r="O28" s="574"/>
      <c r="R28" s="552">
        <v>0</v>
      </c>
    </row>
    <row r="29" spans="1:18" s="552" customFormat="1" ht="20.100000000000001" hidden="1" customHeight="1">
      <c r="A29" s="571">
        <v>101389</v>
      </c>
      <c r="B29" s="547" t="s">
        <v>3572</v>
      </c>
      <c r="C29" s="548" t="s">
        <v>3573</v>
      </c>
      <c r="D29" s="549" t="s">
        <v>1416</v>
      </c>
      <c r="E29" s="549" t="s">
        <v>3542</v>
      </c>
      <c r="F29" s="549">
        <v>2162.34</v>
      </c>
      <c r="G29" s="549">
        <v>1927.81</v>
      </c>
      <c r="H29" s="572"/>
      <c r="I29" s="573">
        <v>4</v>
      </c>
      <c r="J29" s="551">
        <v>0</v>
      </c>
      <c r="K29" s="551">
        <v>7711.24</v>
      </c>
      <c r="L29" s="574"/>
      <c r="M29" s="574"/>
      <c r="N29" s="574"/>
      <c r="O29" s="574"/>
    </row>
    <row r="30" spans="1:18" s="552" customFormat="1" ht="20.100000000000001" hidden="1" customHeight="1">
      <c r="A30" s="571">
        <v>101385</v>
      </c>
      <c r="B30" s="547" t="s">
        <v>3574</v>
      </c>
      <c r="C30" s="548" t="s">
        <v>3575</v>
      </c>
      <c r="D30" s="549" t="s">
        <v>1416</v>
      </c>
      <c r="E30" s="549" t="s">
        <v>3542</v>
      </c>
      <c r="F30" s="549">
        <v>4711.88</v>
      </c>
      <c r="G30" s="549">
        <v>3953.41</v>
      </c>
      <c r="H30" s="572"/>
      <c r="I30" s="573">
        <v>4</v>
      </c>
      <c r="J30" s="551">
        <v>0</v>
      </c>
      <c r="K30" s="551">
        <v>15813.64</v>
      </c>
      <c r="L30" s="574"/>
      <c r="M30" s="574"/>
      <c r="N30" s="574"/>
      <c r="O30" s="574"/>
      <c r="R30" s="552">
        <v>0</v>
      </c>
    </row>
    <row r="31" spans="1:18" s="552" customFormat="1" ht="20.100000000000001" customHeight="1">
      <c r="A31" s="575">
        <v>101460</v>
      </c>
      <c r="B31" s="547" t="s">
        <v>3576</v>
      </c>
      <c r="C31" s="548" t="s">
        <v>3577</v>
      </c>
      <c r="D31" s="549" t="s">
        <v>1416</v>
      </c>
      <c r="E31" s="549" t="s">
        <v>3542</v>
      </c>
      <c r="F31" s="549">
        <v>3563.4</v>
      </c>
      <c r="G31" s="549">
        <v>3248.76</v>
      </c>
      <c r="H31" s="572">
        <v>12</v>
      </c>
      <c r="I31" s="573">
        <v>5</v>
      </c>
      <c r="J31" s="551">
        <v>42760.800000000003</v>
      </c>
      <c r="K31" s="551">
        <v>16243.800000000001</v>
      </c>
      <c r="L31" s="574"/>
      <c r="M31" s="574"/>
      <c r="N31" s="574"/>
      <c r="O31" s="574"/>
    </row>
    <row r="32" spans="1:18" s="552" customFormat="1" hidden="1">
      <c r="A32" s="575"/>
      <c r="B32" s="547"/>
      <c r="C32" s="576"/>
      <c r="D32" s="577"/>
      <c r="E32" s="578"/>
      <c r="F32" s="573"/>
      <c r="G32" s="573"/>
      <c r="H32" s="573"/>
      <c r="I32" s="573"/>
      <c r="J32" s="579"/>
      <c r="K32" s="580"/>
      <c r="L32" s="574"/>
      <c r="M32" s="574"/>
      <c r="N32" s="574"/>
      <c r="O32" s="574"/>
    </row>
    <row r="33" spans="1:15" s="552" customFormat="1" hidden="1">
      <c r="A33" s="575"/>
      <c r="B33" s="581"/>
      <c r="C33" s="576"/>
      <c r="D33" s="577"/>
      <c r="E33" s="578"/>
      <c r="F33" s="573"/>
      <c r="G33" s="573"/>
      <c r="H33" s="573"/>
      <c r="I33" s="573"/>
      <c r="J33" s="579"/>
      <c r="K33" s="580"/>
      <c r="L33" s="574"/>
      <c r="M33" s="574"/>
      <c r="N33" s="574"/>
      <c r="O33" s="574"/>
    </row>
    <row r="34" spans="1:15" s="552" customFormat="1" hidden="1">
      <c r="A34" s="575"/>
      <c r="B34" s="581"/>
      <c r="C34" s="576"/>
      <c r="D34" s="577"/>
      <c r="E34" s="578"/>
      <c r="F34" s="573"/>
      <c r="G34" s="573"/>
      <c r="H34" s="573"/>
      <c r="I34" s="573"/>
      <c r="J34" s="580"/>
      <c r="K34" s="580"/>
      <c r="L34" s="574"/>
      <c r="M34" s="574"/>
      <c r="N34" s="574"/>
      <c r="O34" s="574"/>
    </row>
    <row r="35" spans="1:15" s="552" customFormat="1" hidden="1">
      <c r="A35" s="575"/>
      <c r="B35" s="581"/>
      <c r="C35" s="576"/>
      <c r="D35" s="577"/>
      <c r="E35" s="578"/>
      <c r="F35" s="573"/>
      <c r="G35" s="573"/>
      <c r="H35" s="573"/>
      <c r="I35" s="573"/>
      <c r="J35" s="580"/>
      <c r="K35" s="580"/>
      <c r="L35" s="574"/>
      <c r="M35" s="574"/>
      <c r="N35" s="574"/>
      <c r="O35" s="574"/>
    </row>
    <row r="36" spans="1:15" s="552" customFormat="1" hidden="1">
      <c r="A36" s="575"/>
      <c r="B36" s="581"/>
      <c r="C36" s="576"/>
      <c r="D36" s="577"/>
      <c r="E36" s="578"/>
      <c r="F36" s="573"/>
      <c r="G36" s="573"/>
      <c r="H36" s="573"/>
      <c r="I36" s="573"/>
      <c r="J36" s="580"/>
      <c r="K36" s="580"/>
      <c r="L36" s="574"/>
      <c r="M36" s="574"/>
      <c r="N36" s="574"/>
      <c r="O36" s="574"/>
    </row>
    <row r="37" spans="1:15" s="552" customFormat="1" hidden="1">
      <c r="A37" s="575"/>
      <c r="B37" s="581"/>
      <c r="C37" s="576"/>
      <c r="D37" s="577"/>
      <c r="E37" s="578"/>
      <c r="F37" s="573"/>
      <c r="G37" s="573"/>
      <c r="H37" s="573"/>
      <c r="I37" s="573"/>
      <c r="J37" s="580"/>
      <c r="K37" s="580"/>
      <c r="L37" s="574"/>
      <c r="M37" s="574"/>
      <c r="N37" s="574"/>
      <c r="O37" s="574"/>
    </row>
    <row r="38" spans="1:15" s="552" customFormat="1" hidden="1">
      <c r="A38" s="575"/>
      <c r="B38" s="581"/>
      <c r="C38" s="576"/>
      <c r="D38" s="577"/>
      <c r="E38" s="578"/>
      <c r="F38" s="573"/>
      <c r="G38" s="573"/>
      <c r="H38" s="573"/>
      <c r="I38" s="573"/>
      <c r="J38" s="580"/>
      <c r="K38" s="580"/>
      <c r="L38" s="574"/>
      <c r="M38" s="574"/>
      <c r="N38" s="574"/>
      <c r="O38" s="574"/>
    </row>
    <row r="39" spans="1:15" s="552" customFormat="1" hidden="1">
      <c r="A39" s="575"/>
      <c r="B39" s="581"/>
      <c r="C39" s="576"/>
      <c r="D39" s="577"/>
      <c r="E39" s="578"/>
      <c r="F39" s="573"/>
      <c r="G39" s="573"/>
      <c r="H39" s="573"/>
      <c r="I39" s="573"/>
      <c r="J39" s="580"/>
      <c r="K39" s="580"/>
      <c r="L39" s="574"/>
      <c r="M39" s="574"/>
      <c r="N39" s="574"/>
      <c r="O39" s="574"/>
    </row>
    <row r="40" spans="1:15" s="552" customFormat="1" hidden="1">
      <c r="A40" s="575"/>
      <c r="B40" s="581"/>
      <c r="C40" s="576"/>
      <c r="D40" s="577"/>
      <c r="E40" s="578"/>
      <c r="F40" s="573"/>
      <c r="G40" s="573"/>
      <c r="H40" s="573"/>
      <c r="I40" s="573"/>
      <c r="J40" s="580"/>
      <c r="K40" s="580"/>
      <c r="L40" s="574"/>
      <c r="M40" s="574"/>
      <c r="N40" s="574"/>
      <c r="O40" s="574"/>
    </row>
    <row r="41" spans="1:15" s="552" customFormat="1" hidden="1">
      <c r="A41" s="575"/>
      <c r="B41" s="581"/>
      <c r="C41" s="576"/>
      <c r="D41" s="577"/>
      <c r="E41" s="578"/>
      <c r="F41" s="573"/>
      <c r="G41" s="573"/>
      <c r="H41" s="573"/>
      <c r="I41" s="573"/>
      <c r="J41" s="580"/>
      <c r="K41" s="580"/>
      <c r="L41" s="574"/>
      <c r="M41" s="574"/>
      <c r="N41" s="574"/>
      <c r="O41" s="574"/>
    </row>
    <row r="42" spans="1:15" s="552" customFormat="1" hidden="1">
      <c r="A42" s="575"/>
      <c r="B42" s="581"/>
      <c r="C42" s="576"/>
      <c r="D42" s="577"/>
      <c r="E42" s="578"/>
      <c r="F42" s="573"/>
      <c r="G42" s="573"/>
      <c r="H42" s="573"/>
      <c r="I42" s="573"/>
      <c r="J42" s="580"/>
      <c r="K42" s="580"/>
      <c r="L42" s="574"/>
      <c r="M42" s="574"/>
      <c r="N42" s="574"/>
      <c r="O42" s="574"/>
    </row>
    <row r="43" spans="1:15" s="552" customFormat="1" hidden="1">
      <c r="A43" s="575"/>
      <c r="B43" s="581"/>
      <c r="C43" s="576"/>
      <c r="D43" s="577"/>
      <c r="E43" s="578"/>
      <c r="F43" s="573"/>
      <c r="G43" s="573"/>
      <c r="H43" s="573"/>
      <c r="I43" s="573"/>
      <c r="J43" s="580"/>
      <c r="K43" s="580"/>
      <c r="L43" s="574"/>
      <c r="M43" s="574"/>
      <c r="N43" s="574"/>
      <c r="O43" s="574"/>
    </row>
    <row r="44" spans="1:15" s="552" customFormat="1" hidden="1">
      <c r="A44" s="575"/>
      <c r="B44" s="581"/>
      <c r="C44" s="576"/>
      <c r="D44" s="577"/>
      <c r="E44" s="578"/>
      <c r="F44" s="573"/>
      <c r="G44" s="573"/>
      <c r="H44" s="573"/>
      <c r="I44" s="573"/>
      <c r="J44" s="580"/>
      <c r="K44" s="580"/>
      <c r="L44" s="574"/>
      <c r="M44" s="574"/>
      <c r="N44" s="574"/>
      <c r="O44" s="574"/>
    </row>
    <row r="45" spans="1:15" s="552" customFormat="1" hidden="1">
      <c r="A45" s="575"/>
      <c r="B45" s="581"/>
      <c r="C45" s="576"/>
      <c r="D45" s="577"/>
      <c r="E45" s="578"/>
      <c r="F45" s="573"/>
      <c r="G45" s="573"/>
      <c r="H45" s="573"/>
      <c r="I45" s="573"/>
      <c r="J45" s="580"/>
      <c r="K45" s="580"/>
      <c r="L45" s="574"/>
      <c r="M45" s="574"/>
      <c r="N45" s="574"/>
      <c r="O45" s="574"/>
    </row>
    <row r="46" spans="1:15" s="552" customFormat="1" hidden="1">
      <c r="A46" s="575"/>
      <c r="B46" s="581"/>
      <c r="C46" s="576"/>
      <c r="D46" s="577"/>
      <c r="E46" s="578"/>
      <c r="F46" s="573"/>
      <c r="G46" s="573"/>
      <c r="H46" s="573"/>
      <c r="I46" s="573"/>
      <c r="J46" s="580"/>
      <c r="K46" s="580"/>
      <c r="L46" s="574"/>
      <c r="M46" s="574"/>
      <c r="N46" s="574"/>
      <c r="O46" s="574"/>
    </row>
    <row r="47" spans="1:15" s="552" customFormat="1" hidden="1">
      <c r="A47" s="575"/>
      <c r="B47" s="581"/>
      <c r="C47" s="576"/>
      <c r="D47" s="577"/>
      <c r="E47" s="578"/>
      <c r="F47" s="573"/>
      <c r="G47" s="573"/>
      <c r="H47" s="573"/>
      <c r="I47" s="573"/>
      <c r="J47" s="580"/>
      <c r="K47" s="580"/>
      <c r="L47" s="574"/>
      <c r="M47" s="574"/>
      <c r="N47" s="574"/>
      <c r="O47" s="574"/>
    </row>
    <row r="48" spans="1:15" s="552" customFormat="1" hidden="1">
      <c r="A48" s="575"/>
      <c r="B48" s="581"/>
      <c r="C48" s="576"/>
      <c r="D48" s="577"/>
      <c r="E48" s="578"/>
      <c r="F48" s="573"/>
      <c r="G48" s="573"/>
      <c r="H48" s="573"/>
      <c r="I48" s="573"/>
      <c r="J48" s="580"/>
      <c r="K48" s="580"/>
      <c r="L48" s="574"/>
      <c r="M48" s="574"/>
      <c r="N48" s="574"/>
      <c r="O48" s="574"/>
    </row>
    <row r="49" spans="1:15" s="552" customFormat="1" hidden="1">
      <c r="A49" s="575"/>
      <c r="B49" s="581"/>
      <c r="C49" s="576"/>
      <c r="D49" s="577"/>
      <c r="E49" s="578"/>
      <c r="F49" s="573"/>
      <c r="G49" s="573"/>
      <c r="H49" s="573"/>
      <c r="I49" s="573"/>
      <c r="J49" s="580"/>
      <c r="K49" s="580"/>
      <c r="L49" s="574"/>
      <c r="M49" s="574"/>
      <c r="N49" s="574"/>
      <c r="O49" s="574"/>
    </row>
    <row r="50" spans="1:15" s="552" customFormat="1" hidden="1">
      <c r="A50" s="575"/>
      <c r="B50" s="581"/>
      <c r="C50" s="576"/>
      <c r="D50" s="577"/>
      <c r="E50" s="578"/>
      <c r="F50" s="573"/>
      <c r="G50" s="573"/>
      <c r="H50" s="573"/>
      <c r="I50" s="573"/>
      <c r="J50" s="580"/>
      <c r="K50" s="580"/>
      <c r="L50" s="574"/>
      <c r="M50" s="574"/>
      <c r="N50" s="574"/>
      <c r="O50" s="574"/>
    </row>
    <row r="51" spans="1:15" s="552" customFormat="1" hidden="1">
      <c r="A51" s="575"/>
      <c r="B51" s="581"/>
      <c r="C51" s="576"/>
      <c r="D51" s="577"/>
      <c r="E51" s="578"/>
      <c r="F51" s="573"/>
      <c r="G51" s="573"/>
      <c r="H51" s="573"/>
      <c r="I51" s="573"/>
      <c r="J51" s="580"/>
      <c r="K51" s="580"/>
      <c r="L51" s="574"/>
      <c r="M51" s="574"/>
      <c r="N51" s="574"/>
      <c r="O51" s="574"/>
    </row>
    <row r="52" spans="1:15" s="552" customFormat="1" hidden="1">
      <c r="A52" s="575"/>
      <c r="B52" s="581"/>
      <c r="C52" s="576"/>
      <c r="D52" s="577"/>
      <c r="E52" s="578"/>
      <c r="F52" s="573"/>
      <c r="G52" s="573"/>
      <c r="H52" s="573"/>
      <c r="I52" s="573"/>
      <c r="J52" s="580"/>
      <c r="K52" s="580"/>
      <c r="L52" s="574"/>
      <c r="M52" s="574"/>
      <c r="N52" s="574"/>
      <c r="O52" s="574"/>
    </row>
    <row r="53" spans="1:15" s="552" customFormat="1" hidden="1">
      <c r="A53" s="575"/>
      <c r="B53" s="581"/>
      <c r="C53" s="576"/>
      <c r="D53" s="577"/>
      <c r="E53" s="578"/>
      <c r="F53" s="573"/>
      <c r="G53" s="573"/>
      <c r="H53" s="573"/>
      <c r="I53" s="573"/>
      <c r="J53" s="580"/>
      <c r="K53" s="580"/>
      <c r="L53" s="574"/>
      <c r="M53" s="574"/>
      <c r="N53" s="574"/>
      <c r="O53" s="574"/>
    </row>
    <row r="54" spans="1:15" s="552" customFormat="1" hidden="1">
      <c r="A54" s="575"/>
      <c r="B54" s="581"/>
      <c r="C54" s="576"/>
      <c r="D54" s="577"/>
      <c r="E54" s="578"/>
      <c r="F54" s="573"/>
      <c r="G54" s="573"/>
      <c r="H54" s="573"/>
      <c r="I54" s="573"/>
      <c r="J54" s="580"/>
      <c r="K54" s="580"/>
      <c r="L54" s="574"/>
      <c r="M54" s="574"/>
      <c r="N54" s="574"/>
      <c r="O54" s="574"/>
    </row>
    <row r="55" spans="1:15" s="552" customFormat="1" hidden="1">
      <c r="A55" s="575"/>
      <c r="B55" s="581"/>
      <c r="C55" s="576"/>
      <c r="D55" s="577"/>
      <c r="E55" s="578"/>
      <c r="F55" s="573"/>
      <c r="G55" s="573"/>
      <c r="H55" s="573"/>
      <c r="I55" s="573"/>
      <c r="J55" s="580"/>
      <c r="K55" s="580"/>
      <c r="L55" s="574"/>
      <c r="M55" s="574"/>
      <c r="N55" s="574"/>
      <c r="O55" s="574"/>
    </row>
    <row r="56" spans="1:15" s="552" customFormat="1" hidden="1">
      <c r="A56" s="575"/>
      <c r="B56" s="581"/>
      <c r="C56" s="576"/>
      <c r="D56" s="577"/>
      <c r="E56" s="578"/>
      <c r="F56" s="573"/>
      <c r="G56" s="573"/>
      <c r="H56" s="573"/>
      <c r="I56" s="573"/>
      <c r="J56" s="580"/>
      <c r="K56" s="580"/>
      <c r="L56" s="574"/>
      <c r="M56" s="574"/>
      <c r="N56" s="574"/>
      <c r="O56" s="574"/>
    </row>
    <row r="57" spans="1:15" s="552" customFormat="1" hidden="1">
      <c r="A57" s="575"/>
      <c r="B57" s="581"/>
      <c r="C57" s="576"/>
      <c r="D57" s="577"/>
      <c r="E57" s="578"/>
      <c r="F57" s="573"/>
      <c r="G57" s="573"/>
      <c r="H57" s="573"/>
      <c r="I57" s="573"/>
      <c r="J57" s="580"/>
      <c r="K57" s="580"/>
      <c r="L57" s="574"/>
      <c r="M57" s="574"/>
      <c r="N57" s="574"/>
      <c r="O57" s="574"/>
    </row>
    <row r="58" spans="1:15" s="552" customFormat="1" hidden="1">
      <c r="A58" s="575"/>
      <c r="B58" s="581"/>
      <c r="C58" s="576"/>
      <c r="D58" s="577"/>
      <c r="E58" s="578"/>
      <c r="F58" s="573"/>
      <c r="G58" s="573"/>
      <c r="H58" s="573"/>
      <c r="I58" s="573"/>
      <c r="J58" s="580"/>
      <c r="K58" s="580"/>
      <c r="L58" s="574"/>
      <c r="M58" s="574"/>
      <c r="N58" s="574"/>
      <c r="O58" s="574"/>
    </row>
    <row r="59" spans="1:15" s="552" customFormat="1" hidden="1">
      <c r="A59" s="575"/>
      <c r="B59" s="581"/>
      <c r="C59" s="576"/>
      <c r="D59" s="577"/>
      <c r="E59" s="578"/>
      <c r="F59" s="573"/>
      <c r="G59" s="573"/>
      <c r="H59" s="573"/>
      <c r="I59" s="573"/>
      <c r="J59" s="580"/>
      <c r="K59" s="580"/>
      <c r="L59" s="574"/>
      <c r="M59" s="574"/>
      <c r="N59" s="574"/>
      <c r="O59" s="574"/>
    </row>
    <row r="60" spans="1:15" s="552" customFormat="1" hidden="1">
      <c r="A60" s="575"/>
      <c r="B60" s="581"/>
      <c r="C60" s="576"/>
      <c r="D60" s="577"/>
      <c r="E60" s="578"/>
      <c r="F60" s="573"/>
      <c r="G60" s="573"/>
      <c r="H60" s="573"/>
      <c r="I60" s="573"/>
      <c r="J60" s="580"/>
      <c r="K60" s="580"/>
      <c r="L60" s="574"/>
      <c r="M60" s="574"/>
      <c r="N60" s="574"/>
      <c r="O60" s="574"/>
    </row>
    <row r="61" spans="1:15" s="552" customFormat="1">
      <c r="A61" s="575"/>
      <c r="B61" s="581"/>
      <c r="C61" s="576"/>
      <c r="D61" s="577"/>
      <c r="E61" s="578"/>
      <c r="F61" s="573"/>
      <c r="G61" s="573"/>
      <c r="H61" s="573"/>
      <c r="I61" s="573"/>
      <c r="J61" s="580"/>
      <c r="K61" s="580"/>
      <c r="L61" s="574"/>
      <c r="M61" s="574"/>
      <c r="N61" s="574"/>
      <c r="O61" s="574"/>
    </row>
    <row r="62" spans="1:15" s="552" customFormat="1">
      <c r="A62" s="575"/>
      <c r="B62" s="581"/>
      <c r="C62" s="576"/>
      <c r="D62" s="577"/>
      <c r="E62" s="578"/>
      <c r="F62" s="573"/>
      <c r="G62" s="573"/>
      <c r="H62" s="573"/>
      <c r="I62" s="573"/>
      <c r="J62" s="580"/>
      <c r="K62" s="580"/>
      <c r="L62" s="574"/>
      <c r="M62" s="574"/>
      <c r="N62" s="574"/>
      <c r="O62" s="574"/>
    </row>
    <row r="63" spans="1:15" s="552" customFormat="1" ht="13.5" thickBot="1">
      <c r="A63" s="582"/>
      <c r="B63" s="583"/>
      <c r="C63" s="584"/>
      <c r="D63" s="585"/>
      <c r="E63" s="586"/>
      <c r="F63" s="587"/>
      <c r="G63" s="587"/>
      <c r="H63" s="587"/>
      <c r="I63" s="587"/>
      <c r="J63" s="588"/>
      <c r="K63" s="588"/>
      <c r="L63" s="574"/>
      <c r="M63" s="574"/>
      <c r="N63" s="574"/>
      <c r="O63" s="574"/>
    </row>
    <row r="64" spans="1:15" s="527" customFormat="1" ht="18" customHeight="1" thickTop="1">
      <c r="A64" s="589"/>
      <c r="B64" s="581"/>
      <c r="C64" s="530"/>
      <c r="D64" s="590" t="s">
        <v>1272</v>
      </c>
      <c r="H64" s="591"/>
      <c r="I64" s="591"/>
      <c r="J64" s="529">
        <v>83433.240000000005</v>
      </c>
      <c r="K64" s="529">
        <v>230080.66999999998</v>
      </c>
      <c r="L64" s="552"/>
      <c r="M64" s="552"/>
      <c r="N64" s="552"/>
      <c r="O64" s="552"/>
    </row>
    <row r="65" spans="1:15" s="527" customFormat="1" ht="18" customHeight="1">
      <c r="A65" s="566"/>
      <c r="B65" s="567"/>
      <c r="C65" s="530"/>
      <c r="D65" s="592" t="s">
        <v>1273</v>
      </c>
      <c r="H65" s="529"/>
      <c r="I65" s="529"/>
      <c r="J65" s="529">
        <v>83433.240000000005</v>
      </c>
      <c r="K65" s="529">
        <v>266410.48</v>
      </c>
      <c r="L65" s="552"/>
      <c r="M65" s="552"/>
      <c r="N65" s="552"/>
      <c r="O65" s="552"/>
    </row>
    <row r="66" spans="1:15" s="527" customFormat="1" ht="18" customHeight="1">
      <c r="A66" s="589"/>
      <c r="B66" s="581"/>
      <c r="C66" s="530"/>
      <c r="D66" s="592" t="s">
        <v>1274</v>
      </c>
      <c r="J66" s="593">
        <v>6952.77</v>
      </c>
      <c r="K66" s="593">
        <v>22200.873333333333</v>
      </c>
      <c r="L66" s="552"/>
      <c r="M66" s="552"/>
      <c r="N66" s="552"/>
      <c r="O66" s="552"/>
    </row>
    <row r="67" spans="1:15" s="527" customFormat="1" ht="19.5" customHeight="1" thickBot="1">
      <c r="A67" s="589"/>
      <c r="B67" s="581"/>
      <c r="C67" s="594"/>
      <c r="D67" s="594"/>
      <c r="E67" s="594"/>
      <c r="F67" s="594"/>
      <c r="G67" s="594"/>
      <c r="H67" s="595"/>
      <c r="I67" s="595"/>
      <c r="J67" s="596"/>
      <c r="K67" s="596"/>
    </row>
    <row r="68" spans="1:15" s="527" customFormat="1" ht="18" customHeight="1" thickTop="1" thickBot="1">
      <c r="A68" s="597" t="s">
        <v>1275</v>
      </c>
      <c r="B68" s="598"/>
      <c r="C68" s="599"/>
      <c r="D68" s="600"/>
      <c r="E68" s="600"/>
      <c r="F68" s="601"/>
      <c r="G68" s="601"/>
      <c r="H68" s="602" t="s">
        <v>1200</v>
      </c>
      <c r="I68" s="602" t="s">
        <v>1200</v>
      </c>
      <c r="J68" s="603">
        <v>6952.77</v>
      </c>
      <c r="K68" s="603">
        <v>22200.87</v>
      </c>
    </row>
    <row r="69" spans="1:15" s="527" customFormat="1" ht="18" customHeight="1" thickTop="1" thickBot="1">
      <c r="A69" s="597" t="s">
        <v>3578</v>
      </c>
      <c r="B69" s="598"/>
      <c r="C69" s="599"/>
      <c r="D69" s="600"/>
      <c r="E69" s="600"/>
      <c r="F69" s="601"/>
      <c r="G69" s="601"/>
      <c r="H69" s="602" t="s">
        <v>1200</v>
      </c>
      <c r="I69" s="602" t="s">
        <v>1200</v>
      </c>
      <c r="J69" s="603">
        <v>83433.240000000005</v>
      </c>
      <c r="K69" s="603">
        <v>266410.44</v>
      </c>
    </row>
    <row r="70" spans="1:15" s="527" customFormat="1" ht="18" customHeight="1" thickTop="1">
      <c r="A70" s="604" t="s">
        <v>1276</v>
      </c>
      <c r="B70" s="604"/>
      <c r="D70" s="529"/>
      <c r="E70" s="530"/>
      <c r="H70" s="529"/>
      <c r="I70" s="529"/>
      <c r="J70" s="529"/>
      <c r="K70" s="529"/>
    </row>
    <row r="72" spans="1:15">
      <c r="J72" s="607">
        <v>3.2564449035756018E-2</v>
      </c>
      <c r="K72" s="607">
        <v>9.9273416696027905E-2</v>
      </c>
    </row>
  </sheetData>
  <mergeCells count="27">
    <mergeCell ref="A9:A10"/>
    <mergeCell ref="B9:B10"/>
    <mergeCell ref="C9:C10"/>
    <mergeCell ref="D9:D10"/>
    <mergeCell ref="E9:E10"/>
    <mergeCell ref="J9:J10"/>
    <mergeCell ref="K9:K10"/>
    <mergeCell ref="D3:E4"/>
    <mergeCell ref="C6:D6"/>
    <mergeCell ref="E6:H6"/>
    <mergeCell ref="C7:D7"/>
    <mergeCell ref="E7:G7"/>
    <mergeCell ref="F9:F10"/>
    <mergeCell ref="G9:G10"/>
    <mergeCell ref="H9:H10"/>
    <mergeCell ref="I9:I10"/>
    <mergeCell ref="G19:G20"/>
    <mergeCell ref="H19:H20"/>
    <mergeCell ref="I19:I20"/>
    <mergeCell ref="J19:J20"/>
    <mergeCell ref="K19:K20"/>
    <mergeCell ref="F19:F20"/>
    <mergeCell ref="A19:A20"/>
    <mergeCell ref="B19:B20"/>
    <mergeCell ref="C19:C20"/>
    <mergeCell ref="D19:D20"/>
    <mergeCell ref="E19:E20"/>
  </mergeCells>
  <printOptions horizontalCentered="1"/>
  <pageMargins left="0.39370078740157477" right="0.59055118110236215" top="0.39370078740157477" bottom="0.59055118110236215" header="0.23622047244094491" footer="0.23622047244094491"/>
  <pageSetup paperSize="9" scale="77" orientation="portrait" r:id="rId1"/>
  <headerFooter>
    <oddFooter>&amp;C&amp;8Página &amp;P/&amp;N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5C4C1-F3AF-443F-86EB-9246963B0ADE}">
  <sheetPr codeName="Planilha19"/>
  <dimension ref="A1:O37"/>
  <sheetViews>
    <sheetView showZeros="0" zoomScaleNormal="100" workbookViewId="0"/>
  </sheetViews>
  <sheetFormatPr defaultRowHeight="34.5" customHeight="1"/>
  <cols>
    <col min="1" max="1" width="24" style="4" bestFit="1" customWidth="1"/>
    <col min="2" max="2" width="7.375" style="4" customWidth="1"/>
    <col min="3" max="3" width="23.625" style="4" customWidth="1"/>
    <col min="4" max="4" width="7.375" style="4" customWidth="1"/>
    <col min="5" max="5" width="18.25" style="4" customWidth="1"/>
    <col min="6" max="6" width="7.375" style="4" customWidth="1"/>
    <col min="7" max="7" width="18.5" style="4" customWidth="1"/>
    <col min="8" max="8" width="7.375" style="4" customWidth="1"/>
    <col min="9" max="9" width="12.625" style="4" customWidth="1"/>
    <col min="10" max="10" width="7.375" style="4" customWidth="1"/>
    <col min="11" max="11" width="12.625" style="4" customWidth="1"/>
    <col min="12" max="12" width="7.375" style="4" customWidth="1"/>
    <col min="13" max="13" width="7.5" style="4" customWidth="1"/>
    <col min="14" max="16384" width="9" style="4"/>
  </cols>
  <sheetData>
    <row r="1" spans="1:15" ht="24.95" customHeight="1">
      <c r="A1" s="24" t="str">
        <f>Orcamento!B2</f>
        <v>PREFEITURA MUNICIPAL DE RIBAS DO RIO PARDO</v>
      </c>
      <c r="B1" s="473"/>
    </row>
    <row r="2" spans="1:15" ht="24.95" customHeight="1">
      <c r="A2" s="23" t="str">
        <f>Orcamento!B3</f>
        <v>ESTADO DE MATO GROSSO DO SUL</v>
      </c>
      <c r="B2" s="23"/>
      <c r="J2" s="2557">
        <f>Orcamento!K10</f>
        <v>0</v>
      </c>
      <c r="K2" s="2557"/>
    </row>
    <row r="3" spans="1:15" ht="20.100000000000001" customHeight="1">
      <c r="A3" s="23">
        <f>Orcamento!B4</f>
        <v>0</v>
      </c>
      <c r="B3" s="42"/>
      <c r="J3" s="2557"/>
      <c r="K3" s="2557"/>
    </row>
    <row r="4" spans="1:15" ht="20.100000000000001" customHeight="1">
      <c r="A4" s="478">
        <f>Orcamento!B5</f>
        <v>0</v>
      </c>
      <c r="B4" s="48">
        <f>Orcamento!D5</f>
        <v>0</v>
      </c>
    </row>
    <row r="5" spans="1:15" ht="20.100000000000001" customHeight="1">
      <c r="A5" s="478" t="str">
        <f>Orcamento!B6</f>
        <v>OBRA :</v>
      </c>
      <c r="B5" s="48" t="str">
        <f>Orcamento!D6</f>
        <v>RESTAURAÇÃO FUNCIONAL DO PAVIMENTO</v>
      </c>
    </row>
    <row r="6" spans="1:15" ht="20.100000000000001" customHeight="1">
      <c r="A6" s="478" t="str">
        <f>Orcamento!B7</f>
        <v>LOCAL :</v>
      </c>
      <c r="B6" s="48" t="str">
        <f>Orcamento!D7</f>
        <v>VÁRIAS RUAS</v>
      </c>
    </row>
    <row r="7" spans="1:15" ht="20.100000000000001" customHeight="1">
      <c r="A7" s="478" t="str">
        <f>Orcamento!B8</f>
        <v>MUNICÍPIO :</v>
      </c>
      <c r="B7" s="48" t="str">
        <f>Orcamento!D8</f>
        <v>RIBAS DO RIO PARDO / MS</v>
      </c>
    </row>
    <row r="8" spans="1:15" ht="20.100000000000001" customHeight="1">
      <c r="A8" s="478"/>
      <c r="B8" s="48"/>
    </row>
    <row r="9" spans="1:15" ht="20.100000000000001" customHeight="1">
      <c r="A9" s="69" t="s">
        <v>1277</v>
      </c>
      <c r="B9" s="608"/>
      <c r="C9" s="609"/>
      <c r="D9" s="609"/>
      <c r="E9" s="609"/>
      <c r="F9" s="609"/>
      <c r="G9" s="609"/>
      <c r="H9" s="609"/>
      <c r="I9" s="609"/>
      <c r="J9" s="609"/>
      <c r="K9" s="609"/>
      <c r="L9" s="609"/>
    </row>
    <row r="10" spans="1:15" ht="20.100000000000001" customHeight="1" thickBot="1"/>
    <row r="11" spans="1:15" ht="24.95" customHeight="1" thickTop="1">
      <c r="A11" s="2558" t="s">
        <v>1278</v>
      </c>
      <c r="B11" s="2560" t="s">
        <v>1279</v>
      </c>
      <c r="C11" s="2562" t="s">
        <v>1280</v>
      </c>
      <c r="D11" s="2562"/>
      <c r="E11" s="2562" t="s">
        <v>1281</v>
      </c>
      <c r="F11" s="2562"/>
      <c r="G11" s="2562" t="s">
        <v>1282</v>
      </c>
      <c r="H11" s="2562"/>
      <c r="I11" s="2562" t="s">
        <v>1283</v>
      </c>
      <c r="J11" s="2562"/>
      <c r="K11" s="2562" t="s">
        <v>1284</v>
      </c>
      <c r="L11" s="2563"/>
      <c r="M11" s="67"/>
      <c r="N11" s="12"/>
      <c r="O11" s="12"/>
    </row>
    <row r="12" spans="1:15" ht="24.95" customHeight="1" thickBot="1">
      <c r="A12" s="2559"/>
      <c r="B12" s="2561"/>
      <c r="C12" s="610" t="s">
        <v>134</v>
      </c>
      <c r="D12" s="610" t="s">
        <v>1285</v>
      </c>
      <c r="E12" s="610" t="s">
        <v>134</v>
      </c>
      <c r="F12" s="610" t="s">
        <v>1285</v>
      </c>
      <c r="G12" s="610" t="s">
        <v>134</v>
      </c>
      <c r="H12" s="610" t="s">
        <v>1285</v>
      </c>
      <c r="I12" s="610" t="s">
        <v>134</v>
      </c>
      <c r="J12" s="610" t="s">
        <v>1285</v>
      </c>
      <c r="K12" s="610" t="s">
        <v>134</v>
      </c>
      <c r="L12" s="611" t="s">
        <v>1285</v>
      </c>
      <c r="M12" s="12"/>
      <c r="N12" s="12"/>
      <c r="O12" s="12"/>
    </row>
    <row r="13" spans="1:15" ht="33.950000000000003" customHeight="1" thickTop="1">
      <c r="A13" s="612" t="s">
        <v>1286</v>
      </c>
      <c r="B13" s="613">
        <f>IF(D13=0,0,TRUNC(AVERAGE(C13:L13),1))</f>
        <v>100</v>
      </c>
      <c r="C13" s="613" t="s">
        <v>1287</v>
      </c>
      <c r="D13" s="614">
        <v>100</v>
      </c>
      <c r="E13" s="613"/>
      <c r="F13" s="613"/>
      <c r="G13" s="613"/>
      <c r="H13" s="613"/>
      <c r="I13" s="613"/>
      <c r="J13" s="613"/>
      <c r="K13" s="615"/>
      <c r="L13" s="616"/>
      <c r="M13" s="67" t="s">
        <v>1288</v>
      </c>
      <c r="N13" s="12"/>
      <c r="O13" s="12"/>
    </row>
    <row r="14" spans="1:15" ht="33.950000000000003" customHeight="1">
      <c r="A14" s="617" t="s">
        <v>1289</v>
      </c>
      <c r="B14" s="618">
        <f t="shared" ref="B14:B36" si="0">IF(D14=0,0,TRUNC(AVERAGE(C14:L14),1))</f>
        <v>3.5</v>
      </c>
      <c r="C14" s="618" t="s">
        <v>1290</v>
      </c>
      <c r="D14" s="619">
        <v>3.5</v>
      </c>
      <c r="E14" s="618"/>
      <c r="F14" s="618"/>
      <c r="G14" s="618"/>
      <c r="H14" s="618"/>
      <c r="I14" s="618"/>
      <c r="J14" s="618"/>
      <c r="K14" s="620"/>
      <c r="L14" s="621"/>
      <c r="M14" s="67" t="s">
        <v>1291</v>
      </c>
      <c r="N14" s="12"/>
      <c r="O14" s="12"/>
    </row>
    <row r="15" spans="1:15" ht="33.950000000000003" customHeight="1">
      <c r="A15" s="617" t="s">
        <v>120</v>
      </c>
      <c r="B15" s="618">
        <f t="shared" si="0"/>
        <v>1</v>
      </c>
      <c r="C15" s="618" t="s">
        <v>134</v>
      </c>
      <c r="D15" s="619">
        <v>1</v>
      </c>
      <c r="E15" s="618"/>
      <c r="F15" s="618"/>
      <c r="G15" s="618"/>
      <c r="H15" s="618"/>
      <c r="I15" s="618"/>
      <c r="J15" s="618"/>
      <c r="K15" s="620"/>
      <c r="L15" s="621"/>
      <c r="M15" s="67" t="s">
        <v>1292</v>
      </c>
      <c r="N15" s="12"/>
      <c r="O15" s="12"/>
    </row>
    <row r="16" spans="1:15" ht="33.950000000000003" hidden="1" customHeight="1">
      <c r="A16" s="617" t="s">
        <v>1293</v>
      </c>
      <c r="B16" s="618">
        <f>IF(D16=0,0,TRUNC(AVERAGE(C16:L16),1))</f>
        <v>0</v>
      </c>
      <c r="C16" s="618"/>
      <c r="D16" s="619"/>
      <c r="E16" s="618"/>
      <c r="F16" s="618"/>
      <c r="G16" s="618"/>
      <c r="H16" s="618"/>
      <c r="I16" s="618"/>
      <c r="J16" s="618"/>
      <c r="K16" s="620"/>
      <c r="L16" s="621"/>
      <c r="M16" s="67" t="s">
        <v>1294</v>
      </c>
      <c r="N16" s="12"/>
      <c r="O16" s="12"/>
    </row>
    <row r="17" spans="1:15" ht="33.950000000000003" customHeight="1">
      <c r="A17" s="622" t="s">
        <v>1295</v>
      </c>
      <c r="B17" s="618">
        <f t="shared" si="0"/>
        <v>3.5</v>
      </c>
      <c r="C17" s="618" t="s">
        <v>1290</v>
      </c>
      <c r="D17" s="619">
        <v>3.5</v>
      </c>
      <c r="E17" s="618"/>
      <c r="F17" s="618"/>
      <c r="G17" s="618"/>
      <c r="H17" s="618"/>
      <c r="I17" s="618"/>
      <c r="J17" s="618"/>
      <c r="K17" s="620"/>
      <c r="L17" s="621"/>
      <c r="M17" s="67" t="s">
        <v>1296</v>
      </c>
      <c r="N17" s="12"/>
      <c r="O17" s="12"/>
    </row>
    <row r="18" spans="1:15" ht="33.950000000000003" hidden="1" customHeight="1">
      <c r="A18" s="622" t="s">
        <v>1297</v>
      </c>
      <c r="B18" s="618">
        <f t="shared" si="0"/>
        <v>0</v>
      </c>
      <c r="C18" s="618"/>
      <c r="D18" s="619"/>
      <c r="E18" s="618"/>
      <c r="F18" s="618"/>
      <c r="G18" s="618"/>
      <c r="H18" s="618"/>
      <c r="I18" s="618"/>
      <c r="J18" s="618"/>
      <c r="K18" s="620"/>
      <c r="L18" s="621"/>
      <c r="M18" s="67" t="s">
        <v>1298</v>
      </c>
      <c r="N18" s="12"/>
      <c r="O18" s="12"/>
    </row>
    <row r="19" spans="1:15" ht="33.950000000000003" hidden="1" customHeight="1">
      <c r="A19" s="622" t="s">
        <v>1299</v>
      </c>
      <c r="B19" s="618"/>
      <c r="C19" s="618"/>
      <c r="D19" s="619"/>
      <c r="E19" s="618"/>
      <c r="F19" s="618"/>
      <c r="G19" s="618"/>
      <c r="H19" s="618"/>
      <c r="I19" s="618"/>
      <c r="J19" s="618"/>
      <c r="K19" s="620"/>
      <c r="L19" s="621"/>
      <c r="M19" s="67" t="s">
        <v>1300</v>
      </c>
      <c r="N19" s="12"/>
      <c r="O19" s="12"/>
    </row>
    <row r="20" spans="1:15" ht="33.950000000000003" hidden="1" customHeight="1">
      <c r="A20" s="622" t="s">
        <v>1301</v>
      </c>
      <c r="B20" s="618">
        <f t="shared" si="0"/>
        <v>0</v>
      </c>
      <c r="C20" s="618"/>
      <c r="D20" s="619"/>
      <c r="E20" s="618"/>
      <c r="F20" s="618"/>
      <c r="G20" s="618"/>
      <c r="H20" s="618"/>
      <c r="I20" s="618"/>
      <c r="J20" s="618"/>
      <c r="K20" s="620"/>
      <c r="L20" s="621"/>
      <c r="M20" s="67" t="s">
        <v>1302</v>
      </c>
      <c r="N20" s="12"/>
      <c r="O20" s="12"/>
    </row>
    <row r="21" spans="1:15" ht="33.950000000000003" hidden="1" customHeight="1">
      <c r="A21" s="617" t="s">
        <v>1303</v>
      </c>
      <c r="B21" s="618">
        <f t="shared" si="0"/>
        <v>0</v>
      </c>
      <c r="C21" s="618"/>
      <c r="D21" s="619"/>
      <c r="E21" s="618"/>
      <c r="F21" s="618"/>
      <c r="G21" s="618"/>
      <c r="H21" s="618"/>
      <c r="I21" s="618"/>
      <c r="J21" s="618"/>
      <c r="K21" s="620"/>
      <c r="L21" s="621"/>
      <c r="M21" s="67" t="s">
        <v>1304</v>
      </c>
      <c r="N21" s="12"/>
      <c r="O21" s="12"/>
    </row>
    <row r="22" spans="1:15" ht="33.950000000000003" hidden="1" customHeight="1">
      <c r="A22" s="617" t="s">
        <v>1305</v>
      </c>
      <c r="B22" s="618">
        <f t="shared" si="0"/>
        <v>0</v>
      </c>
      <c r="C22" s="618"/>
      <c r="D22" s="619"/>
      <c r="E22" s="618"/>
      <c r="F22" s="618"/>
      <c r="G22" s="618"/>
      <c r="H22" s="618"/>
      <c r="I22" s="618"/>
      <c r="J22" s="618"/>
      <c r="K22" s="620"/>
      <c r="L22" s="621"/>
      <c r="M22" s="67" t="s">
        <v>1306</v>
      </c>
      <c r="N22" s="12"/>
      <c r="O22" s="12"/>
    </row>
    <row r="23" spans="1:15" ht="33.950000000000003" hidden="1" customHeight="1">
      <c r="A23" s="617" t="s">
        <v>1307</v>
      </c>
      <c r="B23" s="618">
        <f t="shared" si="0"/>
        <v>0</v>
      </c>
      <c r="C23" s="618"/>
      <c r="D23" s="619"/>
      <c r="E23" s="618"/>
      <c r="F23" s="618"/>
      <c r="G23" s="618"/>
      <c r="H23" s="618"/>
      <c r="I23" s="618"/>
      <c r="J23" s="618"/>
      <c r="K23" s="620"/>
      <c r="L23" s="621"/>
      <c r="M23" s="67" t="s">
        <v>1308</v>
      </c>
      <c r="N23" s="12"/>
      <c r="O23" s="68"/>
    </row>
    <row r="24" spans="1:15" ht="33.950000000000003" hidden="1" customHeight="1">
      <c r="A24" s="617" t="s">
        <v>1309</v>
      </c>
      <c r="B24" s="618">
        <f t="shared" si="0"/>
        <v>0</v>
      </c>
      <c r="C24" s="618"/>
      <c r="D24" s="619"/>
      <c r="E24" s="618"/>
      <c r="F24" s="618"/>
      <c r="G24" s="618"/>
      <c r="H24" s="618"/>
      <c r="I24" s="618"/>
      <c r="J24" s="618"/>
      <c r="K24" s="623"/>
      <c r="L24" s="624"/>
      <c r="M24" s="67" t="s">
        <v>1310</v>
      </c>
      <c r="N24" s="68"/>
      <c r="O24" s="68"/>
    </row>
    <row r="25" spans="1:15" ht="33.950000000000003" customHeight="1">
      <c r="A25" s="625" t="s">
        <v>1311</v>
      </c>
      <c r="B25" s="618">
        <f t="shared" si="0"/>
        <v>110</v>
      </c>
      <c r="C25" s="618" t="s">
        <v>1287</v>
      </c>
      <c r="D25" s="619">
        <v>110</v>
      </c>
      <c r="E25" s="618"/>
      <c r="F25" s="618"/>
      <c r="G25" s="618"/>
      <c r="H25" s="618"/>
      <c r="I25" s="618"/>
      <c r="J25" s="618"/>
      <c r="K25" s="620"/>
      <c r="L25" s="621"/>
      <c r="M25" s="626" t="s">
        <v>1312</v>
      </c>
      <c r="N25" s="68"/>
      <c r="O25" s="68"/>
    </row>
    <row r="26" spans="1:15" ht="33.950000000000003" hidden="1" customHeight="1">
      <c r="A26" s="617" t="s">
        <v>1313</v>
      </c>
      <c r="B26" s="618">
        <f t="shared" si="0"/>
        <v>0</v>
      </c>
      <c r="C26" s="618"/>
      <c r="D26" s="619"/>
      <c r="E26" s="618"/>
      <c r="F26" s="618"/>
      <c r="G26" s="618"/>
      <c r="H26" s="618"/>
      <c r="I26" s="618"/>
      <c r="J26" s="618"/>
      <c r="K26" s="623"/>
      <c r="L26" s="624"/>
      <c r="M26" s="626" t="s">
        <v>1314</v>
      </c>
      <c r="N26" s="12"/>
      <c r="O26" s="68"/>
    </row>
    <row r="27" spans="1:15" ht="33.950000000000003" hidden="1" customHeight="1">
      <c r="A27" s="617" t="s">
        <v>1315</v>
      </c>
      <c r="B27" s="618">
        <f t="shared" si="0"/>
        <v>0</v>
      </c>
      <c r="C27" s="618"/>
      <c r="D27" s="619"/>
      <c r="E27" s="618"/>
      <c r="F27" s="618"/>
      <c r="G27" s="618"/>
      <c r="H27" s="618"/>
      <c r="I27" s="618"/>
      <c r="J27" s="618"/>
      <c r="K27" s="623"/>
      <c r="L27" s="624"/>
      <c r="M27" s="626" t="s">
        <v>1316</v>
      </c>
      <c r="N27" s="12"/>
      <c r="O27" s="68"/>
    </row>
    <row r="28" spans="1:15" ht="33.950000000000003" hidden="1" customHeight="1">
      <c r="A28" s="617" t="s">
        <v>1317</v>
      </c>
      <c r="B28" s="618">
        <f t="shared" si="0"/>
        <v>0</v>
      </c>
      <c r="C28" s="618"/>
      <c r="D28" s="619"/>
      <c r="E28" s="618"/>
      <c r="F28" s="618"/>
      <c r="G28" s="618"/>
      <c r="H28" s="618"/>
      <c r="I28" s="618"/>
      <c r="J28" s="618"/>
      <c r="K28" s="623"/>
      <c r="L28" s="624"/>
      <c r="M28" s="626" t="s">
        <v>1318</v>
      </c>
      <c r="N28" s="12"/>
      <c r="O28" s="68"/>
    </row>
    <row r="29" spans="1:15" ht="33.950000000000003" hidden="1" customHeight="1">
      <c r="A29" s="617" t="s">
        <v>1319</v>
      </c>
      <c r="B29" s="618">
        <f t="shared" si="0"/>
        <v>0</v>
      </c>
      <c r="C29" s="618"/>
      <c r="D29" s="619"/>
      <c r="E29" s="618"/>
      <c r="F29" s="618"/>
      <c r="G29" s="618"/>
      <c r="H29" s="618"/>
      <c r="I29" s="618"/>
      <c r="J29" s="618"/>
      <c r="K29" s="623"/>
      <c r="L29" s="624"/>
      <c r="M29" s="626" t="s">
        <v>1320</v>
      </c>
      <c r="N29" s="12"/>
      <c r="O29" s="68"/>
    </row>
    <row r="30" spans="1:15" ht="33.950000000000003" customHeight="1">
      <c r="A30" s="617" t="s">
        <v>1321</v>
      </c>
      <c r="B30" s="618">
        <f t="shared" si="0"/>
        <v>110</v>
      </c>
      <c r="C30" s="618" t="s">
        <v>1287</v>
      </c>
      <c r="D30" s="619">
        <v>110</v>
      </c>
      <c r="E30" s="618"/>
      <c r="F30" s="618"/>
      <c r="G30" s="618"/>
      <c r="H30" s="618"/>
      <c r="I30" s="618"/>
      <c r="J30" s="618"/>
      <c r="K30" s="623"/>
      <c r="L30" s="624"/>
      <c r="M30" s="67" t="s">
        <v>1322</v>
      </c>
      <c r="N30" s="12"/>
      <c r="O30" s="68"/>
    </row>
    <row r="31" spans="1:15" ht="33.950000000000003" hidden="1" customHeight="1">
      <c r="A31" s="617" t="s">
        <v>1323</v>
      </c>
      <c r="B31" s="618">
        <f t="shared" si="0"/>
        <v>0</v>
      </c>
      <c r="C31" s="618"/>
      <c r="D31" s="619"/>
      <c r="E31" s="618"/>
      <c r="F31" s="618"/>
      <c r="G31" s="618"/>
      <c r="H31" s="618"/>
      <c r="I31" s="618"/>
      <c r="J31" s="618"/>
      <c r="K31" s="623"/>
      <c r="L31" s="624"/>
      <c r="M31" s="67" t="s">
        <v>1324</v>
      </c>
      <c r="N31" s="12"/>
      <c r="O31" s="68"/>
    </row>
    <row r="32" spans="1:15" ht="33.950000000000003" hidden="1" customHeight="1">
      <c r="A32" s="617" t="s">
        <v>1325</v>
      </c>
      <c r="B32" s="618">
        <f t="shared" si="0"/>
        <v>0</v>
      </c>
      <c r="C32" s="618"/>
      <c r="D32" s="619"/>
      <c r="E32" s="618"/>
      <c r="F32" s="618"/>
      <c r="G32" s="618"/>
      <c r="H32" s="618"/>
      <c r="I32" s="618"/>
      <c r="J32" s="618"/>
      <c r="K32" s="623"/>
      <c r="L32" s="624"/>
      <c r="M32" s="67" t="s">
        <v>1326</v>
      </c>
      <c r="N32" s="12"/>
      <c r="O32" s="68"/>
    </row>
    <row r="33" spans="1:15" ht="33.950000000000003" hidden="1" customHeight="1">
      <c r="A33" s="617" t="s">
        <v>1327</v>
      </c>
      <c r="B33" s="618">
        <f t="shared" si="0"/>
        <v>0</v>
      </c>
      <c r="C33" s="618"/>
      <c r="D33" s="619"/>
      <c r="E33" s="618"/>
      <c r="F33" s="618"/>
      <c r="G33" s="618"/>
      <c r="H33" s="618"/>
      <c r="I33" s="618"/>
      <c r="J33" s="618"/>
      <c r="K33" s="623"/>
      <c r="L33" s="624"/>
      <c r="M33" s="67" t="s">
        <v>1328</v>
      </c>
      <c r="N33" s="12"/>
      <c r="O33" s="68"/>
    </row>
    <row r="34" spans="1:15" ht="33.950000000000003" customHeight="1" thickBot="1">
      <c r="A34" s="627" t="s">
        <v>1329</v>
      </c>
      <c r="B34" s="628">
        <f t="shared" si="0"/>
        <v>110</v>
      </c>
      <c r="C34" s="628" t="s">
        <v>1287</v>
      </c>
      <c r="D34" s="629">
        <v>110</v>
      </c>
      <c r="E34" s="628"/>
      <c r="F34" s="628"/>
      <c r="G34" s="628"/>
      <c r="H34" s="628"/>
      <c r="I34" s="628"/>
      <c r="J34" s="628"/>
      <c r="K34" s="630"/>
      <c r="L34" s="631"/>
      <c r="M34" s="67" t="s">
        <v>1330</v>
      </c>
      <c r="N34" s="12"/>
      <c r="O34" s="68"/>
    </row>
    <row r="35" spans="1:15" ht="33.950000000000003" hidden="1" customHeight="1" thickBot="1">
      <c r="A35" s="627" t="s">
        <v>1331</v>
      </c>
      <c r="B35" s="632">
        <f t="shared" si="0"/>
        <v>0</v>
      </c>
      <c r="C35" s="633"/>
      <c r="D35" s="629"/>
      <c r="E35" s="628"/>
      <c r="F35" s="629"/>
      <c r="G35" s="628"/>
      <c r="H35" s="629"/>
      <c r="I35" s="628"/>
      <c r="J35" s="629"/>
      <c r="K35" s="630"/>
      <c r="L35" s="631"/>
      <c r="M35" s="67" t="s">
        <v>1332</v>
      </c>
      <c r="N35" s="12"/>
      <c r="O35" s="68"/>
    </row>
    <row r="36" spans="1:15" ht="33.950000000000003" hidden="1" customHeight="1" thickBot="1">
      <c r="A36" s="627" t="s">
        <v>1333</v>
      </c>
      <c r="B36" s="632">
        <f t="shared" si="0"/>
        <v>0</v>
      </c>
      <c r="C36" s="633"/>
      <c r="D36" s="629"/>
      <c r="E36" s="628"/>
      <c r="F36" s="629"/>
      <c r="G36" s="628"/>
      <c r="H36" s="629"/>
      <c r="I36" s="628"/>
      <c r="J36" s="629"/>
      <c r="K36" s="630"/>
      <c r="L36" s="631"/>
      <c r="M36" s="67"/>
      <c r="N36" s="12"/>
      <c r="O36" s="68"/>
    </row>
    <row r="37" spans="1:15" ht="12.75"/>
  </sheetData>
  <mergeCells count="8">
    <mergeCell ref="J2:K3"/>
    <mergeCell ref="A11:A12"/>
    <mergeCell ref="B11:B12"/>
    <mergeCell ref="C11:D11"/>
    <mergeCell ref="E11:F11"/>
    <mergeCell ref="G11:H11"/>
    <mergeCell ref="I11:J11"/>
    <mergeCell ref="K11:L11"/>
  </mergeCells>
  <pageMargins left="0.39370078740157477" right="0.59055118110236215" top="0.39370078740157477" bottom="0.59055118110236215" header="0.31496062000000002" footer="0.31496062000000002"/>
  <pageSetup paperSize="9" scale="61" orientation="portrait" r:id="rId1"/>
  <headerFooter>
    <oddFooter>&amp;C&amp;8Página &amp;P/&amp;N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D0E56-1ACE-48CB-B821-AF651535D169}">
  <sheetPr codeName="Planilha21">
    <pageSetUpPr fitToPage="1"/>
  </sheetPr>
  <dimension ref="A1:Y62"/>
  <sheetViews>
    <sheetView showZeros="0" zoomScaleNormal="100" workbookViewId="0"/>
  </sheetViews>
  <sheetFormatPr defaultColWidth="9" defaultRowHeight="12.75"/>
  <cols>
    <col min="1" max="1" width="15.875" style="13" customWidth="1"/>
    <col min="2" max="2" width="70.5" style="13" customWidth="1"/>
    <col min="3" max="3" width="10.625" style="13" customWidth="1"/>
    <col min="4" max="4" width="5.375" style="13" bestFit="1" customWidth="1"/>
    <col min="5" max="5" width="13" style="13" customWidth="1"/>
    <col min="6" max="6" width="8.625" style="13" bestFit="1" customWidth="1"/>
    <col min="7" max="8" width="16.75" style="13" customWidth="1"/>
    <col min="9" max="9" width="17.75" style="13" customWidth="1"/>
    <col min="10" max="16384" width="9" style="13"/>
  </cols>
  <sheetData>
    <row r="1" spans="1:25" s="12" customFormat="1" ht="23.1" customHeight="1">
      <c r="A1" s="473" t="str">
        <f>Orcamento!B2</f>
        <v>PREFEITURA MUNICIPAL DE RIBAS DO RIO PARDO</v>
      </c>
      <c r="B1" s="473"/>
      <c r="C1" s="474"/>
      <c r="H1" s="634" t="str">
        <f>Orcamento!N2</f>
        <v>DATA BASE:</v>
      </c>
      <c r="I1" s="635">
        <f>Orcamento!O2</f>
        <v>45383</v>
      </c>
    </row>
    <row r="2" spans="1:25" s="12" customFormat="1" ht="23.1" customHeight="1">
      <c r="A2" s="473" t="str">
        <f>Orcamento!B3</f>
        <v>ESTADO DE MATO GROSSO DO SUL</v>
      </c>
      <c r="B2" s="23"/>
      <c r="C2" s="66"/>
      <c r="D2" s="476"/>
      <c r="H2" s="634" t="str">
        <f>Orcamento!N3</f>
        <v>E.S.S.M.O.:</v>
      </c>
      <c r="I2" s="636" t="str">
        <f>Orcamento!O3</f>
        <v>NÃO DESONERADA</v>
      </c>
    </row>
    <row r="3" spans="1:25" s="12" customFormat="1" ht="23.1" customHeight="1">
      <c r="A3" s="42"/>
      <c r="B3" s="42"/>
      <c r="C3" s="66"/>
      <c r="D3" s="476"/>
      <c r="H3" s="634" t="str">
        <f>Orcamento!N4</f>
        <v>E.S.D. (HORA):</v>
      </c>
      <c r="I3" s="637">
        <f>Orcamento!O4</f>
        <v>1.0676000000000001</v>
      </c>
    </row>
    <row r="4" spans="1:25" s="12" customFormat="1" ht="23.1" customHeight="1">
      <c r="A4" s="43" t="str">
        <f>Orcamento!B6</f>
        <v>OBRA :</v>
      </c>
      <c r="B4" s="43" t="str">
        <f>Orcamento!D6</f>
        <v>RESTAURAÇÃO FUNCIONAL DO PAVIMENTO</v>
      </c>
      <c r="C4" s="57"/>
      <c r="D4" s="43"/>
      <c r="H4" s="634" t="str">
        <f>Orcamento!N5</f>
        <v>E.S.D. (MÊS):</v>
      </c>
      <c r="I4" s="637">
        <f>Orcamento!O5</f>
        <v>0.64390000000000003</v>
      </c>
    </row>
    <row r="5" spans="1:25" s="12" customFormat="1" ht="23.1" customHeight="1">
      <c r="A5" s="43" t="str">
        <f>Orcamento!B7</f>
        <v>LOCAL :</v>
      </c>
      <c r="B5" s="43" t="str">
        <f>Orcamento!D7</f>
        <v>VÁRIAS RUAS</v>
      </c>
      <c r="C5" s="57"/>
      <c r="D5" s="50"/>
      <c r="H5" s="634" t="str">
        <f>Orcamento!N6</f>
        <v>BDI SERVIÇOS (1):</v>
      </c>
      <c r="I5" s="637">
        <f>Orcamento!O6</f>
        <v>0.20699999999999999</v>
      </c>
    </row>
    <row r="6" spans="1:25" s="12" customFormat="1" ht="23.1" customHeight="1">
      <c r="A6" s="43" t="str">
        <f>Orcamento!B8</f>
        <v>MUNICÍPIO :</v>
      </c>
      <c r="B6" s="43" t="str">
        <f>Orcamento!D8</f>
        <v>RIBAS DO RIO PARDO / MS</v>
      </c>
      <c r="C6" s="62"/>
      <c r="D6" s="50"/>
      <c r="H6" s="634" t="str">
        <f>Orcamento!N7</f>
        <v>BDI INSUMO (2):</v>
      </c>
      <c r="I6" s="637">
        <f>Orcamento!O7</f>
        <v>0.1527</v>
      </c>
    </row>
    <row r="7" spans="1:25" s="12" customFormat="1" ht="23.1" customHeight="1">
      <c r="A7" s="43"/>
      <c r="B7" s="43"/>
      <c r="D7" s="480"/>
    </row>
    <row r="8" spans="1:25" s="12" customFormat="1" ht="23.1" customHeight="1">
      <c r="A8" s="2564" t="s">
        <v>1334</v>
      </c>
      <c r="B8" s="2564"/>
      <c r="C8" s="2564"/>
      <c r="D8" s="2564"/>
      <c r="E8" s="2564"/>
      <c r="F8" s="2564"/>
      <c r="G8" s="2564"/>
      <c r="H8" s="67">
        <f>LOGO_EMPRESA</f>
        <v>0</v>
      </c>
    </row>
    <row r="9" spans="1:25" s="12" customFormat="1" ht="23.1" customHeight="1" thickBot="1">
      <c r="B9" s="638"/>
      <c r="C9" s="638"/>
      <c r="D9" s="638"/>
      <c r="E9" s="638"/>
      <c r="F9" s="638"/>
    </row>
    <row r="10" spans="1:25" s="68" customFormat="1" ht="21.75" customHeight="1" thickTop="1">
      <c r="A10" s="2474" t="s">
        <v>26</v>
      </c>
      <c r="B10" s="2474" t="s">
        <v>66</v>
      </c>
      <c r="C10" s="2565" t="s">
        <v>1335</v>
      </c>
      <c r="D10" s="2566"/>
      <c r="E10" s="2566"/>
      <c r="F10" s="2567"/>
      <c r="G10" s="2568" t="s">
        <v>1336</v>
      </c>
      <c r="H10" s="2568"/>
      <c r="I10" s="2569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</row>
    <row r="11" spans="1:25" s="68" customFormat="1" ht="24.75" customHeight="1" thickBot="1">
      <c r="A11" s="2475"/>
      <c r="B11" s="2475"/>
      <c r="C11" s="639" t="s">
        <v>29</v>
      </c>
      <c r="D11" s="640" t="s">
        <v>55</v>
      </c>
      <c r="E11" s="641" t="s">
        <v>1337</v>
      </c>
      <c r="F11" s="642" t="s">
        <v>1338</v>
      </c>
      <c r="G11" s="643" t="str">
        <f>CONCATENATE("EXT. DA OBRA = ",C15,"m"," (R$/m)")</f>
        <v>EXT. DA OBRA = 0m (R$/m)</v>
      </c>
      <c r="H11" s="643" t="str">
        <f>CONCATENATE("EXT. DA DREN. = ",C22,"m"," (R$/m)")</f>
        <v>EXT. DA DREN. = 0m (R$/m)</v>
      </c>
      <c r="I11" s="644" t="str">
        <f>CONCATENATE("ÁREA DA OBRA = ",C28,"m"," (R$/m²)")</f>
        <v>ÁREA DA OBRA = 0m (R$/m²)</v>
      </c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</row>
    <row r="12" spans="1:25" s="68" customFormat="1" ht="21.95" customHeight="1" thickTop="1">
      <c r="A12" s="67">
        <f ca="1">Orcamento!B17</f>
        <v>1</v>
      </c>
      <c r="B12" s="25" t="str">
        <f>Orcamento!D17</f>
        <v>SERVIÇOS PRELIMINARES</v>
      </c>
      <c r="C12" s="529">
        <f>Orcamento!K17</f>
        <v>16</v>
      </c>
      <c r="D12" s="645" t="str">
        <f>Orcamento!G17</f>
        <v>M2</v>
      </c>
      <c r="E12" s="646">
        <f>Orcamento!S17</f>
        <v>101788.53</v>
      </c>
      <c r="F12" s="647">
        <f>Orcamento!X17</f>
        <v>3.2915177458926352E-2</v>
      </c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</row>
    <row r="13" spans="1:25" s="68" customFormat="1" ht="21.95" customHeight="1">
      <c r="A13" s="67">
        <f ca="1">Orcamento!B36</f>
        <v>3</v>
      </c>
      <c r="B13" s="25" t="str">
        <f>Orcamento!D36</f>
        <v>ADMINISTRAÇÃO LOCAL</v>
      </c>
      <c r="C13" s="529">
        <f>Orcamento!K36</f>
        <v>12</v>
      </c>
      <c r="D13" s="645" t="str">
        <f>Orcamento!G36</f>
        <v>MÊS</v>
      </c>
      <c r="E13" s="646">
        <f>Orcamento!S36</f>
        <v>100703.92</v>
      </c>
      <c r="F13" s="647">
        <f>Orcamento!X36</f>
        <v>3.2564449035756018E-2</v>
      </c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</row>
    <row r="14" spans="1:25" s="68" customFormat="1" ht="21.95" customHeight="1">
      <c r="A14" s="67">
        <f ca="1">Orcamento!B37</f>
        <v>0</v>
      </c>
      <c r="B14" s="25" t="str">
        <f>Orcamento!D37</f>
        <v>SERVIÇOS DE ENGENHARIA</v>
      </c>
      <c r="C14" s="529">
        <f>Orcamento!K37</f>
        <v>0</v>
      </c>
      <c r="D14" s="645" t="str">
        <f>Orcamento!G37</f>
        <v>m²</v>
      </c>
      <c r="E14" s="646">
        <f>Orcamento!S37</f>
        <v>0</v>
      </c>
      <c r="F14" s="647">
        <f>Orcamento!X37</f>
        <v>0</v>
      </c>
      <c r="G14" s="648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</row>
    <row r="15" spans="1:25" s="479" customFormat="1" ht="21.95" customHeight="1">
      <c r="A15" s="497"/>
      <c r="B15" s="649" t="s">
        <v>1339</v>
      </c>
      <c r="C15" s="502">
        <f>Pav_Terraplenagem!J2</f>
        <v>0</v>
      </c>
      <c r="D15" s="650" t="str">
        <f>D22</f>
        <v>M</v>
      </c>
      <c r="E15" s="651">
        <f>SUM(E12:E14)</f>
        <v>202492.45</v>
      </c>
      <c r="F15" s="652">
        <f>E15/E$33</f>
        <v>1</v>
      </c>
      <c r="G15" s="651" t="e">
        <f>E15/C$15</f>
        <v>#DIV/0!</v>
      </c>
      <c r="H15" s="653"/>
      <c r="I15" s="651" t="e">
        <f>E15/$C$28</f>
        <v>#DIV/0!</v>
      </c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</row>
    <row r="16" spans="1:25" s="68" customFormat="1" ht="21.95" customHeight="1">
      <c r="A16" s="67">
        <f ca="1">Orcamento!B19</f>
        <v>0</v>
      </c>
      <c r="B16" s="25" t="str">
        <f>Orcamento!D19</f>
        <v>MICRODRENAGEM - TERRAPLENAGEM</v>
      </c>
      <c r="C16" s="529">
        <f>Orcamento!K19</f>
        <v>0</v>
      </c>
      <c r="D16" s="654" t="str">
        <f>Orcamento!G19</f>
        <v>M3</v>
      </c>
      <c r="E16" s="646">
        <f>Orcamento!S19</f>
        <v>0</v>
      </c>
      <c r="F16" s="647">
        <f>Orcamento!X19</f>
        <v>0</v>
      </c>
      <c r="K16" s="12"/>
      <c r="L16" s="12"/>
      <c r="M16" s="12"/>
      <c r="N16" s="12"/>
      <c r="O16" s="12"/>
    </row>
    <row r="17" spans="1:15" s="68" customFormat="1" ht="21.95" customHeight="1">
      <c r="A17" s="67">
        <f ca="1">Orcamento!B20</f>
        <v>0</v>
      </c>
      <c r="B17" s="25" t="str">
        <f>Orcamento!D20</f>
        <v>MICRODRENAGEM - GALERIAS</v>
      </c>
      <c r="C17" s="68">
        <f>Orcamento!K20</f>
        <v>0</v>
      </c>
      <c r="D17" s="654" t="str">
        <f>Orcamento!G20</f>
        <v>M</v>
      </c>
      <c r="E17" s="646">
        <f>Orcamento!S20</f>
        <v>0</v>
      </c>
      <c r="F17" s="647">
        <f>Orcamento!X20</f>
        <v>0</v>
      </c>
      <c r="K17" s="12"/>
      <c r="L17" s="12"/>
      <c r="M17" s="12"/>
      <c r="N17" s="12"/>
      <c r="O17" s="12"/>
    </row>
    <row r="18" spans="1:15" s="68" customFormat="1" ht="21.95" customHeight="1">
      <c r="A18" s="67">
        <f ca="1">Orcamento!B21</f>
        <v>0</v>
      </c>
      <c r="B18" s="25" t="str">
        <f>Orcamento!D21</f>
        <v>MICRODRENAGEM - DISPOSITIVOS AUXILIARES</v>
      </c>
      <c r="C18" s="68">
        <f>Orcamento!K21</f>
        <v>0</v>
      </c>
      <c r="D18" s="654" t="str">
        <f>Orcamento!G21</f>
        <v>UN</v>
      </c>
      <c r="E18" s="646">
        <f>Orcamento!S21</f>
        <v>0</v>
      </c>
      <c r="F18" s="647">
        <f>Orcamento!X21</f>
        <v>0</v>
      </c>
      <c r="K18" s="12"/>
      <c r="L18" s="12"/>
      <c r="M18" s="12"/>
      <c r="N18" s="12"/>
      <c r="O18" s="12"/>
    </row>
    <row r="19" spans="1:15" s="68" customFormat="1" ht="21.95" customHeight="1">
      <c r="A19" s="67">
        <f ca="1">Orcamento!B22</f>
        <v>0</v>
      </c>
      <c r="B19" s="25" t="str">
        <f>Orcamento!D22</f>
        <v>MICRODRENAGEM - SERVIÇOS DE ESTRUTURAS</v>
      </c>
      <c r="C19" s="529">
        <f>Orcamento!K22</f>
        <v>0</v>
      </c>
      <c r="D19" s="654" t="str">
        <f>Orcamento!G22</f>
        <v>M3</v>
      </c>
      <c r="E19" s="646">
        <f>Orcamento!S22</f>
        <v>0</v>
      </c>
      <c r="F19" s="647">
        <f>Orcamento!X22</f>
        <v>0</v>
      </c>
      <c r="K19" s="12"/>
      <c r="L19" s="12"/>
      <c r="M19" s="12"/>
      <c r="N19" s="12"/>
      <c r="O19" s="12"/>
    </row>
    <row r="20" spans="1:15" s="68" customFormat="1" ht="21.95" customHeight="1">
      <c r="A20" s="67">
        <f ca="1">Orcamento!B23</f>
        <v>0</v>
      </c>
      <c r="B20" s="25" t="str">
        <f>Orcamento!D23</f>
        <v>MICRODRENAGEM - BACIA DE AMORTECIMENTO</v>
      </c>
      <c r="C20" s="529">
        <f>Orcamento!K23</f>
        <v>0</v>
      </c>
      <c r="D20" s="654" t="str">
        <f>Orcamento!G23</f>
        <v>M3</v>
      </c>
      <c r="E20" s="646">
        <f>Orcamento!S23</f>
        <v>0</v>
      </c>
      <c r="F20" s="647">
        <f>Orcamento!X23</f>
        <v>0</v>
      </c>
      <c r="K20" s="12"/>
      <c r="L20" s="12"/>
      <c r="M20" s="12"/>
      <c r="N20" s="12"/>
      <c r="O20" s="12"/>
    </row>
    <row r="21" spans="1:15" s="68" customFormat="1" ht="21.95" customHeight="1">
      <c r="A21" s="67">
        <f ca="1">Orcamento!B25</f>
        <v>0</v>
      </c>
      <c r="B21" s="25" t="str">
        <f>Orcamento!D25</f>
        <v>MICRODRENAGEM - RECOMPOSIÇÃO DO PAVIMENTO</v>
      </c>
      <c r="C21" s="529">
        <f>Orcamento!K25</f>
        <v>0</v>
      </c>
      <c r="D21" s="654" t="str">
        <f>Orcamento!G25</f>
        <v>M2</v>
      </c>
      <c r="E21" s="646">
        <f>Orcamento!S25</f>
        <v>0</v>
      </c>
      <c r="F21" s="647">
        <f>Orcamento!X25</f>
        <v>0</v>
      </c>
      <c r="K21" s="12"/>
      <c r="L21" s="12"/>
      <c r="M21" s="12"/>
      <c r="N21" s="12"/>
      <c r="O21" s="12"/>
    </row>
    <row r="22" spans="1:15" s="479" customFormat="1" ht="21.95" customHeight="1">
      <c r="A22" s="497"/>
      <c r="B22" s="649" t="s">
        <v>1340</v>
      </c>
      <c r="C22" s="502">
        <f>SUM(Orcamento!K218:K284)</f>
        <v>0</v>
      </c>
      <c r="D22" s="655" t="str">
        <f>D17</f>
        <v>M</v>
      </c>
      <c r="E22" s="651">
        <f>SUM(E16:E21)</f>
        <v>0</v>
      </c>
      <c r="F22" s="652">
        <f>E22/E$33</f>
        <v>0</v>
      </c>
      <c r="G22" s="651" t="e">
        <f>E22/C$15</f>
        <v>#DIV/0!</v>
      </c>
      <c r="H22" s="651" t="e">
        <f>E22/C22</f>
        <v>#DIV/0!</v>
      </c>
      <c r="I22" s="651" t="e">
        <f>E22/$C$28</f>
        <v>#DIV/0!</v>
      </c>
      <c r="K22" s="12"/>
      <c r="L22" s="12"/>
      <c r="M22" s="12"/>
      <c r="N22" s="12"/>
      <c r="O22" s="12"/>
    </row>
    <row r="23" spans="1:15" s="68" customFormat="1" ht="21.95" customHeight="1">
      <c r="A23" s="67">
        <f ca="1">Orcamento!B28</f>
        <v>0</v>
      </c>
      <c r="B23" s="25" t="str">
        <f>Orcamento!D28</f>
        <v>IMPLANTAÇÃO DE TERRAPLENAGEM</v>
      </c>
      <c r="C23" s="529">
        <f>Orcamento!K28</f>
        <v>0</v>
      </c>
      <c r="D23" s="654" t="str">
        <f>Orcamento!G28</f>
        <v>M3</v>
      </c>
      <c r="E23" s="646">
        <f>Orcamento!S28</f>
        <v>0</v>
      </c>
      <c r="F23" s="647">
        <f>Orcamento!X28</f>
        <v>0</v>
      </c>
      <c r="K23" s="12"/>
      <c r="L23" s="12"/>
      <c r="M23" s="12"/>
      <c r="N23" s="12"/>
      <c r="O23" s="12"/>
    </row>
    <row r="24" spans="1:15" s="68" customFormat="1" ht="21.95" customHeight="1">
      <c r="A24" s="67">
        <f ca="1">Orcamento!B29</f>
        <v>0</v>
      </c>
      <c r="B24" s="25" t="str">
        <f>Orcamento!D29</f>
        <v>IMPLANTAÇÃO DE PAVIMENTAÇÃO</v>
      </c>
      <c r="C24" s="529">
        <f>Orcamento!K29</f>
        <v>0</v>
      </c>
      <c r="D24" s="654" t="str">
        <f>Orcamento!G29</f>
        <v>M2</v>
      </c>
      <c r="E24" s="646">
        <f>Orcamento!S29</f>
        <v>0</v>
      </c>
      <c r="F24" s="647">
        <f>Orcamento!X29</f>
        <v>0</v>
      </c>
      <c r="K24" s="12"/>
      <c r="L24" s="12"/>
      <c r="M24" s="12"/>
      <c r="N24" s="12"/>
      <c r="O24" s="12"/>
    </row>
    <row r="25" spans="1:15" s="68" customFormat="1" ht="21.95" customHeight="1">
      <c r="A25" s="67">
        <f ca="1">Orcamento!B30</f>
        <v>0</v>
      </c>
      <c r="B25" s="25" t="str">
        <f>Orcamento!D30</f>
        <v>SERVIÇOS COMPLEMENTARES</v>
      </c>
      <c r="C25" s="529">
        <f>Orcamento!K30</f>
        <v>0</v>
      </c>
      <c r="D25" s="654" t="str">
        <f>Orcamento!G30</f>
        <v>M</v>
      </c>
      <c r="E25" s="646">
        <f>Orcamento!S30</f>
        <v>0</v>
      </c>
      <c r="F25" s="647">
        <f>Orcamento!X30</f>
        <v>0</v>
      </c>
      <c r="I25" s="656" t="e">
        <f>SUM(E23:E25)/$C$28</f>
        <v>#DIV/0!</v>
      </c>
      <c r="K25" s="12"/>
      <c r="L25" s="12"/>
      <c r="M25" s="12"/>
      <c r="N25" s="12"/>
      <c r="O25" s="12"/>
    </row>
    <row r="26" spans="1:15" s="68" customFormat="1" ht="21.95" customHeight="1">
      <c r="A26" s="67">
        <f ca="1">Orcamento!B31</f>
        <v>0</v>
      </c>
      <c r="B26" s="25" t="str">
        <f>Orcamento!D31</f>
        <v>PASSEIO COM ACESSIBILIDADE</v>
      </c>
      <c r="C26" s="529">
        <f>Orcamento!K31</f>
        <v>0</v>
      </c>
      <c r="D26" s="654" t="str">
        <f>Orcamento!G31</f>
        <v>M2</v>
      </c>
      <c r="E26" s="646">
        <f>Orcamento!S31</f>
        <v>0</v>
      </c>
      <c r="F26" s="647">
        <f>Orcamento!X31</f>
        <v>0</v>
      </c>
      <c r="G26" s="656" t="e">
        <f>E26/C$15</f>
        <v>#DIV/0!</v>
      </c>
      <c r="I26" s="656" t="e">
        <f>E26/$C$28</f>
        <v>#DIV/0!</v>
      </c>
      <c r="K26" s="12"/>
      <c r="L26" s="12"/>
      <c r="M26" s="12"/>
      <c r="N26" s="12"/>
      <c r="O26" s="12"/>
    </row>
    <row r="27" spans="1:15" s="68" customFormat="1" ht="21.95" customHeight="1">
      <c r="A27" s="67">
        <f ca="1">Orcamento!B35</f>
        <v>0</v>
      </c>
      <c r="B27" s="25" t="str">
        <f>Orcamento!D35</f>
        <v>SINALIZAÇÃO VIÁRIA DEFINITIVA HORIZONTAL E VERTICAL E DISPOSITIVOS DE SEGURANÇA</v>
      </c>
      <c r="C27" s="529">
        <f>Orcamento!K35</f>
        <v>0</v>
      </c>
      <c r="D27" s="645" t="str">
        <f>Orcamento!G35</f>
        <v>M2</v>
      </c>
      <c r="E27" s="646">
        <f>Orcamento!S35</f>
        <v>0</v>
      </c>
      <c r="F27" s="647">
        <f>Orcamento!X35</f>
        <v>0</v>
      </c>
      <c r="G27" s="656" t="e">
        <f>E27/C$15</f>
        <v>#DIV/0!</v>
      </c>
      <c r="I27" s="656" t="e">
        <f>E27/$C$28</f>
        <v>#DIV/0!</v>
      </c>
      <c r="K27" s="12"/>
      <c r="L27" s="12"/>
      <c r="M27" s="12"/>
      <c r="N27" s="12"/>
      <c r="O27" s="12"/>
    </row>
    <row r="28" spans="1:15" s="479" customFormat="1" ht="21.95" customHeight="1">
      <c r="A28" s="497"/>
      <c r="B28" s="649" t="s">
        <v>1341</v>
      </c>
      <c r="C28" s="502">
        <f>C24</f>
        <v>0</v>
      </c>
      <c r="D28" s="655"/>
      <c r="E28" s="651">
        <f>SUM(E23:E27)</f>
        <v>0</v>
      </c>
      <c r="F28" s="652">
        <f>E28/E$33</f>
        <v>0</v>
      </c>
      <c r="G28" s="651" t="e">
        <f>E28/C$15</f>
        <v>#DIV/0!</v>
      </c>
      <c r="H28" s="653"/>
      <c r="I28" s="651" t="e">
        <f>E28/$C$28</f>
        <v>#DIV/0!</v>
      </c>
      <c r="J28" s="657" t="e">
        <f>I28+I15</f>
        <v>#DIV/0!</v>
      </c>
      <c r="K28" s="12"/>
      <c r="L28" s="12"/>
      <c r="M28" s="12"/>
      <c r="N28" s="12"/>
      <c r="O28" s="12"/>
    </row>
    <row r="29" spans="1:15" s="479" customFormat="1" ht="21.95" customHeight="1">
      <c r="A29" s="67">
        <f ca="1">Orcamento!B18</f>
        <v>0</v>
      </c>
      <c r="B29" s="25" t="str">
        <f>Orcamento!D18</f>
        <v>REMOÇÕES, DEMOLIÇÕES E SUPRESSÕES</v>
      </c>
      <c r="C29" s="529">
        <f>Orcamento!K18</f>
        <v>0</v>
      </c>
      <c r="D29" s="645" t="str">
        <f>Orcamento!G18</f>
        <v>M</v>
      </c>
      <c r="E29" s="646">
        <f>Orcamento!S18</f>
        <v>0</v>
      </c>
      <c r="F29" s="647">
        <f>Orcamento!X18</f>
        <v>0</v>
      </c>
      <c r="G29" s="656"/>
      <c r="H29" s="68"/>
      <c r="I29" s="656"/>
      <c r="J29" s="657"/>
      <c r="K29" s="12"/>
      <c r="L29" s="12"/>
      <c r="M29" s="12"/>
      <c r="N29" s="12"/>
      <c r="O29" s="12"/>
    </row>
    <row r="30" spans="1:15" s="68" customFormat="1" ht="21.95" customHeight="1">
      <c r="A30" s="67">
        <f ca="1">Orcamento!B24</f>
        <v>0</v>
      </c>
      <c r="B30" s="25" t="str">
        <f>Orcamento!D24</f>
        <v>DRENAGEM DE LENÇOL FREÁTICO</v>
      </c>
      <c r="C30" s="529">
        <f>Orcamento!K24</f>
        <v>0</v>
      </c>
      <c r="D30" s="645" t="str">
        <f>Orcamento!G24</f>
        <v>M</v>
      </c>
      <c r="E30" s="646">
        <f>Orcamento!S24</f>
        <v>0</v>
      </c>
      <c r="F30" s="647">
        <f>Orcamento!X24</f>
        <v>0</v>
      </c>
      <c r="G30" s="656"/>
      <c r="I30" s="656"/>
      <c r="K30" s="12"/>
      <c r="L30" s="12"/>
      <c r="M30" s="12"/>
      <c r="N30" s="12"/>
      <c r="O30" s="12"/>
    </row>
    <row r="31" spans="1:15" s="68" customFormat="1" ht="21.95" customHeight="1">
      <c r="A31" s="67">
        <f ca="1">Orcamento!B34</f>
        <v>0</v>
      </c>
      <c r="B31" s="25" t="str">
        <f>Orcamento!D34</f>
        <v>IMPLANTAÇÃO / ADEQUAÇÃO GEOMÉTRICA DE CICLOVIA</v>
      </c>
      <c r="C31" s="529">
        <f>Orcamento!K34</f>
        <v>0</v>
      </c>
      <c r="D31" s="654" t="str">
        <f>Orcamento!G34</f>
        <v>M</v>
      </c>
      <c r="E31" s="646">
        <f>Orcamento!S34</f>
        <v>0</v>
      </c>
      <c r="F31" s="647">
        <f>Orcamento!X34</f>
        <v>0</v>
      </c>
      <c r="G31" s="479"/>
      <c r="I31" s="656"/>
      <c r="K31" s="12"/>
      <c r="L31" s="12"/>
      <c r="M31" s="12"/>
      <c r="N31" s="12"/>
      <c r="O31" s="12"/>
    </row>
    <row r="32" spans="1:15" s="68" customFormat="1" ht="21.95" customHeight="1">
      <c r="A32" s="67">
        <f ca="1">Orcamento!B33</f>
        <v>0</v>
      </c>
      <c r="B32" s="25" t="str">
        <f>Orcamento!D33</f>
        <v>OBRAS DE ARTE ESPECIAIS - PONTE SOBRE O CÓRREGO MONTALVÃO - OPÇÃO PRÉ-TENSÃO</v>
      </c>
      <c r="C32" s="529">
        <f>Orcamento!K33</f>
        <v>0</v>
      </c>
      <c r="D32" s="654" t="str">
        <f>Orcamento!G33</f>
        <v xml:space="preserve">UN </v>
      </c>
      <c r="E32" s="646">
        <f>Orcamento!S33</f>
        <v>0</v>
      </c>
      <c r="F32" s="647">
        <f>Orcamento!X33</f>
        <v>0</v>
      </c>
      <c r="G32" s="656"/>
      <c r="I32" s="656"/>
      <c r="K32" s="12"/>
      <c r="L32" s="12"/>
      <c r="M32" s="12"/>
      <c r="N32" s="12"/>
      <c r="O32" s="12"/>
    </row>
    <row r="33" spans="1:15" s="479" customFormat="1" ht="21.95" customHeight="1">
      <c r="A33" s="658"/>
      <c r="B33" s="659" t="s">
        <v>1342</v>
      </c>
      <c r="C33" s="660"/>
      <c r="D33" s="661"/>
      <c r="E33" s="662">
        <f>E15+E22+E28+E29+E30+E31+E32</f>
        <v>202492.45</v>
      </c>
      <c r="F33" s="663">
        <f>E33/E37</f>
        <v>6.5479626494682378E-2</v>
      </c>
      <c r="G33" s="662" t="e">
        <f>E33/C$15</f>
        <v>#DIV/0!</v>
      </c>
      <c r="H33" s="664"/>
      <c r="I33" s="662" t="e">
        <f>E33/$C$28</f>
        <v>#DIV/0!</v>
      </c>
      <c r="K33" s="12"/>
      <c r="L33" s="12"/>
      <c r="M33" s="12"/>
      <c r="N33" s="12"/>
      <c r="O33" s="12"/>
    </row>
    <row r="34" spans="1:15" s="68" customFormat="1" ht="30" customHeight="1">
      <c r="A34" s="67">
        <f ca="1">Orcamento!B26</f>
        <v>2</v>
      </c>
      <c r="B34" s="665" t="str">
        <f>Orcamento!D26</f>
        <v>RESTAURAÇÃO DO PAVIMENTO - RECUPERAÇÃO PRÉVIA DO PAVIMENTO</v>
      </c>
      <c r="C34" s="529">
        <f>Orcamento!K26</f>
        <v>25860</v>
      </c>
      <c r="D34" s="645" t="str">
        <f>Orcamento!G26</f>
        <v>M2</v>
      </c>
      <c r="E34" s="646">
        <f>Orcamento!S26</f>
        <v>2889957.2299999995</v>
      </c>
      <c r="F34" s="647">
        <f>Orcamento!X26</f>
        <v>0.93452037350531758</v>
      </c>
      <c r="K34" s="12"/>
      <c r="L34" s="12"/>
      <c r="M34" s="12"/>
      <c r="N34" s="12"/>
      <c r="O34" s="12"/>
    </row>
    <row r="35" spans="1:15" s="68" customFormat="1" ht="21.95" customHeight="1">
      <c r="A35" s="67">
        <f ca="1">Orcamento!B27</f>
        <v>0</v>
      </c>
      <c r="B35" s="25" t="str">
        <f>Orcamento!D27</f>
        <v>RESTAURAÇÃO DO PAVIMENTO - RECAPEAMENTO ASFÁLTICO</v>
      </c>
      <c r="C35" s="529">
        <f>Orcamento!K27</f>
        <v>0</v>
      </c>
      <c r="D35" s="645" t="str">
        <f>Orcamento!G27</f>
        <v>M2</v>
      </c>
      <c r="E35" s="646">
        <f>Orcamento!S27</f>
        <v>0</v>
      </c>
      <c r="F35" s="647">
        <f>Orcamento!X27</f>
        <v>0</v>
      </c>
      <c r="K35" s="12"/>
      <c r="L35" s="12"/>
      <c r="M35" s="12"/>
      <c r="N35" s="12"/>
      <c r="O35" s="12"/>
    </row>
    <row r="36" spans="1:15" s="479" customFormat="1" ht="21.95" customHeight="1">
      <c r="A36" s="497"/>
      <c r="B36" s="649" t="s">
        <v>1343</v>
      </c>
      <c r="C36" s="502">
        <f>C35</f>
        <v>0</v>
      </c>
      <c r="D36" s="655" t="str">
        <f>D35</f>
        <v>M2</v>
      </c>
      <c r="E36" s="651">
        <f>SUM(E34:E35)</f>
        <v>2889957.2299999995</v>
      </c>
      <c r="F36" s="652">
        <f>E36/E37</f>
        <v>0.93452037350531758</v>
      </c>
      <c r="G36" s="651"/>
      <c r="H36" s="653"/>
      <c r="I36" s="651" t="e">
        <f>IF(E36=0,0,+E36/C36)</f>
        <v>#DIV/0!</v>
      </c>
    </row>
    <row r="37" spans="1:15" s="479" customFormat="1" ht="21.95" customHeight="1">
      <c r="A37" s="658"/>
      <c r="B37" s="659" t="s">
        <v>1344</v>
      </c>
      <c r="C37" s="660"/>
      <c r="D37" s="661"/>
      <c r="E37" s="662">
        <f>E36+E33</f>
        <v>3092449.6799999997</v>
      </c>
      <c r="F37" s="663">
        <f>E37/E37</f>
        <v>1</v>
      </c>
      <c r="G37" s="662"/>
      <c r="H37" s="664"/>
      <c r="I37" s="662"/>
    </row>
    <row r="38" spans="1:15">
      <c r="E38" s="16" t="str">
        <f>IF(E37=ORCAMENTO_VALOR_TOTAL_ND,"OK","ERRO")</f>
        <v>OK</v>
      </c>
    </row>
    <row r="39" spans="1:15">
      <c r="E39" s="666">
        <f>Orcamento!S14</f>
        <v>0</v>
      </c>
    </row>
    <row r="43" spans="1:15" s="68" customFormat="1" ht="24.95" customHeight="1"/>
    <row r="44" spans="1:15" s="68" customFormat="1" ht="35.1" customHeight="1"/>
    <row r="46" spans="1:15">
      <c r="A46" s="13">
        <v>1</v>
      </c>
    </row>
    <row r="47" spans="1:15">
      <c r="A47" s="13">
        <v>3</v>
      </c>
      <c r="B47" s="13">
        <v>2</v>
      </c>
    </row>
    <row r="48" spans="1:15">
      <c r="A48" s="13">
        <v>4</v>
      </c>
    </row>
    <row r="49" spans="1:2">
      <c r="A49" s="13">
        <v>6</v>
      </c>
      <c r="B49" s="13">
        <v>5</v>
      </c>
    </row>
    <row r="50" spans="1:2">
      <c r="A50" s="13">
        <v>8</v>
      </c>
      <c r="B50" s="13">
        <v>7</v>
      </c>
    </row>
    <row r="51" spans="1:2">
      <c r="A51" s="13">
        <v>9</v>
      </c>
    </row>
    <row r="52" spans="1:2">
      <c r="A52" s="13">
        <v>10</v>
      </c>
    </row>
    <row r="53" spans="1:2">
      <c r="A53" s="13">
        <v>11</v>
      </c>
    </row>
    <row r="54" spans="1:2">
      <c r="A54" s="13">
        <v>12</v>
      </c>
    </row>
    <row r="55" spans="1:2">
      <c r="A55" s="13">
        <v>13</v>
      </c>
    </row>
    <row r="56" spans="1:2">
      <c r="A56" s="13">
        <v>14</v>
      </c>
    </row>
    <row r="57" spans="1:2">
      <c r="A57" s="13">
        <v>15</v>
      </c>
    </row>
    <row r="58" spans="1:2">
      <c r="A58" s="13">
        <v>15</v>
      </c>
    </row>
    <row r="59" spans="1:2">
      <c r="A59" s="13">
        <v>16</v>
      </c>
    </row>
    <row r="60" spans="1:2">
      <c r="A60" s="13">
        <v>17</v>
      </c>
    </row>
    <row r="61" spans="1:2">
      <c r="A61" s="13">
        <v>18</v>
      </c>
    </row>
    <row r="62" spans="1:2">
      <c r="A62" s="13">
        <v>19</v>
      </c>
    </row>
  </sheetData>
  <mergeCells count="5">
    <mergeCell ref="A8:G8"/>
    <mergeCell ref="A10:A11"/>
    <mergeCell ref="B10:B11"/>
    <mergeCell ref="C10:F10"/>
    <mergeCell ref="G10:I10"/>
  </mergeCells>
  <printOptions horizontalCentered="1"/>
  <pageMargins left="0.39370078740157477" right="0.59055118110236215" top="0.39370078740157477" bottom="0.59055118110236215" header="0.31496062992125984" footer="0.23622047244094491"/>
  <pageSetup paperSize="9" scale="60" orientation="landscape" r:id="rId1"/>
  <headerFooter>
    <oddFooter>&amp;C&amp;8Página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62502-D5EE-4796-803B-588FF843FE82}">
  <sheetPr codeName="Planilha22">
    <tabColor rgb="FF92D050"/>
    <pageSetUpPr fitToPage="1"/>
  </sheetPr>
  <dimension ref="A1:O44"/>
  <sheetViews>
    <sheetView showZeros="0" zoomScaleNormal="100" workbookViewId="0">
      <selection activeCell="E13" sqref="E13"/>
    </sheetView>
  </sheetViews>
  <sheetFormatPr defaultColWidth="9" defaultRowHeight="12.75"/>
  <cols>
    <col min="1" max="1" width="9.75" style="681" customWidth="1"/>
    <col min="2" max="2" width="29" style="710" customWidth="1"/>
    <col min="3" max="3" width="30.625" style="710" customWidth="1"/>
    <col min="4" max="9" width="11.875" style="681" customWidth="1"/>
    <col min="10" max="10" width="11.875" style="714" customWidth="1"/>
    <col min="11" max="13" width="11.875" style="681" customWidth="1"/>
    <col min="14" max="14" width="14.625" style="681" customWidth="1"/>
    <col min="15" max="18" width="9" style="681"/>
    <col min="19" max="19" width="30.875" style="681" customWidth="1"/>
    <col min="20" max="16384" width="9" style="681"/>
  </cols>
  <sheetData>
    <row r="1" spans="1:15" s="673" customFormat="1" ht="48" customHeight="1" thickTop="1" thickBot="1">
      <c r="A1" s="2571" t="s">
        <v>1345</v>
      </c>
      <c r="B1" s="667" t="s">
        <v>1346</v>
      </c>
      <c r="C1" s="668" t="s">
        <v>1347</v>
      </c>
      <c r="D1" s="669" t="s">
        <v>1348</v>
      </c>
      <c r="E1" s="670" t="s">
        <v>1349</v>
      </c>
      <c r="F1" s="670" t="s">
        <v>1350</v>
      </c>
      <c r="G1" s="670" t="s">
        <v>1351</v>
      </c>
      <c r="H1" s="670" t="s">
        <v>1352</v>
      </c>
      <c r="I1" s="670" t="s">
        <v>1353</v>
      </c>
      <c r="J1" s="671" t="s">
        <v>1354</v>
      </c>
      <c r="K1" s="670" t="s">
        <v>1355</v>
      </c>
      <c r="L1" s="670" t="s">
        <v>1356</v>
      </c>
      <c r="M1" s="670" t="s">
        <v>1357</v>
      </c>
      <c r="N1" s="672" t="s">
        <v>1358</v>
      </c>
    </row>
    <row r="2" spans="1:15" ht="37.5" customHeight="1" thickTop="1">
      <c r="A2" s="2572"/>
      <c r="B2" s="674" t="s">
        <v>1359</v>
      </c>
      <c r="C2" s="675"/>
      <c r="D2" s="676">
        <f>SUM(Dre_Disp_Estruturais!AI12:AI59)</f>
        <v>0</v>
      </c>
      <c r="E2" s="676">
        <f>Pav_Terraplenagem!J2</f>
        <v>0</v>
      </c>
      <c r="F2" s="676">
        <f>Dre_Profunda!I2</f>
        <v>0</v>
      </c>
      <c r="G2" s="676">
        <f>Recap_Final!I3</f>
        <v>0</v>
      </c>
      <c r="H2" s="676">
        <f>Passeio!L3</f>
        <v>0</v>
      </c>
      <c r="I2" s="677">
        <f>Ciclovia!J2</f>
        <v>0</v>
      </c>
      <c r="J2" s="678"/>
      <c r="K2" s="679"/>
      <c r="L2" s="679"/>
      <c r="M2" s="676"/>
      <c r="N2" s="680">
        <f>TRUNC(SUM(D2:M2),2)</f>
        <v>0</v>
      </c>
    </row>
    <row r="3" spans="1:15" ht="37.5" customHeight="1">
      <c r="A3" s="2572"/>
      <c r="B3" s="682" t="s">
        <v>1360</v>
      </c>
      <c r="C3" s="683" t="s">
        <v>1361</v>
      </c>
      <c r="D3" s="684"/>
      <c r="E3" s="684"/>
      <c r="F3" s="684"/>
      <c r="G3" s="684"/>
      <c r="H3" s="684"/>
      <c r="I3" s="684"/>
      <c r="J3" s="685">
        <v>2</v>
      </c>
      <c r="K3" s="686">
        <v>4</v>
      </c>
      <c r="L3" s="686">
        <v>2</v>
      </c>
      <c r="M3" s="687"/>
      <c r="N3" s="688">
        <f>TRUNC(+J3*K3*L3,2)</f>
        <v>16</v>
      </c>
    </row>
    <row r="4" spans="1:15" ht="37.5" customHeight="1">
      <c r="A4" s="2572"/>
      <c r="B4" s="682" t="s">
        <v>1362</v>
      </c>
      <c r="C4" s="683" t="s">
        <v>1363</v>
      </c>
      <c r="D4" s="684"/>
      <c r="E4" s="684"/>
      <c r="F4" s="684"/>
      <c r="G4" s="684"/>
      <c r="H4" s="684"/>
      <c r="I4" s="684"/>
      <c r="J4" s="689"/>
      <c r="K4" s="684"/>
      <c r="L4" s="684"/>
      <c r="M4" s="687"/>
      <c r="N4" s="690">
        <f>TRUNC(COUNTA(Cronograma!H143:S143),0)</f>
        <v>12</v>
      </c>
    </row>
    <row r="5" spans="1:15" ht="31.9" hidden="1" customHeight="1">
      <c r="A5" s="2572"/>
      <c r="B5" s="2574" t="s">
        <v>1364</v>
      </c>
      <c r="C5" s="683" t="s">
        <v>1365</v>
      </c>
      <c r="D5" s="2570" t="s">
        <v>1366</v>
      </c>
      <c r="E5" s="2570"/>
      <c r="F5" s="684"/>
      <c r="G5" s="691"/>
      <c r="H5" s="689"/>
      <c r="I5" s="2577"/>
      <c r="J5" s="689">
        <f>IF(I5="ok",IF(SUM(D2:E2)&lt;=1000,1,2),0)</f>
        <v>0</v>
      </c>
      <c r="K5" s="684">
        <f>IF(J5&gt;0,2.3,0)</f>
        <v>0</v>
      </c>
      <c r="L5" s="684"/>
      <c r="M5" s="687">
        <f>IF(J5&gt;0,6,0)</f>
        <v>0</v>
      </c>
      <c r="N5" s="692">
        <f>J5*K5*M5</f>
        <v>0</v>
      </c>
      <c r="O5" s="693"/>
    </row>
    <row r="6" spans="1:15" ht="31.9" hidden="1" customHeight="1">
      <c r="A6" s="2572"/>
      <c r="B6" s="2575"/>
      <c r="C6" s="683" t="s">
        <v>1367</v>
      </c>
      <c r="D6" s="2570" t="s">
        <v>1368</v>
      </c>
      <c r="E6" s="2570"/>
      <c r="F6" s="684"/>
      <c r="G6" s="691"/>
      <c r="H6" s="689"/>
      <c r="I6" s="2577"/>
      <c r="J6" s="689">
        <f>IF(I5="ok",IF(SUM(D2:E2)&lt;5000,1,IF(SUM(D2:E2)&gt;=10000,3,2)),0)</f>
        <v>0</v>
      </c>
      <c r="K6" s="684">
        <f>IF(J6&gt;0,2.3,0)</f>
        <v>0</v>
      </c>
      <c r="L6" s="684"/>
      <c r="M6" s="687">
        <f>IF(J6&gt;0,6,0)</f>
        <v>0</v>
      </c>
      <c r="N6" s="692">
        <f>J6*K6*M6</f>
        <v>0</v>
      </c>
      <c r="O6" s="693"/>
    </row>
    <row r="7" spans="1:15" ht="31.9" hidden="1" customHeight="1">
      <c r="A7" s="2572"/>
      <c r="B7" s="2576"/>
      <c r="C7" s="683" t="s">
        <v>1369</v>
      </c>
      <c r="D7" s="2570" t="s">
        <v>1370</v>
      </c>
      <c r="E7" s="2570"/>
      <c r="F7" s="684"/>
      <c r="G7" s="691"/>
      <c r="H7" s="689"/>
      <c r="I7" s="2577"/>
      <c r="J7" s="689">
        <f>IF(I5="ok",IF(SUM(D8:E8)&lt;10000,1,IF(SUM(D8:E8)&gt;=15000,3,2)),0)</f>
        <v>0</v>
      </c>
      <c r="K7" s="684">
        <f>IF(J7&gt;0,2.3,0)</f>
        <v>0</v>
      </c>
      <c r="L7" s="684"/>
      <c r="M7" s="687">
        <f>IF(J7&gt;0,6,0)</f>
        <v>0</v>
      </c>
      <c r="N7" s="692">
        <f>J7*K7*M7</f>
        <v>0</v>
      </c>
      <c r="O7" s="693"/>
    </row>
    <row r="8" spans="1:15" ht="31.9" customHeight="1">
      <c r="A8" s="2572"/>
      <c r="B8" s="2574" t="s">
        <v>1371</v>
      </c>
      <c r="C8" s="683" t="s">
        <v>1372</v>
      </c>
      <c r="D8" s="2570" t="s">
        <v>1366</v>
      </c>
      <c r="E8" s="2570"/>
      <c r="F8" s="689"/>
      <c r="G8" s="691"/>
      <c r="H8" s="689"/>
      <c r="I8" s="2578" t="s">
        <v>1373</v>
      </c>
      <c r="J8" s="689">
        <f>IF(I8="ok",IF(SUM(D2:E2)&lt;=10000,1,2),0)</f>
        <v>1</v>
      </c>
      <c r="K8" s="684"/>
      <c r="L8" s="684"/>
      <c r="M8" s="687"/>
      <c r="N8" s="690">
        <f>TRUNC(+$N$4*J8,0)</f>
        <v>12</v>
      </c>
      <c r="O8" s="693"/>
    </row>
    <row r="9" spans="1:15" ht="39.950000000000003" customHeight="1">
      <c r="A9" s="2572"/>
      <c r="B9" s="2575"/>
      <c r="C9" s="683" t="s">
        <v>1374</v>
      </c>
      <c r="D9" s="2570" t="s">
        <v>1368</v>
      </c>
      <c r="E9" s="2570"/>
      <c r="F9" s="689"/>
      <c r="G9" s="691"/>
      <c r="H9" s="689"/>
      <c r="I9" s="2578"/>
      <c r="J9" s="689">
        <f>IF(I8="ok",IF(SUM(D2:E2)&lt;5000,1,IF(SUM(D2:E2)&gt;=10000,3,2)),0)</f>
        <v>1</v>
      </c>
      <c r="K9" s="684"/>
      <c r="L9" s="684"/>
      <c r="M9" s="687"/>
      <c r="N9" s="690">
        <f>TRUNC(+$N$4*J9,0)</f>
        <v>12</v>
      </c>
      <c r="O9" s="693"/>
    </row>
    <row r="10" spans="1:15" ht="39.950000000000003" customHeight="1">
      <c r="A10" s="2572"/>
      <c r="B10" s="2576"/>
      <c r="C10" s="683" t="s">
        <v>1375</v>
      </c>
      <c r="D10" s="2570" t="s">
        <v>1370</v>
      </c>
      <c r="E10" s="2570"/>
      <c r="F10" s="689"/>
      <c r="G10" s="691"/>
      <c r="H10" s="689"/>
      <c r="I10" s="2578"/>
      <c r="J10" s="689">
        <f>IF(I8="ok",IF(SUM(D2:E2)&lt;10000,1,IF(SUM(D2:E2)&gt;=15000,3,2)),0)</f>
        <v>1</v>
      </c>
      <c r="K10" s="684"/>
      <c r="L10" s="684"/>
      <c r="M10" s="687"/>
      <c r="N10" s="690">
        <f>TRUNC(+$N$4*J10,0)</f>
        <v>12</v>
      </c>
      <c r="O10" s="693"/>
    </row>
    <row r="11" spans="1:15" ht="37.5" customHeight="1">
      <c r="A11" s="2572"/>
      <c r="B11" s="674" t="s">
        <v>1376</v>
      </c>
      <c r="C11" s="694" t="s">
        <v>1376</v>
      </c>
      <c r="D11" s="684"/>
      <c r="E11" s="684"/>
      <c r="F11" s="684"/>
      <c r="G11" s="684"/>
      <c r="H11" s="684"/>
      <c r="I11" s="684"/>
      <c r="J11" s="689">
        <v>1</v>
      </c>
      <c r="K11" s="686">
        <v>2</v>
      </c>
      <c r="L11" s="684"/>
      <c r="M11" s="695">
        <v>2</v>
      </c>
      <c r="N11" s="692">
        <f>J11*K11*M11</f>
        <v>4</v>
      </c>
      <c r="O11" s="693"/>
    </row>
    <row r="12" spans="1:15" ht="37.5" customHeight="1">
      <c r="A12" s="2572"/>
      <c r="B12" s="682" t="s">
        <v>1377</v>
      </c>
      <c r="C12" s="694" t="s">
        <v>1377</v>
      </c>
      <c r="D12" s="696"/>
      <c r="E12" s="696"/>
      <c r="F12" s="684"/>
      <c r="G12" s="684"/>
      <c r="H12" s="684"/>
      <c r="I12" s="684"/>
      <c r="J12" s="689">
        <v>1</v>
      </c>
      <c r="K12" s="684"/>
      <c r="L12" s="684"/>
      <c r="M12" s="687"/>
      <c r="N12" s="690">
        <f>N4*J12</f>
        <v>12</v>
      </c>
    </row>
    <row r="13" spans="1:15" ht="37.5" customHeight="1">
      <c r="A13" s="2572"/>
      <c r="B13" s="682" t="s">
        <v>1378</v>
      </c>
      <c r="C13" s="694" t="s">
        <v>1378</v>
      </c>
      <c r="D13" s="684" t="s">
        <v>1379</v>
      </c>
      <c r="E13" s="684"/>
      <c r="F13" s="684"/>
      <c r="G13" s="684"/>
      <c r="H13" s="684"/>
      <c r="I13" s="684"/>
      <c r="J13" s="689" t="s">
        <v>1240</v>
      </c>
      <c r="K13" s="686">
        <v>50</v>
      </c>
      <c r="L13" s="684"/>
      <c r="M13" s="695">
        <v>50</v>
      </c>
      <c r="N13" s="688">
        <f>(K13+M13)*2</f>
        <v>200</v>
      </c>
      <c r="O13" s="693"/>
    </row>
    <row r="14" spans="1:15" ht="37.5" customHeight="1">
      <c r="A14" s="2572"/>
      <c r="B14" s="682" t="s">
        <v>1380</v>
      </c>
      <c r="C14" s="683" t="s">
        <v>1380</v>
      </c>
      <c r="D14" s="684"/>
      <c r="E14" s="684"/>
      <c r="F14" s="684"/>
      <c r="G14" s="684"/>
      <c r="H14" s="684"/>
      <c r="I14" s="684"/>
      <c r="J14" s="686">
        <v>1</v>
      </c>
      <c r="K14" s="686">
        <v>4</v>
      </c>
      <c r="L14" s="686">
        <v>1.8</v>
      </c>
      <c r="M14" s="687"/>
      <c r="N14" s="688">
        <f>L14*K14*J14</f>
        <v>7.2</v>
      </c>
      <c r="O14" s="693"/>
    </row>
    <row r="15" spans="1:15" ht="37.5" customHeight="1">
      <c r="A15" s="2572"/>
      <c r="B15" s="682" t="s">
        <v>1381</v>
      </c>
      <c r="C15" s="683" t="s">
        <v>1381</v>
      </c>
      <c r="D15" s="684"/>
      <c r="E15" s="684"/>
      <c r="F15" s="684"/>
      <c r="G15" s="684"/>
      <c r="H15" s="684"/>
      <c r="I15" s="684"/>
      <c r="J15" s="689"/>
      <c r="K15" s="686">
        <f>K13</f>
        <v>50</v>
      </c>
      <c r="L15" s="684"/>
      <c r="M15" s="695">
        <f>+M13</f>
        <v>50</v>
      </c>
      <c r="N15" s="688">
        <f>M15*K15</f>
        <v>2500</v>
      </c>
      <c r="O15" s="693"/>
    </row>
    <row r="16" spans="1:15" ht="37.5" customHeight="1">
      <c r="A16" s="2572"/>
      <c r="B16" s="682" t="s">
        <v>1382</v>
      </c>
      <c r="C16" s="683" t="s">
        <v>1382</v>
      </c>
      <c r="D16" s="684"/>
      <c r="E16" s="684"/>
      <c r="F16" s="684"/>
      <c r="G16" s="684"/>
      <c r="H16" s="684"/>
      <c r="I16" s="684"/>
      <c r="J16" s="689"/>
      <c r="K16" s="686">
        <v>25</v>
      </c>
      <c r="L16" s="684"/>
      <c r="M16" s="695">
        <v>25</v>
      </c>
      <c r="N16" s="688">
        <f>M16*K16</f>
        <v>625</v>
      </c>
      <c r="O16" s="693"/>
    </row>
    <row r="17" spans="1:15" ht="50.1" customHeight="1">
      <c r="A17" s="2572"/>
      <c r="B17" s="682" t="s">
        <v>1383</v>
      </c>
      <c r="C17" s="683" t="s">
        <v>1383</v>
      </c>
      <c r="D17" s="684"/>
      <c r="E17" s="684"/>
      <c r="F17" s="684"/>
      <c r="G17" s="684"/>
      <c r="H17" s="684"/>
      <c r="I17" s="684"/>
      <c r="J17" s="689"/>
      <c r="K17" s="686">
        <f>K16</f>
        <v>25</v>
      </c>
      <c r="L17" s="686">
        <v>0.05</v>
      </c>
      <c r="M17" s="695">
        <f>+M16</f>
        <v>25</v>
      </c>
      <c r="N17" s="688">
        <f>ROUND(K17*L17*M17,2)</f>
        <v>31.25</v>
      </c>
      <c r="O17" s="693"/>
    </row>
    <row r="18" spans="1:15" ht="39.950000000000003" customHeight="1">
      <c r="A18" s="2572"/>
      <c r="B18" s="682" t="s">
        <v>1384</v>
      </c>
      <c r="C18" s="683" t="s">
        <v>1385</v>
      </c>
      <c r="D18" s="689">
        <f t="shared" ref="D18:I18" si="0">INT(D2/150)</f>
        <v>0</v>
      </c>
      <c r="E18" s="689">
        <f t="shared" si="0"/>
        <v>0</v>
      </c>
      <c r="F18" s="689">
        <f t="shared" si="0"/>
        <v>0</v>
      </c>
      <c r="G18" s="689">
        <f t="shared" si="0"/>
        <v>0</v>
      </c>
      <c r="H18" s="689">
        <f t="shared" si="0"/>
        <v>0</v>
      </c>
      <c r="I18" s="689">
        <f t="shared" si="0"/>
        <v>0</v>
      </c>
      <c r="J18" s="689">
        <f>SUM(D18:I18)</f>
        <v>0</v>
      </c>
      <c r="K18" s="686">
        <v>1</v>
      </c>
      <c r="L18" s="686">
        <v>1</v>
      </c>
      <c r="M18" s="687"/>
      <c r="N18" s="688">
        <f>TRUNC(J18*K18*L18,2)</f>
        <v>0</v>
      </c>
    </row>
    <row r="19" spans="1:15" ht="39.950000000000003" customHeight="1">
      <c r="A19" s="2572"/>
      <c r="B19" s="682" t="s">
        <v>1386</v>
      </c>
      <c r="C19" s="683" t="s">
        <v>1387</v>
      </c>
      <c r="D19" s="684">
        <f>D20</f>
        <v>0</v>
      </c>
      <c r="E19" s="684"/>
      <c r="F19" s="684"/>
      <c r="G19" s="684"/>
      <c r="H19" s="684"/>
      <c r="I19" s="684"/>
      <c r="J19" s="689"/>
      <c r="K19" s="684"/>
      <c r="L19" s="684"/>
      <c r="M19" s="687"/>
      <c r="N19" s="688">
        <f t="shared" ref="N19:N24" si="1">ROUND(SUM(D19:I19),2)</f>
        <v>0</v>
      </c>
    </row>
    <row r="20" spans="1:15" ht="54.95" customHeight="1">
      <c r="A20" s="2572"/>
      <c r="B20" s="682" t="s">
        <v>1388</v>
      </c>
      <c r="C20" s="683" t="s">
        <v>1389</v>
      </c>
      <c r="D20" s="684">
        <f>Dre_Ser_Prelim!AI8</f>
        <v>0</v>
      </c>
      <c r="E20" s="684">
        <f>ROUND(E2*20%,2)</f>
        <v>0</v>
      </c>
      <c r="F20" s="684">
        <f>Dre_Profunda!I59</f>
        <v>0</v>
      </c>
      <c r="G20" s="684">
        <f>ROUND(G2*20%,2)</f>
        <v>0</v>
      </c>
      <c r="H20" s="684">
        <f>Passeio!L5</f>
        <v>0</v>
      </c>
      <c r="I20" s="684">
        <f>Ciclovia!J9</f>
        <v>0</v>
      </c>
      <c r="J20" s="689"/>
      <c r="K20" s="684"/>
      <c r="L20" s="684"/>
      <c r="M20" s="687"/>
      <c r="N20" s="688">
        <f>ROUND(SUM(D20:I20),2)</f>
        <v>0</v>
      </c>
    </row>
    <row r="21" spans="1:15" ht="39.950000000000003" customHeight="1">
      <c r="A21" s="2572"/>
      <c r="B21" s="682" t="s">
        <v>1390</v>
      </c>
      <c r="C21" s="683" t="s">
        <v>1391</v>
      </c>
      <c r="D21" s="689">
        <f t="shared" ref="D21:I21" si="2">INT(D2/75)</f>
        <v>0</v>
      </c>
      <c r="E21" s="689">
        <f t="shared" si="2"/>
        <v>0</v>
      </c>
      <c r="F21" s="689">
        <f t="shared" si="2"/>
        <v>0</v>
      </c>
      <c r="G21" s="689">
        <f t="shared" si="2"/>
        <v>0</v>
      </c>
      <c r="H21" s="689">
        <f t="shared" si="2"/>
        <v>0</v>
      </c>
      <c r="I21" s="689">
        <f t="shared" si="2"/>
        <v>0</v>
      </c>
      <c r="J21" s="689"/>
      <c r="K21" s="684"/>
      <c r="L21" s="684"/>
      <c r="M21" s="687"/>
      <c r="N21" s="688">
        <f t="shared" si="1"/>
        <v>0</v>
      </c>
    </row>
    <row r="22" spans="1:15" ht="39.950000000000003" customHeight="1">
      <c r="A22" s="2572"/>
      <c r="B22" s="697" t="s">
        <v>1392</v>
      </c>
      <c r="C22" s="698" t="s">
        <v>1393</v>
      </c>
      <c r="D22" s="689">
        <f>Dre_Ser_Prelim!AI40</f>
        <v>0</v>
      </c>
      <c r="E22" s="689"/>
      <c r="F22" s="689"/>
      <c r="G22" s="689"/>
      <c r="H22" s="689"/>
      <c r="I22" s="689"/>
      <c r="J22" s="689"/>
      <c r="K22" s="684"/>
      <c r="L22" s="684"/>
      <c r="M22" s="699"/>
      <c r="N22" s="690">
        <f t="shared" si="1"/>
        <v>0</v>
      </c>
    </row>
    <row r="23" spans="1:15" ht="39.950000000000003" customHeight="1">
      <c r="A23" s="2572"/>
      <c r="B23" s="697" t="s">
        <v>1394</v>
      </c>
      <c r="C23" s="698" t="s">
        <v>1395</v>
      </c>
      <c r="D23" s="689">
        <f>Dre_Ser_Prelim!AI41</f>
        <v>0</v>
      </c>
      <c r="E23" s="689"/>
      <c r="F23" s="689"/>
      <c r="G23" s="689"/>
      <c r="H23" s="689"/>
      <c r="I23" s="689"/>
      <c r="J23" s="689"/>
      <c r="K23" s="684"/>
      <c r="L23" s="684"/>
      <c r="M23" s="687"/>
      <c r="N23" s="690">
        <f>ROUND(SUM(D23:I23),2)</f>
        <v>0</v>
      </c>
    </row>
    <row r="24" spans="1:15" ht="50.1" customHeight="1">
      <c r="A24" s="2572"/>
      <c r="B24" s="697" t="s">
        <v>1396</v>
      </c>
      <c r="C24" s="683" t="s">
        <v>1397</v>
      </c>
      <c r="D24" s="684">
        <f>Dre_Ser_Prelim!AI39</f>
        <v>0</v>
      </c>
      <c r="E24" s="689"/>
      <c r="F24" s="689"/>
      <c r="G24" s="689"/>
      <c r="H24" s="689"/>
      <c r="I24" s="689"/>
      <c r="J24" s="689"/>
      <c r="K24" s="684"/>
      <c r="L24" s="684"/>
      <c r="M24" s="699"/>
      <c r="N24" s="688">
        <f t="shared" si="1"/>
        <v>0</v>
      </c>
    </row>
    <row r="25" spans="1:15" ht="37.5" customHeight="1" thickBot="1">
      <c r="A25" s="2572"/>
      <c r="B25" s="697" t="s">
        <v>1398</v>
      </c>
      <c r="C25" s="698" t="s">
        <v>1399</v>
      </c>
      <c r="D25" s="700"/>
      <c r="E25" s="684"/>
      <c r="F25" s="689"/>
      <c r="G25" s="689"/>
      <c r="H25" s="689"/>
      <c r="I25" s="689"/>
      <c r="J25" s="689"/>
      <c r="K25" s="684"/>
      <c r="L25" s="684"/>
      <c r="M25" s="699"/>
      <c r="N25" s="688">
        <f>ROUND(0.2*N15,2)</f>
        <v>500</v>
      </c>
    </row>
    <row r="26" spans="1:15" ht="13.5" hidden="1" thickBot="1">
      <c r="A26" s="2572"/>
      <c r="B26" s="697"/>
      <c r="C26" s="698"/>
      <c r="D26" s="701"/>
      <c r="E26" s="701"/>
      <c r="F26" s="701"/>
      <c r="G26" s="701"/>
      <c r="H26" s="701"/>
      <c r="I26" s="701"/>
      <c r="J26" s="701"/>
      <c r="K26" s="701"/>
      <c r="L26" s="701"/>
      <c r="M26" s="701"/>
      <c r="N26" s="702"/>
    </row>
    <row r="27" spans="1:15" ht="13.5" hidden="1" thickBot="1">
      <c r="A27" s="2572"/>
      <c r="B27" s="703"/>
      <c r="C27" s="698"/>
      <c r="D27" s="699"/>
      <c r="E27" s="699"/>
      <c r="F27" s="699"/>
      <c r="G27" s="699"/>
      <c r="H27" s="699"/>
      <c r="I27" s="699"/>
      <c r="J27" s="701"/>
      <c r="K27" s="699"/>
      <c r="L27" s="699"/>
      <c r="M27" s="699"/>
      <c r="N27" s="704"/>
    </row>
    <row r="28" spans="1:15" s="710" customFormat="1" ht="50.1" customHeight="1" thickBot="1">
      <c r="A28" s="2573"/>
      <c r="B28" s="705" t="s">
        <v>1400</v>
      </c>
      <c r="C28" s="706"/>
      <c r="D28" s="707"/>
      <c r="E28" s="707"/>
      <c r="F28" s="707"/>
      <c r="G28" s="707"/>
      <c r="H28" s="707"/>
      <c r="I28" s="707"/>
      <c r="J28" s="708"/>
      <c r="K28" s="707"/>
      <c r="L28" s="707"/>
      <c r="M28" s="707"/>
      <c r="N28" s="709"/>
    </row>
    <row r="29" spans="1:15" s="711" customFormat="1" ht="13.5" thickTop="1">
      <c r="B29" s="712"/>
      <c r="C29" s="712"/>
      <c r="J29" s="713"/>
    </row>
    <row r="30" spans="1:15" s="711" customFormat="1">
      <c r="B30" s="712"/>
      <c r="C30" s="712"/>
      <c r="J30" s="713"/>
    </row>
    <row r="31" spans="1:15" s="711" customFormat="1">
      <c r="B31" s="712"/>
      <c r="C31" s="712"/>
      <c r="J31" s="713"/>
    </row>
    <row r="32" spans="1:15" s="711" customFormat="1">
      <c r="B32" s="712"/>
      <c r="C32" s="712"/>
      <c r="J32" s="713"/>
    </row>
    <row r="33" spans="1:10" s="711" customFormat="1">
      <c r="B33" s="712"/>
      <c r="C33" s="712"/>
      <c r="J33" s="713"/>
    </row>
    <row r="34" spans="1:10" s="711" customFormat="1">
      <c r="B34" s="712"/>
      <c r="C34" s="712"/>
      <c r="J34" s="713"/>
    </row>
    <row r="35" spans="1:10" s="711" customFormat="1">
      <c r="B35" s="712"/>
      <c r="C35" s="712"/>
      <c r="J35" s="713"/>
    </row>
    <row r="36" spans="1:10" s="711" customFormat="1">
      <c r="B36" s="712"/>
      <c r="C36" s="712"/>
      <c r="J36" s="713"/>
    </row>
    <row r="37" spans="1:10" s="711" customFormat="1">
      <c r="B37" s="712"/>
      <c r="C37" s="712"/>
      <c r="J37" s="713"/>
    </row>
    <row r="38" spans="1:10" s="711" customFormat="1">
      <c r="B38" s="712"/>
      <c r="C38" s="712"/>
      <c r="J38" s="713"/>
    </row>
    <row r="39" spans="1:10" s="711" customFormat="1">
      <c r="A39" s="592"/>
      <c r="B39" s="712"/>
      <c r="C39" s="712"/>
      <c r="J39" s="713"/>
    </row>
    <row r="40" spans="1:10" s="711" customFormat="1">
      <c r="A40" s="592"/>
      <c r="B40" s="712"/>
      <c r="C40" s="712"/>
      <c r="J40" s="713"/>
    </row>
    <row r="41" spans="1:10">
      <c r="A41" s="592"/>
    </row>
    <row r="42" spans="1:10">
      <c r="A42" s="592"/>
    </row>
    <row r="43" spans="1:10">
      <c r="A43" s="592"/>
    </row>
    <row r="44" spans="1:10">
      <c r="A44" s="592"/>
    </row>
  </sheetData>
  <mergeCells count="11">
    <mergeCell ref="D10:E10"/>
    <mergeCell ref="A1:A28"/>
    <mergeCell ref="B5:B7"/>
    <mergeCell ref="D5:E5"/>
    <mergeCell ref="I5:I7"/>
    <mergeCell ref="D6:E6"/>
    <mergeCell ref="D7:E7"/>
    <mergeCell ref="B8:B10"/>
    <mergeCell ref="D8:E8"/>
    <mergeCell ref="I8:I10"/>
    <mergeCell ref="D9:E9"/>
  </mergeCells>
  <hyperlinks>
    <hyperlink ref="B1" location="PAINEL!A1" display="OBRAS / SERVIÇOS" xr:uid="{7EFEB31E-E94C-42A6-B1F1-594F73F5BD9F}"/>
  </hyperlinks>
  <printOptions horizontalCentered="1"/>
  <pageMargins left="0.39370078740157477" right="0.59055118110236215" top="0.39370078740157477" bottom="0.59055118110236227" header="0.31496062992125984" footer="0.23622047244094491"/>
  <pageSetup paperSize="9" scale="51" fitToHeight="0" orientation="landscape" r:id="rId1"/>
  <headerFooter>
    <oddFooter>&amp;C&amp;8Página &amp;P/&amp;N</oddFooter>
  </headerFooter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E84F5-73A9-4F3D-8C69-A832E8616E20}">
  <sheetPr codeName="Planilha13"/>
  <dimension ref="A1:J27"/>
  <sheetViews>
    <sheetView showZeros="0" zoomScaleNormal="100" workbookViewId="0">
      <selection sqref="A1:A156"/>
    </sheetView>
  </sheetViews>
  <sheetFormatPr defaultColWidth="8.875" defaultRowHeight="12.75"/>
  <cols>
    <col min="1" max="1" width="37.875" style="727" customWidth="1"/>
    <col min="2" max="2" width="8.75" style="723" bestFit="1" customWidth="1"/>
    <col min="3" max="3" width="18.125" style="731" customWidth="1"/>
    <col min="4" max="4" width="39.5" style="727" customWidth="1"/>
    <col min="5" max="5" width="8.5" style="726" customWidth="1"/>
    <col min="6" max="6" width="13.375" style="726" customWidth="1"/>
    <col min="7" max="7" width="57.125" style="727" customWidth="1"/>
    <col min="8" max="8" width="5.25" style="723" customWidth="1"/>
    <col min="9" max="9" width="15.875" style="731" customWidth="1"/>
    <col min="10" max="10" width="27.625" style="727" customWidth="1"/>
    <col min="11" max="16384" width="8.875" style="729"/>
  </cols>
  <sheetData>
    <row r="1" spans="1:10" s="719" customFormat="1">
      <c r="A1" s="2580" t="s">
        <v>1401</v>
      </c>
      <c r="B1" s="2580"/>
      <c r="C1" s="715"/>
      <c r="D1" s="716"/>
      <c r="E1" s="717"/>
      <c r="F1" s="717"/>
      <c r="G1" s="716"/>
      <c r="H1" s="718"/>
      <c r="I1" s="715" t="s">
        <v>1402</v>
      </c>
      <c r="J1" s="716"/>
    </row>
    <row r="2" spans="1:10" s="719" customFormat="1">
      <c r="A2" s="2580" t="s">
        <v>1403</v>
      </c>
      <c r="B2" s="2580"/>
      <c r="C2" s="715"/>
      <c r="D2" s="716"/>
      <c r="E2" s="717"/>
      <c r="F2" s="717"/>
      <c r="G2" s="2580" t="s">
        <v>1404</v>
      </c>
      <c r="H2" s="2580"/>
      <c r="I2" s="715">
        <f>TRUNC(COUNTA(Cronograma!#REF!),0)</f>
        <v>1</v>
      </c>
      <c r="J2" s="716"/>
    </row>
    <row r="3" spans="1:10" s="719" customFormat="1" ht="15">
      <c r="A3" s="2580" t="s">
        <v>1405</v>
      </c>
      <c r="B3" s="2580"/>
      <c r="C3" s="715">
        <v>60</v>
      </c>
      <c r="D3" s="716"/>
      <c r="E3" s="720"/>
      <c r="F3" s="720"/>
      <c r="G3" s="2580" t="s">
        <v>1406</v>
      </c>
      <c r="H3" s="2580"/>
      <c r="I3" s="721"/>
      <c r="J3" s="716"/>
    </row>
    <row r="4" spans="1:10" s="719" customFormat="1">
      <c r="A4" s="716" t="s">
        <v>1407</v>
      </c>
      <c r="B4" s="718" t="s">
        <v>1408</v>
      </c>
      <c r="C4" s="718" t="s">
        <v>1409</v>
      </c>
      <c r="D4" s="716" t="s">
        <v>65</v>
      </c>
      <c r="E4" s="717" t="s">
        <v>1410</v>
      </c>
      <c r="F4" s="717" t="s">
        <v>65</v>
      </c>
      <c r="G4" s="716" t="s">
        <v>1411</v>
      </c>
      <c r="H4" s="718" t="s">
        <v>1412</v>
      </c>
      <c r="I4" s="718" t="s">
        <v>1409</v>
      </c>
      <c r="J4" s="716" t="s">
        <v>1400</v>
      </c>
    </row>
    <row r="5" spans="1:10" ht="38.25">
      <c r="A5" s="722" t="s">
        <v>1413</v>
      </c>
      <c r="B5" s="723" t="s">
        <v>1414</v>
      </c>
      <c r="C5" s="724">
        <v>5757.87</v>
      </c>
      <c r="D5" s="725" t="s">
        <v>1415</v>
      </c>
      <c r="E5" s="726">
        <v>98525</v>
      </c>
      <c r="F5" s="726" t="s">
        <v>1416</v>
      </c>
      <c r="G5" s="727" t="s">
        <v>1417</v>
      </c>
      <c r="H5" s="723" t="s">
        <v>1418</v>
      </c>
      <c r="I5" s="728">
        <f>C5</f>
        <v>5757.87</v>
      </c>
    </row>
    <row r="6" spans="1:10" ht="51">
      <c r="A6" s="722" t="s">
        <v>1419</v>
      </c>
      <c r="B6" s="723" t="s">
        <v>1414</v>
      </c>
      <c r="C6" s="724">
        <v>1439.47</v>
      </c>
      <c r="D6" s="725" t="s">
        <v>1415</v>
      </c>
      <c r="E6" s="726">
        <v>100979</v>
      </c>
      <c r="F6" s="726" t="s">
        <v>1416</v>
      </c>
      <c r="G6" s="727" t="s">
        <v>1420</v>
      </c>
      <c r="H6" s="723" t="s">
        <v>464</v>
      </c>
      <c r="I6" s="728">
        <f>C6</f>
        <v>1439.47</v>
      </c>
    </row>
    <row r="7" spans="1:10" ht="25.5">
      <c r="A7" s="722" t="s">
        <v>1421</v>
      </c>
      <c r="B7" s="723" t="s">
        <v>1414</v>
      </c>
      <c r="C7" s="724">
        <f>C5</f>
        <v>5757.87</v>
      </c>
      <c r="D7" s="725" t="s">
        <v>1415</v>
      </c>
      <c r="I7" s="728"/>
    </row>
    <row r="8" spans="1:10" ht="38.25">
      <c r="A8" s="722" t="s">
        <v>1422</v>
      </c>
      <c r="B8" s="723" t="s">
        <v>1423</v>
      </c>
      <c r="C8" s="724"/>
      <c r="E8" s="726" t="s">
        <v>91</v>
      </c>
      <c r="F8" s="726" t="s">
        <v>1424</v>
      </c>
      <c r="G8" s="727" t="s">
        <v>1425</v>
      </c>
      <c r="H8" s="723" t="s">
        <v>1418</v>
      </c>
      <c r="I8" s="728">
        <f>C7</f>
        <v>5757.87</v>
      </c>
    </row>
    <row r="9" spans="1:10" ht="15">
      <c r="A9" s="722" t="s">
        <v>1426</v>
      </c>
      <c r="B9" s="723" t="s">
        <v>1414</v>
      </c>
      <c r="C9" s="724">
        <v>1919.27</v>
      </c>
      <c r="I9" s="728"/>
    </row>
    <row r="10" spans="1:10" ht="25.5">
      <c r="A10" s="722" t="s">
        <v>1427</v>
      </c>
      <c r="B10" s="723" t="s">
        <v>1428</v>
      </c>
      <c r="C10" s="724">
        <v>120</v>
      </c>
      <c r="D10" s="725" t="s">
        <v>1415</v>
      </c>
      <c r="E10" s="726">
        <v>98510</v>
      </c>
      <c r="F10" s="726" t="s">
        <v>1416</v>
      </c>
      <c r="G10" s="727" t="s">
        <v>1429</v>
      </c>
      <c r="H10" s="723" t="s">
        <v>1412</v>
      </c>
      <c r="I10" s="728">
        <f>C10</f>
        <v>120</v>
      </c>
    </row>
    <row r="11" spans="1:10" ht="51">
      <c r="A11" s="722" t="s">
        <v>1430</v>
      </c>
      <c r="B11" s="723" t="s">
        <v>1431</v>
      </c>
      <c r="C11" s="724">
        <v>280</v>
      </c>
      <c r="D11" s="725" t="s">
        <v>1415</v>
      </c>
      <c r="E11" s="726">
        <v>101203</v>
      </c>
      <c r="F11" s="726" t="s">
        <v>1416</v>
      </c>
      <c r="G11" s="727" t="s">
        <v>1432</v>
      </c>
      <c r="H11" s="723" t="s">
        <v>58</v>
      </c>
      <c r="I11" s="728">
        <f>C11</f>
        <v>280</v>
      </c>
    </row>
    <row r="12" spans="1:10" ht="38.25">
      <c r="A12" s="722" t="s">
        <v>1433</v>
      </c>
      <c r="B12" s="723" t="s">
        <v>1428</v>
      </c>
      <c r="C12" s="724">
        <v>1</v>
      </c>
      <c r="D12" s="727" t="s">
        <v>1434</v>
      </c>
      <c r="E12" s="726">
        <v>10775</v>
      </c>
      <c r="F12" s="726" t="s">
        <v>1416</v>
      </c>
      <c r="G12" s="727" t="s">
        <v>1435</v>
      </c>
      <c r="H12" s="723" t="s">
        <v>1258</v>
      </c>
      <c r="I12" s="728">
        <f>2*I2</f>
        <v>2</v>
      </c>
    </row>
    <row r="13" spans="1:10" ht="38.25">
      <c r="A13" s="722" t="s">
        <v>1436</v>
      </c>
      <c r="B13" s="723" t="s">
        <v>1428</v>
      </c>
      <c r="C13" s="724">
        <v>1</v>
      </c>
      <c r="D13" s="727" t="s">
        <v>1434</v>
      </c>
      <c r="E13" s="726">
        <v>10667</v>
      </c>
      <c r="F13" s="726" t="s">
        <v>1416</v>
      </c>
      <c r="G13" s="727" t="s">
        <v>1437</v>
      </c>
      <c r="H13" s="723" t="s">
        <v>1412</v>
      </c>
      <c r="I13" s="728">
        <v>1</v>
      </c>
      <c r="J13" s="727" t="s">
        <v>1438</v>
      </c>
    </row>
    <row r="14" spans="1:10" ht="38.25">
      <c r="A14" s="722" t="s">
        <v>1439</v>
      </c>
      <c r="B14" s="723" t="s">
        <v>1428</v>
      </c>
      <c r="C14" s="724">
        <v>1</v>
      </c>
      <c r="D14" s="727" t="s">
        <v>1434</v>
      </c>
      <c r="E14" s="726">
        <v>10776</v>
      </c>
      <c r="F14" s="726" t="s">
        <v>1416</v>
      </c>
      <c r="G14" s="727" t="s">
        <v>1440</v>
      </c>
      <c r="H14" s="723" t="s">
        <v>61</v>
      </c>
      <c r="I14" s="728">
        <f>2*I2/2</f>
        <v>1</v>
      </c>
      <c r="J14" s="727" t="s">
        <v>1441</v>
      </c>
    </row>
    <row r="15" spans="1:10" ht="25.5">
      <c r="A15" s="722" t="s">
        <v>1442</v>
      </c>
      <c r="B15" s="723" t="s">
        <v>1418</v>
      </c>
      <c r="C15" s="724">
        <v>84.79</v>
      </c>
      <c r="D15" s="725" t="s">
        <v>1415</v>
      </c>
      <c r="I15" s="728"/>
    </row>
    <row r="16" spans="1:10" ht="51">
      <c r="A16" s="722" t="s">
        <v>1443</v>
      </c>
      <c r="B16" s="723" t="s">
        <v>1418</v>
      </c>
      <c r="C16" s="724">
        <v>129.87</v>
      </c>
      <c r="D16" s="725" t="s">
        <v>1415</v>
      </c>
      <c r="E16" s="726">
        <v>94210</v>
      </c>
      <c r="F16" s="726" t="s">
        <v>1416</v>
      </c>
      <c r="G16" s="727" t="s">
        <v>1444</v>
      </c>
      <c r="H16" s="723" t="s">
        <v>1418</v>
      </c>
      <c r="I16" s="728">
        <f>C16</f>
        <v>129.87</v>
      </c>
    </row>
    <row r="17" spans="1:10" ht="25.5">
      <c r="A17" s="722" t="s">
        <v>1445</v>
      </c>
      <c r="B17" s="723" t="s">
        <v>1418</v>
      </c>
      <c r="C17" s="724">
        <v>124.5</v>
      </c>
      <c r="D17" s="727" t="s">
        <v>1415</v>
      </c>
      <c r="F17" s="727"/>
      <c r="I17" s="728"/>
    </row>
    <row r="18" spans="1:10">
      <c r="A18" s="727" t="s">
        <v>1446</v>
      </c>
      <c r="B18" s="723" t="s">
        <v>1428</v>
      </c>
      <c r="C18" s="724">
        <f>$C$3*0.05</f>
        <v>3</v>
      </c>
      <c r="D18" s="2579" t="s">
        <v>1447</v>
      </c>
      <c r="I18" s="730"/>
    </row>
    <row r="19" spans="1:10" ht="38.25">
      <c r="A19" s="727" t="s">
        <v>1448</v>
      </c>
      <c r="B19" s="723" t="s">
        <v>1428</v>
      </c>
      <c r="C19" s="724">
        <f>$C$3*0.05</f>
        <v>3</v>
      </c>
      <c r="D19" s="2579"/>
      <c r="E19" s="726">
        <v>10777</v>
      </c>
      <c r="F19" s="726" t="s">
        <v>1416</v>
      </c>
      <c r="G19" s="727" t="s">
        <v>1449</v>
      </c>
      <c r="H19" s="723" t="s">
        <v>61</v>
      </c>
      <c r="I19" s="728"/>
    </row>
    <row r="20" spans="1:10" ht="38.25">
      <c r="A20" s="727" t="s">
        <v>1450</v>
      </c>
      <c r="B20" s="723" t="s">
        <v>1428</v>
      </c>
      <c r="C20" s="724">
        <f>$C$3*0.05</f>
        <v>3</v>
      </c>
      <c r="D20" s="2579"/>
      <c r="E20" s="726">
        <v>10779</v>
      </c>
      <c r="F20" s="726" t="s">
        <v>1416</v>
      </c>
      <c r="G20" s="727" t="s">
        <v>1451</v>
      </c>
      <c r="H20" s="723" t="s">
        <v>61</v>
      </c>
      <c r="I20" s="728">
        <f>1*I2</f>
        <v>1</v>
      </c>
    </row>
    <row r="21" spans="1:10" ht="38.25">
      <c r="A21" s="727" t="s">
        <v>1452</v>
      </c>
      <c r="B21" s="723" t="s">
        <v>1428</v>
      </c>
      <c r="C21" s="724">
        <f>C3*0.1</f>
        <v>6</v>
      </c>
      <c r="D21" s="2579"/>
      <c r="E21" s="726">
        <v>10778</v>
      </c>
      <c r="F21" s="726" t="s">
        <v>1416</v>
      </c>
      <c r="G21" s="727" t="s">
        <v>1453</v>
      </c>
      <c r="H21" s="723" t="s">
        <v>61</v>
      </c>
      <c r="I21" s="728">
        <f>1*I2</f>
        <v>1</v>
      </c>
    </row>
    <row r="22" spans="1:10" ht="51">
      <c r="A22" s="727" t="s">
        <v>1454</v>
      </c>
      <c r="B22" s="723" t="s">
        <v>1455</v>
      </c>
      <c r="C22" s="724">
        <f>(C3*1.38)/2</f>
        <v>41.4</v>
      </c>
      <c r="D22" s="727" t="s">
        <v>1456</v>
      </c>
      <c r="I22" s="728"/>
    </row>
    <row r="23" spans="1:10" ht="38.25">
      <c r="A23" s="727" t="s">
        <v>1457</v>
      </c>
      <c r="B23" s="723" t="s">
        <v>1455</v>
      </c>
      <c r="C23" s="724"/>
      <c r="D23" s="727" t="s">
        <v>1458</v>
      </c>
      <c r="E23" s="726">
        <v>10776</v>
      </c>
      <c r="F23" s="726" t="s">
        <v>1416</v>
      </c>
      <c r="G23" s="727" t="s">
        <v>1440</v>
      </c>
      <c r="H23" s="723" t="s">
        <v>61</v>
      </c>
      <c r="I23" s="728">
        <f>1*I2</f>
        <v>1</v>
      </c>
    </row>
    <row r="24" spans="1:10" ht="38.25">
      <c r="A24" s="727" t="s">
        <v>1459</v>
      </c>
      <c r="C24" s="724"/>
      <c r="D24" s="727" t="s">
        <v>1460</v>
      </c>
      <c r="E24" s="726">
        <v>101905</v>
      </c>
      <c r="F24" s="726" t="s">
        <v>1416</v>
      </c>
      <c r="G24" s="727" t="s">
        <v>1461</v>
      </c>
      <c r="H24" s="723" t="s">
        <v>1412</v>
      </c>
      <c r="I24" s="728">
        <f>INT(I5/1460)</f>
        <v>3</v>
      </c>
    </row>
    <row r="25" spans="1:10" ht="25.5">
      <c r="C25" s="724"/>
      <c r="E25" s="726">
        <v>101909</v>
      </c>
      <c r="F25" s="726" t="s">
        <v>1416</v>
      </c>
      <c r="G25" s="727" t="s">
        <v>1462</v>
      </c>
      <c r="H25" s="723" t="s">
        <v>1412</v>
      </c>
      <c r="I25" s="728">
        <f>I24</f>
        <v>3</v>
      </c>
    </row>
    <row r="26" spans="1:10" ht="63.75">
      <c r="A26" s="727" t="s">
        <v>1463</v>
      </c>
      <c r="B26" s="723" t="s">
        <v>1428</v>
      </c>
      <c r="C26" s="724">
        <v>1</v>
      </c>
      <c r="E26" s="726">
        <v>10776</v>
      </c>
      <c r="F26" s="726" t="s">
        <v>1416</v>
      </c>
      <c r="G26" s="727" t="s">
        <v>1440</v>
      </c>
      <c r="H26" s="723" t="s">
        <v>61</v>
      </c>
      <c r="I26" s="728">
        <f>(C26/2)*I2</f>
        <v>0.5</v>
      </c>
      <c r="J26" s="727" t="s">
        <v>1464</v>
      </c>
    </row>
    <row r="27" spans="1:10">
      <c r="G27" s="732" t="s">
        <v>1465</v>
      </c>
      <c r="H27" s="718"/>
      <c r="I27" s="733"/>
    </row>
  </sheetData>
  <mergeCells count="6">
    <mergeCell ref="D18:D21"/>
    <mergeCell ref="A1:B1"/>
    <mergeCell ref="A2:B2"/>
    <mergeCell ref="G2:H2"/>
    <mergeCell ref="A3:B3"/>
    <mergeCell ref="G3:H3"/>
  </mergeCells>
  <pageMargins left="0.39370078740157477" right="0.59055118110236215" top="0.39370078740157477" bottom="0.59055118110236215" header="0.31496062000000002" footer="0.31496062000000002"/>
  <pageSetup paperSize="9" orientation="portrait" horizontalDpi="1200" verticalDpi="1200" r:id="rId1"/>
  <headerFooter>
    <oddFooter>&amp;C&amp;8Página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D7CAA-B5FF-4F83-98A5-9878E29E0DCC}">
  <sheetPr codeName="Planilha23" filterMode="1">
    <tabColor rgb="FF92D050"/>
  </sheetPr>
  <dimension ref="A1:P78"/>
  <sheetViews>
    <sheetView showZeros="0" zoomScaleNormal="100" workbookViewId="0">
      <selection sqref="A1:A156"/>
    </sheetView>
  </sheetViews>
  <sheetFormatPr defaultColWidth="9" defaultRowHeight="18.75"/>
  <cols>
    <col min="1" max="1" width="13.25" style="746" customWidth="1"/>
    <col min="2" max="2" width="12.625" style="786" customWidth="1"/>
    <col min="3" max="3" width="35.625" style="786" customWidth="1"/>
    <col min="4" max="4" width="3.125" style="748" hidden="1" customWidth="1"/>
    <col min="5" max="5" width="8.375" style="786" hidden="1" customWidth="1"/>
    <col min="6" max="8" width="12.625" style="795" customWidth="1"/>
    <col min="9" max="10" width="13.125" style="795" customWidth="1"/>
    <col min="11" max="12" width="12.625" style="795" customWidth="1"/>
    <col min="13" max="13" width="12.625" style="796" customWidth="1"/>
    <col min="14" max="14" width="21.875" style="746" customWidth="1"/>
    <col min="15" max="18" width="10.75" style="746" customWidth="1"/>
    <col min="19" max="19" width="15.625" style="746" customWidth="1"/>
    <col min="20" max="16384" width="9" style="746"/>
  </cols>
  <sheetData>
    <row r="1" spans="1:15" s="739" customFormat="1" ht="60" customHeight="1" thickTop="1" thickBot="1">
      <c r="A1" s="2571" t="s">
        <v>1466</v>
      </c>
      <c r="B1" s="2591" t="s">
        <v>1467</v>
      </c>
      <c r="C1" s="2592"/>
      <c r="D1" s="734"/>
      <c r="E1" s="735" t="s">
        <v>1468</v>
      </c>
      <c r="F1" s="736" t="s">
        <v>1469</v>
      </c>
      <c r="G1" s="736" t="s">
        <v>1470</v>
      </c>
      <c r="H1" s="736" t="s">
        <v>1471</v>
      </c>
      <c r="I1" s="736" t="s">
        <v>1472</v>
      </c>
      <c r="J1" s="736" t="s">
        <v>1473</v>
      </c>
      <c r="K1" s="736" t="s">
        <v>1474</v>
      </c>
      <c r="L1" s="736"/>
      <c r="M1" s="737" t="s">
        <v>1358</v>
      </c>
      <c r="N1" s="738" t="s">
        <v>1475</v>
      </c>
      <c r="O1" s="739">
        <f>SUBTOTAL(3,N:N)</f>
        <v>15</v>
      </c>
    </row>
    <row r="2" spans="1:15" ht="21.95" hidden="1" customHeight="1" thickTop="1">
      <c r="A2" s="2572"/>
      <c r="B2" s="2584" t="s">
        <v>1476</v>
      </c>
      <c r="C2" s="740" t="s">
        <v>1477</v>
      </c>
      <c r="D2" s="741"/>
      <c r="E2" s="742"/>
      <c r="F2" s="743"/>
      <c r="G2" s="743"/>
      <c r="H2" s="743"/>
      <c r="I2" s="743"/>
      <c r="J2" s="743"/>
      <c r="K2" s="743"/>
      <c r="L2" s="743"/>
      <c r="M2" s="744"/>
      <c r="N2" s="745">
        <f t="shared" ref="N2:N33" si="0">SUM(F2:M2)</f>
        <v>0</v>
      </c>
    </row>
    <row r="3" spans="1:15" ht="21.95" hidden="1" customHeight="1">
      <c r="A3" s="2572"/>
      <c r="B3" s="2585"/>
      <c r="C3" s="747" t="s">
        <v>1478</v>
      </c>
      <c r="E3" s="749"/>
      <c r="F3" s="750"/>
      <c r="G3" s="750"/>
      <c r="H3" s="750"/>
      <c r="I3" s="750"/>
      <c r="J3" s="750"/>
      <c r="K3" s="750"/>
      <c r="L3" s="750"/>
      <c r="M3" s="751"/>
      <c r="N3" s="745">
        <f t="shared" si="0"/>
        <v>0</v>
      </c>
    </row>
    <row r="4" spans="1:15" ht="21.95" hidden="1" customHeight="1">
      <c r="A4" s="2572"/>
      <c r="B4" s="2585"/>
      <c r="C4" s="747" t="s">
        <v>1479</v>
      </c>
      <c r="E4" s="749"/>
      <c r="F4" s="752"/>
      <c r="G4" s="752"/>
      <c r="H4" s="752"/>
      <c r="I4" s="752"/>
      <c r="J4" s="752"/>
      <c r="K4" s="752"/>
      <c r="L4" s="752"/>
      <c r="M4" s="751"/>
      <c r="N4" s="745">
        <f t="shared" si="0"/>
        <v>0</v>
      </c>
    </row>
    <row r="5" spans="1:15" ht="21.95" hidden="1" customHeight="1">
      <c r="A5" s="2572"/>
      <c r="B5" s="2585"/>
      <c r="C5" s="747" t="s">
        <v>1480</v>
      </c>
      <c r="E5" s="749"/>
      <c r="F5" s="752">
        <f>F4*F3*F2</f>
        <v>0</v>
      </c>
      <c r="G5" s="752"/>
      <c r="H5" s="752"/>
      <c r="I5" s="752"/>
      <c r="J5" s="752"/>
      <c r="K5" s="752">
        <f>Ciclovia!J109</f>
        <v>0</v>
      </c>
      <c r="L5" s="752"/>
      <c r="M5" s="753">
        <f>ROUND(SUM(F5:L5),2)</f>
        <v>0</v>
      </c>
      <c r="N5" s="745">
        <f t="shared" si="0"/>
        <v>0</v>
      </c>
    </row>
    <row r="6" spans="1:15" ht="21.95" hidden="1" customHeight="1" thickBot="1">
      <c r="A6" s="2572"/>
      <c r="B6" s="2586"/>
      <c r="C6" s="754" t="s">
        <v>1481</v>
      </c>
      <c r="D6" s="755"/>
      <c r="E6" s="756"/>
      <c r="F6" s="757"/>
      <c r="G6" s="757"/>
      <c r="H6" s="757"/>
      <c r="I6" s="757"/>
      <c r="J6" s="757"/>
      <c r="K6" s="757"/>
      <c r="L6" s="757"/>
      <c r="M6" s="758"/>
      <c r="N6" s="745">
        <f t="shared" si="0"/>
        <v>0</v>
      </c>
    </row>
    <row r="7" spans="1:15" ht="21.95" hidden="1" customHeight="1">
      <c r="A7" s="2572"/>
      <c r="B7" s="2584" t="s">
        <v>1482</v>
      </c>
      <c r="C7" s="740" t="s">
        <v>1477</v>
      </c>
      <c r="D7" s="759"/>
      <c r="E7" s="749"/>
      <c r="F7" s="743"/>
      <c r="G7" s="743"/>
      <c r="H7" s="743"/>
      <c r="I7" s="743"/>
      <c r="J7" s="743"/>
      <c r="K7" s="743"/>
      <c r="L7" s="743"/>
      <c r="M7" s="744"/>
      <c r="N7" s="745">
        <f t="shared" si="0"/>
        <v>0</v>
      </c>
    </row>
    <row r="8" spans="1:15" ht="21.95" hidden="1" customHeight="1">
      <c r="A8" s="2572"/>
      <c r="B8" s="2585"/>
      <c r="C8" s="747" t="s">
        <v>1483</v>
      </c>
      <c r="E8" s="749"/>
      <c r="F8" s="752"/>
      <c r="G8" s="752"/>
      <c r="H8" s="752"/>
      <c r="I8" s="752"/>
      <c r="J8" s="752"/>
      <c r="K8" s="752"/>
      <c r="L8" s="752"/>
      <c r="M8" s="751"/>
      <c r="N8" s="745">
        <f t="shared" si="0"/>
        <v>0</v>
      </c>
    </row>
    <row r="9" spans="1:15" ht="21.95" hidden="1" customHeight="1">
      <c r="A9" s="2572"/>
      <c r="B9" s="2585"/>
      <c r="C9" s="747" t="s">
        <v>1478</v>
      </c>
      <c r="E9" s="749"/>
      <c r="F9" s="750"/>
      <c r="G9" s="750"/>
      <c r="H9" s="750"/>
      <c r="I9" s="750"/>
      <c r="J9" s="750"/>
      <c r="K9" s="750"/>
      <c r="L9" s="750"/>
      <c r="M9" s="751"/>
      <c r="N9" s="745">
        <f t="shared" si="0"/>
        <v>0</v>
      </c>
    </row>
    <row r="10" spans="1:15" ht="32.1" hidden="1" customHeight="1">
      <c r="A10" s="2572"/>
      <c r="B10" s="2585"/>
      <c r="C10" s="747" t="s">
        <v>1480</v>
      </c>
      <c r="E10" s="749"/>
      <c r="F10" s="752">
        <f>F9*F8*F7</f>
        <v>0</v>
      </c>
      <c r="G10" s="752"/>
      <c r="H10" s="752">
        <f>Recap_Final!I77</f>
        <v>0</v>
      </c>
      <c r="I10" s="752">
        <f>Pav_Terraplenagem!J29</f>
        <v>0</v>
      </c>
      <c r="J10" s="752">
        <f>Passeio!L188</f>
        <v>0</v>
      </c>
      <c r="K10" s="752">
        <f>Ciclovia!J109</f>
        <v>0</v>
      </c>
      <c r="L10" s="752"/>
      <c r="M10" s="753">
        <f>ROUND(SUM(F10:L10),2)</f>
        <v>0</v>
      </c>
      <c r="N10" s="745">
        <f>SUM(F10:M10)</f>
        <v>0</v>
      </c>
    </row>
    <row r="11" spans="1:15" ht="32.1" customHeight="1" thickTop="1" thickBot="1">
      <c r="A11" s="2572"/>
      <c r="B11" s="2586"/>
      <c r="C11" s="754" t="s">
        <v>1481</v>
      </c>
      <c r="D11" s="755"/>
      <c r="E11" s="756"/>
      <c r="F11" s="757"/>
      <c r="G11" s="757"/>
      <c r="H11" s="757"/>
      <c r="I11" s="757">
        <v>2</v>
      </c>
      <c r="J11" s="757">
        <v>2</v>
      </c>
      <c r="K11" s="757"/>
      <c r="L11" s="757"/>
      <c r="M11" s="758"/>
      <c r="N11" s="745">
        <f t="shared" si="0"/>
        <v>4</v>
      </c>
    </row>
    <row r="12" spans="1:15" ht="21.95" hidden="1" customHeight="1">
      <c r="A12" s="2572"/>
      <c r="B12" s="2584" t="s">
        <v>1484</v>
      </c>
      <c r="C12" s="740" t="s">
        <v>1477</v>
      </c>
      <c r="D12" s="759"/>
      <c r="E12" s="749"/>
      <c r="F12" s="743"/>
      <c r="G12" s="743"/>
      <c r="H12" s="743"/>
      <c r="I12" s="743"/>
      <c r="J12" s="743"/>
      <c r="K12" s="743"/>
      <c r="L12" s="743"/>
      <c r="M12" s="744"/>
      <c r="N12" s="745">
        <f t="shared" si="0"/>
        <v>0</v>
      </c>
    </row>
    <row r="13" spans="1:15" ht="21.95" hidden="1" customHeight="1">
      <c r="A13" s="2572"/>
      <c r="B13" s="2585"/>
      <c r="C13" s="747" t="s">
        <v>1483</v>
      </c>
      <c r="E13" s="749"/>
      <c r="F13" s="752"/>
      <c r="G13" s="752"/>
      <c r="H13" s="752"/>
      <c r="I13" s="752"/>
      <c r="J13" s="752"/>
      <c r="K13" s="752"/>
      <c r="L13" s="752"/>
      <c r="M13" s="751"/>
      <c r="N13" s="745">
        <f t="shared" si="0"/>
        <v>0</v>
      </c>
    </row>
    <row r="14" spans="1:15" ht="21.95" hidden="1" customHeight="1">
      <c r="A14" s="2572"/>
      <c r="B14" s="2585"/>
      <c r="C14" s="747" t="s">
        <v>1478</v>
      </c>
      <c r="E14" s="749"/>
      <c r="F14" s="750"/>
      <c r="G14" s="750"/>
      <c r="H14" s="750"/>
      <c r="I14" s="750"/>
      <c r="J14" s="750"/>
      <c r="K14" s="750"/>
      <c r="L14" s="750"/>
      <c r="M14" s="751"/>
      <c r="N14" s="745">
        <f t="shared" si="0"/>
        <v>0</v>
      </c>
    </row>
    <row r="15" spans="1:15" ht="21.95" hidden="1" customHeight="1">
      <c r="A15" s="2572"/>
      <c r="B15" s="2585"/>
      <c r="C15" s="747" t="s">
        <v>1480</v>
      </c>
      <c r="E15" s="749"/>
      <c r="F15" s="752">
        <f>F14*F13*F12</f>
        <v>0</v>
      </c>
      <c r="G15" s="752"/>
      <c r="H15" s="752">
        <f>H14*H13*H12</f>
        <v>0</v>
      </c>
      <c r="I15" s="752">
        <f>I14*I13*I12</f>
        <v>0</v>
      </c>
      <c r="J15" s="752">
        <f>Passeio!L192</f>
        <v>0</v>
      </c>
      <c r="K15" s="752">
        <f>K14*K13*K12</f>
        <v>0</v>
      </c>
      <c r="L15" s="752"/>
      <c r="M15" s="753">
        <f>ROUND(SUM(F15:L15),2)</f>
        <v>0</v>
      </c>
      <c r="N15" s="745">
        <f t="shared" si="0"/>
        <v>0</v>
      </c>
    </row>
    <row r="16" spans="1:15" ht="21.95" hidden="1" customHeight="1" thickBot="1">
      <c r="A16" s="2572"/>
      <c r="B16" s="2586"/>
      <c r="C16" s="754" t="s">
        <v>1481</v>
      </c>
      <c r="D16" s="755"/>
      <c r="E16" s="756"/>
      <c r="F16" s="757"/>
      <c r="G16" s="757"/>
      <c r="H16" s="757"/>
      <c r="I16" s="757"/>
      <c r="J16" s="757"/>
      <c r="K16" s="757"/>
      <c r="L16" s="757"/>
      <c r="M16" s="758"/>
      <c r="N16" s="745">
        <f t="shared" si="0"/>
        <v>0</v>
      </c>
    </row>
    <row r="17" spans="1:14" ht="21.95" hidden="1" customHeight="1">
      <c r="A17" s="2572"/>
      <c r="B17" s="2584" t="s">
        <v>1485</v>
      </c>
      <c r="C17" s="740" t="s">
        <v>1477</v>
      </c>
      <c r="D17" s="759"/>
      <c r="E17" s="749"/>
      <c r="F17" s="743"/>
      <c r="G17" s="743"/>
      <c r="H17" s="743"/>
      <c r="I17" s="743"/>
      <c r="J17" s="743"/>
      <c r="K17" s="743"/>
      <c r="L17" s="743"/>
      <c r="M17" s="744"/>
      <c r="N17" s="745">
        <f t="shared" si="0"/>
        <v>0</v>
      </c>
    </row>
    <row r="18" spans="1:14" ht="21.95" hidden="1" customHeight="1">
      <c r="A18" s="2572"/>
      <c r="B18" s="2585"/>
      <c r="C18" s="747" t="s">
        <v>1483</v>
      </c>
      <c r="E18" s="749"/>
      <c r="F18" s="752"/>
      <c r="G18" s="752"/>
      <c r="H18" s="752"/>
      <c r="I18" s="752"/>
      <c r="J18" s="752"/>
      <c r="K18" s="752"/>
      <c r="L18" s="752"/>
      <c r="M18" s="751"/>
      <c r="N18" s="745">
        <f t="shared" si="0"/>
        <v>0</v>
      </c>
    </row>
    <row r="19" spans="1:14" ht="21.95" hidden="1" customHeight="1">
      <c r="A19" s="2572"/>
      <c r="B19" s="2585"/>
      <c r="C19" s="747" t="s">
        <v>1478</v>
      </c>
      <c r="E19" s="749"/>
      <c r="F19" s="750"/>
      <c r="G19" s="750"/>
      <c r="H19" s="750"/>
      <c r="I19" s="750"/>
      <c r="J19" s="750"/>
      <c r="K19" s="750"/>
      <c r="L19" s="750"/>
      <c r="M19" s="751"/>
      <c r="N19" s="745">
        <f t="shared" si="0"/>
        <v>0</v>
      </c>
    </row>
    <row r="20" spans="1:14" ht="21.95" hidden="1" customHeight="1">
      <c r="A20" s="2572"/>
      <c r="B20" s="2585"/>
      <c r="C20" s="747" t="s">
        <v>1480</v>
      </c>
      <c r="E20" s="749"/>
      <c r="F20" s="752">
        <f>F19*F18*F17</f>
        <v>0</v>
      </c>
      <c r="G20" s="752"/>
      <c r="H20" s="752">
        <f>H19*H18*H17</f>
        <v>0</v>
      </c>
      <c r="I20" s="752">
        <f>I19*I18*I17</f>
        <v>0</v>
      </c>
      <c r="J20" s="752">
        <f>Passeio!L192</f>
        <v>0</v>
      </c>
      <c r="K20" s="752">
        <f>K19*K18*K17</f>
        <v>0</v>
      </c>
      <c r="L20" s="752"/>
      <c r="M20" s="753">
        <f>ROUND(SUM(F20:L20),2)</f>
        <v>0</v>
      </c>
      <c r="N20" s="745">
        <f t="shared" si="0"/>
        <v>0</v>
      </c>
    </row>
    <row r="21" spans="1:14" ht="21.95" hidden="1" customHeight="1" thickBot="1">
      <c r="A21" s="2572"/>
      <c r="B21" s="2586"/>
      <c r="C21" s="754" t="s">
        <v>1481</v>
      </c>
      <c r="D21" s="755"/>
      <c r="E21" s="756"/>
      <c r="F21" s="757"/>
      <c r="G21" s="757"/>
      <c r="H21" s="757"/>
      <c r="I21" s="757"/>
      <c r="J21" s="757"/>
      <c r="K21" s="757"/>
      <c r="L21" s="757"/>
      <c r="M21" s="758"/>
      <c r="N21" s="745">
        <f t="shared" si="0"/>
        <v>0</v>
      </c>
    </row>
    <row r="22" spans="1:14" ht="21.95" hidden="1" customHeight="1">
      <c r="A22" s="2572"/>
      <c r="B22" s="2584" t="s">
        <v>1486</v>
      </c>
      <c r="C22" s="740" t="s">
        <v>1477</v>
      </c>
      <c r="D22" s="759"/>
      <c r="E22" s="749"/>
      <c r="F22" s="743"/>
      <c r="G22" s="743"/>
      <c r="H22" s="743"/>
      <c r="I22" s="743"/>
      <c r="J22" s="743"/>
      <c r="K22" s="743"/>
      <c r="L22" s="743"/>
      <c r="M22" s="744"/>
      <c r="N22" s="745">
        <f t="shared" si="0"/>
        <v>0</v>
      </c>
    </row>
    <row r="23" spans="1:14" ht="21.95" hidden="1" customHeight="1">
      <c r="A23" s="2572"/>
      <c r="B23" s="2585"/>
      <c r="C23" s="747" t="s">
        <v>1483</v>
      </c>
      <c r="E23" s="749"/>
      <c r="F23" s="752"/>
      <c r="G23" s="752"/>
      <c r="H23" s="752"/>
      <c r="I23" s="752"/>
      <c r="J23" s="752"/>
      <c r="K23" s="752"/>
      <c r="L23" s="752"/>
      <c r="M23" s="751"/>
      <c r="N23" s="745">
        <f t="shared" si="0"/>
        <v>0</v>
      </c>
    </row>
    <row r="24" spans="1:14" ht="21.95" hidden="1" customHeight="1">
      <c r="A24" s="2572"/>
      <c r="B24" s="2585"/>
      <c r="C24" s="747" t="s">
        <v>1478</v>
      </c>
      <c r="E24" s="749"/>
      <c r="F24" s="750"/>
      <c r="G24" s="750"/>
      <c r="H24" s="750"/>
      <c r="I24" s="750"/>
      <c r="J24" s="750"/>
      <c r="K24" s="750"/>
      <c r="L24" s="750"/>
      <c r="M24" s="751"/>
      <c r="N24" s="745">
        <f t="shared" si="0"/>
        <v>0</v>
      </c>
    </row>
    <row r="25" spans="1:14" ht="21.95" hidden="1" customHeight="1">
      <c r="A25" s="2572"/>
      <c r="B25" s="2585"/>
      <c r="C25" s="747" t="s">
        <v>1480</v>
      </c>
      <c r="E25" s="749"/>
      <c r="F25" s="752">
        <f>F24*F23*F22</f>
        <v>0</v>
      </c>
      <c r="G25" s="752"/>
      <c r="H25" s="752">
        <f>H24*H23*H22</f>
        <v>0</v>
      </c>
      <c r="I25" s="752"/>
      <c r="J25" s="752">
        <f>J24*J23*J22</f>
        <v>0</v>
      </c>
      <c r="K25" s="752">
        <f>K24*K23*K22</f>
        <v>0</v>
      </c>
      <c r="L25" s="752"/>
      <c r="M25" s="753">
        <f>ROUND(SUM(F25:L25),2)</f>
        <v>0</v>
      </c>
      <c r="N25" s="745">
        <f t="shared" si="0"/>
        <v>0</v>
      </c>
    </row>
    <row r="26" spans="1:14" ht="21.95" hidden="1" customHeight="1" thickBot="1">
      <c r="A26" s="2572"/>
      <c r="B26" s="2586"/>
      <c r="C26" s="754" t="s">
        <v>1481</v>
      </c>
      <c r="D26" s="755"/>
      <c r="E26" s="756"/>
      <c r="F26" s="757"/>
      <c r="G26" s="757"/>
      <c r="H26" s="757"/>
      <c r="I26" s="757"/>
      <c r="J26" s="757"/>
      <c r="K26" s="757"/>
      <c r="L26" s="757"/>
      <c r="M26" s="758"/>
      <c r="N26" s="745">
        <f t="shared" si="0"/>
        <v>0</v>
      </c>
    </row>
    <row r="27" spans="1:14" ht="21.95" hidden="1" customHeight="1">
      <c r="A27" s="2572"/>
      <c r="B27" s="2584" t="s">
        <v>1487</v>
      </c>
      <c r="C27" s="740" t="s">
        <v>1477</v>
      </c>
      <c r="D27" s="759"/>
      <c r="E27" s="749"/>
      <c r="F27" s="743"/>
      <c r="G27" s="743"/>
      <c r="H27" s="743"/>
      <c r="I27" s="743"/>
      <c r="J27" s="743"/>
      <c r="K27" s="743"/>
      <c r="L27" s="743"/>
      <c r="M27" s="744"/>
      <c r="N27" s="745">
        <f t="shared" si="0"/>
        <v>0</v>
      </c>
    </row>
    <row r="28" spans="1:14" ht="21.95" hidden="1" customHeight="1">
      <c r="A28" s="2572"/>
      <c r="B28" s="2585"/>
      <c r="C28" s="747" t="s">
        <v>1483</v>
      </c>
      <c r="E28" s="749"/>
      <c r="F28" s="752"/>
      <c r="G28" s="752"/>
      <c r="H28" s="752"/>
      <c r="I28" s="752"/>
      <c r="J28" s="752"/>
      <c r="K28" s="752"/>
      <c r="L28" s="752"/>
      <c r="M28" s="751"/>
      <c r="N28" s="745">
        <f t="shared" si="0"/>
        <v>0</v>
      </c>
    </row>
    <row r="29" spans="1:14" ht="21.95" hidden="1" customHeight="1">
      <c r="A29" s="2572"/>
      <c r="B29" s="2585"/>
      <c r="C29" s="747" t="s">
        <v>1478</v>
      </c>
      <c r="E29" s="749"/>
      <c r="F29" s="750"/>
      <c r="G29" s="750"/>
      <c r="H29" s="750"/>
      <c r="I29" s="750"/>
      <c r="J29" s="750"/>
      <c r="K29" s="750"/>
      <c r="L29" s="750"/>
      <c r="M29" s="751"/>
      <c r="N29" s="745">
        <f t="shared" si="0"/>
        <v>0</v>
      </c>
    </row>
    <row r="30" spans="1:14" ht="21.95" hidden="1" customHeight="1">
      <c r="A30" s="2572"/>
      <c r="B30" s="2585"/>
      <c r="C30" s="747" t="s">
        <v>1480</v>
      </c>
      <c r="E30" s="749"/>
      <c r="F30" s="752">
        <f t="shared" ref="F30:K30" si="1">F29*F28*F27</f>
        <v>0</v>
      </c>
      <c r="G30" s="752"/>
      <c r="H30" s="752">
        <f t="shared" si="1"/>
        <v>0</v>
      </c>
      <c r="I30" s="752">
        <f t="shared" si="1"/>
        <v>0</v>
      </c>
      <c r="J30" s="752">
        <f t="shared" si="1"/>
        <v>0</v>
      </c>
      <c r="K30" s="752">
        <f t="shared" si="1"/>
        <v>0</v>
      </c>
      <c r="L30" s="752"/>
      <c r="M30" s="753">
        <f>ROUND(SUM(F30:L30),2)</f>
        <v>0</v>
      </c>
      <c r="N30" s="745">
        <f t="shared" si="0"/>
        <v>0</v>
      </c>
    </row>
    <row r="31" spans="1:14" ht="21.95" hidden="1" customHeight="1" thickBot="1">
      <c r="A31" s="2572"/>
      <c r="B31" s="2586"/>
      <c r="C31" s="754" t="s">
        <v>1481</v>
      </c>
      <c r="D31" s="755"/>
      <c r="E31" s="756"/>
      <c r="F31" s="757"/>
      <c r="G31" s="757"/>
      <c r="H31" s="757"/>
      <c r="I31" s="757"/>
      <c r="J31" s="757"/>
      <c r="K31" s="757"/>
      <c r="L31" s="757"/>
      <c r="M31" s="758"/>
      <c r="N31" s="745">
        <f t="shared" si="0"/>
        <v>0</v>
      </c>
    </row>
    <row r="32" spans="1:14" ht="21.95" hidden="1" customHeight="1">
      <c r="A32" s="2572"/>
      <c r="B32" s="2584" t="s">
        <v>1488</v>
      </c>
      <c r="C32" s="740" t="s">
        <v>1477</v>
      </c>
      <c r="D32" s="759"/>
      <c r="E32" s="749"/>
      <c r="F32" s="743"/>
      <c r="G32" s="743"/>
      <c r="H32" s="743"/>
      <c r="I32" s="743"/>
      <c r="J32" s="743"/>
      <c r="K32" s="743"/>
      <c r="L32" s="743"/>
      <c r="M32" s="744"/>
      <c r="N32" s="745">
        <f t="shared" si="0"/>
        <v>0</v>
      </c>
    </row>
    <row r="33" spans="1:14" ht="21.95" hidden="1" customHeight="1">
      <c r="A33" s="2572"/>
      <c r="B33" s="2585"/>
      <c r="C33" s="747" t="s">
        <v>1483</v>
      </c>
      <c r="E33" s="749"/>
      <c r="F33" s="752"/>
      <c r="G33" s="752"/>
      <c r="H33" s="752"/>
      <c r="I33" s="752"/>
      <c r="J33" s="752"/>
      <c r="K33" s="752"/>
      <c r="L33" s="752"/>
      <c r="M33" s="751"/>
      <c r="N33" s="745">
        <f t="shared" si="0"/>
        <v>0</v>
      </c>
    </row>
    <row r="34" spans="1:14" ht="21.95" hidden="1" customHeight="1">
      <c r="A34" s="2572"/>
      <c r="B34" s="2585"/>
      <c r="C34" s="747" t="s">
        <v>1489</v>
      </c>
      <c r="E34" s="749"/>
      <c r="F34" s="752">
        <f>F32*F33</f>
        <v>0</v>
      </c>
      <c r="G34" s="752"/>
      <c r="H34" s="752"/>
      <c r="I34" s="752"/>
      <c r="J34" s="752">
        <f>Passeio!L196</f>
        <v>0</v>
      </c>
      <c r="K34" s="752"/>
      <c r="L34" s="752"/>
      <c r="M34" s="753">
        <f>ROUND(SUM(F34:L34),2)</f>
        <v>0</v>
      </c>
      <c r="N34" s="745">
        <f t="shared" ref="N34:N56" si="2">SUM(F34:M34)</f>
        <v>0</v>
      </c>
    </row>
    <row r="35" spans="1:14" ht="21.95" hidden="1" customHeight="1">
      <c r="A35" s="2572"/>
      <c r="B35" s="2585"/>
      <c r="C35" s="747" t="s">
        <v>1478</v>
      </c>
      <c r="E35" s="749"/>
      <c r="F35" s="750"/>
      <c r="G35" s="750"/>
      <c r="H35" s="750"/>
      <c r="I35" s="750"/>
      <c r="J35" s="750"/>
      <c r="K35" s="750"/>
      <c r="L35" s="750"/>
      <c r="M35" s="751"/>
      <c r="N35" s="745">
        <f t="shared" si="2"/>
        <v>0</v>
      </c>
    </row>
    <row r="36" spans="1:14" ht="21.95" hidden="1" customHeight="1">
      <c r="A36" s="2572"/>
      <c r="B36" s="2585"/>
      <c r="C36" s="747" t="s">
        <v>1480</v>
      </c>
      <c r="E36" s="749"/>
      <c r="F36" s="752">
        <f>F35*F34/100</f>
        <v>0</v>
      </c>
      <c r="G36" s="752"/>
      <c r="H36" s="752">
        <f>H35*H33*H32</f>
        <v>0</v>
      </c>
      <c r="I36" s="752">
        <f>I35*I33*I32</f>
        <v>0</v>
      </c>
      <c r="J36" s="752">
        <f>Passeio!L197</f>
        <v>0</v>
      </c>
      <c r="K36" s="752">
        <f>K35*K33*K32</f>
        <v>0</v>
      </c>
      <c r="L36" s="752"/>
      <c r="M36" s="751">
        <f>ROUND(SUM(F36:L36),2)</f>
        <v>0</v>
      </c>
      <c r="N36" s="745">
        <f t="shared" si="2"/>
        <v>0</v>
      </c>
    </row>
    <row r="37" spans="1:14" ht="21.95" hidden="1" customHeight="1" thickBot="1">
      <c r="A37" s="2572"/>
      <c r="B37" s="2586"/>
      <c r="C37" s="754" t="s">
        <v>1481</v>
      </c>
      <c r="D37" s="755"/>
      <c r="E37" s="756"/>
      <c r="F37" s="757"/>
      <c r="G37" s="757"/>
      <c r="H37" s="757"/>
      <c r="I37" s="757"/>
      <c r="J37" s="757"/>
      <c r="K37" s="757"/>
      <c r="L37" s="757"/>
      <c r="M37" s="758"/>
      <c r="N37" s="745">
        <f t="shared" si="2"/>
        <v>0</v>
      </c>
    </row>
    <row r="38" spans="1:14" ht="21.95" hidden="1" customHeight="1">
      <c r="A38" s="2572"/>
      <c r="B38" s="2584" t="s">
        <v>1490</v>
      </c>
      <c r="C38" s="740" t="s">
        <v>1477</v>
      </c>
      <c r="D38" s="759"/>
      <c r="E38" s="749"/>
      <c r="F38" s="743"/>
      <c r="G38" s="743"/>
      <c r="H38" s="743"/>
      <c r="I38" s="743"/>
      <c r="J38" s="743"/>
      <c r="K38" s="743"/>
      <c r="L38" s="743"/>
      <c r="M38" s="744"/>
      <c r="N38" s="745">
        <f t="shared" si="2"/>
        <v>0</v>
      </c>
    </row>
    <row r="39" spans="1:14" ht="21.95" hidden="1" customHeight="1">
      <c r="A39" s="2572"/>
      <c r="B39" s="2585"/>
      <c r="C39" s="747" t="s">
        <v>1483</v>
      </c>
      <c r="E39" s="749"/>
      <c r="F39" s="752">
        <f>Dre_Fecha_Vala!U7+Dre_Fecha_Vala!U10+Dre_Fecha_Vala!U13</f>
        <v>0</v>
      </c>
      <c r="G39" s="752">
        <f>Dre_Profunda!I90</f>
        <v>0</v>
      </c>
      <c r="H39" s="752"/>
      <c r="I39" s="752"/>
      <c r="J39" s="752"/>
      <c r="K39" s="752"/>
      <c r="L39" s="752"/>
      <c r="M39" s="751"/>
      <c r="N39" s="745">
        <f t="shared" si="2"/>
        <v>0</v>
      </c>
    </row>
    <row r="40" spans="1:14" ht="21.95" hidden="1" customHeight="1">
      <c r="A40" s="2572"/>
      <c r="B40" s="2585"/>
      <c r="C40" s="747" t="s">
        <v>1489</v>
      </c>
      <c r="E40" s="749"/>
      <c r="F40" s="752">
        <f>Dre_Ser_Prelim!AI31</f>
        <v>0</v>
      </c>
      <c r="G40" s="752">
        <f>Dre_Profunda!I92</f>
        <v>0</v>
      </c>
      <c r="H40" s="752"/>
      <c r="I40" s="752">
        <f>Pav_Terraplenagem!J26</f>
        <v>0</v>
      </c>
      <c r="J40" s="752">
        <f>J38*J39</f>
        <v>0</v>
      </c>
      <c r="K40" s="752">
        <f>Ciclovia!J106</f>
        <v>0</v>
      </c>
      <c r="L40" s="752"/>
      <c r="M40" s="753">
        <f>ROUND(SUM(F40:L40),2)</f>
        <v>0</v>
      </c>
      <c r="N40" s="745">
        <f t="shared" si="2"/>
        <v>0</v>
      </c>
    </row>
    <row r="41" spans="1:14" ht="21.95" customHeight="1">
      <c r="A41" s="2572"/>
      <c r="B41" s="2585"/>
      <c r="C41" s="747" t="s">
        <v>1478</v>
      </c>
      <c r="E41" s="749"/>
      <c r="F41" s="750"/>
      <c r="G41" s="750">
        <v>3</v>
      </c>
      <c r="H41" s="750"/>
      <c r="I41" s="750">
        <v>3</v>
      </c>
      <c r="J41" s="750"/>
      <c r="K41" s="750"/>
      <c r="L41" s="750"/>
      <c r="M41" s="751"/>
      <c r="N41" s="745">
        <f t="shared" si="2"/>
        <v>6</v>
      </c>
    </row>
    <row r="42" spans="1:14" ht="21.95" hidden="1" customHeight="1">
      <c r="A42" s="2572"/>
      <c r="B42" s="2585"/>
      <c r="C42" s="747" t="s">
        <v>1480</v>
      </c>
      <c r="E42" s="749"/>
      <c r="F42" s="752">
        <f>Dre_Ser_Prelim!AI32</f>
        <v>0</v>
      </c>
      <c r="G42" s="752">
        <f>Dre_Profunda!I94</f>
        <v>0</v>
      </c>
      <c r="H42" s="752"/>
      <c r="I42" s="752">
        <f>I41*I40/100</f>
        <v>0</v>
      </c>
      <c r="J42" s="752">
        <f>J41*J40/100</f>
        <v>0</v>
      </c>
      <c r="K42" s="752"/>
      <c r="L42" s="752"/>
      <c r="M42" s="751">
        <f>ROUND(SUM(F42:L42),2)</f>
        <v>0</v>
      </c>
      <c r="N42" s="745">
        <f t="shared" si="2"/>
        <v>0</v>
      </c>
    </row>
    <row r="43" spans="1:14" ht="21.95" customHeight="1" thickBot="1">
      <c r="A43" s="2572"/>
      <c r="B43" s="2586"/>
      <c r="C43" s="754" t="s">
        <v>1481</v>
      </c>
      <c r="D43" s="755"/>
      <c r="E43" s="756"/>
      <c r="F43" s="757"/>
      <c r="G43" s="757">
        <v>2</v>
      </c>
      <c r="H43" s="757"/>
      <c r="I43" s="757">
        <v>2</v>
      </c>
      <c r="J43" s="757"/>
      <c r="K43" s="757"/>
      <c r="L43" s="757"/>
      <c r="M43" s="758"/>
      <c r="N43" s="745">
        <f t="shared" si="2"/>
        <v>4</v>
      </c>
    </row>
    <row r="44" spans="1:14" ht="21.95" hidden="1" customHeight="1">
      <c r="A44" s="2572"/>
      <c r="B44" s="2584" t="s">
        <v>1491</v>
      </c>
      <c r="C44" s="740" t="s">
        <v>1477</v>
      </c>
      <c r="D44" s="759"/>
      <c r="E44" s="760"/>
      <c r="F44" s="743"/>
      <c r="G44" s="743"/>
      <c r="H44" s="743"/>
      <c r="I44" s="743"/>
      <c r="J44" s="743"/>
      <c r="K44" s="743"/>
      <c r="L44" s="743"/>
      <c r="M44" s="744"/>
      <c r="N44" s="745">
        <f t="shared" si="2"/>
        <v>0</v>
      </c>
    </row>
    <row r="45" spans="1:14" ht="21.95" hidden="1" customHeight="1">
      <c r="A45" s="2572"/>
      <c r="B45" s="2585"/>
      <c r="C45" s="747" t="s">
        <v>1483</v>
      </c>
      <c r="E45" s="749"/>
      <c r="F45" s="752"/>
      <c r="G45" s="752"/>
      <c r="H45" s="752"/>
      <c r="I45" s="752"/>
      <c r="J45" s="752"/>
      <c r="K45" s="752"/>
      <c r="L45" s="752"/>
      <c r="M45" s="751"/>
      <c r="N45" s="745">
        <f t="shared" si="2"/>
        <v>0</v>
      </c>
    </row>
    <row r="46" spans="1:14" ht="21.95" hidden="1" customHeight="1">
      <c r="A46" s="2572"/>
      <c r="B46" s="2585"/>
      <c r="C46" s="747" t="s">
        <v>1492</v>
      </c>
      <c r="E46" s="749"/>
      <c r="F46" s="752">
        <f>F45*F44</f>
        <v>0</v>
      </c>
      <c r="G46" s="752"/>
      <c r="H46" s="752">
        <f>H45*H44</f>
        <v>0</v>
      </c>
      <c r="I46" s="752">
        <f>I45*I44</f>
        <v>0</v>
      </c>
      <c r="J46" s="752">
        <f>J45*J44</f>
        <v>0</v>
      </c>
      <c r="K46" s="752">
        <f>K45*K44</f>
        <v>0</v>
      </c>
      <c r="L46" s="752"/>
      <c r="M46" s="753">
        <f>ROUND(SUM(F46:L46),2)</f>
        <v>0</v>
      </c>
      <c r="N46" s="745">
        <f t="shared" si="2"/>
        <v>0</v>
      </c>
    </row>
    <row r="47" spans="1:14" ht="21.95" hidden="1" customHeight="1">
      <c r="A47" s="2572"/>
      <c r="B47" s="2585"/>
      <c r="C47" s="747" t="s">
        <v>1478</v>
      </c>
      <c r="E47" s="749"/>
      <c r="F47" s="750"/>
      <c r="G47" s="750"/>
      <c r="H47" s="750"/>
      <c r="I47" s="750"/>
      <c r="J47" s="750"/>
      <c r="K47" s="750"/>
      <c r="L47" s="750"/>
      <c r="M47" s="751"/>
      <c r="N47" s="745">
        <f t="shared" si="2"/>
        <v>0</v>
      </c>
    </row>
    <row r="48" spans="1:14" ht="21.95" hidden="1" customHeight="1" thickBot="1">
      <c r="A48" s="2572"/>
      <c r="B48" s="2586"/>
      <c r="C48" s="754" t="s">
        <v>1493</v>
      </c>
      <c r="D48" s="755"/>
      <c r="E48" s="756"/>
      <c r="F48" s="761">
        <f>F47*F46/100</f>
        <v>0</v>
      </c>
      <c r="G48" s="761"/>
      <c r="H48" s="761">
        <f>H47*H46/100</f>
        <v>0</v>
      </c>
      <c r="I48" s="761">
        <f>I47*I46/100</f>
        <v>0</v>
      </c>
      <c r="J48" s="761">
        <f>J47*J46/100</f>
        <v>0</v>
      </c>
      <c r="K48" s="761">
        <f>K47*K46/100</f>
        <v>0</v>
      </c>
      <c r="L48" s="761"/>
      <c r="M48" s="762">
        <f t="shared" ref="M48:M66" si="3">ROUND(SUM(F48:L48),2)</f>
        <v>0</v>
      </c>
      <c r="N48" s="745">
        <f t="shared" si="2"/>
        <v>0</v>
      </c>
    </row>
    <row r="49" spans="1:15" ht="21.95" hidden="1" customHeight="1">
      <c r="A49" s="2572"/>
      <c r="B49" s="2593" t="s">
        <v>1494</v>
      </c>
      <c r="C49" s="763" t="s">
        <v>1495</v>
      </c>
      <c r="E49" s="749"/>
      <c r="F49" s="752">
        <f t="shared" ref="F49:K49" si="4">IF(F6=1,F5,0)+IF(F11=1,F10,0)+IF(F16=1,F15,0)+IF(F21=1,F20,0)+IF(F26=1,F25,0)+IF(F31=1,F30,0)+IF(F37=1,F36,0)+IF(F43=1,F42,0)</f>
        <v>0</v>
      </c>
      <c r="G49" s="752">
        <f t="shared" si="4"/>
        <v>0</v>
      </c>
      <c r="H49" s="752">
        <f t="shared" si="4"/>
        <v>0</v>
      </c>
      <c r="I49" s="752">
        <f t="shared" si="4"/>
        <v>0</v>
      </c>
      <c r="J49" s="752">
        <f t="shared" si="4"/>
        <v>0</v>
      </c>
      <c r="K49" s="752">
        <f t="shared" si="4"/>
        <v>0</v>
      </c>
      <c r="L49" s="752"/>
      <c r="M49" s="751">
        <f t="shared" si="3"/>
        <v>0</v>
      </c>
      <c r="N49" s="745">
        <f t="shared" si="2"/>
        <v>0</v>
      </c>
    </row>
    <row r="50" spans="1:15" ht="21.95" hidden="1" customHeight="1">
      <c r="A50" s="2572"/>
      <c r="B50" s="2593"/>
      <c r="C50" s="747" t="s">
        <v>1496</v>
      </c>
      <c r="E50" s="749"/>
      <c r="F50" s="752">
        <f t="shared" ref="F50:K50" si="5">F49*1.25</f>
        <v>0</v>
      </c>
      <c r="G50" s="752">
        <f t="shared" si="5"/>
        <v>0</v>
      </c>
      <c r="H50" s="752">
        <f t="shared" si="5"/>
        <v>0</v>
      </c>
      <c r="I50" s="752">
        <f t="shared" si="5"/>
        <v>0</v>
      </c>
      <c r="J50" s="752">
        <f t="shared" si="5"/>
        <v>0</v>
      </c>
      <c r="K50" s="752">
        <f t="shared" si="5"/>
        <v>0</v>
      </c>
      <c r="L50" s="752"/>
      <c r="M50" s="753">
        <f t="shared" si="3"/>
        <v>0</v>
      </c>
      <c r="N50" s="745">
        <f t="shared" si="2"/>
        <v>0</v>
      </c>
      <c r="O50" s="764"/>
    </row>
    <row r="51" spans="1:15" ht="21.95" hidden="1" customHeight="1">
      <c r="A51" s="2572"/>
      <c r="B51" s="2593"/>
      <c r="C51" s="747" t="s">
        <v>1497</v>
      </c>
      <c r="E51" s="749"/>
      <c r="F51" s="752">
        <f t="shared" ref="F51:K51" si="6">IF(F6=2,F5,0)+IF(F11=2,F10,0)+IF(F16=2,F15,0)+IF(F21=2,F20,0)+IF(F26=2,F25,0)+IF(F31=2,F30,0)+IF(F37=2,F36,0)+IF(F43=2,F42,0)+F48</f>
        <v>0</v>
      </c>
      <c r="G51" s="752">
        <f t="shared" si="6"/>
        <v>0</v>
      </c>
      <c r="H51" s="752">
        <f t="shared" si="6"/>
        <v>0</v>
      </c>
      <c r="I51" s="752">
        <f t="shared" si="6"/>
        <v>0</v>
      </c>
      <c r="J51" s="752">
        <f t="shared" si="6"/>
        <v>0</v>
      </c>
      <c r="K51" s="752">
        <f t="shared" si="6"/>
        <v>0</v>
      </c>
      <c r="L51" s="752"/>
      <c r="M51" s="751">
        <f t="shared" si="3"/>
        <v>0</v>
      </c>
      <c r="N51" s="745">
        <f t="shared" si="2"/>
        <v>0</v>
      </c>
    </row>
    <row r="52" spans="1:15" ht="21.95" hidden="1" customHeight="1" thickBot="1">
      <c r="A52" s="2572"/>
      <c r="B52" s="2594"/>
      <c r="C52" s="765" t="s">
        <v>1498</v>
      </c>
      <c r="E52" s="749"/>
      <c r="F52" s="752">
        <f t="shared" ref="F52:K52" si="7">F51*1.25</f>
        <v>0</v>
      </c>
      <c r="G52" s="752">
        <f t="shared" si="7"/>
        <v>0</v>
      </c>
      <c r="H52" s="752">
        <f t="shared" si="7"/>
        <v>0</v>
      </c>
      <c r="I52" s="752">
        <f t="shared" si="7"/>
        <v>0</v>
      </c>
      <c r="J52" s="752">
        <f t="shared" si="7"/>
        <v>0</v>
      </c>
      <c r="K52" s="752">
        <f t="shared" si="7"/>
        <v>0</v>
      </c>
      <c r="L52" s="752"/>
      <c r="M52" s="753">
        <f t="shared" si="3"/>
        <v>0</v>
      </c>
      <c r="N52" s="745">
        <f t="shared" si="2"/>
        <v>0</v>
      </c>
      <c r="O52" s="764"/>
    </row>
    <row r="53" spans="1:15" ht="21.95" hidden="1" customHeight="1">
      <c r="A53" s="2572"/>
      <c r="B53" s="2595" t="s">
        <v>1499</v>
      </c>
      <c r="C53" s="740" t="s">
        <v>1500</v>
      </c>
      <c r="D53" s="759"/>
      <c r="E53" s="766"/>
      <c r="F53" s="743">
        <f>Dre_Ser_Prelim!AI30</f>
        <v>0</v>
      </c>
      <c r="G53" s="743"/>
      <c r="H53" s="743"/>
      <c r="I53" s="743">
        <f>Pav_Terraplenagem!J24</f>
        <v>0</v>
      </c>
      <c r="J53" s="743"/>
      <c r="K53" s="743">
        <f>Ciclovia!J105</f>
        <v>0</v>
      </c>
      <c r="L53" s="743"/>
      <c r="M53" s="767">
        <f t="shared" si="3"/>
        <v>0</v>
      </c>
      <c r="N53" s="745">
        <f t="shared" si="2"/>
        <v>0</v>
      </c>
    </row>
    <row r="54" spans="1:15" ht="21.95" hidden="1" customHeight="1" thickBot="1">
      <c r="A54" s="2572"/>
      <c r="B54" s="2594"/>
      <c r="C54" s="754" t="s">
        <v>1501</v>
      </c>
      <c r="D54" s="755"/>
      <c r="E54" s="768"/>
      <c r="F54" s="746"/>
      <c r="G54" s="761"/>
      <c r="H54" s="761"/>
      <c r="I54" s="761"/>
      <c r="J54" s="761">
        <f>Passeio!L180</f>
        <v>0</v>
      </c>
      <c r="K54" s="761"/>
      <c r="L54" s="761"/>
      <c r="M54" s="769">
        <f t="shared" si="3"/>
        <v>0</v>
      </c>
      <c r="N54" s="745">
        <f t="shared" si="2"/>
        <v>0</v>
      </c>
    </row>
    <row r="55" spans="1:15" ht="21.95" hidden="1" customHeight="1" thickBot="1">
      <c r="A55" s="2572"/>
      <c r="B55" s="2596" t="s">
        <v>1502</v>
      </c>
      <c r="C55" s="2597"/>
      <c r="D55" s="770"/>
      <c r="E55" s="771"/>
      <c r="F55" s="772">
        <f>Dre_Ser_Prelim!AI33</f>
        <v>0</v>
      </c>
      <c r="G55" s="772"/>
      <c r="H55" s="772"/>
      <c r="I55" s="772"/>
      <c r="J55" s="772"/>
      <c r="K55" s="772"/>
      <c r="L55" s="772"/>
      <c r="M55" s="773">
        <f t="shared" si="3"/>
        <v>0</v>
      </c>
      <c r="N55" s="745">
        <f t="shared" si="2"/>
        <v>0</v>
      </c>
    </row>
    <row r="56" spans="1:15" ht="21.95" hidden="1" customHeight="1" thickBot="1">
      <c r="A56" s="2572"/>
      <c r="B56" s="2596" t="s">
        <v>1503</v>
      </c>
      <c r="C56" s="2597"/>
      <c r="D56" s="770"/>
      <c r="E56" s="771"/>
      <c r="F56" s="772">
        <f>Dre_Ser_Prelim!AI34</f>
        <v>0</v>
      </c>
      <c r="G56" s="772">
        <f>Dre_Ser_Prelim!AJ34</f>
        <v>0</v>
      </c>
      <c r="H56" s="772"/>
      <c r="I56" s="772"/>
      <c r="J56" s="772"/>
      <c r="K56" s="772"/>
      <c r="L56" s="772"/>
      <c r="M56" s="773">
        <f t="shared" si="3"/>
        <v>0</v>
      </c>
      <c r="N56" s="745">
        <f t="shared" si="2"/>
        <v>0</v>
      </c>
    </row>
    <row r="57" spans="1:15" ht="21.95" customHeight="1">
      <c r="A57" s="2572"/>
      <c r="B57" s="2581" t="s">
        <v>1504</v>
      </c>
      <c r="C57" s="740" t="s">
        <v>1505</v>
      </c>
      <c r="E57" s="766"/>
      <c r="F57" s="774"/>
      <c r="G57" s="774"/>
      <c r="H57" s="774"/>
      <c r="I57" s="774"/>
      <c r="J57" s="774">
        <f>Passeio!L212</f>
        <v>0</v>
      </c>
      <c r="K57" s="774">
        <f>Ciclovia!J16</f>
        <v>0</v>
      </c>
      <c r="L57" s="774"/>
      <c r="M57" s="753">
        <f t="shared" si="3"/>
        <v>0</v>
      </c>
      <c r="N57" s="745">
        <v>1</v>
      </c>
    </row>
    <row r="58" spans="1:15" ht="21.95" customHeight="1">
      <c r="A58" s="2572"/>
      <c r="B58" s="2582"/>
      <c r="C58" s="747" t="s">
        <v>1506</v>
      </c>
      <c r="E58" s="775"/>
      <c r="F58" s="776"/>
      <c r="G58" s="776"/>
      <c r="H58" s="776"/>
      <c r="I58" s="776"/>
      <c r="J58" s="776">
        <f>Passeio!L213</f>
        <v>0</v>
      </c>
      <c r="K58" s="776">
        <f>Ciclovia!J17</f>
        <v>0</v>
      </c>
      <c r="L58" s="776"/>
      <c r="M58" s="753">
        <f t="shared" si="3"/>
        <v>0</v>
      </c>
      <c r="N58" s="745">
        <v>1</v>
      </c>
    </row>
    <row r="59" spans="1:15" ht="21.95" customHeight="1" thickBot="1">
      <c r="A59" s="2572"/>
      <c r="B59" s="2583"/>
      <c r="C59" s="754" t="s">
        <v>1507</v>
      </c>
      <c r="D59" s="755"/>
      <c r="E59" s="768"/>
      <c r="F59" s="777"/>
      <c r="G59" s="777"/>
      <c r="H59" s="777"/>
      <c r="I59" s="777">
        <f>Pav_Terraplenagem!J16</f>
        <v>0</v>
      </c>
      <c r="J59" s="777">
        <f>Passeio!L214</f>
        <v>0</v>
      </c>
      <c r="K59" s="777">
        <f>Ciclovia!J18</f>
        <v>0</v>
      </c>
      <c r="L59" s="777"/>
      <c r="M59" s="769">
        <f t="shared" si="3"/>
        <v>0</v>
      </c>
      <c r="N59" s="745">
        <v>1</v>
      </c>
    </row>
    <row r="60" spans="1:15" ht="21.95" customHeight="1">
      <c r="A60" s="2572"/>
      <c r="B60" s="2581" t="s">
        <v>1508</v>
      </c>
      <c r="C60" s="740" t="s">
        <v>1505</v>
      </c>
      <c r="E60" s="749"/>
      <c r="F60" s="776"/>
      <c r="G60" s="776"/>
      <c r="H60" s="776"/>
      <c r="I60" s="776"/>
      <c r="J60" s="776">
        <f>Passeio!L215</f>
        <v>0</v>
      </c>
      <c r="K60" s="776">
        <f>Ciclovia!J19</f>
        <v>0</v>
      </c>
      <c r="L60" s="776"/>
      <c r="M60" s="753">
        <f t="shared" si="3"/>
        <v>0</v>
      </c>
      <c r="N60" s="745">
        <v>1</v>
      </c>
    </row>
    <row r="61" spans="1:15" ht="21.95" customHeight="1">
      <c r="A61" s="2572"/>
      <c r="B61" s="2582"/>
      <c r="C61" s="747" t="s">
        <v>1506</v>
      </c>
      <c r="E61" s="749"/>
      <c r="F61" s="776"/>
      <c r="G61" s="776"/>
      <c r="H61" s="776"/>
      <c r="I61" s="776"/>
      <c r="J61" s="776">
        <f>Passeio!L216</f>
        <v>0</v>
      </c>
      <c r="K61" s="776">
        <f>Ciclovia!J20</f>
        <v>0</v>
      </c>
      <c r="L61" s="776"/>
      <c r="M61" s="753">
        <f t="shared" si="3"/>
        <v>0</v>
      </c>
      <c r="N61" s="745">
        <v>1</v>
      </c>
    </row>
    <row r="62" spans="1:15" ht="21.95" customHeight="1" thickBot="1">
      <c r="A62" s="2572"/>
      <c r="B62" s="2583"/>
      <c r="C62" s="754" t="s">
        <v>1507</v>
      </c>
      <c r="D62" s="755"/>
      <c r="E62" s="756"/>
      <c r="F62" s="777"/>
      <c r="G62" s="777"/>
      <c r="H62" s="777"/>
      <c r="I62" s="777">
        <f>Pav_Terraplenagem!J19</f>
        <v>0</v>
      </c>
      <c r="J62" s="777">
        <f>Passeio!L217</f>
        <v>0</v>
      </c>
      <c r="K62" s="777">
        <f>Ciclovia!J21</f>
        <v>0</v>
      </c>
      <c r="L62" s="777"/>
      <c r="M62" s="769">
        <f t="shared" si="3"/>
        <v>0</v>
      </c>
      <c r="N62" s="745">
        <v>1</v>
      </c>
    </row>
    <row r="63" spans="1:15" ht="21.95" customHeight="1">
      <c r="A63" s="2572"/>
      <c r="B63" s="2584" t="s">
        <v>1509</v>
      </c>
      <c r="C63" s="740" t="s">
        <v>1510</v>
      </c>
      <c r="D63" s="759"/>
      <c r="E63" s="760"/>
      <c r="F63" s="774"/>
      <c r="G63" s="774"/>
      <c r="H63" s="774"/>
      <c r="I63" s="774">
        <f>Pav_Terraplenagem!J20</f>
        <v>0</v>
      </c>
      <c r="J63" s="774">
        <f>Passeio!L218</f>
        <v>0</v>
      </c>
      <c r="K63" s="776">
        <f>Ciclovia!J22</f>
        <v>0</v>
      </c>
      <c r="L63" s="774"/>
      <c r="M63" s="767">
        <f t="shared" si="3"/>
        <v>0</v>
      </c>
      <c r="N63" s="745">
        <v>1</v>
      </c>
    </row>
    <row r="64" spans="1:15" ht="21.95" customHeight="1">
      <c r="A64" s="2572"/>
      <c r="B64" s="2585"/>
      <c r="C64" s="747" t="s">
        <v>1505</v>
      </c>
      <c r="E64" s="749"/>
      <c r="F64" s="776"/>
      <c r="G64" s="776"/>
      <c r="H64" s="776"/>
      <c r="I64" s="776"/>
      <c r="J64" s="776">
        <f>Passeio!L219</f>
        <v>0</v>
      </c>
      <c r="K64" s="776">
        <f>Ciclovia!J23</f>
        <v>0</v>
      </c>
      <c r="L64" s="776"/>
      <c r="M64" s="753">
        <f t="shared" si="3"/>
        <v>0</v>
      </c>
      <c r="N64" s="745">
        <v>1</v>
      </c>
    </row>
    <row r="65" spans="1:16" ht="21.95" customHeight="1">
      <c r="A65" s="2572"/>
      <c r="B65" s="2585"/>
      <c r="C65" s="747" t="s">
        <v>1506</v>
      </c>
      <c r="E65" s="775"/>
      <c r="F65" s="776"/>
      <c r="G65" s="776"/>
      <c r="H65" s="776"/>
      <c r="I65" s="776"/>
      <c r="J65" s="776">
        <f>Passeio!L220</f>
        <v>0</v>
      </c>
      <c r="K65" s="776">
        <f>Ciclovia!J24</f>
        <v>0</v>
      </c>
      <c r="L65" s="776"/>
      <c r="M65" s="753">
        <f t="shared" si="3"/>
        <v>0</v>
      </c>
      <c r="N65" s="745">
        <v>1</v>
      </c>
    </row>
    <row r="66" spans="1:16" ht="21.95" customHeight="1" thickBot="1">
      <c r="A66" s="2572"/>
      <c r="B66" s="2586"/>
      <c r="C66" s="754" t="s">
        <v>1507</v>
      </c>
      <c r="D66" s="755"/>
      <c r="E66" s="768"/>
      <c r="F66" s="777"/>
      <c r="G66" s="777"/>
      <c r="H66" s="777"/>
      <c r="I66" s="777">
        <f>Pav_Terraplenagem!J23</f>
        <v>0</v>
      </c>
      <c r="J66" s="777">
        <f>Passeio!L221</f>
        <v>0</v>
      </c>
      <c r="K66" s="777">
        <f>Ciclovia!J25</f>
        <v>0</v>
      </c>
      <c r="L66" s="777"/>
      <c r="M66" s="769">
        <f t="shared" si="3"/>
        <v>0</v>
      </c>
      <c r="N66" s="745">
        <v>1</v>
      </c>
    </row>
    <row r="67" spans="1:16" ht="21.95" hidden="1" customHeight="1">
      <c r="A67" s="2572"/>
      <c r="B67" s="2584" t="s">
        <v>1511</v>
      </c>
      <c r="C67" s="747" t="s">
        <v>1512</v>
      </c>
      <c r="E67" s="749"/>
      <c r="F67" s="778"/>
      <c r="G67" s="778"/>
      <c r="H67" s="778"/>
      <c r="I67" s="778"/>
      <c r="J67" s="778"/>
      <c r="K67" s="778"/>
      <c r="L67" s="778"/>
      <c r="M67" s="779"/>
      <c r="N67" s="780"/>
    </row>
    <row r="68" spans="1:16" ht="21.95" hidden="1" customHeight="1">
      <c r="A68" s="2572"/>
      <c r="B68" s="2585"/>
      <c r="C68" s="747" t="s">
        <v>1513</v>
      </c>
      <c r="D68" s="781"/>
      <c r="E68" s="782"/>
      <c r="F68" s="778"/>
      <c r="G68" s="783"/>
      <c r="H68" s="783"/>
      <c r="I68" s="783"/>
      <c r="J68" s="783"/>
      <c r="K68" s="783"/>
      <c r="L68" s="783"/>
      <c r="M68" s="784"/>
      <c r="N68" s="780"/>
    </row>
    <row r="69" spans="1:16" ht="21.95" hidden="1" customHeight="1">
      <c r="A69" s="2572"/>
      <c r="B69" s="2585"/>
      <c r="C69" s="763" t="s">
        <v>1514</v>
      </c>
      <c r="E69" s="749"/>
      <c r="F69" s="785">
        <f t="shared" ref="F69:K69" si="8">F50+F52</f>
        <v>0</v>
      </c>
      <c r="G69" s="752">
        <f t="shared" si="8"/>
        <v>0</v>
      </c>
      <c r="H69" s="752">
        <f t="shared" si="8"/>
        <v>0</v>
      </c>
      <c r="I69" s="752">
        <f t="shared" si="8"/>
        <v>0</v>
      </c>
      <c r="J69" s="752">
        <f t="shared" si="8"/>
        <v>0</v>
      </c>
      <c r="K69" s="752">
        <f t="shared" si="8"/>
        <v>0</v>
      </c>
      <c r="L69" s="752"/>
      <c r="M69" s="751">
        <f t="shared" ref="M69:M75" si="9">ROUND(SUM(F69:L69),2)</f>
        <v>0</v>
      </c>
      <c r="N69" s="745">
        <f t="shared" ref="N69:N75" si="10">SUM(F69:M69)</f>
        <v>0</v>
      </c>
    </row>
    <row r="70" spans="1:16" ht="21.95" hidden="1" customHeight="1">
      <c r="A70" s="2572"/>
      <c r="B70" s="2585"/>
      <c r="C70" s="763" t="s">
        <v>1515</v>
      </c>
      <c r="F70" s="752">
        <f t="shared" ref="F70:K70" si="11">F69-F71</f>
        <v>0</v>
      </c>
      <c r="G70" s="752">
        <f t="shared" si="11"/>
        <v>0</v>
      </c>
      <c r="H70" s="752">
        <f t="shared" si="11"/>
        <v>0</v>
      </c>
      <c r="I70" s="752">
        <f t="shared" si="11"/>
        <v>0</v>
      </c>
      <c r="J70" s="752">
        <f t="shared" si="11"/>
        <v>0</v>
      </c>
      <c r="K70" s="752">
        <f t="shared" si="11"/>
        <v>0</v>
      </c>
      <c r="L70" s="752"/>
      <c r="M70" s="751">
        <f t="shared" si="9"/>
        <v>0</v>
      </c>
      <c r="N70" s="745">
        <f t="shared" si="10"/>
        <v>0</v>
      </c>
      <c r="P70" s="787"/>
    </row>
    <row r="71" spans="1:16" ht="21.95" hidden="1" customHeight="1">
      <c r="A71" s="2572"/>
      <c r="B71" s="2585"/>
      <c r="C71" s="747" t="s">
        <v>1516</v>
      </c>
      <c r="D71" s="746"/>
      <c r="E71" s="746"/>
      <c r="F71" s="752">
        <f t="shared" ref="F71:K71" si="12">IF(F67="SIM",F69,0)</f>
        <v>0</v>
      </c>
      <c r="G71" s="752">
        <f t="shared" si="12"/>
        <v>0</v>
      </c>
      <c r="H71" s="752">
        <f t="shared" si="12"/>
        <v>0</v>
      </c>
      <c r="I71" s="752">
        <f t="shared" si="12"/>
        <v>0</v>
      </c>
      <c r="J71" s="752">
        <f t="shared" si="12"/>
        <v>0</v>
      </c>
      <c r="K71" s="752">
        <f t="shared" si="12"/>
        <v>0</v>
      </c>
      <c r="L71" s="752"/>
      <c r="M71" s="753">
        <f t="shared" si="9"/>
        <v>0</v>
      </c>
      <c r="N71" s="745">
        <f t="shared" si="10"/>
        <v>0</v>
      </c>
      <c r="P71" s="787"/>
    </row>
    <row r="72" spans="1:16" ht="32.1" hidden="1" customHeight="1">
      <c r="A72" s="2572"/>
      <c r="B72" s="2585"/>
      <c r="C72" s="747" t="s">
        <v>1517</v>
      </c>
      <c r="E72" s="749"/>
      <c r="F72" s="752">
        <f t="shared" ref="F72:K72" si="13">IF(F67="SIM",F69,0)</f>
        <v>0</v>
      </c>
      <c r="G72" s="752">
        <f t="shared" si="13"/>
        <v>0</v>
      </c>
      <c r="H72" s="752">
        <f t="shared" si="13"/>
        <v>0</v>
      </c>
      <c r="I72" s="752">
        <f t="shared" si="13"/>
        <v>0</v>
      </c>
      <c r="J72" s="752">
        <f t="shared" si="13"/>
        <v>0</v>
      </c>
      <c r="K72" s="752">
        <f t="shared" si="13"/>
        <v>0</v>
      </c>
      <c r="L72" s="752"/>
      <c r="M72" s="753">
        <f t="shared" si="9"/>
        <v>0</v>
      </c>
      <c r="N72" s="745">
        <f t="shared" si="10"/>
        <v>0</v>
      </c>
      <c r="O72" s="764"/>
    </row>
    <row r="73" spans="1:16" ht="21.95" hidden="1" customHeight="1">
      <c r="A73" s="2572"/>
      <c r="B73" s="2585"/>
      <c r="C73" s="747" t="s">
        <v>1518</v>
      </c>
      <c r="E73" s="749"/>
      <c r="F73" s="752">
        <f t="shared" ref="F73:K73" si="14">IF(F68="SIM",F69,0)</f>
        <v>0</v>
      </c>
      <c r="G73" s="752">
        <f t="shared" si="14"/>
        <v>0</v>
      </c>
      <c r="H73" s="752">
        <f t="shared" si="14"/>
        <v>0</v>
      </c>
      <c r="I73" s="752">
        <f t="shared" si="14"/>
        <v>0</v>
      </c>
      <c r="J73" s="752">
        <f t="shared" si="14"/>
        <v>0</v>
      </c>
      <c r="K73" s="752">
        <f t="shared" si="14"/>
        <v>0</v>
      </c>
      <c r="L73" s="752"/>
      <c r="M73" s="753">
        <f t="shared" si="9"/>
        <v>0</v>
      </c>
      <c r="N73" s="745">
        <f t="shared" si="10"/>
        <v>0</v>
      </c>
      <c r="P73" s="787"/>
    </row>
    <row r="74" spans="1:16" ht="21.95" hidden="1" customHeight="1" thickBot="1">
      <c r="A74" s="2572"/>
      <c r="B74" s="2586"/>
      <c r="C74" s="754" t="s">
        <v>1519</v>
      </c>
      <c r="D74" s="755"/>
      <c r="E74" s="768"/>
      <c r="F74" s="761">
        <f t="shared" ref="F74:K74" si="15">IF(F73=0,F69,0)</f>
        <v>0</v>
      </c>
      <c r="G74" s="761">
        <f t="shared" si="15"/>
        <v>0</v>
      </c>
      <c r="H74" s="761">
        <f t="shared" si="15"/>
        <v>0</v>
      </c>
      <c r="I74" s="761">
        <f t="shared" si="15"/>
        <v>0</v>
      </c>
      <c r="J74" s="761">
        <f t="shared" si="15"/>
        <v>0</v>
      </c>
      <c r="K74" s="761">
        <f t="shared" si="15"/>
        <v>0</v>
      </c>
      <c r="L74" s="761"/>
      <c r="M74" s="769">
        <f t="shared" si="9"/>
        <v>0</v>
      </c>
      <c r="N74" s="745">
        <f t="shared" si="10"/>
        <v>0</v>
      </c>
    </row>
    <row r="75" spans="1:16" ht="21.95" hidden="1" customHeight="1" thickBot="1">
      <c r="A75" s="2572"/>
      <c r="B75" s="2587" t="s">
        <v>1520</v>
      </c>
      <c r="C75" s="2588"/>
      <c r="D75" s="770"/>
      <c r="E75" s="771"/>
      <c r="F75" s="788">
        <f t="shared" ref="F75:K75" si="16">(F66+F61+F59)*1</f>
        <v>0</v>
      </c>
      <c r="G75" s="788">
        <f t="shared" si="16"/>
        <v>0</v>
      </c>
      <c r="H75" s="788">
        <f t="shared" si="16"/>
        <v>0</v>
      </c>
      <c r="I75" s="788">
        <f t="shared" si="16"/>
        <v>0</v>
      </c>
      <c r="J75" s="788">
        <f t="shared" si="16"/>
        <v>0</v>
      </c>
      <c r="K75" s="788">
        <f t="shared" si="16"/>
        <v>0</v>
      </c>
      <c r="L75" s="788"/>
      <c r="M75" s="789">
        <f t="shared" si="9"/>
        <v>0</v>
      </c>
      <c r="N75" s="745">
        <f t="shared" si="10"/>
        <v>0</v>
      </c>
      <c r="P75" s="787"/>
    </row>
    <row r="76" spans="1:16" ht="50.1" customHeight="1" thickBot="1">
      <c r="A76" s="2573"/>
      <c r="B76" s="2589" t="s">
        <v>1400</v>
      </c>
      <c r="C76" s="2590"/>
      <c r="D76" s="790"/>
      <c r="E76" s="791"/>
      <c r="F76" s="792"/>
      <c r="G76" s="792"/>
      <c r="H76" s="792"/>
      <c r="I76" s="792"/>
      <c r="J76" s="792"/>
      <c r="K76" s="792"/>
      <c r="L76" s="792"/>
      <c r="M76" s="793"/>
      <c r="N76" s="794">
        <v>1</v>
      </c>
    </row>
    <row r="77" spans="1:16" ht="19.5" thickTop="1"/>
    <row r="78" spans="1:16" ht="12.75">
      <c r="C78" s="746"/>
      <c r="D78" s="786"/>
      <c r="E78" s="746"/>
      <c r="F78" s="786"/>
      <c r="G78" s="746"/>
      <c r="H78" s="786"/>
      <c r="I78" s="746"/>
      <c r="J78" s="786"/>
      <c r="K78" s="746"/>
      <c r="L78" s="786"/>
      <c r="M78" s="746"/>
      <c r="N78" s="786"/>
    </row>
  </sheetData>
  <autoFilter ref="A1:N76" xr:uid="{00000000-0001-0000-0F00-000000000000}">
    <filterColumn colId="1" showButton="0"/>
    <filterColumn colId="13">
      <customFilters>
        <customFilter operator="notEqual" val=" "/>
      </customFilters>
    </filterColumn>
  </autoFilter>
  <mergeCells count="21">
    <mergeCell ref="B57:B59"/>
    <mergeCell ref="A1:A76"/>
    <mergeCell ref="B1:C1"/>
    <mergeCell ref="B2:B6"/>
    <mergeCell ref="B7:B11"/>
    <mergeCell ref="B12:B16"/>
    <mergeCell ref="B17:B21"/>
    <mergeCell ref="B22:B26"/>
    <mergeCell ref="B27:B31"/>
    <mergeCell ref="B32:B37"/>
    <mergeCell ref="B38:B43"/>
    <mergeCell ref="B44:B48"/>
    <mergeCell ref="B49:B52"/>
    <mergeCell ref="B53:B54"/>
    <mergeCell ref="B55:C55"/>
    <mergeCell ref="B56:C56"/>
    <mergeCell ref="B60:B62"/>
    <mergeCell ref="B63:B66"/>
    <mergeCell ref="B67:B74"/>
    <mergeCell ref="B75:C75"/>
    <mergeCell ref="B76:C76"/>
  </mergeCells>
  <conditionalFormatting sqref="F6:L6 F11:L11 F16:L16 F21:L21 F26:L26 F31:L31 F37:L37 F43:L43">
    <cfRule type="expression" dxfId="95" priority="4">
      <formula>F5&gt;0</formula>
    </cfRule>
  </conditionalFormatting>
  <conditionalFormatting sqref="F6:L6 F11:L11 F16:L16 F21:L21 F26:L26 F31:L31 F37:L37 F43:L48">
    <cfRule type="expression" dxfId="94" priority="3">
      <formula>F6&gt;0</formula>
    </cfRule>
  </conditionalFormatting>
  <conditionalFormatting sqref="I41 L41">
    <cfRule type="expression" dxfId="93" priority="1">
      <formula>I41&gt;0</formula>
    </cfRule>
    <cfRule type="expression" dxfId="92" priority="2">
      <formula>I40&gt;0</formula>
    </cfRule>
  </conditionalFormatting>
  <hyperlinks>
    <hyperlink ref="B1:C1" location="PAINEL!A1" display="TRECHOS" xr:uid="{D99E265D-305C-49B2-A065-6FC31A0A089C}"/>
  </hyperlinks>
  <pageMargins left="0.39370078740157477" right="0.59055118110236215" top="0.39370078740157477" bottom="0.59055118110236227" header="0.31496062992125984" footer="0.31496062992125984"/>
  <pageSetup paperSize="9" scale="70" orientation="landscape" r:id="rId1"/>
  <headerFooter>
    <oddFooter>&amp;C&amp;8Página &amp;P/&amp;N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83E13-0801-4FE5-95BA-D8D41398ADA2}">
  <sheetPr codeName="Planilha6" filterMode="1">
    <tabColor rgb="FF92D050"/>
    <pageSetUpPr fitToPage="1"/>
  </sheetPr>
  <dimension ref="A1:AR1270"/>
  <sheetViews>
    <sheetView showZeros="0" zoomScaleNormal="100" workbookViewId="0"/>
  </sheetViews>
  <sheetFormatPr defaultColWidth="9" defaultRowHeight="12.75"/>
  <cols>
    <col min="1" max="1" width="16.625" style="13" customWidth="1"/>
    <col min="2" max="2" width="15.625" style="11" customWidth="1"/>
    <col min="3" max="3" width="15.625" style="12" hidden="1" customWidth="1"/>
    <col min="4" max="4" width="17.375" style="13" customWidth="1"/>
    <col min="5" max="5" width="90.625" style="14" customWidth="1"/>
    <col min="6" max="6" width="10" style="13" customWidth="1"/>
    <col min="7" max="7" width="8.125" style="13" customWidth="1"/>
    <col min="8" max="9" width="13.75" style="15" hidden="1" customWidth="1"/>
    <col min="10" max="10" width="16.5" style="13" hidden="1" customWidth="1"/>
    <col min="11" max="11" width="16.5" style="13" customWidth="1"/>
    <col min="12" max="13" width="16.5" style="13" hidden="1" customWidth="1"/>
    <col min="14" max="14" width="13.5" style="13" customWidth="1"/>
    <col min="15" max="15" width="13.625" style="13" customWidth="1"/>
    <col min="16" max="18" width="13.625" style="13" hidden="1" customWidth="1"/>
    <col min="19" max="19" width="15.75" style="13" customWidth="1"/>
    <col min="20" max="23" width="15.75" style="13" hidden="1" customWidth="1"/>
    <col min="24" max="24" width="11.875" style="16" customWidth="1"/>
    <col min="25" max="25" width="11.875" style="16" hidden="1" customWidth="1"/>
    <col min="26" max="26" width="11.875" style="16" customWidth="1"/>
    <col min="27" max="29" width="11.875" style="16" hidden="1" customWidth="1"/>
    <col min="30" max="30" width="11.25" style="16" customWidth="1"/>
    <col min="31" max="31" width="23.5" style="241" hidden="1" customWidth="1"/>
    <col min="32" max="32" width="22" style="242" hidden="1" customWidth="1"/>
    <col min="33" max="33" width="22" style="132" hidden="1" customWidth="1"/>
    <col min="34" max="34" width="14.25" style="243" hidden="1" customWidth="1"/>
    <col min="35" max="35" width="29" style="244" hidden="1" customWidth="1"/>
    <col min="36" max="36" width="18.5" style="244" hidden="1" customWidth="1"/>
    <col min="37" max="37" width="13.75" style="244" hidden="1" customWidth="1"/>
    <col min="38" max="38" width="8.75" style="244" customWidth="1"/>
    <col min="39" max="39" width="12.75" style="244" customWidth="1"/>
    <col min="40" max="40" width="22.75" style="244" customWidth="1"/>
    <col min="41" max="44" width="27.5" style="244" customWidth="1"/>
    <col min="45" max="45" width="12.625" style="13" customWidth="1"/>
    <col min="46" max="46" width="13.25" style="13" customWidth="1"/>
    <col min="47" max="50" width="9" style="13" customWidth="1"/>
    <col min="51" max="51" width="9" style="13"/>
    <col min="52" max="52" width="13.375" style="13" customWidth="1"/>
    <col min="53" max="16384" width="9" style="13"/>
  </cols>
  <sheetData>
    <row r="1" spans="1:44" s="20" customFormat="1" ht="26.65" customHeight="1">
      <c r="A1" s="10"/>
      <c r="B1" s="11"/>
      <c r="C1" s="12"/>
      <c r="D1" s="13"/>
      <c r="E1" s="14"/>
      <c r="F1" s="13"/>
      <c r="G1" s="13"/>
      <c r="H1" s="15"/>
      <c r="I1" s="15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6"/>
      <c r="Y1" s="16"/>
      <c r="Z1" s="17"/>
      <c r="AA1" s="17"/>
      <c r="AB1" s="17"/>
      <c r="AC1" s="17"/>
      <c r="AD1" s="17"/>
      <c r="AE1" s="18" t="s">
        <v>0</v>
      </c>
      <c r="AF1" s="19" t="s">
        <v>1</v>
      </c>
      <c r="AH1" s="21" t="s">
        <v>2</v>
      </c>
      <c r="AI1" s="22"/>
      <c r="AJ1" s="22"/>
      <c r="AK1" s="22"/>
      <c r="AL1" s="22"/>
      <c r="AM1" s="22"/>
      <c r="AN1" s="22"/>
      <c r="AO1" s="22"/>
      <c r="AP1" s="22"/>
      <c r="AQ1" s="22"/>
      <c r="AR1" s="22"/>
    </row>
    <row r="2" spans="1:44" s="35" customFormat="1" ht="26.65" customHeight="1">
      <c r="A2" s="23"/>
      <c r="B2" s="24" t="s">
        <v>3516</v>
      </c>
      <c r="C2" s="25"/>
      <c r="D2" s="26"/>
      <c r="E2" s="27"/>
      <c r="F2" s="26"/>
      <c r="G2" s="28"/>
      <c r="H2" s="12"/>
      <c r="I2" s="12"/>
      <c r="J2" s="12"/>
      <c r="K2" s="12"/>
      <c r="L2" s="12"/>
      <c r="M2" s="12"/>
      <c r="N2" s="29" t="s">
        <v>3</v>
      </c>
      <c r="O2" s="30">
        <v>45383</v>
      </c>
      <c r="P2" s="30">
        <v>45383</v>
      </c>
      <c r="Q2" s="30">
        <v>45383</v>
      </c>
      <c r="R2" s="30"/>
      <c r="S2" s="12"/>
      <c r="T2" s="12"/>
      <c r="U2" s="30"/>
      <c r="V2" s="30"/>
      <c r="W2" s="30"/>
      <c r="X2" s="31"/>
      <c r="Y2" s="31"/>
      <c r="Z2" s="32"/>
      <c r="AA2" s="32"/>
      <c r="AB2" s="32"/>
      <c r="AC2" s="32"/>
      <c r="AD2" s="32"/>
      <c r="AE2" s="33" t="s">
        <v>4</v>
      </c>
      <c r="AF2" s="34"/>
      <c r="AH2" s="2477" t="s">
        <v>5</v>
      </c>
      <c r="AI2" s="2477"/>
      <c r="AJ2" s="36" t="s">
        <v>6</v>
      </c>
      <c r="AK2" s="36"/>
    </row>
    <row r="3" spans="1:44" s="35" customFormat="1" ht="26.65" customHeight="1">
      <c r="A3" s="23"/>
      <c r="B3" s="23" t="s">
        <v>3517</v>
      </c>
      <c r="C3" s="25"/>
      <c r="D3" s="26"/>
      <c r="E3" s="27"/>
      <c r="F3" s="26"/>
      <c r="G3" s="28"/>
      <c r="H3" s="12"/>
      <c r="I3" s="12"/>
      <c r="J3" s="12"/>
      <c r="K3" s="12"/>
      <c r="L3" s="12"/>
      <c r="M3" s="12"/>
      <c r="N3" s="29" t="s">
        <v>7</v>
      </c>
      <c r="O3" s="37" t="s">
        <v>8</v>
      </c>
      <c r="P3" s="37" t="s">
        <v>9</v>
      </c>
      <c r="Q3" s="37" t="s">
        <v>8</v>
      </c>
      <c r="R3" s="37"/>
      <c r="S3" s="12"/>
      <c r="T3" s="12"/>
      <c r="U3" s="37"/>
      <c r="V3" s="37"/>
      <c r="W3" s="37"/>
      <c r="X3" s="31"/>
      <c r="Y3" s="31"/>
      <c r="Z3" s="32"/>
      <c r="AA3" s="32"/>
      <c r="AB3" s="32"/>
      <c r="AC3" s="32"/>
      <c r="AD3" s="32"/>
      <c r="AE3" s="33" t="s">
        <v>4</v>
      </c>
      <c r="AF3" s="34"/>
      <c r="AG3" s="38"/>
      <c r="AH3" s="39" t="s">
        <v>10</v>
      </c>
      <c r="AI3" s="40" t="str">
        <f>IF(S15=S1269,"OK","ERRO")</f>
        <v>OK</v>
      </c>
      <c r="AJ3" s="41" t="s">
        <v>11</v>
      </c>
      <c r="AK3" s="40" t="s">
        <v>12</v>
      </c>
    </row>
    <row r="4" spans="1:44" s="35" customFormat="1" ht="26.65" customHeight="1">
      <c r="A4" s="42"/>
      <c r="B4" s="26">
        <v>0</v>
      </c>
      <c r="C4" s="25"/>
      <c r="D4" s="43"/>
      <c r="E4" s="44"/>
      <c r="F4" s="28"/>
      <c r="G4" s="28"/>
      <c r="H4" s="12"/>
      <c r="I4" s="12"/>
      <c r="J4" s="29"/>
      <c r="K4" s="29"/>
      <c r="L4" s="29"/>
      <c r="M4" s="29"/>
      <c r="N4" s="29" t="s">
        <v>13</v>
      </c>
      <c r="O4" s="45">
        <v>1.0676000000000001</v>
      </c>
      <c r="P4" s="45">
        <v>0.79349999999999998</v>
      </c>
      <c r="Q4" s="45">
        <v>1.0676000000000001</v>
      </c>
      <c r="R4" s="45"/>
      <c r="S4" s="12"/>
      <c r="T4" s="12"/>
      <c r="U4" s="12"/>
      <c r="V4" s="12"/>
      <c r="W4" s="12"/>
      <c r="X4" s="31"/>
      <c r="Y4" s="31"/>
      <c r="Z4" s="32"/>
      <c r="AA4" s="32"/>
      <c r="AB4" s="32"/>
      <c r="AC4" s="32"/>
      <c r="AD4" s="32"/>
      <c r="AE4" s="33" t="s">
        <v>4</v>
      </c>
      <c r="AF4" s="34"/>
      <c r="AG4" s="38"/>
      <c r="AH4" s="46"/>
    </row>
    <row r="5" spans="1:44" s="35" customFormat="1" ht="26.65" customHeight="1">
      <c r="B5" s="47"/>
      <c r="C5" s="25"/>
      <c r="D5" s="48"/>
      <c r="E5" s="49"/>
      <c r="F5" s="28"/>
      <c r="G5" s="50"/>
      <c r="H5" s="12"/>
      <c r="I5" s="12"/>
      <c r="J5" s="12"/>
      <c r="K5" s="12"/>
      <c r="L5" s="12"/>
      <c r="M5" s="12"/>
      <c r="N5" s="29" t="s">
        <v>14</v>
      </c>
      <c r="O5" s="45">
        <v>0.64390000000000003</v>
      </c>
      <c r="P5" s="45">
        <v>0.42449999999999999</v>
      </c>
      <c r="Q5" s="45">
        <v>0.64390000000000003</v>
      </c>
      <c r="R5" s="45"/>
      <c r="S5" s="12"/>
      <c r="T5" s="12"/>
      <c r="U5" s="12"/>
      <c r="V5" s="12"/>
      <c r="W5" s="12"/>
      <c r="X5" s="31"/>
      <c r="Y5" s="31"/>
      <c r="AA5" s="32"/>
      <c r="AB5" s="32"/>
      <c r="AC5" s="32"/>
      <c r="AD5" s="32"/>
      <c r="AE5" s="33" t="s">
        <v>4</v>
      </c>
      <c r="AF5" s="34"/>
      <c r="AG5" s="38"/>
      <c r="AH5" s="51" t="s">
        <v>15</v>
      </c>
    </row>
    <row r="6" spans="1:44" s="35" customFormat="1" ht="26.65" customHeight="1">
      <c r="A6" s="23"/>
      <c r="B6" s="52" t="s">
        <v>16</v>
      </c>
      <c r="C6" s="53"/>
      <c r="D6" s="48" t="s">
        <v>3518</v>
      </c>
      <c r="E6" s="54"/>
      <c r="F6" s="55"/>
      <c r="G6" s="55"/>
      <c r="H6" s="12"/>
      <c r="I6" s="12"/>
      <c r="J6" s="12"/>
      <c r="K6" s="12"/>
      <c r="L6" s="12"/>
      <c r="M6" s="12"/>
      <c r="N6" s="29" t="s">
        <v>17</v>
      </c>
      <c r="O6" s="56">
        <v>0.20699999999999999</v>
      </c>
      <c r="P6" s="56">
        <v>0.26739999999999997</v>
      </c>
      <c r="Q6" s="56">
        <v>0.20699999999999999</v>
      </c>
      <c r="R6" s="56"/>
      <c r="S6" s="12"/>
      <c r="T6" s="12"/>
      <c r="U6" s="12"/>
      <c r="V6" s="12"/>
      <c r="W6" s="12"/>
      <c r="X6" s="31"/>
      <c r="Y6" s="31"/>
      <c r="AA6" s="32"/>
      <c r="AB6" s="32"/>
      <c r="AC6" s="32"/>
      <c r="AD6" s="32"/>
      <c r="AE6" s="33" t="s">
        <v>4</v>
      </c>
      <c r="AF6" s="34"/>
      <c r="AG6" s="38"/>
      <c r="AH6" s="33">
        <f>SUM(S19,S20)</f>
        <v>0</v>
      </c>
    </row>
    <row r="7" spans="1:44" s="35" customFormat="1" ht="26.65" customHeight="1">
      <c r="A7" s="23"/>
      <c r="B7" s="52" t="s">
        <v>18</v>
      </c>
      <c r="C7" s="53"/>
      <c r="D7" s="48" t="s">
        <v>3519</v>
      </c>
      <c r="E7" s="54"/>
      <c r="F7" s="57"/>
      <c r="G7" s="57"/>
      <c r="H7" s="12"/>
      <c r="I7" s="12"/>
      <c r="J7" s="12"/>
      <c r="K7" s="12"/>
      <c r="L7" s="12"/>
      <c r="M7" s="12"/>
      <c r="N7" s="29" t="s">
        <v>19</v>
      </c>
      <c r="O7" s="56">
        <v>0.1527</v>
      </c>
      <c r="P7" s="56">
        <v>0.1527</v>
      </c>
      <c r="Q7" s="56">
        <v>0.1527</v>
      </c>
      <c r="R7" s="56"/>
      <c r="S7" s="12"/>
      <c r="T7" s="12"/>
      <c r="U7" s="58" t="s">
        <v>20</v>
      </c>
      <c r="V7" s="59">
        <f>V15-U15</f>
        <v>0</v>
      </c>
      <c r="W7" s="60">
        <f>IFERROR((1-(V15/U15))*(-1),0)</f>
        <v>0</v>
      </c>
      <c r="X7" s="31"/>
      <c r="Y7" s="31"/>
      <c r="AA7" s="32"/>
      <c r="AB7" s="32"/>
      <c r="AC7" s="32"/>
      <c r="AD7" s="32"/>
      <c r="AE7" s="33" t="s">
        <v>4</v>
      </c>
      <c r="AF7" s="34"/>
      <c r="AG7" s="38"/>
      <c r="AH7" s="46"/>
    </row>
    <row r="8" spans="1:44" s="35" customFormat="1" ht="26.65" customHeight="1">
      <c r="A8" s="23"/>
      <c r="B8" s="52" t="s">
        <v>21</v>
      </c>
      <c r="C8" s="53"/>
      <c r="D8" s="48" t="s">
        <v>3520</v>
      </c>
      <c r="E8" s="61"/>
      <c r="F8" s="62"/>
      <c r="G8" s="62"/>
      <c r="H8" s="12"/>
      <c r="I8" s="12"/>
      <c r="J8" s="12"/>
      <c r="K8" s="12"/>
      <c r="L8" s="12"/>
      <c r="M8" s="12"/>
      <c r="N8" s="29" t="s">
        <v>22</v>
      </c>
      <c r="O8" s="56">
        <v>0.27850000000000003</v>
      </c>
      <c r="P8" s="56">
        <v>0.27850000000000003</v>
      </c>
      <c r="Q8" s="56">
        <v>0.27850000000000003</v>
      </c>
      <c r="R8" s="56"/>
      <c r="S8" s="12"/>
      <c r="T8" s="12"/>
      <c r="U8" s="58" t="s">
        <v>23</v>
      </c>
      <c r="V8" s="59" cm="1">
        <f t="array" aca="1" ref="V8" ca="1">IFERROR(SUM(IF(ISNUMBER(L42:L1268),L42:L1268,0)*IF(ISNUMBER(R42:R1268),R42:R1268,0)),0)</f>
        <v>0</v>
      </c>
      <c r="W8" s="60">
        <f ca="1">IFERROR(V8/U15,0)</f>
        <v>0</v>
      </c>
      <c r="X8" s="63"/>
      <c r="Y8" s="63"/>
      <c r="Z8" s="64"/>
      <c r="AA8" s="64"/>
      <c r="AB8" s="64"/>
      <c r="AC8" s="64"/>
      <c r="AD8" s="64"/>
      <c r="AE8" s="33" t="s">
        <v>4</v>
      </c>
      <c r="AF8" s="34"/>
      <c r="AG8" s="38"/>
      <c r="AH8" s="46"/>
      <c r="AM8" s="65"/>
    </row>
    <row r="9" spans="1:44" s="35" customFormat="1" ht="26.65" customHeight="1">
      <c r="A9" s="42"/>
      <c r="B9" s="52"/>
      <c r="C9" s="53"/>
      <c r="D9" s="48"/>
      <c r="E9" s="61"/>
      <c r="F9" s="43"/>
      <c r="G9" s="43"/>
      <c r="H9" s="15"/>
      <c r="I9" s="15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58" t="s">
        <v>24</v>
      </c>
      <c r="V9" s="59" cm="1">
        <f t="array" aca="1" ref="V9" ca="1">IFERROR(SUM(IF(ISNUMBER(M42:M1268),M42:M1268,0)*IF(ISNUMBER(R42:R1268),R42:R1268,0)),0)</f>
        <v>0</v>
      </c>
      <c r="W9" s="60">
        <f ca="1">IFERROR(V9/U15,0)</f>
        <v>0</v>
      </c>
      <c r="X9" s="28"/>
      <c r="Y9" s="28"/>
      <c r="Z9" s="66"/>
      <c r="AA9" s="66"/>
      <c r="AB9" s="66"/>
      <c r="AC9" s="66"/>
      <c r="AD9" s="66"/>
      <c r="AE9" s="33" t="s">
        <v>4</v>
      </c>
      <c r="AF9" s="34"/>
      <c r="AG9" s="38"/>
      <c r="AH9" s="46"/>
    </row>
    <row r="10" spans="1:44" s="35" customFormat="1" ht="26.65" customHeight="1">
      <c r="A10" s="42"/>
      <c r="B10" s="52"/>
      <c r="C10" s="53"/>
      <c r="D10" s="48"/>
      <c r="E10" s="27"/>
      <c r="F10" s="43"/>
      <c r="G10" s="43"/>
      <c r="H10" s="15"/>
      <c r="I10" s="15"/>
      <c r="J10" s="12"/>
      <c r="K10" s="67"/>
      <c r="L10" s="12"/>
      <c r="M10" s="12"/>
      <c r="N10" s="12"/>
      <c r="O10" s="12"/>
      <c r="P10" s="12"/>
      <c r="Q10" s="12"/>
      <c r="R10" s="12"/>
      <c r="S10" s="67" t="e" vm="1">
        <v>#VALUE!</v>
      </c>
      <c r="T10" s="68"/>
      <c r="U10" s="68"/>
      <c r="V10" s="68"/>
      <c r="W10" s="68"/>
      <c r="X10" s="28"/>
      <c r="Y10" s="28"/>
      <c r="Z10" s="66"/>
      <c r="AA10" s="66"/>
      <c r="AB10" s="66"/>
      <c r="AC10" s="66"/>
      <c r="AD10" s="66"/>
      <c r="AE10" s="33" t="s">
        <v>4</v>
      </c>
      <c r="AF10" s="34"/>
      <c r="AG10" s="38"/>
      <c r="AH10" s="46"/>
    </row>
    <row r="11" spans="1:44" s="35" customFormat="1" ht="26.65" customHeight="1">
      <c r="A11" s="69"/>
      <c r="B11" s="70"/>
      <c r="C11" s="71"/>
      <c r="D11" s="26"/>
      <c r="E11" s="72" t="s">
        <v>25</v>
      </c>
      <c r="F11" s="73"/>
      <c r="G11" s="73"/>
      <c r="H11" s="74"/>
      <c r="I11" s="74"/>
      <c r="J11" s="12"/>
      <c r="K11" s="12"/>
      <c r="L11" s="12"/>
      <c r="M11" s="12"/>
      <c r="N11" s="12"/>
      <c r="O11" s="12"/>
      <c r="P11" s="12"/>
      <c r="Q11" s="12"/>
      <c r="R11" s="12"/>
      <c r="S11" s="68"/>
      <c r="T11" s="68"/>
      <c r="U11" s="68"/>
      <c r="V11" s="68"/>
      <c r="W11" s="68"/>
      <c r="X11" s="28"/>
      <c r="Y11" s="28"/>
      <c r="Z11" s="66"/>
      <c r="AA11" s="66"/>
      <c r="AB11" s="66"/>
      <c r="AC11" s="66"/>
      <c r="AD11" s="66"/>
      <c r="AE11" s="33" t="s">
        <v>4</v>
      </c>
      <c r="AF11" s="34"/>
      <c r="AG11" s="38"/>
      <c r="AH11" s="46"/>
    </row>
    <row r="12" spans="1:44" s="35" customFormat="1" ht="26.65" customHeight="1" thickBot="1">
      <c r="A12" s="42"/>
      <c r="B12" s="75"/>
      <c r="C12" s="12"/>
      <c r="D12" s="43"/>
      <c r="E12" s="44"/>
      <c r="F12" s="43"/>
      <c r="G12" s="43"/>
      <c r="H12" s="15"/>
      <c r="I12" s="15"/>
      <c r="J12" s="12"/>
      <c r="K12" s="12"/>
      <c r="L12" s="12"/>
      <c r="M12" s="12"/>
      <c r="N12" s="12"/>
      <c r="O12" s="12"/>
      <c r="P12" s="12"/>
      <c r="Q12" s="12"/>
      <c r="R12" s="12"/>
      <c r="S12" s="76"/>
      <c r="T12" s="76"/>
      <c r="U12" s="76"/>
      <c r="V12" s="76"/>
      <c r="W12" s="76"/>
      <c r="X12" s="28"/>
      <c r="Y12" s="28"/>
      <c r="Z12" s="66"/>
      <c r="AA12" s="66"/>
      <c r="AB12" s="66"/>
      <c r="AC12" s="66"/>
      <c r="AD12" s="66"/>
      <c r="AE12" s="33" t="s">
        <v>4</v>
      </c>
      <c r="AF12" s="34"/>
      <c r="AG12" s="38"/>
      <c r="AH12" s="46"/>
    </row>
    <row r="13" spans="1:44" s="82" customFormat="1" ht="24.95" customHeight="1" thickTop="1">
      <c r="A13" s="69"/>
      <c r="B13" s="2466" t="s">
        <v>26</v>
      </c>
      <c r="C13" s="2468"/>
      <c r="D13" s="2470" t="s">
        <v>27</v>
      </c>
      <c r="E13" s="2471"/>
      <c r="F13" s="2474"/>
      <c r="G13" s="2428" t="s">
        <v>28</v>
      </c>
      <c r="H13" s="2453"/>
      <c r="I13" s="2455"/>
      <c r="J13" s="2452" t="s">
        <v>29</v>
      </c>
      <c r="K13" s="2438"/>
      <c r="L13" s="2442"/>
      <c r="M13" s="2452"/>
      <c r="N13" s="2448"/>
      <c r="O13" s="2458"/>
      <c r="P13" s="2460"/>
      <c r="Q13" s="2462"/>
      <c r="R13" s="77"/>
      <c r="S13" s="2436" t="s">
        <v>30</v>
      </c>
      <c r="T13" s="2430" t="s">
        <v>31</v>
      </c>
      <c r="U13" s="2432" t="s">
        <v>31</v>
      </c>
      <c r="V13" s="2432"/>
      <c r="W13" s="2434"/>
      <c r="X13" s="2438" t="s">
        <v>32</v>
      </c>
      <c r="Y13" s="2464" t="s">
        <v>32</v>
      </c>
      <c r="Z13" s="2476"/>
      <c r="AA13" s="2476"/>
      <c r="AB13" s="2457"/>
      <c r="AC13" s="2457"/>
      <c r="AD13" s="72"/>
      <c r="AE13" s="33" t="s">
        <v>4</v>
      </c>
      <c r="AF13" s="34"/>
      <c r="AG13" s="38"/>
      <c r="AH13" s="78" t="s">
        <v>33</v>
      </c>
      <c r="AI13" s="79" t="s">
        <v>34</v>
      </c>
      <c r="AJ13" s="80" t="s">
        <v>35</v>
      </c>
      <c r="AK13" s="81"/>
    </row>
    <row r="14" spans="1:44" s="82" customFormat="1" ht="24.95" customHeight="1" thickBot="1">
      <c r="A14" s="69"/>
      <c r="B14" s="2467"/>
      <c r="C14" s="2469"/>
      <c r="D14" s="2472"/>
      <c r="E14" s="2473"/>
      <c r="F14" s="2475"/>
      <c r="G14" s="2429"/>
      <c r="H14" s="2454"/>
      <c r="I14" s="2456"/>
      <c r="J14" s="83" t="s">
        <v>36</v>
      </c>
      <c r="K14" s="84" t="s">
        <v>37</v>
      </c>
      <c r="L14" s="85" t="s">
        <v>23</v>
      </c>
      <c r="M14" s="83" t="s">
        <v>24</v>
      </c>
      <c r="N14" s="2449"/>
      <c r="O14" s="2459"/>
      <c r="P14" s="2461"/>
      <c r="Q14" s="2463"/>
      <c r="R14" s="86"/>
      <c r="S14" s="2437"/>
      <c r="T14" s="2431"/>
      <c r="U14" s="87" t="s">
        <v>36</v>
      </c>
      <c r="V14" s="87" t="s">
        <v>37</v>
      </c>
      <c r="W14" s="88" t="s">
        <v>38</v>
      </c>
      <c r="X14" s="2439"/>
      <c r="Y14" s="2465"/>
      <c r="Z14" s="2476"/>
      <c r="AA14" s="2476"/>
      <c r="AB14" s="2457"/>
      <c r="AC14" s="2457"/>
      <c r="AD14" s="72"/>
      <c r="AE14" s="33" t="s">
        <v>4</v>
      </c>
      <c r="AF14" s="34"/>
      <c r="AG14" s="38"/>
      <c r="AH14" s="78" t="s">
        <v>33</v>
      </c>
      <c r="AI14" s="79" t="s">
        <v>34</v>
      </c>
      <c r="AJ14" s="80" t="s">
        <v>35</v>
      </c>
      <c r="AK14" s="81"/>
    </row>
    <row r="15" spans="1:44" s="82" customFormat="1" ht="24.95" customHeight="1" thickTop="1">
      <c r="A15" s="69"/>
      <c r="B15" s="89"/>
      <c r="C15" s="90"/>
      <c r="D15" s="91"/>
      <c r="E15" s="91"/>
      <c r="F15" s="91"/>
      <c r="G15" s="91"/>
      <c r="H15" s="90"/>
      <c r="I15" s="90"/>
      <c r="J15" s="92"/>
      <c r="K15" s="92"/>
      <c r="L15" s="92"/>
      <c r="M15" s="92"/>
      <c r="N15" s="92"/>
      <c r="O15" s="91"/>
      <c r="P15" s="91"/>
      <c r="Q15" s="91"/>
      <c r="R15" s="91"/>
      <c r="S15" s="93">
        <f t="shared" ref="S15:Y15" si="0">SUM(S16:S38)</f>
        <v>3092449.6799999992</v>
      </c>
      <c r="T15" s="93">
        <f t="shared" si="0"/>
        <v>3401198.44</v>
      </c>
      <c r="U15" s="93">
        <f t="shared" si="0"/>
        <v>0</v>
      </c>
      <c r="V15" s="93">
        <f t="shared" si="0"/>
        <v>0</v>
      </c>
      <c r="W15" s="93">
        <f t="shared" si="0"/>
        <v>0</v>
      </c>
      <c r="X15" s="94">
        <f t="shared" si="0"/>
        <v>1</v>
      </c>
      <c r="Y15" s="94">
        <f t="shared" si="0"/>
        <v>1.0000000000000002</v>
      </c>
      <c r="Z15" s="95"/>
      <c r="AA15" s="95"/>
      <c r="AB15" s="96"/>
      <c r="AC15" s="96"/>
      <c r="AD15" s="96"/>
      <c r="AE15" s="33" t="s">
        <v>4</v>
      </c>
      <c r="AF15" s="96"/>
      <c r="AG15" s="38"/>
      <c r="AH15" s="78"/>
      <c r="AI15" s="79"/>
      <c r="AJ15" s="80"/>
      <c r="AK15" s="81"/>
    </row>
    <row r="16" spans="1:44" s="82" customFormat="1" ht="26.65" hidden="1" customHeight="1">
      <c r="B16" s="97">
        <v>0</v>
      </c>
      <c r="C16" s="67"/>
      <c r="D16" s="98"/>
      <c r="E16" s="98"/>
      <c r="F16" s="98"/>
      <c r="G16" s="98"/>
      <c r="H16" s="67"/>
      <c r="I16" s="67"/>
      <c r="J16" s="99"/>
      <c r="K16" s="99"/>
      <c r="L16" s="99"/>
      <c r="M16" s="99"/>
      <c r="N16" s="99"/>
      <c r="O16" s="98"/>
      <c r="P16" s="98"/>
      <c r="Q16" s="98"/>
      <c r="R16" s="98"/>
      <c r="S16" s="100"/>
      <c r="T16" s="100"/>
      <c r="U16" s="100"/>
      <c r="V16" s="100"/>
      <c r="W16" s="100"/>
      <c r="X16" s="101"/>
      <c r="Y16" s="101"/>
      <c r="Z16" s="95"/>
      <c r="AA16" s="95"/>
      <c r="AB16" s="96"/>
      <c r="AC16" s="96"/>
      <c r="AD16" s="96"/>
      <c r="AE16" s="102"/>
      <c r="AF16" s="103"/>
      <c r="AG16" s="38"/>
      <c r="AH16" s="78"/>
      <c r="AI16" s="79"/>
      <c r="AJ16" s="80"/>
      <c r="AK16" s="81"/>
    </row>
    <row r="17" spans="2:41" s="82" customFormat="1" ht="24.95" customHeight="1">
      <c r="B17" s="104">
        <f t="shared" ref="B17:B37" ca="1" si="1">IF(S17=0,0,MAX(OFFSET(B17,-1,0,-AF17,1))+1)</f>
        <v>1</v>
      </c>
      <c r="C17" s="67"/>
      <c r="D17" s="26" t="s">
        <v>39</v>
      </c>
      <c r="E17" s="105"/>
      <c r="F17" s="106"/>
      <c r="G17" s="107" t="str">
        <f>G43</f>
        <v>M2</v>
      </c>
      <c r="H17" s="67"/>
      <c r="I17" s="67"/>
      <c r="J17" s="108">
        <f>J43</f>
        <v>0</v>
      </c>
      <c r="K17" s="108">
        <f>K43</f>
        <v>16</v>
      </c>
      <c r="L17" s="108">
        <f>L43</f>
        <v>16</v>
      </c>
      <c r="M17" s="108">
        <f>M43</f>
        <v>0</v>
      </c>
      <c r="N17" s="108"/>
      <c r="O17" s="68"/>
      <c r="P17" s="109"/>
      <c r="Q17" s="109"/>
      <c r="R17" s="109"/>
      <c r="S17" s="110">
        <f>S42</f>
        <v>101788.53</v>
      </c>
      <c r="T17" s="110">
        <f>T42</f>
        <v>104286.02</v>
      </c>
      <c r="U17" s="110">
        <f>U42</f>
        <v>0</v>
      </c>
      <c r="V17" s="110">
        <f>V42</f>
        <v>0</v>
      </c>
      <c r="W17" s="110">
        <f>W42</f>
        <v>0</v>
      </c>
      <c r="X17" s="111">
        <f t="shared" ref="X17:X37" si="2">IFERROR(S17/ORCAMENTO_VALOR_TOTAL_ND,0)</f>
        <v>3.2915177458926352E-2</v>
      </c>
      <c r="Y17" s="111">
        <f t="shared" ref="Y17:Y37" si="3">IFERROR(T17/ORCAMENTO_VALOR_TOTAL_DE,0)</f>
        <v>3.0661551167828954E-2</v>
      </c>
      <c r="Z17" s="112"/>
      <c r="AA17" s="112"/>
      <c r="AB17" s="113"/>
      <c r="AC17" s="112"/>
      <c r="AD17" s="112"/>
      <c r="AE17" s="114">
        <f t="shared" ref="AE17:AE37" ca="1" si="4">IFERROR(TRUNC(B17,0),0)</f>
        <v>1</v>
      </c>
      <c r="AF17" s="115">
        <v>1</v>
      </c>
      <c r="AG17" s="38"/>
      <c r="AH17" s="116" t="str">
        <f>IF(SUBTOTAL(109,S43:S78)=S17,"OK","ERRO")</f>
        <v>ERRO</v>
      </c>
      <c r="AI17" s="117" t="str">
        <f t="shared" ref="AI17:AI37" si="5">IF(X17=S17/S$1269,"OK","ERRO")</f>
        <v>OK</v>
      </c>
      <c r="AJ17" s="118">
        <f>S_Preliminares!N4</f>
        <v>12</v>
      </c>
      <c r="AK17" s="80"/>
      <c r="AO17" s="119"/>
    </row>
    <row r="18" spans="2:41" s="82" customFormat="1" ht="26.65" hidden="1" customHeight="1">
      <c r="B18" s="104">
        <f t="shared" ca="1" si="1"/>
        <v>0</v>
      </c>
      <c r="C18" s="67"/>
      <c r="D18" s="26" t="s">
        <v>40</v>
      </c>
      <c r="E18" s="68"/>
      <c r="F18" s="106"/>
      <c r="G18" s="107" t="str">
        <f>+G89</f>
        <v>M</v>
      </c>
      <c r="H18" s="120"/>
      <c r="I18" s="120"/>
      <c r="J18" s="121">
        <f>+J89</f>
        <v>0</v>
      </c>
      <c r="K18" s="121">
        <f>+K89</f>
        <v>0</v>
      </c>
      <c r="L18" s="121">
        <f>+L89</f>
        <v>0</v>
      </c>
      <c r="M18" s="121">
        <f>+M89</f>
        <v>0</v>
      </c>
      <c r="N18" s="121"/>
      <c r="O18" s="68"/>
      <c r="P18" s="109"/>
      <c r="Q18" s="109"/>
      <c r="R18" s="109"/>
      <c r="S18" s="110">
        <f>S79</f>
        <v>0</v>
      </c>
      <c r="T18" s="110">
        <f>T79</f>
        <v>0</v>
      </c>
      <c r="U18" s="110">
        <f>U79</f>
        <v>0</v>
      </c>
      <c r="V18" s="110">
        <f>V79</f>
        <v>0</v>
      </c>
      <c r="W18" s="110">
        <f>W79</f>
        <v>0</v>
      </c>
      <c r="X18" s="111">
        <f t="shared" si="2"/>
        <v>0</v>
      </c>
      <c r="Y18" s="111">
        <f t="shared" si="3"/>
        <v>0</v>
      </c>
      <c r="Z18" s="112"/>
      <c r="AA18" s="112"/>
      <c r="AB18" s="113"/>
      <c r="AC18" s="113"/>
      <c r="AD18" s="113"/>
      <c r="AE18" s="114">
        <f t="shared" ca="1" si="4"/>
        <v>0</v>
      </c>
      <c r="AF18" s="115">
        <v>2</v>
      </c>
      <c r="AG18" s="38"/>
      <c r="AH18" s="116" t="str">
        <f>IF(SUBTOTAL(109,S80:S115)=S18,"OK","ERRO")</f>
        <v>OK</v>
      </c>
      <c r="AI18" s="117" t="str">
        <f t="shared" si="5"/>
        <v>OK</v>
      </c>
      <c r="AJ18" s="118" t="e">
        <f>ROUND(SUM(AK80:AK89)/240,0)</f>
        <v>#DIV/0!</v>
      </c>
      <c r="AK18" s="122"/>
    </row>
    <row r="19" spans="2:41" s="82" customFormat="1" ht="26.65" hidden="1" customHeight="1">
      <c r="B19" s="104">
        <f t="shared" ca="1" si="1"/>
        <v>0</v>
      </c>
      <c r="C19" s="67"/>
      <c r="D19" s="26" t="s">
        <v>41</v>
      </c>
      <c r="E19" s="68"/>
      <c r="F19" s="106"/>
      <c r="G19" s="107" t="str">
        <f>G122</f>
        <v>M3</v>
      </c>
      <c r="H19" s="123"/>
      <c r="I19" s="123"/>
      <c r="J19" s="121">
        <f>SUM(J122:J141)+J143</f>
        <v>0</v>
      </c>
      <c r="K19" s="121">
        <f>SUM(K122:K141)+K143</f>
        <v>0</v>
      </c>
      <c r="L19" s="121">
        <f>SUM(L122:L141)+L143</f>
        <v>0</v>
      </c>
      <c r="M19" s="121">
        <f>SUM(M122:M141)+M143</f>
        <v>0</v>
      </c>
      <c r="N19" s="121"/>
      <c r="O19" s="68"/>
      <c r="P19" s="109"/>
      <c r="Q19" s="109"/>
      <c r="R19" s="109"/>
      <c r="S19" s="110">
        <f>S118</f>
        <v>0</v>
      </c>
      <c r="T19" s="110">
        <f>T118</f>
        <v>0</v>
      </c>
      <c r="U19" s="110">
        <f>U118</f>
        <v>0</v>
      </c>
      <c r="V19" s="110">
        <f>V118</f>
        <v>0</v>
      </c>
      <c r="W19" s="110">
        <f>W118</f>
        <v>0</v>
      </c>
      <c r="X19" s="111">
        <f t="shared" si="2"/>
        <v>0</v>
      </c>
      <c r="Y19" s="111">
        <f t="shared" si="3"/>
        <v>0</v>
      </c>
      <c r="Z19" s="112"/>
      <c r="AA19" s="112"/>
      <c r="AB19" s="113"/>
      <c r="AC19" s="113"/>
      <c r="AD19" s="113"/>
      <c r="AE19" s="114">
        <f t="shared" ca="1" si="4"/>
        <v>0</v>
      </c>
      <c r="AF19" s="115">
        <v>3</v>
      </c>
      <c r="AG19" s="38"/>
      <c r="AH19" s="124" t="str">
        <f>IF(SUBTOTAL(109,S119:S202)=S19,"OK","ERRO")</f>
        <v>OK</v>
      </c>
      <c r="AI19" s="117" t="str">
        <f t="shared" si="5"/>
        <v>OK</v>
      </c>
      <c r="AJ19" s="118" t="e">
        <f>ROUND(SUM(AK122:AK143)/240,0)</f>
        <v>#DIV/0!</v>
      </c>
    </row>
    <row r="20" spans="2:41" s="82" customFormat="1" ht="26.65" hidden="1" customHeight="1">
      <c r="B20" s="104">
        <f t="shared" ca="1" si="1"/>
        <v>0</v>
      </c>
      <c r="C20" s="67"/>
      <c r="D20" s="26" t="s">
        <v>42</v>
      </c>
      <c r="E20" s="68"/>
      <c r="F20" s="106"/>
      <c r="G20" s="107" t="str">
        <f>G217</f>
        <v>M</v>
      </c>
      <c r="H20" s="123"/>
      <c r="I20" s="123"/>
      <c r="J20" s="108">
        <f>SUM(J217:J237)+SUM(J256:J262)</f>
        <v>0</v>
      </c>
      <c r="K20" s="108">
        <f>SUM(K217:K237)+SUM(K256:K262)</f>
        <v>0</v>
      </c>
      <c r="L20" s="108">
        <f>SUM(L217:L237)+SUM(L256:L262)</f>
        <v>0</v>
      </c>
      <c r="M20" s="108">
        <f>SUM(M217:M237)+SUM(M256:M262)</f>
        <v>0</v>
      </c>
      <c r="N20" s="108"/>
      <c r="O20" s="68"/>
      <c r="P20" s="109"/>
      <c r="Q20" s="109"/>
      <c r="R20" s="109"/>
      <c r="S20" s="110">
        <f>S204</f>
        <v>0</v>
      </c>
      <c r="T20" s="110">
        <f>T204</f>
        <v>0</v>
      </c>
      <c r="U20" s="110">
        <f>U204</f>
        <v>0</v>
      </c>
      <c r="V20" s="110">
        <f>V204</f>
        <v>0</v>
      </c>
      <c r="W20" s="110">
        <f>W204</f>
        <v>0</v>
      </c>
      <c r="X20" s="111">
        <f t="shared" si="2"/>
        <v>0</v>
      </c>
      <c r="Y20" s="111">
        <f t="shared" si="3"/>
        <v>0</v>
      </c>
      <c r="Z20" s="112"/>
      <c r="AA20" s="112"/>
      <c r="AB20" s="113"/>
      <c r="AC20" s="113"/>
      <c r="AD20" s="113"/>
      <c r="AE20" s="114">
        <f t="shared" ca="1" si="4"/>
        <v>0</v>
      </c>
      <c r="AF20" s="115">
        <v>4</v>
      </c>
      <c r="AG20" s="38"/>
      <c r="AH20" s="116" t="str">
        <f>IF(SUBTOTAL(109,S205:S263)=S20,"OK","ERRO")</f>
        <v>OK</v>
      </c>
      <c r="AI20" s="117" t="str">
        <f t="shared" si="5"/>
        <v>OK</v>
      </c>
      <c r="AJ20" s="118" t="e">
        <f>ROUND(SUM(AK217:AK263)/240,0)</f>
        <v>#DIV/0!</v>
      </c>
    </row>
    <row r="21" spans="2:41" s="82" customFormat="1" ht="26.65" hidden="1" customHeight="1">
      <c r="B21" s="104">
        <f t="shared" ca="1" si="1"/>
        <v>0</v>
      </c>
      <c r="C21" s="67"/>
      <c r="D21" s="26" t="s">
        <v>43</v>
      </c>
      <c r="E21" s="68"/>
      <c r="F21" s="106"/>
      <c r="G21" s="107" t="str">
        <f>+G280</f>
        <v>UN</v>
      </c>
      <c r="H21" s="123"/>
      <c r="I21" s="123"/>
      <c r="J21" s="108">
        <f>SUM(J280:J286)+SUM(J296:J316)</f>
        <v>0</v>
      </c>
      <c r="K21" s="108">
        <f>SUM(K280:K286)+SUM(K296:K316)</f>
        <v>0</v>
      </c>
      <c r="L21" s="108">
        <f>SUM(L280:L286)+SUM(L296:L316)</f>
        <v>0</v>
      </c>
      <c r="M21" s="108">
        <f>SUM(M280:M286)+SUM(M296:M316)</f>
        <v>0</v>
      </c>
      <c r="N21" s="108"/>
      <c r="O21" s="68"/>
      <c r="P21" s="109"/>
      <c r="Q21" s="109"/>
      <c r="R21" s="109"/>
      <c r="S21" s="110">
        <f>S279</f>
        <v>0</v>
      </c>
      <c r="T21" s="110">
        <f>T279</f>
        <v>0</v>
      </c>
      <c r="U21" s="110">
        <f>U279</f>
        <v>0</v>
      </c>
      <c r="V21" s="110">
        <f>V279</f>
        <v>0</v>
      </c>
      <c r="W21" s="110">
        <f>W279</f>
        <v>0</v>
      </c>
      <c r="X21" s="111">
        <f t="shared" si="2"/>
        <v>0</v>
      </c>
      <c r="Y21" s="111">
        <f t="shared" si="3"/>
        <v>0</v>
      </c>
      <c r="Z21" s="112"/>
      <c r="AA21" s="112"/>
      <c r="AB21" s="113"/>
      <c r="AC21" s="113"/>
      <c r="AD21" s="113"/>
      <c r="AE21" s="114">
        <f t="shared" ca="1" si="4"/>
        <v>0</v>
      </c>
      <c r="AF21" s="115">
        <v>5</v>
      </c>
      <c r="AG21" s="38"/>
      <c r="AH21" s="116" t="str">
        <f>IF(SUBTOTAL(109,S280:S328)=S21,"OK","ERRO")</f>
        <v>OK</v>
      </c>
      <c r="AI21" s="117" t="str">
        <f t="shared" si="5"/>
        <v>OK</v>
      </c>
      <c r="AJ21" s="118" t="e">
        <f>ROUND(SUM(AK280:AK306)/240,0)</f>
        <v>#N/A</v>
      </c>
    </row>
    <row r="22" spans="2:41" s="82" customFormat="1" ht="26.65" hidden="1" customHeight="1">
      <c r="B22" s="104">
        <f t="shared" ca="1" si="1"/>
        <v>0</v>
      </c>
      <c r="C22" s="67"/>
      <c r="D22" s="26" t="s">
        <v>44</v>
      </c>
      <c r="E22" s="68"/>
      <c r="F22" s="106"/>
      <c r="G22" s="107" t="str">
        <f>G336</f>
        <v>M3</v>
      </c>
      <c r="H22" s="123"/>
      <c r="I22" s="123"/>
      <c r="J22" s="121">
        <f>SUM(J336:J337)</f>
        <v>0</v>
      </c>
      <c r="K22" s="121">
        <f>SUM(K336:K337)</f>
        <v>0</v>
      </c>
      <c r="L22" s="121">
        <f>SUM(L336:L337)</f>
        <v>0</v>
      </c>
      <c r="M22" s="121">
        <f>SUM(M336:M337)</f>
        <v>0</v>
      </c>
      <c r="N22" s="121"/>
      <c r="O22" s="68"/>
      <c r="P22" s="109"/>
      <c r="Q22" s="109"/>
      <c r="R22" s="109"/>
      <c r="S22" s="110">
        <f>S331</f>
        <v>0</v>
      </c>
      <c r="T22" s="110">
        <f>T331</f>
        <v>0</v>
      </c>
      <c r="U22" s="110">
        <f>U331</f>
        <v>0</v>
      </c>
      <c r="V22" s="110">
        <f>V331</f>
        <v>0</v>
      </c>
      <c r="W22" s="110">
        <f>W331</f>
        <v>0</v>
      </c>
      <c r="X22" s="111">
        <f t="shared" si="2"/>
        <v>0</v>
      </c>
      <c r="Y22" s="111">
        <f t="shared" si="3"/>
        <v>0</v>
      </c>
      <c r="Z22" s="112"/>
      <c r="AA22" s="112"/>
      <c r="AB22" s="113"/>
      <c r="AC22" s="113"/>
      <c r="AD22" s="113"/>
      <c r="AE22" s="114">
        <f t="shared" ca="1" si="4"/>
        <v>0</v>
      </c>
      <c r="AF22" s="115">
        <v>6</v>
      </c>
      <c r="AG22" s="38"/>
      <c r="AH22" s="124" t="str">
        <f>IF(SUBTOTAL(109,S332:S349)=S22,"OK","ERRO")</f>
        <v>OK</v>
      </c>
      <c r="AI22" s="117" t="str">
        <f t="shared" si="5"/>
        <v>OK</v>
      </c>
      <c r="AJ22" s="118"/>
    </row>
    <row r="23" spans="2:41" s="82" customFormat="1" ht="26.65" hidden="1" customHeight="1">
      <c r="B23" s="104">
        <f t="shared" ca="1" si="1"/>
        <v>0</v>
      </c>
      <c r="C23" s="67"/>
      <c r="D23" s="26" t="s">
        <v>45</v>
      </c>
      <c r="E23" s="68"/>
      <c r="F23" s="106"/>
      <c r="G23" s="107" t="str">
        <f>G360</f>
        <v>M3</v>
      </c>
      <c r="H23" s="123"/>
      <c r="I23" s="123"/>
      <c r="J23" s="121">
        <f>SUM(J360:J361)</f>
        <v>0</v>
      </c>
      <c r="K23" s="121">
        <f>SUM(K360:K361)</f>
        <v>0</v>
      </c>
      <c r="L23" s="121">
        <f>SUM(L360:L361)</f>
        <v>0</v>
      </c>
      <c r="M23" s="121">
        <f>SUM(M360:M361)</f>
        <v>0</v>
      </c>
      <c r="N23" s="121"/>
      <c r="O23" s="68"/>
      <c r="P23" s="109"/>
      <c r="Q23" s="109"/>
      <c r="R23" s="109"/>
      <c r="S23" s="110">
        <f>S351</f>
        <v>0</v>
      </c>
      <c r="T23" s="110">
        <f>T351</f>
        <v>0</v>
      </c>
      <c r="U23" s="110">
        <f>U351</f>
        <v>0</v>
      </c>
      <c r="V23" s="110">
        <f>V351</f>
        <v>0</v>
      </c>
      <c r="W23" s="110">
        <f>W351</f>
        <v>0</v>
      </c>
      <c r="X23" s="111">
        <f t="shared" si="2"/>
        <v>0</v>
      </c>
      <c r="Y23" s="111">
        <f t="shared" si="3"/>
        <v>0</v>
      </c>
      <c r="Z23" s="112"/>
      <c r="AA23" s="112"/>
      <c r="AB23" s="113"/>
      <c r="AC23" s="113"/>
      <c r="AD23" s="113"/>
      <c r="AE23" s="114">
        <f t="shared" ca="1" si="4"/>
        <v>0</v>
      </c>
      <c r="AF23" s="115">
        <v>7</v>
      </c>
      <c r="AG23" s="38"/>
      <c r="AH23" s="124" t="str">
        <f>IF(SUBTOTAL(109,S353:S452)=S23,"OK","ERRO")</f>
        <v>OK</v>
      </c>
      <c r="AI23" s="117" t="str">
        <f t="shared" si="5"/>
        <v>OK</v>
      </c>
      <c r="AJ23" s="118" t="e">
        <f>ROUND(AK360/240,0)</f>
        <v>#DIV/0!</v>
      </c>
    </row>
    <row r="24" spans="2:41" s="82" customFormat="1" ht="26.65" hidden="1" customHeight="1">
      <c r="B24" s="104">
        <f t="shared" ca="1" si="1"/>
        <v>0</v>
      </c>
      <c r="C24" s="67"/>
      <c r="D24" s="26" t="s">
        <v>46</v>
      </c>
      <c r="E24" s="68"/>
      <c r="F24" s="106"/>
      <c r="G24" s="107" t="str">
        <f>G456</f>
        <v>M</v>
      </c>
      <c r="H24" s="123"/>
      <c r="I24" s="123"/>
      <c r="J24" s="108">
        <f>Dre_Profunda!H3+Dre_Profunda!H15</f>
        <v>0</v>
      </c>
      <c r="K24" s="108">
        <f>Dre_Profunda!I3+Dre_Profunda!I15</f>
        <v>0</v>
      </c>
      <c r="L24" s="108">
        <f>Dre_Profunda!K3+Dre_Profunda!K15</f>
        <v>0</v>
      </c>
      <c r="M24" s="108">
        <f>Dre_Profunda!L3+Dre_Profunda!L15</f>
        <v>0</v>
      </c>
      <c r="N24" s="108"/>
      <c r="O24" s="68"/>
      <c r="P24" s="109"/>
      <c r="Q24" s="109"/>
      <c r="R24" s="109"/>
      <c r="S24" s="110">
        <f>S455</f>
        <v>0</v>
      </c>
      <c r="T24" s="110">
        <f>T455</f>
        <v>0</v>
      </c>
      <c r="U24" s="110">
        <f>U455</f>
        <v>0</v>
      </c>
      <c r="V24" s="110">
        <f>V455</f>
        <v>0</v>
      </c>
      <c r="W24" s="110">
        <f>W455</f>
        <v>0</v>
      </c>
      <c r="X24" s="111">
        <f t="shared" si="2"/>
        <v>0</v>
      </c>
      <c r="Y24" s="111">
        <f t="shared" si="3"/>
        <v>0</v>
      </c>
      <c r="Z24" s="112"/>
      <c r="AA24" s="112"/>
      <c r="AB24" s="113"/>
      <c r="AC24" s="113"/>
      <c r="AD24" s="113"/>
      <c r="AE24" s="114">
        <f t="shared" ca="1" si="4"/>
        <v>0</v>
      </c>
      <c r="AF24" s="115">
        <v>8</v>
      </c>
      <c r="AG24" s="38"/>
      <c r="AH24" s="116" t="str">
        <f>IF(SUBTOTAL(109,S456:S492)=S24,"OK","ERRO")</f>
        <v>OK</v>
      </c>
      <c r="AI24" s="117" t="str">
        <f t="shared" si="5"/>
        <v>OK</v>
      </c>
      <c r="AJ24" s="118">
        <f>ROUND(AK458/240,0)</f>
        <v>0</v>
      </c>
    </row>
    <row r="25" spans="2:41" s="82" customFormat="1" ht="26.65" hidden="1" customHeight="1">
      <c r="B25" s="104">
        <f t="shared" ca="1" si="1"/>
        <v>0</v>
      </c>
      <c r="C25" s="67"/>
      <c r="D25" s="26" t="s">
        <v>47</v>
      </c>
      <c r="E25" s="68"/>
      <c r="F25" s="106"/>
      <c r="G25" s="107" t="str">
        <f>G506</f>
        <v>M2</v>
      </c>
      <c r="H25" s="123"/>
      <c r="I25" s="123"/>
      <c r="J25" s="108">
        <f>J506</f>
        <v>0</v>
      </c>
      <c r="K25" s="108">
        <f>K506</f>
        <v>0</v>
      </c>
      <c r="L25" s="108">
        <f>L506</f>
        <v>0</v>
      </c>
      <c r="M25" s="108">
        <f>M506</f>
        <v>0</v>
      </c>
      <c r="N25" s="108"/>
      <c r="O25" s="68"/>
      <c r="P25" s="109"/>
      <c r="Q25" s="109"/>
      <c r="R25" s="109"/>
      <c r="S25" s="110">
        <f>S494</f>
        <v>0</v>
      </c>
      <c r="T25" s="110">
        <f>T494</f>
        <v>0</v>
      </c>
      <c r="U25" s="110">
        <f>U494</f>
        <v>0</v>
      </c>
      <c r="V25" s="110">
        <f>V494</f>
        <v>0</v>
      </c>
      <c r="W25" s="110">
        <f>W494</f>
        <v>0</v>
      </c>
      <c r="X25" s="111">
        <f t="shared" si="2"/>
        <v>0</v>
      </c>
      <c r="Y25" s="111">
        <f t="shared" si="3"/>
        <v>0</v>
      </c>
      <c r="Z25" s="112"/>
      <c r="AA25" s="112"/>
      <c r="AB25" s="113"/>
      <c r="AC25" s="113"/>
      <c r="AD25" s="113"/>
      <c r="AE25" s="114">
        <f t="shared" ca="1" si="4"/>
        <v>0</v>
      </c>
      <c r="AF25" s="115">
        <v>9</v>
      </c>
      <c r="AG25" s="38"/>
      <c r="AH25" s="116" t="str">
        <f>IF(SUBTOTAL(109,S495:S568)=S25,"OK","ERRO")</f>
        <v>OK</v>
      </c>
      <c r="AI25" s="117" t="str">
        <f t="shared" si="5"/>
        <v>OK</v>
      </c>
      <c r="AJ25" s="118" t="e">
        <f>ROUND(SUM(AK456:AK465)/240,0)</f>
        <v>#DIV/0!</v>
      </c>
    </row>
    <row r="26" spans="2:41" s="82" customFormat="1" ht="24.95" customHeight="1">
      <c r="B26" s="104">
        <f t="shared" ca="1" si="1"/>
        <v>2</v>
      </c>
      <c r="C26" s="67"/>
      <c r="D26" s="26" t="s">
        <v>48</v>
      </c>
      <c r="E26" s="68"/>
      <c r="F26" s="106"/>
      <c r="G26" s="107" t="str">
        <f>G597</f>
        <v>M2</v>
      </c>
      <c r="H26" s="123"/>
      <c r="I26" s="123"/>
      <c r="J26" s="121">
        <f>J597+J598</f>
        <v>0</v>
      </c>
      <c r="K26" s="121">
        <f>K597+K598</f>
        <v>25860</v>
      </c>
      <c r="L26" s="121">
        <f>L597+L598</f>
        <v>25860</v>
      </c>
      <c r="M26" s="121">
        <f>M597+M598</f>
        <v>0</v>
      </c>
      <c r="N26" s="121"/>
      <c r="O26" s="68"/>
      <c r="P26" s="109"/>
      <c r="Q26" s="109"/>
      <c r="R26" s="109"/>
      <c r="S26" s="110">
        <f>S571</f>
        <v>2889957.2299999995</v>
      </c>
      <c r="T26" s="110">
        <f>T571</f>
        <v>2959263.83</v>
      </c>
      <c r="U26" s="110">
        <f>U571</f>
        <v>0</v>
      </c>
      <c r="V26" s="110">
        <f>V571</f>
        <v>0</v>
      </c>
      <c r="W26" s="110">
        <f>W571</f>
        <v>0</v>
      </c>
      <c r="X26" s="111">
        <f t="shared" si="2"/>
        <v>0.93452037350531758</v>
      </c>
      <c r="Y26" s="111">
        <f t="shared" si="3"/>
        <v>0.87006503213614328</v>
      </c>
      <c r="Z26" s="112"/>
      <c r="AA26" s="112"/>
      <c r="AB26" s="113"/>
      <c r="AC26" s="113"/>
      <c r="AD26" s="113"/>
      <c r="AE26" s="114">
        <f t="shared" ca="1" si="4"/>
        <v>2</v>
      </c>
      <c r="AF26" s="115">
        <v>10</v>
      </c>
      <c r="AG26" s="38"/>
      <c r="AH26" s="124" t="str">
        <f>IF(SUBTOTAL(109,S572:S663)=S26,"OK","ERRO")</f>
        <v>OK</v>
      </c>
      <c r="AI26" s="117" t="str">
        <f t="shared" si="5"/>
        <v>OK</v>
      </c>
      <c r="AJ26" s="118"/>
    </row>
    <row r="27" spans="2:41" s="82" customFormat="1" ht="26.65" hidden="1" customHeight="1">
      <c r="B27" s="104">
        <f t="shared" ca="1" si="1"/>
        <v>0</v>
      </c>
      <c r="C27" s="67"/>
      <c r="D27" s="26" t="s">
        <v>49</v>
      </c>
      <c r="E27" s="68"/>
      <c r="F27" s="106"/>
      <c r="G27" s="107" t="str">
        <f>G671</f>
        <v>M2</v>
      </c>
      <c r="H27" s="123"/>
      <c r="I27" s="123"/>
      <c r="J27" s="108">
        <f>J671</f>
        <v>0</v>
      </c>
      <c r="K27" s="108">
        <f>K671</f>
        <v>0</v>
      </c>
      <c r="L27" s="108">
        <f>L671</f>
        <v>0</v>
      </c>
      <c r="M27" s="108">
        <f>M671</f>
        <v>0</v>
      </c>
      <c r="N27" s="108"/>
      <c r="O27" s="68"/>
      <c r="P27" s="109"/>
      <c r="Q27" s="109"/>
      <c r="R27" s="109"/>
      <c r="S27" s="110">
        <f>S666</f>
        <v>0</v>
      </c>
      <c r="T27" s="110">
        <f>T666</f>
        <v>0</v>
      </c>
      <c r="U27" s="110">
        <f>U666</f>
        <v>0</v>
      </c>
      <c r="V27" s="110">
        <f>V666</f>
        <v>0</v>
      </c>
      <c r="W27" s="110">
        <f>W666</f>
        <v>0</v>
      </c>
      <c r="X27" s="111">
        <f t="shared" si="2"/>
        <v>0</v>
      </c>
      <c r="Y27" s="111">
        <f t="shared" si="3"/>
        <v>0</v>
      </c>
      <c r="Z27" s="112"/>
      <c r="AA27" s="112"/>
      <c r="AB27" s="113"/>
      <c r="AC27" s="113"/>
      <c r="AD27" s="113"/>
      <c r="AE27" s="114">
        <f t="shared" ca="1" si="4"/>
        <v>0</v>
      </c>
      <c r="AF27" s="115">
        <v>11</v>
      </c>
      <c r="AG27" s="38"/>
      <c r="AH27" s="116" t="str">
        <f>IF(SUBTOTAL(109,S667:S717)=S27,"OK","ERRO")</f>
        <v>OK</v>
      </c>
      <c r="AI27" s="117" t="str">
        <f t="shared" si="5"/>
        <v>OK</v>
      </c>
      <c r="AJ27" s="118"/>
    </row>
    <row r="28" spans="2:41" s="82" customFormat="1" ht="26.65" hidden="1" customHeight="1">
      <c r="B28" s="104">
        <f t="shared" ca="1" si="1"/>
        <v>0</v>
      </c>
      <c r="C28" s="67"/>
      <c r="D28" s="26" t="s">
        <v>50</v>
      </c>
      <c r="E28" s="68"/>
      <c r="F28" s="106"/>
      <c r="G28" s="107" t="str">
        <f>G722</f>
        <v>M3</v>
      </c>
      <c r="H28" s="123"/>
      <c r="I28" s="123"/>
      <c r="J28" s="121">
        <f>J722+J724++J727</f>
        <v>0</v>
      </c>
      <c r="K28" s="121">
        <f>K722+K724++K727</f>
        <v>0</v>
      </c>
      <c r="L28" s="121">
        <f>L722+L724++L727</f>
        <v>0</v>
      </c>
      <c r="M28" s="121">
        <f>M722+M724++M727</f>
        <v>0</v>
      </c>
      <c r="N28" s="121"/>
      <c r="O28" s="68"/>
      <c r="P28" s="109"/>
      <c r="Q28" s="109"/>
      <c r="R28" s="109"/>
      <c r="S28" s="110">
        <f>S720</f>
        <v>0</v>
      </c>
      <c r="T28" s="110">
        <f>T720</f>
        <v>0</v>
      </c>
      <c r="U28" s="110">
        <f>U720</f>
        <v>0</v>
      </c>
      <c r="V28" s="110">
        <f>V720</f>
        <v>0</v>
      </c>
      <c r="W28" s="110">
        <f>W720</f>
        <v>0</v>
      </c>
      <c r="X28" s="111">
        <f t="shared" si="2"/>
        <v>0</v>
      </c>
      <c r="Y28" s="111">
        <f t="shared" si="3"/>
        <v>0</v>
      </c>
      <c r="AA28" s="112"/>
      <c r="AB28" s="113"/>
      <c r="AC28" s="113"/>
      <c r="AD28" s="113"/>
      <c r="AE28" s="114">
        <f t="shared" ca="1" si="4"/>
        <v>0</v>
      </c>
      <c r="AF28" s="115">
        <v>12</v>
      </c>
      <c r="AG28" s="38"/>
      <c r="AH28" s="124" t="str">
        <f>IF(SUBTOTAL(109,S721:S742)=S28,"OK","ERRO")</f>
        <v>OK</v>
      </c>
      <c r="AI28" s="117" t="str">
        <f t="shared" si="5"/>
        <v>OK</v>
      </c>
      <c r="AJ28" s="118" t="e">
        <f>ROUND(AK722/240,0)</f>
        <v>#DIV/0!</v>
      </c>
    </row>
    <row r="29" spans="2:41" s="82" customFormat="1" ht="26.65" hidden="1" customHeight="1">
      <c r="B29" s="104">
        <f t="shared" ca="1" si="1"/>
        <v>0</v>
      </c>
      <c r="C29" s="67"/>
      <c r="D29" s="26" t="s">
        <v>51</v>
      </c>
      <c r="E29" s="68"/>
      <c r="F29" s="106"/>
      <c r="G29" s="107" t="str">
        <f>G755</f>
        <v>M2</v>
      </c>
      <c r="H29" s="123"/>
      <c r="I29" s="123"/>
      <c r="J29" s="108">
        <f>J755</f>
        <v>0</v>
      </c>
      <c r="K29" s="108">
        <f>K755</f>
        <v>0</v>
      </c>
      <c r="L29" s="108">
        <f>L755</f>
        <v>0</v>
      </c>
      <c r="M29" s="108">
        <f>M755</f>
        <v>0</v>
      </c>
      <c r="N29" s="108"/>
      <c r="O29" s="68"/>
      <c r="P29" s="109"/>
      <c r="Q29" s="109"/>
      <c r="R29" s="109"/>
      <c r="S29" s="110">
        <f>S745</f>
        <v>0</v>
      </c>
      <c r="T29" s="110">
        <f>T745</f>
        <v>0</v>
      </c>
      <c r="U29" s="110">
        <f>U745</f>
        <v>0</v>
      </c>
      <c r="V29" s="110">
        <f>V745</f>
        <v>0</v>
      </c>
      <c r="W29" s="110">
        <f>W745</f>
        <v>0</v>
      </c>
      <c r="X29" s="111">
        <f t="shared" si="2"/>
        <v>0</v>
      </c>
      <c r="Y29" s="111">
        <f t="shared" si="3"/>
        <v>0</v>
      </c>
      <c r="Z29" s="112"/>
      <c r="AA29" s="112"/>
      <c r="AB29" s="113"/>
      <c r="AC29" s="113"/>
      <c r="AD29" s="113"/>
      <c r="AE29" s="114">
        <f t="shared" ca="1" si="4"/>
        <v>0</v>
      </c>
      <c r="AF29" s="115">
        <v>13</v>
      </c>
      <c r="AG29" s="38"/>
      <c r="AH29" s="116" t="str">
        <f>IF(SUBTOTAL(109,S746:S832)=S29,"OK","ERRO")</f>
        <v>OK</v>
      </c>
      <c r="AI29" s="117" t="str">
        <f t="shared" si="5"/>
        <v>OK</v>
      </c>
      <c r="AJ29" s="118" t="e">
        <f>ROUND(AK746/240,0)</f>
        <v>#DIV/0!</v>
      </c>
      <c r="AM29" s="125"/>
      <c r="AO29" s="125"/>
    </row>
    <row r="30" spans="2:41" s="82" customFormat="1" ht="26.65" hidden="1" customHeight="1">
      <c r="B30" s="104">
        <f t="shared" ca="1" si="1"/>
        <v>0</v>
      </c>
      <c r="C30" s="67"/>
      <c r="D30" s="26" t="s">
        <v>52</v>
      </c>
      <c r="E30" s="105"/>
      <c r="F30" s="106"/>
      <c r="G30" s="107" t="str">
        <f>G836</f>
        <v>M</v>
      </c>
      <c r="H30" s="123"/>
      <c r="I30" s="123"/>
      <c r="J30" s="121">
        <f>SUM(J836:J842)</f>
        <v>0</v>
      </c>
      <c r="K30" s="121">
        <f>SUM(K836:K842)</f>
        <v>0</v>
      </c>
      <c r="L30" s="121">
        <f>SUM(L836:L842)</f>
        <v>0</v>
      </c>
      <c r="M30" s="121">
        <f>SUM(M836:M842)</f>
        <v>0</v>
      </c>
      <c r="N30" s="121"/>
      <c r="O30" s="68"/>
      <c r="P30" s="109"/>
      <c r="Q30" s="109"/>
      <c r="R30" s="109"/>
      <c r="S30" s="110">
        <f>S835</f>
        <v>0</v>
      </c>
      <c r="T30" s="110">
        <f>T835</f>
        <v>0</v>
      </c>
      <c r="U30" s="110">
        <f>U835</f>
        <v>0</v>
      </c>
      <c r="V30" s="110">
        <f>V835</f>
        <v>0</v>
      </c>
      <c r="W30" s="110">
        <f>W835</f>
        <v>0</v>
      </c>
      <c r="X30" s="111">
        <f t="shared" si="2"/>
        <v>0</v>
      </c>
      <c r="Y30" s="111">
        <f t="shared" si="3"/>
        <v>0</v>
      </c>
      <c r="Z30" s="112"/>
      <c r="AA30" s="112"/>
      <c r="AB30" s="113"/>
      <c r="AC30" s="113"/>
      <c r="AD30" s="113"/>
      <c r="AE30" s="114">
        <f t="shared" ca="1" si="4"/>
        <v>0</v>
      </c>
      <c r="AF30" s="115">
        <v>14</v>
      </c>
      <c r="AG30" s="38"/>
      <c r="AH30" s="124" t="str">
        <f>IF(SUBTOTAL(109,S836:S866)=S30,"OK","ERRO")</f>
        <v>OK</v>
      </c>
      <c r="AI30" s="117" t="str">
        <f t="shared" si="5"/>
        <v>OK</v>
      </c>
      <c r="AJ30" s="118">
        <f>ROUND(SUM(AK836:AK842)/240,0)</f>
        <v>0</v>
      </c>
      <c r="AK30" s="80"/>
    </row>
    <row r="31" spans="2:41" s="82" customFormat="1" ht="26.65" hidden="1" customHeight="1">
      <c r="B31" s="104">
        <f t="shared" ca="1" si="1"/>
        <v>0</v>
      </c>
      <c r="C31" s="67"/>
      <c r="D31" s="26" t="s">
        <v>53</v>
      </c>
      <c r="E31" s="68"/>
      <c r="F31" s="106"/>
      <c r="G31" s="107" t="str">
        <f>G876</f>
        <v>M2</v>
      </c>
      <c r="H31" s="123"/>
      <c r="I31" s="123"/>
      <c r="J31" s="108">
        <f>J876</f>
        <v>0</v>
      </c>
      <c r="K31" s="108">
        <f>K876</f>
        <v>0</v>
      </c>
      <c r="L31" s="108">
        <f>L876</f>
        <v>0</v>
      </c>
      <c r="M31" s="108">
        <f>M876</f>
        <v>0</v>
      </c>
      <c r="N31" s="108"/>
      <c r="O31" s="68"/>
      <c r="P31" s="109"/>
      <c r="Q31" s="109"/>
      <c r="R31" s="109"/>
      <c r="S31" s="110">
        <f>S869</f>
        <v>0</v>
      </c>
      <c r="T31" s="110">
        <f>T869</f>
        <v>0</v>
      </c>
      <c r="U31" s="110">
        <f>U869</f>
        <v>0</v>
      </c>
      <c r="V31" s="110">
        <f>V869</f>
        <v>0</v>
      </c>
      <c r="W31" s="110">
        <f>W869</f>
        <v>0</v>
      </c>
      <c r="X31" s="111">
        <f t="shared" si="2"/>
        <v>0</v>
      </c>
      <c r="Y31" s="111">
        <f t="shared" si="3"/>
        <v>0</v>
      </c>
      <c r="Z31" s="112"/>
      <c r="AA31" s="112"/>
      <c r="AB31" s="113"/>
      <c r="AC31" s="113"/>
      <c r="AD31" s="113"/>
      <c r="AE31" s="114">
        <f t="shared" ca="1" si="4"/>
        <v>0</v>
      </c>
      <c r="AF31" s="115">
        <v>15</v>
      </c>
      <c r="AG31" s="38"/>
      <c r="AH31" s="124" t="str">
        <f>IF(SUBTOTAL(109,S870:S915)=S31,"OK","ERRO")</f>
        <v>OK</v>
      </c>
      <c r="AI31" s="117" t="str">
        <f t="shared" si="5"/>
        <v>OK</v>
      </c>
      <c r="AJ31" s="118" t="e">
        <f>ROUND(SUM(AK876:AK880)/240,0)</f>
        <v>#DIV/0!</v>
      </c>
      <c r="AK31" s="122"/>
    </row>
    <row r="32" spans="2:41" s="82" customFormat="1" ht="26.65" hidden="1" customHeight="1">
      <c r="B32" s="104">
        <f t="shared" ca="1" si="1"/>
        <v>0</v>
      </c>
      <c r="C32" s="67"/>
      <c r="D32" s="26" t="s">
        <v>54</v>
      </c>
      <c r="E32" s="68"/>
      <c r="F32" s="106"/>
      <c r="G32" s="107" t="s">
        <v>55</v>
      </c>
      <c r="H32" s="123"/>
      <c r="I32" s="123"/>
      <c r="J32" s="126"/>
      <c r="K32" s="108"/>
      <c r="L32" s="126"/>
      <c r="M32" s="126"/>
      <c r="N32" s="108"/>
      <c r="O32" s="68"/>
      <c r="P32" s="109"/>
      <c r="Q32" s="109"/>
      <c r="R32" s="109"/>
      <c r="S32" s="110">
        <f>S917</f>
        <v>0</v>
      </c>
      <c r="T32" s="110">
        <f>T917</f>
        <v>0</v>
      </c>
      <c r="U32" s="110">
        <f>U917</f>
        <v>0</v>
      </c>
      <c r="V32" s="110">
        <f>V917</f>
        <v>0</v>
      </c>
      <c r="W32" s="110">
        <f>W917</f>
        <v>0</v>
      </c>
      <c r="X32" s="111">
        <f t="shared" si="2"/>
        <v>0</v>
      </c>
      <c r="Y32" s="111">
        <f t="shared" si="3"/>
        <v>0</v>
      </c>
      <c r="Z32" s="112"/>
      <c r="AA32" s="112"/>
      <c r="AB32" s="113"/>
      <c r="AC32" s="113"/>
      <c r="AD32" s="113"/>
      <c r="AE32" s="114">
        <f t="shared" ca="1" si="4"/>
        <v>0</v>
      </c>
      <c r="AF32" s="115">
        <v>16</v>
      </c>
      <c r="AG32" s="38"/>
      <c r="AH32" s="116" t="str">
        <f>IF(SUBTOTAL(109,S918:S958)=S32,"OK","ERRO")</f>
        <v>OK</v>
      </c>
      <c r="AI32" s="117" t="str">
        <f t="shared" si="5"/>
        <v>OK</v>
      </c>
      <c r="AJ32" s="118"/>
      <c r="AK32" s="80"/>
    </row>
    <row r="33" spans="1:44" s="82" customFormat="1" ht="26.65" hidden="1" customHeight="1">
      <c r="B33" s="104">
        <f t="shared" ca="1" si="1"/>
        <v>0</v>
      </c>
      <c r="C33" s="67"/>
      <c r="D33" s="26" t="s">
        <v>56</v>
      </c>
      <c r="E33" s="68"/>
      <c r="F33" s="106"/>
      <c r="G33" s="107" t="s">
        <v>55</v>
      </c>
      <c r="H33" s="123"/>
      <c r="I33" s="123"/>
      <c r="J33" s="126"/>
      <c r="K33" s="108"/>
      <c r="L33" s="126"/>
      <c r="M33" s="126"/>
      <c r="N33" s="108"/>
      <c r="O33" s="68"/>
      <c r="P33" s="109"/>
      <c r="Q33" s="109"/>
      <c r="R33" s="109"/>
      <c r="S33" s="110">
        <f>S961</f>
        <v>0</v>
      </c>
      <c r="T33" s="110">
        <f>T961</f>
        <v>0</v>
      </c>
      <c r="U33" s="110">
        <f>U961</f>
        <v>0</v>
      </c>
      <c r="V33" s="110">
        <f>V961</f>
        <v>0</v>
      </c>
      <c r="W33" s="110">
        <f>W961</f>
        <v>0</v>
      </c>
      <c r="X33" s="111">
        <f t="shared" si="2"/>
        <v>0</v>
      </c>
      <c r="Y33" s="111">
        <f t="shared" si="3"/>
        <v>0</v>
      </c>
      <c r="Z33" s="112"/>
      <c r="AA33" s="112"/>
      <c r="AB33" s="113"/>
      <c r="AC33" s="113"/>
      <c r="AD33" s="113"/>
      <c r="AE33" s="114">
        <f t="shared" ca="1" si="4"/>
        <v>0</v>
      </c>
      <c r="AF33" s="115">
        <v>17</v>
      </c>
      <c r="AG33" s="38"/>
      <c r="AH33" s="116" t="str">
        <f>IF(SUBTOTAL(109,S964:S1115)=S33,"OK","ERRO")</f>
        <v>OK</v>
      </c>
      <c r="AI33" s="117" t="str">
        <f t="shared" si="5"/>
        <v>OK</v>
      </c>
      <c r="AJ33" s="118"/>
      <c r="AK33" s="80"/>
    </row>
    <row r="34" spans="1:44" s="82" customFormat="1" ht="26.65" hidden="1" customHeight="1">
      <c r="B34" s="104">
        <f t="shared" ca="1" si="1"/>
        <v>0</v>
      </c>
      <c r="C34" s="67"/>
      <c r="D34" s="26" t="s">
        <v>57</v>
      </c>
      <c r="E34" s="68"/>
      <c r="F34" s="106"/>
      <c r="G34" s="107" t="s">
        <v>58</v>
      </c>
      <c r="H34" s="67"/>
      <c r="I34" s="67"/>
      <c r="J34" s="121">
        <f>Ciclovia!I2</f>
        <v>0</v>
      </c>
      <c r="K34" s="121">
        <f>Ciclovia!J2</f>
        <v>0</v>
      </c>
      <c r="L34" s="121">
        <f>Ciclovia!L2</f>
        <v>0</v>
      </c>
      <c r="M34" s="121">
        <f>Ciclovia!M2</f>
        <v>0</v>
      </c>
      <c r="N34" s="121"/>
      <c r="O34" s="68"/>
      <c r="P34" s="109"/>
      <c r="Q34" s="109"/>
      <c r="R34" s="109"/>
      <c r="S34" s="110">
        <f>S1118</f>
        <v>0</v>
      </c>
      <c r="T34" s="110">
        <f>T1118</f>
        <v>0</v>
      </c>
      <c r="U34" s="110">
        <f>U1118</f>
        <v>0</v>
      </c>
      <c r="V34" s="110">
        <f>V1118</f>
        <v>0</v>
      </c>
      <c r="W34" s="110">
        <f>W1118</f>
        <v>0</v>
      </c>
      <c r="X34" s="111">
        <f t="shared" si="2"/>
        <v>0</v>
      </c>
      <c r="Y34" s="111">
        <f t="shared" si="3"/>
        <v>0</v>
      </c>
      <c r="Z34" s="112"/>
      <c r="AA34" s="112"/>
      <c r="AB34" s="113"/>
      <c r="AC34" s="113"/>
      <c r="AD34" s="113"/>
      <c r="AE34" s="114">
        <f t="shared" ca="1" si="4"/>
        <v>0</v>
      </c>
      <c r="AF34" s="115">
        <v>18</v>
      </c>
      <c r="AG34" s="38"/>
      <c r="AH34" s="124" t="str">
        <f>IF(SUBTOTAL(109,S1119:S1193)=S34,"OK","ERRO")</f>
        <v>OK</v>
      </c>
      <c r="AI34" s="117" t="str">
        <f t="shared" si="5"/>
        <v>OK</v>
      </c>
      <c r="AJ34" s="118" t="e">
        <f>ROUND(SUM(AK1120:AK1143)/240,0)</f>
        <v>#DIV/0!</v>
      </c>
      <c r="AK34" s="80"/>
    </row>
    <row r="35" spans="1:44" s="82" customFormat="1" ht="26.65" hidden="1" customHeight="1">
      <c r="B35" s="104">
        <f t="shared" ca="1" si="1"/>
        <v>0</v>
      </c>
      <c r="C35" s="67"/>
      <c r="D35" s="26" t="s">
        <v>59</v>
      </c>
      <c r="E35" s="68"/>
      <c r="F35" s="106"/>
      <c r="G35" s="107" t="str">
        <f>G1197</f>
        <v>M2</v>
      </c>
      <c r="H35" s="67"/>
      <c r="I35" s="67"/>
      <c r="J35" s="121">
        <f>SUM(J1197:J1207)</f>
        <v>0</v>
      </c>
      <c r="K35" s="121">
        <f>SUM(K1197:K1207)</f>
        <v>0</v>
      </c>
      <c r="L35" s="121">
        <f>SUM(L1197:L1207)</f>
        <v>0</v>
      </c>
      <c r="M35" s="121">
        <f>SUM(M1197:M1207)</f>
        <v>0</v>
      </c>
      <c r="N35" s="121"/>
      <c r="O35" s="68"/>
      <c r="P35" s="109"/>
      <c r="Q35" s="109"/>
      <c r="R35" s="109"/>
      <c r="S35" s="110">
        <f>S1196</f>
        <v>0</v>
      </c>
      <c r="T35" s="110">
        <f>T1196</f>
        <v>0</v>
      </c>
      <c r="U35" s="110">
        <f>U1196</f>
        <v>0</v>
      </c>
      <c r="V35" s="110">
        <f>V1196</f>
        <v>0</v>
      </c>
      <c r="W35" s="110">
        <f>W1196</f>
        <v>0</v>
      </c>
      <c r="X35" s="111">
        <f t="shared" si="2"/>
        <v>0</v>
      </c>
      <c r="Y35" s="111">
        <f t="shared" si="3"/>
        <v>0</v>
      </c>
      <c r="Z35" s="112"/>
      <c r="AA35" s="112"/>
      <c r="AB35" s="113"/>
      <c r="AC35" s="113"/>
      <c r="AD35" s="113"/>
      <c r="AE35" s="114">
        <f t="shared" ca="1" si="4"/>
        <v>0</v>
      </c>
      <c r="AF35" s="115">
        <v>19</v>
      </c>
      <c r="AG35" s="38"/>
      <c r="AH35" s="116" t="str">
        <f>IF(SUBTOTAL(109,S1197:S1225)=S35,"OK","ERRO")</f>
        <v>OK</v>
      </c>
      <c r="AI35" s="117" t="str">
        <f t="shared" si="5"/>
        <v>OK</v>
      </c>
      <c r="AJ35" s="118"/>
      <c r="AK35" s="80"/>
    </row>
    <row r="36" spans="1:44" s="82" customFormat="1" ht="24.95" customHeight="1">
      <c r="B36" s="104">
        <f t="shared" ca="1" si="1"/>
        <v>3</v>
      </c>
      <c r="C36" s="67"/>
      <c r="D36" s="26" t="s">
        <v>60</v>
      </c>
      <c r="E36" s="105"/>
      <c r="F36" s="106"/>
      <c r="G36" s="107" t="s">
        <v>61</v>
      </c>
      <c r="H36" s="67"/>
      <c r="I36" s="67"/>
      <c r="J36" s="108">
        <f>S_Preliminares!M4</f>
        <v>0</v>
      </c>
      <c r="K36" s="108">
        <f>S_Preliminares!N4</f>
        <v>12</v>
      </c>
      <c r="L36" s="108">
        <f>S_Preliminares!P4</f>
        <v>0</v>
      </c>
      <c r="M36" s="108">
        <f>S_Preliminares!Q4</f>
        <v>0</v>
      </c>
      <c r="N36" s="108"/>
      <c r="O36" s="68"/>
      <c r="P36" s="109"/>
      <c r="Q36" s="109"/>
      <c r="R36" s="109"/>
      <c r="S36" s="110">
        <f>S1227</f>
        <v>100703.92</v>
      </c>
      <c r="T36" s="110">
        <f>T1227</f>
        <v>337648.59</v>
      </c>
      <c r="U36" s="110">
        <f>U1227</f>
        <v>0</v>
      </c>
      <c r="V36" s="110">
        <f>V1227</f>
        <v>0</v>
      </c>
      <c r="W36" s="110">
        <f>W1227</f>
        <v>0</v>
      </c>
      <c r="X36" s="111">
        <f t="shared" si="2"/>
        <v>3.2564449035756018E-2</v>
      </c>
      <c r="Y36" s="111">
        <f t="shared" si="3"/>
        <v>9.9273416696027905E-2</v>
      </c>
      <c r="Z36" s="112"/>
      <c r="AA36" s="112"/>
      <c r="AB36" s="113"/>
      <c r="AC36" s="113"/>
      <c r="AD36" s="113"/>
      <c r="AE36" s="114">
        <f t="shared" ca="1" si="4"/>
        <v>3</v>
      </c>
      <c r="AF36" s="115">
        <v>20</v>
      </c>
      <c r="AG36" s="38"/>
      <c r="AH36" s="116" t="str">
        <f>IF(SUBTOTAL(109,S1228:S1228)=S36,"OK","ERRO")</f>
        <v>OK</v>
      </c>
      <c r="AI36" s="117" t="str">
        <f t="shared" si="5"/>
        <v>OK</v>
      </c>
      <c r="AJ36" s="118"/>
      <c r="AK36" s="122"/>
    </row>
    <row r="37" spans="1:44" s="82" customFormat="1" ht="26.65" hidden="1" customHeight="1">
      <c r="B37" s="104">
        <f t="shared" ca="1" si="1"/>
        <v>0</v>
      </c>
      <c r="C37" s="67"/>
      <c r="D37" s="26" t="s">
        <v>62</v>
      </c>
      <c r="E37" s="68"/>
      <c r="F37" s="106"/>
      <c r="G37" s="107" t="str">
        <f>G1250</f>
        <v>m²</v>
      </c>
      <c r="H37" s="67"/>
      <c r="I37" s="67"/>
      <c r="J37" s="121">
        <f>J1250+J1257</f>
        <v>0</v>
      </c>
      <c r="K37" s="121">
        <f>K1250+K1257</f>
        <v>0</v>
      </c>
      <c r="L37" s="121">
        <f>L1250+L1257</f>
        <v>0</v>
      </c>
      <c r="M37" s="121">
        <f>M1250+M1257</f>
        <v>0</v>
      </c>
      <c r="N37" s="121"/>
      <c r="O37" s="68"/>
      <c r="P37" s="109"/>
      <c r="Q37" s="109"/>
      <c r="R37" s="109"/>
      <c r="S37" s="110">
        <f>S1230</f>
        <v>0</v>
      </c>
      <c r="T37" s="110">
        <f>T1230</f>
        <v>0</v>
      </c>
      <c r="U37" s="110">
        <f>U1230</f>
        <v>0</v>
      </c>
      <c r="V37" s="110">
        <f>V1230</f>
        <v>0</v>
      </c>
      <c r="W37" s="110">
        <f>W1230</f>
        <v>0</v>
      </c>
      <c r="X37" s="111">
        <f t="shared" si="2"/>
        <v>0</v>
      </c>
      <c r="Y37" s="111">
        <f t="shared" si="3"/>
        <v>0</v>
      </c>
      <c r="Z37" s="112"/>
      <c r="AA37" s="112"/>
      <c r="AB37" s="113"/>
      <c r="AC37" s="113"/>
      <c r="AD37" s="113"/>
      <c r="AE37" s="114">
        <f t="shared" ca="1" si="4"/>
        <v>0</v>
      </c>
      <c r="AF37" s="115">
        <v>21</v>
      </c>
      <c r="AG37" s="38"/>
      <c r="AH37" s="124" t="str">
        <f>IF(SUBTOTAL(109,S1231:S1267)=S37,"OK","ERRO")</f>
        <v>OK</v>
      </c>
      <c r="AI37" s="117" t="str">
        <f t="shared" si="5"/>
        <v>OK</v>
      </c>
      <c r="AJ37" s="118"/>
      <c r="AK37" s="80"/>
    </row>
    <row r="38" spans="1:44" s="82" customFormat="1" ht="26.65" hidden="1" customHeight="1">
      <c r="B38" s="98"/>
      <c r="C38" s="67"/>
      <c r="D38" s="26"/>
      <c r="E38" s="68"/>
      <c r="F38" s="106"/>
      <c r="G38" s="127"/>
      <c r="H38" s="67"/>
      <c r="I38" s="67"/>
      <c r="J38" s="121"/>
      <c r="K38" s="121"/>
      <c r="L38" s="121"/>
      <c r="M38" s="121"/>
      <c r="N38" s="121"/>
      <c r="O38" s="109"/>
      <c r="P38" s="109"/>
      <c r="Q38" s="109"/>
      <c r="R38" s="109"/>
      <c r="S38" s="110"/>
      <c r="T38" s="110"/>
      <c r="U38" s="110"/>
      <c r="V38" s="110"/>
      <c r="W38" s="110"/>
      <c r="X38" s="111"/>
      <c r="Y38" s="111"/>
      <c r="Z38" s="112"/>
      <c r="AA38" s="112"/>
      <c r="AB38" s="112"/>
      <c r="AC38" s="112"/>
      <c r="AD38" s="112"/>
      <c r="AE38" s="128"/>
      <c r="AF38" s="112"/>
      <c r="AG38" s="38"/>
      <c r="AH38" s="124"/>
      <c r="AI38" s="117"/>
      <c r="AJ38" s="118"/>
      <c r="AK38" s="80"/>
    </row>
    <row r="39" spans="1:44" s="82" customFormat="1" ht="24.95" customHeight="1" thickBot="1">
      <c r="A39" s="95"/>
      <c r="B39" s="129"/>
      <c r="C39" s="68"/>
      <c r="D39" s="130"/>
      <c r="E39" s="27"/>
      <c r="F39" s="53"/>
      <c r="G39" s="53"/>
      <c r="H39" s="67"/>
      <c r="I39" s="67"/>
      <c r="J39" s="121"/>
      <c r="K39" s="121"/>
      <c r="L39" s="121"/>
      <c r="M39" s="121"/>
      <c r="N39" s="121"/>
      <c r="O39" s="109"/>
      <c r="P39" s="109"/>
      <c r="Q39" s="109"/>
      <c r="R39" s="109"/>
      <c r="S39" s="110"/>
      <c r="T39" s="110"/>
      <c r="U39" s="110"/>
      <c r="V39" s="110"/>
      <c r="W39" s="110"/>
      <c r="X39" s="111"/>
      <c r="Y39" s="111"/>
      <c r="Z39" s="112"/>
      <c r="AA39" s="112"/>
      <c r="AB39" s="112"/>
      <c r="AC39" s="112"/>
      <c r="AD39" s="112"/>
      <c r="AE39" s="128" t="s">
        <v>4</v>
      </c>
      <c r="AF39" s="112"/>
      <c r="AG39" s="38"/>
      <c r="AH39" s="124"/>
      <c r="AI39" s="117"/>
      <c r="AJ39" s="80"/>
      <c r="AK39" s="80"/>
    </row>
    <row r="40" spans="1:44" s="68" customFormat="1" ht="24" customHeight="1" thickTop="1" thickBot="1">
      <c r="A40" s="2448" t="s">
        <v>26</v>
      </c>
      <c r="B40" s="2450" t="s">
        <v>63</v>
      </c>
      <c r="C40" s="2440" t="s">
        <v>64</v>
      </c>
      <c r="D40" s="2448" t="s">
        <v>65</v>
      </c>
      <c r="E40" s="2444" t="s">
        <v>66</v>
      </c>
      <c r="F40" s="2444" t="s">
        <v>67</v>
      </c>
      <c r="G40" s="2428" t="s">
        <v>28</v>
      </c>
      <c r="H40" s="2442" t="s">
        <v>68</v>
      </c>
      <c r="I40" s="2444" t="s">
        <v>69</v>
      </c>
      <c r="J40" s="2452" t="s">
        <v>29</v>
      </c>
      <c r="K40" s="2438"/>
      <c r="L40" s="2442"/>
      <c r="M40" s="2452"/>
      <c r="N40" s="2448" t="s">
        <v>70</v>
      </c>
      <c r="O40" s="2446" t="s">
        <v>71</v>
      </c>
      <c r="P40" s="2430" t="s">
        <v>72</v>
      </c>
      <c r="Q40" s="2432" t="s">
        <v>73</v>
      </c>
      <c r="R40" s="2434" t="s">
        <v>74</v>
      </c>
      <c r="S40" s="2436" t="s">
        <v>75</v>
      </c>
      <c r="T40" s="2430" t="s">
        <v>76</v>
      </c>
      <c r="U40" s="2432" t="s">
        <v>31</v>
      </c>
      <c r="V40" s="2432"/>
      <c r="W40" s="2434"/>
      <c r="X40" s="2438" t="s">
        <v>32</v>
      </c>
      <c r="Y40" s="2440" t="s">
        <v>32</v>
      </c>
      <c r="Z40" s="2438" t="s">
        <v>77</v>
      </c>
      <c r="AA40" s="2442" t="s">
        <v>77</v>
      </c>
      <c r="AB40" s="2444" t="s">
        <v>78</v>
      </c>
      <c r="AC40" s="2428" t="s">
        <v>79</v>
      </c>
      <c r="AD40" s="99"/>
      <c r="AE40" s="131" t="s">
        <v>4</v>
      </c>
      <c r="AF40" s="99"/>
      <c r="AG40" s="132"/>
      <c r="AH40" s="133"/>
      <c r="AI40" s="134" t="s">
        <v>80</v>
      </c>
    </row>
    <row r="41" spans="1:44" s="68" customFormat="1" ht="24" customHeight="1" thickTop="1" thickBot="1">
      <c r="A41" s="2449"/>
      <c r="B41" s="2451"/>
      <c r="C41" s="2441"/>
      <c r="D41" s="2449"/>
      <c r="E41" s="2445"/>
      <c r="F41" s="2445"/>
      <c r="G41" s="2429"/>
      <c r="H41" s="2443"/>
      <c r="I41" s="2445"/>
      <c r="J41" s="83" t="s">
        <v>36</v>
      </c>
      <c r="K41" s="84" t="s">
        <v>37</v>
      </c>
      <c r="L41" s="85" t="s">
        <v>23</v>
      </c>
      <c r="M41" s="83" t="s">
        <v>24</v>
      </c>
      <c r="N41" s="2449"/>
      <c r="O41" s="2447"/>
      <c r="P41" s="2431"/>
      <c r="Q41" s="2433"/>
      <c r="R41" s="2435"/>
      <c r="S41" s="2437"/>
      <c r="T41" s="2431"/>
      <c r="U41" s="87" t="s">
        <v>36</v>
      </c>
      <c r="V41" s="87" t="s">
        <v>37</v>
      </c>
      <c r="W41" s="88" t="s">
        <v>38</v>
      </c>
      <c r="X41" s="2439"/>
      <c r="Y41" s="2441"/>
      <c r="Z41" s="2439"/>
      <c r="AA41" s="2443"/>
      <c r="AB41" s="2445"/>
      <c r="AC41" s="2429"/>
      <c r="AD41" s="99"/>
      <c r="AE41" s="33" t="s">
        <v>4</v>
      </c>
      <c r="AF41" s="99"/>
      <c r="AG41" s="132"/>
      <c r="AH41" s="133"/>
      <c r="AI41" s="134" t="s">
        <v>80</v>
      </c>
    </row>
    <row r="42" spans="1:44" s="105" customFormat="1" ht="24.95" customHeight="1" thickTop="1">
      <c r="A42" s="135">
        <f ca="1">$B$17</f>
        <v>1</v>
      </c>
      <c r="B42" s="136"/>
      <c r="C42" s="137"/>
      <c r="D42" s="138"/>
      <c r="E42" s="139" t="str">
        <f>$D$17</f>
        <v>SERVIÇOS PRELIMINARES</v>
      </c>
      <c r="F42" s="140"/>
      <c r="G42" s="141"/>
      <c r="H42" s="142" t="s">
        <v>81</v>
      </c>
      <c r="I42" s="142" t="s">
        <v>81</v>
      </c>
      <c r="J42" s="143"/>
      <c r="K42" s="143"/>
      <c r="L42" s="143"/>
      <c r="M42" s="143"/>
      <c r="N42" s="143"/>
      <c r="O42" s="144" t="str">
        <f ca="1">CONCATENATE("SUB-TOTAL ",$A42)</f>
        <v>SUB-TOTAL 1</v>
      </c>
      <c r="P42" s="144" t="str">
        <f ca="1">CONCATENATE("SUB-TOTAL ",$A42)</f>
        <v>SUB-TOTAL 1</v>
      </c>
      <c r="Q42" s="144" t="str">
        <f ca="1">CONCATENATE("SUB-TOTAL ",$A42)</f>
        <v>SUB-TOTAL 1</v>
      </c>
      <c r="R42" s="144" t="str">
        <f ca="1">CONCATENATE("SUB-TOTAL ",$A42)</f>
        <v>SUB-TOTAL 1</v>
      </c>
      <c r="S42" s="145">
        <f>SUM(S43:S77)</f>
        <v>101788.53</v>
      </c>
      <c r="T42" s="145">
        <f>SUM(T43:T77)</f>
        <v>104286.02</v>
      </c>
      <c r="U42" s="144">
        <f>SUM(U43:U77)</f>
        <v>0</v>
      </c>
      <c r="V42" s="144">
        <f>SUM(V43:V77)</f>
        <v>0</v>
      </c>
      <c r="W42" s="144">
        <f>SUM(W43:W77)</f>
        <v>0</v>
      </c>
      <c r="X42" s="146">
        <f>$S42/ORCAMENTO_VALOR_TOTAL_ND</f>
        <v>3.2915177458926352E-2</v>
      </c>
      <c r="Y42" s="146">
        <f>$T42/ORCAMENTO_VALOR_TOTAL_DE</f>
        <v>3.0661551167828954E-2</v>
      </c>
      <c r="Z42" s="146"/>
      <c r="AA42" s="146"/>
      <c r="AB42" s="146">
        <f>IFERROR($S42/$S42,0)</f>
        <v>1</v>
      </c>
      <c r="AC42" s="146">
        <f>IFERROR($T42/$T42,0)</f>
        <v>1</v>
      </c>
      <c r="AD42" s="147"/>
      <c r="AE42" s="148">
        <f t="shared" ref="AE42" ca="1" si="6">IF(S42&gt;0,IFERROR(TRUNC(A42,0),0),0)</f>
        <v>1</v>
      </c>
      <c r="AF42" s="149"/>
      <c r="AG42" s="150"/>
      <c r="AH42" s="151">
        <f>S42/S$42</f>
        <v>1</v>
      </c>
      <c r="AK42" s="49"/>
      <c r="AL42" s="49"/>
      <c r="AM42" s="49"/>
      <c r="AN42" s="49"/>
      <c r="AO42" s="49"/>
      <c r="AP42" s="49"/>
      <c r="AQ42" s="49"/>
      <c r="AR42" s="49"/>
    </row>
    <row r="43" spans="1:44" s="49" customFormat="1" ht="39.950000000000003" customHeight="1">
      <c r="A43" s="152">
        <f t="shared" ref="A43:A61" ca="1" si="7">IF(K43&gt;0,A42+0.01,A42)</f>
        <v>1.01</v>
      </c>
      <c r="B43" s="153" t="s">
        <v>82</v>
      </c>
      <c r="C43" s="154" t="str">
        <f>TEXT(B43,"")</f>
        <v>SP/0001</v>
      </c>
      <c r="D43" s="154" t="s">
        <v>3549</v>
      </c>
      <c r="E43" s="155" t="s">
        <v>3544</v>
      </c>
      <c r="F43" s="154"/>
      <c r="G43" s="154" t="s">
        <v>1418</v>
      </c>
      <c r="H43" s="152">
        <v>360.72</v>
      </c>
      <c r="I43" s="152">
        <v>354.66</v>
      </c>
      <c r="J43" s="156"/>
      <c r="K43" s="156">
        <f>S_Preliminares!N3</f>
        <v>16</v>
      </c>
      <c r="L43" s="156">
        <f>IF($K43&gt;$J43,$K43-$J43,0)</f>
        <v>16</v>
      </c>
      <c r="M43" s="156">
        <f>IF($K43&lt;$J43,$J43-$K43,0)</f>
        <v>0</v>
      </c>
      <c r="N43" s="156" t="s">
        <v>83</v>
      </c>
      <c r="O43" s="157" cm="1">
        <f t="array" ref="O43">TRUNC($H43*(1+_xlfn.SWITCH($N43,"BDI 1",$O$6,"BDI 2",$O$7,"BDI 3",$O$8)),2)</f>
        <v>435.38</v>
      </c>
      <c r="P43" s="157" cm="1">
        <f t="array" ref="P43">TRUNC($I43*(1+_xlfn.SWITCH($N43,"BDI 1",$P$6,"BDI 2",$P$7,"BDI 3",$P$8)),2)</f>
        <v>449.49</v>
      </c>
      <c r="Q43" s="157">
        <v>0</v>
      </c>
      <c r="R43" s="157">
        <v>0</v>
      </c>
      <c r="S43" s="156">
        <f>TRUNC($K43*$O43,2)</f>
        <v>6966.08</v>
      </c>
      <c r="T43" s="156">
        <f>TRUNC($K43*$P43,2)</f>
        <v>7191.84</v>
      </c>
      <c r="U43" s="156">
        <f>TRUNC($J43*$R43,2)</f>
        <v>0</v>
      </c>
      <c r="V43" s="156">
        <f>TRUNC($K43*$Q43,2)</f>
        <v>0</v>
      </c>
      <c r="W43" s="156">
        <f>TRUNC(V43-U43,2)</f>
        <v>0</v>
      </c>
      <c r="X43" s="158">
        <f>$S43/ORCAMENTO_VALOR_TOTAL_ND</f>
        <v>2.2526090060744335E-3</v>
      </c>
      <c r="Y43" s="158">
        <f>$T43/ORCAMENTO_VALOR_TOTAL_DE</f>
        <v>2.1145017342769335E-3</v>
      </c>
      <c r="Z43" s="158" cm="1">
        <f t="array" ref="Z43">_xlfn.SWITCH($N43,"BDI 1",$O$6,"BDI 2",$O$7,"BDI 3",$O$8)</f>
        <v>0.20699999999999999</v>
      </c>
      <c r="AA43" s="158" cm="1">
        <f t="array" ref="AA43">_xlfn.SWITCH($N43,"BDI 1",$P$6,"BDI 2",$P$7,"BDI 3",$P$8)</f>
        <v>0.26739999999999997</v>
      </c>
      <c r="AB43" s="158">
        <f ca="1">IFERROR($S43/_xlfn.XLOOKUP($AE43,$B$16:$B$38,$S$16:$S$38),0)</f>
        <v>0</v>
      </c>
      <c r="AC43" s="158">
        <f ca="1">IFERROR($T43/_xlfn.XLOOKUP($AE43,$B$16:$B$38,$T$16:$T$38),0)</f>
        <v>0</v>
      </c>
      <c r="AD43" s="147"/>
      <c r="AE43" s="148">
        <f ca="1">IF(S43&gt;0,IFERROR(TRUNC(A43,0),0),0)</f>
        <v>1</v>
      </c>
      <c r="AF43" s="149"/>
      <c r="AG43" s="150"/>
      <c r="AH43" s="159">
        <f>S43/S$42</f>
        <v>6.8436787524095294E-2</v>
      </c>
      <c r="AI43" s="160"/>
    </row>
    <row r="44" spans="1:44" s="49" customFormat="1" ht="40.15" hidden="1" customHeight="1">
      <c r="A44" s="152">
        <f t="shared" ca="1" si="7"/>
        <v>1.01</v>
      </c>
      <c r="B44" s="153"/>
      <c r="C44" s="154"/>
      <c r="D44" s="154"/>
      <c r="E44" s="161" t="s">
        <v>84</v>
      </c>
      <c r="F44" s="154"/>
      <c r="G44" s="154"/>
      <c r="H44" s="152"/>
      <c r="I44" s="152"/>
      <c r="J44" s="154"/>
      <c r="K44" s="154"/>
      <c r="L44" s="154"/>
      <c r="M44" s="154"/>
      <c r="N44" s="154"/>
      <c r="O44" s="154"/>
      <c r="P44" s="154"/>
      <c r="Q44" s="154"/>
      <c r="R44" s="154"/>
      <c r="S44" s="162"/>
      <c r="T44" s="162"/>
      <c r="U44" s="162"/>
      <c r="V44" s="162"/>
      <c r="W44" s="162"/>
      <c r="X44" s="163"/>
      <c r="Y44" s="163"/>
      <c r="Z44" s="163"/>
      <c r="AA44" s="163"/>
      <c r="AB44" s="163"/>
      <c r="AC44" s="163"/>
      <c r="AD44" s="147"/>
      <c r="AE44" s="148">
        <f t="shared" ref="AE44:AE71" si="8">IF(S44&gt;0,IFERROR(TRUNC(A44,0),0),0)</f>
        <v>0</v>
      </c>
      <c r="AF44" s="149"/>
      <c r="AG44" s="150"/>
      <c r="AH44" s="159"/>
      <c r="AI44" s="160" t="s">
        <v>85</v>
      </c>
      <c r="AK44" s="105"/>
      <c r="AL44" s="105"/>
      <c r="AM44" s="105"/>
      <c r="AN44" s="105"/>
      <c r="AO44" s="105"/>
      <c r="AP44" s="105"/>
      <c r="AQ44" s="105"/>
      <c r="AR44" s="105"/>
    </row>
    <row r="45" spans="1:44" s="49" customFormat="1" ht="39.950000000000003" customHeight="1">
      <c r="A45" s="152">
        <f t="shared" ca="1" si="7"/>
        <v>1.02</v>
      </c>
      <c r="B45" s="153" t="s">
        <v>86</v>
      </c>
      <c r="C45" s="154" t="str">
        <f>TEXT(B45,"0")</f>
        <v>10775</v>
      </c>
      <c r="D45" s="154" t="s">
        <v>3579</v>
      </c>
      <c r="E45" s="155" t="s">
        <v>1435</v>
      </c>
      <c r="F45" s="154"/>
      <c r="G45" s="154" t="s">
        <v>3542</v>
      </c>
      <c r="H45" s="152">
        <v>832.5</v>
      </c>
      <c r="I45" s="152">
        <v>832.5</v>
      </c>
      <c r="J45" s="156"/>
      <c r="K45" s="156">
        <f>S_Preliminares!N8</f>
        <v>12</v>
      </c>
      <c r="L45" s="156">
        <f t="shared" ref="L45:L71" si="9">IF($K45&gt;$J45,$K45-$J45,0)</f>
        <v>12</v>
      </c>
      <c r="M45" s="156">
        <f t="shared" ref="M45:M71" si="10">IF($K45&lt;$J45,$J45-$K45,0)</f>
        <v>0</v>
      </c>
      <c r="N45" s="156" t="s">
        <v>83</v>
      </c>
      <c r="O45" s="157" cm="1">
        <f t="array" ref="O45">TRUNC($H45*(1+_xlfn.SWITCH($N45,"BDI 1",$O$6,"BDI 2",$O$7,"BDI 3",$O$8)),2)</f>
        <v>1004.82</v>
      </c>
      <c r="P45" s="157" cm="1">
        <f t="array" ref="P45">TRUNC($I45*(1+_xlfn.SWITCH($N45,"BDI 1",$P$6,"BDI 2",$P$7,"BDI 3",$P$8)),2)</f>
        <v>1055.1099999999999</v>
      </c>
      <c r="Q45" s="157">
        <v>0</v>
      </c>
      <c r="R45" s="157">
        <f t="shared" ref="R45" si="11">$Q45-($Q45*LICITACAO_DESCONTO)</f>
        <v>0</v>
      </c>
      <c r="S45" s="156">
        <f t="shared" ref="S45:S71" si="12">TRUNC($K45*$O45,2)</f>
        <v>12057.84</v>
      </c>
      <c r="T45" s="156">
        <f t="shared" ref="T45:T71" si="13">TRUNC($K45*$P45,2)</f>
        <v>12661.32</v>
      </c>
      <c r="U45" s="156">
        <f t="shared" ref="U45:U71" si="14">TRUNC($J45*$R45,2)</f>
        <v>0</v>
      </c>
      <c r="V45" s="156">
        <f t="shared" ref="V45:V71" si="15">TRUNC($K45*$Q45,2)</f>
        <v>0</v>
      </c>
      <c r="W45" s="156">
        <f t="shared" ref="W45:W71" si="16">TRUNC(V45-U45,2)</f>
        <v>0</v>
      </c>
      <c r="X45" s="158">
        <f t="shared" ref="X45" si="17">$S45/ORCAMENTO_VALOR_TOTAL_ND</f>
        <v>3.8991224588010116E-3</v>
      </c>
      <c r="Y45" s="158">
        <f t="shared" ref="Y45" si="18">$T45/ORCAMENTO_VALOR_TOTAL_DE</f>
        <v>3.7226054943151161E-3</v>
      </c>
      <c r="Z45" s="158" cm="1">
        <f t="array" ref="Z45">_xlfn.SWITCH($N45,"BDI 1",$O$6,"BDI 2",$O$7,"BDI 3",$O$8)</f>
        <v>0.20699999999999999</v>
      </c>
      <c r="AA45" s="158" cm="1">
        <f t="array" ref="AA45">_xlfn.SWITCH($N45,"BDI 1",$P$6,"BDI 2",$P$7,"BDI 3",$P$8)</f>
        <v>0.26739999999999997</v>
      </c>
      <c r="AB45" s="158">
        <f t="shared" ref="AB45:AB71" ca="1" si="19">IFERROR($S45/_xlfn.XLOOKUP($AE45,$B$16:$B$38,$S$16:$S$38),0)</f>
        <v>0</v>
      </c>
      <c r="AC45" s="158">
        <f t="shared" ref="AC45:AC71" ca="1" si="20">IFERROR($T45/_xlfn.XLOOKUP($AE45,$B$16:$B$38,$T$16:$T$38),0)</f>
        <v>0</v>
      </c>
      <c r="AD45" s="147"/>
      <c r="AE45" s="148">
        <f t="shared" ca="1" si="8"/>
        <v>1</v>
      </c>
      <c r="AF45" s="149"/>
      <c r="AG45" s="150"/>
      <c r="AH45" s="159">
        <f t="shared" ref="AH45:AH71" si="21">S45/S$42</f>
        <v>0.11845971250395305</v>
      </c>
      <c r="AI45" s="160"/>
    </row>
    <row r="46" spans="1:44" s="49" customFormat="1" ht="39.950000000000003" customHeight="1">
      <c r="A46" s="152">
        <f t="shared" ca="1" si="7"/>
        <v>1.03</v>
      </c>
      <c r="B46" s="153" t="s">
        <v>87</v>
      </c>
      <c r="C46" s="154" t="str">
        <f t="shared" ref="C46:C71" si="22">TEXT(B46,"0")</f>
        <v>10776</v>
      </c>
      <c r="D46" s="154" t="s">
        <v>3579</v>
      </c>
      <c r="E46" s="155" t="s">
        <v>1440</v>
      </c>
      <c r="F46" s="154"/>
      <c r="G46" s="154" t="s">
        <v>3542</v>
      </c>
      <c r="H46" s="152">
        <v>650.39</v>
      </c>
      <c r="I46" s="152">
        <v>650.39</v>
      </c>
      <c r="J46" s="156"/>
      <c r="K46" s="156">
        <f>S_Preliminares!N9</f>
        <v>12</v>
      </c>
      <c r="L46" s="156">
        <f t="shared" si="9"/>
        <v>12</v>
      </c>
      <c r="M46" s="156">
        <f t="shared" si="10"/>
        <v>0</v>
      </c>
      <c r="N46" s="156" t="s">
        <v>83</v>
      </c>
      <c r="O46" s="157" cm="1">
        <f t="array" ref="O46">TRUNC($H46*(1+_xlfn.SWITCH($N46,"BDI 1",$O$6,"BDI 2",$O$7,"BDI 3",$O$8)),2)</f>
        <v>785.02</v>
      </c>
      <c r="P46" s="157" cm="1">
        <f t="array" ref="P46">TRUNC($I46*(1+_xlfn.SWITCH($N46,"BDI 1",$P$6,"BDI 2",$P$7,"BDI 3",$P$8)),2)</f>
        <v>824.3</v>
      </c>
      <c r="Q46" s="157">
        <v>0</v>
      </c>
      <c r="R46" s="157">
        <f t="shared" ref="R46" si="23">$Q46-($Q46*LICITACAO_DESCONTO)</f>
        <v>0</v>
      </c>
      <c r="S46" s="156">
        <f t="shared" si="12"/>
        <v>9420.24</v>
      </c>
      <c r="T46" s="156">
        <f t="shared" si="13"/>
        <v>9891.6</v>
      </c>
      <c r="U46" s="156">
        <f t="shared" si="14"/>
        <v>0</v>
      </c>
      <c r="V46" s="156">
        <f t="shared" si="15"/>
        <v>0</v>
      </c>
      <c r="W46" s="156">
        <f t="shared" si="16"/>
        <v>0</v>
      </c>
      <c r="X46" s="158">
        <f t="shared" ref="X46" si="24">$S46/ORCAMENTO_VALOR_TOTAL_ND</f>
        <v>3.0462063977707153E-3</v>
      </c>
      <c r="Y46" s="158">
        <f t="shared" ref="Y46" si="25">$T46/ORCAMENTO_VALOR_TOTAL_DE</f>
        <v>2.9082690041454923E-3</v>
      </c>
      <c r="Z46" s="158" cm="1">
        <f t="array" ref="Z46">_xlfn.SWITCH($N46,"BDI 1",$O$6,"BDI 2",$O$7,"BDI 3",$O$8)</f>
        <v>0.20699999999999999</v>
      </c>
      <c r="AA46" s="158" cm="1">
        <f t="array" ref="AA46">_xlfn.SWITCH($N46,"BDI 1",$P$6,"BDI 2",$P$7,"BDI 3",$P$8)</f>
        <v>0.26739999999999997</v>
      </c>
      <c r="AB46" s="158">
        <f t="shared" ca="1" si="19"/>
        <v>0</v>
      </c>
      <c r="AC46" s="158">
        <f t="shared" ca="1" si="20"/>
        <v>0</v>
      </c>
      <c r="AD46" s="147"/>
      <c r="AE46" s="148">
        <f t="shared" ca="1" si="8"/>
        <v>1</v>
      </c>
      <c r="AF46" s="149"/>
      <c r="AG46" s="150"/>
      <c r="AH46" s="159">
        <f t="shared" si="21"/>
        <v>9.2547166168919032E-2</v>
      </c>
      <c r="AI46" s="160"/>
    </row>
    <row r="47" spans="1:44" s="49" customFormat="1" ht="39.950000000000003" customHeight="1">
      <c r="A47" s="152">
        <f t="shared" ca="1" si="7"/>
        <v>1.04</v>
      </c>
      <c r="B47" s="153" t="s">
        <v>88</v>
      </c>
      <c r="C47" s="154" t="str">
        <f t="shared" si="22"/>
        <v>10777</v>
      </c>
      <c r="D47" s="154" t="s">
        <v>3579</v>
      </c>
      <c r="E47" s="155" t="s">
        <v>1449</v>
      </c>
      <c r="F47" s="154"/>
      <c r="G47" s="154" t="s">
        <v>3542</v>
      </c>
      <c r="H47" s="152">
        <v>945.23</v>
      </c>
      <c r="I47" s="152">
        <v>945.23</v>
      </c>
      <c r="J47" s="156"/>
      <c r="K47" s="156">
        <f>S_Preliminares!N10</f>
        <v>12</v>
      </c>
      <c r="L47" s="156">
        <f t="shared" si="9"/>
        <v>12</v>
      </c>
      <c r="M47" s="156">
        <f t="shared" si="10"/>
        <v>0</v>
      </c>
      <c r="N47" s="156" t="s">
        <v>83</v>
      </c>
      <c r="O47" s="157" cm="1">
        <f t="array" ref="O47">TRUNC($H47*(1+_xlfn.SWITCH($N47,"BDI 1",$O$6,"BDI 2",$O$7,"BDI 3",$O$8)),2)</f>
        <v>1140.8900000000001</v>
      </c>
      <c r="P47" s="157" cm="1">
        <f t="array" ref="P47">TRUNC($I47*(1+_xlfn.SWITCH($N47,"BDI 1",$P$6,"BDI 2",$P$7,"BDI 3",$P$8)),2)</f>
        <v>1197.98</v>
      </c>
      <c r="Q47" s="157">
        <v>0</v>
      </c>
      <c r="R47" s="157">
        <f t="shared" ref="R47" si="26">$Q47-($Q47*LICITACAO_DESCONTO)</f>
        <v>0</v>
      </c>
      <c r="S47" s="156">
        <f t="shared" si="12"/>
        <v>13690.68</v>
      </c>
      <c r="T47" s="156">
        <f t="shared" si="13"/>
        <v>14375.76</v>
      </c>
      <c r="U47" s="156">
        <f t="shared" si="14"/>
        <v>0</v>
      </c>
      <c r="V47" s="156">
        <f t="shared" si="15"/>
        <v>0</v>
      </c>
      <c r="W47" s="156">
        <f t="shared" si="16"/>
        <v>0</v>
      </c>
      <c r="X47" s="158">
        <f t="shared" ref="X47" si="27">$S47/ORCAMENTO_VALOR_TOTAL_ND</f>
        <v>4.427131050358757E-3</v>
      </c>
      <c r="Y47" s="158">
        <f t="shared" ref="Y47" si="28">$T47/ORCAMENTO_VALOR_TOTAL_DE</f>
        <v>4.226674877576388E-3</v>
      </c>
      <c r="Z47" s="158" cm="1">
        <f t="array" ref="Z47">_xlfn.SWITCH($N47,"BDI 1",$O$6,"BDI 2",$O$7,"BDI 3",$O$8)</f>
        <v>0.20699999999999999</v>
      </c>
      <c r="AA47" s="158" cm="1">
        <f t="array" ref="AA47">_xlfn.SWITCH($N47,"BDI 1",$P$6,"BDI 2",$P$7,"BDI 3",$P$8)</f>
        <v>0.26739999999999997</v>
      </c>
      <c r="AB47" s="158">
        <f t="shared" ca="1" si="19"/>
        <v>0</v>
      </c>
      <c r="AC47" s="158">
        <f t="shared" ca="1" si="20"/>
        <v>0</v>
      </c>
      <c r="AD47" s="164"/>
      <c r="AE47" s="148">
        <f t="shared" ca="1" si="8"/>
        <v>1</v>
      </c>
      <c r="AF47" s="149"/>
      <c r="AG47" s="150"/>
      <c r="AH47" s="159">
        <f t="shared" si="21"/>
        <v>0.13450120558770226</v>
      </c>
      <c r="AI47" s="160"/>
    </row>
    <row r="48" spans="1:44" s="49" customFormat="1" ht="39.950000000000003" customHeight="1">
      <c r="A48" s="152">
        <f t="shared" ca="1" si="7"/>
        <v>1.05</v>
      </c>
      <c r="B48" s="153" t="s">
        <v>89</v>
      </c>
      <c r="C48" s="154" t="str">
        <f t="shared" si="22"/>
        <v>IEQ000430</v>
      </c>
      <c r="D48" s="154" t="s">
        <v>3580</v>
      </c>
      <c r="E48" s="155" t="s">
        <v>3540</v>
      </c>
      <c r="F48" s="154"/>
      <c r="G48" s="154" t="s">
        <v>3541</v>
      </c>
      <c r="H48" s="152">
        <v>1550</v>
      </c>
      <c r="I48" s="152">
        <v>1550</v>
      </c>
      <c r="J48" s="156"/>
      <c r="K48" s="156">
        <f>S_Preliminares!N12</f>
        <v>12</v>
      </c>
      <c r="L48" s="156">
        <f t="shared" si="9"/>
        <v>12</v>
      </c>
      <c r="M48" s="156">
        <f t="shared" si="10"/>
        <v>0</v>
      </c>
      <c r="N48" s="156" t="s">
        <v>83</v>
      </c>
      <c r="O48" s="157" cm="1">
        <f t="array" ref="O48">TRUNC($H48*(1+_xlfn.SWITCH($N48,"BDI 1",$O$6,"BDI 2",$O$7,"BDI 3",$O$8)),2)</f>
        <v>1870.85</v>
      </c>
      <c r="P48" s="157" cm="1">
        <f t="array" ref="P48">TRUNC($I48*(1+_xlfn.SWITCH($N48,"BDI 1",$P$6,"BDI 2",$P$7,"BDI 3",$P$8)),2)</f>
        <v>1964.47</v>
      </c>
      <c r="Q48" s="157">
        <v>0</v>
      </c>
      <c r="R48" s="157">
        <f t="shared" ref="R48" si="29">$Q48-($Q48*LICITACAO_DESCONTO)</f>
        <v>0</v>
      </c>
      <c r="S48" s="156">
        <f t="shared" si="12"/>
        <v>22450.2</v>
      </c>
      <c r="T48" s="156">
        <f t="shared" si="13"/>
        <v>23573.64</v>
      </c>
      <c r="U48" s="156">
        <f t="shared" si="14"/>
        <v>0</v>
      </c>
      <c r="V48" s="156">
        <f t="shared" si="15"/>
        <v>0</v>
      </c>
      <c r="W48" s="156">
        <f t="shared" si="16"/>
        <v>0</v>
      </c>
      <c r="X48" s="158">
        <f t="shared" ref="X48" si="30">$S48/ORCAMENTO_VALOR_TOTAL_ND</f>
        <v>7.2596815867994992E-3</v>
      </c>
      <c r="Y48" s="158">
        <f t="shared" ref="Y48" si="31">$T48/ORCAMENTO_VALOR_TOTAL_DE</f>
        <v>6.9309804811035968E-3</v>
      </c>
      <c r="Z48" s="158" cm="1">
        <f t="array" ref="Z48">_xlfn.SWITCH($N48,"BDI 1",$O$6,"BDI 2",$O$7,"BDI 3",$O$8)</f>
        <v>0.20699999999999999</v>
      </c>
      <c r="AA48" s="158" cm="1">
        <f t="array" ref="AA48">_xlfn.SWITCH($N48,"BDI 1",$P$6,"BDI 2",$P$7,"BDI 3",$P$8)</f>
        <v>0.26739999999999997</v>
      </c>
      <c r="AB48" s="158">
        <f t="shared" ca="1" si="19"/>
        <v>0</v>
      </c>
      <c r="AC48" s="158">
        <f t="shared" ca="1" si="20"/>
        <v>0</v>
      </c>
      <c r="AD48" s="164"/>
      <c r="AE48" s="148">
        <f t="shared" ca="1" si="8"/>
        <v>1</v>
      </c>
      <c r="AF48" s="149"/>
      <c r="AG48" s="150"/>
      <c r="AH48" s="159">
        <f t="shared" si="21"/>
        <v>0.22055726711054774</v>
      </c>
      <c r="AI48" s="160"/>
    </row>
    <row r="49" spans="1:44" s="49" customFormat="1" ht="39.950000000000003" customHeight="1">
      <c r="A49" s="152">
        <f t="shared" ca="1" si="7"/>
        <v>1.06</v>
      </c>
      <c r="B49" s="153" t="s">
        <v>90</v>
      </c>
      <c r="C49" s="154" t="str">
        <f t="shared" si="22"/>
        <v>98525</v>
      </c>
      <c r="D49" s="154" t="s">
        <v>1416</v>
      </c>
      <c r="E49" s="155" t="s">
        <v>1417</v>
      </c>
      <c r="F49" s="154"/>
      <c r="G49" s="154" t="s">
        <v>1418</v>
      </c>
      <c r="H49" s="152">
        <v>0.63</v>
      </c>
      <c r="I49" s="152">
        <v>0.37</v>
      </c>
      <c r="J49" s="156"/>
      <c r="K49" s="156">
        <f>S_Preliminares!N15</f>
        <v>2500</v>
      </c>
      <c r="L49" s="156">
        <f t="shared" si="9"/>
        <v>2500</v>
      </c>
      <c r="M49" s="156">
        <f t="shared" si="10"/>
        <v>0</v>
      </c>
      <c r="N49" s="156" t="s">
        <v>83</v>
      </c>
      <c r="O49" s="157" cm="1">
        <f t="array" ref="O49">TRUNC($H49*(1+_xlfn.SWITCH($N49,"BDI 1",$O$6,"BDI 2",$O$7,"BDI 3",$O$8)),2)</f>
        <v>0.76</v>
      </c>
      <c r="P49" s="157" cm="1">
        <f t="array" ref="P49">TRUNC($I49*(1+_xlfn.SWITCH($N49,"BDI 1",$P$6,"BDI 2",$P$7,"BDI 3",$P$8)),2)</f>
        <v>0.46</v>
      </c>
      <c r="Q49" s="157">
        <v>0</v>
      </c>
      <c r="R49" s="157">
        <f t="shared" ref="R49" si="32">$Q49-($Q49*LICITACAO_DESCONTO)</f>
        <v>0</v>
      </c>
      <c r="S49" s="156">
        <f t="shared" si="12"/>
        <v>1900</v>
      </c>
      <c r="T49" s="156">
        <f t="shared" si="13"/>
        <v>1150</v>
      </c>
      <c r="U49" s="156">
        <f t="shared" si="14"/>
        <v>0</v>
      </c>
      <c r="V49" s="156">
        <f t="shared" si="15"/>
        <v>0</v>
      </c>
      <c r="W49" s="156">
        <f t="shared" si="16"/>
        <v>0</v>
      </c>
      <c r="X49" s="158">
        <f t="shared" ref="X49" si="33">$S49/ORCAMENTO_VALOR_TOTAL_ND</f>
        <v>6.1439964966543935E-4</v>
      </c>
      <c r="Y49" s="158">
        <f t="shared" ref="Y49" si="34">$T49/ORCAMENTO_VALOR_TOTAL_DE</f>
        <v>3.381161141541627E-4</v>
      </c>
      <c r="Z49" s="158" cm="1">
        <f t="array" ref="Z49">_xlfn.SWITCH($N49,"BDI 1",$O$6,"BDI 2",$O$7,"BDI 3",$O$8)</f>
        <v>0.20699999999999999</v>
      </c>
      <c r="AA49" s="158" cm="1">
        <f t="array" ref="AA49">_xlfn.SWITCH($N49,"BDI 1",$P$6,"BDI 2",$P$7,"BDI 3",$P$8)</f>
        <v>0.26739999999999997</v>
      </c>
      <c r="AB49" s="158">
        <f t="shared" ca="1" si="19"/>
        <v>0</v>
      </c>
      <c r="AC49" s="158">
        <f t="shared" ca="1" si="20"/>
        <v>0</v>
      </c>
      <c r="AD49" s="164"/>
      <c r="AE49" s="148">
        <f t="shared" ca="1" si="8"/>
        <v>1</v>
      </c>
      <c r="AF49" s="149"/>
      <c r="AG49" s="150"/>
      <c r="AH49" s="159">
        <f t="shared" si="21"/>
        <v>1.8666150302003574E-2</v>
      </c>
      <c r="AI49" s="160"/>
    </row>
    <row r="50" spans="1:44" s="49" customFormat="1" ht="39.950000000000003" customHeight="1">
      <c r="A50" s="152">
        <f t="shared" ca="1" si="7"/>
        <v>1.07</v>
      </c>
      <c r="B50" s="153" t="s">
        <v>91</v>
      </c>
      <c r="C50" s="154" t="str">
        <f t="shared" si="22"/>
        <v>SC/0068</v>
      </c>
      <c r="D50" s="154" t="s">
        <v>3549</v>
      </c>
      <c r="E50" s="155" t="s">
        <v>1425</v>
      </c>
      <c r="F50" s="154"/>
      <c r="G50" s="154" t="s">
        <v>1418</v>
      </c>
      <c r="H50" s="152">
        <v>5.0199999999999996</v>
      </c>
      <c r="I50" s="152">
        <v>5.01</v>
      </c>
      <c r="J50" s="156"/>
      <c r="K50" s="156">
        <f>S_Preliminares!N16</f>
        <v>625</v>
      </c>
      <c r="L50" s="156">
        <f t="shared" si="9"/>
        <v>625</v>
      </c>
      <c r="M50" s="156">
        <f t="shared" si="10"/>
        <v>0</v>
      </c>
      <c r="N50" s="156" t="s">
        <v>92</v>
      </c>
      <c r="O50" s="157" cm="1">
        <f t="array" ref="O50">TRUNC($H50*(1+_xlfn.SWITCH($N50,"BDI 1",$O$6,"BDI 2",$O$7,"BDI 3",$O$8)),2)</f>
        <v>5.78</v>
      </c>
      <c r="P50" s="157" cm="1">
        <f t="array" ref="P50">TRUNC($I50*(1+_xlfn.SWITCH($N50,"BDI 1",$P$6,"BDI 2",$P$7,"BDI 3",$P$8)),2)</f>
        <v>5.77</v>
      </c>
      <c r="Q50" s="157">
        <v>0</v>
      </c>
      <c r="R50" s="157">
        <f t="shared" ref="R50" si="35">$Q50-($Q50*LICITACAO_DESCONTO)</f>
        <v>0</v>
      </c>
      <c r="S50" s="156">
        <f t="shared" si="12"/>
        <v>3612.5</v>
      </c>
      <c r="T50" s="156">
        <f t="shared" si="13"/>
        <v>3606.25</v>
      </c>
      <c r="U50" s="156">
        <f t="shared" si="14"/>
        <v>0</v>
      </c>
      <c r="V50" s="156">
        <f t="shared" si="15"/>
        <v>0</v>
      </c>
      <c r="W50" s="156">
        <f t="shared" si="16"/>
        <v>0</v>
      </c>
      <c r="X50" s="158">
        <f t="shared" ref="X50" si="36">$S50/ORCAMENTO_VALOR_TOTAL_ND</f>
        <v>1.168167754956E-3</v>
      </c>
      <c r="Y50" s="158">
        <f t="shared" ref="Y50" si="37">$T50/ORCAMENTO_VALOR_TOTAL_DE</f>
        <v>1.060288031885608E-3</v>
      </c>
      <c r="Z50" s="158" cm="1">
        <f t="array" ref="Z50">_xlfn.SWITCH($N50,"BDI 1",$O$6,"BDI 2",$O$7,"BDI 3",$O$8)</f>
        <v>0.1527</v>
      </c>
      <c r="AA50" s="158" cm="1">
        <f t="array" ref="AA50">_xlfn.SWITCH($N50,"BDI 1",$P$6,"BDI 2",$P$7,"BDI 3",$P$8)</f>
        <v>0.1527</v>
      </c>
      <c r="AB50" s="158">
        <f t="shared" ca="1" si="19"/>
        <v>0</v>
      </c>
      <c r="AC50" s="158">
        <f t="shared" ca="1" si="20"/>
        <v>0</v>
      </c>
      <c r="AD50" s="164"/>
      <c r="AE50" s="148">
        <f t="shared" ca="1" si="8"/>
        <v>1</v>
      </c>
      <c r="AF50" s="149"/>
      <c r="AG50" s="150"/>
      <c r="AH50" s="159">
        <f t="shared" si="21"/>
        <v>3.5490246297888377E-2</v>
      </c>
      <c r="AI50" s="160"/>
    </row>
    <row r="51" spans="1:44" s="49" customFormat="1" ht="50.1" customHeight="1">
      <c r="A51" s="152">
        <f t="shared" ca="1" si="7"/>
        <v>1.08</v>
      </c>
      <c r="B51" s="153" t="s">
        <v>93</v>
      </c>
      <c r="C51" s="154" t="str">
        <f t="shared" si="22"/>
        <v>101203</v>
      </c>
      <c r="D51" s="154" t="s">
        <v>1416</v>
      </c>
      <c r="E51" s="155" t="s">
        <v>1432</v>
      </c>
      <c r="F51" s="154"/>
      <c r="G51" s="154" t="s">
        <v>58</v>
      </c>
      <c r="H51" s="152">
        <v>40.98</v>
      </c>
      <c r="I51" s="152">
        <v>38.450000000000003</v>
      </c>
      <c r="J51" s="156"/>
      <c r="K51" s="156">
        <f>IF(S_Preliminares!J13="C",S_Preliminares!N13,"0")</f>
        <v>200</v>
      </c>
      <c r="L51" s="156">
        <f t="shared" si="9"/>
        <v>200</v>
      </c>
      <c r="M51" s="156">
        <f t="shared" si="10"/>
        <v>0</v>
      </c>
      <c r="N51" s="156" t="s">
        <v>92</v>
      </c>
      <c r="O51" s="157" cm="1">
        <f t="array" ref="O51">TRUNC($H51*(1+_xlfn.SWITCH($N51,"BDI 1",$O$6,"BDI 2",$O$7,"BDI 3",$O$8)),2)</f>
        <v>47.23</v>
      </c>
      <c r="P51" s="157" cm="1">
        <f t="array" ref="P51">TRUNC($I51*(1+_xlfn.SWITCH($N51,"BDI 1",$P$6,"BDI 2",$P$7,"BDI 3",$P$8)),2)</f>
        <v>44.32</v>
      </c>
      <c r="Q51" s="157">
        <v>0</v>
      </c>
      <c r="R51" s="157">
        <f t="shared" ref="R51" si="38">$Q51-($Q51*LICITACAO_DESCONTO)</f>
        <v>0</v>
      </c>
      <c r="S51" s="156">
        <f t="shared" si="12"/>
        <v>9446</v>
      </c>
      <c r="T51" s="156">
        <f t="shared" si="13"/>
        <v>8864</v>
      </c>
      <c r="U51" s="156">
        <f t="shared" si="14"/>
        <v>0</v>
      </c>
      <c r="V51" s="156">
        <f t="shared" si="15"/>
        <v>0</v>
      </c>
      <c r="W51" s="156">
        <f t="shared" si="16"/>
        <v>0</v>
      </c>
      <c r="X51" s="158">
        <f t="shared" ref="X51" si="39">$S51/ORCAMENTO_VALOR_TOTAL_ND</f>
        <v>3.0545363635472319E-3</v>
      </c>
      <c r="Y51" s="158">
        <f t="shared" ref="Y51" si="40">$T51/ORCAMENTO_VALOR_TOTAL_DE</f>
        <v>2.6061402050978249E-3</v>
      </c>
      <c r="Z51" s="158" cm="1">
        <f t="array" ref="Z51">_xlfn.SWITCH($N51,"BDI 1",$O$6,"BDI 2",$O$7,"BDI 3",$O$8)</f>
        <v>0.1527</v>
      </c>
      <c r="AA51" s="158" cm="1">
        <f t="array" ref="AA51">_xlfn.SWITCH($N51,"BDI 1",$P$6,"BDI 2",$P$7,"BDI 3",$P$8)</f>
        <v>0.1527</v>
      </c>
      <c r="AB51" s="158">
        <f t="shared" ca="1" si="19"/>
        <v>0</v>
      </c>
      <c r="AC51" s="158">
        <f t="shared" ca="1" si="20"/>
        <v>0</v>
      </c>
      <c r="AD51" s="164"/>
      <c r="AE51" s="148">
        <f t="shared" ca="1" si="8"/>
        <v>1</v>
      </c>
      <c r="AF51" s="149"/>
      <c r="AG51" s="150"/>
      <c r="AH51" s="159">
        <f t="shared" si="21"/>
        <v>9.2800239869855666E-2</v>
      </c>
      <c r="AI51" s="160"/>
    </row>
    <row r="52" spans="1:44" s="49" customFormat="1" ht="40.15" hidden="1" customHeight="1">
      <c r="A52" s="152">
        <f t="shared" ca="1" si="7"/>
        <v>1.08</v>
      </c>
      <c r="B52" s="153">
        <v>10776</v>
      </c>
      <c r="C52" s="154" t="str">
        <f t="shared" si="22"/>
        <v>10776</v>
      </c>
      <c r="D52" s="154" t="s">
        <v>3579</v>
      </c>
      <c r="E52" s="155" t="s">
        <v>1440</v>
      </c>
      <c r="F52" s="154"/>
      <c r="G52" s="154" t="s">
        <v>3542</v>
      </c>
      <c r="H52" s="152">
        <v>650.39</v>
      </c>
      <c r="I52" s="152">
        <v>650.39</v>
      </c>
      <c r="J52" s="156"/>
      <c r="K52" s="156"/>
      <c r="L52" s="156">
        <f t="shared" si="9"/>
        <v>0</v>
      </c>
      <c r="M52" s="156">
        <f t="shared" si="10"/>
        <v>0</v>
      </c>
      <c r="N52" s="156" t="s">
        <v>92</v>
      </c>
      <c r="O52" s="157" cm="1">
        <f t="array" ref="O52">TRUNC($H52*(1+_xlfn.SWITCH($N52,"BDI 1",$O$6,"BDI 2",$O$7,"BDI 3",$O$8)),2)</f>
        <v>749.7</v>
      </c>
      <c r="P52" s="157" cm="1">
        <f t="array" ref="P52">TRUNC($I52*(1+_xlfn.SWITCH($N52,"BDI 1",$P$6,"BDI 2",$P$7,"BDI 3",$P$8)),2)</f>
        <v>749.7</v>
      </c>
      <c r="Q52" s="157">
        <v>0</v>
      </c>
      <c r="R52" s="157">
        <f t="shared" ref="R52" si="41">$Q52-($Q52*LICITACAO_DESCONTO)</f>
        <v>0</v>
      </c>
      <c r="S52" s="156">
        <f t="shared" si="12"/>
        <v>0</v>
      </c>
      <c r="T52" s="156">
        <f t="shared" si="13"/>
        <v>0</v>
      </c>
      <c r="U52" s="156">
        <f t="shared" si="14"/>
        <v>0</v>
      </c>
      <c r="V52" s="156">
        <f t="shared" si="15"/>
        <v>0</v>
      </c>
      <c r="W52" s="156">
        <f t="shared" si="16"/>
        <v>0</v>
      </c>
      <c r="X52" s="158">
        <f t="shared" ref="X52" si="42">$S52/ORCAMENTO_VALOR_TOTAL_ND</f>
        <v>0</v>
      </c>
      <c r="Y52" s="158">
        <f t="shared" ref="Y52" si="43">$T52/ORCAMENTO_VALOR_TOTAL_DE</f>
        <v>0</v>
      </c>
      <c r="Z52" s="158" cm="1">
        <f t="array" ref="Z52">_xlfn.SWITCH($N52,"BDI 1",$O$6,"BDI 2",$O$7,"BDI 3",$O$8)</f>
        <v>0.1527</v>
      </c>
      <c r="AA52" s="158" cm="1">
        <f t="array" ref="AA52">_xlfn.SWITCH($N52,"BDI 1",$P$6,"BDI 2",$P$7,"BDI 3",$P$8)</f>
        <v>0.1527</v>
      </c>
      <c r="AB52" s="158">
        <f t="shared" ca="1" si="19"/>
        <v>0</v>
      </c>
      <c r="AC52" s="158">
        <f t="shared" ca="1" si="20"/>
        <v>0</v>
      </c>
      <c r="AD52" s="164"/>
      <c r="AE52" s="148">
        <f t="shared" si="8"/>
        <v>0</v>
      </c>
      <c r="AF52" s="149"/>
      <c r="AG52" s="150"/>
      <c r="AH52" s="159">
        <f t="shared" si="21"/>
        <v>0</v>
      </c>
      <c r="AI52" s="160"/>
    </row>
    <row r="53" spans="1:44" s="49" customFormat="1" ht="49.9" hidden="1" customHeight="1">
      <c r="A53" s="152">
        <f t="shared" ca="1" si="7"/>
        <v>1.08</v>
      </c>
      <c r="B53" s="153">
        <v>94210</v>
      </c>
      <c r="C53" s="154" t="str">
        <f t="shared" si="22"/>
        <v>94210</v>
      </c>
      <c r="D53" s="154" t="s">
        <v>1416</v>
      </c>
      <c r="E53" s="155" t="s">
        <v>1444</v>
      </c>
      <c r="F53" s="154"/>
      <c r="G53" s="154" t="s">
        <v>1418</v>
      </c>
      <c r="H53" s="152">
        <v>50.46</v>
      </c>
      <c r="I53" s="152">
        <v>48.28</v>
      </c>
      <c r="J53" s="156"/>
      <c r="K53" s="156"/>
      <c r="L53" s="156">
        <f t="shared" si="9"/>
        <v>0</v>
      </c>
      <c r="M53" s="156">
        <f t="shared" si="10"/>
        <v>0</v>
      </c>
      <c r="N53" s="156" t="s">
        <v>83</v>
      </c>
      <c r="O53" s="157" cm="1">
        <f t="array" ref="O53">TRUNC($H53*(1+_xlfn.SWITCH($N53,"BDI 1",$O$6,"BDI 2",$O$7,"BDI 3",$O$8)),2)</f>
        <v>60.9</v>
      </c>
      <c r="P53" s="157" cm="1">
        <f t="array" ref="P53">TRUNC($I53*(1+_xlfn.SWITCH($N53,"BDI 1",$P$6,"BDI 2",$P$7,"BDI 3",$P$8)),2)</f>
        <v>61.19</v>
      </c>
      <c r="Q53" s="157">
        <v>0</v>
      </c>
      <c r="R53" s="157">
        <f t="shared" ref="R53" si="44">$Q53-($Q53*LICITACAO_DESCONTO)</f>
        <v>0</v>
      </c>
      <c r="S53" s="156">
        <f t="shared" si="12"/>
        <v>0</v>
      </c>
      <c r="T53" s="156">
        <f t="shared" si="13"/>
        <v>0</v>
      </c>
      <c r="U53" s="156">
        <f t="shared" si="14"/>
        <v>0</v>
      </c>
      <c r="V53" s="156">
        <f t="shared" si="15"/>
        <v>0</v>
      </c>
      <c r="W53" s="156">
        <f t="shared" si="16"/>
        <v>0</v>
      </c>
      <c r="X53" s="158">
        <f t="shared" ref="X53" si="45">$S53/ORCAMENTO_VALOR_TOTAL_ND</f>
        <v>0</v>
      </c>
      <c r="Y53" s="158">
        <f t="shared" ref="Y53" si="46">$T53/ORCAMENTO_VALOR_TOTAL_DE</f>
        <v>0</v>
      </c>
      <c r="Z53" s="158" cm="1">
        <f t="array" ref="Z53">_xlfn.SWITCH($N53,"BDI 1",$O$6,"BDI 2",$O$7,"BDI 3",$O$8)</f>
        <v>0.20699999999999999</v>
      </c>
      <c r="AA53" s="158" cm="1">
        <f t="array" ref="AA53">_xlfn.SWITCH($N53,"BDI 1",$P$6,"BDI 2",$P$7,"BDI 3",$P$8)</f>
        <v>0.26739999999999997</v>
      </c>
      <c r="AB53" s="158">
        <f t="shared" ca="1" si="19"/>
        <v>0</v>
      </c>
      <c r="AC53" s="158">
        <f t="shared" ca="1" si="20"/>
        <v>0</v>
      </c>
      <c r="AD53" s="164"/>
      <c r="AE53" s="148">
        <f t="shared" si="8"/>
        <v>0</v>
      </c>
      <c r="AF53" s="149"/>
      <c r="AG53" s="150"/>
      <c r="AH53" s="159">
        <f t="shared" si="21"/>
        <v>0</v>
      </c>
      <c r="AI53" s="160"/>
      <c r="AK53" s="105"/>
      <c r="AL53" s="105"/>
      <c r="AM53" s="105"/>
      <c r="AN53" s="105"/>
      <c r="AO53" s="105"/>
      <c r="AP53" s="105"/>
      <c r="AQ53" s="105"/>
      <c r="AR53" s="105"/>
    </row>
    <row r="54" spans="1:44" s="49" customFormat="1" ht="40.15" hidden="1" customHeight="1">
      <c r="A54" s="152">
        <f t="shared" ca="1" si="7"/>
        <v>1.08</v>
      </c>
      <c r="B54" s="153">
        <v>10777</v>
      </c>
      <c r="C54" s="154" t="str">
        <f t="shared" si="22"/>
        <v>10777</v>
      </c>
      <c r="D54" s="154" t="s">
        <v>3579</v>
      </c>
      <c r="E54" s="155" t="s">
        <v>1449</v>
      </c>
      <c r="F54" s="154"/>
      <c r="G54" s="154" t="s">
        <v>3542</v>
      </c>
      <c r="H54" s="152">
        <v>945.23</v>
      </c>
      <c r="I54" s="152">
        <v>945.23</v>
      </c>
      <c r="J54" s="156"/>
      <c r="K54" s="156">
        <f>CANTEIRO!I19</f>
        <v>0</v>
      </c>
      <c r="L54" s="156">
        <f t="shared" si="9"/>
        <v>0</v>
      </c>
      <c r="M54" s="156">
        <f t="shared" si="10"/>
        <v>0</v>
      </c>
      <c r="N54" s="156" t="s">
        <v>92</v>
      </c>
      <c r="O54" s="157" cm="1">
        <f t="array" ref="O54">TRUNC($H54*(1+_xlfn.SWITCH($N54,"BDI 1",$O$6,"BDI 2",$O$7,"BDI 3",$O$8)),2)</f>
        <v>1089.56</v>
      </c>
      <c r="P54" s="157" cm="1">
        <f t="array" ref="P54">TRUNC($I54*(1+_xlfn.SWITCH($N54,"BDI 1",$P$6,"BDI 2",$P$7,"BDI 3",$P$8)),2)</f>
        <v>1089.56</v>
      </c>
      <c r="Q54" s="157">
        <v>0</v>
      </c>
      <c r="R54" s="157">
        <f t="shared" ref="R54" si="47">$Q54-($Q54*LICITACAO_DESCONTO)</f>
        <v>0</v>
      </c>
      <c r="S54" s="156">
        <f t="shared" si="12"/>
        <v>0</v>
      </c>
      <c r="T54" s="156">
        <f t="shared" si="13"/>
        <v>0</v>
      </c>
      <c r="U54" s="156">
        <f t="shared" si="14"/>
        <v>0</v>
      </c>
      <c r="V54" s="156">
        <f t="shared" si="15"/>
        <v>0</v>
      </c>
      <c r="W54" s="156">
        <f t="shared" si="16"/>
        <v>0</v>
      </c>
      <c r="X54" s="158">
        <f t="shared" ref="X54" si="48">$S54/ORCAMENTO_VALOR_TOTAL_ND</f>
        <v>0</v>
      </c>
      <c r="Y54" s="158">
        <f t="shared" ref="Y54" si="49">$T54/ORCAMENTO_VALOR_TOTAL_DE</f>
        <v>0</v>
      </c>
      <c r="Z54" s="158" cm="1">
        <f t="array" ref="Z54">_xlfn.SWITCH($N54,"BDI 1",$O$6,"BDI 2",$O$7,"BDI 3",$O$8)</f>
        <v>0.1527</v>
      </c>
      <c r="AA54" s="158" cm="1">
        <f t="array" ref="AA54">_xlfn.SWITCH($N54,"BDI 1",$P$6,"BDI 2",$P$7,"BDI 3",$P$8)</f>
        <v>0.1527</v>
      </c>
      <c r="AB54" s="158">
        <f t="shared" ca="1" si="19"/>
        <v>0</v>
      </c>
      <c r="AC54" s="158">
        <f t="shared" ca="1" si="20"/>
        <v>0</v>
      </c>
      <c r="AD54" s="164"/>
      <c r="AE54" s="148">
        <f t="shared" si="8"/>
        <v>0</v>
      </c>
      <c r="AF54" s="149"/>
      <c r="AG54" s="150"/>
      <c r="AH54" s="159">
        <f t="shared" si="21"/>
        <v>0</v>
      </c>
      <c r="AI54" s="160"/>
      <c r="AK54" s="105"/>
      <c r="AL54" s="105"/>
      <c r="AM54" s="105"/>
      <c r="AN54" s="105"/>
      <c r="AO54" s="105"/>
      <c r="AP54" s="105"/>
      <c r="AQ54" s="105"/>
      <c r="AR54" s="105"/>
    </row>
    <row r="55" spans="1:44" s="49" customFormat="1" ht="40.15" hidden="1" customHeight="1">
      <c r="A55" s="152">
        <f t="shared" ca="1" si="7"/>
        <v>1.08</v>
      </c>
      <c r="B55" s="153">
        <v>10779</v>
      </c>
      <c r="C55" s="154" t="str">
        <f t="shared" si="22"/>
        <v>10779</v>
      </c>
      <c r="D55" s="154" t="s">
        <v>3579</v>
      </c>
      <c r="E55" s="155" t="s">
        <v>1451</v>
      </c>
      <c r="F55" s="154"/>
      <c r="G55" s="154" t="s">
        <v>3542</v>
      </c>
      <c r="H55" s="152">
        <v>1040.6199999999999</v>
      </c>
      <c r="I55" s="152">
        <v>1040.6199999999999</v>
      </c>
      <c r="J55" s="156"/>
      <c r="K55" s="156"/>
      <c r="L55" s="156">
        <f t="shared" si="9"/>
        <v>0</v>
      </c>
      <c r="M55" s="156">
        <f t="shared" si="10"/>
        <v>0</v>
      </c>
      <c r="N55" s="156" t="s">
        <v>92</v>
      </c>
      <c r="O55" s="157" cm="1">
        <f t="array" ref="O55">TRUNC($H55*(1+_xlfn.SWITCH($N55,"BDI 1",$O$6,"BDI 2",$O$7,"BDI 3",$O$8)),2)</f>
        <v>1199.52</v>
      </c>
      <c r="P55" s="157" cm="1">
        <f t="array" ref="P55">TRUNC($I55*(1+_xlfn.SWITCH($N55,"BDI 1",$P$6,"BDI 2",$P$7,"BDI 3",$P$8)),2)</f>
        <v>1199.52</v>
      </c>
      <c r="Q55" s="157">
        <v>0</v>
      </c>
      <c r="R55" s="157">
        <f t="shared" ref="R55" si="50">$Q55-($Q55*LICITACAO_DESCONTO)</f>
        <v>0</v>
      </c>
      <c r="S55" s="156">
        <f t="shared" si="12"/>
        <v>0</v>
      </c>
      <c r="T55" s="156">
        <f t="shared" si="13"/>
        <v>0</v>
      </c>
      <c r="U55" s="156">
        <f t="shared" si="14"/>
        <v>0</v>
      </c>
      <c r="V55" s="156">
        <f t="shared" si="15"/>
        <v>0</v>
      </c>
      <c r="W55" s="156">
        <f t="shared" si="16"/>
        <v>0</v>
      </c>
      <c r="X55" s="158">
        <f t="shared" ref="X55" si="51">$S55/ORCAMENTO_VALOR_TOTAL_ND</f>
        <v>0</v>
      </c>
      <c r="Y55" s="158">
        <f t="shared" ref="Y55" si="52">$T55/ORCAMENTO_VALOR_TOTAL_DE</f>
        <v>0</v>
      </c>
      <c r="Z55" s="158" cm="1">
        <f t="array" ref="Z55">_xlfn.SWITCH($N55,"BDI 1",$O$6,"BDI 2",$O$7,"BDI 3",$O$8)</f>
        <v>0.1527</v>
      </c>
      <c r="AA55" s="158" cm="1">
        <f t="array" ref="AA55">_xlfn.SWITCH($N55,"BDI 1",$P$6,"BDI 2",$P$7,"BDI 3",$P$8)</f>
        <v>0.1527</v>
      </c>
      <c r="AB55" s="158">
        <f t="shared" ca="1" si="19"/>
        <v>0</v>
      </c>
      <c r="AC55" s="158">
        <f t="shared" ca="1" si="20"/>
        <v>0</v>
      </c>
      <c r="AD55" s="164"/>
      <c r="AE55" s="148">
        <f t="shared" si="8"/>
        <v>0</v>
      </c>
      <c r="AF55" s="149"/>
      <c r="AG55" s="150"/>
      <c r="AH55" s="159">
        <f t="shared" si="21"/>
        <v>0</v>
      </c>
      <c r="AI55" s="160"/>
      <c r="AK55" s="105"/>
      <c r="AL55" s="105"/>
      <c r="AM55" s="105"/>
      <c r="AN55" s="105"/>
      <c r="AO55" s="105"/>
      <c r="AP55" s="105"/>
      <c r="AQ55" s="105"/>
      <c r="AR55" s="105"/>
    </row>
    <row r="56" spans="1:44" s="49" customFormat="1" ht="40.15" hidden="1" customHeight="1">
      <c r="A56" s="152">
        <f t="shared" ca="1" si="7"/>
        <v>1.08</v>
      </c>
      <c r="B56" s="153">
        <v>10778</v>
      </c>
      <c r="C56" s="154" t="str">
        <f t="shared" si="22"/>
        <v>10778</v>
      </c>
      <c r="D56" s="154" t="s">
        <v>3579</v>
      </c>
      <c r="E56" s="155" t="s">
        <v>1453</v>
      </c>
      <c r="F56" s="154"/>
      <c r="G56" s="154" t="s">
        <v>3542</v>
      </c>
      <c r="H56" s="152">
        <v>1040.6199999999999</v>
      </c>
      <c r="I56" s="152">
        <v>1040.6199999999999</v>
      </c>
      <c r="J56" s="156"/>
      <c r="K56" s="156"/>
      <c r="L56" s="156">
        <f t="shared" si="9"/>
        <v>0</v>
      </c>
      <c r="M56" s="156">
        <f t="shared" si="10"/>
        <v>0</v>
      </c>
      <c r="N56" s="156" t="s">
        <v>92</v>
      </c>
      <c r="O56" s="157" cm="1">
        <f t="array" ref="O56">TRUNC($H56*(1+_xlfn.SWITCH($N56,"BDI 1",$O$6,"BDI 2",$O$7,"BDI 3",$O$8)),2)</f>
        <v>1199.52</v>
      </c>
      <c r="P56" s="157" cm="1">
        <f t="array" ref="P56">TRUNC($I56*(1+_xlfn.SWITCH($N56,"BDI 1",$P$6,"BDI 2",$P$7,"BDI 3",$P$8)),2)</f>
        <v>1199.52</v>
      </c>
      <c r="Q56" s="157">
        <v>0</v>
      </c>
      <c r="R56" s="157">
        <f t="shared" ref="R56" si="53">$Q56-($Q56*LICITACAO_DESCONTO)</f>
        <v>0</v>
      </c>
      <c r="S56" s="156">
        <f t="shared" si="12"/>
        <v>0</v>
      </c>
      <c r="T56" s="156">
        <f t="shared" si="13"/>
        <v>0</v>
      </c>
      <c r="U56" s="156">
        <f t="shared" si="14"/>
        <v>0</v>
      </c>
      <c r="V56" s="156">
        <f t="shared" si="15"/>
        <v>0</v>
      </c>
      <c r="W56" s="156">
        <f t="shared" si="16"/>
        <v>0</v>
      </c>
      <c r="X56" s="158">
        <f t="shared" ref="X56" si="54">$S56/ORCAMENTO_VALOR_TOTAL_ND</f>
        <v>0</v>
      </c>
      <c r="Y56" s="158">
        <f t="shared" ref="Y56" si="55">$T56/ORCAMENTO_VALOR_TOTAL_DE</f>
        <v>0</v>
      </c>
      <c r="Z56" s="158" cm="1">
        <f t="array" ref="Z56">_xlfn.SWITCH($N56,"BDI 1",$O$6,"BDI 2",$O$7,"BDI 3",$O$8)</f>
        <v>0.1527</v>
      </c>
      <c r="AA56" s="158" cm="1">
        <f t="array" ref="AA56">_xlfn.SWITCH($N56,"BDI 1",$P$6,"BDI 2",$P$7,"BDI 3",$P$8)</f>
        <v>0.1527</v>
      </c>
      <c r="AB56" s="158">
        <f t="shared" ca="1" si="19"/>
        <v>0</v>
      </c>
      <c r="AC56" s="158">
        <f t="shared" ca="1" si="20"/>
        <v>0</v>
      </c>
      <c r="AD56" s="164"/>
      <c r="AE56" s="148">
        <f t="shared" si="8"/>
        <v>0</v>
      </c>
      <c r="AF56" s="149"/>
      <c r="AG56" s="150"/>
      <c r="AH56" s="159">
        <f t="shared" si="21"/>
        <v>0</v>
      </c>
      <c r="AI56" s="160"/>
      <c r="AK56" s="105"/>
      <c r="AL56" s="105"/>
      <c r="AM56" s="105"/>
      <c r="AN56" s="105"/>
      <c r="AO56" s="105"/>
      <c r="AP56" s="105"/>
      <c r="AQ56" s="105"/>
      <c r="AR56" s="105"/>
    </row>
    <row r="57" spans="1:44" s="49" customFormat="1" ht="40.15" hidden="1" customHeight="1">
      <c r="A57" s="152">
        <f t="shared" ca="1" si="7"/>
        <v>1.08</v>
      </c>
      <c r="B57" s="153">
        <v>10776</v>
      </c>
      <c r="C57" s="154" t="str">
        <f t="shared" si="22"/>
        <v>10776</v>
      </c>
      <c r="D57" s="154" t="s">
        <v>3579</v>
      </c>
      <c r="E57" s="155" t="s">
        <v>1440</v>
      </c>
      <c r="F57" s="154"/>
      <c r="G57" s="154" t="s">
        <v>3542</v>
      </c>
      <c r="H57" s="152">
        <v>650.39</v>
      </c>
      <c r="I57" s="152">
        <v>650.39</v>
      </c>
      <c r="J57" s="156"/>
      <c r="K57" s="156"/>
      <c r="L57" s="156">
        <f t="shared" si="9"/>
        <v>0</v>
      </c>
      <c r="M57" s="156">
        <f t="shared" si="10"/>
        <v>0</v>
      </c>
      <c r="N57" s="156" t="s">
        <v>92</v>
      </c>
      <c r="O57" s="157" cm="1">
        <f t="array" ref="O57">TRUNC($H57*(1+_xlfn.SWITCH($N57,"BDI 1",$O$6,"BDI 2",$O$7,"BDI 3",$O$8)),2)</f>
        <v>749.7</v>
      </c>
      <c r="P57" s="157" cm="1">
        <f t="array" ref="P57">TRUNC($I57*(1+_xlfn.SWITCH($N57,"BDI 1",$P$6,"BDI 2",$P$7,"BDI 3",$P$8)),2)</f>
        <v>749.7</v>
      </c>
      <c r="Q57" s="157">
        <v>0</v>
      </c>
      <c r="R57" s="157">
        <f t="shared" ref="R57" si="56">$Q57-($Q57*LICITACAO_DESCONTO)</f>
        <v>0</v>
      </c>
      <c r="S57" s="156">
        <f t="shared" si="12"/>
        <v>0</v>
      </c>
      <c r="T57" s="156">
        <f t="shared" si="13"/>
        <v>0</v>
      </c>
      <c r="U57" s="156">
        <f t="shared" si="14"/>
        <v>0</v>
      </c>
      <c r="V57" s="156">
        <f t="shared" si="15"/>
        <v>0</v>
      </c>
      <c r="W57" s="156">
        <f t="shared" si="16"/>
        <v>0</v>
      </c>
      <c r="X57" s="158">
        <f t="shared" ref="X57" si="57">$S57/ORCAMENTO_VALOR_TOTAL_ND</f>
        <v>0</v>
      </c>
      <c r="Y57" s="158">
        <f t="shared" ref="Y57" si="58">$T57/ORCAMENTO_VALOR_TOTAL_DE</f>
        <v>0</v>
      </c>
      <c r="Z57" s="158" cm="1">
        <f t="array" ref="Z57">_xlfn.SWITCH($N57,"BDI 1",$O$6,"BDI 2",$O$7,"BDI 3",$O$8)</f>
        <v>0.1527</v>
      </c>
      <c r="AA57" s="158" cm="1">
        <f t="array" ref="AA57">_xlfn.SWITCH($N57,"BDI 1",$P$6,"BDI 2",$P$7,"BDI 3",$P$8)</f>
        <v>0.1527</v>
      </c>
      <c r="AB57" s="158">
        <f t="shared" ca="1" si="19"/>
        <v>0</v>
      </c>
      <c r="AC57" s="158">
        <f t="shared" ca="1" si="20"/>
        <v>0</v>
      </c>
      <c r="AD57" s="164"/>
      <c r="AE57" s="148">
        <f t="shared" si="8"/>
        <v>0</v>
      </c>
      <c r="AF57" s="149"/>
      <c r="AG57" s="150"/>
      <c r="AH57" s="159">
        <f t="shared" si="21"/>
        <v>0</v>
      </c>
      <c r="AI57" s="160"/>
      <c r="AK57" s="105"/>
      <c r="AL57" s="105"/>
      <c r="AM57" s="105"/>
      <c r="AN57" s="105"/>
      <c r="AO57" s="105"/>
      <c r="AP57" s="105"/>
      <c r="AQ57" s="105"/>
      <c r="AR57" s="105"/>
    </row>
    <row r="58" spans="1:44" s="49" customFormat="1" ht="40.15" hidden="1" customHeight="1">
      <c r="A58" s="152">
        <f t="shared" ca="1" si="7"/>
        <v>1.08</v>
      </c>
      <c r="B58" s="153">
        <v>101905</v>
      </c>
      <c r="C58" s="154" t="str">
        <f t="shared" si="22"/>
        <v>101905</v>
      </c>
      <c r="D58" s="154" t="s">
        <v>1416</v>
      </c>
      <c r="E58" s="155" t="s">
        <v>1461</v>
      </c>
      <c r="F58" s="154"/>
      <c r="G58" s="154" t="s">
        <v>1412</v>
      </c>
      <c r="H58" s="152">
        <v>265.19</v>
      </c>
      <c r="I58" s="152">
        <v>260.61</v>
      </c>
      <c r="J58" s="156"/>
      <c r="K58" s="156"/>
      <c r="L58" s="156">
        <f t="shared" si="9"/>
        <v>0</v>
      </c>
      <c r="M58" s="156">
        <f t="shared" si="10"/>
        <v>0</v>
      </c>
      <c r="N58" s="156" t="s">
        <v>83</v>
      </c>
      <c r="O58" s="157" cm="1">
        <f t="array" ref="O58">TRUNC($H58*(1+_xlfn.SWITCH($N58,"BDI 1",$O$6,"BDI 2",$O$7,"BDI 3",$O$8)),2)</f>
        <v>320.08</v>
      </c>
      <c r="P58" s="157" cm="1">
        <f t="array" ref="P58">TRUNC($I58*(1+_xlfn.SWITCH($N58,"BDI 1",$P$6,"BDI 2",$P$7,"BDI 3",$P$8)),2)</f>
        <v>330.29</v>
      </c>
      <c r="Q58" s="157">
        <v>0</v>
      </c>
      <c r="R58" s="157">
        <f t="shared" ref="R58" si="59">$Q58-($Q58*LICITACAO_DESCONTO)</f>
        <v>0</v>
      </c>
      <c r="S58" s="156">
        <f t="shared" si="12"/>
        <v>0</v>
      </c>
      <c r="T58" s="156">
        <f t="shared" si="13"/>
        <v>0</v>
      </c>
      <c r="U58" s="156">
        <f t="shared" si="14"/>
        <v>0</v>
      </c>
      <c r="V58" s="156">
        <f t="shared" si="15"/>
        <v>0</v>
      </c>
      <c r="W58" s="156">
        <f t="shared" si="16"/>
        <v>0</v>
      </c>
      <c r="X58" s="158">
        <f t="shared" ref="X58" si="60">$S58/ORCAMENTO_VALOR_TOTAL_ND</f>
        <v>0</v>
      </c>
      <c r="Y58" s="158">
        <f t="shared" ref="Y58" si="61">$T58/ORCAMENTO_VALOR_TOTAL_DE</f>
        <v>0</v>
      </c>
      <c r="Z58" s="158" cm="1">
        <f t="array" ref="Z58">_xlfn.SWITCH($N58,"BDI 1",$O$6,"BDI 2",$O$7,"BDI 3",$O$8)</f>
        <v>0.20699999999999999</v>
      </c>
      <c r="AA58" s="158" cm="1">
        <f t="array" ref="AA58">_xlfn.SWITCH($N58,"BDI 1",$P$6,"BDI 2",$P$7,"BDI 3",$P$8)</f>
        <v>0.26739999999999997</v>
      </c>
      <c r="AB58" s="158">
        <f t="shared" ca="1" si="19"/>
        <v>0</v>
      </c>
      <c r="AC58" s="158">
        <f t="shared" ca="1" si="20"/>
        <v>0</v>
      </c>
      <c r="AD58" s="164"/>
      <c r="AE58" s="148">
        <f t="shared" si="8"/>
        <v>0</v>
      </c>
      <c r="AF58" s="149"/>
      <c r="AG58" s="150"/>
      <c r="AH58" s="159">
        <f t="shared" si="21"/>
        <v>0</v>
      </c>
      <c r="AI58" s="160"/>
      <c r="AK58" s="105"/>
      <c r="AL58" s="105"/>
      <c r="AM58" s="105"/>
      <c r="AN58" s="105"/>
      <c r="AO58" s="105"/>
      <c r="AP58" s="105"/>
      <c r="AQ58" s="105"/>
      <c r="AR58" s="105"/>
    </row>
    <row r="59" spans="1:44" s="49" customFormat="1" ht="40.15" hidden="1" customHeight="1">
      <c r="A59" s="152">
        <f t="shared" ca="1" si="7"/>
        <v>1.08</v>
      </c>
      <c r="B59" s="153">
        <v>101909</v>
      </c>
      <c r="C59" s="154" t="str">
        <f t="shared" si="22"/>
        <v>101909</v>
      </c>
      <c r="D59" s="154" t="s">
        <v>1416</v>
      </c>
      <c r="E59" s="155" t="s">
        <v>1462</v>
      </c>
      <c r="F59" s="154"/>
      <c r="G59" s="154" t="s">
        <v>1412</v>
      </c>
      <c r="H59" s="152">
        <v>299.94</v>
      </c>
      <c r="I59" s="152">
        <v>294.99</v>
      </c>
      <c r="J59" s="156"/>
      <c r="K59" s="156"/>
      <c r="L59" s="156">
        <f t="shared" si="9"/>
        <v>0</v>
      </c>
      <c r="M59" s="156">
        <f t="shared" si="10"/>
        <v>0</v>
      </c>
      <c r="N59" s="156" t="s">
        <v>83</v>
      </c>
      <c r="O59" s="157" cm="1">
        <f t="array" ref="O59">TRUNC($H59*(1+_xlfn.SWITCH($N59,"BDI 1",$O$6,"BDI 2",$O$7,"BDI 3",$O$8)),2)</f>
        <v>362.02</v>
      </c>
      <c r="P59" s="157" cm="1">
        <f t="array" ref="P59">TRUNC($I59*(1+_xlfn.SWITCH($N59,"BDI 1",$P$6,"BDI 2",$P$7,"BDI 3",$P$8)),2)</f>
        <v>373.87</v>
      </c>
      <c r="Q59" s="157">
        <v>0</v>
      </c>
      <c r="R59" s="157">
        <f t="shared" ref="R59" si="62">$Q59-($Q59*LICITACAO_DESCONTO)</f>
        <v>0</v>
      </c>
      <c r="S59" s="156">
        <f t="shared" si="12"/>
        <v>0</v>
      </c>
      <c r="T59" s="156">
        <f t="shared" si="13"/>
        <v>0</v>
      </c>
      <c r="U59" s="156">
        <f t="shared" si="14"/>
        <v>0</v>
      </c>
      <c r="V59" s="156">
        <f t="shared" si="15"/>
        <v>0</v>
      </c>
      <c r="W59" s="156">
        <f t="shared" si="16"/>
        <v>0</v>
      </c>
      <c r="X59" s="158">
        <f t="shared" ref="X59" si="63">$S59/ORCAMENTO_VALOR_TOTAL_ND</f>
        <v>0</v>
      </c>
      <c r="Y59" s="158">
        <f t="shared" ref="Y59" si="64">$T59/ORCAMENTO_VALOR_TOTAL_DE</f>
        <v>0</v>
      </c>
      <c r="Z59" s="158" cm="1">
        <f t="array" ref="Z59">_xlfn.SWITCH($N59,"BDI 1",$O$6,"BDI 2",$O$7,"BDI 3",$O$8)</f>
        <v>0.20699999999999999</v>
      </c>
      <c r="AA59" s="158" cm="1">
        <f t="array" ref="AA59">_xlfn.SWITCH($N59,"BDI 1",$P$6,"BDI 2",$P$7,"BDI 3",$P$8)</f>
        <v>0.26739999999999997</v>
      </c>
      <c r="AB59" s="158">
        <f t="shared" ca="1" si="19"/>
        <v>0</v>
      </c>
      <c r="AC59" s="158">
        <f t="shared" ca="1" si="20"/>
        <v>0</v>
      </c>
      <c r="AD59" s="164"/>
      <c r="AE59" s="148">
        <f t="shared" si="8"/>
        <v>0</v>
      </c>
      <c r="AF59" s="149"/>
      <c r="AG59" s="150"/>
      <c r="AH59" s="159">
        <f t="shared" si="21"/>
        <v>0</v>
      </c>
      <c r="AI59" s="160"/>
      <c r="AK59" s="105"/>
      <c r="AL59" s="105"/>
      <c r="AM59" s="105"/>
      <c r="AN59" s="105"/>
      <c r="AO59" s="105"/>
      <c r="AP59" s="105"/>
      <c r="AQ59" s="105"/>
      <c r="AR59" s="105"/>
    </row>
    <row r="60" spans="1:44" s="49" customFormat="1" ht="40.15" hidden="1" customHeight="1">
      <c r="A60" s="152">
        <f t="shared" ca="1" si="7"/>
        <v>1.08</v>
      </c>
      <c r="B60" s="153">
        <v>10776</v>
      </c>
      <c r="C60" s="154" t="str">
        <f t="shared" si="22"/>
        <v>10776</v>
      </c>
      <c r="D60" s="154" t="s">
        <v>3579</v>
      </c>
      <c r="E60" s="155" t="s">
        <v>1440</v>
      </c>
      <c r="F60" s="154"/>
      <c r="G60" s="154" t="s">
        <v>3542</v>
      </c>
      <c r="H60" s="152">
        <v>650.39</v>
      </c>
      <c r="I60" s="152">
        <v>650.39</v>
      </c>
      <c r="J60" s="156"/>
      <c r="K60" s="156"/>
      <c r="L60" s="156">
        <f t="shared" si="9"/>
        <v>0</v>
      </c>
      <c r="M60" s="156">
        <f t="shared" si="10"/>
        <v>0</v>
      </c>
      <c r="N60" s="156" t="s">
        <v>92</v>
      </c>
      <c r="O60" s="157" cm="1">
        <f t="array" ref="O60">TRUNC($H60*(1+_xlfn.SWITCH($N60,"BDI 1",$O$6,"BDI 2",$O$7,"BDI 3",$O$8)),2)</f>
        <v>749.7</v>
      </c>
      <c r="P60" s="157" cm="1">
        <f t="array" ref="P60">TRUNC($I60*(1+_xlfn.SWITCH($N60,"BDI 1",$P$6,"BDI 2",$P$7,"BDI 3",$P$8)),2)</f>
        <v>749.7</v>
      </c>
      <c r="Q60" s="157">
        <v>0</v>
      </c>
      <c r="R60" s="157">
        <f t="shared" ref="R60" si="65">$Q60-($Q60*LICITACAO_DESCONTO)</f>
        <v>0</v>
      </c>
      <c r="S60" s="156">
        <f t="shared" si="12"/>
        <v>0</v>
      </c>
      <c r="T60" s="156">
        <f t="shared" si="13"/>
        <v>0</v>
      </c>
      <c r="U60" s="156">
        <f t="shared" si="14"/>
        <v>0</v>
      </c>
      <c r="V60" s="156">
        <f t="shared" si="15"/>
        <v>0</v>
      </c>
      <c r="W60" s="156">
        <f t="shared" si="16"/>
        <v>0</v>
      </c>
      <c r="X60" s="158">
        <f t="shared" ref="X60" si="66">$S60/ORCAMENTO_VALOR_TOTAL_ND</f>
        <v>0</v>
      </c>
      <c r="Y60" s="158">
        <f t="shared" ref="Y60" si="67">$T60/ORCAMENTO_VALOR_TOTAL_DE</f>
        <v>0</v>
      </c>
      <c r="Z60" s="158" cm="1">
        <f t="array" ref="Z60">_xlfn.SWITCH($N60,"BDI 1",$O$6,"BDI 2",$O$7,"BDI 3",$O$8)</f>
        <v>0.1527</v>
      </c>
      <c r="AA60" s="158" cm="1">
        <f t="array" ref="AA60">_xlfn.SWITCH($N60,"BDI 1",$P$6,"BDI 2",$P$7,"BDI 3",$P$8)</f>
        <v>0.1527</v>
      </c>
      <c r="AB60" s="158">
        <f t="shared" ca="1" si="19"/>
        <v>0</v>
      </c>
      <c r="AC60" s="158">
        <f t="shared" ca="1" si="20"/>
        <v>0</v>
      </c>
      <c r="AD60" s="164"/>
      <c r="AE60" s="148">
        <f t="shared" si="8"/>
        <v>0</v>
      </c>
      <c r="AF60" s="149"/>
      <c r="AG60" s="150"/>
      <c r="AH60" s="159">
        <f t="shared" si="21"/>
        <v>0</v>
      </c>
      <c r="AI60" s="160"/>
      <c r="AK60" s="105"/>
      <c r="AL60" s="105"/>
      <c r="AM60" s="105"/>
      <c r="AN60" s="105"/>
      <c r="AO60" s="105"/>
      <c r="AP60" s="105"/>
      <c r="AQ60" s="105"/>
      <c r="AR60" s="105"/>
    </row>
    <row r="61" spans="1:44" s="49" customFormat="1" ht="39.950000000000003" customHeight="1">
      <c r="A61" s="152">
        <f t="shared" ca="1" si="7"/>
        <v>1.0900000000000001</v>
      </c>
      <c r="B61" s="153" t="s">
        <v>94</v>
      </c>
      <c r="C61" s="154" t="str">
        <f t="shared" si="22"/>
        <v>SC/0120</v>
      </c>
      <c r="D61" s="154" t="s">
        <v>3549</v>
      </c>
      <c r="E61" s="155" t="s">
        <v>3543</v>
      </c>
      <c r="F61" s="154"/>
      <c r="G61" s="154" t="s">
        <v>1418</v>
      </c>
      <c r="H61" s="152">
        <v>989.46</v>
      </c>
      <c r="I61" s="152">
        <v>939.81</v>
      </c>
      <c r="J61" s="156"/>
      <c r="K61" s="156">
        <f>S_Preliminares!N14</f>
        <v>7.2</v>
      </c>
      <c r="L61" s="156">
        <f t="shared" si="9"/>
        <v>7.2</v>
      </c>
      <c r="M61" s="156">
        <f t="shared" si="10"/>
        <v>0</v>
      </c>
      <c r="N61" s="156" t="s">
        <v>83</v>
      </c>
      <c r="O61" s="157" cm="1">
        <f t="array" ref="O61">TRUNC($H61*(1+_xlfn.SWITCH($N61,"BDI 1",$O$6,"BDI 2",$O$7,"BDI 3",$O$8)),2)</f>
        <v>1194.27</v>
      </c>
      <c r="P61" s="157" cm="1">
        <f t="array" ref="P61">TRUNC($I61*(1+_xlfn.SWITCH($N61,"BDI 1",$P$6,"BDI 2",$P$7,"BDI 3",$P$8)),2)</f>
        <v>1191.1099999999999</v>
      </c>
      <c r="Q61" s="157">
        <v>0</v>
      </c>
      <c r="R61" s="157">
        <f t="shared" ref="R61" si="68">$Q61-($Q61*LICITACAO_DESCONTO)</f>
        <v>0</v>
      </c>
      <c r="S61" s="156">
        <f t="shared" si="12"/>
        <v>8598.74</v>
      </c>
      <c r="T61" s="156">
        <f t="shared" si="13"/>
        <v>8575.99</v>
      </c>
      <c r="U61" s="156">
        <f t="shared" si="14"/>
        <v>0</v>
      </c>
      <c r="V61" s="156">
        <f t="shared" si="15"/>
        <v>0</v>
      </c>
      <c r="W61" s="156">
        <f t="shared" si="16"/>
        <v>0</v>
      </c>
      <c r="X61" s="158">
        <f t="shared" ref="X61" si="69">$S61/ORCAMENTO_VALOR_TOTAL_ND</f>
        <v>2.7805593913495792E-3</v>
      </c>
      <c r="Y61" s="158">
        <f t="shared" ref="Y61" si="70">$T61/ORCAMENTO_VALOR_TOTAL_DE</f>
        <v>2.5214612294130068E-3</v>
      </c>
      <c r="Z61" s="158" cm="1">
        <f t="array" ref="Z61">_xlfn.SWITCH($N61,"BDI 1",$O$6,"BDI 2",$O$7,"BDI 3",$O$8)</f>
        <v>0.20699999999999999</v>
      </c>
      <c r="AA61" s="158" cm="1">
        <f t="array" ref="AA61">_xlfn.SWITCH($N61,"BDI 1",$P$6,"BDI 2",$P$7,"BDI 3",$P$8)</f>
        <v>0.26739999999999997</v>
      </c>
      <c r="AB61" s="158">
        <f t="shared" ca="1" si="19"/>
        <v>0</v>
      </c>
      <c r="AC61" s="158">
        <f t="shared" ca="1" si="20"/>
        <v>0</v>
      </c>
      <c r="AD61" s="164"/>
      <c r="AE61" s="148">
        <f t="shared" ca="1" si="8"/>
        <v>1</v>
      </c>
      <c r="AF61" s="149"/>
      <c r="AG61" s="150"/>
      <c r="AH61" s="159">
        <f t="shared" si="21"/>
        <v>8.4476512235710649E-2</v>
      </c>
      <c r="AI61" s="160"/>
      <c r="AK61" s="105"/>
      <c r="AL61" s="105"/>
      <c r="AM61" s="105"/>
      <c r="AN61" s="105"/>
      <c r="AO61" s="105"/>
      <c r="AP61" s="105"/>
      <c r="AQ61" s="105"/>
      <c r="AR61" s="105"/>
    </row>
    <row r="62" spans="1:44" s="49" customFormat="1" ht="60" hidden="1" customHeight="1">
      <c r="A62" s="152" t="e">
        <f>IF(K62&gt;0,#REF!+0.01,#REF!)</f>
        <v>#REF!</v>
      </c>
      <c r="B62" s="153" t="s">
        <v>95</v>
      </c>
      <c r="C62" s="154" t="str">
        <f t="shared" si="22"/>
        <v>SP/0020</v>
      </c>
      <c r="D62" s="154" t="s">
        <v>3549</v>
      </c>
      <c r="E62" s="155" t="s">
        <v>3581</v>
      </c>
      <c r="F62" s="154"/>
      <c r="G62" s="154" t="s">
        <v>1418</v>
      </c>
      <c r="H62" s="152">
        <v>142.72</v>
      </c>
      <c r="I62" s="152">
        <v>136.78</v>
      </c>
      <c r="J62" s="156"/>
      <c r="K62" s="156">
        <f>S_Preliminares!N18</f>
        <v>0</v>
      </c>
      <c r="L62" s="156">
        <f t="shared" si="9"/>
        <v>0</v>
      </c>
      <c r="M62" s="156">
        <f t="shared" si="10"/>
        <v>0</v>
      </c>
      <c r="N62" s="156" t="s">
        <v>83</v>
      </c>
      <c r="O62" s="157" cm="1">
        <f t="array" ref="O62">TRUNC($H62*(1+_xlfn.SWITCH($N62,"BDI 1",$O$6,"BDI 2",$O$7,"BDI 3",$O$8)),2)</f>
        <v>172.26</v>
      </c>
      <c r="P62" s="157" cm="1">
        <f t="array" ref="P62">TRUNC($I62*(1+_xlfn.SWITCH($N62,"BDI 1",$P$6,"BDI 2",$P$7,"BDI 3",$P$8)),2)</f>
        <v>173.35</v>
      </c>
      <c r="Q62" s="157">
        <v>0</v>
      </c>
      <c r="R62" s="157">
        <f t="shared" ref="R62" si="71">$Q62-($Q62*LICITACAO_DESCONTO)</f>
        <v>0</v>
      </c>
      <c r="S62" s="156">
        <f t="shared" si="12"/>
        <v>0</v>
      </c>
      <c r="T62" s="156">
        <f t="shared" si="13"/>
        <v>0</v>
      </c>
      <c r="U62" s="156">
        <f t="shared" si="14"/>
        <v>0</v>
      </c>
      <c r="V62" s="156">
        <f t="shared" si="15"/>
        <v>0</v>
      </c>
      <c r="W62" s="156">
        <f t="shared" si="16"/>
        <v>0</v>
      </c>
      <c r="X62" s="158">
        <f t="shared" ref="X62" si="72">$S62/ORCAMENTO_VALOR_TOTAL_ND</f>
        <v>0</v>
      </c>
      <c r="Y62" s="158">
        <f t="shared" ref="Y62" si="73">$T62/ORCAMENTO_VALOR_TOTAL_DE</f>
        <v>0</v>
      </c>
      <c r="Z62" s="158" cm="1">
        <f t="array" ref="Z62">_xlfn.SWITCH($N62,"BDI 1",$O$6,"BDI 2",$O$7,"BDI 3",$O$8)</f>
        <v>0.20699999999999999</v>
      </c>
      <c r="AA62" s="158" cm="1">
        <f t="array" ref="AA62">_xlfn.SWITCH($N62,"BDI 1",$P$6,"BDI 2",$P$7,"BDI 3",$P$8)</f>
        <v>0.26739999999999997</v>
      </c>
      <c r="AB62" s="158">
        <f t="shared" ca="1" si="19"/>
        <v>0</v>
      </c>
      <c r="AC62" s="158">
        <f t="shared" ca="1" si="20"/>
        <v>0</v>
      </c>
      <c r="AD62" s="164"/>
      <c r="AE62" s="148">
        <f t="shared" si="8"/>
        <v>0</v>
      </c>
      <c r="AF62" s="149"/>
      <c r="AG62" s="150"/>
      <c r="AH62" s="159">
        <f t="shared" si="21"/>
        <v>0</v>
      </c>
      <c r="AI62" s="160"/>
      <c r="AK62" s="105"/>
      <c r="AL62" s="105"/>
      <c r="AM62" s="105"/>
      <c r="AN62" s="105"/>
      <c r="AO62" s="105"/>
    </row>
    <row r="63" spans="1:44" s="49" customFormat="1" ht="40.15" hidden="1" customHeight="1">
      <c r="A63" s="152" t="e">
        <f t="shared" ref="A63:A78" si="74">IF(K63&gt;0,A62+0.01,A62)</f>
        <v>#REF!</v>
      </c>
      <c r="B63" s="153" t="s">
        <v>96</v>
      </c>
      <c r="C63" s="154" t="str">
        <f t="shared" si="22"/>
        <v>SP/0025</v>
      </c>
      <c r="D63" s="154" t="s">
        <v>3549</v>
      </c>
      <c r="E63" s="155" t="s">
        <v>3582</v>
      </c>
      <c r="F63" s="154"/>
      <c r="G63" s="154" t="s">
        <v>58</v>
      </c>
      <c r="H63" s="152">
        <v>4.0999999999999996</v>
      </c>
      <c r="I63" s="152">
        <v>3.98</v>
      </c>
      <c r="J63" s="156"/>
      <c r="K63" s="156">
        <f>S_Preliminares!N19</f>
        <v>0</v>
      </c>
      <c r="L63" s="156">
        <f t="shared" si="9"/>
        <v>0</v>
      </c>
      <c r="M63" s="156">
        <f t="shared" si="10"/>
        <v>0</v>
      </c>
      <c r="N63" s="156" t="s">
        <v>83</v>
      </c>
      <c r="O63" s="157" cm="1">
        <f t="array" ref="O63">TRUNC($H63*(1+_xlfn.SWITCH($N63,"BDI 1",$O$6,"BDI 2",$O$7,"BDI 3",$O$8)),2)</f>
        <v>4.9400000000000004</v>
      </c>
      <c r="P63" s="157" cm="1">
        <f t="array" ref="P63">TRUNC($I63*(1+_xlfn.SWITCH($N63,"BDI 1",$P$6,"BDI 2",$P$7,"BDI 3",$P$8)),2)</f>
        <v>5.04</v>
      </c>
      <c r="Q63" s="157">
        <v>0</v>
      </c>
      <c r="R63" s="157">
        <f t="shared" ref="R63" si="75">$Q63-($Q63*LICITACAO_DESCONTO)</f>
        <v>0</v>
      </c>
      <c r="S63" s="156">
        <f t="shared" si="12"/>
        <v>0</v>
      </c>
      <c r="T63" s="156">
        <f t="shared" si="13"/>
        <v>0</v>
      </c>
      <c r="U63" s="156">
        <f t="shared" si="14"/>
        <v>0</v>
      </c>
      <c r="V63" s="156">
        <f t="shared" si="15"/>
        <v>0</v>
      </c>
      <c r="W63" s="156">
        <f t="shared" si="16"/>
        <v>0</v>
      </c>
      <c r="X63" s="158">
        <f t="shared" ref="X63" si="76">$S63/ORCAMENTO_VALOR_TOTAL_ND</f>
        <v>0</v>
      </c>
      <c r="Y63" s="158">
        <f t="shared" ref="Y63" si="77">$T63/ORCAMENTO_VALOR_TOTAL_DE</f>
        <v>0</v>
      </c>
      <c r="Z63" s="158" cm="1">
        <f t="array" ref="Z63">_xlfn.SWITCH($N63,"BDI 1",$O$6,"BDI 2",$O$7,"BDI 3",$O$8)</f>
        <v>0.20699999999999999</v>
      </c>
      <c r="AA63" s="158" cm="1">
        <f t="array" ref="AA63">_xlfn.SWITCH($N63,"BDI 1",$P$6,"BDI 2",$P$7,"BDI 3",$P$8)</f>
        <v>0.26739999999999997</v>
      </c>
      <c r="AB63" s="158">
        <f t="shared" ca="1" si="19"/>
        <v>0</v>
      </c>
      <c r="AC63" s="158">
        <f t="shared" ca="1" si="20"/>
        <v>0</v>
      </c>
      <c r="AD63" s="164"/>
      <c r="AE63" s="148">
        <f t="shared" si="8"/>
        <v>0</v>
      </c>
      <c r="AF63" s="149"/>
      <c r="AG63" s="150"/>
      <c r="AH63" s="159">
        <f t="shared" si="21"/>
        <v>0</v>
      </c>
      <c r="AI63" s="160"/>
      <c r="AK63" s="105"/>
      <c r="AL63" s="105"/>
      <c r="AM63" s="105"/>
      <c r="AN63" s="105"/>
      <c r="AO63" s="105"/>
    </row>
    <row r="64" spans="1:44" s="49" customFormat="1" ht="60" hidden="1" customHeight="1">
      <c r="A64" s="152" t="e">
        <f t="shared" si="74"/>
        <v>#REF!</v>
      </c>
      <c r="B64" s="153" t="s">
        <v>97</v>
      </c>
      <c r="C64" s="154" t="str">
        <f t="shared" si="22"/>
        <v>SP/0030</v>
      </c>
      <c r="D64" s="154" t="s">
        <v>3549</v>
      </c>
      <c r="E64" s="155" t="s">
        <v>3583</v>
      </c>
      <c r="F64" s="154"/>
      <c r="G64" s="154" t="s">
        <v>58</v>
      </c>
      <c r="H64" s="152">
        <v>6.66</v>
      </c>
      <c r="I64" s="152">
        <v>6.41</v>
      </c>
      <c r="J64" s="156"/>
      <c r="K64" s="156">
        <f>S_Preliminares!N20</f>
        <v>0</v>
      </c>
      <c r="L64" s="156">
        <f t="shared" si="9"/>
        <v>0</v>
      </c>
      <c r="M64" s="156">
        <f t="shared" si="10"/>
        <v>0</v>
      </c>
      <c r="N64" s="156" t="s">
        <v>83</v>
      </c>
      <c r="O64" s="157" cm="1">
        <f t="array" ref="O64">TRUNC($H64*(1+_xlfn.SWITCH($N64,"BDI 1",$O$6,"BDI 2",$O$7,"BDI 3",$O$8)),2)</f>
        <v>8.0299999999999994</v>
      </c>
      <c r="P64" s="157" cm="1">
        <f t="array" ref="P64">TRUNC($I64*(1+_xlfn.SWITCH($N64,"BDI 1",$P$6,"BDI 2",$P$7,"BDI 3",$P$8)),2)</f>
        <v>8.1199999999999992</v>
      </c>
      <c r="Q64" s="157">
        <v>0</v>
      </c>
      <c r="R64" s="157">
        <f t="shared" ref="R64" si="78">$Q64-($Q64*LICITACAO_DESCONTO)</f>
        <v>0</v>
      </c>
      <c r="S64" s="156">
        <f t="shared" si="12"/>
        <v>0</v>
      </c>
      <c r="T64" s="156">
        <f t="shared" si="13"/>
        <v>0</v>
      </c>
      <c r="U64" s="156">
        <f t="shared" si="14"/>
        <v>0</v>
      </c>
      <c r="V64" s="156">
        <f t="shared" si="15"/>
        <v>0</v>
      </c>
      <c r="W64" s="156">
        <f t="shared" si="16"/>
        <v>0</v>
      </c>
      <c r="X64" s="158">
        <f t="shared" ref="X64" si="79">$S64/ORCAMENTO_VALOR_TOTAL_ND</f>
        <v>0</v>
      </c>
      <c r="Y64" s="158">
        <f t="shared" ref="Y64" si="80">$T64/ORCAMENTO_VALOR_TOTAL_DE</f>
        <v>0</v>
      </c>
      <c r="Z64" s="158" cm="1">
        <f t="array" ref="Z64">_xlfn.SWITCH($N64,"BDI 1",$O$6,"BDI 2",$O$7,"BDI 3",$O$8)</f>
        <v>0.20699999999999999</v>
      </c>
      <c r="AA64" s="158" cm="1">
        <f t="array" ref="AA64">_xlfn.SWITCH($N64,"BDI 1",$P$6,"BDI 2",$P$7,"BDI 3",$P$8)</f>
        <v>0.26739999999999997</v>
      </c>
      <c r="AB64" s="158">
        <f t="shared" ca="1" si="19"/>
        <v>0</v>
      </c>
      <c r="AC64" s="158">
        <f t="shared" ca="1" si="20"/>
        <v>0</v>
      </c>
      <c r="AD64" s="164"/>
      <c r="AE64" s="148">
        <f t="shared" si="8"/>
        <v>0</v>
      </c>
      <c r="AF64" s="149"/>
      <c r="AG64" s="150"/>
      <c r="AH64" s="159">
        <f t="shared" si="21"/>
        <v>0</v>
      </c>
      <c r="AI64" s="160"/>
      <c r="AK64" s="105"/>
    </row>
    <row r="65" spans="1:44" s="49" customFormat="1" ht="40.15" hidden="1" customHeight="1">
      <c r="A65" s="152" t="e">
        <f t="shared" si="74"/>
        <v>#REF!</v>
      </c>
      <c r="B65" s="153">
        <v>13244</v>
      </c>
      <c r="C65" s="154" t="str">
        <f t="shared" si="22"/>
        <v>13244</v>
      </c>
      <c r="D65" s="154" t="s">
        <v>3579</v>
      </c>
      <c r="E65" s="155" t="s">
        <v>3584</v>
      </c>
      <c r="F65" s="154"/>
      <c r="G65" s="154" t="s">
        <v>1412</v>
      </c>
      <c r="H65" s="152">
        <v>46.75</v>
      </c>
      <c r="I65" s="152">
        <v>46.75</v>
      </c>
      <c r="J65" s="156"/>
      <c r="K65" s="156">
        <f>S_Preliminares!N21</f>
        <v>0</v>
      </c>
      <c r="L65" s="156">
        <f t="shared" si="9"/>
        <v>0</v>
      </c>
      <c r="M65" s="156">
        <f t="shared" si="10"/>
        <v>0</v>
      </c>
      <c r="N65" s="156" t="s">
        <v>92</v>
      </c>
      <c r="O65" s="157" cm="1">
        <f t="array" ref="O65">TRUNC($H65*(1+_xlfn.SWITCH($N65,"BDI 1",$O$6,"BDI 2",$O$7,"BDI 3",$O$8)),2)</f>
        <v>53.88</v>
      </c>
      <c r="P65" s="157" cm="1">
        <f t="array" ref="P65">TRUNC($I65*(1+_xlfn.SWITCH($N65,"BDI 1",$P$6,"BDI 2",$P$7,"BDI 3",$P$8)),2)</f>
        <v>53.88</v>
      </c>
      <c r="Q65" s="157">
        <v>0</v>
      </c>
      <c r="R65" s="157">
        <f t="shared" ref="R65" si="81">$Q65-($Q65*LICITACAO_DESCONTO)</f>
        <v>0</v>
      </c>
      <c r="S65" s="156">
        <f t="shared" si="12"/>
        <v>0</v>
      </c>
      <c r="T65" s="156">
        <f t="shared" si="13"/>
        <v>0</v>
      </c>
      <c r="U65" s="156">
        <f t="shared" si="14"/>
        <v>0</v>
      </c>
      <c r="V65" s="156">
        <f t="shared" si="15"/>
        <v>0</v>
      </c>
      <c r="W65" s="156">
        <f t="shared" si="16"/>
        <v>0</v>
      </c>
      <c r="X65" s="158">
        <f t="shared" ref="X65" si="82">$S65/ORCAMENTO_VALOR_TOTAL_ND</f>
        <v>0</v>
      </c>
      <c r="Y65" s="158">
        <f t="shared" ref="Y65" si="83">$T65/ORCAMENTO_VALOR_TOTAL_DE</f>
        <v>0</v>
      </c>
      <c r="Z65" s="158" cm="1">
        <f t="array" ref="Z65">_xlfn.SWITCH($N65,"BDI 1",$O$6,"BDI 2",$O$7,"BDI 3",$O$8)</f>
        <v>0.1527</v>
      </c>
      <c r="AA65" s="158" cm="1">
        <f t="array" ref="AA65">_xlfn.SWITCH($N65,"BDI 1",$P$6,"BDI 2",$P$7,"BDI 3",$P$8)</f>
        <v>0.1527</v>
      </c>
      <c r="AB65" s="158">
        <f t="shared" ca="1" si="19"/>
        <v>0</v>
      </c>
      <c r="AC65" s="158">
        <f t="shared" ca="1" si="20"/>
        <v>0</v>
      </c>
      <c r="AD65" s="164"/>
      <c r="AE65" s="148">
        <f t="shared" si="8"/>
        <v>0</v>
      </c>
      <c r="AF65" s="149"/>
      <c r="AG65" s="150"/>
      <c r="AH65" s="159">
        <f t="shared" si="21"/>
        <v>0</v>
      </c>
      <c r="AI65" s="160"/>
      <c r="AK65" s="105"/>
    </row>
    <row r="66" spans="1:44" s="49" customFormat="1" ht="40.15" hidden="1" customHeight="1">
      <c r="A66" s="152" t="e">
        <f t="shared" si="74"/>
        <v>#REF!</v>
      </c>
      <c r="B66" s="153">
        <v>98458</v>
      </c>
      <c r="C66" s="154" t="str">
        <f t="shared" si="22"/>
        <v>98458</v>
      </c>
      <c r="D66" s="154" t="s">
        <v>1416</v>
      </c>
      <c r="E66" s="155" t="s">
        <v>3585</v>
      </c>
      <c r="F66" s="154"/>
      <c r="G66" s="154" t="s">
        <v>1418</v>
      </c>
      <c r="H66" s="152">
        <v>95.31</v>
      </c>
      <c r="I66" s="152">
        <v>153.38999999999999</v>
      </c>
      <c r="J66" s="156"/>
      <c r="K66" s="156"/>
      <c r="L66" s="156">
        <f t="shared" si="9"/>
        <v>0</v>
      </c>
      <c r="M66" s="156">
        <f t="shared" si="10"/>
        <v>0</v>
      </c>
      <c r="N66" s="156" t="s">
        <v>83</v>
      </c>
      <c r="O66" s="157" cm="1">
        <f t="array" ref="O66">TRUNC($H66*(1+_xlfn.SWITCH($N66,"BDI 1",$O$6,"BDI 2",$O$7,"BDI 3",$O$8)),2)</f>
        <v>115.03</v>
      </c>
      <c r="P66" s="157" cm="1">
        <f t="array" ref="P66">TRUNC($I66*(1+_xlfn.SWITCH($N66,"BDI 1",$P$6,"BDI 2",$P$7,"BDI 3",$P$8)),2)</f>
        <v>194.4</v>
      </c>
      <c r="Q66" s="157">
        <v>0</v>
      </c>
      <c r="R66" s="157">
        <f t="shared" ref="R66" si="84">$Q66-($Q66*LICITACAO_DESCONTO)</f>
        <v>0</v>
      </c>
      <c r="S66" s="156">
        <f t="shared" si="12"/>
        <v>0</v>
      </c>
      <c r="T66" s="156">
        <f t="shared" si="13"/>
        <v>0</v>
      </c>
      <c r="U66" s="156">
        <f t="shared" si="14"/>
        <v>0</v>
      </c>
      <c r="V66" s="156">
        <f t="shared" si="15"/>
        <v>0</v>
      </c>
      <c r="W66" s="156">
        <f t="shared" si="16"/>
        <v>0</v>
      </c>
      <c r="X66" s="158">
        <f t="shared" ref="X66" si="85">$S66/ORCAMENTO_VALOR_TOTAL_ND</f>
        <v>0</v>
      </c>
      <c r="Y66" s="158">
        <f t="shared" ref="Y66" si="86">$T66/ORCAMENTO_VALOR_TOTAL_DE</f>
        <v>0</v>
      </c>
      <c r="Z66" s="158" cm="1">
        <f t="array" ref="Z66">_xlfn.SWITCH($N66,"BDI 1",$O$6,"BDI 2",$O$7,"BDI 3",$O$8)</f>
        <v>0.20699999999999999</v>
      </c>
      <c r="AA66" s="158" cm="1">
        <f t="array" ref="AA66">_xlfn.SWITCH($N66,"BDI 1",$P$6,"BDI 2",$P$7,"BDI 3",$P$8)</f>
        <v>0.26739999999999997</v>
      </c>
      <c r="AB66" s="158">
        <f t="shared" ca="1" si="19"/>
        <v>0</v>
      </c>
      <c r="AC66" s="158">
        <f t="shared" ca="1" si="20"/>
        <v>0</v>
      </c>
      <c r="AD66" s="164"/>
      <c r="AE66" s="148">
        <f t="shared" si="8"/>
        <v>0</v>
      </c>
      <c r="AF66" s="149"/>
      <c r="AG66" s="150"/>
      <c r="AH66" s="159">
        <f t="shared" si="21"/>
        <v>0</v>
      </c>
      <c r="AI66" s="160"/>
      <c r="AK66" s="105"/>
      <c r="AL66" s="105"/>
      <c r="AM66" s="105"/>
      <c r="AN66" s="105"/>
      <c r="AO66" s="105"/>
    </row>
    <row r="67" spans="1:44" s="49" customFormat="1" ht="40.15" hidden="1" customHeight="1">
      <c r="A67" s="152" t="e">
        <f t="shared" si="74"/>
        <v>#REF!</v>
      </c>
      <c r="B67" s="153" t="s">
        <v>89</v>
      </c>
      <c r="C67" s="154" t="str">
        <f t="shared" si="22"/>
        <v>IEQ000430</v>
      </c>
      <c r="D67" s="154" t="s">
        <v>3580</v>
      </c>
      <c r="E67" s="155" t="s">
        <v>3540</v>
      </c>
      <c r="F67" s="154"/>
      <c r="G67" s="154" t="s">
        <v>3541</v>
      </c>
      <c r="H67" s="152">
        <v>1550</v>
      </c>
      <c r="I67" s="152">
        <v>1550</v>
      </c>
      <c r="J67" s="156"/>
      <c r="K67" s="156"/>
      <c r="L67" s="156">
        <f t="shared" si="9"/>
        <v>0</v>
      </c>
      <c r="M67" s="156">
        <f t="shared" si="10"/>
        <v>0</v>
      </c>
      <c r="N67" s="156" t="s">
        <v>83</v>
      </c>
      <c r="O67" s="157" cm="1">
        <f t="array" ref="O67">TRUNC($H67*(1+_xlfn.SWITCH($N67,"BDI 1",$O$6,"BDI 2",$O$7,"BDI 3",$O$8)),2)</f>
        <v>1870.85</v>
      </c>
      <c r="P67" s="157" cm="1">
        <f t="array" ref="P67">TRUNC($I67*(1+_xlfn.SWITCH($N67,"BDI 1",$P$6,"BDI 2",$P$7,"BDI 3",$P$8)),2)</f>
        <v>1964.47</v>
      </c>
      <c r="Q67" s="157">
        <v>0</v>
      </c>
      <c r="R67" s="157">
        <f t="shared" ref="R67" si="87">$Q67-($Q67*LICITACAO_DESCONTO)</f>
        <v>0</v>
      </c>
      <c r="S67" s="156">
        <f t="shared" si="12"/>
        <v>0</v>
      </c>
      <c r="T67" s="156">
        <f t="shared" si="13"/>
        <v>0</v>
      </c>
      <c r="U67" s="156">
        <f t="shared" si="14"/>
        <v>0</v>
      </c>
      <c r="V67" s="156">
        <f t="shared" si="15"/>
        <v>0</v>
      </c>
      <c r="W67" s="156">
        <f t="shared" si="16"/>
        <v>0</v>
      </c>
      <c r="X67" s="158">
        <f t="shared" ref="X67" si="88">$S67/ORCAMENTO_VALOR_TOTAL_ND</f>
        <v>0</v>
      </c>
      <c r="Y67" s="158">
        <f t="shared" ref="Y67" si="89">$T67/ORCAMENTO_VALOR_TOTAL_DE</f>
        <v>0</v>
      </c>
      <c r="Z67" s="158" cm="1">
        <f t="array" ref="Z67">_xlfn.SWITCH($N67,"BDI 1",$O$6,"BDI 2",$O$7,"BDI 3",$O$8)</f>
        <v>0.20699999999999999</v>
      </c>
      <c r="AA67" s="158" cm="1">
        <f t="array" ref="AA67">_xlfn.SWITCH($N67,"BDI 1",$P$6,"BDI 2",$P$7,"BDI 3",$P$8)</f>
        <v>0.26739999999999997</v>
      </c>
      <c r="AB67" s="158">
        <f t="shared" ca="1" si="19"/>
        <v>0</v>
      </c>
      <c r="AC67" s="158">
        <f t="shared" ca="1" si="20"/>
        <v>0</v>
      </c>
      <c r="AD67" s="164"/>
      <c r="AE67" s="148">
        <f t="shared" si="8"/>
        <v>0</v>
      </c>
      <c r="AF67" s="149"/>
      <c r="AG67" s="150"/>
      <c r="AH67" s="159">
        <f t="shared" si="21"/>
        <v>0</v>
      </c>
      <c r="AI67" s="160"/>
      <c r="AK67" s="49" t="s">
        <v>98</v>
      </c>
    </row>
    <row r="68" spans="1:44" s="49" customFormat="1" ht="40.15" hidden="1" customHeight="1">
      <c r="A68" s="152" t="e">
        <f t="shared" si="74"/>
        <v>#REF!</v>
      </c>
      <c r="B68" s="153" t="s">
        <v>99</v>
      </c>
      <c r="C68" s="154" t="str">
        <f t="shared" si="22"/>
        <v>SP/0050</v>
      </c>
      <c r="D68" s="154" t="s">
        <v>3549</v>
      </c>
      <c r="E68" s="155" t="s">
        <v>3586</v>
      </c>
      <c r="F68" s="154"/>
      <c r="G68" s="154" t="s">
        <v>1412</v>
      </c>
      <c r="H68" s="152">
        <v>288.48</v>
      </c>
      <c r="I68" s="152">
        <v>269.77999999999997</v>
      </c>
      <c r="J68" s="156"/>
      <c r="K68" s="156">
        <f>S_Preliminares!N22</f>
        <v>0</v>
      </c>
      <c r="L68" s="156">
        <f t="shared" si="9"/>
        <v>0</v>
      </c>
      <c r="M68" s="156">
        <f t="shared" si="10"/>
        <v>0</v>
      </c>
      <c r="N68" s="156" t="s">
        <v>83</v>
      </c>
      <c r="O68" s="157" cm="1">
        <f t="array" ref="O68">TRUNC($H68*(1+_xlfn.SWITCH($N68,"BDI 1",$O$6,"BDI 2",$O$7,"BDI 3",$O$8)),2)</f>
        <v>348.19</v>
      </c>
      <c r="P68" s="157" cm="1">
        <f t="array" ref="P68">TRUNC($I68*(1+_xlfn.SWITCH($N68,"BDI 1",$P$6,"BDI 2",$P$7,"BDI 3",$P$8)),2)</f>
        <v>341.91</v>
      </c>
      <c r="Q68" s="157">
        <v>0</v>
      </c>
      <c r="R68" s="157">
        <f t="shared" ref="R68" si="90">$Q68-($Q68*LICITACAO_DESCONTO)</f>
        <v>0</v>
      </c>
      <c r="S68" s="156">
        <f t="shared" si="12"/>
        <v>0</v>
      </c>
      <c r="T68" s="156">
        <f t="shared" si="13"/>
        <v>0</v>
      </c>
      <c r="U68" s="156">
        <f t="shared" si="14"/>
        <v>0</v>
      </c>
      <c r="V68" s="156">
        <f t="shared" si="15"/>
        <v>0</v>
      </c>
      <c r="W68" s="156">
        <f t="shared" si="16"/>
        <v>0</v>
      </c>
      <c r="X68" s="158">
        <f t="shared" ref="X68" si="91">$S68/ORCAMENTO_VALOR_TOTAL_ND</f>
        <v>0</v>
      </c>
      <c r="Y68" s="158">
        <f t="shared" ref="Y68" si="92">$T68/ORCAMENTO_VALOR_TOTAL_DE</f>
        <v>0</v>
      </c>
      <c r="Z68" s="158" cm="1">
        <f t="array" ref="Z68">_xlfn.SWITCH($N68,"BDI 1",$O$6,"BDI 2",$O$7,"BDI 3",$O$8)</f>
        <v>0.20699999999999999</v>
      </c>
      <c r="AA68" s="158" cm="1">
        <f t="array" ref="AA68">_xlfn.SWITCH($N68,"BDI 1",$P$6,"BDI 2",$P$7,"BDI 3",$P$8)</f>
        <v>0.26739999999999997</v>
      </c>
      <c r="AB68" s="158">
        <f t="shared" ca="1" si="19"/>
        <v>0</v>
      </c>
      <c r="AC68" s="158">
        <f t="shared" ca="1" si="20"/>
        <v>0</v>
      </c>
      <c r="AD68" s="164"/>
      <c r="AE68" s="148">
        <f t="shared" si="8"/>
        <v>0</v>
      </c>
      <c r="AF68" s="149"/>
      <c r="AG68" s="150"/>
      <c r="AH68" s="159">
        <f t="shared" si="21"/>
        <v>0</v>
      </c>
      <c r="AI68" s="160"/>
      <c r="AK68" s="105"/>
    </row>
    <row r="69" spans="1:44" s="49" customFormat="1" ht="40.15" hidden="1" customHeight="1">
      <c r="A69" s="152" t="e">
        <f t="shared" si="74"/>
        <v>#REF!</v>
      </c>
      <c r="B69" s="153" t="s">
        <v>100</v>
      </c>
      <c r="C69" s="154" t="str">
        <f t="shared" si="22"/>
        <v>SP/0060</v>
      </c>
      <c r="D69" s="154" t="s">
        <v>3549</v>
      </c>
      <c r="E69" s="155" t="s">
        <v>3587</v>
      </c>
      <c r="F69" s="154"/>
      <c r="G69" s="154" t="s">
        <v>1412</v>
      </c>
      <c r="H69" s="152">
        <v>248.68</v>
      </c>
      <c r="I69" s="152">
        <v>233.32</v>
      </c>
      <c r="J69" s="156"/>
      <c r="K69" s="156">
        <f>S_Preliminares!N23</f>
        <v>0</v>
      </c>
      <c r="L69" s="156">
        <f t="shared" si="9"/>
        <v>0</v>
      </c>
      <c r="M69" s="156">
        <f t="shared" si="10"/>
        <v>0</v>
      </c>
      <c r="N69" s="156" t="s">
        <v>83</v>
      </c>
      <c r="O69" s="157" cm="1">
        <f t="array" ref="O69">TRUNC($H69*(1+_xlfn.SWITCH($N69,"BDI 1",$O$6,"BDI 2",$O$7,"BDI 3",$O$8)),2)</f>
        <v>300.14999999999998</v>
      </c>
      <c r="P69" s="157" cm="1">
        <f t="array" ref="P69">TRUNC($I69*(1+_xlfn.SWITCH($N69,"BDI 1",$P$6,"BDI 2",$P$7,"BDI 3",$P$8)),2)</f>
        <v>295.7</v>
      </c>
      <c r="Q69" s="157">
        <v>0</v>
      </c>
      <c r="R69" s="157">
        <f t="shared" ref="R69" si="93">$Q69-($Q69*LICITACAO_DESCONTO)</f>
        <v>0</v>
      </c>
      <c r="S69" s="156">
        <f t="shared" si="12"/>
        <v>0</v>
      </c>
      <c r="T69" s="156">
        <f t="shared" si="13"/>
        <v>0</v>
      </c>
      <c r="U69" s="156">
        <f t="shared" si="14"/>
        <v>0</v>
      </c>
      <c r="V69" s="156">
        <f t="shared" si="15"/>
        <v>0</v>
      </c>
      <c r="W69" s="156">
        <f t="shared" si="16"/>
        <v>0</v>
      </c>
      <c r="X69" s="158">
        <f t="shared" ref="X69" si="94">$S69/ORCAMENTO_VALOR_TOTAL_ND</f>
        <v>0</v>
      </c>
      <c r="Y69" s="158">
        <f t="shared" ref="Y69" si="95">$T69/ORCAMENTO_VALOR_TOTAL_DE</f>
        <v>0</v>
      </c>
      <c r="Z69" s="158" cm="1">
        <f t="array" ref="Z69">_xlfn.SWITCH($N69,"BDI 1",$O$6,"BDI 2",$O$7,"BDI 3",$O$8)</f>
        <v>0.20699999999999999</v>
      </c>
      <c r="AA69" s="158" cm="1">
        <f t="array" ref="AA69">_xlfn.SWITCH($N69,"BDI 1",$P$6,"BDI 2",$P$7,"BDI 3",$P$8)</f>
        <v>0.26739999999999997</v>
      </c>
      <c r="AB69" s="158">
        <f t="shared" ca="1" si="19"/>
        <v>0</v>
      </c>
      <c r="AC69" s="158">
        <f t="shared" ca="1" si="20"/>
        <v>0</v>
      </c>
      <c r="AD69" s="164"/>
      <c r="AE69" s="148">
        <f t="shared" si="8"/>
        <v>0</v>
      </c>
      <c r="AF69" s="149"/>
      <c r="AG69" s="150"/>
      <c r="AH69" s="159">
        <f t="shared" si="21"/>
        <v>0</v>
      </c>
      <c r="AI69" s="160"/>
      <c r="AK69" s="105"/>
      <c r="AL69" s="105"/>
      <c r="AM69" s="105"/>
      <c r="AN69" s="105"/>
      <c r="AO69" s="105"/>
      <c r="AP69" s="105"/>
      <c r="AQ69" s="105"/>
      <c r="AR69" s="105"/>
    </row>
    <row r="70" spans="1:44" s="49" customFormat="1" ht="40.15" hidden="1" customHeight="1">
      <c r="A70" s="152" t="e">
        <f t="shared" si="74"/>
        <v>#REF!</v>
      </c>
      <c r="B70" s="153">
        <v>100575</v>
      </c>
      <c r="C70" s="154" t="str">
        <f t="shared" si="22"/>
        <v>100575</v>
      </c>
      <c r="D70" s="154" t="s">
        <v>1416</v>
      </c>
      <c r="E70" s="155" t="s">
        <v>3588</v>
      </c>
      <c r="F70" s="154"/>
      <c r="G70" s="154" t="s">
        <v>1418</v>
      </c>
      <c r="H70" s="152">
        <v>0.14000000000000001</v>
      </c>
      <c r="I70" s="152">
        <v>0.12</v>
      </c>
      <c r="J70" s="156"/>
      <c r="K70" s="156">
        <f>S_Preliminares!N24</f>
        <v>0</v>
      </c>
      <c r="L70" s="156">
        <f t="shared" si="9"/>
        <v>0</v>
      </c>
      <c r="M70" s="156">
        <f t="shared" si="10"/>
        <v>0</v>
      </c>
      <c r="N70" s="156" t="s">
        <v>83</v>
      </c>
      <c r="O70" s="157" cm="1">
        <f t="array" ref="O70">TRUNC($H70*(1+_xlfn.SWITCH($N70,"BDI 1",$O$6,"BDI 2",$O$7,"BDI 3",$O$8)),2)</f>
        <v>0.16</v>
      </c>
      <c r="P70" s="157" cm="1">
        <f t="array" ref="P70">TRUNC($I70*(1+_xlfn.SWITCH($N70,"BDI 1",$P$6,"BDI 2",$P$7,"BDI 3",$P$8)),2)</f>
        <v>0.15</v>
      </c>
      <c r="Q70" s="157">
        <v>0</v>
      </c>
      <c r="R70" s="157">
        <f t="shared" ref="R70" si="96">$Q70-($Q70*LICITACAO_DESCONTO)</f>
        <v>0</v>
      </c>
      <c r="S70" s="156">
        <f t="shared" si="12"/>
        <v>0</v>
      </c>
      <c r="T70" s="156">
        <f t="shared" si="13"/>
        <v>0</v>
      </c>
      <c r="U70" s="156">
        <f t="shared" si="14"/>
        <v>0</v>
      </c>
      <c r="V70" s="156">
        <f t="shared" si="15"/>
        <v>0</v>
      </c>
      <c r="W70" s="156">
        <f t="shared" si="16"/>
        <v>0</v>
      </c>
      <c r="X70" s="158">
        <f t="shared" ref="X70" si="97">$S70/ORCAMENTO_VALOR_TOTAL_ND</f>
        <v>0</v>
      </c>
      <c r="Y70" s="158">
        <f t="shared" ref="Y70" si="98">$T70/ORCAMENTO_VALOR_TOTAL_DE</f>
        <v>0</v>
      </c>
      <c r="Z70" s="158" cm="1">
        <f t="array" ref="Z70">_xlfn.SWITCH($N70,"BDI 1",$O$6,"BDI 2",$O$7,"BDI 3",$O$8)</f>
        <v>0.20699999999999999</v>
      </c>
      <c r="AA70" s="158" cm="1">
        <f t="array" ref="AA70">_xlfn.SWITCH($N70,"BDI 1",$P$6,"BDI 2",$P$7,"BDI 3",$P$8)</f>
        <v>0.26739999999999997</v>
      </c>
      <c r="AB70" s="158">
        <f t="shared" ca="1" si="19"/>
        <v>0</v>
      </c>
      <c r="AC70" s="158">
        <f t="shared" ca="1" si="20"/>
        <v>0</v>
      </c>
      <c r="AD70" s="164"/>
      <c r="AE70" s="148">
        <f t="shared" si="8"/>
        <v>0</v>
      </c>
      <c r="AF70" s="149"/>
      <c r="AG70" s="150"/>
      <c r="AH70" s="159">
        <f t="shared" si="21"/>
        <v>0</v>
      </c>
      <c r="AI70" s="160"/>
      <c r="AK70" s="105"/>
      <c r="AL70" s="105"/>
      <c r="AM70" s="105"/>
      <c r="AN70" s="105"/>
      <c r="AO70" s="105"/>
      <c r="AP70" s="105"/>
      <c r="AQ70" s="105"/>
      <c r="AR70" s="105"/>
    </row>
    <row r="71" spans="1:44" s="49" customFormat="1" ht="49.9" hidden="1" customHeight="1">
      <c r="A71" s="152" t="e">
        <f t="shared" si="74"/>
        <v>#REF!</v>
      </c>
      <c r="B71" s="153">
        <v>100979</v>
      </c>
      <c r="C71" s="154" t="str">
        <f t="shared" si="22"/>
        <v>100979</v>
      </c>
      <c r="D71" s="154" t="s">
        <v>1416</v>
      </c>
      <c r="E71" s="155" t="s">
        <v>1420</v>
      </c>
      <c r="F71" s="154"/>
      <c r="G71" s="154" t="s">
        <v>464</v>
      </c>
      <c r="H71" s="152">
        <v>6.4</v>
      </c>
      <c r="I71" s="152">
        <v>6.4</v>
      </c>
      <c r="J71" s="156"/>
      <c r="K71" s="156">
        <f>S_Preliminares!N25</f>
        <v>500</v>
      </c>
      <c r="L71" s="156">
        <f t="shared" si="9"/>
        <v>500</v>
      </c>
      <c r="M71" s="156">
        <f t="shared" si="10"/>
        <v>0</v>
      </c>
      <c r="N71" s="156" t="s">
        <v>83</v>
      </c>
      <c r="O71" s="157" cm="1">
        <f t="array" ref="O71">TRUNC($H71*(1+_xlfn.SWITCH($N71,"BDI 1",$O$6,"BDI 2",$O$7,"BDI 3",$O$8)),2)</f>
        <v>7.72</v>
      </c>
      <c r="P71" s="157" cm="1">
        <f t="array" ref="P71">TRUNC($I71*(1+_xlfn.SWITCH($N71,"BDI 1",$P$6,"BDI 2",$P$7,"BDI 3",$P$8)),2)</f>
        <v>8.11</v>
      </c>
      <c r="Q71" s="157">
        <v>0</v>
      </c>
      <c r="R71" s="157">
        <f t="shared" ref="R71" si="99">$Q71-($Q71*LICITACAO_DESCONTO)</f>
        <v>0</v>
      </c>
      <c r="S71" s="156">
        <f t="shared" si="12"/>
        <v>3860</v>
      </c>
      <c r="T71" s="156">
        <f t="shared" si="13"/>
        <v>4055</v>
      </c>
      <c r="U71" s="156">
        <f t="shared" si="14"/>
        <v>0</v>
      </c>
      <c r="V71" s="156">
        <f t="shared" si="15"/>
        <v>0</v>
      </c>
      <c r="W71" s="156">
        <f t="shared" si="16"/>
        <v>0</v>
      </c>
      <c r="X71" s="158">
        <f t="shared" ref="X71" si="100">$S71/ORCAMENTO_VALOR_TOTAL_ND</f>
        <v>1.2482013935308401E-3</v>
      </c>
      <c r="Y71" s="158">
        <f t="shared" ref="Y71" si="101">$T71/ORCAMENTO_VALOR_TOTAL_DE</f>
        <v>1.1922268199088086E-3</v>
      </c>
      <c r="Z71" s="158" cm="1">
        <f t="array" ref="Z71">_xlfn.SWITCH($N71,"BDI 1",$O$6,"BDI 2",$O$7,"BDI 3",$O$8)</f>
        <v>0.20699999999999999</v>
      </c>
      <c r="AA71" s="158" cm="1">
        <f t="array" ref="AA71">_xlfn.SWITCH($N71,"BDI 1",$P$6,"BDI 2",$P$7,"BDI 3",$P$8)</f>
        <v>0.26739999999999997</v>
      </c>
      <c r="AB71" s="158">
        <f t="shared" ca="1" si="19"/>
        <v>0</v>
      </c>
      <c r="AC71" s="158">
        <f t="shared" ca="1" si="20"/>
        <v>0</v>
      </c>
      <c r="AD71" s="164"/>
      <c r="AE71" s="148">
        <f t="shared" si="8"/>
        <v>0</v>
      </c>
      <c r="AF71" s="149"/>
      <c r="AG71" s="150"/>
      <c r="AH71" s="159">
        <f t="shared" si="21"/>
        <v>3.7921757981965162E-2</v>
      </c>
      <c r="AI71" s="165" t="s">
        <v>101</v>
      </c>
      <c r="AK71" s="105"/>
      <c r="AL71" s="105"/>
      <c r="AM71" s="105"/>
      <c r="AN71" s="105"/>
      <c r="AO71" s="105"/>
      <c r="AP71" s="105"/>
      <c r="AQ71" s="105"/>
      <c r="AR71" s="105"/>
    </row>
    <row r="72" spans="1:44" s="49" customFormat="1" ht="40.15" hidden="1" customHeight="1">
      <c r="A72" s="10" t="e">
        <f t="shared" si="74"/>
        <v>#REF!</v>
      </c>
      <c r="B72" s="153"/>
      <c r="C72" s="154"/>
      <c r="D72" s="154"/>
      <c r="E72" s="161" t="s">
        <v>102</v>
      </c>
      <c r="F72" s="154"/>
      <c r="G72" s="154"/>
      <c r="H72" s="152"/>
      <c r="I72" s="152"/>
      <c r="J72" s="154"/>
      <c r="K72" s="154"/>
      <c r="L72" s="154"/>
      <c r="M72" s="154"/>
      <c r="N72" s="154"/>
      <c r="O72" s="154"/>
      <c r="P72" s="154"/>
      <c r="Q72" s="154"/>
      <c r="R72" s="154"/>
      <c r="S72" s="162"/>
      <c r="T72" s="162"/>
      <c r="U72" s="162"/>
      <c r="V72" s="162"/>
      <c r="W72" s="162"/>
      <c r="X72" s="163"/>
      <c r="Y72" s="163"/>
      <c r="Z72" s="163"/>
      <c r="AA72" s="163"/>
      <c r="AB72" s="163"/>
      <c r="AC72" s="163"/>
      <c r="AD72" s="164"/>
      <c r="AE72" s="148">
        <f>IF(SUM(S73:S74)&gt;0,IFERROR(TRUNC(A72,0),0),0)</f>
        <v>0</v>
      </c>
      <c r="AF72" s="149"/>
      <c r="AG72" s="150"/>
      <c r="AH72" s="159"/>
      <c r="AI72" s="160" t="s">
        <v>85</v>
      </c>
      <c r="AK72" s="105"/>
      <c r="AL72" s="105"/>
      <c r="AM72" s="105"/>
      <c r="AN72" s="105"/>
      <c r="AO72" s="105"/>
      <c r="AP72" s="105"/>
      <c r="AQ72" s="105"/>
      <c r="AR72" s="105"/>
    </row>
    <row r="73" spans="1:44" s="49" customFormat="1" ht="40.15" hidden="1" customHeight="1">
      <c r="A73" s="152" t="e">
        <f t="shared" si="74"/>
        <v>#REF!</v>
      </c>
      <c r="B73" s="153">
        <v>95876</v>
      </c>
      <c r="C73" s="154" t="str">
        <f>TEXT(B73,"0")</f>
        <v>95876</v>
      </c>
      <c r="D73" s="154" t="s">
        <v>1416</v>
      </c>
      <c r="E73" s="155" t="s">
        <v>3537</v>
      </c>
      <c r="F73" s="154">
        <f>IF(Dados_DMT!$B$17&lt;30,Dados_DMT!$B$17,30)</f>
        <v>3.5</v>
      </c>
      <c r="G73" s="154" t="s">
        <v>3538</v>
      </c>
      <c r="H73" s="152">
        <v>2.09</v>
      </c>
      <c r="I73" s="152">
        <v>2.1</v>
      </c>
      <c r="J73" s="156"/>
      <c r="K73" s="156">
        <f>ROUND(K71*F73,2)</f>
        <v>1750</v>
      </c>
      <c r="L73" s="156">
        <f>IF($K73&gt;$J73,$K73-$J73,0)</f>
        <v>1750</v>
      </c>
      <c r="M73" s="156">
        <f>IF($K73&lt;$J73,$J73-$K73,0)</f>
        <v>0</v>
      </c>
      <c r="N73" s="156" t="s">
        <v>83</v>
      </c>
      <c r="O73" s="157" cm="1">
        <f t="array" ref="O73">TRUNC($H73*(1+_xlfn.SWITCH($N73,"BDI 1",$O$6,"BDI 2",$O$7,"BDI 3",$O$8)),2)</f>
        <v>2.52</v>
      </c>
      <c r="P73" s="157" cm="1">
        <f t="array" ref="P73">TRUNC($I73*(1+_xlfn.SWITCH($N73,"BDI 1",$P$6,"BDI 2",$P$7,"BDI 3",$P$8)),2)</f>
        <v>2.66</v>
      </c>
      <c r="Q73" s="157">
        <v>0</v>
      </c>
      <c r="R73" s="157">
        <v>0</v>
      </c>
      <c r="S73" s="156">
        <f>TRUNC($K73*$O73,2)</f>
        <v>4410</v>
      </c>
      <c r="T73" s="156">
        <f>TRUNC($K73*$P73,2)</f>
        <v>4655</v>
      </c>
      <c r="U73" s="156">
        <f>TRUNC($J73*$R73,2)</f>
        <v>0</v>
      </c>
      <c r="V73" s="156">
        <f>TRUNC($K73*$Q73,2)</f>
        <v>0</v>
      </c>
      <c r="W73" s="156">
        <f>TRUNC(V73-U73,2)</f>
        <v>0</v>
      </c>
      <c r="X73" s="158">
        <f>$S73/ORCAMENTO_VALOR_TOTAL_ND</f>
        <v>1.4260539236971514E-3</v>
      </c>
      <c r="Y73" s="158">
        <f>$T73/ORCAMENTO_VALOR_TOTAL_DE</f>
        <v>1.3686352272935891E-3</v>
      </c>
      <c r="Z73" s="158" cm="1">
        <f t="array" ref="Z73">_xlfn.SWITCH($N73,"BDI 1",$O$6,"BDI 2",$O$7,"BDI 3",$O$8)</f>
        <v>0.20699999999999999</v>
      </c>
      <c r="AA73" s="158" cm="1">
        <f t="array" ref="AA73">_xlfn.SWITCH($N73,"BDI 1",$P$6,"BDI 2",$P$7,"BDI 3",$P$8)</f>
        <v>0.26739999999999997</v>
      </c>
      <c r="AB73" s="158">
        <f ca="1">IFERROR($S73/_xlfn.XLOOKUP($AE73,$B$16:$B$38,$S$16:$S$38),0)</f>
        <v>0</v>
      </c>
      <c r="AC73" s="158">
        <f ca="1">IFERROR($T73/_xlfn.XLOOKUP($AE73,$B$16:$B$38,$T$16:$T$38),0)</f>
        <v>0</v>
      </c>
      <c r="AD73" s="164"/>
      <c r="AE73" s="148">
        <f t="shared" ref="AE73:AE74" si="102">IF(S73&gt;0,IFERROR(TRUNC(A73,0),0),0)</f>
        <v>0</v>
      </c>
      <c r="AF73" s="149"/>
      <c r="AG73" s="150"/>
      <c r="AH73" s="159">
        <f>S73/S$42</f>
        <v>4.3325117279913561E-2</v>
      </c>
      <c r="AI73" s="166">
        <f>IF(K73=0,0,K73/F73)</f>
        <v>500</v>
      </c>
      <c r="AK73" s="167"/>
      <c r="AL73" s="105"/>
      <c r="AM73" s="105"/>
      <c r="AN73" s="105"/>
      <c r="AO73" s="105"/>
      <c r="AP73" s="105"/>
      <c r="AQ73" s="105"/>
      <c r="AR73" s="105"/>
    </row>
    <row r="74" spans="1:44" s="49" customFormat="1" ht="40.15" hidden="1" customHeight="1">
      <c r="A74" s="152" t="e">
        <f t="shared" si="74"/>
        <v>#REF!</v>
      </c>
      <c r="B74" s="153">
        <v>93593</v>
      </c>
      <c r="C74" s="154" t="str">
        <f>TEXT(B74,"0")</f>
        <v>93593</v>
      </c>
      <c r="D74" s="154" t="s">
        <v>1416</v>
      </c>
      <c r="E74" s="155" t="s">
        <v>3545</v>
      </c>
      <c r="F74" s="154">
        <f>Dados_DMT!$B$17-F73</f>
        <v>0</v>
      </c>
      <c r="G74" s="154" t="s">
        <v>3538</v>
      </c>
      <c r="H74" s="152">
        <v>0.84</v>
      </c>
      <c r="I74" s="152">
        <v>0.85</v>
      </c>
      <c r="J74" s="156"/>
      <c r="K74" s="156">
        <f>ROUND(K71*F74,2)</f>
        <v>0</v>
      </c>
      <c r="L74" s="156">
        <f>IF($K74&gt;$J74,$K74-$J74,0)</f>
        <v>0</v>
      </c>
      <c r="M74" s="156">
        <f>IF($K74&lt;$J74,$J74-$K74,0)</f>
        <v>0</v>
      </c>
      <c r="N74" s="156" t="s">
        <v>83</v>
      </c>
      <c r="O74" s="157" cm="1">
        <f t="array" ref="O74">TRUNC($H74*(1+_xlfn.SWITCH($N74,"BDI 1",$O$6,"BDI 2",$O$7,"BDI 3",$O$8)),2)</f>
        <v>1.01</v>
      </c>
      <c r="P74" s="157" cm="1">
        <f t="array" ref="P74">TRUNC($I74*(1+_xlfn.SWITCH($N74,"BDI 1",$P$6,"BDI 2",$P$7,"BDI 3",$P$8)),2)</f>
        <v>1.07</v>
      </c>
      <c r="Q74" s="157">
        <v>0</v>
      </c>
      <c r="R74" s="157">
        <v>0</v>
      </c>
      <c r="S74" s="156">
        <f>TRUNC($K74*$O74,2)</f>
        <v>0</v>
      </c>
      <c r="T74" s="156">
        <f>TRUNC($K74*$P74,2)</f>
        <v>0</v>
      </c>
      <c r="U74" s="156">
        <f>TRUNC($J74*$R74,2)</f>
        <v>0</v>
      </c>
      <c r="V74" s="156">
        <f>TRUNC($K74*$Q74,2)</f>
        <v>0</v>
      </c>
      <c r="W74" s="156">
        <f>TRUNC(V74-U74,2)</f>
        <v>0</v>
      </c>
      <c r="X74" s="158">
        <f>$S74/ORCAMENTO_VALOR_TOTAL_ND</f>
        <v>0</v>
      </c>
      <c r="Y74" s="158">
        <f>$T74/ORCAMENTO_VALOR_TOTAL_DE</f>
        <v>0</v>
      </c>
      <c r="Z74" s="158" cm="1">
        <f t="array" ref="Z74">_xlfn.SWITCH($N74,"BDI 1",$O$6,"BDI 2",$O$7,"BDI 3",$O$8)</f>
        <v>0.20699999999999999</v>
      </c>
      <c r="AA74" s="158" cm="1">
        <f t="array" ref="AA74">_xlfn.SWITCH($N74,"BDI 1",$P$6,"BDI 2",$P$7,"BDI 3",$P$8)</f>
        <v>0.26739999999999997</v>
      </c>
      <c r="AB74" s="158">
        <f ca="1">IFERROR($S74/_xlfn.XLOOKUP($AE74,$B$16:$B$38,$S$16:$S$38),0)</f>
        <v>0</v>
      </c>
      <c r="AC74" s="158">
        <f ca="1">IFERROR($T74/_xlfn.XLOOKUP($AE74,$B$16:$B$38,$T$16:$T$38),0)</f>
        <v>0</v>
      </c>
      <c r="AD74" s="164"/>
      <c r="AE74" s="148">
        <f t="shared" si="102"/>
        <v>0</v>
      </c>
      <c r="AF74" s="149"/>
      <c r="AG74" s="150"/>
      <c r="AH74" s="159">
        <f>S74/S$42</f>
        <v>0</v>
      </c>
      <c r="AI74" s="166">
        <f>IF(K74=0,0,K74/F74)</f>
        <v>0</v>
      </c>
      <c r="AK74" s="105"/>
      <c r="AL74" s="105"/>
      <c r="AM74" s="105"/>
      <c r="AN74" s="105"/>
      <c r="AO74" s="105"/>
      <c r="AP74" s="105"/>
      <c r="AQ74" s="105"/>
      <c r="AR74" s="105"/>
    </row>
    <row r="75" spans="1:44" s="49" customFormat="1" ht="40.15" hidden="1" customHeight="1">
      <c r="A75" s="10" t="e">
        <f t="shared" si="74"/>
        <v>#REF!</v>
      </c>
      <c r="B75" s="153"/>
      <c r="C75" s="154"/>
      <c r="D75" s="154"/>
      <c r="E75" s="161" t="s">
        <v>103</v>
      </c>
      <c r="F75" s="154"/>
      <c r="G75" s="154"/>
      <c r="H75" s="152"/>
      <c r="I75" s="152"/>
      <c r="J75" s="154"/>
      <c r="K75" s="154"/>
      <c r="L75" s="154"/>
      <c r="M75" s="154"/>
      <c r="N75" s="154"/>
      <c r="O75" s="154"/>
      <c r="P75" s="154"/>
      <c r="Q75" s="154"/>
      <c r="R75" s="154"/>
      <c r="S75" s="162"/>
      <c r="T75" s="162"/>
      <c r="U75" s="162"/>
      <c r="V75" s="162"/>
      <c r="W75" s="162"/>
      <c r="X75" s="163"/>
      <c r="Y75" s="163"/>
      <c r="Z75" s="163"/>
      <c r="AA75" s="163"/>
      <c r="AB75" s="163"/>
      <c r="AC75" s="163"/>
      <c r="AD75" s="164"/>
      <c r="AE75" s="148">
        <f>IF(SUM(S76:S77)&gt;0,IFERROR(TRUNC(A75,0),0),0)</f>
        <v>0</v>
      </c>
      <c r="AF75" s="149"/>
      <c r="AG75" s="150"/>
      <c r="AH75" s="159"/>
      <c r="AI75" s="160" t="s">
        <v>85</v>
      </c>
      <c r="AK75" s="105"/>
      <c r="AL75" s="105"/>
      <c r="AM75" s="105"/>
      <c r="AN75" s="105"/>
      <c r="AO75" s="105"/>
      <c r="AP75" s="105"/>
      <c r="AQ75" s="105"/>
      <c r="AR75" s="105"/>
    </row>
    <row r="76" spans="1:44" s="49" customFormat="1" ht="40.15" hidden="1" customHeight="1">
      <c r="A76" s="152" t="e">
        <f t="shared" si="74"/>
        <v>#REF!</v>
      </c>
      <c r="B76" s="153">
        <v>95876</v>
      </c>
      <c r="C76" s="154" t="str">
        <f>TEXT(B76,"0")</f>
        <v>95876</v>
      </c>
      <c r="D76" s="154" t="s">
        <v>1416</v>
      </c>
      <c r="E76" s="155" t="s">
        <v>3537</v>
      </c>
      <c r="F76" s="154">
        <f>IF(Dados_DMT!$B$34&lt;30,Dados_DMT!$B$34,30)</f>
        <v>30</v>
      </c>
      <c r="G76" s="154" t="s">
        <v>3538</v>
      </c>
      <c r="H76" s="152">
        <v>2.09</v>
      </c>
      <c r="I76" s="152">
        <v>2.1</v>
      </c>
      <c r="J76" s="156"/>
      <c r="K76" s="156">
        <f>ROUND(S_Preliminares!N17*1.1*F76,2)</f>
        <v>1031.25</v>
      </c>
      <c r="L76" s="156">
        <f>IF($K76&gt;$J76,$K76-$J76,0)</f>
        <v>1031.25</v>
      </c>
      <c r="M76" s="156">
        <f>IF($K76&lt;$J76,$J76-$K76,0)</f>
        <v>0</v>
      </c>
      <c r="N76" s="156" t="s">
        <v>83</v>
      </c>
      <c r="O76" s="157" cm="1">
        <f t="array" ref="O76">TRUNC($H76*(1+_xlfn.SWITCH($N76,"BDI 1",$O$6,"BDI 2",$O$7,"BDI 3",$O$8)),2)</f>
        <v>2.52</v>
      </c>
      <c r="P76" s="157" cm="1">
        <f t="array" ref="P76">TRUNC($I76*(1+_xlfn.SWITCH($N76,"BDI 1",$P$6,"BDI 2",$P$7,"BDI 3",$P$8)),2)</f>
        <v>2.66</v>
      </c>
      <c r="Q76" s="157">
        <v>0</v>
      </c>
      <c r="R76" s="157">
        <v>0</v>
      </c>
      <c r="S76" s="156">
        <f>TRUNC($K76*$O76,2)</f>
        <v>2598.75</v>
      </c>
      <c r="T76" s="156">
        <f>TRUNC($K76*$P76,2)</f>
        <v>2743.12</v>
      </c>
      <c r="U76" s="156">
        <f>TRUNC($J76*$R76,2)</f>
        <v>0</v>
      </c>
      <c r="V76" s="156">
        <f>TRUNC($K76*$Q76,2)</f>
        <v>0</v>
      </c>
      <c r="W76" s="156">
        <f>TRUNC(V76-U76,2)</f>
        <v>0</v>
      </c>
      <c r="X76" s="158">
        <f>$S76/ORCAMENTO_VALOR_TOTAL_ND</f>
        <v>8.4035320503582139E-4</v>
      </c>
      <c r="Y76" s="158">
        <f>$T76/ORCAMENTO_VALOR_TOTAL_DE</f>
        <v>8.0651571744223198E-4</v>
      </c>
      <c r="Z76" s="158" cm="1">
        <f t="array" ref="Z76">_xlfn.SWITCH($N76,"BDI 1",$O$6,"BDI 2",$O$7,"BDI 3",$O$8)</f>
        <v>0.20699999999999999</v>
      </c>
      <c r="AA76" s="158" cm="1">
        <f t="array" ref="AA76">_xlfn.SWITCH($N76,"BDI 1",$P$6,"BDI 2",$P$7,"BDI 3",$P$8)</f>
        <v>0.26739999999999997</v>
      </c>
      <c r="AB76" s="158">
        <f ca="1">IFERROR($S76/_xlfn.XLOOKUP($AE76,$B$16:$B$38,$S$16:$S$38),0)</f>
        <v>0</v>
      </c>
      <c r="AC76" s="158">
        <f ca="1">IFERROR($T76/_xlfn.XLOOKUP($AE76,$B$16:$B$38,$T$16:$T$38),0)</f>
        <v>0</v>
      </c>
      <c r="AD76" s="164"/>
      <c r="AE76" s="148">
        <f t="shared" ref="AE76:AE77" si="103">IF(S76&gt;0,IFERROR(TRUNC(A76,0),0),0)</f>
        <v>0</v>
      </c>
      <c r="AF76" s="149"/>
      <c r="AG76" s="150"/>
      <c r="AH76" s="159">
        <f>S76/S$42</f>
        <v>2.5530872682806207E-2</v>
      </c>
      <c r="AI76" s="166">
        <f>IF(K76=0,0,K76/F76)</f>
        <v>34.375</v>
      </c>
      <c r="AK76" s="105"/>
      <c r="AL76" s="105"/>
      <c r="AM76" s="105"/>
      <c r="AN76" s="105"/>
      <c r="AO76" s="105"/>
      <c r="AP76" s="105"/>
      <c r="AQ76" s="105"/>
      <c r="AR76" s="105"/>
    </row>
    <row r="77" spans="1:44" s="49" customFormat="1" ht="40.15" hidden="1" customHeight="1">
      <c r="A77" s="152" t="e">
        <f t="shared" si="74"/>
        <v>#REF!</v>
      </c>
      <c r="B77" s="153">
        <v>93593</v>
      </c>
      <c r="C77" s="154" t="str">
        <f>TEXT(B77,"0")</f>
        <v>93593</v>
      </c>
      <c r="D77" s="154" t="s">
        <v>1416</v>
      </c>
      <c r="E77" s="155" t="s">
        <v>3545</v>
      </c>
      <c r="F77" s="154">
        <f>Dados_DMT!$B$34-F76</f>
        <v>80</v>
      </c>
      <c r="G77" s="154" t="s">
        <v>3538</v>
      </c>
      <c r="H77" s="152">
        <v>0.84</v>
      </c>
      <c r="I77" s="152">
        <v>0.85</v>
      </c>
      <c r="J77" s="156"/>
      <c r="K77" s="156">
        <f>ROUND(S_Preliminares!N17*1.1*F77,2)</f>
        <v>2750</v>
      </c>
      <c r="L77" s="156">
        <f>IF($K77&gt;$J77,$K77-$J77,0)</f>
        <v>2750</v>
      </c>
      <c r="M77" s="156">
        <f>IF($K77&lt;$J77,$J77-$K77,0)</f>
        <v>0</v>
      </c>
      <c r="N77" s="156" t="s">
        <v>83</v>
      </c>
      <c r="O77" s="157" cm="1">
        <f t="array" ref="O77">TRUNC($H77*(1+_xlfn.SWITCH($N77,"BDI 1",$O$6,"BDI 2",$O$7,"BDI 3",$O$8)),2)</f>
        <v>1.01</v>
      </c>
      <c r="P77" s="157" cm="1">
        <f t="array" ref="P77">TRUNC($I77*(1+_xlfn.SWITCH($N77,"BDI 1",$P$6,"BDI 2",$P$7,"BDI 3",$P$8)),2)</f>
        <v>1.07</v>
      </c>
      <c r="Q77" s="157">
        <v>0</v>
      </c>
      <c r="R77" s="157">
        <v>0</v>
      </c>
      <c r="S77" s="156">
        <f>TRUNC($K77*$O77,2)</f>
        <v>2777.5</v>
      </c>
      <c r="T77" s="156">
        <f>TRUNC($K77*$P77,2)</f>
        <v>2942.5</v>
      </c>
      <c r="U77" s="156">
        <f>TRUNC($J77*$R77,2)</f>
        <v>0</v>
      </c>
      <c r="V77" s="156">
        <f>TRUNC($K77*$Q77,2)</f>
        <v>0</v>
      </c>
      <c r="W77" s="156">
        <f>TRUNC(V77-U77,2)</f>
        <v>0</v>
      </c>
      <c r="X77" s="158">
        <f>$S77/ORCAMENTO_VALOR_TOTAL_ND</f>
        <v>8.9815527733987262E-4</v>
      </c>
      <c r="Y77" s="158">
        <f>$T77/ORCAMENTO_VALOR_TOTAL_DE</f>
        <v>8.6513623121619459E-4</v>
      </c>
      <c r="Z77" s="158" cm="1">
        <f t="array" ref="Z77">_xlfn.SWITCH($N77,"BDI 1",$O$6,"BDI 2",$O$7,"BDI 3",$O$8)</f>
        <v>0.20699999999999999</v>
      </c>
      <c r="AA77" s="158" cm="1">
        <f t="array" ref="AA77">_xlfn.SWITCH($N77,"BDI 1",$P$6,"BDI 2",$P$7,"BDI 3",$P$8)</f>
        <v>0.26739999999999997</v>
      </c>
      <c r="AB77" s="158">
        <f ca="1">IFERROR($S77/_xlfn.XLOOKUP($AE77,$B$16:$B$38,$S$16:$S$38),0)</f>
        <v>0</v>
      </c>
      <c r="AC77" s="158">
        <f ca="1">IFERROR($T77/_xlfn.XLOOKUP($AE77,$B$16:$B$38,$T$16:$T$38),0)</f>
        <v>0</v>
      </c>
      <c r="AD77" s="164"/>
      <c r="AE77" s="148">
        <f t="shared" si="103"/>
        <v>0</v>
      </c>
      <c r="AF77" s="149"/>
      <c r="AG77" s="150"/>
      <c r="AH77" s="159">
        <f>S77/S$42</f>
        <v>2.7286964454639438E-2</v>
      </c>
      <c r="AI77" s="166">
        <f>IF(K77=0,0,K77/F77)</f>
        <v>34.375</v>
      </c>
      <c r="AK77" s="105"/>
      <c r="AL77" s="105"/>
      <c r="AM77" s="105"/>
      <c r="AN77" s="105"/>
      <c r="AO77" s="105"/>
      <c r="AP77" s="105"/>
      <c r="AQ77" s="105"/>
      <c r="AR77" s="105"/>
    </row>
    <row r="78" spans="1:44" s="49" customFormat="1" ht="40.15" hidden="1" customHeight="1">
      <c r="A78" s="10" t="e">
        <f t="shared" si="74"/>
        <v>#REF!</v>
      </c>
      <c r="B78" s="153"/>
      <c r="C78" s="154"/>
      <c r="D78" s="154"/>
      <c r="E78" s="155"/>
      <c r="F78" s="154"/>
      <c r="G78" s="154"/>
      <c r="H78" s="154"/>
      <c r="I78" s="154"/>
      <c r="J78" s="168"/>
      <c r="K78" s="168"/>
      <c r="L78" s="168"/>
      <c r="M78" s="168"/>
      <c r="N78" s="168"/>
      <c r="O78" s="157"/>
      <c r="P78" s="157"/>
      <c r="Q78" s="157"/>
      <c r="R78" s="157"/>
      <c r="S78" s="162"/>
      <c r="T78" s="162"/>
      <c r="U78" s="162"/>
      <c r="V78" s="162"/>
      <c r="W78" s="162"/>
      <c r="X78" s="163"/>
      <c r="Y78" s="163"/>
      <c r="Z78" s="163"/>
      <c r="AA78" s="163"/>
      <c r="AB78" s="163"/>
      <c r="AC78" s="163"/>
      <c r="AD78" s="164"/>
      <c r="AE78" s="148">
        <f>IF(S79&gt;0,IFERROR(TRUNC(A79,0),0),0)</f>
        <v>0</v>
      </c>
      <c r="AF78" s="149"/>
      <c r="AG78" s="150"/>
      <c r="AH78" s="159"/>
      <c r="AI78" s="160"/>
      <c r="AK78" s="105"/>
      <c r="AL78" s="105"/>
      <c r="AM78" s="105"/>
      <c r="AN78" s="105"/>
      <c r="AO78" s="105"/>
      <c r="AP78" s="105"/>
      <c r="AQ78" s="105"/>
      <c r="AR78" s="105"/>
    </row>
    <row r="79" spans="1:44" s="105" customFormat="1" ht="40.15" hidden="1" customHeight="1">
      <c r="A79" s="169">
        <f ca="1">$B$18</f>
        <v>0</v>
      </c>
      <c r="B79" s="170"/>
      <c r="C79" s="171"/>
      <c r="D79" s="172"/>
      <c r="E79" s="173" t="str">
        <f>$D$18</f>
        <v>REMOÇÕES, DEMOLIÇÕES E SUPRESSÕES</v>
      </c>
      <c r="F79" s="174">
        <v>0</v>
      </c>
      <c r="G79" s="175"/>
      <c r="H79" s="176" t="s">
        <v>104</v>
      </c>
      <c r="I79" s="176" t="s">
        <v>104</v>
      </c>
      <c r="J79" s="177"/>
      <c r="K79" s="177"/>
      <c r="L79" s="177"/>
      <c r="M79" s="177"/>
      <c r="N79" s="177"/>
      <c r="O79" s="178" t="str">
        <f ca="1">CONCATENATE("SUB-TOTAL ",$A79)</f>
        <v>SUB-TOTAL 0</v>
      </c>
      <c r="P79" s="178" t="e" cm="1">
        <f t="array" ref="P79">TRUNC($I79*(1+_xlfn.SWITCH($N79,"BDI 1",$P$6,"BDI 2",$P$7,"BDI 3",$P$8)),2)</f>
        <v>#VALUE!</v>
      </c>
      <c r="Q79" s="178" t="str">
        <f ca="1">CONCATENATE("SUB-TOTAL ",$A79)</f>
        <v>SUB-TOTAL 0</v>
      </c>
      <c r="R79" s="178"/>
      <c r="S79" s="179">
        <f>SUM(S80:S116)</f>
        <v>0</v>
      </c>
      <c r="T79" s="179">
        <f>SUM(T80:T116)</f>
        <v>0</v>
      </c>
      <c r="U79" s="179">
        <f>SUM(U80:U116)</f>
        <v>0</v>
      </c>
      <c r="V79" s="179">
        <f>SUM(V80:V116)</f>
        <v>0</v>
      </c>
      <c r="W79" s="179">
        <f t="shared" ref="W79:W105" si="104">TRUNC(V79-U79,2)</f>
        <v>0</v>
      </c>
      <c r="X79" s="180">
        <f t="shared" ref="X79" si="105">$S79/ORCAMENTO_VALOR_TOTAL_ND</f>
        <v>0</v>
      </c>
      <c r="Y79" s="180">
        <f t="shared" ref="Y79" si="106">$T79/ORCAMENTO_VALOR_TOTAL_DE</f>
        <v>0</v>
      </c>
      <c r="Z79" s="180"/>
      <c r="AA79" s="180"/>
      <c r="AB79" s="180">
        <f>IFERROR($S79/$S79,0)</f>
        <v>0</v>
      </c>
      <c r="AC79" s="180">
        <f>IFERROR($T79/$T79,0)</f>
        <v>0</v>
      </c>
      <c r="AD79" s="147"/>
      <c r="AE79" s="148">
        <f t="shared" ref="AE79:AE105" si="107">IF(S79&gt;0,IFERROR(TRUNC(A79,0),0),0)</f>
        <v>0</v>
      </c>
      <c r="AF79" s="149"/>
      <c r="AG79" s="150"/>
      <c r="AH79" s="151" t="e">
        <f t="shared" ref="AH79:AH105" si="108">S79/$S$79</f>
        <v>#DIV/0!</v>
      </c>
      <c r="AJ79" s="181" t="s">
        <v>105</v>
      </c>
      <c r="AK79" s="181" t="s">
        <v>106</v>
      </c>
    </row>
    <row r="80" spans="1:44" s="49" customFormat="1" ht="40.15" hidden="1" customHeight="1">
      <c r="A80" s="152">
        <f t="shared" ref="A80:A117" ca="1" si="109">IF(K80&gt;0,A79+0.01,A79)</f>
        <v>0</v>
      </c>
      <c r="B80" s="153" t="s">
        <v>107</v>
      </c>
      <c r="C80" s="154" t="str">
        <f t="shared" ref="C80:C105" si="110">TEXT(B80,"0")</f>
        <v>SR/0010</v>
      </c>
      <c r="D80" s="154" t="s">
        <v>3549</v>
      </c>
      <c r="E80" s="155" t="s">
        <v>3589</v>
      </c>
      <c r="F80" s="154"/>
      <c r="G80" s="154" t="s">
        <v>464</v>
      </c>
      <c r="H80" s="152">
        <v>282.77999999999997</v>
      </c>
      <c r="I80" s="152">
        <v>257</v>
      </c>
      <c r="J80" s="156"/>
      <c r="K80" s="156">
        <f>Demolicao!M5</f>
        <v>0</v>
      </c>
      <c r="L80" s="156">
        <f t="shared" ref="L80:L105" si="111">IF($K80&gt;$J80,$K80-$J80,0)</f>
        <v>0</v>
      </c>
      <c r="M80" s="156">
        <f t="shared" ref="M80:M105" si="112">IF($K80&lt;$J80,$J80-$K80,0)</f>
        <v>0</v>
      </c>
      <c r="N80" s="156" t="s">
        <v>83</v>
      </c>
      <c r="O80" s="157" cm="1">
        <f t="array" ref="O80">TRUNC($H80*(1+_xlfn.SWITCH($N80,"BDI 1",$O$6,"BDI 2",$O$7,"BDI 3",$O$8)),2)</f>
        <v>341.31</v>
      </c>
      <c r="P80" s="157" cm="1">
        <f t="array" ref="P80">TRUNC($I80*(1+_xlfn.SWITCH($N80,"BDI 1",$P$6,"BDI 2",$P$7,"BDI 3",$P$8)),2)</f>
        <v>325.72000000000003</v>
      </c>
      <c r="Q80" s="157">
        <v>0</v>
      </c>
      <c r="R80" s="157">
        <f t="shared" ref="R80" si="113">$Q80-($Q80*LICITACAO_DESCONTO)</f>
        <v>0</v>
      </c>
      <c r="S80" s="156">
        <f t="shared" ref="S80:S105" si="114">TRUNC($K80*$O80,2)</f>
        <v>0</v>
      </c>
      <c r="T80" s="156">
        <f t="shared" ref="T80:T105" si="115">TRUNC($K80*$P80,2)</f>
        <v>0</v>
      </c>
      <c r="U80" s="156">
        <f t="shared" ref="U80:U105" si="116">TRUNC($J80*$R80,2)</f>
        <v>0</v>
      </c>
      <c r="V80" s="156">
        <f t="shared" ref="V80:V105" si="117">TRUNC($K80*$Q80,2)</f>
        <v>0</v>
      </c>
      <c r="W80" s="156">
        <f t="shared" si="104"/>
        <v>0</v>
      </c>
      <c r="X80" s="158">
        <f t="shared" ref="X80" si="118">$S80/ORCAMENTO_VALOR_TOTAL_ND</f>
        <v>0</v>
      </c>
      <c r="Y80" s="158">
        <f t="shared" ref="Y80" si="119">$T80/ORCAMENTO_VALOR_TOTAL_DE</f>
        <v>0</v>
      </c>
      <c r="Z80" s="158" cm="1">
        <f t="array" ref="Z80">_xlfn.SWITCH($N80,"BDI 1",$O$6,"BDI 2",$O$7,"BDI 3",$O$8)</f>
        <v>0.20699999999999999</v>
      </c>
      <c r="AA80" s="158" cm="1">
        <f t="array" ref="AA80">_xlfn.SWITCH($N80,"BDI 1",$P$6,"BDI 2",$P$7,"BDI 3",$P$8)</f>
        <v>0.26739999999999997</v>
      </c>
      <c r="AB80" s="158">
        <f t="shared" ref="AB80:AB105" ca="1" si="120">IFERROR($S80/_xlfn.XLOOKUP($AE80,$B$16:$B$38,$S$16:$S$38),0)</f>
        <v>0</v>
      </c>
      <c r="AC80" s="158">
        <f t="shared" ref="AC80:AC105" ca="1" si="121">IFERROR($T80/_xlfn.XLOOKUP($AE80,$B$16:$B$38,$T$16:$T$38),0)</f>
        <v>0</v>
      </c>
      <c r="AD80" s="164"/>
      <c r="AE80" s="148">
        <f t="shared" si="107"/>
        <v>0</v>
      </c>
      <c r="AF80" s="149"/>
      <c r="AG80" s="150"/>
      <c r="AH80" s="159" t="e">
        <f t="shared" si="108"/>
        <v>#DIV/0!</v>
      </c>
      <c r="AI80" s="160"/>
      <c r="AJ80" s="182">
        <v>0.08</v>
      </c>
      <c r="AK80" s="183">
        <f t="shared" ref="AK80:AK89" si="122">K80/AJ80</f>
        <v>0</v>
      </c>
      <c r="AM80" s="105"/>
      <c r="AN80" s="105"/>
      <c r="AO80" s="105"/>
      <c r="AP80" s="105"/>
      <c r="AQ80" s="105"/>
      <c r="AR80" s="105"/>
    </row>
    <row r="81" spans="1:44" s="49" customFormat="1" ht="40.15" hidden="1" customHeight="1">
      <c r="A81" s="152">
        <f t="shared" ca="1" si="109"/>
        <v>0</v>
      </c>
      <c r="B81" s="153" t="s">
        <v>108</v>
      </c>
      <c r="C81" s="154" t="str">
        <f t="shared" si="110"/>
        <v>SR/0020</v>
      </c>
      <c r="D81" s="154" t="s">
        <v>3549</v>
      </c>
      <c r="E81" s="155" t="s">
        <v>3590</v>
      </c>
      <c r="F81" s="154"/>
      <c r="G81" s="154" t="s">
        <v>464</v>
      </c>
      <c r="H81" s="152">
        <v>253.4</v>
      </c>
      <c r="I81" s="152">
        <v>247.04</v>
      </c>
      <c r="J81" s="156"/>
      <c r="K81" s="156">
        <f>Demolicao!M10</f>
        <v>0</v>
      </c>
      <c r="L81" s="156">
        <f t="shared" si="111"/>
        <v>0</v>
      </c>
      <c r="M81" s="156">
        <f t="shared" si="112"/>
        <v>0</v>
      </c>
      <c r="N81" s="156" t="s">
        <v>83</v>
      </c>
      <c r="O81" s="157" cm="1">
        <f t="array" ref="O81">TRUNC($H81*(1+_xlfn.SWITCH($N81,"BDI 1",$O$6,"BDI 2",$O$7,"BDI 3",$O$8)),2)</f>
        <v>305.85000000000002</v>
      </c>
      <c r="P81" s="157" cm="1">
        <f t="array" ref="P81">TRUNC($I81*(1+_xlfn.SWITCH($N81,"BDI 1",$P$6,"BDI 2",$P$7,"BDI 3",$P$8)),2)</f>
        <v>313.08999999999997</v>
      </c>
      <c r="Q81" s="157">
        <v>0</v>
      </c>
      <c r="R81" s="157">
        <f t="shared" ref="R81" si="123">$Q81-($Q81*LICITACAO_DESCONTO)</f>
        <v>0</v>
      </c>
      <c r="S81" s="156">
        <f t="shared" si="114"/>
        <v>0</v>
      </c>
      <c r="T81" s="156">
        <f t="shared" si="115"/>
        <v>0</v>
      </c>
      <c r="U81" s="156">
        <f t="shared" si="116"/>
        <v>0</v>
      </c>
      <c r="V81" s="156">
        <f t="shared" si="117"/>
        <v>0</v>
      </c>
      <c r="W81" s="156">
        <f t="shared" si="104"/>
        <v>0</v>
      </c>
      <c r="X81" s="158">
        <f t="shared" ref="X81" si="124">$S81/ORCAMENTO_VALOR_TOTAL_ND</f>
        <v>0</v>
      </c>
      <c r="Y81" s="158">
        <f t="shared" ref="Y81" si="125">$T81/ORCAMENTO_VALOR_TOTAL_DE</f>
        <v>0</v>
      </c>
      <c r="Z81" s="158" cm="1">
        <f t="array" ref="Z81">_xlfn.SWITCH($N81,"BDI 1",$O$6,"BDI 2",$O$7,"BDI 3",$O$8)</f>
        <v>0.20699999999999999</v>
      </c>
      <c r="AA81" s="158" cm="1">
        <f t="array" ref="AA81">_xlfn.SWITCH($N81,"BDI 1",$P$6,"BDI 2",$P$7,"BDI 3",$P$8)</f>
        <v>0.26739999999999997</v>
      </c>
      <c r="AB81" s="158">
        <f t="shared" ca="1" si="120"/>
        <v>0</v>
      </c>
      <c r="AC81" s="158">
        <f t="shared" ca="1" si="121"/>
        <v>0</v>
      </c>
      <c r="AD81" s="164"/>
      <c r="AE81" s="148">
        <f t="shared" si="107"/>
        <v>0</v>
      </c>
      <c r="AF81" s="149"/>
      <c r="AG81" s="150"/>
      <c r="AH81" s="159" t="e">
        <f t="shared" si="108"/>
        <v>#DIV/0!</v>
      </c>
      <c r="AI81" s="160"/>
      <c r="AJ81" s="182">
        <v>0.6</v>
      </c>
      <c r="AK81" s="183">
        <f t="shared" si="122"/>
        <v>0</v>
      </c>
      <c r="AM81" s="105"/>
      <c r="AN81" s="105"/>
      <c r="AO81" s="105"/>
      <c r="AP81" s="105"/>
      <c r="AQ81" s="105"/>
      <c r="AR81" s="105"/>
    </row>
    <row r="82" spans="1:44" s="49" customFormat="1" ht="40.15" hidden="1" customHeight="1">
      <c r="A82" s="152">
        <f t="shared" ca="1" si="109"/>
        <v>0</v>
      </c>
      <c r="B82" s="153" t="s">
        <v>109</v>
      </c>
      <c r="C82" s="154" t="str">
        <f t="shared" si="110"/>
        <v>SR/0030</v>
      </c>
      <c r="D82" s="154" t="s">
        <v>3549</v>
      </c>
      <c r="E82" s="155" t="s">
        <v>3591</v>
      </c>
      <c r="F82" s="154"/>
      <c r="G82" s="154" t="s">
        <v>464</v>
      </c>
      <c r="H82" s="152">
        <v>452.46</v>
      </c>
      <c r="I82" s="152">
        <v>411.2</v>
      </c>
      <c r="J82" s="156"/>
      <c r="K82" s="156">
        <f>Demolicao!M15</f>
        <v>0</v>
      </c>
      <c r="L82" s="156">
        <f t="shared" si="111"/>
        <v>0</v>
      </c>
      <c r="M82" s="156">
        <f t="shared" si="112"/>
        <v>0</v>
      </c>
      <c r="N82" s="156" t="s">
        <v>83</v>
      </c>
      <c r="O82" s="157" cm="1">
        <f t="array" ref="O82">TRUNC($H82*(1+_xlfn.SWITCH($N82,"BDI 1",$O$6,"BDI 2",$O$7,"BDI 3",$O$8)),2)</f>
        <v>546.11</v>
      </c>
      <c r="P82" s="157" cm="1">
        <f t="array" ref="P82">TRUNC($I82*(1+_xlfn.SWITCH($N82,"BDI 1",$P$6,"BDI 2",$P$7,"BDI 3",$P$8)),2)</f>
        <v>521.15</v>
      </c>
      <c r="Q82" s="157">
        <v>0</v>
      </c>
      <c r="R82" s="157">
        <f t="shared" ref="R82" si="126">$Q82-($Q82*LICITACAO_DESCONTO)</f>
        <v>0</v>
      </c>
      <c r="S82" s="156">
        <f t="shared" si="114"/>
        <v>0</v>
      </c>
      <c r="T82" s="156">
        <f t="shared" si="115"/>
        <v>0</v>
      </c>
      <c r="U82" s="156">
        <f t="shared" si="116"/>
        <v>0</v>
      </c>
      <c r="V82" s="156">
        <f t="shared" si="117"/>
        <v>0</v>
      </c>
      <c r="W82" s="156">
        <f t="shared" si="104"/>
        <v>0</v>
      </c>
      <c r="X82" s="158">
        <f t="shared" ref="X82" si="127">$S82/ORCAMENTO_VALOR_TOTAL_ND</f>
        <v>0</v>
      </c>
      <c r="Y82" s="158">
        <f t="shared" ref="Y82" si="128">$T82/ORCAMENTO_VALOR_TOTAL_DE</f>
        <v>0</v>
      </c>
      <c r="Z82" s="158" cm="1">
        <f t="array" ref="Z82">_xlfn.SWITCH($N82,"BDI 1",$O$6,"BDI 2",$O$7,"BDI 3",$O$8)</f>
        <v>0.20699999999999999</v>
      </c>
      <c r="AA82" s="158" cm="1">
        <f t="array" ref="AA82">_xlfn.SWITCH($N82,"BDI 1",$P$6,"BDI 2",$P$7,"BDI 3",$P$8)</f>
        <v>0.26739999999999997</v>
      </c>
      <c r="AB82" s="158">
        <f t="shared" ca="1" si="120"/>
        <v>0</v>
      </c>
      <c r="AC82" s="158">
        <f t="shared" ca="1" si="121"/>
        <v>0</v>
      </c>
      <c r="AD82" s="164"/>
      <c r="AE82" s="148">
        <f t="shared" si="107"/>
        <v>0</v>
      </c>
      <c r="AF82" s="149"/>
      <c r="AG82" s="150"/>
      <c r="AH82" s="159" t="e">
        <f t="shared" si="108"/>
        <v>#DIV/0!</v>
      </c>
      <c r="AI82" s="160"/>
      <c r="AJ82" s="182">
        <v>0.05</v>
      </c>
      <c r="AK82" s="183">
        <f t="shared" si="122"/>
        <v>0</v>
      </c>
      <c r="AM82" s="105"/>
      <c r="AN82" s="105"/>
      <c r="AO82" s="105"/>
      <c r="AP82" s="105"/>
      <c r="AQ82" s="105"/>
      <c r="AR82" s="105"/>
    </row>
    <row r="83" spans="1:44" s="49" customFormat="1" ht="40.15" hidden="1" customHeight="1">
      <c r="A83" s="152">
        <f t="shared" ca="1" si="109"/>
        <v>0</v>
      </c>
      <c r="B83" s="153" t="s">
        <v>110</v>
      </c>
      <c r="C83" s="154" t="str">
        <f t="shared" si="110"/>
        <v>SR/0040</v>
      </c>
      <c r="D83" s="154" t="s">
        <v>3549</v>
      </c>
      <c r="E83" s="155" t="s">
        <v>3592</v>
      </c>
      <c r="F83" s="154"/>
      <c r="G83" s="154" t="s">
        <v>464</v>
      </c>
      <c r="H83" s="152">
        <v>63.08</v>
      </c>
      <c r="I83" s="152">
        <v>62.72</v>
      </c>
      <c r="J83" s="156"/>
      <c r="K83" s="156">
        <f>Demolicao!M20</f>
        <v>0</v>
      </c>
      <c r="L83" s="156">
        <f t="shared" si="111"/>
        <v>0</v>
      </c>
      <c r="M83" s="156">
        <f t="shared" si="112"/>
        <v>0</v>
      </c>
      <c r="N83" s="156" t="s">
        <v>83</v>
      </c>
      <c r="O83" s="157" cm="1">
        <f t="array" ref="O83">TRUNC($H83*(1+_xlfn.SWITCH($N83,"BDI 1",$O$6,"BDI 2",$O$7,"BDI 3",$O$8)),2)</f>
        <v>76.13</v>
      </c>
      <c r="P83" s="157" cm="1">
        <f t="array" ref="P83">TRUNC($I83*(1+_xlfn.SWITCH($N83,"BDI 1",$P$6,"BDI 2",$P$7,"BDI 3",$P$8)),2)</f>
        <v>79.489999999999995</v>
      </c>
      <c r="Q83" s="157">
        <v>0</v>
      </c>
      <c r="R83" s="157">
        <f t="shared" ref="R83" si="129">$Q83-($Q83*LICITACAO_DESCONTO)</f>
        <v>0</v>
      </c>
      <c r="S83" s="156">
        <f t="shared" si="114"/>
        <v>0</v>
      </c>
      <c r="T83" s="156">
        <f t="shared" si="115"/>
        <v>0</v>
      </c>
      <c r="U83" s="156">
        <f t="shared" si="116"/>
        <v>0</v>
      </c>
      <c r="V83" s="156">
        <f t="shared" si="117"/>
        <v>0</v>
      </c>
      <c r="W83" s="156">
        <f t="shared" si="104"/>
        <v>0</v>
      </c>
      <c r="X83" s="158">
        <f t="shared" ref="X83" si="130">$S83/ORCAMENTO_VALOR_TOTAL_ND</f>
        <v>0</v>
      </c>
      <c r="Y83" s="158">
        <f t="shared" ref="Y83" si="131">$T83/ORCAMENTO_VALOR_TOTAL_DE</f>
        <v>0</v>
      </c>
      <c r="Z83" s="158" cm="1">
        <f t="array" ref="Z83">_xlfn.SWITCH($N83,"BDI 1",$O$6,"BDI 2",$O$7,"BDI 3",$O$8)</f>
        <v>0.20699999999999999</v>
      </c>
      <c r="AA83" s="158" cm="1">
        <f t="array" ref="AA83">_xlfn.SWITCH($N83,"BDI 1",$P$6,"BDI 2",$P$7,"BDI 3",$P$8)</f>
        <v>0.26739999999999997</v>
      </c>
      <c r="AB83" s="158">
        <f t="shared" ca="1" si="120"/>
        <v>0</v>
      </c>
      <c r="AC83" s="158">
        <f t="shared" ca="1" si="121"/>
        <v>0</v>
      </c>
      <c r="AD83" s="164"/>
      <c r="AE83" s="148">
        <f t="shared" si="107"/>
        <v>0</v>
      </c>
      <c r="AF83" s="149"/>
      <c r="AG83" s="150"/>
      <c r="AH83" s="159" t="e">
        <f t="shared" si="108"/>
        <v>#DIV/0!</v>
      </c>
      <c r="AI83" s="160"/>
      <c r="AJ83" s="182">
        <v>4.7699999999999996</v>
      </c>
      <c r="AK83" s="183">
        <f t="shared" si="122"/>
        <v>0</v>
      </c>
      <c r="AM83" s="105"/>
      <c r="AN83" s="105"/>
      <c r="AO83" s="105"/>
      <c r="AP83" s="105"/>
      <c r="AQ83" s="105"/>
      <c r="AR83" s="105"/>
    </row>
    <row r="84" spans="1:44" s="49" customFormat="1" ht="40.15" hidden="1" customHeight="1">
      <c r="A84" s="152">
        <f t="shared" ca="1" si="109"/>
        <v>0</v>
      </c>
      <c r="B84" s="153">
        <v>97624</v>
      </c>
      <c r="C84" s="154" t="str">
        <f t="shared" si="110"/>
        <v>97624</v>
      </c>
      <c r="D84" s="154" t="s">
        <v>1416</v>
      </c>
      <c r="E84" s="155" t="s">
        <v>3593</v>
      </c>
      <c r="F84" s="154"/>
      <c r="G84" s="154" t="s">
        <v>464</v>
      </c>
      <c r="H84" s="152">
        <v>99.68</v>
      </c>
      <c r="I84" s="152">
        <v>90.56</v>
      </c>
      <c r="J84" s="156"/>
      <c r="K84" s="156">
        <f>Demolicao!M25</f>
        <v>0</v>
      </c>
      <c r="L84" s="156">
        <f t="shared" si="111"/>
        <v>0</v>
      </c>
      <c r="M84" s="156">
        <f t="shared" si="112"/>
        <v>0</v>
      </c>
      <c r="N84" s="156" t="s">
        <v>83</v>
      </c>
      <c r="O84" s="157" cm="1">
        <f t="array" ref="O84">TRUNC($H84*(1+_xlfn.SWITCH($N84,"BDI 1",$O$6,"BDI 2",$O$7,"BDI 3",$O$8)),2)</f>
        <v>120.31</v>
      </c>
      <c r="P84" s="157" cm="1">
        <f t="array" ref="P84">TRUNC($I84*(1+_xlfn.SWITCH($N84,"BDI 1",$P$6,"BDI 2",$P$7,"BDI 3",$P$8)),2)</f>
        <v>114.77</v>
      </c>
      <c r="Q84" s="157">
        <v>0</v>
      </c>
      <c r="R84" s="157">
        <f t="shared" ref="R84" si="132">$Q84-($Q84*LICITACAO_DESCONTO)</f>
        <v>0</v>
      </c>
      <c r="S84" s="156">
        <f t="shared" si="114"/>
        <v>0</v>
      </c>
      <c r="T84" s="156">
        <f t="shared" si="115"/>
        <v>0</v>
      </c>
      <c r="U84" s="156">
        <f t="shared" si="116"/>
        <v>0</v>
      </c>
      <c r="V84" s="156">
        <f t="shared" si="117"/>
        <v>0</v>
      </c>
      <c r="W84" s="156">
        <f t="shared" si="104"/>
        <v>0</v>
      </c>
      <c r="X84" s="158">
        <f t="shared" ref="X84" si="133">$S84/ORCAMENTO_VALOR_TOTAL_ND</f>
        <v>0</v>
      </c>
      <c r="Y84" s="158">
        <f t="shared" ref="Y84" si="134">$T84/ORCAMENTO_VALOR_TOTAL_DE</f>
        <v>0</v>
      </c>
      <c r="Z84" s="158" cm="1">
        <f t="array" ref="Z84">_xlfn.SWITCH($N84,"BDI 1",$O$6,"BDI 2",$O$7,"BDI 3",$O$8)</f>
        <v>0.20699999999999999</v>
      </c>
      <c r="AA84" s="158" cm="1">
        <f t="array" ref="AA84">_xlfn.SWITCH($N84,"BDI 1",$P$6,"BDI 2",$P$7,"BDI 3",$P$8)</f>
        <v>0.26739999999999997</v>
      </c>
      <c r="AB84" s="158">
        <f t="shared" ca="1" si="120"/>
        <v>0</v>
      </c>
      <c r="AC84" s="158">
        <f t="shared" ca="1" si="121"/>
        <v>0</v>
      </c>
      <c r="AD84" s="164"/>
      <c r="AE84" s="148">
        <f t="shared" si="107"/>
        <v>0</v>
      </c>
      <c r="AF84" s="149"/>
      <c r="AG84" s="150"/>
      <c r="AH84" s="159" t="e">
        <f t="shared" si="108"/>
        <v>#DIV/0!</v>
      </c>
      <c r="AI84" s="160"/>
      <c r="AJ84" s="182">
        <v>0</v>
      </c>
      <c r="AK84" s="183" t="e">
        <f t="shared" si="122"/>
        <v>#DIV/0!</v>
      </c>
      <c r="AM84" s="105"/>
      <c r="AN84" s="105"/>
      <c r="AO84" s="105"/>
      <c r="AP84" s="105"/>
      <c r="AQ84" s="105"/>
      <c r="AR84" s="105"/>
    </row>
    <row r="85" spans="1:44" s="49" customFormat="1" ht="40.15" hidden="1" customHeight="1">
      <c r="A85" s="152">
        <f t="shared" ca="1" si="109"/>
        <v>0</v>
      </c>
      <c r="B85" s="153" t="s">
        <v>111</v>
      </c>
      <c r="C85" s="154" t="str">
        <f t="shared" si="110"/>
        <v>SR/0070</v>
      </c>
      <c r="D85" s="154" t="s">
        <v>3549</v>
      </c>
      <c r="E85" s="155" t="s">
        <v>3594</v>
      </c>
      <c r="F85" s="154"/>
      <c r="G85" s="154" t="s">
        <v>464</v>
      </c>
      <c r="H85" s="152">
        <v>90.49</v>
      </c>
      <c r="I85" s="152">
        <v>82.24</v>
      </c>
      <c r="J85" s="156"/>
      <c r="K85" s="156">
        <f>Demolicao!M30</f>
        <v>0</v>
      </c>
      <c r="L85" s="156">
        <f t="shared" si="111"/>
        <v>0</v>
      </c>
      <c r="M85" s="156">
        <f t="shared" si="112"/>
        <v>0</v>
      </c>
      <c r="N85" s="156" t="s">
        <v>83</v>
      </c>
      <c r="O85" s="157" cm="1">
        <f t="array" ref="O85">TRUNC($H85*(1+_xlfn.SWITCH($N85,"BDI 1",$O$6,"BDI 2",$O$7,"BDI 3",$O$8)),2)</f>
        <v>109.22</v>
      </c>
      <c r="P85" s="157" cm="1">
        <f t="array" ref="P85">TRUNC($I85*(1+_xlfn.SWITCH($N85,"BDI 1",$P$6,"BDI 2",$P$7,"BDI 3",$P$8)),2)</f>
        <v>104.23</v>
      </c>
      <c r="Q85" s="157">
        <v>0</v>
      </c>
      <c r="R85" s="157">
        <f t="shared" ref="R85" si="135">$Q85-($Q85*LICITACAO_DESCONTO)</f>
        <v>0</v>
      </c>
      <c r="S85" s="156">
        <f t="shared" si="114"/>
        <v>0</v>
      </c>
      <c r="T85" s="156">
        <f t="shared" si="115"/>
        <v>0</v>
      </c>
      <c r="U85" s="156">
        <f t="shared" si="116"/>
        <v>0</v>
      </c>
      <c r="V85" s="156">
        <f t="shared" si="117"/>
        <v>0</v>
      </c>
      <c r="W85" s="156">
        <f t="shared" si="104"/>
        <v>0</v>
      </c>
      <c r="X85" s="158">
        <f t="shared" ref="X85" si="136">$S85/ORCAMENTO_VALOR_TOTAL_ND</f>
        <v>0</v>
      </c>
      <c r="Y85" s="158">
        <f t="shared" ref="Y85" si="137">$T85/ORCAMENTO_VALOR_TOTAL_DE</f>
        <v>0</v>
      </c>
      <c r="Z85" s="158" cm="1">
        <f t="array" ref="Z85">_xlfn.SWITCH($N85,"BDI 1",$O$6,"BDI 2",$O$7,"BDI 3",$O$8)</f>
        <v>0.20699999999999999</v>
      </c>
      <c r="AA85" s="158" cm="1">
        <f t="array" ref="AA85">_xlfn.SWITCH($N85,"BDI 1",$P$6,"BDI 2",$P$7,"BDI 3",$P$8)</f>
        <v>0.26739999999999997</v>
      </c>
      <c r="AB85" s="158">
        <f t="shared" ca="1" si="120"/>
        <v>0</v>
      </c>
      <c r="AC85" s="158">
        <f t="shared" ca="1" si="121"/>
        <v>0</v>
      </c>
      <c r="AD85" s="164"/>
      <c r="AE85" s="148">
        <f t="shared" si="107"/>
        <v>0</v>
      </c>
      <c r="AF85" s="149"/>
      <c r="AG85" s="150"/>
      <c r="AH85" s="159" t="e">
        <f t="shared" si="108"/>
        <v>#DIV/0!</v>
      </c>
      <c r="AI85" s="160"/>
      <c r="AJ85" s="182">
        <v>2.5</v>
      </c>
      <c r="AK85" s="183">
        <f t="shared" si="122"/>
        <v>0</v>
      </c>
      <c r="AM85" s="105"/>
      <c r="AN85" s="105"/>
      <c r="AO85" s="105"/>
      <c r="AP85" s="105"/>
      <c r="AQ85" s="105"/>
      <c r="AR85" s="105"/>
    </row>
    <row r="86" spans="1:44" s="49" customFormat="1" ht="40.15" hidden="1" customHeight="1">
      <c r="A86" s="152">
        <f t="shared" ca="1" si="109"/>
        <v>0</v>
      </c>
      <c r="B86" s="153" t="s">
        <v>112</v>
      </c>
      <c r="C86" s="154" t="str">
        <f t="shared" si="110"/>
        <v>SR/0050</v>
      </c>
      <c r="D86" s="154" t="s">
        <v>3549</v>
      </c>
      <c r="E86" s="155" t="s">
        <v>3595</v>
      </c>
      <c r="F86" s="154"/>
      <c r="G86" s="154" t="s">
        <v>1418</v>
      </c>
      <c r="H86" s="152">
        <v>11.87</v>
      </c>
      <c r="I86" s="152">
        <v>10.77</v>
      </c>
      <c r="J86" s="156"/>
      <c r="K86" s="156">
        <f>Demolicao!M34</f>
        <v>0</v>
      </c>
      <c r="L86" s="156">
        <f t="shared" si="111"/>
        <v>0</v>
      </c>
      <c r="M86" s="156">
        <f t="shared" si="112"/>
        <v>0</v>
      </c>
      <c r="N86" s="156" t="s">
        <v>83</v>
      </c>
      <c r="O86" s="157" cm="1">
        <f t="array" ref="O86">TRUNC($H86*(1+_xlfn.SWITCH($N86,"BDI 1",$O$6,"BDI 2",$O$7,"BDI 3",$O$8)),2)</f>
        <v>14.32</v>
      </c>
      <c r="P86" s="157" cm="1">
        <f t="array" ref="P86">TRUNC($I86*(1+_xlfn.SWITCH($N86,"BDI 1",$P$6,"BDI 2",$P$7,"BDI 3",$P$8)),2)</f>
        <v>13.64</v>
      </c>
      <c r="Q86" s="157">
        <v>0</v>
      </c>
      <c r="R86" s="157">
        <f t="shared" ref="R86" si="138">$Q86-($Q86*LICITACAO_DESCONTO)</f>
        <v>0</v>
      </c>
      <c r="S86" s="156">
        <f t="shared" si="114"/>
        <v>0</v>
      </c>
      <c r="T86" s="156">
        <f t="shared" si="115"/>
        <v>0</v>
      </c>
      <c r="U86" s="156">
        <f t="shared" si="116"/>
        <v>0</v>
      </c>
      <c r="V86" s="156">
        <f t="shared" si="117"/>
        <v>0</v>
      </c>
      <c r="W86" s="156">
        <f t="shared" si="104"/>
        <v>0</v>
      </c>
      <c r="X86" s="158">
        <f t="shared" ref="X86" si="139">$S86/ORCAMENTO_VALOR_TOTAL_ND</f>
        <v>0</v>
      </c>
      <c r="Y86" s="158">
        <f t="shared" ref="Y86" si="140">$T86/ORCAMENTO_VALOR_TOTAL_DE</f>
        <v>0</v>
      </c>
      <c r="Z86" s="158" cm="1">
        <f t="array" ref="Z86">_xlfn.SWITCH($N86,"BDI 1",$O$6,"BDI 2",$O$7,"BDI 3",$O$8)</f>
        <v>0.20699999999999999</v>
      </c>
      <c r="AA86" s="158" cm="1">
        <f t="array" ref="AA86">_xlfn.SWITCH($N86,"BDI 1",$P$6,"BDI 2",$P$7,"BDI 3",$P$8)</f>
        <v>0.26739999999999997</v>
      </c>
      <c r="AB86" s="158">
        <f t="shared" ca="1" si="120"/>
        <v>0</v>
      </c>
      <c r="AC86" s="158">
        <f t="shared" ca="1" si="121"/>
        <v>0</v>
      </c>
      <c r="AD86" s="164"/>
      <c r="AE86" s="148">
        <f t="shared" si="107"/>
        <v>0</v>
      </c>
      <c r="AF86" s="149"/>
      <c r="AG86" s="150"/>
      <c r="AH86" s="159" t="e">
        <f t="shared" si="108"/>
        <v>#DIV/0!</v>
      </c>
      <c r="AI86" s="160"/>
      <c r="AJ86" s="184">
        <v>7.15</v>
      </c>
      <c r="AK86" s="183">
        <f t="shared" si="122"/>
        <v>0</v>
      </c>
      <c r="AM86" s="105"/>
      <c r="AN86" s="105"/>
      <c r="AO86" s="105"/>
      <c r="AP86" s="105"/>
      <c r="AQ86" s="105"/>
      <c r="AR86" s="105"/>
    </row>
    <row r="87" spans="1:44" s="49" customFormat="1" ht="40.15" hidden="1" customHeight="1">
      <c r="A87" s="152">
        <f t="shared" ca="1" si="109"/>
        <v>0</v>
      </c>
      <c r="B87" s="153">
        <v>97636</v>
      </c>
      <c r="C87" s="154" t="str">
        <f t="shared" si="110"/>
        <v>97636</v>
      </c>
      <c r="D87" s="154" t="s">
        <v>1416</v>
      </c>
      <c r="E87" s="155" t="s">
        <v>3596</v>
      </c>
      <c r="F87" s="154"/>
      <c r="G87" s="154" t="s">
        <v>1418</v>
      </c>
      <c r="H87" s="152">
        <v>20.57</v>
      </c>
      <c r="I87" s="152">
        <v>19.809999999999999</v>
      </c>
      <c r="J87" s="156"/>
      <c r="K87" s="156">
        <f>Demolicao!M40</f>
        <v>0</v>
      </c>
      <c r="L87" s="156">
        <f t="shared" si="111"/>
        <v>0</v>
      </c>
      <c r="M87" s="156">
        <f t="shared" si="112"/>
        <v>0</v>
      </c>
      <c r="N87" s="156" t="s">
        <v>83</v>
      </c>
      <c r="O87" s="157" cm="1">
        <f t="array" ref="O87">TRUNC($H87*(1+_xlfn.SWITCH($N87,"BDI 1",$O$6,"BDI 2",$O$7,"BDI 3",$O$8)),2)</f>
        <v>24.82</v>
      </c>
      <c r="P87" s="157" cm="1">
        <f t="array" ref="P87">TRUNC($I87*(1+_xlfn.SWITCH($N87,"BDI 1",$P$6,"BDI 2",$P$7,"BDI 3",$P$8)),2)</f>
        <v>25.1</v>
      </c>
      <c r="Q87" s="157">
        <v>0</v>
      </c>
      <c r="R87" s="157">
        <f t="shared" ref="R87" si="141">$Q87-($Q87*LICITACAO_DESCONTO)</f>
        <v>0</v>
      </c>
      <c r="S87" s="156">
        <f t="shared" si="114"/>
        <v>0</v>
      </c>
      <c r="T87" s="156">
        <f t="shared" si="115"/>
        <v>0</v>
      </c>
      <c r="U87" s="156">
        <f t="shared" si="116"/>
        <v>0</v>
      </c>
      <c r="V87" s="156">
        <f t="shared" si="117"/>
        <v>0</v>
      </c>
      <c r="W87" s="156">
        <f t="shared" si="104"/>
        <v>0</v>
      </c>
      <c r="X87" s="158">
        <f t="shared" ref="X87" si="142">$S87/ORCAMENTO_VALOR_TOTAL_ND</f>
        <v>0</v>
      </c>
      <c r="Y87" s="158">
        <f t="shared" ref="Y87" si="143">$T87/ORCAMENTO_VALOR_TOTAL_DE</f>
        <v>0</v>
      </c>
      <c r="Z87" s="158" cm="1">
        <f t="array" ref="Z87">_xlfn.SWITCH($N87,"BDI 1",$O$6,"BDI 2",$O$7,"BDI 3",$O$8)</f>
        <v>0.20699999999999999</v>
      </c>
      <c r="AA87" s="158" cm="1">
        <f t="array" ref="AA87">_xlfn.SWITCH($N87,"BDI 1",$P$6,"BDI 2",$P$7,"BDI 3",$P$8)</f>
        <v>0.26739999999999997</v>
      </c>
      <c r="AB87" s="158">
        <f t="shared" ca="1" si="120"/>
        <v>0</v>
      </c>
      <c r="AC87" s="158">
        <f t="shared" ca="1" si="121"/>
        <v>0</v>
      </c>
      <c r="AD87" s="164"/>
      <c r="AE87" s="148">
        <f t="shared" si="107"/>
        <v>0</v>
      </c>
      <c r="AF87" s="149"/>
      <c r="AG87" s="150"/>
      <c r="AH87" s="159" t="e">
        <f t="shared" si="108"/>
        <v>#DIV/0!</v>
      </c>
      <c r="AI87" s="160"/>
      <c r="AJ87" s="182">
        <v>0</v>
      </c>
      <c r="AK87" s="183" t="e">
        <f t="shared" si="122"/>
        <v>#DIV/0!</v>
      </c>
      <c r="AM87" s="105"/>
      <c r="AN87" s="105"/>
      <c r="AO87" s="105"/>
      <c r="AP87" s="105"/>
      <c r="AQ87" s="105"/>
      <c r="AR87" s="105"/>
    </row>
    <row r="88" spans="1:44" s="49" customFormat="1" ht="40.15" hidden="1" customHeight="1">
      <c r="A88" s="152">
        <f t="shared" ca="1" si="109"/>
        <v>0</v>
      </c>
      <c r="B88" s="153" t="s">
        <v>113</v>
      </c>
      <c r="C88" s="154" t="str">
        <f t="shared" si="110"/>
        <v>SR/0060</v>
      </c>
      <c r="D88" s="154" t="s">
        <v>3549</v>
      </c>
      <c r="E88" s="155" t="s">
        <v>3597</v>
      </c>
      <c r="F88" s="154"/>
      <c r="G88" s="154" t="s">
        <v>1418</v>
      </c>
      <c r="H88" s="152">
        <v>13.2</v>
      </c>
      <c r="I88" s="152">
        <v>12.53</v>
      </c>
      <c r="J88" s="156"/>
      <c r="K88" s="156">
        <f>Demolicao!M46</f>
        <v>0</v>
      </c>
      <c r="L88" s="156">
        <f t="shared" si="111"/>
        <v>0</v>
      </c>
      <c r="M88" s="156">
        <f t="shared" si="112"/>
        <v>0</v>
      </c>
      <c r="N88" s="156" t="s">
        <v>83</v>
      </c>
      <c r="O88" s="157" cm="1">
        <f t="array" ref="O88">TRUNC($H88*(1+_xlfn.SWITCH($N88,"BDI 1",$O$6,"BDI 2",$O$7,"BDI 3",$O$8)),2)</f>
        <v>15.93</v>
      </c>
      <c r="P88" s="157" cm="1">
        <f t="array" ref="P88">TRUNC($I88*(1+_xlfn.SWITCH($N88,"BDI 1",$P$6,"BDI 2",$P$7,"BDI 3",$P$8)),2)</f>
        <v>15.88</v>
      </c>
      <c r="Q88" s="157">
        <v>0</v>
      </c>
      <c r="R88" s="157">
        <f t="shared" ref="R88" si="144">$Q88-($Q88*LICITACAO_DESCONTO)</f>
        <v>0</v>
      </c>
      <c r="S88" s="156">
        <f t="shared" si="114"/>
        <v>0</v>
      </c>
      <c r="T88" s="156">
        <f t="shared" si="115"/>
        <v>0</v>
      </c>
      <c r="U88" s="156">
        <f t="shared" si="116"/>
        <v>0</v>
      </c>
      <c r="V88" s="156">
        <f t="shared" si="117"/>
        <v>0</v>
      </c>
      <c r="W88" s="156">
        <f t="shared" si="104"/>
        <v>0</v>
      </c>
      <c r="X88" s="158">
        <f t="shared" ref="X88" si="145">$S88/ORCAMENTO_VALOR_TOTAL_ND</f>
        <v>0</v>
      </c>
      <c r="Y88" s="158">
        <f t="shared" ref="Y88" si="146">$T88/ORCAMENTO_VALOR_TOTAL_DE</f>
        <v>0</v>
      </c>
      <c r="Z88" s="158" cm="1">
        <f t="array" ref="Z88">_xlfn.SWITCH($N88,"BDI 1",$O$6,"BDI 2",$O$7,"BDI 3",$O$8)</f>
        <v>0.20699999999999999</v>
      </c>
      <c r="AA88" s="158" cm="1">
        <f t="array" ref="AA88">_xlfn.SWITCH($N88,"BDI 1",$P$6,"BDI 2",$P$7,"BDI 3",$P$8)</f>
        <v>0.26739999999999997</v>
      </c>
      <c r="AB88" s="158">
        <f t="shared" ca="1" si="120"/>
        <v>0</v>
      </c>
      <c r="AC88" s="158">
        <f t="shared" ca="1" si="121"/>
        <v>0</v>
      </c>
      <c r="AD88" s="164"/>
      <c r="AE88" s="148">
        <f t="shared" si="107"/>
        <v>0</v>
      </c>
      <c r="AF88" s="149"/>
      <c r="AG88" s="150"/>
      <c r="AH88" s="159" t="e">
        <f t="shared" si="108"/>
        <v>#DIV/0!</v>
      </c>
      <c r="AI88" s="160"/>
      <c r="AJ88" s="182">
        <v>21.78</v>
      </c>
      <c r="AK88" s="183">
        <f t="shared" si="122"/>
        <v>0</v>
      </c>
      <c r="AM88" s="105"/>
      <c r="AN88" s="105"/>
      <c r="AO88" s="105"/>
      <c r="AP88" s="105"/>
      <c r="AQ88" s="105"/>
      <c r="AR88" s="105"/>
    </row>
    <row r="89" spans="1:44" s="49" customFormat="1" ht="40.15" hidden="1" customHeight="1">
      <c r="A89" s="152">
        <f t="shared" ca="1" si="109"/>
        <v>0</v>
      </c>
      <c r="B89" s="153" t="s">
        <v>114</v>
      </c>
      <c r="C89" s="154" t="str">
        <f t="shared" si="110"/>
        <v>SR/0100</v>
      </c>
      <c r="D89" s="154" t="s">
        <v>3549</v>
      </c>
      <c r="E89" s="155" t="s">
        <v>3598</v>
      </c>
      <c r="F89" s="154"/>
      <c r="G89" s="154" t="s">
        <v>58</v>
      </c>
      <c r="H89" s="152">
        <v>4.37</v>
      </c>
      <c r="I89" s="152">
        <v>4.2699999999999996</v>
      </c>
      <c r="J89" s="156"/>
      <c r="K89" s="156">
        <f>Demolicao!M54</f>
        <v>0</v>
      </c>
      <c r="L89" s="156">
        <f t="shared" si="111"/>
        <v>0</v>
      </c>
      <c r="M89" s="156">
        <f t="shared" si="112"/>
        <v>0</v>
      </c>
      <c r="N89" s="156" t="s">
        <v>83</v>
      </c>
      <c r="O89" s="157" cm="1">
        <f t="array" ref="O89">TRUNC($H89*(1+_xlfn.SWITCH($N89,"BDI 1",$O$6,"BDI 2",$O$7,"BDI 3",$O$8)),2)</f>
        <v>5.27</v>
      </c>
      <c r="P89" s="157" cm="1">
        <f t="array" ref="P89">TRUNC($I89*(1+_xlfn.SWITCH($N89,"BDI 1",$P$6,"BDI 2",$P$7,"BDI 3",$P$8)),2)</f>
        <v>5.41</v>
      </c>
      <c r="Q89" s="157">
        <v>0</v>
      </c>
      <c r="R89" s="157">
        <f t="shared" ref="R89" si="147">$Q89-($Q89*LICITACAO_DESCONTO)</f>
        <v>0</v>
      </c>
      <c r="S89" s="156">
        <f t="shared" si="114"/>
        <v>0</v>
      </c>
      <c r="T89" s="156">
        <f t="shared" si="115"/>
        <v>0</v>
      </c>
      <c r="U89" s="156">
        <f t="shared" si="116"/>
        <v>0</v>
      </c>
      <c r="V89" s="156">
        <f t="shared" si="117"/>
        <v>0</v>
      </c>
      <c r="W89" s="156">
        <f t="shared" si="104"/>
        <v>0</v>
      </c>
      <c r="X89" s="158">
        <f t="shared" ref="X89" si="148">$S89/ORCAMENTO_VALOR_TOTAL_ND</f>
        <v>0</v>
      </c>
      <c r="Y89" s="158">
        <f t="shared" ref="Y89" si="149">$T89/ORCAMENTO_VALOR_TOTAL_DE</f>
        <v>0</v>
      </c>
      <c r="Z89" s="158" cm="1">
        <f t="array" ref="Z89">_xlfn.SWITCH($N89,"BDI 1",$O$6,"BDI 2",$O$7,"BDI 3",$O$8)</f>
        <v>0.20699999999999999</v>
      </c>
      <c r="AA89" s="158" cm="1">
        <f t="array" ref="AA89">_xlfn.SWITCH($N89,"BDI 1",$P$6,"BDI 2",$P$7,"BDI 3",$P$8)</f>
        <v>0.26739999999999997</v>
      </c>
      <c r="AB89" s="158">
        <f t="shared" ca="1" si="120"/>
        <v>0</v>
      </c>
      <c r="AC89" s="158">
        <f t="shared" ca="1" si="121"/>
        <v>0</v>
      </c>
      <c r="AD89" s="164"/>
      <c r="AE89" s="148">
        <f t="shared" si="107"/>
        <v>0</v>
      </c>
      <c r="AF89" s="149"/>
      <c r="AG89" s="150"/>
      <c r="AH89" s="159" t="e">
        <f t="shared" si="108"/>
        <v>#DIV/0!</v>
      </c>
      <c r="AI89" s="160"/>
      <c r="AJ89" s="182">
        <v>12</v>
      </c>
      <c r="AK89" s="183">
        <f t="shared" si="122"/>
        <v>0</v>
      </c>
      <c r="AM89" s="105"/>
      <c r="AN89" s="105"/>
      <c r="AO89" s="105"/>
      <c r="AP89" s="105"/>
      <c r="AQ89" s="105"/>
      <c r="AR89" s="105"/>
    </row>
    <row r="90" spans="1:44" s="49" customFormat="1" ht="40.15" hidden="1" customHeight="1">
      <c r="A90" s="152">
        <f t="shared" ca="1" si="109"/>
        <v>0</v>
      </c>
      <c r="B90" s="153" t="s">
        <v>115</v>
      </c>
      <c r="C90" s="154" t="str">
        <f t="shared" si="110"/>
        <v>SR/0080</v>
      </c>
      <c r="D90" s="154" t="s">
        <v>3549</v>
      </c>
      <c r="E90" s="155" t="s">
        <v>3599</v>
      </c>
      <c r="F90" s="154"/>
      <c r="G90" s="154" t="s">
        <v>1412</v>
      </c>
      <c r="H90" s="152">
        <v>474.77</v>
      </c>
      <c r="I90" s="152">
        <v>445.81</v>
      </c>
      <c r="J90" s="156"/>
      <c r="K90" s="156">
        <f>Demolicao!M55</f>
        <v>0</v>
      </c>
      <c r="L90" s="156">
        <f t="shared" si="111"/>
        <v>0</v>
      </c>
      <c r="M90" s="156">
        <f t="shared" si="112"/>
        <v>0</v>
      </c>
      <c r="N90" s="156" t="s">
        <v>83</v>
      </c>
      <c r="O90" s="157" cm="1">
        <f t="array" ref="O90">TRUNC($H90*(1+_xlfn.SWITCH($N90,"BDI 1",$O$6,"BDI 2",$O$7,"BDI 3",$O$8)),2)</f>
        <v>573.04</v>
      </c>
      <c r="P90" s="157" cm="1">
        <f t="array" ref="P90">TRUNC($I90*(1+_xlfn.SWITCH($N90,"BDI 1",$P$6,"BDI 2",$P$7,"BDI 3",$P$8)),2)</f>
        <v>565.01</v>
      </c>
      <c r="Q90" s="157">
        <v>0</v>
      </c>
      <c r="R90" s="157">
        <f t="shared" ref="R90" si="150">$Q90-($Q90*LICITACAO_DESCONTO)</f>
        <v>0</v>
      </c>
      <c r="S90" s="156">
        <f t="shared" si="114"/>
        <v>0</v>
      </c>
      <c r="T90" s="156">
        <f t="shared" si="115"/>
        <v>0</v>
      </c>
      <c r="U90" s="156">
        <f t="shared" si="116"/>
        <v>0</v>
      </c>
      <c r="V90" s="156">
        <f t="shared" si="117"/>
        <v>0</v>
      </c>
      <c r="W90" s="156">
        <f t="shared" si="104"/>
        <v>0</v>
      </c>
      <c r="X90" s="158">
        <f t="shared" ref="X90" si="151">$S90/ORCAMENTO_VALOR_TOTAL_ND</f>
        <v>0</v>
      </c>
      <c r="Y90" s="158">
        <f t="shared" ref="Y90" si="152">$T90/ORCAMENTO_VALOR_TOTAL_DE</f>
        <v>0</v>
      </c>
      <c r="Z90" s="158" cm="1">
        <f t="array" ref="Z90">_xlfn.SWITCH($N90,"BDI 1",$O$6,"BDI 2",$O$7,"BDI 3",$O$8)</f>
        <v>0.20699999999999999</v>
      </c>
      <c r="AA90" s="158" cm="1">
        <f t="array" ref="AA90">_xlfn.SWITCH($N90,"BDI 1",$P$6,"BDI 2",$P$7,"BDI 3",$P$8)</f>
        <v>0.26739999999999997</v>
      </c>
      <c r="AB90" s="158">
        <f t="shared" ca="1" si="120"/>
        <v>0</v>
      </c>
      <c r="AC90" s="158">
        <f t="shared" ca="1" si="121"/>
        <v>0</v>
      </c>
      <c r="AD90" s="164"/>
      <c r="AE90" s="148">
        <f t="shared" si="107"/>
        <v>0</v>
      </c>
      <c r="AF90" s="149"/>
      <c r="AG90" s="150"/>
      <c r="AH90" s="159" t="e">
        <f t="shared" si="108"/>
        <v>#DIV/0!</v>
      </c>
      <c r="AI90" s="160"/>
      <c r="AJ90" s="105"/>
      <c r="AK90" s="105"/>
      <c r="AM90" s="105"/>
      <c r="AN90" s="105"/>
      <c r="AO90" s="105"/>
      <c r="AP90" s="105"/>
      <c r="AQ90" s="105"/>
      <c r="AR90" s="105"/>
    </row>
    <row r="91" spans="1:44" s="49" customFormat="1" ht="40.15" hidden="1" customHeight="1">
      <c r="A91" s="152">
        <f t="shared" ca="1" si="109"/>
        <v>0</v>
      </c>
      <c r="B91" s="153" t="s">
        <v>116</v>
      </c>
      <c r="C91" s="154" t="str">
        <f t="shared" si="110"/>
        <v>SR/0090</v>
      </c>
      <c r="D91" s="154" t="s">
        <v>3549</v>
      </c>
      <c r="E91" s="155" t="s">
        <v>3600</v>
      </c>
      <c r="F91" s="154"/>
      <c r="G91" s="154" t="s">
        <v>1412</v>
      </c>
      <c r="H91" s="152">
        <v>1010.51</v>
      </c>
      <c r="I91" s="152">
        <v>918.37</v>
      </c>
      <c r="J91" s="156"/>
      <c r="K91" s="156">
        <f>Demolicao!M56</f>
        <v>0</v>
      </c>
      <c r="L91" s="156">
        <f t="shared" si="111"/>
        <v>0</v>
      </c>
      <c r="M91" s="156">
        <f t="shared" si="112"/>
        <v>0</v>
      </c>
      <c r="N91" s="156" t="s">
        <v>83</v>
      </c>
      <c r="O91" s="157" cm="1">
        <f t="array" ref="O91">TRUNC($H91*(1+_xlfn.SWITCH($N91,"BDI 1",$O$6,"BDI 2",$O$7,"BDI 3",$O$8)),2)</f>
        <v>1219.68</v>
      </c>
      <c r="P91" s="157" cm="1">
        <f t="array" ref="P91">TRUNC($I91*(1+_xlfn.SWITCH($N91,"BDI 1",$P$6,"BDI 2",$P$7,"BDI 3",$P$8)),2)</f>
        <v>1163.94</v>
      </c>
      <c r="Q91" s="157">
        <v>0</v>
      </c>
      <c r="R91" s="157">
        <f t="shared" ref="R91" si="153">$Q91-($Q91*LICITACAO_DESCONTO)</f>
        <v>0</v>
      </c>
      <c r="S91" s="156">
        <f t="shared" si="114"/>
        <v>0</v>
      </c>
      <c r="T91" s="156">
        <f t="shared" si="115"/>
        <v>0</v>
      </c>
      <c r="U91" s="156">
        <f t="shared" si="116"/>
        <v>0</v>
      </c>
      <c r="V91" s="156">
        <f t="shared" si="117"/>
        <v>0</v>
      </c>
      <c r="W91" s="156">
        <f t="shared" si="104"/>
        <v>0</v>
      </c>
      <c r="X91" s="158">
        <f t="shared" ref="X91" si="154">$S91/ORCAMENTO_VALOR_TOTAL_ND</f>
        <v>0</v>
      </c>
      <c r="Y91" s="158">
        <f t="shared" ref="Y91" si="155">$T91/ORCAMENTO_VALOR_TOTAL_DE</f>
        <v>0</v>
      </c>
      <c r="Z91" s="158" cm="1">
        <f t="array" ref="Z91">_xlfn.SWITCH($N91,"BDI 1",$O$6,"BDI 2",$O$7,"BDI 3",$O$8)</f>
        <v>0.20699999999999999</v>
      </c>
      <c r="AA91" s="158" cm="1">
        <f t="array" ref="AA91">_xlfn.SWITCH($N91,"BDI 1",$P$6,"BDI 2",$P$7,"BDI 3",$P$8)</f>
        <v>0.26739999999999997</v>
      </c>
      <c r="AB91" s="158">
        <f t="shared" ca="1" si="120"/>
        <v>0</v>
      </c>
      <c r="AC91" s="158">
        <f t="shared" ca="1" si="121"/>
        <v>0</v>
      </c>
      <c r="AD91" s="164"/>
      <c r="AE91" s="148">
        <f t="shared" si="107"/>
        <v>0</v>
      </c>
      <c r="AF91" s="149"/>
      <c r="AG91" s="150"/>
      <c r="AH91" s="159" t="e">
        <f t="shared" si="108"/>
        <v>#DIV/0!</v>
      </c>
      <c r="AI91" s="160"/>
      <c r="AJ91" s="105"/>
      <c r="AK91" s="105"/>
      <c r="AM91" s="105"/>
      <c r="AN91" s="105"/>
      <c r="AO91" s="105"/>
      <c r="AP91" s="105"/>
      <c r="AQ91" s="105"/>
      <c r="AR91" s="105"/>
    </row>
    <row r="92" spans="1:44" s="49" customFormat="1" ht="40.15" hidden="1" customHeight="1">
      <c r="A92" s="152">
        <f t="shared" ca="1" si="109"/>
        <v>0</v>
      </c>
      <c r="B92" s="153" t="s">
        <v>117</v>
      </c>
      <c r="C92" s="154" t="str">
        <f t="shared" si="110"/>
        <v>SR/0120</v>
      </c>
      <c r="D92" s="154" t="s">
        <v>3549</v>
      </c>
      <c r="E92" s="155" t="s">
        <v>3601</v>
      </c>
      <c r="F92" s="154"/>
      <c r="G92" s="154" t="s">
        <v>58</v>
      </c>
      <c r="H92" s="152">
        <v>50.59</v>
      </c>
      <c r="I92" s="152">
        <v>45.82</v>
      </c>
      <c r="J92" s="156"/>
      <c r="K92" s="156">
        <f>+Pav_Terraplenagem!J25</f>
        <v>0</v>
      </c>
      <c r="L92" s="156">
        <f t="shared" si="111"/>
        <v>0</v>
      </c>
      <c r="M92" s="156">
        <f t="shared" si="112"/>
        <v>0</v>
      </c>
      <c r="N92" s="156" t="s">
        <v>83</v>
      </c>
      <c r="O92" s="157" cm="1">
        <f t="array" ref="O92">TRUNC($H92*(1+_xlfn.SWITCH($N92,"BDI 1",$O$6,"BDI 2",$O$7,"BDI 3",$O$8)),2)</f>
        <v>61.06</v>
      </c>
      <c r="P92" s="157" cm="1">
        <f t="array" ref="P92">TRUNC($I92*(1+_xlfn.SWITCH($N92,"BDI 1",$P$6,"BDI 2",$P$7,"BDI 3",$P$8)),2)</f>
        <v>58.07</v>
      </c>
      <c r="Q92" s="157">
        <v>0</v>
      </c>
      <c r="R92" s="157">
        <f t="shared" ref="R92" si="156">$Q92-($Q92*LICITACAO_DESCONTO)</f>
        <v>0</v>
      </c>
      <c r="S92" s="156">
        <f t="shared" si="114"/>
        <v>0</v>
      </c>
      <c r="T92" s="156">
        <f t="shared" si="115"/>
        <v>0</v>
      </c>
      <c r="U92" s="156">
        <f t="shared" si="116"/>
        <v>0</v>
      </c>
      <c r="V92" s="156">
        <f t="shared" si="117"/>
        <v>0</v>
      </c>
      <c r="W92" s="156">
        <f t="shared" si="104"/>
        <v>0</v>
      </c>
      <c r="X92" s="158">
        <f t="shared" ref="X92" si="157">$S92/ORCAMENTO_VALOR_TOTAL_ND</f>
        <v>0</v>
      </c>
      <c r="Y92" s="158">
        <f t="shared" ref="Y92" si="158">$T92/ORCAMENTO_VALOR_TOTAL_DE</f>
        <v>0</v>
      </c>
      <c r="Z92" s="158" cm="1">
        <f t="array" ref="Z92">_xlfn.SWITCH($N92,"BDI 1",$O$6,"BDI 2",$O$7,"BDI 3",$O$8)</f>
        <v>0.20699999999999999</v>
      </c>
      <c r="AA92" s="158" cm="1">
        <f t="array" ref="AA92">_xlfn.SWITCH($N92,"BDI 1",$P$6,"BDI 2",$P$7,"BDI 3",$P$8)</f>
        <v>0.26739999999999997</v>
      </c>
      <c r="AB92" s="158">
        <f t="shared" ca="1" si="120"/>
        <v>0</v>
      </c>
      <c r="AC92" s="158">
        <f t="shared" ca="1" si="121"/>
        <v>0</v>
      </c>
      <c r="AD92" s="164"/>
      <c r="AE92" s="148">
        <f t="shared" si="107"/>
        <v>0</v>
      </c>
      <c r="AF92" s="149"/>
      <c r="AG92" s="150"/>
      <c r="AH92" s="159" t="e">
        <f t="shared" si="108"/>
        <v>#DIV/0!</v>
      </c>
      <c r="AI92" s="160"/>
      <c r="AJ92" s="105"/>
      <c r="AK92" s="105"/>
      <c r="AM92" s="105"/>
      <c r="AN92" s="105"/>
      <c r="AO92" s="105"/>
      <c r="AP92" s="105"/>
      <c r="AQ92" s="105"/>
      <c r="AR92" s="105"/>
    </row>
    <row r="93" spans="1:44" s="49" customFormat="1" ht="40.15" hidden="1" customHeight="1">
      <c r="A93" s="152">
        <f t="shared" ca="1" si="109"/>
        <v>0</v>
      </c>
      <c r="B93" s="153">
        <v>98526</v>
      </c>
      <c r="C93" s="154" t="str">
        <f t="shared" si="110"/>
        <v>98526</v>
      </c>
      <c r="D93" s="154" t="s">
        <v>1416</v>
      </c>
      <c r="E93" s="155" t="s">
        <v>3602</v>
      </c>
      <c r="F93" s="154"/>
      <c r="G93" s="154" t="s">
        <v>1412</v>
      </c>
      <c r="H93" s="152">
        <v>127.76</v>
      </c>
      <c r="I93" s="152">
        <v>79.36</v>
      </c>
      <c r="J93" s="156"/>
      <c r="K93" s="156">
        <f>Demolicao!M57</f>
        <v>0</v>
      </c>
      <c r="L93" s="156">
        <f t="shared" si="111"/>
        <v>0</v>
      </c>
      <c r="M93" s="156">
        <f t="shared" si="112"/>
        <v>0</v>
      </c>
      <c r="N93" s="156" t="s">
        <v>83</v>
      </c>
      <c r="O93" s="157" cm="1">
        <f t="array" ref="O93">TRUNC($H93*(1+_xlfn.SWITCH($N93,"BDI 1",$O$6,"BDI 2",$O$7,"BDI 3",$O$8)),2)</f>
        <v>154.19999999999999</v>
      </c>
      <c r="P93" s="157" cm="1">
        <f t="array" ref="P93">TRUNC($I93*(1+_xlfn.SWITCH($N93,"BDI 1",$P$6,"BDI 2",$P$7,"BDI 3",$P$8)),2)</f>
        <v>100.58</v>
      </c>
      <c r="Q93" s="157">
        <v>0</v>
      </c>
      <c r="R93" s="157">
        <f t="shared" ref="R93" si="159">$Q93-($Q93*LICITACAO_DESCONTO)</f>
        <v>0</v>
      </c>
      <c r="S93" s="156">
        <f t="shared" si="114"/>
        <v>0</v>
      </c>
      <c r="T93" s="156">
        <f t="shared" si="115"/>
        <v>0</v>
      </c>
      <c r="U93" s="156">
        <f t="shared" si="116"/>
        <v>0</v>
      </c>
      <c r="V93" s="156">
        <f t="shared" si="117"/>
        <v>0</v>
      </c>
      <c r="W93" s="156">
        <f t="shared" si="104"/>
        <v>0</v>
      </c>
      <c r="X93" s="158">
        <f t="shared" ref="X93" si="160">$S93/ORCAMENTO_VALOR_TOTAL_ND</f>
        <v>0</v>
      </c>
      <c r="Y93" s="158">
        <f t="shared" ref="Y93" si="161">$T93/ORCAMENTO_VALOR_TOTAL_DE</f>
        <v>0</v>
      </c>
      <c r="Z93" s="158" cm="1">
        <f t="array" ref="Z93">_xlfn.SWITCH($N93,"BDI 1",$O$6,"BDI 2",$O$7,"BDI 3",$O$8)</f>
        <v>0.20699999999999999</v>
      </c>
      <c r="AA93" s="158" cm="1">
        <f t="array" ref="AA93">_xlfn.SWITCH($N93,"BDI 1",$P$6,"BDI 2",$P$7,"BDI 3",$P$8)</f>
        <v>0.26739999999999997</v>
      </c>
      <c r="AB93" s="158">
        <f t="shared" ca="1" si="120"/>
        <v>0</v>
      </c>
      <c r="AC93" s="158">
        <f t="shared" ca="1" si="121"/>
        <v>0</v>
      </c>
      <c r="AD93" s="164"/>
      <c r="AE93" s="148">
        <f t="shared" si="107"/>
        <v>0</v>
      </c>
      <c r="AF93" s="149"/>
      <c r="AG93" s="150"/>
      <c r="AH93" s="159" t="e">
        <f t="shared" si="108"/>
        <v>#DIV/0!</v>
      </c>
      <c r="AI93" s="160"/>
      <c r="AJ93" s="105"/>
      <c r="AK93" s="105"/>
      <c r="AM93" s="105"/>
      <c r="AN93" s="105"/>
      <c r="AO93" s="105"/>
      <c r="AP93" s="105"/>
      <c r="AQ93" s="105"/>
      <c r="AR93" s="105"/>
    </row>
    <row r="94" spans="1:44" s="49" customFormat="1" ht="40.15" hidden="1" customHeight="1">
      <c r="A94" s="152">
        <f t="shared" ca="1" si="109"/>
        <v>0</v>
      </c>
      <c r="B94" s="153">
        <v>98527</v>
      </c>
      <c r="C94" s="154" t="str">
        <f t="shared" si="110"/>
        <v>98527</v>
      </c>
      <c r="D94" s="154" t="s">
        <v>1416</v>
      </c>
      <c r="E94" s="155" t="s">
        <v>3603</v>
      </c>
      <c r="F94" s="154"/>
      <c r="G94" s="154" t="s">
        <v>1412</v>
      </c>
      <c r="H94" s="152">
        <v>212.03</v>
      </c>
      <c r="I94" s="152">
        <v>170.86</v>
      </c>
      <c r="J94" s="156"/>
      <c r="K94" s="156">
        <f>Demolicao!M58</f>
        <v>0</v>
      </c>
      <c r="L94" s="156">
        <f t="shared" si="111"/>
        <v>0</v>
      </c>
      <c r="M94" s="156">
        <f t="shared" si="112"/>
        <v>0</v>
      </c>
      <c r="N94" s="156" t="s">
        <v>83</v>
      </c>
      <c r="O94" s="157" cm="1">
        <f t="array" ref="O94">TRUNC($H94*(1+_xlfn.SWITCH($N94,"BDI 1",$O$6,"BDI 2",$O$7,"BDI 3",$O$8)),2)</f>
        <v>255.92</v>
      </c>
      <c r="P94" s="157" cm="1">
        <f t="array" ref="P94">TRUNC($I94*(1+_xlfn.SWITCH($N94,"BDI 1",$P$6,"BDI 2",$P$7,"BDI 3",$P$8)),2)</f>
        <v>216.54</v>
      </c>
      <c r="Q94" s="157">
        <v>0</v>
      </c>
      <c r="R94" s="157">
        <f t="shared" ref="R94" si="162">$Q94-($Q94*LICITACAO_DESCONTO)</f>
        <v>0</v>
      </c>
      <c r="S94" s="156">
        <f t="shared" si="114"/>
        <v>0</v>
      </c>
      <c r="T94" s="156">
        <f t="shared" si="115"/>
        <v>0</v>
      </c>
      <c r="U94" s="156">
        <f t="shared" si="116"/>
        <v>0</v>
      </c>
      <c r="V94" s="156">
        <f t="shared" si="117"/>
        <v>0</v>
      </c>
      <c r="W94" s="156">
        <f t="shared" si="104"/>
        <v>0</v>
      </c>
      <c r="X94" s="158">
        <f t="shared" ref="X94" si="163">$S94/ORCAMENTO_VALOR_TOTAL_ND</f>
        <v>0</v>
      </c>
      <c r="Y94" s="158">
        <f t="shared" ref="Y94" si="164">$T94/ORCAMENTO_VALOR_TOTAL_DE</f>
        <v>0</v>
      </c>
      <c r="Z94" s="158" cm="1">
        <f t="array" ref="Z94">_xlfn.SWITCH($N94,"BDI 1",$O$6,"BDI 2",$O$7,"BDI 3",$O$8)</f>
        <v>0.20699999999999999</v>
      </c>
      <c r="AA94" s="158" cm="1">
        <f t="array" ref="AA94">_xlfn.SWITCH($N94,"BDI 1",$P$6,"BDI 2",$P$7,"BDI 3",$P$8)</f>
        <v>0.26739999999999997</v>
      </c>
      <c r="AB94" s="158">
        <f t="shared" ca="1" si="120"/>
        <v>0</v>
      </c>
      <c r="AC94" s="158">
        <f t="shared" ca="1" si="121"/>
        <v>0</v>
      </c>
      <c r="AD94" s="164"/>
      <c r="AE94" s="148">
        <f t="shared" si="107"/>
        <v>0</v>
      </c>
      <c r="AF94" s="149"/>
      <c r="AG94" s="150"/>
      <c r="AH94" s="159" t="e">
        <f t="shared" si="108"/>
        <v>#DIV/0!</v>
      </c>
      <c r="AI94" s="160"/>
      <c r="AJ94" s="105"/>
      <c r="AK94" s="105"/>
      <c r="AM94" s="105"/>
      <c r="AN94" s="105"/>
      <c r="AO94" s="105"/>
      <c r="AP94" s="105"/>
      <c r="AQ94" s="105"/>
      <c r="AR94" s="105"/>
    </row>
    <row r="95" spans="1:44" s="49" customFormat="1" ht="40.15" hidden="1" customHeight="1">
      <c r="A95" s="152">
        <f t="shared" ca="1" si="109"/>
        <v>0</v>
      </c>
      <c r="B95" s="153">
        <v>98528</v>
      </c>
      <c r="C95" s="154" t="str">
        <f t="shared" si="110"/>
        <v>98528</v>
      </c>
      <c r="D95" s="154" t="s">
        <v>1416</v>
      </c>
      <c r="E95" s="155" t="s">
        <v>3604</v>
      </c>
      <c r="F95" s="154"/>
      <c r="G95" s="154" t="s">
        <v>1412</v>
      </c>
      <c r="H95" s="152">
        <v>279.45</v>
      </c>
      <c r="I95" s="152">
        <v>249.88</v>
      </c>
      <c r="J95" s="156"/>
      <c r="K95" s="156">
        <f>Demolicao!M59</f>
        <v>0</v>
      </c>
      <c r="L95" s="156">
        <f t="shared" si="111"/>
        <v>0</v>
      </c>
      <c r="M95" s="156">
        <f t="shared" si="112"/>
        <v>0</v>
      </c>
      <c r="N95" s="156" t="s">
        <v>83</v>
      </c>
      <c r="O95" s="157" cm="1">
        <f t="array" ref="O95">TRUNC($H95*(1+_xlfn.SWITCH($N95,"BDI 1",$O$6,"BDI 2",$O$7,"BDI 3",$O$8)),2)</f>
        <v>337.29</v>
      </c>
      <c r="P95" s="157" cm="1">
        <f t="array" ref="P95">TRUNC($I95*(1+_xlfn.SWITCH($N95,"BDI 1",$P$6,"BDI 2",$P$7,"BDI 3",$P$8)),2)</f>
        <v>316.69</v>
      </c>
      <c r="Q95" s="157">
        <v>0</v>
      </c>
      <c r="R95" s="157">
        <f t="shared" ref="R95" si="165">$Q95-($Q95*LICITACAO_DESCONTO)</f>
        <v>0</v>
      </c>
      <c r="S95" s="156">
        <f t="shared" si="114"/>
        <v>0</v>
      </c>
      <c r="T95" s="156">
        <f t="shared" si="115"/>
        <v>0</v>
      </c>
      <c r="U95" s="156">
        <f t="shared" si="116"/>
        <v>0</v>
      </c>
      <c r="V95" s="156">
        <f t="shared" si="117"/>
        <v>0</v>
      </c>
      <c r="W95" s="156">
        <f t="shared" si="104"/>
        <v>0</v>
      </c>
      <c r="X95" s="158">
        <f t="shared" ref="X95" si="166">$S95/ORCAMENTO_VALOR_TOTAL_ND</f>
        <v>0</v>
      </c>
      <c r="Y95" s="158">
        <f t="shared" ref="Y95" si="167">$T95/ORCAMENTO_VALOR_TOTAL_DE</f>
        <v>0</v>
      </c>
      <c r="Z95" s="158" cm="1">
        <f t="array" ref="Z95">_xlfn.SWITCH($N95,"BDI 1",$O$6,"BDI 2",$O$7,"BDI 3",$O$8)</f>
        <v>0.20699999999999999</v>
      </c>
      <c r="AA95" s="158" cm="1">
        <f t="array" ref="AA95">_xlfn.SWITCH($N95,"BDI 1",$P$6,"BDI 2",$P$7,"BDI 3",$P$8)</f>
        <v>0.26739999999999997</v>
      </c>
      <c r="AB95" s="158">
        <f t="shared" ca="1" si="120"/>
        <v>0</v>
      </c>
      <c r="AC95" s="158">
        <f t="shared" ca="1" si="121"/>
        <v>0</v>
      </c>
      <c r="AD95" s="164"/>
      <c r="AE95" s="148">
        <f t="shared" si="107"/>
        <v>0</v>
      </c>
      <c r="AF95" s="149"/>
      <c r="AG95" s="150"/>
      <c r="AH95" s="159" t="e">
        <f t="shared" si="108"/>
        <v>#DIV/0!</v>
      </c>
      <c r="AI95" s="160"/>
      <c r="AJ95" s="105"/>
      <c r="AK95" s="105"/>
      <c r="AM95" s="105"/>
      <c r="AN95" s="105"/>
      <c r="AO95" s="105"/>
      <c r="AP95" s="105"/>
      <c r="AQ95" s="105"/>
      <c r="AR95" s="105"/>
    </row>
    <row r="96" spans="1:44" s="49" customFormat="1" ht="40.15" hidden="1" customHeight="1">
      <c r="A96" s="152">
        <f t="shared" ca="1" si="109"/>
        <v>0</v>
      </c>
      <c r="B96" s="153">
        <v>98529</v>
      </c>
      <c r="C96" s="154" t="str">
        <f t="shared" si="110"/>
        <v>98529</v>
      </c>
      <c r="D96" s="154" t="s">
        <v>1416</v>
      </c>
      <c r="E96" s="155" t="s">
        <v>3605</v>
      </c>
      <c r="F96" s="154"/>
      <c r="G96" s="154" t="s">
        <v>1412</v>
      </c>
      <c r="H96" s="152">
        <v>71.05</v>
      </c>
      <c r="I96" s="152">
        <v>61.41</v>
      </c>
      <c r="J96" s="156"/>
      <c r="K96" s="156">
        <f>Demolicao!M60</f>
        <v>0</v>
      </c>
      <c r="L96" s="156">
        <f t="shared" si="111"/>
        <v>0</v>
      </c>
      <c r="M96" s="156">
        <f t="shared" si="112"/>
        <v>0</v>
      </c>
      <c r="N96" s="156" t="s">
        <v>83</v>
      </c>
      <c r="O96" s="157" cm="1">
        <f t="array" ref="O96">TRUNC($H96*(1+_xlfn.SWITCH($N96,"BDI 1",$O$6,"BDI 2",$O$7,"BDI 3",$O$8)),2)</f>
        <v>85.75</v>
      </c>
      <c r="P96" s="157" cm="1">
        <f t="array" ref="P96">TRUNC($I96*(1+_xlfn.SWITCH($N96,"BDI 1",$P$6,"BDI 2",$P$7,"BDI 3",$P$8)),2)</f>
        <v>77.83</v>
      </c>
      <c r="Q96" s="157">
        <v>0</v>
      </c>
      <c r="R96" s="157">
        <f t="shared" ref="R96" si="168">$Q96-($Q96*LICITACAO_DESCONTO)</f>
        <v>0</v>
      </c>
      <c r="S96" s="156">
        <f t="shared" si="114"/>
        <v>0</v>
      </c>
      <c r="T96" s="156">
        <f t="shared" si="115"/>
        <v>0</v>
      </c>
      <c r="U96" s="156">
        <f t="shared" si="116"/>
        <v>0</v>
      </c>
      <c r="V96" s="156">
        <f t="shared" si="117"/>
        <v>0</v>
      </c>
      <c r="W96" s="156">
        <f t="shared" si="104"/>
        <v>0</v>
      </c>
      <c r="X96" s="158">
        <f t="shared" ref="X96" si="169">$S96/ORCAMENTO_VALOR_TOTAL_ND</f>
        <v>0</v>
      </c>
      <c r="Y96" s="158">
        <f t="shared" ref="Y96" si="170">$T96/ORCAMENTO_VALOR_TOTAL_DE</f>
        <v>0</v>
      </c>
      <c r="Z96" s="158" cm="1">
        <f t="array" ref="Z96">_xlfn.SWITCH($N96,"BDI 1",$O$6,"BDI 2",$O$7,"BDI 3",$O$8)</f>
        <v>0.20699999999999999</v>
      </c>
      <c r="AA96" s="158" cm="1">
        <f t="array" ref="AA96">_xlfn.SWITCH($N96,"BDI 1",$P$6,"BDI 2",$P$7,"BDI 3",$P$8)</f>
        <v>0.26739999999999997</v>
      </c>
      <c r="AB96" s="158">
        <f t="shared" ca="1" si="120"/>
        <v>0</v>
      </c>
      <c r="AC96" s="158">
        <f t="shared" ca="1" si="121"/>
        <v>0</v>
      </c>
      <c r="AD96" s="164"/>
      <c r="AE96" s="148">
        <f t="shared" si="107"/>
        <v>0</v>
      </c>
      <c r="AF96" s="149"/>
      <c r="AG96" s="150"/>
      <c r="AH96" s="159" t="e">
        <f t="shared" si="108"/>
        <v>#DIV/0!</v>
      </c>
      <c r="AI96" s="160"/>
      <c r="AJ96" s="105"/>
      <c r="AK96" s="105"/>
      <c r="AM96" s="105"/>
      <c r="AN96" s="105"/>
      <c r="AO96" s="105"/>
      <c r="AP96" s="105"/>
      <c r="AQ96" s="105"/>
      <c r="AR96" s="105"/>
    </row>
    <row r="97" spans="1:44" s="49" customFormat="1" ht="40.15" hidden="1" customHeight="1">
      <c r="A97" s="152">
        <f t="shared" ca="1" si="109"/>
        <v>0</v>
      </c>
      <c r="B97" s="153">
        <v>98530</v>
      </c>
      <c r="C97" s="154" t="str">
        <f t="shared" si="110"/>
        <v>98530</v>
      </c>
      <c r="D97" s="154" t="s">
        <v>1416</v>
      </c>
      <c r="E97" s="155" t="s">
        <v>3606</v>
      </c>
      <c r="F97" s="154"/>
      <c r="G97" s="154" t="s">
        <v>1412</v>
      </c>
      <c r="H97" s="152">
        <v>139.46</v>
      </c>
      <c r="I97" s="152">
        <v>109.4</v>
      </c>
      <c r="J97" s="156"/>
      <c r="K97" s="156">
        <f>Demolicao!M61</f>
        <v>0</v>
      </c>
      <c r="L97" s="156">
        <f t="shared" si="111"/>
        <v>0</v>
      </c>
      <c r="M97" s="156">
        <f t="shared" si="112"/>
        <v>0</v>
      </c>
      <c r="N97" s="156" t="s">
        <v>83</v>
      </c>
      <c r="O97" s="157" cm="1">
        <f t="array" ref="O97">TRUNC($H97*(1+_xlfn.SWITCH($N97,"BDI 1",$O$6,"BDI 2",$O$7,"BDI 3",$O$8)),2)</f>
        <v>168.32</v>
      </c>
      <c r="P97" s="157" cm="1">
        <f t="array" ref="P97">TRUNC($I97*(1+_xlfn.SWITCH($N97,"BDI 1",$P$6,"BDI 2",$P$7,"BDI 3",$P$8)),2)</f>
        <v>138.65</v>
      </c>
      <c r="Q97" s="157">
        <v>0</v>
      </c>
      <c r="R97" s="157">
        <f t="shared" ref="R97" si="171">$Q97-($Q97*LICITACAO_DESCONTO)</f>
        <v>0</v>
      </c>
      <c r="S97" s="156">
        <f t="shared" si="114"/>
        <v>0</v>
      </c>
      <c r="T97" s="156">
        <f t="shared" si="115"/>
        <v>0</v>
      </c>
      <c r="U97" s="156">
        <f t="shared" si="116"/>
        <v>0</v>
      </c>
      <c r="V97" s="156">
        <f t="shared" si="117"/>
        <v>0</v>
      </c>
      <c r="W97" s="156">
        <f t="shared" si="104"/>
        <v>0</v>
      </c>
      <c r="X97" s="158">
        <f t="shared" ref="X97" si="172">$S97/ORCAMENTO_VALOR_TOTAL_ND</f>
        <v>0</v>
      </c>
      <c r="Y97" s="158">
        <f t="shared" ref="Y97" si="173">$T97/ORCAMENTO_VALOR_TOTAL_DE</f>
        <v>0</v>
      </c>
      <c r="Z97" s="158" cm="1">
        <f t="array" ref="Z97">_xlfn.SWITCH($N97,"BDI 1",$O$6,"BDI 2",$O$7,"BDI 3",$O$8)</f>
        <v>0.20699999999999999</v>
      </c>
      <c r="AA97" s="158" cm="1">
        <f t="array" ref="AA97">_xlfn.SWITCH($N97,"BDI 1",$P$6,"BDI 2",$P$7,"BDI 3",$P$8)</f>
        <v>0.26739999999999997</v>
      </c>
      <c r="AB97" s="158">
        <f t="shared" ca="1" si="120"/>
        <v>0</v>
      </c>
      <c r="AC97" s="158">
        <f t="shared" ca="1" si="121"/>
        <v>0</v>
      </c>
      <c r="AD97" s="164"/>
      <c r="AE97" s="148">
        <f t="shared" si="107"/>
        <v>0</v>
      </c>
      <c r="AF97" s="149"/>
      <c r="AG97" s="150"/>
      <c r="AH97" s="159" t="e">
        <f t="shared" si="108"/>
        <v>#DIV/0!</v>
      </c>
      <c r="AI97" s="160"/>
      <c r="AJ97" s="105"/>
      <c r="AK97" s="105"/>
      <c r="AM97" s="105"/>
      <c r="AN97" s="105"/>
      <c r="AO97" s="105"/>
      <c r="AP97" s="105"/>
      <c r="AQ97" s="105"/>
      <c r="AR97" s="105"/>
    </row>
    <row r="98" spans="1:44" s="49" customFormat="1" ht="40.15" hidden="1" customHeight="1">
      <c r="A98" s="152">
        <f t="shared" ca="1" si="109"/>
        <v>0</v>
      </c>
      <c r="B98" s="153">
        <v>98531</v>
      </c>
      <c r="C98" s="154" t="str">
        <f t="shared" si="110"/>
        <v>98531</v>
      </c>
      <c r="D98" s="154" t="s">
        <v>1416</v>
      </c>
      <c r="E98" s="155" t="s">
        <v>3607</v>
      </c>
      <c r="F98" s="154"/>
      <c r="G98" s="154" t="s">
        <v>1412</v>
      </c>
      <c r="H98" s="152">
        <v>371.76</v>
      </c>
      <c r="I98" s="152">
        <v>268.7</v>
      </c>
      <c r="J98" s="156"/>
      <c r="K98" s="156">
        <f>Demolicao!M62</f>
        <v>0</v>
      </c>
      <c r="L98" s="156">
        <f t="shared" si="111"/>
        <v>0</v>
      </c>
      <c r="M98" s="156">
        <f t="shared" si="112"/>
        <v>0</v>
      </c>
      <c r="N98" s="156" t="s">
        <v>83</v>
      </c>
      <c r="O98" s="157" cm="1">
        <f t="array" ref="O98">TRUNC($H98*(1+_xlfn.SWITCH($N98,"BDI 1",$O$6,"BDI 2",$O$7,"BDI 3",$O$8)),2)</f>
        <v>448.71</v>
      </c>
      <c r="P98" s="157" cm="1">
        <f t="array" ref="P98">TRUNC($I98*(1+_xlfn.SWITCH($N98,"BDI 1",$P$6,"BDI 2",$P$7,"BDI 3",$P$8)),2)</f>
        <v>340.55</v>
      </c>
      <c r="Q98" s="157">
        <v>0</v>
      </c>
      <c r="R98" s="157">
        <f t="shared" ref="R98" si="174">$Q98-($Q98*LICITACAO_DESCONTO)</f>
        <v>0</v>
      </c>
      <c r="S98" s="156">
        <f t="shared" si="114"/>
        <v>0</v>
      </c>
      <c r="T98" s="156">
        <f t="shared" si="115"/>
        <v>0</v>
      </c>
      <c r="U98" s="156">
        <f t="shared" si="116"/>
        <v>0</v>
      </c>
      <c r="V98" s="156">
        <f t="shared" si="117"/>
        <v>0</v>
      </c>
      <c r="W98" s="156">
        <f t="shared" si="104"/>
        <v>0</v>
      </c>
      <c r="X98" s="158">
        <f t="shared" ref="X98" si="175">$S98/ORCAMENTO_VALOR_TOTAL_ND</f>
        <v>0</v>
      </c>
      <c r="Y98" s="158">
        <f t="shared" ref="Y98" si="176">$T98/ORCAMENTO_VALOR_TOTAL_DE</f>
        <v>0</v>
      </c>
      <c r="Z98" s="158" cm="1">
        <f t="array" ref="Z98">_xlfn.SWITCH($N98,"BDI 1",$O$6,"BDI 2",$O$7,"BDI 3",$O$8)</f>
        <v>0.20699999999999999</v>
      </c>
      <c r="AA98" s="158" cm="1">
        <f t="array" ref="AA98">_xlfn.SWITCH($N98,"BDI 1",$P$6,"BDI 2",$P$7,"BDI 3",$P$8)</f>
        <v>0.26739999999999997</v>
      </c>
      <c r="AB98" s="158">
        <f t="shared" ca="1" si="120"/>
        <v>0</v>
      </c>
      <c r="AC98" s="158">
        <f t="shared" ca="1" si="121"/>
        <v>0</v>
      </c>
      <c r="AD98" s="164"/>
      <c r="AE98" s="148">
        <f t="shared" si="107"/>
        <v>0</v>
      </c>
      <c r="AF98" s="149"/>
      <c r="AG98" s="150"/>
      <c r="AH98" s="159" t="e">
        <f t="shared" si="108"/>
        <v>#DIV/0!</v>
      </c>
      <c r="AI98" s="160"/>
      <c r="AJ98" s="105"/>
      <c r="AK98" s="105"/>
      <c r="AM98" s="105"/>
      <c r="AN98" s="105"/>
      <c r="AO98" s="105"/>
      <c r="AP98" s="105"/>
      <c r="AQ98" s="105"/>
      <c r="AR98" s="105"/>
    </row>
    <row r="99" spans="1:44" s="49" customFormat="1" ht="40.15" hidden="1" customHeight="1">
      <c r="A99" s="152">
        <f t="shared" ca="1" si="109"/>
        <v>0</v>
      </c>
      <c r="B99" s="153">
        <v>98532</v>
      </c>
      <c r="C99" s="154" t="str">
        <f t="shared" si="110"/>
        <v>98532</v>
      </c>
      <c r="D99" s="154" t="s">
        <v>1416</v>
      </c>
      <c r="E99" s="155" t="s">
        <v>3608</v>
      </c>
      <c r="F99" s="154"/>
      <c r="G99" s="154" t="s">
        <v>1412</v>
      </c>
      <c r="H99" s="152">
        <v>29.47</v>
      </c>
      <c r="I99" s="152">
        <v>112.57</v>
      </c>
      <c r="J99" s="156"/>
      <c r="K99" s="156">
        <f>Demolicao!M63</f>
        <v>0</v>
      </c>
      <c r="L99" s="156">
        <f t="shared" si="111"/>
        <v>0</v>
      </c>
      <c r="M99" s="156">
        <f t="shared" si="112"/>
        <v>0</v>
      </c>
      <c r="N99" s="156" t="s">
        <v>83</v>
      </c>
      <c r="O99" s="157" cm="1">
        <f t="array" ref="O99">TRUNC($H99*(1+_xlfn.SWITCH($N99,"BDI 1",$O$6,"BDI 2",$O$7,"BDI 3",$O$8)),2)</f>
        <v>35.57</v>
      </c>
      <c r="P99" s="157" cm="1">
        <f t="array" ref="P99">TRUNC($I99*(1+_xlfn.SWITCH($N99,"BDI 1",$P$6,"BDI 2",$P$7,"BDI 3",$P$8)),2)</f>
        <v>142.66999999999999</v>
      </c>
      <c r="Q99" s="157">
        <v>0</v>
      </c>
      <c r="R99" s="157">
        <f t="shared" ref="R99" si="177">$Q99-($Q99*LICITACAO_DESCONTO)</f>
        <v>0</v>
      </c>
      <c r="S99" s="156">
        <f t="shared" si="114"/>
        <v>0</v>
      </c>
      <c r="T99" s="156">
        <f t="shared" si="115"/>
        <v>0</v>
      </c>
      <c r="U99" s="156">
        <f t="shared" si="116"/>
        <v>0</v>
      </c>
      <c r="V99" s="156">
        <f t="shared" si="117"/>
        <v>0</v>
      </c>
      <c r="W99" s="156">
        <f t="shared" si="104"/>
        <v>0</v>
      </c>
      <c r="X99" s="158">
        <f t="shared" ref="X99" si="178">$S99/ORCAMENTO_VALOR_TOTAL_ND</f>
        <v>0</v>
      </c>
      <c r="Y99" s="158">
        <f t="shared" ref="Y99" si="179">$T99/ORCAMENTO_VALOR_TOTAL_DE</f>
        <v>0</v>
      </c>
      <c r="Z99" s="158" cm="1">
        <f t="array" ref="Z99">_xlfn.SWITCH($N99,"BDI 1",$O$6,"BDI 2",$O$7,"BDI 3",$O$8)</f>
        <v>0.20699999999999999</v>
      </c>
      <c r="AA99" s="158" cm="1">
        <f t="array" ref="AA99">_xlfn.SWITCH($N99,"BDI 1",$P$6,"BDI 2",$P$7,"BDI 3",$P$8)</f>
        <v>0.26739999999999997</v>
      </c>
      <c r="AB99" s="158">
        <f t="shared" ca="1" si="120"/>
        <v>0</v>
      </c>
      <c r="AC99" s="158">
        <f t="shared" ca="1" si="121"/>
        <v>0</v>
      </c>
      <c r="AD99" s="164"/>
      <c r="AE99" s="148">
        <f t="shared" si="107"/>
        <v>0</v>
      </c>
      <c r="AF99" s="149"/>
      <c r="AG99" s="150"/>
      <c r="AH99" s="159" t="e">
        <f t="shared" si="108"/>
        <v>#DIV/0!</v>
      </c>
      <c r="AI99" s="160"/>
      <c r="AJ99" s="105"/>
      <c r="AK99" s="105"/>
      <c r="AM99" s="105"/>
      <c r="AN99" s="105"/>
      <c r="AO99" s="105"/>
      <c r="AP99" s="105"/>
      <c r="AQ99" s="105"/>
      <c r="AR99" s="105"/>
    </row>
    <row r="100" spans="1:44" s="49" customFormat="1" ht="40.15" hidden="1" customHeight="1">
      <c r="A100" s="152">
        <f t="shared" ca="1" si="109"/>
        <v>0</v>
      </c>
      <c r="B100" s="153">
        <v>98533</v>
      </c>
      <c r="C100" s="154" t="str">
        <f t="shared" si="110"/>
        <v>98533</v>
      </c>
      <c r="D100" s="154" t="s">
        <v>1416</v>
      </c>
      <c r="E100" s="155" t="s">
        <v>3609</v>
      </c>
      <c r="F100" s="154"/>
      <c r="G100" s="154" t="s">
        <v>1412</v>
      </c>
      <c r="H100" s="152">
        <v>111.36</v>
      </c>
      <c r="I100" s="152">
        <v>304.81</v>
      </c>
      <c r="J100" s="156"/>
      <c r="K100" s="156">
        <f>Demolicao!M64</f>
        <v>0</v>
      </c>
      <c r="L100" s="156">
        <f t="shared" si="111"/>
        <v>0</v>
      </c>
      <c r="M100" s="156">
        <f t="shared" si="112"/>
        <v>0</v>
      </c>
      <c r="N100" s="156" t="s">
        <v>83</v>
      </c>
      <c r="O100" s="157" cm="1">
        <f t="array" ref="O100">TRUNC($H100*(1+_xlfn.SWITCH($N100,"BDI 1",$O$6,"BDI 2",$O$7,"BDI 3",$O$8)),2)</f>
        <v>134.41</v>
      </c>
      <c r="P100" s="157" cm="1">
        <f t="array" ref="P100">TRUNC($I100*(1+_xlfn.SWITCH($N100,"BDI 1",$P$6,"BDI 2",$P$7,"BDI 3",$P$8)),2)</f>
        <v>386.31</v>
      </c>
      <c r="Q100" s="157">
        <v>0</v>
      </c>
      <c r="R100" s="157">
        <f t="shared" ref="R100" si="180">$Q100-($Q100*LICITACAO_DESCONTO)</f>
        <v>0</v>
      </c>
      <c r="S100" s="156">
        <f t="shared" si="114"/>
        <v>0</v>
      </c>
      <c r="T100" s="156">
        <f t="shared" si="115"/>
        <v>0</v>
      </c>
      <c r="U100" s="156">
        <f t="shared" si="116"/>
        <v>0</v>
      </c>
      <c r="V100" s="156">
        <f t="shared" si="117"/>
        <v>0</v>
      </c>
      <c r="W100" s="156">
        <f t="shared" si="104"/>
        <v>0</v>
      </c>
      <c r="X100" s="158">
        <f t="shared" ref="X100" si="181">$S100/ORCAMENTO_VALOR_TOTAL_ND</f>
        <v>0</v>
      </c>
      <c r="Y100" s="158">
        <f t="shared" ref="Y100" si="182">$T100/ORCAMENTO_VALOR_TOTAL_DE</f>
        <v>0</v>
      </c>
      <c r="Z100" s="158" cm="1">
        <f t="array" ref="Z100">_xlfn.SWITCH($N100,"BDI 1",$O$6,"BDI 2",$O$7,"BDI 3",$O$8)</f>
        <v>0.20699999999999999</v>
      </c>
      <c r="AA100" s="158" cm="1">
        <f t="array" ref="AA100">_xlfn.SWITCH($N100,"BDI 1",$P$6,"BDI 2",$P$7,"BDI 3",$P$8)</f>
        <v>0.26739999999999997</v>
      </c>
      <c r="AB100" s="158">
        <f t="shared" ca="1" si="120"/>
        <v>0</v>
      </c>
      <c r="AC100" s="158">
        <f t="shared" ca="1" si="121"/>
        <v>0</v>
      </c>
      <c r="AD100" s="164"/>
      <c r="AE100" s="148">
        <f t="shared" si="107"/>
        <v>0</v>
      </c>
      <c r="AF100" s="149"/>
      <c r="AG100" s="150"/>
      <c r="AH100" s="159" t="e">
        <f t="shared" si="108"/>
        <v>#DIV/0!</v>
      </c>
      <c r="AI100" s="160"/>
      <c r="AJ100" s="105"/>
      <c r="AK100" s="105"/>
      <c r="AM100" s="105"/>
      <c r="AN100" s="105"/>
      <c r="AO100" s="105"/>
      <c r="AP100" s="105"/>
      <c r="AQ100" s="105"/>
      <c r="AR100" s="105"/>
    </row>
    <row r="101" spans="1:44" s="49" customFormat="1" ht="40.15" hidden="1" customHeight="1">
      <c r="A101" s="152">
        <f t="shared" ca="1" si="109"/>
        <v>0</v>
      </c>
      <c r="B101" s="153">
        <v>98534</v>
      </c>
      <c r="C101" s="154" t="str">
        <f t="shared" si="110"/>
        <v>98534</v>
      </c>
      <c r="D101" s="154" t="s">
        <v>1416</v>
      </c>
      <c r="E101" s="155" t="s">
        <v>3610</v>
      </c>
      <c r="F101" s="154"/>
      <c r="G101" s="154" t="s">
        <v>1412</v>
      </c>
      <c r="H101" s="152">
        <v>308.02999999999997</v>
      </c>
      <c r="I101" s="152">
        <v>784.98</v>
      </c>
      <c r="J101" s="156"/>
      <c r="K101" s="156">
        <f>Demolicao!M65</f>
        <v>0</v>
      </c>
      <c r="L101" s="156">
        <f t="shared" si="111"/>
        <v>0</v>
      </c>
      <c r="M101" s="156">
        <f t="shared" si="112"/>
        <v>0</v>
      </c>
      <c r="N101" s="156" t="s">
        <v>83</v>
      </c>
      <c r="O101" s="157" cm="1">
        <f t="array" ref="O101">TRUNC($H101*(1+_xlfn.SWITCH($N101,"BDI 1",$O$6,"BDI 2",$O$7,"BDI 3",$O$8)),2)</f>
        <v>371.79</v>
      </c>
      <c r="P101" s="157" cm="1">
        <f t="array" ref="P101">TRUNC($I101*(1+_xlfn.SWITCH($N101,"BDI 1",$P$6,"BDI 2",$P$7,"BDI 3",$P$8)),2)</f>
        <v>994.88</v>
      </c>
      <c r="Q101" s="157">
        <v>0</v>
      </c>
      <c r="R101" s="157">
        <f t="shared" ref="R101" si="183">$Q101-($Q101*LICITACAO_DESCONTO)</f>
        <v>0</v>
      </c>
      <c r="S101" s="156">
        <f t="shared" si="114"/>
        <v>0</v>
      </c>
      <c r="T101" s="156">
        <f t="shared" si="115"/>
        <v>0</v>
      </c>
      <c r="U101" s="156">
        <f t="shared" si="116"/>
        <v>0</v>
      </c>
      <c r="V101" s="156">
        <f t="shared" si="117"/>
        <v>0</v>
      </c>
      <c r="W101" s="156">
        <f t="shared" si="104"/>
        <v>0</v>
      </c>
      <c r="X101" s="158">
        <f t="shared" ref="X101" si="184">$S101/ORCAMENTO_VALOR_TOTAL_ND</f>
        <v>0</v>
      </c>
      <c r="Y101" s="158">
        <f t="shared" ref="Y101" si="185">$T101/ORCAMENTO_VALOR_TOTAL_DE</f>
        <v>0</v>
      </c>
      <c r="Z101" s="158" cm="1">
        <f t="array" ref="Z101">_xlfn.SWITCH($N101,"BDI 1",$O$6,"BDI 2",$O$7,"BDI 3",$O$8)</f>
        <v>0.20699999999999999</v>
      </c>
      <c r="AA101" s="158" cm="1">
        <f t="array" ref="AA101">_xlfn.SWITCH($N101,"BDI 1",$P$6,"BDI 2",$P$7,"BDI 3",$P$8)</f>
        <v>0.26739999999999997</v>
      </c>
      <c r="AB101" s="158">
        <f t="shared" ca="1" si="120"/>
        <v>0</v>
      </c>
      <c r="AC101" s="158">
        <f t="shared" ca="1" si="121"/>
        <v>0</v>
      </c>
      <c r="AD101" s="164"/>
      <c r="AE101" s="148">
        <f t="shared" si="107"/>
        <v>0</v>
      </c>
      <c r="AF101" s="149"/>
      <c r="AG101" s="150"/>
      <c r="AH101" s="159" t="e">
        <f t="shared" si="108"/>
        <v>#DIV/0!</v>
      </c>
      <c r="AI101" s="160"/>
      <c r="AJ101" s="105"/>
      <c r="AK101" s="105"/>
      <c r="AM101" s="105"/>
      <c r="AN101" s="105"/>
      <c r="AO101" s="105"/>
      <c r="AP101" s="105"/>
      <c r="AQ101" s="105"/>
      <c r="AR101" s="105"/>
    </row>
    <row r="102" spans="1:44" s="49" customFormat="1" ht="40.15" hidden="1" customHeight="1">
      <c r="A102" s="152">
        <f t="shared" ca="1" si="109"/>
        <v>0</v>
      </c>
      <c r="B102" s="153">
        <v>98535</v>
      </c>
      <c r="C102" s="154" t="str">
        <f t="shared" si="110"/>
        <v>98535</v>
      </c>
      <c r="D102" s="154" t="s">
        <v>1416</v>
      </c>
      <c r="E102" s="155" t="s">
        <v>3611</v>
      </c>
      <c r="F102" s="154"/>
      <c r="G102" s="154" t="s">
        <v>1412</v>
      </c>
      <c r="H102" s="152">
        <v>645.82000000000005</v>
      </c>
      <c r="I102" s="152">
        <v>1235.46</v>
      </c>
      <c r="J102" s="156"/>
      <c r="K102" s="156">
        <f>Demolicao!M66</f>
        <v>0</v>
      </c>
      <c r="L102" s="156">
        <f t="shared" si="111"/>
        <v>0</v>
      </c>
      <c r="M102" s="156">
        <f t="shared" si="112"/>
        <v>0</v>
      </c>
      <c r="N102" s="156" t="s">
        <v>83</v>
      </c>
      <c r="O102" s="157" cm="1">
        <f t="array" ref="O102">TRUNC($H102*(1+_xlfn.SWITCH($N102,"BDI 1",$O$6,"BDI 2",$O$7,"BDI 3",$O$8)),2)</f>
        <v>779.5</v>
      </c>
      <c r="P102" s="157" cm="1">
        <f t="array" ref="P102">TRUNC($I102*(1+_xlfn.SWITCH($N102,"BDI 1",$P$6,"BDI 2",$P$7,"BDI 3",$P$8)),2)</f>
        <v>1565.82</v>
      </c>
      <c r="Q102" s="157">
        <v>0</v>
      </c>
      <c r="R102" s="157">
        <f t="shared" ref="R102" si="186">$Q102-($Q102*LICITACAO_DESCONTO)</f>
        <v>0</v>
      </c>
      <c r="S102" s="156">
        <f t="shared" si="114"/>
        <v>0</v>
      </c>
      <c r="T102" s="156">
        <f t="shared" si="115"/>
        <v>0</v>
      </c>
      <c r="U102" s="156">
        <f t="shared" si="116"/>
        <v>0</v>
      </c>
      <c r="V102" s="156">
        <f t="shared" si="117"/>
        <v>0</v>
      </c>
      <c r="W102" s="156">
        <f t="shared" si="104"/>
        <v>0</v>
      </c>
      <c r="X102" s="158">
        <f t="shared" ref="X102" si="187">$S102/ORCAMENTO_VALOR_TOTAL_ND</f>
        <v>0</v>
      </c>
      <c r="Y102" s="158">
        <f t="shared" ref="Y102" si="188">$T102/ORCAMENTO_VALOR_TOTAL_DE</f>
        <v>0</v>
      </c>
      <c r="Z102" s="158" cm="1">
        <f t="array" ref="Z102">_xlfn.SWITCH($N102,"BDI 1",$O$6,"BDI 2",$O$7,"BDI 3",$O$8)</f>
        <v>0.20699999999999999</v>
      </c>
      <c r="AA102" s="158" cm="1">
        <f t="array" ref="AA102">_xlfn.SWITCH($N102,"BDI 1",$P$6,"BDI 2",$P$7,"BDI 3",$P$8)</f>
        <v>0.26739999999999997</v>
      </c>
      <c r="AB102" s="158">
        <f t="shared" ca="1" si="120"/>
        <v>0</v>
      </c>
      <c r="AC102" s="158">
        <f t="shared" ca="1" si="121"/>
        <v>0</v>
      </c>
      <c r="AD102" s="164"/>
      <c r="AE102" s="148">
        <f t="shared" si="107"/>
        <v>0</v>
      </c>
      <c r="AF102" s="149"/>
      <c r="AG102" s="150"/>
      <c r="AH102" s="159" t="e">
        <f t="shared" si="108"/>
        <v>#DIV/0!</v>
      </c>
      <c r="AI102" s="160"/>
      <c r="AJ102" s="105"/>
      <c r="AK102" s="105"/>
      <c r="AM102" s="105"/>
      <c r="AN102" s="105"/>
      <c r="AO102" s="105"/>
      <c r="AP102" s="105"/>
      <c r="AQ102" s="105"/>
      <c r="AR102" s="105"/>
    </row>
    <row r="103" spans="1:44" s="49" customFormat="1" ht="49.9" hidden="1" customHeight="1">
      <c r="A103" s="152">
        <f t="shared" ca="1" si="109"/>
        <v>0</v>
      </c>
      <c r="B103" s="153">
        <v>100983</v>
      </c>
      <c r="C103" s="154" t="str">
        <f t="shared" si="110"/>
        <v>100983</v>
      </c>
      <c r="D103" s="154" t="s">
        <v>1416</v>
      </c>
      <c r="E103" s="155" t="s">
        <v>3612</v>
      </c>
      <c r="F103" s="154"/>
      <c r="G103" s="154" t="s">
        <v>464</v>
      </c>
      <c r="H103" s="152">
        <v>8.64</v>
      </c>
      <c r="I103" s="152">
        <v>8.66</v>
      </c>
      <c r="J103" s="156"/>
      <c r="K103" s="156">
        <f>Demolicao!M52+IF(Demolicao!M72&lt;=50,Demolicao!M72,0)+Demolicao!M50</f>
        <v>0</v>
      </c>
      <c r="L103" s="156">
        <f t="shared" si="111"/>
        <v>0</v>
      </c>
      <c r="M103" s="156">
        <f t="shared" si="112"/>
        <v>0</v>
      </c>
      <c r="N103" s="156" t="s">
        <v>83</v>
      </c>
      <c r="O103" s="157" cm="1">
        <f t="array" ref="O103">TRUNC($H103*(1+_xlfn.SWITCH($N103,"BDI 1",$O$6,"BDI 2",$O$7,"BDI 3",$O$8)),2)</f>
        <v>10.42</v>
      </c>
      <c r="P103" s="157" cm="1">
        <f t="array" ref="P103">TRUNC($I103*(1+_xlfn.SWITCH($N103,"BDI 1",$P$6,"BDI 2",$P$7,"BDI 3",$P$8)),2)</f>
        <v>10.97</v>
      </c>
      <c r="Q103" s="157">
        <v>0</v>
      </c>
      <c r="R103" s="157">
        <f t="shared" ref="R103" si="189">$Q103-($Q103*LICITACAO_DESCONTO)</f>
        <v>0</v>
      </c>
      <c r="S103" s="156">
        <f t="shared" si="114"/>
        <v>0</v>
      </c>
      <c r="T103" s="156">
        <f t="shared" si="115"/>
        <v>0</v>
      </c>
      <c r="U103" s="156">
        <f t="shared" si="116"/>
        <v>0</v>
      </c>
      <c r="V103" s="156">
        <f t="shared" si="117"/>
        <v>0</v>
      </c>
      <c r="W103" s="156">
        <f t="shared" si="104"/>
        <v>0</v>
      </c>
      <c r="X103" s="158">
        <f t="shared" ref="X103" si="190">$S103/ORCAMENTO_VALOR_TOTAL_ND</f>
        <v>0</v>
      </c>
      <c r="Y103" s="158">
        <f t="shared" ref="Y103" si="191">$T103/ORCAMENTO_VALOR_TOTAL_DE</f>
        <v>0</v>
      </c>
      <c r="Z103" s="158" cm="1">
        <f t="array" ref="Z103">_xlfn.SWITCH($N103,"BDI 1",$O$6,"BDI 2",$O$7,"BDI 3",$O$8)</f>
        <v>0.20699999999999999</v>
      </c>
      <c r="AA103" s="158" cm="1">
        <f t="array" ref="AA103">_xlfn.SWITCH($N103,"BDI 1",$P$6,"BDI 2",$P$7,"BDI 3",$P$8)</f>
        <v>0.26739999999999997</v>
      </c>
      <c r="AB103" s="158">
        <f t="shared" ca="1" si="120"/>
        <v>0</v>
      </c>
      <c r="AC103" s="158">
        <f t="shared" ca="1" si="121"/>
        <v>0</v>
      </c>
      <c r="AD103" s="164"/>
      <c r="AE103" s="148">
        <f t="shared" si="107"/>
        <v>0</v>
      </c>
      <c r="AF103" s="149"/>
      <c r="AG103" s="150"/>
      <c r="AH103" s="159" t="e">
        <f t="shared" si="108"/>
        <v>#DIV/0!</v>
      </c>
      <c r="AI103" s="160"/>
      <c r="AJ103" s="105"/>
      <c r="AK103" s="105"/>
      <c r="AM103" s="105"/>
      <c r="AN103" s="105"/>
      <c r="AO103" s="105"/>
      <c r="AP103" s="105"/>
      <c r="AQ103" s="105"/>
      <c r="AR103" s="105"/>
    </row>
    <row r="104" spans="1:44" s="49" customFormat="1" ht="49.9" hidden="1" customHeight="1">
      <c r="A104" s="152">
        <f t="shared" ca="1" si="109"/>
        <v>0</v>
      </c>
      <c r="B104" s="153">
        <v>100983</v>
      </c>
      <c r="C104" s="154" t="str">
        <f t="shared" si="110"/>
        <v>100983</v>
      </c>
      <c r="D104" s="154" t="s">
        <v>1416</v>
      </c>
      <c r="E104" s="155" t="s">
        <v>3612</v>
      </c>
      <c r="F104" s="154"/>
      <c r="G104" s="154" t="s">
        <v>464</v>
      </c>
      <c r="H104" s="152">
        <v>8.64</v>
      </c>
      <c r="I104" s="152">
        <v>8.66</v>
      </c>
      <c r="J104" s="156"/>
      <c r="K104" s="156">
        <f>IF(Demolicao!M72&gt;50,Demolicao!M72,0)</f>
        <v>0</v>
      </c>
      <c r="L104" s="156">
        <f t="shared" si="111"/>
        <v>0</v>
      </c>
      <c r="M104" s="156">
        <f t="shared" si="112"/>
        <v>0</v>
      </c>
      <c r="N104" s="156" t="s">
        <v>83</v>
      </c>
      <c r="O104" s="157" cm="1">
        <f t="array" ref="O104">TRUNC($H104*(1+_xlfn.SWITCH($N104,"BDI 1",$O$6,"BDI 2",$O$7,"BDI 3",$O$8)),2)</f>
        <v>10.42</v>
      </c>
      <c r="P104" s="157" cm="1">
        <f t="array" ref="P104">TRUNC($I104*(1+_xlfn.SWITCH($N104,"BDI 1",$P$6,"BDI 2",$P$7,"BDI 3",$P$8)),2)</f>
        <v>10.97</v>
      </c>
      <c r="Q104" s="157">
        <v>0</v>
      </c>
      <c r="R104" s="157">
        <f t="shared" ref="R104" si="192">$Q104-($Q104*LICITACAO_DESCONTO)</f>
        <v>0</v>
      </c>
      <c r="S104" s="156">
        <f t="shared" si="114"/>
        <v>0</v>
      </c>
      <c r="T104" s="156">
        <f t="shared" si="115"/>
        <v>0</v>
      </c>
      <c r="U104" s="156">
        <f t="shared" si="116"/>
        <v>0</v>
      </c>
      <c r="V104" s="156">
        <f t="shared" si="117"/>
        <v>0</v>
      </c>
      <c r="W104" s="156">
        <f t="shared" si="104"/>
        <v>0</v>
      </c>
      <c r="X104" s="158">
        <f t="shared" ref="X104" si="193">$S104/ORCAMENTO_VALOR_TOTAL_ND</f>
        <v>0</v>
      </c>
      <c r="Y104" s="158">
        <f t="shared" ref="Y104" si="194">$T104/ORCAMENTO_VALOR_TOTAL_DE</f>
        <v>0</v>
      </c>
      <c r="Z104" s="158" cm="1">
        <f t="array" ref="Z104">_xlfn.SWITCH($N104,"BDI 1",$O$6,"BDI 2",$O$7,"BDI 3",$O$8)</f>
        <v>0.20699999999999999</v>
      </c>
      <c r="AA104" s="158" cm="1">
        <f t="array" ref="AA104">_xlfn.SWITCH($N104,"BDI 1",$P$6,"BDI 2",$P$7,"BDI 3",$P$8)</f>
        <v>0.26739999999999997</v>
      </c>
      <c r="AB104" s="158">
        <f t="shared" ca="1" si="120"/>
        <v>0</v>
      </c>
      <c r="AC104" s="158">
        <f t="shared" ca="1" si="121"/>
        <v>0</v>
      </c>
      <c r="AD104" s="164"/>
      <c r="AE104" s="148">
        <f t="shared" si="107"/>
        <v>0</v>
      </c>
      <c r="AF104" s="149"/>
      <c r="AG104" s="150"/>
      <c r="AH104" s="159" t="e">
        <f t="shared" si="108"/>
        <v>#DIV/0!</v>
      </c>
      <c r="AI104" s="160"/>
      <c r="AJ104" s="105"/>
      <c r="AK104" s="105"/>
      <c r="AM104" s="105"/>
      <c r="AN104" s="105"/>
      <c r="AO104" s="105"/>
      <c r="AP104" s="105"/>
      <c r="AQ104" s="105"/>
      <c r="AR104" s="105"/>
    </row>
    <row r="105" spans="1:44" s="49" customFormat="1" ht="40.15" hidden="1" customHeight="1">
      <c r="A105" s="152">
        <f t="shared" ca="1" si="109"/>
        <v>0</v>
      </c>
      <c r="B105" s="153" t="s">
        <v>118</v>
      </c>
      <c r="C105" s="154" t="str">
        <f t="shared" si="110"/>
        <v>ST/0070</v>
      </c>
      <c r="D105" s="154" t="s">
        <v>3549</v>
      </c>
      <c r="E105" s="155" t="s">
        <v>3613</v>
      </c>
      <c r="F105" s="154"/>
      <c r="G105" s="154" t="s">
        <v>3614</v>
      </c>
      <c r="H105" s="152">
        <v>30.97</v>
      </c>
      <c r="I105" s="152">
        <v>30.02</v>
      </c>
      <c r="J105" s="156"/>
      <c r="K105" s="156">
        <f>Demolicao!M75</f>
        <v>0</v>
      </c>
      <c r="L105" s="156">
        <f t="shared" si="111"/>
        <v>0</v>
      </c>
      <c r="M105" s="156">
        <f t="shared" si="112"/>
        <v>0</v>
      </c>
      <c r="N105" s="156" t="s">
        <v>83</v>
      </c>
      <c r="O105" s="157" cm="1">
        <f t="array" ref="O105">TRUNC($H105*(1+_xlfn.SWITCH($N105,"BDI 1",$O$6,"BDI 2",$O$7,"BDI 3",$O$8)),2)</f>
        <v>37.380000000000003</v>
      </c>
      <c r="P105" s="157" cm="1">
        <f t="array" ref="P105">TRUNC($I105*(1+_xlfn.SWITCH($N105,"BDI 1",$P$6,"BDI 2",$P$7,"BDI 3",$P$8)),2)</f>
        <v>38.04</v>
      </c>
      <c r="Q105" s="157">
        <v>0</v>
      </c>
      <c r="R105" s="157">
        <f t="shared" ref="R105" si="195">$Q105-($Q105*LICITACAO_DESCONTO)</f>
        <v>0</v>
      </c>
      <c r="S105" s="156">
        <f t="shared" si="114"/>
        <v>0</v>
      </c>
      <c r="T105" s="156">
        <f t="shared" si="115"/>
        <v>0</v>
      </c>
      <c r="U105" s="156">
        <f t="shared" si="116"/>
        <v>0</v>
      </c>
      <c r="V105" s="156">
        <f t="shared" si="117"/>
        <v>0</v>
      </c>
      <c r="W105" s="156">
        <f t="shared" si="104"/>
        <v>0</v>
      </c>
      <c r="X105" s="158">
        <f t="shared" ref="X105" si="196">$S105/ORCAMENTO_VALOR_TOTAL_ND</f>
        <v>0</v>
      </c>
      <c r="Y105" s="158">
        <f t="shared" ref="Y105" si="197">$T105/ORCAMENTO_VALOR_TOTAL_DE</f>
        <v>0</v>
      </c>
      <c r="Z105" s="158" cm="1">
        <f t="array" ref="Z105">_xlfn.SWITCH($N105,"BDI 1",$O$6,"BDI 2",$O$7,"BDI 3",$O$8)</f>
        <v>0.20699999999999999</v>
      </c>
      <c r="AA105" s="158" cm="1">
        <f t="array" ref="AA105">_xlfn.SWITCH($N105,"BDI 1",$P$6,"BDI 2",$P$7,"BDI 3",$P$8)</f>
        <v>0.26739999999999997</v>
      </c>
      <c r="AB105" s="158">
        <f t="shared" ca="1" si="120"/>
        <v>0</v>
      </c>
      <c r="AC105" s="158">
        <f t="shared" ca="1" si="121"/>
        <v>0</v>
      </c>
      <c r="AD105" s="164"/>
      <c r="AE105" s="148">
        <f t="shared" si="107"/>
        <v>0</v>
      </c>
      <c r="AF105" s="149"/>
      <c r="AG105" s="150"/>
      <c r="AH105" s="159" t="e">
        <f t="shared" si="108"/>
        <v>#DIV/0!</v>
      </c>
      <c r="AI105" s="160"/>
      <c r="AJ105" s="105"/>
      <c r="AK105" s="105"/>
      <c r="AM105" s="105"/>
      <c r="AN105" s="105"/>
      <c r="AO105" s="105"/>
      <c r="AP105" s="105"/>
      <c r="AQ105" s="105"/>
      <c r="AR105" s="105"/>
    </row>
    <row r="106" spans="1:44" s="49" customFormat="1" ht="40.15" hidden="1" customHeight="1">
      <c r="A106" s="10">
        <f t="shared" ca="1" si="109"/>
        <v>0</v>
      </c>
      <c r="B106" s="153"/>
      <c r="C106" s="154"/>
      <c r="D106" s="154"/>
      <c r="E106" s="161" t="s">
        <v>119</v>
      </c>
      <c r="F106" s="160"/>
      <c r="G106" s="160"/>
      <c r="H106" s="185"/>
      <c r="I106" s="185"/>
      <c r="J106" s="160"/>
      <c r="K106" s="160"/>
      <c r="L106" s="160"/>
      <c r="M106" s="160"/>
      <c r="N106" s="160"/>
      <c r="O106" s="160"/>
      <c r="P106" s="160"/>
      <c r="Q106" s="160"/>
      <c r="R106" s="160"/>
      <c r="S106" s="162"/>
      <c r="T106" s="162"/>
      <c r="U106" s="162"/>
      <c r="V106" s="162"/>
      <c r="W106" s="162"/>
      <c r="X106" s="163"/>
      <c r="Y106" s="163"/>
      <c r="Z106" s="163"/>
      <c r="AA106" s="163"/>
      <c r="AB106" s="163"/>
      <c r="AC106" s="163"/>
      <c r="AD106" s="164"/>
      <c r="AE106" s="148">
        <f>IF(SUM(S107)&gt;0,IFERROR(TRUNC(A106,0),0),0)</f>
        <v>0</v>
      </c>
      <c r="AF106" s="149"/>
      <c r="AG106" s="150"/>
      <c r="AH106" s="159"/>
      <c r="AI106" s="160" t="s">
        <v>120</v>
      </c>
      <c r="AJ106" s="105"/>
      <c r="AK106" s="105"/>
      <c r="AM106" s="105"/>
      <c r="AN106" s="105"/>
      <c r="AO106" s="105"/>
      <c r="AP106" s="105"/>
      <c r="AQ106" s="105"/>
      <c r="AR106" s="105"/>
    </row>
    <row r="107" spans="1:44" s="49" customFormat="1" ht="40.15" hidden="1" customHeight="1">
      <c r="A107" s="152">
        <f t="shared" ca="1" si="109"/>
        <v>0</v>
      </c>
      <c r="B107" s="153">
        <v>95876</v>
      </c>
      <c r="C107" s="154" t="str">
        <f>TEXT(B107,"0")</f>
        <v>95876</v>
      </c>
      <c r="D107" s="154" t="s">
        <v>1416</v>
      </c>
      <c r="E107" s="155" t="s">
        <v>3537</v>
      </c>
      <c r="F107" s="154">
        <f>Dados_DMT!$B$15</f>
        <v>1</v>
      </c>
      <c r="G107" s="154" t="s">
        <v>3538</v>
      </c>
      <c r="H107" s="152">
        <v>2.09</v>
      </c>
      <c r="I107" s="152">
        <v>2.1</v>
      </c>
      <c r="J107" s="156"/>
      <c r="K107" s="156">
        <f>ROUND(Demolicao!M71*F107,2)</f>
        <v>0</v>
      </c>
      <c r="L107" s="156">
        <f>IF($K107&gt;$J107,$K107-$J107,0)</f>
        <v>0</v>
      </c>
      <c r="M107" s="156">
        <f>IF($K107&lt;$J107,$J107-$K107,0)</f>
        <v>0</v>
      </c>
      <c r="N107" s="156" t="s">
        <v>83</v>
      </c>
      <c r="O107" s="157" cm="1">
        <f t="array" ref="O107">TRUNC($H107*(1+_xlfn.SWITCH($N107,"BDI 1",$O$6,"BDI 2",$O$7,"BDI 3",$O$8)),2)</f>
        <v>2.52</v>
      </c>
      <c r="P107" s="157" cm="1">
        <f t="array" ref="P107">TRUNC($I107*(1+_xlfn.SWITCH($N107,"BDI 1",$P$6,"BDI 2",$P$7,"BDI 3",$P$8)),2)</f>
        <v>2.66</v>
      </c>
      <c r="Q107" s="157">
        <v>0</v>
      </c>
      <c r="R107" s="157">
        <v>0</v>
      </c>
      <c r="S107" s="156">
        <f>TRUNC($K107*$O107,2)</f>
        <v>0</v>
      </c>
      <c r="T107" s="156">
        <f>TRUNC($K107*$P107,2)</f>
        <v>0</v>
      </c>
      <c r="U107" s="156">
        <f>TRUNC($J107*$R107,2)</f>
        <v>0</v>
      </c>
      <c r="V107" s="156">
        <f>TRUNC($K107*$Q107,2)</f>
        <v>0</v>
      </c>
      <c r="W107" s="156">
        <f>TRUNC(V107-U107,2)</f>
        <v>0</v>
      </c>
      <c r="X107" s="158">
        <f>$S107/ORCAMENTO_VALOR_TOTAL_ND</f>
        <v>0</v>
      </c>
      <c r="Y107" s="158">
        <f>$T107/ORCAMENTO_VALOR_TOTAL_DE</f>
        <v>0</v>
      </c>
      <c r="Z107" s="158" cm="1">
        <f t="array" ref="Z107">_xlfn.SWITCH($N107,"BDI 1",$O$6,"BDI 2",$O$7,"BDI 3",$O$8)</f>
        <v>0.20699999999999999</v>
      </c>
      <c r="AA107" s="158" cm="1">
        <f t="array" ref="AA107">_xlfn.SWITCH($N107,"BDI 1",$P$6,"BDI 2",$P$7,"BDI 3",$P$8)</f>
        <v>0.26739999999999997</v>
      </c>
      <c r="AB107" s="158">
        <f ca="1">IFERROR($S107/_xlfn.XLOOKUP($AE107,$B$16:$B$38,$S$16:$S$38),0)</f>
        <v>0</v>
      </c>
      <c r="AC107" s="158">
        <f ca="1">IFERROR($T107/_xlfn.XLOOKUP($AE107,$B$16:$B$38,$T$16:$T$38),0)</f>
        <v>0</v>
      </c>
      <c r="AD107" s="164"/>
      <c r="AE107" s="148">
        <f t="shared" ref="AE107" si="198">IF(S107&gt;0,IFERROR(TRUNC(A107,0),0),0)</f>
        <v>0</v>
      </c>
      <c r="AF107" s="149"/>
      <c r="AG107" s="150"/>
      <c r="AH107" s="159" t="e">
        <f>S107/$S$79</f>
        <v>#DIV/0!</v>
      </c>
      <c r="AI107" s="160"/>
      <c r="AJ107" s="105"/>
      <c r="AK107" s="105"/>
      <c r="AM107" s="105"/>
      <c r="AN107" s="105"/>
      <c r="AO107" s="105"/>
      <c r="AP107" s="105"/>
      <c r="AQ107" s="105"/>
      <c r="AR107" s="105"/>
    </row>
    <row r="108" spans="1:44" s="49" customFormat="1" ht="40.15" hidden="1" customHeight="1">
      <c r="A108" s="10">
        <f t="shared" ca="1" si="109"/>
        <v>0</v>
      </c>
      <c r="B108" s="153"/>
      <c r="C108" s="154"/>
      <c r="D108" s="154"/>
      <c r="E108" s="161" t="s">
        <v>121</v>
      </c>
      <c r="F108" s="160"/>
      <c r="G108" s="160"/>
      <c r="H108" s="185"/>
      <c r="I108" s="185"/>
      <c r="J108" s="160"/>
      <c r="K108" s="160"/>
      <c r="L108" s="160"/>
      <c r="M108" s="160"/>
      <c r="N108" s="160"/>
      <c r="O108" s="160"/>
      <c r="P108" s="160"/>
      <c r="Q108" s="160"/>
      <c r="R108" s="160"/>
      <c r="S108" s="162"/>
      <c r="T108" s="162"/>
      <c r="U108" s="162"/>
      <c r="V108" s="162"/>
      <c r="W108" s="162"/>
      <c r="X108" s="163"/>
      <c r="Y108" s="163"/>
      <c r="Z108" s="163"/>
      <c r="AA108" s="163"/>
      <c r="AB108" s="163"/>
      <c r="AC108" s="163"/>
      <c r="AD108" s="164"/>
      <c r="AE108" s="148">
        <f>IF(SUM(S109:S110)&gt;0,IFERROR(TRUNC(A108,0),0),0)</f>
        <v>0</v>
      </c>
      <c r="AF108" s="149"/>
      <c r="AG108" s="150"/>
      <c r="AH108" s="159"/>
      <c r="AI108" s="160" t="s">
        <v>85</v>
      </c>
      <c r="AJ108" s="105"/>
      <c r="AK108" s="105"/>
      <c r="AM108" s="105"/>
      <c r="AN108" s="105"/>
      <c r="AO108" s="105"/>
      <c r="AP108" s="105"/>
      <c r="AQ108" s="105"/>
      <c r="AR108" s="105"/>
    </row>
    <row r="109" spans="1:44" s="49" customFormat="1" ht="40.15" hidden="1" customHeight="1">
      <c r="A109" s="152">
        <f t="shared" ca="1" si="109"/>
        <v>0</v>
      </c>
      <c r="B109" s="153">
        <v>95876</v>
      </c>
      <c r="C109" s="154" t="str">
        <f>TEXT(B109,"0")</f>
        <v>95876</v>
      </c>
      <c r="D109" s="154" t="s">
        <v>1416</v>
      </c>
      <c r="E109" s="155" t="s">
        <v>3537</v>
      </c>
      <c r="F109" s="154">
        <f>IF(Dados_DMT!$B$17&lt;30,Dados_DMT!$B$17,30)</f>
        <v>3.5</v>
      </c>
      <c r="G109" s="154" t="s">
        <v>3538</v>
      </c>
      <c r="H109" s="152">
        <v>2.09</v>
      </c>
      <c r="I109" s="152">
        <v>2.1</v>
      </c>
      <c r="J109" s="156"/>
      <c r="K109" s="156">
        <f>ROUND(Demolicao!M70*F109,2)</f>
        <v>0</v>
      </c>
      <c r="L109" s="156">
        <f>IF($K109&gt;$J109,$K109-$J109,0)</f>
        <v>0</v>
      </c>
      <c r="M109" s="156">
        <f>IF($K109&lt;$J109,$J109-$K109,0)</f>
        <v>0</v>
      </c>
      <c r="N109" s="156" t="s">
        <v>83</v>
      </c>
      <c r="O109" s="157" cm="1">
        <f t="array" ref="O109">TRUNC($H109*(1+_xlfn.SWITCH($N109,"BDI 1",$O$6,"BDI 2",$O$7,"BDI 3",$O$8)),2)</f>
        <v>2.52</v>
      </c>
      <c r="P109" s="157" cm="1">
        <f t="array" ref="P109">TRUNC($I109*(1+_xlfn.SWITCH($N109,"BDI 1",$P$6,"BDI 2",$P$7,"BDI 3",$P$8)),2)</f>
        <v>2.66</v>
      </c>
      <c r="Q109" s="157">
        <v>0</v>
      </c>
      <c r="R109" s="157">
        <v>0</v>
      </c>
      <c r="S109" s="156">
        <f>TRUNC($K109*$O109,2)</f>
        <v>0</v>
      </c>
      <c r="T109" s="156">
        <f>TRUNC($K109*$P109,2)</f>
        <v>0</v>
      </c>
      <c r="U109" s="156">
        <f>TRUNC($J109*$R109,2)</f>
        <v>0</v>
      </c>
      <c r="V109" s="156">
        <f>TRUNC($K109*$Q109,2)</f>
        <v>0</v>
      </c>
      <c r="W109" s="156">
        <f>TRUNC(V109-U109,2)</f>
        <v>0</v>
      </c>
      <c r="X109" s="158">
        <f>$S109/ORCAMENTO_VALOR_TOTAL_ND</f>
        <v>0</v>
      </c>
      <c r="Y109" s="158">
        <f>$T109/ORCAMENTO_VALOR_TOTAL_DE</f>
        <v>0</v>
      </c>
      <c r="Z109" s="158" cm="1">
        <f t="array" ref="Z109">_xlfn.SWITCH($N109,"BDI 1",$O$6,"BDI 2",$O$7,"BDI 3",$O$8)</f>
        <v>0.20699999999999999</v>
      </c>
      <c r="AA109" s="158" cm="1">
        <f t="array" ref="AA109">_xlfn.SWITCH($N109,"BDI 1",$P$6,"BDI 2",$P$7,"BDI 3",$P$8)</f>
        <v>0.26739999999999997</v>
      </c>
      <c r="AB109" s="158">
        <f ca="1">IFERROR($S109/_xlfn.XLOOKUP($AE109,$B$16:$B$38,$S$16:$S$38),0)</f>
        <v>0</v>
      </c>
      <c r="AC109" s="158">
        <f ca="1">IFERROR($T109/_xlfn.XLOOKUP($AE109,$B$16:$B$38,$T$16:$T$38),0)</f>
        <v>0</v>
      </c>
      <c r="AD109" s="164"/>
      <c r="AE109" s="148">
        <f t="shared" ref="AE109:AE110" si="199">IF(S109&gt;0,IFERROR(TRUNC(A109,0),0),0)</f>
        <v>0</v>
      </c>
      <c r="AF109" s="149"/>
      <c r="AG109" s="150"/>
      <c r="AH109" s="159" t="e">
        <f>S109/$S$79</f>
        <v>#DIV/0!</v>
      </c>
      <c r="AI109" s="166">
        <f>IF(K109=0,0,K109/F109)</f>
        <v>0</v>
      </c>
      <c r="AJ109" s="105"/>
      <c r="AK109" s="105"/>
      <c r="AM109" s="105"/>
      <c r="AN109" s="105"/>
      <c r="AO109" s="105"/>
      <c r="AP109" s="105"/>
      <c r="AQ109" s="105"/>
      <c r="AR109" s="105"/>
    </row>
    <row r="110" spans="1:44" s="49" customFormat="1" ht="40.15" hidden="1" customHeight="1">
      <c r="A110" s="152">
        <f t="shared" ca="1" si="109"/>
        <v>0</v>
      </c>
      <c r="B110" s="153">
        <v>93593</v>
      </c>
      <c r="C110" s="154" t="str">
        <f>TEXT(B110,"0")</f>
        <v>93593</v>
      </c>
      <c r="D110" s="154" t="s">
        <v>1416</v>
      </c>
      <c r="E110" s="155" t="s">
        <v>3545</v>
      </c>
      <c r="F110" s="154">
        <f>Dados_DMT!$B$17-F109</f>
        <v>0</v>
      </c>
      <c r="G110" s="154" t="s">
        <v>3538</v>
      </c>
      <c r="H110" s="152">
        <v>0.84</v>
      </c>
      <c r="I110" s="152">
        <v>0.85</v>
      </c>
      <c r="J110" s="156"/>
      <c r="K110" s="156">
        <f>ROUND(Demolicao!M70*F110,2)</f>
        <v>0</v>
      </c>
      <c r="L110" s="156">
        <f>IF($K110&gt;$J110,$K110-$J110,0)</f>
        <v>0</v>
      </c>
      <c r="M110" s="156">
        <f>IF($K110&lt;$J110,$J110-$K110,0)</f>
        <v>0</v>
      </c>
      <c r="N110" s="156" t="s">
        <v>83</v>
      </c>
      <c r="O110" s="157" cm="1">
        <f t="array" ref="O110">TRUNC($H110*(1+_xlfn.SWITCH($N110,"BDI 1",$O$6,"BDI 2",$O$7,"BDI 3",$O$8)),2)</f>
        <v>1.01</v>
      </c>
      <c r="P110" s="157" cm="1">
        <f t="array" ref="P110">TRUNC($I110*(1+_xlfn.SWITCH($N110,"BDI 1",$P$6,"BDI 2",$P$7,"BDI 3",$P$8)),2)</f>
        <v>1.07</v>
      </c>
      <c r="Q110" s="157">
        <v>0</v>
      </c>
      <c r="R110" s="157">
        <v>0</v>
      </c>
      <c r="S110" s="156">
        <f>TRUNC($K110*$O110,2)</f>
        <v>0</v>
      </c>
      <c r="T110" s="156">
        <f>TRUNC($K110*$P110,2)</f>
        <v>0</v>
      </c>
      <c r="U110" s="156">
        <f>TRUNC($J110*$R110,2)</f>
        <v>0</v>
      </c>
      <c r="V110" s="156">
        <f>TRUNC($K110*$Q110,2)</f>
        <v>0</v>
      </c>
      <c r="W110" s="156">
        <f>TRUNC(V110-U110,2)</f>
        <v>0</v>
      </c>
      <c r="X110" s="158">
        <f>$S110/ORCAMENTO_VALOR_TOTAL_ND</f>
        <v>0</v>
      </c>
      <c r="Y110" s="158">
        <f>$T110/ORCAMENTO_VALOR_TOTAL_DE</f>
        <v>0</v>
      </c>
      <c r="Z110" s="158" cm="1">
        <f t="array" ref="Z110">_xlfn.SWITCH($N110,"BDI 1",$O$6,"BDI 2",$O$7,"BDI 3",$O$8)</f>
        <v>0.20699999999999999</v>
      </c>
      <c r="AA110" s="158" cm="1">
        <f t="array" ref="AA110">_xlfn.SWITCH($N110,"BDI 1",$P$6,"BDI 2",$P$7,"BDI 3",$P$8)</f>
        <v>0.26739999999999997</v>
      </c>
      <c r="AB110" s="158">
        <f ca="1">IFERROR($S110/_xlfn.XLOOKUP($AE110,$B$16:$B$38,$S$16:$S$38),0)</f>
        <v>0</v>
      </c>
      <c r="AC110" s="158">
        <f ca="1">IFERROR($T110/_xlfn.XLOOKUP($AE110,$B$16:$B$38,$T$16:$T$38),0)</f>
        <v>0</v>
      </c>
      <c r="AD110" s="164"/>
      <c r="AE110" s="148">
        <f t="shared" si="199"/>
        <v>0</v>
      </c>
      <c r="AF110" s="149"/>
      <c r="AG110" s="150"/>
      <c r="AH110" s="159" t="e">
        <f>S110/$S$79</f>
        <v>#DIV/0!</v>
      </c>
      <c r="AI110" s="166">
        <f>IF(K110=0,0,K110/F110)</f>
        <v>0</v>
      </c>
      <c r="AJ110" s="105"/>
      <c r="AK110" s="105"/>
      <c r="AM110" s="105"/>
      <c r="AN110" s="105"/>
      <c r="AO110" s="105"/>
      <c r="AP110" s="105"/>
      <c r="AQ110" s="105"/>
      <c r="AR110" s="105"/>
    </row>
    <row r="111" spans="1:44" s="49" customFormat="1" ht="40.15" hidden="1" customHeight="1">
      <c r="A111" s="10">
        <f t="shared" ca="1" si="109"/>
        <v>0</v>
      </c>
      <c r="B111" s="153"/>
      <c r="C111" s="154"/>
      <c r="D111" s="154"/>
      <c r="E111" s="161" t="s">
        <v>122</v>
      </c>
      <c r="F111" s="160"/>
      <c r="G111" s="160"/>
      <c r="H111" s="185"/>
      <c r="I111" s="185"/>
      <c r="J111" s="160"/>
      <c r="K111" s="160"/>
      <c r="L111" s="160"/>
      <c r="M111" s="160"/>
      <c r="N111" s="160"/>
      <c r="O111" s="160"/>
      <c r="P111" s="160"/>
      <c r="Q111" s="160"/>
      <c r="R111" s="160"/>
      <c r="S111" s="162"/>
      <c r="T111" s="162"/>
      <c r="U111" s="162"/>
      <c r="V111" s="162"/>
      <c r="W111" s="162"/>
      <c r="X111" s="163"/>
      <c r="Y111" s="163"/>
      <c r="Z111" s="163"/>
      <c r="AA111" s="163"/>
      <c r="AB111" s="163"/>
      <c r="AC111" s="163"/>
      <c r="AD111" s="164"/>
      <c r="AE111" s="148">
        <f>IF(SUM(S112:S113)&gt;0,IFERROR(TRUNC(A111,0),0),0)</f>
        <v>0</v>
      </c>
      <c r="AF111" s="149"/>
      <c r="AG111" s="150"/>
      <c r="AH111" s="159"/>
      <c r="AI111" s="160" t="s">
        <v>123</v>
      </c>
      <c r="AJ111" s="105"/>
      <c r="AK111" s="105"/>
      <c r="AM111" s="105"/>
      <c r="AN111" s="105"/>
      <c r="AO111" s="105"/>
      <c r="AP111" s="105"/>
      <c r="AQ111" s="105"/>
      <c r="AR111" s="105"/>
    </row>
    <row r="112" spans="1:44" s="49" customFormat="1" ht="40.15" hidden="1" customHeight="1">
      <c r="A112" s="152">
        <f t="shared" ca="1" si="109"/>
        <v>0</v>
      </c>
      <c r="B112" s="153">
        <v>95876</v>
      </c>
      <c r="C112" s="154" t="str">
        <f>TEXT(B112,"0")</f>
        <v>95876</v>
      </c>
      <c r="D112" s="154" t="s">
        <v>1416</v>
      </c>
      <c r="E112" s="155" t="s">
        <v>3537</v>
      </c>
      <c r="F112" s="154">
        <f>Dados_DMT!$B$19</f>
        <v>0</v>
      </c>
      <c r="G112" s="154" t="s">
        <v>3538</v>
      </c>
      <c r="H112" s="152">
        <v>2.09</v>
      </c>
      <c r="I112" s="152">
        <v>2.1</v>
      </c>
      <c r="J112" s="156"/>
      <c r="K112" s="156">
        <f>ROUND(Demolicao!M73*F112,2)</f>
        <v>0</v>
      </c>
      <c r="L112" s="156">
        <f>IF($K112&gt;$J112,$K112-$J112,0)</f>
        <v>0</v>
      </c>
      <c r="M112" s="156">
        <f>IF($K112&lt;$J112,$J112-$K112,0)</f>
        <v>0</v>
      </c>
      <c r="N112" s="156" t="s">
        <v>83</v>
      </c>
      <c r="O112" s="157" cm="1">
        <f t="array" ref="O112">TRUNC($H112*(1+_xlfn.SWITCH($N112,"BDI 1",$O$6,"BDI 2",$O$7,"BDI 3",$O$8)),2)</f>
        <v>2.52</v>
      </c>
      <c r="P112" s="157" cm="1">
        <f t="array" ref="P112">TRUNC($I112*(1+_xlfn.SWITCH($N112,"BDI 1",$P$6,"BDI 2",$P$7,"BDI 3",$P$8)),2)</f>
        <v>2.66</v>
      </c>
      <c r="Q112" s="157">
        <v>0</v>
      </c>
      <c r="R112" s="157">
        <v>0</v>
      </c>
      <c r="S112" s="156">
        <f>TRUNC($K112*$O112,2)</f>
        <v>0</v>
      </c>
      <c r="T112" s="156">
        <f>TRUNC($K112*$P112,2)</f>
        <v>0</v>
      </c>
      <c r="U112" s="156">
        <f>TRUNC($J112*$R112,2)</f>
        <v>0</v>
      </c>
      <c r="V112" s="156">
        <f>TRUNC($K112*$Q112,2)</f>
        <v>0</v>
      </c>
      <c r="W112" s="156">
        <f>TRUNC(V112-U112,2)</f>
        <v>0</v>
      </c>
      <c r="X112" s="158">
        <f>$S112/ORCAMENTO_VALOR_TOTAL_ND</f>
        <v>0</v>
      </c>
      <c r="Y112" s="158">
        <f>$T112/ORCAMENTO_VALOR_TOTAL_DE</f>
        <v>0</v>
      </c>
      <c r="Z112" s="158" cm="1">
        <f t="array" ref="Z112">_xlfn.SWITCH($N112,"BDI 1",$O$6,"BDI 2",$O$7,"BDI 3",$O$8)</f>
        <v>0.20699999999999999</v>
      </c>
      <c r="AA112" s="158" cm="1">
        <f t="array" ref="AA112">_xlfn.SWITCH($N112,"BDI 1",$P$6,"BDI 2",$P$7,"BDI 3",$P$8)</f>
        <v>0.26739999999999997</v>
      </c>
      <c r="AB112" s="158">
        <f ca="1">IFERROR($S112/_xlfn.XLOOKUP($AE112,$B$16:$B$38,$S$16:$S$38),0)</f>
        <v>0</v>
      </c>
      <c r="AC112" s="158">
        <f ca="1">IFERROR($T112/_xlfn.XLOOKUP($AE112,$B$16:$B$38,$T$16:$T$38),0)</f>
        <v>0</v>
      </c>
      <c r="AD112" s="164"/>
      <c r="AE112" s="148">
        <f t="shared" ref="AE112:AE113" si="200">IF(S112&gt;0,IFERROR(TRUNC(A112,0),0),0)</f>
        <v>0</v>
      </c>
      <c r="AF112" s="149"/>
      <c r="AG112" s="150"/>
      <c r="AH112" s="159" t="e">
        <f>S112/$S$79</f>
        <v>#DIV/0!</v>
      </c>
      <c r="AI112" s="166">
        <f>IF(K112=0,0,K112/F112)</f>
        <v>0</v>
      </c>
      <c r="AJ112" s="105"/>
      <c r="AK112" s="105"/>
      <c r="AM112" s="105"/>
      <c r="AN112" s="105"/>
      <c r="AO112" s="105"/>
      <c r="AP112" s="105"/>
      <c r="AQ112" s="105"/>
      <c r="AR112" s="105"/>
    </row>
    <row r="113" spans="1:44" s="49" customFormat="1" ht="40.15" hidden="1" customHeight="1">
      <c r="A113" s="152">
        <f t="shared" ca="1" si="109"/>
        <v>0</v>
      </c>
      <c r="B113" s="153">
        <v>93593</v>
      </c>
      <c r="C113" s="154" t="str">
        <f>TEXT(B113,"0")</f>
        <v>93593</v>
      </c>
      <c r="D113" s="154" t="s">
        <v>1416</v>
      </c>
      <c r="E113" s="155" t="s">
        <v>3545</v>
      </c>
      <c r="F113" s="154">
        <f>Dados_DMT!$B$19-F112</f>
        <v>0</v>
      </c>
      <c r="G113" s="154" t="s">
        <v>3538</v>
      </c>
      <c r="H113" s="152">
        <v>0.84</v>
      </c>
      <c r="I113" s="152">
        <v>0.85</v>
      </c>
      <c r="J113" s="156"/>
      <c r="K113" s="156">
        <f>ROUND(Demolicao!M73*F113,2)</f>
        <v>0</v>
      </c>
      <c r="L113" s="156">
        <f>IF($K113&gt;$J113,$K113-$J113,0)</f>
        <v>0</v>
      </c>
      <c r="M113" s="156">
        <f>IF($K113&lt;$J113,$J113-$K113,0)</f>
        <v>0</v>
      </c>
      <c r="N113" s="156" t="s">
        <v>83</v>
      </c>
      <c r="O113" s="157" cm="1">
        <f t="array" ref="O113">TRUNC($H113*(1+_xlfn.SWITCH($N113,"BDI 1",$O$6,"BDI 2",$O$7,"BDI 3",$O$8)),2)</f>
        <v>1.01</v>
      </c>
      <c r="P113" s="157" cm="1">
        <f t="array" ref="P113">TRUNC($I113*(1+_xlfn.SWITCH($N113,"BDI 1",$P$6,"BDI 2",$P$7,"BDI 3",$P$8)),2)</f>
        <v>1.07</v>
      </c>
      <c r="Q113" s="157">
        <v>0</v>
      </c>
      <c r="R113" s="157">
        <v>0</v>
      </c>
      <c r="S113" s="156">
        <f>TRUNC($K113*$O113,2)</f>
        <v>0</v>
      </c>
      <c r="T113" s="156">
        <f>TRUNC($K113*$P113,2)</f>
        <v>0</v>
      </c>
      <c r="U113" s="156">
        <f>TRUNC($J113*$R113,2)</f>
        <v>0</v>
      </c>
      <c r="V113" s="156">
        <f>TRUNC($K113*$Q113,2)</f>
        <v>0</v>
      </c>
      <c r="W113" s="156">
        <f>TRUNC(V113-U113,2)</f>
        <v>0</v>
      </c>
      <c r="X113" s="158">
        <f>$S113/ORCAMENTO_VALOR_TOTAL_ND</f>
        <v>0</v>
      </c>
      <c r="Y113" s="158">
        <f>$T113/ORCAMENTO_VALOR_TOTAL_DE</f>
        <v>0</v>
      </c>
      <c r="Z113" s="158" cm="1">
        <f t="array" ref="Z113">_xlfn.SWITCH($N113,"BDI 1",$O$6,"BDI 2",$O$7,"BDI 3",$O$8)</f>
        <v>0.20699999999999999</v>
      </c>
      <c r="AA113" s="158" cm="1">
        <f t="array" ref="AA113">_xlfn.SWITCH($N113,"BDI 1",$P$6,"BDI 2",$P$7,"BDI 3",$P$8)</f>
        <v>0.26739999999999997</v>
      </c>
      <c r="AB113" s="158">
        <f ca="1">IFERROR($S113/_xlfn.XLOOKUP($AE113,$B$16:$B$38,$S$16:$S$38),0)</f>
        <v>0</v>
      </c>
      <c r="AC113" s="158">
        <f ca="1">IFERROR($T113/_xlfn.XLOOKUP($AE113,$B$16:$B$38,$T$16:$T$38),0)</f>
        <v>0</v>
      </c>
      <c r="AD113" s="164"/>
      <c r="AE113" s="148">
        <f t="shared" si="200"/>
        <v>0</v>
      </c>
      <c r="AF113" s="149"/>
      <c r="AG113" s="150"/>
      <c r="AH113" s="159" t="e">
        <f>S113/$S$79</f>
        <v>#DIV/0!</v>
      </c>
      <c r="AI113" s="166">
        <f>IF(K113=0,0,K113/F113)</f>
        <v>0</v>
      </c>
      <c r="AJ113" s="105"/>
      <c r="AK113" s="105"/>
      <c r="AM113" s="105"/>
      <c r="AN113" s="105"/>
      <c r="AO113" s="105"/>
      <c r="AP113" s="105"/>
      <c r="AQ113" s="105"/>
      <c r="AR113" s="105"/>
    </row>
    <row r="114" spans="1:44" s="49" customFormat="1" ht="40.15" hidden="1" customHeight="1">
      <c r="A114" s="10">
        <f t="shared" ca="1" si="109"/>
        <v>0</v>
      </c>
      <c r="B114" s="153"/>
      <c r="C114" s="154"/>
      <c r="D114" s="154"/>
      <c r="E114" s="161" t="s">
        <v>124</v>
      </c>
      <c r="F114" s="160"/>
      <c r="G114" s="160"/>
      <c r="H114" s="185"/>
      <c r="I114" s="185"/>
      <c r="J114" s="160"/>
      <c r="K114" s="160"/>
      <c r="L114" s="160"/>
      <c r="M114" s="160"/>
      <c r="N114" s="160"/>
      <c r="O114" s="160"/>
      <c r="P114" s="160"/>
      <c r="Q114" s="160"/>
      <c r="R114" s="160"/>
      <c r="S114" s="162"/>
      <c r="T114" s="162"/>
      <c r="U114" s="162"/>
      <c r="V114" s="162"/>
      <c r="W114" s="162"/>
      <c r="X114" s="163"/>
      <c r="Y114" s="163"/>
      <c r="Z114" s="163"/>
      <c r="AA114" s="163"/>
      <c r="AB114" s="163"/>
      <c r="AC114" s="163"/>
      <c r="AD114" s="164"/>
      <c r="AE114" s="148">
        <f>IF(SUM(S115:S116)&gt;0,IFERROR(TRUNC(A114,0),0),0)</f>
        <v>0</v>
      </c>
      <c r="AF114" s="149"/>
      <c r="AG114" s="150"/>
      <c r="AH114" s="159"/>
      <c r="AI114" s="160" t="s">
        <v>125</v>
      </c>
      <c r="AJ114" s="105"/>
      <c r="AK114" s="105"/>
      <c r="AM114" s="105"/>
      <c r="AN114" s="105"/>
      <c r="AO114" s="105"/>
      <c r="AP114" s="105"/>
      <c r="AQ114" s="105"/>
      <c r="AR114" s="105"/>
    </row>
    <row r="115" spans="1:44" s="49" customFormat="1" ht="40.15" hidden="1" customHeight="1">
      <c r="A115" s="152">
        <f t="shared" ca="1" si="109"/>
        <v>0</v>
      </c>
      <c r="B115" s="153">
        <v>100947</v>
      </c>
      <c r="C115" s="154" t="str">
        <f>TEXT(B115,"0")</f>
        <v>100947</v>
      </c>
      <c r="D115" s="154" t="s">
        <v>1416</v>
      </c>
      <c r="E115" s="155" t="s">
        <v>385</v>
      </c>
      <c r="F115" s="154">
        <f>IF(Dados_DMT!$B$17&lt;30,Dados_DMT!$B$17,30)</f>
        <v>3.5</v>
      </c>
      <c r="G115" s="154" t="s">
        <v>3534</v>
      </c>
      <c r="H115" s="152">
        <v>2.15</v>
      </c>
      <c r="I115" s="152">
        <v>2.13</v>
      </c>
      <c r="J115" s="156"/>
      <c r="K115" s="156">
        <f>ROUND(Demolicao!M75*F115,2)</f>
        <v>0</v>
      </c>
      <c r="L115" s="156">
        <f>IF($K115&gt;$J115,$K115-$J115,0)</f>
        <v>0</v>
      </c>
      <c r="M115" s="156">
        <f>IF($K115&lt;$J115,$J115-$K115,0)</f>
        <v>0</v>
      </c>
      <c r="N115" s="156" t="s">
        <v>83</v>
      </c>
      <c r="O115" s="157" cm="1">
        <f t="array" ref="O115">TRUNC($H115*(1+_xlfn.SWITCH($N115,"BDI 1",$O$6,"BDI 2",$O$7,"BDI 3",$O$8)),2)</f>
        <v>2.59</v>
      </c>
      <c r="P115" s="157" cm="1">
        <f t="array" ref="P115">TRUNC($I115*(1+_xlfn.SWITCH($N115,"BDI 1",$P$6,"BDI 2",$P$7,"BDI 3",$P$8)),2)</f>
        <v>2.69</v>
      </c>
      <c r="Q115" s="157">
        <v>0</v>
      </c>
      <c r="R115" s="157">
        <v>0</v>
      </c>
      <c r="S115" s="156">
        <f>TRUNC($K115*$O115,2)</f>
        <v>0</v>
      </c>
      <c r="T115" s="156">
        <f>TRUNC($K115*$P115,2)</f>
        <v>0</v>
      </c>
      <c r="U115" s="156">
        <f>TRUNC($J115*$R115,2)</f>
        <v>0</v>
      </c>
      <c r="V115" s="156">
        <f>TRUNC($K115*$Q115,2)</f>
        <v>0</v>
      </c>
      <c r="W115" s="156">
        <f>TRUNC(V115-U115,2)</f>
        <v>0</v>
      </c>
      <c r="X115" s="158">
        <f>$S115/ORCAMENTO_VALOR_TOTAL_ND</f>
        <v>0</v>
      </c>
      <c r="Y115" s="158">
        <f>$T115/ORCAMENTO_VALOR_TOTAL_DE</f>
        <v>0</v>
      </c>
      <c r="Z115" s="158" cm="1">
        <f t="array" ref="Z115">_xlfn.SWITCH($N115,"BDI 1",$O$6,"BDI 2",$O$7,"BDI 3",$O$8)</f>
        <v>0.20699999999999999</v>
      </c>
      <c r="AA115" s="158" cm="1">
        <f t="array" ref="AA115">_xlfn.SWITCH($N115,"BDI 1",$P$6,"BDI 2",$P$7,"BDI 3",$P$8)</f>
        <v>0.26739999999999997</v>
      </c>
      <c r="AB115" s="158">
        <f ca="1">IFERROR($S115/_xlfn.XLOOKUP($AE115,$B$16:$B$38,$S$16:$S$38),0)</f>
        <v>0</v>
      </c>
      <c r="AC115" s="158">
        <f ca="1">IFERROR($T115/_xlfn.XLOOKUP($AE115,$B$16:$B$38,$T$16:$T$38),0)</f>
        <v>0</v>
      </c>
      <c r="AD115" s="164"/>
      <c r="AE115" s="148">
        <f t="shared" ref="AE115:AE116" si="201">IF(S115&gt;0,IFERROR(TRUNC(A115,0),0),0)</f>
        <v>0</v>
      </c>
      <c r="AF115" s="149"/>
      <c r="AG115" s="150"/>
      <c r="AH115" s="159" t="e">
        <f>S115/$S$79</f>
        <v>#DIV/0!</v>
      </c>
      <c r="AJ115" s="105"/>
      <c r="AK115" s="105"/>
      <c r="AM115" s="105"/>
      <c r="AN115" s="105"/>
      <c r="AO115" s="105"/>
      <c r="AP115" s="105"/>
      <c r="AQ115" s="105"/>
      <c r="AR115" s="105"/>
    </row>
    <row r="116" spans="1:44" s="49" customFormat="1" ht="40.15" hidden="1" customHeight="1">
      <c r="A116" s="152">
        <f t="shared" ca="1" si="109"/>
        <v>0</v>
      </c>
      <c r="B116" s="153">
        <v>100948</v>
      </c>
      <c r="C116" s="154" t="str">
        <f>TEXT(B116,"0")</f>
        <v>100948</v>
      </c>
      <c r="D116" s="154" t="s">
        <v>1416</v>
      </c>
      <c r="E116" s="155" t="s">
        <v>3615</v>
      </c>
      <c r="F116" s="154">
        <f>Dados_DMT!$B$17-F115</f>
        <v>0</v>
      </c>
      <c r="G116" s="154" t="s">
        <v>3534</v>
      </c>
      <c r="H116" s="152">
        <v>0.85</v>
      </c>
      <c r="I116" s="152">
        <v>0.84</v>
      </c>
      <c r="J116" s="156"/>
      <c r="K116" s="156">
        <f>ROUND(Demolicao!M75*F116,2)</f>
        <v>0</v>
      </c>
      <c r="L116" s="156">
        <f>IF($K116&gt;$J116,$K116-$J116,0)</f>
        <v>0</v>
      </c>
      <c r="M116" s="156">
        <f>IF($K116&lt;$J116,$J116-$K116,0)</f>
        <v>0</v>
      </c>
      <c r="N116" s="156" t="s">
        <v>83</v>
      </c>
      <c r="O116" s="157" cm="1">
        <f t="array" ref="O116">TRUNC($H116*(1+_xlfn.SWITCH($N116,"BDI 1",$O$6,"BDI 2",$O$7,"BDI 3",$O$8)),2)</f>
        <v>1.02</v>
      </c>
      <c r="P116" s="157" cm="1">
        <f t="array" ref="P116">TRUNC($I116*(1+_xlfn.SWITCH($N116,"BDI 1",$P$6,"BDI 2",$P$7,"BDI 3",$P$8)),2)</f>
        <v>1.06</v>
      </c>
      <c r="Q116" s="157">
        <v>0</v>
      </c>
      <c r="R116" s="157">
        <v>0</v>
      </c>
      <c r="S116" s="156">
        <f>TRUNC($K116*$O116,2)</f>
        <v>0</v>
      </c>
      <c r="T116" s="156">
        <f>TRUNC($K116*$P116,2)</f>
        <v>0</v>
      </c>
      <c r="U116" s="156">
        <f>TRUNC($J116*$R116,2)</f>
        <v>0</v>
      </c>
      <c r="V116" s="156">
        <f>TRUNC($K116*$Q116,2)</f>
        <v>0</v>
      </c>
      <c r="W116" s="156">
        <f>TRUNC(V116-U116,2)</f>
        <v>0</v>
      </c>
      <c r="X116" s="158">
        <f>$S116/ORCAMENTO_VALOR_TOTAL_ND</f>
        <v>0</v>
      </c>
      <c r="Y116" s="158">
        <f>$T116/ORCAMENTO_VALOR_TOTAL_DE</f>
        <v>0</v>
      </c>
      <c r="Z116" s="158" cm="1">
        <f t="array" ref="Z116">_xlfn.SWITCH($N116,"BDI 1",$O$6,"BDI 2",$O$7,"BDI 3",$O$8)</f>
        <v>0.20699999999999999</v>
      </c>
      <c r="AA116" s="158" cm="1">
        <f t="array" ref="AA116">_xlfn.SWITCH($N116,"BDI 1",$P$6,"BDI 2",$P$7,"BDI 3",$P$8)</f>
        <v>0.26739999999999997</v>
      </c>
      <c r="AB116" s="158">
        <f ca="1">IFERROR($S116/_xlfn.XLOOKUP($AE116,$B$16:$B$38,$S$16:$S$38),0)</f>
        <v>0</v>
      </c>
      <c r="AC116" s="158">
        <f ca="1">IFERROR($T116/_xlfn.XLOOKUP($AE116,$B$16:$B$38,$T$16:$T$38),0)</f>
        <v>0</v>
      </c>
      <c r="AD116" s="164"/>
      <c r="AE116" s="148">
        <f t="shared" si="201"/>
        <v>0</v>
      </c>
      <c r="AF116" s="149"/>
      <c r="AG116" s="150"/>
      <c r="AH116" s="159" t="e">
        <f>S116/$S$79</f>
        <v>#DIV/0!</v>
      </c>
      <c r="AJ116" s="105"/>
      <c r="AK116" s="105"/>
      <c r="AM116" s="105"/>
      <c r="AN116" s="105"/>
      <c r="AO116" s="105"/>
      <c r="AP116" s="105"/>
      <c r="AQ116" s="105"/>
      <c r="AR116" s="105"/>
    </row>
    <row r="117" spans="1:44" s="49" customFormat="1" ht="40.15" hidden="1" customHeight="1">
      <c r="A117" s="10">
        <f t="shared" ca="1" si="109"/>
        <v>0</v>
      </c>
      <c r="B117" s="153"/>
      <c r="C117" s="154"/>
      <c r="D117" s="154"/>
      <c r="E117" s="155"/>
      <c r="F117" s="154"/>
      <c r="G117" s="154"/>
      <c r="H117" s="154"/>
      <c r="I117" s="154"/>
      <c r="J117" s="168"/>
      <c r="K117" s="168"/>
      <c r="L117" s="168"/>
      <c r="M117" s="168"/>
      <c r="N117" s="168"/>
      <c r="O117" s="157"/>
      <c r="P117" s="157"/>
      <c r="Q117" s="157"/>
      <c r="R117" s="157"/>
      <c r="S117" s="162"/>
      <c r="T117" s="162"/>
      <c r="U117" s="162"/>
      <c r="V117" s="162"/>
      <c r="W117" s="162"/>
      <c r="X117" s="163"/>
      <c r="Y117" s="163"/>
      <c r="Z117" s="163"/>
      <c r="AA117" s="163"/>
      <c r="AB117" s="163"/>
      <c r="AC117" s="163"/>
      <c r="AD117" s="164"/>
      <c r="AE117" s="148">
        <f>IF(S118&gt;0,IFERROR(TRUNC(A118,0),0),0)</f>
        <v>0</v>
      </c>
      <c r="AF117" s="149"/>
      <c r="AG117" s="150"/>
      <c r="AH117" s="159"/>
      <c r="AI117" s="160"/>
      <c r="AJ117" s="105"/>
      <c r="AK117" s="105"/>
      <c r="AM117" s="105"/>
      <c r="AN117" s="105"/>
      <c r="AO117" s="105"/>
      <c r="AP117" s="105"/>
      <c r="AQ117" s="105"/>
      <c r="AR117" s="105"/>
    </row>
    <row r="118" spans="1:44" s="105" customFormat="1" ht="40.15" hidden="1" customHeight="1">
      <c r="A118" s="186">
        <f ca="1">$B$19</f>
        <v>0</v>
      </c>
      <c r="B118" s="172"/>
      <c r="C118" s="171"/>
      <c r="D118" s="172"/>
      <c r="E118" s="187" t="str">
        <f>$D$19</f>
        <v>MICRODRENAGEM - TERRAPLENAGEM</v>
      </c>
      <c r="F118" s="174">
        <v>0</v>
      </c>
      <c r="G118" s="175"/>
      <c r="H118" s="176" t="s">
        <v>126</v>
      </c>
      <c r="I118" s="176" t="s">
        <v>126</v>
      </c>
      <c r="J118" s="177"/>
      <c r="K118" s="177"/>
      <c r="L118" s="177"/>
      <c r="M118" s="177"/>
      <c r="N118" s="177"/>
      <c r="O118" s="178" t="str">
        <f ca="1">CONCATENATE("SUB-TOTAL ",$A118)</f>
        <v>SUB-TOTAL 0</v>
      </c>
      <c r="P118" s="178" t="e" cm="1">
        <f t="array" ref="P118">TRUNC($I118*(1+_xlfn.SWITCH($N118,"BDI 1",$P$6,"BDI 2",$P$7,"BDI 3",$P$8)),2)</f>
        <v>#VALUE!</v>
      </c>
      <c r="Q118" s="178" t="str">
        <f ca="1">CONCATENATE("SUB-TOTAL ",$A118)</f>
        <v>SUB-TOTAL 0</v>
      </c>
      <c r="R118" s="178"/>
      <c r="S118" s="179">
        <f>SUM(S119:S202)</f>
        <v>0</v>
      </c>
      <c r="T118" s="179">
        <f>SUM(T119:T202)</f>
        <v>0</v>
      </c>
      <c r="U118" s="179">
        <f>SUM(U119:U202)</f>
        <v>0</v>
      </c>
      <c r="V118" s="179">
        <f>SUM(V119:V202)</f>
        <v>0</v>
      </c>
      <c r="W118" s="179">
        <f t="shared" ref="W118:W181" si="202">TRUNC(V118-U118,2)</f>
        <v>0</v>
      </c>
      <c r="X118" s="180">
        <f t="shared" ref="X118" si="203">$S118/ORCAMENTO_VALOR_TOTAL_ND</f>
        <v>0</v>
      </c>
      <c r="Y118" s="180">
        <f t="shared" ref="Y118" si="204">$T118/ORCAMENTO_VALOR_TOTAL_DE</f>
        <v>0</v>
      </c>
      <c r="Z118" s="180"/>
      <c r="AA118" s="180"/>
      <c r="AB118" s="180">
        <f>IFERROR($S118/$S118,0)</f>
        <v>0</v>
      </c>
      <c r="AC118" s="180">
        <f>IFERROR($T118/$T118,0)</f>
        <v>0</v>
      </c>
      <c r="AD118" s="147"/>
      <c r="AE118" s="148">
        <f t="shared" ref="AE118:AE181" si="205">IF(S118&gt;0,IFERROR(TRUNC(A118,0),0),0)</f>
        <v>0</v>
      </c>
      <c r="AF118" s="149"/>
      <c r="AG118" s="150"/>
      <c r="AH118" s="151" t="e">
        <f t="shared" ref="AH118:AH181" si="206">S118/S$118</f>
        <v>#DIV/0!</v>
      </c>
    </row>
    <row r="119" spans="1:44" s="49" customFormat="1" ht="40.15" hidden="1" customHeight="1">
      <c r="A119" s="152">
        <f t="shared" ref="A119:A182" ca="1" si="207">IF(K119&gt;0,A118+0.01,A118)</f>
        <v>0</v>
      </c>
      <c r="B119" s="153" t="s">
        <v>127</v>
      </c>
      <c r="C119" s="154" t="str">
        <f t="shared" ref="C119:C182" si="208">TEXT(B119,"0")</f>
        <v>DR/0050</v>
      </c>
      <c r="D119" s="154" t="s">
        <v>3549</v>
      </c>
      <c r="E119" s="155" t="s">
        <v>3616</v>
      </c>
      <c r="F119" s="154"/>
      <c r="G119" s="154" t="s">
        <v>3617</v>
      </c>
      <c r="H119" s="152">
        <v>13.36</v>
      </c>
      <c r="I119" s="152">
        <v>13.22</v>
      </c>
      <c r="J119" s="156"/>
      <c r="K119" s="156">
        <f>Dre_Terraplenagem!AI191</f>
        <v>0</v>
      </c>
      <c r="L119" s="156">
        <f t="shared" ref="L119:L182" si="209">IF($K119&gt;$J119,$K119-$J119,0)</f>
        <v>0</v>
      </c>
      <c r="M119" s="156">
        <f t="shared" ref="M119:M182" si="210">IF($K119&lt;$J119,$J119-$K119,0)</f>
        <v>0</v>
      </c>
      <c r="N119" s="156" t="s">
        <v>83</v>
      </c>
      <c r="O119" s="157" cm="1">
        <f t="array" ref="O119">TRUNC($H119*(1+_xlfn.SWITCH($N119,"BDI 1",$O$6,"BDI 2",$O$7,"BDI 3",$O$8)),2)</f>
        <v>16.12</v>
      </c>
      <c r="P119" s="157" cm="1">
        <f t="array" ref="P119">TRUNC($I119*(1+_xlfn.SWITCH($N119,"BDI 1",$P$6,"BDI 2",$P$7,"BDI 3",$P$8)),2)</f>
        <v>16.75</v>
      </c>
      <c r="Q119" s="157">
        <v>0</v>
      </c>
      <c r="R119" s="157">
        <f t="shared" ref="R119" si="211">$Q119-($Q119*LICITACAO_DESCONTO)</f>
        <v>0</v>
      </c>
      <c r="S119" s="156">
        <f t="shared" ref="S119:S182" si="212">TRUNC($K119*$O119,2)</f>
        <v>0</v>
      </c>
      <c r="T119" s="156">
        <f t="shared" ref="T119:T182" si="213">TRUNC($K119*$P119,2)</f>
        <v>0</v>
      </c>
      <c r="U119" s="156">
        <f t="shared" ref="U119:U182" si="214">TRUNC($J119*$R119,2)</f>
        <v>0</v>
      </c>
      <c r="V119" s="156">
        <f t="shared" ref="V119:V182" si="215">TRUNC($K119*$Q119,2)</f>
        <v>0</v>
      </c>
      <c r="W119" s="156">
        <f t="shared" si="202"/>
        <v>0</v>
      </c>
      <c r="X119" s="158">
        <f t="shared" ref="X119" si="216">$S119/ORCAMENTO_VALOR_TOTAL_ND</f>
        <v>0</v>
      </c>
      <c r="Y119" s="158">
        <f t="shared" ref="Y119" si="217">$T119/ORCAMENTO_VALOR_TOTAL_DE</f>
        <v>0</v>
      </c>
      <c r="Z119" s="158" cm="1">
        <f t="array" ref="Z119">_xlfn.SWITCH($N119,"BDI 1",$O$6,"BDI 2",$O$7,"BDI 3",$O$8)</f>
        <v>0.20699999999999999</v>
      </c>
      <c r="AA119" s="158" cm="1">
        <f t="array" ref="AA119">_xlfn.SWITCH($N119,"BDI 1",$P$6,"BDI 2",$P$7,"BDI 3",$P$8)</f>
        <v>0.26739999999999997</v>
      </c>
      <c r="AB119" s="158">
        <f t="shared" ref="AB119:AB182" ca="1" si="218">IFERROR($S119/_xlfn.XLOOKUP($AE119,$B$16:$B$38,$S$16:$S$38),0)</f>
        <v>0</v>
      </c>
      <c r="AC119" s="158">
        <f t="shared" ref="AC119:AC182" ca="1" si="219">IFERROR($T119/_xlfn.XLOOKUP($AE119,$B$16:$B$38,$T$16:$T$38),0)</f>
        <v>0</v>
      </c>
      <c r="AD119" s="164"/>
      <c r="AE119" s="148">
        <f t="shared" si="205"/>
        <v>0</v>
      </c>
      <c r="AF119" s="149"/>
      <c r="AG119" s="150"/>
      <c r="AH119" s="159" t="e">
        <f t="shared" si="206"/>
        <v>#DIV/0!</v>
      </c>
      <c r="AI119" s="160"/>
      <c r="AJ119" s="105"/>
      <c r="AK119" s="105"/>
      <c r="AM119" s="105"/>
      <c r="AN119" s="105"/>
      <c r="AO119" s="105"/>
      <c r="AP119" s="105"/>
      <c r="AQ119" s="105"/>
      <c r="AR119" s="105"/>
    </row>
    <row r="120" spans="1:44" s="49" customFormat="1" ht="40.15" hidden="1" customHeight="1">
      <c r="A120" s="152">
        <f t="shared" ca="1" si="207"/>
        <v>0</v>
      </c>
      <c r="B120" s="153" t="s">
        <v>128</v>
      </c>
      <c r="C120" s="154" t="str">
        <f t="shared" si="208"/>
        <v>DR/0040</v>
      </c>
      <c r="D120" s="154" t="s">
        <v>3549</v>
      </c>
      <c r="E120" s="155" t="s">
        <v>3618</v>
      </c>
      <c r="F120" s="154"/>
      <c r="G120" s="154" t="s">
        <v>58</v>
      </c>
      <c r="H120" s="152">
        <v>79.19</v>
      </c>
      <c r="I120" s="152">
        <v>73.44</v>
      </c>
      <c r="J120" s="156"/>
      <c r="K120" s="156">
        <f>Dre_Ser_Prelim!AI35</f>
        <v>0</v>
      </c>
      <c r="L120" s="156">
        <f t="shared" si="209"/>
        <v>0</v>
      </c>
      <c r="M120" s="156">
        <f t="shared" si="210"/>
        <v>0</v>
      </c>
      <c r="N120" s="156" t="s">
        <v>83</v>
      </c>
      <c r="O120" s="157" cm="1">
        <f t="array" ref="O120">TRUNC($H120*(1+_xlfn.SWITCH($N120,"BDI 1",$O$6,"BDI 2",$O$7,"BDI 3",$O$8)),2)</f>
        <v>95.58</v>
      </c>
      <c r="P120" s="157" cm="1">
        <f t="array" ref="P120">TRUNC($I120*(1+_xlfn.SWITCH($N120,"BDI 1",$P$6,"BDI 2",$P$7,"BDI 3",$P$8)),2)</f>
        <v>93.07</v>
      </c>
      <c r="Q120" s="157">
        <v>0</v>
      </c>
      <c r="R120" s="157">
        <f t="shared" ref="R120" si="220">$Q120-($Q120*LICITACAO_DESCONTO)</f>
        <v>0</v>
      </c>
      <c r="S120" s="156">
        <f t="shared" si="212"/>
        <v>0</v>
      </c>
      <c r="T120" s="156">
        <f t="shared" si="213"/>
        <v>0</v>
      </c>
      <c r="U120" s="156">
        <f t="shared" si="214"/>
        <v>0</v>
      </c>
      <c r="V120" s="156">
        <f t="shared" si="215"/>
        <v>0</v>
      </c>
      <c r="W120" s="156">
        <f t="shared" si="202"/>
        <v>0</v>
      </c>
      <c r="X120" s="158">
        <f t="shared" ref="X120" si="221">$S120/ORCAMENTO_VALOR_TOTAL_ND</f>
        <v>0</v>
      </c>
      <c r="Y120" s="158">
        <f t="shared" ref="Y120" si="222">$T120/ORCAMENTO_VALOR_TOTAL_DE</f>
        <v>0</v>
      </c>
      <c r="Z120" s="158" cm="1">
        <f t="array" ref="Z120">_xlfn.SWITCH($N120,"BDI 1",$O$6,"BDI 2",$O$7,"BDI 3",$O$8)</f>
        <v>0.20699999999999999</v>
      </c>
      <c r="AA120" s="158" cm="1">
        <f t="array" ref="AA120">_xlfn.SWITCH($N120,"BDI 1",$P$6,"BDI 2",$P$7,"BDI 3",$P$8)</f>
        <v>0.26739999999999997</v>
      </c>
      <c r="AB120" s="158">
        <f t="shared" ca="1" si="218"/>
        <v>0</v>
      </c>
      <c r="AC120" s="158">
        <f t="shared" ca="1" si="219"/>
        <v>0</v>
      </c>
      <c r="AD120" s="164"/>
      <c r="AE120" s="148">
        <f t="shared" si="205"/>
        <v>0</v>
      </c>
      <c r="AF120" s="149"/>
      <c r="AG120" s="150"/>
      <c r="AH120" s="159" t="e">
        <f t="shared" si="206"/>
        <v>#DIV/0!</v>
      </c>
      <c r="AI120" s="160"/>
      <c r="AJ120" s="105"/>
      <c r="AK120" s="105"/>
      <c r="AM120" s="105"/>
      <c r="AN120" s="105"/>
      <c r="AO120" s="105"/>
      <c r="AP120" s="105"/>
      <c r="AQ120" s="105"/>
      <c r="AR120" s="105"/>
    </row>
    <row r="121" spans="1:44" s="49" customFormat="1" ht="40.15" hidden="1" customHeight="1">
      <c r="A121" s="152">
        <f t="shared" ca="1" si="207"/>
        <v>0</v>
      </c>
      <c r="B121" s="153" t="s">
        <v>129</v>
      </c>
      <c r="C121" s="154" t="str">
        <f t="shared" si="208"/>
        <v>DR/0045</v>
      </c>
      <c r="D121" s="154" t="s">
        <v>3549</v>
      </c>
      <c r="E121" s="155" t="s">
        <v>3619</v>
      </c>
      <c r="F121" s="154"/>
      <c r="G121" s="154" t="s">
        <v>58</v>
      </c>
      <c r="H121" s="152">
        <v>134.24</v>
      </c>
      <c r="I121" s="152">
        <v>126.14</v>
      </c>
      <c r="J121" s="156"/>
      <c r="K121" s="156">
        <f>Dre_Ser_Prelim!AI36</f>
        <v>0</v>
      </c>
      <c r="L121" s="156">
        <f t="shared" si="209"/>
        <v>0</v>
      </c>
      <c r="M121" s="156">
        <f t="shared" si="210"/>
        <v>0</v>
      </c>
      <c r="N121" s="156" t="s">
        <v>83</v>
      </c>
      <c r="O121" s="157" cm="1">
        <f t="array" ref="O121">TRUNC($H121*(1+_xlfn.SWITCH($N121,"BDI 1",$O$6,"BDI 2",$O$7,"BDI 3",$O$8)),2)</f>
        <v>162.02000000000001</v>
      </c>
      <c r="P121" s="157" cm="1">
        <f t="array" ref="P121">TRUNC($I121*(1+_xlfn.SWITCH($N121,"BDI 1",$P$6,"BDI 2",$P$7,"BDI 3",$P$8)),2)</f>
        <v>159.86000000000001</v>
      </c>
      <c r="Q121" s="157">
        <v>0</v>
      </c>
      <c r="R121" s="157">
        <f t="shared" ref="R121" si="223">$Q121-($Q121*LICITACAO_DESCONTO)</f>
        <v>0</v>
      </c>
      <c r="S121" s="156">
        <f t="shared" si="212"/>
        <v>0</v>
      </c>
      <c r="T121" s="156">
        <f t="shared" si="213"/>
        <v>0</v>
      </c>
      <c r="U121" s="156">
        <f t="shared" si="214"/>
        <v>0</v>
      </c>
      <c r="V121" s="156">
        <f t="shared" si="215"/>
        <v>0</v>
      </c>
      <c r="W121" s="156">
        <f t="shared" si="202"/>
        <v>0</v>
      </c>
      <c r="X121" s="158">
        <f t="shared" ref="X121" si="224">$S121/ORCAMENTO_VALOR_TOTAL_ND</f>
        <v>0</v>
      </c>
      <c r="Y121" s="158">
        <f t="shared" ref="Y121" si="225">$T121/ORCAMENTO_VALOR_TOTAL_DE</f>
        <v>0</v>
      </c>
      <c r="Z121" s="158" cm="1">
        <f t="array" ref="Z121">_xlfn.SWITCH($N121,"BDI 1",$O$6,"BDI 2",$O$7,"BDI 3",$O$8)</f>
        <v>0.20699999999999999</v>
      </c>
      <c r="AA121" s="158" cm="1">
        <f t="array" ref="AA121">_xlfn.SWITCH($N121,"BDI 1",$P$6,"BDI 2",$P$7,"BDI 3",$P$8)</f>
        <v>0.26739999999999997</v>
      </c>
      <c r="AB121" s="158">
        <f t="shared" ca="1" si="218"/>
        <v>0</v>
      </c>
      <c r="AC121" s="158">
        <f t="shared" ca="1" si="219"/>
        <v>0</v>
      </c>
      <c r="AD121" s="164"/>
      <c r="AE121" s="148">
        <f t="shared" si="205"/>
        <v>0</v>
      </c>
      <c r="AF121" s="149"/>
      <c r="AG121" s="150"/>
      <c r="AH121" s="159" t="e">
        <f t="shared" si="206"/>
        <v>#DIV/0!</v>
      </c>
      <c r="AI121" s="160"/>
      <c r="AJ121" s="181" t="s">
        <v>105</v>
      </c>
      <c r="AK121" s="181" t="s">
        <v>106</v>
      </c>
      <c r="AM121" s="105"/>
      <c r="AN121" s="105"/>
      <c r="AO121" s="105"/>
      <c r="AP121" s="105"/>
      <c r="AQ121" s="105"/>
      <c r="AR121" s="105"/>
    </row>
    <row r="122" spans="1:44" s="49" customFormat="1" ht="49.9" hidden="1" customHeight="1">
      <c r="A122" s="152">
        <f t="shared" ca="1" si="207"/>
        <v>0</v>
      </c>
      <c r="B122" s="153">
        <v>90099</v>
      </c>
      <c r="C122" s="154" t="str">
        <f t="shared" si="208"/>
        <v>90099</v>
      </c>
      <c r="D122" s="154" t="s">
        <v>1416</v>
      </c>
      <c r="E122" s="155" t="s">
        <v>3620</v>
      </c>
      <c r="F122" s="154"/>
      <c r="G122" s="154" t="s">
        <v>464</v>
      </c>
      <c r="H122" s="152">
        <v>15.75</v>
      </c>
      <c r="I122" s="152">
        <v>15.19</v>
      </c>
      <c r="J122" s="156"/>
      <c r="K122" s="156">
        <f>Dre_Terraplenagem!AI60</f>
        <v>0</v>
      </c>
      <c r="L122" s="156">
        <f t="shared" si="209"/>
        <v>0</v>
      </c>
      <c r="M122" s="156">
        <f t="shared" si="210"/>
        <v>0</v>
      </c>
      <c r="N122" s="156" t="s">
        <v>83</v>
      </c>
      <c r="O122" s="157" cm="1">
        <f t="array" ref="O122">TRUNC($H122*(1+_xlfn.SWITCH($N122,"BDI 1",$O$6,"BDI 2",$O$7,"BDI 3",$O$8)),2)</f>
        <v>19.010000000000002</v>
      </c>
      <c r="P122" s="157" cm="1">
        <f t="array" ref="P122">TRUNC($I122*(1+_xlfn.SWITCH($N122,"BDI 1",$P$6,"BDI 2",$P$7,"BDI 3",$P$8)),2)</f>
        <v>19.25</v>
      </c>
      <c r="Q122" s="157">
        <v>0</v>
      </c>
      <c r="R122" s="157">
        <f t="shared" ref="R122" si="226">$Q122-($Q122*LICITACAO_DESCONTO)</f>
        <v>0</v>
      </c>
      <c r="S122" s="156">
        <f t="shared" si="212"/>
        <v>0</v>
      </c>
      <c r="T122" s="156">
        <f t="shared" si="213"/>
        <v>0</v>
      </c>
      <c r="U122" s="156">
        <f t="shared" si="214"/>
        <v>0</v>
      </c>
      <c r="V122" s="156">
        <f t="shared" si="215"/>
        <v>0</v>
      </c>
      <c r="W122" s="156">
        <f t="shared" si="202"/>
        <v>0</v>
      </c>
      <c r="X122" s="158">
        <f t="shared" ref="X122" si="227">$S122/ORCAMENTO_VALOR_TOTAL_ND</f>
        <v>0</v>
      </c>
      <c r="Y122" s="158">
        <f t="shared" ref="Y122" si="228">$T122/ORCAMENTO_VALOR_TOTAL_DE</f>
        <v>0</v>
      </c>
      <c r="Z122" s="158" cm="1">
        <f t="array" ref="Z122">_xlfn.SWITCH($N122,"BDI 1",$O$6,"BDI 2",$O$7,"BDI 3",$O$8)</f>
        <v>0.20699999999999999</v>
      </c>
      <c r="AA122" s="158" cm="1">
        <f t="array" ref="AA122">_xlfn.SWITCH($N122,"BDI 1",$P$6,"BDI 2",$P$7,"BDI 3",$P$8)</f>
        <v>0.26739999999999997</v>
      </c>
      <c r="AB122" s="158">
        <f t="shared" ca="1" si="218"/>
        <v>0</v>
      </c>
      <c r="AC122" s="158">
        <f t="shared" ca="1" si="219"/>
        <v>0</v>
      </c>
      <c r="AD122" s="164"/>
      <c r="AE122" s="148">
        <f t="shared" si="205"/>
        <v>0</v>
      </c>
      <c r="AF122" s="149"/>
      <c r="AG122" s="150"/>
      <c r="AH122" s="159" t="e">
        <f t="shared" si="206"/>
        <v>#DIV/0!</v>
      </c>
      <c r="AI122" s="2425">
        <v>0</v>
      </c>
      <c r="AJ122" s="182">
        <v>0</v>
      </c>
      <c r="AK122" s="183" t="e">
        <f t="shared" ref="AK122:AK141" si="229">K122/AJ122</f>
        <v>#DIV/0!</v>
      </c>
      <c r="AM122" s="105"/>
      <c r="AN122" s="105"/>
      <c r="AO122" s="105"/>
      <c r="AP122" s="105"/>
      <c r="AQ122" s="105"/>
      <c r="AR122" s="105"/>
    </row>
    <row r="123" spans="1:44" s="49" customFormat="1" ht="49.9" hidden="1" customHeight="1">
      <c r="A123" s="152">
        <f t="shared" ca="1" si="207"/>
        <v>0</v>
      </c>
      <c r="B123" s="153">
        <v>90100</v>
      </c>
      <c r="C123" s="154" t="str">
        <f t="shared" si="208"/>
        <v>90100</v>
      </c>
      <c r="D123" s="154" t="s">
        <v>1416</v>
      </c>
      <c r="E123" s="155" t="s">
        <v>3621</v>
      </c>
      <c r="F123" s="154"/>
      <c r="G123" s="154" t="s">
        <v>464</v>
      </c>
      <c r="H123" s="152">
        <v>13.38</v>
      </c>
      <c r="I123" s="152">
        <v>12.89</v>
      </c>
      <c r="J123" s="156"/>
      <c r="K123" s="156">
        <f>Dre_Terraplenagem!AI61</f>
        <v>0</v>
      </c>
      <c r="L123" s="156">
        <f t="shared" si="209"/>
        <v>0</v>
      </c>
      <c r="M123" s="156">
        <f t="shared" si="210"/>
        <v>0</v>
      </c>
      <c r="N123" s="156" t="s">
        <v>83</v>
      </c>
      <c r="O123" s="157" cm="1">
        <f t="array" ref="O123">TRUNC($H123*(1+_xlfn.SWITCH($N123,"BDI 1",$O$6,"BDI 2",$O$7,"BDI 3",$O$8)),2)</f>
        <v>16.14</v>
      </c>
      <c r="P123" s="157" cm="1">
        <f t="array" ref="P123">TRUNC($I123*(1+_xlfn.SWITCH($N123,"BDI 1",$P$6,"BDI 2",$P$7,"BDI 3",$P$8)),2)</f>
        <v>16.329999999999998</v>
      </c>
      <c r="Q123" s="157">
        <v>0</v>
      </c>
      <c r="R123" s="157">
        <f t="shared" ref="R123" si="230">$Q123-($Q123*LICITACAO_DESCONTO)</f>
        <v>0</v>
      </c>
      <c r="S123" s="156">
        <f t="shared" si="212"/>
        <v>0</v>
      </c>
      <c r="T123" s="156">
        <f t="shared" si="213"/>
        <v>0</v>
      </c>
      <c r="U123" s="156">
        <f t="shared" si="214"/>
        <v>0</v>
      </c>
      <c r="V123" s="156">
        <f t="shared" si="215"/>
        <v>0</v>
      </c>
      <c r="W123" s="156">
        <f t="shared" si="202"/>
        <v>0</v>
      </c>
      <c r="X123" s="158">
        <f t="shared" ref="X123" si="231">$S123/ORCAMENTO_VALOR_TOTAL_ND</f>
        <v>0</v>
      </c>
      <c r="Y123" s="158">
        <f t="shared" ref="Y123" si="232">$T123/ORCAMENTO_VALOR_TOTAL_DE</f>
        <v>0</v>
      </c>
      <c r="Z123" s="158" cm="1">
        <f t="array" ref="Z123">_xlfn.SWITCH($N123,"BDI 1",$O$6,"BDI 2",$O$7,"BDI 3",$O$8)</f>
        <v>0.20699999999999999</v>
      </c>
      <c r="AA123" s="158" cm="1">
        <f t="array" ref="AA123">_xlfn.SWITCH($N123,"BDI 1",$P$6,"BDI 2",$P$7,"BDI 3",$P$8)</f>
        <v>0.26739999999999997</v>
      </c>
      <c r="AB123" s="158">
        <f t="shared" ca="1" si="218"/>
        <v>0</v>
      </c>
      <c r="AC123" s="158">
        <f t="shared" ca="1" si="219"/>
        <v>0</v>
      </c>
      <c r="AD123" s="164"/>
      <c r="AE123" s="148">
        <f t="shared" si="205"/>
        <v>0</v>
      </c>
      <c r="AF123" s="149"/>
      <c r="AG123" s="150"/>
      <c r="AH123" s="159" t="e">
        <f t="shared" si="206"/>
        <v>#DIV/0!</v>
      </c>
      <c r="AI123" s="2425"/>
      <c r="AJ123" s="182">
        <v>0</v>
      </c>
      <c r="AK123" s="183" t="e">
        <f t="shared" si="229"/>
        <v>#DIV/0!</v>
      </c>
      <c r="AM123" s="105"/>
      <c r="AN123" s="105"/>
      <c r="AO123" s="105"/>
      <c r="AP123" s="105"/>
      <c r="AQ123" s="105"/>
      <c r="AR123" s="105"/>
    </row>
    <row r="124" spans="1:44" s="49" customFormat="1" ht="49.9" hidden="1" customHeight="1">
      <c r="A124" s="152">
        <f t="shared" ca="1" si="207"/>
        <v>0</v>
      </c>
      <c r="B124" s="153">
        <v>90082</v>
      </c>
      <c r="C124" s="154" t="str">
        <f t="shared" si="208"/>
        <v>90082</v>
      </c>
      <c r="D124" s="154" t="s">
        <v>1416</v>
      </c>
      <c r="E124" s="155" t="s">
        <v>3622</v>
      </c>
      <c r="F124" s="154"/>
      <c r="G124" s="154" t="s">
        <v>464</v>
      </c>
      <c r="H124" s="152">
        <v>10.6</v>
      </c>
      <c r="I124" s="152">
        <v>10.42</v>
      </c>
      <c r="J124" s="156"/>
      <c r="K124" s="156">
        <f>Dre_Terraplenagem!AI62</f>
        <v>0</v>
      </c>
      <c r="L124" s="156">
        <f t="shared" si="209"/>
        <v>0</v>
      </c>
      <c r="M124" s="156">
        <f t="shared" si="210"/>
        <v>0</v>
      </c>
      <c r="N124" s="156" t="s">
        <v>83</v>
      </c>
      <c r="O124" s="157" cm="1">
        <f t="array" ref="O124">TRUNC($H124*(1+_xlfn.SWITCH($N124,"BDI 1",$O$6,"BDI 2",$O$7,"BDI 3",$O$8)),2)</f>
        <v>12.79</v>
      </c>
      <c r="P124" s="157" cm="1">
        <f t="array" ref="P124">TRUNC($I124*(1+_xlfn.SWITCH($N124,"BDI 1",$P$6,"BDI 2",$P$7,"BDI 3",$P$8)),2)</f>
        <v>13.2</v>
      </c>
      <c r="Q124" s="157">
        <v>0</v>
      </c>
      <c r="R124" s="157">
        <f t="shared" ref="R124" si="233">$Q124-($Q124*LICITACAO_DESCONTO)</f>
        <v>0</v>
      </c>
      <c r="S124" s="156">
        <f t="shared" si="212"/>
        <v>0</v>
      </c>
      <c r="T124" s="156">
        <f t="shared" si="213"/>
        <v>0</v>
      </c>
      <c r="U124" s="156">
        <f t="shared" si="214"/>
        <v>0</v>
      </c>
      <c r="V124" s="156">
        <f t="shared" si="215"/>
        <v>0</v>
      </c>
      <c r="W124" s="156">
        <f t="shared" si="202"/>
        <v>0</v>
      </c>
      <c r="X124" s="158">
        <f t="shared" ref="X124" si="234">$S124/ORCAMENTO_VALOR_TOTAL_ND</f>
        <v>0</v>
      </c>
      <c r="Y124" s="158">
        <f t="shared" ref="Y124" si="235">$T124/ORCAMENTO_VALOR_TOTAL_DE</f>
        <v>0</v>
      </c>
      <c r="Z124" s="158" cm="1">
        <f t="array" ref="Z124">_xlfn.SWITCH($N124,"BDI 1",$O$6,"BDI 2",$O$7,"BDI 3",$O$8)</f>
        <v>0.20699999999999999</v>
      </c>
      <c r="AA124" s="158" cm="1">
        <f t="array" ref="AA124">_xlfn.SWITCH($N124,"BDI 1",$P$6,"BDI 2",$P$7,"BDI 3",$P$8)</f>
        <v>0.26739999999999997</v>
      </c>
      <c r="AB124" s="158">
        <f t="shared" ca="1" si="218"/>
        <v>0</v>
      </c>
      <c r="AC124" s="158">
        <f t="shared" ca="1" si="219"/>
        <v>0</v>
      </c>
      <c r="AD124" s="164"/>
      <c r="AE124" s="148">
        <f t="shared" si="205"/>
        <v>0</v>
      </c>
      <c r="AF124" s="149"/>
      <c r="AG124" s="150"/>
      <c r="AH124" s="159" t="e">
        <f t="shared" si="206"/>
        <v>#DIV/0!</v>
      </c>
      <c r="AI124" s="2425"/>
      <c r="AJ124" s="182">
        <v>0</v>
      </c>
      <c r="AK124" s="183" t="e">
        <f t="shared" si="229"/>
        <v>#DIV/0!</v>
      </c>
      <c r="AM124" s="105"/>
      <c r="AN124" s="105"/>
      <c r="AO124" s="105"/>
      <c r="AP124" s="105"/>
      <c r="AQ124" s="105"/>
      <c r="AR124" s="105"/>
    </row>
    <row r="125" spans="1:44" s="49" customFormat="1" ht="49.9" hidden="1" customHeight="1">
      <c r="A125" s="152">
        <f t="shared" ca="1" si="207"/>
        <v>0</v>
      </c>
      <c r="B125" s="153">
        <v>90101</v>
      </c>
      <c r="C125" s="154" t="str">
        <f t="shared" si="208"/>
        <v>90101</v>
      </c>
      <c r="D125" s="154" t="s">
        <v>1416</v>
      </c>
      <c r="E125" s="155" t="s">
        <v>3623</v>
      </c>
      <c r="F125" s="154"/>
      <c r="G125" s="154" t="s">
        <v>464</v>
      </c>
      <c r="H125" s="152">
        <v>13.22</v>
      </c>
      <c r="I125" s="152">
        <v>12.75</v>
      </c>
      <c r="J125" s="156"/>
      <c r="K125" s="156">
        <f>Dre_Terraplenagem!AI63</f>
        <v>0</v>
      </c>
      <c r="L125" s="156">
        <f t="shared" si="209"/>
        <v>0</v>
      </c>
      <c r="M125" s="156">
        <f t="shared" si="210"/>
        <v>0</v>
      </c>
      <c r="N125" s="156" t="s">
        <v>83</v>
      </c>
      <c r="O125" s="157" cm="1">
        <f t="array" ref="O125">TRUNC($H125*(1+_xlfn.SWITCH($N125,"BDI 1",$O$6,"BDI 2",$O$7,"BDI 3",$O$8)),2)</f>
        <v>15.95</v>
      </c>
      <c r="P125" s="157" cm="1">
        <f t="array" ref="P125">TRUNC($I125*(1+_xlfn.SWITCH($N125,"BDI 1",$P$6,"BDI 2",$P$7,"BDI 3",$P$8)),2)</f>
        <v>16.149999999999999</v>
      </c>
      <c r="Q125" s="157">
        <v>0</v>
      </c>
      <c r="R125" s="157">
        <f t="shared" ref="R125" si="236">$Q125-($Q125*LICITACAO_DESCONTO)</f>
        <v>0</v>
      </c>
      <c r="S125" s="156">
        <f t="shared" si="212"/>
        <v>0</v>
      </c>
      <c r="T125" s="156">
        <f t="shared" si="213"/>
        <v>0</v>
      </c>
      <c r="U125" s="156">
        <f t="shared" si="214"/>
        <v>0</v>
      </c>
      <c r="V125" s="156">
        <f t="shared" si="215"/>
        <v>0</v>
      </c>
      <c r="W125" s="156">
        <f t="shared" si="202"/>
        <v>0</v>
      </c>
      <c r="X125" s="158">
        <f t="shared" ref="X125" si="237">$S125/ORCAMENTO_VALOR_TOTAL_ND</f>
        <v>0</v>
      </c>
      <c r="Y125" s="158">
        <f t="shared" ref="Y125" si="238">$T125/ORCAMENTO_VALOR_TOTAL_DE</f>
        <v>0</v>
      </c>
      <c r="Z125" s="158" cm="1">
        <f t="array" ref="Z125">_xlfn.SWITCH($N125,"BDI 1",$O$6,"BDI 2",$O$7,"BDI 3",$O$8)</f>
        <v>0.20699999999999999</v>
      </c>
      <c r="AA125" s="158" cm="1">
        <f t="array" ref="AA125">_xlfn.SWITCH($N125,"BDI 1",$P$6,"BDI 2",$P$7,"BDI 3",$P$8)</f>
        <v>0.26739999999999997</v>
      </c>
      <c r="AB125" s="158">
        <f t="shared" ca="1" si="218"/>
        <v>0</v>
      </c>
      <c r="AC125" s="158">
        <f t="shared" ca="1" si="219"/>
        <v>0</v>
      </c>
      <c r="AD125" s="164"/>
      <c r="AE125" s="148">
        <f t="shared" si="205"/>
        <v>0</v>
      </c>
      <c r="AF125" s="149"/>
      <c r="AG125" s="150"/>
      <c r="AH125" s="159" t="e">
        <f t="shared" si="206"/>
        <v>#DIV/0!</v>
      </c>
      <c r="AI125" s="2422">
        <v>0</v>
      </c>
      <c r="AJ125" s="182">
        <v>0</v>
      </c>
      <c r="AK125" s="183" t="e">
        <f t="shared" si="229"/>
        <v>#DIV/0!</v>
      </c>
      <c r="AM125" s="105"/>
      <c r="AN125" s="105"/>
      <c r="AO125" s="105"/>
      <c r="AP125" s="105"/>
      <c r="AQ125" s="105"/>
      <c r="AR125" s="105"/>
    </row>
    <row r="126" spans="1:44" s="49" customFormat="1" ht="49.9" hidden="1" customHeight="1">
      <c r="A126" s="152">
        <f t="shared" ca="1" si="207"/>
        <v>0</v>
      </c>
      <c r="B126" s="153">
        <v>90102</v>
      </c>
      <c r="C126" s="154" t="str">
        <f t="shared" si="208"/>
        <v>90102</v>
      </c>
      <c r="D126" s="154" t="s">
        <v>1416</v>
      </c>
      <c r="E126" s="155" t="s">
        <v>3624</v>
      </c>
      <c r="F126" s="154"/>
      <c r="G126" s="154" t="s">
        <v>464</v>
      </c>
      <c r="H126" s="152">
        <v>12.02</v>
      </c>
      <c r="I126" s="152">
        <v>11.6</v>
      </c>
      <c r="J126" s="156"/>
      <c r="K126" s="156">
        <f>Dre_Terraplenagem!AI64</f>
        <v>0</v>
      </c>
      <c r="L126" s="156">
        <f t="shared" si="209"/>
        <v>0</v>
      </c>
      <c r="M126" s="156">
        <f t="shared" si="210"/>
        <v>0</v>
      </c>
      <c r="N126" s="156" t="s">
        <v>83</v>
      </c>
      <c r="O126" s="157" cm="1">
        <f t="array" ref="O126">TRUNC($H126*(1+_xlfn.SWITCH($N126,"BDI 1",$O$6,"BDI 2",$O$7,"BDI 3",$O$8)),2)</f>
        <v>14.5</v>
      </c>
      <c r="P126" s="157" cm="1">
        <f t="array" ref="P126">TRUNC($I126*(1+_xlfn.SWITCH($N126,"BDI 1",$P$6,"BDI 2",$P$7,"BDI 3",$P$8)),2)</f>
        <v>14.7</v>
      </c>
      <c r="Q126" s="157">
        <v>0</v>
      </c>
      <c r="R126" s="157">
        <f t="shared" ref="R126" si="239">$Q126-($Q126*LICITACAO_DESCONTO)</f>
        <v>0</v>
      </c>
      <c r="S126" s="156">
        <f t="shared" si="212"/>
        <v>0</v>
      </c>
      <c r="T126" s="156">
        <f t="shared" si="213"/>
        <v>0</v>
      </c>
      <c r="U126" s="156">
        <f t="shared" si="214"/>
        <v>0</v>
      </c>
      <c r="V126" s="156">
        <f t="shared" si="215"/>
        <v>0</v>
      </c>
      <c r="W126" s="156">
        <f t="shared" si="202"/>
        <v>0</v>
      </c>
      <c r="X126" s="158">
        <f t="shared" ref="X126" si="240">$S126/ORCAMENTO_VALOR_TOTAL_ND</f>
        <v>0</v>
      </c>
      <c r="Y126" s="158">
        <f t="shared" ref="Y126" si="241">$T126/ORCAMENTO_VALOR_TOTAL_DE</f>
        <v>0</v>
      </c>
      <c r="Z126" s="158" cm="1">
        <f t="array" ref="Z126">_xlfn.SWITCH($N126,"BDI 1",$O$6,"BDI 2",$O$7,"BDI 3",$O$8)</f>
        <v>0.20699999999999999</v>
      </c>
      <c r="AA126" s="158" cm="1">
        <f t="array" ref="AA126">_xlfn.SWITCH($N126,"BDI 1",$P$6,"BDI 2",$P$7,"BDI 3",$P$8)</f>
        <v>0.26739999999999997</v>
      </c>
      <c r="AB126" s="158">
        <f t="shared" ca="1" si="218"/>
        <v>0</v>
      </c>
      <c r="AC126" s="158">
        <f t="shared" ca="1" si="219"/>
        <v>0</v>
      </c>
      <c r="AD126" s="164"/>
      <c r="AE126" s="148">
        <f t="shared" si="205"/>
        <v>0</v>
      </c>
      <c r="AF126" s="149"/>
      <c r="AG126" s="150"/>
      <c r="AH126" s="159" t="e">
        <f t="shared" si="206"/>
        <v>#DIV/0!</v>
      </c>
      <c r="AI126" s="2422"/>
      <c r="AJ126" s="182">
        <v>0</v>
      </c>
      <c r="AK126" s="183" t="e">
        <f t="shared" si="229"/>
        <v>#DIV/0!</v>
      </c>
      <c r="AM126" s="105"/>
      <c r="AN126" s="105"/>
      <c r="AO126" s="105"/>
      <c r="AP126" s="105"/>
      <c r="AQ126" s="105"/>
      <c r="AR126" s="105"/>
    </row>
    <row r="127" spans="1:44" s="49" customFormat="1" ht="49.9" hidden="1" customHeight="1">
      <c r="A127" s="152">
        <f t="shared" ca="1" si="207"/>
        <v>0</v>
      </c>
      <c r="B127" s="153">
        <v>102278</v>
      </c>
      <c r="C127" s="154" t="str">
        <f t="shared" si="208"/>
        <v>102278</v>
      </c>
      <c r="D127" s="154" t="s">
        <v>1416</v>
      </c>
      <c r="E127" s="155" t="s">
        <v>3625</v>
      </c>
      <c r="F127" s="154"/>
      <c r="G127" s="154" t="s">
        <v>464</v>
      </c>
      <c r="H127" s="152">
        <v>9.24</v>
      </c>
      <c r="I127" s="152">
        <v>9.11</v>
      </c>
      <c r="J127" s="156"/>
      <c r="K127" s="156">
        <f>Dre_Terraplenagem!AI65</f>
        <v>0</v>
      </c>
      <c r="L127" s="156">
        <f t="shared" si="209"/>
        <v>0</v>
      </c>
      <c r="M127" s="156">
        <f t="shared" si="210"/>
        <v>0</v>
      </c>
      <c r="N127" s="156" t="s">
        <v>83</v>
      </c>
      <c r="O127" s="157" cm="1">
        <f t="array" ref="O127">TRUNC($H127*(1+_xlfn.SWITCH($N127,"BDI 1",$O$6,"BDI 2",$O$7,"BDI 3",$O$8)),2)</f>
        <v>11.15</v>
      </c>
      <c r="P127" s="157" cm="1">
        <f t="array" ref="P127">TRUNC($I127*(1+_xlfn.SWITCH($N127,"BDI 1",$P$6,"BDI 2",$P$7,"BDI 3",$P$8)),2)</f>
        <v>11.54</v>
      </c>
      <c r="Q127" s="157">
        <v>0</v>
      </c>
      <c r="R127" s="157">
        <f t="shared" ref="R127" si="242">$Q127-($Q127*LICITACAO_DESCONTO)</f>
        <v>0</v>
      </c>
      <c r="S127" s="156">
        <f t="shared" si="212"/>
        <v>0</v>
      </c>
      <c r="T127" s="156">
        <f t="shared" si="213"/>
        <v>0</v>
      </c>
      <c r="U127" s="156">
        <f t="shared" si="214"/>
        <v>0</v>
      </c>
      <c r="V127" s="156">
        <f t="shared" si="215"/>
        <v>0</v>
      </c>
      <c r="W127" s="156">
        <f t="shared" si="202"/>
        <v>0</v>
      </c>
      <c r="X127" s="158">
        <f t="shared" ref="X127" si="243">$S127/ORCAMENTO_VALOR_TOTAL_ND</f>
        <v>0</v>
      </c>
      <c r="Y127" s="158">
        <f t="shared" ref="Y127" si="244">$T127/ORCAMENTO_VALOR_TOTAL_DE</f>
        <v>0</v>
      </c>
      <c r="Z127" s="158" cm="1">
        <f t="array" ref="Z127">_xlfn.SWITCH($N127,"BDI 1",$O$6,"BDI 2",$O$7,"BDI 3",$O$8)</f>
        <v>0.20699999999999999</v>
      </c>
      <c r="AA127" s="158" cm="1">
        <f t="array" ref="AA127">_xlfn.SWITCH($N127,"BDI 1",$P$6,"BDI 2",$P$7,"BDI 3",$P$8)</f>
        <v>0.26739999999999997</v>
      </c>
      <c r="AB127" s="158">
        <f t="shared" ca="1" si="218"/>
        <v>0</v>
      </c>
      <c r="AC127" s="158">
        <f t="shared" ca="1" si="219"/>
        <v>0</v>
      </c>
      <c r="AD127" s="164"/>
      <c r="AE127" s="148">
        <f t="shared" si="205"/>
        <v>0</v>
      </c>
      <c r="AF127" s="149"/>
      <c r="AG127" s="150"/>
      <c r="AH127" s="159" t="e">
        <f t="shared" si="206"/>
        <v>#DIV/0!</v>
      </c>
      <c r="AI127" s="2422"/>
      <c r="AJ127" s="182">
        <v>14.75</v>
      </c>
      <c r="AK127" s="183">
        <f t="shared" si="229"/>
        <v>0</v>
      </c>
      <c r="AM127" s="105"/>
      <c r="AN127" s="105"/>
      <c r="AO127" s="105"/>
      <c r="AP127" s="105"/>
      <c r="AQ127" s="105"/>
      <c r="AR127" s="105"/>
    </row>
    <row r="128" spans="1:44" s="49" customFormat="1" ht="49.9" hidden="1" customHeight="1">
      <c r="A128" s="152">
        <f t="shared" ca="1" si="207"/>
        <v>0</v>
      </c>
      <c r="B128" s="153">
        <v>90086</v>
      </c>
      <c r="C128" s="154" t="str">
        <f t="shared" si="208"/>
        <v>90086</v>
      </c>
      <c r="D128" s="154" t="s">
        <v>1416</v>
      </c>
      <c r="E128" s="155" t="s">
        <v>3626</v>
      </c>
      <c r="F128" s="154"/>
      <c r="G128" s="154" t="s">
        <v>464</v>
      </c>
      <c r="H128" s="152">
        <v>9.6999999999999993</v>
      </c>
      <c r="I128" s="152">
        <v>9.5399999999999991</v>
      </c>
      <c r="J128" s="156"/>
      <c r="K128" s="156">
        <f>Dre_Terraplenagem!AI66</f>
        <v>0</v>
      </c>
      <c r="L128" s="156">
        <f t="shared" si="209"/>
        <v>0</v>
      </c>
      <c r="M128" s="156">
        <f t="shared" si="210"/>
        <v>0</v>
      </c>
      <c r="N128" s="156" t="s">
        <v>83</v>
      </c>
      <c r="O128" s="157" cm="1">
        <f t="array" ref="O128">TRUNC($H128*(1+_xlfn.SWITCH($N128,"BDI 1",$O$6,"BDI 2",$O$7,"BDI 3",$O$8)),2)</f>
        <v>11.7</v>
      </c>
      <c r="P128" s="157" cm="1">
        <f t="array" ref="P128">TRUNC($I128*(1+_xlfn.SWITCH($N128,"BDI 1",$P$6,"BDI 2",$P$7,"BDI 3",$P$8)),2)</f>
        <v>12.09</v>
      </c>
      <c r="Q128" s="157">
        <v>0</v>
      </c>
      <c r="R128" s="157">
        <f t="shared" ref="R128" si="245">$Q128-($Q128*LICITACAO_DESCONTO)</f>
        <v>0</v>
      </c>
      <c r="S128" s="156">
        <f t="shared" si="212"/>
        <v>0</v>
      </c>
      <c r="T128" s="156">
        <f t="shared" si="213"/>
        <v>0</v>
      </c>
      <c r="U128" s="156">
        <f t="shared" si="214"/>
        <v>0</v>
      </c>
      <c r="V128" s="156">
        <f t="shared" si="215"/>
        <v>0</v>
      </c>
      <c r="W128" s="156">
        <f t="shared" si="202"/>
        <v>0</v>
      </c>
      <c r="X128" s="158">
        <f t="shared" ref="X128" si="246">$S128/ORCAMENTO_VALOR_TOTAL_ND</f>
        <v>0</v>
      </c>
      <c r="Y128" s="158">
        <f t="shared" ref="Y128" si="247">$T128/ORCAMENTO_VALOR_TOTAL_DE</f>
        <v>0</v>
      </c>
      <c r="Z128" s="158" cm="1">
        <f t="array" ref="Z128">_xlfn.SWITCH($N128,"BDI 1",$O$6,"BDI 2",$O$7,"BDI 3",$O$8)</f>
        <v>0.20699999999999999</v>
      </c>
      <c r="AA128" s="158" cm="1">
        <f t="array" ref="AA128">_xlfn.SWITCH($N128,"BDI 1",$P$6,"BDI 2",$P$7,"BDI 3",$P$8)</f>
        <v>0.26739999999999997</v>
      </c>
      <c r="AB128" s="158">
        <f t="shared" ca="1" si="218"/>
        <v>0</v>
      </c>
      <c r="AC128" s="158">
        <f t="shared" ca="1" si="219"/>
        <v>0</v>
      </c>
      <c r="AD128" s="164"/>
      <c r="AE128" s="148">
        <f t="shared" si="205"/>
        <v>0</v>
      </c>
      <c r="AF128" s="149"/>
      <c r="AG128" s="150"/>
      <c r="AH128" s="159" t="e">
        <f t="shared" si="206"/>
        <v>#DIV/0!</v>
      </c>
      <c r="AI128" s="2423">
        <v>0</v>
      </c>
      <c r="AJ128" s="182">
        <v>0</v>
      </c>
      <c r="AK128" s="183" t="e">
        <f t="shared" si="229"/>
        <v>#DIV/0!</v>
      </c>
      <c r="AM128" s="105"/>
      <c r="AN128" s="105"/>
      <c r="AO128" s="105"/>
      <c r="AP128" s="105"/>
      <c r="AQ128" s="105"/>
      <c r="AR128" s="105"/>
    </row>
    <row r="129" spans="1:44" s="49" customFormat="1" ht="49.9" hidden="1" customHeight="1">
      <c r="A129" s="152">
        <f t="shared" ca="1" si="207"/>
        <v>0</v>
      </c>
      <c r="B129" s="153">
        <v>90087</v>
      </c>
      <c r="C129" s="154" t="str">
        <f t="shared" si="208"/>
        <v>90087</v>
      </c>
      <c r="D129" s="154" t="s">
        <v>1416</v>
      </c>
      <c r="E129" s="155" t="s">
        <v>3627</v>
      </c>
      <c r="F129" s="154"/>
      <c r="G129" s="154" t="s">
        <v>464</v>
      </c>
      <c r="H129" s="152">
        <v>8.86</v>
      </c>
      <c r="I129" s="152">
        <v>8.76</v>
      </c>
      <c r="J129" s="156"/>
      <c r="K129" s="156">
        <f>Dre_Terraplenagem!AI67</f>
        <v>0</v>
      </c>
      <c r="L129" s="156">
        <f t="shared" si="209"/>
        <v>0</v>
      </c>
      <c r="M129" s="156">
        <f t="shared" si="210"/>
        <v>0</v>
      </c>
      <c r="N129" s="156" t="s">
        <v>83</v>
      </c>
      <c r="O129" s="157" cm="1">
        <f t="array" ref="O129">TRUNC($H129*(1+_xlfn.SWITCH($N129,"BDI 1",$O$6,"BDI 2",$O$7,"BDI 3",$O$8)),2)</f>
        <v>10.69</v>
      </c>
      <c r="P129" s="157" cm="1">
        <f t="array" ref="P129">TRUNC($I129*(1+_xlfn.SWITCH($N129,"BDI 1",$P$6,"BDI 2",$P$7,"BDI 3",$P$8)),2)</f>
        <v>11.1</v>
      </c>
      <c r="Q129" s="157">
        <v>0</v>
      </c>
      <c r="R129" s="157">
        <f t="shared" ref="R129" si="248">$Q129-($Q129*LICITACAO_DESCONTO)</f>
        <v>0</v>
      </c>
      <c r="S129" s="156">
        <f t="shared" si="212"/>
        <v>0</v>
      </c>
      <c r="T129" s="156">
        <f t="shared" si="213"/>
        <v>0</v>
      </c>
      <c r="U129" s="156">
        <f t="shared" si="214"/>
        <v>0</v>
      </c>
      <c r="V129" s="156">
        <f t="shared" si="215"/>
        <v>0</v>
      </c>
      <c r="W129" s="156">
        <f t="shared" si="202"/>
        <v>0</v>
      </c>
      <c r="X129" s="158">
        <f t="shared" ref="X129" si="249">$S129/ORCAMENTO_VALOR_TOTAL_ND</f>
        <v>0</v>
      </c>
      <c r="Y129" s="158">
        <f t="shared" ref="Y129" si="250">$T129/ORCAMENTO_VALOR_TOTAL_DE</f>
        <v>0</v>
      </c>
      <c r="Z129" s="158" cm="1">
        <f t="array" ref="Z129">_xlfn.SWITCH($N129,"BDI 1",$O$6,"BDI 2",$O$7,"BDI 3",$O$8)</f>
        <v>0.20699999999999999</v>
      </c>
      <c r="AA129" s="158" cm="1">
        <f t="array" ref="AA129">_xlfn.SWITCH($N129,"BDI 1",$P$6,"BDI 2",$P$7,"BDI 3",$P$8)</f>
        <v>0.26739999999999997</v>
      </c>
      <c r="AB129" s="158">
        <f t="shared" ca="1" si="218"/>
        <v>0</v>
      </c>
      <c r="AC129" s="158">
        <f t="shared" ca="1" si="219"/>
        <v>0</v>
      </c>
      <c r="AD129" s="164"/>
      <c r="AE129" s="148">
        <f t="shared" si="205"/>
        <v>0</v>
      </c>
      <c r="AF129" s="149"/>
      <c r="AG129" s="150"/>
      <c r="AH129" s="159" t="e">
        <f t="shared" si="206"/>
        <v>#DIV/0!</v>
      </c>
      <c r="AI129" s="2423"/>
      <c r="AJ129" s="182">
        <v>0</v>
      </c>
      <c r="AK129" s="183" t="e">
        <f t="shared" si="229"/>
        <v>#DIV/0!</v>
      </c>
      <c r="AM129" s="105"/>
      <c r="AN129" s="105"/>
      <c r="AO129" s="105"/>
      <c r="AP129" s="105"/>
      <c r="AQ129" s="105"/>
      <c r="AR129" s="105"/>
    </row>
    <row r="130" spans="1:44" s="49" customFormat="1" ht="49.9" hidden="1" customHeight="1">
      <c r="A130" s="152">
        <f t="shared" ca="1" si="207"/>
        <v>0</v>
      </c>
      <c r="B130" s="153">
        <v>102277</v>
      </c>
      <c r="C130" s="154" t="str">
        <f t="shared" si="208"/>
        <v>102277</v>
      </c>
      <c r="D130" s="154" t="s">
        <v>1416</v>
      </c>
      <c r="E130" s="155" t="s">
        <v>3628</v>
      </c>
      <c r="F130" s="154"/>
      <c r="G130" s="154" t="s">
        <v>464</v>
      </c>
      <c r="H130" s="152">
        <v>9.42</v>
      </c>
      <c r="I130" s="152">
        <v>9.26</v>
      </c>
      <c r="J130" s="156"/>
      <c r="K130" s="156">
        <f>Dre_Terraplenagem!AI68</f>
        <v>0</v>
      </c>
      <c r="L130" s="156">
        <f t="shared" si="209"/>
        <v>0</v>
      </c>
      <c r="M130" s="156">
        <f t="shared" si="210"/>
        <v>0</v>
      </c>
      <c r="N130" s="156" t="s">
        <v>83</v>
      </c>
      <c r="O130" s="157" cm="1">
        <f t="array" ref="O130">TRUNC($H130*(1+_xlfn.SWITCH($N130,"BDI 1",$O$6,"BDI 2",$O$7,"BDI 3",$O$8)),2)</f>
        <v>11.36</v>
      </c>
      <c r="P130" s="157" cm="1">
        <f t="array" ref="P130">TRUNC($I130*(1+_xlfn.SWITCH($N130,"BDI 1",$P$6,"BDI 2",$P$7,"BDI 3",$P$8)),2)</f>
        <v>11.73</v>
      </c>
      <c r="Q130" s="157">
        <v>0</v>
      </c>
      <c r="R130" s="157">
        <f t="shared" ref="R130" si="251">$Q130-($Q130*LICITACAO_DESCONTO)</f>
        <v>0</v>
      </c>
      <c r="S130" s="156">
        <f t="shared" si="212"/>
        <v>0</v>
      </c>
      <c r="T130" s="156">
        <f t="shared" si="213"/>
        <v>0</v>
      </c>
      <c r="U130" s="156">
        <f t="shared" si="214"/>
        <v>0</v>
      </c>
      <c r="V130" s="156">
        <f t="shared" si="215"/>
        <v>0</v>
      </c>
      <c r="W130" s="156">
        <f t="shared" si="202"/>
        <v>0</v>
      </c>
      <c r="X130" s="158">
        <f t="shared" ref="X130" si="252">$S130/ORCAMENTO_VALOR_TOTAL_ND</f>
        <v>0</v>
      </c>
      <c r="Y130" s="158">
        <f t="shared" ref="Y130" si="253">$T130/ORCAMENTO_VALOR_TOTAL_DE</f>
        <v>0</v>
      </c>
      <c r="Z130" s="158" cm="1">
        <f t="array" ref="Z130">_xlfn.SWITCH($N130,"BDI 1",$O$6,"BDI 2",$O$7,"BDI 3",$O$8)</f>
        <v>0.20699999999999999</v>
      </c>
      <c r="AA130" s="158" cm="1">
        <f t="array" ref="AA130">_xlfn.SWITCH($N130,"BDI 1",$P$6,"BDI 2",$P$7,"BDI 3",$P$8)</f>
        <v>0.26739999999999997</v>
      </c>
      <c r="AB130" s="158">
        <f t="shared" ca="1" si="218"/>
        <v>0</v>
      </c>
      <c r="AC130" s="158">
        <f t="shared" ca="1" si="219"/>
        <v>0</v>
      </c>
      <c r="AD130" s="164"/>
      <c r="AE130" s="148">
        <f t="shared" si="205"/>
        <v>0</v>
      </c>
      <c r="AF130" s="149"/>
      <c r="AG130" s="150"/>
      <c r="AH130" s="159" t="e">
        <f t="shared" si="206"/>
        <v>#DIV/0!</v>
      </c>
      <c r="AI130" s="2426">
        <v>0</v>
      </c>
      <c r="AJ130" s="182">
        <v>18.73</v>
      </c>
      <c r="AK130" s="183">
        <f t="shared" si="229"/>
        <v>0</v>
      </c>
      <c r="AM130" s="105"/>
      <c r="AN130" s="105"/>
      <c r="AO130" s="105"/>
      <c r="AP130" s="105"/>
      <c r="AQ130" s="105"/>
      <c r="AR130" s="105"/>
    </row>
    <row r="131" spans="1:44" s="49" customFormat="1" ht="49.9" hidden="1" customHeight="1">
      <c r="A131" s="152">
        <f t="shared" ca="1" si="207"/>
        <v>0</v>
      </c>
      <c r="B131" s="153">
        <v>90090</v>
      </c>
      <c r="C131" s="154" t="str">
        <f t="shared" si="208"/>
        <v>90090</v>
      </c>
      <c r="D131" s="154" t="s">
        <v>1416</v>
      </c>
      <c r="E131" s="155" t="s">
        <v>3629</v>
      </c>
      <c r="F131" s="154"/>
      <c r="G131" s="154" t="s">
        <v>464</v>
      </c>
      <c r="H131" s="152">
        <v>8.67</v>
      </c>
      <c r="I131" s="152">
        <v>8.5500000000000007</v>
      </c>
      <c r="J131" s="156"/>
      <c r="K131" s="156">
        <f>Dre_Terraplenagem!AI69</f>
        <v>0</v>
      </c>
      <c r="L131" s="156">
        <f t="shared" si="209"/>
        <v>0</v>
      </c>
      <c r="M131" s="156">
        <f t="shared" si="210"/>
        <v>0</v>
      </c>
      <c r="N131" s="156" t="s">
        <v>83</v>
      </c>
      <c r="O131" s="157" cm="1">
        <f t="array" ref="O131">TRUNC($H131*(1+_xlfn.SWITCH($N131,"BDI 1",$O$6,"BDI 2",$O$7,"BDI 3",$O$8)),2)</f>
        <v>10.46</v>
      </c>
      <c r="P131" s="157" cm="1">
        <f t="array" ref="P131">TRUNC($I131*(1+_xlfn.SWITCH($N131,"BDI 1",$P$6,"BDI 2",$P$7,"BDI 3",$P$8)),2)</f>
        <v>10.83</v>
      </c>
      <c r="Q131" s="157">
        <v>0</v>
      </c>
      <c r="R131" s="157">
        <f t="shared" ref="R131" si="254">$Q131-($Q131*LICITACAO_DESCONTO)</f>
        <v>0</v>
      </c>
      <c r="S131" s="156">
        <f t="shared" si="212"/>
        <v>0</v>
      </c>
      <c r="T131" s="156">
        <f t="shared" si="213"/>
        <v>0</v>
      </c>
      <c r="U131" s="156">
        <f t="shared" si="214"/>
        <v>0</v>
      </c>
      <c r="V131" s="156">
        <f t="shared" si="215"/>
        <v>0</v>
      </c>
      <c r="W131" s="156">
        <f t="shared" si="202"/>
        <v>0</v>
      </c>
      <c r="X131" s="158">
        <f t="shared" ref="X131" si="255">$S131/ORCAMENTO_VALOR_TOTAL_ND</f>
        <v>0</v>
      </c>
      <c r="Y131" s="158">
        <f t="shared" ref="Y131" si="256">$T131/ORCAMENTO_VALOR_TOTAL_DE</f>
        <v>0</v>
      </c>
      <c r="Z131" s="158" cm="1">
        <f t="array" ref="Z131">_xlfn.SWITCH($N131,"BDI 1",$O$6,"BDI 2",$O$7,"BDI 3",$O$8)</f>
        <v>0.20699999999999999</v>
      </c>
      <c r="AA131" s="158" cm="1">
        <f t="array" ref="AA131">_xlfn.SWITCH($N131,"BDI 1",$P$6,"BDI 2",$P$7,"BDI 3",$P$8)</f>
        <v>0.26739999999999997</v>
      </c>
      <c r="AB131" s="158">
        <f t="shared" ca="1" si="218"/>
        <v>0</v>
      </c>
      <c r="AC131" s="158">
        <f t="shared" ca="1" si="219"/>
        <v>0</v>
      </c>
      <c r="AD131" s="164"/>
      <c r="AE131" s="148">
        <f t="shared" si="205"/>
        <v>0</v>
      </c>
      <c r="AF131" s="149"/>
      <c r="AG131" s="150"/>
      <c r="AH131" s="159" t="e">
        <f t="shared" si="206"/>
        <v>#DIV/0!</v>
      </c>
      <c r="AI131" s="2426"/>
      <c r="AJ131" s="182">
        <v>0</v>
      </c>
      <c r="AK131" s="183" t="e">
        <f t="shared" si="229"/>
        <v>#DIV/0!</v>
      </c>
      <c r="AM131" s="105"/>
      <c r="AN131" s="105"/>
      <c r="AO131" s="105"/>
      <c r="AP131" s="105"/>
      <c r="AQ131" s="105"/>
      <c r="AR131" s="105"/>
    </row>
    <row r="132" spans="1:44" s="49" customFormat="1" ht="49.9" hidden="1" customHeight="1">
      <c r="A132" s="152">
        <f t="shared" ca="1" si="207"/>
        <v>0</v>
      </c>
      <c r="B132" s="153">
        <v>90105</v>
      </c>
      <c r="C132" s="154" t="str">
        <f t="shared" si="208"/>
        <v>90105</v>
      </c>
      <c r="D132" s="154" t="s">
        <v>1416</v>
      </c>
      <c r="E132" s="155" t="s">
        <v>3630</v>
      </c>
      <c r="F132" s="154"/>
      <c r="G132" s="154" t="s">
        <v>464</v>
      </c>
      <c r="H132" s="152">
        <v>8.68</v>
      </c>
      <c r="I132" s="152">
        <v>8.3800000000000008</v>
      </c>
      <c r="J132" s="156"/>
      <c r="K132" s="156">
        <f>Dre_Terraplenagem!AI70</f>
        <v>0</v>
      </c>
      <c r="L132" s="156">
        <f t="shared" si="209"/>
        <v>0</v>
      </c>
      <c r="M132" s="156">
        <f t="shared" si="210"/>
        <v>0</v>
      </c>
      <c r="N132" s="156" t="s">
        <v>83</v>
      </c>
      <c r="O132" s="157" cm="1">
        <f t="array" ref="O132">TRUNC($H132*(1+_xlfn.SWITCH($N132,"BDI 1",$O$6,"BDI 2",$O$7,"BDI 3",$O$8)),2)</f>
        <v>10.47</v>
      </c>
      <c r="P132" s="157" cm="1">
        <f t="array" ref="P132">TRUNC($I132*(1+_xlfn.SWITCH($N132,"BDI 1",$P$6,"BDI 2",$P$7,"BDI 3",$P$8)),2)</f>
        <v>10.62</v>
      </c>
      <c r="Q132" s="157">
        <v>0</v>
      </c>
      <c r="R132" s="157">
        <f t="shared" ref="R132" si="257">$Q132-($Q132*LICITACAO_DESCONTO)</f>
        <v>0</v>
      </c>
      <c r="S132" s="156">
        <f t="shared" si="212"/>
        <v>0</v>
      </c>
      <c r="T132" s="156">
        <f t="shared" si="213"/>
        <v>0</v>
      </c>
      <c r="U132" s="156">
        <f t="shared" si="214"/>
        <v>0</v>
      </c>
      <c r="V132" s="156">
        <f t="shared" si="215"/>
        <v>0</v>
      </c>
      <c r="W132" s="156">
        <f t="shared" si="202"/>
        <v>0</v>
      </c>
      <c r="X132" s="158">
        <f t="shared" ref="X132" si="258">$S132/ORCAMENTO_VALOR_TOTAL_ND</f>
        <v>0</v>
      </c>
      <c r="Y132" s="158">
        <f t="shared" ref="Y132" si="259">$T132/ORCAMENTO_VALOR_TOTAL_DE</f>
        <v>0</v>
      </c>
      <c r="Z132" s="158" cm="1">
        <f t="array" ref="Z132">_xlfn.SWITCH($N132,"BDI 1",$O$6,"BDI 2",$O$7,"BDI 3",$O$8)</f>
        <v>0.20699999999999999</v>
      </c>
      <c r="AA132" s="158" cm="1">
        <f t="array" ref="AA132">_xlfn.SWITCH($N132,"BDI 1",$P$6,"BDI 2",$P$7,"BDI 3",$P$8)</f>
        <v>0.26739999999999997</v>
      </c>
      <c r="AB132" s="158">
        <f t="shared" ca="1" si="218"/>
        <v>0</v>
      </c>
      <c r="AC132" s="158">
        <f t="shared" ca="1" si="219"/>
        <v>0</v>
      </c>
      <c r="AD132" s="164"/>
      <c r="AE132" s="148">
        <f t="shared" si="205"/>
        <v>0</v>
      </c>
      <c r="AF132" s="149"/>
      <c r="AG132" s="150"/>
      <c r="AH132" s="159" t="e">
        <f t="shared" si="206"/>
        <v>#DIV/0!</v>
      </c>
      <c r="AI132" s="2425">
        <v>0</v>
      </c>
      <c r="AJ132" s="182">
        <v>0</v>
      </c>
      <c r="AK132" s="183" t="e">
        <f t="shared" si="229"/>
        <v>#DIV/0!</v>
      </c>
      <c r="AM132" s="105"/>
      <c r="AN132" s="105"/>
      <c r="AO132" s="105"/>
      <c r="AP132" s="105"/>
      <c r="AQ132" s="105"/>
      <c r="AR132" s="105"/>
    </row>
    <row r="133" spans="1:44" s="49" customFormat="1" ht="49.9" hidden="1" customHeight="1">
      <c r="A133" s="152">
        <f t="shared" ca="1" si="207"/>
        <v>0</v>
      </c>
      <c r="B133" s="153">
        <v>90106</v>
      </c>
      <c r="C133" s="154" t="str">
        <f t="shared" si="208"/>
        <v>90106</v>
      </c>
      <c r="D133" s="154" t="s">
        <v>1416</v>
      </c>
      <c r="E133" s="155" t="s">
        <v>3631</v>
      </c>
      <c r="F133" s="154"/>
      <c r="G133" s="154" t="s">
        <v>464</v>
      </c>
      <c r="H133" s="152">
        <v>7.39</v>
      </c>
      <c r="I133" s="152">
        <v>7.12</v>
      </c>
      <c r="J133" s="156"/>
      <c r="K133" s="156">
        <f>Dre_Terraplenagem!AI71</f>
        <v>0</v>
      </c>
      <c r="L133" s="156">
        <f t="shared" si="209"/>
        <v>0</v>
      </c>
      <c r="M133" s="156">
        <f t="shared" si="210"/>
        <v>0</v>
      </c>
      <c r="N133" s="156" t="s">
        <v>83</v>
      </c>
      <c r="O133" s="157" cm="1">
        <f t="array" ref="O133">TRUNC($H133*(1+_xlfn.SWITCH($N133,"BDI 1",$O$6,"BDI 2",$O$7,"BDI 3",$O$8)),2)</f>
        <v>8.91</v>
      </c>
      <c r="P133" s="157" cm="1">
        <f t="array" ref="P133">TRUNC($I133*(1+_xlfn.SWITCH($N133,"BDI 1",$P$6,"BDI 2",$P$7,"BDI 3",$P$8)),2)</f>
        <v>9.02</v>
      </c>
      <c r="Q133" s="157">
        <v>0</v>
      </c>
      <c r="R133" s="157">
        <f t="shared" ref="R133" si="260">$Q133-($Q133*LICITACAO_DESCONTO)</f>
        <v>0</v>
      </c>
      <c r="S133" s="156">
        <f t="shared" si="212"/>
        <v>0</v>
      </c>
      <c r="T133" s="156">
        <f t="shared" si="213"/>
        <v>0</v>
      </c>
      <c r="U133" s="156">
        <f t="shared" si="214"/>
        <v>0</v>
      </c>
      <c r="V133" s="156">
        <f t="shared" si="215"/>
        <v>0</v>
      </c>
      <c r="W133" s="156">
        <f t="shared" si="202"/>
        <v>0</v>
      </c>
      <c r="X133" s="158">
        <f t="shared" ref="X133" si="261">$S133/ORCAMENTO_VALOR_TOTAL_ND</f>
        <v>0</v>
      </c>
      <c r="Y133" s="158">
        <f t="shared" ref="Y133" si="262">$T133/ORCAMENTO_VALOR_TOTAL_DE</f>
        <v>0</v>
      </c>
      <c r="Z133" s="158" cm="1">
        <f t="array" ref="Z133">_xlfn.SWITCH($N133,"BDI 1",$O$6,"BDI 2",$O$7,"BDI 3",$O$8)</f>
        <v>0.20699999999999999</v>
      </c>
      <c r="AA133" s="158" cm="1">
        <f t="array" ref="AA133">_xlfn.SWITCH($N133,"BDI 1",$P$6,"BDI 2",$P$7,"BDI 3",$P$8)</f>
        <v>0.26739999999999997</v>
      </c>
      <c r="AB133" s="158">
        <f t="shared" ca="1" si="218"/>
        <v>0</v>
      </c>
      <c r="AC133" s="158">
        <f t="shared" ca="1" si="219"/>
        <v>0</v>
      </c>
      <c r="AD133" s="164"/>
      <c r="AE133" s="148">
        <f t="shared" si="205"/>
        <v>0</v>
      </c>
      <c r="AF133" s="149"/>
      <c r="AG133" s="150"/>
      <c r="AH133" s="159" t="e">
        <f t="shared" si="206"/>
        <v>#DIV/0!</v>
      </c>
      <c r="AI133" s="2425"/>
      <c r="AJ133" s="182">
        <v>0</v>
      </c>
      <c r="AK133" s="183" t="e">
        <f t="shared" si="229"/>
        <v>#DIV/0!</v>
      </c>
      <c r="AM133" s="105"/>
      <c r="AN133" s="105"/>
      <c r="AO133" s="105"/>
      <c r="AP133" s="105"/>
      <c r="AQ133" s="105"/>
      <c r="AR133" s="105"/>
    </row>
    <row r="134" spans="1:44" s="49" customFormat="1" ht="49.9" hidden="1" customHeight="1">
      <c r="A134" s="152">
        <f t="shared" ca="1" si="207"/>
        <v>0</v>
      </c>
      <c r="B134" s="153">
        <v>90091</v>
      </c>
      <c r="C134" s="154" t="str">
        <f t="shared" si="208"/>
        <v>90091</v>
      </c>
      <c r="D134" s="154" t="s">
        <v>1416</v>
      </c>
      <c r="E134" s="155" t="s">
        <v>3632</v>
      </c>
      <c r="F134" s="154"/>
      <c r="G134" s="154" t="s">
        <v>464</v>
      </c>
      <c r="H134" s="152">
        <v>5.72</v>
      </c>
      <c r="I134" s="152">
        <v>5.63</v>
      </c>
      <c r="J134" s="156"/>
      <c r="K134" s="156">
        <f>Dre_Terraplenagem!AI72+Dre_Terraplenagem!AI196</f>
        <v>0</v>
      </c>
      <c r="L134" s="156">
        <f t="shared" si="209"/>
        <v>0</v>
      </c>
      <c r="M134" s="156">
        <f t="shared" si="210"/>
        <v>0</v>
      </c>
      <c r="N134" s="156" t="s">
        <v>83</v>
      </c>
      <c r="O134" s="157" cm="1">
        <f t="array" ref="O134">TRUNC($H134*(1+_xlfn.SWITCH($N134,"BDI 1",$O$6,"BDI 2",$O$7,"BDI 3",$O$8)),2)</f>
        <v>6.9</v>
      </c>
      <c r="P134" s="157" cm="1">
        <f t="array" ref="P134">TRUNC($I134*(1+_xlfn.SWITCH($N134,"BDI 1",$P$6,"BDI 2",$P$7,"BDI 3",$P$8)),2)</f>
        <v>7.13</v>
      </c>
      <c r="Q134" s="157">
        <v>0</v>
      </c>
      <c r="R134" s="157">
        <f t="shared" ref="R134" si="263">$Q134-($Q134*LICITACAO_DESCONTO)</f>
        <v>0</v>
      </c>
      <c r="S134" s="156">
        <f t="shared" si="212"/>
        <v>0</v>
      </c>
      <c r="T134" s="156">
        <f t="shared" si="213"/>
        <v>0</v>
      </c>
      <c r="U134" s="156">
        <f t="shared" si="214"/>
        <v>0</v>
      </c>
      <c r="V134" s="156">
        <f t="shared" si="215"/>
        <v>0</v>
      </c>
      <c r="W134" s="156">
        <f t="shared" si="202"/>
        <v>0</v>
      </c>
      <c r="X134" s="158">
        <f t="shared" ref="X134" si="264">$S134/ORCAMENTO_VALOR_TOTAL_ND</f>
        <v>0</v>
      </c>
      <c r="Y134" s="158">
        <f t="shared" ref="Y134" si="265">$T134/ORCAMENTO_VALOR_TOTAL_DE</f>
        <v>0</v>
      </c>
      <c r="Z134" s="158" cm="1">
        <f t="array" ref="Z134">_xlfn.SWITCH($N134,"BDI 1",$O$6,"BDI 2",$O$7,"BDI 3",$O$8)</f>
        <v>0.20699999999999999</v>
      </c>
      <c r="AA134" s="158" cm="1">
        <f t="array" ref="AA134">_xlfn.SWITCH($N134,"BDI 1",$P$6,"BDI 2",$P$7,"BDI 3",$P$8)</f>
        <v>0.26739999999999997</v>
      </c>
      <c r="AB134" s="158">
        <f t="shared" ca="1" si="218"/>
        <v>0</v>
      </c>
      <c r="AC134" s="158">
        <f t="shared" ca="1" si="219"/>
        <v>0</v>
      </c>
      <c r="AD134" s="164"/>
      <c r="AE134" s="148">
        <f t="shared" si="205"/>
        <v>0</v>
      </c>
      <c r="AF134" s="149"/>
      <c r="AG134" s="150"/>
      <c r="AH134" s="159" t="e">
        <f t="shared" si="206"/>
        <v>#DIV/0!</v>
      </c>
      <c r="AI134" s="2425"/>
      <c r="AJ134" s="182">
        <v>0</v>
      </c>
      <c r="AK134" s="183" t="e">
        <f t="shared" si="229"/>
        <v>#DIV/0!</v>
      </c>
      <c r="AM134" s="105"/>
      <c r="AN134" s="105"/>
      <c r="AO134" s="105"/>
      <c r="AP134" s="105"/>
      <c r="AQ134" s="105"/>
      <c r="AR134" s="105"/>
    </row>
    <row r="135" spans="1:44" s="49" customFormat="1" ht="49.9" hidden="1" customHeight="1">
      <c r="A135" s="152">
        <f t="shared" ca="1" si="207"/>
        <v>0</v>
      </c>
      <c r="B135" s="153">
        <v>90107</v>
      </c>
      <c r="C135" s="154" t="str">
        <f t="shared" si="208"/>
        <v>90107</v>
      </c>
      <c r="D135" s="154" t="s">
        <v>1416</v>
      </c>
      <c r="E135" s="155" t="s">
        <v>3633</v>
      </c>
      <c r="F135" s="154"/>
      <c r="G135" s="154" t="s">
        <v>464</v>
      </c>
      <c r="H135" s="152">
        <v>7.28</v>
      </c>
      <c r="I135" s="152">
        <v>7.03</v>
      </c>
      <c r="J135" s="156"/>
      <c r="K135" s="156">
        <f>Dre_Terraplenagem!AI73</f>
        <v>0</v>
      </c>
      <c r="L135" s="156">
        <f t="shared" si="209"/>
        <v>0</v>
      </c>
      <c r="M135" s="156">
        <f t="shared" si="210"/>
        <v>0</v>
      </c>
      <c r="N135" s="156" t="s">
        <v>83</v>
      </c>
      <c r="O135" s="157" cm="1">
        <f t="array" ref="O135">TRUNC($H135*(1+_xlfn.SWITCH($N135,"BDI 1",$O$6,"BDI 2",$O$7,"BDI 3",$O$8)),2)</f>
        <v>8.7799999999999994</v>
      </c>
      <c r="P135" s="157" cm="1">
        <f t="array" ref="P135">TRUNC($I135*(1+_xlfn.SWITCH($N135,"BDI 1",$P$6,"BDI 2",$P$7,"BDI 3",$P$8)),2)</f>
        <v>8.9</v>
      </c>
      <c r="Q135" s="157">
        <v>0</v>
      </c>
      <c r="R135" s="157">
        <f t="shared" ref="R135" si="266">$Q135-($Q135*LICITACAO_DESCONTO)</f>
        <v>0</v>
      </c>
      <c r="S135" s="156">
        <f t="shared" si="212"/>
        <v>0</v>
      </c>
      <c r="T135" s="156">
        <f t="shared" si="213"/>
        <v>0</v>
      </c>
      <c r="U135" s="156">
        <f t="shared" si="214"/>
        <v>0</v>
      </c>
      <c r="V135" s="156">
        <f t="shared" si="215"/>
        <v>0</v>
      </c>
      <c r="W135" s="156">
        <f t="shared" si="202"/>
        <v>0</v>
      </c>
      <c r="X135" s="158">
        <f t="shared" ref="X135" si="267">$S135/ORCAMENTO_VALOR_TOTAL_ND</f>
        <v>0</v>
      </c>
      <c r="Y135" s="158">
        <f t="shared" ref="Y135" si="268">$T135/ORCAMENTO_VALOR_TOTAL_DE</f>
        <v>0</v>
      </c>
      <c r="Z135" s="158" cm="1">
        <f t="array" ref="Z135">_xlfn.SWITCH($N135,"BDI 1",$O$6,"BDI 2",$O$7,"BDI 3",$O$8)</f>
        <v>0.20699999999999999</v>
      </c>
      <c r="AA135" s="158" cm="1">
        <f t="array" ref="AA135">_xlfn.SWITCH($N135,"BDI 1",$P$6,"BDI 2",$P$7,"BDI 3",$P$8)</f>
        <v>0.26739999999999997</v>
      </c>
      <c r="AB135" s="158">
        <f t="shared" ca="1" si="218"/>
        <v>0</v>
      </c>
      <c r="AC135" s="158">
        <f t="shared" ca="1" si="219"/>
        <v>0</v>
      </c>
      <c r="AD135" s="164"/>
      <c r="AE135" s="148">
        <f t="shared" si="205"/>
        <v>0</v>
      </c>
      <c r="AF135" s="149"/>
      <c r="AG135" s="150"/>
      <c r="AH135" s="159" t="e">
        <f t="shared" si="206"/>
        <v>#DIV/0!</v>
      </c>
      <c r="AI135" s="2422">
        <v>0</v>
      </c>
      <c r="AJ135" s="182">
        <v>0</v>
      </c>
      <c r="AK135" s="183" t="e">
        <f t="shared" si="229"/>
        <v>#DIV/0!</v>
      </c>
      <c r="AM135" s="105"/>
      <c r="AN135" s="105"/>
      <c r="AO135" s="105"/>
      <c r="AP135" s="105"/>
      <c r="AQ135" s="105"/>
      <c r="AR135" s="105"/>
    </row>
    <row r="136" spans="1:44" s="49" customFormat="1" ht="49.9" hidden="1" customHeight="1">
      <c r="A136" s="152">
        <f t="shared" ca="1" si="207"/>
        <v>0</v>
      </c>
      <c r="B136" s="153">
        <v>90108</v>
      </c>
      <c r="C136" s="154" t="str">
        <f t="shared" si="208"/>
        <v>90108</v>
      </c>
      <c r="D136" s="154" t="s">
        <v>1416</v>
      </c>
      <c r="E136" s="155" t="s">
        <v>3634</v>
      </c>
      <c r="F136" s="154"/>
      <c r="G136" s="154" t="s">
        <v>464</v>
      </c>
      <c r="H136" s="152">
        <v>6.63</v>
      </c>
      <c r="I136" s="152">
        <v>6.4</v>
      </c>
      <c r="J136" s="156"/>
      <c r="K136" s="156">
        <f>Dre_Terraplenagem!AI74</f>
        <v>0</v>
      </c>
      <c r="L136" s="156">
        <f t="shared" si="209"/>
        <v>0</v>
      </c>
      <c r="M136" s="156">
        <f t="shared" si="210"/>
        <v>0</v>
      </c>
      <c r="N136" s="156" t="s">
        <v>83</v>
      </c>
      <c r="O136" s="157" cm="1">
        <f t="array" ref="O136">TRUNC($H136*(1+_xlfn.SWITCH($N136,"BDI 1",$O$6,"BDI 2",$O$7,"BDI 3",$O$8)),2)</f>
        <v>8</v>
      </c>
      <c r="P136" s="157" cm="1">
        <f t="array" ref="P136">TRUNC($I136*(1+_xlfn.SWITCH($N136,"BDI 1",$P$6,"BDI 2",$P$7,"BDI 3",$P$8)),2)</f>
        <v>8.11</v>
      </c>
      <c r="Q136" s="157">
        <v>0</v>
      </c>
      <c r="R136" s="157">
        <f t="shared" ref="R136" si="269">$Q136-($Q136*LICITACAO_DESCONTO)</f>
        <v>0</v>
      </c>
      <c r="S136" s="156">
        <f t="shared" si="212"/>
        <v>0</v>
      </c>
      <c r="T136" s="156">
        <f t="shared" si="213"/>
        <v>0</v>
      </c>
      <c r="U136" s="156">
        <f t="shared" si="214"/>
        <v>0</v>
      </c>
      <c r="V136" s="156">
        <f t="shared" si="215"/>
        <v>0</v>
      </c>
      <c r="W136" s="156">
        <f t="shared" si="202"/>
        <v>0</v>
      </c>
      <c r="X136" s="158">
        <f t="shared" ref="X136" si="270">$S136/ORCAMENTO_VALOR_TOTAL_ND</f>
        <v>0</v>
      </c>
      <c r="Y136" s="158">
        <f t="shared" ref="Y136" si="271">$T136/ORCAMENTO_VALOR_TOTAL_DE</f>
        <v>0</v>
      </c>
      <c r="Z136" s="158" cm="1">
        <f t="array" ref="Z136">_xlfn.SWITCH($N136,"BDI 1",$O$6,"BDI 2",$O$7,"BDI 3",$O$8)</f>
        <v>0.20699999999999999</v>
      </c>
      <c r="AA136" s="158" cm="1">
        <f t="array" ref="AA136">_xlfn.SWITCH($N136,"BDI 1",$P$6,"BDI 2",$P$7,"BDI 3",$P$8)</f>
        <v>0.26739999999999997</v>
      </c>
      <c r="AB136" s="158">
        <f t="shared" ca="1" si="218"/>
        <v>0</v>
      </c>
      <c r="AC136" s="158">
        <f t="shared" ca="1" si="219"/>
        <v>0</v>
      </c>
      <c r="AD136" s="164"/>
      <c r="AE136" s="148">
        <f t="shared" si="205"/>
        <v>0</v>
      </c>
      <c r="AF136" s="149"/>
      <c r="AG136" s="150"/>
      <c r="AH136" s="159" t="e">
        <f t="shared" si="206"/>
        <v>#DIV/0!</v>
      </c>
      <c r="AI136" s="2422"/>
      <c r="AJ136" s="182">
        <v>0</v>
      </c>
      <c r="AK136" s="183" t="e">
        <f t="shared" si="229"/>
        <v>#DIV/0!</v>
      </c>
      <c r="AM136" s="105"/>
      <c r="AN136" s="105"/>
      <c r="AO136" s="105"/>
      <c r="AP136" s="105"/>
      <c r="AQ136" s="105"/>
      <c r="AR136" s="105"/>
    </row>
    <row r="137" spans="1:44" s="49" customFormat="1" ht="49.9" hidden="1" customHeight="1">
      <c r="A137" s="152">
        <f t="shared" ca="1" si="207"/>
        <v>0</v>
      </c>
      <c r="B137" s="153">
        <v>102281</v>
      </c>
      <c r="C137" s="154" t="str">
        <f t="shared" si="208"/>
        <v>102281</v>
      </c>
      <c r="D137" s="154" t="s">
        <v>1416</v>
      </c>
      <c r="E137" s="155" t="s">
        <v>3635</v>
      </c>
      <c r="F137" s="154"/>
      <c r="G137" s="154" t="s">
        <v>464</v>
      </c>
      <c r="H137" s="152">
        <v>5.0999999999999996</v>
      </c>
      <c r="I137" s="152">
        <v>5.03</v>
      </c>
      <c r="J137" s="156"/>
      <c r="K137" s="156">
        <f>Dre_Terraplenagem!AI75+Dre_Terraplenagem!AI197</f>
        <v>0</v>
      </c>
      <c r="L137" s="156">
        <f t="shared" si="209"/>
        <v>0</v>
      </c>
      <c r="M137" s="156">
        <f t="shared" si="210"/>
        <v>0</v>
      </c>
      <c r="N137" s="156" t="s">
        <v>83</v>
      </c>
      <c r="O137" s="157" cm="1">
        <f t="array" ref="O137">TRUNC($H137*(1+_xlfn.SWITCH($N137,"BDI 1",$O$6,"BDI 2",$O$7,"BDI 3",$O$8)),2)</f>
        <v>6.15</v>
      </c>
      <c r="P137" s="157" cm="1">
        <f t="array" ref="P137">TRUNC($I137*(1+_xlfn.SWITCH($N137,"BDI 1",$P$6,"BDI 2",$P$7,"BDI 3",$P$8)),2)</f>
        <v>6.37</v>
      </c>
      <c r="Q137" s="157">
        <v>0</v>
      </c>
      <c r="R137" s="157">
        <f t="shared" ref="R137" si="272">$Q137-($Q137*LICITACAO_DESCONTO)</f>
        <v>0</v>
      </c>
      <c r="S137" s="156">
        <f t="shared" si="212"/>
        <v>0</v>
      </c>
      <c r="T137" s="156">
        <f t="shared" si="213"/>
        <v>0</v>
      </c>
      <c r="U137" s="156">
        <f t="shared" si="214"/>
        <v>0</v>
      </c>
      <c r="V137" s="156">
        <f t="shared" si="215"/>
        <v>0</v>
      </c>
      <c r="W137" s="156">
        <f t="shared" si="202"/>
        <v>0</v>
      </c>
      <c r="X137" s="158">
        <f t="shared" ref="X137" si="273">$S137/ORCAMENTO_VALOR_TOTAL_ND</f>
        <v>0</v>
      </c>
      <c r="Y137" s="158">
        <f t="shared" ref="Y137" si="274">$T137/ORCAMENTO_VALOR_TOTAL_DE</f>
        <v>0</v>
      </c>
      <c r="Z137" s="158" cm="1">
        <f t="array" ref="Z137">_xlfn.SWITCH($N137,"BDI 1",$O$6,"BDI 2",$O$7,"BDI 3",$O$8)</f>
        <v>0.20699999999999999</v>
      </c>
      <c r="AA137" s="158" cm="1">
        <f t="array" ref="AA137">_xlfn.SWITCH($N137,"BDI 1",$P$6,"BDI 2",$P$7,"BDI 3",$P$8)</f>
        <v>0.26739999999999997</v>
      </c>
      <c r="AB137" s="158">
        <f t="shared" ca="1" si="218"/>
        <v>0</v>
      </c>
      <c r="AC137" s="158">
        <f t="shared" ca="1" si="219"/>
        <v>0</v>
      </c>
      <c r="AD137" s="164"/>
      <c r="AE137" s="148">
        <f t="shared" si="205"/>
        <v>0</v>
      </c>
      <c r="AF137" s="149"/>
      <c r="AG137" s="150"/>
      <c r="AH137" s="159" t="e">
        <f t="shared" si="206"/>
        <v>#DIV/0!</v>
      </c>
      <c r="AI137" s="2422"/>
      <c r="AJ137" s="182">
        <v>24.69</v>
      </c>
      <c r="AK137" s="183">
        <f t="shared" si="229"/>
        <v>0</v>
      </c>
      <c r="AM137" s="105"/>
      <c r="AN137" s="105"/>
      <c r="AO137" s="105"/>
      <c r="AP137" s="105"/>
      <c r="AQ137" s="105"/>
      <c r="AR137" s="105"/>
    </row>
    <row r="138" spans="1:44" s="49" customFormat="1" ht="49.9" hidden="1" customHeight="1">
      <c r="A138" s="152">
        <f t="shared" ca="1" si="207"/>
        <v>0</v>
      </c>
      <c r="B138" s="153">
        <v>90094</v>
      </c>
      <c r="C138" s="154" t="str">
        <f t="shared" si="208"/>
        <v>90094</v>
      </c>
      <c r="D138" s="154" t="s">
        <v>1416</v>
      </c>
      <c r="E138" s="155" t="s">
        <v>3636</v>
      </c>
      <c r="F138" s="154"/>
      <c r="G138" s="154" t="s">
        <v>464</v>
      </c>
      <c r="H138" s="152">
        <v>5.36</v>
      </c>
      <c r="I138" s="152">
        <v>5.27</v>
      </c>
      <c r="J138" s="156"/>
      <c r="K138" s="156">
        <f>Dre_Terraplenagem!AI76</f>
        <v>0</v>
      </c>
      <c r="L138" s="156">
        <f t="shared" si="209"/>
        <v>0</v>
      </c>
      <c r="M138" s="156">
        <f t="shared" si="210"/>
        <v>0</v>
      </c>
      <c r="N138" s="156" t="s">
        <v>83</v>
      </c>
      <c r="O138" s="157" cm="1">
        <f t="array" ref="O138">TRUNC($H138*(1+_xlfn.SWITCH($N138,"BDI 1",$O$6,"BDI 2",$O$7,"BDI 3",$O$8)),2)</f>
        <v>6.46</v>
      </c>
      <c r="P138" s="157" cm="1">
        <f t="array" ref="P138">TRUNC($I138*(1+_xlfn.SWITCH($N138,"BDI 1",$P$6,"BDI 2",$P$7,"BDI 3",$P$8)),2)</f>
        <v>6.67</v>
      </c>
      <c r="Q138" s="157">
        <v>0</v>
      </c>
      <c r="R138" s="157">
        <f t="shared" ref="R138" si="275">$Q138-($Q138*LICITACAO_DESCONTO)</f>
        <v>0</v>
      </c>
      <c r="S138" s="156">
        <f t="shared" si="212"/>
        <v>0</v>
      </c>
      <c r="T138" s="156">
        <f t="shared" si="213"/>
        <v>0</v>
      </c>
      <c r="U138" s="156">
        <f t="shared" si="214"/>
        <v>0</v>
      </c>
      <c r="V138" s="156">
        <f t="shared" si="215"/>
        <v>0</v>
      </c>
      <c r="W138" s="156">
        <f t="shared" si="202"/>
        <v>0</v>
      </c>
      <c r="X138" s="158">
        <f t="shared" ref="X138" si="276">$S138/ORCAMENTO_VALOR_TOTAL_ND</f>
        <v>0</v>
      </c>
      <c r="Y138" s="158">
        <f t="shared" ref="Y138" si="277">$T138/ORCAMENTO_VALOR_TOTAL_DE</f>
        <v>0</v>
      </c>
      <c r="Z138" s="158" cm="1">
        <f t="array" ref="Z138">_xlfn.SWITCH($N138,"BDI 1",$O$6,"BDI 2",$O$7,"BDI 3",$O$8)</f>
        <v>0.20699999999999999</v>
      </c>
      <c r="AA138" s="158" cm="1">
        <f t="array" ref="AA138">_xlfn.SWITCH($N138,"BDI 1",$P$6,"BDI 2",$P$7,"BDI 3",$P$8)</f>
        <v>0.26739999999999997</v>
      </c>
      <c r="AB138" s="158">
        <f t="shared" ca="1" si="218"/>
        <v>0</v>
      </c>
      <c r="AC138" s="158">
        <f t="shared" ca="1" si="219"/>
        <v>0</v>
      </c>
      <c r="AD138" s="164"/>
      <c r="AE138" s="148">
        <f t="shared" si="205"/>
        <v>0</v>
      </c>
      <c r="AF138" s="149"/>
      <c r="AG138" s="150"/>
      <c r="AH138" s="159" t="e">
        <f t="shared" si="206"/>
        <v>#DIV/0!</v>
      </c>
      <c r="AI138" s="2423">
        <v>0</v>
      </c>
      <c r="AJ138" s="182">
        <v>0</v>
      </c>
      <c r="AK138" s="183" t="e">
        <f t="shared" si="229"/>
        <v>#DIV/0!</v>
      </c>
      <c r="AM138" s="105"/>
      <c r="AN138" s="105"/>
      <c r="AO138" s="105"/>
      <c r="AP138" s="105"/>
      <c r="AQ138" s="105"/>
      <c r="AR138" s="105"/>
    </row>
    <row r="139" spans="1:44" s="49" customFormat="1" ht="49.9" hidden="1" customHeight="1">
      <c r="A139" s="152">
        <f t="shared" ca="1" si="207"/>
        <v>0</v>
      </c>
      <c r="B139" s="153">
        <v>90095</v>
      </c>
      <c r="C139" s="154" t="str">
        <f t="shared" si="208"/>
        <v>90095</v>
      </c>
      <c r="D139" s="154" t="s">
        <v>1416</v>
      </c>
      <c r="E139" s="155" t="s">
        <v>3637</v>
      </c>
      <c r="F139" s="154"/>
      <c r="G139" s="154" t="s">
        <v>464</v>
      </c>
      <c r="H139" s="152">
        <v>4.87</v>
      </c>
      <c r="I139" s="152">
        <v>4.82</v>
      </c>
      <c r="J139" s="156"/>
      <c r="K139" s="156">
        <f>Dre_Terraplenagem!AI77</f>
        <v>0</v>
      </c>
      <c r="L139" s="156">
        <f t="shared" si="209"/>
        <v>0</v>
      </c>
      <c r="M139" s="156">
        <f t="shared" si="210"/>
        <v>0</v>
      </c>
      <c r="N139" s="156" t="s">
        <v>83</v>
      </c>
      <c r="O139" s="157" cm="1">
        <f t="array" ref="O139">TRUNC($H139*(1+_xlfn.SWITCH($N139,"BDI 1",$O$6,"BDI 2",$O$7,"BDI 3",$O$8)),2)</f>
        <v>5.87</v>
      </c>
      <c r="P139" s="157" cm="1">
        <f t="array" ref="P139">TRUNC($I139*(1+_xlfn.SWITCH($N139,"BDI 1",$P$6,"BDI 2",$P$7,"BDI 3",$P$8)),2)</f>
        <v>6.1</v>
      </c>
      <c r="Q139" s="157">
        <v>0</v>
      </c>
      <c r="R139" s="157">
        <f t="shared" ref="R139" si="278">$Q139-($Q139*LICITACAO_DESCONTO)</f>
        <v>0</v>
      </c>
      <c r="S139" s="156">
        <f t="shared" si="212"/>
        <v>0</v>
      </c>
      <c r="T139" s="156">
        <f t="shared" si="213"/>
        <v>0</v>
      </c>
      <c r="U139" s="156">
        <f t="shared" si="214"/>
        <v>0</v>
      </c>
      <c r="V139" s="156">
        <f t="shared" si="215"/>
        <v>0</v>
      </c>
      <c r="W139" s="156">
        <f t="shared" si="202"/>
        <v>0</v>
      </c>
      <c r="X139" s="158">
        <f t="shared" ref="X139" si="279">$S139/ORCAMENTO_VALOR_TOTAL_ND</f>
        <v>0</v>
      </c>
      <c r="Y139" s="158">
        <f t="shared" ref="Y139" si="280">$T139/ORCAMENTO_VALOR_TOTAL_DE</f>
        <v>0</v>
      </c>
      <c r="Z139" s="158" cm="1">
        <f t="array" ref="Z139">_xlfn.SWITCH($N139,"BDI 1",$O$6,"BDI 2",$O$7,"BDI 3",$O$8)</f>
        <v>0.20699999999999999</v>
      </c>
      <c r="AA139" s="158" cm="1">
        <f t="array" ref="AA139">_xlfn.SWITCH($N139,"BDI 1",$P$6,"BDI 2",$P$7,"BDI 3",$P$8)</f>
        <v>0.26739999999999997</v>
      </c>
      <c r="AB139" s="158">
        <f t="shared" ca="1" si="218"/>
        <v>0</v>
      </c>
      <c r="AC139" s="158">
        <f t="shared" ca="1" si="219"/>
        <v>0</v>
      </c>
      <c r="AD139" s="164"/>
      <c r="AE139" s="148">
        <f t="shared" si="205"/>
        <v>0</v>
      </c>
      <c r="AF139" s="149"/>
      <c r="AG139" s="150"/>
      <c r="AH139" s="159" t="e">
        <f t="shared" si="206"/>
        <v>#DIV/0!</v>
      </c>
      <c r="AI139" s="2423"/>
      <c r="AJ139" s="182">
        <v>0</v>
      </c>
      <c r="AK139" s="183" t="e">
        <f t="shared" si="229"/>
        <v>#DIV/0!</v>
      </c>
      <c r="AM139" s="105"/>
      <c r="AN139" s="105"/>
      <c r="AO139" s="105"/>
      <c r="AP139" s="105"/>
      <c r="AQ139" s="105"/>
      <c r="AR139" s="105"/>
    </row>
    <row r="140" spans="1:44" s="49" customFormat="1" ht="49.9" hidden="1" customHeight="1">
      <c r="A140" s="152">
        <f t="shared" ca="1" si="207"/>
        <v>0</v>
      </c>
      <c r="B140" s="153">
        <v>102280</v>
      </c>
      <c r="C140" s="154" t="str">
        <f t="shared" si="208"/>
        <v>102280</v>
      </c>
      <c r="D140" s="154" t="s">
        <v>1416</v>
      </c>
      <c r="E140" s="155" t="s">
        <v>3638</v>
      </c>
      <c r="F140" s="154"/>
      <c r="G140" s="154" t="s">
        <v>464</v>
      </c>
      <c r="H140" s="152">
        <v>5.2</v>
      </c>
      <c r="I140" s="152">
        <v>5.1100000000000003</v>
      </c>
      <c r="J140" s="156"/>
      <c r="K140" s="156">
        <f>Dre_Terraplenagem!AI78</f>
        <v>0</v>
      </c>
      <c r="L140" s="156">
        <f t="shared" si="209"/>
        <v>0</v>
      </c>
      <c r="M140" s="156">
        <f t="shared" si="210"/>
        <v>0</v>
      </c>
      <c r="N140" s="156" t="s">
        <v>83</v>
      </c>
      <c r="O140" s="157" cm="1">
        <f t="array" ref="O140">TRUNC($H140*(1+_xlfn.SWITCH($N140,"BDI 1",$O$6,"BDI 2",$O$7,"BDI 3",$O$8)),2)</f>
        <v>6.27</v>
      </c>
      <c r="P140" s="157" cm="1">
        <f t="array" ref="P140">TRUNC($I140*(1+_xlfn.SWITCH($N140,"BDI 1",$P$6,"BDI 2",$P$7,"BDI 3",$P$8)),2)</f>
        <v>6.47</v>
      </c>
      <c r="Q140" s="157">
        <v>0</v>
      </c>
      <c r="R140" s="157">
        <f t="shared" ref="R140" si="281">$Q140-($Q140*LICITACAO_DESCONTO)</f>
        <v>0</v>
      </c>
      <c r="S140" s="156">
        <f t="shared" si="212"/>
        <v>0</v>
      </c>
      <c r="T140" s="156">
        <f t="shared" si="213"/>
        <v>0</v>
      </c>
      <c r="U140" s="156">
        <f t="shared" si="214"/>
        <v>0</v>
      </c>
      <c r="V140" s="156">
        <f t="shared" si="215"/>
        <v>0</v>
      </c>
      <c r="W140" s="156">
        <f t="shared" si="202"/>
        <v>0</v>
      </c>
      <c r="X140" s="158">
        <f t="shared" ref="X140" si="282">$S140/ORCAMENTO_VALOR_TOTAL_ND</f>
        <v>0</v>
      </c>
      <c r="Y140" s="158">
        <f t="shared" ref="Y140" si="283">$T140/ORCAMENTO_VALOR_TOTAL_DE</f>
        <v>0</v>
      </c>
      <c r="Z140" s="158" cm="1">
        <f t="array" ref="Z140">_xlfn.SWITCH($N140,"BDI 1",$O$6,"BDI 2",$O$7,"BDI 3",$O$8)</f>
        <v>0.20699999999999999</v>
      </c>
      <c r="AA140" s="158" cm="1">
        <f t="array" ref="AA140">_xlfn.SWITCH($N140,"BDI 1",$P$6,"BDI 2",$P$7,"BDI 3",$P$8)</f>
        <v>0.26739999999999997</v>
      </c>
      <c r="AB140" s="158">
        <f t="shared" ca="1" si="218"/>
        <v>0</v>
      </c>
      <c r="AC140" s="158">
        <f t="shared" ca="1" si="219"/>
        <v>0</v>
      </c>
      <c r="AD140" s="164"/>
      <c r="AE140" s="148">
        <f t="shared" si="205"/>
        <v>0</v>
      </c>
      <c r="AF140" s="149"/>
      <c r="AG140" s="150"/>
      <c r="AH140" s="159" t="e">
        <f t="shared" si="206"/>
        <v>#DIV/0!</v>
      </c>
      <c r="AI140" s="2426">
        <v>0</v>
      </c>
      <c r="AJ140" s="182">
        <v>21.19</v>
      </c>
      <c r="AK140" s="183">
        <f t="shared" si="229"/>
        <v>0</v>
      </c>
      <c r="AM140" s="105"/>
      <c r="AN140" s="105"/>
      <c r="AO140" s="105"/>
      <c r="AP140" s="105"/>
      <c r="AQ140" s="105"/>
      <c r="AR140" s="105"/>
    </row>
    <row r="141" spans="1:44" s="49" customFormat="1" ht="49.9" hidden="1" customHeight="1">
      <c r="A141" s="152">
        <f t="shared" ca="1" si="207"/>
        <v>0</v>
      </c>
      <c r="B141" s="153">
        <v>90098</v>
      </c>
      <c r="C141" s="154" t="str">
        <f t="shared" si="208"/>
        <v>90098</v>
      </c>
      <c r="D141" s="154" t="s">
        <v>1416</v>
      </c>
      <c r="E141" s="155" t="s">
        <v>3639</v>
      </c>
      <c r="F141" s="154"/>
      <c r="G141" s="154" t="s">
        <v>464</v>
      </c>
      <c r="H141" s="152">
        <v>4.8</v>
      </c>
      <c r="I141" s="152">
        <v>4.7300000000000004</v>
      </c>
      <c r="J141" s="156"/>
      <c r="K141" s="156">
        <f>Dre_Terraplenagem!AI79</f>
        <v>0</v>
      </c>
      <c r="L141" s="156">
        <f t="shared" si="209"/>
        <v>0</v>
      </c>
      <c r="M141" s="156">
        <f t="shared" si="210"/>
        <v>0</v>
      </c>
      <c r="N141" s="156" t="s">
        <v>83</v>
      </c>
      <c r="O141" s="157" cm="1">
        <f t="array" ref="O141">TRUNC($H141*(1+_xlfn.SWITCH($N141,"BDI 1",$O$6,"BDI 2",$O$7,"BDI 3",$O$8)),2)</f>
        <v>5.79</v>
      </c>
      <c r="P141" s="157" cm="1">
        <f t="array" ref="P141">TRUNC($I141*(1+_xlfn.SWITCH($N141,"BDI 1",$P$6,"BDI 2",$P$7,"BDI 3",$P$8)),2)</f>
        <v>5.99</v>
      </c>
      <c r="Q141" s="157">
        <v>0</v>
      </c>
      <c r="R141" s="157">
        <f t="shared" ref="R141" si="284">$Q141-($Q141*LICITACAO_DESCONTO)</f>
        <v>0</v>
      </c>
      <c r="S141" s="156">
        <f t="shared" si="212"/>
        <v>0</v>
      </c>
      <c r="T141" s="156">
        <f t="shared" si="213"/>
        <v>0</v>
      </c>
      <c r="U141" s="156">
        <f t="shared" si="214"/>
        <v>0</v>
      </c>
      <c r="V141" s="156">
        <f t="shared" si="215"/>
        <v>0</v>
      </c>
      <c r="W141" s="156">
        <f t="shared" si="202"/>
        <v>0</v>
      </c>
      <c r="X141" s="158">
        <f t="shared" ref="X141" si="285">$S141/ORCAMENTO_VALOR_TOTAL_ND</f>
        <v>0</v>
      </c>
      <c r="Y141" s="158">
        <f t="shared" ref="Y141" si="286">$T141/ORCAMENTO_VALOR_TOTAL_DE</f>
        <v>0</v>
      </c>
      <c r="Z141" s="158" cm="1">
        <f t="array" ref="Z141">_xlfn.SWITCH($N141,"BDI 1",$O$6,"BDI 2",$O$7,"BDI 3",$O$8)</f>
        <v>0.20699999999999999</v>
      </c>
      <c r="AA141" s="158" cm="1">
        <f t="array" ref="AA141">_xlfn.SWITCH($N141,"BDI 1",$P$6,"BDI 2",$P$7,"BDI 3",$P$8)</f>
        <v>0.26739999999999997</v>
      </c>
      <c r="AB141" s="158">
        <f t="shared" ca="1" si="218"/>
        <v>0</v>
      </c>
      <c r="AC141" s="158">
        <f t="shared" ca="1" si="219"/>
        <v>0</v>
      </c>
      <c r="AD141" s="164"/>
      <c r="AE141" s="148">
        <f t="shared" si="205"/>
        <v>0</v>
      </c>
      <c r="AF141" s="149"/>
      <c r="AG141" s="150"/>
      <c r="AH141" s="159" t="e">
        <f t="shared" si="206"/>
        <v>#DIV/0!</v>
      </c>
      <c r="AI141" s="2426"/>
      <c r="AJ141" s="182">
        <v>0</v>
      </c>
      <c r="AK141" s="183" t="e">
        <f t="shared" si="229"/>
        <v>#DIV/0!</v>
      </c>
      <c r="AM141" s="105"/>
      <c r="AN141" s="105"/>
      <c r="AO141" s="105"/>
      <c r="AP141" s="105"/>
      <c r="AQ141" s="105"/>
      <c r="AR141" s="105"/>
    </row>
    <row r="142" spans="1:44" s="49" customFormat="1" ht="40.15" hidden="1" customHeight="1">
      <c r="A142" s="152">
        <f t="shared" ca="1" si="207"/>
        <v>0</v>
      </c>
      <c r="B142" s="153">
        <v>93358</v>
      </c>
      <c r="C142" s="154" t="str">
        <f t="shared" si="208"/>
        <v>93358</v>
      </c>
      <c r="D142" s="154" t="s">
        <v>1416</v>
      </c>
      <c r="E142" s="155" t="s">
        <v>3640</v>
      </c>
      <c r="F142" s="154"/>
      <c r="G142" s="154" t="s">
        <v>464</v>
      </c>
      <c r="H142" s="152">
        <v>79.63</v>
      </c>
      <c r="I142" s="152">
        <v>72.430000000000007</v>
      </c>
      <c r="J142" s="156"/>
      <c r="K142" s="156">
        <f>Dre_Terraplenagem!AI81</f>
        <v>0</v>
      </c>
      <c r="L142" s="156">
        <f t="shared" si="209"/>
        <v>0</v>
      </c>
      <c r="M142" s="156">
        <f t="shared" si="210"/>
        <v>0</v>
      </c>
      <c r="N142" s="156" t="s">
        <v>83</v>
      </c>
      <c r="O142" s="157" cm="1">
        <f t="array" ref="O142">TRUNC($H142*(1+_xlfn.SWITCH($N142,"BDI 1",$O$6,"BDI 2",$O$7,"BDI 3",$O$8)),2)</f>
        <v>96.11</v>
      </c>
      <c r="P142" s="157" cm="1">
        <f t="array" ref="P142">TRUNC($I142*(1+_xlfn.SWITCH($N142,"BDI 1",$P$6,"BDI 2",$P$7,"BDI 3",$P$8)),2)</f>
        <v>91.79</v>
      </c>
      <c r="Q142" s="157">
        <v>0</v>
      </c>
      <c r="R142" s="157">
        <f t="shared" ref="R142" si="287">$Q142-($Q142*LICITACAO_DESCONTO)</f>
        <v>0</v>
      </c>
      <c r="S142" s="156">
        <f t="shared" si="212"/>
        <v>0</v>
      </c>
      <c r="T142" s="156">
        <f t="shared" si="213"/>
        <v>0</v>
      </c>
      <c r="U142" s="156">
        <f t="shared" si="214"/>
        <v>0</v>
      </c>
      <c r="V142" s="156">
        <f t="shared" si="215"/>
        <v>0</v>
      </c>
      <c r="W142" s="156">
        <f t="shared" si="202"/>
        <v>0</v>
      </c>
      <c r="X142" s="158">
        <f t="shared" ref="X142" si="288">$S142/ORCAMENTO_VALOR_TOTAL_ND</f>
        <v>0</v>
      </c>
      <c r="Y142" s="158">
        <f t="shared" ref="Y142" si="289">$T142/ORCAMENTO_VALOR_TOTAL_DE</f>
        <v>0</v>
      </c>
      <c r="Z142" s="158" cm="1">
        <f t="array" ref="Z142">_xlfn.SWITCH($N142,"BDI 1",$O$6,"BDI 2",$O$7,"BDI 3",$O$8)</f>
        <v>0.20699999999999999</v>
      </c>
      <c r="AA142" s="158" cm="1">
        <f t="array" ref="AA142">_xlfn.SWITCH($N142,"BDI 1",$P$6,"BDI 2",$P$7,"BDI 3",$P$8)</f>
        <v>0.26739999999999997</v>
      </c>
      <c r="AB142" s="158">
        <f t="shared" ca="1" si="218"/>
        <v>0</v>
      </c>
      <c r="AC142" s="158">
        <f t="shared" ca="1" si="219"/>
        <v>0</v>
      </c>
      <c r="AD142" s="164"/>
      <c r="AE142" s="148">
        <f t="shared" si="205"/>
        <v>0</v>
      </c>
      <c r="AF142" s="149"/>
      <c r="AG142" s="150"/>
      <c r="AH142" s="159" t="e">
        <f t="shared" si="206"/>
        <v>#DIV/0!</v>
      </c>
      <c r="AI142" s="160"/>
      <c r="AJ142" s="182"/>
      <c r="AK142" s="183"/>
      <c r="AM142" s="105"/>
      <c r="AN142" s="105"/>
      <c r="AO142" s="105"/>
      <c r="AP142" s="105"/>
      <c r="AQ142" s="105"/>
      <c r="AR142" s="105"/>
    </row>
    <row r="143" spans="1:44" s="49" customFormat="1" ht="40.15" hidden="1" customHeight="1">
      <c r="A143" s="152">
        <f t="shared" ca="1" si="207"/>
        <v>0</v>
      </c>
      <c r="B143" s="153" t="s">
        <v>130</v>
      </c>
      <c r="C143" s="154" t="str">
        <f t="shared" si="208"/>
        <v>DR/0020</v>
      </c>
      <c r="D143" s="154" t="s">
        <v>3549</v>
      </c>
      <c r="E143" s="155" t="s">
        <v>3641</v>
      </c>
      <c r="F143" s="154"/>
      <c r="G143" s="154" t="s">
        <v>464</v>
      </c>
      <c r="H143" s="152">
        <v>471.96</v>
      </c>
      <c r="I143" s="152">
        <v>455.98</v>
      </c>
      <c r="J143" s="156"/>
      <c r="K143" s="156">
        <f>Dre_Terraplenagem!AI59</f>
        <v>0</v>
      </c>
      <c r="L143" s="156">
        <f t="shared" si="209"/>
        <v>0</v>
      </c>
      <c r="M143" s="156">
        <f t="shared" si="210"/>
        <v>0</v>
      </c>
      <c r="N143" s="156" t="s">
        <v>83</v>
      </c>
      <c r="O143" s="157" cm="1">
        <f t="array" ref="O143">TRUNC($H143*(1+_xlfn.SWITCH($N143,"BDI 1",$O$6,"BDI 2",$O$7,"BDI 3",$O$8)),2)</f>
        <v>569.65</v>
      </c>
      <c r="P143" s="157" cm="1">
        <f t="array" ref="P143">TRUNC($I143*(1+_xlfn.SWITCH($N143,"BDI 1",$P$6,"BDI 2",$P$7,"BDI 3",$P$8)),2)</f>
        <v>577.9</v>
      </c>
      <c r="Q143" s="157">
        <v>0</v>
      </c>
      <c r="R143" s="157">
        <f t="shared" ref="R143" si="290">$Q143-($Q143*LICITACAO_DESCONTO)</f>
        <v>0</v>
      </c>
      <c r="S143" s="156">
        <f t="shared" si="212"/>
        <v>0</v>
      </c>
      <c r="T143" s="156">
        <f t="shared" si="213"/>
        <v>0</v>
      </c>
      <c r="U143" s="156">
        <f t="shared" si="214"/>
        <v>0</v>
      </c>
      <c r="V143" s="156">
        <f t="shared" si="215"/>
        <v>0</v>
      </c>
      <c r="W143" s="156">
        <f t="shared" si="202"/>
        <v>0</v>
      </c>
      <c r="X143" s="158">
        <f t="shared" ref="X143" si="291">$S143/ORCAMENTO_VALOR_TOTAL_ND</f>
        <v>0</v>
      </c>
      <c r="Y143" s="158">
        <f t="shared" ref="Y143" si="292">$T143/ORCAMENTO_VALOR_TOTAL_DE</f>
        <v>0</v>
      </c>
      <c r="Z143" s="158" cm="1">
        <f t="array" ref="Z143">_xlfn.SWITCH($N143,"BDI 1",$O$6,"BDI 2",$O$7,"BDI 3",$O$8)</f>
        <v>0.20699999999999999</v>
      </c>
      <c r="AA143" s="158" cm="1">
        <f t="array" ref="AA143">_xlfn.SWITCH($N143,"BDI 1",$P$6,"BDI 2",$P$7,"BDI 3",$P$8)</f>
        <v>0.26739999999999997</v>
      </c>
      <c r="AB143" s="158">
        <f t="shared" ca="1" si="218"/>
        <v>0</v>
      </c>
      <c r="AC143" s="158">
        <f t="shared" ca="1" si="219"/>
        <v>0</v>
      </c>
      <c r="AD143" s="164"/>
      <c r="AE143" s="148">
        <f t="shared" si="205"/>
        <v>0</v>
      </c>
      <c r="AF143" s="149"/>
      <c r="AG143" s="150"/>
      <c r="AH143" s="159" t="e">
        <f t="shared" si="206"/>
        <v>#DIV/0!</v>
      </c>
      <c r="AI143" s="160"/>
      <c r="AJ143" s="182">
        <v>3</v>
      </c>
      <c r="AK143" s="183">
        <f>K143/AJ143</f>
        <v>0</v>
      </c>
      <c r="AM143" s="105"/>
      <c r="AN143" s="105"/>
      <c r="AO143" s="105"/>
      <c r="AP143" s="105"/>
      <c r="AQ143" s="105"/>
      <c r="AR143" s="105"/>
    </row>
    <row r="144" spans="1:44" s="49" customFormat="1" ht="40.15" hidden="1" customHeight="1">
      <c r="A144" s="152">
        <f t="shared" ca="1" si="207"/>
        <v>0</v>
      </c>
      <c r="B144" s="153">
        <v>101570</v>
      </c>
      <c r="C144" s="154" t="str">
        <f t="shared" si="208"/>
        <v>101570</v>
      </c>
      <c r="D144" s="154" t="s">
        <v>1416</v>
      </c>
      <c r="E144" s="155" t="s">
        <v>3642</v>
      </c>
      <c r="F144" s="154"/>
      <c r="G144" s="154" t="s">
        <v>1418</v>
      </c>
      <c r="H144" s="152">
        <v>22.76</v>
      </c>
      <c r="I144" s="152">
        <v>21.39</v>
      </c>
      <c r="J144" s="156"/>
      <c r="K144" s="156">
        <f>Dre_Terraplenagem!AI100</f>
        <v>0</v>
      </c>
      <c r="L144" s="156">
        <f t="shared" si="209"/>
        <v>0</v>
      </c>
      <c r="M144" s="156">
        <f t="shared" si="210"/>
        <v>0</v>
      </c>
      <c r="N144" s="156" t="s">
        <v>83</v>
      </c>
      <c r="O144" s="157" cm="1">
        <f t="array" ref="O144">TRUNC($H144*(1+_xlfn.SWITCH($N144,"BDI 1",$O$6,"BDI 2",$O$7,"BDI 3",$O$8)),2)</f>
        <v>27.47</v>
      </c>
      <c r="P144" s="157" cm="1">
        <f t="array" ref="P144">TRUNC($I144*(1+_xlfn.SWITCH($N144,"BDI 1",$P$6,"BDI 2",$P$7,"BDI 3",$P$8)),2)</f>
        <v>27.1</v>
      </c>
      <c r="Q144" s="157">
        <v>0</v>
      </c>
      <c r="R144" s="157">
        <f t="shared" ref="R144" si="293">$Q144-($Q144*LICITACAO_DESCONTO)</f>
        <v>0</v>
      </c>
      <c r="S144" s="156">
        <f t="shared" si="212"/>
        <v>0</v>
      </c>
      <c r="T144" s="156">
        <f t="shared" si="213"/>
        <v>0</v>
      </c>
      <c r="U144" s="156">
        <f t="shared" si="214"/>
        <v>0</v>
      </c>
      <c r="V144" s="156">
        <f t="shared" si="215"/>
        <v>0</v>
      </c>
      <c r="W144" s="156">
        <f t="shared" si="202"/>
        <v>0</v>
      </c>
      <c r="X144" s="158">
        <f t="shared" ref="X144" si="294">$S144/ORCAMENTO_VALOR_TOTAL_ND</f>
        <v>0</v>
      </c>
      <c r="Y144" s="158">
        <f t="shared" ref="Y144" si="295">$T144/ORCAMENTO_VALOR_TOTAL_DE</f>
        <v>0</v>
      </c>
      <c r="Z144" s="158" cm="1">
        <f t="array" ref="Z144">_xlfn.SWITCH($N144,"BDI 1",$O$6,"BDI 2",$O$7,"BDI 3",$O$8)</f>
        <v>0.20699999999999999</v>
      </c>
      <c r="AA144" s="158" cm="1">
        <f t="array" ref="AA144">_xlfn.SWITCH($N144,"BDI 1",$P$6,"BDI 2",$P$7,"BDI 3",$P$8)</f>
        <v>0.26739999999999997</v>
      </c>
      <c r="AB144" s="158">
        <f t="shared" ca="1" si="218"/>
        <v>0</v>
      </c>
      <c r="AC144" s="158">
        <f t="shared" ca="1" si="219"/>
        <v>0</v>
      </c>
      <c r="AD144" s="164"/>
      <c r="AE144" s="148">
        <f t="shared" si="205"/>
        <v>0</v>
      </c>
      <c r="AF144" s="149"/>
      <c r="AG144" s="150"/>
      <c r="AH144" s="159" t="e">
        <f t="shared" si="206"/>
        <v>#DIV/0!</v>
      </c>
      <c r="AI144" s="2422">
        <v>0</v>
      </c>
      <c r="AJ144" s="105"/>
      <c r="AK144" s="167"/>
      <c r="AM144" s="105"/>
      <c r="AN144" s="105"/>
      <c r="AO144" s="105"/>
      <c r="AP144" s="105"/>
      <c r="AQ144" s="105"/>
      <c r="AR144" s="105"/>
    </row>
    <row r="145" spans="1:44" s="49" customFormat="1" ht="40.15" hidden="1" customHeight="1">
      <c r="A145" s="152">
        <f t="shared" ca="1" si="207"/>
        <v>0</v>
      </c>
      <c r="B145" s="153">
        <v>101571</v>
      </c>
      <c r="C145" s="154" t="str">
        <f t="shared" si="208"/>
        <v>101571</v>
      </c>
      <c r="D145" s="154" t="s">
        <v>1416</v>
      </c>
      <c r="E145" s="155" t="s">
        <v>3643</v>
      </c>
      <c r="F145" s="154"/>
      <c r="G145" s="154" t="s">
        <v>1418</v>
      </c>
      <c r="H145" s="152">
        <v>30.8</v>
      </c>
      <c r="I145" s="152">
        <v>28.7</v>
      </c>
      <c r="J145" s="156"/>
      <c r="K145" s="156">
        <f>Dre_Terraplenagem!AI101</f>
        <v>0</v>
      </c>
      <c r="L145" s="156">
        <f t="shared" si="209"/>
        <v>0</v>
      </c>
      <c r="M145" s="156">
        <f t="shared" si="210"/>
        <v>0</v>
      </c>
      <c r="N145" s="156" t="s">
        <v>83</v>
      </c>
      <c r="O145" s="157" cm="1">
        <f t="array" ref="O145">TRUNC($H145*(1+_xlfn.SWITCH($N145,"BDI 1",$O$6,"BDI 2",$O$7,"BDI 3",$O$8)),2)</f>
        <v>37.17</v>
      </c>
      <c r="P145" s="157" cm="1">
        <f t="array" ref="P145">TRUNC($I145*(1+_xlfn.SWITCH($N145,"BDI 1",$P$6,"BDI 2",$P$7,"BDI 3",$P$8)),2)</f>
        <v>36.369999999999997</v>
      </c>
      <c r="Q145" s="157">
        <v>0</v>
      </c>
      <c r="R145" s="157">
        <f t="shared" ref="R145" si="296">$Q145-($Q145*LICITACAO_DESCONTO)</f>
        <v>0</v>
      </c>
      <c r="S145" s="156">
        <f t="shared" si="212"/>
        <v>0</v>
      </c>
      <c r="T145" s="156">
        <f t="shared" si="213"/>
        <v>0</v>
      </c>
      <c r="U145" s="156">
        <f t="shared" si="214"/>
        <v>0</v>
      </c>
      <c r="V145" s="156">
        <f t="shared" si="215"/>
        <v>0</v>
      </c>
      <c r="W145" s="156">
        <f t="shared" si="202"/>
        <v>0</v>
      </c>
      <c r="X145" s="158">
        <f t="shared" ref="X145" si="297">$S145/ORCAMENTO_VALOR_TOTAL_ND</f>
        <v>0</v>
      </c>
      <c r="Y145" s="158">
        <f t="shared" ref="Y145" si="298">$T145/ORCAMENTO_VALOR_TOTAL_DE</f>
        <v>0</v>
      </c>
      <c r="Z145" s="158" cm="1">
        <f t="array" ref="Z145">_xlfn.SWITCH($N145,"BDI 1",$O$6,"BDI 2",$O$7,"BDI 3",$O$8)</f>
        <v>0.20699999999999999</v>
      </c>
      <c r="AA145" s="158" cm="1">
        <f t="array" ref="AA145">_xlfn.SWITCH($N145,"BDI 1",$P$6,"BDI 2",$P$7,"BDI 3",$P$8)</f>
        <v>0.26739999999999997</v>
      </c>
      <c r="AB145" s="158">
        <f t="shared" ca="1" si="218"/>
        <v>0</v>
      </c>
      <c r="AC145" s="158">
        <f t="shared" ca="1" si="219"/>
        <v>0</v>
      </c>
      <c r="AD145" s="164"/>
      <c r="AE145" s="148">
        <f t="shared" si="205"/>
        <v>0</v>
      </c>
      <c r="AF145" s="149"/>
      <c r="AG145" s="150"/>
      <c r="AH145" s="159" t="e">
        <f t="shared" si="206"/>
        <v>#DIV/0!</v>
      </c>
      <c r="AI145" s="2422"/>
      <c r="AJ145" s="105"/>
      <c r="AK145" s="105"/>
      <c r="AM145" s="105"/>
      <c r="AN145" s="105"/>
      <c r="AO145" s="105"/>
      <c r="AP145" s="105"/>
      <c r="AQ145" s="105"/>
      <c r="AR145" s="105"/>
    </row>
    <row r="146" spans="1:44" s="49" customFormat="1" ht="40.15" hidden="1" customHeight="1">
      <c r="A146" s="152">
        <f t="shared" ca="1" si="207"/>
        <v>0</v>
      </c>
      <c r="B146" s="153">
        <v>101572</v>
      </c>
      <c r="C146" s="154" t="str">
        <f t="shared" si="208"/>
        <v>101572</v>
      </c>
      <c r="D146" s="154" t="s">
        <v>1416</v>
      </c>
      <c r="E146" s="155" t="s">
        <v>3644</v>
      </c>
      <c r="F146" s="154"/>
      <c r="G146" s="154" t="s">
        <v>1418</v>
      </c>
      <c r="H146" s="152">
        <v>18.02</v>
      </c>
      <c r="I146" s="152">
        <v>16.989999999999998</v>
      </c>
      <c r="J146" s="156"/>
      <c r="K146" s="156">
        <f>Dre_Terraplenagem!AI102</f>
        <v>0</v>
      </c>
      <c r="L146" s="156">
        <f t="shared" si="209"/>
        <v>0</v>
      </c>
      <c r="M146" s="156">
        <f t="shared" si="210"/>
        <v>0</v>
      </c>
      <c r="N146" s="156" t="s">
        <v>83</v>
      </c>
      <c r="O146" s="157" cm="1">
        <f t="array" ref="O146">TRUNC($H146*(1+_xlfn.SWITCH($N146,"BDI 1",$O$6,"BDI 2",$O$7,"BDI 3",$O$8)),2)</f>
        <v>21.75</v>
      </c>
      <c r="P146" s="157" cm="1">
        <f t="array" ref="P146">TRUNC($I146*(1+_xlfn.SWITCH($N146,"BDI 1",$P$6,"BDI 2",$P$7,"BDI 3",$P$8)),2)</f>
        <v>21.53</v>
      </c>
      <c r="Q146" s="157">
        <v>0</v>
      </c>
      <c r="R146" s="157">
        <f t="shared" ref="R146" si="299">$Q146-($Q146*LICITACAO_DESCONTO)</f>
        <v>0</v>
      </c>
      <c r="S146" s="156">
        <f t="shared" si="212"/>
        <v>0</v>
      </c>
      <c r="T146" s="156">
        <f t="shared" si="213"/>
        <v>0</v>
      </c>
      <c r="U146" s="156">
        <f t="shared" si="214"/>
        <v>0</v>
      </c>
      <c r="V146" s="156">
        <f t="shared" si="215"/>
        <v>0</v>
      </c>
      <c r="W146" s="156">
        <f t="shared" si="202"/>
        <v>0</v>
      </c>
      <c r="X146" s="158">
        <f t="shared" ref="X146" si="300">$S146/ORCAMENTO_VALOR_TOTAL_ND</f>
        <v>0</v>
      </c>
      <c r="Y146" s="158">
        <f t="shared" ref="Y146" si="301">$T146/ORCAMENTO_VALOR_TOTAL_DE</f>
        <v>0</v>
      </c>
      <c r="Z146" s="158" cm="1">
        <f t="array" ref="Z146">_xlfn.SWITCH($N146,"BDI 1",$O$6,"BDI 2",$O$7,"BDI 3",$O$8)</f>
        <v>0.20699999999999999</v>
      </c>
      <c r="AA146" s="158" cm="1">
        <f t="array" ref="AA146">_xlfn.SWITCH($N146,"BDI 1",$P$6,"BDI 2",$P$7,"BDI 3",$P$8)</f>
        <v>0.26739999999999997</v>
      </c>
      <c r="AB146" s="158">
        <f t="shared" ca="1" si="218"/>
        <v>0</v>
      </c>
      <c r="AC146" s="158">
        <f t="shared" ca="1" si="219"/>
        <v>0</v>
      </c>
      <c r="AD146" s="164"/>
      <c r="AE146" s="148">
        <f t="shared" si="205"/>
        <v>0</v>
      </c>
      <c r="AF146" s="149"/>
      <c r="AG146" s="150"/>
      <c r="AH146" s="159" t="e">
        <f t="shared" si="206"/>
        <v>#DIV/0!</v>
      </c>
      <c r="AI146" s="2422"/>
      <c r="AJ146" s="105"/>
      <c r="AK146" s="105"/>
      <c r="AM146" s="105"/>
      <c r="AN146" s="105"/>
      <c r="AO146" s="105"/>
      <c r="AP146" s="105"/>
      <c r="AQ146" s="105"/>
      <c r="AR146" s="105"/>
    </row>
    <row r="147" spans="1:44" s="49" customFormat="1" ht="40.15" hidden="1" customHeight="1">
      <c r="A147" s="152">
        <f t="shared" ca="1" si="207"/>
        <v>0</v>
      </c>
      <c r="B147" s="153">
        <v>101573</v>
      </c>
      <c r="C147" s="154" t="str">
        <f t="shared" si="208"/>
        <v>101573</v>
      </c>
      <c r="D147" s="154" t="s">
        <v>1416</v>
      </c>
      <c r="E147" s="155" t="s">
        <v>3645</v>
      </c>
      <c r="F147" s="154"/>
      <c r="G147" s="154" t="s">
        <v>1418</v>
      </c>
      <c r="H147" s="152">
        <v>26.05</v>
      </c>
      <c r="I147" s="152">
        <v>24.3</v>
      </c>
      <c r="J147" s="156"/>
      <c r="K147" s="156">
        <f>Dre_Terraplenagem!AI103</f>
        <v>0</v>
      </c>
      <c r="L147" s="156">
        <f t="shared" si="209"/>
        <v>0</v>
      </c>
      <c r="M147" s="156">
        <f t="shared" si="210"/>
        <v>0</v>
      </c>
      <c r="N147" s="156" t="s">
        <v>83</v>
      </c>
      <c r="O147" s="157" cm="1">
        <f t="array" ref="O147">TRUNC($H147*(1+_xlfn.SWITCH($N147,"BDI 1",$O$6,"BDI 2",$O$7,"BDI 3",$O$8)),2)</f>
        <v>31.44</v>
      </c>
      <c r="P147" s="157" cm="1">
        <f t="array" ref="P147">TRUNC($I147*(1+_xlfn.SWITCH($N147,"BDI 1",$P$6,"BDI 2",$P$7,"BDI 3",$P$8)),2)</f>
        <v>30.79</v>
      </c>
      <c r="Q147" s="157">
        <v>0</v>
      </c>
      <c r="R147" s="157">
        <f t="shared" ref="R147" si="302">$Q147-($Q147*LICITACAO_DESCONTO)</f>
        <v>0</v>
      </c>
      <c r="S147" s="156">
        <f t="shared" si="212"/>
        <v>0</v>
      </c>
      <c r="T147" s="156">
        <f t="shared" si="213"/>
        <v>0</v>
      </c>
      <c r="U147" s="156">
        <f t="shared" si="214"/>
        <v>0</v>
      </c>
      <c r="V147" s="156">
        <f t="shared" si="215"/>
        <v>0</v>
      </c>
      <c r="W147" s="156">
        <f t="shared" si="202"/>
        <v>0</v>
      </c>
      <c r="X147" s="158">
        <f t="shared" ref="X147" si="303">$S147/ORCAMENTO_VALOR_TOTAL_ND</f>
        <v>0</v>
      </c>
      <c r="Y147" s="158">
        <f t="shared" ref="Y147" si="304">$T147/ORCAMENTO_VALOR_TOTAL_DE</f>
        <v>0</v>
      </c>
      <c r="Z147" s="158" cm="1">
        <f t="array" ref="Z147">_xlfn.SWITCH($N147,"BDI 1",$O$6,"BDI 2",$O$7,"BDI 3",$O$8)</f>
        <v>0.20699999999999999</v>
      </c>
      <c r="AA147" s="158" cm="1">
        <f t="array" ref="AA147">_xlfn.SWITCH($N147,"BDI 1",$P$6,"BDI 2",$P$7,"BDI 3",$P$8)</f>
        <v>0.26739999999999997</v>
      </c>
      <c r="AB147" s="158">
        <f t="shared" ca="1" si="218"/>
        <v>0</v>
      </c>
      <c r="AC147" s="158">
        <f t="shared" ca="1" si="219"/>
        <v>0</v>
      </c>
      <c r="AD147" s="164"/>
      <c r="AE147" s="148">
        <f t="shared" si="205"/>
        <v>0</v>
      </c>
      <c r="AF147" s="149"/>
      <c r="AG147" s="150"/>
      <c r="AH147" s="159" t="e">
        <f t="shared" si="206"/>
        <v>#DIV/0!</v>
      </c>
      <c r="AI147" s="2422"/>
      <c r="AJ147" s="105"/>
      <c r="AK147" s="105"/>
      <c r="AM147" s="105"/>
      <c r="AN147" s="105"/>
      <c r="AO147" s="105"/>
      <c r="AP147" s="105"/>
      <c r="AQ147" s="105"/>
      <c r="AR147" s="105"/>
    </row>
    <row r="148" spans="1:44" s="49" customFormat="1" ht="40.15" hidden="1" customHeight="1">
      <c r="A148" s="152">
        <f t="shared" ca="1" si="207"/>
        <v>0</v>
      </c>
      <c r="B148" s="153">
        <v>101578</v>
      </c>
      <c r="C148" s="154" t="str">
        <f t="shared" si="208"/>
        <v>101578</v>
      </c>
      <c r="D148" s="154" t="s">
        <v>1416</v>
      </c>
      <c r="E148" s="155" t="s">
        <v>3646</v>
      </c>
      <c r="F148" s="154"/>
      <c r="G148" s="154" t="s">
        <v>1418</v>
      </c>
      <c r="H148" s="152">
        <v>34.71</v>
      </c>
      <c r="I148" s="152">
        <v>33.53</v>
      </c>
      <c r="J148" s="156"/>
      <c r="K148" s="156">
        <f>Dre_Terraplenagem!AI107</f>
        <v>0</v>
      </c>
      <c r="L148" s="156">
        <f t="shared" si="209"/>
        <v>0</v>
      </c>
      <c r="M148" s="156">
        <f t="shared" si="210"/>
        <v>0</v>
      </c>
      <c r="N148" s="156" t="s">
        <v>83</v>
      </c>
      <c r="O148" s="157" cm="1">
        <f t="array" ref="O148">TRUNC($H148*(1+_xlfn.SWITCH($N148,"BDI 1",$O$6,"BDI 2",$O$7,"BDI 3",$O$8)),2)</f>
        <v>41.89</v>
      </c>
      <c r="P148" s="157" cm="1">
        <f t="array" ref="P148">TRUNC($I148*(1+_xlfn.SWITCH($N148,"BDI 1",$P$6,"BDI 2",$P$7,"BDI 3",$P$8)),2)</f>
        <v>42.49</v>
      </c>
      <c r="Q148" s="157">
        <v>0</v>
      </c>
      <c r="R148" s="157">
        <f t="shared" ref="R148" si="305">$Q148-($Q148*LICITACAO_DESCONTO)</f>
        <v>0</v>
      </c>
      <c r="S148" s="156">
        <f t="shared" si="212"/>
        <v>0</v>
      </c>
      <c r="T148" s="156">
        <f t="shared" si="213"/>
        <v>0</v>
      </c>
      <c r="U148" s="156">
        <f t="shared" si="214"/>
        <v>0</v>
      </c>
      <c r="V148" s="156">
        <f t="shared" si="215"/>
        <v>0</v>
      </c>
      <c r="W148" s="156">
        <f t="shared" si="202"/>
        <v>0</v>
      </c>
      <c r="X148" s="158">
        <f t="shared" ref="X148" si="306">$S148/ORCAMENTO_VALOR_TOTAL_ND</f>
        <v>0</v>
      </c>
      <c r="Y148" s="158">
        <f t="shared" ref="Y148" si="307">$T148/ORCAMENTO_VALOR_TOTAL_DE</f>
        <v>0</v>
      </c>
      <c r="Z148" s="158" cm="1">
        <f t="array" ref="Z148">_xlfn.SWITCH($N148,"BDI 1",$O$6,"BDI 2",$O$7,"BDI 3",$O$8)</f>
        <v>0.20699999999999999</v>
      </c>
      <c r="AA148" s="158" cm="1">
        <f t="array" ref="AA148">_xlfn.SWITCH($N148,"BDI 1",$P$6,"BDI 2",$P$7,"BDI 3",$P$8)</f>
        <v>0.26739999999999997</v>
      </c>
      <c r="AB148" s="158">
        <f t="shared" ca="1" si="218"/>
        <v>0</v>
      </c>
      <c r="AC148" s="158">
        <f t="shared" ca="1" si="219"/>
        <v>0</v>
      </c>
      <c r="AD148" s="164"/>
      <c r="AE148" s="148">
        <f t="shared" si="205"/>
        <v>0</v>
      </c>
      <c r="AF148" s="149"/>
      <c r="AG148" s="150"/>
      <c r="AH148" s="159" t="e">
        <f t="shared" si="206"/>
        <v>#DIV/0!</v>
      </c>
      <c r="AI148" s="188"/>
      <c r="AJ148" s="105"/>
      <c r="AK148" s="105"/>
      <c r="AM148" s="105"/>
      <c r="AN148" s="105"/>
      <c r="AO148" s="105"/>
      <c r="AP148" s="105"/>
      <c r="AQ148" s="105"/>
      <c r="AR148" s="105"/>
    </row>
    <row r="149" spans="1:44" s="49" customFormat="1" ht="40.15" hidden="1" customHeight="1">
      <c r="A149" s="152">
        <f t="shared" ca="1" si="207"/>
        <v>0</v>
      </c>
      <c r="B149" s="153">
        <v>101579</v>
      </c>
      <c r="C149" s="154" t="str">
        <f t="shared" si="208"/>
        <v>101579</v>
      </c>
      <c r="D149" s="154" t="s">
        <v>1416</v>
      </c>
      <c r="E149" s="155" t="s">
        <v>3647</v>
      </c>
      <c r="F149" s="154"/>
      <c r="G149" s="154" t="s">
        <v>1418</v>
      </c>
      <c r="H149" s="152">
        <v>44.92</v>
      </c>
      <c r="I149" s="152">
        <v>42.8</v>
      </c>
      <c r="J149" s="156"/>
      <c r="K149" s="156">
        <f>Dre_Terraplenagem!AI108</f>
        <v>0</v>
      </c>
      <c r="L149" s="156">
        <f t="shared" si="209"/>
        <v>0</v>
      </c>
      <c r="M149" s="156">
        <f t="shared" si="210"/>
        <v>0</v>
      </c>
      <c r="N149" s="156" t="s">
        <v>83</v>
      </c>
      <c r="O149" s="157" cm="1">
        <f t="array" ref="O149">TRUNC($H149*(1+_xlfn.SWITCH($N149,"BDI 1",$O$6,"BDI 2",$O$7,"BDI 3",$O$8)),2)</f>
        <v>54.21</v>
      </c>
      <c r="P149" s="157" cm="1">
        <f t="array" ref="P149">TRUNC($I149*(1+_xlfn.SWITCH($N149,"BDI 1",$P$6,"BDI 2",$P$7,"BDI 3",$P$8)),2)</f>
        <v>54.24</v>
      </c>
      <c r="Q149" s="157">
        <v>0</v>
      </c>
      <c r="R149" s="157">
        <f t="shared" ref="R149" si="308">$Q149-($Q149*LICITACAO_DESCONTO)</f>
        <v>0</v>
      </c>
      <c r="S149" s="156">
        <f t="shared" si="212"/>
        <v>0</v>
      </c>
      <c r="T149" s="156">
        <f t="shared" si="213"/>
        <v>0</v>
      </c>
      <c r="U149" s="156">
        <f t="shared" si="214"/>
        <v>0</v>
      </c>
      <c r="V149" s="156">
        <f t="shared" si="215"/>
        <v>0</v>
      </c>
      <c r="W149" s="156">
        <f t="shared" si="202"/>
        <v>0</v>
      </c>
      <c r="X149" s="158">
        <f t="shared" ref="X149" si="309">$S149/ORCAMENTO_VALOR_TOTAL_ND</f>
        <v>0</v>
      </c>
      <c r="Y149" s="158">
        <f t="shared" ref="Y149" si="310">$T149/ORCAMENTO_VALOR_TOTAL_DE</f>
        <v>0</v>
      </c>
      <c r="Z149" s="158" cm="1">
        <f t="array" ref="Z149">_xlfn.SWITCH($N149,"BDI 1",$O$6,"BDI 2",$O$7,"BDI 3",$O$8)</f>
        <v>0.20699999999999999</v>
      </c>
      <c r="AA149" s="158" cm="1">
        <f t="array" ref="AA149">_xlfn.SWITCH($N149,"BDI 1",$P$6,"BDI 2",$P$7,"BDI 3",$P$8)</f>
        <v>0.26739999999999997</v>
      </c>
      <c r="AB149" s="158">
        <f t="shared" ca="1" si="218"/>
        <v>0</v>
      </c>
      <c r="AC149" s="158">
        <f t="shared" ca="1" si="219"/>
        <v>0</v>
      </c>
      <c r="AD149" s="164"/>
      <c r="AE149" s="148">
        <f t="shared" si="205"/>
        <v>0</v>
      </c>
      <c r="AF149" s="149"/>
      <c r="AG149" s="150"/>
      <c r="AH149" s="159" t="e">
        <f t="shared" si="206"/>
        <v>#DIV/0!</v>
      </c>
      <c r="AI149" s="188"/>
      <c r="AJ149" s="105"/>
      <c r="AK149" s="105"/>
      <c r="AM149" s="105"/>
      <c r="AN149" s="105"/>
      <c r="AO149" s="105"/>
      <c r="AP149" s="105"/>
      <c r="AQ149" s="105"/>
      <c r="AR149" s="105"/>
    </row>
    <row r="150" spans="1:44" s="49" customFormat="1" ht="40.15" hidden="1" customHeight="1">
      <c r="A150" s="152">
        <f t="shared" ca="1" si="207"/>
        <v>0</v>
      </c>
      <c r="B150" s="153">
        <v>101586</v>
      </c>
      <c r="C150" s="154" t="str">
        <f t="shared" si="208"/>
        <v>101586</v>
      </c>
      <c r="D150" s="154" t="s">
        <v>1416</v>
      </c>
      <c r="E150" s="155" t="s">
        <v>3648</v>
      </c>
      <c r="F150" s="154"/>
      <c r="G150" s="154" t="s">
        <v>1418</v>
      </c>
      <c r="H150" s="152">
        <v>49.8</v>
      </c>
      <c r="I150" s="152">
        <v>48.73</v>
      </c>
      <c r="J150" s="156"/>
      <c r="K150" s="156">
        <f>Dre_Terraplenagem!AI111</f>
        <v>0</v>
      </c>
      <c r="L150" s="156">
        <f t="shared" si="209"/>
        <v>0</v>
      </c>
      <c r="M150" s="156">
        <f t="shared" si="210"/>
        <v>0</v>
      </c>
      <c r="N150" s="156" t="s">
        <v>83</v>
      </c>
      <c r="O150" s="157" cm="1">
        <f t="array" ref="O150">TRUNC($H150*(1+_xlfn.SWITCH($N150,"BDI 1",$O$6,"BDI 2",$O$7,"BDI 3",$O$8)),2)</f>
        <v>60.1</v>
      </c>
      <c r="P150" s="157" cm="1">
        <f t="array" ref="P150">TRUNC($I150*(1+_xlfn.SWITCH($N150,"BDI 1",$P$6,"BDI 2",$P$7,"BDI 3",$P$8)),2)</f>
        <v>61.76</v>
      </c>
      <c r="Q150" s="157">
        <v>0</v>
      </c>
      <c r="R150" s="157">
        <f t="shared" ref="R150" si="311">$Q150-($Q150*LICITACAO_DESCONTO)</f>
        <v>0</v>
      </c>
      <c r="S150" s="156">
        <f t="shared" si="212"/>
        <v>0</v>
      </c>
      <c r="T150" s="156">
        <f t="shared" si="213"/>
        <v>0</v>
      </c>
      <c r="U150" s="156">
        <f t="shared" si="214"/>
        <v>0</v>
      </c>
      <c r="V150" s="156">
        <f t="shared" si="215"/>
        <v>0</v>
      </c>
      <c r="W150" s="156">
        <f t="shared" si="202"/>
        <v>0</v>
      </c>
      <c r="X150" s="158">
        <f t="shared" ref="X150" si="312">$S150/ORCAMENTO_VALOR_TOTAL_ND</f>
        <v>0</v>
      </c>
      <c r="Y150" s="158">
        <f t="shared" ref="Y150" si="313">$T150/ORCAMENTO_VALOR_TOTAL_DE</f>
        <v>0</v>
      </c>
      <c r="Z150" s="158" cm="1">
        <f t="array" ref="Z150">_xlfn.SWITCH($N150,"BDI 1",$O$6,"BDI 2",$O$7,"BDI 3",$O$8)</f>
        <v>0.20699999999999999</v>
      </c>
      <c r="AA150" s="158" cm="1">
        <f t="array" ref="AA150">_xlfn.SWITCH($N150,"BDI 1",$P$6,"BDI 2",$P$7,"BDI 3",$P$8)</f>
        <v>0.26739999999999997</v>
      </c>
      <c r="AB150" s="158">
        <f t="shared" ca="1" si="218"/>
        <v>0</v>
      </c>
      <c r="AC150" s="158">
        <f t="shared" ca="1" si="219"/>
        <v>0</v>
      </c>
      <c r="AD150" s="164"/>
      <c r="AE150" s="148">
        <f t="shared" si="205"/>
        <v>0</v>
      </c>
      <c r="AF150" s="149"/>
      <c r="AG150" s="150"/>
      <c r="AH150" s="159" t="e">
        <f t="shared" si="206"/>
        <v>#DIV/0!</v>
      </c>
      <c r="AI150" s="188"/>
      <c r="AJ150" s="105"/>
      <c r="AK150" s="105"/>
      <c r="AM150" s="105"/>
      <c r="AN150" s="105"/>
      <c r="AO150" s="105"/>
      <c r="AP150" s="105"/>
      <c r="AQ150" s="105"/>
      <c r="AR150" s="105"/>
    </row>
    <row r="151" spans="1:44" s="49" customFormat="1" ht="40.15" hidden="1" customHeight="1">
      <c r="A151" s="152">
        <f t="shared" ca="1" si="207"/>
        <v>0</v>
      </c>
      <c r="B151" s="153">
        <v>101587</v>
      </c>
      <c r="C151" s="154" t="str">
        <f t="shared" si="208"/>
        <v>101587</v>
      </c>
      <c r="D151" s="154" t="s">
        <v>1416</v>
      </c>
      <c r="E151" s="155" t="s">
        <v>3649</v>
      </c>
      <c r="F151" s="154"/>
      <c r="G151" s="154" t="s">
        <v>1418</v>
      </c>
      <c r="H151" s="152">
        <v>65.790000000000006</v>
      </c>
      <c r="I151" s="152">
        <v>63.25</v>
      </c>
      <c r="J151" s="156"/>
      <c r="K151" s="156">
        <f>Dre_Terraplenagem!AI112</f>
        <v>0</v>
      </c>
      <c r="L151" s="156">
        <f t="shared" si="209"/>
        <v>0</v>
      </c>
      <c r="M151" s="156">
        <f t="shared" si="210"/>
        <v>0</v>
      </c>
      <c r="N151" s="156" t="s">
        <v>83</v>
      </c>
      <c r="O151" s="157" cm="1">
        <f t="array" ref="O151">TRUNC($H151*(1+_xlfn.SWITCH($N151,"BDI 1",$O$6,"BDI 2",$O$7,"BDI 3",$O$8)),2)</f>
        <v>79.400000000000006</v>
      </c>
      <c r="P151" s="157" cm="1">
        <f t="array" ref="P151">TRUNC($I151*(1+_xlfn.SWITCH($N151,"BDI 1",$P$6,"BDI 2",$P$7,"BDI 3",$P$8)),2)</f>
        <v>80.16</v>
      </c>
      <c r="Q151" s="157">
        <v>0</v>
      </c>
      <c r="R151" s="157">
        <f t="shared" ref="R151" si="314">$Q151-($Q151*LICITACAO_DESCONTO)</f>
        <v>0</v>
      </c>
      <c r="S151" s="156">
        <f t="shared" si="212"/>
        <v>0</v>
      </c>
      <c r="T151" s="156">
        <f t="shared" si="213"/>
        <v>0</v>
      </c>
      <c r="U151" s="156">
        <f t="shared" si="214"/>
        <v>0</v>
      </c>
      <c r="V151" s="156">
        <f t="shared" si="215"/>
        <v>0</v>
      </c>
      <c r="W151" s="156">
        <f t="shared" si="202"/>
        <v>0</v>
      </c>
      <c r="X151" s="158">
        <f t="shared" ref="X151" si="315">$S151/ORCAMENTO_VALOR_TOTAL_ND</f>
        <v>0</v>
      </c>
      <c r="Y151" s="158">
        <f t="shared" ref="Y151" si="316">$T151/ORCAMENTO_VALOR_TOTAL_DE</f>
        <v>0</v>
      </c>
      <c r="Z151" s="158" cm="1">
        <f t="array" ref="Z151">_xlfn.SWITCH($N151,"BDI 1",$O$6,"BDI 2",$O$7,"BDI 3",$O$8)</f>
        <v>0.20699999999999999</v>
      </c>
      <c r="AA151" s="158" cm="1">
        <f t="array" ref="AA151">_xlfn.SWITCH($N151,"BDI 1",$P$6,"BDI 2",$P$7,"BDI 3",$P$8)</f>
        <v>0.26739999999999997</v>
      </c>
      <c r="AB151" s="158">
        <f t="shared" ca="1" si="218"/>
        <v>0</v>
      </c>
      <c r="AC151" s="158">
        <f t="shared" ca="1" si="219"/>
        <v>0</v>
      </c>
      <c r="AD151" s="164"/>
      <c r="AE151" s="148">
        <f t="shared" si="205"/>
        <v>0</v>
      </c>
      <c r="AF151" s="149"/>
      <c r="AG151" s="150"/>
      <c r="AH151" s="159" t="e">
        <f t="shared" si="206"/>
        <v>#DIV/0!</v>
      </c>
      <c r="AI151" s="188"/>
      <c r="AJ151" s="105"/>
      <c r="AK151" s="105"/>
      <c r="AM151" s="105"/>
      <c r="AN151" s="105"/>
      <c r="AO151" s="105"/>
      <c r="AP151" s="105"/>
      <c r="AQ151" s="105"/>
      <c r="AR151" s="105"/>
    </row>
    <row r="152" spans="1:44" s="49" customFormat="1" ht="49.9" hidden="1" customHeight="1">
      <c r="A152" s="152">
        <f t="shared" ca="1" si="207"/>
        <v>0</v>
      </c>
      <c r="B152" s="153" t="s">
        <v>131</v>
      </c>
      <c r="C152" s="154" t="str">
        <f t="shared" si="208"/>
        <v>ES/0010</v>
      </c>
      <c r="D152" s="154" t="s">
        <v>3549</v>
      </c>
      <c r="E152" s="155" t="s">
        <v>3650</v>
      </c>
      <c r="F152" s="154"/>
      <c r="G152" s="154" t="s">
        <v>1418</v>
      </c>
      <c r="H152" s="152">
        <v>22.43</v>
      </c>
      <c r="I152" s="152">
        <v>21.7</v>
      </c>
      <c r="J152" s="156"/>
      <c r="K152" s="156">
        <f>Dre_Terraplenagem!AI116</f>
        <v>0</v>
      </c>
      <c r="L152" s="156">
        <f t="shared" si="209"/>
        <v>0</v>
      </c>
      <c r="M152" s="156">
        <f t="shared" si="210"/>
        <v>0</v>
      </c>
      <c r="N152" s="156" t="s">
        <v>83</v>
      </c>
      <c r="O152" s="157" cm="1">
        <f t="array" ref="O152">TRUNC($H152*(1+_xlfn.SWITCH($N152,"BDI 1",$O$6,"BDI 2",$O$7,"BDI 3",$O$8)),2)</f>
        <v>27.07</v>
      </c>
      <c r="P152" s="157" cm="1">
        <f t="array" ref="P152">TRUNC($I152*(1+_xlfn.SWITCH($N152,"BDI 1",$P$6,"BDI 2",$P$7,"BDI 3",$P$8)),2)</f>
        <v>27.5</v>
      </c>
      <c r="Q152" s="157">
        <v>0</v>
      </c>
      <c r="R152" s="157">
        <f t="shared" ref="R152" si="317">$Q152-($Q152*LICITACAO_DESCONTO)</f>
        <v>0</v>
      </c>
      <c r="S152" s="156">
        <f t="shared" si="212"/>
        <v>0</v>
      </c>
      <c r="T152" s="156">
        <f t="shared" si="213"/>
        <v>0</v>
      </c>
      <c r="U152" s="156">
        <f t="shared" si="214"/>
        <v>0</v>
      </c>
      <c r="V152" s="156">
        <f t="shared" si="215"/>
        <v>0</v>
      </c>
      <c r="W152" s="156">
        <f t="shared" si="202"/>
        <v>0</v>
      </c>
      <c r="X152" s="158">
        <f t="shared" ref="X152" si="318">$S152/ORCAMENTO_VALOR_TOTAL_ND</f>
        <v>0</v>
      </c>
      <c r="Y152" s="158">
        <f t="shared" ref="Y152" si="319">$T152/ORCAMENTO_VALOR_TOTAL_DE</f>
        <v>0</v>
      </c>
      <c r="Z152" s="158" cm="1">
        <f t="array" ref="Z152">_xlfn.SWITCH($N152,"BDI 1",$O$6,"BDI 2",$O$7,"BDI 3",$O$8)</f>
        <v>0.20699999999999999</v>
      </c>
      <c r="AA152" s="158" cm="1">
        <f t="array" ref="AA152">_xlfn.SWITCH($N152,"BDI 1",$P$6,"BDI 2",$P$7,"BDI 3",$P$8)</f>
        <v>0.26739999999999997</v>
      </c>
      <c r="AB152" s="158">
        <f t="shared" ca="1" si="218"/>
        <v>0</v>
      </c>
      <c r="AC152" s="158">
        <f t="shared" ca="1" si="219"/>
        <v>0</v>
      </c>
      <c r="AD152" s="164"/>
      <c r="AE152" s="148">
        <f t="shared" si="205"/>
        <v>0</v>
      </c>
      <c r="AF152" s="149"/>
      <c r="AG152" s="150"/>
      <c r="AH152" s="159" t="e">
        <f t="shared" si="206"/>
        <v>#DIV/0!</v>
      </c>
      <c r="AI152" s="189">
        <v>0</v>
      </c>
      <c r="AJ152" s="105"/>
      <c r="AK152" s="105"/>
      <c r="AM152" s="105"/>
      <c r="AN152" s="105"/>
      <c r="AO152" s="105"/>
      <c r="AP152" s="105"/>
      <c r="AQ152" s="105"/>
      <c r="AR152" s="105"/>
    </row>
    <row r="153" spans="1:44" s="49" customFormat="1" ht="49.9" hidden="1" customHeight="1">
      <c r="A153" s="152">
        <f t="shared" ca="1" si="207"/>
        <v>0</v>
      </c>
      <c r="B153" s="153" t="s">
        <v>132</v>
      </c>
      <c r="C153" s="154" t="str">
        <f t="shared" si="208"/>
        <v>ES/0015</v>
      </c>
      <c r="D153" s="154" t="s">
        <v>3549</v>
      </c>
      <c r="E153" s="155" t="s">
        <v>3651</v>
      </c>
      <c r="F153" s="154"/>
      <c r="G153" s="154" t="s">
        <v>1418</v>
      </c>
      <c r="H153" s="152">
        <v>19.11</v>
      </c>
      <c r="I153" s="152">
        <v>18.52</v>
      </c>
      <c r="J153" s="156"/>
      <c r="K153" s="156">
        <f>Dre_Terraplenagem!AI117</f>
        <v>0</v>
      </c>
      <c r="L153" s="156">
        <f t="shared" si="209"/>
        <v>0</v>
      </c>
      <c r="M153" s="156">
        <f t="shared" si="210"/>
        <v>0</v>
      </c>
      <c r="N153" s="156" t="s">
        <v>83</v>
      </c>
      <c r="O153" s="157" cm="1">
        <f t="array" ref="O153">TRUNC($H153*(1+_xlfn.SWITCH($N153,"BDI 1",$O$6,"BDI 2",$O$7,"BDI 3",$O$8)),2)</f>
        <v>23.06</v>
      </c>
      <c r="P153" s="157" cm="1">
        <f t="array" ref="P153">TRUNC($I153*(1+_xlfn.SWITCH($N153,"BDI 1",$P$6,"BDI 2",$P$7,"BDI 3",$P$8)),2)</f>
        <v>23.47</v>
      </c>
      <c r="Q153" s="157">
        <v>0</v>
      </c>
      <c r="R153" s="157">
        <f t="shared" ref="R153" si="320">$Q153-($Q153*LICITACAO_DESCONTO)</f>
        <v>0</v>
      </c>
      <c r="S153" s="156">
        <f t="shared" si="212"/>
        <v>0</v>
      </c>
      <c r="T153" s="156">
        <f t="shared" si="213"/>
        <v>0</v>
      </c>
      <c r="U153" s="156">
        <f t="shared" si="214"/>
        <v>0</v>
      </c>
      <c r="V153" s="156">
        <f t="shared" si="215"/>
        <v>0</v>
      </c>
      <c r="W153" s="156">
        <f t="shared" si="202"/>
        <v>0</v>
      </c>
      <c r="X153" s="158">
        <f t="shared" ref="X153" si="321">$S153/ORCAMENTO_VALOR_TOTAL_ND</f>
        <v>0</v>
      </c>
      <c r="Y153" s="158">
        <f t="shared" ref="Y153" si="322">$T153/ORCAMENTO_VALOR_TOTAL_DE</f>
        <v>0</v>
      </c>
      <c r="Z153" s="158" cm="1">
        <f t="array" ref="Z153">_xlfn.SWITCH($N153,"BDI 1",$O$6,"BDI 2",$O$7,"BDI 3",$O$8)</f>
        <v>0.20699999999999999</v>
      </c>
      <c r="AA153" s="158" cm="1">
        <f t="array" ref="AA153">_xlfn.SWITCH($N153,"BDI 1",$P$6,"BDI 2",$P$7,"BDI 3",$P$8)</f>
        <v>0.26739999999999997</v>
      </c>
      <c r="AB153" s="158">
        <f t="shared" ca="1" si="218"/>
        <v>0</v>
      </c>
      <c r="AC153" s="158">
        <f t="shared" ca="1" si="219"/>
        <v>0</v>
      </c>
      <c r="AD153" s="164"/>
      <c r="AE153" s="148">
        <f t="shared" si="205"/>
        <v>0</v>
      </c>
      <c r="AF153" s="149"/>
      <c r="AG153" s="150"/>
      <c r="AH153" s="159" t="e">
        <f t="shared" si="206"/>
        <v>#DIV/0!</v>
      </c>
      <c r="AI153" s="189">
        <v>0</v>
      </c>
      <c r="AJ153" s="105"/>
      <c r="AK153" s="105"/>
      <c r="AM153" s="105"/>
      <c r="AN153" s="105"/>
      <c r="AO153" s="105"/>
      <c r="AP153" s="105"/>
      <c r="AQ153" s="105"/>
      <c r="AR153" s="105"/>
    </row>
    <row r="154" spans="1:44" s="49" customFormat="1" ht="40.15" hidden="1" customHeight="1">
      <c r="A154" s="152">
        <f t="shared" ca="1" si="207"/>
        <v>0</v>
      </c>
      <c r="B154" s="153">
        <v>101616</v>
      </c>
      <c r="C154" s="154" t="str">
        <f t="shared" si="208"/>
        <v>101616</v>
      </c>
      <c r="D154" s="154" t="s">
        <v>1416</v>
      </c>
      <c r="E154" s="155" t="s">
        <v>3652</v>
      </c>
      <c r="F154" s="154"/>
      <c r="G154" s="154" t="s">
        <v>1418</v>
      </c>
      <c r="H154" s="152">
        <v>5.84</v>
      </c>
      <c r="I154" s="152">
        <v>5.29</v>
      </c>
      <c r="J154" s="156"/>
      <c r="K154" s="156">
        <f>Dre_Terraplenagem!AI118</f>
        <v>0</v>
      </c>
      <c r="L154" s="156">
        <f t="shared" si="209"/>
        <v>0</v>
      </c>
      <c r="M154" s="156">
        <f t="shared" si="210"/>
        <v>0</v>
      </c>
      <c r="N154" s="156" t="s">
        <v>83</v>
      </c>
      <c r="O154" s="157" cm="1">
        <f t="array" ref="O154">TRUNC($H154*(1+_xlfn.SWITCH($N154,"BDI 1",$O$6,"BDI 2",$O$7,"BDI 3",$O$8)),2)</f>
        <v>7.04</v>
      </c>
      <c r="P154" s="157" cm="1">
        <f t="array" ref="P154">TRUNC($I154*(1+_xlfn.SWITCH($N154,"BDI 1",$P$6,"BDI 2",$P$7,"BDI 3",$P$8)),2)</f>
        <v>6.7</v>
      </c>
      <c r="Q154" s="157">
        <v>0</v>
      </c>
      <c r="R154" s="157">
        <f t="shared" ref="R154" si="323">$Q154-($Q154*LICITACAO_DESCONTO)</f>
        <v>0</v>
      </c>
      <c r="S154" s="156">
        <f t="shared" si="212"/>
        <v>0</v>
      </c>
      <c r="T154" s="156">
        <f t="shared" si="213"/>
        <v>0</v>
      </c>
      <c r="U154" s="156">
        <f t="shared" si="214"/>
        <v>0</v>
      </c>
      <c r="V154" s="156">
        <f t="shared" si="215"/>
        <v>0</v>
      </c>
      <c r="W154" s="156">
        <f t="shared" si="202"/>
        <v>0</v>
      </c>
      <c r="X154" s="158">
        <f t="shared" ref="X154" si="324">$S154/ORCAMENTO_VALOR_TOTAL_ND</f>
        <v>0</v>
      </c>
      <c r="Y154" s="158">
        <f t="shared" ref="Y154" si="325">$T154/ORCAMENTO_VALOR_TOTAL_DE</f>
        <v>0</v>
      </c>
      <c r="Z154" s="158" cm="1">
        <f t="array" ref="Z154">_xlfn.SWITCH($N154,"BDI 1",$O$6,"BDI 2",$O$7,"BDI 3",$O$8)</f>
        <v>0.20699999999999999</v>
      </c>
      <c r="AA154" s="158" cm="1">
        <f t="array" ref="AA154">_xlfn.SWITCH($N154,"BDI 1",$P$6,"BDI 2",$P$7,"BDI 3",$P$8)</f>
        <v>0.26739999999999997</v>
      </c>
      <c r="AB154" s="158">
        <f t="shared" ca="1" si="218"/>
        <v>0</v>
      </c>
      <c r="AC154" s="158">
        <f t="shared" ca="1" si="219"/>
        <v>0</v>
      </c>
      <c r="AD154" s="164"/>
      <c r="AE154" s="148">
        <f t="shared" si="205"/>
        <v>0</v>
      </c>
      <c r="AF154" s="149"/>
      <c r="AG154" s="150"/>
      <c r="AH154" s="159" t="e">
        <f t="shared" si="206"/>
        <v>#DIV/0!</v>
      </c>
      <c r="AI154" s="2427">
        <v>0</v>
      </c>
      <c r="AJ154" s="105"/>
      <c r="AK154" s="105"/>
      <c r="AM154" s="105"/>
      <c r="AN154" s="105"/>
      <c r="AO154" s="105"/>
      <c r="AP154" s="105"/>
      <c r="AQ154" s="105"/>
      <c r="AR154" s="105"/>
    </row>
    <row r="155" spans="1:44" s="49" customFormat="1" ht="40.15" hidden="1" customHeight="1">
      <c r="A155" s="152">
        <f t="shared" ca="1" si="207"/>
        <v>0</v>
      </c>
      <c r="B155" s="153">
        <v>101617</v>
      </c>
      <c r="C155" s="154" t="str">
        <f t="shared" si="208"/>
        <v>101617</v>
      </c>
      <c r="D155" s="154" t="s">
        <v>1416</v>
      </c>
      <c r="E155" s="155" t="s">
        <v>3653</v>
      </c>
      <c r="F155" s="154"/>
      <c r="G155" s="154" t="s">
        <v>1418</v>
      </c>
      <c r="H155" s="152">
        <v>2.87</v>
      </c>
      <c r="I155" s="152">
        <v>2.62</v>
      </c>
      <c r="J155" s="156"/>
      <c r="K155" s="156">
        <f>Dre_Terraplenagem!AI119</f>
        <v>0</v>
      </c>
      <c r="L155" s="156">
        <f t="shared" si="209"/>
        <v>0</v>
      </c>
      <c r="M155" s="156">
        <f t="shared" si="210"/>
        <v>0</v>
      </c>
      <c r="N155" s="156" t="s">
        <v>83</v>
      </c>
      <c r="O155" s="157" cm="1">
        <f t="array" ref="O155">TRUNC($H155*(1+_xlfn.SWITCH($N155,"BDI 1",$O$6,"BDI 2",$O$7,"BDI 3",$O$8)),2)</f>
        <v>3.46</v>
      </c>
      <c r="P155" s="157" cm="1">
        <f t="array" ref="P155">TRUNC($I155*(1+_xlfn.SWITCH($N155,"BDI 1",$P$6,"BDI 2",$P$7,"BDI 3",$P$8)),2)</f>
        <v>3.32</v>
      </c>
      <c r="Q155" s="157">
        <v>0</v>
      </c>
      <c r="R155" s="157">
        <f t="shared" ref="R155" si="326">$Q155-($Q155*LICITACAO_DESCONTO)</f>
        <v>0</v>
      </c>
      <c r="S155" s="156">
        <f t="shared" si="212"/>
        <v>0</v>
      </c>
      <c r="T155" s="156">
        <f t="shared" si="213"/>
        <v>0</v>
      </c>
      <c r="U155" s="156">
        <f t="shared" si="214"/>
        <v>0</v>
      </c>
      <c r="V155" s="156">
        <f t="shared" si="215"/>
        <v>0</v>
      </c>
      <c r="W155" s="156">
        <f t="shared" si="202"/>
        <v>0</v>
      </c>
      <c r="X155" s="158">
        <f t="shared" ref="X155" si="327">$S155/ORCAMENTO_VALOR_TOTAL_ND</f>
        <v>0</v>
      </c>
      <c r="Y155" s="158">
        <f t="shared" ref="Y155" si="328">$T155/ORCAMENTO_VALOR_TOTAL_DE</f>
        <v>0</v>
      </c>
      <c r="Z155" s="158" cm="1">
        <f t="array" ref="Z155">_xlfn.SWITCH($N155,"BDI 1",$O$6,"BDI 2",$O$7,"BDI 3",$O$8)</f>
        <v>0.20699999999999999</v>
      </c>
      <c r="AA155" s="158" cm="1">
        <f t="array" ref="AA155">_xlfn.SWITCH($N155,"BDI 1",$P$6,"BDI 2",$P$7,"BDI 3",$P$8)</f>
        <v>0.26739999999999997</v>
      </c>
      <c r="AB155" s="158">
        <f t="shared" ca="1" si="218"/>
        <v>0</v>
      </c>
      <c r="AC155" s="158">
        <f t="shared" ca="1" si="219"/>
        <v>0</v>
      </c>
      <c r="AD155" s="164"/>
      <c r="AE155" s="148">
        <f t="shared" si="205"/>
        <v>0</v>
      </c>
      <c r="AF155" s="149"/>
      <c r="AG155" s="150"/>
      <c r="AH155" s="159" t="e">
        <f t="shared" si="206"/>
        <v>#DIV/0!</v>
      </c>
      <c r="AI155" s="2427"/>
      <c r="AJ155" s="105"/>
      <c r="AK155" s="105"/>
      <c r="AM155" s="105"/>
      <c r="AN155" s="105"/>
      <c r="AO155" s="105"/>
      <c r="AP155" s="105"/>
      <c r="AQ155" s="105"/>
      <c r="AR155" s="105"/>
    </row>
    <row r="156" spans="1:44" s="49" customFormat="1" ht="40.15" hidden="1" customHeight="1">
      <c r="A156" s="152">
        <f t="shared" ca="1" si="207"/>
        <v>0</v>
      </c>
      <c r="B156" s="153">
        <v>101623</v>
      </c>
      <c r="C156" s="154" t="str">
        <f t="shared" si="208"/>
        <v>101623</v>
      </c>
      <c r="D156" s="154" t="s">
        <v>1416</v>
      </c>
      <c r="E156" s="155" t="s">
        <v>3654</v>
      </c>
      <c r="F156" s="154"/>
      <c r="G156" s="154" t="s">
        <v>464</v>
      </c>
      <c r="H156" s="152">
        <v>236.63</v>
      </c>
      <c r="I156" s="152">
        <v>234.74</v>
      </c>
      <c r="J156" s="156"/>
      <c r="K156" s="156">
        <f>Dre_Terraplenagem!AI167+Dre_Terraplenagem!AI173</f>
        <v>0</v>
      </c>
      <c r="L156" s="156">
        <f t="shared" si="209"/>
        <v>0</v>
      </c>
      <c r="M156" s="156">
        <f t="shared" si="210"/>
        <v>0</v>
      </c>
      <c r="N156" s="156" t="s">
        <v>83</v>
      </c>
      <c r="O156" s="157" cm="1">
        <f t="array" ref="O156">TRUNC($H156*(1+_xlfn.SWITCH($N156,"BDI 1",$O$6,"BDI 2",$O$7,"BDI 3",$O$8)),2)</f>
        <v>285.61</v>
      </c>
      <c r="P156" s="157" cm="1">
        <f t="array" ref="P156">TRUNC($I156*(1+_xlfn.SWITCH($N156,"BDI 1",$P$6,"BDI 2",$P$7,"BDI 3",$P$8)),2)</f>
        <v>297.5</v>
      </c>
      <c r="Q156" s="157">
        <v>0</v>
      </c>
      <c r="R156" s="157">
        <f t="shared" ref="R156" si="329">$Q156-($Q156*LICITACAO_DESCONTO)</f>
        <v>0</v>
      </c>
      <c r="S156" s="156">
        <f t="shared" si="212"/>
        <v>0</v>
      </c>
      <c r="T156" s="156">
        <f t="shared" si="213"/>
        <v>0</v>
      </c>
      <c r="U156" s="156">
        <f t="shared" si="214"/>
        <v>0</v>
      </c>
      <c r="V156" s="156">
        <f t="shared" si="215"/>
        <v>0</v>
      </c>
      <c r="W156" s="156">
        <f t="shared" si="202"/>
        <v>0</v>
      </c>
      <c r="X156" s="158">
        <f t="shared" ref="X156" si="330">$S156/ORCAMENTO_VALOR_TOTAL_ND</f>
        <v>0</v>
      </c>
      <c r="Y156" s="158">
        <f t="shared" ref="Y156" si="331">$T156/ORCAMENTO_VALOR_TOTAL_DE</f>
        <v>0</v>
      </c>
      <c r="Z156" s="158" cm="1">
        <f t="array" ref="Z156">_xlfn.SWITCH($N156,"BDI 1",$O$6,"BDI 2",$O$7,"BDI 3",$O$8)</f>
        <v>0.20699999999999999</v>
      </c>
      <c r="AA156" s="158" cm="1">
        <f t="array" ref="AA156">_xlfn.SWITCH($N156,"BDI 1",$P$6,"BDI 2",$P$7,"BDI 3",$P$8)</f>
        <v>0.26739999999999997</v>
      </c>
      <c r="AB156" s="158">
        <f t="shared" ca="1" si="218"/>
        <v>0</v>
      </c>
      <c r="AC156" s="158">
        <f t="shared" ca="1" si="219"/>
        <v>0</v>
      </c>
      <c r="AD156" s="164"/>
      <c r="AE156" s="148">
        <f t="shared" si="205"/>
        <v>0</v>
      </c>
      <c r="AF156" s="149"/>
      <c r="AG156" s="150"/>
      <c r="AH156" s="159" t="e">
        <f t="shared" si="206"/>
        <v>#DIV/0!</v>
      </c>
      <c r="AI156" s="2426">
        <v>0</v>
      </c>
      <c r="AJ156" s="105"/>
      <c r="AK156" s="105"/>
      <c r="AM156" s="105"/>
      <c r="AN156" s="105"/>
      <c r="AO156" s="105"/>
      <c r="AP156" s="105"/>
      <c r="AQ156" s="105"/>
      <c r="AR156" s="105"/>
    </row>
    <row r="157" spans="1:44" s="49" customFormat="1" ht="40.15" hidden="1" customHeight="1">
      <c r="A157" s="152">
        <f t="shared" ca="1" si="207"/>
        <v>0</v>
      </c>
      <c r="B157" s="153">
        <v>101624</v>
      </c>
      <c r="C157" s="154" t="str">
        <f t="shared" si="208"/>
        <v>101624</v>
      </c>
      <c r="D157" s="154" t="s">
        <v>1416</v>
      </c>
      <c r="E157" s="155" t="s">
        <v>3655</v>
      </c>
      <c r="F157" s="154"/>
      <c r="G157" s="154" t="s">
        <v>464</v>
      </c>
      <c r="H157" s="152">
        <v>192.34</v>
      </c>
      <c r="I157" s="152">
        <v>193.31</v>
      </c>
      <c r="J157" s="156"/>
      <c r="K157" s="156">
        <f>Dre_Terraplenagem!AI168+Dre_Terraplenagem!AI174</f>
        <v>0</v>
      </c>
      <c r="L157" s="156">
        <f t="shared" si="209"/>
        <v>0</v>
      </c>
      <c r="M157" s="156">
        <f t="shared" si="210"/>
        <v>0</v>
      </c>
      <c r="N157" s="156" t="s">
        <v>83</v>
      </c>
      <c r="O157" s="157" cm="1">
        <f t="array" ref="O157">TRUNC($H157*(1+_xlfn.SWITCH($N157,"BDI 1",$O$6,"BDI 2",$O$7,"BDI 3",$O$8)),2)</f>
        <v>232.15</v>
      </c>
      <c r="P157" s="157" cm="1">
        <f t="array" ref="P157">TRUNC($I157*(1+_xlfn.SWITCH($N157,"BDI 1",$P$6,"BDI 2",$P$7,"BDI 3",$P$8)),2)</f>
        <v>245</v>
      </c>
      <c r="Q157" s="157">
        <v>0</v>
      </c>
      <c r="R157" s="157">
        <f t="shared" ref="R157" si="332">$Q157-($Q157*LICITACAO_DESCONTO)</f>
        <v>0</v>
      </c>
      <c r="S157" s="156">
        <f t="shared" si="212"/>
        <v>0</v>
      </c>
      <c r="T157" s="156">
        <f t="shared" si="213"/>
        <v>0</v>
      </c>
      <c r="U157" s="156">
        <f t="shared" si="214"/>
        <v>0</v>
      </c>
      <c r="V157" s="156">
        <f t="shared" si="215"/>
        <v>0</v>
      </c>
      <c r="W157" s="156">
        <f t="shared" si="202"/>
        <v>0</v>
      </c>
      <c r="X157" s="158">
        <f t="shared" ref="X157" si="333">$S157/ORCAMENTO_VALOR_TOTAL_ND</f>
        <v>0</v>
      </c>
      <c r="Y157" s="158">
        <f t="shared" ref="Y157" si="334">$T157/ORCAMENTO_VALOR_TOTAL_DE</f>
        <v>0</v>
      </c>
      <c r="Z157" s="158" cm="1">
        <f t="array" ref="Z157">_xlfn.SWITCH($N157,"BDI 1",$O$6,"BDI 2",$O$7,"BDI 3",$O$8)</f>
        <v>0.20699999999999999</v>
      </c>
      <c r="AA157" s="158" cm="1">
        <f t="array" ref="AA157">_xlfn.SWITCH($N157,"BDI 1",$P$6,"BDI 2",$P$7,"BDI 3",$P$8)</f>
        <v>0.26739999999999997</v>
      </c>
      <c r="AB157" s="158">
        <f t="shared" ca="1" si="218"/>
        <v>0</v>
      </c>
      <c r="AC157" s="158">
        <f t="shared" ca="1" si="219"/>
        <v>0</v>
      </c>
      <c r="AD157" s="164"/>
      <c r="AE157" s="148">
        <f t="shared" si="205"/>
        <v>0</v>
      </c>
      <c r="AF157" s="149"/>
      <c r="AG157" s="150"/>
      <c r="AH157" s="159" t="e">
        <f t="shared" si="206"/>
        <v>#DIV/0!</v>
      </c>
      <c r="AI157" s="2426"/>
      <c r="AJ157" s="105"/>
      <c r="AK157" s="105"/>
      <c r="AM157" s="105"/>
      <c r="AN157" s="105"/>
      <c r="AO157" s="105"/>
      <c r="AP157" s="105"/>
      <c r="AQ157" s="105"/>
      <c r="AR157" s="105"/>
    </row>
    <row r="158" spans="1:44" s="49" customFormat="1" ht="40.15" hidden="1" customHeight="1">
      <c r="A158" s="152">
        <f t="shared" ca="1" si="207"/>
        <v>0</v>
      </c>
      <c r="B158" s="153">
        <v>101622</v>
      </c>
      <c r="C158" s="154" t="str">
        <f t="shared" si="208"/>
        <v>101622</v>
      </c>
      <c r="D158" s="154" t="s">
        <v>1416</v>
      </c>
      <c r="E158" s="155" t="s">
        <v>3656</v>
      </c>
      <c r="F158" s="154"/>
      <c r="G158" s="154" t="s">
        <v>464</v>
      </c>
      <c r="H158" s="152">
        <v>204.43</v>
      </c>
      <c r="I158" s="152">
        <v>203.37</v>
      </c>
      <c r="J158" s="156"/>
      <c r="K158" s="156">
        <f>Dre_Terraplenagem!AI157</f>
        <v>0</v>
      </c>
      <c r="L158" s="156">
        <f t="shared" si="209"/>
        <v>0</v>
      </c>
      <c r="M158" s="156">
        <f t="shared" si="210"/>
        <v>0</v>
      </c>
      <c r="N158" s="156" t="s">
        <v>83</v>
      </c>
      <c r="O158" s="157" cm="1">
        <f t="array" ref="O158">TRUNC($H158*(1+_xlfn.SWITCH($N158,"BDI 1",$O$6,"BDI 2",$O$7,"BDI 3",$O$8)),2)</f>
        <v>246.74</v>
      </c>
      <c r="P158" s="157" cm="1">
        <f t="array" ref="P158">TRUNC($I158*(1+_xlfn.SWITCH($N158,"BDI 1",$P$6,"BDI 2",$P$7,"BDI 3",$P$8)),2)</f>
        <v>257.75</v>
      </c>
      <c r="Q158" s="157">
        <v>0</v>
      </c>
      <c r="R158" s="157">
        <f t="shared" ref="R158" si="335">$Q158-($Q158*LICITACAO_DESCONTO)</f>
        <v>0</v>
      </c>
      <c r="S158" s="156">
        <f t="shared" si="212"/>
        <v>0</v>
      </c>
      <c r="T158" s="156">
        <f t="shared" si="213"/>
        <v>0</v>
      </c>
      <c r="U158" s="156">
        <f t="shared" si="214"/>
        <v>0</v>
      </c>
      <c r="V158" s="156">
        <f t="shared" si="215"/>
        <v>0</v>
      </c>
      <c r="W158" s="156">
        <f t="shared" si="202"/>
        <v>0</v>
      </c>
      <c r="X158" s="158">
        <f t="shared" ref="X158" si="336">$S158/ORCAMENTO_VALOR_TOTAL_ND</f>
        <v>0</v>
      </c>
      <c r="Y158" s="158">
        <f t="shared" ref="Y158" si="337">$T158/ORCAMENTO_VALOR_TOTAL_DE</f>
        <v>0</v>
      </c>
      <c r="Z158" s="158" cm="1">
        <f t="array" ref="Z158">_xlfn.SWITCH($N158,"BDI 1",$O$6,"BDI 2",$O$7,"BDI 3",$O$8)</f>
        <v>0.20699999999999999</v>
      </c>
      <c r="AA158" s="158" cm="1">
        <f t="array" ref="AA158">_xlfn.SWITCH($N158,"BDI 1",$P$6,"BDI 2",$P$7,"BDI 3",$P$8)</f>
        <v>0.26739999999999997</v>
      </c>
      <c r="AB158" s="158">
        <f t="shared" ca="1" si="218"/>
        <v>0</v>
      </c>
      <c r="AC158" s="158">
        <f t="shared" ca="1" si="219"/>
        <v>0</v>
      </c>
      <c r="AD158" s="164"/>
      <c r="AE158" s="148">
        <f t="shared" si="205"/>
        <v>0</v>
      </c>
      <c r="AF158" s="149"/>
      <c r="AG158" s="150"/>
      <c r="AH158" s="159" t="e">
        <f t="shared" si="206"/>
        <v>#DIV/0!</v>
      </c>
      <c r="AI158" s="2426"/>
      <c r="AJ158" s="105"/>
      <c r="AK158" s="105"/>
      <c r="AM158" s="105"/>
      <c r="AN158" s="105"/>
      <c r="AO158" s="105"/>
      <c r="AP158" s="105"/>
      <c r="AQ158" s="105"/>
      <c r="AR158" s="105"/>
    </row>
    <row r="159" spans="1:44" s="49" customFormat="1" ht="40.15" hidden="1" customHeight="1">
      <c r="A159" s="152">
        <f t="shared" ca="1" si="207"/>
        <v>0</v>
      </c>
      <c r="B159" s="153">
        <v>101625</v>
      </c>
      <c r="C159" s="154" t="str">
        <f t="shared" si="208"/>
        <v>101625</v>
      </c>
      <c r="D159" s="154" t="s">
        <v>1416</v>
      </c>
      <c r="E159" s="155" t="s">
        <v>3657</v>
      </c>
      <c r="F159" s="154"/>
      <c r="G159" s="154" t="s">
        <v>464</v>
      </c>
      <c r="H159" s="152">
        <v>165.71</v>
      </c>
      <c r="I159" s="152">
        <v>167.16</v>
      </c>
      <c r="J159" s="156"/>
      <c r="K159" s="156">
        <f>Dre_Terraplenagem!AI158</f>
        <v>0</v>
      </c>
      <c r="L159" s="156">
        <f t="shared" si="209"/>
        <v>0</v>
      </c>
      <c r="M159" s="156">
        <f t="shared" si="210"/>
        <v>0</v>
      </c>
      <c r="N159" s="156" t="s">
        <v>83</v>
      </c>
      <c r="O159" s="157" cm="1">
        <f t="array" ref="O159">TRUNC($H159*(1+_xlfn.SWITCH($N159,"BDI 1",$O$6,"BDI 2",$O$7,"BDI 3",$O$8)),2)</f>
        <v>200.01</v>
      </c>
      <c r="P159" s="157" cm="1">
        <f t="array" ref="P159">TRUNC($I159*(1+_xlfn.SWITCH($N159,"BDI 1",$P$6,"BDI 2",$P$7,"BDI 3",$P$8)),2)</f>
        <v>211.85</v>
      </c>
      <c r="Q159" s="157">
        <v>0</v>
      </c>
      <c r="R159" s="157">
        <f t="shared" ref="R159" si="338">$Q159-($Q159*LICITACAO_DESCONTO)</f>
        <v>0</v>
      </c>
      <c r="S159" s="156">
        <f t="shared" si="212"/>
        <v>0</v>
      </c>
      <c r="T159" s="156">
        <f t="shared" si="213"/>
        <v>0</v>
      </c>
      <c r="U159" s="156">
        <f t="shared" si="214"/>
        <v>0</v>
      </c>
      <c r="V159" s="156">
        <f t="shared" si="215"/>
        <v>0</v>
      </c>
      <c r="W159" s="156">
        <f t="shared" si="202"/>
        <v>0</v>
      </c>
      <c r="X159" s="158">
        <f t="shared" ref="X159" si="339">$S159/ORCAMENTO_VALOR_TOTAL_ND</f>
        <v>0</v>
      </c>
      <c r="Y159" s="158">
        <f t="shared" ref="Y159" si="340">$T159/ORCAMENTO_VALOR_TOTAL_DE</f>
        <v>0</v>
      </c>
      <c r="Z159" s="158" cm="1">
        <f t="array" ref="Z159">_xlfn.SWITCH($N159,"BDI 1",$O$6,"BDI 2",$O$7,"BDI 3",$O$8)</f>
        <v>0.20699999999999999</v>
      </c>
      <c r="AA159" s="158" cm="1">
        <f t="array" ref="AA159">_xlfn.SWITCH($N159,"BDI 1",$P$6,"BDI 2",$P$7,"BDI 3",$P$8)</f>
        <v>0.26739999999999997</v>
      </c>
      <c r="AB159" s="158">
        <f t="shared" ca="1" si="218"/>
        <v>0</v>
      </c>
      <c r="AC159" s="158">
        <f t="shared" ca="1" si="219"/>
        <v>0</v>
      </c>
      <c r="AD159" s="164"/>
      <c r="AE159" s="148">
        <f t="shared" si="205"/>
        <v>0</v>
      </c>
      <c r="AF159" s="149"/>
      <c r="AG159" s="150"/>
      <c r="AH159" s="159" t="e">
        <f t="shared" si="206"/>
        <v>#DIV/0!</v>
      </c>
      <c r="AI159" s="2426"/>
      <c r="AJ159" s="105"/>
      <c r="AK159" s="105"/>
      <c r="AM159" s="105"/>
      <c r="AN159" s="105"/>
      <c r="AO159" s="105"/>
      <c r="AP159" s="105"/>
      <c r="AQ159" s="105"/>
      <c r="AR159" s="105"/>
    </row>
    <row r="160" spans="1:44" s="49" customFormat="1" ht="40.15" hidden="1" customHeight="1">
      <c r="A160" s="152">
        <f t="shared" ca="1" si="207"/>
        <v>0</v>
      </c>
      <c r="B160" s="153">
        <v>96616</v>
      </c>
      <c r="C160" s="154" t="str">
        <f t="shared" si="208"/>
        <v>96616</v>
      </c>
      <c r="D160" s="154" t="s">
        <v>1416</v>
      </c>
      <c r="E160" s="155" t="s">
        <v>3658</v>
      </c>
      <c r="F160" s="154"/>
      <c r="G160" s="154" t="s">
        <v>464</v>
      </c>
      <c r="H160" s="152">
        <v>745.23</v>
      </c>
      <c r="I160" s="152">
        <v>722.87</v>
      </c>
      <c r="J160" s="156"/>
      <c r="K160" s="156">
        <f>Dre_Terraplenagem!AI163</f>
        <v>0</v>
      </c>
      <c r="L160" s="156">
        <f t="shared" si="209"/>
        <v>0</v>
      </c>
      <c r="M160" s="156">
        <f t="shared" si="210"/>
        <v>0</v>
      </c>
      <c r="N160" s="156" t="s">
        <v>83</v>
      </c>
      <c r="O160" s="157" cm="1">
        <f t="array" ref="O160">TRUNC($H160*(1+_xlfn.SWITCH($N160,"BDI 1",$O$6,"BDI 2",$O$7,"BDI 3",$O$8)),2)</f>
        <v>899.49</v>
      </c>
      <c r="P160" s="157" cm="1">
        <f t="array" ref="P160">TRUNC($I160*(1+_xlfn.SWITCH($N160,"BDI 1",$P$6,"BDI 2",$P$7,"BDI 3",$P$8)),2)</f>
        <v>916.16</v>
      </c>
      <c r="Q160" s="157">
        <v>0</v>
      </c>
      <c r="R160" s="157">
        <f t="shared" ref="R160" si="341">$Q160-($Q160*LICITACAO_DESCONTO)</f>
        <v>0</v>
      </c>
      <c r="S160" s="156">
        <f t="shared" si="212"/>
        <v>0</v>
      </c>
      <c r="T160" s="156">
        <f t="shared" si="213"/>
        <v>0</v>
      </c>
      <c r="U160" s="156">
        <f t="shared" si="214"/>
        <v>0</v>
      </c>
      <c r="V160" s="156">
        <f t="shared" si="215"/>
        <v>0</v>
      </c>
      <c r="W160" s="156">
        <f t="shared" si="202"/>
        <v>0</v>
      </c>
      <c r="X160" s="158">
        <f t="shared" ref="X160" si="342">$S160/ORCAMENTO_VALOR_TOTAL_ND</f>
        <v>0</v>
      </c>
      <c r="Y160" s="158">
        <f t="shared" ref="Y160" si="343">$T160/ORCAMENTO_VALOR_TOTAL_DE</f>
        <v>0</v>
      </c>
      <c r="Z160" s="158" cm="1">
        <f t="array" ref="Z160">_xlfn.SWITCH($N160,"BDI 1",$O$6,"BDI 2",$O$7,"BDI 3",$O$8)</f>
        <v>0.20699999999999999</v>
      </c>
      <c r="AA160" s="158" cm="1">
        <f t="array" ref="AA160">_xlfn.SWITCH($N160,"BDI 1",$P$6,"BDI 2",$P$7,"BDI 3",$P$8)</f>
        <v>0.26739999999999997</v>
      </c>
      <c r="AB160" s="158">
        <f t="shared" ca="1" si="218"/>
        <v>0</v>
      </c>
      <c r="AC160" s="158">
        <f t="shared" ca="1" si="219"/>
        <v>0</v>
      </c>
      <c r="AD160" s="164"/>
      <c r="AE160" s="148">
        <f t="shared" si="205"/>
        <v>0</v>
      </c>
      <c r="AF160" s="149"/>
      <c r="AG160" s="150"/>
      <c r="AH160" s="159" t="e">
        <f t="shared" si="206"/>
        <v>#DIV/0!</v>
      </c>
      <c r="AI160" s="190"/>
      <c r="AJ160" s="105"/>
      <c r="AK160" s="105"/>
      <c r="AM160" s="105"/>
      <c r="AN160" s="105"/>
      <c r="AO160" s="105"/>
      <c r="AP160" s="105"/>
      <c r="AQ160" s="105"/>
      <c r="AR160" s="105"/>
    </row>
    <row r="161" spans="1:44" s="49" customFormat="1" ht="40.15" hidden="1" customHeight="1">
      <c r="A161" s="152">
        <f t="shared" ca="1" si="207"/>
        <v>0</v>
      </c>
      <c r="B161" s="153" t="s">
        <v>133</v>
      </c>
      <c r="C161" s="154" t="str">
        <f t="shared" si="208"/>
        <v>DR/0032</v>
      </c>
      <c r="D161" s="154" t="s">
        <v>3549</v>
      </c>
      <c r="E161" s="155" t="s">
        <v>3659</v>
      </c>
      <c r="F161" s="154"/>
      <c r="G161" s="154" t="s">
        <v>464</v>
      </c>
      <c r="H161" s="152">
        <v>258.72000000000003</v>
      </c>
      <c r="I161" s="152">
        <v>246.98</v>
      </c>
      <c r="J161" s="156"/>
      <c r="K161" s="156">
        <f>Dre_Terraplenagem!AI184+Dre_Terraplenagem!AI179</f>
        <v>0</v>
      </c>
      <c r="L161" s="156">
        <f t="shared" si="209"/>
        <v>0</v>
      </c>
      <c r="M161" s="156">
        <f t="shared" si="210"/>
        <v>0</v>
      </c>
      <c r="N161" s="156" t="s">
        <v>83</v>
      </c>
      <c r="O161" s="157" cm="1">
        <f t="array" ref="O161">TRUNC($H161*(1+_xlfn.SWITCH($N161,"BDI 1",$O$6,"BDI 2",$O$7,"BDI 3",$O$8)),2)</f>
        <v>312.27</v>
      </c>
      <c r="P161" s="157" cm="1">
        <f t="array" ref="P161">TRUNC($I161*(1+_xlfn.SWITCH($N161,"BDI 1",$P$6,"BDI 2",$P$7,"BDI 3",$P$8)),2)</f>
        <v>313.02</v>
      </c>
      <c r="Q161" s="157">
        <v>0</v>
      </c>
      <c r="R161" s="157">
        <f t="shared" ref="R161" si="344">$Q161-($Q161*LICITACAO_DESCONTO)</f>
        <v>0</v>
      </c>
      <c r="S161" s="156">
        <f t="shared" si="212"/>
        <v>0</v>
      </c>
      <c r="T161" s="156">
        <f t="shared" si="213"/>
        <v>0</v>
      </c>
      <c r="U161" s="156">
        <f t="shared" si="214"/>
        <v>0</v>
      </c>
      <c r="V161" s="156">
        <f t="shared" si="215"/>
        <v>0</v>
      </c>
      <c r="W161" s="156">
        <f t="shared" si="202"/>
        <v>0</v>
      </c>
      <c r="X161" s="158">
        <f t="shared" ref="X161" si="345">$S161/ORCAMENTO_VALOR_TOTAL_ND</f>
        <v>0</v>
      </c>
      <c r="Y161" s="158">
        <f t="shared" ref="Y161" si="346">$T161/ORCAMENTO_VALOR_TOTAL_DE</f>
        <v>0</v>
      </c>
      <c r="Z161" s="158" cm="1">
        <f t="array" ref="Z161">_xlfn.SWITCH($N161,"BDI 1",$O$6,"BDI 2",$O$7,"BDI 3",$O$8)</f>
        <v>0.20699999999999999</v>
      </c>
      <c r="AA161" s="158" cm="1">
        <f t="array" ref="AA161">_xlfn.SWITCH($N161,"BDI 1",$P$6,"BDI 2",$P$7,"BDI 3",$P$8)</f>
        <v>0.26739999999999997</v>
      </c>
      <c r="AB161" s="158">
        <f t="shared" ca="1" si="218"/>
        <v>0</v>
      </c>
      <c r="AC161" s="158">
        <f t="shared" ca="1" si="219"/>
        <v>0</v>
      </c>
      <c r="AD161" s="164"/>
      <c r="AE161" s="148">
        <f t="shared" si="205"/>
        <v>0</v>
      </c>
      <c r="AF161" s="149"/>
      <c r="AG161" s="150"/>
      <c r="AH161" s="159" t="e">
        <f t="shared" si="206"/>
        <v>#DIV/0!</v>
      </c>
      <c r="AI161" s="160"/>
      <c r="AJ161" s="105"/>
      <c r="AK161" s="105"/>
      <c r="AM161" s="105"/>
      <c r="AN161" s="105"/>
      <c r="AO161" s="105"/>
      <c r="AP161" s="105"/>
      <c r="AQ161" s="105"/>
      <c r="AR161" s="105"/>
    </row>
    <row r="162" spans="1:44" s="49" customFormat="1" ht="49.9" hidden="1" customHeight="1">
      <c r="A162" s="152">
        <f t="shared" ca="1" si="207"/>
        <v>0</v>
      </c>
      <c r="B162" s="153">
        <v>104733</v>
      </c>
      <c r="C162" s="154" t="str">
        <f t="shared" si="208"/>
        <v>104733</v>
      </c>
      <c r="D162" s="154" t="s">
        <v>1416</v>
      </c>
      <c r="E162" s="155" t="s">
        <v>3660</v>
      </c>
      <c r="F162" s="154"/>
      <c r="G162" s="154" t="s">
        <v>464</v>
      </c>
      <c r="H162" s="152">
        <v>18.8</v>
      </c>
      <c r="I162" s="152">
        <v>18.12</v>
      </c>
      <c r="J162" s="156"/>
      <c r="K162" s="156">
        <f>Dre_Terraplenagem!AI134</f>
        <v>0</v>
      </c>
      <c r="L162" s="156">
        <f t="shared" si="209"/>
        <v>0</v>
      </c>
      <c r="M162" s="156">
        <f t="shared" si="210"/>
        <v>0</v>
      </c>
      <c r="N162" s="156" t="s">
        <v>83</v>
      </c>
      <c r="O162" s="157" cm="1">
        <f t="array" ref="O162">TRUNC($H162*(1+_xlfn.SWITCH($N162,"BDI 1",$O$6,"BDI 2",$O$7,"BDI 3",$O$8)),2)</f>
        <v>22.69</v>
      </c>
      <c r="P162" s="157" cm="1">
        <f t="array" ref="P162">TRUNC($I162*(1+_xlfn.SWITCH($N162,"BDI 1",$P$6,"BDI 2",$P$7,"BDI 3",$P$8)),2)</f>
        <v>22.96</v>
      </c>
      <c r="Q162" s="157">
        <v>0</v>
      </c>
      <c r="R162" s="157">
        <f t="shared" ref="R162" si="347">$Q162-($Q162*LICITACAO_DESCONTO)</f>
        <v>0</v>
      </c>
      <c r="S162" s="156">
        <f t="shared" si="212"/>
        <v>0</v>
      </c>
      <c r="T162" s="156">
        <f t="shared" si="213"/>
        <v>0</v>
      </c>
      <c r="U162" s="156">
        <f t="shared" si="214"/>
        <v>0</v>
      </c>
      <c r="V162" s="156">
        <f t="shared" si="215"/>
        <v>0</v>
      </c>
      <c r="W162" s="156">
        <f t="shared" si="202"/>
        <v>0</v>
      </c>
      <c r="X162" s="158">
        <f t="shared" ref="X162" si="348">$S162/ORCAMENTO_VALOR_TOTAL_ND</f>
        <v>0</v>
      </c>
      <c r="Y162" s="158">
        <f t="shared" ref="Y162" si="349">$T162/ORCAMENTO_VALOR_TOTAL_DE</f>
        <v>0</v>
      </c>
      <c r="Z162" s="158" cm="1">
        <f t="array" ref="Z162">_xlfn.SWITCH($N162,"BDI 1",$O$6,"BDI 2",$O$7,"BDI 3",$O$8)</f>
        <v>0.20699999999999999</v>
      </c>
      <c r="AA162" s="158" cm="1">
        <f t="array" ref="AA162">_xlfn.SWITCH($N162,"BDI 1",$P$6,"BDI 2",$P$7,"BDI 3",$P$8)</f>
        <v>0.26739999999999997</v>
      </c>
      <c r="AB162" s="158">
        <f t="shared" ca="1" si="218"/>
        <v>0</v>
      </c>
      <c r="AC162" s="158">
        <f t="shared" ca="1" si="219"/>
        <v>0</v>
      </c>
      <c r="AD162" s="164"/>
      <c r="AE162" s="148">
        <f t="shared" si="205"/>
        <v>0</v>
      </c>
      <c r="AF162" s="149"/>
      <c r="AG162" s="150"/>
      <c r="AH162" s="159" t="e">
        <f t="shared" si="206"/>
        <v>#DIV/0!</v>
      </c>
      <c r="AI162" s="2425">
        <v>0</v>
      </c>
      <c r="AJ162" s="105"/>
      <c r="AK162" s="105"/>
      <c r="AM162" s="105"/>
      <c r="AN162" s="105"/>
      <c r="AO162" s="105"/>
      <c r="AP162" s="105"/>
      <c r="AQ162" s="105"/>
      <c r="AR162" s="105"/>
    </row>
    <row r="163" spans="1:44" s="49" customFormat="1" ht="49.9" hidden="1" customHeight="1">
      <c r="A163" s="152">
        <f t="shared" ca="1" si="207"/>
        <v>0</v>
      </c>
      <c r="B163" s="153">
        <v>104734</v>
      </c>
      <c r="C163" s="154" t="str">
        <f t="shared" si="208"/>
        <v>104734</v>
      </c>
      <c r="D163" s="154" t="s">
        <v>1416</v>
      </c>
      <c r="E163" s="155" t="s">
        <v>3661</v>
      </c>
      <c r="F163" s="154"/>
      <c r="G163" s="154" t="s">
        <v>464</v>
      </c>
      <c r="H163" s="152">
        <v>13.67</v>
      </c>
      <c r="I163" s="152">
        <v>13.2</v>
      </c>
      <c r="J163" s="156"/>
      <c r="K163" s="156">
        <f>Dre_Terraplenagem!AI135</f>
        <v>0</v>
      </c>
      <c r="L163" s="156">
        <f t="shared" si="209"/>
        <v>0</v>
      </c>
      <c r="M163" s="156">
        <f t="shared" si="210"/>
        <v>0</v>
      </c>
      <c r="N163" s="156" t="s">
        <v>83</v>
      </c>
      <c r="O163" s="157" cm="1">
        <f t="array" ref="O163">TRUNC($H163*(1+_xlfn.SWITCH($N163,"BDI 1",$O$6,"BDI 2",$O$7,"BDI 3",$O$8)),2)</f>
        <v>16.489999999999998</v>
      </c>
      <c r="P163" s="157" cm="1">
        <f t="array" ref="P163">TRUNC($I163*(1+_xlfn.SWITCH($N163,"BDI 1",$P$6,"BDI 2",$P$7,"BDI 3",$P$8)),2)</f>
        <v>16.72</v>
      </c>
      <c r="Q163" s="157">
        <v>0</v>
      </c>
      <c r="R163" s="157">
        <f t="shared" ref="R163" si="350">$Q163-($Q163*LICITACAO_DESCONTO)</f>
        <v>0</v>
      </c>
      <c r="S163" s="156">
        <f t="shared" si="212"/>
        <v>0</v>
      </c>
      <c r="T163" s="156">
        <f t="shared" si="213"/>
        <v>0</v>
      </c>
      <c r="U163" s="156">
        <f t="shared" si="214"/>
        <v>0</v>
      </c>
      <c r="V163" s="156">
        <f t="shared" si="215"/>
        <v>0</v>
      </c>
      <c r="W163" s="156">
        <f t="shared" si="202"/>
        <v>0</v>
      </c>
      <c r="X163" s="158">
        <f t="shared" ref="X163" si="351">$S163/ORCAMENTO_VALOR_TOTAL_ND</f>
        <v>0</v>
      </c>
      <c r="Y163" s="158">
        <f t="shared" ref="Y163" si="352">$T163/ORCAMENTO_VALOR_TOTAL_DE</f>
        <v>0</v>
      </c>
      <c r="Z163" s="158" cm="1">
        <f t="array" ref="Z163">_xlfn.SWITCH($N163,"BDI 1",$O$6,"BDI 2",$O$7,"BDI 3",$O$8)</f>
        <v>0.20699999999999999</v>
      </c>
      <c r="AA163" s="158" cm="1">
        <f t="array" ref="AA163">_xlfn.SWITCH($N163,"BDI 1",$P$6,"BDI 2",$P$7,"BDI 3",$P$8)</f>
        <v>0.26739999999999997</v>
      </c>
      <c r="AB163" s="158">
        <f t="shared" ca="1" si="218"/>
        <v>0</v>
      </c>
      <c r="AC163" s="158">
        <f t="shared" ca="1" si="219"/>
        <v>0</v>
      </c>
      <c r="AD163" s="164"/>
      <c r="AE163" s="148">
        <f t="shared" si="205"/>
        <v>0</v>
      </c>
      <c r="AF163" s="149"/>
      <c r="AG163" s="150"/>
      <c r="AH163" s="159" t="e">
        <f t="shared" si="206"/>
        <v>#DIV/0!</v>
      </c>
      <c r="AI163" s="2425"/>
      <c r="AJ163" s="105"/>
      <c r="AK163" s="105"/>
      <c r="AM163" s="105"/>
      <c r="AN163" s="105"/>
      <c r="AO163" s="105"/>
      <c r="AP163" s="105"/>
      <c r="AQ163" s="105"/>
      <c r="AR163" s="105"/>
    </row>
    <row r="164" spans="1:44" s="49" customFormat="1" ht="49.9" hidden="1" customHeight="1">
      <c r="A164" s="152">
        <f t="shared" ca="1" si="207"/>
        <v>0</v>
      </c>
      <c r="B164" s="153">
        <v>104728</v>
      </c>
      <c r="C164" s="154" t="str">
        <f t="shared" si="208"/>
        <v>104728</v>
      </c>
      <c r="D164" s="154" t="s">
        <v>1416</v>
      </c>
      <c r="E164" s="155" t="s">
        <v>3662</v>
      </c>
      <c r="F164" s="154"/>
      <c r="G164" s="154" t="s">
        <v>464</v>
      </c>
      <c r="H164" s="152">
        <v>17.93</v>
      </c>
      <c r="I164" s="152">
        <v>17.63</v>
      </c>
      <c r="J164" s="156"/>
      <c r="K164" s="156">
        <f>Dre_Terraplenagem!AI136</f>
        <v>0</v>
      </c>
      <c r="L164" s="156">
        <f t="shared" si="209"/>
        <v>0</v>
      </c>
      <c r="M164" s="156">
        <f t="shared" si="210"/>
        <v>0</v>
      </c>
      <c r="N164" s="156" t="s">
        <v>83</v>
      </c>
      <c r="O164" s="157" cm="1">
        <f t="array" ref="O164">TRUNC($H164*(1+_xlfn.SWITCH($N164,"BDI 1",$O$6,"BDI 2",$O$7,"BDI 3",$O$8)),2)</f>
        <v>21.64</v>
      </c>
      <c r="P164" s="157" cm="1">
        <f t="array" ref="P164">TRUNC($I164*(1+_xlfn.SWITCH($N164,"BDI 1",$P$6,"BDI 2",$P$7,"BDI 3",$P$8)),2)</f>
        <v>22.34</v>
      </c>
      <c r="Q164" s="157">
        <v>0</v>
      </c>
      <c r="R164" s="157">
        <f t="shared" ref="R164" si="353">$Q164-($Q164*LICITACAO_DESCONTO)</f>
        <v>0</v>
      </c>
      <c r="S164" s="156">
        <f t="shared" si="212"/>
        <v>0</v>
      </c>
      <c r="T164" s="156">
        <f t="shared" si="213"/>
        <v>0</v>
      </c>
      <c r="U164" s="156">
        <f t="shared" si="214"/>
        <v>0</v>
      </c>
      <c r="V164" s="156">
        <f t="shared" si="215"/>
        <v>0</v>
      </c>
      <c r="W164" s="156">
        <f t="shared" si="202"/>
        <v>0</v>
      </c>
      <c r="X164" s="158">
        <f t="shared" ref="X164" si="354">$S164/ORCAMENTO_VALOR_TOTAL_ND</f>
        <v>0</v>
      </c>
      <c r="Y164" s="158">
        <f t="shared" ref="Y164" si="355">$T164/ORCAMENTO_VALOR_TOTAL_DE</f>
        <v>0</v>
      </c>
      <c r="Z164" s="158" cm="1">
        <f t="array" ref="Z164">_xlfn.SWITCH($N164,"BDI 1",$O$6,"BDI 2",$O$7,"BDI 3",$O$8)</f>
        <v>0.20699999999999999</v>
      </c>
      <c r="AA164" s="158" cm="1">
        <f t="array" ref="AA164">_xlfn.SWITCH($N164,"BDI 1",$P$6,"BDI 2",$P$7,"BDI 3",$P$8)</f>
        <v>0.26739999999999997</v>
      </c>
      <c r="AB164" s="158">
        <f t="shared" ca="1" si="218"/>
        <v>0</v>
      </c>
      <c r="AC164" s="158">
        <f t="shared" ca="1" si="219"/>
        <v>0</v>
      </c>
      <c r="AD164" s="164"/>
      <c r="AE164" s="148">
        <f t="shared" si="205"/>
        <v>0</v>
      </c>
      <c r="AF164" s="149"/>
      <c r="AG164" s="150"/>
      <c r="AH164" s="159" t="e">
        <f t="shared" si="206"/>
        <v>#DIV/0!</v>
      </c>
      <c r="AI164" s="2425"/>
      <c r="AJ164" s="105"/>
      <c r="AK164" s="105"/>
      <c r="AM164" s="105"/>
      <c r="AN164" s="105"/>
      <c r="AO164" s="105"/>
      <c r="AP164" s="105"/>
      <c r="AQ164" s="105"/>
      <c r="AR164" s="105"/>
    </row>
    <row r="165" spans="1:44" s="49" customFormat="1" ht="49.9" hidden="1" customHeight="1">
      <c r="A165" s="152">
        <f t="shared" ca="1" si="207"/>
        <v>0</v>
      </c>
      <c r="B165" s="153">
        <v>104735</v>
      </c>
      <c r="C165" s="154" t="str">
        <f t="shared" si="208"/>
        <v>104735</v>
      </c>
      <c r="D165" s="154" t="s">
        <v>1416</v>
      </c>
      <c r="E165" s="155" t="s">
        <v>3663</v>
      </c>
      <c r="F165" s="154"/>
      <c r="G165" s="154" t="s">
        <v>464</v>
      </c>
      <c r="H165" s="152">
        <v>11.16</v>
      </c>
      <c r="I165" s="152">
        <v>10.79</v>
      </c>
      <c r="J165" s="156"/>
      <c r="K165" s="156">
        <f>Dre_Terraplenagem!AI137</f>
        <v>0</v>
      </c>
      <c r="L165" s="156">
        <f t="shared" si="209"/>
        <v>0</v>
      </c>
      <c r="M165" s="156">
        <f t="shared" si="210"/>
        <v>0</v>
      </c>
      <c r="N165" s="156" t="s">
        <v>83</v>
      </c>
      <c r="O165" s="157" cm="1">
        <f t="array" ref="O165">TRUNC($H165*(1+_xlfn.SWITCH($N165,"BDI 1",$O$6,"BDI 2",$O$7,"BDI 3",$O$8)),2)</f>
        <v>13.47</v>
      </c>
      <c r="P165" s="157" cm="1">
        <f t="array" ref="P165">TRUNC($I165*(1+_xlfn.SWITCH($N165,"BDI 1",$P$6,"BDI 2",$P$7,"BDI 3",$P$8)),2)</f>
        <v>13.67</v>
      </c>
      <c r="Q165" s="157">
        <v>0</v>
      </c>
      <c r="R165" s="157">
        <f t="shared" ref="R165" si="356">$Q165-($Q165*LICITACAO_DESCONTO)</f>
        <v>0</v>
      </c>
      <c r="S165" s="156">
        <f t="shared" si="212"/>
        <v>0</v>
      </c>
      <c r="T165" s="156">
        <f t="shared" si="213"/>
        <v>0</v>
      </c>
      <c r="U165" s="156">
        <f t="shared" si="214"/>
        <v>0</v>
      </c>
      <c r="V165" s="156">
        <f t="shared" si="215"/>
        <v>0</v>
      </c>
      <c r="W165" s="156">
        <f t="shared" si="202"/>
        <v>0</v>
      </c>
      <c r="X165" s="158">
        <f t="shared" ref="X165" si="357">$S165/ORCAMENTO_VALOR_TOTAL_ND</f>
        <v>0</v>
      </c>
      <c r="Y165" s="158">
        <f t="shared" ref="Y165" si="358">$T165/ORCAMENTO_VALOR_TOTAL_DE</f>
        <v>0</v>
      </c>
      <c r="Z165" s="158" cm="1">
        <f t="array" ref="Z165">_xlfn.SWITCH($N165,"BDI 1",$O$6,"BDI 2",$O$7,"BDI 3",$O$8)</f>
        <v>0.20699999999999999</v>
      </c>
      <c r="AA165" s="158" cm="1">
        <f t="array" ref="AA165">_xlfn.SWITCH($N165,"BDI 1",$P$6,"BDI 2",$P$7,"BDI 3",$P$8)</f>
        <v>0.26739999999999997</v>
      </c>
      <c r="AB165" s="158">
        <f t="shared" ca="1" si="218"/>
        <v>0</v>
      </c>
      <c r="AC165" s="158">
        <f t="shared" ca="1" si="219"/>
        <v>0</v>
      </c>
      <c r="AD165" s="164"/>
      <c r="AE165" s="148">
        <f t="shared" si="205"/>
        <v>0</v>
      </c>
      <c r="AF165" s="149"/>
      <c r="AG165" s="150"/>
      <c r="AH165" s="159" t="e">
        <f t="shared" si="206"/>
        <v>#DIV/0!</v>
      </c>
      <c r="AI165" s="2422">
        <v>0</v>
      </c>
      <c r="AJ165" s="105"/>
      <c r="AK165" s="105"/>
      <c r="AM165" s="105"/>
      <c r="AN165" s="105"/>
      <c r="AO165" s="105"/>
      <c r="AP165" s="105"/>
      <c r="AQ165" s="105"/>
      <c r="AR165" s="105"/>
    </row>
    <row r="166" spans="1:44" s="49" customFormat="1" ht="49.9" hidden="1" customHeight="1">
      <c r="A166" s="152">
        <f t="shared" ca="1" si="207"/>
        <v>0</v>
      </c>
      <c r="B166" s="153">
        <v>104736</v>
      </c>
      <c r="C166" s="154" t="str">
        <f t="shared" si="208"/>
        <v>104736</v>
      </c>
      <c r="D166" s="154" t="s">
        <v>1416</v>
      </c>
      <c r="E166" s="155" t="s">
        <v>3664</v>
      </c>
      <c r="F166" s="154"/>
      <c r="G166" s="154" t="s">
        <v>464</v>
      </c>
      <c r="H166" s="152">
        <v>8.3800000000000008</v>
      </c>
      <c r="I166" s="152">
        <v>8.1199999999999992</v>
      </c>
      <c r="J166" s="156"/>
      <c r="K166" s="156">
        <f>Dre_Terraplenagem!AI138</f>
        <v>0</v>
      </c>
      <c r="L166" s="156">
        <f t="shared" si="209"/>
        <v>0</v>
      </c>
      <c r="M166" s="156">
        <f t="shared" si="210"/>
        <v>0</v>
      </c>
      <c r="N166" s="156" t="s">
        <v>83</v>
      </c>
      <c r="O166" s="157" cm="1">
        <f t="array" ref="O166">TRUNC($H166*(1+_xlfn.SWITCH($N166,"BDI 1",$O$6,"BDI 2",$O$7,"BDI 3",$O$8)),2)</f>
        <v>10.11</v>
      </c>
      <c r="P166" s="157" cm="1">
        <f t="array" ref="P166">TRUNC($I166*(1+_xlfn.SWITCH($N166,"BDI 1",$P$6,"BDI 2",$P$7,"BDI 3",$P$8)),2)</f>
        <v>10.29</v>
      </c>
      <c r="Q166" s="157">
        <v>0</v>
      </c>
      <c r="R166" s="157">
        <f t="shared" ref="R166" si="359">$Q166-($Q166*LICITACAO_DESCONTO)</f>
        <v>0</v>
      </c>
      <c r="S166" s="156">
        <f t="shared" si="212"/>
        <v>0</v>
      </c>
      <c r="T166" s="156">
        <f t="shared" si="213"/>
        <v>0</v>
      </c>
      <c r="U166" s="156">
        <f t="shared" si="214"/>
        <v>0</v>
      </c>
      <c r="V166" s="156">
        <f t="shared" si="215"/>
        <v>0</v>
      </c>
      <c r="W166" s="156">
        <f t="shared" si="202"/>
        <v>0</v>
      </c>
      <c r="X166" s="158">
        <f t="shared" ref="X166" si="360">$S166/ORCAMENTO_VALOR_TOTAL_ND</f>
        <v>0</v>
      </c>
      <c r="Y166" s="158">
        <f t="shared" ref="Y166" si="361">$T166/ORCAMENTO_VALOR_TOTAL_DE</f>
        <v>0</v>
      </c>
      <c r="Z166" s="158" cm="1">
        <f t="array" ref="Z166">_xlfn.SWITCH($N166,"BDI 1",$O$6,"BDI 2",$O$7,"BDI 3",$O$8)</f>
        <v>0.20699999999999999</v>
      </c>
      <c r="AA166" s="158" cm="1">
        <f t="array" ref="AA166">_xlfn.SWITCH($N166,"BDI 1",$P$6,"BDI 2",$P$7,"BDI 3",$P$8)</f>
        <v>0.26739999999999997</v>
      </c>
      <c r="AB166" s="158">
        <f t="shared" ca="1" si="218"/>
        <v>0</v>
      </c>
      <c r="AC166" s="158">
        <f t="shared" ca="1" si="219"/>
        <v>0</v>
      </c>
      <c r="AD166" s="164"/>
      <c r="AE166" s="148">
        <f t="shared" si="205"/>
        <v>0</v>
      </c>
      <c r="AF166" s="149"/>
      <c r="AG166" s="150"/>
      <c r="AH166" s="159" t="e">
        <f t="shared" si="206"/>
        <v>#DIV/0!</v>
      </c>
      <c r="AI166" s="2422"/>
      <c r="AJ166" s="105"/>
      <c r="AK166" s="105"/>
      <c r="AM166" s="105"/>
      <c r="AN166" s="105"/>
      <c r="AO166" s="105"/>
      <c r="AP166" s="105"/>
      <c r="AQ166" s="105"/>
      <c r="AR166" s="105"/>
    </row>
    <row r="167" spans="1:44" s="49" customFormat="1" ht="49.9" hidden="1" customHeight="1">
      <c r="A167" s="152">
        <f t="shared" ca="1" si="207"/>
        <v>0</v>
      </c>
      <c r="B167" s="153">
        <v>104730</v>
      </c>
      <c r="C167" s="154" t="str">
        <f t="shared" si="208"/>
        <v>104730</v>
      </c>
      <c r="D167" s="154" t="s">
        <v>1416</v>
      </c>
      <c r="E167" s="155" t="s">
        <v>3665</v>
      </c>
      <c r="F167" s="154"/>
      <c r="G167" s="154" t="s">
        <v>464</v>
      </c>
      <c r="H167" s="152">
        <v>11.94</v>
      </c>
      <c r="I167" s="152">
        <v>11.75</v>
      </c>
      <c r="J167" s="156"/>
      <c r="K167" s="156">
        <f>Dre_Terraplenagem!AI139</f>
        <v>0</v>
      </c>
      <c r="L167" s="156">
        <f t="shared" si="209"/>
        <v>0</v>
      </c>
      <c r="M167" s="156">
        <f t="shared" si="210"/>
        <v>0</v>
      </c>
      <c r="N167" s="156" t="s">
        <v>83</v>
      </c>
      <c r="O167" s="157" cm="1">
        <f t="array" ref="O167">TRUNC($H167*(1+_xlfn.SWITCH($N167,"BDI 1",$O$6,"BDI 2",$O$7,"BDI 3",$O$8)),2)</f>
        <v>14.41</v>
      </c>
      <c r="P167" s="157" cm="1">
        <f t="array" ref="P167">TRUNC($I167*(1+_xlfn.SWITCH($N167,"BDI 1",$P$6,"BDI 2",$P$7,"BDI 3",$P$8)),2)</f>
        <v>14.89</v>
      </c>
      <c r="Q167" s="157">
        <v>0</v>
      </c>
      <c r="R167" s="157">
        <f t="shared" ref="R167" si="362">$Q167-($Q167*LICITACAO_DESCONTO)</f>
        <v>0</v>
      </c>
      <c r="S167" s="156">
        <f t="shared" si="212"/>
        <v>0</v>
      </c>
      <c r="T167" s="156">
        <f t="shared" si="213"/>
        <v>0</v>
      </c>
      <c r="U167" s="156">
        <f t="shared" si="214"/>
        <v>0</v>
      </c>
      <c r="V167" s="156">
        <f t="shared" si="215"/>
        <v>0</v>
      </c>
      <c r="W167" s="156">
        <f t="shared" si="202"/>
        <v>0</v>
      </c>
      <c r="X167" s="158">
        <f t="shared" ref="X167" si="363">$S167/ORCAMENTO_VALOR_TOTAL_ND</f>
        <v>0</v>
      </c>
      <c r="Y167" s="158">
        <f t="shared" ref="Y167" si="364">$T167/ORCAMENTO_VALOR_TOTAL_DE</f>
        <v>0</v>
      </c>
      <c r="Z167" s="158" cm="1">
        <f t="array" ref="Z167">_xlfn.SWITCH($N167,"BDI 1",$O$6,"BDI 2",$O$7,"BDI 3",$O$8)</f>
        <v>0.20699999999999999</v>
      </c>
      <c r="AA167" s="158" cm="1">
        <f t="array" ref="AA167">_xlfn.SWITCH($N167,"BDI 1",$P$6,"BDI 2",$P$7,"BDI 3",$P$8)</f>
        <v>0.26739999999999997</v>
      </c>
      <c r="AB167" s="158">
        <f t="shared" ca="1" si="218"/>
        <v>0</v>
      </c>
      <c r="AC167" s="158">
        <f t="shared" ca="1" si="219"/>
        <v>0</v>
      </c>
      <c r="AD167" s="164"/>
      <c r="AE167" s="148">
        <f t="shared" si="205"/>
        <v>0</v>
      </c>
      <c r="AF167" s="149"/>
      <c r="AG167" s="150"/>
      <c r="AH167" s="159" t="e">
        <f t="shared" si="206"/>
        <v>#DIV/0!</v>
      </c>
      <c r="AI167" s="2422"/>
      <c r="AJ167" s="105"/>
      <c r="AK167" s="105"/>
      <c r="AM167" s="105"/>
      <c r="AN167" s="105"/>
      <c r="AO167" s="105"/>
      <c r="AP167" s="105"/>
      <c r="AQ167" s="105"/>
      <c r="AR167" s="105"/>
    </row>
    <row r="168" spans="1:44" s="49" customFormat="1" ht="49.9" hidden="1" customHeight="1">
      <c r="A168" s="152">
        <f t="shared" ca="1" si="207"/>
        <v>0</v>
      </c>
      <c r="B168" s="153">
        <v>104731</v>
      </c>
      <c r="C168" s="154" t="str">
        <f t="shared" si="208"/>
        <v>104731</v>
      </c>
      <c r="D168" s="154" t="s">
        <v>1416</v>
      </c>
      <c r="E168" s="155" t="s">
        <v>3666</v>
      </c>
      <c r="F168" s="154"/>
      <c r="G168" s="154" t="s">
        <v>464</v>
      </c>
      <c r="H168" s="152">
        <v>11.35</v>
      </c>
      <c r="I168" s="152">
        <v>11.16</v>
      </c>
      <c r="J168" s="156"/>
      <c r="K168" s="156">
        <f>Dre_Terraplenagem!AI140+Dre_Terraplenagem!AI142+Dre_Terraplenagem!AI150</f>
        <v>0</v>
      </c>
      <c r="L168" s="156">
        <f t="shared" si="209"/>
        <v>0</v>
      </c>
      <c r="M168" s="156">
        <f t="shared" si="210"/>
        <v>0</v>
      </c>
      <c r="N168" s="156" t="s">
        <v>83</v>
      </c>
      <c r="O168" s="157" cm="1">
        <f t="array" ref="O168">TRUNC($H168*(1+_xlfn.SWITCH($N168,"BDI 1",$O$6,"BDI 2",$O$7,"BDI 3",$O$8)),2)</f>
        <v>13.69</v>
      </c>
      <c r="P168" s="157" cm="1">
        <f t="array" ref="P168">TRUNC($I168*(1+_xlfn.SWITCH($N168,"BDI 1",$P$6,"BDI 2",$P$7,"BDI 3",$P$8)),2)</f>
        <v>14.14</v>
      </c>
      <c r="Q168" s="157">
        <v>0</v>
      </c>
      <c r="R168" s="157">
        <f t="shared" ref="R168" si="365">$Q168-($Q168*LICITACAO_DESCONTO)</f>
        <v>0</v>
      </c>
      <c r="S168" s="156">
        <f t="shared" si="212"/>
        <v>0</v>
      </c>
      <c r="T168" s="156">
        <f t="shared" si="213"/>
        <v>0</v>
      </c>
      <c r="U168" s="156">
        <f t="shared" si="214"/>
        <v>0</v>
      </c>
      <c r="V168" s="156">
        <f t="shared" si="215"/>
        <v>0</v>
      </c>
      <c r="W168" s="156">
        <f t="shared" si="202"/>
        <v>0</v>
      </c>
      <c r="X168" s="158">
        <f t="shared" ref="X168" si="366">$S168/ORCAMENTO_VALOR_TOTAL_ND</f>
        <v>0</v>
      </c>
      <c r="Y168" s="158">
        <f t="shared" ref="Y168" si="367">$T168/ORCAMENTO_VALOR_TOTAL_DE</f>
        <v>0</v>
      </c>
      <c r="Z168" s="158" cm="1">
        <f t="array" ref="Z168">_xlfn.SWITCH($N168,"BDI 1",$O$6,"BDI 2",$O$7,"BDI 3",$O$8)</f>
        <v>0.20699999999999999</v>
      </c>
      <c r="AA168" s="158" cm="1">
        <f t="array" ref="AA168">_xlfn.SWITCH($N168,"BDI 1",$P$6,"BDI 2",$P$7,"BDI 3",$P$8)</f>
        <v>0.26739999999999997</v>
      </c>
      <c r="AB168" s="158">
        <f t="shared" ca="1" si="218"/>
        <v>0</v>
      </c>
      <c r="AC168" s="158">
        <f t="shared" ca="1" si="219"/>
        <v>0</v>
      </c>
      <c r="AD168" s="164"/>
      <c r="AE168" s="148">
        <f t="shared" si="205"/>
        <v>0</v>
      </c>
      <c r="AF168" s="149"/>
      <c r="AG168" s="150"/>
      <c r="AH168" s="159" t="e">
        <f t="shared" si="206"/>
        <v>#DIV/0!</v>
      </c>
      <c r="AI168" s="2423">
        <v>0</v>
      </c>
      <c r="AJ168" s="105"/>
      <c r="AK168" s="105"/>
      <c r="AM168" s="105"/>
      <c r="AN168" s="105"/>
      <c r="AO168" s="105"/>
      <c r="AP168" s="105"/>
      <c r="AQ168" s="105"/>
      <c r="AR168" s="105"/>
    </row>
    <row r="169" spans="1:44" s="49" customFormat="1" ht="49.9" hidden="1" customHeight="1">
      <c r="A169" s="152">
        <f t="shared" ca="1" si="207"/>
        <v>0</v>
      </c>
      <c r="B169" s="153">
        <v>104732</v>
      </c>
      <c r="C169" s="154" t="str">
        <f t="shared" si="208"/>
        <v>104732</v>
      </c>
      <c r="D169" s="154" t="s">
        <v>1416</v>
      </c>
      <c r="E169" s="155" t="s">
        <v>3667</v>
      </c>
      <c r="F169" s="154"/>
      <c r="G169" s="154" t="s">
        <v>464</v>
      </c>
      <c r="H169" s="152">
        <v>9.24</v>
      </c>
      <c r="I169" s="152">
        <v>9.07</v>
      </c>
      <c r="J169" s="156"/>
      <c r="K169" s="156">
        <f>Dre_Terraplenagem!AI141+Dre_Terraplenagem!AI143+Dre_Terraplenagem!AI151</f>
        <v>0</v>
      </c>
      <c r="L169" s="156">
        <f t="shared" si="209"/>
        <v>0</v>
      </c>
      <c r="M169" s="156">
        <f t="shared" si="210"/>
        <v>0</v>
      </c>
      <c r="N169" s="156" t="s">
        <v>83</v>
      </c>
      <c r="O169" s="157" cm="1">
        <f t="array" ref="O169">TRUNC($H169*(1+_xlfn.SWITCH($N169,"BDI 1",$O$6,"BDI 2",$O$7,"BDI 3",$O$8)),2)</f>
        <v>11.15</v>
      </c>
      <c r="P169" s="157" cm="1">
        <f t="array" ref="P169">TRUNC($I169*(1+_xlfn.SWITCH($N169,"BDI 1",$P$6,"BDI 2",$P$7,"BDI 3",$P$8)),2)</f>
        <v>11.49</v>
      </c>
      <c r="Q169" s="157">
        <v>0</v>
      </c>
      <c r="R169" s="157">
        <f t="shared" ref="R169" si="368">$Q169-($Q169*LICITACAO_DESCONTO)</f>
        <v>0</v>
      </c>
      <c r="S169" s="156">
        <f t="shared" si="212"/>
        <v>0</v>
      </c>
      <c r="T169" s="156">
        <f t="shared" si="213"/>
        <v>0</v>
      </c>
      <c r="U169" s="156">
        <f t="shared" si="214"/>
        <v>0</v>
      </c>
      <c r="V169" s="156">
        <f t="shared" si="215"/>
        <v>0</v>
      </c>
      <c r="W169" s="156">
        <f t="shared" si="202"/>
        <v>0</v>
      </c>
      <c r="X169" s="158">
        <f t="shared" ref="X169" si="369">$S169/ORCAMENTO_VALOR_TOTAL_ND</f>
        <v>0</v>
      </c>
      <c r="Y169" s="158">
        <f t="shared" ref="Y169" si="370">$T169/ORCAMENTO_VALOR_TOTAL_DE</f>
        <v>0</v>
      </c>
      <c r="Z169" s="158" cm="1">
        <f t="array" ref="Z169">_xlfn.SWITCH($N169,"BDI 1",$O$6,"BDI 2",$O$7,"BDI 3",$O$8)</f>
        <v>0.20699999999999999</v>
      </c>
      <c r="AA169" s="158" cm="1">
        <f t="array" ref="AA169">_xlfn.SWITCH($N169,"BDI 1",$P$6,"BDI 2",$P$7,"BDI 3",$P$8)</f>
        <v>0.26739999999999997</v>
      </c>
      <c r="AB169" s="158">
        <f t="shared" ca="1" si="218"/>
        <v>0</v>
      </c>
      <c r="AC169" s="158">
        <f t="shared" ca="1" si="219"/>
        <v>0</v>
      </c>
      <c r="AD169" s="164"/>
      <c r="AE169" s="148">
        <f t="shared" si="205"/>
        <v>0</v>
      </c>
      <c r="AF169" s="149"/>
      <c r="AG169" s="150"/>
      <c r="AH169" s="159" t="e">
        <f t="shared" si="206"/>
        <v>#DIV/0!</v>
      </c>
      <c r="AI169" s="2423"/>
      <c r="AJ169" s="105"/>
      <c r="AK169" s="105"/>
      <c r="AM169" s="105"/>
      <c r="AN169" s="105"/>
      <c r="AO169" s="105"/>
      <c r="AP169" s="105"/>
      <c r="AQ169" s="105"/>
      <c r="AR169" s="105"/>
    </row>
    <row r="170" spans="1:44" s="193" customFormat="1" ht="49.9" hidden="1" customHeight="1">
      <c r="A170" s="152">
        <f t="shared" ca="1" si="207"/>
        <v>0</v>
      </c>
      <c r="B170" s="153">
        <v>104731</v>
      </c>
      <c r="C170" s="154" t="str">
        <f t="shared" si="208"/>
        <v>104731</v>
      </c>
      <c r="D170" s="154" t="s">
        <v>1416</v>
      </c>
      <c r="E170" s="155" t="s">
        <v>3666</v>
      </c>
      <c r="F170" s="154"/>
      <c r="G170" s="154" t="s">
        <v>464</v>
      </c>
      <c r="H170" s="152">
        <v>11.35</v>
      </c>
      <c r="I170" s="152">
        <v>11.16</v>
      </c>
      <c r="J170" s="156"/>
      <c r="K170" s="156">
        <v>0</v>
      </c>
      <c r="L170" s="156">
        <f t="shared" si="209"/>
        <v>0</v>
      </c>
      <c r="M170" s="156">
        <f t="shared" si="210"/>
        <v>0</v>
      </c>
      <c r="N170" s="156" t="s">
        <v>83</v>
      </c>
      <c r="O170" s="157" cm="1">
        <f t="array" ref="O170">TRUNC($H170*(1+_xlfn.SWITCH($N170,"BDI 1",$O$6,"BDI 2",$O$7,"BDI 3",$O$8)),2)</f>
        <v>13.69</v>
      </c>
      <c r="P170" s="157" cm="1">
        <f t="array" ref="P170">TRUNC($I170*(1+_xlfn.SWITCH($N170,"BDI 1",$P$6,"BDI 2",$P$7,"BDI 3",$P$8)),2)</f>
        <v>14.14</v>
      </c>
      <c r="Q170" s="157">
        <v>0</v>
      </c>
      <c r="R170" s="157">
        <f t="shared" ref="R170" si="371">$Q170-($Q170*LICITACAO_DESCONTO)</f>
        <v>0</v>
      </c>
      <c r="S170" s="156">
        <f t="shared" si="212"/>
        <v>0</v>
      </c>
      <c r="T170" s="156">
        <f t="shared" si="213"/>
        <v>0</v>
      </c>
      <c r="U170" s="156">
        <f t="shared" si="214"/>
        <v>0</v>
      </c>
      <c r="V170" s="156">
        <f t="shared" si="215"/>
        <v>0</v>
      </c>
      <c r="W170" s="156">
        <f t="shared" si="202"/>
        <v>0</v>
      </c>
      <c r="X170" s="158">
        <f t="shared" ref="X170" si="372">$S170/ORCAMENTO_VALOR_TOTAL_ND</f>
        <v>0</v>
      </c>
      <c r="Y170" s="158">
        <f t="shared" ref="Y170" si="373">$T170/ORCAMENTO_VALOR_TOTAL_DE</f>
        <v>0</v>
      </c>
      <c r="Z170" s="158" cm="1">
        <f t="array" ref="Z170">_xlfn.SWITCH($N170,"BDI 1",$O$6,"BDI 2",$O$7,"BDI 3",$O$8)</f>
        <v>0.20699999999999999</v>
      </c>
      <c r="AA170" s="158" cm="1">
        <f t="array" ref="AA170">_xlfn.SWITCH($N170,"BDI 1",$P$6,"BDI 2",$P$7,"BDI 3",$P$8)</f>
        <v>0.26739999999999997</v>
      </c>
      <c r="AB170" s="158">
        <f t="shared" ca="1" si="218"/>
        <v>0</v>
      </c>
      <c r="AC170" s="158">
        <f t="shared" ca="1" si="219"/>
        <v>0</v>
      </c>
      <c r="AD170" s="164"/>
      <c r="AE170" s="148">
        <f t="shared" si="205"/>
        <v>0</v>
      </c>
      <c r="AF170" s="149"/>
      <c r="AG170" s="150"/>
      <c r="AH170" s="191" t="e">
        <f t="shared" si="206"/>
        <v>#DIV/0!</v>
      </c>
      <c r="AI170" s="2424">
        <v>0</v>
      </c>
      <c r="AJ170" s="192"/>
      <c r="AK170" s="192"/>
      <c r="AM170" s="192"/>
      <c r="AN170" s="192"/>
      <c r="AO170" s="105"/>
      <c r="AP170" s="192"/>
      <c r="AQ170" s="192"/>
      <c r="AR170" s="192"/>
    </row>
    <row r="171" spans="1:44" s="193" customFormat="1" ht="49.9" hidden="1" customHeight="1">
      <c r="A171" s="152">
        <f t="shared" ca="1" si="207"/>
        <v>0</v>
      </c>
      <c r="B171" s="153">
        <v>104732</v>
      </c>
      <c r="C171" s="154" t="str">
        <f t="shared" si="208"/>
        <v>104732</v>
      </c>
      <c r="D171" s="154" t="s">
        <v>1416</v>
      </c>
      <c r="E171" s="155" t="s">
        <v>3667</v>
      </c>
      <c r="F171" s="154"/>
      <c r="G171" s="154" t="s">
        <v>464</v>
      </c>
      <c r="H171" s="152">
        <v>9.24</v>
      </c>
      <c r="I171" s="152">
        <v>9.07</v>
      </c>
      <c r="J171" s="156"/>
      <c r="K171" s="156">
        <v>0</v>
      </c>
      <c r="L171" s="156">
        <f t="shared" si="209"/>
        <v>0</v>
      </c>
      <c r="M171" s="156">
        <f t="shared" si="210"/>
        <v>0</v>
      </c>
      <c r="N171" s="156" t="s">
        <v>83</v>
      </c>
      <c r="O171" s="157" cm="1">
        <f t="array" ref="O171">TRUNC($H171*(1+_xlfn.SWITCH($N171,"BDI 1",$O$6,"BDI 2",$O$7,"BDI 3",$O$8)),2)</f>
        <v>11.15</v>
      </c>
      <c r="P171" s="157" cm="1">
        <f t="array" ref="P171">TRUNC($I171*(1+_xlfn.SWITCH($N171,"BDI 1",$P$6,"BDI 2",$P$7,"BDI 3",$P$8)),2)</f>
        <v>11.49</v>
      </c>
      <c r="Q171" s="157">
        <v>0</v>
      </c>
      <c r="R171" s="157">
        <f t="shared" ref="R171" si="374">$Q171-($Q171*LICITACAO_DESCONTO)</f>
        <v>0</v>
      </c>
      <c r="S171" s="156">
        <f t="shared" si="212"/>
        <v>0</v>
      </c>
      <c r="T171" s="156">
        <f t="shared" si="213"/>
        <v>0</v>
      </c>
      <c r="U171" s="156">
        <f t="shared" si="214"/>
        <v>0</v>
      </c>
      <c r="V171" s="156">
        <f t="shared" si="215"/>
        <v>0</v>
      </c>
      <c r="W171" s="156">
        <f t="shared" si="202"/>
        <v>0</v>
      </c>
      <c r="X171" s="158">
        <f t="shared" ref="X171" si="375">$S171/ORCAMENTO_VALOR_TOTAL_ND</f>
        <v>0</v>
      </c>
      <c r="Y171" s="158">
        <f t="shared" ref="Y171" si="376">$T171/ORCAMENTO_VALOR_TOTAL_DE</f>
        <v>0</v>
      </c>
      <c r="Z171" s="158" cm="1">
        <f t="array" ref="Z171">_xlfn.SWITCH($N171,"BDI 1",$O$6,"BDI 2",$O$7,"BDI 3",$O$8)</f>
        <v>0.20699999999999999</v>
      </c>
      <c r="AA171" s="158" cm="1">
        <f t="array" ref="AA171">_xlfn.SWITCH($N171,"BDI 1",$P$6,"BDI 2",$P$7,"BDI 3",$P$8)</f>
        <v>0.26739999999999997</v>
      </c>
      <c r="AB171" s="158">
        <f t="shared" ca="1" si="218"/>
        <v>0</v>
      </c>
      <c r="AC171" s="158">
        <f t="shared" ca="1" si="219"/>
        <v>0</v>
      </c>
      <c r="AD171" s="164"/>
      <c r="AE171" s="148">
        <f t="shared" si="205"/>
        <v>0</v>
      </c>
      <c r="AF171" s="149"/>
      <c r="AG171" s="150"/>
      <c r="AH171" s="191" t="e">
        <f t="shared" si="206"/>
        <v>#DIV/0!</v>
      </c>
      <c r="AI171" s="2424"/>
      <c r="AJ171" s="192"/>
      <c r="AK171" s="192"/>
      <c r="AM171" s="192"/>
      <c r="AN171" s="192"/>
      <c r="AO171" s="105"/>
      <c r="AP171" s="192"/>
      <c r="AQ171" s="192"/>
      <c r="AR171" s="192"/>
    </row>
    <row r="172" spans="1:44" s="49" customFormat="1" ht="49.9" hidden="1" customHeight="1">
      <c r="A172" s="152">
        <f t="shared" ca="1" si="207"/>
        <v>0</v>
      </c>
      <c r="B172" s="153">
        <v>93378</v>
      </c>
      <c r="C172" s="154" t="str">
        <f t="shared" si="208"/>
        <v>93378</v>
      </c>
      <c r="D172" s="154" t="s">
        <v>1416</v>
      </c>
      <c r="E172" s="155" t="s">
        <v>3668</v>
      </c>
      <c r="F172" s="154"/>
      <c r="G172" s="154" t="s">
        <v>464</v>
      </c>
      <c r="H172" s="152">
        <v>22.94</v>
      </c>
      <c r="I172" s="152">
        <v>21.86</v>
      </c>
      <c r="J172" s="156"/>
      <c r="K172" s="156">
        <f>Dre_Terraplenagem!AI144</f>
        <v>0</v>
      </c>
      <c r="L172" s="156">
        <f t="shared" si="209"/>
        <v>0</v>
      </c>
      <c r="M172" s="156">
        <f t="shared" si="210"/>
        <v>0</v>
      </c>
      <c r="N172" s="156" t="s">
        <v>83</v>
      </c>
      <c r="O172" s="157" cm="1">
        <f t="array" ref="O172">TRUNC($H172*(1+_xlfn.SWITCH($N172,"BDI 1",$O$6,"BDI 2",$O$7,"BDI 3",$O$8)),2)</f>
        <v>27.68</v>
      </c>
      <c r="P172" s="157" cm="1">
        <f t="array" ref="P172">TRUNC($I172*(1+_xlfn.SWITCH($N172,"BDI 1",$P$6,"BDI 2",$P$7,"BDI 3",$P$8)),2)</f>
        <v>27.7</v>
      </c>
      <c r="Q172" s="157">
        <v>0</v>
      </c>
      <c r="R172" s="157">
        <f t="shared" ref="R172" si="377">$Q172-($Q172*LICITACAO_DESCONTO)</f>
        <v>0</v>
      </c>
      <c r="S172" s="156">
        <f t="shared" si="212"/>
        <v>0</v>
      </c>
      <c r="T172" s="156">
        <f t="shared" si="213"/>
        <v>0</v>
      </c>
      <c r="U172" s="156">
        <f t="shared" si="214"/>
        <v>0</v>
      </c>
      <c r="V172" s="156">
        <f t="shared" si="215"/>
        <v>0</v>
      </c>
      <c r="W172" s="156">
        <f t="shared" si="202"/>
        <v>0</v>
      </c>
      <c r="X172" s="158">
        <f t="shared" ref="X172" si="378">$S172/ORCAMENTO_VALOR_TOTAL_ND</f>
        <v>0</v>
      </c>
      <c r="Y172" s="158">
        <f t="shared" ref="Y172" si="379">$T172/ORCAMENTO_VALOR_TOTAL_DE</f>
        <v>0</v>
      </c>
      <c r="Z172" s="158" cm="1">
        <f t="array" ref="Z172">_xlfn.SWITCH($N172,"BDI 1",$O$6,"BDI 2",$O$7,"BDI 3",$O$8)</f>
        <v>0.20699999999999999</v>
      </c>
      <c r="AA172" s="158" cm="1">
        <f t="array" ref="AA172">_xlfn.SWITCH($N172,"BDI 1",$P$6,"BDI 2",$P$7,"BDI 3",$P$8)</f>
        <v>0.26739999999999997</v>
      </c>
      <c r="AB172" s="158">
        <f t="shared" ca="1" si="218"/>
        <v>0</v>
      </c>
      <c r="AC172" s="158">
        <f t="shared" ca="1" si="219"/>
        <v>0</v>
      </c>
      <c r="AD172" s="164"/>
      <c r="AE172" s="148">
        <f t="shared" si="205"/>
        <v>0</v>
      </c>
      <c r="AF172" s="149"/>
      <c r="AG172" s="150"/>
      <c r="AH172" s="159" t="e">
        <f t="shared" si="206"/>
        <v>#DIV/0!</v>
      </c>
      <c r="AI172" s="2425">
        <v>0</v>
      </c>
      <c r="AJ172" s="105"/>
      <c r="AK172" s="105"/>
      <c r="AM172" s="105"/>
      <c r="AN172" s="105"/>
      <c r="AO172" s="105"/>
      <c r="AP172" s="105"/>
      <c r="AQ172" s="105"/>
      <c r="AR172" s="105"/>
    </row>
    <row r="173" spans="1:44" s="49" customFormat="1" ht="49.9" hidden="1" customHeight="1">
      <c r="A173" s="152">
        <f t="shared" ca="1" si="207"/>
        <v>0</v>
      </c>
      <c r="B173" s="153">
        <v>93379</v>
      </c>
      <c r="C173" s="154" t="str">
        <f t="shared" si="208"/>
        <v>93379</v>
      </c>
      <c r="D173" s="154" t="s">
        <v>1416</v>
      </c>
      <c r="E173" s="155" t="s">
        <v>3669</v>
      </c>
      <c r="F173" s="154"/>
      <c r="G173" s="154" t="s">
        <v>464</v>
      </c>
      <c r="H173" s="152">
        <v>17.62</v>
      </c>
      <c r="I173" s="152">
        <v>16.78</v>
      </c>
      <c r="J173" s="156"/>
      <c r="K173" s="156">
        <f>Dre_Terraplenagem!AI145</f>
        <v>0</v>
      </c>
      <c r="L173" s="156">
        <f t="shared" si="209"/>
        <v>0</v>
      </c>
      <c r="M173" s="156">
        <f t="shared" si="210"/>
        <v>0</v>
      </c>
      <c r="N173" s="156" t="s">
        <v>83</v>
      </c>
      <c r="O173" s="157" cm="1">
        <f t="array" ref="O173">TRUNC($H173*(1+_xlfn.SWITCH($N173,"BDI 1",$O$6,"BDI 2",$O$7,"BDI 3",$O$8)),2)</f>
        <v>21.26</v>
      </c>
      <c r="P173" s="157" cm="1">
        <f t="array" ref="P173">TRUNC($I173*(1+_xlfn.SWITCH($N173,"BDI 1",$P$6,"BDI 2",$P$7,"BDI 3",$P$8)),2)</f>
        <v>21.26</v>
      </c>
      <c r="Q173" s="157">
        <v>0</v>
      </c>
      <c r="R173" s="157">
        <f t="shared" ref="R173" si="380">$Q173-($Q173*LICITACAO_DESCONTO)</f>
        <v>0</v>
      </c>
      <c r="S173" s="156">
        <f t="shared" si="212"/>
        <v>0</v>
      </c>
      <c r="T173" s="156">
        <f t="shared" si="213"/>
        <v>0</v>
      </c>
      <c r="U173" s="156">
        <f t="shared" si="214"/>
        <v>0</v>
      </c>
      <c r="V173" s="156">
        <f t="shared" si="215"/>
        <v>0</v>
      </c>
      <c r="W173" s="156">
        <f t="shared" si="202"/>
        <v>0</v>
      </c>
      <c r="X173" s="158">
        <f t="shared" ref="X173" si="381">$S173/ORCAMENTO_VALOR_TOTAL_ND</f>
        <v>0</v>
      </c>
      <c r="Y173" s="158">
        <f t="shared" ref="Y173" si="382">$T173/ORCAMENTO_VALOR_TOTAL_DE</f>
        <v>0</v>
      </c>
      <c r="Z173" s="158" cm="1">
        <f t="array" ref="Z173">_xlfn.SWITCH($N173,"BDI 1",$O$6,"BDI 2",$O$7,"BDI 3",$O$8)</f>
        <v>0.20699999999999999</v>
      </c>
      <c r="AA173" s="158" cm="1">
        <f t="array" ref="AA173">_xlfn.SWITCH($N173,"BDI 1",$P$6,"BDI 2",$P$7,"BDI 3",$P$8)</f>
        <v>0.26739999999999997</v>
      </c>
      <c r="AB173" s="158">
        <f t="shared" ca="1" si="218"/>
        <v>0</v>
      </c>
      <c r="AC173" s="158">
        <f t="shared" ca="1" si="219"/>
        <v>0</v>
      </c>
      <c r="AD173" s="164"/>
      <c r="AE173" s="148">
        <f t="shared" si="205"/>
        <v>0</v>
      </c>
      <c r="AF173" s="149"/>
      <c r="AG173" s="150"/>
      <c r="AH173" s="159" t="e">
        <f t="shared" si="206"/>
        <v>#DIV/0!</v>
      </c>
      <c r="AI173" s="2425"/>
      <c r="AJ173" s="105"/>
      <c r="AK173" s="105"/>
      <c r="AM173" s="105"/>
      <c r="AN173" s="105"/>
      <c r="AO173" s="105"/>
      <c r="AP173" s="105"/>
      <c r="AQ173" s="105"/>
      <c r="AR173" s="105"/>
    </row>
    <row r="174" spans="1:44" s="49" customFormat="1" ht="49.9" hidden="1" customHeight="1">
      <c r="A174" s="152">
        <f t="shared" ca="1" si="207"/>
        <v>0</v>
      </c>
      <c r="B174" s="153">
        <v>93367</v>
      </c>
      <c r="C174" s="154" t="str">
        <f t="shared" si="208"/>
        <v>93367</v>
      </c>
      <c r="D174" s="154" t="s">
        <v>1416</v>
      </c>
      <c r="E174" s="155" t="s">
        <v>3670</v>
      </c>
      <c r="F174" s="154"/>
      <c r="G174" s="154" t="s">
        <v>464</v>
      </c>
      <c r="H174" s="152">
        <v>21.71</v>
      </c>
      <c r="I174" s="152">
        <v>21.07</v>
      </c>
      <c r="J174" s="156"/>
      <c r="K174" s="156">
        <f>Dre_Terraplenagem!AI146</f>
        <v>0</v>
      </c>
      <c r="L174" s="156">
        <f t="shared" si="209"/>
        <v>0</v>
      </c>
      <c r="M174" s="156">
        <f t="shared" si="210"/>
        <v>0</v>
      </c>
      <c r="N174" s="156" t="s">
        <v>83</v>
      </c>
      <c r="O174" s="157" cm="1">
        <f t="array" ref="O174">TRUNC($H174*(1+_xlfn.SWITCH($N174,"BDI 1",$O$6,"BDI 2",$O$7,"BDI 3",$O$8)),2)</f>
        <v>26.2</v>
      </c>
      <c r="P174" s="157" cm="1">
        <f t="array" ref="P174">TRUNC($I174*(1+_xlfn.SWITCH($N174,"BDI 1",$P$6,"BDI 2",$P$7,"BDI 3",$P$8)),2)</f>
        <v>26.7</v>
      </c>
      <c r="Q174" s="157">
        <v>0</v>
      </c>
      <c r="R174" s="157">
        <f t="shared" ref="R174" si="383">$Q174-($Q174*LICITACAO_DESCONTO)</f>
        <v>0</v>
      </c>
      <c r="S174" s="156">
        <f t="shared" si="212"/>
        <v>0</v>
      </c>
      <c r="T174" s="156">
        <f t="shared" si="213"/>
        <v>0</v>
      </c>
      <c r="U174" s="156">
        <f t="shared" si="214"/>
        <v>0</v>
      </c>
      <c r="V174" s="156">
        <f t="shared" si="215"/>
        <v>0</v>
      </c>
      <c r="W174" s="156">
        <f t="shared" si="202"/>
        <v>0</v>
      </c>
      <c r="X174" s="158">
        <f t="shared" ref="X174" si="384">$S174/ORCAMENTO_VALOR_TOTAL_ND</f>
        <v>0</v>
      </c>
      <c r="Y174" s="158">
        <f t="shared" ref="Y174" si="385">$T174/ORCAMENTO_VALOR_TOTAL_DE</f>
        <v>0</v>
      </c>
      <c r="Z174" s="158" cm="1">
        <f t="array" ref="Z174">_xlfn.SWITCH($N174,"BDI 1",$O$6,"BDI 2",$O$7,"BDI 3",$O$8)</f>
        <v>0.20699999999999999</v>
      </c>
      <c r="AA174" s="158" cm="1">
        <f t="array" ref="AA174">_xlfn.SWITCH($N174,"BDI 1",$P$6,"BDI 2",$P$7,"BDI 3",$P$8)</f>
        <v>0.26739999999999997</v>
      </c>
      <c r="AB174" s="158">
        <f t="shared" ca="1" si="218"/>
        <v>0</v>
      </c>
      <c r="AC174" s="158">
        <f t="shared" ca="1" si="219"/>
        <v>0</v>
      </c>
      <c r="AD174" s="164"/>
      <c r="AE174" s="148">
        <f t="shared" si="205"/>
        <v>0</v>
      </c>
      <c r="AF174" s="149"/>
      <c r="AG174" s="150"/>
      <c r="AH174" s="159" t="e">
        <f t="shared" si="206"/>
        <v>#DIV/0!</v>
      </c>
      <c r="AI174" s="2425"/>
      <c r="AJ174" s="105"/>
      <c r="AK174" s="105"/>
      <c r="AM174" s="105"/>
      <c r="AN174" s="105"/>
      <c r="AO174" s="105"/>
      <c r="AP174" s="105"/>
      <c r="AQ174" s="105"/>
      <c r="AR174" s="105"/>
    </row>
    <row r="175" spans="1:44" s="49" customFormat="1" ht="49.9" hidden="1" customHeight="1">
      <c r="A175" s="152">
        <f t="shared" ca="1" si="207"/>
        <v>0</v>
      </c>
      <c r="B175" s="153">
        <v>93380</v>
      </c>
      <c r="C175" s="154" t="str">
        <f t="shared" si="208"/>
        <v>93380</v>
      </c>
      <c r="D175" s="154" t="s">
        <v>1416</v>
      </c>
      <c r="E175" s="155" t="s">
        <v>3671</v>
      </c>
      <c r="F175" s="154"/>
      <c r="G175" s="154" t="s">
        <v>464</v>
      </c>
      <c r="H175" s="152">
        <v>14.99</v>
      </c>
      <c r="I175" s="152">
        <v>14.28</v>
      </c>
      <c r="J175" s="156"/>
      <c r="K175" s="156">
        <f>Dre_Terraplenagem!AI147</f>
        <v>0</v>
      </c>
      <c r="L175" s="156">
        <f t="shared" si="209"/>
        <v>0</v>
      </c>
      <c r="M175" s="156">
        <f t="shared" si="210"/>
        <v>0</v>
      </c>
      <c r="N175" s="156" t="s">
        <v>83</v>
      </c>
      <c r="O175" s="157" cm="1">
        <f t="array" ref="O175">TRUNC($H175*(1+_xlfn.SWITCH($N175,"BDI 1",$O$6,"BDI 2",$O$7,"BDI 3",$O$8)),2)</f>
        <v>18.09</v>
      </c>
      <c r="P175" s="157" cm="1">
        <f t="array" ref="P175">TRUNC($I175*(1+_xlfn.SWITCH($N175,"BDI 1",$P$6,"BDI 2",$P$7,"BDI 3",$P$8)),2)</f>
        <v>18.09</v>
      </c>
      <c r="Q175" s="157">
        <v>0</v>
      </c>
      <c r="R175" s="157">
        <f t="shared" ref="R175" si="386">$Q175-($Q175*LICITACAO_DESCONTO)</f>
        <v>0</v>
      </c>
      <c r="S175" s="156">
        <f t="shared" si="212"/>
        <v>0</v>
      </c>
      <c r="T175" s="156">
        <f t="shared" si="213"/>
        <v>0</v>
      </c>
      <c r="U175" s="156">
        <f t="shared" si="214"/>
        <v>0</v>
      </c>
      <c r="V175" s="156">
        <f t="shared" si="215"/>
        <v>0</v>
      </c>
      <c r="W175" s="156">
        <f t="shared" si="202"/>
        <v>0</v>
      </c>
      <c r="X175" s="158">
        <f t="shared" ref="X175" si="387">$S175/ORCAMENTO_VALOR_TOTAL_ND</f>
        <v>0</v>
      </c>
      <c r="Y175" s="158">
        <f t="shared" ref="Y175" si="388">$T175/ORCAMENTO_VALOR_TOTAL_DE</f>
        <v>0</v>
      </c>
      <c r="Z175" s="158" cm="1">
        <f t="array" ref="Z175">_xlfn.SWITCH($N175,"BDI 1",$O$6,"BDI 2",$O$7,"BDI 3",$O$8)</f>
        <v>0.20699999999999999</v>
      </c>
      <c r="AA175" s="158" cm="1">
        <f t="array" ref="AA175">_xlfn.SWITCH($N175,"BDI 1",$P$6,"BDI 2",$P$7,"BDI 3",$P$8)</f>
        <v>0.26739999999999997</v>
      </c>
      <c r="AB175" s="158">
        <f t="shared" ca="1" si="218"/>
        <v>0</v>
      </c>
      <c r="AC175" s="158">
        <f t="shared" ca="1" si="219"/>
        <v>0</v>
      </c>
      <c r="AD175" s="164"/>
      <c r="AE175" s="148">
        <f t="shared" si="205"/>
        <v>0</v>
      </c>
      <c r="AF175" s="149"/>
      <c r="AG175" s="150"/>
      <c r="AH175" s="159" t="e">
        <f t="shared" si="206"/>
        <v>#DIV/0!</v>
      </c>
      <c r="AI175" s="2422">
        <v>0</v>
      </c>
      <c r="AJ175" s="105"/>
      <c r="AK175" s="105"/>
      <c r="AM175" s="105"/>
      <c r="AN175" s="105"/>
      <c r="AO175" s="105"/>
      <c r="AP175" s="105"/>
      <c r="AQ175" s="105"/>
      <c r="AR175" s="105"/>
    </row>
    <row r="176" spans="1:44" s="49" customFormat="1" ht="49.9" hidden="1" customHeight="1">
      <c r="A176" s="152">
        <f t="shared" ca="1" si="207"/>
        <v>0</v>
      </c>
      <c r="B176" s="153">
        <v>93381</v>
      </c>
      <c r="C176" s="154" t="str">
        <f t="shared" si="208"/>
        <v>93381</v>
      </c>
      <c r="D176" s="154" t="s">
        <v>1416</v>
      </c>
      <c r="E176" s="155" t="s">
        <v>3672</v>
      </c>
      <c r="F176" s="154"/>
      <c r="G176" s="154" t="s">
        <v>464</v>
      </c>
      <c r="H176" s="152">
        <v>12.13</v>
      </c>
      <c r="I176" s="152">
        <v>11.53</v>
      </c>
      <c r="J176" s="156"/>
      <c r="K176" s="156">
        <f>Dre_Terraplenagem!AI148</f>
        <v>0</v>
      </c>
      <c r="L176" s="156">
        <f t="shared" si="209"/>
        <v>0</v>
      </c>
      <c r="M176" s="156">
        <f t="shared" si="210"/>
        <v>0</v>
      </c>
      <c r="N176" s="156" t="s">
        <v>83</v>
      </c>
      <c r="O176" s="157" cm="1">
        <f t="array" ref="O176">TRUNC($H176*(1+_xlfn.SWITCH($N176,"BDI 1",$O$6,"BDI 2",$O$7,"BDI 3",$O$8)),2)</f>
        <v>14.64</v>
      </c>
      <c r="P176" s="157" cm="1">
        <f t="array" ref="P176">TRUNC($I176*(1+_xlfn.SWITCH($N176,"BDI 1",$P$6,"BDI 2",$P$7,"BDI 3",$P$8)),2)</f>
        <v>14.61</v>
      </c>
      <c r="Q176" s="157">
        <v>0</v>
      </c>
      <c r="R176" s="157">
        <f t="shared" ref="R176" si="389">$Q176-($Q176*LICITACAO_DESCONTO)</f>
        <v>0</v>
      </c>
      <c r="S176" s="156">
        <f t="shared" si="212"/>
        <v>0</v>
      </c>
      <c r="T176" s="156">
        <f t="shared" si="213"/>
        <v>0</v>
      </c>
      <c r="U176" s="156">
        <f t="shared" si="214"/>
        <v>0</v>
      </c>
      <c r="V176" s="156">
        <f t="shared" si="215"/>
        <v>0</v>
      </c>
      <c r="W176" s="156">
        <f t="shared" si="202"/>
        <v>0</v>
      </c>
      <c r="X176" s="158">
        <f t="shared" ref="X176" si="390">$S176/ORCAMENTO_VALOR_TOTAL_ND</f>
        <v>0</v>
      </c>
      <c r="Y176" s="158">
        <f t="shared" ref="Y176" si="391">$T176/ORCAMENTO_VALOR_TOTAL_DE</f>
        <v>0</v>
      </c>
      <c r="Z176" s="158" cm="1">
        <f t="array" ref="Z176">_xlfn.SWITCH($N176,"BDI 1",$O$6,"BDI 2",$O$7,"BDI 3",$O$8)</f>
        <v>0.20699999999999999</v>
      </c>
      <c r="AA176" s="158" cm="1">
        <f t="array" ref="AA176">_xlfn.SWITCH($N176,"BDI 1",$P$6,"BDI 2",$P$7,"BDI 3",$P$8)</f>
        <v>0.26739999999999997</v>
      </c>
      <c r="AB176" s="158">
        <f t="shared" ca="1" si="218"/>
        <v>0</v>
      </c>
      <c r="AC176" s="158">
        <f t="shared" ca="1" si="219"/>
        <v>0</v>
      </c>
      <c r="AD176" s="164"/>
      <c r="AE176" s="148">
        <f t="shared" si="205"/>
        <v>0</v>
      </c>
      <c r="AF176" s="149"/>
      <c r="AG176" s="150"/>
      <c r="AH176" s="159" t="e">
        <f t="shared" si="206"/>
        <v>#DIV/0!</v>
      </c>
      <c r="AI176" s="2422"/>
      <c r="AJ176" s="105"/>
      <c r="AK176" s="105"/>
      <c r="AM176" s="105"/>
      <c r="AN176" s="105"/>
      <c r="AO176" s="105"/>
      <c r="AP176" s="105"/>
      <c r="AQ176" s="105"/>
      <c r="AR176" s="105"/>
    </row>
    <row r="177" spans="1:44" s="49" customFormat="1" ht="49.9" hidden="1" customHeight="1">
      <c r="A177" s="152">
        <f t="shared" ca="1" si="207"/>
        <v>0</v>
      </c>
      <c r="B177" s="153">
        <v>93369</v>
      </c>
      <c r="C177" s="154" t="str">
        <f t="shared" si="208"/>
        <v>93369</v>
      </c>
      <c r="D177" s="154" t="s">
        <v>1416</v>
      </c>
      <c r="E177" s="155" t="s">
        <v>3673</v>
      </c>
      <c r="F177" s="154"/>
      <c r="G177" s="154" t="s">
        <v>464</v>
      </c>
      <c r="H177" s="152">
        <v>15.69</v>
      </c>
      <c r="I177" s="152">
        <v>15.16</v>
      </c>
      <c r="J177" s="156"/>
      <c r="K177" s="156">
        <f>Dre_Terraplenagem!AI149</f>
        <v>0</v>
      </c>
      <c r="L177" s="156">
        <f t="shared" si="209"/>
        <v>0</v>
      </c>
      <c r="M177" s="156">
        <f t="shared" si="210"/>
        <v>0</v>
      </c>
      <c r="N177" s="156" t="s">
        <v>83</v>
      </c>
      <c r="O177" s="157" cm="1">
        <f t="array" ref="O177">TRUNC($H177*(1+_xlfn.SWITCH($N177,"BDI 1",$O$6,"BDI 2",$O$7,"BDI 3",$O$8)),2)</f>
        <v>18.93</v>
      </c>
      <c r="P177" s="157" cm="1">
        <f t="array" ref="P177">TRUNC($I177*(1+_xlfn.SWITCH($N177,"BDI 1",$P$6,"BDI 2",$P$7,"BDI 3",$P$8)),2)</f>
        <v>19.21</v>
      </c>
      <c r="Q177" s="157">
        <v>0</v>
      </c>
      <c r="R177" s="157">
        <f t="shared" ref="R177" si="392">$Q177-($Q177*LICITACAO_DESCONTO)</f>
        <v>0</v>
      </c>
      <c r="S177" s="156">
        <f t="shared" si="212"/>
        <v>0</v>
      </c>
      <c r="T177" s="156">
        <f t="shared" si="213"/>
        <v>0</v>
      </c>
      <c r="U177" s="156">
        <f t="shared" si="214"/>
        <v>0</v>
      </c>
      <c r="V177" s="156">
        <f t="shared" si="215"/>
        <v>0</v>
      </c>
      <c r="W177" s="156">
        <f t="shared" si="202"/>
        <v>0</v>
      </c>
      <c r="X177" s="158">
        <f t="shared" ref="X177" si="393">$S177/ORCAMENTO_VALOR_TOTAL_ND</f>
        <v>0</v>
      </c>
      <c r="Y177" s="158">
        <f t="shared" ref="Y177" si="394">$T177/ORCAMENTO_VALOR_TOTAL_DE</f>
        <v>0</v>
      </c>
      <c r="Z177" s="158" cm="1">
        <f t="array" ref="Z177">_xlfn.SWITCH($N177,"BDI 1",$O$6,"BDI 2",$O$7,"BDI 3",$O$8)</f>
        <v>0.20699999999999999</v>
      </c>
      <c r="AA177" s="158" cm="1">
        <f t="array" ref="AA177">_xlfn.SWITCH($N177,"BDI 1",$P$6,"BDI 2",$P$7,"BDI 3",$P$8)</f>
        <v>0.26739999999999997</v>
      </c>
      <c r="AB177" s="158">
        <f t="shared" ca="1" si="218"/>
        <v>0</v>
      </c>
      <c r="AC177" s="158">
        <f t="shared" ca="1" si="219"/>
        <v>0</v>
      </c>
      <c r="AD177" s="164"/>
      <c r="AE177" s="148">
        <f t="shared" si="205"/>
        <v>0</v>
      </c>
      <c r="AF177" s="149"/>
      <c r="AG177" s="150"/>
      <c r="AH177" s="159" t="e">
        <f t="shared" si="206"/>
        <v>#DIV/0!</v>
      </c>
      <c r="AI177" s="2422"/>
      <c r="AJ177" s="105"/>
      <c r="AK177" s="105"/>
      <c r="AM177" s="105"/>
      <c r="AN177" s="105"/>
      <c r="AO177" s="105"/>
      <c r="AP177" s="105"/>
      <c r="AQ177" s="105"/>
      <c r="AR177" s="105"/>
    </row>
    <row r="178" spans="1:44" s="49" customFormat="1" ht="49.9" hidden="1" customHeight="1">
      <c r="A178" s="152">
        <f t="shared" ca="1" si="207"/>
        <v>0</v>
      </c>
      <c r="B178" s="153">
        <v>93372</v>
      </c>
      <c r="C178" s="154" t="str">
        <f t="shared" si="208"/>
        <v>93372</v>
      </c>
      <c r="D178" s="154" t="s">
        <v>1416</v>
      </c>
      <c r="E178" s="155" t="s">
        <v>3674</v>
      </c>
      <c r="F178" s="154"/>
      <c r="G178" s="154" t="s">
        <v>464</v>
      </c>
      <c r="H178" s="152">
        <v>15.09</v>
      </c>
      <c r="I178" s="152">
        <v>14.56</v>
      </c>
      <c r="J178" s="156"/>
      <c r="K178" s="156">
        <f>Dre_Terraplenagem!AI152</f>
        <v>0</v>
      </c>
      <c r="L178" s="156">
        <f t="shared" si="209"/>
        <v>0</v>
      </c>
      <c r="M178" s="156">
        <f t="shared" si="210"/>
        <v>0</v>
      </c>
      <c r="N178" s="156" t="s">
        <v>83</v>
      </c>
      <c r="O178" s="157" cm="1">
        <f t="array" ref="O178">TRUNC($H178*(1+_xlfn.SWITCH($N178,"BDI 1",$O$6,"BDI 2",$O$7,"BDI 3",$O$8)),2)</f>
        <v>18.21</v>
      </c>
      <c r="P178" s="157" cm="1">
        <f t="array" ref="P178">TRUNC($I178*(1+_xlfn.SWITCH($N178,"BDI 1",$P$6,"BDI 2",$P$7,"BDI 3",$P$8)),2)</f>
        <v>18.45</v>
      </c>
      <c r="Q178" s="157">
        <v>0</v>
      </c>
      <c r="R178" s="157">
        <f t="shared" ref="R178" si="395">$Q178-($Q178*LICITACAO_DESCONTO)</f>
        <v>0</v>
      </c>
      <c r="S178" s="156">
        <f t="shared" si="212"/>
        <v>0</v>
      </c>
      <c r="T178" s="156">
        <f t="shared" si="213"/>
        <v>0</v>
      </c>
      <c r="U178" s="156">
        <f t="shared" si="214"/>
        <v>0</v>
      </c>
      <c r="V178" s="156">
        <f t="shared" si="215"/>
        <v>0</v>
      </c>
      <c r="W178" s="156">
        <f t="shared" si="202"/>
        <v>0</v>
      </c>
      <c r="X178" s="158">
        <f t="shared" ref="X178" si="396">$S178/ORCAMENTO_VALOR_TOTAL_ND</f>
        <v>0</v>
      </c>
      <c r="Y178" s="158">
        <f t="shared" ref="Y178" si="397">$T178/ORCAMENTO_VALOR_TOTAL_DE</f>
        <v>0</v>
      </c>
      <c r="Z178" s="158" cm="1">
        <f t="array" ref="Z178">_xlfn.SWITCH($N178,"BDI 1",$O$6,"BDI 2",$O$7,"BDI 3",$O$8)</f>
        <v>0.20699999999999999</v>
      </c>
      <c r="AA178" s="158" cm="1">
        <f t="array" ref="AA178">_xlfn.SWITCH($N178,"BDI 1",$P$6,"BDI 2",$P$7,"BDI 3",$P$8)</f>
        <v>0.26739999999999997</v>
      </c>
      <c r="AB178" s="158">
        <f t="shared" ca="1" si="218"/>
        <v>0</v>
      </c>
      <c r="AC178" s="158">
        <f t="shared" ca="1" si="219"/>
        <v>0</v>
      </c>
      <c r="AD178" s="164"/>
      <c r="AE178" s="148">
        <f t="shared" si="205"/>
        <v>0</v>
      </c>
      <c r="AF178" s="149"/>
      <c r="AG178" s="150"/>
      <c r="AH178" s="159" t="e">
        <f t="shared" si="206"/>
        <v>#DIV/0!</v>
      </c>
      <c r="AI178" s="2426">
        <v>0</v>
      </c>
      <c r="AJ178" s="105"/>
      <c r="AK178" s="105"/>
      <c r="AM178" s="105"/>
      <c r="AN178" s="105"/>
      <c r="AO178" s="105"/>
      <c r="AP178" s="105"/>
      <c r="AQ178" s="105"/>
      <c r="AR178" s="105"/>
    </row>
    <row r="179" spans="1:44" s="49" customFormat="1" ht="49.9" hidden="1" customHeight="1">
      <c r="A179" s="152">
        <f t="shared" ca="1" si="207"/>
        <v>0</v>
      </c>
      <c r="B179" s="153">
        <v>93373</v>
      </c>
      <c r="C179" s="154" t="str">
        <f t="shared" si="208"/>
        <v>93373</v>
      </c>
      <c r="D179" s="154" t="s">
        <v>1416</v>
      </c>
      <c r="E179" s="155" t="s">
        <v>3675</v>
      </c>
      <c r="F179" s="154"/>
      <c r="G179" s="154" t="s">
        <v>464</v>
      </c>
      <c r="H179" s="152">
        <v>12.97</v>
      </c>
      <c r="I179" s="152">
        <v>12.47</v>
      </c>
      <c r="J179" s="156"/>
      <c r="K179" s="156">
        <f>Dre_Terraplenagem!AI153</f>
        <v>0</v>
      </c>
      <c r="L179" s="156">
        <f t="shared" si="209"/>
        <v>0</v>
      </c>
      <c r="M179" s="156">
        <f t="shared" si="210"/>
        <v>0</v>
      </c>
      <c r="N179" s="156" t="s">
        <v>83</v>
      </c>
      <c r="O179" s="157" cm="1">
        <f t="array" ref="O179">TRUNC($H179*(1+_xlfn.SWITCH($N179,"BDI 1",$O$6,"BDI 2",$O$7,"BDI 3",$O$8)),2)</f>
        <v>15.65</v>
      </c>
      <c r="P179" s="157" cm="1">
        <f t="array" ref="P179">TRUNC($I179*(1+_xlfn.SWITCH($N179,"BDI 1",$P$6,"BDI 2",$P$7,"BDI 3",$P$8)),2)</f>
        <v>15.8</v>
      </c>
      <c r="Q179" s="157">
        <v>0</v>
      </c>
      <c r="R179" s="157">
        <f t="shared" ref="R179" si="398">$Q179-($Q179*LICITACAO_DESCONTO)</f>
        <v>0</v>
      </c>
      <c r="S179" s="156">
        <f t="shared" si="212"/>
        <v>0</v>
      </c>
      <c r="T179" s="156">
        <f t="shared" si="213"/>
        <v>0</v>
      </c>
      <c r="U179" s="156">
        <f t="shared" si="214"/>
        <v>0</v>
      </c>
      <c r="V179" s="156">
        <f t="shared" si="215"/>
        <v>0</v>
      </c>
      <c r="W179" s="156">
        <f t="shared" si="202"/>
        <v>0</v>
      </c>
      <c r="X179" s="158">
        <f t="shared" ref="X179" si="399">$S179/ORCAMENTO_VALOR_TOTAL_ND</f>
        <v>0</v>
      </c>
      <c r="Y179" s="158">
        <f t="shared" ref="Y179" si="400">$T179/ORCAMENTO_VALOR_TOTAL_DE</f>
        <v>0</v>
      </c>
      <c r="Z179" s="158" cm="1">
        <f t="array" ref="Z179">_xlfn.SWITCH($N179,"BDI 1",$O$6,"BDI 2",$O$7,"BDI 3",$O$8)</f>
        <v>0.20699999999999999</v>
      </c>
      <c r="AA179" s="158" cm="1">
        <f t="array" ref="AA179">_xlfn.SWITCH($N179,"BDI 1",$P$6,"BDI 2",$P$7,"BDI 3",$P$8)</f>
        <v>0.26739999999999997</v>
      </c>
      <c r="AB179" s="158">
        <f t="shared" ca="1" si="218"/>
        <v>0</v>
      </c>
      <c r="AC179" s="158">
        <f t="shared" ca="1" si="219"/>
        <v>0</v>
      </c>
      <c r="AD179" s="164"/>
      <c r="AE179" s="148">
        <f t="shared" si="205"/>
        <v>0</v>
      </c>
      <c r="AF179" s="149"/>
      <c r="AG179" s="150"/>
      <c r="AH179" s="159" t="e">
        <f t="shared" si="206"/>
        <v>#DIV/0!</v>
      </c>
      <c r="AI179" s="2426"/>
      <c r="AJ179" s="105"/>
      <c r="AK179" s="105"/>
      <c r="AM179" s="105"/>
      <c r="AN179" s="105"/>
      <c r="AO179" s="105"/>
      <c r="AP179" s="105"/>
      <c r="AQ179" s="105"/>
      <c r="AR179" s="105"/>
    </row>
    <row r="180" spans="1:44" s="49" customFormat="1" ht="40.15" hidden="1" customHeight="1">
      <c r="A180" s="152">
        <f t="shared" ca="1" si="207"/>
        <v>0</v>
      </c>
      <c r="B180" s="153">
        <v>94342</v>
      </c>
      <c r="C180" s="154" t="str">
        <f t="shared" si="208"/>
        <v>94342</v>
      </c>
      <c r="D180" s="154" t="s">
        <v>1416</v>
      </c>
      <c r="E180" s="155" t="s">
        <v>3676</v>
      </c>
      <c r="F180" s="154"/>
      <c r="G180" s="154" t="s">
        <v>464</v>
      </c>
      <c r="H180" s="152">
        <v>94.25</v>
      </c>
      <c r="I180" s="152">
        <v>95.32</v>
      </c>
      <c r="J180" s="156"/>
      <c r="K180" s="156">
        <f>Dre_Terraplenagem!AI133</f>
        <v>0</v>
      </c>
      <c r="L180" s="156">
        <f t="shared" si="209"/>
        <v>0</v>
      </c>
      <c r="M180" s="156">
        <f t="shared" si="210"/>
        <v>0</v>
      </c>
      <c r="N180" s="156" t="s">
        <v>83</v>
      </c>
      <c r="O180" s="157" cm="1">
        <f t="array" ref="O180">TRUNC($H180*(1+_xlfn.SWITCH($N180,"BDI 1",$O$6,"BDI 2",$O$7,"BDI 3",$O$8)),2)</f>
        <v>113.75</v>
      </c>
      <c r="P180" s="157" cm="1">
        <f t="array" ref="P180">TRUNC($I180*(1+_xlfn.SWITCH($N180,"BDI 1",$P$6,"BDI 2",$P$7,"BDI 3",$P$8)),2)</f>
        <v>120.8</v>
      </c>
      <c r="Q180" s="157">
        <v>0</v>
      </c>
      <c r="R180" s="157">
        <f t="shared" ref="R180" si="401">$Q180-($Q180*LICITACAO_DESCONTO)</f>
        <v>0</v>
      </c>
      <c r="S180" s="156">
        <f t="shared" si="212"/>
        <v>0</v>
      </c>
      <c r="T180" s="156">
        <f t="shared" si="213"/>
        <v>0</v>
      </c>
      <c r="U180" s="156">
        <f t="shared" si="214"/>
        <v>0</v>
      </c>
      <c r="V180" s="156">
        <f t="shared" si="215"/>
        <v>0</v>
      </c>
      <c r="W180" s="156">
        <f t="shared" si="202"/>
        <v>0</v>
      </c>
      <c r="X180" s="158">
        <f t="shared" ref="X180" si="402">$S180/ORCAMENTO_VALOR_TOTAL_ND</f>
        <v>0</v>
      </c>
      <c r="Y180" s="158">
        <f t="shared" ref="Y180" si="403">$T180/ORCAMENTO_VALOR_TOTAL_DE</f>
        <v>0</v>
      </c>
      <c r="Z180" s="158" cm="1">
        <f t="array" ref="Z180">_xlfn.SWITCH($N180,"BDI 1",$O$6,"BDI 2",$O$7,"BDI 3",$O$8)</f>
        <v>0.20699999999999999</v>
      </c>
      <c r="AA180" s="158" cm="1">
        <f t="array" ref="AA180">_xlfn.SWITCH($N180,"BDI 1",$P$6,"BDI 2",$P$7,"BDI 3",$P$8)</f>
        <v>0.26739999999999997</v>
      </c>
      <c r="AB180" s="158">
        <f t="shared" ca="1" si="218"/>
        <v>0</v>
      </c>
      <c r="AC180" s="158">
        <f t="shared" ca="1" si="219"/>
        <v>0</v>
      </c>
      <c r="AD180" s="164"/>
      <c r="AE180" s="148">
        <f t="shared" si="205"/>
        <v>0</v>
      </c>
      <c r="AF180" s="149"/>
      <c r="AG180" s="150"/>
      <c r="AH180" s="159" t="e">
        <f t="shared" si="206"/>
        <v>#DIV/0!</v>
      </c>
      <c r="AI180" s="160"/>
      <c r="AJ180" s="105"/>
      <c r="AK180" s="105"/>
      <c r="AM180" s="105"/>
      <c r="AN180" s="105"/>
      <c r="AO180" s="105"/>
      <c r="AP180" s="105"/>
      <c r="AQ180" s="105"/>
      <c r="AR180" s="105"/>
    </row>
    <row r="181" spans="1:44" s="49" customFormat="1" ht="49.9" hidden="1" customHeight="1">
      <c r="A181" s="152">
        <f t="shared" ca="1" si="207"/>
        <v>0</v>
      </c>
      <c r="B181" s="153">
        <v>101230</v>
      </c>
      <c r="C181" s="154" t="str">
        <f t="shared" si="208"/>
        <v>101230</v>
      </c>
      <c r="D181" s="154" t="s">
        <v>1416</v>
      </c>
      <c r="E181" s="155" t="s">
        <v>3677</v>
      </c>
      <c r="F181" s="154"/>
      <c r="G181" s="154" t="s">
        <v>464</v>
      </c>
      <c r="H181" s="152">
        <v>10.7</v>
      </c>
      <c r="I181" s="152">
        <v>10.73</v>
      </c>
      <c r="J181" s="156"/>
      <c r="K181" s="156">
        <f>IF(K183=0,Dre_Terraplenagem!AI204,0)</f>
        <v>0</v>
      </c>
      <c r="L181" s="156">
        <f t="shared" si="209"/>
        <v>0</v>
      </c>
      <c r="M181" s="156">
        <f t="shared" si="210"/>
        <v>0</v>
      </c>
      <c r="N181" s="156" t="s">
        <v>83</v>
      </c>
      <c r="O181" s="157" cm="1">
        <f t="array" ref="O181">TRUNC($H181*(1+_xlfn.SWITCH($N181,"BDI 1",$O$6,"BDI 2",$O$7,"BDI 3",$O$8)),2)</f>
        <v>12.91</v>
      </c>
      <c r="P181" s="157" cm="1">
        <f t="array" ref="P181">TRUNC($I181*(1+_xlfn.SWITCH($N181,"BDI 1",$P$6,"BDI 2",$P$7,"BDI 3",$P$8)),2)</f>
        <v>13.59</v>
      </c>
      <c r="Q181" s="157">
        <v>0</v>
      </c>
      <c r="R181" s="157">
        <f t="shared" ref="R181" si="404">$Q181-($Q181*LICITACAO_DESCONTO)</f>
        <v>0</v>
      </c>
      <c r="S181" s="156">
        <f t="shared" si="212"/>
        <v>0</v>
      </c>
      <c r="T181" s="156">
        <f t="shared" si="213"/>
        <v>0</v>
      </c>
      <c r="U181" s="156">
        <f t="shared" si="214"/>
        <v>0</v>
      </c>
      <c r="V181" s="156">
        <f t="shared" si="215"/>
        <v>0</v>
      </c>
      <c r="W181" s="156">
        <f t="shared" si="202"/>
        <v>0</v>
      </c>
      <c r="X181" s="158">
        <f t="shared" ref="X181" si="405">$S181/ORCAMENTO_VALOR_TOTAL_ND</f>
        <v>0</v>
      </c>
      <c r="Y181" s="158">
        <f t="shared" ref="Y181" si="406">$T181/ORCAMENTO_VALOR_TOTAL_DE</f>
        <v>0</v>
      </c>
      <c r="Z181" s="158" cm="1">
        <f t="array" ref="Z181">_xlfn.SWITCH($N181,"BDI 1",$O$6,"BDI 2",$O$7,"BDI 3",$O$8)</f>
        <v>0.20699999999999999</v>
      </c>
      <c r="AA181" s="158" cm="1">
        <f t="array" ref="AA181">_xlfn.SWITCH($N181,"BDI 1",$P$6,"BDI 2",$P$7,"BDI 3",$P$8)</f>
        <v>0.26739999999999997</v>
      </c>
      <c r="AB181" s="158">
        <f t="shared" ca="1" si="218"/>
        <v>0</v>
      </c>
      <c r="AC181" s="158">
        <f t="shared" ca="1" si="219"/>
        <v>0</v>
      </c>
      <c r="AD181" s="164"/>
      <c r="AE181" s="148">
        <f t="shared" si="205"/>
        <v>0</v>
      </c>
      <c r="AF181" s="149"/>
      <c r="AG181" s="150"/>
      <c r="AH181" s="159" t="e">
        <f t="shared" si="206"/>
        <v>#DIV/0!</v>
      </c>
      <c r="AI181" s="160"/>
      <c r="AJ181" s="105"/>
      <c r="AK181" s="105"/>
      <c r="AM181" s="105"/>
      <c r="AN181" s="105"/>
      <c r="AO181" s="105"/>
      <c r="AP181" s="105"/>
      <c r="AQ181" s="105"/>
      <c r="AR181" s="105"/>
    </row>
    <row r="182" spans="1:44" s="49" customFormat="1" ht="40.15" hidden="1" customHeight="1">
      <c r="A182" s="152">
        <f t="shared" ca="1" si="207"/>
        <v>0</v>
      </c>
      <c r="B182" s="153">
        <v>368</v>
      </c>
      <c r="C182" s="154" t="str">
        <f t="shared" si="208"/>
        <v>368</v>
      </c>
      <c r="D182" s="154" t="s">
        <v>3579</v>
      </c>
      <c r="E182" s="155" t="s">
        <v>3678</v>
      </c>
      <c r="F182" s="154"/>
      <c r="G182" s="154" t="s">
        <v>464</v>
      </c>
      <c r="H182" s="152">
        <v>50.25</v>
      </c>
      <c r="I182" s="152">
        <v>50.25</v>
      </c>
      <c r="J182" s="156"/>
      <c r="K182" s="156">
        <f>ROUND(K180*1.25,2)</f>
        <v>0</v>
      </c>
      <c r="L182" s="156">
        <f t="shared" si="209"/>
        <v>0</v>
      </c>
      <c r="M182" s="156">
        <f t="shared" si="210"/>
        <v>0</v>
      </c>
      <c r="N182" s="156" t="s">
        <v>92</v>
      </c>
      <c r="O182" s="157" cm="1">
        <f t="array" ref="O182">TRUNC($H182*(1+_xlfn.SWITCH($N182,"BDI 1",$O$6,"BDI 2",$O$7,"BDI 3",$O$8)),2)</f>
        <v>57.92</v>
      </c>
      <c r="P182" s="157" cm="1">
        <f t="array" ref="P182">TRUNC($I182*(1+_xlfn.SWITCH($N182,"BDI 1",$P$6,"BDI 2",$P$7,"BDI 3",$P$8)),2)</f>
        <v>57.92</v>
      </c>
      <c r="Q182" s="157">
        <v>0</v>
      </c>
      <c r="R182" s="157">
        <f t="shared" ref="R182" si="407">$Q182-($Q182*LICITACAO_DESCONTO)</f>
        <v>0</v>
      </c>
      <c r="S182" s="156">
        <f t="shared" si="212"/>
        <v>0</v>
      </c>
      <c r="T182" s="156">
        <f t="shared" si="213"/>
        <v>0</v>
      </c>
      <c r="U182" s="156">
        <f t="shared" si="214"/>
        <v>0</v>
      </c>
      <c r="V182" s="156">
        <f t="shared" si="215"/>
        <v>0</v>
      </c>
      <c r="W182" s="156">
        <f>TRUNC(V182-U182,2)</f>
        <v>0</v>
      </c>
      <c r="X182" s="158">
        <f t="shared" ref="X182" si="408">$S182/ORCAMENTO_VALOR_TOTAL_ND</f>
        <v>0</v>
      </c>
      <c r="Y182" s="158">
        <f t="shared" ref="Y182" si="409">$T182/ORCAMENTO_VALOR_TOTAL_DE</f>
        <v>0</v>
      </c>
      <c r="Z182" s="158" cm="1">
        <f t="array" ref="Z182">_xlfn.SWITCH($N182,"BDI 1",$O$6,"BDI 2",$O$7,"BDI 3",$O$8)</f>
        <v>0.1527</v>
      </c>
      <c r="AA182" s="158" cm="1">
        <f t="array" ref="AA182">_xlfn.SWITCH($N182,"BDI 1",$P$6,"BDI 2",$P$7,"BDI 3",$P$8)</f>
        <v>0.1527</v>
      </c>
      <c r="AB182" s="158">
        <f t="shared" ca="1" si="218"/>
        <v>0</v>
      </c>
      <c r="AC182" s="158">
        <f t="shared" ca="1" si="219"/>
        <v>0</v>
      </c>
      <c r="AD182" s="164"/>
      <c r="AE182" s="148">
        <f t="shared" ref="AE182:AE185" si="410">IF(S182&gt;0,IFERROR(TRUNC(A182,0),0),0)</f>
        <v>0</v>
      </c>
      <c r="AF182" s="149"/>
      <c r="AG182" s="150"/>
      <c r="AH182" s="159" t="e">
        <f t="shared" ref="AH182:AH185" si="411">S182/S$118</f>
        <v>#DIV/0!</v>
      </c>
      <c r="AI182" s="160"/>
      <c r="AJ182" s="105"/>
      <c r="AK182" s="105"/>
      <c r="AM182" s="105"/>
      <c r="AN182" s="105"/>
      <c r="AO182" s="105"/>
      <c r="AP182" s="105"/>
      <c r="AQ182" s="105"/>
      <c r="AR182" s="105"/>
    </row>
    <row r="183" spans="1:44" s="49" customFormat="1" ht="40.15" hidden="1" customHeight="1">
      <c r="A183" s="152">
        <f t="shared" ref="A183:A203" ca="1" si="412">IF(K183&gt;0,A182+0.01,A182)</f>
        <v>0</v>
      </c>
      <c r="B183" s="153">
        <v>6079</v>
      </c>
      <c r="C183" s="154" t="str">
        <f>TEXT(B183,"0")</f>
        <v>6079</v>
      </c>
      <c r="D183" s="154" t="s">
        <v>3579</v>
      </c>
      <c r="E183" s="155" t="s">
        <v>3679</v>
      </c>
      <c r="F183" s="154"/>
      <c r="G183" s="154" t="s">
        <v>464</v>
      </c>
      <c r="H183" s="152">
        <v>37.35</v>
      </c>
      <c r="I183" s="152">
        <v>37.35</v>
      </c>
      <c r="J183" s="156"/>
      <c r="K183" s="156">
        <f>IF(AI183="COMERCIAL",Dre_Terraplenagem!AI204,0)</f>
        <v>0</v>
      </c>
      <c r="L183" s="156">
        <f>IF($K183&gt;$J183,$K183-$J183,0)</f>
        <v>0</v>
      </c>
      <c r="M183" s="156">
        <f>IF($K183&lt;$J183,$J183-$K183,0)</f>
        <v>0</v>
      </c>
      <c r="N183" s="156" t="s">
        <v>92</v>
      </c>
      <c r="O183" s="157" cm="1">
        <f t="array" ref="O183">TRUNC($H183*(1+_xlfn.SWITCH($N183,"BDI 1",$O$6,"BDI 2",$O$7,"BDI 3",$O$8)),2)</f>
        <v>43.05</v>
      </c>
      <c r="P183" s="157" cm="1">
        <f t="array" ref="P183">TRUNC($I183*(1+_xlfn.SWITCH($N183,"BDI 1",$P$6,"BDI 2",$P$7,"BDI 3",$P$8)),2)</f>
        <v>43.05</v>
      </c>
      <c r="Q183" s="157">
        <v>0</v>
      </c>
      <c r="R183" s="157">
        <f t="shared" ref="R183" si="413">$Q183-($Q183*LICITACAO_DESCONTO)</f>
        <v>0</v>
      </c>
      <c r="S183" s="156">
        <f>TRUNC($K183*$O183,2)</f>
        <v>0</v>
      </c>
      <c r="T183" s="156">
        <f>TRUNC($K183*$P183,2)</f>
        <v>0</v>
      </c>
      <c r="U183" s="156">
        <f>TRUNC($J183*$R183,2)</f>
        <v>0</v>
      </c>
      <c r="V183" s="156">
        <f>TRUNC($K183*$Q183,2)</f>
        <v>0</v>
      </c>
      <c r="W183" s="156">
        <f>TRUNC(V183-U183,2)</f>
        <v>0</v>
      </c>
      <c r="X183" s="158">
        <f t="shared" ref="X183" si="414">$S183/ORCAMENTO_VALOR_TOTAL_ND</f>
        <v>0</v>
      </c>
      <c r="Y183" s="158">
        <f t="shared" ref="Y183" si="415">$T183/ORCAMENTO_VALOR_TOTAL_DE</f>
        <v>0</v>
      </c>
      <c r="Z183" s="158" cm="1">
        <f t="array" ref="Z183">_xlfn.SWITCH($N183,"BDI 1",$O$6,"BDI 2",$O$7,"BDI 3",$O$8)</f>
        <v>0.1527</v>
      </c>
      <c r="AA183" s="158" cm="1">
        <f t="array" ref="AA183">_xlfn.SWITCH($N183,"BDI 1",$P$6,"BDI 2",$P$7,"BDI 3",$P$8)</f>
        <v>0.1527</v>
      </c>
      <c r="AB183" s="158">
        <f t="shared" ref="AB183:AB185" ca="1" si="416">IFERROR($S183/_xlfn.XLOOKUP($AE183,$B$16:$B$38,$S$16:$S$38),0)</f>
        <v>0</v>
      </c>
      <c r="AC183" s="158">
        <f t="shared" ref="AC183:AC185" ca="1" si="417">IFERROR($T183/_xlfn.XLOOKUP($AE183,$B$16:$B$38,$T$16:$T$38),0)</f>
        <v>0</v>
      </c>
      <c r="AD183" s="164"/>
      <c r="AE183" s="148">
        <f t="shared" si="410"/>
        <v>0</v>
      </c>
      <c r="AF183" s="149"/>
      <c r="AG183" s="150"/>
      <c r="AH183" s="159" t="e">
        <f t="shared" si="411"/>
        <v>#DIV/0!</v>
      </c>
      <c r="AI183" s="165" t="s">
        <v>134</v>
      </c>
      <c r="AJ183" s="105"/>
      <c r="AK183" s="105"/>
      <c r="AM183" s="105"/>
      <c r="AN183" s="105"/>
      <c r="AO183" s="105"/>
      <c r="AP183" s="105"/>
      <c r="AQ183" s="105"/>
      <c r="AR183" s="105"/>
    </row>
    <row r="184" spans="1:44" s="49" customFormat="1" ht="40.15" hidden="1" customHeight="1">
      <c r="A184" s="152">
        <f t="shared" ca="1" si="412"/>
        <v>0</v>
      </c>
      <c r="B184" s="153">
        <v>103946</v>
      </c>
      <c r="C184" s="154" t="str">
        <f>TEXT(B184,"0")</f>
        <v>103946</v>
      </c>
      <c r="D184" s="154" t="s">
        <v>1416</v>
      </c>
      <c r="E184" s="155" t="s">
        <v>3680</v>
      </c>
      <c r="F184" s="154"/>
      <c r="G184" s="154" t="s">
        <v>1418</v>
      </c>
      <c r="H184" s="152">
        <v>13.06</v>
      </c>
      <c r="I184" s="152">
        <v>12.44</v>
      </c>
      <c r="J184" s="156"/>
      <c r="K184" s="156">
        <f>Dre_Terraplenagem!AI188</f>
        <v>0</v>
      </c>
      <c r="L184" s="156">
        <f>IF($K184&gt;$J184,$K184-$J184,0)</f>
        <v>0</v>
      </c>
      <c r="M184" s="156">
        <f>IF($K184&lt;$J184,$J184-$K184,0)</f>
        <v>0</v>
      </c>
      <c r="N184" s="156" t="s">
        <v>83</v>
      </c>
      <c r="O184" s="157" cm="1">
        <f t="array" ref="O184">TRUNC($H184*(1+_xlfn.SWITCH($N184,"BDI 1",$O$6,"BDI 2",$O$7,"BDI 3",$O$8)),2)</f>
        <v>15.76</v>
      </c>
      <c r="P184" s="157" cm="1">
        <f t="array" ref="P184">TRUNC($I184*(1+_xlfn.SWITCH($N184,"BDI 1",$P$6,"BDI 2",$P$7,"BDI 3",$P$8)),2)</f>
        <v>15.76</v>
      </c>
      <c r="Q184" s="157">
        <v>0</v>
      </c>
      <c r="R184" s="157">
        <f t="shared" ref="R184" si="418">$Q184-($Q184*LICITACAO_DESCONTO)</f>
        <v>0</v>
      </c>
      <c r="S184" s="156">
        <f>TRUNC($K184*$O184,2)</f>
        <v>0</v>
      </c>
      <c r="T184" s="156">
        <f>TRUNC($K184*$P184,2)</f>
        <v>0</v>
      </c>
      <c r="U184" s="156">
        <f>TRUNC($J184*$R184,2)</f>
        <v>0</v>
      </c>
      <c r="V184" s="156">
        <f>TRUNC($K184*$Q184,2)</f>
        <v>0</v>
      </c>
      <c r="W184" s="156">
        <f>TRUNC(V184-U184,2)</f>
        <v>0</v>
      </c>
      <c r="X184" s="158">
        <f t="shared" ref="X184" si="419">$S184/ORCAMENTO_VALOR_TOTAL_ND</f>
        <v>0</v>
      </c>
      <c r="Y184" s="158">
        <f t="shared" ref="Y184" si="420">$T184/ORCAMENTO_VALOR_TOTAL_DE</f>
        <v>0</v>
      </c>
      <c r="Z184" s="158" cm="1">
        <f t="array" ref="Z184">_xlfn.SWITCH($N184,"BDI 1",$O$6,"BDI 2",$O$7,"BDI 3",$O$8)</f>
        <v>0.20699999999999999</v>
      </c>
      <c r="AA184" s="158" cm="1">
        <f t="array" ref="AA184">_xlfn.SWITCH($N184,"BDI 1",$P$6,"BDI 2",$P$7,"BDI 3",$P$8)</f>
        <v>0.26739999999999997</v>
      </c>
      <c r="AB184" s="158">
        <f t="shared" ca="1" si="416"/>
        <v>0</v>
      </c>
      <c r="AC184" s="158">
        <f t="shared" ca="1" si="417"/>
        <v>0</v>
      </c>
      <c r="AD184" s="164"/>
      <c r="AE184" s="148">
        <f t="shared" si="410"/>
        <v>0</v>
      </c>
      <c r="AF184" s="149"/>
      <c r="AG184" s="150"/>
      <c r="AH184" s="159" t="e">
        <f t="shared" si="411"/>
        <v>#DIV/0!</v>
      </c>
      <c r="AI184" s="165" t="s">
        <v>135</v>
      </c>
      <c r="AJ184" s="105"/>
      <c r="AK184" s="105"/>
      <c r="AM184" s="105"/>
      <c r="AN184" s="105"/>
      <c r="AO184" s="105"/>
      <c r="AP184" s="105"/>
      <c r="AQ184" s="105"/>
      <c r="AR184" s="105"/>
    </row>
    <row r="185" spans="1:44" s="49" customFormat="1" ht="49.9" hidden="1" customHeight="1">
      <c r="A185" s="152">
        <f t="shared" ca="1" si="412"/>
        <v>0</v>
      </c>
      <c r="B185" s="153">
        <v>100979</v>
      </c>
      <c r="C185" s="154" t="str">
        <f>TEXT(B185,"0")</f>
        <v>100979</v>
      </c>
      <c r="D185" s="154" t="s">
        <v>1416</v>
      </c>
      <c r="E185" s="155" t="s">
        <v>1420</v>
      </c>
      <c r="F185" s="154"/>
      <c r="G185" s="154" t="s">
        <v>464</v>
      </c>
      <c r="H185" s="152">
        <v>6.4</v>
      </c>
      <c r="I185" s="152">
        <v>6.4</v>
      </c>
      <c r="J185" s="156"/>
      <c r="K185" s="156">
        <f>Dre_Terraplenagem!AI200</f>
        <v>0</v>
      </c>
      <c r="L185" s="156">
        <f>IF($K185&gt;$J185,$K185-$J185,0)</f>
        <v>0</v>
      </c>
      <c r="M185" s="156">
        <f>IF($K185&lt;$J185,$J185-$K185,0)</f>
        <v>0</v>
      </c>
      <c r="N185" s="156" t="s">
        <v>83</v>
      </c>
      <c r="O185" s="157" cm="1">
        <f t="array" ref="O185">TRUNC($H185*(1+_xlfn.SWITCH($N185,"BDI 1",$O$6,"BDI 2",$O$7,"BDI 3",$O$8)),2)</f>
        <v>7.72</v>
      </c>
      <c r="P185" s="157" cm="1">
        <f t="array" ref="P185">TRUNC($I185*(1+_xlfn.SWITCH($N185,"BDI 1",$P$6,"BDI 2",$P$7,"BDI 3",$P$8)),2)</f>
        <v>8.11</v>
      </c>
      <c r="Q185" s="157">
        <v>0</v>
      </c>
      <c r="R185" s="157">
        <f t="shared" ref="R185" si="421">$Q185-($Q185*LICITACAO_DESCONTO)</f>
        <v>0</v>
      </c>
      <c r="S185" s="156">
        <f>TRUNC($K185*$O185,2)</f>
        <v>0</v>
      </c>
      <c r="T185" s="156">
        <f>TRUNC($K185*$P185,2)</f>
        <v>0</v>
      </c>
      <c r="U185" s="156">
        <f>TRUNC($J185*$R185,2)</f>
        <v>0</v>
      </c>
      <c r="V185" s="156">
        <f>TRUNC($K185*$Q185,2)</f>
        <v>0</v>
      </c>
      <c r="W185" s="156">
        <f>TRUNC(V185-U185,2)</f>
        <v>0</v>
      </c>
      <c r="X185" s="158">
        <f t="shared" ref="X185" si="422">$S185/ORCAMENTO_VALOR_TOTAL_ND</f>
        <v>0</v>
      </c>
      <c r="Y185" s="158">
        <f t="shared" ref="Y185" si="423">$T185/ORCAMENTO_VALOR_TOTAL_DE</f>
        <v>0</v>
      </c>
      <c r="Z185" s="158" cm="1">
        <f t="array" ref="Z185">_xlfn.SWITCH($N185,"BDI 1",$O$6,"BDI 2",$O$7,"BDI 3",$O$8)</f>
        <v>0.20699999999999999</v>
      </c>
      <c r="AA185" s="158" cm="1">
        <f t="array" ref="AA185">_xlfn.SWITCH($N185,"BDI 1",$P$6,"BDI 2",$P$7,"BDI 3",$P$8)</f>
        <v>0.26739999999999997</v>
      </c>
      <c r="AB185" s="158">
        <f t="shared" ca="1" si="416"/>
        <v>0</v>
      </c>
      <c r="AC185" s="158">
        <f t="shared" ca="1" si="417"/>
        <v>0</v>
      </c>
      <c r="AD185" s="164"/>
      <c r="AE185" s="148">
        <f t="shared" si="410"/>
        <v>0</v>
      </c>
      <c r="AF185" s="149"/>
      <c r="AG185" s="150"/>
      <c r="AH185" s="159" t="e">
        <f t="shared" si="411"/>
        <v>#DIV/0!</v>
      </c>
      <c r="AI185" s="165" t="s">
        <v>101</v>
      </c>
      <c r="AJ185" s="105"/>
      <c r="AK185" s="105"/>
      <c r="AM185" s="105"/>
      <c r="AN185" s="105"/>
      <c r="AO185" s="105"/>
      <c r="AP185" s="105"/>
      <c r="AQ185" s="105"/>
      <c r="AR185" s="105"/>
    </row>
    <row r="186" spans="1:44" s="49" customFormat="1" ht="40.15" hidden="1" customHeight="1">
      <c r="A186" s="10">
        <f t="shared" ca="1" si="412"/>
        <v>0</v>
      </c>
      <c r="B186" s="153"/>
      <c r="C186" s="154"/>
      <c r="D186" s="154"/>
      <c r="E186" s="161" t="s">
        <v>119</v>
      </c>
      <c r="F186" s="154"/>
      <c r="G186" s="154"/>
      <c r="H186" s="152"/>
      <c r="I186" s="152"/>
      <c r="J186" s="154"/>
      <c r="K186" s="154"/>
      <c r="L186" s="154"/>
      <c r="M186" s="154"/>
      <c r="N186" s="154"/>
      <c r="O186" s="154"/>
      <c r="P186" s="154"/>
      <c r="Q186" s="154"/>
      <c r="R186" s="154"/>
      <c r="S186" s="162"/>
      <c r="T186" s="162"/>
      <c r="U186" s="162"/>
      <c r="V186" s="162"/>
      <c r="W186" s="162"/>
      <c r="X186" s="163"/>
      <c r="Y186" s="163"/>
      <c r="Z186" s="163"/>
      <c r="AA186" s="163"/>
      <c r="AB186" s="163"/>
      <c r="AC186" s="163"/>
      <c r="AD186" s="164"/>
      <c r="AE186" s="148">
        <f>IF(SUM(S187)&gt;0,IFERROR(TRUNC(A186,0),0),0)</f>
        <v>0</v>
      </c>
      <c r="AF186" s="149"/>
      <c r="AG186" s="150"/>
      <c r="AH186" s="159"/>
      <c r="AI186" s="160" t="s">
        <v>120</v>
      </c>
      <c r="AJ186" s="105"/>
      <c r="AK186" s="105"/>
      <c r="AM186" s="105"/>
      <c r="AN186" s="105"/>
      <c r="AO186" s="105"/>
      <c r="AP186" s="105"/>
      <c r="AQ186" s="105"/>
      <c r="AR186" s="105"/>
    </row>
    <row r="187" spans="1:44" s="49" customFormat="1" ht="40.15" hidden="1" customHeight="1">
      <c r="A187" s="152">
        <f t="shared" ca="1" si="412"/>
        <v>0</v>
      </c>
      <c r="B187" s="153">
        <v>95876</v>
      </c>
      <c r="C187" s="154" t="str">
        <f>TEXT(B187,"0")</f>
        <v>95876</v>
      </c>
      <c r="D187" s="154" t="s">
        <v>1416</v>
      </c>
      <c r="E187" s="155" t="s">
        <v>3537</v>
      </c>
      <c r="F187" s="154">
        <f>Dados_DMT!$B$15</f>
        <v>1</v>
      </c>
      <c r="G187" s="154" t="s">
        <v>3538</v>
      </c>
      <c r="H187" s="152">
        <v>2.09</v>
      </c>
      <c r="I187" s="152">
        <v>2.1</v>
      </c>
      <c r="J187" s="156"/>
      <c r="K187" s="156">
        <f>ROUND(Dre_Terraplenagem!AI201*F187,2)</f>
        <v>0</v>
      </c>
      <c r="L187" s="156">
        <f>IF($K187&gt;$J187,$K187-$J187,0)</f>
        <v>0</v>
      </c>
      <c r="M187" s="156">
        <f>IF($K187&lt;$J187,$J187-$K187,0)</f>
        <v>0</v>
      </c>
      <c r="N187" s="156" t="s">
        <v>83</v>
      </c>
      <c r="O187" s="157" cm="1">
        <f t="array" ref="O187">TRUNC($H187*(1+_xlfn.SWITCH($N187,"BDI 1",$O$6,"BDI 2",$O$7,"BDI 3",$O$8)),2)</f>
        <v>2.52</v>
      </c>
      <c r="P187" s="157" cm="1">
        <f t="array" ref="P187">TRUNC($I187*(1+_xlfn.SWITCH($N187,"BDI 1",$P$6,"BDI 2",$P$7,"BDI 3",$P$8)),2)</f>
        <v>2.66</v>
      </c>
      <c r="Q187" s="157">
        <v>0</v>
      </c>
      <c r="R187" s="157">
        <v>0</v>
      </c>
      <c r="S187" s="156">
        <f>TRUNC($K187*$O187,2)</f>
        <v>0</v>
      </c>
      <c r="T187" s="156">
        <f>TRUNC($K187*$P187,2)</f>
        <v>0</v>
      </c>
      <c r="U187" s="156">
        <f>TRUNC($J187*$R187,2)</f>
        <v>0</v>
      </c>
      <c r="V187" s="156">
        <f>TRUNC($K187*$Q187,2)</f>
        <v>0</v>
      </c>
      <c r="W187" s="156">
        <f>TRUNC(V187-U187,2)</f>
        <v>0</v>
      </c>
      <c r="X187" s="158">
        <f>$S187/ORCAMENTO_VALOR_TOTAL_ND</f>
        <v>0</v>
      </c>
      <c r="Y187" s="158">
        <f>$T187/ORCAMENTO_VALOR_TOTAL_DE</f>
        <v>0</v>
      </c>
      <c r="Z187" s="158" cm="1">
        <f t="array" ref="Z187">_xlfn.SWITCH($N187,"BDI 1",$O$6,"BDI 2",$O$7,"BDI 3",$O$8)</f>
        <v>0.20699999999999999</v>
      </c>
      <c r="AA187" s="158" cm="1">
        <f t="array" ref="AA187">_xlfn.SWITCH($N187,"BDI 1",$P$6,"BDI 2",$P$7,"BDI 3",$P$8)</f>
        <v>0.26739999999999997</v>
      </c>
      <c r="AB187" s="158">
        <f ca="1">IFERROR($S187/_xlfn.XLOOKUP($AE187,$B$16:$B$38,$S$16:$S$38),0)</f>
        <v>0</v>
      </c>
      <c r="AC187" s="158">
        <f ca="1">IFERROR($T187/_xlfn.XLOOKUP($AE187,$B$16:$B$38,$T$16:$T$38),0)</f>
        <v>0</v>
      </c>
      <c r="AD187" s="164"/>
      <c r="AE187" s="148">
        <f t="shared" ref="AE187" si="424">IF(S187&gt;0,IFERROR(TRUNC(A187,0),0),0)</f>
        <v>0</v>
      </c>
      <c r="AF187" s="149"/>
      <c r="AG187" s="150"/>
      <c r="AH187" s="159" t="e">
        <f>S187/S$118</f>
        <v>#DIV/0!</v>
      </c>
      <c r="AI187" s="160"/>
      <c r="AJ187" s="105"/>
      <c r="AK187" s="105"/>
      <c r="AM187" s="105"/>
      <c r="AN187" s="105"/>
      <c r="AO187" s="105"/>
      <c r="AP187" s="105"/>
      <c r="AQ187" s="105"/>
      <c r="AR187" s="105"/>
    </row>
    <row r="188" spans="1:44" s="49" customFormat="1" ht="40.15" hidden="1" customHeight="1">
      <c r="A188" s="10">
        <f t="shared" ca="1" si="412"/>
        <v>0</v>
      </c>
      <c r="B188" s="153"/>
      <c r="C188" s="154"/>
      <c r="D188" s="154"/>
      <c r="E188" s="161" t="s">
        <v>136</v>
      </c>
      <c r="F188" s="154"/>
      <c r="G188" s="154"/>
      <c r="H188" s="152"/>
      <c r="I188" s="152"/>
      <c r="J188" s="154"/>
      <c r="K188" s="154"/>
      <c r="L188" s="154"/>
      <c r="M188" s="154"/>
      <c r="N188" s="154"/>
      <c r="O188" s="154"/>
      <c r="P188" s="154"/>
      <c r="Q188" s="154"/>
      <c r="R188" s="154"/>
      <c r="S188" s="162"/>
      <c r="T188" s="162"/>
      <c r="U188" s="162"/>
      <c r="V188" s="162"/>
      <c r="W188" s="162"/>
      <c r="X188" s="163"/>
      <c r="Y188" s="163"/>
      <c r="Z188" s="163"/>
      <c r="AA188" s="163"/>
      <c r="AB188" s="163"/>
      <c r="AC188" s="163"/>
      <c r="AD188" s="164"/>
      <c r="AE188" s="148">
        <f>IF(SUM(S189:S190)&gt;0,IFERROR(TRUNC(A188,0),0),0)</f>
        <v>0</v>
      </c>
      <c r="AF188" s="149"/>
      <c r="AG188" s="150"/>
      <c r="AH188" s="159"/>
      <c r="AI188" s="160" t="s">
        <v>123</v>
      </c>
      <c r="AJ188" s="105"/>
      <c r="AK188" s="105"/>
      <c r="AM188" s="105"/>
      <c r="AN188" s="105"/>
      <c r="AO188" s="105"/>
      <c r="AP188" s="105"/>
      <c r="AQ188" s="105"/>
      <c r="AR188" s="105"/>
    </row>
    <row r="189" spans="1:44" s="49" customFormat="1" ht="40.15" hidden="1" customHeight="1">
      <c r="A189" s="152">
        <f t="shared" ca="1" si="412"/>
        <v>0</v>
      </c>
      <c r="B189" s="153">
        <v>95876</v>
      </c>
      <c r="C189" s="154" t="str">
        <f>TEXT(B189,"0")</f>
        <v>95876</v>
      </c>
      <c r="D189" s="154" t="s">
        <v>1416</v>
      </c>
      <c r="E189" s="155" t="s">
        <v>3537</v>
      </c>
      <c r="F189" s="154">
        <f>IF(Dados_DMT!$B$16&lt;30,Dados_DMT!$B$16,30)</f>
        <v>0</v>
      </c>
      <c r="G189" s="154" t="s">
        <v>3538</v>
      </c>
      <c r="H189" s="152">
        <v>2.09</v>
      </c>
      <c r="I189" s="152">
        <v>2.1</v>
      </c>
      <c r="J189" s="156"/>
      <c r="K189" s="156">
        <f>ROUND(Dre_Terraplenagem!AI202*F189,2)</f>
        <v>0</v>
      </c>
      <c r="L189" s="156">
        <f>IF($K189&gt;$J189,$K189-$J189,0)</f>
        <v>0</v>
      </c>
      <c r="M189" s="156">
        <f>IF($K189&lt;$J189,$J189-$K189,0)</f>
        <v>0</v>
      </c>
      <c r="N189" s="156" t="s">
        <v>83</v>
      </c>
      <c r="O189" s="157" cm="1">
        <f t="array" ref="O189">TRUNC($H189*(1+_xlfn.SWITCH($N189,"BDI 1",$O$6,"BDI 2",$O$7,"BDI 3",$O$8)),2)</f>
        <v>2.52</v>
      </c>
      <c r="P189" s="157" cm="1">
        <f t="array" ref="P189">TRUNC($I189*(1+_xlfn.SWITCH($N189,"BDI 1",$P$6,"BDI 2",$P$7,"BDI 3",$P$8)),2)</f>
        <v>2.66</v>
      </c>
      <c r="Q189" s="157">
        <v>0</v>
      </c>
      <c r="R189" s="157">
        <v>0</v>
      </c>
      <c r="S189" s="156">
        <f>TRUNC($K189*$O189,2)</f>
        <v>0</v>
      </c>
      <c r="T189" s="156">
        <f>TRUNC($K189*$P189,2)</f>
        <v>0</v>
      </c>
      <c r="U189" s="156">
        <f>TRUNC($J189*$R189,2)</f>
        <v>0</v>
      </c>
      <c r="V189" s="156">
        <f>TRUNC($K189*$Q189,2)</f>
        <v>0</v>
      </c>
      <c r="W189" s="156">
        <f>TRUNC(V189-U189,2)</f>
        <v>0</v>
      </c>
      <c r="X189" s="158">
        <f>$S189/ORCAMENTO_VALOR_TOTAL_ND</f>
        <v>0</v>
      </c>
      <c r="Y189" s="158">
        <f>$T189/ORCAMENTO_VALOR_TOTAL_DE</f>
        <v>0</v>
      </c>
      <c r="Z189" s="158" cm="1">
        <f t="array" ref="Z189">_xlfn.SWITCH($N189,"BDI 1",$O$6,"BDI 2",$O$7,"BDI 3",$O$8)</f>
        <v>0.20699999999999999</v>
      </c>
      <c r="AA189" s="158" cm="1">
        <f t="array" ref="AA189">_xlfn.SWITCH($N189,"BDI 1",$P$6,"BDI 2",$P$7,"BDI 3",$P$8)</f>
        <v>0.26739999999999997</v>
      </c>
      <c r="AB189" s="158">
        <f ca="1">IFERROR($S189/_xlfn.XLOOKUP($AE189,$B$16:$B$38,$S$16:$S$38),0)</f>
        <v>0</v>
      </c>
      <c r="AC189" s="158">
        <f ca="1">IFERROR($T189/_xlfn.XLOOKUP($AE189,$B$16:$B$38,$T$16:$T$38),0)</f>
        <v>0</v>
      </c>
      <c r="AD189" s="164"/>
      <c r="AE189" s="148">
        <f t="shared" ref="AE189:AE190" si="425">IF(S189&gt;0,IFERROR(TRUNC(A189,0),0),0)</f>
        <v>0</v>
      </c>
      <c r="AF189" s="149"/>
      <c r="AG189" s="150"/>
      <c r="AH189" s="159" t="e">
        <f>S189/S$118</f>
        <v>#DIV/0!</v>
      </c>
      <c r="AI189" s="166">
        <f>IF(K189=0,0,K189/F189)</f>
        <v>0</v>
      </c>
      <c r="AJ189" s="105"/>
      <c r="AK189" s="105"/>
      <c r="AM189" s="105"/>
      <c r="AN189" s="105"/>
      <c r="AO189" s="105"/>
      <c r="AP189" s="105"/>
      <c r="AQ189" s="105"/>
      <c r="AR189" s="105"/>
    </row>
    <row r="190" spans="1:44" s="49" customFormat="1" ht="40.15" hidden="1" customHeight="1">
      <c r="A190" s="152">
        <f t="shared" ca="1" si="412"/>
        <v>0</v>
      </c>
      <c r="B190" s="153">
        <v>93593</v>
      </c>
      <c r="C190" s="154" t="str">
        <f>TEXT(B190,"0")</f>
        <v>93593</v>
      </c>
      <c r="D190" s="154" t="s">
        <v>1416</v>
      </c>
      <c r="E190" s="155" t="s">
        <v>3545</v>
      </c>
      <c r="F190" s="154">
        <f>Dados_DMT!$B$16-F189</f>
        <v>0</v>
      </c>
      <c r="G190" s="154" t="s">
        <v>3538</v>
      </c>
      <c r="H190" s="152">
        <v>0.84</v>
      </c>
      <c r="I190" s="152">
        <v>0.85</v>
      </c>
      <c r="J190" s="156"/>
      <c r="K190" s="156">
        <f>ROUND(Dre_Terraplenagem!AI202*F190,2)</f>
        <v>0</v>
      </c>
      <c r="L190" s="156">
        <f>IF($K190&gt;$J190,$K190-$J190,0)</f>
        <v>0</v>
      </c>
      <c r="M190" s="156">
        <f>IF($K190&lt;$J190,$J190-$K190,0)</f>
        <v>0</v>
      </c>
      <c r="N190" s="156" t="s">
        <v>83</v>
      </c>
      <c r="O190" s="157" cm="1">
        <f t="array" ref="O190">TRUNC($H190*(1+_xlfn.SWITCH($N190,"BDI 1",$O$6,"BDI 2",$O$7,"BDI 3",$O$8)),2)</f>
        <v>1.01</v>
      </c>
      <c r="P190" s="157" cm="1">
        <f t="array" ref="P190">TRUNC($I190*(1+_xlfn.SWITCH($N190,"BDI 1",$P$6,"BDI 2",$P$7,"BDI 3",$P$8)),2)</f>
        <v>1.07</v>
      </c>
      <c r="Q190" s="157">
        <v>0</v>
      </c>
      <c r="R190" s="157">
        <v>0</v>
      </c>
      <c r="S190" s="156">
        <f>TRUNC($K190*$O190,2)</f>
        <v>0</v>
      </c>
      <c r="T190" s="156">
        <f>TRUNC($K190*$P190,2)</f>
        <v>0</v>
      </c>
      <c r="U190" s="156">
        <f>TRUNC($J190*$R190,2)</f>
        <v>0</v>
      </c>
      <c r="V190" s="156">
        <f>TRUNC($K190*$Q190,2)</f>
        <v>0</v>
      </c>
      <c r="W190" s="156">
        <f>TRUNC(V190-U190,2)</f>
        <v>0</v>
      </c>
      <c r="X190" s="158">
        <f>$S190/ORCAMENTO_VALOR_TOTAL_ND</f>
        <v>0</v>
      </c>
      <c r="Y190" s="158">
        <f>$T190/ORCAMENTO_VALOR_TOTAL_DE</f>
        <v>0</v>
      </c>
      <c r="Z190" s="158" cm="1">
        <f t="array" ref="Z190">_xlfn.SWITCH($N190,"BDI 1",$O$6,"BDI 2",$O$7,"BDI 3",$O$8)</f>
        <v>0.20699999999999999</v>
      </c>
      <c r="AA190" s="158" cm="1">
        <f t="array" ref="AA190">_xlfn.SWITCH($N190,"BDI 1",$P$6,"BDI 2",$P$7,"BDI 3",$P$8)</f>
        <v>0.26739999999999997</v>
      </c>
      <c r="AB190" s="158">
        <f ca="1">IFERROR($S190/_xlfn.XLOOKUP($AE190,$B$16:$B$38,$S$16:$S$38),0)</f>
        <v>0</v>
      </c>
      <c r="AC190" s="158">
        <f ca="1">IFERROR($T190/_xlfn.XLOOKUP($AE190,$B$16:$B$38,$T$16:$T$38),0)</f>
        <v>0</v>
      </c>
      <c r="AD190" s="164"/>
      <c r="AE190" s="148">
        <f t="shared" si="425"/>
        <v>0</v>
      </c>
      <c r="AF190" s="149"/>
      <c r="AG190" s="150"/>
      <c r="AH190" s="159"/>
      <c r="AI190" s="166"/>
      <c r="AJ190" s="105"/>
      <c r="AK190" s="105"/>
      <c r="AM190" s="105"/>
      <c r="AN190" s="105"/>
      <c r="AO190" s="105"/>
      <c r="AP190" s="105"/>
      <c r="AQ190" s="105"/>
      <c r="AR190" s="105"/>
    </row>
    <row r="191" spans="1:44" s="49" customFormat="1" ht="40.15" hidden="1" customHeight="1">
      <c r="A191" s="10">
        <f t="shared" ca="1" si="412"/>
        <v>0</v>
      </c>
      <c r="B191" s="153"/>
      <c r="C191" s="154"/>
      <c r="D191" s="154"/>
      <c r="E191" s="161" t="s">
        <v>137</v>
      </c>
      <c r="F191" s="154"/>
      <c r="G191" s="154"/>
      <c r="H191" s="152"/>
      <c r="I191" s="152"/>
      <c r="J191" s="154"/>
      <c r="K191" s="154"/>
      <c r="L191" s="154"/>
      <c r="M191" s="154"/>
      <c r="N191" s="154"/>
      <c r="O191" s="154"/>
      <c r="P191" s="154"/>
      <c r="Q191" s="154"/>
      <c r="R191" s="154"/>
      <c r="S191" s="162"/>
      <c r="T191" s="162"/>
      <c r="U191" s="162"/>
      <c r="V191" s="162"/>
      <c r="W191" s="162"/>
      <c r="X191" s="163"/>
      <c r="Y191" s="163"/>
      <c r="Z191" s="163"/>
      <c r="AA191" s="163"/>
      <c r="AB191" s="163"/>
      <c r="AC191" s="163"/>
      <c r="AD191" s="164"/>
      <c r="AE191" s="148">
        <f>IF(SUM(S192:S193)&gt;0,IFERROR(TRUNC(A191,0),0),0)</f>
        <v>0</v>
      </c>
      <c r="AF191" s="149"/>
      <c r="AG191" s="150"/>
      <c r="AH191" s="159"/>
      <c r="AI191" s="160" t="s">
        <v>138</v>
      </c>
      <c r="AJ191" s="105"/>
      <c r="AK191" s="105"/>
      <c r="AM191" s="105"/>
      <c r="AN191" s="105"/>
      <c r="AO191" s="105"/>
      <c r="AP191" s="105"/>
      <c r="AQ191" s="105"/>
      <c r="AR191" s="105"/>
    </row>
    <row r="192" spans="1:44" s="49" customFormat="1" ht="40.15" hidden="1" customHeight="1">
      <c r="A192" s="152">
        <f t="shared" ca="1" si="412"/>
        <v>0</v>
      </c>
      <c r="B192" s="153">
        <v>95876</v>
      </c>
      <c r="C192" s="154" t="str">
        <f>TEXT(B192,"0")</f>
        <v>95876</v>
      </c>
      <c r="D192" s="154" t="s">
        <v>1416</v>
      </c>
      <c r="E192" s="155" t="s">
        <v>3537</v>
      </c>
      <c r="F192" s="154">
        <f>IF(Dados_DMT!$B$17&lt;30,Dados_DMT!$B$17,30)</f>
        <v>3.5</v>
      </c>
      <c r="G192" s="154" t="s">
        <v>3538</v>
      </c>
      <c r="H192" s="152">
        <v>2.09</v>
      </c>
      <c r="I192" s="152">
        <v>2.1</v>
      </c>
      <c r="J192" s="156"/>
      <c r="K192" s="156">
        <f>ROUND(Dre_Terraplenagem!AI203*F192,2)</f>
        <v>0</v>
      </c>
      <c r="L192" s="156">
        <f>IF($K192&gt;$J192,$K192-$J192,0)</f>
        <v>0</v>
      </c>
      <c r="M192" s="156">
        <f>IF($K192&lt;$J192,$J192-$K192,0)</f>
        <v>0</v>
      </c>
      <c r="N192" s="156" t="s">
        <v>83</v>
      </c>
      <c r="O192" s="157" cm="1">
        <f t="array" ref="O192">TRUNC($H192*(1+_xlfn.SWITCH($N192,"BDI 1",$O$6,"BDI 2",$O$7,"BDI 3",$O$8)),2)</f>
        <v>2.52</v>
      </c>
      <c r="P192" s="157" cm="1">
        <f t="array" ref="P192">TRUNC($I192*(1+_xlfn.SWITCH($N192,"BDI 1",$P$6,"BDI 2",$P$7,"BDI 3",$P$8)),2)</f>
        <v>2.66</v>
      </c>
      <c r="Q192" s="157">
        <v>0</v>
      </c>
      <c r="R192" s="157">
        <v>0</v>
      </c>
      <c r="S192" s="156">
        <f>TRUNC($K192*$O192,2)</f>
        <v>0</v>
      </c>
      <c r="T192" s="156">
        <f>TRUNC($K192*$P192,2)</f>
        <v>0</v>
      </c>
      <c r="U192" s="156">
        <f>TRUNC($J192*$R192,2)</f>
        <v>0</v>
      </c>
      <c r="V192" s="156">
        <f>TRUNC($K192*$Q192,2)</f>
        <v>0</v>
      </c>
      <c r="W192" s="156">
        <f>TRUNC(V192-U192,2)</f>
        <v>0</v>
      </c>
      <c r="X192" s="158">
        <f>$S192/ORCAMENTO_VALOR_TOTAL_ND</f>
        <v>0</v>
      </c>
      <c r="Y192" s="158">
        <f>$T192/ORCAMENTO_VALOR_TOTAL_DE</f>
        <v>0</v>
      </c>
      <c r="Z192" s="158" cm="1">
        <f t="array" ref="Z192">_xlfn.SWITCH($N192,"BDI 1",$O$6,"BDI 2",$O$7,"BDI 3",$O$8)</f>
        <v>0.20699999999999999</v>
      </c>
      <c r="AA192" s="158" cm="1">
        <f t="array" ref="AA192">_xlfn.SWITCH($N192,"BDI 1",$P$6,"BDI 2",$P$7,"BDI 3",$P$8)</f>
        <v>0.26739999999999997</v>
      </c>
      <c r="AB192" s="158">
        <f ca="1">IFERROR($S192/_xlfn.XLOOKUP($AE192,$B$16:$B$38,$S$16:$S$38),0)</f>
        <v>0</v>
      </c>
      <c r="AC192" s="158">
        <f ca="1">IFERROR($T192/_xlfn.XLOOKUP($AE192,$B$16:$B$38,$T$16:$T$38),0)</f>
        <v>0</v>
      </c>
      <c r="AD192" s="164"/>
      <c r="AE192" s="148">
        <f t="shared" ref="AE192:AE193" si="426">IF(S192&gt;0,IFERROR(TRUNC(A192,0),0),0)</f>
        <v>0</v>
      </c>
      <c r="AF192" s="149"/>
      <c r="AG192" s="150"/>
      <c r="AH192" s="159" t="e">
        <f>S192/S$118</f>
        <v>#DIV/0!</v>
      </c>
      <c r="AI192" s="166">
        <f>IF(K192=0,0,K192/F192)</f>
        <v>0</v>
      </c>
      <c r="AJ192" s="105"/>
      <c r="AK192" s="105"/>
      <c r="AM192" s="105"/>
      <c r="AN192" s="105"/>
      <c r="AO192" s="105"/>
      <c r="AP192" s="105"/>
      <c r="AQ192" s="105"/>
      <c r="AR192" s="105"/>
    </row>
    <row r="193" spans="1:44" s="49" customFormat="1" ht="40.15" hidden="1" customHeight="1">
      <c r="A193" s="152">
        <f t="shared" ca="1" si="412"/>
        <v>0</v>
      </c>
      <c r="B193" s="153">
        <v>93593</v>
      </c>
      <c r="C193" s="154" t="str">
        <f>TEXT(B193,"0")</f>
        <v>93593</v>
      </c>
      <c r="D193" s="154" t="s">
        <v>1416</v>
      </c>
      <c r="E193" s="155" t="s">
        <v>3545</v>
      </c>
      <c r="F193" s="154">
        <f>Dados_DMT!$B$17-F192</f>
        <v>0</v>
      </c>
      <c r="G193" s="154" t="s">
        <v>3538</v>
      </c>
      <c r="H193" s="152">
        <v>0.84</v>
      </c>
      <c r="I193" s="152">
        <v>0.85</v>
      </c>
      <c r="J193" s="156"/>
      <c r="K193" s="156">
        <f>ROUND(Dre_Terraplenagem!AI203*F193,2)</f>
        <v>0</v>
      </c>
      <c r="L193" s="156">
        <f>IF($K193&gt;$J193,$K193-$J193,0)</f>
        <v>0</v>
      </c>
      <c r="M193" s="156">
        <f>IF($K193&lt;$J193,$J193-$K193,0)</f>
        <v>0</v>
      </c>
      <c r="N193" s="156" t="s">
        <v>83</v>
      </c>
      <c r="O193" s="157" cm="1">
        <f t="array" ref="O193">TRUNC($H193*(1+_xlfn.SWITCH($N193,"BDI 1",$O$6,"BDI 2",$O$7,"BDI 3",$O$8)),2)</f>
        <v>1.01</v>
      </c>
      <c r="P193" s="157" cm="1">
        <f t="array" ref="P193">TRUNC($I193*(1+_xlfn.SWITCH($N193,"BDI 1",$P$6,"BDI 2",$P$7,"BDI 3",$P$8)),2)</f>
        <v>1.07</v>
      </c>
      <c r="Q193" s="157">
        <v>0</v>
      </c>
      <c r="R193" s="157">
        <v>0</v>
      </c>
      <c r="S193" s="156">
        <f>TRUNC($K193*$O193,2)</f>
        <v>0</v>
      </c>
      <c r="T193" s="156">
        <f>TRUNC($K193*$P193,2)</f>
        <v>0</v>
      </c>
      <c r="U193" s="156">
        <f>TRUNC($J193*$R193,2)</f>
        <v>0</v>
      </c>
      <c r="V193" s="156">
        <f>TRUNC($K193*$Q193,2)</f>
        <v>0</v>
      </c>
      <c r="W193" s="156">
        <f>TRUNC(V193-U193,2)</f>
        <v>0</v>
      </c>
      <c r="X193" s="158">
        <f>$S193/ORCAMENTO_VALOR_TOTAL_ND</f>
        <v>0</v>
      </c>
      <c r="Y193" s="158">
        <f>$T193/ORCAMENTO_VALOR_TOTAL_DE</f>
        <v>0</v>
      </c>
      <c r="Z193" s="158" cm="1">
        <f t="array" ref="Z193">_xlfn.SWITCH($N193,"BDI 1",$O$6,"BDI 2",$O$7,"BDI 3",$O$8)</f>
        <v>0.20699999999999999</v>
      </c>
      <c r="AA193" s="158" cm="1">
        <f t="array" ref="AA193">_xlfn.SWITCH($N193,"BDI 1",$P$6,"BDI 2",$P$7,"BDI 3",$P$8)</f>
        <v>0.26739999999999997</v>
      </c>
      <c r="AB193" s="158">
        <f ca="1">IFERROR($S193/_xlfn.XLOOKUP($AE193,$B$16:$B$38,$S$16:$S$38),0)</f>
        <v>0</v>
      </c>
      <c r="AC193" s="158">
        <f ca="1">IFERROR($T193/_xlfn.XLOOKUP($AE193,$B$16:$B$38,$T$16:$T$38),0)</f>
        <v>0</v>
      </c>
      <c r="AD193" s="164"/>
      <c r="AE193" s="148">
        <f t="shared" si="426"/>
        <v>0</v>
      </c>
      <c r="AF193" s="149"/>
      <c r="AG193" s="150"/>
      <c r="AH193" s="159" t="e">
        <f>S193/S$118</f>
        <v>#DIV/0!</v>
      </c>
      <c r="AI193" s="166"/>
      <c r="AJ193" s="105"/>
      <c r="AK193" s="105"/>
      <c r="AM193" s="105"/>
      <c r="AN193" s="105"/>
      <c r="AO193" s="105"/>
      <c r="AP193" s="105"/>
      <c r="AQ193" s="105"/>
      <c r="AR193" s="105"/>
    </row>
    <row r="194" spans="1:44" s="49" customFormat="1" ht="40.15" hidden="1" customHeight="1">
      <c r="A194" s="10">
        <f t="shared" ca="1" si="412"/>
        <v>0</v>
      </c>
      <c r="B194" s="153"/>
      <c r="C194" s="154"/>
      <c r="D194" s="154"/>
      <c r="E194" s="161" t="s">
        <v>139</v>
      </c>
      <c r="F194" s="154"/>
      <c r="G194" s="154"/>
      <c r="H194" s="152"/>
      <c r="I194" s="152"/>
      <c r="J194" s="154"/>
      <c r="K194" s="154"/>
      <c r="L194" s="154"/>
      <c r="M194" s="154"/>
      <c r="N194" s="154"/>
      <c r="O194" s="154"/>
      <c r="P194" s="154"/>
      <c r="Q194" s="154"/>
      <c r="R194" s="154"/>
      <c r="S194" s="162"/>
      <c r="T194" s="162"/>
      <c r="U194" s="162"/>
      <c r="V194" s="162"/>
      <c r="W194" s="162"/>
      <c r="X194" s="163"/>
      <c r="Y194" s="163"/>
      <c r="Z194" s="163"/>
      <c r="AA194" s="163"/>
      <c r="AB194" s="163"/>
      <c r="AC194" s="163"/>
      <c r="AD194" s="164"/>
      <c r="AE194" s="148">
        <f>IF(SUM(S195:S196)&gt;0,IFERROR(TRUNC(A194,0),0),0)</f>
        <v>0</v>
      </c>
      <c r="AF194" s="149"/>
      <c r="AG194" s="150"/>
      <c r="AH194" s="159"/>
      <c r="AI194" s="160"/>
      <c r="AJ194" s="105"/>
      <c r="AK194" s="105"/>
      <c r="AM194" s="105"/>
      <c r="AN194" s="105"/>
      <c r="AO194" s="105"/>
      <c r="AP194" s="105"/>
      <c r="AQ194" s="105"/>
      <c r="AR194" s="105"/>
    </row>
    <row r="195" spans="1:44" s="49" customFormat="1" ht="40.15" hidden="1" customHeight="1">
      <c r="A195" s="152">
        <f t="shared" ca="1" si="412"/>
        <v>0</v>
      </c>
      <c r="B195" s="153">
        <v>95876</v>
      </c>
      <c r="C195" s="154" t="str">
        <f>TEXT(B195,"0")</f>
        <v>95876</v>
      </c>
      <c r="D195" s="154" t="s">
        <v>1416</v>
      </c>
      <c r="E195" s="155" t="s">
        <v>3537</v>
      </c>
      <c r="F195" s="154">
        <f>IF(Dados_DMT!$B$14&lt;30,Dados_DMT!$B$14,30)</f>
        <v>3.5</v>
      </c>
      <c r="G195" s="154" t="s">
        <v>3538</v>
      </c>
      <c r="H195" s="152">
        <v>2.09</v>
      </c>
      <c r="I195" s="152">
        <v>2.1</v>
      </c>
      <c r="J195" s="156"/>
      <c r="K195" s="156">
        <f>ROUND(Dre_Terraplenagem!AI204*F195,2)</f>
        <v>0</v>
      </c>
      <c r="L195" s="156">
        <f>IF($K195&gt;$J195,$K195-$J195,0)</f>
        <v>0</v>
      </c>
      <c r="M195" s="156">
        <f>IF($K195&lt;$J195,$J195-$K195,0)</f>
        <v>0</v>
      </c>
      <c r="N195" s="156" t="s">
        <v>83</v>
      </c>
      <c r="O195" s="157" cm="1">
        <f t="array" ref="O195">TRUNC($H195*(1+_xlfn.SWITCH($N195,"BDI 1",$O$6,"BDI 2",$O$7,"BDI 3",$O$8)),2)</f>
        <v>2.52</v>
      </c>
      <c r="P195" s="157" cm="1">
        <f t="array" ref="P195">TRUNC($I195*(1+_xlfn.SWITCH($N195,"BDI 1",$P$6,"BDI 2",$P$7,"BDI 3",$P$8)),2)</f>
        <v>2.66</v>
      </c>
      <c r="Q195" s="157">
        <v>0</v>
      </c>
      <c r="R195" s="157">
        <v>0</v>
      </c>
      <c r="S195" s="156">
        <f>TRUNC($K195*$O195,2)</f>
        <v>0</v>
      </c>
      <c r="T195" s="156">
        <f>TRUNC($K195*$P195,2)</f>
        <v>0</v>
      </c>
      <c r="U195" s="156">
        <f>TRUNC($J195*$R195,2)</f>
        <v>0</v>
      </c>
      <c r="V195" s="156">
        <f>TRUNC($K195*$Q195,2)</f>
        <v>0</v>
      </c>
      <c r="W195" s="156">
        <f>TRUNC(V195-U195,2)</f>
        <v>0</v>
      </c>
      <c r="X195" s="158">
        <f>$S195/ORCAMENTO_VALOR_TOTAL_ND</f>
        <v>0</v>
      </c>
      <c r="Y195" s="158">
        <f>$T195/ORCAMENTO_VALOR_TOTAL_DE</f>
        <v>0</v>
      </c>
      <c r="Z195" s="158" cm="1">
        <f t="array" ref="Z195">_xlfn.SWITCH($N195,"BDI 1",$O$6,"BDI 2",$O$7,"BDI 3",$O$8)</f>
        <v>0.20699999999999999</v>
      </c>
      <c r="AA195" s="158" cm="1">
        <f t="array" ref="AA195">_xlfn.SWITCH($N195,"BDI 1",$P$6,"BDI 2",$P$7,"BDI 3",$P$8)</f>
        <v>0.26739999999999997</v>
      </c>
      <c r="AB195" s="158">
        <f ca="1">IFERROR($S195/_xlfn.XLOOKUP($AE195,$B$16:$B$38,$S$16:$S$38),0)</f>
        <v>0</v>
      </c>
      <c r="AC195" s="158">
        <f ca="1">IFERROR($T195/_xlfn.XLOOKUP($AE195,$B$16:$B$38,$T$16:$T$38),0)</f>
        <v>0</v>
      </c>
      <c r="AD195" s="164"/>
      <c r="AE195" s="148">
        <f t="shared" ref="AE195:AE196" si="427">IF(S195&gt;0,IFERROR(TRUNC(A195,0),0),0)</f>
        <v>0</v>
      </c>
      <c r="AF195" s="149"/>
      <c r="AG195" s="150"/>
      <c r="AH195" s="159" t="e">
        <f>S195/S$118</f>
        <v>#DIV/0!</v>
      </c>
      <c r="AI195" s="166">
        <f>IF(K195=0,0,K195/F195)</f>
        <v>0</v>
      </c>
      <c r="AJ195" s="105"/>
      <c r="AK195" s="105"/>
      <c r="AM195" s="105"/>
      <c r="AN195" s="105"/>
      <c r="AO195" s="105"/>
      <c r="AP195" s="105"/>
      <c r="AQ195" s="105"/>
      <c r="AR195" s="105"/>
    </row>
    <row r="196" spans="1:44" s="49" customFormat="1" ht="40.15" hidden="1" customHeight="1">
      <c r="A196" s="152">
        <f t="shared" ca="1" si="412"/>
        <v>0</v>
      </c>
      <c r="B196" s="153">
        <v>93593</v>
      </c>
      <c r="C196" s="154" t="str">
        <f>TEXT(B196,"0")</f>
        <v>93593</v>
      </c>
      <c r="D196" s="154" t="s">
        <v>1416</v>
      </c>
      <c r="E196" s="155" t="s">
        <v>3545</v>
      </c>
      <c r="F196" s="154">
        <f>Dados_DMT!$B$14-F195</f>
        <v>0</v>
      </c>
      <c r="G196" s="154" t="s">
        <v>3538</v>
      </c>
      <c r="H196" s="152">
        <v>0.84</v>
      </c>
      <c r="I196" s="152">
        <v>0.85</v>
      </c>
      <c r="J196" s="156"/>
      <c r="K196" s="156">
        <f>ROUND(Dre_Terraplenagem!AI204*F196,2)</f>
        <v>0</v>
      </c>
      <c r="L196" s="156">
        <f>IF($K196&gt;$J196,$K196-$J196,0)</f>
        <v>0</v>
      </c>
      <c r="M196" s="156">
        <f>IF($K196&lt;$J196,$J196-$K196,0)</f>
        <v>0</v>
      </c>
      <c r="N196" s="156" t="s">
        <v>83</v>
      </c>
      <c r="O196" s="157" cm="1">
        <f t="array" ref="O196">TRUNC($H196*(1+_xlfn.SWITCH($N196,"BDI 1",$O$6,"BDI 2",$O$7,"BDI 3",$O$8)),2)</f>
        <v>1.01</v>
      </c>
      <c r="P196" s="157" cm="1">
        <f t="array" ref="P196">TRUNC($I196*(1+_xlfn.SWITCH($N196,"BDI 1",$P$6,"BDI 2",$P$7,"BDI 3",$P$8)),2)</f>
        <v>1.07</v>
      </c>
      <c r="Q196" s="157">
        <v>0</v>
      </c>
      <c r="R196" s="157">
        <v>0</v>
      </c>
      <c r="S196" s="156">
        <f>TRUNC($K196*$O196,2)</f>
        <v>0</v>
      </c>
      <c r="T196" s="156">
        <f>TRUNC($K196*$P196,2)</f>
        <v>0</v>
      </c>
      <c r="U196" s="156">
        <f>TRUNC($J196*$R196,2)</f>
        <v>0</v>
      </c>
      <c r="V196" s="156">
        <f>TRUNC($K196*$Q196,2)</f>
        <v>0</v>
      </c>
      <c r="W196" s="156">
        <f>TRUNC(V196-U196,2)</f>
        <v>0</v>
      </c>
      <c r="X196" s="158">
        <f>$S196/ORCAMENTO_VALOR_TOTAL_ND</f>
        <v>0</v>
      </c>
      <c r="Y196" s="158">
        <f>$T196/ORCAMENTO_VALOR_TOTAL_DE</f>
        <v>0</v>
      </c>
      <c r="Z196" s="158" cm="1">
        <f t="array" ref="Z196">_xlfn.SWITCH($N196,"BDI 1",$O$6,"BDI 2",$O$7,"BDI 3",$O$8)</f>
        <v>0.20699999999999999</v>
      </c>
      <c r="AA196" s="158" cm="1">
        <f t="array" ref="AA196">_xlfn.SWITCH($N196,"BDI 1",$P$6,"BDI 2",$P$7,"BDI 3",$P$8)</f>
        <v>0.26739999999999997</v>
      </c>
      <c r="AB196" s="158">
        <f ca="1">IFERROR($S196/_xlfn.XLOOKUP($AE196,$B$16:$B$38,$S$16:$S$38),0)</f>
        <v>0</v>
      </c>
      <c r="AC196" s="158">
        <f ca="1">IFERROR($T196/_xlfn.XLOOKUP($AE196,$B$16:$B$38,$T$16:$T$38),0)</f>
        <v>0</v>
      </c>
      <c r="AD196" s="164"/>
      <c r="AE196" s="148">
        <f t="shared" si="427"/>
        <v>0</v>
      </c>
      <c r="AF196" s="149"/>
      <c r="AG196" s="150"/>
      <c r="AH196" s="159" t="e">
        <f>S196/S$118</f>
        <v>#DIV/0!</v>
      </c>
      <c r="AI196" s="166"/>
      <c r="AJ196" s="105"/>
      <c r="AK196" s="105"/>
      <c r="AM196" s="105"/>
      <c r="AN196" s="105"/>
      <c r="AO196" s="105"/>
      <c r="AP196" s="105"/>
      <c r="AQ196" s="105"/>
      <c r="AR196" s="105"/>
    </row>
    <row r="197" spans="1:44" s="49" customFormat="1" ht="40.15" hidden="1" customHeight="1">
      <c r="A197" s="10">
        <f t="shared" ca="1" si="412"/>
        <v>0</v>
      </c>
      <c r="B197" s="153"/>
      <c r="C197" s="154"/>
      <c r="D197" s="154"/>
      <c r="E197" s="161" t="s">
        <v>140</v>
      </c>
      <c r="F197" s="154"/>
      <c r="G197" s="154"/>
      <c r="H197" s="152"/>
      <c r="I197" s="152"/>
      <c r="J197" s="154"/>
      <c r="K197" s="154"/>
      <c r="L197" s="154"/>
      <c r="M197" s="154"/>
      <c r="N197" s="154"/>
      <c r="O197" s="154"/>
      <c r="P197" s="154"/>
      <c r="Q197" s="154"/>
      <c r="R197" s="154"/>
      <c r="S197" s="162"/>
      <c r="T197" s="162"/>
      <c r="U197" s="162"/>
      <c r="V197" s="162"/>
      <c r="W197" s="162"/>
      <c r="X197" s="163"/>
      <c r="Y197" s="163"/>
      <c r="Z197" s="163"/>
      <c r="AA197" s="163"/>
      <c r="AB197" s="163"/>
      <c r="AC197" s="163"/>
      <c r="AD197" s="164"/>
      <c r="AE197" s="148">
        <f>IF(SUM(S198:S199)&gt;0,IFERROR(TRUNC(A197,0),0),0)</f>
        <v>0</v>
      </c>
      <c r="AF197" s="149"/>
      <c r="AG197" s="150"/>
      <c r="AH197" s="159"/>
      <c r="AI197" s="160"/>
      <c r="AJ197" s="105"/>
      <c r="AK197" s="105"/>
      <c r="AM197" s="105"/>
      <c r="AN197" s="105"/>
      <c r="AO197" s="105"/>
      <c r="AP197" s="105"/>
      <c r="AQ197" s="105"/>
      <c r="AR197" s="105"/>
    </row>
    <row r="198" spans="1:44" s="49" customFormat="1" ht="40.15" hidden="1" customHeight="1">
      <c r="A198" s="152">
        <f t="shared" ca="1" si="412"/>
        <v>0</v>
      </c>
      <c r="B198" s="153">
        <v>95876</v>
      </c>
      <c r="C198" s="154" t="str">
        <f>TEXT(B198,"0")</f>
        <v>95876</v>
      </c>
      <c r="D198" s="154" t="s">
        <v>1416</v>
      </c>
      <c r="E198" s="155" t="s">
        <v>3537</v>
      </c>
      <c r="F198" s="154">
        <f>IF(Dados_DMT!$B$21&lt;30,Dados_DMT!$B$21,30)</f>
        <v>0</v>
      </c>
      <c r="G198" s="154" t="s">
        <v>3538</v>
      </c>
      <c r="H198" s="152">
        <v>2.09</v>
      </c>
      <c r="I198" s="152">
        <v>2.1</v>
      </c>
      <c r="J198" s="156"/>
      <c r="K198" s="156">
        <f>ROUND(Dre_Terraplenagem!AI209*F198,2)</f>
        <v>0</v>
      </c>
      <c r="L198" s="156">
        <f>IF($K198&gt;$J198,$K198-$J198,0)</f>
        <v>0</v>
      </c>
      <c r="M198" s="156">
        <f>IF($K198&lt;$J198,$J198-$K198,0)</f>
        <v>0</v>
      </c>
      <c r="N198" s="156" t="s">
        <v>83</v>
      </c>
      <c r="O198" s="157" cm="1">
        <f t="array" ref="O198">TRUNC($H198*(1+_xlfn.SWITCH($N198,"BDI 1",$O$6,"BDI 2",$O$7,"BDI 3",$O$8)),2)</f>
        <v>2.52</v>
      </c>
      <c r="P198" s="157" cm="1">
        <f t="array" ref="P198">TRUNC($I198*(1+_xlfn.SWITCH($N198,"BDI 1",$P$6,"BDI 2",$P$7,"BDI 3",$P$8)),2)</f>
        <v>2.66</v>
      </c>
      <c r="Q198" s="157">
        <v>0</v>
      </c>
      <c r="R198" s="157">
        <v>0</v>
      </c>
      <c r="S198" s="156">
        <f>TRUNC($K198*$O198,2)</f>
        <v>0</v>
      </c>
      <c r="T198" s="156">
        <f>TRUNC($K198*$P198,2)</f>
        <v>0</v>
      </c>
      <c r="U198" s="156">
        <f>TRUNC($J198*$R198,2)</f>
        <v>0</v>
      </c>
      <c r="V198" s="156">
        <f>TRUNC($K198*$Q198,2)</f>
        <v>0</v>
      </c>
      <c r="W198" s="156">
        <f>TRUNC(V198-U198,2)</f>
        <v>0</v>
      </c>
      <c r="X198" s="158">
        <f>$S198/ORCAMENTO_VALOR_TOTAL_ND</f>
        <v>0</v>
      </c>
      <c r="Y198" s="158">
        <f>$T198/ORCAMENTO_VALOR_TOTAL_DE</f>
        <v>0</v>
      </c>
      <c r="Z198" s="158" cm="1">
        <f t="array" ref="Z198">_xlfn.SWITCH($N198,"BDI 1",$O$6,"BDI 2",$O$7,"BDI 3",$O$8)</f>
        <v>0.20699999999999999</v>
      </c>
      <c r="AA198" s="158" cm="1">
        <f t="array" ref="AA198">_xlfn.SWITCH($N198,"BDI 1",$P$6,"BDI 2",$P$7,"BDI 3",$P$8)</f>
        <v>0.26739999999999997</v>
      </c>
      <c r="AB198" s="158">
        <f ca="1">IFERROR($S198/_xlfn.XLOOKUP($AE198,$B$16:$B$38,$S$16:$S$38),0)</f>
        <v>0</v>
      </c>
      <c r="AC198" s="158">
        <f ca="1">IFERROR($T198/_xlfn.XLOOKUP($AE198,$B$16:$B$38,$T$16:$T$38),0)</f>
        <v>0</v>
      </c>
      <c r="AD198" s="164"/>
      <c r="AE198" s="148">
        <f t="shared" ref="AE198:AE199" si="428">IF(S198&gt;0,IFERROR(TRUNC(A198,0),0),0)</f>
        <v>0</v>
      </c>
      <c r="AF198" s="149"/>
      <c r="AG198" s="150"/>
      <c r="AH198" s="159" t="e">
        <f>S198/S$118</f>
        <v>#DIV/0!</v>
      </c>
      <c r="AI198" s="166">
        <f>IF(K198=0,0,K198/F198)</f>
        <v>0</v>
      </c>
      <c r="AJ198" s="105"/>
      <c r="AK198" s="105"/>
      <c r="AM198" s="105"/>
      <c r="AN198" s="105"/>
      <c r="AO198" s="105"/>
      <c r="AP198" s="105"/>
      <c r="AQ198" s="105"/>
      <c r="AR198" s="105"/>
    </row>
    <row r="199" spans="1:44" s="49" customFormat="1" ht="40.15" hidden="1" customHeight="1">
      <c r="A199" s="152">
        <f t="shared" ca="1" si="412"/>
        <v>0</v>
      </c>
      <c r="B199" s="153">
        <v>93593</v>
      </c>
      <c r="C199" s="154" t="str">
        <f>TEXT(B199,"0")</f>
        <v>93593</v>
      </c>
      <c r="D199" s="154" t="s">
        <v>1416</v>
      </c>
      <c r="E199" s="155" t="s">
        <v>3545</v>
      </c>
      <c r="F199" s="154">
        <f>Dados_DMT!$B$21-F198</f>
        <v>0</v>
      </c>
      <c r="G199" s="154" t="s">
        <v>3538</v>
      </c>
      <c r="H199" s="152">
        <v>0.84</v>
      </c>
      <c r="I199" s="152">
        <v>0.85</v>
      </c>
      <c r="J199" s="156"/>
      <c r="K199" s="156">
        <f>ROUND(Dre_Terraplenagem!AI209*F199,2)</f>
        <v>0</v>
      </c>
      <c r="L199" s="156">
        <f>IF($K199&gt;$J199,$K199-$J199,0)</f>
        <v>0</v>
      </c>
      <c r="M199" s="156">
        <f>IF($K199&lt;$J199,$J199-$K199,0)</f>
        <v>0</v>
      </c>
      <c r="N199" s="156" t="s">
        <v>83</v>
      </c>
      <c r="O199" s="157" cm="1">
        <f t="array" ref="O199">TRUNC($H199*(1+_xlfn.SWITCH($N199,"BDI 1",$O$6,"BDI 2",$O$7,"BDI 3",$O$8)),2)</f>
        <v>1.01</v>
      </c>
      <c r="P199" s="157" cm="1">
        <f t="array" ref="P199">TRUNC($I199*(1+_xlfn.SWITCH($N199,"BDI 1",$P$6,"BDI 2",$P$7,"BDI 3",$P$8)),2)</f>
        <v>1.07</v>
      </c>
      <c r="Q199" s="157">
        <v>0</v>
      </c>
      <c r="R199" s="157">
        <v>0</v>
      </c>
      <c r="S199" s="156">
        <f>TRUNC($K199*$O199,2)</f>
        <v>0</v>
      </c>
      <c r="T199" s="156">
        <f>TRUNC($K199*$P199,2)</f>
        <v>0</v>
      </c>
      <c r="U199" s="156">
        <f>TRUNC($J199*$R199,2)</f>
        <v>0</v>
      </c>
      <c r="V199" s="156">
        <f>TRUNC($K199*$Q199,2)</f>
        <v>0</v>
      </c>
      <c r="W199" s="156">
        <f>TRUNC(V199-U199,2)</f>
        <v>0</v>
      </c>
      <c r="X199" s="158">
        <f>$S199/ORCAMENTO_VALOR_TOTAL_ND</f>
        <v>0</v>
      </c>
      <c r="Y199" s="158">
        <f>$T199/ORCAMENTO_VALOR_TOTAL_DE</f>
        <v>0</v>
      </c>
      <c r="Z199" s="158" cm="1">
        <f t="array" ref="Z199">_xlfn.SWITCH($N199,"BDI 1",$O$6,"BDI 2",$O$7,"BDI 3",$O$8)</f>
        <v>0.20699999999999999</v>
      </c>
      <c r="AA199" s="158" cm="1">
        <f t="array" ref="AA199">_xlfn.SWITCH($N199,"BDI 1",$P$6,"BDI 2",$P$7,"BDI 3",$P$8)</f>
        <v>0.26739999999999997</v>
      </c>
      <c r="AB199" s="158">
        <f ca="1">IFERROR($S199/_xlfn.XLOOKUP($AE199,$B$16:$B$38,$S$16:$S$38),0)</f>
        <v>0</v>
      </c>
      <c r="AC199" s="158">
        <f ca="1">IFERROR($T199/_xlfn.XLOOKUP($AE199,$B$16:$B$38,$T$16:$T$38),0)</f>
        <v>0</v>
      </c>
      <c r="AD199" s="164"/>
      <c r="AE199" s="148">
        <f t="shared" si="428"/>
        <v>0</v>
      </c>
      <c r="AF199" s="149"/>
      <c r="AG199" s="150"/>
      <c r="AH199" s="159" t="e">
        <f>S199/S$118</f>
        <v>#DIV/0!</v>
      </c>
      <c r="AI199" s="166"/>
      <c r="AJ199" s="105"/>
      <c r="AK199" s="105"/>
      <c r="AM199" s="105"/>
      <c r="AN199" s="105"/>
      <c r="AO199" s="105"/>
      <c r="AP199" s="105"/>
      <c r="AQ199" s="105"/>
      <c r="AR199" s="105"/>
    </row>
    <row r="200" spans="1:44" s="49" customFormat="1" ht="40.15" hidden="1" customHeight="1">
      <c r="A200" s="10">
        <f t="shared" ca="1" si="412"/>
        <v>0</v>
      </c>
      <c r="B200" s="153"/>
      <c r="C200" s="154"/>
      <c r="D200" s="154"/>
      <c r="E200" s="161" t="s">
        <v>103</v>
      </c>
      <c r="F200" s="154"/>
      <c r="G200" s="154"/>
      <c r="H200" s="152"/>
      <c r="I200" s="152"/>
      <c r="J200" s="154"/>
      <c r="K200" s="154"/>
      <c r="L200" s="154"/>
      <c r="M200" s="154"/>
      <c r="N200" s="154"/>
      <c r="O200" s="154"/>
      <c r="P200" s="154"/>
      <c r="Q200" s="154"/>
      <c r="R200" s="154"/>
      <c r="S200" s="162"/>
      <c r="T200" s="162"/>
      <c r="U200" s="162"/>
      <c r="V200" s="162"/>
      <c r="W200" s="162"/>
      <c r="X200" s="163"/>
      <c r="Y200" s="163"/>
      <c r="Z200" s="163"/>
      <c r="AA200" s="163"/>
      <c r="AB200" s="163"/>
      <c r="AC200" s="163"/>
      <c r="AD200" s="164"/>
      <c r="AE200" s="148">
        <f>IF(SUM(S201:S202)&gt;0,IFERROR(TRUNC(A200,0),0),0)</f>
        <v>0</v>
      </c>
      <c r="AF200" s="149"/>
      <c r="AG200" s="150"/>
      <c r="AH200" s="159"/>
      <c r="AI200" s="160"/>
      <c r="AJ200" s="105"/>
      <c r="AK200" s="105"/>
      <c r="AM200" s="105"/>
      <c r="AN200" s="105"/>
      <c r="AO200" s="105"/>
      <c r="AP200" s="105"/>
      <c r="AQ200" s="105"/>
      <c r="AR200" s="105"/>
    </row>
    <row r="201" spans="1:44" s="49" customFormat="1" ht="40.15" hidden="1" customHeight="1">
      <c r="A201" s="152">
        <f t="shared" ca="1" si="412"/>
        <v>0</v>
      </c>
      <c r="B201" s="153">
        <v>95876</v>
      </c>
      <c r="C201" s="154" t="str">
        <f>TEXT(B201,"0")</f>
        <v>95876</v>
      </c>
      <c r="D201" s="154" t="s">
        <v>1416</v>
      </c>
      <c r="E201" s="155" t="s">
        <v>3537</v>
      </c>
      <c r="F201" s="154">
        <f>IF(Dados_DMT!$B$34&lt;30,Dados_DMT!$B$34,30)</f>
        <v>30</v>
      </c>
      <c r="G201" s="154" t="s">
        <v>3538</v>
      </c>
      <c r="H201" s="152">
        <v>2.09</v>
      </c>
      <c r="I201" s="152">
        <v>2.1</v>
      </c>
      <c r="J201" s="156"/>
      <c r="K201" s="156">
        <f>ROUND(Dre_Terraplenagem!AI211*F201,2)</f>
        <v>0</v>
      </c>
      <c r="L201" s="156">
        <f>IF($K201&gt;$J201,$K201-$J201,0)</f>
        <v>0</v>
      </c>
      <c r="M201" s="156">
        <f>IF($K201&lt;$J201,$J201-$K201,0)</f>
        <v>0</v>
      </c>
      <c r="N201" s="156" t="s">
        <v>83</v>
      </c>
      <c r="O201" s="157" cm="1">
        <f t="array" ref="O201">TRUNC($H201*(1+_xlfn.SWITCH($N201,"BDI 1",$O$6,"BDI 2",$O$7,"BDI 3",$O$8)),2)</f>
        <v>2.52</v>
      </c>
      <c r="P201" s="157" cm="1">
        <f t="array" ref="P201">TRUNC($I201*(1+_xlfn.SWITCH($N201,"BDI 1",$P$6,"BDI 2",$P$7,"BDI 3",$P$8)),2)</f>
        <v>2.66</v>
      </c>
      <c r="Q201" s="157">
        <v>0</v>
      </c>
      <c r="R201" s="157">
        <v>0</v>
      </c>
      <c r="S201" s="156">
        <f>TRUNC($K201*$O201,2)</f>
        <v>0</v>
      </c>
      <c r="T201" s="156">
        <f>TRUNC($K201*$P201,2)</f>
        <v>0</v>
      </c>
      <c r="U201" s="156">
        <f>TRUNC($J201*$R201,2)</f>
        <v>0</v>
      </c>
      <c r="V201" s="156">
        <f>TRUNC($K201*$Q201,2)</f>
        <v>0</v>
      </c>
      <c r="W201" s="156">
        <f>TRUNC(V201-U201,2)</f>
        <v>0</v>
      </c>
      <c r="X201" s="158">
        <f>$S201/ORCAMENTO_VALOR_TOTAL_ND</f>
        <v>0</v>
      </c>
      <c r="Y201" s="158">
        <f>$T201/ORCAMENTO_VALOR_TOTAL_DE</f>
        <v>0</v>
      </c>
      <c r="Z201" s="158" cm="1">
        <f t="array" ref="Z201">_xlfn.SWITCH($N201,"BDI 1",$O$6,"BDI 2",$O$7,"BDI 3",$O$8)</f>
        <v>0.20699999999999999</v>
      </c>
      <c r="AA201" s="158" cm="1">
        <f t="array" ref="AA201">_xlfn.SWITCH($N201,"BDI 1",$P$6,"BDI 2",$P$7,"BDI 3",$P$8)</f>
        <v>0.26739999999999997</v>
      </c>
      <c r="AB201" s="158">
        <f ca="1">IFERROR($S201/_xlfn.XLOOKUP($AE201,$B$16:$B$38,$S$16:$S$38),0)</f>
        <v>0</v>
      </c>
      <c r="AC201" s="158">
        <f ca="1">IFERROR($T201/_xlfn.XLOOKUP($AE201,$B$16:$B$38,$T$16:$T$38),0)</f>
        <v>0</v>
      </c>
      <c r="AD201" s="164"/>
      <c r="AE201" s="148">
        <f t="shared" ref="AE201:AE202" si="429">IF(S201&gt;0,IFERROR(TRUNC(A201,0),0),0)</f>
        <v>0</v>
      </c>
      <c r="AF201" s="149"/>
      <c r="AG201" s="150"/>
      <c r="AH201" s="159" t="e">
        <f>S201/S$118</f>
        <v>#DIV/0!</v>
      </c>
      <c r="AI201" s="160"/>
      <c r="AJ201" s="105"/>
      <c r="AK201" s="105"/>
      <c r="AM201" s="105"/>
      <c r="AN201" s="105"/>
      <c r="AO201" s="105"/>
      <c r="AP201" s="105"/>
      <c r="AQ201" s="105"/>
      <c r="AR201" s="105"/>
    </row>
    <row r="202" spans="1:44" s="49" customFormat="1" ht="40.15" hidden="1" customHeight="1">
      <c r="A202" s="152">
        <f t="shared" ca="1" si="412"/>
        <v>0</v>
      </c>
      <c r="B202" s="153">
        <v>93593</v>
      </c>
      <c r="C202" s="154" t="str">
        <f>TEXT(B202,"0")</f>
        <v>93593</v>
      </c>
      <c r="D202" s="154" t="s">
        <v>1416</v>
      </c>
      <c r="E202" s="155" t="s">
        <v>3545</v>
      </c>
      <c r="F202" s="154">
        <f>Dados_DMT!$B$34-F201</f>
        <v>80</v>
      </c>
      <c r="G202" s="154" t="s">
        <v>3538</v>
      </c>
      <c r="H202" s="152">
        <v>0.84</v>
      </c>
      <c r="I202" s="152">
        <v>0.85</v>
      </c>
      <c r="J202" s="156"/>
      <c r="K202" s="156">
        <f>ROUND(Dre_Terraplenagem!AI211*F202,2)</f>
        <v>0</v>
      </c>
      <c r="L202" s="156">
        <f>IF($K202&gt;$J202,$K202-$J202,0)</f>
        <v>0</v>
      </c>
      <c r="M202" s="156">
        <f>IF($K202&lt;$J202,$J202-$K202,0)</f>
        <v>0</v>
      </c>
      <c r="N202" s="156" t="s">
        <v>83</v>
      </c>
      <c r="O202" s="157" cm="1">
        <f t="array" ref="O202">TRUNC($H202*(1+_xlfn.SWITCH($N202,"BDI 1",$O$6,"BDI 2",$O$7,"BDI 3",$O$8)),2)</f>
        <v>1.01</v>
      </c>
      <c r="P202" s="157" cm="1">
        <f t="array" ref="P202">TRUNC($I202*(1+_xlfn.SWITCH($N202,"BDI 1",$P$6,"BDI 2",$P$7,"BDI 3",$P$8)),2)</f>
        <v>1.07</v>
      </c>
      <c r="Q202" s="157">
        <v>0</v>
      </c>
      <c r="R202" s="157">
        <v>0</v>
      </c>
      <c r="S202" s="156">
        <f>TRUNC($K202*$O202,2)</f>
        <v>0</v>
      </c>
      <c r="T202" s="156">
        <f>TRUNC($K202*$P202,2)</f>
        <v>0</v>
      </c>
      <c r="U202" s="156">
        <f>TRUNC($J202*$R202,2)</f>
        <v>0</v>
      </c>
      <c r="V202" s="156">
        <f>TRUNC($K202*$Q202,2)</f>
        <v>0</v>
      </c>
      <c r="W202" s="156">
        <f>TRUNC(V202-U202,2)</f>
        <v>0</v>
      </c>
      <c r="X202" s="158">
        <f>$S202/ORCAMENTO_VALOR_TOTAL_ND</f>
        <v>0</v>
      </c>
      <c r="Y202" s="158">
        <f>$T202/ORCAMENTO_VALOR_TOTAL_DE</f>
        <v>0</v>
      </c>
      <c r="Z202" s="158" cm="1">
        <f t="array" ref="Z202">_xlfn.SWITCH($N202,"BDI 1",$O$6,"BDI 2",$O$7,"BDI 3",$O$8)</f>
        <v>0.20699999999999999</v>
      </c>
      <c r="AA202" s="158" cm="1">
        <f t="array" ref="AA202">_xlfn.SWITCH($N202,"BDI 1",$P$6,"BDI 2",$P$7,"BDI 3",$P$8)</f>
        <v>0.26739999999999997</v>
      </c>
      <c r="AB202" s="158">
        <f ca="1">IFERROR($S202/_xlfn.XLOOKUP($AE202,$B$16:$B$38,$S$16:$S$38),0)</f>
        <v>0</v>
      </c>
      <c r="AC202" s="158">
        <f ca="1">IFERROR($T202/_xlfn.XLOOKUP($AE202,$B$16:$B$38,$T$16:$T$38),0)</f>
        <v>0</v>
      </c>
      <c r="AD202" s="164"/>
      <c r="AE202" s="148">
        <f t="shared" si="429"/>
        <v>0</v>
      </c>
      <c r="AF202" s="149"/>
      <c r="AG202" s="150"/>
      <c r="AH202" s="159" t="e">
        <f>S202/S$118</f>
        <v>#DIV/0!</v>
      </c>
      <c r="AI202" s="166">
        <f>IF(K202=0,0,K202/F202)</f>
        <v>0</v>
      </c>
      <c r="AJ202" s="105"/>
      <c r="AK202" s="105"/>
      <c r="AM202" s="105"/>
      <c r="AN202" s="105"/>
      <c r="AO202" s="105"/>
      <c r="AP202" s="105"/>
      <c r="AQ202" s="105"/>
      <c r="AR202" s="105"/>
    </row>
    <row r="203" spans="1:44" s="49" customFormat="1" ht="30" hidden="1" customHeight="1" thickBot="1">
      <c r="A203" s="10">
        <f t="shared" ca="1" si="412"/>
        <v>0</v>
      </c>
      <c r="B203" s="153"/>
      <c r="C203" s="154"/>
      <c r="D203" s="154"/>
      <c r="E203" s="155"/>
      <c r="F203" s="154"/>
      <c r="G203" s="154"/>
      <c r="H203" s="154"/>
      <c r="I203" s="154"/>
      <c r="J203" s="154"/>
      <c r="K203" s="154"/>
      <c r="L203" s="154"/>
      <c r="M203" s="154"/>
      <c r="N203" s="154"/>
      <c r="O203" s="157"/>
      <c r="P203" s="157"/>
      <c r="Q203" s="157"/>
      <c r="R203" s="157"/>
      <c r="S203" s="162"/>
      <c r="T203" s="162"/>
      <c r="U203" s="162"/>
      <c r="V203" s="162"/>
      <c r="W203" s="162"/>
      <c r="X203" s="163"/>
      <c r="Y203" s="163"/>
      <c r="Z203" s="163"/>
      <c r="AA203" s="163"/>
      <c r="AB203" s="163"/>
      <c r="AC203" s="163"/>
      <c r="AD203" s="164"/>
      <c r="AE203" s="148">
        <f>IF(S204&gt;0,IFERROR(TRUNC(A204,0),0),0)</f>
        <v>0</v>
      </c>
      <c r="AF203" s="149"/>
      <c r="AG203" s="150"/>
      <c r="AH203" s="159"/>
      <c r="AI203" s="185"/>
      <c r="AJ203" s="105"/>
      <c r="AK203" s="105"/>
      <c r="AM203" s="105"/>
      <c r="AN203" s="105"/>
      <c r="AO203" s="105"/>
      <c r="AP203" s="105"/>
      <c r="AQ203" s="105"/>
      <c r="AR203" s="105"/>
    </row>
    <row r="204" spans="1:44" s="105" customFormat="1" ht="40.15" hidden="1" customHeight="1" thickTop="1" thickBot="1">
      <c r="A204" s="186">
        <f ca="1">$B$20</f>
        <v>0</v>
      </c>
      <c r="B204" s="170"/>
      <c r="C204" s="171"/>
      <c r="D204" s="172"/>
      <c r="E204" s="173" t="str">
        <f>$D$20</f>
        <v>MICRODRENAGEM - GALERIAS</v>
      </c>
      <c r="F204" s="174">
        <v>0</v>
      </c>
      <c r="G204" s="175"/>
      <c r="H204" s="176" t="s">
        <v>141</v>
      </c>
      <c r="I204" s="176" t="s">
        <v>141</v>
      </c>
      <c r="J204" s="177"/>
      <c r="K204" s="177"/>
      <c r="L204" s="177"/>
      <c r="M204" s="177"/>
      <c r="N204" s="177"/>
      <c r="O204" s="178" t="str">
        <f ca="1">CONCATENATE("SUB-TOTAL ",$A204)</f>
        <v>SUB-TOTAL 0</v>
      </c>
      <c r="P204" s="178" t="e" cm="1">
        <f t="array" ref="P204">TRUNC($I204*(1+_xlfn.SWITCH($N204,"BDI 1",$P$6,"BDI 2",$P$7,"BDI 3",$P$8)),2)</f>
        <v>#VALUE!</v>
      </c>
      <c r="Q204" s="178" t="str">
        <f ca="1">CONCATENATE("SUB-TOTAL ",$A204)</f>
        <v>SUB-TOTAL 0</v>
      </c>
      <c r="R204" s="178"/>
      <c r="S204" s="179">
        <f>SUM(S205:S277)</f>
        <v>0</v>
      </c>
      <c r="T204" s="179">
        <f>SUM(T205:T277)</f>
        <v>0</v>
      </c>
      <c r="U204" s="179">
        <f>SUM(U205:U277)</f>
        <v>0</v>
      </c>
      <c r="V204" s="179">
        <f>SUM(V205:V277)</f>
        <v>0</v>
      </c>
      <c r="W204" s="179">
        <f t="shared" ref="W204:W267" si="430">TRUNC(V204-U204,2)</f>
        <v>0</v>
      </c>
      <c r="X204" s="180">
        <f t="shared" ref="X204" si="431">$S204/ORCAMENTO_VALOR_TOTAL_ND</f>
        <v>0</v>
      </c>
      <c r="Y204" s="180">
        <f t="shared" ref="Y204" si="432">$T204/ORCAMENTO_VALOR_TOTAL_DE</f>
        <v>0</v>
      </c>
      <c r="Z204" s="180"/>
      <c r="AA204" s="180"/>
      <c r="AB204" s="180">
        <f>IFERROR($S204/$S204,0)</f>
        <v>0</v>
      </c>
      <c r="AC204" s="180">
        <f>IFERROR($T204/$T204,0)</f>
        <v>0</v>
      </c>
      <c r="AD204" s="147"/>
      <c r="AE204" s="148">
        <f t="shared" ref="AE204:AE267" si="433">IF(S204&gt;0,IFERROR(TRUNC(A204,0),0),0)</f>
        <v>0</v>
      </c>
      <c r="AF204" s="149"/>
      <c r="AG204" s="150"/>
      <c r="AH204" s="151" t="e">
        <f t="shared" ref="AH204:AH263" si="434">S204/S$204</f>
        <v>#DIV/0!</v>
      </c>
      <c r="AI204" s="194" t="s">
        <v>142</v>
      </c>
      <c r="AJ204" s="194" t="str">
        <f>IF(SUMPRODUCT(Dren_Quantificacao!D4:CO4,Dren_Quantificacao!D5:CO5)=SUM(K205:K216)+SUM(K229:K237)+SUM(K256:K262),"OK","Erro")</f>
        <v>Erro</v>
      </c>
      <c r="AO204" s="49"/>
      <c r="AP204" s="49"/>
      <c r="AQ204" s="49"/>
      <c r="AR204" s="49"/>
    </row>
    <row r="205" spans="1:44" s="49" customFormat="1" ht="40.15" hidden="1" customHeight="1" thickTop="1">
      <c r="A205" s="152">
        <f t="shared" ref="A205:A268" ca="1" si="435">IF(K205&gt;0,A204+0.01,A204)</f>
        <v>0</v>
      </c>
      <c r="B205" s="153">
        <v>7781</v>
      </c>
      <c r="C205" s="154" t="str">
        <f t="shared" ref="C205:C268" si="436">TEXT(B205,"0")</f>
        <v>7781</v>
      </c>
      <c r="D205" s="154" t="s">
        <v>3579</v>
      </c>
      <c r="E205" s="155" t="s">
        <v>3681</v>
      </c>
      <c r="F205" s="154"/>
      <c r="G205" s="154" t="s">
        <v>58</v>
      </c>
      <c r="H205" s="152">
        <v>73.260000000000005</v>
      </c>
      <c r="I205" s="152">
        <v>73.260000000000005</v>
      </c>
      <c r="J205" s="156"/>
      <c r="K205" s="156">
        <f>Dre_Disp_Estruturais!AI10+Dre_Disp_Estruturais!AI13</f>
        <v>0</v>
      </c>
      <c r="L205" s="156">
        <f t="shared" ref="L205:L268" si="437">IF($K205&gt;$J205,$K205-$J205,0)</f>
        <v>0</v>
      </c>
      <c r="M205" s="156">
        <f t="shared" ref="M205:M268" si="438">IF($K205&lt;$J205,$J205-$K205,0)</f>
        <v>0</v>
      </c>
      <c r="N205" s="156" t="s">
        <v>92</v>
      </c>
      <c r="O205" s="157" cm="1">
        <f t="array" ref="O205">TRUNC($H205*(1+_xlfn.SWITCH($N205,"BDI 1",$O$6,"BDI 2",$O$7,"BDI 3",$O$8)),2)</f>
        <v>84.44</v>
      </c>
      <c r="P205" s="157" cm="1">
        <f t="array" ref="P205">TRUNC($I205*(1+_xlfn.SWITCH($N205,"BDI 1",$P$6,"BDI 2",$P$7,"BDI 3",$P$8)),2)</f>
        <v>84.44</v>
      </c>
      <c r="Q205" s="157">
        <v>0</v>
      </c>
      <c r="R205" s="157">
        <f t="shared" ref="R205" si="439">$Q205-($Q205*LICITACAO_DESCONTO)</f>
        <v>0</v>
      </c>
      <c r="S205" s="156">
        <f t="shared" ref="S205:S268" si="440">TRUNC($K205*$O205,2)</f>
        <v>0</v>
      </c>
      <c r="T205" s="156">
        <f t="shared" ref="T205:T268" si="441">TRUNC($K205*$P205,2)</f>
        <v>0</v>
      </c>
      <c r="U205" s="156">
        <f t="shared" ref="U205:U268" si="442">TRUNC($J205*$R205,2)</f>
        <v>0</v>
      </c>
      <c r="V205" s="156">
        <f t="shared" ref="V205:V268" si="443">TRUNC($K205*$Q205,2)</f>
        <v>0</v>
      </c>
      <c r="W205" s="156">
        <f t="shared" si="430"/>
        <v>0</v>
      </c>
      <c r="X205" s="158">
        <f t="shared" ref="X205" si="444">$S205/ORCAMENTO_VALOR_TOTAL_ND</f>
        <v>0</v>
      </c>
      <c r="Y205" s="158">
        <f t="shared" ref="Y205" si="445">$T205/ORCAMENTO_VALOR_TOTAL_DE</f>
        <v>0</v>
      </c>
      <c r="Z205" s="158" cm="1">
        <f t="array" ref="Z205">_xlfn.SWITCH($N205,"BDI 1",$O$6,"BDI 2",$O$7,"BDI 3",$O$8)</f>
        <v>0.1527</v>
      </c>
      <c r="AA205" s="158" cm="1">
        <f t="array" ref="AA205">_xlfn.SWITCH($N205,"BDI 1",$P$6,"BDI 2",$P$7,"BDI 3",$P$8)</f>
        <v>0.1527</v>
      </c>
      <c r="AB205" s="158">
        <f t="shared" ref="AB205:AB268" ca="1" si="446">IFERROR($S205/_xlfn.XLOOKUP($AE205,$B$16:$B$38,$S$16:$S$38),0)</f>
        <v>0</v>
      </c>
      <c r="AC205" s="158">
        <f t="shared" ref="AC205:AC268" ca="1" si="447">IFERROR($T205/_xlfn.XLOOKUP($AE205,$B$16:$B$38,$T$16:$T$38),0)</f>
        <v>0</v>
      </c>
      <c r="AD205" s="164"/>
      <c r="AE205" s="148">
        <f t="shared" si="433"/>
        <v>0</v>
      </c>
      <c r="AF205" s="149"/>
      <c r="AG205" s="150"/>
      <c r="AH205" s="159" t="e">
        <f t="shared" si="434"/>
        <v>#DIV/0!</v>
      </c>
      <c r="AI205" s="195"/>
      <c r="AJ205" s="196">
        <f>SUMPRODUCT(Dren_Quantificacao!D4:BP4,Dren_Quantificacao!D5:BP5)</f>
        <v>2836</v>
      </c>
      <c r="AK205" s="197"/>
      <c r="AM205" s="105"/>
      <c r="AN205" s="105"/>
      <c r="AO205" s="105"/>
      <c r="AP205" s="105"/>
      <c r="AQ205" s="105"/>
      <c r="AR205" s="105"/>
    </row>
    <row r="206" spans="1:44" s="49" customFormat="1" ht="40.15" hidden="1" customHeight="1">
      <c r="A206" s="152">
        <f t="shared" ca="1" si="435"/>
        <v>0</v>
      </c>
      <c r="B206" s="153">
        <v>7791</v>
      </c>
      <c r="C206" s="154" t="str">
        <f t="shared" si="436"/>
        <v>7791</v>
      </c>
      <c r="D206" s="154" t="s">
        <v>3579</v>
      </c>
      <c r="E206" s="155" t="s">
        <v>3682</v>
      </c>
      <c r="F206" s="154"/>
      <c r="G206" s="154" t="s">
        <v>58</v>
      </c>
      <c r="H206" s="152">
        <v>130.53</v>
      </c>
      <c r="I206" s="152">
        <v>130.53</v>
      </c>
      <c r="J206" s="156"/>
      <c r="K206" s="156">
        <f>Dre_Disp_Estruturais!AI11+Dre_Disp_Estruturais!AI12+Dre_Disp_Estruturais!AI14+Dre_Disp_Estruturais!AI15</f>
        <v>0</v>
      </c>
      <c r="L206" s="156">
        <f t="shared" si="437"/>
        <v>0</v>
      </c>
      <c r="M206" s="156">
        <f t="shared" si="438"/>
        <v>0</v>
      </c>
      <c r="N206" s="156" t="s">
        <v>92</v>
      </c>
      <c r="O206" s="157" cm="1">
        <f t="array" ref="O206">TRUNC($H206*(1+_xlfn.SWITCH($N206,"BDI 1",$O$6,"BDI 2",$O$7,"BDI 3",$O$8)),2)</f>
        <v>150.46</v>
      </c>
      <c r="P206" s="157" cm="1">
        <f t="array" ref="P206">TRUNC($I206*(1+_xlfn.SWITCH($N206,"BDI 1",$P$6,"BDI 2",$P$7,"BDI 3",$P$8)),2)</f>
        <v>150.46</v>
      </c>
      <c r="Q206" s="157">
        <v>0</v>
      </c>
      <c r="R206" s="157">
        <f t="shared" ref="R206" si="448">$Q206-($Q206*LICITACAO_DESCONTO)</f>
        <v>0</v>
      </c>
      <c r="S206" s="156">
        <f t="shared" si="440"/>
        <v>0</v>
      </c>
      <c r="T206" s="156">
        <f t="shared" si="441"/>
        <v>0</v>
      </c>
      <c r="U206" s="156">
        <f t="shared" si="442"/>
        <v>0</v>
      </c>
      <c r="V206" s="156">
        <f t="shared" si="443"/>
        <v>0</v>
      </c>
      <c r="W206" s="156">
        <f t="shared" si="430"/>
        <v>0</v>
      </c>
      <c r="X206" s="158">
        <f t="shared" ref="X206" si="449">$S206/ORCAMENTO_VALOR_TOTAL_ND</f>
        <v>0</v>
      </c>
      <c r="Y206" s="158">
        <f t="shared" ref="Y206" si="450">$T206/ORCAMENTO_VALOR_TOTAL_DE</f>
        <v>0</v>
      </c>
      <c r="Z206" s="158" cm="1">
        <f t="array" ref="Z206">_xlfn.SWITCH($N206,"BDI 1",$O$6,"BDI 2",$O$7,"BDI 3",$O$8)</f>
        <v>0.1527</v>
      </c>
      <c r="AA206" s="158" cm="1">
        <f t="array" ref="AA206">_xlfn.SWITCH($N206,"BDI 1",$P$6,"BDI 2",$P$7,"BDI 3",$P$8)</f>
        <v>0.1527</v>
      </c>
      <c r="AB206" s="158">
        <f t="shared" ca="1" si="446"/>
        <v>0</v>
      </c>
      <c r="AC206" s="158">
        <f t="shared" ca="1" si="447"/>
        <v>0</v>
      </c>
      <c r="AD206" s="164"/>
      <c r="AE206" s="148">
        <f t="shared" si="433"/>
        <v>0</v>
      </c>
      <c r="AF206" s="149"/>
      <c r="AG206" s="150"/>
      <c r="AH206" s="159" t="e">
        <f t="shared" si="434"/>
        <v>#DIV/0!</v>
      </c>
      <c r="AI206" s="195"/>
      <c r="AJ206" s="196">
        <f>SUM(K205:K216)</f>
        <v>0</v>
      </c>
      <c r="AK206" s="197"/>
      <c r="AM206" s="105"/>
      <c r="AN206" s="105"/>
      <c r="AO206" s="105"/>
      <c r="AP206" s="105"/>
      <c r="AQ206" s="105"/>
      <c r="AR206" s="105"/>
    </row>
    <row r="207" spans="1:44" s="49" customFormat="1" ht="40.15" hidden="1" customHeight="1">
      <c r="A207" s="152">
        <f t="shared" ca="1" si="435"/>
        <v>0</v>
      </c>
      <c r="B207" s="153">
        <v>7725</v>
      </c>
      <c r="C207" s="154" t="str">
        <f t="shared" si="436"/>
        <v>7725</v>
      </c>
      <c r="D207" s="154" t="s">
        <v>3579</v>
      </c>
      <c r="E207" s="155" t="s">
        <v>3683</v>
      </c>
      <c r="F207" s="154"/>
      <c r="G207" s="154" t="s">
        <v>58</v>
      </c>
      <c r="H207" s="152">
        <v>258</v>
      </c>
      <c r="I207" s="152">
        <v>258</v>
      </c>
      <c r="J207" s="156"/>
      <c r="K207" s="156">
        <f>Dre_Disp_Estruturais!AI16+Dre_Disp_Estruturais!AI21</f>
        <v>0</v>
      </c>
      <c r="L207" s="156">
        <f t="shared" si="437"/>
        <v>0</v>
      </c>
      <c r="M207" s="156">
        <f t="shared" si="438"/>
        <v>0</v>
      </c>
      <c r="N207" s="156" t="s">
        <v>92</v>
      </c>
      <c r="O207" s="157" cm="1">
        <f t="array" ref="O207">TRUNC($H207*(1+_xlfn.SWITCH($N207,"BDI 1",$O$6,"BDI 2",$O$7,"BDI 3",$O$8)),2)</f>
        <v>297.39</v>
      </c>
      <c r="P207" s="157" cm="1">
        <f t="array" ref="P207">TRUNC($I207*(1+_xlfn.SWITCH($N207,"BDI 1",$P$6,"BDI 2",$P$7,"BDI 3",$P$8)),2)</f>
        <v>297.39</v>
      </c>
      <c r="Q207" s="157">
        <v>0</v>
      </c>
      <c r="R207" s="157">
        <f t="shared" ref="R207" si="451">$Q207-($Q207*LICITACAO_DESCONTO)</f>
        <v>0</v>
      </c>
      <c r="S207" s="156">
        <f t="shared" si="440"/>
        <v>0</v>
      </c>
      <c r="T207" s="156">
        <f t="shared" si="441"/>
        <v>0</v>
      </c>
      <c r="U207" s="156">
        <f t="shared" si="442"/>
        <v>0</v>
      </c>
      <c r="V207" s="156">
        <f t="shared" si="443"/>
        <v>0</v>
      </c>
      <c r="W207" s="156">
        <f t="shared" si="430"/>
        <v>0</v>
      </c>
      <c r="X207" s="158">
        <f t="shared" ref="X207" si="452">$S207/ORCAMENTO_VALOR_TOTAL_ND</f>
        <v>0</v>
      </c>
      <c r="Y207" s="158">
        <f t="shared" ref="Y207" si="453">$T207/ORCAMENTO_VALOR_TOTAL_DE</f>
        <v>0</v>
      </c>
      <c r="Z207" s="158" cm="1">
        <f t="array" ref="Z207">_xlfn.SWITCH($N207,"BDI 1",$O$6,"BDI 2",$O$7,"BDI 3",$O$8)</f>
        <v>0.1527</v>
      </c>
      <c r="AA207" s="158" cm="1">
        <f t="array" ref="AA207">_xlfn.SWITCH($N207,"BDI 1",$P$6,"BDI 2",$P$7,"BDI 3",$P$8)</f>
        <v>0.1527</v>
      </c>
      <c r="AB207" s="158">
        <f t="shared" ca="1" si="446"/>
        <v>0</v>
      </c>
      <c r="AC207" s="158">
        <f t="shared" ca="1" si="447"/>
        <v>0</v>
      </c>
      <c r="AD207" s="164"/>
      <c r="AE207" s="148">
        <f t="shared" si="433"/>
        <v>0</v>
      </c>
      <c r="AF207" s="149"/>
      <c r="AG207" s="150"/>
      <c r="AH207" s="159" t="e">
        <f t="shared" si="434"/>
        <v>#DIV/0!</v>
      </c>
      <c r="AI207" s="195"/>
      <c r="AJ207" s="196">
        <f>SUM(K229:K237)</f>
        <v>0</v>
      </c>
      <c r="AK207" s="196">
        <f>SUM(K238:K255)</f>
        <v>0</v>
      </c>
      <c r="AM207" s="105"/>
      <c r="AN207" s="105"/>
      <c r="AO207" s="105"/>
      <c r="AP207" s="105"/>
      <c r="AQ207" s="105"/>
      <c r="AR207" s="105"/>
    </row>
    <row r="208" spans="1:44" s="49" customFormat="1" ht="40.15" hidden="1" customHeight="1">
      <c r="A208" s="152">
        <f t="shared" ca="1" si="435"/>
        <v>0</v>
      </c>
      <c r="B208" s="153">
        <v>7750</v>
      </c>
      <c r="C208" s="154" t="str">
        <f t="shared" si="436"/>
        <v>7750</v>
      </c>
      <c r="D208" s="154" t="s">
        <v>3579</v>
      </c>
      <c r="E208" s="155" t="s">
        <v>3684</v>
      </c>
      <c r="F208" s="154"/>
      <c r="G208" s="154" t="s">
        <v>58</v>
      </c>
      <c r="H208" s="152">
        <v>429.27</v>
      </c>
      <c r="I208" s="152">
        <v>429.27</v>
      </c>
      <c r="J208" s="156"/>
      <c r="K208" s="156">
        <f>Dre_Disp_Estruturais!AI17+Dre_Disp_Estruturais!AI22</f>
        <v>0</v>
      </c>
      <c r="L208" s="156">
        <f t="shared" si="437"/>
        <v>0</v>
      </c>
      <c r="M208" s="156">
        <f t="shared" si="438"/>
        <v>0</v>
      </c>
      <c r="N208" s="156" t="s">
        <v>92</v>
      </c>
      <c r="O208" s="157" cm="1">
        <f t="array" ref="O208">TRUNC($H208*(1+_xlfn.SWITCH($N208,"BDI 1",$O$6,"BDI 2",$O$7,"BDI 3",$O$8)),2)</f>
        <v>494.81</v>
      </c>
      <c r="P208" s="157" cm="1">
        <f t="array" ref="P208">TRUNC($I208*(1+_xlfn.SWITCH($N208,"BDI 1",$P$6,"BDI 2",$P$7,"BDI 3",$P$8)),2)</f>
        <v>494.81</v>
      </c>
      <c r="Q208" s="157">
        <v>0</v>
      </c>
      <c r="R208" s="157">
        <f t="shared" ref="R208" si="454">$Q208-($Q208*LICITACAO_DESCONTO)</f>
        <v>0</v>
      </c>
      <c r="S208" s="156">
        <f t="shared" si="440"/>
        <v>0</v>
      </c>
      <c r="T208" s="156">
        <f t="shared" si="441"/>
        <v>0</v>
      </c>
      <c r="U208" s="156">
        <f t="shared" si="442"/>
        <v>0</v>
      </c>
      <c r="V208" s="156">
        <f t="shared" si="443"/>
        <v>0</v>
      </c>
      <c r="W208" s="156">
        <f t="shared" si="430"/>
        <v>0</v>
      </c>
      <c r="X208" s="158">
        <f t="shared" ref="X208" si="455">$S208/ORCAMENTO_VALOR_TOTAL_ND</f>
        <v>0</v>
      </c>
      <c r="Y208" s="158">
        <f t="shared" ref="Y208" si="456">$T208/ORCAMENTO_VALOR_TOTAL_DE</f>
        <v>0</v>
      </c>
      <c r="Z208" s="158" cm="1">
        <f t="array" ref="Z208">_xlfn.SWITCH($N208,"BDI 1",$O$6,"BDI 2",$O$7,"BDI 3",$O$8)</f>
        <v>0.1527</v>
      </c>
      <c r="AA208" s="158" cm="1">
        <f t="array" ref="AA208">_xlfn.SWITCH($N208,"BDI 1",$P$6,"BDI 2",$P$7,"BDI 3",$P$8)</f>
        <v>0.1527</v>
      </c>
      <c r="AB208" s="158">
        <f t="shared" ca="1" si="446"/>
        <v>0</v>
      </c>
      <c r="AC208" s="158">
        <f t="shared" ca="1" si="447"/>
        <v>0</v>
      </c>
      <c r="AD208" s="164"/>
      <c r="AE208" s="148">
        <f t="shared" si="433"/>
        <v>0</v>
      </c>
      <c r="AF208" s="149"/>
      <c r="AG208" s="150"/>
      <c r="AH208" s="159" t="e">
        <f t="shared" si="434"/>
        <v>#DIV/0!</v>
      </c>
      <c r="AI208" s="195"/>
      <c r="AJ208" s="196">
        <f>SUM(K256:K262)</f>
        <v>0</v>
      </c>
      <c r="AK208" s="197"/>
      <c r="AM208" s="105"/>
      <c r="AN208" s="105"/>
      <c r="AO208" s="105"/>
      <c r="AP208" s="105"/>
      <c r="AQ208" s="105"/>
      <c r="AR208" s="105"/>
    </row>
    <row r="209" spans="1:44" s="49" customFormat="1" ht="40.15" hidden="1" customHeight="1">
      <c r="A209" s="152">
        <f t="shared" ca="1" si="435"/>
        <v>0</v>
      </c>
      <c r="B209" s="153">
        <v>7753</v>
      </c>
      <c r="C209" s="154" t="str">
        <f t="shared" si="436"/>
        <v>7753</v>
      </c>
      <c r="D209" s="154" t="s">
        <v>3579</v>
      </c>
      <c r="E209" s="155" t="s">
        <v>3685</v>
      </c>
      <c r="F209" s="154"/>
      <c r="G209" s="154" t="s">
        <v>58</v>
      </c>
      <c r="H209" s="152">
        <v>502.99</v>
      </c>
      <c r="I209" s="152">
        <v>502.99</v>
      </c>
      <c r="J209" s="156"/>
      <c r="K209" s="156">
        <f>Dre_Disp_Estruturais!AI18+Dre_Disp_Estruturais!AI23</f>
        <v>0</v>
      </c>
      <c r="L209" s="156">
        <f t="shared" si="437"/>
        <v>0</v>
      </c>
      <c r="M209" s="156">
        <f t="shared" si="438"/>
        <v>0</v>
      </c>
      <c r="N209" s="156" t="s">
        <v>92</v>
      </c>
      <c r="O209" s="157" cm="1">
        <f t="array" ref="O209">TRUNC($H209*(1+_xlfn.SWITCH($N209,"BDI 1",$O$6,"BDI 2",$O$7,"BDI 3",$O$8)),2)</f>
        <v>579.79</v>
      </c>
      <c r="P209" s="157" cm="1">
        <f t="array" ref="P209">TRUNC($I209*(1+_xlfn.SWITCH($N209,"BDI 1",$P$6,"BDI 2",$P$7,"BDI 3",$P$8)),2)</f>
        <v>579.79</v>
      </c>
      <c r="Q209" s="157">
        <v>0</v>
      </c>
      <c r="R209" s="157">
        <f t="shared" ref="R209" si="457">$Q209-($Q209*LICITACAO_DESCONTO)</f>
        <v>0</v>
      </c>
      <c r="S209" s="156">
        <f t="shared" si="440"/>
        <v>0</v>
      </c>
      <c r="T209" s="156">
        <f t="shared" si="441"/>
        <v>0</v>
      </c>
      <c r="U209" s="156">
        <f t="shared" si="442"/>
        <v>0</v>
      </c>
      <c r="V209" s="156">
        <f t="shared" si="443"/>
        <v>0</v>
      </c>
      <c r="W209" s="156">
        <f t="shared" si="430"/>
        <v>0</v>
      </c>
      <c r="X209" s="158">
        <f t="shared" ref="X209" si="458">$S209/ORCAMENTO_VALOR_TOTAL_ND</f>
        <v>0</v>
      </c>
      <c r="Y209" s="158">
        <f t="shared" ref="Y209" si="459">$T209/ORCAMENTO_VALOR_TOTAL_DE</f>
        <v>0</v>
      </c>
      <c r="Z209" s="158" cm="1">
        <f t="array" ref="Z209">_xlfn.SWITCH($N209,"BDI 1",$O$6,"BDI 2",$O$7,"BDI 3",$O$8)</f>
        <v>0.1527</v>
      </c>
      <c r="AA209" s="158" cm="1">
        <f t="array" ref="AA209">_xlfn.SWITCH($N209,"BDI 1",$P$6,"BDI 2",$P$7,"BDI 3",$P$8)</f>
        <v>0.1527</v>
      </c>
      <c r="AB209" s="158">
        <f t="shared" ca="1" si="446"/>
        <v>0</v>
      </c>
      <c r="AC209" s="158">
        <f t="shared" ca="1" si="447"/>
        <v>0</v>
      </c>
      <c r="AD209" s="164"/>
      <c r="AE209" s="148">
        <f t="shared" si="433"/>
        <v>0</v>
      </c>
      <c r="AF209" s="149"/>
      <c r="AG209" s="150"/>
      <c r="AH209" s="159" t="e">
        <f t="shared" si="434"/>
        <v>#DIV/0!</v>
      </c>
      <c r="AI209" s="195"/>
      <c r="AJ209" s="167"/>
      <c r="AK209" s="105"/>
      <c r="AM209" s="105"/>
      <c r="AN209" s="105"/>
      <c r="AO209" s="105"/>
      <c r="AP209" s="105"/>
      <c r="AQ209" s="105"/>
      <c r="AR209" s="105"/>
    </row>
    <row r="210" spans="1:44" s="49" customFormat="1" ht="40.15" hidden="1" customHeight="1">
      <c r="A210" s="152">
        <f t="shared" ca="1" si="435"/>
        <v>0</v>
      </c>
      <c r="B210" s="153">
        <v>7757</v>
      </c>
      <c r="C210" s="154" t="str">
        <f t="shared" si="436"/>
        <v>7757</v>
      </c>
      <c r="D210" s="154" t="s">
        <v>3579</v>
      </c>
      <c r="E210" s="155" t="s">
        <v>3686</v>
      </c>
      <c r="F210" s="154"/>
      <c r="G210" s="154" t="s">
        <v>58</v>
      </c>
      <c r="H210" s="152">
        <v>751.23</v>
      </c>
      <c r="I210" s="152">
        <v>751.23</v>
      </c>
      <c r="J210" s="156"/>
      <c r="K210" s="156">
        <f>Dre_Disp_Estruturais!AI19+Dre_Disp_Estruturais!AI24</f>
        <v>0</v>
      </c>
      <c r="L210" s="156">
        <f t="shared" si="437"/>
        <v>0</v>
      </c>
      <c r="M210" s="156">
        <f t="shared" si="438"/>
        <v>0</v>
      </c>
      <c r="N210" s="156" t="s">
        <v>92</v>
      </c>
      <c r="O210" s="157" cm="1">
        <f t="array" ref="O210">TRUNC($H210*(1+_xlfn.SWITCH($N210,"BDI 1",$O$6,"BDI 2",$O$7,"BDI 3",$O$8)),2)</f>
        <v>865.94</v>
      </c>
      <c r="P210" s="157" cm="1">
        <f t="array" ref="P210">TRUNC($I210*(1+_xlfn.SWITCH($N210,"BDI 1",$P$6,"BDI 2",$P$7,"BDI 3",$P$8)),2)</f>
        <v>865.94</v>
      </c>
      <c r="Q210" s="157">
        <v>0</v>
      </c>
      <c r="R210" s="157">
        <f t="shared" ref="R210" si="460">$Q210-($Q210*LICITACAO_DESCONTO)</f>
        <v>0</v>
      </c>
      <c r="S210" s="156">
        <f t="shared" si="440"/>
        <v>0</v>
      </c>
      <c r="T210" s="156">
        <f t="shared" si="441"/>
        <v>0</v>
      </c>
      <c r="U210" s="156">
        <f t="shared" si="442"/>
        <v>0</v>
      </c>
      <c r="V210" s="156">
        <f t="shared" si="443"/>
        <v>0</v>
      </c>
      <c r="W210" s="156">
        <f t="shared" si="430"/>
        <v>0</v>
      </c>
      <c r="X210" s="158">
        <f t="shared" ref="X210" si="461">$S210/ORCAMENTO_VALOR_TOTAL_ND</f>
        <v>0</v>
      </c>
      <c r="Y210" s="158">
        <f t="shared" ref="Y210" si="462">$T210/ORCAMENTO_VALOR_TOTAL_DE</f>
        <v>0</v>
      </c>
      <c r="Z210" s="158" cm="1">
        <f t="array" ref="Z210">_xlfn.SWITCH($N210,"BDI 1",$O$6,"BDI 2",$O$7,"BDI 3",$O$8)</f>
        <v>0.1527</v>
      </c>
      <c r="AA210" s="158" cm="1">
        <f t="array" ref="AA210">_xlfn.SWITCH($N210,"BDI 1",$P$6,"BDI 2",$P$7,"BDI 3",$P$8)</f>
        <v>0.1527</v>
      </c>
      <c r="AB210" s="158">
        <f t="shared" ca="1" si="446"/>
        <v>0</v>
      </c>
      <c r="AC210" s="158">
        <f t="shared" ca="1" si="447"/>
        <v>0</v>
      </c>
      <c r="AD210" s="164"/>
      <c r="AE210" s="148">
        <f t="shared" si="433"/>
        <v>0</v>
      </c>
      <c r="AF210" s="149"/>
      <c r="AG210" s="150"/>
      <c r="AH210" s="159" t="e">
        <f t="shared" si="434"/>
        <v>#DIV/0!</v>
      </c>
      <c r="AI210" s="195"/>
      <c r="AJ210" s="167"/>
      <c r="AK210" s="105"/>
      <c r="AM210" s="105"/>
      <c r="AN210" s="105"/>
      <c r="AO210" s="105"/>
      <c r="AP210" s="105"/>
      <c r="AQ210" s="105"/>
      <c r="AR210" s="105"/>
    </row>
    <row r="211" spans="1:44" s="49" customFormat="1" ht="40.15" hidden="1" customHeight="1">
      <c r="A211" s="152">
        <f t="shared" ca="1" si="435"/>
        <v>0</v>
      </c>
      <c r="B211" s="153">
        <v>7758</v>
      </c>
      <c r="C211" s="154" t="str">
        <f t="shared" si="436"/>
        <v>7758</v>
      </c>
      <c r="D211" s="154" t="s">
        <v>3579</v>
      </c>
      <c r="E211" s="155" t="s">
        <v>3687</v>
      </c>
      <c r="F211" s="154"/>
      <c r="G211" s="154" t="s">
        <v>58</v>
      </c>
      <c r="H211" s="152">
        <v>1088.3599999999999</v>
      </c>
      <c r="I211" s="152">
        <v>1088.3599999999999</v>
      </c>
      <c r="J211" s="156"/>
      <c r="K211" s="156">
        <f>Dre_Disp_Estruturais!AI20+Dre_Disp_Estruturais!AI25</f>
        <v>0</v>
      </c>
      <c r="L211" s="156">
        <f t="shared" si="437"/>
        <v>0</v>
      </c>
      <c r="M211" s="156">
        <f t="shared" si="438"/>
        <v>0</v>
      </c>
      <c r="N211" s="156" t="s">
        <v>92</v>
      </c>
      <c r="O211" s="157" cm="1">
        <f t="array" ref="O211">TRUNC($H211*(1+_xlfn.SWITCH($N211,"BDI 1",$O$6,"BDI 2",$O$7,"BDI 3",$O$8)),2)</f>
        <v>1254.55</v>
      </c>
      <c r="P211" s="157" cm="1">
        <f t="array" ref="P211">TRUNC($I211*(1+_xlfn.SWITCH($N211,"BDI 1",$P$6,"BDI 2",$P$7,"BDI 3",$P$8)),2)</f>
        <v>1254.55</v>
      </c>
      <c r="Q211" s="157">
        <v>0</v>
      </c>
      <c r="R211" s="157">
        <f t="shared" ref="R211" si="463">$Q211-($Q211*LICITACAO_DESCONTO)</f>
        <v>0</v>
      </c>
      <c r="S211" s="156">
        <f t="shared" si="440"/>
        <v>0</v>
      </c>
      <c r="T211" s="156">
        <f t="shared" si="441"/>
        <v>0</v>
      </c>
      <c r="U211" s="156">
        <f t="shared" si="442"/>
        <v>0</v>
      </c>
      <c r="V211" s="156">
        <f t="shared" si="443"/>
        <v>0</v>
      </c>
      <c r="W211" s="156">
        <f t="shared" si="430"/>
        <v>0</v>
      </c>
      <c r="X211" s="158">
        <f t="shared" ref="X211" si="464">$S211/ORCAMENTO_VALOR_TOTAL_ND</f>
        <v>0</v>
      </c>
      <c r="Y211" s="158">
        <f t="shared" ref="Y211" si="465">$T211/ORCAMENTO_VALOR_TOTAL_DE</f>
        <v>0</v>
      </c>
      <c r="Z211" s="158" cm="1">
        <f t="array" ref="Z211">_xlfn.SWITCH($N211,"BDI 1",$O$6,"BDI 2",$O$7,"BDI 3",$O$8)</f>
        <v>0.1527</v>
      </c>
      <c r="AA211" s="158" cm="1">
        <f t="array" ref="AA211">_xlfn.SWITCH($N211,"BDI 1",$P$6,"BDI 2",$P$7,"BDI 3",$P$8)</f>
        <v>0.1527</v>
      </c>
      <c r="AB211" s="158">
        <f t="shared" ca="1" si="446"/>
        <v>0</v>
      </c>
      <c r="AC211" s="158">
        <f t="shared" ca="1" si="447"/>
        <v>0</v>
      </c>
      <c r="AD211" s="164"/>
      <c r="AE211" s="148">
        <f t="shared" si="433"/>
        <v>0</v>
      </c>
      <c r="AF211" s="149"/>
      <c r="AG211" s="150"/>
      <c r="AH211" s="159" t="e">
        <f t="shared" si="434"/>
        <v>#DIV/0!</v>
      </c>
      <c r="AI211" s="195"/>
      <c r="AJ211" s="105"/>
      <c r="AK211" s="105"/>
      <c r="AM211" s="105"/>
      <c r="AN211" s="105"/>
      <c r="AO211" s="105"/>
      <c r="AP211" s="105"/>
      <c r="AQ211" s="105"/>
      <c r="AR211" s="105"/>
    </row>
    <row r="212" spans="1:44" s="49" customFormat="1" ht="40.15" hidden="1" customHeight="1">
      <c r="A212" s="152">
        <f t="shared" ca="1" si="435"/>
        <v>0</v>
      </c>
      <c r="B212" s="153">
        <v>7762</v>
      </c>
      <c r="C212" s="154" t="str">
        <f t="shared" si="436"/>
        <v>7762</v>
      </c>
      <c r="D212" s="154" t="s">
        <v>3579</v>
      </c>
      <c r="E212" s="155" t="s">
        <v>3688</v>
      </c>
      <c r="F212" s="154"/>
      <c r="G212" s="154" t="s">
        <v>58</v>
      </c>
      <c r="H212" s="152">
        <v>223.85</v>
      </c>
      <c r="I212" s="152">
        <v>223.85</v>
      </c>
      <c r="J212" s="156"/>
      <c r="K212" s="156">
        <f>Dre_Disp_Estruturais!AI26+Dre_Disp_Estruturais!AI31</f>
        <v>0</v>
      </c>
      <c r="L212" s="156">
        <f t="shared" si="437"/>
        <v>0</v>
      </c>
      <c r="M212" s="156">
        <f t="shared" si="438"/>
        <v>0</v>
      </c>
      <c r="N212" s="156" t="s">
        <v>92</v>
      </c>
      <c r="O212" s="157" cm="1">
        <f t="array" ref="O212">TRUNC($H212*(1+_xlfn.SWITCH($N212,"BDI 1",$O$6,"BDI 2",$O$7,"BDI 3",$O$8)),2)</f>
        <v>258.02999999999997</v>
      </c>
      <c r="P212" s="157" cm="1">
        <f t="array" ref="P212">TRUNC($I212*(1+_xlfn.SWITCH($N212,"BDI 1",$P$6,"BDI 2",$P$7,"BDI 3",$P$8)),2)</f>
        <v>258.02999999999997</v>
      </c>
      <c r="Q212" s="157">
        <v>0</v>
      </c>
      <c r="R212" s="157">
        <f t="shared" ref="R212" si="466">$Q212-($Q212*LICITACAO_DESCONTO)</f>
        <v>0</v>
      </c>
      <c r="S212" s="156">
        <f t="shared" si="440"/>
        <v>0</v>
      </c>
      <c r="T212" s="156">
        <f t="shared" si="441"/>
        <v>0</v>
      </c>
      <c r="U212" s="156">
        <f t="shared" si="442"/>
        <v>0</v>
      </c>
      <c r="V212" s="156">
        <f t="shared" si="443"/>
        <v>0</v>
      </c>
      <c r="W212" s="156">
        <f t="shared" si="430"/>
        <v>0</v>
      </c>
      <c r="X212" s="158">
        <f t="shared" ref="X212" si="467">$S212/ORCAMENTO_VALOR_TOTAL_ND</f>
        <v>0</v>
      </c>
      <c r="Y212" s="158">
        <f t="shared" ref="Y212" si="468">$T212/ORCAMENTO_VALOR_TOTAL_DE</f>
        <v>0</v>
      </c>
      <c r="Z212" s="158" cm="1">
        <f t="array" ref="Z212">_xlfn.SWITCH($N212,"BDI 1",$O$6,"BDI 2",$O$7,"BDI 3",$O$8)</f>
        <v>0.1527</v>
      </c>
      <c r="AA212" s="158" cm="1">
        <f t="array" ref="AA212">_xlfn.SWITCH($N212,"BDI 1",$P$6,"BDI 2",$P$7,"BDI 3",$P$8)</f>
        <v>0.1527</v>
      </c>
      <c r="AB212" s="158">
        <f t="shared" ca="1" si="446"/>
        <v>0</v>
      </c>
      <c r="AC212" s="158">
        <f t="shared" ca="1" si="447"/>
        <v>0</v>
      </c>
      <c r="AD212" s="164"/>
      <c r="AE212" s="148">
        <f t="shared" si="433"/>
        <v>0</v>
      </c>
      <c r="AF212" s="149"/>
      <c r="AG212" s="150"/>
      <c r="AH212" s="159" t="e">
        <f t="shared" si="434"/>
        <v>#DIV/0!</v>
      </c>
      <c r="AI212" s="195"/>
      <c r="AJ212" s="105"/>
      <c r="AK212" s="105"/>
      <c r="AM212" s="105"/>
      <c r="AN212" s="105"/>
      <c r="AO212" s="105"/>
      <c r="AP212" s="105"/>
      <c r="AQ212" s="105"/>
      <c r="AR212" s="105"/>
    </row>
    <row r="213" spans="1:44" s="49" customFormat="1" ht="40.15" hidden="1" customHeight="1">
      <c r="A213" s="152">
        <f t="shared" ca="1" si="435"/>
        <v>0</v>
      </c>
      <c r="B213" s="153">
        <v>7763</v>
      </c>
      <c r="C213" s="154" t="str">
        <f t="shared" si="436"/>
        <v>7763</v>
      </c>
      <c r="D213" s="154" t="s">
        <v>3579</v>
      </c>
      <c r="E213" s="155" t="s">
        <v>3689</v>
      </c>
      <c r="F213" s="154"/>
      <c r="G213" s="154" t="s">
        <v>58</v>
      </c>
      <c r="H213" s="152">
        <v>417.35</v>
      </c>
      <c r="I213" s="152">
        <v>417.35</v>
      </c>
      <c r="J213" s="156"/>
      <c r="K213" s="156">
        <f>Dre_Disp_Estruturais!AI27+Dre_Disp_Estruturais!AI32</f>
        <v>0</v>
      </c>
      <c r="L213" s="156">
        <f t="shared" si="437"/>
        <v>0</v>
      </c>
      <c r="M213" s="156">
        <f t="shared" si="438"/>
        <v>0</v>
      </c>
      <c r="N213" s="156" t="s">
        <v>92</v>
      </c>
      <c r="O213" s="157" cm="1">
        <f t="array" ref="O213">TRUNC($H213*(1+_xlfn.SWITCH($N213,"BDI 1",$O$6,"BDI 2",$O$7,"BDI 3",$O$8)),2)</f>
        <v>481.07</v>
      </c>
      <c r="P213" s="157" cm="1">
        <f t="array" ref="P213">TRUNC($I213*(1+_xlfn.SWITCH($N213,"BDI 1",$P$6,"BDI 2",$P$7,"BDI 3",$P$8)),2)</f>
        <v>481.07</v>
      </c>
      <c r="Q213" s="157">
        <v>0</v>
      </c>
      <c r="R213" s="157">
        <f t="shared" ref="R213" si="469">$Q213-($Q213*LICITACAO_DESCONTO)</f>
        <v>0</v>
      </c>
      <c r="S213" s="156">
        <f t="shared" si="440"/>
        <v>0</v>
      </c>
      <c r="T213" s="156">
        <f t="shared" si="441"/>
        <v>0</v>
      </c>
      <c r="U213" s="156">
        <f t="shared" si="442"/>
        <v>0</v>
      </c>
      <c r="V213" s="156">
        <f t="shared" si="443"/>
        <v>0</v>
      </c>
      <c r="W213" s="156">
        <f t="shared" si="430"/>
        <v>0</v>
      </c>
      <c r="X213" s="158">
        <f t="shared" ref="X213" si="470">$S213/ORCAMENTO_VALOR_TOTAL_ND</f>
        <v>0</v>
      </c>
      <c r="Y213" s="158">
        <f t="shared" ref="Y213" si="471">$T213/ORCAMENTO_VALOR_TOTAL_DE</f>
        <v>0</v>
      </c>
      <c r="Z213" s="158" cm="1">
        <f t="array" ref="Z213">_xlfn.SWITCH($N213,"BDI 1",$O$6,"BDI 2",$O$7,"BDI 3",$O$8)</f>
        <v>0.1527</v>
      </c>
      <c r="AA213" s="158" cm="1">
        <f t="array" ref="AA213">_xlfn.SWITCH($N213,"BDI 1",$P$6,"BDI 2",$P$7,"BDI 3",$P$8)</f>
        <v>0.1527</v>
      </c>
      <c r="AB213" s="158">
        <f t="shared" ca="1" si="446"/>
        <v>0</v>
      </c>
      <c r="AC213" s="158">
        <f t="shared" ca="1" si="447"/>
        <v>0</v>
      </c>
      <c r="AD213" s="164"/>
      <c r="AE213" s="148">
        <f t="shared" si="433"/>
        <v>0</v>
      </c>
      <c r="AF213" s="149"/>
      <c r="AG213" s="150"/>
      <c r="AH213" s="159" t="e">
        <f t="shared" si="434"/>
        <v>#DIV/0!</v>
      </c>
      <c r="AI213" s="195"/>
      <c r="AJ213" s="105"/>
      <c r="AK213" s="105"/>
      <c r="AM213" s="105"/>
      <c r="AN213" s="105"/>
      <c r="AO213" s="105"/>
      <c r="AP213" s="105"/>
      <c r="AQ213" s="105"/>
      <c r="AR213" s="105"/>
    </row>
    <row r="214" spans="1:44" s="49" customFormat="1" ht="40.15" hidden="1" customHeight="1">
      <c r="A214" s="152">
        <f t="shared" ca="1" si="435"/>
        <v>0</v>
      </c>
      <c r="B214" s="153">
        <v>7765</v>
      </c>
      <c r="C214" s="154" t="str">
        <f t="shared" si="436"/>
        <v>7765</v>
      </c>
      <c r="D214" s="154" t="s">
        <v>3579</v>
      </c>
      <c r="E214" s="155" t="s">
        <v>3690</v>
      </c>
      <c r="F214" s="154"/>
      <c r="G214" s="154" t="s">
        <v>58</v>
      </c>
      <c r="H214" s="152">
        <v>552.85</v>
      </c>
      <c r="I214" s="152">
        <v>552.85</v>
      </c>
      <c r="J214" s="156"/>
      <c r="K214" s="156">
        <f>Dre_Disp_Estruturais!AI28+Dre_Disp_Estruturais!AI33</f>
        <v>0</v>
      </c>
      <c r="L214" s="156">
        <f t="shared" si="437"/>
        <v>0</v>
      </c>
      <c r="M214" s="156">
        <f t="shared" si="438"/>
        <v>0</v>
      </c>
      <c r="N214" s="156" t="s">
        <v>92</v>
      </c>
      <c r="O214" s="157" cm="1">
        <f t="array" ref="O214">TRUNC($H214*(1+_xlfn.SWITCH($N214,"BDI 1",$O$6,"BDI 2",$O$7,"BDI 3",$O$8)),2)</f>
        <v>637.27</v>
      </c>
      <c r="P214" s="157" cm="1">
        <f t="array" ref="P214">TRUNC($I214*(1+_xlfn.SWITCH($N214,"BDI 1",$P$6,"BDI 2",$P$7,"BDI 3",$P$8)),2)</f>
        <v>637.27</v>
      </c>
      <c r="Q214" s="157">
        <v>0</v>
      </c>
      <c r="R214" s="157">
        <f t="shared" ref="R214" si="472">$Q214-($Q214*LICITACAO_DESCONTO)</f>
        <v>0</v>
      </c>
      <c r="S214" s="156">
        <f t="shared" si="440"/>
        <v>0</v>
      </c>
      <c r="T214" s="156">
        <f t="shared" si="441"/>
        <v>0</v>
      </c>
      <c r="U214" s="156">
        <f t="shared" si="442"/>
        <v>0</v>
      </c>
      <c r="V214" s="156">
        <f t="shared" si="443"/>
        <v>0</v>
      </c>
      <c r="W214" s="156">
        <f t="shared" si="430"/>
        <v>0</v>
      </c>
      <c r="X214" s="158">
        <f t="shared" ref="X214" si="473">$S214/ORCAMENTO_VALOR_TOTAL_ND</f>
        <v>0</v>
      </c>
      <c r="Y214" s="158">
        <f t="shared" ref="Y214" si="474">$T214/ORCAMENTO_VALOR_TOTAL_DE</f>
        <v>0</v>
      </c>
      <c r="Z214" s="158" cm="1">
        <f t="array" ref="Z214">_xlfn.SWITCH($N214,"BDI 1",$O$6,"BDI 2",$O$7,"BDI 3",$O$8)</f>
        <v>0.1527</v>
      </c>
      <c r="AA214" s="158" cm="1">
        <f t="array" ref="AA214">_xlfn.SWITCH($N214,"BDI 1",$P$6,"BDI 2",$P$7,"BDI 3",$P$8)</f>
        <v>0.1527</v>
      </c>
      <c r="AB214" s="158">
        <f t="shared" ca="1" si="446"/>
        <v>0</v>
      </c>
      <c r="AC214" s="158">
        <f t="shared" ca="1" si="447"/>
        <v>0</v>
      </c>
      <c r="AD214" s="164"/>
      <c r="AE214" s="148">
        <f t="shared" si="433"/>
        <v>0</v>
      </c>
      <c r="AF214" s="149"/>
      <c r="AG214" s="150"/>
      <c r="AH214" s="159" t="e">
        <f t="shared" si="434"/>
        <v>#DIV/0!</v>
      </c>
      <c r="AI214" s="195"/>
      <c r="AJ214" s="105"/>
      <c r="AK214" s="105"/>
      <c r="AM214" s="105"/>
      <c r="AN214" s="105"/>
      <c r="AO214" s="105"/>
      <c r="AP214" s="105"/>
      <c r="AQ214" s="105"/>
      <c r="AR214" s="105"/>
    </row>
    <row r="215" spans="1:44" s="49" customFormat="1" ht="40.15" hidden="1" customHeight="1">
      <c r="A215" s="152">
        <f t="shared" ca="1" si="435"/>
        <v>0</v>
      </c>
      <c r="B215" s="153">
        <v>7766</v>
      </c>
      <c r="C215" s="154" t="str">
        <f t="shared" si="436"/>
        <v>7766</v>
      </c>
      <c r="D215" s="154" t="s">
        <v>3579</v>
      </c>
      <c r="E215" s="155" t="s">
        <v>3691</v>
      </c>
      <c r="F215" s="154"/>
      <c r="G215" s="154" t="s">
        <v>58</v>
      </c>
      <c r="H215" s="152">
        <v>810.85</v>
      </c>
      <c r="I215" s="152">
        <v>810.85</v>
      </c>
      <c r="J215" s="156"/>
      <c r="K215" s="156">
        <f>Dre_Disp_Estruturais!AI29+Dre_Disp_Estruturais!AI34</f>
        <v>0</v>
      </c>
      <c r="L215" s="156">
        <f t="shared" si="437"/>
        <v>0</v>
      </c>
      <c r="M215" s="156">
        <f t="shared" si="438"/>
        <v>0</v>
      </c>
      <c r="N215" s="156" t="s">
        <v>92</v>
      </c>
      <c r="O215" s="157" cm="1">
        <f t="array" ref="O215">TRUNC($H215*(1+_xlfn.SWITCH($N215,"BDI 1",$O$6,"BDI 2",$O$7,"BDI 3",$O$8)),2)</f>
        <v>934.66</v>
      </c>
      <c r="P215" s="157" cm="1">
        <f t="array" ref="P215">TRUNC($I215*(1+_xlfn.SWITCH($N215,"BDI 1",$P$6,"BDI 2",$P$7,"BDI 3",$P$8)),2)</f>
        <v>934.66</v>
      </c>
      <c r="Q215" s="157">
        <v>0</v>
      </c>
      <c r="R215" s="157">
        <f t="shared" ref="R215" si="475">$Q215-($Q215*LICITACAO_DESCONTO)</f>
        <v>0</v>
      </c>
      <c r="S215" s="156">
        <f t="shared" si="440"/>
        <v>0</v>
      </c>
      <c r="T215" s="156">
        <f t="shared" si="441"/>
        <v>0</v>
      </c>
      <c r="U215" s="156">
        <f t="shared" si="442"/>
        <v>0</v>
      </c>
      <c r="V215" s="156">
        <f t="shared" si="443"/>
        <v>0</v>
      </c>
      <c r="W215" s="156">
        <f t="shared" si="430"/>
        <v>0</v>
      </c>
      <c r="X215" s="158">
        <f t="shared" ref="X215" si="476">$S215/ORCAMENTO_VALOR_TOTAL_ND</f>
        <v>0</v>
      </c>
      <c r="Y215" s="158">
        <f t="shared" ref="Y215" si="477">$T215/ORCAMENTO_VALOR_TOTAL_DE</f>
        <v>0</v>
      </c>
      <c r="Z215" s="158" cm="1">
        <f t="array" ref="Z215">_xlfn.SWITCH($N215,"BDI 1",$O$6,"BDI 2",$O$7,"BDI 3",$O$8)</f>
        <v>0.1527</v>
      </c>
      <c r="AA215" s="158" cm="1">
        <f t="array" ref="AA215">_xlfn.SWITCH($N215,"BDI 1",$P$6,"BDI 2",$P$7,"BDI 3",$P$8)</f>
        <v>0.1527</v>
      </c>
      <c r="AB215" s="158">
        <f t="shared" ca="1" si="446"/>
        <v>0</v>
      </c>
      <c r="AC215" s="158">
        <f t="shared" ca="1" si="447"/>
        <v>0</v>
      </c>
      <c r="AD215" s="164"/>
      <c r="AE215" s="148">
        <f t="shared" si="433"/>
        <v>0</v>
      </c>
      <c r="AF215" s="149"/>
      <c r="AG215" s="150"/>
      <c r="AH215" s="159" t="e">
        <f t="shared" si="434"/>
        <v>#DIV/0!</v>
      </c>
      <c r="AI215" s="195"/>
      <c r="AJ215" s="105"/>
      <c r="AK215" s="105"/>
      <c r="AM215" s="105"/>
      <c r="AN215" s="105"/>
      <c r="AO215" s="105"/>
      <c r="AP215" s="105"/>
      <c r="AQ215" s="105"/>
      <c r="AR215" s="105"/>
    </row>
    <row r="216" spans="1:44" s="49" customFormat="1" ht="40.15" hidden="1" customHeight="1">
      <c r="A216" s="152">
        <f t="shared" ca="1" si="435"/>
        <v>0</v>
      </c>
      <c r="B216" s="153">
        <v>7767</v>
      </c>
      <c r="C216" s="154" t="str">
        <f t="shared" si="436"/>
        <v>7767</v>
      </c>
      <c r="D216" s="154" t="s">
        <v>3579</v>
      </c>
      <c r="E216" s="155" t="s">
        <v>3692</v>
      </c>
      <c r="F216" s="154"/>
      <c r="G216" s="154" t="s">
        <v>58</v>
      </c>
      <c r="H216" s="152">
        <v>1164.25</v>
      </c>
      <c r="I216" s="152">
        <v>1164.25</v>
      </c>
      <c r="J216" s="156"/>
      <c r="K216" s="156">
        <f>Dre_Disp_Estruturais!AI30+Dre_Disp_Estruturais!AI35</f>
        <v>0</v>
      </c>
      <c r="L216" s="156">
        <f t="shared" si="437"/>
        <v>0</v>
      </c>
      <c r="M216" s="156">
        <f t="shared" si="438"/>
        <v>0</v>
      </c>
      <c r="N216" s="156" t="s">
        <v>92</v>
      </c>
      <c r="O216" s="157" cm="1">
        <f t="array" ref="O216">TRUNC($H216*(1+_xlfn.SWITCH($N216,"BDI 1",$O$6,"BDI 2",$O$7,"BDI 3",$O$8)),2)</f>
        <v>1342.03</v>
      </c>
      <c r="P216" s="157" cm="1">
        <f t="array" ref="P216">TRUNC($I216*(1+_xlfn.SWITCH($N216,"BDI 1",$P$6,"BDI 2",$P$7,"BDI 3",$P$8)),2)</f>
        <v>1342.03</v>
      </c>
      <c r="Q216" s="157">
        <v>0</v>
      </c>
      <c r="R216" s="157">
        <f t="shared" ref="R216" si="478">$Q216-($Q216*LICITACAO_DESCONTO)</f>
        <v>0</v>
      </c>
      <c r="S216" s="156">
        <f t="shared" si="440"/>
        <v>0</v>
      </c>
      <c r="T216" s="156">
        <f t="shared" si="441"/>
        <v>0</v>
      </c>
      <c r="U216" s="156">
        <f t="shared" si="442"/>
        <v>0</v>
      </c>
      <c r="V216" s="156">
        <f t="shared" si="443"/>
        <v>0</v>
      </c>
      <c r="W216" s="156">
        <f t="shared" si="430"/>
        <v>0</v>
      </c>
      <c r="X216" s="158">
        <f t="shared" ref="X216" si="479">$S216/ORCAMENTO_VALOR_TOTAL_ND</f>
        <v>0</v>
      </c>
      <c r="Y216" s="158">
        <f t="shared" ref="Y216" si="480">$T216/ORCAMENTO_VALOR_TOTAL_DE</f>
        <v>0</v>
      </c>
      <c r="Z216" s="158" cm="1">
        <f t="array" ref="Z216">_xlfn.SWITCH($N216,"BDI 1",$O$6,"BDI 2",$O$7,"BDI 3",$O$8)</f>
        <v>0.1527</v>
      </c>
      <c r="AA216" s="158" cm="1">
        <f t="array" ref="AA216">_xlfn.SWITCH($N216,"BDI 1",$P$6,"BDI 2",$P$7,"BDI 3",$P$8)</f>
        <v>0.1527</v>
      </c>
      <c r="AB216" s="158">
        <f t="shared" ca="1" si="446"/>
        <v>0</v>
      </c>
      <c r="AC216" s="158">
        <f t="shared" ca="1" si="447"/>
        <v>0</v>
      </c>
      <c r="AD216" s="164"/>
      <c r="AE216" s="148">
        <f t="shared" si="433"/>
        <v>0</v>
      </c>
      <c r="AF216" s="149"/>
      <c r="AG216" s="150"/>
      <c r="AH216" s="159" t="e">
        <f t="shared" si="434"/>
        <v>#DIV/0!</v>
      </c>
      <c r="AI216" s="195"/>
      <c r="AJ216" s="181" t="s">
        <v>105</v>
      </c>
      <c r="AK216" s="181" t="s">
        <v>106</v>
      </c>
      <c r="AM216" s="105"/>
      <c r="AN216" s="105"/>
      <c r="AO216" s="105"/>
      <c r="AP216" s="105"/>
      <c r="AQ216" s="105"/>
      <c r="AR216" s="105"/>
    </row>
    <row r="217" spans="1:44" s="49" customFormat="1" ht="49.9" hidden="1" customHeight="1">
      <c r="A217" s="152">
        <f t="shared" ca="1" si="435"/>
        <v>0</v>
      </c>
      <c r="B217" s="153">
        <v>92821</v>
      </c>
      <c r="C217" s="154" t="str">
        <f t="shared" si="436"/>
        <v>92821</v>
      </c>
      <c r="D217" s="154" t="s">
        <v>1416</v>
      </c>
      <c r="E217" s="155" t="s">
        <v>3693</v>
      </c>
      <c r="F217" s="154"/>
      <c r="G217" s="154" t="s">
        <v>58</v>
      </c>
      <c r="H217" s="152">
        <v>33.93</v>
      </c>
      <c r="I217" s="152">
        <v>55.71</v>
      </c>
      <c r="J217" s="156"/>
      <c r="K217" s="156">
        <f>Dre_Disp_Estruturais!AI10</f>
        <v>0</v>
      </c>
      <c r="L217" s="156">
        <f t="shared" si="437"/>
        <v>0</v>
      </c>
      <c r="M217" s="156">
        <f t="shared" si="438"/>
        <v>0</v>
      </c>
      <c r="N217" s="156" t="s">
        <v>83</v>
      </c>
      <c r="O217" s="157" cm="1">
        <f t="array" ref="O217">TRUNC($H217*(1+_xlfn.SWITCH($N217,"BDI 1",$O$6,"BDI 2",$O$7,"BDI 3",$O$8)),2)</f>
        <v>40.950000000000003</v>
      </c>
      <c r="P217" s="157" cm="1">
        <f t="array" ref="P217">TRUNC($I217*(1+_xlfn.SWITCH($N217,"BDI 1",$P$6,"BDI 2",$P$7,"BDI 3",$P$8)),2)</f>
        <v>70.599999999999994</v>
      </c>
      <c r="Q217" s="157">
        <v>0</v>
      </c>
      <c r="R217" s="157">
        <f t="shared" ref="R217" si="481">$Q217-($Q217*LICITACAO_DESCONTO)</f>
        <v>0</v>
      </c>
      <c r="S217" s="156">
        <f t="shared" si="440"/>
        <v>0</v>
      </c>
      <c r="T217" s="156">
        <f t="shared" si="441"/>
        <v>0</v>
      </c>
      <c r="U217" s="156">
        <f t="shared" si="442"/>
        <v>0</v>
      </c>
      <c r="V217" s="156">
        <f t="shared" si="443"/>
        <v>0</v>
      </c>
      <c r="W217" s="156">
        <f t="shared" si="430"/>
        <v>0</v>
      </c>
      <c r="X217" s="158">
        <f t="shared" ref="X217" si="482">$S217/ORCAMENTO_VALOR_TOTAL_ND</f>
        <v>0</v>
      </c>
      <c r="Y217" s="158">
        <f t="shared" ref="Y217" si="483">$T217/ORCAMENTO_VALOR_TOTAL_DE</f>
        <v>0</v>
      </c>
      <c r="Z217" s="158" cm="1">
        <f t="array" ref="Z217">_xlfn.SWITCH($N217,"BDI 1",$O$6,"BDI 2",$O$7,"BDI 3",$O$8)</f>
        <v>0.20699999999999999</v>
      </c>
      <c r="AA217" s="158" cm="1">
        <f t="array" ref="AA217">_xlfn.SWITCH($N217,"BDI 1",$P$6,"BDI 2",$P$7,"BDI 3",$P$8)</f>
        <v>0.26739999999999997</v>
      </c>
      <c r="AB217" s="158">
        <f t="shared" ca="1" si="446"/>
        <v>0</v>
      </c>
      <c r="AC217" s="158">
        <f t="shared" ca="1" si="447"/>
        <v>0</v>
      </c>
      <c r="AD217" s="164"/>
      <c r="AE217" s="148">
        <f t="shared" si="433"/>
        <v>0</v>
      </c>
      <c r="AF217" s="149"/>
      <c r="AG217" s="150"/>
      <c r="AH217" s="159" t="e">
        <f t="shared" si="434"/>
        <v>#DIV/0!</v>
      </c>
      <c r="AI217" s="195"/>
      <c r="AJ217" s="198">
        <v>4</v>
      </c>
      <c r="AK217" s="199">
        <f t="shared" ref="AK217:AK222" si="484">K217/AJ217</f>
        <v>0</v>
      </c>
      <c r="AM217" s="105"/>
      <c r="AN217" s="105"/>
      <c r="AO217" s="105"/>
      <c r="AP217" s="105"/>
      <c r="AQ217" s="105"/>
      <c r="AR217" s="105"/>
    </row>
    <row r="218" spans="1:44" s="49" customFormat="1" ht="49.9" hidden="1" customHeight="1">
      <c r="A218" s="152">
        <f t="shared" ca="1" si="435"/>
        <v>0</v>
      </c>
      <c r="B218" s="153">
        <v>92824</v>
      </c>
      <c r="C218" s="154" t="str">
        <f t="shared" si="436"/>
        <v>92824</v>
      </c>
      <c r="D218" s="154" t="s">
        <v>1416</v>
      </c>
      <c r="E218" s="155" t="s">
        <v>3694</v>
      </c>
      <c r="F218" s="154"/>
      <c r="G218" s="154" t="s">
        <v>58</v>
      </c>
      <c r="H218" s="152">
        <v>54.02</v>
      </c>
      <c r="I218" s="152">
        <v>80.92</v>
      </c>
      <c r="J218" s="156"/>
      <c r="K218" s="156">
        <f>Dre_Disp_Estruturais!AI11+Dre_Disp_Estruturais!AI12+Dre_Disp_Estruturais!AI16+Dre_Disp_Estruturais!AI26</f>
        <v>0</v>
      </c>
      <c r="L218" s="156">
        <f t="shared" si="437"/>
        <v>0</v>
      </c>
      <c r="M218" s="156">
        <f t="shared" si="438"/>
        <v>0</v>
      </c>
      <c r="N218" s="156" t="s">
        <v>83</v>
      </c>
      <c r="O218" s="157" cm="1">
        <f t="array" ref="O218">TRUNC($H218*(1+_xlfn.SWITCH($N218,"BDI 1",$O$6,"BDI 2",$O$7,"BDI 3",$O$8)),2)</f>
        <v>65.2</v>
      </c>
      <c r="P218" s="157" cm="1">
        <f t="array" ref="P218">TRUNC($I218*(1+_xlfn.SWITCH($N218,"BDI 1",$P$6,"BDI 2",$P$7,"BDI 3",$P$8)),2)</f>
        <v>102.55</v>
      </c>
      <c r="Q218" s="157">
        <v>0</v>
      </c>
      <c r="R218" s="157">
        <f t="shared" ref="R218" si="485">$Q218-($Q218*LICITACAO_DESCONTO)</f>
        <v>0</v>
      </c>
      <c r="S218" s="156">
        <f t="shared" si="440"/>
        <v>0</v>
      </c>
      <c r="T218" s="156">
        <f t="shared" si="441"/>
        <v>0</v>
      </c>
      <c r="U218" s="156">
        <f t="shared" si="442"/>
        <v>0</v>
      </c>
      <c r="V218" s="156">
        <f t="shared" si="443"/>
        <v>0</v>
      </c>
      <c r="W218" s="156">
        <f t="shared" si="430"/>
        <v>0</v>
      </c>
      <c r="X218" s="158">
        <f t="shared" ref="X218" si="486">$S218/ORCAMENTO_VALOR_TOTAL_ND</f>
        <v>0</v>
      </c>
      <c r="Y218" s="158">
        <f t="shared" ref="Y218" si="487">$T218/ORCAMENTO_VALOR_TOTAL_DE</f>
        <v>0</v>
      </c>
      <c r="Z218" s="158" cm="1">
        <f t="array" ref="Z218">_xlfn.SWITCH($N218,"BDI 1",$O$6,"BDI 2",$O$7,"BDI 3",$O$8)</f>
        <v>0.20699999999999999</v>
      </c>
      <c r="AA218" s="158" cm="1">
        <f t="array" ref="AA218">_xlfn.SWITCH($N218,"BDI 1",$P$6,"BDI 2",$P$7,"BDI 3",$P$8)</f>
        <v>0.26739999999999997</v>
      </c>
      <c r="AB218" s="158">
        <f t="shared" ca="1" si="446"/>
        <v>0</v>
      </c>
      <c r="AC218" s="158">
        <f t="shared" ca="1" si="447"/>
        <v>0</v>
      </c>
      <c r="AD218" s="164"/>
      <c r="AE218" s="148">
        <f t="shared" si="433"/>
        <v>0</v>
      </c>
      <c r="AF218" s="149"/>
      <c r="AG218" s="150"/>
      <c r="AH218" s="159" t="e">
        <f t="shared" si="434"/>
        <v>#DIV/0!</v>
      </c>
      <c r="AI218" s="195"/>
      <c r="AJ218" s="198">
        <v>3</v>
      </c>
      <c r="AK218" s="199">
        <f t="shared" si="484"/>
        <v>0</v>
      </c>
      <c r="AM218" s="105"/>
      <c r="AN218" s="105"/>
      <c r="AO218" s="105"/>
      <c r="AP218" s="105"/>
      <c r="AQ218" s="105"/>
      <c r="AR218" s="105"/>
    </row>
    <row r="219" spans="1:44" s="49" customFormat="1" ht="49.9" hidden="1" customHeight="1">
      <c r="A219" s="152">
        <f t="shared" ca="1" si="435"/>
        <v>0</v>
      </c>
      <c r="B219" s="153">
        <v>92826</v>
      </c>
      <c r="C219" s="154" t="str">
        <f t="shared" si="436"/>
        <v>92826</v>
      </c>
      <c r="D219" s="154" t="s">
        <v>1416</v>
      </c>
      <c r="E219" s="155" t="s">
        <v>3695</v>
      </c>
      <c r="F219" s="154"/>
      <c r="G219" s="154" t="s">
        <v>58</v>
      </c>
      <c r="H219" s="152">
        <v>75.06</v>
      </c>
      <c r="I219" s="152">
        <v>108.54</v>
      </c>
      <c r="J219" s="156"/>
      <c r="K219" s="156">
        <f>Dre_Disp_Estruturais!AI17+Dre_Disp_Estruturais!AI27</f>
        <v>0</v>
      </c>
      <c r="L219" s="156">
        <f t="shared" si="437"/>
        <v>0</v>
      </c>
      <c r="M219" s="156">
        <f t="shared" si="438"/>
        <v>0</v>
      </c>
      <c r="N219" s="156" t="s">
        <v>83</v>
      </c>
      <c r="O219" s="157" cm="1">
        <f t="array" ref="O219">TRUNC($H219*(1+_xlfn.SWITCH($N219,"BDI 1",$O$6,"BDI 2",$O$7,"BDI 3",$O$8)),2)</f>
        <v>90.59</v>
      </c>
      <c r="P219" s="157" cm="1">
        <f t="array" ref="P219">TRUNC($I219*(1+_xlfn.SWITCH($N219,"BDI 1",$P$6,"BDI 2",$P$7,"BDI 3",$P$8)),2)</f>
        <v>137.56</v>
      </c>
      <c r="Q219" s="157">
        <v>0</v>
      </c>
      <c r="R219" s="157">
        <f t="shared" ref="R219" si="488">$Q219-($Q219*LICITACAO_DESCONTO)</f>
        <v>0</v>
      </c>
      <c r="S219" s="156">
        <f t="shared" si="440"/>
        <v>0</v>
      </c>
      <c r="T219" s="156">
        <f t="shared" si="441"/>
        <v>0</v>
      </c>
      <c r="U219" s="156">
        <f t="shared" si="442"/>
        <v>0</v>
      </c>
      <c r="V219" s="156">
        <f t="shared" si="443"/>
        <v>0</v>
      </c>
      <c r="W219" s="156">
        <f t="shared" si="430"/>
        <v>0</v>
      </c>
      <c r="X219" s="158">
        <f t="shared" ref="X219" si="489">$S219/ORCAMENTO_VALOR_TOTAL_ND</f>
        <v>0</v>
      </c>
      <c r="Y219" s="158">
        <f t="shared" ref="Y219" si="490">$T219/ORCAMENTO_VALOR_TOTAL_DE</f>
        <v>0</v>
      </c>
      <c r="Z219" s="158" cm="1">
        <f t="array" ref="Z219">_xlfn.SWITCH($N219,"BDI 1",$O$6,"BDI 2",$O$7,"BDI 3",$O$8)</f>
        <v>0.20699999999999999</v>
      </c>
      <c r="AA219" s="158" cm="1">
        <f t="array" ref="AA219">_xlfn.SWITCH($N219,"BDI 1",$P$6,"BDI 2",$P$7,"BDI 3",$P$8)</f>
        <v>0.26739999999999997</v>
      </c>
      <c r="AB219" s="158">
        <f t="shared" ca="1" si="446"/>
        <v>0</v>
      </c>
      <c r="AC219" s="158">
        <f t="shared" ca="1" si="447"/>
        <v>0</v>
      </c>
      <c r="AD219" s="164"/>
      <c r="AE219" s="148">
        <f t="shared" si="433"/>
        <v>0</v>
      </c>
      <c r="AF219" s="149"/>
      <c r="AG219" s="150"/>
      <c r="AH219" s="159" t="e">
        <f t="shared" si="434"/>
        <v>#DIV/0!</v>
      </c>
      <c r="AI219" s="195"/>
      <c r="AJ219" s="198">
        <v>2</v>
      </c>
      <c r="AK219" s="199">
        <f t="shared" si="484"/>
        <v>0</v>
      </c>
      <c r="AM219" s="105"/>
      <c r="AN219" s="105"/>
      <c r="AO219" s="105"/>
      <c r="AP219" s="105"/>
      <c r="AQ219" s="105"/>
      <c r="AR219" s="105"/>
    </row>
    <row r="220" spans="1:44" s="49" customFormat="1" ht="49.9" hidden="1" customHeight="1">
      <c r="A220" s="152">
        <f t="shared" ca="1" si="435"/>
        <v>0</v>
      </c>
      <c r="B220" s="153">
        <v>92828</v>
      </c>
      <c r="C220" s="154" t="str">
        <f t="shared" si="436"/>
        <v>92828</v>
      </c>
      <c r="D220" s="154" t="s">
        <v>1416</v>
      </c>
      <c r="E220" s="155" t="s">
        <v>3696</v>
      </c>
      <c r="F220" s="154"/>
      <c r="G220" s="154" t="s">
        <v>58</v>
      </c>
      <c r="H220" s="152">
        <v>97.11</v>
      </c>
      <c r="I220" s="152">
        <v>142.02000000000001</v>
      </c>
      <c r="J220" s="156"/>
      <c r="K220" s="156">
        <f>Dre_Disp_Estruturais!AI18+Dre_Disp_Estruturais!AI28</f>
        <v>0</v>
      </c>
      <c r="L220" s="156">
        <f t="shared" si="437"/>
        <v>0</v>
      </c>
      <c r="M220" s="156">
        <f t="shared" si="438"/>
        <v>0</v>
      </c>
      <c r="N220" s="156" t="s">
        <v>83</v>
      </c>
      <c r="O220" s="157" cm="1">
        <f t="array" ref="O220">TRUNC($H220*(1+_xlfn.SWITCH($N220,"BDI 1",$O$6,"BDI 2",$O$7,"BDI 3",$O$8)),2)</f>
        <v>117.21</v>
      </c>
      <c r="P220" s="157" cm="1">
        <f t="array" ref="P220">TRUNC($I220*(1+_xlfn.SWITCH($N220,"BDI 1",$P$6,"BDI 2",$P$7,"BDI 3",$P$8)),2)</f>
        <v>179.99</v>
      </c>
      <c r="Q220" s="157">
        <v>0</v>
      </c>
      <c r="R220" s="157">
        <f t="shared" ref="R220" si="491">$Q220-($Q220*LICITACAO_DESCONTO)</f>
        <v>0</v>
      </c>
      <c r="S220" s="156">
        <f t="shared" si="440"/>
        <v>0</v>
      </c>
      <c r="T220" s="156">
        <f t="shared" si="441"/>
        <v>0</v>
      </c>
      <c r="U220" s="156">
        <f t="shared" si="442"/>
        <v>0</v>
      </c>
      <c r="V220" s="156">
        <f t="shared" si="443"/>
        <v>0</v>
      </c>
      <c r="W220" s="156">
        <f t="shared" si="430"/>
        <v>0</v>
      </c>
      <c r="X220" s="158">
        <f t="shared" ref="X220" si="492">$S220/ORCAMENTO_VALOR_TOTAL_ND</f>
        <v>0</v>
      </c>
      <c r="Y220" s="158">
        <f t="shared" ref="Y220" si="493">$T220/ORCAMENTO_VALOR_TOTAL_DE</f>
        <v>0</v>
      </c>
      <c r="Z220" s="158" cm="1">
        <f t="array" ref="Z220">_xlfn.SWITCH($N220,"BDI 1",$O$6,"BDI 2",$O$7,"BDI 3",$O$8)</f>
        <v>0.20699999999999999</v>
      </c>
      <c r="AA220" s="158" cm="1">
        <f t="array" ref="AA220">_xlfn.SWITCH($N220,"BDI 1",$P$6,"BDI 2",$P$7,"BDI 3",$P$8)</f>
        <v>0.26739999999999997</v>
      </c>
      <c r="AB220" s="158">
        <f t="shared" ca="1" si="446"/>
        <v>0</v>
      </c>
      <c r="AC220" s="158">
        <f t="shared" ca="1" si="447"/>
        <v>0</v>
      </c>
      <c r="AD220" s="164"/>
      <c r="AE220" s="148">
        <f t="shared" si="433"/>
        <v>0</v>
      </c>
      <c r="AF220" s="149"/>
      <c r="AG220" s="150"/>
      <c r="AH220" s="159" t="e">
        <f t="shared" si="434"/>
        <v>#DIV/0!</v>
      </c>
      <c r="AI220" s="195"/>
      <c r="AJ220" s="198">
        <v>1.5</v>
      </c>
      <c r="AK220" s="199">
        <f t="shared" si="484"/>
        <v>0</v>
      </c>
      <c r="AM220" s="105"/>
      <c r="AN220" s="105"/>
      <c r="AO220" s="105"/>
      <c r="AP220" s="105"/>
      <c r="AQ220" s="105"/>
      <c r="AR220" s="105"/>
    </row>
    <row r="221" spans="1:44" s="49" customFormat="1" ht="49.9" hidden="1" customHeight="1">
      <c r="A221" s="152">
        <f t="shared" ca="1" si="435"/>
        <v>0</v>
      </c>
      <c r="B221" s="153">
        <v>92830</v>
      </c>
      <c r="C221" s="154" t="str">
        <f t="shared" si="436"/>
        <v>92830</v>
      </c>
      <c r="D221" s="154" t="s">
        <v>1416</v>
      </c>
      <c r="E221" s="155" t="s">
        <v>3697</v>
      </c>
      <c r="F221" s="154"/>
      <c r="G221" s="154" t="s">
        <v>58</v>
      </c>
      <c r="H221" s="152">
        <v>120.1</v>
      </c>
      <c r="I221" s="152">
        <v>176.16</v>
      </c>
      <c r="J221" s="156"/>
      <c r="K221" s="156">
        <f>Dre_Disp_Estruturais!AI19+Dre_Disp_Estruturais!AI29</f>
        <v>0</v>
      </c>
      <c r="L221" s="156">
        <f t="shared" si="437"/>
        <v>0</v>
      </c>
      <c r="M221" s="156">
        <f t="shared" si="438"/>
        <v>0</v>
      </c>
      <c r="N221" s="156" t="s">
        <v>83</v>
      </c>
      <c r="O221" s="157" cm="1">
        <f t="array" ref="O221">TRUNC($H221*(1+_xlfn.SWITCH($N221,"BDI 1",$O$6,"BDI 2",$O$7,"BDI 3",$O$8)),2)</f>
        <v>144.96</v>
      </c>
      <c r="P221" s="157" cm="1">
        <f t="array" ref="P221">TRUNC($I221*(1+_xlfn.SWITCH($N221,"BDI 1",$P$6,"BDI 2",$P$7,"BDI 3",$P$8)),2)</f>
        <v>223.26</v>
      </c>
      <c r="Q221" s="157">
        <v>0</v>
      </c>
      <c r="R221" s="157">
        <f t="shared" ref="R221" si="494">$Q221-($Q221*LICITACAO_DESCONTO)</f>
        <v>0</v>
      </c>
      <c r="S221" s="156">
        <f t="shared" si="440"/>
        <v>0</v>
      </c>
      <c r="T221" s="156">
        <f t="shared" si="441"/>
        <v>0</v>
      </c>
      <c r="U221" s="156">
        <f t="shared" si="442"/>
        <v>0</v>
      </c>
      <c r="V221" s="156">
        <f t="shared" si="443"/>
        <v>0</v>
      </c>
      <c r="W221" s="156">
        <f t="shared" si="430"/>
        <v>0</v>
      </c>
      <c r="X221" s="158">
        <f t="shared" ref="X221" si="495">$S221/ORCAMENTO_VALOR_TOTAL_ND</f>
        <v>0</v>
      </c>
      <c r="Y221" s="158">
        <f t="shared" ref="Y221" si="496">$T221/ORCAMENTO_VALOR_TOTAL_DE</f>
        <v>0</v>
      </c>
      <c r="Z221" s="158" cm="1">
        <f t="array" ref="Z221">_xlfn.SWITCH($N221,"BDI 1",$O$6,"BDI 2",$O$7,"BDI 3",$O$8)</f>
        <v>0.20699999999999999</v>
      </c>
      <c r="AA221" s="158" cm="1">
        <f t="array" ref="AA221">_xlfn.SWITCH($N221,"BDI 1",$P$6,"BDI 2",$P$7,"BDI 3",$P$8)</f>
        <v>0.26739999999999997</v>
      </c>
      <c r="AB221" s="158">
        <f t="shared" ca="1" si="446"/>
        <v>0</v>
      </c>
      <c r="AC221" s="158">
        <f t="shared" ca="1" si="447"/>
        <v>0</v>
      </c>
      <c r="AD221" s="164"/>
      <c r="AE221" s="148">
        <f t="shared" si="433"/>
        <v>0</v>
      </c>
      <c r="AF221" s="149"/>
      <c r="AG221" s="150"/>
      <c r="AH221" s="159" t="e">
        <f t="shared" si="434"/>
        <v>#DIV/0!</v>
      </c>
      <c r="AI221" s="195"/>
      <c r="AJ221" s="198">
        <v>1.3</v>
      </c>
      <c r="AK221" s="199">
        <f t="shared" si="484"/>
        <v>0</v>
      </c>
      <c r="AM221" s="105"/>
      <c r="AN221" s="105"/>
      <c r="AO221" s="105"/>
      <c r="AP221" s="105"/>
      <c r="AQ221" s="105"/>
      <c r="AR221" s="105"/>
    </row>
    <row r="222" spans="1:44" s="49" customFormat="1" ht="49.9" hidden="1" customHeight="1">
      <c r="A222" s="152">
        <f t="shared" ca="1" si="435"/>
        <v>0</v>
      </c>
      <c r="B222" s="153">
        <v>92832</v>
      </c>
      <c r="C222" s="154" t="str">
        <f t="shared" si="436"/>
        <v>92832</v>
      </c>
      <c r="D222" s="154" t="s">
        <v>1416</v>
      </c>
      <c r="E222" s="155" t="s">
        <v>3698</v>
      </c>
      <c r="F222" s="154"/>
      <c r="G222" s="154" t="s">
        <v>58</v>
      </c>
      <c r="H222" s="152">
        <v>156.41</v>
      </c>
      <c r="I222" s="152">
        <v>234.19</v>
      </c>
      <c r="J222" s="156"/>
      <c r="K222" s="156">
        <f>Dre_Disp_Estruturais!AI20+Dre_Disp_Estruturais!AI30</f>
        <v>0</v>
      </c>
      <c r="L222" s="156">
        <f t="shared" si="437"/>
        <v>0</v>
      </c>
      <c r="M222" s="156">
        <f t="shared" si="438"/>
        <v>0</v>
      </c>
      <c r="N222" s="156" t="s">
        <v>83</v>
      </c>
      <c r="O222" s="157" cm="1">
        <f t="array" ref="O222">TRUNC($H222*(1+_xlfn.SWITCH($N222,"BDI 1",$O$6,"BDI 2",$O$7,"BDI 3",$O$8)),2)</f>
        <v>188.78</v>
      </c>
      <c r="P222" s="157" cm="1">
        <f t="array" ref="P222">TRUNC($I222*(1+_xlfn.SWITCH($N222,"BDI 1",$P$6,"BDI 2",$P$7,"BDI 3",$P$8)),2)</f>
        <v>296.81</v>
      </c>
      <c r="Q222" s="157">
        <v>0</v>
      </c>
      <c r="R222" s="157">
        <f t="shared" ref="R222" si="497">$Q222-($Q222*LICITACAO_DESCONTO)</f>
        <v>0</v>
      </c>
      <c r="S222" s="156">
        <f t="shared" si="440"/>
        <v>0</v>
      </c>
      <c r="T222" s="156">
        <f t="shared" si="441"/>
        <v>0</v>
      </c>
      <c r="U222" s="156">
        <f t="shared" si="442"/>
        <v>0</v>
      </c>
      <c r="V222" s="156">
        <f t="shared" si="443"/>
        <v>0</v>
      </c>
      <c r="W222" s="156">
        <f t="shared" si="430"/>
        <v>0</v>
      </c>
      <c r="X222" s="158">
        <f t="shared" ref="X222" si="498">$S222/ORCAMENTO_VALOR_TOTAL_ND</f>
        <v>0</v>
      </c>
      <c r="Y222" s="158">
        <f t="shared" ref="Y222" si="499">$T222/ORCAMENTO_VALOR_TOTAL_DE</f>
        <v>0</v>
      </c>
      <c r="Z222" s="158" cm="1">
        <f t="array" ref="Z222">_xlfn.SWITCH($N222,"BDI 1",$O$6,"BDI 2",$O$7,"BDI 3",$O$8)</f>
        <v>0.20699999999999999</v>
      </c>
      <c r="AA222" s="158" cm="1">
        <f t="array" ref="AA222">_xlfn.SWITCH($N222,"BDI 1",$P$6,"BDI 2",$P$7,"BDI 3",$P$8)</f>
        <v>0.26739999999999997</v>
      </c>
      <c r="AB222" s="158">
        <f t="shared" ca="1" si="446"/>
        <v>0</v>
      </c>
      <c r="AC222" s="158">
        <f t="shared" ca="1" si="447"/>
        <v>0</v>
      </c>
      <c r="AD222" s="164"/>
      <c r="AE222" s="148">
        <f t="shared" si="433"/>
        <v>0</v>
      </c>
      <c r="AF222" s="149"/>
      <c r="AG222" s="150"/>
      <c r="AH222" s="159" t="e">
        <f t="shared" si="434"/>
        <v>#DIV/0!</v>
      </c>
      <c r="AI222" s="195"/>
      <c r="AJ222" s="198">
        <v>1</v>
      </c>
      <c r="AK222" s="199">
        <f t="shared" si="484"/>
        <v>0</v>
      </c>
      <c r="AM222" s="105"/>
      <c r="AN222" s="105"/>
      <c r="AO222" s="105"/>
      <c r="AP222" s="105"/>
      <c r="AQ222" s="105"/>
      <c r="AR222" s="105"/>
    </row>
    <row r="223" spans="1:44" s="49" customFormat="1" ht="49.9" hidden="1" customHeight="1">
      <c r="A223" s="152">
        <f t="shared" ca="1" si="435"/>
        <v>0</v>
      </c>
      <c r="B223" s="153">
        <v>92809</v>
      </c>
      <c r="C223" s="154" t="str">
        <f t="shared" si="436"/>
        <v>92809</v>
      </c>
      <c r="D223" s="154" t="s">
        <v>1416</v>
      </c>
      <c r="E223" s="155" t="s">
        <v>3699</v>
      </c>
      <c r="F223" s="154"/>
      <c r="G223" s="154" t="s">
        <v>58</v>
      </c>
      <c r="H223" s="152">
        <v>30.77</v>
      </c>
      <c r="I223" s="152">
        <v>46.77</v>
      </c>
      <c r="J223" s="156"/>
      <c r="K223" s="156">
        <f>Dre_Disp_Estruturais!AI13</f>
        <v>0</v>
      </c>
      <c r="L223" s="156">
        <f t="shared" si="437"/>
        <v>0</v>
      </c>
      <c r="M223" s="156">
        <f t="shared" si="438"/>
        <v>0</v>
      </c>
      <c r="N223" s="156" t="s">
        <v>83</v>
      </c>
      <c r="O223" s="157" cm="1">
        <f t="array" ref="O223">TRUNC($H223*(1+_xlfn.SWITCH($N223,"BDI 1",$O$6,"BDI 2",$O$7,"BDI 3",$O$8)),2)</f>
        <v>37.130000000000003</v>
      </c>
      <c r="P223" s="157" cm="1">
        <f t="array" ref="P223">TRUNC($I223*(1+_xlfn.SWITCH($N223,"BDI 1",$P$6,"BDI 2",$P$7,"BDI 3",$P$8)),2)</f>
        <v>59.27</v>
      </c>
      <c r="Q223" s="157">
        <v>0</v>
      </c>
      <c r="R223" s="157">
        <f t="shared" ref="R223" si="500">$Q223-($Q223*LICITACAO_DESCONTO)</f>
        <v>0</v>
      </c>
      <c r="S223" s="156">
        <f t="shared" si="440"/>
        <v>0</v>
      </c>
      <c r="T223" s="156">
        <f t="shared" si="441"/>
        <v>0</v>
      </c>
      <c r="U223" s="156">
        <f t="shared" si="442"/>
        <v>0</v>
      </c>
      <c r="V223" s="156">
        <f t="shared" si="443"/>
        <v>0</v>
      </c>
      <c r="W223" s="156">
        <f t="shared" si="430"/>
        <v>0</v>
      </c>
      <c r="X223" s="158">
        <f t="shared" ref="X223" si="501">$S223/ORCAMENTO_VALOR_TOTAL_ND</f>
        <v>0</v>
      </c>
      <c r="Y223" s="158">
        <f t="shared" ref="Y223" si="502">$T223/ORCAMENTO_VALOR_TOTAL_DE</f>
        <v>0</v>
      </c>
      <c r="Z223" s="158" cm="1">
        <f t="array" ref="Z223">_xlfn.SWITCH($N223,"BDI 1",$O$6,"BDI 2",$O$7,"BDI 3",$O$8)</f>
        <v>0.20699999999999999</v>
      </c>
      <c r="AA223" s="158" cm="1">
        <f t="array" ref="AA223">_xlfn.SWITCH($N223,"BDI 1",$P$6,"BDI 2",$P$7,"BDI 3",$P$8)</f>
        <v>0.26739999999999997</v>
      </c>
      <c r="AB223" s="158">
        <f t="shared" ca="1" si="446"/>
        <v>0</v>
      </c>
      <c r="AC223" s="158">
        <f t="shared" ca="1" si="447"/>
        <v>0</v>
      </c>
      <c r="AD223" s="164"/>
      <c r="AE223" s="148">
        <f t="shared" si="433"/>
        <v>0</v>
      </c>
      <c r="AF223" s="149"/>
      <c r="AG223" s="150"/>
      <c r="AH223" s="159" t="e">
        <f t="shared" si="434"/>
        <v>#DIV/0!</v>
      </c>
      <c r="AI223" s="195"/>
      <c r="AJ223" s="198"/>
      <c r="AK223" s="199"/>
      <c r="AM223" s="105"/>
      <c r="AN223" s="105"/>
      <c r="AO223" s="105"/>
      <c r="AP223" s="105"/>
      <c r="AQ223" s="105"/>
      <c r="AR223" s="105"/>
    </row>
    <row r="224" spans="1:44" s="49" customFormat="1" ht="49.9" hidden="1" customHeight="1">
      <c r="A224" s="152">
        <f t="shared" ca="1" si="435"/>
        <v>0</v>
      </c>
      <c r="B224" s="153">
        <v>92811</v>
      </c>
      <c r="C224" s="154" t="str">
        <f t="shared" si="436"/>
        <v>92811</v>
      </c>
      <c r="D224" s="154" t="s">
        <v>1416</v>
      </c>
      <c r="E224" s="155" t="s">
        <v>3700</v>
      </c>
      <c r="F224" s="154"/>
      <c r="G224" s="154" t="s">
        <v>58</v>
      </c>
      <c r="H224" s="152">
        <v>48.99</v>
      </c>
      <c r="I224" s="152">
        <v>67.94</v>
      </c>
      <c r="J224" s="156"/>
      <c r="K224" s="156">
        <f>Dre_Disp_Estruturais!AI14+Dre_Disp_Estruturais!AI15+Dre_Disp_Estruturais!AI21+Dre_Disp_Estruturais!AI31</f>
        <v>0</v>
      </c>
      <c r="L224" s="156">
        <f t="shared" si="437"/>
        <v>0</v>
      </c>
      <c r="M224" s="156">
        <f t="shared" si="438"/>
        <v>0</v>
      </c>
      <c r="N224" s="156" t="s">
        <v>83</v>
      </c>
      <c r="O224" s="157" cm="1">
        <f t="array" ref="O224">TRUNC($H224*(1+_xlfn.SWITCH($N224,"BDI 1",$O$6,"BDI 2",$O$7,"BDI 3",$O$8)),2)</f>
        <v>59.13</v>
      </c>
      <c r="P224" s="157" cm="1">
        <f t="array" ref="P224">TRUNC($I224*(1+_xlfn.SWITCH($N224,"BDI 1",$P$6,"BDI 2",$P$7,"BDI 3",$P$8)),2)</f>
        <v>86.1</v>
      </c>
      <c r="Q224" s="157">
        <v>0</v>
      </c>
      <c r="R224" s="157">
        <f t="shared" ref="R224" si="503">$Q224-($Q224*LICITACAO_DESCONTO)</f>
        <v>0</v>
      </c>
      <c r="S224" s="156">
        <f t="shared" si="440"/>
        <v>0</v>
      </c>
      <c r="T224" s="156">
        <f t="shared" si="441"/>
        <v>0</v>
      </c>
      <c r="U224" s="156">
        <f t="shared" si="442"/>
        <v>0</v>
      </c>
      <c r="V224" s="156">
        <f t="shared" si="443"/>
        <v>0</v>
      </c>
      <c r="W224" s="156">
        <f t="shared" si="430"/>
        <v>0</v>
      </c>
      <c r="X224" s="158">
        <f t="shared" ref="X224" si="504">$S224/ORCAMENTO_VALOR_TOTAL_ND</f>
        <v>0</v>
      </c>
      <c r="Y224" s="158">
        <f t="shared" ref="Y224" si="505">$T224/ORCAMENTO_VALOR_TOTAL_DE</f>
        <v>0</v>
      </c>
      <c r="Z224" s="158" cm="1">
        <f t="array" ref="Z224">_xlfn.SWITCH($N224,"BDI 1",$O$6,"BDI 2",$O$7,"BDI 3",$O$8)</f>
        <v>0.20699999999999999</v>
      </c>
      <c r="AA224" s="158" cm="1">
        <f t="array" ref="AA224">_xlfn.SWITCH($N224,"BDI 1",$P$6,"BDI 2",$P$7,"BDI 3",$P$8)</f>
        <v>0.26739999999999997</v>
      </c>
      <c r="AB224" s="158">
        <f t="shared" ca="1" si="446"/>
        <v>0</v>
      </c>
      <c r="AC224" s="158">
        <f t="shared" ca="1" si="447"/>
        <v>0</v>
      </c>
      <c r="AD224" s="164"/>
      <c r="AE224" s="148">
        <f t="shared" si="433"/>
        <v>0</v>
      </c>
      <c r="AF224" s="149"/>
      <c r="AG224" s="150"/>
      <c r="AH224" s="159" t="e">
        <f t="shared" si="434"/>
        <v>#DIV/0!</v>
      </c>
      <c r="AI224" s="195"/>
      <c r="AJ224" s="198"/>
      <c r="AK224" s="199"/>
      <c r="AM224" s="105"/>
      <c r="AN224" s="105"/>
      <c r="AO224" s="105"/>
      <c r="AP224" s="105"/>
      <c r="AQ224" s="105"/>
      <c r="AR224" s="105"/>
    </row>
    <row r="225" spans="1:44" s="49" customFormat="1" ht="49.9" hidden="1" customHeight="1">
      <c r="A225" s="152">
        <f t="shared" ca="1" si="435"/>
        <v>0</v>
      </c>
      <c r="B225" s="153">
        <v>92813</v>
      </c>
      <c r="C225" s="154" t="str">
        <f t="shared" si="436"/>
        <v>92813</v>
      </c>
      <c r="D225" s="154" t="s">
        <v>1416</v>
      </c>
      <c r="E225" s="155" t="s">
        <v>3701</v>
      </c>
      <c r="F225" s="154"/>
      <c r="G225" s="154" t="s">
        <v>58</v>
      </c>
      <c r="H225" s="152">
        <v>68.150000000000006</v>
      </c>
      <c r="I225" s="152">
        <v>91.64</v>
      </c>
      <c r="J225" s="156"/>
      <c r="K225" s="156">
        <f>Dre_Disp_Estruturais!AI22+Dre_Disp_Estruturais!AI32</f>
        <v>0</v>
      </c>
      <c r="L225" s="156">
        <f t="shared" si="437"/>
        <v>0</v>
      </c>
      <c r="M225" s="156">
        <f t="shared" si="438"/>
        <v>0</v>
      </c>
      <c r="N225" s="156" t="s">
        <v>83</v>
      </c>
      <c r="O225" s="157" cm="1">
        <f t="array" ref="O225">TRUNC($H225*(1+_xlfn.SWITCH($N225,"BDI 1",$O$6,"BDI 2",$O$7,"BDI 3",$O$8)),2)</f>
        <v>82.25</v>
      </c>
      <c r="P225" s="157" cm="1">
        <f t="array" ref="P225">TRUNC($I225*(1+_xlfn.SWITCH($N225,"BDI 1",$P$6,"BDI 2",$P$7,"BDI 3",$P$8)),2)</f>
        <v>116.14</v>
      </c>
      <c r="Q225" s="157">
        <v>0</v>
      </c>
      <c r="R225" s="157">
        <f t="shared" ref="R225" si="506">$Q225-($Q225*LICITACAO_DESCONTO)</f>
        <v>0</v>
      </c>
      <c r="S225" s="156">
        <f t="shared" si="440"/>
        <v>0</v>
      </c>
      <c r="T225" s="156">
        <f t="shared" si="441"/>
        <v>0</v>
      </c>
      <c r="U225" s="156">
        <f t="shared" si="442"/>
        <v>0</v>
      </c>
      <c r="V225" s="156">
        <f t="shared" si="443"/>
        <v>0</v>
      </c>
      <c r="W225" s="156">
        <f t="shared" si="430"/>
        <v>0</v>
      </c>
      <c r="X225" s="158">
        <f t="shared" ref="X225" si="507">$S225/ORCAMENTO_VALOR_TOTAL_ND</f>
        <v>0</v>
      </c>
      <c r="Y225" s="158">
        <f t="shared" ref="Y225" si="508">$T225/ORCAMENTO_VALOR_TOTAL_DE</f>
        <v>0</v>
      </c>
      <c r="Z225" s="158" cm="1">
        <f t="array" ref="Z225">_xlfn.SWITCH($N225,"BDI 1",$O$6,"BDI 2",$O$7,"BDI 3",$O$8)</f>
        <v>0.20699999999999999</v>
      </c>
      <c r="AA225" s="158" cm="1">
        <f t="array" ref="AA225">_xlfn.SWITCH($N225,"BDI 1",$P$6,"BDI 2",$P$7,"BDI 3",$P$8)</f>
        <v>0.26739999999999997</v>
      </c>
      <c r="AB225" s="158">
        <f t="shared" ca="1" si="446"/>
        <v>0</v>
      </c>
      <c r="AC225" s="158">
        <f t="shared" ca="1" si="447"/>
        <v>0</v>
      </c>
      <c r="AD225" s="164"/>
      <c r="AE225" s="148">
        <f t="shared" si="433"/>
        <v>0</v>
      </c>
      <c r="AF225" s="149"/>
      <c r="AG225" s="150"/>
      <c r="AH225" s="159" t="e">
        <f t="shared" si="434"/>
        <v>#DIV/0!</v>
      </c>
      <c r="AI225" s="195"/>
      <c r="AJ225" s="198">
        <v>0</v>
      </c>
      <c r="AK225" s="199"/>
      <c r="AM225" s="105"/>
      <c r="AN225" s="105"/>
      <c r="AO225" s="105"/>
      <c r="AP225" s="105"/>
      <c r="AQ225" s="105"/>
      <c r="AR225" s="105"/>
    </row>
    <row r="226" spans="1:44" s="49" customFormat="1" ht="49.9" hidden="1" customHeight="1">
      <c r="A226" s="152">
        <f t="shared" ca="1" si="435"/>
        <v>0</v>
      </c>
      <c r="B226" s="153">
        <v>92815</v>
      </c>
      <c r="C226" s="154" t="str">
        <f t="shared" si="436"/>
        <v>92815</v>
      </c>
      <c r="D226" s="154" t="s">
        <v>1416</v>
      </c>
      <c r="E226" s="155" t="s">
        <v>3702</v>
      </c>
      <c r="F226" s="154"/>
      <c r="G226" s="154" t="s">
        <v>58</v>
      </c>
      <c r="H226" s="152">
        <v>88.29</v>
      </c>
      <c r="I226" s="152">
        <v>121</v>
      </c>
      <c r="J226" s="156"/>
      <c r="K226" s="156">
        <f>Dre_Disp_Estruturais!AI23+Dre_Disp_Estruturais!AI33</f>
        <v>0</v>
      </c>
      <c r="L226" s="156">
        <f t="shared" si="437"/>
        <v>0</v>
      </c>
      <c r="M226" s="156">
        <f t="shared" si="438"/>
        <v>0</v>
      </c>
      <c r="N226" s="156" t="s">
        <v>83</v>
      </c>
      <c r="O226" s="157" cm="1">
        <f t="array" ref="O226">TRUNC($H226*(1+_xlfn.SWITCH($N226,"BDI 1",$O$6,"BDI 2",$O$7,"BDI 3",$O$8)),2)</f>
        <v>106.56</v>
      </c>
      <c r="P226" s="157" cm="1">
        <f t="array" ref="P226">TRUNC($I226*(1+_xlfn.SWITCH($N226,"BDI 1",$P$6,"BDI 2",$P$7,"BDI 3",$P$8)),2)</f>
        <v>153.35</v>
      </c>
      <c r="Q226" s="157">
        <v>0</v>
      </c>
      <c r="R226" s="157">
        <f t="shared" ref="R226" si="509">$Q226-($Q226*LICITACAO_DESCONTO)</f>
        <v>0</v>
      </c>
      <c r="S226" s="156">
        <f t="shared" si="440"/>
        <v>0</v>
      </c>
      <c r="T226" s="156">
        <f t="shared" si="441"/>
        <v>0</v>
      </c>
      <c r="U226" s="156">
        <f t="shared" si="442"/>
        <v>0</v>
      </c>
      <c r="V226" s="156">
        <f t="shared" si="443"/>
        <v>0</v>
      </c>
      <c r="W226" s="156">
        <f t="shared" si="430"/>
        <v>0</v>
      </c>
      <c r="X226" s="158">
        <f t="shared" ref="X226" si="510">$S226/ORCAMENTO_VALOR_TOTAL_ND</f>
        <v>0</v>
      </c>
      <c r="Y226" s="158">
        <f t="shared" ref="Y226" si="511">$T226/ORCAMENTO_VALOR_TOTAL_DE</f>
        <v>0</v>
      </c>
      <c r="Z226" s="158" cm="1">
        <f t="array" ref="Z226">_xlfn.SWITCH($N226,"BDI 1",$O$6,"BDI 2",$O$7,"BDI 3",$O$8)</f>
        <v>0.20699999999999999</v>
      </c>
      <c r="AA226" s="158" cm="1">
        <f t="array" ref="AA226">_xlfn.SWITCH($N226,"BDI 1",$P$6,"BDI 2",$P$7,"BDI 3",$P$8)</f>
        <v>0.26739999999999997</v>
      </c>
      <c r="AB226" s="158">
        <f t="shared" ca="1" si="446"/>
        <v>0</v>
      </c>
      <c r="AC226" s="158">
        <f t="shared" ca="1" si="447"/>
        <v>0</v>
      </c>
      <c r="AD226" s="164"/>
      <c r="AE226" s="148">
        <f t="shared" si="433"/>
        <v>0</v>
      </c>
      <c r="AF226" s="149"/>
      <c r="AG226" s="150"/>
      <c r="AH226" s="159" t="e">
        <f t="shared" si="434"/>
        <v>#DIV/0!</v>
      </c>
      <c r="AI226" s="195"/>
      <c r="AJ226" s="198">
        <v>0</v>
      </c>
      <c r="AK226" s="199"/>
      <c r="AM226" s="105"/>
      <c r="AN226" s="105"/>
      <c r="AO226" s="105"/>
      <c r="AP226" s="105"/>
      <c r="AQ226" s="105"/>
      <c r="AR226" s="105"/>
    </row>
    <row r="227" spans="1:44" s="49" customFormat="1" ht="49.9" hidden="1" customHeight="1">
      <c r="A227" s="152">
        <f t="shared" ca="1" si="435"/>
        <v>0</v>
      </c>
      <c r="B227" s="153">
        <v>92817</v>
      </c>
      <c r="C227" s="154" t="str">
        <f t="shared" si="436"/>
        <v>92817</v>
      </c>
      <c r="D227" s="154" t="s">
        <v>1416</v>
      </c>
      <c r="E227" s="155" t="s">
        <v>3703</v>
      </c>
      <c r="F227" s="154"/>
      <c r="G227" s="154" t="s">
        <v>58</v>
      </c>
      <c r="H227" s="152">
        <v>109.4</v>
      </c>
      <c r="I227" s="152">
        <v>151.41</v>
      </c>
      <c r="J227" s="156"/>
      <c r="K227" s="156">
        <f>Dre_Disp_Estruturais!AI24+Dre_Disp_Estruturais!AI34</f>
        <v>0</v>
      </c>
      <c r="L227" s="156">
        <f t="shared" si="437"/>
        <v>0</v>
      </c>
      <c r="M227" s="156">
        <f t="shared" si="438"/>
        <v>0</v>
      </c>
      <c r="N227" s="156" t="s">
        <v>83</v>
      </c>
      <c r="O227" s="157" cm="1">
        <f t="array" ref="O227">TRUNC($H227*(1+_xlfn.SWITCH($N227,"BDI 1",$O$6,"BDI 2",$O$7,"BDI 3",$O$8)),2)</f>
        <v>132.04</v>
      </c>
      <c r="P227" s="157" cm="1">
        <f t="array" ref="P227">TRUNC($I227*(1+_xlfn.SWITCH($N227,"BDI 1",$P$6,"BDI 2",$P$7,"BDI 3",$P$8)),2)</f>
        <v>191.89</v>
      </c>
      <c r="Q227" s="157">
        <v>0</v>
      </c>
      <c r="R227" s="157">
        <f t="shared" ref="R227" si="512">$Q227-($Q227*LICITACAO_DESCONTO)</f>
        <v>0</v>
      </c>
      <c r="S227" s="156">
        <f t="shared" si="440"/>
        <v>0</v>
      </c>
      <c r="T227" s="156">
        <f t="shared" si="441"/>
        <v>0</v>
      </c>
      <c r="U227" s="156">
        <f t="shared" si="442"/>
        <v>0</v>
      </c>
      <c r="V227" s="156">
        <f t="shared" si="443"/>
        <v>0</v>
      </c>
      <c r="W227" s="156">
        <f t="shared" si="430"/>
        <v>0</v>
      </c>
      <c r="X227" s="158">
        <f t="shared" ref="X227" si="513">$S227/ORCAMENTO_VALOR_TOTAL_ND</f>
        <v>0</v>
      </c>
      <c r="Y227" s="158">
        <f t="shared" ref="Y227" si="514">$T227/ORCAMENTO_VALOR_TOTAL_DE</f>
        <v>0</v>
      </c>
      <c r="Z227" s="158" cm="1">
        <f t="array" ref="Z227">_xlfn.SWITCH($N227,"BDI 1",$O$6,"BDI 2",$O$7,"BDI 3",$O$8)</f>
        <v>0.20699999999999999</v>
      </c>
      <c r="AA227" s="158" cm="1">
        <f t="array" ref="AA227">_xlfn.SWITCH($N227,"BDI 1",$P$6,"BDI 2",$P$7,"BDI 3",$P$8)</f>
        <v>0.26739999999999997</v>
      </c>
      <c r="AB227" s="158">
        <f t="shared" ca="1" si="446"/>
        <v>0</v>
      </c>
      <c r="AC227" s="158">
        <f t="shared" ca="1" si="447"/>
        <v>0</v>
      </c>
      <c r="AD227" s="164"/>
      <c r="AE227" s="148">
        <f t="shared" si="433"/>
        <v>0</v>
      </c>
      <c r="AF227" s="149"/>
      <c r="AG227" s="150"/>
      <c r="AH227" s="159" t="e">
        <f t="shared" si="434"/>
        <v>#DIV/0!</v>
      </c>
      <c r="AI227" s="195"/>
      <c r="AJ227" s="198">
        <v>0</v>
      </c>
      <c r="AK227" s="199"/>
      <c r="AM227" s="105"/>
      <c r="AN227" s="105"/>
      <c r="AO227" s="105"/>
      <c r="AP227" s="105"/>
      <c r="AQ227" s="105"/>
      <c r="AR227" s="105"/>
    </row>
    <row r="228" spans="1:44" s="49" customFormat="1" ht="49.9" hidden="1" customHeight="1">
      <c r="A228" s="152">
        <f t="shared" ca="1" si="435"/>
        <v>0</v>
      </c>
      <c r="B228" s="153">
        <v>92819</v>
      </c>
      <c r="C228" s="154" t="str">
        <f t="shared" si="436"/>
        <v>92819</v>
      </c>
      <c r="D228" s="154" t="s">
        <v>1416</v>
      </c>
      <c r="E228" s="155" t="s">
        <v>3704</v>
      </c>
      <c r="F228" s="154"/>
      <c r="G228" s="154" t="s">
        <v>58</v>
      </c>
      <c r="H228" s="152">
        <v>142.88</v>
      </c>
      <c r="I228" s="152">
        <v>203.82</v>
      </c>
      <c r="J228" s="156"/>
      <c r="K228" s="156">
        <f>Dre_Disp_Estruturais!AI25+Dre_Disp_Estruturais!AI35</f>
        <v>0</v>
      </c>
      <c r="L228" s="156">
        <f t="shared" si="437"/>
        <v>0</v>
      </c>
      <c r="M228" s="156">
        <f t="shared" si="438"/>
        <v>0</v>
      </c>
      <c r="N228" s="156" t="s">
        <v>83</v>
      </c>
      <c r="O228" s="157" cm="1">
        <f t="array" ref="O228">TRUNC($H228*(1+_xlfn.SWITCH($N228,"BDI 1",$O$6,"BDI 2",$O$7,"BDI 3",$O$8)),2)</f>
        <v>172.45</v>
      </c>
      <c r="P228" s="157" cm="1">
        <f t="array" ref="P228">TRUNC($I228*(1+_xlfn.SWITCH($N228,"BDI 1",$P$6,"BDI 2",$P$7,"BDI 3",$P$8)),2)</f>
        <v>258.32</v>
      </c>
      <c r="Q228" s="157">
        <v>0</v>
      </c>
      <c r="R228" s="157">
        <f t="shared" ref="R228" si="515">$Q228-($Q228*LICITACAO_DESCONTO)</f>
        <v>0</v>
      </c>
      <c r="S228" s="156">
        <f t="shared" si="440"/>
        <v>0</v>
      </c>
      <c r="T228" s="156">
        <f t="shared" si="441"/>
        <v>0</v>
      </c>
      <c r="U228" s="156">
        <f t="shared" si="442"/>
        <v>0</v>
      </c>
      <c r="V228" s="156">
        <f t="shared" si="443"/>
        <v>0</v>
      </c>
      <c r="W228" s="156">
        <f t="shared" si="430"/>
        <v>0</v>
      </c>
      <c r="X228" s="158">
        <f t="shared" ref="X228" si="516">$S228/ORCAMENTO_VALOR_TOTAL_ND</f>
        <v>0</v>
      </c>
      <c r="Y228" s="158">
        <f t="shared" ref="Y228" si="517">$T228/ORCAMENTO_VALOR_TOTAL_DE</f>
        <v>0</v>
      </c>
      <c r="Z228" s="158" cm="1">
        <f t="array" ref="Z228">_xlfn.SWITCH($N228,"BDI 1",$O$6,"BDI 2",$O$7,"BDI 3",$O$8)</f>
        <v>0.20699999999999999</v>
      </c>
      <c r="AA228" s="158" cm="1">
        <f t="array" ref="AA228">_xlfn.SWITCH($N228,"BDI 1",$P$6,"BDI 2",$P$7,"BDI 3",$P$8)</f>
        <v>0.26739999999999997</v>
      </c>
      <c r="AB228" s="158">
        <f t="shared" ca="1" si="446"/>
        <v>0</v>
      </c>
      <c r="AC228" s="158">
        <f t="shared" ca="1" si="447"/>
        <v>0</v>
      </c>
      <c r="AD228" s="164"/>
      <c r="AE228" s="148">
        <f t="shared" si="433"/>
        <v>0</v>
      </c>
      <c r="AF228" s="149"/>
      <c r="AG228" s="150"/>
      <c r="AH228" s="159" t="e">
        <f t="shared" si="434"/>
        <v>#DIV/0!</v>
      </c>
      <c r="AI228" s="195"/>
      <c r="AJ228" s="198">
        <v>0</v>
      </c>
      <c r="AK228" s="199"/>
      <c r="AM228" s="105"/>
      <c r="AN228" s="105"/>
      <c r="AO228" s="105"/>
      <c r="AP228" s="105"/>
      <c r="AQ228" s="105"/>
      <c r="AR228" s="105"/>
    </row>
    <row r="229" spans="1:44" s="49" customFormat="1" ht="40.15" hidden="1" customHeight="1">
      <c r="A229" s="152">
        <f t="shared" ca="1" si="435"/>
        <v>0</v>
      </c>
      <c r="B229" s="153" t="s">
        <v>143</v>
      </c>
      <c r="C229" s="154" t="str">
        <f t="shared" si="436"/>
        <v>M0131</v>
      </c>
      <c r="D229" s="154" t="s">
        <v>3705</v>
      </c>
      <c r="E229" s="155" t="s">
        <v>3706</v>
      </c>
      <c r="F229" s="154"/>
      <c r="G229" s="154" t="s">
        <v>1431</v>
      </c>
      <c r="H229" s="152">
        <v>205.78280000000001</v>
      </c>
      <c r="I229" s="152">
        <v>205.78280000000001</v>
      </c>
      <c r="J229" s="156"/>
      <c r="K229" s="156">
        <f>K238+K247</f>
        <v>0</v>
      </c>
      <c r="L229" s="156">
        <f t="shared" si="437"/>
        <v>0</v>
      </c>
      <c r="M229" s="156">
        <f t="shared" si="438"/>
        <v>0</v>
      </c>
      <c r="N229" s="156" t="s">
        <v>92</v>
      </c>
      <c r="O229" s="157" cm="1">
        <f t="array" ref="O229">TRUNC($H229*(1+_xlfn.SWITCH($N229,"BDI 1",$O$6,"BDI 2",$O$7,"BDI 3",$O$8)),2)</f>
        <v>237.2</v>
      </c>
      <c r="P229" s="157" cm="1">
        <f t="array" ref="P229">TRUNC($I229*(1+_xlfn.SWITCH($N229,"BDI 1",$P$6,"BDI 2",$P$7,"BDI 3",$P$8)),2)</f>
        <v>237.2</v>
      </c>
      <c r="Q229" s="157">
        <v>0</v>
      </c>
      <c r="R229" s="157">
        <f t="shared" ref="R229" si="518">$Q229-($Q229*LICITACAO_DESCONTO)</f>
        <v>0</v>
      </c>
      <c r="S229" s="156">
        <f t="shared" si="440"/>
        <v>0</v>
      </c>
      <c r="T229" s="156">
        <f t="shared" si="441"/>
        <v>0</v>
      </c>
      <c r="U229" s="156">
        <f t="shared" si="442"/>
        <v>0</v>
      </c>
      <c r="V229" s="156">
        <f t="shared" si="443"/>
        <v>0</v>
      </c>
      <c r="W229" s="156">
        <f t="shared" si="430"/>
        <v>0</v>
      </c>
      <c r="X229" s="158">
        <f t="shared" ref="X229" si="519">$S229/ORCAMENTO_VALOR_TOTAL_ND</f>
        <v>0</v>
      </c>
      <c r="Y229" s="158">
        <f t="shared" ref="Y229" si="520">$T229/ORCAMENTO_VALOR_TOTAL_DE</f>
        <v>0</v>
      </c>
      <c r="Z229" s="158" cm="1">
        <f t="array" ref="Z229">_xlfn.SWITCH($N229,"BDI 1",$O$6,"BDI 2",$O$7,"BDI 3",$O$8)</f>
        <v>0.1527</v>
      </c>
      <c r="AA229" s="158" cm="1">
        <f t="array" ref="AA229">_xlfn.SWITCH($N229,"BDI 1",$P$6,"BDI 2",$P$7,"BDI 3",$P$8)</f>
        <v>0.1527</v>
      </c>
      <c r="AB229" s="158">
        <f t="shared" ca="1" si="446"/>
        <v>0</v>
      </c>
      <c r="AC229" s="158">
        <f t="shared" ca="1" si="447"/>
        <v>0</v>
      </c>
      <c r="AD229" s="164"/>
      <c r="AE229" s="148">
        <f t="shared" si="433"/>
        <v>0</v>
      </c>
      <c r="AF229" s="149"/>
      <c r="AG229" s="150"/>
      <c r="AH229" s="159" t="e">
        <f t="shared" si="434"/>
        <v>#DIV/0!</v>
      </c>
      <c r="AI229" s="200">
        <v>0</v>
      </c>
      <c r="AJ229" s="105"/>
      <c r="AK229" s="105"/>
      <c r="AM229" s="105"/>
      <c r="AN229" s="105"/>
      <c r="AO229" s="105"/>
      <c r="AP229" s="105"/>
      <c r="AQ229" s="105"/>
      <c r="AR229" s="105"/>
    </row>
    <row r="230" spans="1:44" s="49" customFormat="1" ht="40.15" hidden="1" customHeight="1">
      <c r="A230" s="152">
        <f t="shared" ca="1" si="435"/>
        <v>0</v>
      </c>
      <c r="B230" s="153" t="s">
        <v>144</v>
      </c>
      <c r="C230" s="154" t="str">
        <f t="shared" si="436"/>
        <v>M0133</v>
      </c>
      <c r="D230" s="154" t="s">
        <v>3705</v>
      </c>
      <c r="E230" s="155" t="s">
        <v>3707</v>
      </c>
      <c r="F230" s="154"/>
      <c r="G230" s="154" t="s">
        <v>1431</v>
      </c>
      <c r="H230" s="152">
        <v>333.8913</v>
      </c>
      <c r="I230" s="152">
        <v>333.8913</v>
      </c>
      <c r="J230" s="156"/>
      <c r="K230" s="156">
        <f t="shared" ref="K230:K237" si="521">K239+K248</f>
        <v>0</v>
      </c>
      <c r="L230" s="156">
        <f t="shared" si="437"/>
        <v>0</v>
      </c>
      <c r="M230" s="156">
        <f t="shared" si="438"/>
        <v>0</v>
      </c>
      <c r="N230" s="156" t="s">
        <v>92</v>
      </c>
      <c r="O230" s="157" cm="1">
        <f t="array" ref="O230">TRUNC($H230*(1+_xlfn.SWITCH($N230,"BDI 1",$O$6,"BDI 2",$O$7,"BDI 3",$O$8)),2)</f>
        <v>384.87</v>
      </c>
      <c r="P230" s="157" cm="1">
        <f t="array" ref="P230">TRUNC($I230*(1+_xlfn.SWITCH($N230,"BDI 1",$P$6,"BDI 2",$P$7,"BDI 3",$P$8)),2)</f>
        <v>384.87</v>
      </c>
      <c r="Q230" s="157">
        <v>0</v>
      </c>
      <c r="R230" s="157">
        <f t="shared" ref="R230" si="522">$Q230-($Q230*LICITACAO_DESCONTO)</f>
        <v>0</v>
      </c>
      <c r="S230" s="156">
        <f t="shared" si="440"/>
        <v>0</v>
      </c>
      <c r="T230" s="156">
        <f t="shared" si="441"/>
        <v>0</v>
      </c>
      <c r="U230" s="156">
        <f t="shared" si="442"/>
        <v>0</v>
      </c>
      <c r="V230" s="156">
        <f t="shared" si="443"/>
        <v>0</v>
      </c>
      <c r="W230" s="156">
        <f t="shared" si="430"/>
        <v>0</v>
      </c>
      <c r="X230" s="158">
        <f t="shared" ref="X230" si="523">$S230/ORCAMENTO_VALOR_TOTAL_ND</f>
        <v>0</v>
      </c>
      <c r="Y230" s="158">
        <f t="shared" ref="Y230" si="524">$T230/ORCAMENTO_VALOR_TOTAL_DE</f>
        <v>0</v>
      </c>
      <c r="Z230" s="158" cm="1">
        <f t="array" ref="Z230">_xlfn.SWITCH($N230,"BDI 1",$O$6,"BDI 2",$O$7,"BDI 3",$O$8)</f>
        <v>0.1527</v>
      </c>
      <c r="AA230" s="158" cm="1">
        <f t="array" ref="AA230">_xlfn.SWITCH($N230,"BDI 1",$P$6,"BDI 2",$P$7,"BDI 3",$P$8)</f>
        <v>0.1527</v>
      </c>
      <c r="AB230" s="158">
        <f t="shared" ca="1" si="446"/>
        <v>0</v>
      </c>
      <c r="AC230" s="158">
        <f t="shared" ca="1" si="447"/>
        <v>0</v>
      </c>
      <c r="AD230" s="164"/>
      <c r="AE230" s="148">
        <f t="shared" si="433"/>
        <v>0</v>
      </c>
      <c r="AF230" s="149"/>
      <c r="AG230" s="150"/>
      <c r="AH230" s="159" t="e">
        <f t="shared" si="434"/>
        <v>#DIV/0!</v>
      </c>
      <c r="AI230" s="200">
        <v>0</v>
      </c>
      <c r="AJ230" s="105"/>
      <c r="AK230" s="105"/>
      <c r="AM230" s="105"/>
      <c r="AN230" s="105"/>
      <c r="AO230" s="105"/>
      <c r="AP230" s="105"/>
      <c r="AQ230" s="105"/>
      <c r="AR230" s="105"/>
    </row>
    <row r="231" spans="1:44" s="49" customFormat="1" ht="40.15" hidden="1" customHeight="1">
      <c r="A231" s="152">
        <f t="shared" ca="1" si="435"/>
        <v>0</v>
      </c>
      <c r="B231" s="153" t="s">
        <v>145</v>
      </c>
      <c r="C231" s="154" t="str">
        <f t="shared" si="436"/>
        <v>M0134</v>
      </c>
      <c r="D231" s="154" t="s">
        <v>3705</v>
      </c>
      <c r="E231" s="155" t="s">
        <v>3708</v>
      </c>
      <c r="F231" s="154"/>
      <c r="G231" s="154" t="s">
        <v>1431</v>
      </c>
      <c r="H231" s="152">
        <v>493.34379999999999</v>
      </c>
      <c r="I231" s="152">
        <v>493.34379999999999</v>
      </c>
      <c r="J231" s="156"/>
      <c r="K231" s="156">
        <f t="shared" si="521"/>
        <v>0</v>
      </c>
      <c r="L231" s="156">
        <f t="shared" si="437"/>
        <v>0</v>
      </c>
      <c r="M231" s="156">
        <f t="shared" si="438"/>
        <v>0</v>
      </c>
      <c r="N231" s="156" t="s">
        <v>92</v>
      </c>
      <c r="O231" s="157" cm="1">
        <f t="array" ref="O231">TRUNC($H231*(1+_xlfn.SWITCH($N231,"BDI 1",$O$6,"BDI 2",$O$7,"BDI 3",$O$8)),2)</f>
        <v>568.66999999999996</v>
      </c>
      <c r="P231" s="157" cm="1">
        <f t="array" ref="P231">TRUNC($I231*(1+_xlfn.SWITCH($N231,"BDI 1",$P$6,"BDI 2",$P$7,"BDI 3",$P$8)),2)</f>
        <v>568.66999999999996</v>
      </c>
      <c r="Q231" s="157">
        <v>0</v>
      </c>
      <c r="R231" s="157">
        <f t="shared" ref="R231" si="525">$Q231-($Q231*LICITACAO_DESCONTO)</f>
        <v>0</v>
      </c>
      <c r="S231" s="156">
        <f t="shared" si="440"/>
        <v>0</v>
      </c>
      <c r="T231" s="156">
        <f t="shared" si="441"/>
        <v>0</v>
      </c>
      <c r="U231" s="156">
        <f t="shared" si="442"/>
        <v>0</v>
      </c>
      <c r="V231" s="156">
        <f t="shared" si="443"/>
        <v>0</v>
      </c>
      <c r="W231" s="156">
        <f t="shared" si="430"/>
        <v>0</v>
      </c>
      <c r="X231" s="158">
        <f t="shared" ref="X231" si="526">$S231/ORCAMENTO_VALOR_TOTAL_ND</f>
        <v>0</v>
      </c>
      <c r="Y231" s="158">
        <f t="shared" ref="Y231" si="527">$T231/ORCAMENTO_VALOR_TOTAL_DE</f>
        <v>0</v>
      </c>
      <c r="Z231" s="158" cm="1">
        <f t="array" ref="Z231">_xlfn.SWITCH($N231,"BDI 1",$O$6,"BDI 2",$O$7,"BDI 3",$O$8)</f>
        <v>0.1527</v>
      </c>
      <c r="AA231" s="158" cm="1">
        <f t="array" ref="AA231">_xlfn.SWITCH($N231,"BDI 1",$P$6,"BDI 2",$P$7,"BDI 3",$P$8)</f>
        <v>0.1527</v>
      </c>
      <c r="AB231" s="158">
        <f t="shared" ca="1" si="446"/>
        <v>0</v>
      </c>
      <c r="AC231" s="158">
        <f t="shared" ca="1" si="447"/>
        <v>0</v>
      </c>
      <c r="AD231" s="164"/>
      <c r="AE231" s="148">
        <f t="shared" si="433"/>
        <v>0</v>
      </c>
      <c r="AF231" s="149"/>
      <c r="AG231" s="150"/>
      <c r="AH231" s="159" t="e">
        <f t="shared" si="434"/>
        <v>#DIV/0!</v>
      </c>
      <c r="AI231" s="200">
        <v>0</v>
      </c>
      <c r="AJ231" s="105"/>
      <c r="AK231" s="105"/>
      <c r="AM231" s="105"/>
      <c r="AN231" s="105"/>
      <c r="AO231" s="105"/>
      <c r="AP231" s="105"/>
      <c r="AQ231" s="105"/>
      <c r="AR231" s="105"/>
    </row>
    <row r="232" spans="1:44" s="49" customFormat="1" ht="40.15" hidden="1" customHeight="1">
      <c r="A232" s="152">
        <f t="shared" ca="1" si="435"/>
        <v>0</v>
      </c>
      <c r="B232" s="153" t="s">
        <v>146</v>
      </c>
      <c r="C232" s="154" t="str">
        <f t="shared" si="436"/>
        <v>M0135</v>
      </c>
      <c r="D232" s="154" t="s">
        <v>3705</v>
      </c>
      <c r="E232" s="155" t="s">
        <v>3709</v>
      </c>
      <c r="F232" s="154"/>
      <c r="G232" s="154" t="s">
        <v>1431</v>
      </c>
      <c r="H232" s="152">
        <v>648.72709999999995</v>
      </c>
      <c r="I232" s="152">
        <v>648.72709999999995</v>
      </c>
      <c r="J232" s="156"/>
      <c r="K232" s="156">
        <f t="shared" si="521"/>
        <v>0</v>
      </c>
      <c r="L232" s="156">
        <f t="shared" si="437"/>
        <v>0</v>
      </c>
      <c r="M232" s="156">
        <f t="shared" si="438"/>
        <v>0</v>
      </c>
      <c r="N232" s="156" t="s">
        <v>92</v>
      </c>
      <c r="O232" s="157" cm="1">
        <f t="array" ref="O232">TRUNC($H232*(1+_xlfn.SWITCH($N232,"BDI 1",$O$6,"BDI 2",$O$7,"BDI 3",$O$8)),2)</f>
        <v>747.78</v>
      </c>
      <c r="P232" s="157" cm="1">
        <f t="array" ref="P232">TRUNC($I232*(1+_xlfn.SWITCH($N232,"BDI 1",$P$6,"BDI 2",$P$7,"BDI 3",$P$8)),2)</f>
        <v>747.78</v>
      </c>
      <c r="Q232" s="157">
        <v>0</v>
      </c>
      <c r="R232" s="157">
        <f t="shared" ref="R232" si="528">$Q232-($Q232*LICITACAO_DESCONTO)</f>
        <v>0</v>
      </c>
      <c r="S232" s="156">
        <f t="shared" si="440"/>
        <v>0</v>
      </c>
      <c r="T232" s="156">
        <f t="shared" si="441"/>
        <v>0</v>
      </c>
      <c r="U232" s="156">
        <f t="shared" si="442"/>
        <v>0</v>
      </c>
      <c r="V232" s="156">
        <f t="shared" si="443"/>
        <v>0</v>
      </c>
      <c r="W232" s="156">
        <f t="shared" si="430"/>
        <v>0</v>
      </c>
      <c r="X232" s="158">
        <f t="shared" ref="X232" si="529">$S232/ORCAMENTO_VALOR_TOTAL_ND</f>
        <v>0</v>
      </c>
      <c r="Y232" s="158">
        <f t="shared" ref="Y232" si="530">$T232/ORCAMENTO_VALOR_TOTAL_DE</f>
        <v>0</v>
      </c>
      <c r="Z232" s="158" cm="1">
        <f t="array" ref="Z232">_xlfn.SWITCH($N232,"BDI 1",$O$6,"BDI 2",$O$7,"BDI 3",$O$8)</f>
        <v>0.1527</v>
      </c>
      <c r="AA232" s="158" cm="1">
        <f t="array" ref="AA232">_xlfn.SWITCH($N232,"BDI 1",$P$6,"BDI 2",$P$7,"BDI 3",$P$8)</f>
        <v>0.1527</v>
      </c>
      <c r="AB232" s="158">
        <f t="shared" ca="1" si="446"/>
        <v>0</v>
      </c>
      <c r="AC232" s="158">
        <f t="shared" ca="1" si="447"/>
        <v>0</v>
      </c>
      <c r="AD232" s="164"/>
      <c r="AE232" s="148">
        <f t="shared" si="433"/>
        <v>0</v>
      </c>
      <c r="AF232" s="149"/>
      <c r="AG232" s="150"/>
      <c r="AH232" s="159" t="e">
        <f t="shared" si="434"/>
        <v>#DIV/0!</v>
      </c>
      <c r="AI232" s="200">
        <v>0</v>
      </c>
      <c r="AJ232" s="105"/>
      <c r="AK232" s="105"/>
      <c r="AM232" s="105"/>
      <c r="AN232" s="105"/>
      <c r="AO232" s="105"/>
      <c r="AP232" s="105"/>
      <c r="AQ232" s="105"/>
      <c r="AR232" s="105"/>
    </row>
    <row r="233" spans="1:44" s="49" customFormat="1" ht="40.15" hidden="1" customHeight="1">
      <c r="A233" s="152">
        <f t="shared" ca="1" si="435"/>
        <v>0</v>
      </c>
      <c r="B233" s="153" t="s">
        <v>147</v>
      </c>
      <c r="C233" s="154" t="str">
        <f t="shared" si="436"/>
        <v>M0136</v>
      </c>
      <c r="D233" s="154" t="s">
        <v>3705</v>
      </c>
      <c r="E233" s="155" t="s">
        <v>3710</v>
      </c>
      <c r="F233" s="154"/>
      <c r="G233" s="154" t="s">
        <v>1431</v>
      </c>
      <c r="H233" s="152">
        <v>720.72889999999995</v>
      </c>
      <c r="I233" s="152">
        <v>720.72889999999995</v>
      </c>
      <c r="J233" s="156"/>
      <c r="K233" s="156">
        <f t="shared" si="521"/>
        <v>0</v>
      </c>
      <c r="L233" s="156">
        <f t="shared" si="437"/>
        <v>0</v>
      </c>
      <c r="M233" s="156">
        <f t="shared" si="438"/>
        <v>0</v>
      </c>
      <c r="N233" s="156" t="s">
        <v>92</v>
      </c>
      <c r="O233" s="157" cm="1">
        <f t="array" ref="O233">TRUNC($H233*(1+_xlfn.SWITCH($N233,"BDI 1",$O$6,"BDI 2",$O$7,"BDI 3",$O$8)),2)</f>
        <v>830.78</v>
      </c>
      <c r="P233" s="157" cm="1">
        <f t="array" ref="P233">TRUNC($I233*(1+_xlfn.SWITCH($N233,"BDI 1",$P$6,"BDI 2",$P$7,"BDI 3",$P$8)),2)</f>
        <v>830.78</v>
      </c>
      <c r="Q233" s="157">
        <v>0</v>
      </c>
      <c r="R233" s="157">
        <f t="shared" ref="R233" si="531">$Q233-($Q233*LICITACAO_DESCONTO)</f>
        <v>0</v>
      </c>
      <c r="S233" s="156">
        <f t="shared" si="440"/>
        <v>0</v>
      </c>
      <c r="T233" s="156">
        <f t="shared" si="441"/>
        <v>0</v>
      </c>
      <c r="U233" s="156">
        <f t="shared" si="442"/>
        <v>0</v>
      </c>
      <c r="V233" s="156">
        <f t="shared" si="443"/>
        <v>0</v>
      </c>
      <c r="W233" s="156">
        <f t="shared" si="430"/>
        <v>0</v>
      </c>
      <c r="X233" s="158">
        <f t="shared" ref="X233" si="532">$S233/ORCAMENTO_VALOR_TOTAL_ND</f>
        <v>0</v>
      </c>
      <c r="Y233" s="158">
        <f t="shared" ref="Y233" si="533">$T233/ORCAMENTO_VALOR_TOTAL_DE</f>
        <v>0</v>
      </c>
      <c r="Z233" s="158" cm="1">
        <f t="array" ref="Z233">_xlfn.SWITCH($N233,"BDI 1",$O$6,"BDI 2",$O$7,"BDI 3",$O$8)</f>
        <v>0.1527</v>
      </c>
      <c r="AA233" s="158" cm="1">
        <f t="array" ref="AA233">_xlfn.SWITCH($N233,"BDI 1",$P$6,"BDI 2",$P$7,"BDI 3",$P$8)</f>
        <v>0.1527</v>
      </c>
      <c r="AB233" s="158">
        <f t="shared" ca="1" si="446"/>
        <v>0</v>
      </c>
      <c r="AC233" s="158">
        <f t="shared" ca="1" si="447"/>
        <v>0</v>
      </c>
      <c r="AD233" s="164"/>
      <c r="AE233" s="148">
        <f t="shared" si="433"/>
        <v>0</v>
      </c>
      <c r="AF233" s="149"/>
      <c r="AG233" s="150"/>
      <c r="AH233" s="159" t="e">
        <f t="shared" si="434"/>
        <v>#DIV/0!</v>
      </c>
      <c r="AI233" s="200">
        <v>0</v>
      </c>
      <c r="AJ233" s="105"/>
      <c r="AK233" s="105"/>
      <c r="AM233" s="105"/>
      <c r="AN233" s="105"/>
      <c r="AO233" s="105"/>
      <c r="AP233" s="105"/>
      <c r="AQ233" s="105"/>
      <c r="AR233" s="105"/>
    </row>
    <row r="234" spans="1:44" s="49" customFormat="1" ht="40.15" hidden="1" customHeight="1">
      <c r="A234" s="152">
        <f t="shared" ca="1" si="435"/>
        <v>0</v>
      </c>
      <c r="B234" s="153" t="s">
        <v>148</v>
      </c>
      <c r="C234" s="154" t="str">
        <f t="shared" si="436"/>
        <v>M0137</v>
      </c>
      <c r="D234" s="154" t="s">
        <v>3705</v>
      </c>
      <c r="E234" s="155" t="s">
        <v>3711</v>
      </c>
      <c r="F234" s="154"/>
      <c r="G234" s="154" t="s">
        <v>1431</v>
      </c>
      <c r="H234" s="152">
        <v>1021.168</v>
      </c>
      <c r="I234" s="152">
        <v>1021.168</v>
      </c>
      <c r="J234" s="156"/>
      <c r="K234" s="156">
        <f t="shared" si="521"/>
        <v>0</v>
      </c>
      <c r="L234" s="156">
        <f t="shared" si="437"/>
        <v>0</v>
      </c>
      <c r="M234" s="156">
        <f t="shared" si="438"/>
        <v>0</v>
      </c>
      <c r="N234" s="156" t="s">
        <v>92</v>
      </c>
      <c r="O234" s="157" cm="1">
        <f t="array" ref="O234">TRUNC($H234*(1+_xlfn.SWITCH($N234,"BDI 1",$O$6,"BDI 2",$O$7,"BDI 3",$O$8)),2)</f>
        <v>1177.0999999999999</v>
      </c>
      <c r="P234" s="157" cm="1">
        <f t="array" ref="P234">TRUNC($I234*(1+_xlfn.SWITCH($N234,"BDI 1",$P$6,"BDI 2",$P$7,"BDI 3",$P$8)),2)</f>
        <v>1177.0999999999999</v>
      </c>
      <c r="Q234" s="157">
        <v>0</v>
      </c>
      <c r="R234" s="157">
        <f t="shared" ref="R234" si="534">$Q234-($Q234*LICITACAO_DESCONTO)</f>
        <v>0</v>
      </c>
      <c r="S234" s="156">
        <f t="shared" si="440"/>
        <v>0</v>
      </c>
      <c r="T234" s="156">
        <f t="shared" si="441"/>
        <v>0</v>
      </c>
      <c r="U234" s="156">
        <f t="shared" si="442"/>
        <v>0</v>
      </c>
      <c r="V234" s="156">
        <f t="shared" si="443"/>
        <v>0</v>
      </c>
      <c r="W234" s="156">
        <f t="shared" si="430"/>
        <v>0</v>
      </c>
      <c r="X234" s="158">
        <f t="shared" ref="X234" si="535">$S234/ORCAMENTO_VALOR_TOTAL_ND</f>
        <v>0</v>
      </c>
      <c r="Y234" s="158">
        <f t="shared" ref="Y234" si="536">$T234/ORCAMENTO_VALOR_TOTAL_DE</f>
        <v>0</v>
      </c>
      <c r="Z234" s="158" cm="1">
        <f t="array" ref="Z234">_xlfn.SWITCH($N234,"BDI 1",$O$6,"BDI 2",$O$7,"BDI 3",$O$8)</f>
        <v>0.1527</v>
      </c>
      <c r="AA234" s="158" cm="1">
        <f t="array" ref="AA234">_xlfn.SWITCH($N234,"BDI 1",$P$6,"BDI 2",$P$7,"BDI 3",$P$8)</f>
        <v>0.1527</v>
      </c>
      <c r="AB234" s="158">
        <f t="shared" ca="1" si="446"/>
        <v>0</v>
      </c>
      <c r="AC234" s="158">
        <f t="shared" ca="1" si="447"/>
        <v>0</v>
      </c>
      <c r="AD234" s="164"/>
      <c r="AE234" s="148">
        <f t="shared" si="433"/>
        <v>0</v>
      </c>
      <c r="AF234" s="149"/>
      <c r="AG234" s="150"/>
      <c r="AH234" s="159" t="e">
        <f t="shared" si="434"/>
        <v>#DIV/0!</v>
      </c>
      <c r="AI234" s="200">
        <v>0</v>
      </c>
      <c r="AJ234" s="105"/>
      <c r="AK234" s="105"/>
      <c r="AM234" s="105"/>
      <c r="AN234" s="105"/>
      <c r="AO234" s="105"/>
      <c r="AP234" s="105"/>
      <c r="AQ234" s="105"/>
      <c r="AR234" s="105"/>
    </row>
    <row r="235" spans="1:44" s="49" customFormat="1" ht="40.15" hidden="1" customHeight="1">
      <c r="A235" s="152">
        <f t="shared" ca="1" si="435"/>
        <v>0</v>
      </c>
      <c r="B235" s="153" t="s">
        <v>149</v>
      </c>
      <c r="C235" s="154" t="str">
        <f t="shared" si="436"/>
        <v>M0139</v>
      </c>
      <c r="D235" s="154" t="s">
        <v>3705</v>
      </c>
      <c r="E235" s="155" t="s">
        <v>3712</v>
      </c>
      <c r="F235" s="154"/>
      <c r="G235" s="154" t="s">
        <v>1431</v>
      </c>
      <c r="H235" s="152">
        <v>1284.1985</v>
      </c>
      <c r="I235" s="152">
        <v>1284.1985</v>
      </c>
      <c r="J235" s="156"/>
      <c r="K235" s="156">
        <f t="shared" si="521"/>
        <v>0</v>
      </c>
      <c r="L235" s="156">
        <f t="shared" si="437"/>
        <v>0</v>
      </c>
      <c r="M235" s="156">
        <f t="shared" si="438"/>
        <v>0</v>
      </c>
      <c r="N235" s="156" t="s">
        <v>92</v>
      </c>
      <c r="O235" s="157" cm="1">
        <f t="array" ref="O235">TRUNC($H235*(1+_xlfn.SWITCH($N235,"BDI 1",$O$6,"BDI 2",$O$7,"BDI 3",$O$8)),2)</f>
        <v>1480.29</v>
      </c>
      <c r="P235" s="157" cm="1">
        <f t="array" ref="P235">TRUNC($I235*(1+_xlfn.SWITCH($N235,"BDI 1",$P$6,"BDI 2",$P$7,"BDI 3",$P$8)),2)</f>
        <v>1480.29</v>
      </c>
      <c r="Q235" s="157">
        <v>0</v>
      </c>
      <c r="R235" s="157">
        <f t="shared" ref="R235" si="537">$Q235-($Q235*LICITACAO_DESCONTO)</f>
        <v>0</v>
      </c>
      <c r="S235" s="156">
        <f t="shared" si="440"/>
        <v>0</v>
      </c>
      <c r="T235" s="156">
        <f t="shared" si="441"/>
        <v>0</v>
      </c>
      <c r="U235" s="156">
        <f t="shared" si="442"/>
        <v>0</v>
      </c>
      <c r="V235" s="156">
        <f t="shared" si="443"/>
        <v>0</v>
      </c>
      <c r="W235" s="156">
        <f t="shared" si="430"/>
        <v>0</v>
      </c>
      <c r="X235" s="158">
        <f t="shared" ref="X235" si="538">$S235/ORCAMENTO_VALOR_TOTAL_ND</f>
        <v>0</v>
      </c>
      <c r="Y235" s="158">
        <f t="shared" ref="Y235" si="539">$T235/ORCAMENTO_VALOR_TOTAL_DE</f>
        <v>0</v>
      </c>
      <c r="Z235" s="158" cm="1">
        <f t="array" ref="Z235">_xlfn.SWITCH($N235,"BDI 1",$O$6,"BDI 2",$O$7,"BDI 3",$O$8)</f>
        <v>0.1527</v>
      </c>
      <c r="AA235" s="158" cm="1">
        <f t="array" ref="AA235">_xlfn.SWITCH($N235,"BDI 1",$P$6,"BDI 2",$P$7,"BDI 3",$P$8)</f>
        <v>0.1527</v>
      </c>
      <c r="AB235" s="158">
        <f t="shared" ca="1" si="446"/>
        <v>0</v>
      </c>
      <c r="AC235" s="158">
        <f t="shared" ca="1" si="447"/>
        <v>0</v>
      </c>
      <c r="AD235" s="164"/>
      <c r="AE235" s="148">
        <f t="shared" si="433"/>
        <v>0</v>
      </c>
      <c r="AF235" s="149"/>
      <c r="AG235" s="150"/>
      <c r="AH235" s="159" t="e">
        <f t="shared" si="434"/>
        <v>#DIV/0!</v>
      </c>
      <c r="AI235" s="200">
        <v>0</v>
      </c>
      <c r="AJ235" s="105"/>
      <c r="AK235" s="105"/>
      <c r="AM235" s="105"/>
      <c r="AN235" s="105"/>
      <c r="AO235" s="105"/>
      <c r="AP235" s="105"/>
      <c r="AQ235" s="105"/>
      <c r="AR235" s="105"/>
    </row>
    <row r="236" spans="1:44" s="49" customFormat="1" ht="40.15" hidden="1" customHeight="1">
      <c r="A236" s="152">
        <f t="shared" ca="1" si="435"/>
        <v>0</v>
      </c>
      <c r="B236" s="153" t="s">
        <v>150</v>
      </c>
      <c r="C236" s="154" t="str">
        <f t="shared" si="436"/>
        <v>M0142</v>
      </c>
      <c r="D236" s="154" t="s">
        <v>3705</v>
      </c>
      <c r="E236" s="155" t="s">
        <v>3713</v>
      </c>
      <c r="F236" s="154"/>
      <c r="G236" s="154" t="s">
        <v>1431</v>
      </c>
      <c r="H236" s="152">
        <v>1704.6243999999999</v>
      </c>
      <c r="I236" s="152">
        <v>1704.6243999999999</v>
      </c>
      <c r="J236" s="156"/>
      <c r="K236" s="156">
        <f t="shared" si="521"/>
        <v>0</v>
      </c>
      <c r="L236" s="156">
        <f t="shared" si="437"/>
        <v>0</v>
      </c>
      <c r="M236" s="156">
        <f t="shared" si="438"/>
        <v>0</v>
      </c>
      <c r="N236" s="156" t="s">
        <v>92</v>
      </c>
      <c r="O236" s="157" cm="1">
        <f t="array" ref="O236">TRUNC($H236*(1+_xlfn.SWITCH($N236,"BDI 1",$O$6,"BDI 2",$O$7,"BDI 3",$O$8)),2)</f>
        <v>1964.92</v>
      </c>
      <c r="P236" s="157" cm="1">
        <f t="array" ref="P236">TRUNC($I236*(1+_xlfn.SWITCH($N236,"BDI 1",$P$6,"BDI 2",$P$7,"BDI 3",$P$8)),2)</f>
        <v>1964.92</v>
      </c>
      <c r="Q236" s="157">
        <v>0</v>
      </c>
      <c r="R236" s="157">
        <f t="shared" ref="R236" si="540">$Q236-($Q236*LICITACAO_DESCONTO)</f>
        <v>0</v>
      </c>
      <c r="S236" s="156">
        <f t="shared" si="440"/>
        <v>0</v>
      </c>
      <c r="T236" s="156">
        <f t="shared" si="441"/>
        <v>0</v>
      </c>
      <c r="U236" s="156">
        <f t="shared" si="442"/>
        <v>0</v>
      </c>
      <c r="V236" s="156">
        <f t="shared" si="443"/>
        <v>0</v>
      </c>
      <c r="W236" s="156">
        <f t="shared" si="430"/>
        <v>0</v>
      </c>
      <c r="X236" s="158">
        <f t="shared" ref="X236" si="541">$S236/ORCAMENTO_VALOR_TOTAL_ND</f>
        <v>0</v>
      </c>
      <c r="Y236" s="158">
        <f t="shared" ref="Y236" si="542">$T236/ORCAMENTO_VALOR_TOTAL_DE</f>
        <v>0</v>
      </c>
      <c r="Z236" s="158" cm="1">
        <f t="array" ref="Z236">_xlfn.SWITCH($N236,"BDI 1",$O$6,"BDI 2",$O$7,"BDI 3",$O$8)</f>
        <v>0.1527</v>
      </c>
      <c r="AA236" s="158" cm="1">
        <f t="array" ref="AA236">_xlfn.SWITCH($N236,"BDI 1",$P$6,"BDI 2",$P$7,"BDI 3",$P$8)</f>
        <v>0.1527</v>
      </c>
      <c r="AB236" s="158">
        <f t="shared" ca="1" si="446"/>
        <v>0</v>
      </c>
      <c r="AC236" s="158">
        <f t="shared" ca="1" si="447"/>
        <v>0</v>
      </c>
      <c r="AD236" s="164"/>
      <c r="AE236" s="148">
        <f t="shared" si="433"/>
        <v>0</v>
      </c>
      <c r="AF236" s="149"/>
      <c r="AG236" s="150"/>
      <c r="AH236" s="159" t="e">
        <f t="shared" si="434"/>
        <v>#DIV/0!</v>
      </c>
      <c r="AI236" s="200">
        <v>0</v>
      </c>
      <c r="AJ236" s="105"/>
      <c r="AK236" s="105"/>
      <c r="AM236" s="105"/>
      <c r="AN236" s="105"/>
      <c r="AO236" s="105"/>
      <c r="AP236" s="105"/>
      <c r="AQ236" s="105"/>
      <c r="AR236" s="105"/>
    </row>
    <row r="237" spans="1:44" s="49" customFormat="1" ht="40.15" hidden="1" customHeight="1">
      <c r="A237" s="152">
        <f t="shared" ca="1" si="435"/>
        <v>0</v>
      </c>
      <c r="B237" s="153" t="s">
        <v>151</v>
      </c>
      <c r="C237" s="154" t="str">
        <f t="shared" si="436"/>
        <v>M0143</v>
      </c>
      <c r="D237" s="154" t="s">
        <v>3705</v>
      </c>
      <c r="E237" s="155" t="s">
        <v>3714</v>
      </c>
      <c r="F237" s="154"/>
      <c r="G237" s="154" t="s">
        <v>1431</v>
      </c>
      <c r="H237" s="152">
        <v>1973.231</v>
      </c>
      <c r="I237" s="152">
        <v>1973.231</v>
      </c>
      <c r="J237" s="156"/>
      <c r="K237" s="156">
        <f t="shared" si="521"/>
        <v>0</v>
      </c>
      <c r="L237" s="156">
        <f t="shared" si="437"/>
        <v>0</v>
      </c>
      <c r="M237" s="156">
        <f t="shared" si="438"/>
        <v>0</v>
      </c>
      <c r="N237" s="156" t="s">
        <v>92</v>
      </c>
      <c r="O237" s="157" cm="1">
        <f t="array" ref="O237">TRUNC($H237*(1+_xlfn.SWITCH($N237,"BDI 1",$O$6,"BDI 2",$O$7,"BDI 3",$O$8)),2)</f>
        <v>2274.54</v>
      </c>
      <c r="P237" s="157" cm="1">
        <f t="array" ref="P237">TRUNC($I237*(1+_xlfn.SWITCH($N237,"BDI 1",$P$6,"BDI 2",$P$7,"BDI 3",$P$8)),2)</f>
        <v>2274.54</v>
      </c>
      <c r="Q237" s="157">
        <v>0</v>
      </c>
      <c r="R237" s="157">
        <f t="shared" ref="R237" si="543">$Q237-($Q237*LICITACAO_DESCONTO)</f>
        <v>0</v>
      </c>
      <c r="S237" s="156">
        <f t="shared" si="440"/>
        <v>0</v>
      </c>
      <c r="T237" s="156">
        <f t="shared" si="441"/>
        <v>0</v>
      </c>
      <c r="U237" s="156">
        <f t="shared" si="442"/>
        <v>0</v>
      </c>
      <c r="V237" s="156">
        <f t="shared" si="443"/>
        <v>0</v>
      </c>
      <c r="W237" s="156">
        <f t="shared" si="430"/>
        <v>0</v>
      </c>
      <c r="X237" s="158">
        <f t="shared" ref="X237" si="544">$S237/ORCAMENTO_VALOR_TOTAL_ND</f>
        <v>0</v>
      </c>
      <c r="Y237" s="158">
        <f t="shared" ref="Y237" si="545">$T237/ORCAMENTO_VALOR_TOTAL_DE</f>
        <v>0</v>
      </c>
      <c r="Z237" s="158" cm="1">
        <f t="array" ref="Z237">_xlfn.SWITCH($N237,"BDI 1",$O$6,"BDI 2",$O$7,"BDI 3",$O$8)</f>
        <v>0.1527</v>
      </c>
      <c r="AA237" s="158" cm="1">
        <f t="array" ref="AA237">_xlfn.SWITCH($N237,"BDI 1",$P$6,"BDI 2",$P$7,"BDI 3",$P$8)</f>
        <v>0.1527</v>
      </c>
      <c r="AB237" s="158">
        <f t="shared" ca="1" si="446"/>
        <v>0</v>
      </c>
      <c r="AC237" s="158">
        <f t="shared" ca="1" si="447"/>
        <v>0</v>
      </c>
      <c r="AD237" s="164"/>
      <c r="AE237" s="148">
        <f t="shared" si="433"/>
        <v>0</v>
      </c>
      <c r="AF237" s="149"/>
      <c r="AG237" s="150"/>
      <c r="AH237" s="159" t="e">
        <f t="shared" si="434"/>
        <v>#DIV/0!</v>
      </c>
      <c r="AI237" s="200">
        <v>0</v>
      </c>
      <c r="AJ237" s="181" t="s">
        <v>105</v>
      </c>
      <c r="AK237" s="181" t="s">
        <v>106</v>
      </c>
      <c r="AM237" s="105"/>
      <c r="AN237" s="105"/>
      <c r="AO237" s="105"/>
      <c r="AP237" s="105"/>
      <c r="AQ237" s="105"/>
      <c r="AR237" s="105"/>
    </row>
    <row r="238" spans="1:44" s="49" customFormat="1" ht="49.9" hidden="1" customHeight="1">
      <c r="A238" s="152">
        <f t="shared" ca="1" si="435"/>
        <v>0</v>
      </c>
      <c r="B238" s="153" t="s">
        <v>152</v>
      </c>
      <c r="C238" s="154" t="str">
        <f t="shared" si="436"/>
        <v>DR/0060</v>
      </c>
      <c r="D238" s="154" t="s">
        <v>3549</v>
      </c>
      <c r="E238" s="155" t="s">
        <v>3715</v>
      </c>
      <c r="F238" s="154"/>
      <c r="G238" s="154" t="s">
        <v>58</v>
      </c>
      <c r="H238" s="152">
        <v>2.35</v>
      </c>
      <c r="I238" s="152">
        <v>2.13</v>
      </c>
      <c r="J238" s="156"/>
      <c r="K238" s="156">
        <f>Dre_Disp_Estruturais!AI36</f>
        <v>0</v>
      </c>
      <c r="L238" s="156">
        <f t="shared" si="437"/>
        <v>0</v>
      </c>
      <c r="M238" s="156">
        <f t="shared" si="438"/>
        <v>0</v>
      </c>
      <c r="N238" s="156" t="s">
        <v>83</v>
      </c>
      <c r="O238" s="157" cm="1">
        <f t="array" ref="O238">TRUNC($H238*(1+_xlfn.SWITCH($N238,"BDI 1",$O$6,"BDI 2",$O$7,"BDI 3",$O$8)),2)</f>
        <v>2.83</v>
      </c>
      <c r="P238" s="157" cm="1">
        <f t="array" ref="P238">TRUNC($I238*(1+_xlfn.SWITCH($N238,"BDI 1",$P$6,"BDI 2",$P$7,"BDI 3",$P$8)),2)</f>
        <v>2.69</v>
      </c>
      <c r="Q238" s="157">
        <v>0</v>
      </c>
      <c r="R238" s="157">
        <f t="shared" ref="R238" si="546">$Q238-($Q238*LICITACAO_DESCONTO)</f>
        <v>0</v>
      </c>
      <c r="S238" s="156">
        <f t="shared" si="440"/>
        <v>0</v>
      </c>
      <c r="T238" s="156">
        <f t="shared" si="441"/>
        <v>0</v>
      </c>
      <c r="U238" s="156">
        <f t="shared" si="442"/>
        <v>0</v>
      </c>
      <c r="V238" s="156">
        <f t="shared" si="443"/>
        <v>0</v>
      </c>
      <c r="W238" s="156">
        <f t="shared" si="430"/>
        <v>0</v>
      </c>
      <c r="X238" s="158">
        <f t="shared" ref="X238" si="547">$S238/ORCAMENTO_VALOR_TOTAL_ND</f>
        <v>0</v>
      </c>
      <c r="Y238" s="158">
        <f t="shared" ref="Y238" si="548">$T238/ORCAMENTO_VALOR_TOTAL_DE</f>
        <v>0</v>
      </c>
      <c r="Z238" s="158" cm="1">
        <f t="array" ref="Z238">_xlfn.SWITCH($N238,"BDI 1",$O$6,"BDI 2",$O$7,"BDI 3",$O$8)</f>
        <v>0.20699999999999999</v>
      </c>
      <c r="AA238" s="158" cm="1">
        <f t="array" ref="AA238">_xlfn.SWITCH($N238,"BDI 1",$P$6,"BDI 2",$P$7,"BDI 3",$P$8)</f>
        <v>0.26739999999999997</v>
      </c>
      <c r="AB238" s="158">
        <f t="shared" ca="1" si="446"/>
        <v>0</v>
      </c>
      <c r="AC238" s="158">
        <f t="shared" ca="1" si="447"/>
        <v>0</v>
      </c>
      <c r="AD238" s="164"/>
      <c r="AE238" s="148">
        <f t="shared" si="433"/>
        <v>0</v>
      </c>
      <c r="AF238" s="149"/>
      <c r="AG238" s="150"/>
      <c r="AH238" s="159" t="e">
        <f t="shared" si="434"/>
        <v>#DIV/0!</v>
      </c>
      <c r="AI238" s="195"/>
      <c r="AJ238" s="198">
        <v>150</v>
      </c>
      <c r="AK238" s="199">
        <f t="shared" ref="AK238:AK263" si="549">K238/AJ238</f>
        <v>0</v>
      </c>
      <c r="AM238" s="105"/>
      <c r="AN238" s="105"/>
      <c r="AO238" s="105"/>
      <c r="AP238" s="105"/>
      <c r="AQ238" s="105"/>
      <c r="AR238" s="105"/>
    </row>
    <row r="239" spans="1:44" s="49" customFormat="1" ht="60" hidden="1" customHeight="1">
      <c r="A239" s="152">
        <f t="shared" ca="1" si="435"/>
        <v>0</v>
      </c>
      <c r="B239" s="153" t="s">
        <v>153</v>
      </c>
      <c r="C239" s="154" t="str">
        <f t="shared" si="436"/>
        <v>DR/0070</v>
      </c>
      <c r="D239" s="154" t="s">
        <v>3549</v>
      </c>
      <c r="E239" s="155" t="s">
        <v>3716</v>
      </c>
      <c r="F239" s="154"/>
      <c r="G239" s="154" t="s">
        <v>58</v>
      </c>
      <c r="H239" s="152">
        <v>4.03</v>
      </c>
      <c r="I239" s="152">
        <v>3.66</v>
      </c>
      <c r="J239" s="156"/>
      <c r="K239" s="156">
        <f>Dre_Disp_Estruturais!AI37+Dre_Disp_Estruturais!AI38</f>
        <v>0</v>
      </c>
      <c r="L239" s="156">
        <f t="shared" si="437"/>
        <v>0</v>
      </c>
      <c r="M239" s="156">
        <f t="shared" si="438"/>
        <v>0</v>
      </c>
      <c r="N239" s="156" t="s">
        <v>83</v>
      </c>
      <c r="O239" s="157" cm="1">
        <f t="array" ref="O239">TRUNC($H239*(1+_xlfn.SWITCH($N239,"BDI 1",$O$6,"BDI 2",$O$7,"BDI 3",$O$8)),2)</f>
        <v>4.8600000000000003</v>
      </c>
      <c r="P239" s="157" cm="1">
        <f t="array" ref="P239">TRUNC($I239*(1+_xlfn.SWITCH($N239,"BDI 1",$P$6,"BDI 2",$P$7,"BDI 3",$P$8)),2)</f>
        <v>4.63</v>
      </c>
      <c r="Q239" s="157">
        <v>0</v>
      </c>
      <c r="R239" s="157">
        <f t="shared" ref="R239" si="550">$Q239-($Q239*LICITACAO_DESCONTO)</f>
        <v>0</v>
      </c>
      <c r="S239" s="156">
        <f t="shared" si="440"/>
        <v>0</v>
      </c>
      <c r="T239" s="156">
        <f t="shared" si="441"/>
        <v>0</v>
      </c>
      <c r="U239" s="156">
        <f t="shared" si="442"/>
        <v>0</v>
      </c>
      <c r="V239" s="156">
        <f t="shared" si="443"/>
        <v>0</v>
      </c>
      <c r="W239" s="156">
        <f t="shared" si="430"/>
        <v>0</v>
      </c>
      <c r="X239" s="158">
        <f t="shared" ref="X239" si="551">$S239/ORCAMENTO_VALOR_TOTAL_ND</f>
        <v>0</v>
      </c>
      <c r="Y239" s="158">
        <f t="shared" ref="Y239" si="552">$T239/ORCAMENTO_VALOR_TOTAL_DE</f>
        <v>0</v>
      </c>
      <c r="Z239" s="158" cm="1">
        <f t="array" ref="Z239">_xlfn.SWITCH($N239,"BDI 1",$O$6,"BDI 2",$O$7,"BDI 3",$O$8)</f>
        <v>0.20699999999999999</v>
      </c>
      <c r="AA239" s="158" cm="1">
        <f t="array" ref="AA239">_xlfn.SWITCH($N239,"BDI 1",$P$6,"BDI 2",$P$7,"BDI 3",$P$8)</f>
        <v>0.26739999999999997</v>
      </c>
      <c r="AB239" s="158">
        <f t="shared" ca="1" si="446"/>
        <v>0</v>
      </c>
      <c r="AC239" s="158">
        <f t="shared" ca="1" si="447"/>
        <v>0</v>
      </c>
      <c r="AD239" s="164"/>
      <c r="AE239" s="148">
        <f t="shared" si="433"/>
        <v>0</v>
      </c>
      <c r="AF239" s="149"/>
      <c r="AG239" s="150"/>
      <c r="AH239" s="159" t="e">
        <f t="shared" si="434"/>
        <v>#DIV/0!</v>
      </c>
      <c r="AI239" s="195"/>
      <c r="AJ239" s="198">
        <v>130</v>
      </c>
      <c r="AK239" s="199">
        <f t="shared" si="549"/>
        <v>0</v>
      </c>
      <c r="AM239" s="105"/>
      <c r="AN239" s="105"/>
      <c r="AO239" s="105"/>
      <c r="AP239" s="105"/>
      <c r="AQ239" s="105"/>
      <c r="AR239" s="105"/>
    </row>
    <row r="240" spans="1:44" s="49" customFormat="1" ht="40.15" hidden="1" customHeight="1">
      <c r="A240" s="152">
        <f t="shared" ca="1" si="435"/>
        <v>0</v>
      </c>
      <c r="B240" s="153">
        <v>90747</v>
      </c>
      <c r="C240" s="154" t="str">
        <f t="shared" si="436"/>
        <v>90747</v>
      </c>
      <c r="D240" s="154" t="s">
        <v>1416</v>
      </c>
      <c r="E240" s="155" t="s">
        <v>3717</v>
      </c>
      <c r="F240" s="154"/>
      <c r="G240" s="154" t="s">
        <v>58</v>
      </c>
      <c r="H240" s="152">
        <v>15.45</v>
      </c>
      <c r="I240" s="152">
        <v>14.96</v>
      </c>
      <c r="J240" s="156"/>
      <c r="K240" s="156">
        <f>Dre_Disp_Estruturais!AI39</f>
        <v>0</v>
      </c>
      <c r="L240" s="156">
        <f t="shared" si="437"/>
        <v>0</v>
      </c>
      <c r="M240" s="156">
        <f t="shared" si="438"/>
        <v>0</v>
      </c>
      <c r="N240" s="156" t="s">
        <v>83</v>
      </c>
      <c r="O240" s="157" cm="1">
        <f t="array" ref="O240">TRUNC($H240*(1+_xlfn.SWITCH($N240,"BDI 1",$O$6,"BDI 2",$O$7,"BDI 3",$O$8)),2)</f>
        <v>18.64</v>
      </c>
      <c r="P240" s="157" cm="1">
        <f t="array" ref="P240">TRUNC($I240*(1+_xlfn.SWITCH($N240,"BDI 1",$P$6,"BDI 2",$P$7,"BDI 3",$P$8)),2)</f>
        <v>18.96</v>
      </c>
      <c r="Q240" s="157">
        <v>0</v>
      </c>
      <c r="R240" s="157">
        <f t="shared" ref="R240" si="553">$Q240-($Q240*LICITACAO_DESCONTO)</f>
        <v>0</v>
      </c>
      <c r="S240" s="156">
        <f t="shared" si="440"/>
        <v>0</v>
      </c>
      <c r="T240" s="156">
        <f t="shared" si="441"/>
        <v>0</v>
      </c>
      <c r="U240" s="156">
        <f t="shared" si="442"/>
        <v>0</v>
      </c>
      <c r="V240" s="156">
        <f t="shared" si="443"/>
        <v>0</v>
      </c>
      <c r="W240" s="156">
        <f t="shared" si="430"/>
        <v>0</v>
      </c>
      <c r="X240" s="158">
        <f t="shared" ref="X240" si="554">$S240/ORCAMENTO_VALOR_TOTAL_ND</f>
        <v>0</v>
      </c>
      <c r="Y240" s="158">
        <f t="shared" ref="Y240" si="555">$T240/ORCAMENTO_VALOR_TOTAL_DE</f>
        <v>0</v>
      </c>
      <c r="Z240" s="158" cm="1">
        <f t="array" ref="Z240">_xlfn.SWITCH($N240,"BDI 1",$O$6,"BDI 2",$O$7,"BDI 3",$O$8)</f>
        <v>0.20699999999999999</v>
      </c>
      <c r="AA240" s="158" cm="1">
        <f t="array" ref="AA240">_xlfn.SWITCH($N240,"BDI 1",$P$6,"BDI 2",$P$7,"BDI 3",$P$8)</f>
        <v>0.26739999999999997</v>
      </c>
      <c r="AB240" s="158">
        <f t="shared" ca="1" si="446"/>
        <v>0</v>
      </c>
      <c r="AC240" s="158">
        <f t="shared" ca="1" si="447"/>
        <v>0</v>
      </c>
      <c r="AD240" s="164"/>
      <c r="AE240" s="148">
        <f t="shared" si="433"/>
        <v>0</v>
      </c>
      <c r="AF240" s="149"/>
      <c r="AG240" s="150"/>
      <c r="AH240" s="159" t="e">
        <f t="shared" si="434"/>
        <v>#DIV/0!</v>
      </c>
      <c r="AI240" s="195"/>
      <c r="AJ240" s="198">
        <v>102</v>
      </c>
      <c r="AK240" s="199">
        <f t="shared" si="549"/>
        <v>0</v>
      </c>
      <c r="AM240" s="105"/>
      <c r="AN240" s="105"/>
      <c r="AO240" s="105"/>
      <c r="AP240" s="105"/>
      <c r="AQ240" s="105"/>
      <c r="AR240" s="105"/>
    </row>
    <row r="241" spans="1:44" s="49" customFormat="1" ht="60" hidden="1" customHeight="1">
      <c r="A241" s="152">
        <f t="shared" ca="1" si="435"/>
        <v>0</v>
      </c>
      <c r="B241" s="153" t="s">
        <v>154</v>
      </c>
      <c r="C241" s="154" t="str">
        <f t="shared" si="436"/>
        <v>DR/0080</v>
      </c>
      <c r="D241" s="154" t="s">
        <v>3549</v>
      </c>
      <c r="E241" s="155" t="s">
        <v>3718</v>
      </c>
      <c r="F241" s="154"/>
      <c r="G241" s="154" t="s">
        <v>58</v>
      </c>
      <c r="H241" s="152">
        <v>25.44</v>
      </c>
      <c r="I241" s="152">
        <v>24.63</v>
      </c>
      <c r="J241" s="156"/>
      <c r="K241" s="156">
        <f>Dre_Disp_Estruturais!AI40</f>
        <v>0</v>
      </c>
      <c r="L241" s="156">
        <f t="shared" si="437"/>
        <v>0</v>
      </c>
      <c r="M241" s="156">
        <f t="shared" si="438"/>
        <v>0</v>
      </c>
      <c r="N241" s="156" t="s">
        <v>83</v>
      </c>
      <c r="O241" s="157" cm="1">
        <f t="array" ref="O241">TRUNC($H241*(1+_xlfn.SWITCH($N241,"BDI 1",$O$6,"BDI 2",$O$7,"BDI 3",$O$8)),2)</f>
        <v>30.7</v>
      </c>
      <c r="P241" s="157" cm="1">
        <f t="array" ref="P241">TRUNC($I241*(1+_xlfn.SWITCH($N241,"BDI 1",$P$6,"BDI 2",$P$7,"BDI 3",$P$8)),2)</f>
        <v>31.21</v>
      </c>
      <c r="Q241" s="157">
        <v>0</v>
      </c>
      <c r="R241" s="157">
        <f t="shared" ref="R241" si="556">$Q241-($Q241*LICITACAO_DESCONTO)</f>
        <v>0</v>
      </c>
      <c r="S241" s="156">
        <f t="shared" si="440"/>
        <v>0</v>
      </c>
      <c r="T241" s="156">
        <f t="shared" si="441"/>
        <v>0</v>
      </c>
      <c r="U241" s="156">
        <f t="shared" si="442"/>
        <v>0</v>
      </c>
      <c r="V241" s="156">
        <f t="shared" si="443"/>
        <v>0</v>
      </c>
      <c r="W241" s="156">
        <f t="shared" si="430"/>
        <v>0</v>
      </c>
      <c r="X241" s="158">
        <f t="shared" ref="X241" si="557">$S241/ORCAMENTO_VALOR_TOTAL_ND</f>
        <v>0</v>
      </c>
      <c r="Y241" s="158">
        <f t="shared" ref="Y241" si="558">$T241/ORCAMENTO_VALOR_TOTAL_DE</f>
        <v>0</v>
      </c>
      <c r="Z241" s="158" cm="1">
        <f t="array" ref="Z241">_xlfn.SWITCH($N241,"BDI 1",$O$6,"BDI 2",$O$7,"BDI 3",$O$8)</f>
        <v>0.20699999999999999</v>
      </c>
      <c r="AA241" s="158" cm="1">
        <f t="array" ref="AA241">_xlfn.SWITCH($N241,"BDI 1",$P$6,"BDI 2",$P$7,"BDI 3",$P$8)</f>
        <v>0.26739999999999997</v>
      </c>
      <c r="AB241" s="158">
        <f t="shared" ca="1" si="446"/>
        <v>0</v>
      </c>
      <c r="AC241" s="158">
        <f t="shared" ca="1" si="447"/>
        <v>0</v>
      </c>
      <c r="AD241" s="164"/>
      <c r="AE241" s="148">
        <f t="shared" si="433"/>
        <v>0</v>
      </c>
      <c r="AF241" s="149"/>
      <c r="AG241" s="150"/>
      <c r="AH241" s="159" t="e">
        <f t="shared" si="434"/>
        <v>#DIV/0!</v>
      </c>
      <c r="AI241" s="195"/>
      <c r="AJ241" s="198">
        <v>88</v>
      </c>
      <c r="AK241" s="199">
        <f t="shared" si="549"/>
        <v>0</v>
      </c>
      <c r="AM241" s="105"/>
      <c r="AN241" s="105"/>
      <c r="AO241" s="105"/>
      <c r="AP241" s="105"/>
      <c r="AQ241" s="105"/>
      <c r="AR241" s="105"/>
    </row>
    <row r="242" spans="1:44" s="49" customFormat="1" ht="40.15" hidden="1" customHeight="1">
      <c r="A242" s="152">
        <f t="shared" ca="1" si="435"/>
        <v>0</v>
      </c>
      <c r="B242" s="153">
        <v>94876</v>
      </c>
      <c r="C242" s="154" t="str">
        <f t="shared" si="436"/>
        <v>94876</v>
      </c>
      <c r="D242" s="154" t="s">
        <v>1416</v>
      </c>
      <c r="E242" s="155" t="s">
        <v>3719</v>
      </c>
      <c r="F242" s="154"/>
      <c r="G242" s="154" t="s">
        <v>58</v>
      </c>
      <c r="H242" s="152">
        <v>26.66</v>
      </c>
      <c r="I242" s="152">
        <v>25.92</v>
      </c>
      <c r="J242" s="156"/>
      <c r="K242" s="156">
        <f>Dre_Disp_Estruturais!AI41</f>
        <v>0</v>
      </c>
      <c r="L242" s="156">
        <f t="shared" si="437"/>
        <v>0</v>
      </c>
      <c r="M242" s="156">
        <f t="shared" si="438"/>
        <v>0</v>
      </c>
      <c r="N242" s="156" t="s">
        <v>83</v>
      </c>
      <c r="O242" s="157" cm="1">
        <f t="array" ref="O242">TRUNC($H242*(1+_xlfn.SWITCH($N242,"BDI 1",$O$6,"BDI 2",$O$7,"BDI 3",$O$8)),2)</f>
        <v>32.17</v>
      </c>
      <c r="P242" s="157" cm="1">
        <f t="array" ref="P242">TRUNC($I242*(1+_xlfn.SWITCH($N242,"BDI 1",$P$6,"BDI 2",$P$7,"BDI 3",$P$8)),2)</f>
        <v>32.85</v>
      </c>
      <c r="Q242" s="157">
        <v>0</v>
      </c>
      <c r="R242" s="157">
        <f t="shared" ref="R242" si="559">$Q242-($Q242*LICITACAO_DESCONTO)</f>
        <v>0</v>
      </c>
      <c r="S242" s="156">
        <f t="shared" si="440"/>
        <v>0</v>
      </c>
      <c r="T242" s="156">
        <f t="shared" si="441"/>
        <v>0</v>
      </c>
      <c r="U242" s="156">
        <f t="shared" si="442"/>
        <v>0</v>
      </c>
      <c r="V242" s="156">
        <f t="shared" si="443"/>
        <v>0</v>
      </c>
      <c r="W242" s="156">
        <f t="shared" si="430"/>
        <v>0</v>
      </c>
      <c r="X242" s="158">
        <f t="shared" ref="X242" si="560">$S242/ORCAMENTO_VALOR_TOTAL_ND</f>
        <v>0</v>
      </c>
      <c r="Y242" s="158">
        <f t="shared" ref="Y242" si="561">$T242/ORCAMENTO_VALOR_TOTAL_DE</f>
        <v>0</v>
      </c>
      <c r="Z242" s="158" cm="1">
        <f t="array" ref="Z242">_xlfn.SWITCH($N242,"BDI 1",$O$6,"BDI 2",$O$7,"BDI 3",$O$8)</f>
        <v>0.20699999999999999</v>
      </c>
      <c r="AA242" s="158" cm="1">
        <f t="array" ref="AA242">_xlfn.SWITCH($N242,"BDI 1",$P$6,"BDI 2",$P$7,"BDI 3",$P$8)</f>
        <v>0.26739999999999997</v>
      </c>
      <c r="AB242" s="158">
        <f t="shared" ca="1" si="446"/>
        <v>0</v>
      </c>
      <c r="AC242" s="158">
        <f t="shared" ca="1" si="447"/>
        <v>0</v>
      </c>
      <c r="AD242" s="164"/>
      <c r="AE242" s="148">
        <f t="shared" si="433"/>
        <v>0</v>
      </c>
      <c r="AF242" s="149"/>
      <c r="AG242" s="150"/>
      <c r="AH242" s="159" t="e">
        <f t="shared" si="434"/>
        <v>#DIV/0!</v>
      </c>
      <c r="AI242" s="195"/>
      <c r="AJ242" s="198">
        <v>85</v>
      </c>
      <c r="AK242" s="199">
        <f t="shared" si="549"/>
        <v>0</v>
      </c>
      <c r="AM242" s="105"/>
      <c r="AN242" s="105"/>
      <c r="AO242" s="105"/>
      <c r="AP242" s="105"/>
      <c r="AQ242" s="105"/>
      <c r="AR242" s="105"/>
    </row>
    <row r="243" spans="1:44" s="49" customFormat="1" ht="40.15" hidden="1" customHeight="1">
      <c r="A243" s="152">
        <f t="shared" ca="1" si="435"/>
        <v>0</v>
      </c>
      <c r="B243" s="153">
        <v>94878</v>
      </c>
      <c r="C243" s="154" t="str">
        <f t="shared" si="436"/>
        <v>94878</v>
      </c>
      <c r="D243" s="154" t="s">
        <v>1416</v>
      </c>
      <c r="E243" s="155" t="s">
        <v>3720</v>
      </c>
      <c r="F243" s="154"/>
      <c r="G243" s="154" t="s">
        <v>58</v>
      </c>
      <c r="H243" s="152">
        <v>30.73</v>
      </c>
      <c r="I243" s="152">
        <v>29.86</v>
      </c>
      <c r="J243" s="156"/>
      <c r="K243" s="156">
        <f>Dre_Disp_Estruturais!AI42</f>
        <v>0</v>
      </c>
      <c r="L243" s="156">
        <f t="shared" si="437"/>
        <v>0</v>
      </c>
      <c r="M243" s="156">
        <f t="shared" si="438"/>
        <v>0</v>
      </c>
      <c r="N243" s="156" t="s">
        <v>83</v>
      </c>
      <c r="O243" s="157" cm="1">
        <f t="array" ref="O243">TRUNC($H243*(1+_xlfn.SWITCH($N243,"BDI 1",$O$6,"BDI 2",$O$7,"BDI 3",$O$8)),2)</f>
        <v>37.090000000000003</v>
      </c>
      <c r="P243" s="157" cm="1">
        <f t="array" ref="P243">TRUNC($I243*(1+_xlfn.SWITCH($N243,"BDI 1",$P$6,"BDI 2",$P$7,"BDI 3",$P$8)),2)</f>
        <v>37.840000000000003</v>
      </c>
      <c r="Q243" s="157">
        <v>0</v>
      </c>
      <c r="R243" s="157">
        <f t="shared" ref="R243" si="562">$Q243-($Q243*LICITACAO_DESCONTO)</f>
        <v>0</v>
      </c>
      <c r="S243" s="156">
        <f t="shared" si="440"/>
        <v>0</v>
      </c>
      <c r="T243" s="156">
        <f t="shared" si="441"/>
        <v>0</v>
      </c>
      <c r="U243" s="156">
        <f t="shared" si="442"/>
        <v>0</v>
      </c>
      <c r="V243" s="156">
        <f t="shared" si="443"/>
        <v>0</v>
      </c>
      <c r="W243" s="156">
        <f t="shared" si="430"/>
        <v>0</v>
      </c>
      <c r="X243" s="158">
        <f t="shared" ref="X243" si="563">$S243/ORCAMENTO_VALOR_TOTAL_ND</f>
        <v>0</v>
      </c>
      <c r="Y243" s="158">
        <f t="shared" ref="Y243" si="564">$T243/ORCAMENTO_VALOR_TOTAL_DE</f>
        <v>0</v>
      </c>
      <c r="Z243" s="158" cm="1">
        <f t="array" ref="Z243">_xlfn.SWITCH($N243,"BDI 1",$O$6,"BDI 2",$O$7,"BDI 3",$O$8)</f>
        <v>0.20699999999999999</v>
      </c>
      <c r="AA243" s="158" cm="1">
        <f t="array" ref="AA243">_xlfn.SWITCH($N243,"BDI 1",$P$6,"BDI 2",$P$7,"BDI 3",$P$8)</f>
        <v>0.26739999999999997</v>
      </c>
      <c r="AB243" s="158">
        <f t="shared" ca="1" si="446"/>
        <v>0</v>
      </c>
      <c r="AC243" s="158">
        <f t="shared" ca="1" si="447"/>
        <v>0</v>
      </c>
      <c r="AD243" s="164"/>
      <c r="AE243" s="148">
        <f t="shared" si="433"/>
        <v>0</v>
      </c>
      <c r="AF243" s="149"/>
      <c r="AG243" s="150"/>
      <c r="AH243" s="159" t="e">
        <f t="shared" si="434"/>
        <v>#DIV/0!</v>
      </c>
      <c r="AI243" s="195"/>
      <c r="AJ243" s="198">
        <v>78</v>
      </c>
      <c r="AK243" s="199">
        <f t="shared" si="549"/>
        <v>0</v>
      </c>
      <c r="AM243" s="105"/>
      <c r="AN243" s="105"/>
      <c r="AO243" s="105"/>
      <c r="AP243" s="105"/>
      <c r="AQ243" s="105"/>
      <c r="AR243" s="105"/>
    </row>
    <row r="244" spans="1:44" s="49" customFormat="1" ht="40.15" hidden="1" customHeight="1">
      <c r="A244" s="152">
        <f t="shared" ca="1" si="435"/>
        <v>0</v>
      </c>
      <c r="B244" s="153">
        <v>94880</v>
      </c>
      <c r="C244" s="154" t="str">
        <f t="shared" si="436"/>
        <v>94880</v>
      </c>
      <c r="D244" s="154" t="s">
        <v>1416</v>
      </c>
      <c r="E244" s="155" t="s">
        <v>3721</v>
      </c>
      <c r="F244" s="154"/>
      <c r="G244" s="154" t="s">
        <v>58</v>
      </c>
      <c r="H244" s="152">
        <v>40.15</v>
      </c>
      <c r="I244" s="152">
        <v>39.090000000000003</v>
      </c>
      <c r="J244" s="156"/>
      <c r="K244" s="156">
        <f>Dre_Disp_Estruturais!AI43</f>
        <v>0</v>
      </c>
      <c r="L244" s="156">
        <f t="shared" si="437"/>
        <v>0</v>
      </c>
      <c r="M244" s="156">
        <f t="shared" si="438"/>
        <v>0</v>
      </c>
      <c r="N244" s="156" t="s">
        <v>83</v>
      </c>
      <c r="O244" s="157" cm="1">
        <f t="array" ref="O244">TRUNC($H244*(1+_xlfn.SWITCH($N244,"BDI 1",$O$6,"BDI 2",$O$7,"BDI 3",$O$8)),2)</f>
        <v>48.46</v>
      </c>
      <c r="P244" s="157" cm="1">
        <f t="array" ref="P244">TRUNC($I244*(1+_xlfn.SWITCH($N244,"BDI 1",$P$6,"BDI 2",$P$7,"BDI 3",$P$8)),2)</f>
        <v>49.54</v>
      </c>
      <c r="Q244" s="157">
        <v>0</v>
      </c>
      <c r="R244" s="157">
        <f t="shared" ref="R244" si="565">$Q244-($Q244*LICITACAO_DESCONTO)</f>
        <v>0</v>
      </c>
      <c r="S244" s="156">
        <f t="shared" si="440"/>
        <v>0</v>
      </c>
      <c r="T244" s="156">
        <f t="shared" si="441"/>
        <v>0</v>
      </c>
      <c r="U244" s="156">
        <f t="shared" si="442"/>
        <v>0</v>
      </c>
      <c r="V244" s="156">
        <f t="shared" si="443"/>
        <v>0</v>
      </c>
      <c r="W244" s="156">
        <f t="shared" si="430"/>
        <v>0</v>
      </c>
      <c r="X244" s="158">
        <f t="shared" ref="X244" si="566">$S244/ORCAMENTO_VALOR_TOTAL_ND</f>
        <v>0</v>
      </c>
      <c r="Y244" s="158">
        <f t="shared" ref="Y244" si="567">$T244/ORCAMENTO_VALOR_TOTAL_DE</f>
        <v>0</v>
      </c>
      <c r="Z244" s="158" cm="1">
        <f t="array" ref="Z244">_xlfn.SWITCH($N244,"BDI 1",$O$6,"BDI 2",$O$7,"BDI 3",$O$8)</f>
        <v>0.20699999999999999</v>
      </c>
      <c r="AA244" s="158" cm="1">
        <f t="array" ref="AA244">_xlfn.SWITCH($N244,"BDI 1",$P$6,"BDI 2",$P$7,"BDI 3",$P$8)</f>
        <v>0.26739999999999997</v>
      </c>
      <c r="AB244" s="158">
        <f t="shared" ca="1" si="446"/>
        <v>0</v>
      </c>
      <c r="AC244" s="158">
        <f t="shared" ca="1" si="447"/>
        <v>0</v>
      </c>
      <c r="AD244" s="164"/>
      <c r="AE244" s="148">
        <f t="shared" si="433"/>
        <v>0</v>
      </c>
      <c r="AF244" s="149"/>
      <c r="AG244" s="150"/>
      <c r="AH244" s="159" t="e">
        <f t="shared" si="434"/>
        <v>#DIV/0!</v>
      </c>
      <c r="AI244" s="195"/>
      <c r="AJ244" s="198">
        <v>72</v>
      </c>
      <c r="AK244" s="199">
        <f t="shared" si="549"/>
        <v>0</v>
      </c>
      <c r="AM244" s="105"/>
      <c r="AN244" s="105"/>
      <c r="AO244" s="105"/>
      <c r="AP244" s="105"/>
      <c r="AQ244" s="105"/>
      <c r="AR244" s="105"/>
    </row>
    <row r="245" spans="1:44" s="49" customFormat="1" ht="40.15" hidden="1" customHeight="1">
      <c r="A245" s="152">
        <f t="shared" ca="1" si="435"/>
        <v>0</v>
      </c>
      <c r="B245" s="153">
        <v>94882</v>
      </c>
      <c r="C245" s="154" t="str">
        <f t="shared" si="436"/>
        <v>94882</v>
      </c>
      <c r="D245" s="154" t="s">
        <v>1416</v>
      </c>
      <c r="E245" s="155" t="s">
        <v>3722</v>
      </c>
      <c r="F245" s="154"/>
      <c r="G245" s="154" t="s">
        <v>58</v>
      </c>
      <c r="H245" s="152">
        <v>46.42</v>
      </c>
      <c r="I245" s="152">
        <v>45.16</v>
      </c>
      <c r="J245" s="156"/>
      <c r="K245" s="156">
        <f>Dre_Disp_Estruturais!AI44</f>
        <v>0</v>
      </c>
      <c r="L245" s="156">
        <f t="shared" si="437"/>
        <v>0</v>
      </c>
      <c r="M245" s="156">
        <f t="shared" si="438"/>
        <v>0</v>
      </c>
      <c r="N245" s="156" t="s">
        <v>83</v>
      </c>
      <c r="O245" s="157" cm="1">
        <f t="array" ref="O245">TRUNC($H245*(1+_xlfn.SWITCH($N245,"BDI 1",$O$6,"BDI 2",$O$7,"BDI 3",$O$8)),2)</f>
        <v>56.02</v>
      </c>
      <c r="P245" s="157" cm="1">
        <f t="array" ref="P245">TRUNC($I245*(1+_xlfn.SWITCH($N245,"BDI 1",$P$6,"BDI 2",$P$7,"BDI 3",$P$8)),2)</f>
        <v>57.23</v>
      </c>
      <c r="Q245" s="157">
        <v>0</v>
      </c>
      <c r="R245" s="157">
        <f t="shared" ref="R245" si="568">$Q245-($Q245*LICITACAO_DESCONTO)</f>
        <v>0</v>
      </c>
      <c r="S245" s="156">
        <f t="shared" si="440"/>
        <v>0</v>
      </c>
      <c r="T245" s="156">
        <f t="shared" si="441"/>
        <v>0</v>
      </c>
      <c r="U245" s="156">
        <f t="shared" si="442"/>
        <v>0</v>
      </c>
      <c r="V245" s="156">
        <f t="shared" si="443"/>
        <v>0</v>
      </c>
      <c r="W245" s="156">
        <f t="shared" si="430"/>
        <v>0</v>
      </c>
      <c r="X245" s="158">
        <f t="shared" ref="X245" si="569">$S245/ORCAMENTO_VALOR_TOTAL_ND</f>
        <v>0</v>
      </c>
      <c r="Y245" s="158">
        <f t="shared" ref="Y245" si="570">$T245/ORCAMENTO_VALOR_TOTAL_DE</f>
        <v>0</v>
      </c>
      <c r="Z245" s="158" cm="1">
        <f t="array" ref="Z245">_xlfn.SWITCH($N245,"BDI 1",$O$6,"BDI 2",$O$7,"BDI 3",$O$8)</f>
        <v>0.20699999999999999</v>
      </c>
      <c r="AA245" s="158" cm="1">
        <f t="array" ref="AA245">_xlfn.SWITCH($N245,"BDI 1",$P$6,"BDI 2",$P$7,"BDI 3",$P$8)</f>
        <v>0.26739999999999997</v>
      </c>
      <c r="AB245" s="158">
        <f t="shared" ca="1" si="446"/>
        <v>0</v>
      </c>
      <c r="AC245" s="158">
        <f t="shared" ca="1" si="447"/>
        <v>0</v>
      </c>
      <c r="AD245" s="164"/>
      <c r="AE245" s="148">
        <f t="shared" si="433"/>
        <v>0</v>
      </c>
      <c r="AF245" s="149"/>
      <c r="AG245" s="150"/>
      <c r="AH245" s="159" t="e">
        <f t="shared" si="434"/>
        <v>#DIV/0!</v>
      </c>
      <c r="AI245" s="195"/>
      <c r="AJ245" s="198">
        <v>68</v>
      </c>
      <c r="AK245" s="199">
        <f t="shared" si="549"/>
        <v>0</v>
      </c>
      <c r="AM245" s="105"/>
      <c r="AN245" s="105"/>
      <c r="AO245" s="105"/>
      <c r="AP245" s="105"/>
      <c r="AQ245" s="105"/>
      <c r="AR245" s="105"/>
    </row>
    <row r="246" spans="1:44" s="49" customFormat="1" ht="40.15" hidden="1" customHeight="1">
      <c r="A246" s="152">
        <f t="shared" ca="1" si="435"/>
        <v>0</v>
      </c>
      <c r="B246" s="153">
        <v>94884</v>
      </c>
      <c r="C246" s="154" t="str">
        <f t="shared" si="436"/>
        <v>94884</v>
      </c>
      <c r="D246" s="154" t="s">
        <v>1416</v>
      </c>
      <c r="E246" s="155" t="s">
        <v>3723</v>
      </c>
      <c r="F246" s="154"/>
      <c r="G246" s="154" t="s">
        <v>58</v>
      </c>
      <c r="H246" s="152">
        <v>59.12</v>
      </c>
      <c r="I246" s="152">
        <v>57.45</v>
      </c>
      <c r="J246" s="156"/>
      <c r="K246" s="156">
        <f>Dre_Disp_Estruturais!AI45</f>
        <v>0</v>
      </c>
      <c r="L246" s="156">
        <f t="shared" si="437"/>
        <v>0</v>
      </c>
      <c r="M246" s="156">
        <f t="shared" si="438"/>
        <v>0</v>
      </c>
      <c r="N246" s="156" t="s">
        <v>83</v>
      </c>
      <c r="O246" s="157" cm="1">
        <f t="array" ref="O246">TRUNC($H246*(1+_xlfn.SWITCH($N246,"BDI 1",$O$6,"BDI 2",$O$7,"BDI 3",$O$8)),2)</f>
        <v>71.349999999999994</v>
      </c>
      <c r="P246" s="157" cm="1">
        <f t="array" ref="P246">TRUNC($I246*(1+_xlfn.SWITCH($N246,"BDI 1",$P$6,"BDI 2",$P$7,"BDI 3",$P$8)),2)</f>
        <v>72.81</v>
      </c>
      <c r="Q246" s="157">
        <v>0</v>
      </c>
      <c r="R246" s="157">
        <f t="shared" ref="R246" si="571">$Q246-($Q246*LICITACAO_DESCONTO)</f>
        <v>0</v>
      </c>
      <c r="S246" s="156">
        <f t="shared" si="440"/>
        <v>0</v>
      </c>
      <c r="T246" s="156">
        <f t="shared" si="441"/>
        <v>0</v>
      </c>
      <c r="U246" s="156">
        <f t="shared" si="442"/>
        <v>0</v>
      </c>
      <c r="V246" s="156">
        <f t="shared" si="443"/>
        <v>0</v>
      </c>
      <c r="W246" s="156">
        <f t="shared" si="430"/>
        <v>0</v>
      </c>
      <c r="X246" s="158">
        <f t="shared" ref="X246" si="572">$S246/ORCAMENTO_VALOR_TOTAL_ND</f>
        <v>0</v>
      </c>
      <c r="Y246" s="158">
        <f t="shared" ref="Y246" si="573">$T246/ORCAMENTO_VALOR_TOTAL_DE</f>
        <v>0</v>
      </c>
      <c r="Z246" s="158" cm="1">
        <f t="array" ref="Z246">_xlfn.SWITCH($N246,"BDI 1",$O$6,"BDI 2",$O$7,"BDI 3",$O$8)</f>
        <v>0.20699999999999999</v>
      </c>
      <c r="AA246" s="158" cm="1">
        <f t="array" ref="AA246">_xlfn.SWITCH($N246,"BDI 1",$P$6,"BDI 2",$P$7,"BDI 3",$P$8)</f>
        <v>0.26739999999999997</v>
      </c>
      <c r="AB246" s="158">
        <f t="shared" ca="1" si="446"/>
        <v>0</v>
      </c>
      <c r="AC246" s="158">
        <f t="shared" ca="1" si="447"/>
        <v>0</v>
      </c>
      <c r="AD246" s="164"/>
      <c r="AE246" s="148">
        <f t="shared" si="433"/>
        <v>0</v>
      </c>
      <c r="AF246" s="149"/>
      <c r="AG246" s="150"/>
      <c r="AH246" s="159" t="e">
        <f t="shared" si="434"/>
        <v>#DIV/0!</v>
      </c>
      <c r="AI246" s="195"/>
      <c r="AJ246" s="198">
        <v>60</v>
      </c>
      <c r="AK246" s="199">
        <f t="shared" si="549"/>
        <v>0</v>
      </c>
      <c r="AM246" s="105"/>
      <c r="AN246" s="105"/>
      <c r="AO246" s="105"/>
      <c r="AP246" s="105"/>
      <c r="AQ246" s="105"/>
      <c r="AR246" s="105"/>
    </row>
    <row r="247" spans="1:44" s="49" customFormat="1" ht="49.9" hidden="1" customHeight="1">
      <c r="A247" s="152">
        <f t="shared" ca="1" si="435"/>
        <v>0</v>
      </c>
      <c r="B247" s="153" t="s">
        <v>152</v>
      </c>
      <c r="C247" s="154" t="str">
        <f t="shared" si="436"/>
        <v>DR/0060</v>
      </c>
      <c r="D247" s="154" t="s">
        <v>3549</v>
      </c>
      <c r="E247" s="155" t="s">
        <v>3715</v>
      </c>
      <c r="F247" s="154"/>
      <c r="G247" s="154" t="s">
        <v>58</v>
      </c>
      <c r="H247" s="152">
        <v>2.35</v>
      </c>
      <c r="I247" s="152">
        <v>2.13</v>
      </c>
      <c r="J247" s="156"/>
      <c r="K247" s="156">
        <f>Dre_Disp_Estruturais!AI46</f>
        <v>0</v>
      </c>
      <c r="L247" s="156">
        <f t="shared" si="437"/>
        <v>0</v>
      </c>
      <c r="M247" s="156">
        <f t="shared" si="438"/>
        <v>0</v>
      </c>
      <c r="N247" s="156" t="s">
        <v>83</v>
      </c>
      <c r="O247" s="157" cm="1">
        <f t="array" ref="O247">TRUNC($H247*(1+_xlfn.SWITCH($N247,"BDI 1",$O$6,"BDI 2",$O$7,"BDI 3",$O$8)),2)</f>
        <v>2.83</v>
      </c>
      <c r="P247" s="157" cm="1">
        <f t="array" ref="P247">TRUNC($I247*(1+_xlfn.SWITCH($N247,"BDI 1",$P$6,"BDI 2",$P$7,"BDI 3",$P$8)),2)</f>
        <v>2.69</v>
      </c>
      <c r="Q247" s="157">
        <v>0</v>
      </c>
      <c r="R247" s="157">
        <f t="shared" ref="R247" si="574">$Q247-($Q247*LICITACAO_DESCONTO)</f>
        <v>0</v>
      </c>
      <c r="S247" s="156">
        <f t="shared" si="440"/>
        <v>0</v>
      </c>
      <c r="T247" s="156">
        <f t="shared" si="441"/>
        <v>0</v>
      </c>
      <c r="U247" s="156">
        <f t="shared" si="442"/>
        <v>0</v>
      </c>
      <c r="V247" s="156">
        <f t="shared" si="443"/>
        <v>0</v>
      </c>
      <c r="W247" s="156">
        <f t="shared" si="430"/>
        <v>0</v>
      </c>
      <c r="X247" s="158">
        <f t="shared" ref="X247" si="575">$S247/ORCAMENTO_VALOR_TOTAL_ND</f>
        <v>0</v>
      </c>
      <c r="Y247" s="158">
        <f t="shared" ref="Y247" si="576">$T247/ORCAMENTO_VALOR_TOTAL_DE</f>
        <v>0</v>
      </c>
      <c r="Z247" s="158" cm="1">
        <f t="array" ref="Z247">_xlfn.SWITCH($N247,"BDI 1",$O$6,"BDI 2",$O$7,"BDI 3",$O$8)</f>
        <v>0.20699999999999999</v>
      </c>
      <c r="AA247" s="158" cm="1">
        <f t="array" ref="AA247">_xlfn.SWITCH($N247,"BDI 1",$P$6,"BDI 2",$P$7,"BDI 3",$P$8)</f>
        <v>0.26739999999999997</v>
      </c>
      <c r="AB247" s="158">
        <f t="shared" ca="1" si="446"/>
        <v>0</v>
      </c>
      <c r="AC247" s="158">
        <f t="shared" ca="1" si="447"/>
        <v>0</v>
      </c>
      <c r="AD247" s="164"/>
      <c r="AE247" s="148">
        <f t="shared" si="433"/>
        <v>0</v>
      </c>
      <c r="AF247" s="149"/>
      <c r="AG247" s="150"/>
      <c r="AH247" s="159" t="e">
        <f t="shared" si="434"/>
        <v>#DIV/0!</v>
      </c>
      <c r="AI247" s="195"/>
      <c r="AJ247" s="198">
        <v>150</v>
      </c>
      <c r="AK247" s="199">
        <f t="shared" si="549"/>
        <v>0</v>
      </c>
      <c r="AM247" s="105"/>
      <c r="AN247" s="105"/>
      <c r="AO247" s="105"/>
      <c r="AP247" s="105"/>
      <c r="AQ247" s="105"/>
      <c r="AR247" s="105"/>
    </row>
    <row r="248" spans="1:44" s="49" customFormat="1" ht="60" hidden="1" customHeight="1">
      <c r="A248" s="152">
        <f t="shared" ca="1" si="435"/>
        <v>0</v>
      </c>
      <c r="B248" s="153" t="s">
        <v>153</v>
      </c>
      <c r="C248" s="154" t="str">
        <f t="shared" si="436"/>
        <v>DR/0070</v>
      </c>
      <c r="D248" s="154" t="s">
        <v>3549</v>
      </c>
      <c r="E248" s="155" t="s">
        <v>3716</v>
      </c>
      <c r="F248" s="154"/>
      <c r="G248" s="154" t="s">
        <v>58</v>
      </c>
      <c r="H248" s="152">
        <v>4.03</v>
      </c>
      <c r="I248" s="152">
        <v>3.66</v>
      </c>
      <c r="J248" s="156"/>
      <c r="K248" s="156">
        <f>Dre_Disp_Estruturais!AI47+Dre_Disp_Estruturais!AI48</f>
        <v>0</v>
      </c>
      <c r="L248" s="156">
        <f t="shared" si="437"/>
        <v>0</v>
      </c>
      <c r="M248" s="156">
        <f t="shared" si="438"/>
        <v>0</v>
      </c>
      <c r="N248" s="156" t="s">
        <v>83</v>
      </c>
      <c r="O248" s="157" cm="1">
        <f t="array" ref="O248">TRUNC($H248*(1+_xlfn.SWITCH($N248,"BDI 1",$O$6,"BDI 2",$O$7,"BDI 3",$O$8)),2)</f>
        <v>4.8600000000000003</v>
      </c>
      <c r="P248" s="157" cm="1">
        <f t="array" ref="P248">TRUNC($I248*(1+_xlfn.SWITCH($N248,"BDI 1",$P$6,"BDI 2",$P$7,"BDI 3",$P$8)),2)</f>
        <v>4.63</v>
      </c>
      <c r="Q248" s="157">
        <v>0</v>
      </c>
      <c r="R248" s="157">
        <f t="shared" ref="R248" si="577">$Q248-($Q248*LICITACAO_DESCONTO)</f>
        <v>0</v>
      </c>
      <c r="S248" s="156">
        <f t="shared" si="440"/>
        <v>0</v>
      </c>
      <c r="T248" s="156">
        <f t="shared" si="441"/>
        <v>0</v>
      </c>
      <c r="U248" s="156">
        <f t="shared" si="442"/>
        <v>0</v>
      </c>
      <c r="V248" s="156">
        <f t="shared" si="443"/>
        <v>0</v>
      </c>
      <c r="W248" s="156">
        <f t="shared" si="430"/>
        <v>0</v>
      </c>
      <c r="X248" s="158">
        <f t="shared" ref="X248" si="578">$S248/ORCAMENTO_VALOR_TOTAL_ND</f>
        <v>0</v>
      </c>
      <c r="Y248" s="158">
        <f t="shared" ref="Y248" si="579">$T248/ORCAMENTO_VALOR_TOTAL_DE</f>
        <v>0</v>
      </c>
      <c r="Z248" s="158" cm="1">
        <f t="array" ref="Z248">_xlfn.SWITCH($N248,"BDI 1",$O$6,"BDI 2",$O$7,"BDI 3",$O$8)</f>
        <v>0.20699999999999999</v>
      </c>
      <c r="AA248" s="158" cm="1">
        <f t="array" ref="AA248">_xlfn.SWITCH($N248,"BDI 1",$P$6,"BDI 2",$P$7,"BDI 3",$P$8)</f>
        <v>0.26739999999999997</v>
      </c>
      <c r="AB248" s="158">
        <f t="shared" ca="1" si="446"/>
        <v>0</v>
      </c>
      <c r="AC248" s="158">
        <f t="shared" ca="1" si="447"/>
        <v>0</v>
      </c>
      <c r="AD248" s="164"/>
      <c r="AE248" s="148">
        <f t="shared" si="433"/>
        <v>0</v>
      </c>
      <c r="AF248" s="149"/>
      <c r="AG248" s="150"/>
      <c r="AH248" s="159" t="e">
        <f t="shared" si="434"/>
        <v>#DIV/0!</v>
      </c>
      <c r="AI248" s="195"/>
      <c r="AJ248" s="198">
        <v>130</v>
      </c>
      <c r="AK248" s="199">
        <f t="shared" si="549"/>
        <v>0</v>
      </c>
      <c r="AM248" s="105"/>
      <c r="AN248" s="105"/>
      <c r="AO248" s="105"/>
      <c r="AP248" s="105"/>
      <c r="AQ248" s="105"/>
      <c r="AR248" s="105"/>
    </row>
    <row r="249" spans="1:44" s="49" customFormat="1" ht="40.15" hidden="1" customHeight="1">
      <c r="A249" s="152">
        <f t="shared" ca="1" si="435"/>
        <v>0</v>
      </c>
      <c r="B249" s="153">
        <v>90747</v>
      </c>
      <c r="C249" s="154" t="str">
        <f t="shared" si="436"/>
        <v>90747</v>
      </c>
      <c r="D249" s="154" t="s">
        <v>1416</v>
      </c>
      <c r="E249" s="155" t="s">
        <v>3717</v>
      </c>
      <c r="F249" s="154"/>
      <c r="G249" s="154" t="s">
        <v>58</v>
      </c>
      <c r="H249" s="152">
        <v>15.45</v>
      </c>
      <c r="I249" s="152">
        <v>14.96</v>
      </c>
      <c r="J249" s="156"/>
      <c r="K249" s="156">
        <f>Dre_Disp_Estruturais!AI49</f>
        <v>0</v>
      </c>
      <c r="L249" s="156">
        <f t="shared" si="437"/>
        <v>0</v>
      </c>
      <c r="M249" s="156">
        <f t="shared" si="438"/>
        <v>0</v>
      </c>
      <c r="N249" s="156" t="s">
        <v>83</v>
      </c>
      <c r="O249" s="157" cm="1">
        <f t="array" ref="O249">TRUNC($H249*(1+_xlfn.SWITCH($N249,"BDI 1",$O$6,"BDI 2",$O$7,"BDI 3",$O$8)),2)</f>
        <v>18.64</v>
      </c>
      <c r="P249" s="157" cm="1">
        <f t="array" ref="P249">TRUNC($I249*(1+_xlfn.SWITCH($N249,"BDI 1",$P$6,"BDI 2",$P$7,"BDI 3",$P$8)),2)</f>
        <v>18.96</v>
      </c>
      <c r="Q249" s="157">
        <v>0</v>
      </c>
      <c r="R249" s="157">
        <f t="shared" ref="R249" si="580">$Q249-($Q249*LICITACAO_DESCONTO)</f>
        <v>0</v>
      </c>
      <c r="S249" s="156">
        <f t="shared" si="440"/>
        <v>0</v>
      </c>
      <c r="T249" s="156">
        <f t="shared" si="441"/>
        <v>0</v>
      </c>
      <c r="U249" s="156">
        <f t="shared" si="442"/>
        <v>0</v>
      </c>
      <c r="V249" s="156">
        <f t="shared" si="443"/>
        <v>0</v>
      </c>
      <c r="W249" s="156">
        <f t="shared" si="430"/>
        <v>0</v>
      </c>
      <c r="X249" s="158">
        <f t="shared" ref="X249" si="581">$S249/ORCAMENTO_VALOR_TOTAL_ND</f>
        <v>0</v>
      </c>
      <c r="Y249" s="158">
        <f t="shared" ref="Y249" si="582">$T249/ORCAMENTO_VALOR_TOTAL_DE</f>
        <v>0</v>
      </c>
      <c r="Z249" s="158" cm="1">
        <f t="array" ref="Z249">_xlfn.SWITCH($N249,"BDI 1",$O$6,"BDI 2",$O$7,"BDI 3",$O$8)</f>
        <v>0.20699999999999999</v>
      </c>
      <c r="AA249" s="158" cm="1">
        <f t="array" ref="AA249">_xlfn.SWITCH($N249,"BDI 1",$P$6,"BDI 2",$P$7,"BDI 3",$P$8)</f>
        <v>0.26739999999999997</v>
      </c>
      <c r="AB249" s="158">
        <f t="shared" ca="1" si="446"/>
        <v>0</v>
      </c>
      <c r="AC249" s="158">
        <f t="shared" ca="1" si="447"/>
        <v>0</v>
      </c>
      <c r="AD249" s="164"/>
      <c r="AE249" s="148">
        <f t="shared" si="433"/>
        <v>0</v>
      </c>
      <c r="AF249" s="149"/>
      <c r="AG249" s="150"/>
      <c r="AH249" s="159" t="e">
        <f t="shared" si="434"/>
        <v>#DIV/0!</v>
      </c>
      <c r="AI249" s="195"/>
      <c r="AJ249" s="198">
        <v>102</v>
      </c>
      <c r="AK249" s="199">
        <f t="shared" si="549"/>
        <v>0</v>
      </c>
      <c r="AM249" s="105"/>
      <c r="AN249" s="105"/>
      <c r="AO249" s="105"/>
      <c r="AP249" s="105"/>
      <c r="AQ249" s="105"/>
      <c r="AR249" s="105"/>
    </row>
    <row r="250" spans="1:44" s="49" customFormat="1" ht="40.15" hidden="1" customHeight="1">
      <c r="A250" s="152">
        <f t="shared" ca="1" si="435"/>
        <v>0</v>
      </c>
      <c r="B250" s="153">
        <v>94876</v>
      </c>
      <c r="C250" s="154" t="str">
        <f t="shared" si="436"/>
        <v>94876</v>
      </c>
      <c r="D250" s="154" t="s">
        <v>1416</v>
      </c>
      <c r="E250" s="155" t="s">
        <v>3719</v>
      </c>
      <c r="F250" s="154"/>
      <c r="G250" s="154" t="s">
        <v>58</v>
      </c>
      <c r="H250" s="152">
        <v>26.66</v>
      </c>
      <c r="I250" s="152">
        <v>25.92</v>
      </c>
      <c r="J250" s="156"/>
      <c r="K250" s="156">
        <f>Dre_Disp_Estruturais!AI50</f>
        <v>0</v>
      </c>
      <c r="L250" s="156">
        <f t="shared" si="437"/>
        <v>0</v>
      </c>
      <c r="M250" s="156">
        <f t="shared" si="438"/>
        <v>0</v>
      </c>
      <c r="N250" s="156" t="s">
        <v>83</v>
      </c>
      <c r="O250" s="157" cm="1">
        <f t="array" ref="O250">TRUNC($H250*(1+_xlfn.SWITCH($N250,"BDI 1",$O$6,"BDI 2",$O$7,"BDI 3",$O$8)),2)</f>
        <v>32.17</v>
      </c>
      <c r="P250" s="157" cm="1">
        <f t="array" ref="P250">TRUNC($I250*(1+_xlfn.SWITCH($N250,"BDI 1",$P$6,"BDI 2",$P$7,"BDI 3",$P$8)),2)</f>
        <v>32.85</v>
      </c>
      <c r="Q250" s="157">
        <v>0</v>
      </c>
      <c r="R250" s="157">
        <f t="shared" ref="R250" si="583">$Q250-($Q250*LICITACAO_DESCONTO)</f>
        <v>0</v>
      </c>
      <c r="S250" s="156">
        <f t="shared" si="440"/>
        <v>0</v>
      </c>
      <c r="T250" s="156">
        <f t="shared" si="441"/>
        <v>0</v>
      </c>
      <c r="U250" s="156">
        <f t="shared" si="442"/>
        <v>0</v>
      </c>
      <c r="V250" s="156">
        <f t="shared" si="443"/>
        <v>0</v>
      </c>
      <c r="W250" s="156">
        <f t="shared" si="430"/>
        <v>0</v>
      </c>
      <c r="X250" s="158">
        <f t="shared" ref="X250" si="584">$S250/ORCAMENTO_VALOR_TOTAL_ND</f>
        <v>0</v>
      </c>
      <c r="Y250" s="158">
        <f t="shared" ref="Y250" si="585">$T250/ORCAMENTO_VALOR_TOTAL_DE</f>
        <v>0</v>
      </c>
      <c r="Z250" s="158" cm="1">
        <f t="array" ref="Z250">_xlfn.SWITCH($N250,"BDI 1",$O$6,"BDI 2",$O$7,"BDI 3",$O$8)</f>
        <v>0.20699999999999999</v>
      </c>
      <c r="AA250" s="158" cm="1">
        <f t="array" ref="AA250">_xlfn.SWITCH($N250,"BDI 1",$P$6,"BDI 2",$P$7,"BDI 3",$P$8)</f>
        <v>0.26739999999999997</v>
      </c>
      <c r="AB250" s="158">
        <f t="shared" ca="1" si="446"/>
        <v>0</v>
      </c>
      <c r="AC250" s="158">
        <f t="shared" ca="1" si="447"/>
        <v>0</v>
      </c>
      <c r="AD250" s="164"/>
      <c r="AE250" s="148">
        <f t="shared" si="433"/>
        <v>0</v>
      </c>
      <c r="AF250" s="149"/>
      <c r="AG250" s="150"/>
      <c r="AH250" s="159" t="e">
        <f t="shared" si="434"/>
        <v>#DIV/0!</v>
      </c>
      <c r="AI250" s="195"/>
      <c r="AJ250" s="198">
        <v>85</v>
      </c>
      <c r="AK250" s="199">
        <f t="shared" si="549"/>
        <v>0</v>
      </c>
      <c r="AM250" s="105"/>
      <c r="AN250" s="105"/>
      <c r="AO250" s="105"/>
      <c r="AP250" s="105"/>
      <c r="AQ250" s="105"/>
      <c r="AR250" s="105"/>
    </row>
    <row r="251" spans="1:44" s="49" customFormat="1" ht="60" hidden="1" customHeight="1">
      <c r="A251" s="152">
        <f t="shared" ca="1" si="435"/>
        <v>0</v>
      </c>
      <c r="B251" s="153" t="s">
        <v>154</v>
      </c>
      <c r="C251" s="154" t="str">
        <f t="shared" si="436"/>
        <v>DR/0080</v>
      </c>
      <c r="D251" s="154" t="s">
        <v>3549</v>
      </c>
      <c r="E251" s="155" t="s">
        <v>3718</v>
      </c>
      <c r="F251" s="154"/>
      <c r="G251" s="154" t="s">
        <v>58</v>
      </c>
      <c r="H251" s="152">
        <v>25.44</v>
      </c>
      <c r="I251" s="152">
        <v>24.63</v>
      </c>
      <c r="J251" s="156"/>
      <c r="K251" s="156">
        <f>Dre_Disp_Estruturais!AI51</f>
        <v>0</v>
      </c>
      <c r="L251" s="156">
        <f t="shared" si="437"/>
        <v>0</v>
      </c>
      <c r="M251" s="156">
        <f t="shared" si="438"/>
        <v>0</v>
      </c>
      <c r="N251" s="156" t="s">
        <v>83</v>
      </c>
      <c r="O251" s="157" cm="1">
        <f t="array" ref="O251">TRUNC($H251*(1+_xlfn.SWITCH($N251,"BDI 1",$O$6,"BDI 2",$O$7,"BDI 3",$O$8)),2)</f>
        <v>30.7</v>
      </c>
      <c r="P251" s="157" cm="1">
        <f t="array" ref="P251">TRUNC($I251*(1+_xlfn.SWITCH($N251,"BDI 1",$P$6,"BDI 2",$P$7,"BDI 3",$P$8)),2)</f>
        <v>31.21</v>
      </c>
      <c r="Q251" s="157">
        <v>0</v>
      </c>
      <c r="R251" s="157">
        <f t="shared" ref="R251" si="586">$Q251-($Q251*LICITACAO_DESCONTO)</f>
        <v>0</v>
      </c>
      <c r="S251" s="156">
        <f t="shared" si="440"/>
        <v>0</v>
      </c>
      <c r="T251" s="156">
        <f t="shared" si="441"/>
        <v>0</v>
      </c>
      <c r="U251" s="156">
        <f t="shared" si="442"/>
        <v>0</v>
      </c>
      <c r="V251" s="156">
        <f t="shared" si="443"/>
        <v>0</v>
      </c>
      <c r="W251" s="156">
        <f t="shared" si="430"/>
        <v>0</v>
      </c>
      <c r="X251" s="158">
        <f t="shared" ref="X251" si="587">$S251/ORCAMENTO_VALOR_TOTAL_ND</f>
        <v>0</v>
      </c>
      <c r="Y251" s="158">
        <f t="shared" ref="Y251" si="588">$T251/ORCAMENTO_VALOR_TOTAL_DE</f>
        <v>0</v>
      </c>
      <c r="Z251" s="158" cm="1">
        <f t="array" ref="Z251">_xlfn.SWITCH($N251,"BDI 1",$O$6,"BDI 2",$O$7,"BDI 3",$O$8)</f>
        <v>0.20699999999999999</v>
      </c>
      <c r="AA251" s="158" cm="1">
        <f t="array" ref="AA251">_xlfn.SWITCH($N251,"BDI 1",$P$6,"BDI 2",$P$7,"BDI 3",$P$8)</f>
        <v>0.26739999999999997</v>
      </c>
      <c r="AB251" s="158">
        <f t="shared" ca="1" si="446"/>
        <v>0</v>
      </c>
      <c r="AC251" s="158">
        <f t="shared" ca="1" si="447"/>
        <v>0</v>
      </c>
      <c r="AD251" s="164"/>
      <c r="AE251" s="148">
        <f t="shared" si="433"/>
        <v>0</v>
      </c>
      <c r="AF251" s="149"/>
      <c r="AG251" s="150"/>
      <c r="AH251" s="159" t="e">
        <f t="shared" si="434"/>
        <v>#DIV/0!</v>
      </c>
      <c r="AI251" s="195"/>
      <c r="AJ251" s="198">
        <v>88</v>
      </c>
      <c r="AK251" s="199">
        <f t="shared" si="549"/>
        <v>0</v>
      </c>
      <c r="AM251" s="105"/>
      <c r="AN251" s="105"/>
      <c r="AO251" s="105"/>
      <c r="AP251" s="105"/>
      <c r="AQ251" s="105"/>
      <c r="AR251" s="105"/>
    </row>
    <row r="252" spans="1:44" s="49" customFormat="1" ht="40.15" hidden="1" customHeight="1">
      <c r="A252" s="152">
        <f t="shared" ca="1" si="435"/>
        <v>0</v>
      </c>
      <c r="B252" s="153">
        <v>94878</v>
      </c>
      <c r="C252" s="154" t="str">
        <f t="shared" si="436"/>
        <v>94878</v>
      </c>
      <c r="D252" s="154" t="s">
        <v>1416</v>
      </c>
      <c r="E252" s="155" t="s">
        <v>3720</v>
      </c>
      <c r="F252" s="154"/>
      <c r="G252" s="154" t="s">
        <v>58</v>
      </c>
      <c r="H252" s="152">
        <v>30.73</v>
      </c>
      <c r="I252" s="152">
        <v>29.86</v>
      </c>
      <c r="J252" s="156"/>
      <c r="K252" s="156">
        <f>Dre_Disp_Estruturais!AI52</f>
        <v>0</v>
      </c>
      <c r="L252" s="156">
        <f t="shared" si="437"/>
        <v>0</v>
      </c>
      <c r="M252" s="156">
        <f t="shared" si="438"/>
        <v>0</v>
      </c>
      <c r="N252" s="156" t="s">
        <v>83</v>
      </c>
      <c r="O252" s="157" cm="1">
        <f t="array" ref="O252">TRUNC($H252*(1+_xlfn.SWITCH($N252,"BDI 1",$O$6,"BDI 2",$O$7,"BDI 3",$O$8)),2)</f>
        <v>37.090000000000003</v>
      </c>
      <c r="P252" s="157" cm="1">
        <f t="array" ref="P252">TRUNC($I252*(1+_xlfn.SWITCH($N252,"BDI 1",$P$6,"BDI 2",$P$7,"BDI 3",$P$8)),2)</f>
        <v>37.840000000000003</v>
      </c>
      <c r="Q252" s="157">
        <v>0</v>
      </c>
      <c r="R252" s="157">
        <f t="shared" ref="R252" si="589">$Q252-($Q252*LICITACAO_DESCONTO)</f>
        <v>0</v>
      </c>
      <c r="S252" s="156">
        <f t="shared" si="440"/>
        <v>0</v>
      </c>
      <c r="T252" s="156">
        <f t="shared" si="441"/>
        <v>0</v>
      </c>
      <c r="U252" s="156">
        <f t="shared" si="442"/>
        <v>0</v>
      </c>
      <c r="V252" s="156">
        <f t="shared" si="443"/>
        <v>0</v>
      </c>
      <c r="W252" s="156">
        <f t="shared" si="430"/>
        <v>0</v>
      </c>
      <c r="X252" s="158">
        <f t="shared" ref="X252" si="590">$S252/ORCAMENTO_VALOR_TOTAL_ND</f>
        <v>0</v>
      </c>
      <c r="Y252" s="158">
        <f t="shared" ref="Y252" si="591">$T252/ORCAMENTO_VALOR_TOTAL_DE</f>
        <v>0</v>
      </c>
      <c r="Z252" s="158" cm="1">
        <f t="array" ref="Z252">_xlfn.SWITCH($N252,"BDI 1",$O$6,"BDI 2",$O$7,"BDI 3",$O$8)</f>
        <v>0.20699999999999999</v>
      </c>
      <c r="AA252" s="158" cm="1">
        <f t="array" ref="AA252">_xlfn.SWITCH($N252,"BDI 1",$P$6,"BDI 2",$P$7,"BDI 3",$P$8)</f>
        <v>0.26739999999999997</v>
      </c>
      <c r="AB252" s="158">
        <f t="shared" ca="1" si="446"/>
        <v>0</v>
      </c>
      <c r="AC252" s="158">
        <f t="shared" ca="1" si="447"/>
        <v>0</v>
      </c>
      <c r="AD252" s="164"/>
      <c r="AE252" s="148">
        <f t="shared" si="433"/>
        <v>0</v>
      </c>
      <c r="AF252" s="149"/>
      <c r="AG252" s="150"/>
      <c r="AH252" s="159" t="e">
        <f t="shared" si="434"/>
        <v>#DIV/0!</v>
      </c>
      <c r="AI252" s="195"/>
      <c r="AJ252" s="198">
        <v>78</v>
      </c>
      <c r="AK252" s="199">
        <f t="shared" si="549"/>
        <v>0</v>
      </c>
      <c r="AM252" s="105"/>
      <c r="AN252" s="105"/>
      <c r="AO252" s="105"/>
      <c r="AP252" s="105"/>
      <c r="AQ252" s="105"/>
      <c r="AR252" s="105"/>
    </row>
    <row r="253" spans="1:44" s="49" customFormat="1" ht="40.15" hidden="1" customHeight="1">
      <c r="A253" s="152">
        <f t="shared" ca="1" si="435"/>
        <v>0</v>
      </c>
      <c r="B253" s="153">
        <v>94880</v>
      </c>
      <c r="C253" s="154" t="str">
        <f t="shared" si="436"/>
        <v>94880</v>
      </c>
      <c r="D253" s="154" t="s">
        <v>1416</v>
      </c>
      <c r="E253" s="155" t="s">
        <v>3721</v>
      </c>
      <c r="F253" s="154"/>
      <c r="G253" s="154" t="s">
        <v>58</v>
      </c>
      <c r="H253" s="152">
        <v>40.15</v>
      </c>
      <c r="I253" s="152">
        <v>39.090000000000003</v>
      </c>
      <c r="J253" s="156"/>
      <c r="K253" s="156">
        <f>Dre_Disp_Estruturais!AI53</f>
        <v>0</v>
      </c>
      <c r="L253" s="156">
        <f t="shared" si="437"/>
        <v>0</v>
      </c>
      <c r="M253" s="156">
        <f t="shared" si="438"/>
        <v>0</v>
      </c>
      <c r="N253" s="156" t="s">
        <v>83</v>
      </c>
      <c r="O253" s="157" cm="1">
        <f t="array" ref="O253">TRUNC($H253*(1+_xlfn.SWITCH($N253,"BDI 1",$O$6,"BDI 2",$O$7,"BDI 3",$O$8)),2)</f>
        <v>48.46</v>
      </c>
      <c r="P253" s="157" cm="1">
        <f t="array" ref="P253">TRUNC($I253*(1+_xlfn.SWITCH($N253,"BDI 1",$P$6,"BDI 2",$P$7,"BDI 3",$P$8)),2)</f>
        <v>49.54</v>
      </c>
      <c r="Q253" s="157">
        <v>0</v>
      </c>
      <c r="R253" s="157">
        <f t="shared" ref="R253" si="592">$Q253-($Q253*LICITACAO_DESCONTO)</f>
        <v>0</v>
      </c>
      <c r="S253" s="156">
        <f t="shared" si="440"/>
        <v>0</v>
      </c>
      <c r="T253" s="156">
        <f t="shared" si="441"/>
        <v>0</v>
      </c>
      <c r="U253" s="156">
        <f t="shared" si="442"/>
        <v>0</v>
      </c>
      <c r="V253" s="156">
        <f t="shared" si="443"/>
        <v>0</v>
      </c>
      <c r="W253" s="156">
        <f t="shared" si="430"/>
        <v>0</v>
      </c>
      <c r="X253" s="158">
        <f t="shared" ref="X253" si="593">$S253/ORCAMENTO_VALOR_TOTAL_ND</f>
        <v>0</v>
      </c>
      <c r="Y253" s="158">
        <f t="shared" ref="Y253" si="594">$T253/ORCAMENTO_VALOR_TOTAL_DE</f>
        <v>0</v>
      </c>
      <c r="Z253" s="158" cm="1">
        <f t="array" ref="Z253">_xlfn.SWITCH($N253,"BDI 1",$O$6,"BDI 2",$O$7,"BDI 3",$O$8)</f>
        <v>0.20699999999999999</v>
      </c>
      <c r="AA253" s="158" cm="1">
        <f t="array" ref="AA253">_xlfn.SWITCH($N253,"BDI 1",$P$6,"BDI 2",$P$7,"BDI 3",$P$8)</f>
        <v>0.26739999999999997</v>
      </c>
      <c r="AB253" s="158">
        <f t="shared" ca="1" si="446"/>
        <v>0</v>
      </c>
      <c r="AC253" s="158">
        <f t="shared" ca="1" si="447"/>
        <v>0</v>
      </c>
      <c r="AD253" s="164"/>
      <c r="AE253" s="148">
        <f t="shared" si="433"/>
        <v>0</v>
      </c>
      <c r="AF253" s="149"/>
      <c r="AG253" s="150"/>
      <c r="AH253" s="159" t="e">
        <f t="shared" si="434"/>
        <v>#DIV/0!</v>
      </c>
      <c r="AI253" s="195"/>
      <c r="AJ253" s="198">
        <v>72</v>
      </c>
      <c r="AK253" s="199">
        <f t="shared" si="549"/>
        <v>0</v>
      </c>
      <c r="AM253" s="105"/>
      <c r="AN253" s="105"/>
      <c r="AO253" s="105"/>
      <c r="AP253" s="105"/>
      <c r="AQ253" s="105"/>
      <c r="AR253" s="105"/>
    </row>
    <row r="254" spans="1:44" s="49" customFormat="1" ht="40.15" hidden="1" customHeight="1">
      <c r="A254" s="152">
        <f t="shared" ca="1" si="435"/>
        <v>0</v>
      </c>
      <c r="B254" s="153">
        <v>94882</v>
      </c>
      <c r="C254" s="154" t="str">
        <f t="shared" si="436"/>
        <v>94882</v>
      </c>
      <c r="D254" s="154" t="s">
        <v>1416</v>
      </c>
      <c r="E254" s="155" t="s">
        <v>3722</v>
      </c>
      <c r="F254" s="154"/>
      <c r="G254" s="154" t="s">
        <v>58</v>
      </c>
      <c r="H254" s="152">
        <v>46.42</v>
      </c>
      <c r="I254" s="152">
        <v>45.16</v>
      </c>
      <c r="J254" s="156"/>
      <c r="K254" s="156">
        <f>Dre_Disp_Estruturais!AI54</f>
        <v>0</v>
      </c>
      <c r="L254" s="156">
        <f t="shared" si="437"/>
        <v>0</v>
      </c>
      <c r="M254" s="156">
        <f t="shared" si="438"/>
        <v>0</v>
      </c>
      <c r="N254" s="156" t="s">
        <v>83</v>
      </c>
      <c r="O254" s="157" cm="1">
        <f t="array" ref="O254">TRUNC($H254*(1+_xlfn.SWITCH($N254,"BDI 1",$O$6,"BDI 2",$O$7,"BDI 3",$O$8)),2)</f>
        <v>56.02</v>
      </c>
      <c r="P254" s="157" cm="1">
        <f t="array" ref="P254">TRUNC($I254*(1+_xlfn.SWITCH($N254,"BDI 1",$P$6,"BDI 2",$P$7,"BDI 3",$P$8)),2)</f>
        <v>57.23</v>
      </c>
      <c r="Q254" s="157">
        <v>0</v>
      </c>
      <c r="R254" s="157">
        <f t="shared" ref="R254" si="595">$Q254-($Q254*LICITACAO_DESCONTO)</f>
        <v>0</v>
      </c>
      <c r="S254" s="156">
        <f t="shared" si="440"/>
        <v>0</v>
      </c>
      <c r="T254" s="156">
        <f t="shared" si="441"/>
        <v>0</v>
      </c>
      <c r="U254" s="156">
        <f t="shared" si="442"/>
        <v>0</v>
      </c>
      <c r="V254" s="156">
        <f t="shared" si="443"/>
        <v>0</v>
      </c>
      <c r="W254" s="156">
        <f t="shared" si="430"/>
        <v>0</v>
      </c>
      <c r="X254" s="158">
        <f t="shared" ref="X254" si="596">$S254/ORCAMENTO_VALOR_TOTAL_ND</f>
        <v>0</v>
      </c>
      <c r="Y254" s="158">
        <f t="shared" ref="Y254" si="597">$T254/ORCAMENTO_VALOR_TOTAL_DE</f>
        <v>0</v>
      </c>
      <c r="Z254" s="158" cm="1">
        <f t="array" ref="Z254">_xlfn.SWITCH($N254,"BDI 1",$O$6,"BDI 2",$O$7,"BDI 3",$O$8)</f>
        <v>0.20699999999999999</v>
      </c>
      <c r="AA254" s="158" cm="1">
        <f t="array" ref="AA254">_xlfn.SWITCH($N254,"BDI 1",$P$6,"BDI 2",$P$7,"BDI 3",$P$8)</f>
        <v>0.26739999999999997</v>
      </c>
      <c r="AB254" s="158">
        <f t="shared" ca="1" si="446"/>
        <v>0</v>
      </c>
      <c r="AC254" s="158">
        <f t="shared" ca="1" si="447"/>
        <v>0</v>
      </c>
      <c r="AD254" s="164"/>
      <c r="AE254" s="148">
        <f t="shared" si="433"/>
        <v>0</v>
      </c>
      <c r="AF254" s="149"/>
      <c r="AG254" s="150"/>
      <c r="AH254" s="159" t="e">
        <f t="shared" si="434"/>
        <v>#DIV/0!</v>
      </c>
      <c r="AI254" s="195"/>
      <c r="AJ254" s="198">
        <v>68</v>
      </c>
      <c r="AK254" s="199">
        <f t="shared" si="549"/>
        <v>0</v>
      </c>
      <c r="AM254" s="105"/>
      <c r="AN254" s="105"/>
      <c r="AO254" s="105"/>
      <c r="AP254" s="105"/>
      <c r="AQ254" s="105"/>
      <c r="AR254" s="105"/>
    </row>
    <row r="255" spans="1:44" s="49" customFormat="1" ht="40.15" hidden="1" customHeight="1">
      <c r="A255" s="152">
        <f t="shared" ca="1" si="435"/>
        <v>0</v>
      </c>
      <c r="B255" s="153">
        <v>94884</v>
      </c>
      <c r="C255" s="154" t="str">
        <f t="shared" si="436"/>
        <v>94884</v>
      </c>
      <c r="D255" s="154" t="s">
        <v>1416</v>
      </c>
      <c r="E255" s="155" t="s">
        <v>3723</v>
      </c>
      <c r="F255" s="154"/>
      <c r="G255" s="154" t="s">
        <v>58</v>
      </c>
      <c r="H255" s="152">
        <v>59.12</v>
      </c>
      <c r="I255" s="152">
        <v>57.45</v>
      </c>
      <c r="J255" s="156"/>
      <c r="K255" s="156">
        <f>Dre_Disp_Estruturais!AI55</f>
        <v>0</v>
      </c>
      <c r="L255" s="156">
        <f t="shared" si="437"/>
        <v>0</v>
      </c>
      <c r="M255" s="156">
        <f t="shared" si="438"/>
        <v>0</v>
      </c>
      <c r="N255" s="156" t="s">
        <v>83</v>
      </c>
      <c r="O255" s="157" cm="1">
        <f t="array" ref="O255">TRUNC($H255*(1+_xlfn.SWITCH($N255,"BDI 1",$O$6,"BDI 2",$O$7,"BDI 3",$O$8)),2)</f>
        <v>71.349999999999994</v>
      </c>
      <c r="P255" s="157" cm="1">
        <f t="array" ref="P255">TRUNC($I255*(1+_xlfn.SWITCH($N255,"BDI 1",$P$6,"BDI 2",$P$7,"BDI 3",$P$8)),2)</f>
        <v>72.81</v>
      </c>
      <c r="Q255" s="157">
        <v>0</v>
      </c>
      <c r="R255" s="157">
        <f t="shared" ref="R255" si="598">$Q255-($Q255*LICITACAO_DESCONTO)</f>
        <v>0</v>
      </c>
      <c r="S255" s="156">
        <f t="shared" si="440"/>
        <v>0</v>
      </c>
      <c r="T255" s="156">
        <f t="shared" si="441"/>
        <v>0</v>
      </c>
      <c r="U255" s="156">
        <f t="shared" si="442"/>
        <v>0</v>
      </c>
      <c r="V255" s="156">
        <f t="shared" si="443"/>
        <v>0</v>
      </c>
      <c r="W255" s="156">
        <f t="shared" si="430"/>
        <v>0</v>
      </c>
      <c r="X255" s="158">
        <f t="shared" ref="X255" si="599">$S255/ORCAMENTO_VALOR_TOTAL_ND</f>
        <v>0</v>
      </c>
      <c r="Y255" s="158">
        <f t="shared" ref="Y255" si="600">$T255/ORCAMENTO_VALOR_TOTAL_DE</f>
        <v>0</v>
      </c>
      <c r="Z255" s="158" cm="1">
        <f t="array" ref="Z255">_xlfn.SWITCH($N255,"BDI 1",$O$6,"BDI 2",$O$7,"BDI 3",$O$8)</f>
        <v>0.20699999999999999</v>
      </c>
      <c r="AA255" s="158" cm="1">
        <f t="array" ref="AA255">_xlfn.SWITCH($N255,"BDI 1",$P$6,"BDI 2",$P$7,"BDI 3",$P$8)</f>
        <v>0.26739999999999997</v>
      </c>
      <c r="AB255" s="158">
        <f t="shared" ca="1" si="446"/>
        <v>0</v>
      </c>
      <c r="AC255" s="158">
        <f t="shared" ca="1" si="447"/>
        <v>0</v>
      </c>
      <c r="AD255" s="164"/>
      <c r="AE255" s="148">
        <f t="shared" si="433"/>
        <v>0</v>
      </c>
      <c r="AF255" s="149"/>
      <c r="AG255" s="150"/>
      <c r="AH255" s="159" t="e">
        <f t="shared" si="434"/>
        <v>#DIV/0!</v>
      </c>
      <c r="AI255" s="195"/>
      <c r="AJ255" s="198">
        <v>60</v>
      </c>
      <c r="AK255" s="199">
        <f t="shared" si="549"/>
        <v>0</v>
      </c>
      <c r="AM255" s="105"/>
      <c r="AN255" s="105"/>
      <c r="AO255" s="105"/>
      <c r="AP255" s="105"/>
      <c r="AQ255" s="105"/>
      <c r="AR255" s="105"/>
    </row>
    <row r="256" spans="1:44" s="49" customFormat="1" ht="40.15" hidden="1" customHeight="1">
      <c r="A256" s="152">
        <f t="shared" ca="1" si="435"/>
        <v>0</v>
      </c>
      <c r="B256" s="153" t="s">
        <v>155</v>
      </c>
      <c r="C256" s="154" t="str">
        <f t="shared" si="436"/>
        <v>DR/0091</v>
      </c>
      <c r="D256" s="154" t="s">
        <v>3549</v>
      </c>
      <c r="E256" s="155" t="s">
        <v>3724</v>
      </c>
      <c r="F256" s="154"/>
      <c r="G256" s="154" t="s">
        <v>58</v>
      </c>
      <c r="H256" s="152">
        <v>116.94</v>
      </c>
      <c r="I256" s="152">
        <v>110.9</v>
      </c>
      <c r="J256" s="156"/>
      <c r="K256" s="156">
        <f>Dre_Disp_Estruturais!AI56</f>
        <v>0</v>
      </c>
      <c r="L256" s="156">
        <f t="shared" si="437"/>
        <v>0</v>
      </c>
      <c r="M256" s="156">
        <f t="shared" si="438"/>
        <v>0</v>
      </c>
      <c r="N256" s="156" t="s">
        <v>83</v>
      </c>
      <c r="O256" s="157" cm="1">
        <f t="array" ref="O256">TRUNC($H256*(1+_xlfn.SWITCH($N256,"BDI 1",$O$6,"BDI 2",$O$7,"BDI 3",$O$8)),2)</f>
        <v>141.13999999999999</v>
      </c>
      <c r="P256" s="157" cm="1">
        <f t="array" ref="P256">TRUNC($I256*(1+_xlfn.SWITCH($N256,"BDI 1",$P$6,"BDI 2",$P$7,"BDI 3",$P$8)),2)</f>
        <v>140.55000000000001</v>
      </c>
      <c r="Q256" s="157">
        <v>0</v>
      </c>
      <c r="R256" s="157">
        <f t="shared" ref="R256" si="601">$Q256-($Q256*LICITACAO_DESCONTO)</f>
        <v>0</v>
      </c>
      <c r="S256" s="156">
        <f t="shared" si="440"/>
        <v>0</v>
      </c>
      <c r="T256" s="156">
        <f t="shared" si="441"/>
        <v>0</v>
      </c>
      <c r="U256" s="156">
        <f t="shared" si="442"/>
        <v>0</v>
      </c>
      <c r="V256" s="156">
        <f t="shared" si="443"/>
        <v>0</v>
      </c>
      <c r="W256" s="156">
        <f t="shared" si="430"/>
        <v>0</v>
      </c>
      <c r="X256" s="158">
        <f t="shared" ref="X256" si="602">$S256/ORCAMENTO_VALOR_TOTAL_ND</f>
        <v>0</v>
      </c>
      <c r="Y256" s="158">
        <f t="shared" ref="Y256" si="603">$T256/ORCAMENTO_VALOR_TOTAL_DE</f>
        <v>0</v>
      </c>
      <c r="Z256" s="158" cm="1">
        <f t="array" ref="Z256">_xlfn.SWITCH($N256,"BDI 1",$O$6,"BDI 2",$O$7,"BDI 3",$O$8)</f>
        <v>0.20699999999999999</v>
      </c>
      <c r="AA256" s="158" cm="1">
        <f t="array" ref="AA256">_xlfn.SWITCH($N256,"BDI 1",$P$6,"BDI 2",$P$7,"BDI 3",$P$8)</f>
        <v>0.26739999999999997</v>
      </c>
      <c r="AB256" s="158">
        <f t="shared" ca="1" si="446"/>
        <v>0</v>
      </c>
      <c r="AC256" s="158">
        <f t="shared" ca="1" si="447"/>
        <v>0</v>
      </c>
      <c r="AD256" s="164"/>
      <c r="AE256" s="148">
        <f t="shared" si="433"/>
        <v>0</v>
      </c>
      <c r="AF256" s="149"/>
      <c r="AG256" s="150"/>
      <c r="AH256" s="159" t="e">
        <f t="shared" si="434"/>
        <v>#DIV/0!</v>
      </c>
      <c r="AI256" s="195"/>
      <c r="AJ256" s="198">
        <v>0</v>
      </c>
      <c r="AK256" s="199" t="e">
        <f t="shared" si="549"/>
        <v>#DIV/0!</v>
      </c>
      <c r="AM256" s="105"/>
      <c r="AN256" s="105"/>
      <c r="AO256" s="105"/>
      <c r="AP256" s="105"/>
      <c r="AQ256" s="105"/>
      <c r="AR256" s="105"/>
    </row>
    <row r="257" spans="1:44" s="49" customFormat="1" ht="49.9" hidden="1" customHeight="1">
      <c r="A257" s="152">
        <f t="shared" ca="1" si="435"/>
        <v>0</v>
      </c>
      <c r="B257" s="153">
        <v>37476</v>
      </c>
      <c r="C257" s="154" t="str">
        <f t="shared" si="436"/>
        <v>37476</v>
      </c>
      <c r="D257" s="154" t="s">
        <v>3579</v>
      </c>
      <c r="E257" s="155" t="s">
        <v>3725</v>
      </c>
      <c r="F257" s="154"/>
      <c r="G257" s="154" t="s">
        <v>1412</v>
      </c>
      <c r="H257" s="152">
        <v>4292.7700000000004</v>
      </c>
      <c r="I257" s="152">
        <v>4292.7700000000004</v>
      </c>
      <c r="J257" s="156"/>
      <c r="K257" s="156">
        <f>K256</f>
        <v>0</v>
      </c>
      <c r="L257" s="156">
        <f t="shared" si="437"/>
        <v>0</v>
      </c>
      <c r="M257" s="156">
        <f t="shared" si="438"/>
        <v>0</v>
      </c>
      <c r="N257" s="156" t="s">
        <v>92</v>
      </c>
      <c r="O257" s="157" cm="1">
        <f t="array" ref="O257">TRUNC($H257*(1+_xlfn.SWITCH($N257,"BDI 1",$O$6,"BDI 2",$O$7,"BDI 3",$O$8)),2)</f>
        <v>4948.2700000000004</v>
      </c>
      <c r="P257" s="157" cm="1">
        <f t="array" ref="P257">TRUNC($I257*(1+_xlfn.SWITCH($N257,"BDI 1",$P$6,"BDI 2",$P$7,"BDI 3",$P$8)),2)</f>
        <v>4948.2700000000004</v>
      </c>
      <c r="Q257" s="157">
        <v>0</v>
      </c>
      <c r="R257" s="157">
        <f t="shared" ref="R257" si="604">$Q257-($Q257*LICITACAO_DESCONTO)</f>
        <v>0</v>
      </c>
      <c r="S257" s="156">
        <f t="shared" si="440"/>
        <v>0</v>
      </c>
      <c r="T257" s="156">
        <f t="shared" si="441"/>
        <v>0</v>
      </c>
      <c r="U257" s="156">
        <f t="shared" si="442"/>
        <v>0</v>
      </c>
      <c r="V257" s="156">
        <f t="shared" si="443"/>
        <v>0</v>
      </c>
      <c r="W257" s="156">
        <f t="shared" si="430"/>
        <v>0</v>
      </c>
      <c r="X257" s="158">
        <f t="shared" ref="X257" si="605">$S257/ORCAMENTO_VALOR_TOTAL_ND</f>
        <v>0</v>
      </c>
      <c r="Y257" s="158">
        <f t="shared" ref="Y257" si="606">$T257/ORCAMENTO_VALOR_TOTAL_DE</f>
        <v>0</v>
      </c>
      <c r="Z257" s="158" cm="1">
        <f t="array" ref="Z257">_xlfn.SWITCH($N257,"BDI 1",$O$6,"BDI 2",$O$7,"BDI 3",$O$8)</f>
        <v>0.1527</v>
      </c>
      <c r="AA257" s="158" cm="1">
        <f t="array" ref="AA257">_xlfn.SWITCH($N257,"BDI 1",$P$6,"BDI 2",$P$7,"BDI 3",$P$8)</f>
        <v>0.1527</v>
      </c>
      <c r="AB257" s="158">
        <f t="shared" ca="1" si="446"/>
        <v>0</v>
      </c>
      <c r="AC257" s="158">
        <f t="shared" ca="1" si="447"/>
        <v>0</v>
      </c>
      <c r="AD257" s="164"/>
      <c r="AE257" s="148">
        <f t="shared" si="433"/>
        <v>0</v>
      </c>
      <c r="AF257" s="149"/>
      <c r="AG257" s="150"/>
      <c r="AH257" s="159" t="e">
        <f t="shared" si="434"/>
        <v>#DIV/0!</v>
      </c>
      <c r="AI257" s="195"/>
      <c r="AJ257" s="198">
        <v>3.32</v>
      </c>
      <c r="AK257" s="199">
        <f t="shared" si="549"/>
        <v>0</v>
      </c>
      <c r="AM257" s="105"/>
      <c r="AN257" s="105"/>
      <c r="AO257" s="105"/>
      <c r="AP257" s="105"/>
      <c r="AQ257" s="105"/>
      <c r="AR257" s="105"/>
    </row>
    <row r="258" spans="1:44" s="49" customFormat="1" ht="40.15" hidden="1" customHeight="1">
      <c r="A258" s="152">
        <f t="shared" ca="1" si="435"/>
        <v>0</v>
      </c>
      <c r="B258" s="153" t="s">
        <v>156</v>
      </c>
      <c r="C258" s="154" t="str">
        <f t="shared" si="436"/>
        <v>DR/0096</v>
      </c>
      <c r="D258" s="154" t="s">
        <v>3549</v>
      </c>
      <c r="E258" s="155" t="s">
        <v>3726</v>
      </c>
      <c r="F258" s="154"/>
      <c r="G258" s="154" t="s">
        <v>58</v>
      </c>
      <c r="H258" s="152">
        <v>155.26</v>
      </c>
      <c r="I258" s="152">
        <v>147.01</v>
      </c>
      <c r="J258" s="156"/>
      <c r="K258" s="156">
        <f>Dre_Disp_Estruturais!AI57</f>
        <v>0</v>
      </c>
      <c r="L258" s="156">
        <f t="shared" si="437"/>
        <v>0</v>
      </c>
      <c r="M258" s="156">
        <f t="shared" si="438"/>
        <v>0</v>
      </c>
      <c r="N258" s="156" t="s">
        <v>83</v>
      </c>
      <c r="O258" s="157" cm="1">
        <f t="array" ref="O258">TRUNC($H258*(1+_xlfn.SWITCH($N258,"BDI 1",$O$6,"BDI 2",$O$7,"BDI 3",$O$8)),2)</f>
        <v>187.39</v>
      </c>
      <c r="P258" s="157" cm="1">
        <f t="array" ref="P258">TRUNC($I258*(1+_xlfn.SWITCH($N258,"BDI 1",$P$6,"BDI 2",$P$7,"BDI 3",$P$8)),2)</f>
        <v>186.32</v>
      </c>
      <c r="Q258" s="157">
        <v>0</v>
      </c>
      <c r="R258" s="157">
        <f t="shared" ref="R258" si="607">$Q258-($Q258*LICITACAO_DESCONTO)</f>
        <v>0</v>
      </c>
      <c r="S258" s="156">
        <f t="shared" si="440"/>
        <v>0</v>
      </c>
      <c r="T258" s="156">
        <f t="shared" si="441"/>
        <v>0</v>
      </c>
      <c r="U258" s="156">
        <f t="shared" si="442"/>
        <v>0</v>
      </c>
      <c r="V258" s="156">
        <f t="shared" si="443"/>
        <v>0</v>
      </c>
      <c r="W258" s="156">
        <f t="shared" si="430"/>
        <v>0</v>
      </c>
      <c r="X258" s="158">
        <f t="shared" ref="X258" si="608">$S258/ORCAMENTO_VALOR_TOTAL_ND</f>
        <v>0</v>
      </c>
      <c r="Y258" s="158">
        <f t="shared" ref="Y258" si="609">$T258/ORCAMENTO_VALOR_TOTAL_DE</f>
        <v>0</v>
      </c>
      <c r="Z258" s="158" cm="1">
        <f t="array" ref="Z258">_xlfn.SWITCH($N258,"BDI 1",$O$6,"BDI 2",$O$7,"BDI 3",$O$8)</f>
        <v>0.20699999999999999</v>
      </c>
      <c r="AA258" s="158" cm="1">
        <f t="array" ref="AA258">_xlfn.SWITCH($N258,"BDI 1",$P$6,"BDI 2",$P$7,"BDI 3",$P$8)</f>
        <v>0.26739999999999997</v>
      </c>
      <c r="AB258" s="158">
        <f t="shared" ca="1" si="446"/>
        <v>0</v>
      </c>
      <c r="AC258" s="158">
        <f t="shared" ca="1" si="447"/>
        <v>0</v>
      </c>
      <c r="AD258" s="164"/>
      <c r="AE258" s="148">
        <f t="shared" si="433"/>
        <v>0</v>
      </c>
      <c r="AF258" s="149"/>
      <c r="AG258" s="150"/>
      <c r="AH258" s="159" t="e">
        <f t="shared" si="434"/>
        <v>#DIV/0!</v>
      </c>
      <c r="AI258" s="195"/>
      <c r="AJ258" s="198">
        <v>0</v>
      </c>
      <c r="AK258" s="199" t="e">
        <f t="shared" si="549"/>
        <v>#DIV/0!</v>
      </c>
      <c r="AM258" s="105"/>
      <c r="AN258" s="105"/>
      <c r="AO258" s="105"/>
      <c r="AP258" s="105"/>
      <c r="AQ258" s="105"/>
      <c r="AR258" s="105"/>
    </row>
    <row r="259" spans="1:44" s="49" customFormat="1" ht="49.9" hidden="1" customHeight="1">
      <c r="A259" s="152">
        <f t="shared" ca="1" si="435"/>
        <v>0</v>
      </c>
      <c r="B259" s="153">
        <v>37478</v>
      </c>
      <c r="C259" s="154" t="str">
        <f t="shared" si="436"/>
        <v>37478</v>
      </c>
      <c r="D259" s="154" t="s">
        <v>3579</v>
      </c>
      <c r="E259" s="155" t="s">
        <v>3727</v>
      </c>
      <c r="F259" s="154"/>
      <c r="G259" s="154" t="s">
        <v>1412</v>
      </c>
      <c r="H259" s="152">
        <v>5376.8</v>
      </c>
      <c r="I259" s="152">
        <v>5376.8</v>
      </c>
      <c r="J259" s="156"/>
      <c r="K259" s="156">
        <f>K258</f>
        <v>0</v>
      </c>
      <c r="L259" s="156">
        <f t="shared" si="437"/>
        <v>0</v>
      </c>
      <c r="M259" s="156">
        <f t="shared" si="438"/>
        <v>0</v>
      </c>
      <c r="N259" s="156" t="s">
        <v>92</v>
      </c>
      <c r="O259" s="157" cm="1">
        <f t="array" ref="O259">TRUNC($H259*(1+_xlfn.SWITCH($N259,"BDI 1",$O$6,"BDI 2",$O$7,"BDI 3",$O$8)),2)</f>
        <v>6197.83</v>
      </c>
      <c r="P259" s="157" cm="1">
        <f t="array" ref="P259">TRUNC($I259*(1+_xlfn.SWITCH($N259,"BDI 1",$P$6,"BDI 2",$P$7,"BDI 3",$P$8)),2)</f>
        <v>6197.83</v>
      </c>
      <c r="Q259" s="157">
        <v>0</v>
      </c>
      <c r="R259" s="157">
        <f t="shared" ref="R259" si="610">$Q259-($Q259*LICITACAO_DESCONTO)</f>
        <v>0</v>
      </c>
      <c r="S259" s="156">
        <f t="shared" si="440"/>
        <v>0</v>
      </c>
      <c r="T259" s="156">
        <f t="shared" si="441"/>
        <v>0</v>
      </c>
      <c r="U259" s="156">
        <f t="shared" si="442"/>
        <v>0</v>
      </c>
      <c r="V259" s="156">
        <f t="shared" si="443"/>
        <v>0</v>
      </c>
      <c r="W259" s="156">
        <f t="shared" si="430"/>
        <v>0</v>
      </c>
      <c r="X259" s="158">
        <f t="shared" ref="X259" si="611">$S259/ORCAMENTO_VALOR_TOTAL_ND</f>
        <v>0</v>
      </c>
      <c r="Y259" s="158">
        <f t="shared" ref="Y259" si="612">$T259/ORCAMENTO_VALOR_TOTAL_DE</f>
        <v>0</v>
      </c>
      <c r="Z259" s="158" cm="1">
        <f t="array" ref="Z259">_xlfn.SWITCH($N259,"BDI 1",$O$6,"BDI 2",$O$7,"BDI 3",$O$8)</f>
        <v>0.1527</v>
      </c>
      <c r="AA259" s="158" cm="1">
        <f t="array" ref="AA259">_xlfn.SWITCH($N259,"BDI 1",$P$6,"BDI 2",$P$7,"BDI 3",$P$8)</f>
        <v>0.1527</v>
      </c>
      <c r="AB259" s="158">
        <f t="shared" ca="1" si="446"/>
        <v>0</v>
      </c>
      <c r="AC259" s="158">
        <f t="shared" ca="1" si="447"/>
        <v>0</v>
      </c>
      <c r="AD259" s="164"/>
      <c r="AE259" s="148">
        <f t="shared" si="433"/>
        <v>0</v>
      </c>
      <c r="AF259" s="149"/>
      <c r="AG259" s="150"/>
      <c r="AH259" s="159" t="e">
        <f t="shared" si="434"/>
        <v>#DIV/0!</v>
      </c>
      <c r="AI259" s="195"/>
      <c r="AJ259" s="198">
        <v>2.85</v>
      </c>
      <c r="AK259" s="199">
        <f t="shared" si="549"/>
        <v>0</v>
      </c>
      <c r="AM259" s="105"/>
      <c r="AN259" s="105"/>
      <c r="AO259" s="105"/>
      <c r="AP259" s="105"/>
      <c r="AQ259" s="105"/>
      <c r="AR259" s="105"/>
    </row>
    <row r="260" spans="1:44" s="49" customFormat="1" ht="40.15" hidden="1" customHeight="1">
      <c r="A260" s="152">
        <f t="shared" ca="1" si="435"/>
        <v>0</v>
      </c>
      <c r="B260" s="153" t="s">
        <v>157</v>
      </c>
      <c r="C260" s="154" t="str">
        <f t="shared" si="436"/>
        <v>DR/0101</v>
      </c>
      <c r="D260" s="154" t="s">
        <v>3549</v>
      </c>
      <c r="E260" s="155" t="s">
        <v>3728</v>
      </c>
      <c r="F260" s="154"/>
      <c r="G260" s="154" t="s">
        <v>58</v>
      </c>
      <c r="H260" s="152">
        <v>232.86</v>
      </c>
      <c r="I260" s="152">
        <v>222.14</v>
      </c>
      <c r="J260" s="156"/>
      <c r="K260" s="156">
        <f>Dre_Disp_Estruturais!AI58</f>
        <v>0</v>
      </c>
      <c r="L260" s="156">
        <f t="shared" si="437"/>
        <v>0</v>
      </c>
      <c r="M260" s="156">
        <f t="shared" si="438"/>
        <v>0</v>
      </c>
      <c r="N260" s="156" t="s">
        <v>83</v>
      </c>
      <c r="O260" s="157" cm="1">
        <f t="array" ref="O260">TRUNC($H260*(1+_xlfn.SWITCH($N260,"BDI 1",$O$6,"BDI 2",$O$7,"BDI 3",$O$8)),2)</f>
        <v>281.06</v>
      </c>
      <c r="P260" s="157" cm="1">
        <f t="array" ref="P260">TRUNC($I260*(1+_xlfn.SWITCH($N260,"BDI 1",$P$6,"BDI 2",$P$7,"BDI 3",$P$8)),2)</f>
        <v>281.54000000000002</v>
      </c>
      <c r="Q260" s="157">
        <v>0</v>
      </c>
      <c r="R260" s="157">
        <f t="shared" ref="R260" si="613">$Q260-($Q260*LICITACAO_DESCONTO)</f>
        <v>0</v>
      </c>
      <c r="S260" s="156">
        <f t="shared" si="440"/>
        <v>0</v>
      </c>
      <c r="T260" s="156">
        <f t="shared" si="441"/>
        <v>0</v>
      </c>
      <c r="U260" s="156">
        <f t="shared" si="442"/>
        <v>0</v>
      </c>
      <c r="V260" s="156">
        <f t="shared" si="443"/>
        <v>0</v>
      </c>
      <c r="W260" s="156">
        <f t="shared" si="430"/>
        <v>0</v>
      </c>
      <c r="X260" s="158">
        <f t="shared" ref="X260" si="614">$S260/ORCAMENTO_VALOR_TOTAL_ND</f>
        <v>0</v>
      </c>
      <c r="Y260" s="158">
        <f t="shared" ref="Y260" si="615">$T260/ORCAMENTO_VALOR_TOTAL_DE</f>
        <v>0</v>
      </c>
      <c r="Z260" s="158" cm="1">
        <f t="array" ref="Z260">_xlfn.SWITCH($N260,"BDI 1",$O$6,"BDI 2",$O$7,"BDI 3",$O$8)</f>
        <v>0.20699999999999999</v>
      </c>
      <c r="AA260" s="158" cm="1">
        <f t="array" ref="AA260">_xlfn.SWITCH($N260,"BDI 1",$P$6,"BDI 2",$P$7,"BDI 3",$P$8)</f>
        <v>0.26739999999999997</v>
      </c>
      <c r="AB260" s="158">
        <f t="shared" ca="1" si="446"/>
        <v>0</v>
      </c>
      <c r="AC260" s="158">
        <f t="shared" ca="1" si="447"/>
        <v>0</v>
      </c>
      <c r="AD260" s="164"/>
      <c r="AE260" s="148">
        <f t="shared" si="433"/>
        <v>0</v>
      </c>
      <c r="AF260" s="149"/>
      <c r="AG260" s="150"/>
      <c r="AH260" s="159" t="e">
        <f t="shared" si="434"/>
        <v>#DIV/0!</v>
      </c>
      <c r="AI260" s="195"/>
      <c r="AJ260" s="198">
        <v>0</v>
      </c>
      <c r="AK260" s="199" t="e">
        <f t="shared" si="549"/>
        <v>#DIV/0!</v>
      </c>
      <c r="AM260" s="105"/>
      <c r="AN260" s="105"/>
      <c r="AO260" s="105"/>
      <c r="AP260" s="105"/>
      <c r="AQ260" s="105"/>
      <c r="AR260" s="105"/>
    </row>
    <row r="261" spans="1:44" s="49" customFormat="1" ht="49.9" hidden="1" customHeight="1">
      <c r="A261" s="152">
        <f t="shared" ca="1" si="435"/>
        <v>0</v>
      </c>
      <c r="B261" s="153">
        <v>37477</v>
      </c>
      <c r="C261" s="154" t="str">
        <f t="shared" si="436"/>
        <v>37477</v>
      </c>
      <c r="D261" s="154" t="s">
        <v>3579</v>
      </c>
      <c r="E261" s="155" t="s">
        <v>3729</v>
      </c>
      <c r="F261" s="154"/>
      <c r="G261" s="154" t="s">
        <v>1412</v>
      </c>
      <c r="H261" s="152">
        <v>7284.7</v>
      </c>
      <c r="I261" s="152">
        <v>7284.7</v>
      </c>
      <c r="J261" s="156"/>
      <c r="K261" s="156">
        <f>K260</f>
        <v>0</v>
      </c>
      <c r="L261" s="156">
        <f t="shared" si="437"/>
        <v>0</v>
      </c>
      <c r="M261" s="156">
        <f t="shared" si="438"/>
        <v>0</v>
      </c>
      <c r="N261" s="156" t="s">
        <v>92</v>
      </c>
      <c r="O261" s="157" cm="1">
        <f t="array" ref="O261">TRUNC($H261*(1+_xlfn.SWITCH($N261,"BDI 1",$O$6,"BDI 2",$O$7,"BDI 3",$O$8)),2)</f>
        <v>8397.07</v>
      </c>
      <c r="P261" s="157" cm="1">
        <f t="array" ref="P261">TRUNC($I261*(1+_xlfn.SWITCH($N261,"BDI 1",$P$6,"BDI 2",$P$7,"BDI 3",$P$8)),2)</f>
        <v>8397.07</v>
      </c>
      <c r="Q261" s="157">
        <v>0</v>
      </c>
      <c r="R261" s="157">
        <f t="shared" ref="R261" si="616">$Q261-($Q261*LICITACAO_DESCONTO)</f>
        <v>0</v>
      </c>
      <c r="S261" s="156">
        <f t="shared" si="440"/>
        <v>0</v>
      </c>
      <c r="T261" s="156">
        <f t="shared" si="441"/>
        <v>0</v>
      </c>
      <c r="U261" s="156">
        <f t="shared" si="442"/>
        <v>0</v>
      </c>
      <c r="V261" s="156">
        <f t="shared" si="443"/>
        <v>0</v>
      </c>
      <c r="W261" s="156">
        <f t="shared" si="430"/>
        <v>0</v>
      </c>
      <c r="X261" s="158">
        <f t="shared" ref="X261" si="617">$S261/ORCAMENTO_VALOR_TOTAL_ND</f>
        <v>0</v>
      </c>
      <c r="Y261" s="158">
        <f t="shared" ref="Y261" si="618">$T261/ORCAMENTO_VALOR_TOTAL_DE</f>
        <v>0</v>
      </c>
      <c r="Z261" s="158" cm="1">
        <f t="array" ref="Z261">_xlfn.SWITCH($N261,"BDI 1",$O$6,"BDI 2",$O$7,"BDI 3",$O$8)</f>
        <v>0.1527</v>
      </c>
      <c r="AA261" s="158" cm="1">
        <f t="array" ref="AA261">_xlfn.SWITCH($N261,"BDI 1",$P$6,"BDI 2",$P$7,"BDI 3",$P$8)</f>
        <v>0.1527</v>
      </c>
      <c r="AB261" s="158">
        <f t="shared" ca="1" si="446"/>
        <v>0</v>
      </c>
      <c r="AC261" s="158">
        <f t="shared" ca="1" si="447"/>
        <v>0</v>
      </c>
      <c r="AD261" s="164"/>
      <c r="AE261" s="148">
        <f t="shared" si="433"/>
        <v>0</v>
      </c>
      <c r="AF261" s="149"/>
      <c r="AG261" s="150"/>
      <c r="AH261" s="159" t="e">
        <f t="shared" si="434"/>
        <v>#DIV/0!</v>
      </c>
      <c r="AI261" s="195"/>
      <c r="AJ261" s="198">
        <v>2.4900000000000002</v>
      </c>
      <c r="AK261" s="199">
        <f t="shared" si="549"/>
        <v>0</v>
      </c>
      <c r="AM261" s="105"/>
      <c r="AN261" s="105"/>
      <c r="AO261" s="105"/>
      <c r="AP261" s="105"/>
      <c r="AQ261" s="105"/>
      <c r="AR261" s="105"/>
    </row>
    <row r="262" spans="1:44" s="49" customFormat="1" ht="40.15" hidden="1" customHeight="1">
      <c r="A262" s="152">
        <f t="shared" ca="1" si="435"/>
        <v>0</v>
      </c>
      <c r="B262" s="153" t="s">
        <v>158</v>
      </c>
      <c r="C262" s="154" t="str">
        <f t="shared" si="436"/>
        <v>DR/0106</v>
      </c>
      <c r="D262" s="154" t="s">
        <v>3549</v>
      </c>
      <c r="E262" s="155" t="s">
        <v>3730</v>
      </c>
      <c r="F262" s="154"/>
      <c r="G262" s="154" t="s">
        <v>58</v>
      </c>
      <c r="H262" s="152">
        <v>311.82</v>
      </c>
      <c r="I262" s="152">
        <v>297.45</v>
      </c>
      <c r="J262" s="156"/>
      <c r="K262" s="156">
        <f>Dre_Disp_Estruturais!AI59</f>
        <v>0</v>
      </c>
      <c r="L262" s="156">
        <f t="shared" si="437"/>
        <v>0</v>
      </c>
      <c r="M262" s="156">
        <f t="shared" si="438"/>
        <v>0</v>
      </c>
      <c r="N262" s="156" t="s">
        <v>83</v>
      </c>
      <c r="O262" s="157" cm="1">
        <f t="array" ref="O262">TRUNC($H262*(1+_xlfn.SWITCH($N262,"BDI 1",$O$6,"BDI 2",$O$7,"BDI 3",$O$8)),2)</f>
        <v>376.36</v>
      </c>
      <c r="P262" s="157" cm="1">
        <f t="array" ref="P262">TRUNC($I262*(1+_xlfn.SWITCH($N262,"BDI 1",$P$6,"BDI 2",$P$7,"BDI 3",$P$8)),2)</f>
        <v>376.98</v>
      </c>
      <c r="Q262" s="157">
        <v>0</v>
      </c>
      <c r="R262" s="157">
        <f t="shared" ref="R262" si="619">$Q262-($Q262*LICITACAO_DESCONTO)</f>
        <v>0</v>
      </c>
      <c r="S262" s="156">
        <f t="shared" si="440"/>
        <v>0</v>
      </c>
      <c r="T262" s="156">
        <f t="shared" si="441"/>
        <v>0</v>
      </c>
      <c r="U262" s="156">
        <f t="shared" si="442"/>
        <v>0</v>
      </c>
      <c r="V262" s="156">
        <f t="shared" si="443"/>
        <v>0</v>
      </c>
      <c r="W262" s="156">
        <f t="shared" si="430"/>
        <v>0</v>
      </c>
      <c r="X262" s="158">
        <f t="shared" ref="X262" si="620">$S262/ORCAMENTO_VALOR_TOTAL_ND</f>
        <v>0</v>
      </c>
      <c r="Y262" s="158">
        <f t="shared" ref="Y262" si="621">$T262/ORCAMENTO_VALOR_TOTAL_DE</f>
        <v>0</v>
      </c>
      <c r="Z262" s="158" cm="1">
        <f t="array" ref="Z262">_xlfn.SWITCH($N262,"BDI 1",$O$6,"BDI 2",$O$7,"BDI 3",$O$8)</f>
        <v>0.20699999999999999</v>
      </c>
      <c r="AA262" s="158" cm="1">
        <f t="array" ref="AA262">_xlfn.SWITCH($N262,"BDI 1",$P$6,"BDI 2",$P$7,"BDI 3",$P$8)</f>
        <v>0.26739999999999997</v>
      </c>
      <c r="AB262" s="158">
        <f t="shared" ca="1" si="446"/>
        <v>0</v>
      </c>
      <c r="AC262" s="158">
        <f t="shared" ca="1" si="447"/>
        <v>0</v>
      </c>
      <c r="AD262" s="164"/>
      <c r="AE262" s="148">
        <f t="shared" si="433"/>
        <v>0</v>
      </c>
      <c r="AF262" s="149"/>
      <c r="AG262" s="150"/>
      <c r="AH262" s="159" t="e">
        <f t="shared" si="434"/>
        <v>#DIV/0!</v>
      </c>
      <c r="AI262" s="195"/>
      <c r="AJ262" s="198">
        <v>0</v>
      </c>
      <c r="AK262" s="199" t="e">
        <f t="shared" si="549"/>
        <v>#DIV/0!</v>
      </c>
      <c r="AM262" s="105"/>
      <c r="AN262" s="105"/>
      <c r="AO262" s="105"/>
      <c r="AP262" s="105"/>
      <c r="AQ262" s="105"/>
      <c r="AR262" s="105"/>
    </row>
    <row r="263" spans="1:44" s="49" customFormat="1" ht="49.9" hidden="1" customHeight="1">
      <c r="A263" s="152">
        <f t="shared" ca="1" si="435"/>
        <v>0</v>
      </c>
      <c r="B263" s="153">
        <v>37479</v>
      </c>
      <c r="C263" s="154" t="str">
        <f t="shared" si="436"/>
        <v>37479</v>
      </c>
      <c r="D263" s="154" t="s">
        <v>3579</v>
      </c>
      <c r="E263" s="155" t="s">
        <v>3731</v>
      </c>
      <c r="F263" s="154"/>
      <c r="G263" s="154" t="s">
        <v>1412</v>
      </c>
      <c r="H263" s="152">
        <v>8639.74</v>
      </c>
      <c r="I263" s="152">
        <v>8639.74</v>
      </c>
      <c r="J263" s="156"/>
      <c r="K263" s="156">
        <f>K262</f>
        <v>0</v>
      </c>
      <c r="L263" s="156">
        <f t="shared" si="437"/>
        <v>0</v>
      </c>
      <c r="M263" s="156">
        <f t="shared" si="438"/>
        <v>0</v>
      </c>
      <c r="N263" s="156" t="s">
        <v>92</v>
      </c>
      <c r="O263" s="157" cm="1">
        <f t="array" ref="O263">TRUNC($H263*(1+_xlfn.SWITCH($N263,"BDI 1",$O$6,"BDI 2",$O$7,"BDI 3",$O$8)),2)</f>
        <v>9959.02</v>
      </c>
      <c r="P263" s="157" cm="1">
        <f t="array" ref="P263">TRUNC($I263*(1+_xlfn.SWITCH($N263,"BDI 1",$P$6,"BDI 2",$P$7,"BDI 3",$P$8)),2)</f>
        <v>9959.02</v>
      </c>
      <c r="Q263" s="157">
        <v>0</v>
      </c>
      <c r="R263" s="157">
        <f t="shared" ref="R263" si="622">$Q263-($Q263*LICITACAO_DESCONTO)</f>
        <v>0</v>
      </c>
      <c r="S263" s="156">
        <f t="shared" si="440"/>
        <v>0</v>
      </c>
      <c r="T263" s="156">
        <f t="shared" si="441"/>
        <v>0</v>
      </c>
      <c r="U263" s="156">
        <f t="shared" si="442"/>
        <v>0</v>
      </c>
      <c r="V263" s="156">
        <f t="shared" si="443"/>
        <v>0</v>
      </c>
      <c r="W263" s="156">
        <f t="shared" si="430"/>
        <v>0</v>
      </c>
      <c r="X263" s="158">
        <f t="shared" ref="X263" si="623">$S263/ORCAMENTO_VALOR_TOTAL_ND</f>
        <v>0</v>
      </c>
      <c r="Y263" s="158">
        <f t="shared" ref="Y263" si="624">$T263/ORCAMENTO_VALOR_TOTAL_DE</f>
        <v>0</v>
      </c>
      <c r="Z263" s="158" cm="1">
        <f t="array" ref="Z263">_xlfn.SWITCH($N263,"BDI 1",$O$6,"BDI 2",$O$7,"BDI 3",$O$8)</f>
        <v>0.1527</v>
      </c>
      <c r="AA263" s="158" cm="1">
        <f t="array" ref="AA263">_xlfn.SWITCH($N263,"BDI 1",$P$6,"BDI 2",$P$7,"BDI 3",$P$8)</f>
        <v>0.1527</v>
      </c>
      <c r="AB263" s="158">
        <f t="shared" ca="1" si="446"/>
        <v>0</v>
      </c>
      <c r="AC263" s="158">
        <f t="shared" ca="1" si="447"/>
        <v>0</v>
      </c>
      <c r="AD263" s="164"/>
      <c r="AE263" s="148">
        <f t="shared" si="433"/>
        <v>0</v>
      </c>
      <c r="AF263" s="149"/>
      <c r="AG263" s="150"/>
      <c r="AH263" s="159" t="e">
        <f t="shared" si="434"/>
        <v>#DIV/0!</v>
      </c>
      <c r="AI263" s="195"/>
      <c r="AJ263" s="198">
        <v>1.99</v>
      </c>
      <c r="AK263" s="199">
        <f t="shared" si="549"/>
        <v>0</v>
      </c>
      <c r="AM263" s="105"/>
      <c r="AN263" s="105"/>
      <c r="AO263" s="105"/>
      <c r="AP263" s="105"/>
      <c r="AQ263" s="105"/>
      <c r="AR263" s="105"/>
    </row>
    <row r="264" spans="1:44" s="49" customFormat="1" ht="40.15" hidden="1" customHeight="1">
      <c r="A264" s="152">
        <f t="shared" ca="1" si="435"/>
        <v>0</v>
      </c>
      <c r="B264" s="153">
        <v>101014</v>
      </c>
      <c r="C264" s="154" t="str">
        <f t="shared" si="436"/>
        <v>101014</v>
      </c>
      <c r="D264" s="154" t="s">
        <v>1416</v>
      </c>
      <c r="E264" s="155" t="s">
        <v>3732</v>
      </c>
      <c r="F264" s="154"/>
      <c r="G264" s="154" t="s">
        <v>3614</v>
      </c>
      <c r="H264" s="152">
        <v>39.659999999999997</v>
      </c>
      <c r="I264" s="152">
        <v>38.82</v>
      </c>
      <c r="J264" s="156"/>
      <c r="K264" s="156">
        <f>ROUND(K205*0.18,2)</f>
        <v>0</v>
      </c>
      <c r="L264" s="156">
        <f t="shared" si="437"/>
        <v>0</v>
      </c>
      <c r="M264" s="156">
        <f t="shared" si="438"/>
        <v>0</v>
      </c>
      <c r="N264" s="156" t="s">
        <v>83</v>
      </c>
      <c r="O264" s="157" cm="1">
        <f t="array" ref="O264">TRUNC($H264*(1+_xlfn.SWITCH($N264,"BDI 1",$O$6,"BDI 2",$O$7,"BDI 3",$O$8)),2)</f>
        <v>47.86</v>
      </c>
      <c r="P264" s="157" cm="1">
        <f t="array" ref="P264">TRUNC($I264*(1+_xlfn.SWITCH($N264,"BDI 1",$P$6,"BDI 2",$P$7,"BDI 3",$P$8)),2)</f>
        <v>49.2</v>
      </c>
      <c r="Q264" s="157">
        <v>0</v>
      </c>
      <c r="R264" s="157">
        <f t="shared" ref="R264" si="625">$Q264-($Q264*LICITACAO_DESCONTO)</f>
        <v>0</v>
      </c>
      <c r="S264" s="156">
        <f t="shared" si="440"/>
        <v>0</v>
      </c>
      <c r="T264" s="156">
        <f t="shared" si="441"/>
        <v>0</v>
      </c>
      <c r="U264" s="156">
        <f t="shared" si="442"/>
        <v>0</v>
      </c>
      <c r="V264" s="156">
        <f t="shared" si="443"/>
        <v>0</v>
      </c>
      <c r="W264" s="156">
        <f t="shared" si="430"/>
        <v>0</v>
      </c>
      <c r="X264" s="158">
        <f t="shared" ref="X264" si="626">$S264/ORCAMENTO_VALOR_TOTAL_ND</f>
        <v>0</v>
      </c>
      <c r="Y264" s="158">
        <f t="shared" ref="Y264" si="627">$T264/ORCAMENTO_VALOR_TOTAL_DE</f>
        <v>0</v>
      </c>
      <c r="Z264" s="158" cm="1">
        <f t="array" ref="Z264">_xlfn.SWITCH($N264,"BDI 1",$O$6,"BDI 2",$O$7,"BDI 3",$O$8)</f>
        <v>0.20699999999999999</v>
      </c>
      <c r="AA264" s="158" cm="1">
        <f t="array" ref="AA264">_xlfn.SWITCH($N264,"BDI 1",$P$6,"BDI 2",$P$7,"BDI 3",$P$8)</f>
        <v>0.26739999999999997</v>
      </c>
      <c r="AB264" s="158">
        <f t="shared" ca="1" si="446"/>
        <v>0</v>
      </c>
      <c r="AC264" s="158">
        <f t="shared" ca="1" si="447"/>
        <v>0</v>
      </c>
      <c r="AD264" s="164"/>
      <c r="AE264" s="148">
        <f t="shared" si="433"/>
        <v>0</v>
      </c>
      <c r="AF264" s="149"/>
      <c r="AG264" s="150"/>
      <c r="AH264" s="159" t="e">
        <v>#DIV/0!</v>
      </c>
      <c r="AI264" s="195" t="s">
        <v>159</v>
      </c>
      <c r="AJ264" s="196"/>
      <c r="AK264" s="197"/>
      <c r="AM264" s="105"/>
      <c r="AN264" s="105"/>
      <c r="AO264" s="105"/>
      <c r="AP264" s="105"/>
      <c r="AQ264" s="105"/>
      <c r="AR264" s="105"/>
    </row>
    <row r="265" spans="1:44" s="49" customFormat="1" ht="40.15" hidden="1" customHeight="1">
      <c r="A265" s="152">
        <f t="shared" ca="1" si="435"/>
        <v>0</v>
      </c>
      <c r="B265" s="153">
        <v>101015</v>
      </c>
      <c r="C265" s="154" t="str">
        <f t="shared" si="436"/>
        <v>101015</v>
      </c>
      <c r="D265" s="154" t="s">
        <v>1416</v>
      </c>
      <c r="E265" s="155" t="s">
        <v>3733</v>
      </c>
      <c r="F265" s="154"/>
      <c r="G265" s="154" t="s">
        <v>3614</v>
      </c>
      <c r="H265" s="152">
        <v>32.590000000000003</v>
      </c>
      <c r="I265" s="152">
        <v>31.88</v>
      </c>
      <c r="J265" s="156"/>
      <c r="K265" s="156"/>
      <c r="L265" s="156">
        <f t="shared" si="437"/>
        <v>0</v>
      </c>
      <c r="M265" s="156">
        <f t="shared" si="438"/>
        <v>0</v>
      </c>
      <c r="N265" s="156" t="s">
        <v>83</v>
      </c>
      <c r="O265" s="157" cm="1">
        <f t="array" ref="O265">TRUNC($H265*(1+_xlfn.SWITCH($N265,"BDI 1",$O$6,"BDI 2",$O$7,"BDI 3",$O$8)),2)</f>
        <v>39.33</v>
      </c>
      <c r="P265" s="157" cm="1">
        <f t="array" ref="P265">TRUNC($I265*(1+_xlfn.SWITCH($N265,"BDI 1",$P$6,"BDI 2",$P$7,"BDI 3",$P$8)),2)</f>
        <v>40.4</v>
      </c>
      <c r="Q265" s="157">
        <v>0</v>
      </c>
      <c r="R265" s="157">
        <f t="shared" ref="R265" si="628">$Q265-($Q265*LICITACAO_DESCONTO)</f>
        <v>0</v>
      </c>
      <c r="S265" s="156">
        <f t="shared" si="440"/>
        <v>0</v>
      </c>
      <c r="T265" s="156">
        <f t="shared" si="441"/>
        <v>0</v>
      </c>
      <c r="U265" s="156">
        <f t="shared" si="442"/>
        <v>0</v>
      </c>
      <c r="V265" s="156">
        <f t="shared" si="443"/>
        <v>0</v>
      </c>
      <c r="W265" s="156">
        <f t="shared" si="430"/>
        <v>0</v>
      </c>
      <c r="X265" s="158">
        <f t="shared" ref="X265" si="629">$S265/ORCAMENTO_VALOR_TOTAL_ND</f>
        <v>0</v>
      </c>
      <c r="Y265" s="158">
        <f t="shared" ref="Y265" si="630">$T265/ORCAMENTO_VALOR_TOTAL_DE</f>
        <v>0</v>
      </c>
      <c r="Z265" s="158" cm="1">
        <f t="array" ref="Z265">_xlfn.SWITCH($N265,"BDI 1",$O$6,"BDI 2",$O$7,"BDI 3",$O$8)</f>
        <v>0.20699999999999999</v>
      </c>
      <c r="AA265" s="158" cm="1">
        <f t="array" ref="AA265">_xlfn.SWITCH($N265,"BDI 1",$P$6,"BDI 2",$P$7,"BDI 3",$P$8)</f>
        <v>0.26739999999999997</v>
      </c>
      <c r="AB265" s="158">
        <f t="shared" ca="1" si="446"/>
        <v>0</v>
      </c>
      <c r="AC265" s="158">
        <f t="shared" ca="1" si="447"/>
        <v>0</v>
      </c>
      <c r="AD265" s="164"/>
      <c r="AE265" s="148">
        <f t="shared" si="433"/>
        <v>0</v>
      </c>
      <c r="AF265" s="149"/>
      <c r="AG265" s="150"/>
      <c r="AH265" s="159" t="e">
        <v>#DIV/0!</v>
      </c>
      <c r="AI265" s="195"/>
      <c r="AJ265" s="196"/>
      <c r="AK265" s="197"/>
      <c r="AM265" s="105"/>
      <c r="AN265" s="105"/>
      <c r="AO265" s="105"/>
      <c r="AP265" s="105"/>
      <c r="AQ265" s="105"/>
      <c r="AR265" s="105"/>
    </row>
    <row r="266" spans="1:44" s="49" customFormat="1" ht="40.15" hidden="1" customHeight="1">
      <c r="A266" s="152">
        <f t="shared" ca="1" si="435"/>
        <v>0</v>
      </c>
      <c r="B266" s="153">
        <v>101463</v>
      </c>
      <c r="C266" s="154" t="str">
        <f t="shared" si="436"/>
        <v>101463</v>
      </c>
      <c r="D266" s="154" t="s">
        <v>1416</v>
      </c>
      <c r="E266" s="155" t="s">
        <v>3734</v>
      </c>
      <c r="F266" s="154"/>
      <c r="G266" s="154" t="s">
        <v>3614</v>
      </c>
      <c r="H266" s="152">
        <v>43.42</v>
      </c>
      <c r="I266" s="152">
        <v>42.49</v>
      </c>
      <c r="J266" s="156"/>
      <c r="K266" s="156">
        <f>ROUND(K206*0.325+K207*0.35+K212*(1/1.5)*(373.34/1000),2)</f>
        <v>0</v>
      </c>
      <c r="L266" s="156">
        <f t="shared" si="437"/>
        <v>0</v>
      </c>
      <c r="M266" s="156">
        <f t="shared" si="438"/>
        <v>0</v>
      </c>
      <c r="N266" s="156" t="s">
        <v>83</v>
      </c>
      <c r="O266" s="157" cm="1">
        <f t="array" ref="O266">TRUNC($H266*(1+_xlfn.SWITCH($N266,"BDI 1",$O$6,"BDI 2",$O$7,"BDI 3",$O$8)),2)</f>
        <v>52.4</v>
      </c>
      <c r="P266" s="157" cm="1">
        <f t="array" ref="P266">TRUNC($I266*(1+_xlfn.SWITCH($N266,"BDI 1",$P$6,"BDI 2",$P$7,"BDI 3",$P$8)),2)</f>
        <v>53.85</v>
      </c>
      <c r="Q266" s="157">
        <v>0</v>
      </c>
      <c r="R266" s="157">
        <f t="shared" ref="R266" si="631">$Q266-($Q266*LICITACAO_DESCONTO)</f>
        <v>0</v>
      </c>
      <c r="S266" s="156">
        <f t="shared" si="440"/>
        <v>0</v>
      </c>
      <c r="T266" s="156">
        <f t="shared" si="441"/>
        <v>0</v>
      </c>
      <c r="U266" s="156">
        <f t="shared" si="442"/>
        <v>0</v>
      </c>
      <c r="V266" s="156">
        <f t="shared" si="443"/>
        <v>0</v>
      </c>
      <c r="W266" s="156">
        <f t="shared" si="430"/>
        <v>0</v>
      </c>
      <c r="X266" s="158">
        <f t="shared" ref="X266" si="632">$S266/ORCAMENTO_VALOR_TOTAL_ND</f>
        <v>0</v>
      </c>
      <c r="Y266" s="158">
        <f t="shared" ref="Y266" si="633">$T266/ORCAMENTO_VALOR_TOTAL_DE</f>
        <v>0</v>
      </c>
      <c r="Z266" s="158" cm="1">
        <f t="array" ref="Z266">_xlfn.SWITCH($N266,"BDI 1",$O$6,"BDI 2",$O$7,"BDI 3",$O$8)</f>
        <v>0.20699999999999999</v>
      </c>
      <c r="AA266" s="158" cm="1">
        <f t="array" ref="AA266">_xlfn.SWITCH($N266,"BDI 1",$P$6,"BDI 2",$P$7,"BDI 3",$P$8)</f>
        <v>0.26739999999999997</v>
      </c>
      <c r="AB266" s="158">
        <f t="shared" ca="1" si="446"/>
        <v>0</v>
      </c>
      <c r="AC266" s="158">
        <f t="shared" ca="1" si="447"/>
        <v>0</v>
      </c>
      <c r="AD266" s="164"/>
      <c r="AE266" s="148">
        <f t="shared" si="433"/>
        <v>0</v>
      </c>
      <c r="AF266" s="149"/>
      <c r="AG266" s="150"/>
      <c r="AH266" s="159" t="e">
        <v>#DIV/0!</v>
      </c>
      <c r="AI266" s="195"/>
      <c r="AJ266" s="196"/>
      <c r="AK266" s="197"/>
      <c r="AM266" s="105"/>
      <c r="AN266" s="105"/>
      <c r="AO266" s="105"/>
      <c r="AP266" s="105"/>
      <c r="AQ266" s="105"/>
      <c r="AR266" s="105"/>
    </row>
    <row r="267" spans="1:44" s="49" customFormat="1" ht="40.15" hidden="1" customHeight="1">
      <c r="A267" s="152">
        <f t="shared" ca="1" si="435"/>
        <v>0</v>
      </c>
      <c r="B267" s="153">
        <v>101465</v>
      </c>
      <c r="C267" s="154" t="str">
        <f t="shared" si="436"/>
        <v>101465</v>
      </c>
      <c r="D267" s="154" t="s">
        <v>1416</v>
      </c>
      <c r="E267" s="155" t="s">
        <v>3735</v>
      </c>
      <c r="F267" s="154"/>
      <c r="G267" s="154" t="s">
        <v>3614</v>
      </c>
      <c r="H267" s="152">
        <v>25.5</v>
      </c>
      <c r="I267" s="152">
        <v>24.95</v>
      </c>
      <c r="J267" s="156"/>
      <c r="K267" s="156">
        <f>ROUND(K208*(0.63*(1/2))+K213*0.734*(1/1.5),2)</f>
        <v>0</v>
      </c>
      <c r="L267" s="156">
        <f t="shared" si="437"/>
        <v>0</v>
      </c>
      <c r="M267" s="156">
        <f t="shared" si="438"/>
        <v>0</v>
      </c>
      <c r="N267" s="156" t="s">
        <v>83</v>
      </c>
      <c r="O267" s="157" cm="1">
        <f t="array" ref="O267">TRUNC($H267*(1+_xlfn.SWITCH($N267,"BDI 1",$O$6,"BDI 2",$O$7,"BDI 3",$O$8)),2)</f>
        <v>30.77</v>
      </c>
      <c r="P267" s="157" cm="1">
        <f t="array" ref="P267">TRUNC($I267*(1+_xlfn.SWITCH($N267,"BDI 1",$P$6,"BDI 2",$P$7,"BDI 3",$P$8)),2)</f>
        <v>31.62</v>
      </c>
      <c r="Q267" s="157">
        <v>0</v>
      </c>
      <c r="R267" s="157">
        <f t="shared" ref="R267" si="634">$Q267-($Q267*LICITACAO_DESCONTO)</f>
        <v>0</v>
      </c>
      <c r="S267" s="156">
        <f t="shared" si="440"/>
        <v>0</v>
      </c>
      <c r="T267" s="156">
        <f t="shared" si="441"/>
        <v>0</v>
      </c>
      <c r="U267" s="156">
        <f t="shared" si="442"/>
        <v>0</v>
      </c>
      <c r="V267" s="156">
        <f t="shared" si="443"/>
        <v>0</v>
      </c>
      <c r="W267" s="156">
        <f t="shared" si="430"/>
        <v>0</v>
      </c>
      <c r="X267" s="158">
        <f t="shared" ref="X267" si="635">$S267/ORCAMENTO_VALOR_TOTAL_ND</f>
        <v>0</v>
      </c>
      <c r="Y267" s="158">
        <f t="shared" ref="Y267" si="636">$T267/ORCAMENTO_VALOR_TOTAL_DE</f>
        <v>0</v>
      </c>
      <c r="Z267" s="158" cm="1">
        <f t="array" ref="Z267">_xlfn.SWITCH($N267,"BDI 1",$O$6,"BDI 2",$O$7,"BDI 3",$O$8)</f>
        <v>0.20699999999999999</v>
      </c>
      <c r="AA267" s="158" cm="1">
        <f t="array" ref="AA267">_xlfn.SWITCH($N267,"BDI 1",$P$6,"BDI 2",$P$7,"BDI 3",$P$8)</f>
        <v>0.26739999999999997</v>
      </c>
      <c r="AB267" s="158">
        <f t="shared" ca="1" si="446"/>
        <v>0</v>
      </c>
      <c r="AC267" s="158">
        <f t="shared" ca="1" si="447"/>
        <v>0</v>
      </c>
      <c r="AD267" s="164"/>
      <c r="AE267" s="148">
        <f t="shared" si="433"/>
        <v>0</v>
      </c>
      <c r="AF267" s="149"/>
      <c r="AG267" s="150"/>
      <c r="AH267" s="159" t="e">
        <v>#DIV/0!</v>
      </c>
      <c r="AI267" s="195"/>
      <c r="AJ267" s="196"/>
      <c r="AK267" s="197"/>
      <c r="AM267" s="105"/>
      <c r="AN267" s="105"/>
      <c r="AO267" s="105"/>
      <c r="AP267" s="105"/>
      <c r="AQ267" s="105"/>
      <c r="AR267" s="105"/>
    </row>
    <row r="268" spans="1:44" s="49" customFormat="1" ht="40.15" hidden="1" customHeight="1">
      <c r="A268" s="152">
        <f t="shared" ca="1" si="435"/>
        <v>0</v>
      </c>
      <c r="B268" s="153">
        <v>101467</v>
      </c>
      <c r="C268" s="154" t="str">
        <f t="shared" si="436"/>
        <v>101467</v>
      </c>
      <c r="D268" s="154" t="s">
        <v>1416</v>
      </c>
      <c r="E268" s="155" t="s">
        <v>3736</v>
      </c>
      <c r="F268" s="154"/>
      <c r="G268" s="154" t="s">
        <v>3614</v>
      </c>
      <c r="H268" s="152">
        <v>17.350000000000001</v>
      </c>
      <c r="I268" s="152">
        <v>16.98</v>
      </c>
      <c r="J268" s="156"/>
      <c r="K268" s="156">
        <f>ROUND(K209*0.65*(1/1.5)+K214*0.8*(1/1.5),2)</f>
        <v>0</v>
      </c>
      <c r="L268" s="156">
        <f t="shared" si="437"/>
        <v>0</v>
      </c>
      <c r="M268" s="156">
        <f t="shared" si="438"/>
        <v>0</v>
      </c>
      <c r="N268" s="156" t="s">
        <v>83</v>
      </c>
      <c r="O268" s="157" cm="1">
        <f t="array" ref="O268">TRUNC($H268*(1+_xlfn.SWITCH($N268,"BDI 1",$O$6,"BDI 2",$O$7,"BDI 3",$O$8)),2)</f>
        <v>20.94</v>
      </c>
      <c r="P268" s="157" cm="1">
        <f t="array" ref="P268">TRUNC($I268*(1+_xlfn.SWITCH($N268,"BDI 1",$P$6,"BDI 2",$P$7,"BDI 3",$P$8)),2)</f>
        <v>21.52</v>
      </c>
      <c r="Q268" s="157">
        <v>0</v>
      </c>
      <c r="R268" s="157">
        <f t="shared" ref="R268" si="637">$Q268-($Q268*LICITACAO_DESCONTO)</f>
        <v>0</v>
      </c>
      <c r="S268" s="156">
        <f t="shared" si="440"/>
        <v>0</v>
      </c>
      <c r="T268" s="156">
        <f t="shared" si="441"/>
        <v>0</v>
      </c>
      <c r="U268" s="156">
        <f t="shared" si="442"/>
        <v>0</v>
      </c>
      <c r="V268" s="156">
        <f t="shared" si="443"/>
        <v>0</v>
      </c>
      <c r="W268" s="156">
        <f t="shared" ref="W268:W277" si="638">TRUNC(V268-U268,2)</f>
        <v>0</v>
      </c>
      <c r="X268" s="158">
        <f t="shared" ref="X268" si="639">$S268/ORCAMENTO_VALOR_TOTAL_ND</f>
        <v>0</v>
      </c>
      <c r="Y268" s="158">
        <f t="shared" ref="Y268" si="640">$T268/ORCAMENTO_VALOR_TOTAL_DE</f>
        <v>0</v>
      </c>
      <c r="Z268" s="158" cm="1">
        <f t="array" ref="Z268">_xlfn.SWITCH($N268,"BDI 1",$O$6,"BDI 2",$O$7,"BDI 3",$O$8)</f>
        <v>0.20699999999999999</v>
      </c>
      <c r="AA268" s="158" cm="1">
        <f t="array" ref="AA268">_xlfn.SWITCH($N268,"BDI 1",$P$6,"BDI 2",$P$7,"BDI 3",$P$8)</f>
        <v>0.26739999999999997</v>
      </c>
      <c r="AB268" s="158">
        <f t="shared" ca="1" si="446"/>
        <v>0</v>
      </c>
      <c r="AC268" s="158">
        <f t="shared" ca="1" si="447"/>
        <v>0</v>
      </c>
      <c r="AD268" s="164"/>
      <c r="AE268" s="148">
        <f t="shared" ref="AE268:AE277" si="641">IF(S268&gt;0,IFERROR(TRUNC(A268,0),0),0)</f>
        <v>0</v>
      </c>
      <c r="AF268" s="149"/>
      <c r="AG268" s="150"/>
      <c r="AH268" s="159" t="e">
        <v>#DIV/0!</v>
      </c>
      <c r="AI268" s="195"/>
      <c r="AJ268" s="196"/>
      <c r="AK268" s="197"/>
      <c r="AM268" s="105"/>
      <c r="AN268" s="105"/>
      <c r="AO268" s="105"/>
      <c r="AP268" s="105"/>
      <c r="AQ268" s="105"/>
      <c r="AR268" s="105"/>
    </row>
    <row r="269" spans="1:44" s="49" customFormat="1" ht="40.15" hidden="1" customHeight="1">
      <c r="A269" s="152">
        <f t="shared" ref="A269:A278" ca="1" si="642">IF(K269&gt;0,A268+0.01,A268)</f>
        <v>0</v>
      </c>
      <c r="B269" s="153">
        <v>101468</v>
      </c>
      <c r="C269" s="154" t="str">
        <f t="shared" ref="C269:C277" si="643">TEXT(B269,"0")</f>
        <v>101468</v>
      </c>
      <c r="D269" s="154" t="s">
        <v>1416</v>
      </c>
      <c r="E269" s="155" t="s">
        <v>3737</v>
      </c>
      <c r="F269" s="154"/>
      <c r="G269" s="154" t="s">
        <v>3614</v>
      </c>
      <c r="H269" s="152">
        <v>15.88</v>
      </c>
      <c r="I269" s="152">
        <v>15.54</v>
      </c>
      <c r="J269" s="156"/>
      <c r="K269" s="156">
        <f>ROUND(K215*1.2*(1/1.5)+K216*1.74067*(1/1.5)+K210*1.7*(1/1.5)+K211*2.9*(1/1.5),2)</f>
        <v>0</v>
      </c>
      <c r="L269" s="156">
        <f t="shared" ref="L269:L277" si="644">IF($K269&gt;$J269,$K269-$J269,0)</f>
        <v>0</v>
      </c>
      <c r="M269" s="156">
        <f t="shared" ref="M269:M277" si="645">IF($K269&lt;$J269,$J269-$K269,0)</f>
        <v>0</v>
      </c>
      <c r="N269" s="156" t="s">
        <v>83</v>
      </c>
      <c r="O269" s="157" cm="1">
        <f t="array" ref="O269">TRUNC($H269*(1+_xlfn.SWITCH($N269,"BDI 1",$O$6,"BDI 2",$O$7,"BDI 3",$O$8)),2)</f>
        <v>19.16</v>
      </c>
      <c r="P269" s="157" cm="1">
        <f t="array" ref="P269">TRUNC($I269*(1+_xlfn.SWITCH($N269,"BDI 1",$P$6,"BDI 2",$P$7,"BDI 3",$P$8)),2)</f>
        <v>19.690000000000001</v>
      </c>
      <c r="Q269" s="157">
        <v>0</v>
      </c>
      <c r="R269" s="157">
        <f t="shared" ref="R269" si="646">$Q269-($Q269*LICITACAO_DESCONTO)</f>
        <v>0</v>
      </c>
      <c r="S269" s="156">
        <f t="shared" ref="S269:S277" si="647">TRUNC($K269*$O269,2)</f>
        <v>0</v>
      </c>
      <c r="T269" s="156">
        <f t="shared" ref="T269:T277" si="648">TRUNC($K269*$P269,2)</f>
        <v>0</v>
      </c>
      <c r="U269" s="156">
        <f t="shared" ref="U269:U277" si="649">TRUNC($J269*$R269,2)</f>
        <v>0</v>
      </c>
      <c r="V269" s="156">
        <f t="shared" ref="V269:V277" si="650">TRUNC($K269*$Q269,2)</f>
        <v>0</v>
      </c>
      <c r="W269" s="156">
        <f t="shared" si="638"/>
        <v>0</v>
      </c>
      <c r="X269" s="158">
        <f t="shared" ref="X269" si="651">$S269/ORCAMENTO_VALOR_TOTAL_ND</f>
        <v>0</v>
      </c>
      <c r="Y269" s="158">
        <f t="shared" ref="Y269" si="652">$T269/ORCAMENTO_VALOR_TOTAL_DE</f>
        <v>0</v>
      </c>
      <c r="Z269" s="158" cm="1">
        <f t="array" ref="Z269">_xlfn.SWITCH($N269,"BDI 1",$O$6,"BDI 2",$O$7,"BDI 3",$O$8)</f>
        <v>0.20699999999999999</v>
      </c>
      <c r="AA269" s="158" cm="1">
        <f t="array" ref="AA269">_xlfn.SWITCH($N269,"BDI 1",$P$6,"BDI 2",$P$7,"BDI 3",$P$8)</f>
        <v>0.26739999999999997</v>
      </c>
      <c r="AB269" s="158">
        <f t="shared" ref="AB269:AB277" ca="1" si="653">IFERROR($S269/_xlfn.XLOOKUP($AE269,$B$16:$B$38,$S$16:$S$38),0)</f>
        <v>0</v>
      </c>
      <c r="AC269" s="158">
        <f t="shared" ref="AC269:AC277" ca="1" si="654">IFERROR($T269/_xlfn.XLOOKUP($AE269,$B$16:$B$38,$T$16:$T$38),0)</f>
        <v>0</v>
      </c>
      <c r="AD269" s="164"/>
      <c r="AE269" s="148">
        <f t="shared" si="641"/>
        <v>0</v>
      </c>
      <c r="AF269" s="149"/>
      <c r="AG269" s="150"/>
      <c r="AH269" s="159" t="e">
        <v>#DIV/0!</v>
      </c>
      <c r="AI269" s="195"/>
      <c r="AJ269" s="196"/>
      <c r="AK269" s="197"/>
      <c r="AM269" s="105"/>
      <c r="AN269" s="105"/>
      <c r="AO269" s="105"/>
      <c r="AP269" s="105"/>
      <c r="AQ269" s="105"/>
      <c r="AR269" s="105"/>
    </row>
    <row r="270" spans="1:44" s="49" customFormat="1" ht="50.65" hidden="1" customHeight="1">
      <c r="A270" s="152">
        <f t="shared" ca="1" si="642"/>
        <v>0</v>
      </c>
      <c r="B270" s="153">
        <v>101482</v>
      </c>
      <c r="C270" s="154" t="str">
        <f t="shared" si="643"/>
        <v>101482</v>
      </c>
      <c r="D270" s="154" t="s">
        <v>1416</v>
      </c>
      <c r="E270" s="155" t="s">
        <v>3738</v>
      </c>
      <c r="F270" s="154"/>
      <c r="G270" s="154" t="s">
        <v>3614</v>
      </c>
      <c r="H270" s="152">
        <v>34.31</v>
      </c>
      <c r="I270" s="152">
        <v>33.57</v>
      </c>
      <c r="J270" s="156"/>
      <c r="K270" s="156">
        <f>ROUND(K229*0.0259,2)</f>
        <v>0</v>
      </c>
      <c r="L270" s="156">
        <f t="shared" si="644"/>
        <v>0</v>
      </c>
      <c r="M270" s="156">
        <f t="shared" si="645"/>
        <v>0</v>
      </c>
      <c r="N270" s="156" t="s">
        <v>83</v>
      </c>
      <c r="O270" s="157" cm="1">
        <f t="array" ref="O270">TRUNC($H270*(1+_xlfn.SWITCH($N270,"BDI 1",$O$6,"BDI 2",$O$7,"BDI 3",$O$8)),2)</f>
        <v>41.41</v>
      </c>
      <c r="P270" s="157" cm="1">
        <f t="array" ref="P270">TRUNC($I270*(1+_xlfn.SWITCH($N270,"BDI 1",$P$6,"BDI 2",$P$7,"BDI 3",$P$8)),2)</f>
        <v>42.54</v>
      </c>
      <c r="Q270" s="157">
        <v>0</v>
      </c>
      <c r="R270" s="157">
        <f t="shared" ref="R270" si="655">$Q270-($Q270*LICITACAO_DESCONTO)</f>
        <v>0</v>
      </c>
      <c r="S270" s="156">
        <f t="shared" si="647"/>
        <v>0</v>
      </c>
      <c r="T270" s="156">
        <f t="shared" si="648"/>
        <v>0</v>
      </c>
      <c r="U270" s="156">
        <f t="shared" si="649"/>
        <v>0</v>
      </c>
      <c r="V270" s="156">
        <f t="shared" si="650"/>
        <v>0</v>
      </c>
      <c r="W270" s="156">
        <f t="shared" si="638"/>
        <v>0</v>
      </c>
      <c r="X270" s="158">
        <f t="shared" ref="X270" si="656">$S270/ORCAMENTO_VALOR_TOTAL_ND</f>
        <v>0</v>
      </c>
      <c r="Y270" s="158">
        <f t="shared" ref="Y270" si="657">$T270/ORCAMENTO_VALOR_TOTAL_DE</f>
        <v>0</v>
      </c>
      <c r="Z270" s="158" cm="1">
        <f t="array" ref="Z270">_xlfn.SWITCH($N270,"BDI 1",$O$6,"BDI 2",$O$7,"BDI 3",$O$8)</f>
        <v>0.20699999999999999</v>
      </c>
      <c r="AA270" s="158" cm="1">
        <f t="array" ref="AA270">_xlfn.SWITCH($N270,"BDI 1",$P$6,"BDI 2",$P$7,"BDI 3",$P$8)</f>
        <v>0.26739999999999997</v>
      </c>
      <c r="AB270" s="158">
        <f t="shared" ca="1" si="653"/>
        <v>0</v>
      </c>
      <c r="AC270" s="158">
        <f t="shared" ca="1" si="654"/>
        <v>0</v>
      </c>
      <c r="AD270" s="164"/>
      <c r="AE270" s="148">
        <f t="shared" si="641"/>
        <v>0</v>
      </c>
      <c r="AF270" s="149"/>
      <c r="AG270" s="150"/>
      <c r="AH270" s="159" t="e">
        <v>#DIV/0!</v>
      </c>
      <c r="AI270" s="201" t="s">
        <v>160</v>
      </c>
      <c r="AJ270" s="202" t="s">
        <v>161</v>
      </c>
      <c r="AK270" s="167"/>
      <c r="AM270" s="105"/>
      <c r="AN270" s="105"/>
      <c r="AO270" s="105"/>
      <c r="AP270" s="105"/>
      <c r="AQ270" s="105"/>
      <c r="AR270" s="105"/>
    </row>
    <row r="271" spans="1:44" s="49" customFormat="1" ht="40.15" hidden="1" customHeight="1">
      <c r="A271" s="152">
        <f t="shared" ca="1" si="642"/>
        <v>0</v>
      </c>
      <c r="B271" s="153">
        <v>101483</v>
      </c>
      <c r="C271" s="154" t="str">
        <f t="shared" si="643"/>
        <v>101483</v>
      </c>
      <c r="D271" s="154" t="s">
        <v>1416</v>
      </c>
      <c r="E271" s="155" t="s">
        <v>3739</v>
      </c>
      <c r="F271" s="154"/>
      <c r="G271" s="154" t="s">
        <v>3614</v>
      </c>
      <c r="H271" s="152">
        <v>35.61</v>
      </c>
      <c r="I271" s="152">
        <v>34.840000000000003</v>
      </c>
      <c r="J271" s="156"/>
      <c r="K271" s="156">
        <f>ROUND(K230*0.0497,2)</f>
        <v>0</v>
      </c>
      <c r="L271" s="156">
        <f t="shared" si="644"/>
        <v>0</v>
      </c>
      <c r="M271" s="156">
        <f t="shared" si="645"/>
        <v>0</v>
      </c>
      <c r="N271" s="156" t="s">
        <v>83</v>
      </c>
      <c r="O271" s="157" cm="1">
        <f t="array" ref="O271">TRUNC($H271*(1+_xlfn.SWITCH($N271,"BDI 1",$O$6,"BDI 2",$O$7,"BDI 3",$O$8)),2)</f>
        <v>42.98</v>
      </c>
      <c r="P271" s="157" cm="1">
        <f t="array" ref="P271">TRUNC($I271*(1+_xlfn.SWITCH($N271,"BDI 1",$P$6,"BDI 2",$P$7,"BDI 3",$P$8)),2)</f>
        <v>44.15</v>
      </c>
      <c r="Q271" s="157">
        <v>0</v>
      </c>
      <c r="R271" s="157">
        <f t="shared" ref="R271" si="658">$Q271-($Q271*LICITACAO_DESCONTO)</f>
        <v>0</v>
      </c>
      <c r="S271" s="156">
        <f t="shared" si="647"/>
        <v>0</v>
      </c>
      <c r="T271" s="156">
        <f t="shared" si="648"/>
        <v>0</v>
      </c>
      <c r="U271" s="156">
        <f t="shared" si="649"/>
        <v>0</v>
      </c>
      <c r="V271" s="156">
        <f t="shared" si="650"/>
        <v>0</v>
      </c>
      <c r="W271" s="156">
        <f t="shared" si="638"/>
        <v>0</v>
      </c>
      <c r="X271" s="158">
        <f t="shared" ref="X271" si="659">$S271/ORCAMENTO_VALOR_TOTAL_ND</f>
        <v>0</v>
      </c>
      <c r="Y271" s="158">
        <f t="shared" ref="Y271" si="660">$T271/ORCAMENTO_VALOR_TOTAL_DE</f>
        <v>0</v>
      </c>
      <c r="Z271" s="158" cm="1">
        <f t="array" ref="Z271">_xlfn.SWITCH($N271,"BDI 1",$O$6,"BDI 2",$O$7,"BDI 3",$O$8)</f>
        <v>0.20699999999999999</v>
      </c>
      <c r="AA271" s="158" cm="1">
        <f t="array" ref="AA271">_xlfn.SWITCH($N271,"BDI 1",$P$6,"BDI 2",$P$7,"BDI 3",$P$8)</f>
        <v>0.26739999999999997</v>
      </c>
      <c r="AB271" s="158">
        <f t="shared" ca="1" si="653"/>
        <v>0</v>
      </c>
      <c r="AC271" s="158">
        <f t="shared" ca="1" si="654"/>
        <v>0</v>
      </c>
      <c r="AD271" s="164"/>
      <c r="AE271" s="148">
        <f t="shared" si="641"/>
        <v>0</v>
      </c>
      <c r="AF271" s="149"/>
      <c r="AG271" s="150"/>
      <c r="AH271" s="159" t="e">
        <v>#DIV/0!</v>
      </c>
      <c r="AI271" s="195"/>
      <c r="AJ271" s="203"/>
      <c r="AK271" s="167"/>
      <c r="AM271" s="105"/>
      <c r="AN271" s="105"/>
      <c r="AO271" s="105"/>
      <c r="AP271" s="105"/>
      <c r="AQ271" s="105"/>
      <c r="AR271" s="105"/>
    </row>
    <row r="272" spans="1:44" s="49" customFormat="1" ht="40.15" hidden="1" customHeight="1">
      <c r="A272" s="152">
        <f t="shared" ca="1" si="642"/>
        <v>0</v>
      </c>
      <c r="B272" s="153">
        <v>101484</v>
      </c>
      <c r="C272" s="154" t="str">
        <f t="shared" si="643"/>
        <v>101484</v>
      </c>
      <c r="D272" s="154" t="s">
        <v>1416</v>
      </c>
      <c r="E272" s="155" t="s">
        <v>3740</v>
      </c>
      <c r="F272" s="154"/>
      <c r="G272" s="154" t="s">
        <v>3614</v>
      </c>
      <c r="H272" s="152">
        <v>184.54</v>
      </c>
      <c r="I272" s="152">
        <v>180.58</v>
      </c>
      <c r="J272" s="156"/>
      <c r="K272" s="156">
        <f>ROUND(K231*0.0182,2)</f>
        <v>0</v>
      </c>
      <c r="L272" s="156">
        <f t="shared" si="644"/>
        <v>0</v>
      </c>
      <c r="M272" s="156">
        <f t="shared" si="645"/>
        <v>0</v>
      </c>
      <c r="N272" s="156" t="s">
        <v>83</v>
      </c>
      <c r="O272" s="157" cm="1">
        <f t="array" ref="O272">TRUNC($H272*(1+_xlfn.SWITCH($N272,"BDI 1",$O$6,"BDI 2",$O$7,"BDI 3",$O$8)),2)</f>
        <v>222.73</v>
      </c>
      <c r="P272" s="157" cm="1">
        <f t="array" ref="P272">TRUNC($I272*(1+_xlfn.SWITCH($N272,"BDI 1",$P$6,"BDI 2",$P$7,"BDI 3",$P$8)),2)</f>
        <v>228.86</v>
      </c>
      <c r="Q272" s="157">
        <v>0</v>
      </c>
      <c r="R272" s="157">
        <f t="shared" ref="R272" si="661">$Q272-($Q272*LICITACAO_DESCONTO)</f>
        <v>0</v>
      </c>
      <c r="S272" s="156">
        <f t="shared" si="647"/>
        <v>0</v>
      </c>
      <c r="T272" s="156">
        <f t="shared" si="648"/>
        <v>0</v>
      </c>
      <c r="U272" s="156">
        <f t="shared" si="649"/>
        <v>0</v>
      </c>
      <c r="V272" s="156">
        <f t="shared" si="650"/>
        <v>0</v>
      </c>
      <c r="W272" s="156">
        <f t="shared" si="638"/>
        <v>0</v>
      </c>
      <c r="X272" s="158">
        <f t="shared" ref="X272" si="662">$S272/ORCAMENTO_VALOR_TOTAL_ND</f>
        <v>0</v>
      </c>
      <c r="Y272" s="158">
        <f t="shared" ref="Y272" si="663">$T272/ORCAMENTO_VALOR_TOTAL_DE</f>
        <v>0</v>
      </c>
      <c r="Z272" s="158" cm="1">
        <f t="array" ref="Z272">_xlfn.SWITCH($N272,"BDI 1",$O$6,"BDI 2",$O$7,"BDI 3",$O$8)</f>
        <v>0.20699999999999999</v>
      </c>
      <c r="AA272" s="158" cm="1">
        <f t="array" ref="AA272">_xlfn.SWITCH($N272,"BDI 1",$P$6,"BDI 2",$P$7,"BDI 3",$P$8)</f>
        <v>0.26739999999999997</v>
      </c>
      <c r="AB272" s="158">
        <f t="shared" ca="1" si="653"/>
        <v>0</v>
      </c>
      <c r="AC272" s="158">
        <f t="shared" ca="1" si="654"/>
        <v>0</v>
      </c>
      <c r="AD272" s="164"/>
      <c r="AE272" s="148">
        <f t="shared" si="641"/>
        <v>0</v>
      </c>
      <c r="AF272" s="149"/>
      <c r="AG272" s="150"/>
      <c r="AH272" s="159" t="e">
        <v>#DIV/0!</v>
      </c>
      <c r="AI272" s="195"/>
      <c r="AJ272" s="203"/>
      <c r="AK272" s="167"/>
      <c r="AM272" s="105"/>
      <c r="AN272" s="105"/>
      <c r="AO272" s="105"/>
      <c r="AP272" s="105"/>
      <c r="AQ272" s="105"/>
      <c r="AR272" s="105"/>
    </row>
    <row r="273" spans="1:44" s="49" customFormat="1" ht="40.15" hidden="1" customHeight="1">
      <c r="A273" s="152">
        <f t="shared" ca="1" si="642"/>
        <v>0</v>
      </c>
      <c r="B273" s="153">
        <v>101485</v>
      </c>
      <c r="C273" s="154" t="str">
        <f t="shared" si="643"/>
        <v>101485</v>
      </c>
      <c r="D273" s="154" t="s">
        <v>1416</v>
      </c>
      <c r="E273" s="155" t="s">
        <v>3741</v>
      </c>
      <c r="F273" s="154"/>
      <c r="G273" s="154" t="s">
        <v>3614</v>
      </c>
      <c r="H273" s="152">
        <v>141.65</v>
      </c>
      <c r="I273" s="152">
        <v>138.61000000000001</v>
      </c>
      <c r="J273" s="156"/>
      <c r="K273" s="156">
        <f>ROUND(K232*0.025,2)</f>
        <v>0</v>
      </c>
      <c r="L273" s="156">
        <f t="shared" si="644"/>
        <v>0</v>
      </c>
      <c r="M273" s="156">
        <f t="shared" si="645"/>
        <v>0</v>
      </c>
      <c r="N273" s="156" t="s">
        <v>83</v>
      </c>
      <c r="O273" s="157" cm="1">
        <f t="array" ref="O273">TRUNC($H273*(1+_xlfn.SWITCH($N273,"BDI 1",$O$6,"BDI 2",$O$7,"BDI 3",$O$8)),2)</f>
        <v>170.97</v>
      </c>
      <c r="P273" s="157" cm="1">
        <f t="array" ref="P273">TRUNC($I273*(1+_xlfn.SWITCH($N273,"BDI 1",$P$6,"BDI 2",$P$7,"BDI 3",$P$8)),2)</f>
        <v>175.67</v>
      </c>
      <c r="Q273" s="157">
        <v>0</v>
      </c>
      <c r="R273" s="157">
        <f t="shared" ref="R273" si="664">$Q273-($Q273*LICITACAO_DESCONTO)</f>
        <v>0</v>
      </c>
      <c r="S273" s="156">
        <f t="shared" si="647"/>
        <v>0</v>
      </c>
      <c r="T273" s="156">
        <f t="shared" si="648"/>
        <v>0</v>
      </c>
      <c r="U273" s="156">
        <f t="shared" si="649"/>
        <v>0</v>
      </c>
      <c r="V273" s="156">
        <f t="shared" si="650"/>
        <v>0</v>
      </c>
      <c r="W273" s="156">
        <f t="shared" si="638"/>
        <v>0</v>
      </c>
      <c r="X273" s="158">
        <f t="shared" ref="X273" si="665">$S273/ORCAMENTO_VALOR_TOTAL_ND</f>
        <v>0</v>
      </c>
      <c r="Y273" s="158">
        <f t="shared" ref="Y273" si="666">$T273/ORCAMENTO_VALOR_TOTAL_DE</f>
        <v>0</v>
      </c>
      <c r="Z273" s="158" cm="1">
        <f t="array" ref="Z273">_xlfn.SWITCH($N273,"BDI 1",$O$6,"BDI 2",$O$7,"BDI 3",$O$8)</f>
        <v>0.20699999999999999</v>
      </c>
      <c r="AA273" s="158" cm="1">
        <f t="array" ref="AA273">_xlfn.SWITCH($N273,"BDI 1",$P$6,"BDI 2",$P$7,"BDI 3",$P$8)</f>
        <v>0.26739999999999997</v>
      </c>
      <c r="AB273" s="158">
        <f t="shared" ca="1" si="653"/>
        <v>0</v>
      </c>
      <c r="AC273" s="158">
        <f t="shared" ca="1" si="654"/>
        <v>0</v>
      </c>
      <c r="AD273" s="164"/>
      <c r="AE273" s="148">
        <f t="shared" si="641"/>
        <v>0</v>
      </c>
      <c r="AF273" s="149"/>
      <c r="AG273" s="150"/>
      <c r="AH273" s="159" t="e">
        <v>#DIV/0!</v>
      </c>
      <c r="AI273" s="195"/>
      <c r="AJ273" s="203"/>
      <c r="AK273" s="167"/>
      <c r="AM273" s="105"/>
      <c r="AN273" s="105"/>
      <c r="AO273" s="105"/>
      <c r="AP273" s="105"/>
      <c r="AQ273" s="105"/>
      <c r="AR273" s="105"/>
    </row>
    <row r="274" spans="1:44" s="49" customFormat="1" ht="40.15" hidden="1" customHeight="1">
      <c r="A274" s="152">
        <f t="shared" ca="1" si="642"/>
        <v>0</v>
      </c>
      <c r="B274" s="153">
        <v>101475</v>
      </c>
      <c r="C274" s="154" t="str">
        <f t="shared" si="643"/>
        <v>101475</v>
      </c>
      <c r="D274" s="154" t="s">
        <v>1416</v>
      </c>
      <c r="E274" s="155" t="s">
        <v>3742</v>
      </c>
      <c r="F274" s="154"/>
      <c r="G274" s="154" t="s">
        <v>3614</v>
      </c>
      <c r="H274" s="152">
        <v>17.21</v>
      </c>
      <c r="I274" s="152">
        <v>16.84</v>
      </c>
      <c r="J274" s="156"/>
      <c r="K274" s="156">
        <f>ROUND(K233*0.19/6,2)</f>
        <v>0</v>
      </c>
      <c r="L274" s="156">
        <f t="shared" si="644"/>
        <v>0</v>
      </c>
      <c r="M274" s="156">
        <f t="shared" si="645"/>
        <v>0</v>
      </c>
      <c r="N274" s="156" t="s">
        <v>83</v>
      </c>
      <c r="O274" s="157" cm="1">
        <f t="array" ref="O274">TRUNC($H274*(1+_xlfn.SWITCH($N274,"BDI 1",$O$6,"BDI 2",$O$7,"BDI 3",$O$8)),2)</f>
        <v>20.77</v>
      </c>
      <c r="P274" s="157" cm="1">
        <f t="array" ref="P274">TRUNC($I274*(1+_xlfn.SWITCH($N274,"BDI 1",$P$6,"BDI 2",$P$7,"BDI 3",$P$8)),2)</f>
        <v>21.34</v>
      </c>
      <c r="Q274" s="157">
        <v>0</v>
      </c>
      <c r="R274" s="157">
        <f t="shared" ref="R274" si="667">$Q274-($Q274*LICITACAO_DESCONTO)</f>
        <v>0</v>
      </c>
      <c r="S274" s="156">
        <f t="shared" si="647"/>
        <v>0</v>
      </c>
      <c r="T274" s="156">
        <f t="shared" si="648"/>
        <v>0</v>
      </c>
      <c r="U274" s="156">
        <f t="shared" si="649"/>
        <v>0</v>
      </c>
      <c r="V274" s="156">
        <f t="shared" si="650"/>
        <v>0</v>
      </c>
      <c r="W274" s="156">
        <f t="shared" si="638"/>
        <v>0</v>
      </c>
      <c r="X274" s="158">
        <f t="shared" ref="X274" si="668">$S274/ORCAMENTO_VALOR_TOTAL_ND</f>
        <v>0</v>
      </c>
      <c r="Y274" s="158">
        <f t="shared" ref="Y274" si="669">$T274/ORCAMENTO_VALOR_TOTAL_DE</f>
        <v>0</v>
      </c>
      <c r="Z274" s="158" cm="1">
        <f t="array" ref="Z274">_xlfn.SWITCH($N274,"BDI 1",$O$6,"BDI 2",$O$7,"BDI 3",$O$8)</f>
        <v>0.20699999999999999</v>
      </c>
      <c r="AA274" s="158" cm="1">
        <f t="array" ref="AA274">_xlfn.SWITCH($N274,"BDI 1",$P$6,"BDI 2",$P$7,"BDI 3",$P$8)</f>
        <v>0.26739999999999997</v>
      </c>
      <c r="AB274" s="158">
        <f t="shared" ca="1" si="653"/>
        <v>0</v>
      </c>
      <c r="AC274" s="158">
        <f t="shared" ca="1" si="654"/>
        <v>0</v>
      </c>
      <c r="AD274" s="164"/>
      <c r="AE274" s="148">
        <f t="shared" si="641"/>
        <v>0</v>
      </c>
      <c r="AF274" s="149"/>
      <c r="AG274" s="150"/>
      <c r="AH274" s="159" t="e">
        <v>#DIV/0!</v>
      </c>
      <c r="AI274" s="195"/>
      <c r="AJ274" s="203"/>
      <c r="AK274" s="167"/>
      <c r="AM274" s="105"/>
      <c r="AN274" s="105"/>
      <c r="AO274" s="105"/>
      <c r="AP274" s="105"/>
      <c r="AQ274" s="105"/>
      <c r="AR274" s="105"/>
    </row>
    <row r="275" spans="1:44" s="49" customFormat="1" ht="40.15" hidden="1" customHeight="1">
      <c r="A275" s="152">
        <f t="shared" ca="1" si="642"/>
        <v>0</v>
      </c>
      <c r="B275" s="153">
        <v>101486</v>
      </c>
      <c r="C275" s="154" t="str">
        <f t="shared" si="643"/>
        <v>101486</v>
      </c>
      <c r="D275" s="154" t="s">
        <v>1416</v>
      </c>
      <c r="E275" s="155" t="s">
        <v>3743</v>
      </c>
      <c r="F275" s="154"/>
      <c r="G275" s="154" t="s">
        <v>3614</v>
      </c>
      <c r="H275" s="152">
        <v>127.6</v>
      </c>
      <c r="I275" s="152">
        <v>124.86</v>
      </c>
      <c r="J275" s="156"/>
      <c r="K275" s="156">
        <f>ROUND(K234*0.0305,2)</f>
        <v>0</v>
      </c>
      <c r="L275" s="156">
        <f t="shared" si="644"/>
        <v>0</v>
      </c>
      <c r="M275" s="156">
        <f t="shared" si="645"/>
        <v>0</v>
      </c>
      <c r="N275" s="156" t="s">
        <v>83</v>
      </c>
      <c r="O275" s="157" cm="1">
        <f t="array" ref="O275">TRUNC($H275*(1+_xlfn.SWITCH($N275,"BDI 1",$O$6,"BDI 2",$O$7,"BDI 3",$O$8)),2)</f>
        <v>154.01</v>
      </c>
      <c r="P275" s="157" cm="1">
        <f t="array" ref="P275">TRUNC($I275*(1+_xlfn.SWITCH($N275,"BDI 1",$P$6,"BDI 2",$P$7,"BDI 3",$P$8)),2)</f>
        <v>158.24</v>
      </c>
      <c r="Q275" s="157">
        <v>0</v>
      </c>
      <c r="R275" s="157">
        <f t="shared" ref="R275" si="670">$Q275-($Q275*LICITACAO_DESCONTO)</f>
        <v>0</v>
      </c>
      <c r="S275" s="156">
        <f t="shared" si="647"/>
        <v>0</v>
      </c>
      <c r="T275" s="156">
        <f t="shared" si="648"/>
        <v>0</v>
      </c>
      <c r="U275" s="156">
        <f t="shared" si="649"/>
        <v>0</v>
      </c>
      <c r="V275" s="156">
        <f t="shared" si="650"/>
        <v>0</v>
      </c>
      <c r="W275" s="156">
        <f t="shared" si="638"/>
        <v>0</v>
      </c>
      <c r="X275" s="158">
        <f t="shared" ref="X275" si="671">$S275/ORCAMENTO_VALOR_TOTAL_ND</f>
        <v>0</v>
      </c>
      <c r="Y275" s="158">
        <f t="shared" ref="Y275" si="672">$T275/ORCAMENTO_VALOR_TOTAL_DE</f>
        <v>0</v>
      </c>
      <c r="Z275" s="158" cm="1">
        <f t="array" ref="Z275">_xlfn.SWITCH($N275,"BDI 1",$O$6,"BDI 2",$O$7,"BDI 3",$O$8)</f>
        <v>0.20699999999999999</v>
      </c>
      <c r="AA275" s="158" cm="1">
        <f t="array" ref="AA275">_xlfn.SWITCH($N275,"BDI 1",$P$6,"BDI 2",$P$7,"BDI 3",$P$8)</f>
        <v>0.26739999999999997</v>
      </c>
      <c r="AB275" s="158">
        <f t="shared" ca="1" si="653"/>
        <v>0</v>
      </c>
      <c r="AC275" s="158">
        <f t="shared" ca="1" si="654"/>
        <v>0</v>
      </c>
      <c r="AD275" s="164"/>
      <c r="AE275" s="148">
        <f t="shared" si="641"/>
        <v>0</v>
      </c>
      <c r="AF275" s="149"/>
      <c r="AG275" s="150"/>
      <c r="AH275" s="159" t="e">
        <v>#DIV/0!</v>
      </c>
      <c r="AI275" s="195"/>
      <c r="AJ275" s="203"/>
      <c r="AK275" s="167"/>
      <c r="AM275" s="105"/>
      <c r="AN275" s="105"/>
      <c r="AO275" s="105"/>
      <c r="AP275" s="105"/>
      <c r="AQ275" s="105"/>
      <c r="AR275" s="105"/>
    </row>
    <row r="276" spans="1:44" s="49" customFormat="1" ht="40.15" hidden="1" customHeight="1">
      <c r="A276" s="152">
        <f t="shared" ca="1" si="642"/>
        <v>0</v>
      </c>
      <c r="B276" s="153">
        <v>101487</v>
      </c>
      <c r="C276" s="154" t="str">
        <f t="shared" si="643"/>
        <v>101487</v>
      </c>
      <c r="D276" s="154" t="s">
        <v>1416</v>
      </c>
      <c r="E276" s="155" t="s">
        <v>3744</v>
      </c>
      <c r="F276" s="154"/>
      <c r="G276" s="154" t="s">
        <v>3614</v>
      </c>
      <c r="H276" s="152">
        <v>93.43</v>
      </c>
      <c r="I276" s="152">
        <v>91.42</v>
      </c>
      <c r="J276" s="156"/>
      <c r="K276" s="156">
        <f>ROUND(K235*0.0417,2)</f>
        <v>0</v>
      </c>
      <c r="L276" s="156">
        <f t="shared" si="644"/>
        <v>0</v>
      </c>
      <c r="M276" s="156">
        <f t="shared" si="645"/>
        <v>0</v>
      </c>
      <c r="N276" s="156" t="s">
        <v>83</v>
      </c>
      <c r="O276" s="157" cm="1">
        <f t="array" ref="O276">TRUNC($H276*(1+_xlfn.SWITCH($N276,"BDI 1",$O$6,"BDI 2",$O$7,"BDI 3",$O$8)),2)</f>
        <v>112.77</v>
      </c>
      <c r="P276" s="157" cm="1">
        <f t="array" ref="P276">TRUNC($I276*(1+_xlfn.SWITCH($N276,"BDI 1",$P$6,"BDI 2",$P$7,"BDI 3",$P$8)),2)</f>
        <v>115.86</v>
      </c>
      <c r="Q276" s="157">
        <v>0</v>
      </c>
      <c r="R276" s="157">
        <f t="shared" ref="R276" si="673">$Q276-($Q276*LICITACAO_DESCONTO)</f>
        <v>0</v>
      </c>
      <c r="S276" s="156">
        <f t="shared" si="647"/>
        <v>0</v>
      </c>
      <c r="T276" s="156">
        <f t="shared" si="648"/>
        <v>0</v>
      </c>
      <c r="U276" s="156">
        <f t="shared" si="649"/>
        <v>0</v>
      </c>
      <c r="V276" s="156">
        <f t="shared" si="650"/>
        <v>0</v>
      </c>
      <c r="W276" s="156">
        <f t="shared" si="638"/>
        <v>0</v>
      </c>
      <c r="X276" s="158">
        <f t="shared" ref="X276" si="674">$S276/ORCAMENTO_VALOR_TOTAL_ND</f>
        <v>0</v>
      </c>
      <c r="Y276" s="158">
        <f t="shared" ref="Y276" si="675">$T276/ORCAMENTO_VALOR_TOTAL_DE</f>
        <v>0</v>
      </c>
      <c r="Z276" s="158" cm="1">
        <f t="array" ref="Z276">_xlfn.SWITCH($N276,"BDI 1",$O$6,"BDI 2",$O$7,"BDI 3",$O$8)</f>
        <v>0.20699999999999999</v>
      </c>
      <c r="AA276" s="158" cm="1">
        <f t="array" ref="AA276">_xlfn.SWITCH($N276,"BDI 1",$P$6,"BDI 2",$P$7,"BDI 3",$P$8)</f>
        <v>0.26739999999999997</v>
      </c>
      <c r="AB276" s="158">
        <f t="shared" ca="1" si="653"/>
        <v>0</v>
      </c>
      <c r="AC276" s="158">
        <f t="shared" ca="1" si="654"/>
        <v>0</v>
      </c>
      <c r="AD276" s="164"/>
      <c r="AE276" s="148">
        <f t="shared" si="641"/>
        <v>0</v>
      </c>
      <c r="AF276" s="149"/>
      <c r="AG276" s="150"/>
      <c r="AH276" s="159" t="e">
        <v>#DIV/0!</v>
      </c>
      <c r="AI276" s="195"/>
      <c r="AJ276" s="203"/>
      <c r="AK276" s="167"/>
      <c r="AM276" s="105"/>
      <c r="AN276" s="105"/>
      <c r="AO276" s="105"/>
      <c r="AP276" s="105"/>
      <c r="AQ276" s="105"/>
      <c r="AR276" s="105"/>
    </row>
    <row r="277" spans="1:44" s="49" customFormat="1" ht="40.15" hidden="1" customHeight="1">
      <c r="A277" s="152">
        <f t="shared" ca="1" si="642"/>
        <v>0</v>
      </c>
      <c r="B277" s="153">
        <v>101488</v>
      </c>
      <c r="C277" s="154" t="str">
        <f t="shared" si="643"/>
        <v>101488</v>
      </c>
      <c r="D277" s="154" t="s">
        <v>1416</v>
      </c>
      <c r="E277" s="155" t="s">
        <v>3745</v>
      </c>
      <c r="F277" s="154"/>
      <c r="G277" s="154" t="s">
        <v>3614</v>
      </c>
      <c r="H277" s="152">
        <v>80.84</v>
      </c>
      <c r="I277" s="152">
        <v>79.099999999999994</v>
      </c>
      <c r="J277" s="156"/>
      <c r="K277" s="156">
        <f>ROUND(K236*0.0513+K237*0.405/6,2)</f>
        <v>0</v>
      </c>
      <c r="L277" s="156">
        <f t="shared" si="644"/>
        <v>0</v>
      </c>
      <c r="M277" s="156">
        <f t="shared" si="645"/>
        <v>0</v>
      </c>
      <c r="N277" s="156" t="s">
        <v>83</v>
      </c>
      <c r="O277" s="157" cm="1">
        <f t="array" ref="O277">TRUNC($H277*(1+_xlfn.SWITCH($N277,"BDI 1",$O$6,"BDI 2",$O$7,"BDI 3",$O$8)),2)</f>
        <v>97.57</v>
      </c>
      <c r="P277" s="157" cm="1">
        <f t="array" ref="P277">TRUNC($I277*(1+_xlfn.SWITCH($N277,"BDI 1",$P$6,"BDI 2",$P$7,"BDI 3",$P$8)),2)</f>
        <v>100.25</v>
      </c>
      <c r="Q277" s="157">
        <v>0</v>
      </c>
      <c r="R277" s="157">
        <f t="shared" ref="R277" si="676">$Q277-($Q277*LICITACAO_DESCONTO)</f>
        <v>0</v>
      </c>
      <c r="S277" s="156">
        <f t="shared" si="647"/>
        <v>0</v>
      </c>
      <c r="T277" s="156">
        <f t="shared" si="648"/>
        <v>0</v>
      </c>
      <c r="U277" s="156">
        <f t="shared" si="649"/>
        <v>0</v>
      </c>
      <c r="V277" s="156">
        <f t="shared" si="650"/>
        <v>0</v>
      </c>
      <c r="W277" s="156">
        <f t="shared" si="638"/>
        <v>0</v>
      </c>
      <c r="X277" s="158">
        <f t="shared" ref="X277" si="677">$S277/ORCAMENTO_VALOR_TOTAL_ND</f>
        <v>0</v>
      </c>
      <c r="Y277" s="158">
        <f t="shared" ref="Y277" si="678">$T277/ORCAMENTO_VALOR_TOTAL_DE</f>
        <v>0</v>
      </c>
      <c r="Z277" s="158" cm="1">
        <f t="array" ref="Z277">_xlfn.SWITCH($N277,"BDI 1",$O$6,"BDI 2",$O$7,"BDI 3",$O$8)</f>
        <v>0.20699999999999999</v>
      </c>
      <c r="AA277" s="158" cm="1">
        <f t="array" ref="AA277">_xlfn.SWITCH($N277,"BDI 1",$P$6,"BDI 2",$P$7,"BDI 3",$P$8)</f>
        <v>0.26739999999999997</v>
      </c>
      <c r="AB277" s="158">
        <f t="shared" ca="1" si="653"/>
        <v>0</v>
      </c>
      <c r="AC277" s="158">
        <f t="shared" ca="1" si="654"/>
        <v>0</v>
      </c>
      <c r="AD277" s="164"/>
      <c r="AE277" s="148">
        <f t="shared" si="641"/>
        <v>0</v>
      </c>
      <c r="AF277" s="149"/>
      <c r="AG277" s="150"/>
      <c r="AH277" s="159" t="e">
        <v>#DIV/0!</v>
      </c>
      <c r="AI277" s="195"/>
      <c r="AJ277" s="203"/>
      <c r="AK277" s="167"/>
      <c r="AM277" s="105"/>
      <c r="AN277" s="105"/>
      <c r="AO277" s="105"/>
      <c r="AP277" s="105"/>
      <c r="AQ277" s="105"/>
      <c r="AR277" s="105"/>
    </row>
    <row r="278" spans="1:44" s="49" customFormat="1" ht="40.15" hidden="1" customHeight="1">
      <c r="A278" s="10">
        <f t="shared" ca="1" si="642"/>
        <v>0</v>
      </c>
      <c r="B278" s="153"/>
      <c r="C278" s="154"/>
      <c r="D278" s="154"/>
      <c r="E278" s="155"/>
      <c r="F278" s="154"/>
      <c r="G278" s="154"/>
      <c r="H278" s="154"/>
      <c r="I278" s="154"/>
      <c r="J278" s="154"/>
      <c r="K278" s="154"/>
      <c r="L278" s="154"/>
      <c r="M278" s="154"/>
      <c r="N278" s="154"/>
      <c r="O278" s="157"/>
      <c r="P278" s="157"/>
      <c r="Q278" s="157"/>
      <c r="R278" s="157"/>
      <c r="S278" s="162"/>
      <c r="T278" s="162"/>
      <c r="U278" s="162"/>
      <c r="V278" s="162"/>
      <c r="W278" s="162"/>
      <c r="X278" s="163"/>
      <c r="Y278" s="163"/>
      <c r="Z278" s="163"/>
      <c r="AA278" s="163"/>
      <c r="AB278" s="163"/>
      <c r="AC278" s="163"/>
      <c r="AD278" s="164"/>
      <c r="AE278" s="148">
        <f>IF(S279&gt;0,IFERROR(TRUNC(A279,0),0),0)</f>
        <v>0</v>
      </c>
      <c r="AF278" s="149"/>
      <c r="AG278" s="150"/>
      <c r="AH278" s="159"/>
      <c r="AI278" s="185"/>
      <c r="AJ278" s="105"/>
      <c r="AK278" s="105"/>
      <c r="AM278" s="105"/>
      <c r="AN278" s="105"/>
      <c r="AO278" s="105"/>
      <c r="AP278" s="105"/>
      <c r="AQ278" s="105"/>
      <c r="AR278" s="105"/>
    </row>
    <row r="279" spans="1:44" s="105" customFormat="1" ht="40.15" hidden="1" customHeight="1">
      <c r="A279" s="186">
        <f ca="1">$B$21</f>
        <v>0</v>
      </c>
      <c r="B279" s="170"/>
      <c r="C279" s="171"/>
      <c r="D279" s="172"/>
      <c r="E279" s="173" t="str">
        <f>$D$21</f>
        <v>MICRODRENAGEM - DISPOSITIVOS AUXILIARES</v>
      </c>
      <c r="F279" s="174">
        <v>0</v>
      </c>
      <c r="G279" s="175"/>
      <c r="H279" s="176" t="s">
        <v>141</v>
      </c>
      <c r="I279" s="176" t="s">
        <v>141</v>
      </c>
      <c r="J279" s="177"/>
      <c r="K279" s="177"/>
      <c r="L279" s="177"/>
      <c r="M279" s="177"/>
      <c r="N279" s="177"/>
      <c r="O279" s="178" t="str">
        <f ca="1">CONCATENATE("SUB-TOTAL ",$A279)</f>
        <v>SUB-TOTAL 0</v>
      </c>
      <c r="P279" s="178" t="e" cm="1">
        <f t="array" ref="P279">TRUNC($I279*(1+_xlfn.SWITCH($N279,"BDI 1",$P$6,"BDI 2",$P$7,"BDI 3",$P$8)),2)</f>
        <v>#VALUE!</v>
      </c>
      <c r="Q279" s="178" t="str">
        <f ca="1">CONCATENATE("SUB-TOTAL ",$A279)</f>
        <v>SUB-TOTAL 0</v>
      </c>
      <c r="R279" s="178"/>
      <c r="S279" s="179">
        <f>SUM(S280:S329)</f>
        <v>0</v>
      </c>
      <c r="T279" s="179">
        <f>SUM(T280:T329)</f>
        <v>0</v>
      </c>
      <c r="U279" s="179">
        <f>SUM(U280:U329)</f>
        <v>0</v>
      </c>
      <c r="V279" s="179">
        <f>SUM(V280:V329)</f>
        <v>0</v>
      </c>
      <c r="W279" s="179">
        <f t="shared" ref="W279:W323" si="679">TRUNC(V279-U279,2)</f>
        <v>0</v>
      </c>
      <c r="X279" s="180">
        <f t="shared" ref="X279" si="680">$S279/ORCAMENTO_VALOR_TOTAL_ND</f>
        <v>0</v>
      </c>
      <c r="Y279" s="180">
        <f t="shared" ref="Y279" si="681">$T279/ORCAMENTO_VALOR_TOTAL_DE</f>
        <v>0</v>
      </c>
      <c r="Z279" s="180"/>
      <c r="AA279" s="180"/>
      <c r="AB279" s="180">
        <f>IFERROR($S279/$S279,0)</f>
        <v>0</v>
      </c>
      <c r="AC279" s="180">
        <f>IFERROR($T279/$T279,0)</f>
        <v>0</v>
      </c>
      <c r="AD279" s="147"/>
      <c r="AE279" s="148">
        <f t="shared" ref="AE279:AE323" si="682">IF(S279&gt;0,IFERROR(TRUNC(A279,0),0),0)</f>
        <v>0</v>
      </c>
      <c r="AF279" s="149"/>
      <c r="AG279" s="150"/>
      <c r="AH279" s="151" t="e">
        <f t="shared" ref="AH279:AH323" si="683">S279/S$204</f>
        <v>#DIV/0!</v>
      </c>
      <c r="AI279" s="160"/>
      <c r="AJ279" s="181" t="s">
        <v>105</v>
      </c>
      <c r="AK279" s="181" t="s">
        <v>106</v>
      </c>
    </row>
    <row r="280" spans="1:44" s="49" customFormat="1" ht="49.9" hidden="1" customHeight="1">
      <c r="A280" s="152">
        <f t="shared" ref="A280:A330" ca="1" si="684">IF(K280&gt;0,A279+0.01,A279)</f>
        <v>0</v>
      </c>
      <c r="B280" s="153" t="s">
        <v>162</v>
      </c>
      <c r="C280" s="154" t="str">
        <f t="shared" ref="C280:C323" si="685">TEXT(B280,"0")</f>
        <v>DR/0166</v>
      </c>
      <c r="D280" s="154" t="s">
        <v>3549</v>
      </c>
      <c r="E280" s="155" t="s">
        <v>3746</v>
      </c>
      <c r="F280" s="154"/>
      <c r="G280" s="154" t="s">
        <v>1412</v>
      </c>
      <c r="H280" s="152">
        <v>4379.01</v>
      </c>
      <c r="I280" s="152">
        <v>4170.59</v>
      </c>
      <c r="J280" s="156"/>
      <c r="K280" s="156">
        <f>Dre_Disp_Estruturais!AI60</f>
        <v>0</v>
      </c>
      <c r="L280" s="156">
        <f t="shared" ref="L280:L323" si="686">IF($K280&gt;$J280,$K280-$J280,0)</f>
        <v>0</v>
      </c>
      <c r="M280" s="156">
        <f t="shared" ref="M280:M323" si="687">IF($K280&lt;$J280,$J280-$K280,0)</f>
        <v>0</v>
      </c>
      <c r="N280" s="156" t="s">
        <v>83</v>
      </c>
      <c r="O280" s="157" cm="1">
        <f t="array" ref="O280">TRUNC($H280*(1+_xlfn.SWITCH($N280,"BDI 1",$O$6,"BDI 2",$O$7,"BDI 3",$O$8)),2)</f>
        <v>5285.46</v>
      </c>
      <c r="P280" s="157" cm="1">
        <f t="array" ref="P280">TRUNC($I280*(1+_xlfn.SWITCH($N280,"BDI 1",$P$6,"BDI 2",$P$7,"BDI 3",$P$8)),2)</f>
        <v>5285.8</v>
      </c>
      <c r="Q280" s="157">
        <v>0</v>
      </c>
      <c r="R280" s="157">
        <f t="shared" ref="R280" si="688">$Q280-($Q280*LICITACAO_DESCONTO)</f>
        <v>0</v>
      </c>
      <c r="S280" s="156">
        <f t="shared" ref="S280:S323" si="689">TRUNC($K280*$O280,2)</f>
        <v>0</v>
      </c>
      <c r="T280" s="156">
        <f t="shared" ref="T280:T323" si="690">TRUNC($K280*$P280,2)</f>
        <v>0</v>
      </c>
      <c r="U280" s="156">
        <f t="shared" ref="U280:U323" si="691">TRUNC($J280*$R280,2)</f>
        <v>0</v>
      </c>
      <c r="V280" s="156">
        <f t="shared" ref="V280:V323" si="692">TRUNC($K280*$Q280,2)</f>
        <v>0</v>
      </c>
      <c r="W280" s="156">
        <f t="shared" si="679"/>
        <v>0</v>
      </c>
      <c r="X280" s="158">
        <f t="shared" ref="X280" si="693">$S280/ORCAMENTO_VALOR_TOTAL_ND</f>
        <v>0</v>
      </c>
      <c r="Y280" s="158">
        <f t="shared" ref="Y280" si="694">$T280/ORCAMENTO_VALOR_TOTAL_DE</f>
        <v>0</v>
      </c>
      <c r="Z280" s="158" cm="1">
        <f t="array" ref="Z280">_xlfn.SWITCH($N280,"BDI 1",$O$6,"BDI 2",$O$7,"BDI 3",$O$8)</f>
        <v>0.20699999999999999</v>
      </c>
      <c r="AA280" s="158" cm="1">
        <f t="array" ref="AA280">_xlfn.SWITCH($N280,"BDI 1",$P$6,"BDI 2",$P$7,"BDI 3",$P$8)</f>
        <v>0.26739999999999997</v>
      </c>
      <c r="AB280" s="158">
        <f t="shared" ref="AB280:AB323" ca="1" si="695">IFERROR($S280/_xlfn.XLOOKUP($AE280,$B$16:$B$38,$S$16:$S$38),0)</f>
        <v>0</v>
      </c>
      <c r="AC280" s="158">
        <f t="shared" ref="AC280:AC323" ca="1" si="696">IFERROR($T280/_xlfn.XLOOKUP($AE280,$B$16:$B$38,$T$16:$T$38),0)</f>
        <v>0</v>
      </c>
      <c r="AD280" s="164"/>
      <c r="AE280" s="148">
        <f t="shared" si="682"/>
        <v>0</v>
      </c>
      <c r="AF280" s="149"/>
      <c r="AG280" s="150"/>
      <c r="AH280" s="159" t="e">
        <f t="shared" si="683"/>
        <v>#DIV/0!</v>
      </c>
      <c r="AI280" s="160"/>
      <c r="AJ280" s="204"/>
      <c r="AK280" s="199">
        <f t="shared" ref="AK280:AK306" si="697">AJ280*K280</f>
        <v>0</v>
      </c>
      <c r="AM280" s="105"/>
      <c r="AN280" s="105"/>
      <c r="AO280" s="105"/>
      <c r="AP280" s="105"/>
      <c r="AQ280" s="105"/>
      <c r="AR280" s="105"/>
    </row>
    <row r="281" spans="1:44" s="49" customFormat="1" ht="49.9" hidden="1" customHeight="1">
      <c r="A281" s="152">
        <f t="shared" ca="1" si="684"/>
        <v>0</v>
      </c>
      <c r="B281" s="153" t="s">
        <v>163</v>
      </c>
      <c r="C281" s="154" t="str">
        <f t="shared" si="685"/>
        <v>DR/0136</v>
      </c>
      <c r="D281" s="154" t="s">
        <v>3549</v>
      </c>
      <c r="E281" s="155" t="s">
        <v>3747</v>
      </c>
      <c r="F281" s="154"/>
      <c r="G281" s="154" t="s">
        <v>1412</v>
      </c>
      <c r="H281" s="152">
        <v>9161.61</v>
      </c>
      <c r="I281" s="152">
        <v>8779.23</v>
      </c>
      <c r="J281" s="156"/>
      <c r="K281" s="156">
        <f>Dre_Disp_Estruturais!AI61</f>
        <v>0</v>
      </c>
      <c r="L281" s="156">
        <f t="shared" si="686"/>
        <v>0</v>
      </c>
      <c r="M281" s="156">
        <f t="shared" si="687"/>
        <v>0</v>
      </c>
      <c r="N281" s="156" t="s">
        <v>83</v>
      </c>
      <c r="O281" s="157" cm="1">
        <f t="array" ref="O281">TRUNC($H281*(1+_xlfn.SWITCH($N281,"BDI 1",$O$6,"BDI 2",$O$7,"BDI 3",$O$8)),2)</f>
        <v>11058.06</v>
      </c>
      <c r="P281" s="157" cm="1">
        <f t="array" ref="P281">TRUNC($I281*(1+_xlfn.SWITCH($N281,"BDI 1",$P$6,"BDI 2",$P$7,"BDI 3",$P$8)),2)</f>
        <v>11126.79</v>
      </c>
      <c r="Q281" s="157">
        <v>0</v>
      </c>
      <c r="R281" s="157">
        <f t="shared" ref="R281" si="698">$Q281-($Q281*LICITACAO_DESCONTO)</f>
        <v>0</v>
      </c>
      <c r="S281" s="156">
        <f t="shared" si="689"/>
        <v>0</v>
      </c>
      <c r="T281" s="156">
        <f t="shared" si="690"/>
        <v>0</v>
      </c>
      <c r="U281" s="156">
        <f t="shared" si="691"/>
        <v>0</v>
      </c>
      <c r="V281" s="156">
        <f t="shared" si="692"/>
        <v>0</v>
      </c>
      <c r="W281" s="156">
        <f t="shared" si="679"/>
        <v>0</v>
      </c>
      <c r="X281" s="158">
        <f t="shared" ref="X281" si="699">$S281/ORCAMENTO_VALOR_TOTAL_ND</f>
        <v>0</v>
      </c>
      <c r="Y281" s="158">
        <f t="shared" ref="Y281" si="700">$T281/ORCAMENTO_VALOR_TOTAL_DE</f>
        <v>0</v>
      </c>
      <c r="Z281" s="158" cm="1">
        <f t="array" ref="Z281">_xlfn.SWITCH($N281,"BDI 1",$O$6,"BDI 2",$O$7,"BDI 3",$O$8)</f>
        <v>0.20699999999999999</v>
      </c>
      <c r="AA281" s="158" cm="1">
        <f t="array" ref="AA281">_xlfn.SWITCH($N281,"BDI 1",$P$6,"BDI 2",$P$7,"BDI 3",$P$8)</f>
        <v>0.26739999999999997</v>
      </c>
      <c r="AB281" s="158">
        <f t="shared" ca="1" si="695"/>
        <v>0</v>
      </c>
      <c r="AC281" s="158">
        <f t="shared" ca="1" si="696"/>
        <v>0</v>
      </c>
      <c r="AD281" s="164"/>
      <c r="AE281" s="148">
        <f t="shared" si="682"/>
        <v>0</v>
      </c>
      <c r="AF281" s="149"/>
      <c r="AG281" s="150"/>
      <c r="AH281" s="159" t="e">
        <f t="shared" si="683"/>
        <v>#DIV/0!</v>
      </c>
      <c r="AI281" s="160"/>
      <c r="AJ281" s="204">
        <v>0</v>
      </c>
      <c r="AK281" s="199">
        <f t="shared" si="697"/>
        <v>0</v>
      </c>
      <c r="AM281" s="105"/>
      <c r="AN281" s="105"/>
      <c r="AO281" s="105"/>
      <c r="AP281" s="105"/>
      <c r="AQ281" s="105"/>
      <c r="AR281" s="105"/>
    </row>
    <row r="282" spans="1:44" s="49" customFormat="1" ht="49.9" hidden="1" customHeight="1">
      <c r="A282" s="152">
        <f t="shared" ca="1" si="684"/>
        <v>0</v>
      </c>
      <c r="B282" s="153" t="s">
        <v>164</v>
      </c>
      <c r="C282" s="154" t="str">
        <f t="shared" si="685"/>
        <v>DR/0141</v>
      </c>
      <c r="D282" s="154" t="s">
        <v>3549</v>
      </c>
      <c r="E282" s="155" t="s">
        <v>3748</v>
      </c>
      <c r="F282" s="154"/>
      <c r="G282" s="154" t="s">
        <v>1412</v>
      </c>
      <c r="H282" s="152">
        <v>13854.39</v>
      </c>
      <c r="I282" s="152">
        <v>13305.09</v>
      </c>
      <c r="J282" s="156"/>
      <c r="K282" s="156">
        <f>Dre_Disp_Estruturais!AI62</f>
        <v>0</v>
      </c>
      <c r="L282" s="156">
        <f t="shared" si="686"/>
        <v>0</v>
      </c>
      <c r="M282" s="156">
        <f t="shared" si="687"/>
        <v>0</v>
      </c>
      <c r="N282" s="156" t="s">
        <v>83</v>
      </c>
      <c r="O282" s="157" cm="1">
        <f t="array" ref="O282">TRUNC($H282*(1+_xlfn.SWITCH($N282,"BDI 1",$O$6,"BDI 2",$O$7,"BDI 3",$O$8)),2)</f>
        <v>16722.240000000002</v>
      </c>
      <c r="P282" s="157" cm="1">
        <f t="array" ref="P282">TRUNC($I282*(1+_xlfn.SWITCH($N282,"BDI 1",$P$6,"BDI 2",$P$7,"BDI 3",$P$8)),2)</f>
        <v>16862.87</v>
      </c>
      <c r="Q282" s="157">
        <v>0</v>
      </c>
      <c r="R282" s="157">
        <f t="shared" ref="R282" si="701">$Q282-($Q282*LICITACAO_DESCONTO)</f>
        <v>0</v>
      </c>
      <c r="S282" s="156">
        <f t="shared" si="689"/>
        <v>0</v>
      </c>
      <c r="T282" s="156">
        <f t="shared" si="690"/>
        <v>0</v>
      </c>
      <c r="U282" s="156">
        <f t="shared" si="691"/>
        <v>0</v>
      </c>
      <c r="V282" s="156">
        <f t="shared" si="692"/>
        <v>0</v>
      </c>
      <c r="W282" s="156">
        <f t="shared" si="679"/>
        <v>0</v>
      </c>
      <c r="X282" s="158">
        <f t="shared" ref="X282" si="702">$S282/ORCAMENTO_VALOR_TOTAL_ND</f>
        <v>0</v>
      </c>
      <c r="Y282" s="158">
        <f t="shared" ref="Y282" si="703">$T282/ORCAMENTO_VALOR_TOTAL_DE</f>
        <v>0</v>
      </c>
      <c r="Z282" s="158" cm="1">
        <f t="array" ref="Z282">_xlfn.SWITCH($N282,"BDI 1",$O$6,"BDI 2",$O$7,"BDI 3",$O$8)</f>
        <v>0.20699999999999999</v>
      </c>
      <c r="AA282" s="158" cm="1">
        <f t="array" ref="AA282">_xlfn.SWITCH($N282,"BDI 1",$P$6,"BDI 2",$P$7,"BDI 3",$P$8)</f>
        <v>0.26739999999999997</v>
      </c>
      <c r="AB282" s="158">
        <f t="shared" ca="1" si="695"/>
        <v>0</v>
      </c>
      <c r="AC282" s="158">
        <f t="shared" ca="1" si="696"/>
        <v>0</v>
      </c>
      <c r="AD282" s="164"/>
      <c r="AE282" s="148">
        <f t="shared" si="682"/>
        <v>0</v>
      </c>
      <c r="AF282" s="149"/>
      <c r="AG282" s="150"/>
      <c r="AH282" s="159" t="e">
        <f t="shared" si="683"/>
        <v>#DIV/0!</v>
      </c>
      <c r="AI282" s="160"/>
      <c r="AJ282" s="204">
        <v>0</v>
      </c>
      <c r="AK282" s="199">
        <f t="shared" si="697"/>
        <v>0</v>
      </c>
      <c r="AM282" s="105"/>
      <c r="AN282" s="105"/>
      <c r="AO282" s="105"/>
      <c r="AP282" s="105"/>
      <c r="AQ282" s="105"/>
      <c r="AR282" s="105"/>
    </row>
    <row r="283" spans="1:44" s="49" customFormat="1" ht="49.9" hidden="1" customHeight="1">
      <c r="A283" s="152">
        <f t="shared" ca="1" si="684"/>
        <v>0</v>
      </c>
      <c r="B283" s="153" t="s">
        <v>165</v>
      </c>
      <c r="C283" s="154" t="str">
        <f t="shared" si="685"/>
        <v>DR/0146</v>
      </c>
      <c r="D283" s="154" t="s">
        <v>3549</v>
      </c>
      <c r="E283" s="155" t="s">
        <v>3749</v>
      </c>
      <c r="F283" s="154"/>
      <c r="G283" s="154" t="s">
        <v>1412</v>
      </c>
      <c r="H283" s="152">
        <v>16482.009999999998</v>
      </c>
      <c r="I283" s="152">
        <v>15905.74</v>
      </c>
      <c r="J283" s="156"/>
      <c r="K283" s="156">
        <f>Dre_Disp_Estruturais!AI63</f>
        <v>0</v>
      </c>
      <c r="L283" s="156">
        <f t="shared" si="686"/>
        <v>0</v>
      </c>
      <c r="M283" s="156">
        <f t="shared" si="687"/>
        <v>0</v>
      </c>
      <c r="N283" s="156" t="s">
        <v>83</v>
      </c>
      <c r="O283" s="157" cm="1">
        <f t="array" ref="O283">TRUNC($H283*(1+_xlfn.SWITCH($N283,"BDI 1",$O$6,"BDI 2",$O$7,"BDI 3",$O$8)),2)</f>
        <v>19893.78</v>
      </c>
      <c r="P283" s="157" cm="1">
        <f t="array" ref="P283">TRUNC($I283*(1+_xlfn.SWITCH($N283,"BDI 1",$P$6,"BDI 2",$P$7,"BDI 3",$P$8)),2)</f>
        <v>20158.93</v>
      </c>
      <c r="Q283" s="157">
        <v>0</v>
      </c>
      <c r="R283" s="157">
        <f t="shared" ref="R283" si="704">$Q283-($Q283*LICITACAO_DESCONTO)</f>
        <v>0</v>
      </c>
      <c r="S283" s="156">
        <f t="shared" si="689"/>
        <v>0</v>
      </c>
      <c r="T283" s="156">
        <f t="shared" si="690"/>
        <v>0</v>
      </c>
      <c r="U283" s="156">
        <f t="shared" si="691"/>
        <v>0</v>
      </c>
      <c r="V283" s="156">
        <f t="shared" si="692"/>
        <v>0</v>
      </c>
      <c r="W283" s="156">
        <f t="shared" si="679"/>
        <v>0</v>
      </c>
      <c r="X283" s="158">
        <f t="shared" ref="X283" si="705">$S283/ORCAMENTO_VALOR_TOTAL_ND</f>
        <v>0</v>
      </c>
      <c r="Y283" s="158">
        <f t="shared" ref="Y283" si="706">$T283/ORCAMENTO_VALOR_TOTAL_DE</f>
        <v>0</v>
      </c>
      <c r="Z283" s="158" cm="1">
        <f t="array" ref="Z283">_xlfn.SWITCH($N283,"BDI 1",$O$6,"BDI 2",$O$7,"BDI 3",$O$8)</f>
        <v>0.20699999999999999</v>
      </c>
      <c r="AA283" s="158" cm="1">
        <f t="array" ref="AA283">_xlfn.SWITCH($N283,"BDI 1",$P$6,"BDI 2",$P$7,"BDI 3",$P$8)</f>
        <v>0.26739999999999997</v>
      </c>
      <c r="AB283" s="158">
        <f t="shared" ca="1" si="695"/>
        <v>0</v>
      </c>
      <c r="AC283" s="158">
        <f t="shared" ca="1" si="696"/>
        <v>0</v>
      </c>
      <c r="AD283" s="164"/>
      <c r="AE283" s="148">
        <f t="shared" si="682"/>
        <v>0</v>
      </c>
      <c r="AF283" s="149"/>
      <c r="AG283" s="150"/>
      <c r="AH283" s="159" t="e">
        <f t="shared" si="683"/>
        <v>#DIV/0!</v>
      </c>
      <c r="AI283" s="160"/>
      <c r="AJ283" s="204">
        <v>0</v>
      </c>
      <c r="AK283" s="199">
        <f t="shared" si="697"/>
        <v>0</v>
      </c>
      <c r="AM283" s="105"/>
      <c r="AN283" s="105"/>
      <c r="AO283" s="105"/>
      <c r="AP283" s="105"/>
      <c r="AQ283" s="105"/>
      <c r="AR283" s="105"/>
    </row>
    <row r="284" spans="1:44" s="49" customFormat="1" ht="49.9" hidden="1" customHeight="1">
      <c r="A284" s="152">
        <f t="shared" ca="1" si="684"/>
        <v>0</v>
      </c>
      <c r="B284" s="153" t="s">
        <v>166</v>
      </c>
      <c r="C284" s="154" t="str">
        <f t="shared" si="685"/>
        <v>DR/0151</v>
      </c>
      <c r="D284" s="154" t="s">
        <v>3549</v>
      </c>
      <c r="E284" s="155" t="s">
        <v>3750</v>
      </c>
      <c r="F284" s="154"/>
      <c r="G284" s="154" t="s">
        <v>1412</v>
      </c>
      <c r="H284" s="152">
        <v>23433.38</v>
      </c>
      <c r="I284" s="152">
        <v>22495.34</v>
      </c>
      <c r="J284" s="156"/>
      <c r="K284" s="156">
        <f>Dre_Disp_Estruturais!AI64</f>
        <v>0</v>
      </c>
      <c r="L284" s="156">
        <f t="shared" si="686"/>
        <v>0</v>
      </c>
      <c r="M284" s="156">
        <f t="shared" si="687"/>
        <v>0</v>
      </c>
      <c r="N284" s="156" t="s">
        <v>83</v>
      </c>
      <c r="O284" s="157" cm="1">
        <f t="array" ref="O284">TRUNC($H284*(1+_xlfn.SWITCH($N284,"BDI 1",$O$6,"BDI 2",$O$7,"BDI 3",$O$8)),2)</f>
        <v>28284.080000000002</v>
      </c>
      <c r="P284" s="157" cm="1">
        <f t="array" ref="P284">TRUNC($I284*(1+_xlfn.SWITCH($N284,"BDI 1",$P$6,"BDI 2",$P$7,"BDI 3",$P$8)),2)</f>
        <v>28510.59</v>
      </c>
      <c r="Q284" s="157">
        <v>0</v>
      </c>
      <c r="R284" s="157">
        <f t="shared" ref="R284" si="707">$Q284-($Q284*LICITACAO_DESCONTO)</f>
        <v>0</v>
      </c>
      <c r="S284" s="156">
        <f t="shared" si="689"/>
        <v>0</v>
      </c>
      <c r="T284" s="156">
        <f t="shared" si="690"/>
        <v>0</v>
      </c>
      <c r="U284" s="156">
        <f t="shared" si="691"/>
        <v>0</v>
      </c>
      <c r="V284" s="156">
        <f t="shared" si="692"/>
        <v>0</v>
      </c>
      <c r="W284" s="156">
        <f t="shared" si="679"/>
        <v>0</v>
      </c>
      <c r="X284" s="158">
        <f t="shared" ref="X284" si="708">$S284/ORCAMENTO_VALOR_TOTAL_ND</f>
        <v>0</v>
      </c>
      <c r="Y284" s="158">
        <f t="shared" ref="Y284" si="709">$T284/ORCAMENTO_VALOR_TOTAL_DE</f>
        <v>0</v>
      </c>
      <c r="Z284" s="158" cm="1">
        <f t="array" ref="Z284">_xlfn.SWITCH($N284,"BDI 1",$O$6,"BDI 2",$O$7,"BDI 3",$O$8)</f>
        <v>0.20699999999999999</v>
      </c>
      <c r="AA284" s="158" cm="1">
        <f t="array" ref="AA284">_xlfn.SWITCH($N284,"BDI 1",$P$6,"BDI 2",$P$7,"BDI 3",$P$8)</f>
        <v>0.26739999999999997</v>
      </c>
      <c r="AB284" s="158">
        <f t="shared" ca="1" si="695"/>
        <v>0</v>
      </c>
      <c r="AC284" s="158">
        <f t="shared" ca="1" si="696"/>
        <v>0</v>
      </c>
      <c r="AD284" s="164"/>
      <c r="AE284" s="148">
        <f t="shared" si="682"/>
        <v>0</v>
      </c>
      <c r="AF284" s="149"/>
      <c r="AG284" s="150"/>
      <c r="AH284" s="159" t="e">
        <f t="shared" si="683"/>
        <v>#DIV/0!</v>
      </c>
      <c r="AI284" s="160"/>
      <c r="AJ284" s="204">
        <v>0</v>
      </c>
      <c r="AK284" s="199">
        <f t="shared" si="697"/>
        <v>0</v>
      </c>
      <c r="AM284" s="105"/>
      <c r="AN284" s="105"/>
      <c r="AO284" s="105"/>
      <c r="AP284" s="105"/>
      <c r="AQ284" s="105"/>
      <c r="AR284" s="105"/>
    </row>
    <row r="285" spans="1:44" s="49" customFormat="1" ht="49.9" hidden="1" customHeight="1">
      <c r="A285" s="152">
        <f t="shared" ca="1" si="684"/>
        <v>0</v>
      </c>
      <c r="B285" s="153" t="s">
        <v>167</v>
      </c>
      <c r="C285" s="154" t="str">
        <f t="shared" si="685"/>
        <v>DR/0156</v>
      </c>
      <c r="D285" s="154" t="s">
        <v>3549</v>
      </c>
      <c r="E285" s="155" t="s">
        <v>3751</v>
      </c>
      <c r="F285" s="154"/>
      <c r="G285" s="154" t="s">
        <v>1412</v>
      </c>
      <c r="H285" s="152">
        <v>31903.13</v>
      </c>
      <c r="I285" s="152">
        <v>30546.69</v>
      </c>
      <c r="J285" s="156"/>
      <c r="K285" s="156">
        <f>Dre_Disp_Estruturais!AI65</f>
        <v>0</v>
      </c>
      <c r="L285" s="156">
        <f t="shared" si="686"/>
        <v>0</v>
      </c>
      <c r="M285" s="156">
        <f t="shared" si="687"/>
        <v>0</v>
      </c>
      <c r="N285" s="156" t="s">
        <v>83</v>
      </c>
      <c r="O285" s="157" cm="1">
        <f t="array" ref="O285">TRUNC($H285*(1+_xlfn.SWITCH($N285,"BDI 1",$O$6,"BDI 2",$O$7,"BDI 3",$O$8)),2)</f>
        <v>38507.07</v>
      </c>
      <c r="P285" s="157" cm="1">
        <f t="array" ref="P285">TRUNC($I285*(1+_xlfn.SWITCH($N285,"BDI 1",$P$6,"BDI 2",$P$7,"BDI 3",$P$8)),2)</f>
        <v>38714.870000000003</v>
      </c>
      <c r="Q285" s="157">
        <v>0</v>
      </c>
      <c r="R285" s="157">
        <f t="shared" ref="R285" si="710">$Q285-($Q285*LICITACAO_DESCONTO)</f>
        <v>0</v>
      </c>
      <c r="S285" s="156">
        <f t="shared" si="689"/>
        <v>0</v>
      </c>
      <c r="T285" s="156">
        <f t="shared" si="690"/>
        <v>0</v>
      </c>
      <c r="U285" s="156">
        <f t="shared" si="691"/>
        <v>0</v>
      </c>
      <c r="V285" s="156">
        <f t="shared" si="692"/>
        <v>0</v>
      </c>
      <c r="W285" s="156">
        <f t="shared" si="679"/>
        <v>0</v>
      </c>
      <c r="X285" s="158">
        <f t="shared" ref="X285" si="711">$S285/ORCAMENTO_VALOR_TOTAL_ND</f>
        <v>0</v>
      </c>
      <c r="Y285" s="158">
        <f t="shared" ref="Y285" si="712">$T285/ORCAMENTO_VALOR_TOTAL_DE</f>
        <v>0</v>
      </c>
      <c r="Z285" s="158" cm="1">
        <f t="array" ref="Z285">_xlfn.SWITCH($N285,"BDI 1",$O$6,"BDI 2",$O$7,"BDI 3",$O$8)</f>
        <v>0.20699999999999999</v>
      </c>
      <c r="AA285" s="158" cm="1">
        <f t="array" ref="AA285">_xlfn.SWITCH($N285,"BDI 1",$P$6,"BDI 2",$P$7,"BDI 3",$P$8)</f>
        <v>0.26739999999999997</v>
      </c>
      <c r="AB285" s="158">
        <f t="shared" ca="1" si="695"/>
        <v>0</v>
      </c>
      <c r="AC285" s="158">
        <f t="shared" ca="1" si="696"/>
        <v>0</v>
      </c>
      <c r="AD285" s="164"/>
      <c r="AE285" s="148">
        <f t="shared" si="682"/>
        <v>0</v>
      </c>
      <c r="AF285" s="149"/>
      <c r="AG285" s="150"/>
      <c r="AH285" s="159" t="e">
        <f t="shared" si="683"/>
        <v>#DIV/0!</v>
      </c>
      <c r="AI285" s="160"/>
      <c r="AJ285" s="204">
        <v>0</v>
      </c>
      <c r="AK285" s="199">
        <f t="shared" si="697"/>
        <v>0</v>
      </c>
      <c r="AM285" s="105"/>
      <c r="AN285" s="105"/>
      <c r="AO285" s="105"/>
      <c r="AP285" s="105"/>
      <c r="AQ285" s="105"/>
      <c r="AR285" s="105"/>
    </row>
    <row r="286" spans="1:44" s="49" customFormat="1" ht="49.9" hidden="1" customHeight="1">
      <c r="A286" s="152">
        <f t="shared" ca="1" si="684"/>
        <v>0</v>
      </c>
      <c r="B286" s="153" t="s">
        <v>168</v>
      </c>
      <c r="C286" s="154" t="str">
        <f t="shared" si="685"/>
        <v>DR/0161</v>
      </c>
      <c r="D286" s="154" t="s">
        <v>3549</v>
      </c>
      <c r="E286" s="155" t="s">
        <v>3752</v>
      </c>
      <c r="F286" s="154"/>
      <c r="G286" s="154" t="s">
        <v>1412</v>
      </c>
      <c r="H286" s="152">
        <v>38297.839999999997</v>
      </c>
      <c r="I286" s="152">
        <v>36709.89</v>
      </c>
      <c r="J286" s="156"/>
      <c r="K286" s="156">
        <f>Dre_Disp_Estruturais!AI66</f>
        <v>0</v>
      </c>
      <c r="L286" s="156">
        <f t="shared" si="686"/>
        <v>0</v>
      </c>
      <c r="M286" s="156">
        <f t="shared" si="687"/>
        <v>0</v>
      </c>
      <c r="N286" s="156" t="s">
        <v>83</v>
      </c>
      <c r="O286" s="157" cm="1">
        <f t="array" ref="O286">TRUNC($H286*(1+_xlfn.SWITCH($N286,"BDI 1",$O$6,"BDI 2",$O$7,"BDI 3",$O$8)),2)</f>
        <v>46225.49</v>
      </c>
      <c r="P286" s="157" cm="1">
        <f t="array" ref="P286">TRUNC($I286*(1+_xlfn.SWITCH($N286,"BDI 1",$P$6,"BDI 2",$P$7,"BDI 3",$P$8)),2)</f>
        <v>46526.11</v>
      </c>
      <c r="Q286" s="157">
        <v>0</v>
      </c>
      <c r="R286" s="157">
        <f t="shared" ref="R286" si="713">$Q286-($Q286*LICITACAO_DESCONTO)</f>
        <v>0</v>
      </c>
      <c r="S286" s="156">
        <f t="shared" si="689"/>
        <v>0</v>
      </c>
      <c r="T286" s="156">
        <f t="shared" si="690"/>
        <v>0</v>
      </c>
      <c r="U286" s="156">
        <f t="shared" si="691"/>
        <v>0</v>
      </c>
      <c r="V286" s="156">
        <f t="shared" si="692"/>
        <v>0</v>
      </c>
      <c r="W286" s="156">
        <f t="shared" si="679"/>
        <v>0</v>
      </c>
      <c r="X286" s="158">
        <f t="shared" ref="X286" si="714">$S286/ORCAMENTO_VALOR_TOTAL_ND</f>
        <v>0</v>
      </c>
      <c r="Y286" s="158">
        <f t="shared" ref="Y286" si="715">$T286/ORCAMENTO_VALOR_TOTAL_DE</f>
        <v>0</v>
      </c>
      <c r="Z286" s="158" cm="1">
        <f t="array" ref="Z286">_xlfn.SWITCH($N286,"BDI 1",$O$6,"BDI 2",$O$7,"BDI 3",$O$8)</f>
        <v>0.20699999999999999</v>
      </c>
      <c r="AA286" s="158" cm="1">
        <f t="array" ref="AA286">_xlfn.SWITCH($N286,"BDI 1",$P$6,"BDI 2",$P$7,"BDI 3",$P$8)</f>
        <v>0.26739999999999997</v>
      </c>
      <c r="AB286" s="158">
        <f t="shared" ca="1" si="695"/>
        <v>0</v>
      </c>
      <c r="AC286" s="158">
        <f t="shared" ca="1" si="696"/>
        <v>0</v>
      </c>
      <c r="AD286" s="164"/>
      <c r="AE286" s="148">
        <f t="shared" si="682"/>
        <v>0</v>
      </c>
      <c r="AF286" s="149"/>
      <c r="AG286" s="150"/>
      <c r="AH286" s="159" t="e">
        <f t="shared" si="683"/>
        <v>#DIV/0!</v>
      </c>
      <c r="AI286" s="160"/>
      <c r="AJ286" s="198">
        <v>0</v>
      </c>
      <c r="AK286" s="199">
        <f t="shared" si="697"/>
        <v>0</v>
      </c>
      <c r="AM286" s="105"/>
      <c r="AN286" s="105"/>
      <c r="AO286" s="105"/>
      <c r="AP286" s="105"/>
      <c r="AQ286" s="105"/>
      <c r="AR286" s="105"/>
    </row>
    <row r="287" spans="1:44" s="49" customFormat="1" ht="40.15" hidden="1" customHeight="1">
      <c r="A287" s="152">
        <f t="shared" ca="1" si="684"/>
        <v>0</v>
      </c>
      <c r="B287" s="153" t="s">
        <v>169</v>
      </c>
      <c r="C287" s="154" t="str">
        <f t="shared" si="685"/>
        <v>DR/0171</v>
      </c>
      <c r="D287" s="154" t="s">
        <v>3549</v>
      </c>
      <c r="E287" s="155" t="s">
        <v>3753</v>
      </c>
      <c r="F287" s="154"/>
      <c r="G287" s="154" t="s">
        <v>1412</v>
      </c>
      <c r="H287" s="152">
        <v>361.8</v>
      </c>
      <c r="I287" s="152">
        <v>350.65</v>
      </c>
      <c r="J287" s="156"/>
      <c r="K287" s="156">
        <f>Dre_Disp_Estruturais!AI76</f>
        <v>0</v>
      </c>
      <c r="L287" s="156">
        <f t="shared" si="686"/>
        <v>0</v>
      </c>
      <c r="M287" s="156">
        <f t="shared" si="687"/>
        <v>0</v>
      </c>
      <c r="N287" s="156" t="s">
        <v>83</v>
      </c>
      <c r="O287" s="157" cm="1">
        <f t="array" ref="O287">TRUNC($H287*(1+_xlfn.SWITCH($N287,"BDI 1",$O$6,"BDI 2",$O$7,"BDI 3",$O$8)),2)</f>
        <v>436.69</v>
      </c>
      <c r="P287" s="157" cm="1">
        <f t="array" ref="P287">TRUNC($I287*(1+_xlfn.SWITCH($N287,"BDI 1",$P$6,"BDI 2",$P$7,"BDI 3",$P$8)),2)</f>
        <v>444.41</v>
      </c>
      <c r="Q287" s="157">
        <v>0</v>
      </c>
      <c r="R287" s="157">
        <f t="shared" ref="R287" si="716">$Q287-($Q287*LICITACAO_DESCONTO)</f>
        <v>0</v>
      </c>
      <c r="S287" s="156">
        <f t="shared" si="689"/>
        <v>0</v>
      </c>
      <c r="T287" s="156">
        <f t="shared" si="690"/>
        <v>0</v>
      </c>
      <c r="U287" s="156">
        <f t="shared" si="691"/>
        <v>0</v>
      </c>
      <c r="V287" s="156">
        <f t="shared" si="692"/>
        <v>0</v>
      </c>
      <c r="W287" s="156">
        <f t="shared" si="679"/>
        <v>0</v>
      </c>
      <c r="X287" s="158">
        <f t="shared" ref="X287" si="717">$S287/ORCAMENTO_VALOR_TOTAL_ND</f>
        <v>0</v>
      </c>
      <c r="Y287" s="158">
        <f t="shared" ref="Y287" si="718">$T287/ORCAMENTO_VALOR_TOTAL_DE</f>
        <v>0</v>
      </c>
      <c r="Z287" s="158" cm="1">
        <f t="array" ref="Z287">_xlfn.SWITCH($N287,"BDI 1",$O$6,"BDI 2",$O$7,"BDI 3",$O$8)</f>
        <v>0.20699999999999999</v>
      </c>
      <c r="AA287" s="158" cm="1">
        <f t="array" ref="AA287">_xlfn.SWITCH($N287,"BDI 1",$P$6,"BDI 2",$P$7,"BDI 3",$P$8)</f>
        <v>0.26739999999999997</v>
      </c>
      <c r="AB287" s="158">
        <f t="shared" ca="1" si="695"/>
        <v>0</v>
      </c>
      <c r="AC287" s="158">
        <f t="shared" ca="1" si="696"/>
        <v>0</v>
      </c>
      <c r="AD287" s="164"/>
      <c r="AE287" s="148">
        <f t="shared" si="682"/>
        <v>0</v>
      </c>
      <c r="AF287" s="149"/>
      <c r="AG287" s="150"/>
      <c r="AH287" s="159" t="e">
        <f t="shared" si="683"/>
        <v>#DIV/0!</v>
      </c>
      <c r="AI287" s="160"/>
      <c r="AJ287" s="198">
        <v>0</v>
      </c>
      <c r="AK287" s="199">
        <f t="shared" si="697"/>
        <v>0</v>
      </c>
      <c r="AM287" s="105"/>
      <c r="AN287" s="105"/>
      <c r="AO287" s="105"/>
      <c r="AP287" s="105"/>
      <c r="AQ287" s="105"/>
      <c r="AR287" s="105"/>
    </row>
    <row r="288" spans="1:44" s="49" customFormat="1" ht="40.15" hidden="1" customHeight="1">
      <c r="A288" s="152">
        <f t="shared" ca="1" si="684"/>
        <v>0</v>
      </c>
      <c r="B288" s="153" t="s">
        <v>170</v>
      </c>
      <c r="C288" s="154" t="str">
        <f t="shared" si="685"/>
        <v>DR/0176</v>
      </c>
      <c r="D288" s="154" t="s">
        <v>3549</v>
      </c>
      <c r="E288" s="155" t="s">
        <v>3754</v>
      </c>
      <c r="F288" s="154"/>
      <c r="G288" s="154" t="s">
        <v>1412</v>
      </c>
      <c r="H288" s="152">
        <v>446.28</v>
      </c>
      <c r="I288" s="152">
        <v>432.54</v>
      </c>
      <c r="J288" s="156"/>
      <c r="K288" s="156">
        <f>Dre_Disp_Estruturais!AI77</f>
        <v>0</v>
      </c>
      <c r="L288" s="156">
        <f t="shared" si="686"/>
        <v>0</v>
      </c>
      <c r="M288" s="156">
        <f t="shared" si="687"/>
        <v>0</v>
      </c>
      <c r="N288" s="156" t="s">
        <v>83</v>
      </c>
      <c r="O288" s="157" cm="1">
        <f t="array" ref="O288">TRUNC($H288*(1+_xlfn.SWITCH($N288,"BDI 1",$O$6,"BDI 2",$O$7,"BDI 3",$O$8)),2)</f>
        <v>538.65</v>
      </c>
      <c r="P288" s="157" cm="1">
        <f t="array" ref="P288">TRUNC($I288*(1+_xlfn.SWITCH($N288,"BDI 1",$P$6,"BDI 2",$P$7,"BDI 3",$P$8)),2)</f>
        <v>548.20000000000005</v>
      </c>
      <c r="Q288" s="157">
        <v>0</v>
      </c>
      <c r="R288" s="157">
        <f t="shared" ref="R288" si="719">$Q288-($Q288*LICITACAO_DESCONTO)</f>
        <v>0</v>
      </c>
      <c r="S288" s="156">
        <f t="shared" si="689"/>
        <v>0</v>
      </c>
      <c r="T288" s="156">
        <f t="shared" si="690"/>
        <v>0</v>
      </c>
      <c r="U288" s="156">
        <f t="shared" si="691"/>
        <v>0</v>
      </c>
      <c r="V288" s="156">
        <f t="shared" si="692"/>
        <v>0</v>
      </c>
      <c r="W288" s="156">
        <f t="shared" si="679"/>
        <v>0</v>
      </c>
      <c r="X288" s="158">
        <f t="shared" ref="X288" si="720">$S288/ORCAMENTO_VALOR_TOTAL_ND</f>
        <v>0</v>
      </c>
      <c r="Y288" s="158">
        <f t="shared" ref="Y288" si="721">$T288/ORCAMENTO_VALOR_TOTAL_DE</f>
        <v>0</v>
      </c>
      <c r="Z288" s="158" cm="1">
        <f t="array" ref="Z288">_xlfn.SWITCH($N288,"BDI 1",$O$6,"BDI 2",$O$7,"BDI 3",$O$8)</f>
        <v>0.20699999999999999</v>
      </c>
      <c r="AA288" s="158" cm="1">
        <f t="array" ref="AA288">_xlfn.SWITCH($N288,"BDI 1",$P$6,"BDI 2",$P$7,"BDI 3",$P$8)</f>
        <v>0.26739999999999997</v>
      </c>
      <c r="AB288" s="158">
        <f t="shared" ca="1" si="695"/>
        <v>0</v>
      </c>
      <c r="AC288" s="158">
        <f t="shared" ca="1" si="696"/>
        <v>0</v>
      </c>
      <c r="AD288" s="164"/>
      <c r="AE288" s="148">
        <f t="shared" si="682"/>
        <v>0</v>
      </c>
      <c r="AF288" s="149"/>
      <c r="AG288" s="150"/>
      <c r="AH288" s="159" t="e">
        <f t="shared" si="683"/>
        <v>#DIV/0!</v>
      </c>
      <c r="AI288" s="160"/>
      <c r="AJ288" s="198">
        <v>0</v>
      </c>
      <c r="AK288" s="199">
        <f t="shared" si="697"/>
        <v>0</v>
      </c>
      <c r="AM288" s="105"/>
      <c r="AN288" s="105"/>
      <c r="AO288" s="105"/>
      <c r="AP288" s="105"/>
      <c r="AQ288" s="105"/>
      <c r="AR288" s="105"/>
    </row>
    <row r="289" spans="1:44" s="49" customFormat="1" ht="40.15" hidden="1" customHeight="1">
      <c r="A289" s="152">
        <f t="shared" ca="1" si="684"/>
        <v>0</v>
      </c>
      <c r="B289" s="153" t="s">
        <v>171</v>
      </c>
      <c r="C289" s="154" t="str">
        <f t="shared" si="685"/>
        <v>DR/0181</v>
      </c>
      <c r="D289" s="154" t="s">
        <v>3549</v>
      </c>
      <c r="E289" s="155" t="s">
        <v>3755</v>
      </c>
      <c r="F289" s="154"/>
      <c r="G289" s="154" t="s">
        <v>1412</v>
      </c>
      <c r="H289" s="152">
        <v>502.04</v>
      </c>
      <c r="I289" s="152">
        <v>486.59</v>
      </c>
      <c r="J289" s="156"/>
      <c r="K289" s="156">
        <f>Dre_Disp_Estruturais!AI78</f>
        <v>0</v>
      </c>
      <c r="L289" s="156">
        <f t="shared" si="686"/>
        <v>0</v>
      </c>
      <c r="M289" s="156">
        <f t="shared" si="687"/>
        <v>0</v>
      </c>
      <c r="N289" s="156" t="s">
        <v>83</v>
      </c>
      <c r="O289" s="157" cm="1">
        <f t="array" ref="O289">TRUNC($H289*(1+_xlfn.SWITCH($N289,"BDI 1",$O$6,"BDI 2",$O$7,"BDI 3",$O$8)),2)</f>
        <v>605.96</v>
      </c>
      <c r="P289" s="157" cm="1">
        <f t="array" ref="P289">TRUNC($I289*(1+_xlfn.SWITCH($N289,"BDI 1",$P$6,"BDI 2",$P$7,"BDI 3",$P$8)),2)</f>
        <v>616.70000000000005</v>
      </c>
      <c r="Q289" s="157">
        <v>0</v>
      </c>
      <c r="R289" s="157">
        <f t="shared" ref="R289" si="722">$Q289-($Q289*LICITACAO_DESCONTO)</f>
        <v>0</v>
      </c>
      <c r="S289" s="156">
        <f t="shared" si="689"/>
        <v>0</v>
      </c>
      <c r="T289" s="156">
        <f t="shared" si="690"/>
        <v>0</v>
      </c>
      <c r="U289" s="156">
        <f t="shared" si="691"/>
        <v>0</v>
      </c>
      <c r="V289" s="156">
        <f t="shared" si="692"/>
        <v>0</v>
      </c>
      <c r="W289" s="156">
        <f t="shared" si="679"/>
        <v>0</v>
      </c>
      <c r="X289" s="158">
        <f t="shared" ref="X289" si="723">$S289/ORCAMENTO_VALOR_TOTAL_ND</f>
        <v>0</v>
      </c>
      <c r="Y289" s="158">
        <f t="shared" ref="Y289" si="724">$T289/ORCAMENTO_VALOR_TOTAL_DE</f>
        <v>0</v>
      </c>
      <c r="Z289" s="158" cm="1">
        <f t="array" ref="Z289">_xlfn.SWITCH($N289,"BDI 1",$O$6,"BDI 2",$O$7,"BDI 3",$O$8)</f>
        <v>0.20699999999999999</v>
      </c>
      <c r="AA289" s="158" cm="1">
        <f t="array" ref="AA289">_xlfn.SWITCH($N289,"BDI 1",$P$6,"BDI 2",$P$7,"BDI 3",$P$8)</f>
        <v>0.26739999999999997</v>
      </c>
      <c r="AB289" s="158">
        <f t="shared" ca="1" si="695"/>
        <v>0</v>
      </c>
      <c r="AC289" s="158">
        <f t="shared" ca="1" si="696"/>
        <v>0</v>
      </c>
      <c r="AD289" s="164"/>
      <c r="AE289" s="148">
        <f t="shared" si="682"/>
        <v>0</v>
      </c>
      <c r="AF289" s="149"/>
      <c r="AG289" s="150"/>
      <c r="AH289" s="159" t="e">
        <f t="shared" si="683"/>
        <v>#DIV/0!</v>
      </c>
      <c r="AI289" s="160"/>
      <c r="AJ289" s="198">
        <v>0</v>
      </c>
      <c r="AK289" s="199">
        <f t="shared" si="697"/>
        <v>0</v>
      </c>
      <c r="AM289" s="105"/>
      <c r="AN289" s="105"/>
      <c r="AO289" s="105"/>
      <c r="AP289" s="105"/>
      <c r="AQ289" s="105"/>
      <c r="AR289" s="105"/>
    </row>
    <row r="290" spans="1:44" s="49" customFormat="1" ht="40.15" hidden="1" customHeight="1">
      <c r="A290" s="152">
        <f t="shared" ca="1" si="684"/>
        <v>0</v>
      </c>
      <c r="B290" s="153" t="s">
        <v>172</v>
      </c>
      <c r="C290" s="154" t="str">
        <f t="shared" si="685"/>
        <v>DR/0186</v>
      </c>
      <c r="D290" s="154" t="s">
        <v>3549</v>
      </c>
      <c r="E290" s="155" t="s">
        <v>3756</v>
      </c>
      <c r="F290" s="154"/>
      <c r="G290" s="154" t="s">
        <v>1412</v>
      </c>
      <c r="H290" s="152">
        <v>614.15</v>
      </c>
      <c r="I290" s="152">
        <v>595.27</v>
      </c>
      <c r="J290" s="156"/>
      <c r="K290" s="156">
        <f>Dre_Disp_Estruturais!AI79</f>
        <v>0</v>
      </c>
      <c r="L290" s="156">
        <f t="shared" si="686"/>
        <v>0</v>
      </c>
      <c r="M290" s="156">
        <f t="shared" si="687"/>
        <v>0</v>
      </c>
      <c r="N290" s="156" t="s">
        <v>83</v>
      </c>
      <c r="O290" s="157" cm="1">
        <f t="array" ref="O290">TRUNC($H290*(1+_xlfn.SWITCH($N290,"BDI 1",$O$6,"BDI 2",$O$7,"BDI 3",$O$8)),2)</f>
        <v>741.27</v>
      </c>
      <c r="P290" s="157" cm="1">
        <f t="array" ref="P290">TRUNC($I290*(1+_xlfn.SWITCH($N290,"BDI 1",$P$6,"BDI 2",$P$7,"BDI 3",$P$8)),2)</f>
        <v>754.44</v>
      </c>
      <c r="Q290" s="157">
        <v>0</v>
      </c>
      <c r="R290" s="157">
        <f t="shared" ref="R290" si="725">$Q290-($Q290*LICITACAO_DESCONTO)</f>
        <v>0</v>
      </c>
      <c r="S290" s="156">
        <f t="shared" si="689"/>
        <v>0</v>
      </c>
      <c r="T290" s="156">
        <f t="shared" si="690"/>
        <v>0</v>
      </c>
      <c r="U290" s="156">
        <f t="shared" si="691"/>
        <v>0</v>
      </c>
      <c r="V290" s="156">
        <f t="shared" si="692"/>
        <v>0</v>
      </c>
      <c r="W290" s="156">
        <f t="shared" si="679"/>
        <v>0</v>
      </c>
      <c r="X290" s="158">
        <f t="shared" ref="X290" si="726">$S290/ORCAMENTO_VALOR_TOTAL_ND</f>
        <v>0</v>
      </c>
      <c r="Y290" s="158">
        <f t="shared" ref="Y290" si="727">$T290/ORCAMENTO_VALOR_TOTAL_DE</f>
        <v>0</v>
      </c>
      <c r="Z290" s="158" cm="1">
        <f t="array" ref="Z290">_xlfn.SWITCH($N290,"BDI 1",$O$6,"BDI 2",$O$7,"BDI 3",$O$8)</f>
        <v>0.20699999999999999</v>
      </c>
      <c r="AA290" s="158" cm="1">
        <f t="array" ref="AA290">_xlfn.SWITCH($N290,"BDI 1",$P$6,"BDI 2",$P$7,"BDI 3",$P$8)</f>
        <v>0.26739999999999997</v>
      </c>
      <c r="AB290" s="158">
        <f t="shared" ca="1" si="695"/>
        <v>0</v>
      </c>
      <c r="AC290" s="158">
        <f t="shared" ca="1" si="696"/>
        <v>0</v>
      </c>
      <c r="AD290" s="164"/>
      <c r="AE290" s="148">
        <f t="shared" si="682"/>
        <v>0</v>
      </c>
      <c r="AF290" s="149"/>
      <c r="AG290" s="150"/>
      <c r="AH290" s="159" t="e">
        <f t="shared" si="683"/>
        <v>#DIV/0!</v>
      </c>
      <c r="AI290" s="160"/>
      <c r="AJ290" s="198">
        <v>0</v>
      </c>
      <c r="AK290" s="199">
        <f t="shared" si="697"/>
        <v>0</v>
      </c>
      <c r="AM290" s="105"/>
      <c r="AN290" s="105"/>
      <c r="AO290" s="105"/>
      <c r="AP290" s="105"/>
      <c r="AQ290" s="105"/>
      <c r="AR290" s="105"/>
    </row>
    <row r="291" spans="1:44" s="49" customFormat="1" ht="40.15" hidden="1" customHeight="1">
      <c r="A291" s="152">
        <f t="shared" ca="1" si="684"/>
        <v>0</v>
      </c>
      <c r="B291" s="153" t="s">
        <v>173</v>
      </c>
      <c r="C291" s="154" t="str">
        <f t="shared" si="685"/>
        <v>DR/0191</v>
      </c>
      <c r="D291" s="154" t="s">
        <v>3549</v>
      </c>
      <c r="E291" s="155" t="s">
        <v>3757</v>
      </c>
      <c r="F291" s="154"/>
      <c r="G291" s="154" t="s">
        <v>1412</v>
      </c>
      <c r="H291" s="152">
        <v>782.03</v>
      </c>
      <c r="I291" s="152">
        <v>757.99</v>
      </c>
      <c r="J291" s="156"/>
      <c r="K291" s="156">
        <f>Dre_Disp_Estruturais!AI80</f>
        <v>0</v>
      </c>
      <c r="L291" s="156">
        <f t="shared" si="686"/>
        <v>0</v>
      </c>
      <c r="M291" s="156">
        <f t="shared" si="687"/>
        <v>0</v>
      </c>
      <c r="N291" s="156" t="s">
        <v>83</v>
      </c>
      <c r="O291" s="157" cm="1">
        <f t="array" ref="O291">TRUNC($H291*(1+_xlfn.SWITCH($N291,"BDI 1",$O$6,"BDI 2",$O$7,"BDI 3",$O$8)),2)</f>
        <v>943.91</v>
      </c>
      <c r="P291" s="157" cm="1">
        <f t="array" ref="P291">TRUNC($I291*(1+_xlfn.SWITCH($N291,"BDI 1",$P$6,"BDI 2",$P$7,"BDI 3",$P$8)),2)</f>
        <v>960.67</v>
      </c>
      <c r="Q291" s="157">
        <v>0</v>
      </c>
      <c r="R291" s="157">
        <f t="shared" ref="R291" si="728">$Q291-($Q291*LICITACAO_DESCONTO)</f>
        <v>0</v>
      </c>
      <c r="S291" s="156">
        <f t="shared" si="689"/>
        <v>0</v>
      </c>
      <c r="T291" s="156">
        <f t="shared" si="690"/>
        <v>0</v>
      </c>
      <c r="U291" s="156">
        <f t="shared" si="691"/>
        <v>0</v>
      </c>
      <c r="V291" s="156">
        <f t="shared" si="692"/>
        <v>0</v>
      </c>
      <c r="W291" s="156">
        <f t="shared" si="679"/>
        <v>0</v>
      </c>
      <c r="X291" s="158">
        <f t="shared" ref="X291" si="729">$S291/ORCAMENTO_VALOR_TOTAL_ND</f>
        <v>0</v>
      </c>
      <c r="Y291" s="158">
        <f t="shared" ref="Y291" si="730">$T291/ORCAMENTO_VALOR_TOTAL_DE</f>
        <v>0</v>
      </c>
      <c r="Z291" s="158" cm="1">
        <f t="array" ref="Z291">_xlfn.SWITCH($N291,"BDI 1",$O$6,"BDI 2",$O$7,"BDI 3",$O$8)</f>
        <v>0.20699999999999999</v>
      </c>
      <c r="AA291" s="158" cm="1">
        <f t="array" ref="AA291">_xlfn.SWITCH($N291,"BDI 1",$P$6,"BDI 2",$P$7,"BDI 3",$P$8)</f>
        <v>0.26739999999999997</v>
      </c>
      <c r="AB291" s="158">
        <f t="shared" ca="1" si="695"/>
        <v>0</v>
      </c>
      <c r="AC291" s="158">
        <f t="shared" ca="1" si="696"/>
        <v>0</v>
      </c>
      <c r="AD291" s="164"/>
      <c r="AE291" s="148">
        <f t="shared" si="682"/>
        <v>0</v>
      </c>
      <c r="AF291" s="149"/>
      <c r="AG291" s="150"/>
      <c r="AH291" s="159" t="e">
        <f t="shared" si="683"/>
        <v>#DIV/0!</v>
      </c>
      <c r="AI291" s="160"/>
      <c r="AJ291" s="198">
        <v>0</v>
      </c>
      <c r="AK291" s="199">
        <f t="shared" si="697"/>
        <v>0</v>
      </c>
      <c r="AM291" s="105"/>
      <c r="AN291" s="105"/>
      <c r="AO291" s="105"/>
      <c r="AP291" s="105"/>
      <c r="AQ291" s="105"/>
      <c r="AR291" s="105"/>
    </row>
    <row r="292" spans="1:44" s="49" customFormat="1" ht="40.15" hidden="1" customHeight="1">
      <c r="A292" s="152">
        <f t="shared" ca="1" si="684"/>
        <v>0</v>
      </c>
      <c r="B292" s="153" t="s">
        <v>174</v>
      </c>
      <c r="C292" s="154" t="str">
        <f t="shared" si="685"/>
        <v>DR/0196</v>
      </c>
      <c r="D292" s="154" t="s">
        <v>3549</v>
      </c>
      <c r="E292" s="155" t="s">
        <v>3758</v>
      </c>
      <c r="F292" s="154"/>
      <c r="G292" s="154" t="s">
        <v>1412</v>
      </c>
      <c r="H292" s="152">
        <v>922.26</v>
      </c>
      <c r="I292" s="152">
        <v>893.92</v>
      </c>
      <c r="J292" s="156"/>
      <c r="K292" s="156">
        <f>Dre_Disp_Estruturais!AI81</f>
        <v>0</v>
      </c>
      <c r="L292" s="156">
        <f t="shared" si="686"/>
        <v>0</v>
      </c>
      <c r="M292" s="156">
        <f t="shared" si="687"/>
        <v>0</v>
      </c>
      <c r="N292" s="156" t="s">
        <v>83</v>
      </c>
      <c r="O292" s="157" cm="1">
        <f t="array" ref="O292">TRUNC($H292*(1+_xlfn.SWITCH($N292,"BDI 1",$O$6,"BDI 2",$O$7,"BDI 3",$O$8)),2)</f>
        <v>1113.1600000000001</v>
      </c>
      <c r="P292" s="157" cm="1">
        <f t="array" ref="P292">TRUNC($I292*(1+_xlfn.SWITCH($N292,"BDI 1",$P$6,"BDI 2",$P$7,"BDI 3",$P$8)),2)</f>
        <v>1132.95</v>
      </c>
      <c r="Q292" s="157">
        <v>0</v>
      </c>
      <c r="R292" s="157">
        <f t="shared" ref="R292" si="731">$Q292-($Q292*LICITACAO_DESCONTO)</f>
        <v>0</v>
      </c>
      <c r="S292" s="156">
        <f t="shared" si="689"/>
        <v>0</v>
      </c>
      <c r="T292" s="156">
        <f t="shared" si="690"/>
        <v>0</v>
      </c>
      <c r="U292" s="156">
        <f t="shared" si="691"/>
        <v>0</v>
      </c>
      <c r="V292" s="156">
        <f t="shared" si="692"/>
        <v>0</v>
      </c>
      <c r="W292" s="156">
        <f t="shared" si="679"/>
        <v>0</v>
      </c>
      <c r="X292" s="158">
        <f t="shared" ref="X292" si="732">$S292/ORCAMENTO_VALOR_TOTAL_ND</f>
        <v>0</v>
      </c>
      <c r="Y292" s="158">
        <f t="shared" ref="Y292" si="733">$T292/ORCAMENTO_VALOR_TOTAL_DE</f>
        <v>0</v>
      </c>
      <c r="Z292" s="158" cm="1">
        <f t="array" ref="Z292">_xlfn.SWITCH($N292,"BDI 1",$O$6,"BDI 2",$O$7,"BDI 3",$O$8)</f>
        <v>0.20699999999999999</v>
      </c>
      <c r="AA292" s="158" cm="1">
        <f t="array" ref="AA292">_xlfn.SWITCH($N292,"BDI 1",$P$6,"BDI 2",$P$7,"BDI 3",$P$8)</f>
        <v>0.26739999999999997</v>
      </c>
      <c r="AB292" s="158">
        <f t="shared" ca="1" si="695"/>
        <v>0</v>
      </c>
      <c r="AC292" s="158">
        <f t="shared" ca="1" si="696"/>
        <v>0</v>
      </c>
      <c r="AD292" s="164"/>
      <c r="AE292" s="148">
        <f t="shared" si="682"/>
        <v>0</v>
      </c>
      <c r="AF292" s="149"/>
      <c r="AG292" s="150"/>
      <c r="AH292" s="159" t="e">
        <f t="shared" si="683"/>
        <v>#DIV/0!</v>
      </c>
      <c r="AI292" s="160"/>
      <c r="AJ292" s="198">
        <v>0</v>
      </c>
      <c r="AK292" s="199">
        <f t="shared" si="697"/>
        <v>0</v>
      </c>
      <c r="AM292" s="105"/>
      <c r="AN292" s="105"/>
      <c r="AO292" s="105"/>
      <c r="AP292" s="105"/>
      <c r="AQ292" s="105"/>
      <c r="AR292" s="105"/>
    </row>
    <row r="293" spans="1:44" s="49" customFormat="1" ht="40.15" hidden="1" customHeight="1">
      <c r="A293" s="152">
        <f t="shared" ca="1" si="684"/>
        <v>0</v>
      </c>
      <c r="B293" s="153" t="s">
        <v>175</v>
      </c>
      <c r="C293" s="154" t="str">
        <f t="shared" si="685"/>
        <v>DR/0201</v>
      </c>
      <c r="D293" s="154" t="s">
        <v>3549</v>
      </c>
      <c r="E293" s="155" t="s">
        <v>3759</v>
      </c>
      <c r="F293" s="154"/>
      <c r="G293" s="154" t="s">
        <v>1412</v>
      </c>
      <c r="H293" s="152">
        <v>3581.1</v>
      </c>
      <c r="I293" s="152">
        <v>3478.12</v>
      </c>
      <c r="J293" s="156"/>
      <c r="K293" s="156">
        <f>Dre_Disp_Estruturais!AI82</f>
        <v>0</v>
      </c>
      <c r="L293" s="156">
        <f t="shared" si="686"/>
        <v>0</v>
      </c>
      <c r="M293" s="156">
        <f t="shared" si="687"/>
        <v>0</v>
      </c>
      <c r="N293" s="156" t="s">
        <v>83</v>
      </c>
      <c r="O293" s="157" cm="1">
        <f t="array" ref="O293">TRUNC($H293*(1+_xlfn.SWITCH($N293,"BDI 1",$O$6,"BDI 2",$O$7,"BDI 3",$O$8)),2)</f>
        <v>4322.38</v>
      </c>
      <c r="P293" s="157" cm="1">
        <f t="array" ref="P293">TRUNC($I293*(1+_xlfn.SWITCH($N293,"BDI 1",$P$6,"BDI 2",$P$7,"BDI 3",$P$8)),2)</f>
        <v>4408.16</v>
      </c>
      <c r="Q293" s="157">
        <v>0</v>
      </c>
      <c r="R293" s="157">
        <f t="shared" ref="R293" si="734">$Q293-($Q293*LICITACAO_DESCONTO)</f>
        <v>0</v>
      </c>
      <c r="S293" s="156">
        <f t="shared" si="689"/>
        <v>0</v>
      </c>
      <c r="T293" s="156">
        <f t="shared" si="690"/>
        <v>0</v>
      </c>
      <c r="U293" s="156">
        <f t="shared" si="691"/>
        <v>0</v>
      </c>
      <c r="V293" s="156">
        <f t="shared" si="692"/>
        <v>0</v>
      </c>
      <c r="W293" s="156">
        <f t="shared" si="679"/>
        <v>0</v>
      </c>
      <c r="X293" s="158">
        <f t="shared" ref="X293" si="735">$S293/ORCAMENTO_VALOR_TOTAL_ND</f>
        <v>0</v>
      </c>
      <c r="Y293" s="158">
        <f t="shared" ref="Y293" si="736">$T293/ORCAMENTO_VALOR_TOTAL_DE</f>
        <v>0</v>
      </c>
      <c r="Z293" s="158" cm="1">
        <f t="array" ref="Z293">_xlfn.SWITCH($N293,"BDI 1",$O$6,"BDI 2",$O$7,"BDI 3",$O$8)</f>
        <v>0.20699999999999999</v>
      </c>
      <c r="AA293" s="158" cm="1">
        <f t="array" ref="AA293">_xlfn.SWITCH($N293,"BDI 1",$P$6,"BDI 2",$P$7,"BDI 3",$P$8)</f>
        <v>0.26739999999999997</v>
      </c>
      <c r="AB293" s="158">
        <f t="shared" ca="1" si="695"/>
        <v>0</v>
      </c>
      <c r="AC293" s="158">
        <f t="shared" ca="1" si="696"/>
        <v>0</v>
      </c>
      <c r="AD293" s="164"/>
      <c r="AE293" s="148">
        <f t="shared" si="682"/>
        <v>0</v>
      </c>
      <c r="AF293" s="149"/>
      <c r="AG293" s="150"/>
      <c r="AH293" s="159" t="e">
        <f t="shared" si="683"/>
        <v>#DIV/0!</v>
      </c>
      <c r="AI293" s="160"/>
      <c r="AJ293" s="204">
        <v>0</v>
      </c>
      <c r="AK293" s="199">
        <f t="shared" si="697"/>
        <v>0</v>
      </c>
      <c r="AM293" s="105"/>
      <c r="AN293" s="105"/>
      <c r="AO293" s="105"/>
      <c r="AP293" s="105"/>
      <c r="AQ293" s="105"/>
      <c r="AR293" s="105"/>
    </row>
    <row r="294" spans="1:44" s="49" customFormat="1" ht="40.15" hidden="1" customHeight="1">
      <c r="A294" s="152">
        <f t="shared" ca="1" si="684"/>
        <v>0</v>
      </c>
      <c r="B294" s="153">
        <v>98051</v>
      </c>
      <c r="C294" s="154" t="str">
        <f t="shared" si="685"/>
        <v>98051</v>
      </c>
      <c r="D294" s="154" t="s">
        <v>1416</v>
      </c>
      <c r="E294" s="155" t="s">
        <v>3760</v>
      </c>
      <c r="F294" s="154"/>
      <c r="G294" s="154" t="s">
        <v>58</v>
      </c>
      <c r="H294" s="152">
        <v>944.58</v>
      </c>
      <c r="I294" s="152">
        <v>909.11</v>
      </c>
      <c r="J294" s="156"/>
      <c r="K294" s="156">
        <f>Dre_Disp_Estruturais!AI83</f>
        <v>0</v>
      </c>
      <c r="L294" s="156">
        <f t="shared" si="686"/>
        <v>0</v>
      </c>
      <c r="M294" s="156">
        <f t="shared" si="687"/>
        <v>0</v>
      </c>
      <c r="N294" s="156" t="s">
        <v>83</v>
      </c>
      <c r="O294" s="157" cm="1">
        <f t="array" ref="O294">TRUNC($H294*(1+_xlfn.SWITCH($N294,"BDI 1",$O$6,"BDI 2",$O$7,"BDI 3",$O$8)),2)</f>
        <v>1140.0999999999999</v>
      </c>
      <c r="P294" s="157" cm="1">
        <f t="array" ref="P294">TRUNC($I294*(1+_xlfn.SWITCH($N294,"BDI 1",$P$6,"BDI 2",$P$7,"BDI 3",$P$8)),2)</f>
        <v>1152.2</v>
      </c>
      <c r="Q294" s="157">
        <v>0</v>
      </c>
      <c r="R294" s="157">
        <f t="shared" ref="R294" si="737">$Q294-($Q294*LICITACAO_DESCONTO)</f>
        <v>0</v>
      </c>
      <c r="S294" s="156">
        <f t="shared" si="689"/>
        <v>0</v>
      </c>
      <c r="T294" s="156">
        <f t="shared" si="690"/>
        <v>0</v>
      </c>
      <c r="U294" s="156">
        <f t="shared" si="691"/>
        <v>0</v>
      </c>
      <c r="V294" s="156">
        <f t="shared" si="692"/>
        <v>0</v>
      </c>
      <c r="W294" s="156">
        <f t="shared" si="679"/>
        <v>0</v>
      </c>
      <c r="X294" s="158">
        <f t="shared" ref="X294" si="738">$S294/ORCAMENTO_VALOR_TOTAL_ND</f>
        <v>0</v>
      </c>
      <c r="Y294" s="158">
        <f t="shared" ref="Y294" si="739">$T294/ORCAMENTO_VALOR_TOTAL_DE</f>
        <v>0</v>
      </c>
      <c r="Z294" s="158" cm="1">
        <f t="array" ref="Z294">_xlfn.SWITCH($N294,"BDI 1",$O$6,"BDI 2",$O$7,"BDI 3",$O$8)</f>
        <v>0.20699999999999999</v>
      </c>
      <c r="AA294" s="158" cm="1">
        <f t="array" ref="AA294">_xlfn.SWITCH($N294,"BDI 1",$P$6,"BDI 2",$P$7,"BDI 3",$P$8)</f>
        <v>0.26739999999999997</v>
      </c>
      <c r="AB294" s="158">
        <f t="shared" ca="1" si="695"/>
        <v>0</v>
      </c>
      <c r="AC294" s="158">
        <f t="shared" ca="1" si="696"/>
        <v>0</v>
      </c>
      <c r="AD294" s="164"/>
      <c r="AE294" s="148">
        <f t="shared" si="682"/>
        <v>0</v>
      </c>
      <c r="AF294" s="149"/>
      <c r="AG294" s="150"/>
      <c r="AH294" s="159" t="e">
        <f t="shared" si="683"/>
        <v>#DIV/0!</v>
      </c>
      <c r="AI294" s="160"/>
      <c r="AJ294" s="198">
        <v>0</v>
      </c>
      <c r="AK294" s="199">
        <f t="shared" si="697"/>
        <v>0</v>
      </c>
      <c r="AM294" s="105"/>
      <c r="AN294" s="105"/>
      <c r="AO294" s="105"/>
      <c r="AP294" s="105"/>
      <c r="AQ294" s="105"/>
      <c r="AR294" s="105"/>
    </row>
    <row r="295" spans="1:44" s="49" customFormat="1" ht="49.9" hidden="1" customHeight="1">
      <c r="A295" s="152">
        <f t="shared" ca="1" si="684"/>
        <v>0</v>
      </c>
      <c r="B295" s="153" t="s">
        <v>176</v>
      </c>
      <c r="C295" s="154" t="str">
        <f t="shared" si="685"/>
        <v>DR/0355</v>
      </c>
      <c r="D295" s="154" t="s">
        <v>3549</v>
      </c>
      <c r="E295" s="155" t="s">
        <v>3761</v>
      </c>
      <c r="F295" s="154"/>
      <c r="G295" s="154" t="s">
        <v>1412</v>
      </c>
      <c r="H295" s="152">
        <v>992.12</v>
      </c>
      <c r="I295" s="152">
        <v>982.32</v>
      </c>
      <c r="J295" s="156"/>
      <c r="K295" s="156">
        <f>Dre_Disp_Estruturais!AI84</f>
        <v>0</v>
      </c>
      <c r="L295" s="156">
        <f t="shared" si="686"/>
        <v>0</v>
      </c>
      <c r="M295" s="156">
        <f t="shared" si="687"/>
        <v>0</v>
      </c>
      <c r="N295" s="156" t="s">
        <v>83</v>
      </c>
      <c r="O295" s="157" cm="1">
        <f t="array" ref="O295">TRUNC($H295*(1+_xlfn.SWITCH($N295,"BDI 1",$O$6,"BDI 2",$O$7,"BDI 3",$O$8)),2)</f>
        <v>1197.48</v>
      </c>
      <c r="P295" s="157" cm="1">
        <f t="array" ref="P295">TRUNC($I295*(1+_xlfn.SWITCH($N295,"BDI 1",$P$6,"BDI 2",$P$7,"BDI 3",$P$8)),2)</f>
        <v>1244.99</v>
      </c>
      <c r="Q295" s="157">
        <v>0</v>
      </c>
      <c r="R295" s="157">
        <f t="shared" ref="R295" si="740">$Q295-($Q295*LICITACAO_DESCONTO)</f>
        <v>0</v>
      </c>
      <c r="S295" s="156">
        <f t="shared" si="689"/>
        <v>0</v>
      </c>
      <c r="T295" s="156">
        <f t="shared" si="690"/>
        <v>0</v>
      </c>
      <c r="U295" s="156">
        <f t="shared" si="691"/>
        <v>0</v>
      </c>
      <c r="V295" s="156">
        <f t="shared" si="692"/>
        <v>0</v>
      </c>
      <c r="W295" s="156">
        <f t="shared" si="679"/>
        <v>0</v>
      </c>
      <c r="X295" s="158">
        <f t="shared" ref="X295" si="741">$S295/ORCAMENTO_VALOR_TOTAL_ND</f>
        <v>0</v>
      </c>
      <c r="Y295" s="158">
        <f t="shared" ref="Y295" si="742">$T295/ORCAMENTO_VALOR_TOTAL_DE</f>
        <v>0</v>
      </c>
      <c r="Z295" s="158" cm="1">
        <f t="array" ref="Z295">_xlfn.SWITCH($N295,"BDI 1",$O$6,"BDI 2",$O$7,"BDI 3",$O$8)</f>
        <v>0.20699999999999999</v>
      </c>
      <c r="AA295" s="158" cm="1">
        <f t="array" ref="AA295">_xlfn.SWITCH($N295,"BDI 1",$P$6,"BDI 2",$P$7,"BDI 3",$P$8)</f>
        <v>0.26739999999999997</v>
      </c>
      <c r="AB295" s="158">
        <f t="shared" ca="1" si="695"/>
        <v>0</v>
      </c>
      <c r="AC295" s="158">
        <f t="shared" ca="1" si="696"/>
        <v>0</v>
      </c>
      <c r="AD295" s="164"/>
      <c r="AE295" s="148">
        <f t="shared" si="682"/>
        <v>0</v>
      </c>
      <c r="AF295" s="149"/>
      <c r="AG295" s="150"/>
      <c r="AH295" s="159" t="e">
        <f t="shared" si="683"/>
        <v>#DIV/0!</v>
      </c>
      <c r="AI295" s="205"/>
      <c r="AJ295" s="204">
        <v>53</v>
      </c>
      <c r="AK295" s="199">
        <f t="shared" si="697"/>
        <v>0</v>
      </c>
      <c r="AM295" s="105"/>
      <c r="AN295" s="105"/>
      <c r="AO295" s="105"/>
      <c r="AP295" s="105"/>
      <c r="AQ295" s="105"/>
      <c r="AR295" s="105"/>
    </row>
    <row r="296" spans="1:44" s="49" customFormat="1" ht="40.15" hidden="1" customHeight="1">
      <c r="A296" s="152">
        <f t="shared" ca="1" si="684"/>
        <v>0</v>
      </c>
      <c r="B296" s="153" t="s">
        <v>177</v>
      </c>
      <c r="C296" s="154" t="str">
        <f t="shared" si="685"/>
        <v>DR/0206</v>
      </c>
      <c r="D296" s="154" t="s">
        <v>3549</v>
      </c>
      <c r="E296" s="155" t="s">
        <v>3762</v>
      </c>
      <c r="F296" s="154"/>
      <c r="G296" s="154" t="s">
        <v>1412</v>
      </c>
      <c r="H296" s="152">
        <v>7079.69</v>
      </c>
      <c r="I296" s="152">
        <v>6794.56</v>
      </c>
      <c r="J296" s="156"/>
      <c r="K296" s="156">
        <f>Dre_Disp_Estruturais!AI99</f>
        <v>0</v>
      </c>
      <c r="L296" s="156">
        <f t="shared" si="686"/>
        <v>0</v>
      </c>
      <c r="M296" s="156">
        <f t="shared" si="687"/>
        <v>0</v>
      </c>
      <c r="N296" s="156" t="s">
        <v>83</v>
      </c>
      <c r="O296" s="157" cm="1">
        <f t="array" ref="O296">TRUNC($H296*(1+_xlfn.SWITCH($N296,"BDI 1",$O$6,"BDI 2",$O$7,"BDI 3",$O$8)),2)</f>
        <v>8545.18</v>
      </c>
      <c r="P296" s="157" cm="1">
        <f t="array" ref="P296">TRUNC($I296*(1+_xlfn.SWITCH($N296,"BDI 1",$P$6,"BDI 2",$P$7,"BDI 3",$P$8)),2)</f>
        <v>8611.42</v>
      </c>
      <c r="Q296" s="157">
        <v>0</v>
      </c>
      <c r="R296" s="157">
        <f t="shared" ref="R296" si="743">$Q296-($Q296*LICITACAO_DESCONTO)</f>
        <v>0</v>
      </c>
      <c r="S296" s="156">
        <f t="shared" si="689"/>
        <v>0</v>
      </c>
      <c r="T296" s="156">
        <f t="shared" si="690"/>
        <v>0</v>
      </c>
      <c r="U296" s="156">
        <f t="shared" si="691"/>
        <v>0</v>
      </c>
      <c r="V296" s="156">
        <f t="shared" si="692"/>
        <v>0</v>
      </c>
      <c r="W296" s="156">
        <f t="shared" si="679"/>
        <v>0</v>
      </c>
      <c r="X296" s="158">
        <f t="shared" ref="X296" si="744">$S296/ORCAMENTO_VALOR_TOTAL_ND</f>
        <v>0</v>
      </c>
      <c r="Y296" s="158">
        <f t="shared" ref="Y296" si="745">$T296/ORCAMENTO_VALOR_TOTAL_DE</f>
        <v>0</v>
      </c>
      <c r="Z296" s="158" cm="1">
        <f t="array" ref="Z296">_xlfn.SWITCH($N296,"BDI 1",$O$6,"BDI 2",$O$7,"BDI 3",$O$8)</f>
        <v>0.20699999999999999</v>
      </c>
      <c r="AA296" s="158" cm="1">
        <f t="array" ref="AA296">_xlfn.SWITCH($N296,"BDI 1",$P$6,"BDI 2",$P$7,"BDI 3",$P$8)</f>
        <v>0.26739999999999997</v>
      </c>
      <c r="AB296" s="158">
        <f t="shared" ca="1" si="695"/>
        <v>0</v>
      </c>
      <c r="AC296" s="158">
        <f t="shared" ca="1" si="696"/>
        <v>0</v>
      </c>
      <c r="AD296" s="164"/>
      <c r="AE296" s="148">
        <f t="shared" si="682"/>
        <v>0</v>
      </c>
      <c r="AF296" s="149"/>
      <c r="AG296" s="150"/>
      <c r="AH296" s="159" t="e">
        <f t="shared" si="683"/>
        <v>#DIV/0!</v>
      </c>
      <c r="AI296" s="160"/>
      <c r="AJ296" s="204">
        <v>0</v>
      </c>
      <c r="AK296" s="199">
        <f t="shared" si="697"/>
        <v>0</v>
      </c>
      <c r="AM296" s="105"/>
      <c r="AN296" s="105"/>
      <c r="AO296" s="105"/>
      <c r="AP296" s="105"/>
      <c r="AQ296" s="105"/>
      <c r="AR296" s="105"/>
    </row>
    <row r="297" spans="1:44" s="49" customFormat="1" ht="40.15" hidden="1" customHeight="1">
      <c r="A297" s="152">
        <f t="shared" ca="1" si="684"/>
        <v>0</v>
      </c>
      <c r="B297" s="153" t="s">
        <v>178</v>
      </c>
      <c r="C297" s="154" t="str">
        <f t="shared" si="685"/>
        <v>DR/0211</v>
      </c>
      <c r="D297" s="154" t="s">
        <v>3549</v>
      </c>
      <c r="E297" s="155" t="s">
        <v>3763</v>
      </c>
      <c r="F297" s="154"/>
      <c r="G297" s="154" t="s">
        <v>1412</v>
      </c>
      <c r="H297" s="152">
        <v>7559.63</v>
      </c>
      <c r="I297" s="152">
        <v>7252.33</v>
      </c>
      <c r="J297" s="156"/>
      <c r="K297" s="156">
        <f>Dre_Disp_Estruturais!AI100</f>
        <v>0</v>
      </c>
      <c r="L297" s="156">
        <f t="shared" si="686"/>
        <v>0</v>
      </c>
      <c r="M297" s="156">
        <f t="shared" si="687"/>
        <v>0</v>
      </c>
      <c r="N297" s="156" t="s">
        <v>83</v>
      </c>
      <c r="O297" s="157" cm="1">
        <f t="array" ref="O297">TRUNC($H297*(1+_xlfn.SWITCH($N297,"BDI 1",$O$6,"BDI 2",$O$7,"BDI 3",$O$8)),2)</f>
        <v>9124.4699999999993</v>
      </c>
      <c r="P297" s="157" cm="1">
        <f t="array" ref="P297">TRUNC($I297*(1+_xlfn.SWITCH($N297,"BDI 1",$P$6,"BDI 2",$P$7,"BDI 3",$P$8)),2)</f>
        <v>9191.6</v>
      </c>
      <c r="Q297" s="157">
        <v>0</v>
      </c>
      <c r="R297" s="157">
        <f t="shared" ref="R297" si="746">$Q297-($Q297*LICITACAO_DESCONTO)</f>
        <v>0</v>
      </c>
      <c r="S297" s="156">
        <f t="shared" si="689"/>
        <v>0</v>
      </c>
      <c r="T297" s="156">
        <f t="shared" si="690"/>
        <v>0</v>
      </c>
      <c r="U297" s="156">
        <f t="shared" si="691"/>
        <v>0</v>
      </c>
      <c r="V297" s="156">
        <f t="shared" si="692"/>
        <v>0</v>
      </c>
      <c r="W297" s="156">
        <f t="shared" si="679"/>
        <v>0</v>
      </c>
      <c r="X297" s="158">
        <f t="shared" ref="X297" si="747">$S297/ORCAMENTO_VALOR_TOTAL_ND</f>
        <v>0</v>
      </c>
      <c r="Y297" s="158">
        <f t="shared" ref="Y297" si="748">$T297/ORCAMENTO_VALOR_TOTAL_DE</f>
        <v>0</v>
      </c>
      <c r="Z297" s="158" cm="1">
        <f t="array" ref="Z297">_xlfn.SWITCH($N297,"BDI 1",$O$6,"BDI 2",$O$7,"BDI 3",$O$8)</f>
        <v>0.20699999999999999</v>
      </c>
      <c r="AA297" s="158" cm="1">
        <f t="array" ref="AA297">_xlfn.SWITCH($N297,"BDI 1",$P$6,"BDI 2",$P$7,"BDI 3",$P$8)</f>
        <v>0.26739999999999997</v>
      </c>
      <c r="AB297" s="158">
        <f t="shared" ca="1" si="695"/>
        <v>0</v>
      </c>
      <c r="AC297" s="158">
        <f t="shared" ca="1" si="696"/>
        <v>0</v>
      </c>
      <c r="AD297" s="164"/>
      <c r="AE297" s="148">
        <f t="shared" si="682"/>
        <v>0</v>
      </c>
      <c r="AF297" s="149"/>
      <c r="AG297" s="150"/>
      <c r="AH297" s="159" t="e">
        <f t="shared" si="683"/>
        <v>#DIV/0!</v>
      </c>
      <c r="AI297" s="160"/>
      <c r="AJ297" s="204">
        <v>0</v>
      </c>
      <c r="AK297" s="199">
        <f t="shared" si="697"/>
        <v>0</v>
      </c>
      <c r="AM297" s="105"/>
      <c r="AN297" s="105"/>
      <c r="AO297" s="105"/>
      <c r="AP297" s="105"/>
      <c r="AQ297" s="105"/>
      <c r="AR297" s="105"/>
    </row>
    <row r="298" spans="1:44" s="49" customFormat="1" ht="40.15" hidden="1" customHeight="1">
      <c r="A298" s="152">
        <f t="shared" ca="1" si="684"/>
        <v>0</v>
      </c>
      <c r="B298" s="153" t="s">
        <v>179</v>
      </c>
      <c r="C298" s="154" t="str">
        <f t="shared" si="685"/>
        <v>DR/0216</v>
      </c>
      <c r="D298" s="154" t="s">
        <v>3549</v>
      </c>
      <c r="E298" s="155" t="s">
        <v>3764</v>
      </c>
      <c r="F298" s="154"/>
      <c r="G298" s="154" t="s">
        <v>1412</v>
      </c>
      <c r="H298" s="152">
        <v>9322.2999999999993</v>
      </c>
      <c r="I298" s="152">
        <v>8950.73</v>
      </c>
      <c r="J298" s="156"/>
      <c r="K298" s="156">
        <f>Dre_Disp_Estruturais!AI101</f>
        <v>0</v>
      </c>
      <c r="L298" s="156">
        <f t="shared" si="686"/>
        <v>0</v>
      </c>
      <c r="M298" s="156">
        <f t="shared" si="687"/>
        <v>0</v>
      </c>
      <c r="N298" s="156" t="s">
        <v>83</v>
      </c>
      <c r="O298" s="157" cm="1">
        <f t="array" ref="O298">TRUNC($H298*(1+_xlfn.SWITCH($N298,"BDI 1",$O$6,"BDI 2",$O$7,"BDI 3",$O$8)),2)</f>
        <v>11252.01</v>
      </c>
      <c r="P298" s="157" cm="1">
        <f t="array" ref="P298">TRUNC($I298*(1+_xlfn.SWITCH($N298,"BDI 1",$P$6,"BDI 2",$P$7,"BDI 3",$P$8)),2)</f>
        <v>11344.15</v>
      </c>
      <c r="Q298" s="157">
        <v>0</v>
      </c>
      <c r="R298" s="157">
        <f t="shared" ref="R298" si="749">$Q298-($Q298*LICITACAO_DESCONTO)</f>
        <v>0</v>
      </c>
      <c r="S298" s="156">
        <f t="shared" si="689"/>
        <v>0</v>
      </c>
      <c r="T298" s="156">
        <f t="shared" si="690"/>
        <v>0</v>
      </c>
      <c r="U298" s="156">
        <f t="shared" si="691"/>
        <v>0</v>
      </c>
      <c r="V298" s="156">
        <f t="shared" si="692"/>
        <v>0</v>
      </c>
      <c r="W298" s="156">
        <f t="shared" si="679"/>
        <v>0</v>
      </c>
      <c r="X298" s="158">
        <f t="shared" ref="X298" si="750">$S298/ORCAMENTO_VALOR_TOTAL_ND</f>
        <v>0</v>
      </c>
      <c r="Y298" s="158">
        <f t="shared" ref="Y298" si="751">$T298/ORCAMENTO_VALOR_TOTAL_DE</f>
        <v>0</v>
      </c>
      <c r="Z298" s="158" cm="1">
        <f t="array" ref="Z298">_xlfn.SWITCH($N298,"BDI 1",$O$6,"BDI 2",$O$7,"BDI 3",$O$8)</f>
        <v>0.20699999999999999</v>
      </c>
      <c r="AA298" s="158" cm="1">
        <f t="array" ref="AA298">_xlfn.SWITCH($N298,"BDI 1",$P$6,"BDI 2",$P$7,"BDI 3",$P$8)</f>
        <v>0.26739999999999997</v>
      </c>
      <c r="AB298" s="158">
        <f t="shared" ca="1" si="695"/>
        <v>0</v>
      </c>
      <c r="AC298" s="158">
        <f t="shared" ca="1" si="696"/>
        <v>0</v>
      </c>
      <c r="AD298" s="164"/>
      <c r="AE298" s="148">
        <f t="shared" si="682"/>
        <v>0</v>
      </c>
      <c r="AF298" s="149"/>
      <c r="AG298" s="150"/>
      <c r="AH298" s="159" t="e">
        <f t="shared" si="683"/>
        <v>#DIV/0!</v>
      </c>
      <c r="AI298" s="160"/>
      <c r="AJ298" s="204">
        <v>0</v>
      </c>
      <c r="AK298" s="199">
        <f t="shared" si="697"/>
        <v>0</v>
      </c>
      <c r="AM298" s="105"/>
      <c r="AN298" s="105"/>
      <c r="AO298" s="105"/>
      <c r="AP298" s="105"/>
      <c r="AQ298" s="105"/>
      <c r="AR298" s="105"/>
    </row>
    <row r="299" spans="1:44" s="49" customFormat="1" ht="49.9" hidden="1" customHeight="1">
      <c r="A299" s="152">
        <f t="shared" ca="1" si="684"/>
        <v>0</v>
      </c>
      <c r="B299" s="153" t="s">
        <v>180</v>
      </c>
      <c r="C299" s="154" t="str">
        <f t="shared" si="685"/>
        <v>DR/0235</v>
      </c>
      <c r="D299" s="154" t="s">
        <v>3549</v>
      </c>
      <c r="E299" s="155" t="s">
        <v>3765</v>
      </c>
      <c r="F299" s="154"/>
      <c r="G299" s="154" t="s">
        <v>1412</v>
      </c>
      <c r="H299" s="152">
        <v>5012.82</v>
      </c>
      <c r="I299" s="152">
        <v>4843.41</v>
      </c>
      <c r="J299" s="156"/>
      <c r="K299" s="156">
        <f>Dre_Disp_Estruturais!AI102</f>
        <v>0</v>
      </c>
      <c r="L299" s="156">
        <f t="shared" si="686"/>
        <v>0</v>
      </c>
      <c r="M299" s="156">
        <f t="shared" si="687"/>
        <v>0</v>
      </c>
      <c r="N299" s="156" t="s">
        <v>83</v>
      </c>
      <c r="O299" s="157" cm="1">
        <f t="array" ref="O299">TRUNC($H299*(1+_xlfn.SWITCH($N299,"BDI 1",$O$6,"BDI 2",$O$7,"BDI 3",$O$8)),2)</f>
        <v>6050.47</v>
      </c>
      <c r="P299" s="157" cm="1">
        <f t="array" ref="P299">TRUNC($I299*(1+_xlfn.SWITCH($N299,"BDI 1",$P$6,"BDI 2",$P$7,"BDI 3",$P$8)),2)</f>
        <v>6138.53</v>
      </c>
      <c r="Q299" s="157">
        <v>0</v>
      </c>
      <c r="R299" s="157">
        <f t="shared" ref="R299" si="752">$Q299-($Q299*LICITACAO_DESCONTO)</f>
        <v>0</v>
      </c>
      <c r="S299" s="156">
        <f t="shared" si="689"/>
        <v>0</v>
      </c>
      <c r="T299" s="156">
        <f t="shared" si="690"/>
        <v>0</v>
      </c>
      <c r="U299" s="156">
        <f t="shared" si="691"/>
        <v>0</v>
      </c>
      <c r="V299" s="156">
        <f t="shared" si="692"/>
        <v>0</v>
      </c>
      <c r="W299" s="156">
        <f t="shared" si="679"/>
        <v>0</v>
      </c>
      <c r="X299" s="158">
        <f t="shared" ref="X299" si="753">$S299/ORCAMENTO_VALOR_TOTAL_ND</f>
        <v>0</v>
      </c>
      <c r="Y299" s="158">
        <f t="shared" ref="Y299" si="754">$T299/ORCAMENTO_VALOR_TOTAL_DE</f>
        <v>0</v>
      </c>
      <c r="Z299" s="158" cm="1">
        <f t="array" ref="Z299">_xlfn.SWITCH($N299,"BDI 1",$O$6,"BDI 2",$O$7,"BDI 3",$O$8)</f>
        <v>0.20699999999999999</v>
      </c>
      <c r="AA299" s="158" cm="1">
        <f t="array" ref="AA299">_xlfn.SWITCH($N299,"BDI 1",$P$6,"BDI 2",$P$7,"BDI 3",$P$8)</f>
        <v>0.26739999999999997</v>
      </c>
      <c r="AB299" s="158">
        <f t="shared" ca="1" si="695"/>
        <v>0</v>
      </c>
      <c r="AC299" s="158">
        <f t="shared" ca="1" si="696"/>
        <v>0</v>
      </c>
      <c r="AD299" s="164"/>
      <c r="AE299" s="148">
        <f t="shared" si="682"/>
        <v>0</v>
      </c>
      <c r="AF299" s="149"/>
      <c r="AG299" s="150"/>
      <c r="AH299" s="159" t="e">
        <f t="shared" si="683"/>
        <v>#DIV/0!</v>
      </c>
      <c r="AI299" s="160"/>
      <c r="AJ299" s="204">
        <v>0</v>
      </c>
      <c r="AK299" s="199">
        <f t="shared" si="697"/>
        <v>0</v>
      </c>
      <c r="AM299" s="105"/>
      <c r="AN299" s="105"/>
      <c r="AO299" s="105"/>
      <c r="AP299" s="105"/>
      <c r="AQ299" s="105"/>
      <c r="AR299" s="105"/>
    </row>
    <row r="300" spans="1:44" s="49" customFormat="1" ht="40.15" hidden="1" customHeight="1">
      <c r="A300" s="152">
        <f t="shared" ca="1" si="684"/>
        <v>0</v>
      </c>
      <c r="B300" s="153" t="s">
        <v>181</v>
      </c>
      <c r="C300" s="154" t="str">
        <f t="shared" si="685"/>
        <v>DR/0240</v>
      </c>
      <c r="D300" s="154">
        <v>0</v>
      </c>
      <c r="E300" s="155" t="s">
        <v>3766</v>
      </c>
      <c r="F300" s="154"/>
      <c r="G300" s="154">
        <v>0</v>
      </c>
      <c r="H300" s="152">
        <v>0</v>
      </c>
      <c r="I300" s="152">
        <v>0</v>
      </c>
      <c r="J300" s="156"/>
      <c r="K300" s="156">
        <f>Dre_Disp_Estruturais!AI103</f>
        <v>0</v>
      </c>
      <c r="L300" s="156">
        <f t="shared" si="686"/>
        <v>0</v>
      </c>
      <c r="M300" s="156">
        <f t="shared" si="687"/>
        <v>0</v>
      </c>
      <c r="N300" s="156" t="s">
        <v>83</v>
      </c>
      <c r="O300" s="157" cm="1">
        <f t="array" ref="O300">TRUNC($H300*(1+_xlfn.SWITCH($N300,"BDI 1",$O$6,"BDI 2",$O$7,"BDI 3",$O$8)),2)</f>
        <v>0</v>
      </c>
      <c r="P300" s="157" cm="1">
        <f t="array" ref="P300">TRUNC($I300*(1+_xlfn.SWITCH($N300,"BDI 1",$P$6,"BDI 2",$P$7,"BDI 3",$P$8)),2)</f>
        <v>0</v>
      </c>
      <c r="Q300" s="157">
        <v>0</v>
      </c>
      <c r="R300" s="157">
        <f t="shared" ref="R300" si="755">$Q300-($Q300*LICITACAO_DESCONTO)</f>
        <v>0</v>
      </c>
      <c r="S300" s="156">
        <f t="shared" si="689"/>
        <v>0</v>
      </c>
      <c r="T300" s="156">
        <f t="shared" si="690"/>
        <v>0</v>
      </c>
      <c r="U300" s="156">
        <f t="shared" si="691"/>
        <v>0</v>
      </c>
      <c r="V300" s="156">
        <f t="shared" si="692"/>
        <v>0</v>
      </c>
      <c r="W300" s="156">
        <f t="shared" si="679"/>
        <v>0</v>
      </c>
      <c r="X300" s="158">
        <f t="shared" ref="X300" si="756">$S300/ORCAMENTO_VALOR_TOTAL_ND</f>
        <v>0</v>
      </c>
      <c r="Y300" s="158">
        <f t="shared" ref="Y300" si="757">$T300/ORCAMENTO_VALOR_TOTAL_DE</f>
        <v>0</v>
      </c>
      <c r="Z300" s="158" cm="1">
        <f t="array" ref="Z300">_xlfn.SWITCH($N300,"BDI 1",$O$6,"BDI 2",$O$7,"BDI 3",$O$8)</f>
        <v>0.20699999999999999</v>
      </c>
      <c r="AA300" s="158" cm="1">
        <f t="array" ref="AA300">_xlfn.SWITCH($N300,"BDI 1",$P$6,"BDI 2",$P$7,"BDI 3",$P$8)</f>
        <v>0.26739999999999997</v>
      </c>
      <c r="AB300" s="158">
        <f t="shared" ca="1" si="695"/>
        <v>0</v>
      </c>
      <c r="AC300" s="158">
        <f t="shared" ca="1" si="696"/>
        <v>0</v>
      </c>
      <c r="AD300" s="164"/>
      <c r="AE300" s="148">
        <f t="shared" si="682"/>
        <v>0</v>
      </c>
      <c r="AF300" s="149"/>
      <c r="AG300" s="150"/>
      <c r="AH300" s="159" t="e">
        <f t="shared" si="683"/>
        <v>#DIV/0!</v>
      </c>
      <c r="AI300" s="160"/>
      <c r="AJ300" s="204" t="e">
        <v>#N/A</v>
      </c>
      <c r="AK300" s="199" t="e">
        <f t="shared" si="697"/>
        <v>#N/A</v>
      </c>
      <c r="AM300" s="105"/>
      <c r="AN300" s="105"/>
      <c r="AO300" s="105"/>
      <c r="AP300" s="105"/>
      <c r="AQ300" s="105"/>
      <c r="AR300" s="105"/>
    </row>
    <row r="301" spans="1:44" s="49" customFormat="1" ht="49.9" hidden="1" customHeight="1">
      <c r="A301" s="152">
        <f t="shared" ca="1" si="684"/>
        <v>0</v>
      </c>
      <c r="B301" s="153" t="s">
        <v>182</v>
      </c>
      <c r="C301" s="154" t="str">
        <f t="shared" si="685"/>
        <v>DR/0250</v>
      </c>
      <c r="D301" s="154" t="s">
        <v>3549</v>
      </c>
      <c r="E301" s="155" t="s">
        <v>3767</v>
      </c>
      <c r="F301" s="154"/>
      <c r="G301" s="154" t="s">
        <v>1412</v>
      </c>
      <c r="H301" s="152">
        <v>1572</v>
      </c>
      <c r="I301" s="152">
        <v>1495.01</v>
      </c>
      <c r="J301" s="156"/>
      <c r="K301" s="156">
        <f>Dre_Disp_Estruturais!AI104</f>
        <v>0</v>
      </c>
      <c r="L301" s="156">
        <f t="shared" si="686"/>
        <v>0</v>
      </c>
      <c r="M301" s="156">
        <f t="shared" si="687"/>
        <v>0</v>
      </c>
      <c r="N301" s="156" t="s">
        <v>83</v>
      </c>
      <c r="O301" s="157" cm="1">
        <f t="array" ref="O301">TRUNC($H301*(1+_xlfn.SWITCH($N301,"BDI 1",$O$6,"BDI 2",$O$7,"BDI 3",$O$8)),2)</f>
        <v>1897.4</v>
      </c>
      <c r="P301" s="157" cm="1">
        <f t="array" ref="P301">TRUNC($I301*(1+_xlfn.SWITCH($N301,"BDI 1",$P$6,"BDI 2",$P$7,"BDI 3",$P$8)),2)</f>
        <v>1894.77</v>
      </c>
      <c r="Q301" s="157">
        <v>0</v>
      </c>
      <c r="R301" s="157">
        <f t="shared" ref="R301" si="758">$Q301-($Q301*LICITACAO_DESCONTO)</f>
        <v>0</v>
      </c>
      <c r="S301" s="156">
        <f t="shared" si="689"/>
        <v>0</v>
      </c>
      <c r="T301" s="156">
        <f t="shared" si="690"/>
        <v>0</v>
      </c>
      <c r="U301" s="156">
        <f t="shared" si="691"/>
        <v>0</v>
      </c>
      <c r="V301" s="156">
        <f t="shared" si="692"/>
        <v>0</v>
      </c>
      <c r="W301" s="156">
        <f t="shared" si="679"/>
        <v>0</v>
      </c>
      <c r="X301" s="158">
        <f t="shared" ref="X301" si="759">$S301/ORCAMENTO_VALOR_TOTAL_ND</f>
        <v>0</v>
      </c>
      <c r="Y301" s="158">
        <f t="shared" ref="Y301" si="760">$T301/ORCAMENTO_VALOR_TOTAL_DE</f>
        <v>0</v>
      </c>
      <c r="Z301" s="158" cm="1">
        <f t="array" ref="Z301">_xlfn.SWITCH($N301,"BDI 1",$O$6,"BDI 2",$O$7,"BDI 3",$O$8)</f>
        <v>0.20699999999999999</v>
      </c>
      <c r="AA301" s="158" cm="1">
        <f t="array" ref="AA301">_xlfn.SWITCH($N301,"BDI 1",$P$6,"BDI 2",$P$7,"BDI 3",$P$8)</f>
        <v>0.26739999999999997</v>
      </c>
      <c r="AB301" s="158">
        <f t="shared" ca="1" si="695"/>
        <v>0</v>
      </c>
      <c r="AC301" s="158">
        <f t="shared" ca="1" si="696"/>
        <v>0</v>
      </c>
      <c r="AD301" s="164"/>
      <c r="AE301" s="148">
        <f t="shared" si="682"/>
        <v>0</v>
      </c>
      <c r="AF301" s="149"/>
      <c r="AG301" s="150"/>
      <c r="AH301" s="159" t="e">
        <f t="shared" si="683"/>
        <v>#DIV/0!</v>
      </c>
      <c r="AI301" s="2420">
        <v>0</v>
      </c>
      <c r="AJ301" s="204">
        <v>0</v>
      </c>
      <c r="AK301" s="199">
        <f t="shared" si="697"/>
        <v>0</v>
      </c>
      <c r="AM301" s="105"/>
      <c r="AN301" s="105"/>
      <c r="AO301" s="105"/>
      <c r="AP301" s="105"/>
      <c r="AQ301" s="105"/>
      <c r="AR301" s="105"/>
    </row>
    <row r="302" spans="1:44" s="49" customFormat="1" ht="49.9" hidden="1" customHeight="1">
      <c r="A302" s="152">
        <f t="shared" ca="1" si="684"/>
        <v>0</v>
      </c>
      <c r="B302" s="153" t="s">
        <v>183</v>
      </c>
      <c r="C302" s="154" t="str">
        <f t="shared" si="685"/>
        <v>DR/0255</v>
      </c>
      <c r="D302" s="154" t="s">
        <v>3549</v>
      </c>
      <c r="E302" s="155" t="s">
        <v>3768</v>
      </c>
      <c r="F302" s="154"/>
      <c r="G302" s="154" t="s">
        <v>1412</v>
      </c>
      <c r="H302" s="152">
        <v>2608.59</v>
      </c>
      <c r="I302" s="152">
        <v>2466.9899999999998</v>
      </c>
      <c r="J302" s="156"/>
      <c r="K302" s="156">
        <f>Dre_Disp_Estruturais!AI105</f>
        <v>0</v>
      </c>
      <c r="L302" s="156">
        <f t="shared" si="686"/>
        <v>0</v>
      </c>
      <c r="M302" s="156">
        <f t="shared" si="687"/>
        <v>0</v>
      </c>
      <c r="N302" s="156" t="s">
        <v>83</v>
      </c>
      <c r="O302" s="157" cm="1">
        <f t="array" ref="O302">TRUNC($H302*(1+_xlfn.SWITCH($N302,"BDI 1",$O$6,"BDI 2",$O$7,"BDI 3",$O$8)),2)</f>
        <v>3148.56</v>
      </c>
      <c r="P302" s="157" cm="1">
        <f t="array" ref="P302">TRUNC($I302*(1+_xlfn.SWITCH($N302,"BDI 1",$P$6,"BDI 2",$P$7,"BDI 3",$P$8)),2)</f>
        <v>3126.66</v>
      </c>
      <c r="Q302" s="157">
        <v>0</v>
      </c>
      <c r="R302" s="157">
        <f t="shared" ref="R302" si="761">$Q302-($Q302*LICITACAO_DESCONTO)</f>
        <v>0</v>
      </c>
      <c r="S302" s="156">
        <f t="shared" si="689"/>
        <v>0</v>
      </c>
      <c r="T302" s="156">
        <f t="shared" si="690"/>
        <v>0</v>
      </c>
      <c r="U302" s="156">
        <f t="shared" si="691"/>
        <v>0</v>
      </c>
      <c r="V302" s="156">
        <f t="shared" si="692"/>
        <v>0</v>
      </c>
      <c r="W302" s="156">
        <f t="shared" si="679"/>
        <v>0</v>
      </c>
      <c r="X302" s="158">
        <f t="shared" ref="X302" si="762">$S302/ORCAMENTO_VALOR_TOTAL_ND</f>
        <v>0</v>
      </c>
      <c r="Y302" s="158">
        <f t="shared" ref="Y302" si="763">$T302/ORCAMENTO_VALOR_TOTAL_DE</f>
        <v>0</v>
      </c>
      <c r="Z302" s="158" cm="1">
        <f t="array" ref="Z302">_xlfn.SWITCH($N302,"BDI 1",$O$6,"BDI 2",$O$7,"BDI 3",$O$8)</f>
        <v>0.20699999999999999</v>
      </c>
      <c r="AA302" s="158" cm="1">
        <f t="array" ref="AA302">_xlfn.SWITCH($N302,"BDI 1",$P$6,"BDI 2",$P$7,"BDI 3",$P$8)</f>
        <v>0.26739999999999997</v>
      </c>
      <c r="AB302" s="158">
        <f t="shared" ca="1" si="695"/>
        <v>0</v>
      </c>
      <c r="AC302" s="158">
        <f t="shared" ca="1" si="696"/>
        <v>0</v>
      </c>
      <c r="AD302" s="164"/>
      <c r="AE302" s="148">
        <f t="shared" si="682"/>
        <v>0</v>
      </c>
      <c r="AF302" s="149"/>
      <c r="AG302" s="150"/>
      <c r="AH302" s="159" t="e">
        <f t="shared" si="683"/>
        <v>#DIV/0!</v>
      </c>
      <c r="AI302" s="2420"/>
      <c r="AJ302" s="204">
        <v>0</v>
      </c>
      <c r="AK302" s="199">
        <f t="shared" si="697"/>
        <v>0</v>
      </c>
      <c r="AM302" s="105"/>
      <c r="AN302" s="105"/>
      <c r="AO302" s="105"/>
      <c r="AP302" s="105"/>
      <c r="AQ302" s="105"/>
      <c r="AR302" s="105"/>
    </row>
    <row r="303" spans="1:44" s="49" customFormat="1" ht="49.9" hidden="1" customHeight="1">
      <c r="A303" s="152">
        <f t="shared" ca="1" si="684"/>
        <v>0</v>
      </c>
      <c r="B303" s="153" t="s">
        <v>184</v>
      </c>
      <c r="C303" s="154" t="str">
        <f t="shared" si="685"/>
        <v>DR/0260</v>
      </c>
      <c r="D303" s="154" t="s">
        <v>3549</v>
      </c>
      <c r="E303" s="155" t="s">
        <v>3769</v>
      </c>
      <c r="F303" s="154"/>
      <c r="G303" s="154" t="s">
        <v>1412</v>
      </c>
      <c r="H303" s="152">
        <v>3644.42</v>
      </c>
      <c r="I303" s="152">
        <v>3438.34</v>
      </c>
      <c r="J303" s="156"/>
      <c r="K303" s="156">
        <f>Dre_Disp_Estruturais!AI106</f>
        <v>0</v>
      </c>
      <c r="L303" s="156">
        <f t="shared" si="686"/>
        <v>0</v>
      </c>
      <c r="M303" s="156">
        <f t="shared" si="687"/>
        <v>0</v>
      </c>
      <c r="N303" s="156" t="s">
        <v>83</v>
      </c>
      <c r="O303" s="157" cm="1">
        <f t="array" ref="O303">TRUNC($H303*(1+_xlfn.SWITCH($N303,"BDI 1",$O$6,"BDI 2",$O$7,"BDI 3",$O$8)),2)</f>
        <v>4398.8100000000004</v>
      </c>
      <c r="P303" s="157" cm="1">
        <f t="array" ref="P303">TRUNC($I303*(1+_xlfn.SWITCH($N303,"BDI 1",$P$6,"BDI 2",$P$7,"BDI 3",$P$8)),2)</f>
        <v>4357.75</v>
      </c>
      <c r="Q303" s="157">
        <v>0</v>
      </c>
      <c r="R303" s="157">
        <f t="shared" ref="R303" si="764">$Q303-($Q303*LICITACAO_DESCONTO)</f>
        <v>0</v>
      </c>
      <c r="S303" s="156">
        <f t="shared" si="689"/>
        <v>0</v>
      </c>
      <c r="T303" s="156">
        <f t="shared" si="690"/>
        <v>0</v>
      </c>
      <c r="U303" s="156">
        <f t="shared" si="691"/>
        <v>0</v>
      </c>
      <c r="V303" s="156">
        <f t="shared" si="692"/>
        <v>0</v>
      </c>
      <c r="W303" s="156">
        <f t="shared" si="679"/>
        <v>0</v>
      </c>
      <c r="X303" s="158">
        <f t="shared" ref="X303" si="765">$S303/ORCAMENTO_VALOR_TOTAL_ND</f>
        <v>0</v>
      </c>
      <c r="Y303" s="158">
        <f t="shared" ref="Y303" si="766">$T303/ORCAMENTO_VALOR_TOTAL_DE</f>
        <v>0</v>
      </c>
      <c r="Z303" s="158" cm="1">
        <f t="array" ref="Z303">_xlfn.SWITCH($N303,"BDI 1",$O$6,"BDI 2",$O$7,"BDI 3",$O$8)</f>
        <v>0.20699999999999999</v>
      </c>
      <c r="AA303" s="158" cm="1">
        <f t="array" ref="AA303">_xlfn.SWITCH($N303,"BDI 1",$P$6,"BDI 2",$P$7,"BDI 3",$P$8)</f>
        <v>0.26739999999999997</v>
      </c>
      <c r="AB303" s="158">
        <f t="shared" ca="1" si="695"/>
        <v>0</v>
      </c>
      <c r="AC303" s="158">
        <f t="shared" ca="1" si="696"/>
        <v>0</v>
      </c>
      <c r="AD303" s="164"/>
      <c r="AE303" s="148">
        <f t="shared" si="682"/>
        <v>0</v>
      </c>
      <c r="AF303" s="149"/>
      <c r="AG303" s="150"/>
      <c r="AH303" s="159" t="e">
        <f t="shared" si="683"/>
        <v>#DIV/0!</v>
      </c>
      <c r="AI303" s="2420"/>
      <c r="AJ303" s="204">
        <v>0</v>
      </c>
      <c r="AK303" s="199">
        <f t="shared" si="697"/>
        <v>0</v>
      </c>
      <c r="AM303" s="105"/>
      <c r="AN303" s="105"/>
      <c r="AO303" s="105"/>
      <c r="AP303" s="105"/>
      <c r="AQ303" s="105"/>
      <c r="AR303" s="105"/>
    </row>
    <row r="304" spans="1:44" s="49" customFormat="1" ht="49.9" hidden="1" customHeight="1">
      <c r="A304" s="152">
        <f t="shared" ca="1" si="684"/>
        <v>0</v>
      </c>
      <c r="B304" s="153" t="s">
        <v>185</v>
      </c>
      <c r="C304" s="154" t="str">
        <f t="shared" si="685"/>
        <v>DR/0265</v>
      </c>
      <c r="D304" s="154" t="s">
        <v>3549</v>
      </c>
      <c r="E304" s="155" t="s">
        <v>3770</v>
      </c>
      <c r="F304" s="154"/>
      <c r="G304" s="154" t="s">
        <v>1412</v>
      </c>
      <c r="H304" s="152">
        <v>1769.76</v>
      </c>
      <c r="I304" s="152">
        <v>1695.65</v>
      </c>
      <c r="J304" s="156"/>
      <c r="K304" s="156">
        <f>Dre_Disp_Estruturais!AI107</f>
        <v>0</v>
      </c>
      <c r="L304" s="156">
        <f t="shared" si="686"/>
        <v>0</v>
      </c>
      <c r="M304" s="156">
        <f t="shared" si="687"/>
        <v>0</v>
      </c>
      <c r="N304" s="156" t="s">
        <v>83</v>
      </c>
      <c r="O304" s="157" cm="1">
        <f t="array" ref="O304">TRUNC($H304*(1+_xlfn.SWITCH($N304,"BDI 1",$O$6,"BDI 2",$O$7,"BDI 3",$O$8)),2)</f>
        <v>2136.1</v>
      </c>
      <c r="P304" s="157" cm="1">
        <f t="array" ref="P304">TRUNC($I304*(1+_xlfn.SWITCH($N304,"BDI 1",$P$6,"BDI 2",$P$7,"BDI 3",$P$8)),2)</f>
        <v>2149.06</v>
      </c>
      <c r="Q304" s="157">
        <v>0</v>
      </c>
      <c r="R304" s="157">
        <f t="shared" ref="R304" si="767">$Q304-($Q304*LICITACAO_DESCONTO)</f>
        <v>0</v>
      </c>
      <c r="S304" s="156">
        <f t="shared" si="689"/>
        <v>0</v>
      </c>
      <c r="T304" s="156">
        <f t="shared" si="690"/>
        <v>0</v>
      </c>
      <c r="U304" s="156">
        <f t="shared" si="691"/>
        <v>0</v>
      </c>
      <c r="V304" s="156">
        <f t="shared" si="692"/>
        <v>0</v>
      </c>
      <c r="W304" s="156">
        <f t="shared" si="679"/>
        <v>0</v>
      </c>
      <c r="X304" s="158">
        <f t="shared" ref="X304" si="768">$S304/ORCAMENTO_VALOR_TOTAL_ND</f>
        <v>0</v>
      </c>
      <c r="Y304" s="158">
        <f t="shared" ref="Y304" si="769">$T304/ORCAMENTO_VALOR_TOTAL_DE</f>
        <v>0</v>
      </c>
      <c r="Z304" s="158" cm="1">
        <f t="array" ref="Z304">_xlfn.SWITCH($N304,"BDI 1",$O$6,"BDI 2",$O$7,"BDI 3",$O$8)</f>
        <v>0.20699999999999999</v>
      </c>
      <c r="AA304" s="158" cm="1">
        <f t="array" ref="AA304">_xlfn.SWITCH($N304,"BDI 1",$P$6,"BDI 2",$P$7,"BDI 3",$P$8)</f>
        <v>0.26739999999999997</v>
      </c>
      <c r="AB304" s="158">
        <f t="shared" ca="1" si="695"/>
        <v>0</v>
      </c>
      <c r="AC304" s="158">
        <f t="shared" ca="1" si="696"/>
        <v>0</v>
      </c>
      <c r="AD304" s="164"/>
      <c r="AE304" s="148">
        <f t="shared" si="682"/>
        <v>0</v>
      </c>
      <c r="AF304" s="149"/>
      <c r="AG304" s="150"/>
      <c r="AH304" s="159" t="e">
        <f t="shared" si="683"/>
        <v>#DIV/0!</v>
      </c>
      <c r="AI304" s="2421">
        <v>0</v>
      </c>
      <c r="AJ304" s="204">
        <v>0</v>
      </c>
      <c r="AK304" s="199">
        <f t="shared" si="697"/>
        <v>0</v>
      </c>
      <c r="AM304" s="105"/>
      <c r="AN304" s="105"/>
      <c r="AO304" s="105"/>
      <c r="AP304" s="105"/>
      <c r="AQ304" s="105"/>
      <c r="AR304" s="105"/>
    </row>
    <row r="305" spans="1:44" s="49" customFormat="1" ht="49.9" hidden="1" customHeight="1">
      <c r="A305" s="152">
        <f t="shared" ca="1" si="684"/>
        <v>0</v>
      </c>
      <c r="B305" s="153" t="s">
        <v>186</v>
      </c>
      <c r="C305" s="154" t="str">
        <f t="shared" si="685"/>
        <v>DR/0270</v>
      </c>
      <c r="D305" s="154" t="s">
        <v>3549</v>
      </c>
      <c r="E305" s="155" t="s">
        <v>3771</v>
      </c>
      <c r="F305" s="154"/>
      <c r="G305" s="154" t="s">
        <v>1412</v>
      </c>
      <c r="H305" s="152">
        <v>3308.36</v>
      </c>
      <c r="I305" s="152">
        <v>3175.45</v>
      </c>
      <c r="J305" s="156"/>
      <c r="K305" s="156">
        <f>Dre_Disp_Estruturais!AI108</f>
        <v>0</v>
      </c>
      <c r="L305" s="156">
        <f t="shared" si="686"/>
        <v>0</v>
      </c>
      <c r="M305" s="156">
        <f t="shared" si="687"/>
        <v>0</v>
      </c>
      <c r="N305" s="156" t="s">
        <v>83</v>
      </c>
      <c r="O305" s="157" cm="1">
        <f t="array" ref="O305">TRUNC($H305*(1+_xlfn.SWITCH($N305,"BDI 1",$O$6,"BDI 2",$O$7,"BDI 3",$O$8)),2)</f>
        <v>3993.19</v>
      </c>
      <c r="P305" s="157" cm="1">
        <f t="array" ref="P305">TRUNC($I305*(1+_xlfn.SWITCH($N305,"BDI 1",$P$6,"BDI 2",$P$7,"BDI 3",$P$8)),2)</f>
        <v>4024.56</v>
      </c>
      <c r="Q305" s="157">
        <v>0</v>
      </c>
      <c r="R305" s="157">
        <f t="shared" ref="R305" si="770">$Q305-($Q305*LICITACAO_DESCONTO)</f>
        <v>0</v>
      </c>
      <c r="S305" s="156">
        <f t="shared" si="689"/>
        <v>0</v>
      </c>
      <c r="T305" s="156">
        <f t="shared" si="690"/>
        <v>0</v>
      </c>
      <c r="U305" s="156">
        <f t="shared" si="691"/>
        <v>0</v>
      </c>
      <c r="V305" s="156">
        <f t="shared" si="692"/>
        <v>0</v>
      </c>
      <c r="W305" s="156">
        <f t="shared" si="679"/>
        <v>0</v>
      </c>
      <c r="X305" s="158">
        <f t="shared" ref="X305" si="771">$S305/ORCAMENTO_VALOR_TOTAL_ND</f>
        <v>0</v>
      </c>
      <c r="Y305" s="158">
        <f t="shared" ref="Y305" si="772">$T305/ORCAMENTO_VALOR_TOTAL_DE</f>
        <v>0</v>
      </c>
      <c r="Z305" s="158" cm="1">
        <f t="array" ref="Z305">_xlfn.SWITCH($N305,"BDI 1",$O$6,"BDI 2",$O$7,"BDI 3",$O$8)</f>
        <v>0.20699999999999999</v>
      </c>
      <c r="AA305" s="158" cm="1">
        <f t="array" ref="AA305">_xlfn.SWITCH($N305,"BDI 1",$P$6,"BDI 2",$P$7,"BDI 3",$P$8)</f>
        <v>0.26739999999999997</v>
      </c>
      <c r="AB305" s="158">
        <f t="shared" ca="1" si="695"/>
        <v>0</v>
      </c>
      <c r="AC305" s="158">
        <f t="shared" ca="1" si="696"/>
        <v>0</v>
      </c>
      <c r="AD305" s="164"/>
      <c r="AE305" s="148">
        <f t="shared" si="682"/>
        <v>0</v>
      </c>
      <c r="AF305" s="149"/>
      <c r="AG305" s="150"/>
      <c r="AH305" s="159" t="e">
        <f t="shared" si="683"/>
        <v>#DIV/0!</v>
      </c>
      <c r="AI305" s="2421"/>
      <c r="AJ305" s="204">
        <v>0</v>
      </c>
      <c r="AK305" s="199">
        <f t="shared" si="697"/>
        <v>0</v>
      </c>
      <c r="AM305" s="105"/>
      <c r="AN305" s="105"/>
      <c r="AO305" s="105"/>
      <c r="AP305" s="105"/>
      <c r="AQ305" s="105"/>
      <c r="AR305" s="105"/>
    </row>
    <row r="306" spans="1:44" s="49" customFormat="1" ht="49.9" hidden="1" customHeight="1">
      <c r="A306" s="152">
        <f t="shared" ca="1" si="684"/>
        <v>0</v>
      </c>
      <c r="B306" s="153" t="s">
        <v>187</v>
      </c>
      <c r="C306" s="154" t="str">
        <f t="shared" si="685"/>
        <v>DR/0275</v>
      </c>
      <c r="D306" s="154" t="s">
        <v>3549</v>
      </c>
      <c r="E306" s="155" t="s">
        <v>3772</v>
      </c>
      <c r="F306" s="154"/>
      <c r="G306" s="154" t="s">
        <v>1412</v>
      </c>
      <c r="H306" s="152">
        <v>4846.95</v>
      </c>
      <c r="I306" s="152">
        <v>4655.28</v>
      </c>
      <c r="J306" s="156"/>
      <c r="K306" s="156">
        <f>Dre_Disp_Estruturais!AI109</f>
        <v>0</v>
      </c>
      <c r="L306" s="156">
        <f t="shared" si="686"/>
        <v>0</v>
      </c>
      <c r="M306" s="156">
        <f t="shared" si="687"/>
        <v>0</v>
      </c>
      <c r="N306" s="156" t="s">
        <v>83</v>
      </c>
      <c r="O306" s="157" cm="1">
        <f t="array" ref="O306">TRUNC($H306*(1+_xlfn.SWITCH($N306,"BDI 1",$O$6,"BDI 2",$O$7,"BDI 3",$O$8)),2)</f>
        <v>5850.26</v>
      </c>
      <c r="P306" s="157" cm="1">
        <f t="array" ref="P306">TRUNC($I306*(1+_xlfn.SWITCH($N306,"BDI 1",$P$6,"BDI 2",$P$7,"BDI 3",$P$8)),2)</f>
        <v>5900.1</v>
      </c>
      <c r="Q306" s="157">
        <v>0</v>
      </c>
      <c r="R306" s="157">
        <f t="shared" ref="R306" si="773">$Q306-($Q306*LICITACAO_DESCONTO)</f>
        <v>0</v>
      </c>
      <c r="S306" s="156">
        <f t="shared" si="689"/>
        <v>0</v>
      </c>
      <c r="T306" s="156">
        <f t="shared" si="690"/>
        <v>0</v>
      </c>
      <c r="U306" s="156">
        <f t="shared" si="691"/>
        <v>0</v>
      </c>
      <c r="V306" s="156">
        <f t="shared" si="692"/>
        <v>0</v>
      </c>
      <c r="W306" s="156">
        <f t="shared" si="679"/>
        <v>0</v>
      </c>
      <c r="X306" s="158">
        <f t="shared" ref="X306" si="774">$S306/ORCAMENTO_VALOR_TOTAL_ND</f>
        <v>0</v>
      </c>
      <c r="Y306" s="158">
        <f t="shared" ref="Y306" si="775">$T306/ORCAMENTO_VALOR_TOTAL_DE</f>
        <v>0</v>
      </c>
      <c r="Z306" s="158" cm="1">
        <f t="array" ref="Z306">_xlfn.SWITCH($N306,"BDI 1",$O$6,"BDI 2",$O$7,"BDI 3",$O$8)</f>
        <v>0.20699999999999999</v>
      </c>
      <c r="AA306" s="158" cm="1">
        <f t="array" ref="AA306">_xlfn.SWITCH($N306,"BDI 1",$P$6,"BDI 2",$P$7,"BDI 3",$P$8)</f>
        <v>0.26739999999999997</v>
      </c>
      <c r="AB306" s="158">
        <f t="shared" ca="1" si="695"/>
        <v>0</v>
      </c>
      <c r="AC306" s="158">
        <f t="shared" ca="1" si="696"/>
        <v>0</v>
      </c>
      <c r="AD306" s="164"/>
      <c r="AE306" s="148">
        <f t="shared" si="682"/>
        <v>0</v>
      </c>
      <c r="AF306" s="149"/>
      <c r="AG306" s="150"/>
      <c r="AH306" s="159" t="e">
        <f t="shared" si="683"/>
        <v>#DIV/0!</v>
      </c>
      <c r="AI306" s="2421"/>
      <c r="AJ306" s="204">
        <v>0</v>
      </c>
      <c r="AK306" s="199">
        <f t="shared" si="697"/>
        <v>0</v>
      </c>
      <c r="AM306" s="105"/>
      <c r="AN306" s="105"/>
      <c r="AO306" s="105"/>
      <c r="AP306" s="105"/>
      <c r="AQ306" s="105"/>
      <c r="AR306" s="105"/>
    </row>
    <row r="307" spans="1:44" s="49" customFormat="1" ht="40.15" hidden="1" customHeight="1">
      <c r="A307" s="152">
        <f t="shared" ca="1" si="684"/>
        <v>0</v>
      </c>
      <c r="B307" s="153" t="s">
        <v>188</v>
      </c>
      <c r="C307" s="154" t="str">
        <f t="shared" si="685"/>
        <v>DR/0305</v>
      </c>
      <c r="D307" s="154" t="s">
        <v>3549</v>
      </c>
      <c r="E307" s="155" t="s">
        <v>3773</v>
      </c>
      <c r="F307" s="154"/>
      <c r="G307" s="154" t="s">
        <v>1412</v>
      </c>
      <c r="H307" s="152">
        <v>997.53</v>
      </c>
      <c r="I307" s="152">
        <v>949.56</v>
      </c>
      <c r="J307" s="156"/>
      <c r="K307" s="156">
        <f>Dre_Disp_Estruturais!AI113</f>
        <v>0</v>
      </c>
      <c r="L307" s="156">
        <f t="shared" si="686"/>
        <v>0</v>
      </c>
      <c r="M307" s="156">
        <f t="shared" si="687"/>
        <v>0</v>
      </c>
      <c r="N307" s="156" t="s">
        <v>83</v>
      </c>
      <c r="O307" s="157" cm="1">
        <f t="array" ref="O307">TRUNC($H307*(1+_xlfn.SWITCH($N307,"BDI 1",$O$6,"BDI 2",$O$7,"BDI 3",$O$8)),2)</f>
        <v>1204.01</v>
      </c>
      <c r="P307" s="157" cm="1">
        <f t="array" ref="P307">TRUNC($I307*(1+_xlfn.SWITCH($N307,"BDI 1",$P$6,"BDI 2",$P$7,"BDI 3",$P$8)),2)</f>
        <v>1203.47</v>
      </c>
      <c r="Q307" s="157">
        <v>0</v>
      </c>
      <c r="R307" s="157">
        <f t="shared" ref="R307" si="776">$Q307-($Q307*LICITACAO_DESCONTO)</f>
        <v>0</v>
      </c>
      <c r="S307" s="156">
        <f t="shared" si="689"/>
        <v>0</v>
      </c>
      <c r="T307" s="156">
        <f t="shared" si="690"/>
        <v>0</v>
      </c>
      <c r="U307" s="156">
        <f t="shared" si="691"/>
        <v>0</v>
      </c>
      <c r="V307" s="156">
        <f t="shared" si="692"/>
        <v>0</v>
      </c>
      <c r="W307" s="156">
        <f t="shared" si="679"/>
        <v>0</v>
      </c>
      <c r="X307" s="158">
        <f t="shared" ref="X307" si="777">$S307/ORCAMENTO_VALOR_TOTAL_ND</f>
        <v>0</v>
      </c>
      <c r="Y307" s="158">
        <f t="shared" ref="Y307" si="778">$T307/ORCAMENTO_VALOR_TOTAL_DE</f>
        <v>0</v>
      </c>
      <c r="Z307" s="158" cm="1">
        <f t="array" ref="Z307">_xlfn.SWITCH($N307,"BDI 1",$O$6,"BDI 2",$O$7,"BDI 3",$O$8)</f>
        <v>0.20699999999999999</v>
      </c>
      <c r="AA307" s="158" cm="1">
        <f t="array" ref="AA307">_xlfn.SWITCH($N307,"BDI 1",$P$6,"BDI 2",$P$7,"BDI 3",$P$8)</f>
        <v>0.26739999999999997</v>
      </c>
      <c r="AB307" s="158">
        <f t="shared" ca="1" si="695"/>
        <v>0</v>
      </c>
      <c r="AC307" s="158">
        <f t="shared" ca="1" si="696"/>
        <v>0</v>
      </c>
      <c r="AD307" s="164"/>
      <c r="AE307" s="148">
        <f t="shared" si="682"/>
        <v>0</v>
      </c>
      <c r="AF307" s="149"/>
      <c r="AG307" s="150"/>
      <c r="AH307" s="159" t="e">
        <f t="shared" si="683"/>
        <v>#DIV/0!</v>
      </c>
      <c r="AI307" s="160"/>
      <c r="AJ307" s="105"/>
      <c r="AK307" s="105"/>
      <c r="AM307" s="105"/>
      <c r="AN307" s="105"/>
      <c r="AO307" s="105"/>
      <c r="AP307" s="105"/>
      <c r="AQ307" s="105"/>
      <c r="AR307" s="105"/>
    </row>
    <row r="308" spans="1:44" s="49" customFormat="1" ht="40.15" hidden="1" customHeight="1">
      <c r="A308" s="152">
        <f t="shared" ca="1" si="684"/>
        <v>0</v>
      </c>
      <c r="B308" s="153" t="s">
        <v>189</v>
      </c>
      <c r="C308" s="154" t="str">
        <f t="shared" si="685"/>
        <v>DR/0310</v>
      </c>
      <c r="D308" s="154" t="s">
        <v>3549</v>
      </c>
      <c r="E308" s="155" t="s">
        <v>3774</v>
      </c>
      <c r="F308" s="154"/>
      <c r="G308" s="154" t="s">
        <v>1412</v>
      </c>
      <c r="H308" s="152">
        <v>1639.72</v>
      </c>
      <c r="I308" s="152">
        <v>1563.6</v>
      </c>
      <c r="J308" s="156"/>
      <c r="K308" s="156">
        <f>Dre_Disp_Estruturais!AI114</f>
        <v>0</v>
      </c>
      <c r="L308" s="156">
        <f t="shared" si="686"/>
        <v>0</v>
      </c>
      <c r="M308" s="156">
        <f t="shared" si="687"/>
        <v>0</v>
      </c>
      <c r="N308" s="156" t="s">
        <v>83</v>
      </c>
      <c r="O308" s="157" cm="1">
        <f t="array" ref="O308">TRUNC($H308*(1+_xlfn.SWITCH($N308,"BDI 1",$O$6,"BDI 2",$O$7,"BDI 3",$O$8)),2)</f>
        <v>1979.14</v>
      </c>
      <c r="P308" s="157" cm="1">
        <f t="array" ref="P308">TRUNC($I308*(1+_xlfn.SWITCH($N308,"BDI 1",$P$6,"BDI 2",$P$7,"BDI 3",$P$8)),2)</f>
        <v>1981.7</v>
      </c>
      <c r="Q308" s="157">
        <v>0</v>
      </c>
      <c r="R308" s="157">
        <f t="shared" ref="R308" si="779">$Q308-($Q308*LICITACAO_DESCONTO)</f>
        <v>0</v>
      </c>
      <c r="S308" s="156">
        <f t="shared" si="689"/>
        <v>0</v>
      </c>
      <c r="T308" s="156">
        <f t="shared" si="690"/>
        <v>0</v>
      </c>
      <c r="U308" s="156">
        <f t="shared" si="691"/>
        <v>0</v>
      </c>
      <c r="V308" s="156">
        <f t="shared" si="692"/>
        <v>0</v>
      </c>
      <c r="W308" s="156">
        <f t="shared" si="679"/>
        <v>0</v>
      </c>
      <c r="X308" s="158">
        <f t="shared" ref="X308" si="780">$S308/ORCAMENTO_VALOR_TOTAL_ND</f>
        <v>0</v>
      </c>
      <c r="Y308" s="158">
        <f t="shared" ref="Y308" si="781">$T308/ORCAMENTO_VALOR_TOTAL_DE</f>
        <v>0</v>
      </c>
      <c r="Z308" s="158" cm="1">
        <f t="array" ref="Z308">_xlfn.SWITCH($N308,"BDI 1",$O$6,"BDI 2",$O$7,"BDI 3",$O$8)</f>
        <v>0.20699999999999999</v>
      </c>
      <c r="AA308" s="158" cm="1">
        <f t="array" ref="AA308">_xlfn.SWITCH($N308,"BDI 1",$P$6,"BDI 2",$P$7,"BDI 3",$P$8)</f>
        <v>0.26739999999999997</v>
      </c>
      <c r="AB308" s="158">
        <f t="shared" ca="1" si="695"/>
        <v>0</v>
      </c>
      <c r="AC308" s="158">
        <f t="shared" ca="1" si="696"/>
        <v>0</v>
      </c>
      <c r="AD308" s="164"/>
      <c r="AE308" s="148">
        <f t="shared" si="682"/>
        <v>0</v>
      </c>
      <c r="AF308" s="149"/>
      <c r="AG308" s="150"/>
      <c r="AH308" s="159" t="e">
        <f t="shared" si="683"/>
        <v>#DIV/0!</v>
      </c>
      <c r="AI308" s="160"/>
      <c r="AJ308" s="105"/>
      <c r="AK308" s="105"/>
      <c r="AM308" s="105"/>
      <c r="AN308" s="105"/>
      <c r="AO308" s="105"/>
      <c r="AP308" s="105"/>
      <c r="AQ308" s="105"/>
      <c r="AR308" s="105"/>
    </row>
    <row r="309" spans="1:44" s="49" customFormat="1" ht="40.15" hidden="1" customHeight="1">
      <c r="A309" s="152">
        <f t="shared" ca="1" si="684"/>
        <v>0</v>
      </c>
      <c r="B309" s="153" t="s">
        <v>190</v>
      </c>
      <c r="C309" s="154" t="str">
        <f t="shared" si="685"/>
        <v>DR/0315</v>
      </c>
      <c r="D309" s="154" t="s">
        <v>3549</v>
      </c>
      <c r="E309" s="155" t="s">
        <v>3775</v>
      </c>
      <c r="F309" s="154"/>
      <c r="G309" s="154" t="s">
        <v>1412</v>
      </c>
      <c r="H309" s="152">
        <v>2640.07</v>
      </c>
      <c r="I309" s="152">
        <v>2521.7600000000002</v>
      </c>
      <c r="J309" s="156"/>
      <c r="K309" s="156">
        <f>Dre_Disp_Estruturais!AI115</f>
        <v>0</v>
      </c>
      <c r="L309" s="156">
        <f t="shared" si="686"/>
        <v>0</v>
      </c>
      <c r="M309" s="156">
        <f t="shared" si="687"/>
        <v>0</v>
      </c>
      <c r="N309" s="156" t="s">
        <v>83</v>
      </c>
      <c r="O309" s="157" cm="1">
        <f t="array" ref="O309">TRUNC($H309*(1+_xlfn.SWITCH($N309,"BDI 1",$O$6,"BDI 2",$O$7,"BDI 3",$O$8)),2)</f>
        <v>3186.56</v>
      </c>
      <c r="P309" s="157" cm="1">
        <f t="array" ref="P309">TRUNC($I309*(1+_xlfn.SWITCH($N309,"BDI 1",$P$6,"BDI 2",$P$7,"BDI 3",$P$8)),2)</f>
        <v>3196.07</v>
      </c>
      <c r="Q309" s="157">
        <v>0</v>
      </c>
      <c r="R309" s="157">
        <f t="shared" ref="R309" si="782">$Q309-($Q309*LICITACAO_DESCONTO)</f>
        <v>0</v>
      </c>
      <c r="S309" s="156">
        <f t="shared" si="689"/>
        <v>0</v>
      </c>
      <c r="T309" s="156">
        <f t="shared" si="690"/>
        <v>0</v>
      </c>
      <c r="U309" s="156">
        <f t="shared" si="691"/>
        <v>0</v>
      </c>
      <c r="V309" s="156">
        <f t="shared" si="692"/>
        <v>0</v>
      </c>
      <c r="W309" s="156">
        <f t="shared" si="679"/>
        <v>0</v>
      </c>
      <c r="X309" s="158">
        <f t="shared" ref="X309" si="783">$S309/ORCAMENTO_VALOR_TOTAL_ND</f>
        <v>0</v>
      </c>
      <c r="Y309" s="158">
        <f t="shared" ref="Y309" si="784">$T309/ORCAMENTO_VALOR_TOTAL_DE</f>
        <v>0</v>
      </c>
      <c r="Z309" s="158" cm="1">
        <f t="array" ref="Z309">_xlfn.SWITCH($N309,"BDI 1",$O$6,"BDI 2",$O$7,"BDI 3",$O$8)</f>
        <v>0.20699999999999999</v>
      </c>
      <c r="AA309" s="158" cm="1">
        <f t="array" ref="AA309">_xlfn.SWITCH($N309,"BDI 1",$P$6,"BDI 2",$P$7,"BDI 3",$P$8)</f>
        <v>0.26739999999999997</v>
      </c>
      <c r="AB309" s="158">
        <f t="shared" ca="1" si="695"/>
        <v>0</v>
      </c>
      <c r="AC309" s="158">
        <f t="shared" ca="1" si="696"/>
        <v>0</v>
      </c>
      <c r="AD309" s="164"/>
      <c r="AE309" s="148">
        <f t="shared" si="682"/>
        <v>0</v>
      </c>
      <c r="AF309" s="149"/>
      <c r="AG309" s="150"/>
      <c r="AH309" s="159" t="e">
        <f t="shared" si="683"/>
        <v>#DIV/0!</v>
      </c>
      <c r="AI309" s="160"/>
      <c r="AJ309" s="105"/>
      <c r="AK309" s="105"/>
      <c r="AM309" s="105"/>
      <c r="AN309" s="105"/>
      <c r="AO309" s="105"/>
      <c r="AP309" s="105"/>
      <c r="AQ309" s="105"/>
      <c r="AR309" s="105"/>
    </row>
    <row r="310" spans="1:44" s="49" customFormat="1" ht="40.15" hidden="1" customHeight="1">
      <c r="A310" s="152">
        <f t="shared" ca="1" si="684"/>
        <v>0</v>
      </c>
      <c r="B310" s="153" t="s">
        <v>191</v>
      </c>
      <c r="C310" s="154" t="str">
        <f t="shared" si="685"/>
        <v>DR/0320</v>
      </c>
      <c r="D310" s="154" t="s">
        <v>3549</v>
      </c>
      <c r="E310" s="155" t="s">
        <v>3776</v>
      </c>
      <c r="F310" s="154"/>
      <c r="G310" s="154" t="s">
        <v>1412</v>
      </c>
      <c r="H310" s="152">
        <v>3947.89</v>
      </c>
      <c r="I310" s="152">
        <v>3776.19</v>
      </c>
      <c r="J310" s="156"/>
      <c r="K310" s="156">
        <f>Dre_Disp_Estruturais!AI116</f>
        <v>0</v>
      </c>
      <c r="L310" s="156">
        <f t="shared" si="686"/>
        <v>0</v>
      </c>
      <c r="M310" s="156">
        <f t="shared" si="687"/>
        <v>0</v>
      </c>
      <c r="N310" s="156" t="s">
        <v>83</v>
      </c>
      <c r="O310" s="157" cm="1">
        <f t="array" ref="O310">TRUNC($H310*(1+_xlfn.SWITCH($N310,"BDI 1",$O$6,"BDI 2",$O$7,"BDI 3",$O$8)),2)</f>
        <v>4765.1000000000004</v>
      </c>
      <c r="P310" s="157" cm="1">
        <f t="array" ref="P310">TRUNC($I310*(1+_xlfn.SWITCH($N310,"BDI 1",$P$6,"BDI 2",$P$7,"BDI 3",$P$8)),2)</f>
        <v>4785.9399999999996</v>
      </c>
      <c r="Q310" s="157">
        <v>0</v>
      </c>
      <c r="R310" s="157">
        <f t="shared" ref="R310" si="785">$Q310-($Q310*LICITACAO_DESCONTO)</f>
        <v>0</v>
      </c>
      <c r="S310" s="156">
        <f t="shared" si="689"/>
        <v>0</v>
      </c>
      <c r="T310" s="156">
        <f t="shared" si="690"/>
        <v>0</v>
      </c>
      <c r="U310" s="156">
        <f t="shared" si="691"/>
        <v>0</v>
      </c>
      <c r="V310" s="156">
        <f t="shared" si="692"/>
        <v>0</v>
      </c>
      <c r="W310" s="156">
        <f t="shared" si="679"/>
        <v>0</v>
      </c>
      <c r="X310" s="158">
        <f t="shared" ref="X310" si="786">$S310/ORCAMENTO_VALOR_TOTAL_ND</f>
        <v>0</v>
      </c>
      <c r="Y310" s="158">
        <f t="shared" ref="Y310" si="787">$T310/ORCAMENTO_VALOR_TOTAL_DE</f>
        <v>0</v>
      </c>
      <c r="Z310" s="158" cm="1">
        <f t="array" ref="Z310">_xlfn.SWITCH($N310,"BDI 1",$O$6,"BDI 2",$O$7,"BDI 3",$O$8)</f>
        <v>0.20699999999999999</v>
      </c>
      <c r="AA310" s="158" cm="1">
        <f t="array" ref="AA310">_xlfn.SWITCH($N310,"BDI 1",$P$6,"BDI 2",$P$7,"BDI 3",$P$8)</f>
        <v>0.26739999999999997</v>
      </c>
      <c r="AB310" s="158">
        <f t="shared" ca="1" si="695"/>
        <v>0</v>
      </c>
      <c r="AC310" s="158">
        <f t="shared" ca="1" si="696"/>
        <v>0</v>
      </c>
      <c r="AD310" s="164"/>
      <c r="AE310" s="148">
        <f t="shared" si="682"/>
        <v>0</v>
      </c>
      <c r="AF310" s="149"/>
      <c r="AG310" s="150"/>
      <c r="AH310" s="159" t="e">
        <f t="shared" si="683"/>
        <v>#DIV/0!</v>
      </c>
      <c r="AI310" s="160"/>
      <c r="AJ310" s="105"/>
      <c r="AK310" s="105"/>
      <c r="AM310" s="105"/>
      <c r="AN310" s="105"/>
      <c r="AO310" s="105"/>
      <c r="AP310" s="105"/>
      <c r="AQ310" s="105"/>
      <c r="AR310" s="105"/>
    </row>
    <row r="311" spans="1:44" s="49" customFormat="1" ht="40.15" hidden="1" customHeight="1">
      <c r="A311" s="152">
        <f t="shared" ca="1" si="684"/>
        <v>0</v>
      </c>
      <c r="B311" s="153" t="s">
        <v>192</v>
      </c>
      <c r="C311" s="154" t="str">
        <f t="shared" si="685"/>
        <v>DR/0325</v>
      </c>
      <c r="D311" s="154" t="s">
        <v>3549</v>
      </c>
      <c r="E311" s="155" t="s">
        <v>3777</v>
      </c>
      <c r="F311" s="154"/>
      <c r="G311" s="154" t="s">
        <v>1412</v>
      </c>
      <c r="H311" s="152">
        <v>5508.37</v>
      </c>
      <c r="I311" s="152">
        <v>5274.87</v>
      </c>
      <c r="J311" s="156"/>
      <c r="K311" s="156">
        <f>Dre_Disp_Estruturais!AI117</f>
        <v>0</v>
      </c>
      <c r="L311" s="156">
        <f t="shared" si="686"/>
        <v>0</v>
      </c>
      <c r="M311" s="156">
        <f t="shared" si="687"/>
        <v>0</v>
      </c>
      <c r="N311" s="156" t="s">
        <v>83</v>
      </c>
      <c r="O311" s="157" cm="1">
        <f t="array" ref="O311">TRUNC($H311*(1+_xlfn.SWITCH($N311,"BDI 1",$O$6,"BDI 2",$O$7,"BDI 3",$O$8)),2)</f>
        <v>6648.6</v>
      </c>
      <c r="P311" s="157" cm="1">
        <f t="array" ref="P311">TRUNC($I311*(1+_xlfn.SWITCH($N311,"BDI 1",$P$6,"BDI 2",$P$7,"BDI 3",$P$8)),2)</f>
        <v>6685.37</v>
      </c>
      <c r="Q311" s="157">
        <v>0</v>
      </c>
      <c r="R311" s="157">
        <f t="shared" ref="R311" si="788">$Q311-($Q311*LICITACAO_DESCONTO)</f>
        <v>0</v>
      </c>
      <c r="S311" s="156">
        <f t="shared" si="689"/>
        <v>0</v>
      </c>
      <c r="T311" s="156">
        <f t="shared" si="690"/>
        <v>0</v>
      </c>
      <c r="U311" s="156">
        <f t="shared" si="691"/>
        <v>0</v>
      </c>
      <c r="V311" s="156">
        <f t="shared" si="692"/>
        <v>0</v>
      </c>
      <c r="W311" s="156">
        <f t="shared" si="679"/>
        <v>0</v>
      </c>
      <c r="X311" s="158">
        <f t="shared" ref="X311" si="789">$S311/ORCAMENTO_VALOR_TOTAL_ND</f>
        <v>0</v>
      </c>
      <c r="Y311" s="158">
        <f t="shared" ref="Y311" si="790">$T311/ORCAMENTO_VALOR_TOTAL_DE</f>
        <v>0</v>
      </c>
      <c r="Z311" s="158" cm="1">
        <f t="array" ref="Z311">_xlfn.SWITCH($N311,"BDI 1",$O$6,"BDI 2",$O$7,"BDI 3",$O$8)</f>
        <v>0.20699999999999999</v>
      </c>
      <c r="AA311" s="158" cm="1">
        <f t="array" ref="AA311">_xlfn.SWITCH($N311,"BDI 1",$P$6,"BDI 2",$P$7,"BDI 3",$P$8)</f>
        <v>0.26739999999999997</v>
      </c>
      <c r="AB311" s="158">
        <f t="shared" ca="1" si="695"/>
        <v>0</v>
      </c>
      <c r="AC311" s="158">
        <f t="shared" ca="1" si="696"/>
        <v>0</v>
      </c>
      <c r="AD311" s="164"/>
      <c r="AE311" s="148">
        <f t="shared" si="682"/>
        <v>0</v>
      </c>
      <c r="AF311" s="149"/>
      <c r="AG311" s="150"/>
      <c r="AH311" s="159" t="e">
        <f t="shared" si="683"/>
        <v>#DIV/0!</v>
      </c>
      <c r="AI311" s="160"/>
      <c r="AJ311" s="105"/>
      <c r="AK311" s="105"/>
      <c r="AM311" s="105"/>
      <c r="AN311" s="105"/>
      <c r="AO311" s="105"/>
      <c r="AP311" s="105"/>
      <c r="AQ311" s="105"/>
      <c r="AR311" s="105"/>
    </row>
    <row r="312" spans="1:44" s="49" customFormat="1" ht="40.15" hidden="1" customHeight="1">
      <c r="A312" s="152">
        <f t="shared" ca="1" si="684"/>
        <v>0</v>
      </c>
      <c r="B312" s="153" t="s">
        <v>193</v>
      </c>
      <c r="C312" s="154" t="str">
        <f t="shared" si="685"/>
        <v>DR/0330</v>
      </c>
      <c r="D312" s="154" t="s">
        <v>3549</v>
      </c>
      <c r="E312" s="155" t="s">
        <v>3778</v>
      </c>
      <c r="F312" s="154"/>
      <c r="G312" s="154" t="s">
        <v>1412</v>
      </c>
      <c r="H312" s="152">
        <v>8471.18</v>
      </c>
      <c r="I312" s="152">
        <v>8123.59</v>
      </c>
      <c r="J312" s="156"/>
      <c r="K312" s="156">
        <f>Dre_Disp_Estruturais!AI118</f>
        <v>0</v>
      </c>
      <c r="L312" s="156">
        <f t="shared" si="686"/>
        <v>0</v>
      </c>
      <c r="M312" s="156">
        <f t="shared" si="687"/>
        <v>0</v>
      </c>
      <c r="N312" s="156" t="s">
        <v>83</v>
      </c>
      <c r="O312" s="157" cm="1">
        <f t="array" ref="O312">TRUNC($H312*(1+_xlfn.SWITCH($N312,"BDI 1",$O$6,"BDI 2",$O$7,"BDI 3",$O$8)),2)</f>
        <v>10224.709999999999</v>
      </c>
      <c r="P312" s="157" cm="1">
        <f t="array" ref="P312">TRUNC($I312*(1+_xlfn.SWITCH($N312,"BDI 1",$P$6,"BDI 2",$P$7,"BDI 3",$P$8)),2)</f>
        <v>10295.83</v>
      </c>
      <c r="Q312" s="157">
        <v>0</v>
      </c>
      <c r="R312" s="157">
        <f t="shared" ref="R312" si="791">$Q312-($Q312*LICITACAO_DESCONTO)</f>
        <v>0</v>
      </c>
      <c r="S312" s="156">
        <f t="shared" si="689"/>
        <v>0</v>
      </c>
      <c r="T312" s="156">
        <f t="shared" si="690"/>
        <v>0</v>
      </c>
      <c r="U312" s="156">
        <f t="shared" si="691"/>
        <v>0</v>
      </c>
      <c r="V312" s="156">
        <f t="shared" si="692"/>
        <v>0</v>
      </c>
      <c r="W312" s="156">
        <f t="shared" si="679"/>
        <v>0</v>
      </c>
      <c r="X312" s="158">
        <f t="shared" ref="X312" si="792">$S312/ORCAMENTO_VALOR_TOTAL_ND</f>
        <v>0</v>
      </c>
      <c r="Y312" s="158">
        <f t="shared" ref="Y312" si="793">$T312/ORCAMENTO_VALOR_TOTAL_DE</f>
        <v>0</v>
      </c>
      <c r="Z312" s="158" cm="1">
        <f t="array" ref="Z312">_xlfn.SWITCH($N312,"BDI 1",$O$6,"BDI 2",$O$7,"BDI 3",$O$8)</f>
        <v>0.20699999999999999</v>
      </c>
      <c r="AA312" s="158" cm="1">
        <f t="array" ref="AA312">_xlfn.SWITCH($N312,"BDI 1",$P$6,"BDI 2",$P$7,"BDI 3",$P$8)</f>
        <v>0.26739999999999997</v>
      </c>
      <c r="AB312" s="158">
        <f t="shared" ca="1" si="695"/>
        <v>0</v>
      </c>
      <c r="AC312" s="158">
        <f t="shared" ca="1" si="696"/>
        <v>0</v>
      </c>
      <c r="AD312" s="164"/>
      <c r="AE312" s="148">
        <f t="shared" si="682"/>
        <v>0</v>
      </c>
      <c r="AF312" s="149"/>
      <c r="AG312" s="150"/>
      <c r="AH312" s="159" t="e">
        <f t="shared" si="683"/>
        <v>#DIV/0!</v>
      </c>
      <c r="AI312" s="160"/>
      <c r="AJ312" s="105"/>
      <c r="AK312" s="105"/>
      <c r="AM312" s="105"/>
      <c r="AN312" s="105"/>
      <c r="AO312" s="105"/>
      <c r="AP312" s="105"/>
      <c r="AQ312" s="105"/>
      <c r="AR312" s="105"/>
    </row>
    <row r="313" spans="1:44" s="49" customFormat="1" ht="40.15" hidden="1" customHeight="1">
      <c r="A313" s="152">
        <f t="shared" ca="1" si="684"/>
        <v>0</v>
      </c>
      <c r="B313" s="153" t="s">
        <v>194</v>
      </c>
      <c r="C313" s="154" t="str">
        <f t="shared" si="685"/>
        <v>DR/0335</v>
      </c>
      <c r="D313" s="154" t="s">
        <v>3549</v>
      </c>
      <c r="E313" s="155" t="s">
        <v>3779</v>
      </c>
      <c r="F313" s="154"/>
      <c r="G313" s="154" t="s">
        <v>1412</v>
      </c>
      <c r="H313" s="152">
        <v>17045</v>
      </c>
      <c r="I313" s="152">
        <v>16299.25</v>
      </c>
      <c r="J313" s="156"/>
      <c r="K313" s="156">
        <f>Dre_Disp_Estruturais!AI119</f>
        <v>0</v>
      </c>
      <c r="L313" s="156">
        <f t="shared" si="686"/>
        <v>0</v>
      </c>
      <c r="M313" s="156">
        <f t="shared" si="687"/>
        <v>0</v>
      </c>
      <c r="N313" s="156" t="s">
        <v>83</v>
      </c>
      <c r="O313" s="157" cm="1">
        <f t="array" ref="O313">TRUNC($H313*(1+_xlfn.SWITCH($N313,"BDI 1",$O$6,"BDI 2",$O$7,"BDI 3",$O$8)),2)</f>
        <v>20573.310000000001</v>
      </c>
      <c r="P313" s="157" cm="1">
        <f t="array" ref="P313">TRUNC($I313*(1+_xlfn.SWITCH($N313,"BDI 1",$P$6,"BDI 2",$P$7,"BDI 3",$P$8)),2)</f>
        <v>20657.66</v>
      </c>
      <c r="Q313" s="157">
        <v>0</v>
      </c>
      <c r="R313" s="157">
        <f t="shared" ref="R313" si="794">$Q313-($Q313*LICITACAO_DESCONTO)</f>
        <v>0</v>
      </c>
      <c r="S313" s="156">
        <f t="shared" si="689"/>
        <v>0</v>
      </c>
      <c r="T313" s="156">
        <f t="shared" si="690"/>
        <v>0</v>
      </c>
      <c r="U313" s="156">
        <f t="shared" si="691"/>
        <v>0</v>
      </c>
      <c r="V313" s="156">
        <f t="shared" si="692"/>
        <v>0</v>
      </c>
      <c r="W313" s="156">
        <f t="shared" si="679"/>
        <v>0</v>
      </c>
      <c r="X313" s="158">
        <f t="shared" ref="X313" si="795">$S313/ORCAMENTO_VALOR_TOTAL_ND</f>
        <v>0</v>
      </c>
      <c r="Y313" s="158">
        <f t="shared" ref="Y313" si="796">$T313/ORCAMENTO_VALOR_TOTAL_DE</f>
        <v>0</v>
      </c>
      <c r="Z313" s="158" cm="1">
        <f t="array" ref="Z313">_xlfn.SWITCH($N313,"BDI 1",$O$6,"BDI 2",$O$7,"BDI 3",$O$8)</f>
        <v>0.20699999999999999</v>
      </c>
      <c r="AA313" s="158" cm="1">
        <f t="array" ref="AA313">_xlfn.SWITCH($N313,"BDI 1",$P$6,"BDI 2",$P$7,"BDI 3",$P$8)</f>
        <v>0.26739999999999997</v>
      </c>
      <c r="AB313" s="158">
        <f t="shared" ca="1" si="695"/>
        <v>0</v>
      </c>
      <c r="AC313" s="158">
        <f t="shared" ca="1" si="696"/>
        <v>0</v>
      </c>
      <c r="AD313" s="164"/>
      <c r="AE313" s="148">
        <f t="shared" si="682"/>
        <v>0</v>
      </c>
      <c r="AF313" s="149"/>
      <c r="AG313" s="150"/>
      <c r="AH313" s="159" t="e">
        <f t="shared" si="683"/>
        <v>#DIV/0!</v>
      </c>
      <c r="AI313" s="160"/>
      <c r="AJ313" s="105"/>
      <c r="AK313" s="105"/>
      <c r="AM313" s="105"/>
      <c r="AN313" s="105"/>
      <c r="AO313" s="105"/>
      <c r="AP313" s="105"/>
      <c r="AQ313" s="105"/>
      <c r="AR313" s="105"/>
    </row>
    <row r="314" spans="1:44" s="49" customFormat="1" ht="40.15" hidden="1" customHeight="1">
      <c r="A314" s="152">
        <f t="shared" ca="1" si="684"/>
        <v>0</v>
      </c>
      <c r="B314" s="153" t="s">
        <v>195</v>
      </c>
      <c r="C314" s="154" t="str">
        <f t="shared" si="685"/>
        <v>DR/0340</v>
      </c>
      <c r="D314" s="154" t="s">
        <v>3549</v>
      </c>
      <c r="E314" s="155" t="s">
        <v>3780</v>
      </c>
      <c r="F314" s="154"/>
      <c r="G314" s="154" t="s">
        <v>1412</v>
      </c>
      <c r="H314" s="152">
        <v>26102.02</v>
      </c>
      <c r="I314" s="152">
        <v>25001.39</v>
      </c>
      <c r="J314" s="156"/>
      <c r="K314" s="156">
        <f>Dre_Disp_Estruturais!AI120</f>
        <v>0</v>
      </c>
      <c r="L314" s="156">
        <f t="shared" si="686"/>
        <v>0</v>
      </c>
      <c r="M314" s="156">
        <f t="shared" si="687"/>
        <v>0</v>
      </c>
      <c r="N314" s="156" t="s">
        <v>83</v>
      </c>
      <c r="O314" s="157" cm="1">
        <f t="array" ref="O314">TRUNC($H314*(1+_xlfn.SWITCH($N314,"BDI 1",$O$6,"BDI 2",$O$7,"BDI 3",$O$8)),2)</f>
        <v>31505.13</v>
      </c>
      <c r="P314" s="157" cm="1">
        <f t="array" ref="P314">TRUNC($I314*(1+_xlfn.SWITCH($N314,"BDI 1",$P$6,"BDI 2",$P$7,"BDI 3",$P$8)),2)</f>
        <v>31686.76</v>
      </c>
      <c r="Q314" s="157">
        <v>0</v>
      </c>
      <c r="R314" s="157">
        <f t="shared" ref="R314" si="797">$Q314-($Q314*LICITACAO_DESCONTO)</f>
        <v>0</v>
      </c>
      <c r="S314" s="156">
        <f t="shared" si="689"/>
        <v>0</v>
      </c>
      <c r="T314" s="156">
        <f t="shared" si="690"/>
        <v>0</v>
      </c>
      <c r="U314" s="156">
        <f t="shared" si="691"/>
        <v>0</v>
      </c>
      <c r="V314" s="156">
        <f t="shared" si="692"/>
        <v>0</v>
      </c>
      <c r="W314" s="156">
        <f t="shared" si="679"/>
        <v>0</v>
      </c>
      <c r="X314" s="158">
        <f t="shared" ref="X314" si="798">$S314/ORCAMENTO_VALOR_TOTAL_ND</f>
        <v>0</v>
      </c>
      <c r="Y314" s="158">
        <f t="shared" ref="Y314" si="799">$T314/ORCAMENTO_VALOR_TOTAL_DE</f>
        <v>0</v>
      </c>
      <c r="Z314" s="158" cm="1">
        <f t="array" ref="Z314">_xlfn.SWITCH($N314,"BDI 1",$O$6,"BDI 2",$O$7,"BDI 3",$O$8)</f>
        <v>0.20699999999999999</v>
      </c>
      <c r="AA314" s="158" cm="1">
        <f t="array" ref="AA314">_xlfn.SWITCH($N314,"BDI 1",$P$6,"BDI 2",$P$7,"BDI 3",$P$8)</f>
        <v>0.26739999999999997</v>
      </c>
      <c r="AB314" s="158">
        <f t="shared" ca="1" si="695"/>
        <v>0</v>
      </c>
      <c r="AC314" s="158">
        <f t="shared" ca="1" si="696"/>
        <v>0</v>
      </c>
      <c r="AD314" s="164"/>
      <c r="AE314" s="148">
        <f t="shared" si="682"/>
        <v>0</v>
      </c>
      <c r="AF314" s="149"/>
      <c r="AG314" s="150"/>
      <c r="AH314" s="159" t="e">
        <f t="shared" si="683"/>
        <v>#DIV/0!</v>
      </c>
      <c r="AI314" s="160"/>
      <c r="AJ314" s="105"/>
      <c r="AK314" s="105"/>
      <c r="AM314" s="105"/>
      <c r="AN314" s="105"/>
      <c r="AO314" s="105"/>
      <c r="AP314" s="105"/>
      <c r="AQ314" s="105"/>
      <c r="AR314" s="105"/>
    </row>
    <row r="315" spans="1:44" s="49" customFormat="1" ht="40.15" hidden="1" customHeight="1">
      <c r="A315" s="152">
        <f t="shared" ca="1" si="684"/>
        <v>0</v>
      </c>
      <c r="B315" s="153" t="s">
        <v>196</v>
      </c>
      <c r="C315" s="154" t="str">
        <f t="shared" si="685"/>
        <v>DR/0345</v>
      </c>
      <c r="D315" s="154" t="s">
        <v>3549</v>
      </c>
      <c r="E315" s="155" t="s">
        <v>3781</v>
      </c>
      <c r="F315" s="154"/>
      <c r="G315" s="154" t="s">
        <v>1412</v>
      </c>
      <c r="H315" s="152">
        <v>34841.99</v>
      </c>
      <c r="I315" s="152">
        <v>33399.68</v>
      </c>
      <c r="J315" s="156"/>
      <c r="K315" s="156">
        <f>Dre_Disp_Estruturais!AI121</f>
        <v>0</v>
      </c>
      <c r="L315" s="156">
        <f t="shared" si="686"/>
        <v>0</v>
      </c>
      <c r="M315" s="156">
        <f t="shared" si="687"/>
        <v>0</v>
      </c>
      <c r="N315" s="156" t="s">
        <v>83</v>
      </c>
      <c r="O315" s="157" cm="1">
        <f t="array" ref="O315">TRUNC($H315*(1+_xlfn.SWITCH($N315,"BDI 1",$O$6,"BDI 2",$O$7,"BDI 3",$O$8)),2)</f>
        <v>42054.28</v>
      </c>
      <c r="P315" s="157" cm="1">
        <f t="array" ref="P315">TRUNC($I315*(1+_xlfn.SWITCH($N315,"BDI 1",$P$6,"BDI 2",$P$7,"BDI 3",$P$8)),2)</f>
        <v>42330.75</v>
      </c>
      <c r="Q315" s="157">
        <v>0</v>
      </c>
      <c r="R315" s="157">
        <f t="shared" ref="R315" si="800">$Q315-($Q315*LICITACAO_DESCONTO)</f>
        <v>0</v>
      </c>
      <c r="S315" s="156">
        <f t="shared" si="689"/>
        <v>0</v>
      </c>
      <c r="T315" s="156">
        <f t="shared" si="690"/>
        <v>0</v>
      </c>
      <c r="U315" s="156">
        <f t="shared" si="691"/>
        <v>0</v>
      </c>
      <c r="V315" s="156">
        <f t="shared" si="692"/>
        <v>0</v>
      </c>
      <c r="W315" s="156">
        <f t="shared" si="679"/>
        <v>0</v>
      </c>
      <c r="X315" s="158">
        <f t="shared" ref="X315" si="801">$S315/ORCAMENTO_VALOR_TOTAL_ND</f>
        <v>0</v>
      </c>
      <c r="Y315" s="158">
        <f t="shared" ref="Y315" si="802">$T315/ORCAMENTO_VALOR_TOTAL_DE</f>
        <v>0</v>
      </c>
      <c r="Z315" s="158" cm="1">
        <f t="array" ref="Z315">_xlfn.SWITCH($N315,"BDI 1",$O$6,"BDI 2",$O$7,"BDI 3",$O$8)</f>
        <v>0.20699999999999999</v>
      </c>
      <c r="AA315" s="158" cm="1">
        <f t="array" ref="AA315">_xlfn.SWITCH($N315,"BDI 1",$P$6,"BDI 2",$P$7,"BDI 3",$P$8)</f>
        <v>0.26739999999999997</v>
      </c>
      <c r="AB315" s="158">
        <f t="shared" ca="1" si="695"/>
        <v>0</v>
      </c>
      <c r="AC315" s="158">
        <f t="shared" ca="1" si="696"/>
        <v>0</v>
      </c>
      <c r="AD315" s="164"/>
      <c r="AE315" s="148">
        <f t="shared" si="682"/>
        <v>0</v>
      </c>
      <c r="AF315" s="149"/>
      <c r="AG315" s="150"/>
      <c r="AH315" s="159" t="e">
        <f t="shared" si="683"/>
        <v>#DIV/0!</v>
      </c>
      <c r="AI315" s="160"/>
      <c r="AJ315" s="105"/>
      <c r="AK315" s="105"/>
      <c r="AM315" s="105"/>
      <c r="AN315" s="105"/>
      <c r="AO315" s="105"/>
      <c r="AP315" s="105"/>
      <c r="AQ315" s="105"/>
      <c r="AR315" s="105"/>
    </row>
    <row r="316" spans="1:44" s="49" customFormat="1" ht="40.15" hidden="1" customHeight="1">
      <c r="A316" s="152">
        <f t="shared" ca="1" si="684"/>
        <v>0</v>
      </c>
      <c r="B316" s="153" t="s">
        <v>197</v>
      </c>
      <c r="C316" s="154" t="str">
        <f t="shared" si="685"/>
        <v>DR/0350</v>
      </c>
      <c r="D316" s="154" t="s">
        <v>3549</v>
      </c>
      <c r="E316" s="155" t="s">
        <v>3782</v>
      </c>
      <c r="F316" s="154"/>
      <c r="G316" s="154" t="s">
        <v>1412</v>
      </c>
      <c r="H316" s="152">
        <v>48592.03</v>
      </c>
      <c r="I316" s="152">
        <v>46665.88</v>
      </c>
      <c r="J316" s="156"/>
      <c r="K316" s="156">
        <f>Dre_Disp_Estruturais!AI122</f>
        <v>0</v>
      </c>
      <c r="L316" s="156">
        <f t="shared" si="686"/>
        <v>0</v>
      </c>
      <c r="M316" s="156">
        <f t="shared" si="687"/>
        <v>0</v>
      </c>
      <c r="N316" s="156" t="s">
        <v>83</v>
      </c>
      <c r="O316" s="157" cm="1">
        <f t="array" ref="O316">TRUNC($H316*(1+_xlfn.SWITCH($N316,"BDI 1",$O$6,"BDI 2",$O$7,"BDI 3",$O$8)),2)</f>
        <v>58650.58</v>
      </c>
      <c r="P316" s="157" cm="1">
        <f t="array" ref="P316">TRUNC($I316*(1+_xlfn.SWITCH($N316,"BDI 1",$P$6,"BDI 2",$P$7,"BDI 3",$P$8)),2)</f>
        <v>59144.33</v>
      </c>
      <c r="Q316" s="157">
        <v>0</v>
      </c>
      <c r="R316" s="157">
        <f t="shared" ref="R316" si="803">$Q316-($Q316*LICITACAO_DESCONTO)</f>
        <v>0</v>
      </c>
      <c r="S316" s="156">
        <f t="shared" si="689"/>
        <v>0</v>
      </c>
      <c r="T316" s="156">
        <f t="shared" si="690"/>
        <v>0</v>
      </c>
      <c r="U316" s="156">
        <f t="shared" si="691"/>
        <v>0</v>
      </c>
      <c r="V316" s="156">
        <f t="shared" si="692"/>
        <v>0</v>
      </c>
      <c r="W316" s="156">
        <f t="shared" si="679"/>
        <v>0</v>
      </c>
      <c r="X316" s="158">
        <f t="shared" ref="X316" si="804">$S316/ORCAMENTO_VALOR_TOTAL_ND</f>
        <v>0</v>
      </c>
      <c r="Y316" s="158">
        <f t="shared" ref="Y316" si="805">$T316/ORCAMENTO_VALOR_TOTAL_DE</f>
        <v>0</v>
      </c>
      <c r="Z316" s="158" cm="1">
        <f t="array" ref="Z316">_xlfn.SWITCH($N316,"BDI 1",$O$6,"BDI 2",$O$7,"BDI 3",$O$8)</f>
        <v>0.20699999999999999</v>
      </c>
      <c r="AA316" s="158" cm="1">
        <f t="array" ref="AA316">_xlfn.SWITCH($N316,"BDI 1",$P$6,"BDI 2",$P$7,"BDI 3",$P$8)</f>
        <v>0.26739999999999997</v>
      </c>
      <c r="AB316" s="158">
        <f t="shared" ca="1" si="695"/>
        <v>0</v>
      </c>
      <c r="AC316" s="158">
        <f t="shared" ca="1" si="696"/>
        <v>0</v>
      </c>
      <c r="AD316" s="164"/>
      <c r="AE316" s="148">
        <f t="shared" si="682"/>
        <v>0</v>
      </c>
      <c r="AF316" s="149"/>
      <c r="AG316" s="150"/>
      <c r="AH316" s="159" t="e">
        <f t="shared" si="683"/>
        <v>#DIV/0!</v>
      </c>
      <c r="AI316" s="160"/>
      <c r="AJ316" s="105"/>
      <c r="AK316" s="105"/>
      <c r="AM316" s="105"/>
      <c r="AN316" s="105"/>
      <c r="AO316" s="105"/>
      <c r="AP316" s="105"/>
      <c r="AQ316" s="105"/>
      <c r="AR316" s="105"/>
    </row>
    <row r="317" spans="1:44" s="49" customFormat="1" ht="49.9" hidden="1" customHeight="1">
      <c r="A317" s="152">
        <f t="shared" ca="1" si="684"/>
        <v>0</v>
      </c>
      <c r="B317" s="153" t="s">
        <v>198</v>
      </c>
      <c r="C317" s="154" t="str">
        <f t="shared" si="685"/>
        <v>DR/0280</v>
      </c>
      <c r="D317" s="154" t="s">
        <v>3549</v>
      </c>
      <c r="E317" s="155" t="s">
        <v>3783</v>
      </c>
      <c r="F317" s="154"/>
      <c r="G317" s="154" t="s">
        <v>1412</v>
      </c>
      <c r="H317" s="152">
        <v>969.05</v>
      </c>
      <c r="I317" s="152">
        <v>956.63</v>
      </c>
      <c r="J317" s="156"/>
      <c r="K317" s="156">
        <f>Dre_Disp_Estruturais!AI110</f>
        <v>0</v>
      </c>
      <c r="L317" s="156">
        <f t="shared" si="686"/>
        <v>0</v>
      </c>
      <c r="M317" s="156">
        <f t="shared" si="687"/>
        <v>0</v>
      </c>
      <c r="N317" s="156" t="s">
        <v>83</v>
      </c>
      <c r="O317" s="157" cm="1">
        <f t="array" ref="O317">TRUNC($H317*(1+_xlfn.SWITCH($N317,"BDI 1",$O$6,"BDI 2",$O$7,"BDI 3",$O$8)),2)</f>
        <v>1169.6400000000001</v>
      </c>
      <c r="P317" s="157" cm="1">
        <f t="array" ref="P317">TRUNC($I317*(1+_xlfn.SWITCH($N317,"BDI 1",$P$6,"BDI 2",$P$7,"BDI 3",$P$8)),2)</f>
        <v>1212.43</v>
      </c>
      <c r="Q317" s="157">
        <v>0</v>
      </c>
      <c r="R317" s="157">
        <f t="shared" ref="R317" si="806">$Q317-($Q317*LICITACAO_DESCONTO)</f>
        <v>0</v>
      </c>
      <c r="S317" s="156">
        <f t="shared" si="689"/>
        <v>0</v>
      </c>
      <c r="T317" s="156">
        <f t="shared" si="690"/>
        <v>0</v>
      </c>
      <c r="U317" s="156">
        <f t="shared" si="691"/>
        <v>0</v>
      </c>
      <c r="V317" s="156">
        <f t="shared" si="692"/>
        <v>0</v>
      </c>
      <c r="W317" s="156">
        <f t="shared" si="679"/>
        <v>0</v>
      </c>
      <c r="X317" s="158">
        <f t="shared" ref="X317" si="807">$S317/ORCAMENTO_VALOR_TOTAL_ND</f>
        <v>0</v>
      </c>
      <c r="Y317" s="158">
        <f t="shared" ref="Y317" si="808">$T317/ORCAMENTO_VALOR_TOTAL_DE</f>
        <v>0</v>
      </c>
      <c r="Z317" s="158" cm="1">
        <f t="array" ref="Z317">_xlfn.SWITCH($N317,"BDI 1",$O$6,"BDI 2",$O$7,"BDI 3",$O$8)</f>
        <v>0.20699999999999999</v>
      </c>
      <c r="AA317" s="158" cm="1">
        <f t="array" ref="AA317">_xlfn.SWITCH($N317,"BDI 1",$P$6,"BDI 2",$P$7,"BDI 3",$P$8)</f>
        <v>0.26739999999999997</v>
      </c>
      <c r="AB317" s="158">
        <f t="shared" ca="1" si="695"/>
        <v>0</v>
      </c>
      <c r="AC317" s="158">
        <f t="shared" ca="1" si="696"/>
        <v>0</v>
      </c>
      <c r="AD317" s="164"/>
      <c r="AE317" s="148">
        <f t="shared" si="682"/>
        <v>0</v>
      </c>
      <c r="AF317" s="149"/>
      <c r="AG317" s="150"/>
      <c r="AH317" s="159" t="e">
        <f t="shared" si="683"/>
        <v>#DIV/0!</v>
      </c>
      <c r="AI317" s="160"/>
      <c r="AJ317" s="105"/>
      <c r="AK317" s="105"/>
      <c r="AM317" s="105"/>
      <c r="AN317" s="105"/>
      <c r="AO317" s="105"/>
      <c r="AP317" s="105"/>
      <c r="AQ317" s="105"/>
      <c r="AR317" s="105"/>
    </row>
    <row r="318" spans="1:44" s="49" customFormat="1" ht="49.9" hidden="1" customHeight="1">
      <c r="A318" s="152">
        <f t="shared" ca="1" si="684"/>
        <v>0</v>
      </c>
      <c r="B318" s="153" t="s">
        <v>199</v>
      </c>
      <c r="C318" s="154" t="str">
        <f t="shared" si="685"/>
        <v>DR/0285</v>
      </c>
      <c r="D318" s="154" t="s">
        <v>3549</v>
      </c>
      <c r="E318" s="155" t="s">
        <v>3784</v>
      </c>
      <c r="F318" s="154"/>
      <c r="G318" s="154" t="s">
        <v>1412</v>
      </c>
      <c r="H318" s="152">
        <v>1804.95</v>
      </c>
      <c r="I318" s="152">
        <v>1786.85</v>
      </c>
      <c r="J318" s="156"/>
      <c r="K318" s="156">
        <f>Dre_Disp_Estruturais!AI111</f>
        <v>0</v>
      </c>
      <c r="L318" s="156">
        <f t="shared" si="686"/>
        <v>0</v>
      </c>
      <c r="M318" s="156">
        <f t="shared" si="687"/>
        <v>0</v>
      </c>
      <c r="N318" s="156" t="s">
        <v>83</v>
      </c>
      <c r="O318" s="157" cm="1">
        <f t="array" ref="O318">TRUNC($H318*(1+_xlfn.SWITCH($N318,"BDI 1",$O$6,"BDI 2",$O$7,"BDI 3",$O$8)),2)</f>
        <v>2178.5700000000002</v>
      </c>
      <c r="P318" s="157" cm="1">
        <f t="array" ref="P318">TRUNC($I318*(1+_xlfn.SWITCH($N318,"BDI 1",$P$6,"BDI 2",$P$7,"BDI 3",$P$8)),2)</f>
        <v>2264.65</v>
      </c>
      <c r="Q318" s="157">
        <v>0</v>
      </c>
      <c r="R318" s="157">
        <f t="shared" ref="R318" si="809">$Q318-($Q318*LICITACAO_DESCONTO)</f>
        <v>0</v>
      </c>
      <c r="S318" s="156">
        <f t="shared" si="689"/>
        <v>0</v>
      </c>
      <c r="T318" s="156">
        <f t="shared" si="690"/>
        <v>0</v>
      </c>
      <c r="U318" s="156">
        <f t="shared" si="691"/>
        <v>0</v>
      </c>
      <c r="V318" s="156">
        <f t="shared" si="692"/>
        <v>0</v>
      </c>
      <c r="W318" s="156">
        <f t="shared" si="679"/>
        <v>0</v>
      </c>
      <c r="X318" s="158">
        <f t="shared" ref="X318" si="810">$S318/ORCAMENTO_VALOR_TOTAL_ND</f>
        <v>0</v>
      </c>
      <c r="Y318" s="158">
        <f t="shared" ref="Y318" si="811">$T318/ORCAMENTO_VALOR_TOTAL_DE</f>
        <v>0</v>
      </c>
      <c r="Z318" s="158" cm="1">
        <f t="array" ref="Z318">_xlfn.SWITCH($N318,"BDI 1",$O$6,"BDI 2",$O$7,"BDI 3",$O$8)</f>
        <v>0.20699999999999999</v>
      </c>
      <c r="AA318" s="158" cm="1">
        <f t="array" ref="AA318">_xlfn.SWITCH($N318,"BDI 1",$P$6,"BDI 2",$P$7,"BDI 3",$P$8)</f>
        <v>0.26739999999999997</v>
      </c>
      <c r="AB318" s="158">
        <f t="shared" ca="1" si="695"/>
        <v>0</v>
      </c>
      <c r="AC318" s="158">
        <f t="shared" ca="1" si="696"/>
        <v>0</v>
      </c>
      <c r="AD318" s="164"/>
      <c r="AE318" s="148">
        <f t="shared" si="682"/>
        <v>0</v>
      </c>
      <c r="AF318" s="149"/>
      <c r="AG318" s="150"/>
      <c r="AH318" s="159" t="e">
        <f t="shared" si="683"/>
        <v>#DIV/0!</v>
      </c>
      <c r="AI318" s="160"/>
      <c r="AJ318" s="105"/>
      <c r="AK318" s="105"/>
      <c r="AM318" s="105"/>
      <c r="AN318" s="105"/>
      <c r="AO318" s="105"/>
      <c r="AP318" s="105"/>
      <c r="AQ318" s="105"/>
      <c r="AR318" s="105"/>
    </row>
    <row r="319" spans="1:44" s="49" customFormat="1" ht="49.9" hidden="1" customHeight="1">
      <c r="A319" s="152">
        <f t="shared" ca="1" si="684"/>
        <v>0</v>
      </c>
      <c r="B319" s="153" t="s">
        <v>200</v>
      </c>
      <c r="C319" s="154" t="str">
        <f t="shared" si="685"/>
        <v>DR/0290</v>
      </c>
      <c r="D319" s="154" t="s">
        <v>3549</v>
      </c>
      <c r="E319" s="155" t="s">
        <v>3783</v>
      </c>
      <c r="F319" s="154"/>
      <c r="G319" s="154" t="s">
        <v>1412</v>
      </c>
      <c r="H319" s="152">
        <v>2640.76</v>
      </c>
      <c r="I319" s="152">
        <v>2616.98</v>
      </c>
      <c r="J319" s="156"/>
      <c r="K319" s="156">
        <f>Dre_Disp_Estruturais!AI112</f>
        <v>0</v>
      </c>
      <c r="L319" s="156">
        <f t="shared" si="686"/>
        <v>0</v>
      </c>
      <c r="M319" s="156">
        <f t="shared" si="687"/>
        <v>0</v>
      </c>
      <c r="N319" s="156" t="s">
        <v>83</v>
      </c>
      <c r="O319" s="157" cm="1">
        <f t="array" ref="O319">TRUNC($H319*(1+_xlfn.SWITCH($N319,"BDI 1",$O$6,"BDI 2",$O$7,"BDI 3",$O$8)),2)</f>
        <v>3187.39</v>
      </c>
      <c r="P319" s="157" cm="1">
        <f t="array" ref="P319">TRUNC($I319*(1+_xlfn.SWITCH($N319,"BDI 1",$P$6,"BDI 2",$P$7,"BDI 3",$P$8)),2)</f>
        <v>3316.76</v>
      </c>
      <c r="Q319" s="157">
        <v>0</v>
      </c>
      <c r="R319" s="157">
        <f t="shared" ref="R319" si="812">$Q319-($Q319*LICITACAO_DESCONTO)</f>
        <v>0</v>
      </c>
      <c r="S319" s="156">
        <f t="shared" si="689"/>
        <v>0</v>
      </c>
      <c r="T319" s="156">
        <f t="shared" si="690"/>
        <v>0</v>
      </c>
      <c r="U319" s="156">
        <f t="shared" si="691"/>
        <v>0</v>
      </c>
      <c r="V319" s="156">
        <f t="shared" si="692"/>
        <v>0</v>
      </c>
      <c r="W319" s="156">
        <f t="shared" si="679"/>
        <v>0</v>
      </c>
      <c r="X319" s="158">
        <f t="shared" ref="X319" si="813">$S319/ORCAMENTO_VALOR_TOTAL_ND</f>
        <v>0</v>
      </c>
      <c r="Y319" s="158">
        <f t="shared" ref="Y319" si="814">$T319/ORCAMENTO_VALOR_TOTAL_DE</f>
        <v>0</v>
      </c>
      <c r="Z319" s="158" cm="1">
        <f t="array" ref="Z319">_xlfn.SWITCH($N319,"BDI 1",$O$6,"BDI 2",$O$7,"BDI 3",$O$8)</f>
        <v>0.20699999999999999</v>
      </c>
      <c r="AA319" s="158" cm="1">
        <f t="array" ref="AA319">_xlfn.SWITCH($N319,"BDI 1",$P$6,"BDI 2",$P$7,"BDI 3",$P$8)</f>
        <v>0.26739999999999997</v>
      </c>
      <c r="AB319" s="158">
        <f t="shared" ca="1" si="695"/>
        <v>0</v>
      </c>
      <c r="AC319" s="158">
        <f t="shared" ca="1" si="696"/>
        <v>0</v>
      </c>
      <c r="AD319" s="164"/>
      <c r="AE319" s="148">
        <f t="shared" si="682"/>
        <v>0</v>
      </c>
      <c r="AF319" s="149"/>
      <c r="AG319" s="150"/>
      <c r="AH319" s="159" t="e">
        <f t="shared" si="683"/>
        <v>#DIV/0!</v>
      </c>
      <c r="AI319" s="160"/>
      <c r="AJ319" s="105"/>
      <c r="AK319" s="105"/>
      <c r="AM319" s="105"/>
      <c r="AN319" s="105"/>
      <c r="AO319" s="105"/>
      <c r="AP319" s="105"/>
      <c r="AQ319" s="105"/>
      <c r="AR319" s="105"/>
    </row>
    <row r="320" spans="1:44" s="49" customFormat="1" ht="49.9" hidden="1" customHeight="1">
      <c r="A320" s="152">
        <f t="shared" ca="1" si="684"/>
        <v>0</v>
      </c>
      <c r="B320" s="153" t="s">
        <v>201</v>
      </c>
      <c r="C320" s="154" t="str">
        <f t="shared" si="685"/>
        <v>DR/0385</v>
      </c>
      <c r="D320" s="154" t="s">
        <v>3549</v>
      </c>
      <c r="E320" s="155" t="s">
        <v>3785</v>
      </c>
      <c r="F320" s="154"/>
      <c r="G320" s="154" t="s">
        <v>1412</v>
      </c>
      <c r="H320" s="152">
        <v>943.77</v>
      </c>
      <c r="I320" s="152">
        <v>926.67</v>
      </c>
      <c r="J320" s="156"/>
      <c r="K320" s="156">
        <f>Dre_Disp_Estruturais!AI95</f>
        <v>0</v>
      </c>
      <c r="L320" s="156">
        <f t="shared" si="686"/>
        <v>0</v>
      </c>
      <c r="M320" s="156">
        <f t="shared" si="687"/>
        <v>0</v>
      </c>
      <c r="N320" s="156" t="s">
        <v>83</v>
      </c>
      <c r="O320" s="157" cm="1">
        <f t="array" ref="O320">TRUNC($H320*(1+_xlfn.SWITCH($N320,"BDI 1",$O$6,"BDI 2",$O$7,"BDI 3",$O$8)),2)</f>
        <v>1139.1300000000001</v>
      </c>
      <c r="P320" s="157" cm="1">
        <f t="array" ref="P320">TRUNC($I320*(1+_xlfn.SWITCH($N320,"BDI 1",$P$6,"BDI 2",$P$7,"BDI 3",$P$8)),2)</f>
        <v>1174.46</v>
      </c>
      <c r="Q320" s="157">
        <v>0</v>
      </c>
      <c r="R320" s="157">
        <f t="shared" ref="R320" si="815">$Q320-($Q320*LICITACAO_DESCONTO)</f>
        <v>0</v>
      </c>
      <c r="S320" s="156">
        <f t="shared" si="689"/>
        <v>0</v>
      </c>
      <c r="T320" s="156">
        <f t="shared" si="690"/>
        <v>0</v>
      </c>
      <c r="U320" s="156">
        <f t="shared" si="691"/>
        <v>0</v>
      </c>
      <c r="V320" s="156">
        <f t="shared" si="692"/>
        <v>0</v>
      </c>
      <c r="W320" s="156">
        <f t="shared" si="679"/>
        <v>0</v>
      </c>
      <c r="X320" s="158">
        <f t="shared" ref="X320" si="816">$S320/ORCAMENTO_VALOR_TOTAL_ND</f>
        <v>0</v>
      </c>
      <c r="Y320" s="158">
        <f t="shared" ref="Y320" si="817">$T320/ORCAMENTO_VALOR_TOTAL_DE</f>
        <v>0</v>
      </c>
      <c r="Z320" s="158" cm="1">
        <f t="array" ref="Z320">_xlfn.SWITCH($N320,"BDI 1",$O$6,"BDI 2",$O$7,"BDI 3",$O$8)</f>
        <v>0.20699999999999999</v>
      </c>
      <c r="AA320" s="158" cm="1">
        <f t="array" ref="AA320">_xlfn.SWITCH($N320,"BDI 1",$P$6,"BDI 2",$P$7,"BDI 3",$P$8)</f>
        <v>0.26739999999999997</v>
      </c>
      <c r="AB320" s="158">
        <f t="shared" ca="1" si="695"/>
        <v>0</v>
      </c>
      <c r="AC320" s="158">
        <f t="shared" ca="1" si="696"/>
        <v>0</v>
      </c>
      <c r="AD320" s="164"/>
      <c r="AE320" s="148">
        <f t="shared" si="682"/>
        <v>0</v>
      </c>
      <c r="AF320" s="149"/>
      <c r="AG320" s="150"/>
      <c r="AH320" s="159" t="e">
        <f t="shared" si="683"/>
        <v>#DIV/0!</v>
      </c>
      <c r="AI320" s="160"/>
      <c r="AJ320" s="105"/>
      <c r="AK320" s="105"/>
      <c r="AM320" s="105"/>
      <c r="AN320" s="105"/>
      <c r="AO320" s="105"/>
      <c r="AP320" s="105"/>
      <c r="AQ320" s="105"/>
      <c r="AR320" s="105"/>
    </row>
    <row r="321" spans="1:44" s="49" customFormat="1" ht="49.9" hidden="1" customHeight="1">
      <c r="A321" s="152">
        <f t="shared" ca="1" si="684"/>
        <v>0</v>
      </c>
      <c r="B321" s="153" t="s">
        <v>202</v>
      </c>
      <c r="C321" s="154" t="str">
        <f t="shared" si="685"/>
        <v>DR/0390</v>
      </c>
      <c r="D321" s="154" t="s">
        <v>3549</v>
      </c>
      <c r="E321" s="155" t="s">
        <v>3786</v>
      </c>
      <c r="F321" s="154"/>
      <c r="G321" s="154" t="s">
        <v>1412</v>
      </c>
      <c r="H321" s="152">
        <v>229.76</v>
      </c>
      <c r="I321" s="152">
        <v>212.73</v>
      </c>
      <c r="J321" s="156"/>
      <c r="K321" s="156">
        <f>Dre_Disp_Estruturais!AI96</f>
        <v>0</v>
      </c>
      <c r="L321" s="156">
        <f t="shared" si="686"/>
        <v>0</v>
      </c>
      <c r="M321" s="156">
        <f t="shared" si="687"/>
        <v>0</v>
      </c>
      <c r="N321" s="156" t="s">
        <v>83</v>
      </c>
      <c r="O321" s="157" cm="1">
        <f t="array" ref="O321">TRUNC($H321*(1+_xlfn.SWITCH($N321,"BDI 1",$O$6,"BDI 2",$O$7,"BDI 3",$O$8)),2)</f>
        <v>277.32</v>
      </c>
      <c r="P321" s="157" cm="1">
        <f t="array" ref="P321">TRUNC($I321*(1+_xlfn.SWITCH($N321,"BDI 1",$P$6,"BDI 2",$P$7,"BDI 3",$P$8)),2)</f>
        <v>269.61</v>
      </c>
      <c r="Q321" s="157">
        <v>0</v>
      </c>
      <c r="R321" s="157">
        <f t="shared" ref="R321" si="818">$Q321-($Q321*LICITACAO_DESCONTO)</f>
        <v>0</v>
      </c>
      <c r="S321" s="156">
        <f t="shared" si="689"/>
        <v>0</v>
      </c>
      <c r="T321" s="156">
        <f t="shared" si="690"/>
        <v>0</v>
      </c>
      <c r="U321" s="156">
        <f t="shared" si="691"/>
        <v>0</v>
      </c>
      <c r="V321" s="156">
        <f t="shared" si="692"/>
        <v>0</v>
      </c>
      <c r="W321" s="156">
        <f t="shared" si="679"/>
        <v>0</v>
      </c>
      <c r="X321" s="158">
        <f t="shared" ref="X321" si="819">$S321/ORCAMENTO_VALOR_TOTAL_ND</f>
        <v>0</v>
      </c>
      <c r="Y321" s="158">
        <f t="shared" ref="Y321" si="820">$T321/ORCAMENTO_VALOR_TOTAL_DE</f>
        <v>0</v>
      </c>
      <c r="Z321" s="158" cm="1">
        <f t="array" ref="Z321">_xlfn.SWITCH($N321,"BDI 1",$O$6,"BDI 2",$O$7,"BDI 3",$O$8)</f>
        <v>0.20699999999999999</v>
      </c>
      <c r="AA321" s="158" cm="1">
        <f t="array" ref="AA321">_xlfn.SWITCH($N321,"BDI 1",$P$6,"BDI 2",$P$7,"BDI 3",$P$8)</f>
        <v>0.26739999999999997</v>
      </c>
      <c r="AB321" s="158">
        <f t="shared" ca="1" si="695"/>
        <v>0</v>
      </c>
      <c r="AC321" s="158">
        <f t="shared" ca="1" si="696"/>
        <v>0</v>
      </c>
      <c r="AD321" s="164"/>
      <c r="AE321" s="148">
        <f t="shared" si="682"/>
        <v>0</v>
      </c>
      <c r="AF321" s="149"/>
      <c r="AG321" s="150"/>
      <c r="AH321" s="159" t="e">
        <f t="shared" si="683"/>
        <v>#DIV/0!</v>
      </c>
      <c r="AI321" s="160"/>
      <c r="AJ321" s="105"/>
      <c r="AK321" s="105"/>
      <c r="AM321" s="105"/>
      <c r="AN321" s="105"/>
      <c r="AO321" s="105"/>
      <c r="AP321" s="105"/>
      <c r="AQ321" s="105"/>
      <c r="AR321" s="105"/>
    </row>
    <row r="322" spans="1:44" s="49" customFormat="1" ht="49.9" hidden="1" customHeight="1">
      <c r="A322" s="152">
        <f t="shared" ca="1" si="684"/>
        <v>0</v>
      </c>
      <c r="B322" s="153" t="s">
        <v>203</v>
      </c>
      <c r="C322" s="154" t="str">
        <f t="shared" si="685"/>
        <v>DR/0365</v>
      </c>
      <c r="D322" s="154" t="s">
        <v>3549</v>
      </c>
      <c r="E322" s="155" t="s">
        <v>3787</v>
      </c>
      <c r="F322" s="154"/>
      <c r="G322" s="154" t="s">
        <v>1412</v>
      </c>
      <c r="H322" s="152">
        <v>1064.93</v>
      </c>
      <c r="I322" s="152">
        <v>1049.45</v>
      </c>
      <c r="J322" s="156"/>
      <c r="K322" s="156">
        <f>Dre_Disp_Estruturais!AI97</f>
        <v>0</v>
      </c>
      <c r="L322" s="156">
        <f t="shared" si="686"/>
        <v>0</v>
      </c>
      <c r="M322" s="156">
        <f t="shared" si="687"/>
        <v>0</v>
      </c>
      <c r="N322" s="156" t="s">
        <v>83</v>
      </c>
      <c r="O322" s="157" cm="1">
        <f t="array" ref="O322">TRUNC($H322*(1+_xlfn.SWITCH($N322,"BDI 1",$O$6,"BDI 2",$O$7,"BDI 3",$O$8)),2)</f>
        <v>1285.3699999999999</v>
      </c>
      <c r="P322" s="157" cm="1">
        <f t="array" ref="P322">TRUNC($I322*(1+_xlfn.SWITCH($N322,"BDI 1",$P$6,"BDI 2",$P$7,"BDI 3",$P$8)),2)</f>
        <v>1330.07</v>
      </c>
      <c r="Q322" s="157">
        <v>0</v>
      </c>
      <c r="R322" s="157">
        <f t="shared" ref="R322" si="821">$Q322-($Q322*LICITACAO_DESCONTO)</f>
        <v>0</v>
      </c>
      <c r="S322" s="156">
        <f t="shared" si="689"/>
        <v>0</v>
      </c>
      <c r="T322" s="156">
        <f t="shared" si="690"/>
        <v>0</v>
      </c>
      <c r="U322" s="156">
        <f t="shared" si="691"/>
        <v>0</v>
      </c>
      <c r="V322" s="156">
        <f t="shared" si="692"/>
        <v>0</v>
      </c>
      <c r="W322" s="156">
        <f t="shared" si="679"/>
        <v>0</v>
      </c>
      <c r="X322" s="158">
        <f t="shared" ref="X322" si="822">$S322/ORCAMENTO_VALOR_TOTAL_ND</f>
        <v>0</v>
      </c>
      <c r="Y322" s="158">
        <f t="shared" ref="Y322" si="823">$T322/ORCAMENTO_VALOR_TOTAL_DE</f>
        <v>0</v>
      </c>
      <c r="Z322" s="158" cm="1">
        <f t="array" ref="Z322">_xlfn.SWITCH($N322,"BDI 1",$O$6,"BDI 2",$O$7,"BDI 3",$O$8)</f>
        <v>0.20699999999999999</v>
      </c>
      <c r="AA322" s="158" cm="1">
        <f t="array" ref="AA322">_xlfn.SWITCH($N322,"BDI 1",$P$6,"BDI 2",$P$7,"BDI 3",$P$8)</f>
        <v>0.26739999999999997</v>
      </c>
      <c r="AB322" s="158">
        <f t="shared" ca="1" si="695"/>
        <v>0</v>
      </c>
      <c r="AC322" s="158">
        <f t="shared" ca="1" si="696"/>
        <v>0</v>
      </c>
      <c r="AD322" s="164"/>
      <c r="AE322" s="148">
        <f t="shared" si="682"/>
        <v>0</v>
      </c>
      <c r="AF322" s="149"/>
      <c r="AG322" s="150"/>
      <c r="AH322" s="159" t="e">
        <f t="shared" si="683"/>
        <v>#DIV/0!</v>
      </c>
      <c r="AI322" s="160"/>
      <c r="AJ322" s="105"/>
      <c r="AK322" s="105"/>
      <c r="AM322" s="105"/>
      <c r="AN322" s="105"/>
      <c r="AO322" s="105"/>
      <c r="AP322" s="105"/>
      <c r="AQ322" s="105"/>
      <c r="AR322" s="105"/>
    </row>
    <row r="323" spans="1:44" s="49" customFormat="1" ht="49.9" hidden="1" customHeight="1">
      <c r="A323" s="152">
        <f t="shared" ca="1" si="684"/>
        <v>0</v>
      </c>
      <c r="B323" s="153" t="s">
        <v>204</v>
      </c>
      <c r="C323" s="154" t="str">
        <f t="shared" si="685"/>
        <v>DR/0370</v>
      </c>
      <c r="D323" s="154" t="s">
        <v>3549</v>
      </c>
      <c r="E323" s="155" t="s">
        <v>3788</v>
      </c>
      <c r="F323" s="154"/>
      <c r="G323" s="154" t="s">
        <v>1412</v>
      </c>
      <c r="H323" s="152">
        <v>222.87</v>
      </c>
      <c r="I323" s="152">
        <v>208.64</v>
      </c>
      <c r="J323" s="156"/>
      <c r="K323" s="156">
        <f>Dre_Disp_Estruturais!AI98</f>
        <v>0</v>
      </c>
      <c r="L323" s="156">
        <f t="shared" si="686"/>
        <v>0</v>
      </c>
      <c r="M323" s="156">
        <f t="shared" si="687"/>
        <v>0</v>
      </c>
      <c r="N323" s="156" t="s">
        <v>83</v>
      </c>
      <c r="O323" s="157" cm="1">
        <f t="array" ref="O323">TRUNC($H323*(1+_xlfn.SWITCH($N323,"BDI 1",$O$6,"BDI 2",$O$7,"BDI 3",$O$8)),2)</f>
        <v>269</v>
      </c>
      <c r="P323" s="157" cm="1">
        <f t="array" ref="P323">TRUNC($I323*(1+_xlfn.SWITCH($N323,"BDI 1",$P$6,"BDI 2",$P$7,"BDI 3",$P$8)),2)</f>
        <v>264.43</v>
      </c>
      <c r="Q323" s="157">
        <v>0</v>
      </c>
      <c r="R323" s="157">
        <f t="shared" ref="R323" si="824">$Q323-($Q323*LICITACAO_DESCONTO)</f>
        <v>0</v>
      </c>
      <c r="S323" s="156">
        <f t="shared" si="689"/>
        <v>0</v>
      </c>
      <c r="T323" s="156">
        <f t="shared" si="690"/>
        <v>0</v>
      </c>
      <c r="U323" s="156">
        <f t="shared" si="691"/>
        <v>0</v>
      </c>
      <c r="V323" s="156">
        <f t="shared" si="692"/>
        <v>0</v>
      </c>
      <c r="W323" s="156">
        <f t="shared" si="679"/>
        <v>0</v>
      </c>
      <c r="X323" s="158">
        <f t="shared" ref="X323" si="825">$S323/ORCAMENTO_VALOR_TOTAL_ND</f>
        <v>0</v>
      </c>
      <c r="Y323" s="158">
        <f t="shared" ref="Y323" si="826">$T323/ORCAMENTO_VALOR_TOTAL_DE</f>
        <v>0</v>
      </c>
      <c r="Z323" s="158" cm="1">
        <f t="array" ref="Z323">_xlfn.SWITCH($N323,"BDI 1",$O$6,"BDI 2",$O$7,"BDI 3",$O$8)</f>
        <v>0.20699999999999999</v>
      </c>
      <c r="AA323" s="158" cm="1">
        <f t="array" ref="AA323">_xlfn.SWITCH($N323,"BDI 1",$P$6,"BDI 2",$P$7,"BDI 3",$P$8)</f>
        <v>0.26739999999999997</v>
      </c>
      <c r="AB323" s="158">
        <f t="shared" ca="1" si="695"/>
        <v>0</v>
      </c>
      <c r="AC323" s="158">
        <f t="shared" ca="1" si="696"/>
        <v>0</v>
      </c>
      <c r="AD323" s="164"/>
      <c r="AE323" s="148">
        <f t="shared" si="682"/>
        <v>0</v>
      </c>
      <c r="AF323" s="149"/>
      <c r="AG323" s="150"/>
      <c r="AH323" s="159" t="e">
        <f t="shared" si="683"/>
        <v>#DIV/0!</v>
      </c>
      <c r="AI323" s="160"/>
      <c r="AJ323" s="105"/>
      <c r="AK323" s="105"/>
      <c r="AM323" s="105"/>
      <c r="AN323" s="105"/>
      <c r="AO323" s="105"/>
      <c r="AP323" s="105"/>
      <c r="AQ323" s="105"/>
      <c r="AR323" s="105"/>
    </row>
    <row r="324" spans="1:44" s="49" customFormat="1" ht="40.15" hidden="1" customHeight="1">
      <c r="A324" s="10">
        <f t="shared" ca="1" si="684"/>
        <v>0</v>
      </c>
      <c r="B324" s="153"/>
      <c r="C324" s="154"/>
      <c r="D324" s="154"/>
      <c r="E324" s="161" t="s">
        <v>103</v>
      </c>
      <c r="F324" s="154"/>
      <c r="G324" s="154"/>
      <c r="H324" s="152"/>
      <c r="I324" s="152"/>
      <c r="J324" s="154"/>
      <c r="K324" s="154"/>
      <c r="L324" s="154"/>
      <c r="M324" s="154"/>
      <c r="N324" s="154"/>
      <c r="O324" s="154"/>
      <c r="P324" s="154"/>
      <c r="Q324" s="154"/>
      <c r="R324" s="154"/>
      <c r="S324" s="162"/>
      <c r="T324" s="162"/>
      <c r="U324" s="162"/>
      <c r="V324" s="162"/>
      <c r="W324" s="162"/>
      <c r="X324" s="163"/>
      <c r="Y324" s="163"/>
      <c r="Z324" s="163"/>
      <c r="AA324" s="163"/>
      <c r="AB324" s="163"/>
      <c r="AC324" s="163"/>
      <c r="AD324" s="164"/>
      <c r="AE324" s="148">
        <f>IF(SUM(S325:S326)&gt;0,IFERROR(TRUNC(A324,0),0),0)</f>
        <v>0</v>
      </c>
      <c r="AF324" s="149"/>
      <c r="AG324" s="150"/>
      <c r="AH324" s="159"/>
      <c r="AI324" s="160"/>
      <c r="AJ324" s="105"/>
      <c r="AK324" s="105"/>
      <c r="AM324" s="105"/>
      <c r="AN324" s="105"/>
      <c r="AO324" s="105"/>
      <c r="AP324" s="105"/>
      <c r="AQ324" s="105"/>
      <c r="AR324" s="105"/>
    </row>
    <row r="325" spans="1:44" s="49" customFormat="1" ht="40.15" hidden="1" customHeight="1">
      <c r="A325" s="152">
        <f t="shared" ca="1" si="684"/>
        <v>0</v>
      </c>
      <c r="B325" s="153">
        <v>95876</v>
      </c>
      <c r="C325" s="154" t="str">
        <f>TEXT(B325,"0")</f>
        <v>95876</v>
      </c>
      <c r="D325" s="154" t="s">
        <v>1416</v>
      </c>
      <c r="E325" s="155" t="s">
        <v>3537</v>
      </c>
      <c r="F325" s="154">
        <f>IF(Dados_DMT!$B$34&lt;30,Dados_DMT!$B$34,30)</f>
        <v>30</v>
      </c>
      <c r="G325" s="154" t="s">
        <v>3538</v>
      </c>
      <c r="H325" s="152">
        <v>2.09</v>
      </c>
      <c r="I325" s="152">
        <v>2.1</v>
      </c>
      <c r="J325" s="156"/>
      <c r="K325" s="156">
        <f>ROUND(Memoria_Insumos!C801*F325,2)</f>
        <v>0</v>
      </c>
      <c r="L325" s="156">
        <f>IF($K325&gt;$J325,$K325-$J325,0)</f>
        <v>0</v>
      </c>
      <c r="M325" s="156">
        <f>IF($K325&lt;$J325,$J325-$K325,0)</f>
        <v>0</v>
      </c>
      <c r="N325" s="156" t="s">
        <v>83</v>
      </c>
      <c r="O325" s="157" cm="1">
        <f t="array" ref="O325">TRUNC($H325*(1+_xlfn.SWITCH($N325,"BDI 1",$O$6,"BDI 2",$O$7,"BDI 3",$O$8)),2)</f>
        <v>2.52</v>
      </c>
      <c r="P325" s="157" cm="1">
        <f t="array" ref="P325">TRUNC($I325*(1+_xlfn.SWITCH($N325,"BDI 1",$P$6,"BDI 2",$P$7,"BDI 3",$P$8)),2)</f>
        <v>2.66</v>
      </c>
      <c r="Q325" s="157">
        <v>0</v>
      </c>
      <c r="R325" s="157">
        <v>0</v>
      </c>
      <c r="S325" s="156">
        <f>TRUNC($K325*$O325,2)</f>
        <v>0</v>
      </c>
      <c r="T325" s="156">
        <f>TRUNC($K325*$P325,2)</f>
        <v>0</v>
      </c>
      <c r="U325" s="156">
        <f>TRUNC($J325*$R325,2)</f>
        <v>0</v>
      </c>
      <c r="V325" s="156">
        <f>TRUNC($K325*$Q325,2)</f>
        <v>0</v>
      </c>
      <c r="W325" s="156">
        <f>TRUNC(V325-U325,2)</f>
        <v>0</v>
      </c>
      <c r="X325" s="158">
        <f>$S325/ORCAMENTO_VALOR_TOTAL_ND</f>
        <v>0</v>
      </c>
      <c r="Y325" s="158">
        <f>$T325/ORCAMENTO_VALOR_TOTAL_DE</f>
        <v>0</v>
      </c>
      <c r="Z325" s="158" cm="1">
        <f t="array" ref="Z325">_xlfn.SWITCH($N325,"BDI 1",$O$6,"BDI 2",$O$7,"BDI 3",$O$8)</f>
        <v>0.20699999999999999</v>
      </c>
      <c r="AA325" s="158" cm="1">
        <f t="array" ref="AA325">_xlfn.SWITCH($N325,"BDI 1",$P$6,"BDI 2",$P$7,"BDI 3",$P$8)</f>
        <v>0.26739999999999997</v>
      </c>
      <c r="AB325" s="158">
        <f ca="1">IFERROR($S325/_xlfn.XLOOKUP($AE325,$B$16:$B$38,$S$16:$S$38),0)</f>
        <v>0</v>
      </c>
      <c r="AC325" s="158">
        <f ca="1">IFERROR($T325/_xlfn.XLOOKUP($AE325,$B$16:$B$38,$T$16:$T$38),0)</f>
        <v>0</v>
      </c>
      <c r="AD325" s="164"/>
      <c r="AE325" s="148">
        <f t="shared" ref="AE325:AE326" si="827">IF(S325&gt;0,IFERROR(TRUNC(A325,0),0),0)</f>
        <v>0</v>
      </c>
      <c r="AF325" s="149"/>
      <c r="AG325" s="150"/>
      <c r="AH325" s="159" t="e">
        <f>S325/S$118</f>
        <v>#DIV/0!</v>
      </c>
      <c r="AI325" s="166">
        <f>IF(K325=0,0,K325/F325)</f>
        <v>0</v>
      </c>
      <c r="AJ325" s="105"/>
      <c r="AK325" s="105"/>
      <c r="AM325" s="105"/>
      <c r="AN325" s="105"/>
      <c r="AO325" s="105"/>
      <c r="AP325" s="105"/>
      <c r="AQ325" s="105"/>
      <c r="AR325" s="105"/>
    </row>
    <row r="326" spans="1:44" s="49" customFormat="1" ht="40.15" hidden="1" customHeight="1">
      <c r="A326" s="152">
        <f t="shared" ca="1" si="684"/>
        <v>0</v>
      </c>
      <c r="B326" s="153">
        <v>93593</v>
      </c>
      <c r="C326" s="154" t="str">
        <f>TEXT(B326,"0")</f>
        <v>93593</v>
      </c>
      <c r="D326" s="154" t="s">
        <v>1416</v>
      </c>
      <c r="E326" s="155" t="s">
        <v>3545</v>
      </c>
      <c r="F326" s="154">
        <f>Dados_DMT!B34-F325</f>
        <v>80</v>
      </c>
      <c r="G326" s="154" t="s">
        <v>3538</v>
      </c>
      <c r="H326" s="152">
        <v>0.84</v>
      </c>
      <c r="I326" s="152">
        <v>0.85</v>
      </c>
      <c r="J326" s="156"/>
      <c r="K326" s="156">
        <f>ROUND(Dre_Disp_Estruturais!AI155*F326,2)</f>
        <v>0</v>
      </c>
      <c r="L326" s="156">
        <f>IF($K326&gt;$J326,$K326-$J326,0)</f>
        <v>0</v>
      </c>
      <c r="M326" s="156">
        <f>IF($K326&lt;$J326,$J326-$K326,0)</f>
        <v>0</v>
      </c>
      <c r="N326" s="156" t="s">
        <v>83</v>
      </c>
      <c r="O326" s="157" cm="1">
        <f t="array" ref="O326">TRUNC($H326*(1+_xlfn.SWITCH($N326,"BDI 1",$O$6,"BDI 2",$O$7,"BDI 3",$O$8)),2)</f>
        <v>1.01</v>
      </c>
      <c r="P326" s="157" cm="1">
        <f t="array" ref="P326">TRUNC($I326*(1+_xlfn.SWITCH($N326,"BDI 1",$P$6,"BDI 2",$P$7,"BDI 3",$P$8)),2)</f>
        <v>1.07</v>
      </c>
      <c r="Q326" s="157">
        <v>0</v>
      </c>
      <c r="R326" s="157">
        <v>0</v>
      </c>
      <c r="S326" s="156">
        <f>TRUNC($K326*$O326,2)</f>
        <v>0</v>
      </c>
      <c r="T326" s="156">
        <f>TRUNC($K326*$P326,2)</f>
        <v>0</v>
      </c>
      <c r="U326" s="156">
        <f>TRUNC($J326*$R326,2)</f>
        <v>0</v>
      </c>
      <c r="V326" s="156">
        <f>TRUNC($K326*$Q326,2)</f>
        <v>0</v>
      </c>
      <c r="W326" s="156">
        <f>TRUNC(V326-U326,2)</f>
        <v>0</v>
      </c>
      <c r="X326" s="158">
        <f>$S326/ORCAMENTO_VALOR_TOTAL_ND</f>
        <v>0</v>
      </c>
      <c r="Y326" s="158">
        <f>$T326/ORCAMENTO_VALOR_TOTAL_DE</f>
        <v>0</v>
      </c>
      <c r="Z326" s="158" cm="1">
        <f t="array" ref="Z326">_xlfn.SWITCH($N326,"BDI 1",$O$6,"BDI 2",$O$7,"BDI 3",$O$8)</f>
        <v>0.20699999999999999</v>
      </c>
      <c r="AA326" s="158" cm="1">
        <f t="array" ref="AA326">_xlfn.SWITCH($N326,"BDI 1",$P$6,"BDI 2",$P$7,"BDI 3",$P$8)</f>
        <v>0.26739999999999997</v>
      </c>
      <c r="AB326" s="158">
        <f ca="1">IFERROR($S326/_xlfn.XLOOKUP($AE326,$B$16:$B$38,$S$16:$S$38),0)</f>
        <v>0</v>
      </c>
      <c r="AC326" s="158">
        <f ca="1">IFERROR($T326/_xlfn.XLOOKUP($AE326,$B$16:$B$38,$T$16:$T$38),0)</f>
        <v>0</v>
      </c>
      <c r="AD326" s="164"/>
      <c r="AE326" s="148">
        <f t="shared" si="827"/>
        <v>0</v>
      </c>
      <c r="AF326" s="149"/>
      <c r="AG326" s="150"/>
      <c r="AH326" s="159" t="e">
        <f>S326/S$118</f>
        <v>#DIV/0!</v>
      </c>
      <c r="AI326" s="166">
        <f>IF(K326=0,0,K326/F326)</f>
        <v>0</v>
      </c>
      <c r="AJ326" s="105"/>
      <c r="AK326" s="105"/>
      <c r="AM326" s="105"/>
      <c r="AN326" s="105"/>
      <c r="AO326" s="105"/>
      <c r="AP326" s="105"/>
      <c r="AQ326" s="105"/>
      <c r="AR326" s="105"/>
    </row>
    <row r="327" spans="1:44" s="49" customFormat="1" ht="40.15" hidden="1" customHeight="1">
      <c r="A327" s="10">
        <f t="shared" ca="1" si="684"/>
        <v>0</v>
      </c>
      <c r="B327" s="153"/>
      <c r="C327" s="154"/>
      <c r="D327" s="154"/>
      <c r="E327" s="161" t="s">
        <v>205</v>
      </c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62"/>
      <c r="T327" s="162"/>
      <c r="U327" s="162"/>
      <c r="V327" s="162"/>
      <c r="W327" s="162"/>
      <c r="X327" s="163"/>
      <c r="Y327" s="163"/>
      <c r="Z327" s="163"/>
      <c r="AA327" s="163"/>
      <c r="AB327" s="163"/>
      <c r="AC327" s="163"/>
      <c r="AD327" s="164"/>
      <c r="AE327" s="148">
        <f>IF(SUM(S328:S329)&gt;0,IFERROR(TRUNC(A327,0),0),0)</f>
        <v>0</v>
      </c>
      <c r="AF327" s="149"/>
      <c r="AG327" s="150"/>
      <c r="AH327" s="159"/>
      <c r="AI327" s="160"/>
      <c r="AJ327" s="105"/>
      <c r="AK327" s="105"/>
      <c r="AM327" s="105"/>
      <c r="AN327" s="105"/>
      <c r="AO327" s="105"/>
      <c r="AP327" s="105"/>
      <c r="AQ327" s="105"/>
      <c r="AR327" s="105"/>
    </row>
    <row r="328" spans="1:44" s="49" customFormat="1" ht="40.15" hidden="1" customHeight="1">
      <c r="A328" s="152">
        <f t="shared" ca="1" si="684"/>
        <v>0</v>
      </c>
      <c r="B328" s="153">
        <v>100952</v>
      </c>
      <c r="C328" s="154" t="str">
        <f>TEXT(B328,"0")</f>
        <v>100952</v>
      </c>
      <c r="D328" s="154" t="s">
        <v>1416</v>
      </c>
      <c r="E328" s="155" t="s">
        <v>3789</v>
      </c>
      <c r="F328" s="154">
        <f>IF(Dados_DMT!$B$13&lt;30,Dados_DMT!$B$13,30)</f>
        <v>30</v>
      </c>
      <c r="G328" s="154" t="s">
        <v>3534</v>
      </c>
      <c r="H328" s="152">
        <v>2.73</v>
      </c>
      <c r="I328" s="152">
        <v>2.71</v>
      </c>
      <c r="J328" s="156"/>
      <c r="K328" s="156">
        <f>ROUND(Dre_Disp_Estruturais!AI162*F328,2)</f>
        <v>0</v>
      </c>
      <c r="L328" s="156">
        <f>IF($K328&gt;$J328,$K328-$J328,0)</f>
        <v>0</v>
      </c>
      <c r="M328" s="156">
        <f>IF($K328&lt;$J328,$J328-$K328,0)</f>
        <v>0</v>
      </c>
      <c r="N328" s="156" t="s">
        <v>83</v>
      </c>
      <c r="O328" s="157" cm="1">
        <f t="array" ref="O328">TRUNC($H328*(1+_xlfn.SWITCH($N328,"BDI 1",$O$6,"BDI 2",$O$7,"BDI 3",$O$8)),2)</f>
        <v>3.29</v>
      </c>
      <c r="P328" s="157" cm="1">
        <f t="array" ref="P328">TRUNC($I328*(1+_xlfn.SWITCH($N328,"BDI 1",$P$6,"BDI 2",$P$7,"BDI 3",$P$8)),2)</f>
        <v>3.43</v>
      </c>
      <c r="Q328" s="157">
        <v>0</v>
      </c>
      <c r="R328" s="157">
        <v>0</v>
      </c>
      <c r="S328" s="156">
        <f>TRUNC($K328*$O328,2)</f>
        <v>0</v>
      </c>
      <c r="T328" s="156">
        <f>TRUNC($K328*$P328,2)</f>
        <v>0</v>
      </c>
      <c r="U328" s="156">
        <f>TRUNC($J328*$R328,2)</f>
        <v>0</v>
      </c>
      <c r="V328" s="156">
        <f>TRUNC($K328*$Q328,2)</f>
        <v>0</v>
      </c>
      <c r="W328" s="156">
        <f>TRUNC(V328-U328,2)</f>
        <v>0</v>
      </c>
      <c r="X328" s="158">
        <f>$S328/ORCAMENTO_VALOR_TOTAL_ND</f>
        <v>0</v>
      </c>
      <c r="Y328" s="158">
        <f>$T328/ORCAMENTO_VALOR_TOTAL_DE</f>
        <v>0</v>
      </c>
      <c r="Z328" s="158" cm="1">
        <f t="array" ref="Z328">_xlfn.SWITCH($N328,"BDI 1",$O$6,"BDI 2",$O$7,"BDI 3",$O$8)</f>
        <v>0.20699999999999999</v>
      </c>
      <c r="AA328" s="158" cm="1">
        <f t="array" ref="AA328">_xlfn.SWITCH($N328,"BDI 1",$P$6,"BDI 2",$P$7,"BDI 3",$P$8)</f>
        <v>0.26739999999999997</v>
      </c>
      <c r="AB328" s="158">
        <f ca="1">IFERROR($S328/_xlfn.XLOOKUP($AE328,$B$16:$B$38,$S$16:$S$38),0)</f>
        <v>0</v>
      </c>
      <c r="AC328" s="158">
        <f ca="1">IFERROR($T328/_xlfn.XLOOKUP($AE328,$B$16:$B$38,$T$16:$T$38),0)</f>
        <v>0</v>
      </c>
      <c r="AD328" s="164"/>
      <c r="AE328" s="148">
        <f t="shared" ref="AE328:AE329" si="828">IF(S328&gt;0,IFERROR(TRUNC(A328,0),0),0)</f>
        <v>0</v>
      </c>
      <c r="AF328" s="149"/>
      <c r="AG328" s="150"/>
      <c r="AH328" s="159" t="e">
        <f>S328/S$204</f>
        <v>#DIV/0!</v>
      </c>
      <c r="AI328" s="160"/>
      <c r="AJ328" s="105"/>
      <c r="AK328" s="105"/>
      <c r="AM328" s="105"/>
      <c r="AN328" s="105"/>
      <c r="AO328" s="105"/>
      <c r="AP328" s="105"/>
      <c r="AQ328" s="105"/>
      <c r="AR328" s="105"/>
    </row>
    <row r="329" spans="1:44" s="49" customFormat="1" ht="49.9" hidden="1" customHeight="1">
      <c r="A329" s="152">
        <f t="shared" ca="1" si="684"/>
        <v>0</v>
      </c>
      <c r="B329" s="153">
        <v>100953</v>
      </c>
      <c r="C329" s="154" t="str">
        <f>TEXT(B329,"0")</f>
        <v>100953</v>
      </c>
      <c r="D329" s="154" t="s">
        <v>1416</v>
      </c>
      <c r="E329" s="155" t="s">
        <v>3790</v>
      </c>
      <c r="F329" s="154">
        <f>Dados_DMT!B13-Orcamento!F328</f>
        <v>70</v>
      </c>
      <c r="G329" s="154" t="s">
        <v>3534</v>
      </c>
      <c r="H329" s="152">
        <v>1.08</v>
      </c>
      <c r="I329" s="152">
        <v>1.08</v>
      </c>
      <c r="J329" s="156"/>
      <c r="K329" s="156">
        <f>ROUND(Dre_Disp_Estruturais!AI162*F329,2)</f>
        <v>0</v>
      </c>
      <c r="L329" s="156">
        <f>IF($K329&gt;$J329,$K329-$J329,0)</f>
        <v>0</v>
      </c>
      <c r="M329" s="156">
        <f>IF($K329&lt;$J329,$J329-$K329,0)</f>
        <v>0</v>
      </c>
      <c r="N329" s="156" t="s">
        <v>83</v>
      </c>
      <c r="O329" s="157" cm="1">
        <f t="array" ref="O329">TRUNC($H329*(1+_xlfn.SWITCH($N329,"BDI 1",$O$6,"BDI 2",$O$7,"BDI 3",$O$8)),2)</f>
        <v>1.3</v>
      </c>
      <c r="P329" s="157" cm="1">
        <f t="array" ref="P329">TRUNC($I329*(1+_xlfn.SWITCH($N329,"BDI 1",$P$6,"BDI 2",$P$7,"BDI 3",$P$8)),2)</f>
        <v>1.36</v>
      </c>
      <c r="Q329" s="157">
        <v>0</v>
      </c>
      <c r="R329" s="157">
        <v>0</v>
      </c>
      <c r="S329" s="156">
        <f>TRUNC($K329*$O329,2)</f>
        <v>0</v>
      </c>
      <c r="T329" s="156">
        <f>TRUNC($K329*$P329,2)</f>
        <v>0</v>
      </c>
      <c r="U329" s="156">
        <f>TRUNC($J329*$R329,2)</f>
        <v>0</v>
      </c>
      <c r="V329" s="156">
        <f>TRUNC($K329*$Q329,2)</f>
        <v>0</v>
      </c>
      <c r="W329" s="156">
        <f>TRUNC(V329-U329,2)</f>
        <v>0</v>
      </c>
      <c r="X329" s="158">
        <f>$S329/ORCAMENTO_VALOR_TOTAL_ND</f>
        <v>0</v>
      </c>
      <c r="Y329" s="158">
        <f>$T329/ORCAMENTO_VALOR_TOTAL_DE</f>
        <v>0</v>
      </c>
      <c r="Z329" s="158" cm="1">
        <f t="array" ref="Z329">_xlfn.SWITCH($N329,"BDI 1",$O$6,"BDI 2",$O$7,"BDI 3",$O$8)</f>
        <v>0.20699999999999999</v>
      </c>
      <c r="AA329" s="158" cm="1">
        <f t="array" ref="AA329">_xlfn.SWITCH($N329,"BDI 1",$P$6,"BDI 2",$P$7,"BDI 3",$P$8)</f>
        <v>0.26739999999999997</v>
      </c>
      <c r="AB329" s="158">
        <f ca="1">IFERROR($S329/_xlfn.XLOOKUP($AE329,$B$16:$B$38,$S$16:$S$38),0)</f>
        <v>0</v>
      </c>
      <c r="AC329" s="158">
        <f ca="1">IFERROR($T329/_xlfn.XLOOKUP($AE329,$B$16:$B$38,$T$16:$T$38),0)</f>
        <v>0</v>
      </c>
      <c r="AD329" s="164"/>
      <c r="AE329" s="148">
        <f t="shared" si="828"/>
        <v>0</v>
      </c>
      <c r="AF329" s="149"/>
      <c r="AG329" s="150"/>
      <c r="AH329" s="159" t="e">
        <f>S329/S$204</f>
        <v>#DIV/0!</v>
      </c>
      <c r="AI329" s="160"/>
      <c r="AJ329" s="105"/>
      <c r="AK329" s="105"/>
      <c r="AM329" s="105"/>
      <c r="AN329" s="105"/>
      <c r="AO329" s="105"/>
      <c r="AP329" s="105"/>
      <c r="AQ329" s="105"/>
      <c r="AR329" s="105"/>
    </row>
    <row r="330" spans="1:44" s="49" customFormat="1" ht="40.15" hidden="1" customHeight="1">
      <c r="A330" s="10">
        <f t="shared" ca="1" si="684"/>
        <v>0</v>
      </c>
      <c r="B330" s="153"/>
      <c r="C330" s="154"/>
      <c r="D330" s="154"/>
      <c r="E330" s="155"/>
      <c r="F330" s="154"/>
      <c r="G330" s="154"/>
      <c r="H330" s="154"/>
      <c r="I330" s="154"/>
      <c r="J330" s="168"/>
      <c r="K330" s="168"/>
      <c r="L330" s="168"/>
      <c r="M330" s="168"/>
      <c r="N330" s="168"/>
      <c r="O330" s="157"/>
      <c r="P330" s="157"/>
      <c r="Q330" s="157"/>
      <c r="R330" s="157"/>
      <c r="S330" s="162"/>
      <c r="T330" s="162"/>
      <c r="U330" s="162"/>
      <c r="V330" s="162"/>
      <c r="W330" s="162"/>
      <c r="X330" s="163"/>
      <c r="Y330" s="163"/>
      <c r="Z330" s="163"/>
      <c r="AA330" s="163"/>
      <c r="AB330" s="163"/>
      <c r="AC330" s="163"/>
      <c r="AD330" s="164"/>
      <c r="AE330" s="148">
        <f>IF(S331&gt;0,IFERROR(TRUNC(A331,0),0),0)</f>
        <v>0</v>
      </c>
      <c r="AF330" s="149"/>
      <c r="AG330" s="150"/>
      <c r="AH330" s="159"/>
      <c r="AI330" s="160"/>
      <c r="AJ330" s="105"/>
      <c r="AK330" s="105"/>
      <c r="AM330" s="105"/>
      <c r="AN330" s="105"/>
      <c r="AO330" s="105"/>
      <c r="AP330" s="105"/>
      <c r="AQ330" s="105"/>
      <c r="AR330" s="105"/>
    </row>
    <row r="331" spans="1:44" s="105" customFormat="1" ht="40.15" hidden="1" customHeight="1">
      <c r="A331" s="186">
        <f ca="1">$B$22</f>
        <v>0</v>
      </c>
      <c r="B331" s="170"/>
      <c r="C331" s="171"/>
      <c r="D331" s="172"/>
      <c r="E331" s="187" t="str">
        <f>$D$22</f>
        <v>MICRODRENAGEM - SERVIÇOS DE ESTRUTURAS</v>
      </c>
      <c r="F331" s="174">
        <v>0</v>
      </c>
      <c r="G331" s="175"/>
      <c r="H331" s="176" t="s">
        <v>141</v>
      </c>
      <c r="I331" s="176" t="s">
        <v>141</v>
      </c>
      <c r="J331" s="177"/>
      <c r="K331" s="177"/>
      <c r="L331" s="177"/>
      <c r="M331" s="177"/>
      <c r="N331" s="177"/>
      <c r="O331" s="178" t="str">
        <f ca="1">CONCATENATE("SUB-TOTAL ",$A331)</f>
        <v>SUB-TOTAL 0</v>
      </c>
      <c r="P331" s="178" t="e" cm="1">
        <f t="array" ref="P331">TRUNC($I331*(1+_xlfn.SWITCH($N331,"BDI 1",$P$6,"BDI 2",$P$7,"BDI 3",$P$8)),2)</f>
        <v>#VALUE!</v>
      </c>
      <c r="Q331" s="178" t="str">
        <f ca="1">CONCATENATE("SUB-TOTAL ",$A331)</f>
        <v>SUB-TOTAL 0</v>
      </c>
      <c r="R331" s="178"/>
      <c r="S331" s="179">
        <f>SUM(S332:S349)</f>
        <v>0</v>
      </c>
      <c r="T331" s="179">
        <f>SUM(T332:T349)</f>
        <v>0</v>
      </c>
      <c r="U331" s="179">
        <f>SUM(U332:U349)</f>
        <v>0</v>
      </c>
      <c r="V331" s="179">
        <f>SUM(V332:V349)</f>
        <v>0</v>
      </c>
      <c r="W331" s="179">
        <f t="shared" ref="W331:W349" si="829">TRUNC(V331-U331,2)</f>
        <v>0</v>
      </c>
      <c r="X331" s="180">
        <f t="shared" ref="X331" si="830">$S331/ORCAMENTO_VALOR_TOTAL_ND</f>
        <v>0</v>
      </c>
      <c r="Y331" s="180">
        <f t="shared" ref="Y331" si="831">$T331/ORCAMENTO_VALOR_TOTAL_DE</f>
        <v>0</v>
      </c>
      <c r="Z331" s="180"/>
      <c r="AA331" s="180"/>
      <c r="AB331" s="180">
        <f>IFERROR($S331/$S331,0)</f>
        <v>0</v>
      </c>
      <c r="AC331" s="180">
        <f>IFERROR($T331/$T331,0)</f>
        <v>0</v>
      </c>
      <c r="AD331" s="147"/>
      <c r="AE331" s="148">
        <f t="shared" ref="AE331:AE349" si="832">IF(S331&gt;0,IFERROR(TRUNC(A331,0),0),0)</f>
        <v>0</v>
      </c>
      <c r="AF331" s="149"/>
      <c r="AG331" s="150"/>
      <c r="AH331" s="151" t="e">
        <f t="shared" ref="AH331:AH349" si="833">S331/$S$331</f>
        <v>#DIV/0!</v>
      </c>
    </row>
    <row r="332" spans="1:44" s="49" customFormat="1" ht="40.15" hidden="1" customHeight="1">
      <c r="A332" s="152">
        <f t="shared" ref="A332:A350" ca="1" si="834">IF(K332&gt;0,A331+0.01,A331)</f>
        <v>0</v>
      </c>
      <c r="B332" s="153">
        <v>94962</v>
      </c>
      <c r="C332" s="154" t="str">
        <f t="shared" ref="C332:C349" si="835">TEXT(B332,"0")</f>
        <v>94962</v>
      </c>
      <c r="D332" s="154" t="s">
        <v>1416</v>
      </c>
      <c r="E332" s="155" t="s">
        <v>3791</v>
      </c>
      <c r="F332" s="154"/>
      <c r="G332" s="154" t="s">
        <v>464</v>
      </c>
      <c r="H332" s="152">
        <v>385.31</v>
      </c>
      <c r="I332" s="152">
        <v>383.4</v>
      </c>
      <c r="J332" s="156"/>
      <c r="K332" s="156">
        <f>Dre_Disp_Estruturais!AI129+Dre_Disp_Estruturais!AI134</f>
        <v>0</v>
      </c>
      <c r="L332" s="156">
        <f t="shared" ref="L332:L349" si="836">IF($K332&gt;$J332,$K332-$J332,0)</f>
        <v>0</v>
      </c>
      <c r="M332" s="156">
        <f t="shared" ref="M332:M349" si="837">IF($K332&lt;$J332,$J332-$K332,0)</f>
        <v>0</v>
      </c>
      <c r="N332" s="156" t="s">
        <v>83</v>
      </c>
      <c r="O332" s="157" cm="1">
        <f t="array" ref="O332">TRUNC($H332*(1+_xlfn.SWITCH($N332,"BDI 1",$O$6,"BDI 2",$O$7,"BDI 3",$O$8)),2)</f>
        <v>465.06</v>
      </c>
      <c r="P332" s="157" cm="1">
        <f t="array" ref="P332">TRUNC($I332*(1+_xlfn.SWITCH($N332,"BDI 1",$P$6,"BDI 2",$P$7,"BDI 3",$P$8)),2)</f>
        <v>485.92</v>
      </c>
      <c r="Q332" s="157">
        <v>0</v>
      </c>
      <c r="R332" s="157">
        <f t="shared" ref="R332" si="838">$Q332-($Q332*LICITACAO_DESCONTO)</f>
        <v>0</v>
      </c>
      <c r="S332" s="156">
        <f t="shared" ref="S332:S349" si="839">TRUNC($K332*$O332,2)</f>
        <v>0</v>
      </c>
      <c r="T332" s="156">
        <f t="shared" ref="T332:T349" si="840">TRUNC($K332*$P332,2)</f>
        <v>0</v>
      </c>
      <c r="U332" s="156">
        <f t="shared" ref="U332:U349" si="841">TRUNC($J332*$R332,2)</f>
        <v>0</v>
      </c>
      <c r="V332" s="156">
        <f t="shared" ref="V332:V349" si="842">TRUNC($K332*$Q332,2)</f>
        <v>0</v>
      </c>
      <c r="W332" s="156">
        <f t="shared" si="829"/>
        <v>0</v>
      </c>
      <c r="X332" s="158">
        <f t="shared" ref="X332" si="843">$S332/ORCAMENTO_VALOR_TOTAL_ND</f>
        <v>0</v>
      </c>
      <c r="Y332" s="158">
        <f t="shared" ref="Y332" si="844">$T332/ORCAMENTO_VALOR_TOTAL_DE</f>
        <v>0</v>
      </c>
      <c r="Z332" s="158" cm="1">
        <f t="array" ref="Z332">_xlfn.SWITCH($N332,"BDI 1",$O$6,"BDI 2",$O$7,"BDI 3",$O$8)</f>
        <v>0.20699999999999999</v>
      </c>
      <c r="AA332" s="158" cm="1">
        <f t="array" ref="AA332">_xlfn.SWITCH($N332,"BDI 1",$P$6,"BDI 2",$P$7,"BDI 3",$P$8)</f>
        <v>0.26739999999999997</v>
      </c>
      <c r="AB332" s="158">
        <f t="shared" ref="AB332:AB349" ca="1" si="845">IFERROR($S332/_xlfn.XLOOKUP($AE332,$B$16:$B$38,$S$16:$S$38),0)</f>
        <v>0</v>
      </c>
      <c r="AC332" s="158">
        <f t="shared" ref="AC332:AC349" ca="1" si="846">IFERROR($T332/_xlfn.XLOOKUP($AE332,$B$16:$B$38,$T$16:$T$38),0)</f>
        <v>0</v>
      </c>
      <c r="AD332" s="164"/>
      <c r="AE332" s="148">
        <f t="shared" si="832"/>
        <v>0</v>
      </c>
      <c r="AF332" s="149"/>
      <c r="AG332" s="150"/>
      <c r="AH332" s="159" t="e">
        <f t="shared" si="833"/>
        <v>#DIV/0!</v>
      </c>
      <c r="AI332" s="160"/>
      <c r="AJ332" s="105"/>
      <c r="AK332" s="105"/>
      <c r="AM332" s="105"/>
      <c r="AN332" s="105"/>
      <c r="AO332" s="105"/>
      <c r="AP332" s="105"/>
      <c r="AQ332" s="105"/>
      <c r="AR332" s="105"/>
    </row>
    <row r="333" spans="1:44" s="49" customFormat="1" ht="40.15" hidden="1" customHeight="1">
      <c r="A333" s="152">
        <f t="shared" ca="1" si="834"/>
        <v>0</v>
      </c>
      <c r="B333" s="153">
        <v>103670</v>
      </c>
      <c r="C333" s="154" t="str">
        <f t="shared" si="835"/>
        <v>103670</v>
      </c>
      <c r="D333" s="154" t="s">
        <v>1416</v>
      </c>
      <c r="E333" s="155" t="s">
        <v>3792</v>
      </c>
      <c r="F333" s="154"/>
      <c r="G333" s="154" t="s">
        <v>464</v>
      </c>
      <c r="H333" s="152">
        <v>272.37</v>
      </c>
      <c r="I333" s="152">
        <v>247.05</v>
      </c>
      <c r="J333" s="156"/>
      <c r="K333" s="156">
        <f>Dre_Disp_Estruturais!AI129+Dre_Disp_Estruturais!AI134+K334</f>
        <v>0</v>
      </c>
      <c r="L333" s="156">
        <f t="shared" si="836"/>
        <v>0</v>
      </c>
      <c r="M333" s="156">
        <f t="shared" si="837"/>
        <v>0</v>
      </c>
      <c r="N333" s="156" t="s">
        <v>83</v>
      </c>
      <c r="O333" s="157" cm="1">
        <f t="array" ref="O333">TRUNC($H333*(1+_xlfn.SWITCH($N333,"BDI 1",$O$6,"BDI 2",$O$7,"BDI 3",$O$8)),2)</f>
        <v>328.75</v>
      </c>
      <c r="P333" s="157" cm="1">
        <f t="array" ref="P333">TRUNC($I333*(1+_xlfn.SWITCH($N333,"BDI 1",$P$6,"BDI 2",$P$7,"BDI 3",$P$8)),2)</f>
        <v>313.11</v>
      </c>
      <c r="Q333" s="157">
        <v>0</v>
      </c>
      <c r="R333" s="157">
        <f t="shared" ref="R333" si="847">$Q333-($Q333*LICITACAO_DESCONTO)</f>
        <v>0</v>
      </c>
      <c r="S333" s="156">
        <f t="shared" si="839"/>
        <v>0</v>
      </c>
      <c r="T333" s="156">
        <f t="shared" si="840"/>
        <v>0</v>
      </c>
      <c r="U333" s="156">
        <f t="shared" si="841"/>
        <v>0</v>
      </c>
      <c r="V333" s="156">
        <f t="shared" si="842"/>
        <v>0</v>
      </c>
      <c r="W333" s="156">
        <f t="shared" si="829"/>
        <v>0</v>
      </c>
      <c r="X333" s="158">
        <f t="shared" ref="X333" si="848">$S333/ORCAMENTO_VALOR_TOTAL_ND</f>
        <v>0</v>
      </c>
      <c r="Y333" s="158">
        <f t="shared" ref="Y333" si="849">$T333/ORCAMENTO_VALOR_TOTAL_DE</f>
        <v>0</v>
      </c>
      <c r="Z333" s="158" cm="1">
        <f t="array" ref="Z333">_xlfn.SWITCH($N333,"BDI 1",$O$6,"BDI 2",$O$7,"BDI 3",$O$8)</f>
        <v>0.20699999999999999</v>
      </c>
      <c r="AA333" s="158" cm="1">
        <f t="array" ref="AA333">_xlfn.SWITCH($N333,"BDI 1",$P$6,"BDI 2",$P$7,"BDI 3",$P$8)</f>
        <v>0.26739999999999997</v>
      </c>
      <c r="AB333" s="158">
        <f t="shared" ca="1" si="845"/>
        <v>0</v>
      </c>
      <c r="AC333" s="158">
        <f t="shared" ca="1" si="846"/>
        <v>0</v>
      </c>
      <c r="AD333" s="164"/>
      <c r="AE333" s="148">
        <f t="shared" si="832"/>
        <v>0</v>
      </c>
      <c r="AF333" s="149"/>
      <c r="AG333" s="150"/>
      <c r="AH333" s="159" t="e">
        <f t="shared" si="833"/>
        <v>#DIV/0!</v>
      </c>
      <c r="AI333" s="160"/>
      <c r="AJ333" s="105"/>
      <c r="AK333" s="105"/>
      <c r="AM333" s="105"/>
      <c r="AN333" s="105"/>
      <c r="AO333" s="105"/>
      <c r="AP333" s="105"/>
      <c r="AQ333" s="105"/>
      <c r="AR333" s="105"/>
    </row>
    <row r="334" spans="1:44" s="49" customFormat="1" ht="40.15" hidden="1" customHeight="1">
      <c r="A334" s="152">
        <f t="shared" ca="1" si="834"/>
        <v>0</v>
      </c>
      <c r="B334" s="153">
        <v>94964</v>
      </c>
      <c r="C334" s="154" t="str">
        <f t="shared" si="835"/>
        <v>94964</v>
      </c>
      <c r="D334" s="154" t="s">
        <v>1416</v>
      </c>
      <c r="E334" s="155" t="s">
        <v>3793</v>
      </c>
      <c r="F334" s="154"/>
      <c r="G334" s="154" t="s">
        <v>464</v>
      </c>
      <c r="H334" s="152">
        <v>470.38</v>
      </c>
      <c r="I334" s="152">
        <v>467.53</v>
      </c>
      <c r="J334" s="156"/>
      <c r="K334" s="156">
        <f>Dre_Disp_Estruturais!AI135</f>
        <v>0</v>
      </c>
      <c r="L334" s="156">
        <f t="shared" si="836"/>
        <v>0</v>
      </c>
      <c r="M334" s="156">
        <f t="shared" si="837"/>
        <v>0</v>
      </c>
      <c r="N334" s="156" t="s">
        <v>83</v>
      </c>
      <c r="O334" s="157" cm="1">
        <f t="array" ref="O334">TRUNC($H334*(1+_xlfn.SWITCH($N334,"BDI 1",$O$6,"BDI 2",$O$7,"BDI 3",$O$8)),2)</f>
        <v>567.74</v>
      </c>
      <c r="P334" s="157" cm="1">
        <f t="array" ref="P334">TRUNC($I334*(1+_xlfn.SWITCH($N334,"BDI 1",$P$6,"BDI 2",$P$7,"BDI 3",$P$8)),2)</f>
        <v>592.54</v>
      </c>
      <c r="Q334" s="157">
        <v>0</v>
      </c>
      <c r="R334" s="157">
        <f t="shared" ref="R334" si="850">$Q334-($Q334*LICITACAO_DESCONTO)</f>
        <v>0</v>
      </c>
      <c r="S334" s="156">
        <f t="shared" si="839"/>
        <v>0</v>
      </c>
      <c r="T334" s="156">
        <f t="shared" si="840"/>
        <v>0</v>
      </c>
      <c r="U334" s="156">
        <f t="shared" si="841"/>
        <v>0</v>
      </c>
      <c r="V334" s="156">
        <f t="shared" si="842"/>
        <v>0</v>
      </c>
      <c r="W334" s="156">
        <f t="shared" si="829"/>
        <v>0</v>
      </c>
      <c r="X334" s="158">
        <f t="shared" ref="X334" si="851">$S334/ORCAMENTO_VALOR_TOTAL_ND</f>
        <v>0</v>
      </c>
      <c r="Y334" s="158">
        <f t="shared" ref="Y334" si="852">$T334/ORCAMENTO_VALOR_TOTAL_DE</f>
        <v>0</v>
      </c>
      <c r="Z334" s="158" cm="1">
        <f t="array" ref="Z334">_xlfn.SWITCH($N334,"BDI 1",$O$6,"BDI 2",$O$7,"BDI 3",$O$8)</f>
        <v>0.20699999999999999</v>
      </c>
      <c r="AA334" s="158" cm="1">
        <f t="array" ref="AA334">_xlfn.SWITCH($N334,"BDI 1",$P$6,"BDI 2",$P$7,"BDI 3",$P$8)</f>
        <v>0.26739999999999997</v>
      </c>
      <c r="AB334" s="158">
        <f t="shared" ca="1" si="845"/>
        <v>0</v>
      </c>
      <c r="AC334" s="158">
        <f t="shared" ca="1" si="846"/>
        <v>0</v>
      </c>
      <c r="AD334" s="164"/>
      <c r="AE334" s="148">
        <f t="shared" si="832"/>
        <v>0</v>
      </c>
      <c r="AF334" s="149"/>
      <c r="AG334" s="150"/>
      <c r="AH334" s="159" t="e">
        <f t="shared" si="833"/>
        <v>#DIV/0!</v>
      </c>
      <c r="AI334" s="160"/>
      <c r="AJ334" s="105"/>
      <c r="AK334" s="105"/>
      <c r="AM334" s="105"/>
      <c r="AN334" s="105"/>
      <c r="AO334" s="105"/>
      <c r="AP334" s="105"/>
      <c r="AQ334" s="105"/>
      <c r="AR334" s="105"/>
    </row>
    <row r="335" spans="1:44" s="49" customFormat="1" ht="40.15" hidden="1" customHeight="1">
      <c r="A335" s="152">
        <f t="shared" ca="1" si="834"/>
        <v>0</v>
      </c>
      <c r="B335" s="153">
        <v>34493</v>
      </c>
      <c r="C335" s="154" t="str">
        <f t="shared" si="835"/>
        <v>34493</v>
      </c>
      <c r="D335" s="154" t="s">
        <v>3579</v>
      </c>
      <c r="E335" s="155" t="s">
        <v>3794</v>
      </c>
      <c r="F335" s="154"/>
      <c r="G335" s="154" t="s">
        <v>464</v>
      </c>
      <c r="H335" s="152">
        <v>580.91999999999996</v>
      </c>
      <c r="I335" s="152">
        <v>580.91999999999996</v>
      </c>
      <c r="J335" s="156"/>
      <c r="K335" s="156">
        <f>Dre_Disp_Estruturais!AI130+Dre_Disp_Estruturais!AI136</f>
        <v>0</v>
      </c>
      <c r="L335" s="156">
        <f t="shared" si="836"/>
        <v>0</v>
      </c>
      <c r="M335" s="156">
        <f t="shared" si="837"/>
        <v>0</v>
      </c>
      <c r="N335" s="156" t="s">
        <v>92</v>
      </c>
      <c r="O335" s="157" cm="1">
        <f t="array" ref="O335">TRUNC($H335*(1+_xlfn.SWITCH($N335,"BDI 1",$O$6,"BDI 2",$O$7,"BDI 3",$O$8)),2)</f>
        <v>669.62</v>
      </c>
      <c r="P335" s="157" cm="1">
        <f t="array" ref="P335">TRUNC($I335*(1+_xlfn.SWITCH($N335,"BDI 1",$P$6,"BDI 2",$P$7,"BDI 3",$P$8)),2)</f>
        <v>669.62</v>
      </c>
      <c r="Q335" s="157">
        <v>0</v>
      </c>
      <c r="R335" s="157">
        <f t="shared" ref="R335" si="853">$Q335-($Q335*LICITACAO_DESCONTO)</f>
        <v>0</v>
      </c>
      <c r="S335" s="156">
        <f t="shared" si="839"/>
        <v>0</v>
      </c>
      <c r="T335" s="156">
        <f t="shared" si="840"/>
        <v>0</v>
      </c>
      <c r="U335" s="156">
        <f t="shared" si="841"/>
        <v>0</v>
      </c>
      <c r="V335" s="156">
        <f t="shared" si="842"/>
        <v>0</v>
      </c>
      <c r="W335" s="156">
        <f t="shared" si="829"/>
        <v>0</v>
      </c>
      <c r="X335" s="158">
        <f t="shared" ref="X335" si="854">$S335/ORCAMENTO_VALOR_TOTAL_ND</f>
        <v>0</v>
      </c>
      <c r="Y335" s="158">
        <f t="shared" ref="Y335" si="855">$T335/ORCAMENTO_VALOR_TOTAL_DE</f>
        <v>0</v>
      </c>
      <c r="Z335" s="158" cm="1">
        <f t="array" ref="Z335">_xlfn.SWITCH($N335,"BDI 1",$O$6,"BDI 2",$O$7,"BDI 3",$O$8)</f>
        <v>0.1527</v>
      </c>
      <c r="AA335" s="158" cm="1">
        <f t="array" ref="AA335">_xlfn.SWITCH($N335,"BDI 1",$P$6,"BDI 2",$P$7,"BDI 3",$P$8)</f>
        <v>0.1527</v>
      </c>
      <c r="AB335" s="158">
        <f t="shared" ca="1" si="845"/>
        <v>0</v>
      </c>
      <c r="AC335" s="158">
        <f t="shared" ca="1" si="846"/>
        <v>0</v>
      </c>
      <c r="AD335" s="164"/>
      <c r="AE335" s="148">
        <f t="shared" si="832"/>
        <v>0</v>
      </c>
      <c r="AF335" s="149"/>
      <c r="AG335" s="150"/>
      <c r="AH335" s="159" t="e">
        <f t="shared" si="833"/>
        <v>#DIV/0!</v>
      </c>
      <c r="AI335" s="160"/>
      <c r="AJ335" s="105"/>
      <c r="AK335" s="105"/>
      <c r="AM335" s="105"/>
      <c r="AN335" s="105"/>
      <c r="AO335" s="105"/>
      <c r="AP335" s="105"/>
      <c r="AQ335" s="105"/>
      <c r="AR335" s="105"/>
    </row>
    <row r="336" spans="1:44" s="49" customFormat="1" ht="40.15" hidden="1" customHeight="1">
      <c r="A336" s="152">
        <f t="shared" ca="1" si="834"/>
        <v>0</v>
      </c>
      <c r="B336" s="153">
        <v>103673</v>
      </c>
      <c r="C336" s="154" t="str">
        <f t="shared" si="835"/>
        <v>103673</v>
      </c>
      <c r="D336" s="154" t="s">
        <v>1416</v>
      </c>
      <c r="E336" s="155" t="s">
        <v>3795</v>
      </c>
      <c r="F336" s="154"/>
      <c r="G336" s="154" t="s">
        <v>464</v>
      </c>
      <c r="H336" s="152">
        <v>38.33</v>
      </c>
      <c r="I336" s="152">
        <v>34.799999999999997</v>
      </c>
      <c r="J336" s="156"/>
      <c r="K336" s="156">
        <f>K335</f>
        <v>0</v>
      </c>
      <c r="L336" s="156">
        <f t="shared" si="836"/>
        <v>0</v>
      </c>
      <c r="M336" s="156">
        <f t="shared" si="837"/>
        <v>0</v>
      </c>
      <c r="N336" s="156" t="s">
        <v>83</v>
      </c>
      <c r="O336" s="157" cm="1">
        <f t="array" ref="O336">TRUNC($H336*(1+_xlfn.SWITCH($N336,"BDI 1",$O$6,"BDI 2",$O$7,"BDI 3",$O$8)),2)</f>
        <v>46.26</v>
      </c>
      <c r="P336" s="157" cm="1">
        <f t="array" ref="P336">TRUNC($I336*(1+_xlfn.SWITCH($N336,"BDI 1",$P$6,"BDI 2",$P$7,"BDI 3",$P$8)),2)</f>
        <v>44.1</v>
      </c>
      <c r="Q336" s="157">
        <v>0</v>
      </c>
      <c r="R336" s="157">
        <f t="shared" ref="R336" si="856">$Q336-($Q336*LICITACAO_DESCONTO)</f>
        <v>0</v>
      </c>
      <c r="S336" s="156">
        <f t="shared" si="839"/>
        <v>0</v>
      </c>
      <c r="T336" s="156">
        <f t="shared" si="840"/>
        <v>0</v>
      </c>
      <c r="U336" s="156">
        <f t="shared" si="841"/>
        <v>0</v>
      </c>
      <c r="V336" s="156">
        <f t="shared" si="842"/>
        <v>0</v>
      </c>
      <c r="W336" s="156">
        <f t="shared" si="829"/>
        <v>0</v>
      </c>
      <c r="X336" s="158">
        <f t="shared" ref="X336" si="857">$S336/ORCAMENTO_VALOR_TOTAL_ND</f>
        <v>0</v>
      </c>
      <c r="Y336" s="158">
        <f t="shared" ref="Y336" si="858">$T336/ORCAMENTO_VALOR_TOTAL_DE</f>
        <v>0</v>
      </c>
      <c r="Z336" s="158" cm="1">
        <f t="array" ref="Z336">_xlfn.SWITCH($N336,"BDI 1",$O$6,"BDI 2",$O$7,"BDI 3",$O$8)</f>
        <v>0.20699999999999999</v>
      </c>
      <c r="AA336" s="158" cm="1">
        <f t="array" ref="AA336">_xlfn.SWITCH($N336,"BDI 1",$P$6,"BDI 2",$P$7,"BDI 3",$P$8)</f>
        <v>0.26739999999999997</v>
      </c>
      <c r="AB336" s="158">
        <f t="shared" ca="1" si="845"/>
        <v>0</v>
      </c>
      <c r="AC336" s="158">
        <f t="shared" ca="1" si="846"/>
        <v>0</v>
      </c>
      <c r="AD336" s="164"/>
      <c r="AE336" s="148">
        <f t="shared" si="832"/>
        <v>0</v>
      </c>
      <c r="AF336" s="149"/>
      <c r="AG336" s="150"/>
      <c r="AH336" s="159" t="e">
        <f t="shared" si="833"/>
        <v>#DIV/0!</v>
      </c>
      <c r="AI336" s="160"/>
      <c r="AJ336" s="105"/>
      <c r="AK336" s="105"/>
      <c r="AM336" s="105"/>
      <c r="AN336" s="105"/>
      <c r="AO336" s="105"/>
      <c r="AP336" s="105"/>
      <c r="AQ336" s="105"/>
      <c r="AR336" s="105"/>
    </row>
    <row r="337" spans="1:44" s="49" customFormat="1" ht="40.15" hidden="1" customHeight="1">
      <c r="A337" s="152">
        <f t="shared" ca="1" si="834"/>
        <v>0</v>
      </c>
      <c r="B337" s="153">
        <v>102487</v>
      </c>
      <c r="C337" s="154" t="str">
        <f t="shared" si="835"/>
        <v>102487</v>
      </c>
      <c r="D337" s="154" t="s">
        <v>1416</v>
      </c>
      <c r="E337" s="155" t="s">
        <v>3796</v>
      </c>
      <c r="F337" s="154"/>
      <c r="G337" s="154" t="s">
        <v>464</v>
      </c>
      <c r="H337" s="152">
        <v>558.70000000000005</v>
      </c>
      <c r="I337" s="152">
        <v>543.11</v>
      </c>
      <c r="J337" s="156"/>
      <c r="K337" s="156">
        <f>Dre_Disp_Estruturais!AI148</f>
        <v>0</v>
      </c>
      <c r="L337" s="156">
        <f t="shared" si="836"/>
        <v>0</v>
      </c>
      <c r="M337" s="156">
        <f t="shared" si="837"/>
        <v>0</v>
      </c>
      <c r="N337" s="156" t="s">
        <v>83</v>
      </c>
      <c r="O337" s="157" cm="1">
        <f t="array" ref="O337">TRUNC($H337*(1+_xlfn.SWITCH($N337,"BDI 1",$O$6,"BDI 2",$O$7,"BDI 3",$O$8)),2)</f>
        <v>674.35</v>
      </c>
      <c r="P337" s="157" cm="1">
        <f t="array" ref="P337">TRUNC($I337*(1+_xlfn.SWITCH($N337,"BDI 1",$P$6,"BDI 2",$P$7,"BDI 3",$P$8)),2)</f>
        <v>688.33</v>
      </c>
      <c r="Q337" s="157">
        <v>0</v>
      </c>
      <c r="R337" s="157">
        <f t="shared" ref="R337" si="859">$Q337-($Q337*LICITACAO_DESCONTO)</f>
        <v>0</v>
      </c>
      <c r="S337" s="156">
        <f t="shared" si="839"/>
        <v>0</v>
      </c>
      <c r="T337" s="156">
        <f t="shared" si="840"/>
        <v>0</v>
      </c>
      <c r="U337" s="156">
        <f t="shared" si="841"/>
        <v>0</v>
      </c>
      <c r="V337" s="156">
        <f t="shared" si="842"/>
        <v>0</v>
      </c>
      <c r="W337" s="156">
        <f t="shared" si="829"/>
        <v>0</v>
      </c>
      <c r="X337" s="158">
        <f t="shared" ref="X337" si="860">$S337/ORCAMENTO_VALOR_TOTAL_ND</f>
        <v>0</v>
      </c>
      <c r="Y337" s="158">
        <f t="shared" ref="Y337" si="861">$T337/ORCAMENTO_VALOR_TOTAL_DE</f>
        <v>0</v>
      </c>
      <c r="Z337" s="158" cm="1">
        <f t="array" ref="Z337">_xlfn.SWITCH($N337,"BDI 1",$O$6,"BDI 2",$O$7,"BDI 3",$O$8)</f>
        <v>0.20699999999999999</v>
      </c>
      <c r="AA337" s="158" cm="1">
        <f t="array" ref="AA337">_xlfn.SWITCH($N337,"BDI 1",$P$6,"BDI 2",$P$7,"BDI 3",$P$8)</f>
        <v>0.26739999999999997</v>
      </c>
      <c r="AB337" s="158">
        <f t="shared" ca="1" si="845"/>
        <v>0</v>
      </c>
      <c r="AC337" s="158">
        <f t="shared" ca="1" si="846"/>
        <v>0</v>
      </c>
      <c r="AD337" s="164"/>
      <c r="AE337" s="148">
        <f t="shared" si="832"/>
        <v>0</v>
      </c>
      <c r="AF337" s="149"/>
      <c r="AG337" s="150"/>
      <c r="AH337" s="159" t="e">
        <f t="shared" si="833"/>
        <v>#DIV/0!</v>
      </c>
      <c r="AI337" s="160"/>
      <c r="AJ337" s="105"/>
      <c r="AK337" s="105"/>
      <c r="AM337" s="105"/>
      <c r="AN337" s="105"/>
      <c r="AO337" s="105"/>
      <c r="AP337" s="105"/>
      <c r="AQ337" s="105"/>
      <c r="AR337" s="105"/>
    </row>
    <row r="338" spans="1:44" s="49" customFormat="1" ht="40.15" hidden="1" customHeight="1">
      <c r="A338" s="152">
        <f t="shared" ca="1" si="834"/>
        <v>0</v>
      </c>
      <c r="B338" s="153">
        <v>92415</v>
      </c>
      <c r="C338" s="154" t="str">
        <f t="shared" si="835"/>
        <v>92415</v>
      </c>
      <c r="D338" s="154" t="s">
        <v>1416</v>
      </c>
      <c r="E338" s="155" t="s">
        <v>3797</v>
      </c>
      <c r="F338" s="154"/>
      <c r="G338" s="154" t="s">
        <v>1418</v>
      </c>
      <c r="H338" s="152">
        <v>148.03</v>
      </c>
      <c r="I338" s="152">
        <v>133.79</v>
      </c>
      <c r="J338" s="156"/>
      <c r="K338" s="156">
        <f>Dre_Disp_Estruturais!AI131+Dre_Disp_Estruturais!AI137</f>
        <v>0</v>
      </c>
      <c r="L338" s="156">
        <f t="shared" si="836"/>
        <v>0</v>
      </c>
      <c r="M338" s="156">
        <f t="shared" si="837"/>
        <v>0</v>
      </c>
      <c r="N338" s="156" t="s">
        <v>83</v>
      </c>
      <c r="O338" s="157" cm="1">
        <f t="array" ref="O338">TRUNC($H338*(1+_xlfn.SWITCH($N338,"BDI 1",$O$6,"BDI 2",$O$7,"BDI 3",$O$8)),2)</f>
        <v>178.67</v>
      </c>
      <c r="P338" s="157" cm="1">
        <f t="array" ref="P338">TRUNC($I338*(1+_xlfn.SWITCH($N338,"BDI 1",$P$6,"BDI 2",$P$7,"BDI 3",$P$8)),2)</f>
        <v>169.56</v>
      </c>
      <c r="Q338" s="157">
        <v>0</v>
      </c>
      <c r="R338" s="157">
        <f t="shared" ref="R338" si="862">$Q338-($Q338*LICITACAO_DESCONTO)</f>
        <v>0</v>
      </c>
      <c r="S338" s="156">
        <f t="shared" si="839"/>
        <v>0</v>
      </c>
      <c r="T338" s="156">
        <f t="shared" si="840"/>
        <v>0</v>
      </c>
      <c r="U338" s="156">
        <f t="shared" si="841"/>
        <v>0</v>
      </c>
      <c r="V338" s="156">
        <f t="shared" si="842"/>
        <v>0</v>
      </c>
      <c r="W338" s="156">
        <f t="shared" si="829"/>
        <v>0</v>
      </c>
      <c r="X338" s="158">
        <f t="shared" ref="X338" si="863">$S338/ORCAMENTO_VALOR_TOTAL_ND</f>
        <v>0</v>
      </c>
      <c r="Y338" s="158">
        <f t="shared" ref="Y338" si="864">$T338/ORCAMENTO_VALOR_TOTAL_DE</f>
        <v>0</v>
      </c>
      <c r="Z338" s="158" cm="1">
        <f t="array" ref="Z338">_xlfn.SWITCH($N338,"BDI 1",$O$6,"BDI 2",$O$7,"BDI 3",$O$8)</f>
        <v>0.20699999999999999</v>
      </c>
      <c r="AA338" s="158" cm="1">
        <f t="array" ref="AA338">_xlfn.SWITCH($N338,"BDI 1",$P$6,"BDI 2",$P$7,"BDI 3",$P$8)</f>
        <v>0.26739999999999997</v>
      </c>
      <c r="AB338" s="158">
        <f t="shared" ca="1" si="845"/>
        <v>0</v>
      </c>
      <c r="AC338" s="158">
        <f t="shared" ca="1" si="846"/>
        <v>0</v>
      </c>
      <c r="AD338" s="164"/>
      <c r="AE338" s="148">
        <f t="shared" si="832"/>
        <v>0</v>
      </c>
      <c r="AF338" s="149"/>
      <c r="AG338" s="150"/>
      <c r="AH338" s="159" t="e">
        <f t="shared" si="833"/>
        <v>#DIV/0!</v>
      </c>
      <c r="AI338" s="160"/>
      <c r="AJ338" s="105"/>
      <c r="AK338" s="105"/>
      <c r="AM338" s="105"/>
      <c r="AN338" s="105"/>
      <c r="AO338" s="105"/>
      <c r="AP338" s="105"/>
      <c r="AQ338" s="105"/>
      <c r="AR338" s="105"/>
    </row>
    <row r="339" spans="1:44" s="49" customFormat="1" ht="40.15" hidden="1" customHeight="1">
      <c r="A339" s="152">
        <f t="shared" ca="1" si="834"/>
        <v>0</v>
      </c>
      <c r="B339" s="153">
        <v>92423</v>
      </c>
      <c r="C339" s="154" t="str">
        <f t="shared" si="835"/>
        <v>92423</v>
      </c>
      <c r="D339" s="154" t="s">
        <v>1416</v>
      </c>
      <c r="E339" s="155" t="s">
        <v>3798</v>
      </c>
      <c r="F339" s="154"/>
      <c r="G339" s="154" t="s">
        <v>1418</v>
      </c>
      <c r="H339" s="152">
        <v>80.2</v>
      </c>
      <c r="I339" s="152">
        <v>68.33</v>
      </c>
      <c r="J339" s="156"/>
      <c r="K339" s="156"/>
      <c r="L339" s="156">
        <f t="shared" si="836"/>
        <v>0</v>
      </c>
      <c r="M339" s="156">
        <f t="shared" si="837"/>
        <v>0</v>
      </c>
      <c r="N339" s="156" t="s">
        <v>83</v>
      </c>
      <c r="O339" s="157" cm="1">
        <f t="array" ref="O339">TRUNC($H339*(1+_xlfn.SWITCH($N339,"BDI 1",$O$6,"BDI 2",$O$7,"BDI 3",$O$8)),2)</f>
        <v>96.8</v>
      </c>
      <c r="P339" s="157" cm="1">
        <f t="array" ref="P339">TRUNC($I339*(1+_xlfn.SWITCH($N339,"BDI 1",$P$6,"BDI 2",$P$7,"BDI 3",$P$8)),2)</f>
        <v>86.6</v>
      </c>
      <c r="Q339" s="157">
        <v>0</v>
      </c>
      <c r="R339" s="157">
        <f t="shared" ref="R339" si="865">$Q339-($Q339*LICITACAO_DESCONTO)</f>
        <v>0</v>
      </c>
      <c r="S339" s="156">
        <f t="shared" si="839"/>
        <v>0</v>
      </c>
      <c r="T339" s="156">
        <f t="shared" si="840"/>
        <v>0</v>
      </c>
      <c r="U339" s="156">
        <f t="shared" si="841"/>
        <v>0</v>
      </c>
      <c r="V339" s="156">
        <f t="shared" si="842"/>
        <v>0</v>
      </c>
      <c r="W339" s="156">
        <f t="shared" si="829"/>
        <v>0</v>
      </c>
      <c r="X339" s="158">
        <f t="shared" ref="X339" si="866">$S339/ORCAMENTO_VALOR_TOTAL_ND</f>
        <v>0</v>
      </c>
      <c r="Y339" s="158">
        <f t="shared" ref="Y339" si="867">$T339/ORCAMENTO_VALOR_TOTAL_DE</f>
        <v>0</v>
      </c>
      <c r="Z339" s="158" cm="1">
        <f t="array" ref="Z339">_xlfn.SWITCH($N339,"BDI 1",$O$6,"BDI 2",$O$7,"BDI 3",$O$8)</f>
        <v>0.20699999999999999</v>
      </c>
      <c r="AA339" s="158" cm="1">
        <f t="array" ref="AA339">_xlfn.SWITCH($N339,"BDI 1",$P$6,"BDI 2",$P$7,"BDI 3",$P$8)</f>
        <v>0.26739999999999997</v>
      </c>
      <c r="AB339" s="158">
        <f t="shared" ca="1" si="845"/>
        <v>0</v>
      </c>
      <c r="AC339" s="158">
        <f t="shared" ca="1" si="846"/>
        <v>0</v>
      </c>
      <c r="AD339" s="164"/>
      <c r="AE339" s="148">
        <f t="shared" si="832"/>
        <v>0</v>
      </c>
      <c r="AF339" s="149"/>
      <c r="AG339" s="150"/>
      <c r="AH339" s="159" t="e">
        <f t="shared" si="833"/>
        <v>#DIV/0!</v>
      </c>
      <c r="AI339" s="160"/>
      <c r="AJ339" s="105"/>
      <c r="AK339" s="105"/>
      <c r="AM339" s="105"/>
      <c r="AN339" s="105"/>
      <c r="AO339" s="105"/>
      <c r="AP339" s="105"/>
      <c r="AQ339" s="105"/>
      <c r="AR339" s="105"/>
    </row>
    <row r="340" spans="1:44" s="49" customFormat="1" ht="40.15" hidden="1" customHeight="1">
      <c r="A340" s="152">
        <f t="shared" ca="1" si="834"/>
        <v>0</v>
      </c>
      <c r="B340" s="153">
        <v>92411</v>
      </c>
      <c r="C340" s="154" t="str">
        <f t="shared" si="835"/>
        <v>92411</v>
      </c>
      <c r="D340" s="154" t="s">
        <v>1416</v>
      </c>
      <c r="E340" s="155" t="s">
        <v>3799</v>
      </c>
      <c r="F340" s="154"/>
      <c r="G340" s="154" t="s">
        <v>1418</v>
      </c>
      <c r="H340" s="152">
        <v>142.63</v>
      </c>
      <c r="I340" s="152">
        <v>134.08000000000001</v>
      </c>
      <c r="J340" s="156"/>
      <c r="K340" s="156"/>
      <c r="L340" s="156">
        <f t="shared" si="836"/>
        <v>0</v>
      </c>
      <c r="M340" s="156">
        <f t="shared" si="837"/>
        <v>0</v>
      </c>
      <c r="N340" s="156" t="s">
        <v>83</v>
      </c>
      <c r="O340" s="157" cm="1">
        <f t="array" ref="O340">TRUNC($H340*(1+_xlfn.SWITCH($N340,"BDI 1",$O$6,"BDI 2",$O$7,"BDI 3",$O$8)),2)</f>
        <v>172.15</v>
      </c>
      <c r="P340" s="157" cm="1">
        <f t="array" ref="P340">TRUNC($I340*(1+_xlfn.SWITCH($N340,"BDI 1",$P$6,"BDI 2",$P$7,"BDI 3",$P$8)),2)</f>
        <v>169.93</v>
      </c>
      <c r="Q340" s="157">
        <v>0</v>
      </c>
      <c r="R340" s="157">
        <f t="shared" ref="R340" si="868">$Q340-($Q340*LICITACAO_DESCONTO)</f>
        <v>0</v>
      </c>
      <c r="S340" s="156">
        <f t="shared" si="839"/>
        <v>0</v>
      </c>
      <c r="T340" s="156">
        <f t="shared" si="840"/>
        <v>0</v>
      </c>
      <c r="U340" s="156">
        <f t="shared" si="841"/>
        <v>0</v>
      </c>
      <c r="V340" s="156">
        <f t="shared" si="842"/>
        <v>0</v>
      </c>
      <c r="W340" s="156">
        <f t="shared" si="829"/>
        <v>0</v>
      </c>
      <c r="X340" s="158">
        <f t="shared" ref="X340" si="869">$S340/ORCAMENTO_VALOR_TOTAL_ND</f>
        <v>0</v>
      </c>
      <c r="Y340" s="158">
        <f t="shared" ref="Y340" si="870">$T340/ORCAMENTO_VALOR_TOTAL_DE</f>
        <v>0</v>
      </c>
      <c r="Z340" s="158" cm="1">
        <f t="array" ref="Z340">_xlfn.SWITCH($N340,"BDI 1",$O$6,"BDI 2",$O$7,"BDI 3",$O$8)</f>
        <v>0.20699999999999999</v>
      </c>
      <c r="AA340" s="158" cm="1">
        <f t="array" ref="AA340">_xlfn.SWITCH($N340,"BDI 1",$P$6,"BDI 2",$P$7,"BDI 3",$P$8)</f>
        <v>0.26739999999999997</v>
      </c>
      <c r="AB340" s="158">
        <f t="shared" ca="1" si="845"/>
        <v>0</v>
      </c>
      <c r="AC340" s="158">
        <f t="shared" ca="1" si="846"/>
        <v>0</v>
      </c>
      <c r="AD340" s="164"/>
      <c r="AE340" s="148">
        <f t="shared" si="832"/>
        <v>0</v>
      </c>
      <c r="AF340" s="149"/>
      <c r="AG340" s="150"/>
      <c r="AH340" s="159" t="e">
        <f t="shared" si="833"/>
        <v>#DIV/0!</v>
      </c>
      <c r="AI340" s="160"/>
      <c r="AJ340" s="105"/>
      <c r="AK340" s="105"/>
      <c r="AM340" s="105"/>
      <c r="AN340" s="105"/>
      <c r="AO340" s="105"/>
      <c r="AP340" s="105"/>
      <c r="AQ340" s="105"/>
      <c r="AR340" s="105"/>
    </row>
    <row r="341" spans="1:44" s="49" customFormat="1" ht="40.15" hidden="1" customHeight="1">
      <c r="A341" s="152">
        <f t="shared" ca="1" si="834"/>
        <v>0</v>
      </c>
      <c r="B341" s="153">
        <v>92413</v>
      </c>
      <c r="C341" s="154" t="str">
        <f t="shared" si="835"/>
        <v>92413</v>
      </c>
      <c r="D341" s="154" t="s">
        <v>1416</v>
      </c>
      <c r="E341" s="155" t="s">
        <v>3800</v>
      </c>
      <c r="F341" s="154"/>
      <c r="G341" s="154" t="s">
        <v>1418</v>
      </c>
      <c r="H341" s="152">
        <v>93.28</v>
      </c>
      <c r="I341" s="152">
        <v>87.04</v>
      </c>
      <c r="J341" s="156"/>
      <c r="K341" s="156"/>
      <c r="L341" s="156">
        <f t="shared" si="836"/>
        <v>0</v>
      </c>
      <c r="M341" s="156">
        <f t="shared" si="837"/>
        <v>0</v>
      </c>
      <c r="N341" s="156" t="s">
        <v>83</v>
      </c>
      <c r="O341" s="157" cm="1">
        <f t="array" ref="O341">TRUNC($H341*(1+_xlfn.SWITCH($N341,"BDI 1",$O$6,"BDI 2",$O$7,"BDI 3",$O$8)),2)</f>
        <v>112.58</v>
      </c>
      <c r="P341" s="157" cm="1">
        <f t="array" ref="P341">TRUNC($I341*(1+_xlfn.SWITCH($N341,"BDI 1",$P$6,"BDI 2",$P$7,"BDI 3",$P$8)),2)</f>
        <v>110.31</v>
      </c>
      <c r="Q341" s="157">
        <v>0</v>
      </c>
      <c r="R341" s="157">
        <f t="shared" ref="R341" si="871">$Q341-($Q341*LICITACAO_DESCONTO)</f>
        <v>0</v>
      </c>
      <c r="S341" s="156">
        <f t="shared" si="839"/>
        <v>0</v>
      </c>
      <c r="T341" s="156">
        <f t="shared" si="840"/>
        <v>0</v>
      </c>
      <c r="U341" s="156">
        <f t="shared" si="841"/>
        <v>0</v>
      </c>
      <c r="V341" s="156">
        <f t="shared" si="842"/>
        <v>0</v>
      </c>
      <c r="W341" s="156">
        <f t="shared" si="829"/>
        <v>0</v>
      </c>
      <c r="X341" s="158">
        <f t="shared" ref="X341" si="872">$S341/ORCAMENTO_VALOR_TOTAL_ND</f>
        <v>0</v>
      </c>
      <c r="Y341" s="158">
        <f t="shared" ref="Y341" si="873">$T341/ORCAMENTO_VALOR_TOTAL_DE</f>
        <v>0</v>
      </c>
      <c r="Z341" s="158" cm="1">
        <f t="array" ref="Z341">_xlfn.SWITCH($N341,"BDI 1",$O$6,"BDI 2",$O$7,"BDI 3",$O$8)</f>
        <v>0.20699999999999999</v>
      </c>
      <c r="AA341" s="158" cm="1">
        <f t="array" ref="AA341">_xlfn.SWITCH($N341,"BDI 1",$P$6,"BDI 2",$P$7,"BDI 3",$P$8)</f>
        <v>0.26739999999999997</v>
      </c>
      <c r="AB341" s="158">
        <f t="shared" ca="1" si="845"/>
        <v>0</v>
      </c>
      <c r="AC341" s="158">
        <f t="shared" ca="1" si="846"/>
        <v>0</v>
      </c>
      <c r="AD341" s="164"/>
      <c r="AE341" s="148">
        <f t="shared" si="832"/>
        <v>0</v>
      </c>
      <c r="AF341" s="149"/>
      <c r="AG341" s="150"/>
      <c r="AH341" s="159" t="e">
        <f t="shared" si="833"/>
        <v>#DIV/0!</v>
      </c>
      <c r="AI341" s="160"/>
      <c r="AJ341" s="105"/>
      <c r="AK341" s="105"/>
      <c r="AM341" s="105"/>
      <c r="AN341" s="105"/>
      <c r="AO341" s="105"/>
      <c r="AP341" s="105"/>
      <c r="AQ341" s="105"/>
      <c r="AR341" s="105"/>
    </row>
    <row r="342" spans="1:44" s="49" customFormat="1" ht="40.15" hidden="1" customHeight="1">
      <c r="A342" s="152">
        <f t="shared" ca="1" si="834"/>
        <v>0</v>
      </c>
      <c r="B342" s="153">
        <v>96543</v>
      </c>
      <c r="C342" s="154" t="str">
        <f t="shared" si="835"/>
        <v>96543</v>
      </c>
      <c r="D342" s="154" t="s">
        <v>1416</v>
      </c>
      <c r="E342" s="155" t="s">
        <v>3801</v>
      </c>
      <c r="F342" s="154"/>
      <c r="G342" s="154" t="s">
        <v>3802</v>
      </c>
      <c r="H342" s="152">
        <v>19.41</v>
      </c>
      <c r="I342" s="152">
        <v>18.38</v>
      </c>
      <c r="J342" s="156"/>
      <c r="K342" s="156">
        <f>Dre_Disp_Estruturais!AI139</f>
        <v>0</v>
      </c>
      <c r="L342" s="156">
        <f t="shared" si="836"/>
        <v>0</v>
      </c>
      <c r="M342" s="156">
        <f t="shared" si="837"/>
        <v>0</v>
      </c>
      <c r="N342" s="156" t="s">
        <v>83</v>
      </c>
      <c r="O342" s="157" cm="1">
        <f t="array" ref="O342">TRUNC($H342*(1+_xlfn.SWITCH($N342,"BDI 1",$O$6,"BDI 2",$O$7,"BDI 3",$O$8)),2)</f>
        <v>23.42</v>
      </c>
      <c r="P342" s="157" cm="1">
        <f t="array" ref="P342">TRUNC($I342*(1+_xlfn.SWITCH($N342,"BDI 1",$P$6,"BDI 2",$P$7,"BDI 3",$P$8)),2)</f>
        <v>23.29</v>
      </c>
      <c r="Q342" s="157">
        <v>0</v>
      </c>
      <c r="R342" s="157">
        <f t="shared" ref="R342" si="874">$Q342-($Q342*LICITACAO_DESCONTO)</f>
        <v>0</v>
      </c>
      <c r="S342" s="156">
        <f t="shared" si="839"/>
        <v>0</v>
      </c>
      <c r="T342" s="156">
        <f t="shared" si="840"/>
        <v>0</v>
      </c>
      <c r="U342" s="156">
        <f t="shared" si="841"/>
        <v>0</v>
      </c>
      <c r="V342" s="156">
        <f t="shared" si="842"/>
        <v>0</v>
      </c>
      <c r="W342" s="156">
        <f t="shared" si="829"/>
        <v>0</v>
      </c>
      <c r="X342" s="158">
        <f t="shared" ref="X342" si="875">$S342/ORCAMENTO_VALOR_TOTAL_ND</f>
        <v>0</v>
      </c>
      <c r="Y342" s="158">
        <f t="shared" ref="Y342" si="876">$T342/ORCAMENTO_VALOR_TOTAL_DE</f>
        <v>0</v>
      </c>
      <c r="Z342" s="158" cm="1">
        <f t="array" ref="Z342">_xlfn.SWITCH($N342,"BDI 1",$O$6,"BDI 2",$O$7,"BDI 3",$O$8)</f>
        <v>0.20699999999999999</v>
      </c>
      <c r="AA342" s="158" cm="1">
        <f t="array" ref="AA342">_xlfn.SWITCH($N342,"BDI 1",$P$6,"BDI 2",$P$7,"BDI 3",$P$8)</f>
        <v>0.26739999999999997</v>
      </c>
      <c r="AB342" s="158">
        <f t="shared" ca="1" si="845"/>
        <v>0</v>
      </c>
      <c r="AC342" s="158">
        <f t="shared" ca="1" si="846"/>
        <v>0</v>
      </c>
      <c r="AD342" s="164"/>
      <c r="AE342" s="148">
        <f t="shared" si="832"/>
        <v>0</v>
      </c>
      <c r="AF342" s="149"/>
      <c r="AG342" s="150"/>
      <c r="AH342" s="159" t="e">
        <f t="shared" si="833"/>
        <v>#DIV/0!</v>
      </c>
      <c r="AI342" s="160"/>
      <c r="AJ342" s="105"/>
      <c r="AK342" s="105"/>
      <c r="AM342" s="105"/>
      <c r="AN342" s="105"/>
      <c r="AO342" s="105"/>
      <c r="AP342" s="105"/>
      <c r="AQ342" s="105"/>
      <c r="AR342" s="105"/>
    </row>
    <row r="343" spans="1:44" s="49" customFormat="1" ht="40.15" hidden="1" customHeight="1">
      <c r="A343" s="152">
        <f t="shared" ca="1" si="834"/>
        <v>0</v>
      </c>
      <c r="B343" s="153">
        <v>100342</v>
      </c>
      <c r="C343" s="154" t="str">
        <f t="shared" si="835"/>
        <v>100342</v>
      </c>
      <c r="D343" s="154" t="s">
        <v>1416</v>
      </c>
      <c r="E343" s="155" t="s">
        <v>3803</v>
      </c>
      <c r="F343" s="154"/>
      <c r="G343" s="154" t="s">
        <v>3802</v>
      </c>
      <c r="H343" s="152">
        <v>14.4</v>
      </c>
      <c r="I343" s="152">
        <v>13.93</v>
      </c>
      <c r="J343" s="156"/>
      <c r="K343" s="156">
        <f>Dre_Disp_Estruturais!AI132+Dre_Disp_Estruturais!AI140</f>
        <v>0</v>
      </c>
      <c r="L343" s="156">
        <f t="shared" si="836"/>
        <v>0</v>
      </c>
      <c r="M343" s="156">
        <f t="shared" si="837"/>
        <v>0</v>
      </c>
      <c r="N343" s="156" t="s">
        <v>83</v>
      </c>
      <c r="O343" s="157" cm="1">
        <f t="array" ref="O343">TRUNC($H343*(1+_xlfn.SWITCH($N343,"BDI 1",$O$6,"BDI 2",$O$7,"BDI 3",$O$8)),2)</f>
        <v>17.38</v>
      </c>
      <c r="P343" s="157" cm="1">
        <f t="array" ref="P343">TRUNC($I343*(1+_xlfn.SWITCH($N343,"BDI 1",$P$6,"BDI 2",$P$7,"BDI 3",$P$8)),2)</f>
        <v>17.649999999999999</v>
      </c>
      <c r="Q343" s="157">
        <v>0</v>
      </c>
      <c r="R343" s="157">
        <f t="shared" ref="R343" si="877">$Q343-($Q343*LICITACAO_DESCONTO)</f>
        <v>0</v>
      </c>
      <c r="S343" s="156">
        <f t="shared" si="839"/>
        <v>0</v>
      </c>
      <c r="T343" s="156">
        <f t="shared" si="840"/>
        <v>0</v>
      </c>
      <c r="U343" s="156">
        <f t="shared" si="841"/>
        <v>0</v>
      </c>
      <c r="V343" s="156">
        <f t="shared" si="842"/>
        <v>0</v>
      </c>
      <c r="W343" s="156">
        <f t="shared" si="829"/>
        <v>0</v>
      </c>
      <c r="X343" s="158">
        <f t="shared" ref="X343" si="878">$S343/ORCAMENTO_VALOR_TOTAL_ND</f>
        <v>0</v>
      </c>
      <c r="Y343" s="158">
        <f t="shared" ref="Y343" si="879">$T343/ORCAMENTO_VALOR_TOTAL_DE</f>
        <v>0</v>
      </c>
      <c r="Z343" s="158" cm="1">
        <f t="array" ref="Z343">_xlfn.SWITCH($N343,"BDI 1",$O$6,"BDI 2",$O$7,"BDI 3",$O$8)</f>
        <v>0.20699999999999999</v>
      </c>
      <c r="AA343" s="158" cm="1">
        <f t="array" ref="AA343">_xlfn.SWITCH($N343,"BDI 1",$P$6,"BDI 2",$P$7,"BDI 3",$P$8)</f>
        <v>0.26739999999999997</v>
      </c>
      <c r="AB343" s="158">
        <f t="shared" ca="1" si="845"/>
        <v>0</v>
      </c>
      <c r="AC343" s="158">
        <f t="shared" ca="1" si="846"/>
        <v>0</v>
      </c>
      <c r="AD343" s="164"/>
      <c r="AE343" s="148">
        <f t="shared" si="832"/>
        <v>0</v>
      </c>
      <c r="AF343" s="149"/>
      <c r="AG343" s="150"/>
      <c r="AH343" s="159" t="e">
        <f t="shared" si="833"/>
        <v>#DIV/0!</v>
      </c>
      <c r="AI343" s="160"/>
      <c r="AJ343" s="105"/>
      <c r="AK343" s="105"/>
      <c r="AM343" s="105"/>
      <c r="AN343" s="105"/>
      <c r="AO343" s="105"/>
      <c r="AP343" s="105"/>
      <c r="AQ343" s="105"/>
      <c r="AR343" s="105"/>
    </row>
    <row r="344" spans="1:44" s="49" customFormat="1" ht="40.15" hidden="1" customHeight="1">
      <c r="A344" s="152">
        <f t="shared" ca="1" si="834"/>
        <v>0</v>
      </c>
      <c r="B344" s="153">
        <v>100343</v>
      </c>
      <c r="C344" s="154" t="str">
        <f t="shared" si="835"/>
        <v>100343</v>
      </c>
      <c r="D344" s="154" t="s">
        <v>1416</v>
      </c>
      <c r="E344" s="155" t="s">
        <v>3804</v>
      </c>
      <c r="F344" s="154"/>
      <c r="G344" s="154" t="s">
        <v>3802</v>
      </c>
      <c r="H344" s="152">
        <v>13.61</v>
      </c>
      <c r="I344" s="152">
        <v>13.26</v>
      </c>
      <c r="J344" s="156"/>
      <c r="K344" s="156">
        <f>Dre_Disp_Estruturais!AI141</f>
        <v>0</v>
      </c>
      <c r="L344" s="156">
        <f t="shared" si="836"/>
        <v>0</v>
      </c>
      <c r="M344" s="156">
        <f t="shared" si="837"/>
        <v>0</v>
      </c>
      <c r="N344" s="156" t="s">
        <v>83</v>
      </c>
      <c r="O344" s="157" cm="1">
        <f t="array" ref="O344">TRUNC($H344*(1+_xlfn.SWITCH($N344,"BDI 1",$O$6,"BDI 2",$O$7,"BDI 3",$O$8)),2)</f>
        <v>16.420000000000002</v>
      </c>
      <c r="P344" s="157" cm="1">
        <f t="array" ref="P344">TRUNC($I344*(1+_xlfn.SWITCH($N344,"BDI 1",$P$6,"BDI 2",$P$7,"BDI 3",$P$8)),2)</f>
        <v>16.8</v>
      </c>
      <c r="Q344" s="157">
        <v>0</v>
      </c>
      <c r="R344" s="157">
        <f t="shared" ref="R344" si="880">$Q344-($Q344*LICITACAO_DESCONTO)</f>
        <v>0</v>
      </c>
      <c r="S344" s="156">
        <f t="shared" si="839"/>
        <v>0</v>
      </c>
      <c r="T344" s="156">
        <f t="shared" si="840"/>
        <v>0</v>
      </c>
      <c r="U344" s="156">
        <f t="shared" si="841"/>
        <v>0</v>
      </c>
      <c r="V344" s="156">
        <f t="shared" si="842"/>
        <v>0</v>
      </c>
      <c r="W344" s="156">
        <f t="shared" si="829"/>
        <v>0</v>
      </c>
      <c r="X344" s="158">
        <f t="shared" ref="X344" si="881">$S344/ORCAMENTO_VALOR_TOTAL_ND</f>
        <v>0</v>
      </c>
      <c r="Y344" s="158">
        <f t="shared" ref="Y344" si="882">$T344/ORCAMENTO_VALOR_TOTAL_DE</f>
        <v>0</v>
      </c>
      <c r="Z344" s="158" cm="1">
        <f t="array" ref="Z344">_xlfn.SWITCH($N344,"BDI 1",$O$6,"BDI 2",$O$7,"BDI 3",$O$8)</f>
        <v>0.20699999999999999</v>
      </c>
      <c r="AA344" s="158" cm="1">
        <f t="array" ref="AA344">_xlfn.SWITCH($N344,"BDI 1",$P$6,"BDI 2",$P$7,"BDI 3",$P$8)</f>
        <v>0.26739999999999997</v>
      </c>
      <c r="AB344" s="158">
        <f t="shared" ca="1" si="845"/>
        <v>0</v>
      </c>
      <c r="AC344" s="158">
        <f t="shared" ca="1" si="846"/>
        <v>0</v>
      </c>
      <c r="AD344" s="164"/>
      <c r="AE344" s="148">
        <f t="shared" si="832"/>
        <v>0</v>
      </c>
      <c r="AF344" s="149"/>
      <c r="AG344" s="150"/>
      <c r="AH344" s="159" t="e">
        <f t="shared" si="833"/>
        <v>#DIV/0!</v>
      </c>
      <c r="AI344" s="160"/>
      <c r="AJ344" s="105"/>
      <c r="AK344" s="105"/>
      <c r="AM344" s="105"/>
      <c r="AN344" s="105"/>
      <c r="AO344" s="105"/>
      <c r="AP344" s="105"/>
      <c r="AQ344" s="105"/>
      <c r="AR344" s="105"/>
    </row>
    <row r="345" spans="1:44" s="49" customFormat="1" ht="40.15" hidden="1" customHeight="1">
      <c r="A345" s="152">
        <f t="shared" ca="1" si="834"/>
        <v>0</v>
      </c>
      <c r="B345" s="153">
        <v>100344</v>
      </c>
      <c r="C345" s="154" t="str">
        <f t="shared" si="835"/>
        <v>100344</v>
      </c>
      <c r="D345" s="154" t="s">
        <v>1416</v>
      </c>
      <c r="E345" s="155" t="s">
        <v>3805</v>
      </c>
      <c r="F345" s="154"/>
      <c r="G345" s="154" t="s">
        <v>3802</v>
      </c>
      <c r="H345" s="152">
        <v>12.17</v>
      </c>
      <c r="I345" s="152">
        <v>11.92</v>
      </c>
      <c r="J345" s="156"/>
      <c r="K345" s="156">
        <f>Dre_Disp_Estruturais!AI142</f>
        <v>0</v>
      </c>
      <c r="L345" s="156">
        <f t="shared" si="836"/>
        <v>0</v>
      </c>
      <c r="M345" s="156">
        <f t="shared" si="837"/>
        <v>0</v>
      </c>
      <c r="N345" s="156" t="s">
        <v>83</v>
      </c>
      <c r="O345" s="157" cm="1">
        <f t="array" ref="O345">TRUNC($H345*(1+_xlfn.SWITCH($N345,"BDI 1",$O$6,"BDI 2",$O$7,"BDI 3",$O$8)),2)</f>
        <v>14.68</v>
      </c>
      <c r="P345" s="157" cm="1">
        <f t="array" ref="P345">TRUNC($I345*(1+_xlfn.SWITCH($N345,"BDI 1",$P$6,"BDI 2",$P$7,"BDI 3",$P$8)),2)</f>
        <v>15.1</v>
      </c>
      <c r="Q345" s="157">
        <v>0</v>
      </c>
      <c r="R345" s="157">
        <f t="shared" ref="R345" si="883">$Q345-($Q345*LICITACAO_DESCONTO)</f>
        <v>0</v>
      </c>
      <c r="S345" s="156">
        <f t="shared" si="839"/>
        <v>0</v>
      </c>
      <c r="T345" s="156">
        <f t="shared" si="840"/>
        <v>0</v>
      </c>
      <c r="U345" s="156">
        <f t="shared" si="841"/>
        <v>0</v>
      </c>
      <c r="V345" s="156">
        <f t="shared" si="842"/>
        <v>0</v>
      </c>
      <c r="W345" s="156">
        <f t="shared" si="829"/>
        <v>0</v>
      </c>
      <c r="X345" s="158">
        <f t="shared" ref="X345" si="884">$S345/ORCAMENTO_VALOR_TOTAL_ND</f>
        <v>0</v>
      </c>
      <c r="Y345" s="158">
        <f t="shared" ref="Y345" si="885">$T345/ORCAMENTO_VALOR_TOTAL_DE</f>
        <v>0</v>
      </c>
      <c r="Z345" s="158" cm="1">
        <f t="array" ref="Z345">_xlfn.SWITCH($N345,"BDI 1",$O$6,"BDI 2",$O$7,"BDI 3",$O$8)</f>
        <v>0.20699999999999999</v>
      </c>
      <c r="AA345" s="158" cm="1">
        <f t="array" ref="AA345">_xlfn.SWITCH($N345,"BDI 1",$P$6,"BDI 2",$P$7,"BDI 3",$P$8)</f>
        <v>0.26739999999999997</v>
      </c>
      <c r="AB345" s="158">
        <f t="shared" ca="1" si="845"/>
        <v>0</v>
      </c>
      <c r="AC345" s="158">
        <f t="shared" ca="1" si="846"/>
        <v>0</v>
      </c>
      <c r="AD345" s="164"/>
      <c r="AE345" s="148">
        <f t="shared" si="832"/>
        <v>0</v>
      </c>
      <c r="AF345" s="149"/>
      <c r="AG345" s="150"/>
      <c r="AH345" s="159" t="e">
        <f t="shared" si="833"/>
        <v>#DIV/0!</v>
      </c>
      <c r="AI345" s="160"/>
      <c r="AJ345" s="105"/>
      <c r="AK345" s="105"/>
      <c r="AM345" s="105"/>
      <c r="AN345" s="105"/>
      <c r="AO345" s="105"/>
      <c r="AP345" s="105"/>
      <c r="AQ345" s="105"/>
      <c r="AR345" s="105"/>
    </row>
    <row r="346" spans="1:44" s="49" customFormat="1" ht="40.15" hidden="1" customHeight="1">
      <c r="A346" s="152">
        <f t="shared" ca="1" si="834"/>
        <v>0</v>
      </c>
      <c r="B346" s="153">
        <v>100345</v>
      </c>
      <c r="C346" s="154" t="str">
        <f t="shared" si="835"/>
        <v>100345</v>
      </c>
      <c r="D346" s="154" t="s">
        <v>1416</v>
      </c>
      <c r="E346" s="155" t="s">
        <v>3806</v>
      </c>
      <c r="F346" s="154"/>
      <c r="G346" s="154" t="s">
        <v>3802</v>
      </c>
      <c r="H346" s="152">
        <v>10.31</v>
      </c>
      <c r="I346" s="152">
        <v>10.1</v>
      </c>
      <c r="J346" s="156"/>
      <c r="K346" s="156">
        <f>Dre_Disp_Estruturais!AI143</f>
        <v>0</v>
      </c>
      <c r="L346" s="156">
        <f t="shared" si="836"/>
        <v>0</v>
      </c>
      <c r="M346" s="156">
        <f t="shared" si="837"/>
        <v>0</v>
      </c>
      <c r="N346" s="156" t="s">
        <v>83</v>
      </c>
      <c r="O346" s="157" cm="1">
        <f t="array" ref="O346">TRUNC($H346*(1+_xlfn.SWITCH($N346,"BDI 1",$O$6,"BDI 2",$O$7,"BDI 3",$O$8)),2)</f>
        <v>12.44</v>
      </c>
      <c r="P346" s="157" cm="1">
        <f t="array" ref="P346">TRUNC($I346*(1+_xlfn.SWITCH($N346,"BDI 1",$P$6,"BDI 2",$P$7,"BDI 3",$P$8)),2)</f>
        <v>12.8</v>
      </c>
      <c r="Q346" s="157">
        <v>0</v>
      </c>
      <c r="R346" s="157">
        <f t="shared" ref="R346" si="886">$Q346-($Q346*LICITACAO_DESCONTO)</f>
        <v>0</v>
      </c>
      <c r="S346" s="156">
        <f t="shared" si="839"/>
        <v>0</v>
      </c>
      <c r="T346" s="156">
        <f t="shared" si="840"/>
        <v>0</v>
      </c>
      <c r="U346" s="156">
        <f t="shared" si="841"/>
        <v>0</v>
      </c>
      <c r="V346" s="156">
        <f t="shared" si="842"/>
        <v>0</v>
      </c>
      <c r="W346" s="156">
        <f t="shared" si="829"/>
        <v>0</v>
      </c>
      <c r="X346" s="158">
        <f t="shared" ref="X346" si="887">$S346/ORCAMENTO_VALOR_TOTAL_ND</f>
        <v>0</v>
      </c>
      <c r="Y346" s="158">
        <f t="shared" ref="Y346" si="888">$T346/ORCAMENTO_VALOR_TOTAL_DE</f>
        <v>0</v>
      </c>
      <c r="Z346" s="158" cm="1">
        <f t="array" ref="Z346">_xlfn.SWITCH($N346,"BDI 1",$O$6,"BDI 2",$O$7,"BDI 3",$O$8)</f>
        <v>0.20699999999999999</v>
      </c>
      <c r="AA346" s="158" cm="1">
        <f t="array" ref="AA346">_xlfn.SWITCH($N346,"BDI 1",$P$6,"BDI 2",$P$7,"BDI 3",$P$8)</f>
        <v>0.26739999999999997</v>
      </c>
      <c r="AB346" s="158">
        <f t="shared" ca="1" si="845"/>
        <v>0</v>
      </c>
      <c r="AC346" s="158">
        <f t="shared" ca="1" si="846"/>
        <v>0</v>
      </c>
      <c r="AD346" s="164"/>
      <c r="AE346" s="148">
        <f t="shared" si="832"/>
        <v>0</v>
      </c>
      <c r="AF346" s="149"/>
      <c r="AG346" s="150"/>
      <c r="AH346" s="159" t="e">
        <f t="shared" si="833"/>
        <v>#DIV/0!</v>
      </c>
      <c r="AI346" s="160"/>
      <c r="AJ346" s="105"/>
      <c r="AK346" s="105"/>
      <c r="AM346" s="105"/>
      <c r="AN346" s="105"/>
      <c r="AO346" s="105"/>
      <c r="AP346" s="105"/>
      <c r="AQ346" s="105"/>
      <c r="AR346" s="105"/>
    </row>
    <row r="347" spans="1:44" s="49" customFormat="1" ht="40.15" hidden="1" customHeight="1">
      <c r="A347" s="152">
        <f t="shared" ca="1" si="834"/>
        <v>0</v>
      </c>
      <c r="B347" s="153">
        <v>91593</v>
      </c>
      <c r="C347" s="154" t="str">
        <f t="shared" si="835"/>
        <v>91593</v>
      </c>
      <c r="D347" s="154" t="s">
        <v>1416</v>
      </c>
      <c r="E347" s="155" t="s">
        <v>3807</v>
      </c>
      <c r="F347" s="154"/>
      <c r="G347" s="154" t="s">
        <v>3802</v>
      </c>
      <c r="H347" s="152">
        <v>10.59</v>
      </c>
      <c r="I347" s="152">
        <v>10.220000000000001</v>
      </c>
      <c r="J347" s="156"/>
      <c r="K347" s="156">
        <f>Dre_Disp_Estruturais!AI138</f>
        <v>0</v>
      </c>
      <c r="L347" s="156">
        <f t="shared" si="836"/>
        <v>0</v>
      </c>
      <c r="M347" s="156">
        <f t="shared" si="837"/>
        <v>0</v>
      </c>
      <c r="N347" s="156" t="s">
        <v>83</v>
      </c>
      <c r="O347" s="157" cm="1">
        <f t="array" ref="O347">TRUNC($H347*(1+_xlfn.SWITCH($N347,"BDI 1",$O$6,"BDI 2",$O$7,"BDI 3",$O$8)),2)</f>
        <v>12.78</v>
      </c>
      <c r="P347" s="157" cm="1">
        <f t="array" ref="P347">TRUNC($I347*(1+_xlfn.SWITCH($N347,"BDI 1",$P$6,"BDI 2",$P$7,"BDI 3",$P$8)),2)</f>
        <v>12.95</v>
      </c>
      <c r="Q347" s="157">
        <v>0</v>
      </c>
      <c r="R347" s="157">
        <f t="shared" ref="R347" si="889">$Q347-($Q347*LICITACAO_DESCONTO)</f>
        <v>0</v>
      </c>
      <c r="S347" s="156">
        <f t="shared" si="839"/>
        <v>0</v>
      </c>
      <c r="T347" s="156">
        <f t="shared" si="840"/>
        <v>0</v>
      </c>
      <c r="U347" s="156">
        <f t="shared" si="841"/>
        <v>0</v>
      </c>
      <c r="V347" s="156">
        <f t="shared" si="842"/>
        <v>0</v>
      </c>
      <c r="W347" s="156">
        <f t="shared" si="829"/>
        <v>0</v>
      </c>
      <c r="X347" s="158">
        <f t="shared" ref="X347" si="890">$S347/ORCAMENTO_VALOR_TOTAL_ND</f>
        <v>0</v>
      </c>
      <c r="Y347" s="158">
        <f t="shared" ref="Y347" si="891">$T347/ORCAMENTO_VALOR_TOTAL_DE</f>
        <v>0</v>
      </c>
      <c r="Z347" s="158" cm="1">
        <f t="array" ref="Z347">_xlfn.SWITCH($N347,"BDI 1",$O$6,"BDI 2",$O$7,"BDI 3",$O$8)</f>
        <v>0.20699999999999999</v>
      </c>
      <c r="AA347" s="158" cm="1">
        <f t="array" ref="AA347">_xlfn.SWITCH($N347,"BDI 1",$P$6,"BDI 2",$P$7,"BDI 3",$P$8)</f>
        <v>0.26739999999999997</v>
      </c>
      <c r="AB347" s="158">
        <f t="shared" ca="1" si="845"/>
        <v>0</v>
      </c>
      <c r="AC347" s="158">
        <f t="shared" ca="1" si="846"/>
        <v>0</v>
      </c>
      <c r="AD347" s="164"/>
      <c r="AE347" s="148">
        <f t="shared" si="832"/>
        <v>0</v>
      </c>
      <c r="AF347" s="149"/>
      <c r="AG347" s="150"/>
      <c r="AH347" s="159" t="e">
        <f t="shared" si="833"/>
        <v>#DIV/0!</v>
      </c>
      <c r="AI347" s="160"/>
      <c r="AJ347" s="105"/>
      <c r="AK347" s="105"/>
      <c r="AM347" s="105"/>
      <c r="AN347" s="105"/>
      <c r="AO347" s="105"/>
      <c r="AP347" s="105"/>
      <c r="AQ347" s="105"/>
      <c r="AR347" s="105"/>
    </row>
    <row r="348" spans="1:44" s="49" customFormat="1" ht="40.15" hidden="1" customHeight="1">
      <c r="A348" s="152">
        <f t="shared" ca="1" si="834"/>
        <v>0</v>
      </c>
      <c r="B348" s="153">
        <v>91594</v>
      </c>
      <c r="C348" s="154" t="str">
        <f t="shared" si="835"/>
        <v>91594</v>
      </c>
      <c r="D348" s="154" t="s">
        <v>1416</v>
      </c>
      <c r="E348" s="155" t="s">
        <v>3808</v>
      </c>
      <c r="F348" s="154"/>
      <c r="G348" s="154" t="s">
        <v>3802</v>
      </c>
      <c r="H348" s="152">
        <v>11</v>
      </c>
      <c r="I348" s="152">
        <v>10.61</v>
      </c>
      <c r="J348" s="156"/>
      <c r="K348" s="156"/>
      <c r="L348" s="156">
        <f t="shared" si="836"/>
        <v>0</v>
      </c>
      <c r="M348" s="156">
        <f t="shared" si="837"/>
        <v>0</v>
      </c>
      <c r="N348" s="156" t="s">
        <v>83</v>
      </c>
      <c r="O348" s="157" cm="1">
        <f t="array" ref="O348">TRUNC($H348*(1+_xlfn.SWITCH($N348,"BDI 1",$O$6,"BDI 2",$O$7,"BDI 3",$O$8)),2)</f>
        <v>13.27</v>
      </c>
      <c r="P348" s="157" cm="1">
        <f t="array" ref="P348">TRUNC($I348*(1+_xlfn.SWITCH($N348,"BDI 1",$P$6,"BDI 2",$P$7,"BDI 3",$P$8)),2)</f>
        <v>13.44</v>
      </c>
      <c r="Q348" s="157">
        <v>0</v>
      </c>
      <c r="R348" s="157">
        <f t="shared" ref="R348" si="892">$Q348-($Q348*LICITACAO_DESCONTO)</f>
        <v>0</v>
      </c>
      <c r="S348" s="156">
        <f t="shared" si="839"/>
        <v>0</v>
      </c>
      <c r="T348" s="156">
        <f t="shared" si="840"/>
        <v>0</v>
      </c>
      <c r="U348" s="156">
        <f t="shared" si="841"/>
        <v>0</v>
      </c>
      <c r="V348" s="156">
        <f t="shared" si="842"/>
        <v>0</v>
      </c>
      <c r="W348" s="156">
        <f t="shared" si="829"/>
        <v>0</v>
      </c>
      <c r="X348" s="158">
        <f t="shared" ref="X348" si="893">$S348/ORCAMENTO_VALOR_TOTAL_ND</f>
        <v>0</v>
      </c>
      <c r="Y348" s="158">
        <f t="shared" ref="Y348" si="894">$T348/ORCAMENTO_VALOR_TOTAL_DE</f>
        <v>0</v>
      </c>
      <c r="Z348" s="158" cm="1">
        <f t="array" ref="Z348">_xlfn.SWITCH($N348,"BDI 1",$O$6,"BDI 2",$O$7,"BDI 3",$O$8)</f>
        <v>0.20699999999999999</v>
      </c>
      <c r="AA348" s="158" cm="1">
        <f t="array" ref="AA348">_xlfn.SWITCH($N348,"BDI 1",$P$6,"BDI 2",$P$7,"BDI 3",$P$8)</f>
        <v>0.26739999999999997</v>
      </c>
      <c r="AB348" s="158">
        <f t="shared" ca="1" si="845"/>
        <v>0</v>
      </c>
      <c r="AC348" s="158">
        <f t="shared" ca="1" si="846"/>
        <v>0</v>
      </c>
      <c r="AD348" s="164"/>
      <c r="AE348" s="148">
        <f t="shared" si="832"/>
        <v>0</v>
      </c>
      <c r="AF348" s="149"/>
      <c r="AG348" s="150"/>
      <c r="AH348" s="159" t="e">
        <f t="shared" si="833"/>
        <v>#DIV/0!</v>
      </c>
      <c r="AI348" s="160"/>
      <c r="AJ348" s="105"/>
      <c r="AK348" s="105"/>
      <c r="AM348" s="105"/>
      <c r="AN348" s="105"/>
      <c r="AO348" s="105"/>
      <c r="AP348" s="105"/>
      <c r="AQ348" s="105"/>
      <c r="AR348" s="105"/>
    </row>
    <row r="349" spans="1:44" s="49" customFormat="1" ht="40.15" hidden="1" customHeight="1">
      <c r="A349" s="152">
        <f t="shared" ca="1" si="834"/>
        <v>0</v>
      </c>
      <c r="B349" s="153">
        <v>101792</v>
      </c>
      <c r="C349" s="154" t="str">
        <f t="shared" si="835"/>
        <v>101792</v>
      </c>
      <c r="D349" s="154" t="s">
        <v>1416</v>
      </c>
      <c r="E349" s="155" t="s">
        <v>3809</v>
      </c>
      <c r="F349" s="154"/>
      <c r="G349" s="154" t="s">
        <v>464</v>
      </c>
      <c r="H349" s="152">
        <v>16.14</v>
      </c>
      <c r="I349" s="152">
        <v>15.51</v>
      </c>
      <c r="J349" s="156"/>
      <c r="K349" s="156">
        <f>Dre_Disp_Estruturais!AI133+Dre_Disp_Estruturais!AI144</f>
        <v>0</v>
      </c>
      <c r="L349" s="156">
        <f t="shared" si="836"/>
        <v>0</v>
      </c>
      <c r="M349" s="156">
        <f t="shared" si="837"/>
        <v>0</v>
      </c>
      <c r="N349" s="156" t="s">
        <v>83</v>
      </c>
      <c r="O349" s="157" cm="1">
        <f t="array" ref="O349">TRUNC($H349*(1+_xlfn.SWITCH($N349,"BDI 1",$O$6,"BDI 2",$O$7,"BDI 3",$O$8)),2)</f>
        <v>19.48</v>
      </c>
      <c r="P349" s="157" cm="1">
        <f t="array" ref="P349">TRUNC($I349*(1+_xlfn.SWITCH($N349,"BDI 1",$P$6,"BDI 2",$P$7,"BDI 3",$P$8)),2)</f>
        <v>19.649999999999999</v>
      </c>
      <c r="Q349" s="157">
        <v>0</v>
      </c>
      <c r="R349" s="157">
        <f t="shared" ref="R349" si="895">$Q349-($Q349*LICITACAO_DESCONTO)</f>
        <v>0</v>
      </c>
      <c r="S349" s="156">
        <f t="shared" si="839"/>
        <v>0</v>
      </c>
      <c r="T349" s="156">
        <f t="shared" si="840"/>
        <v>0</v>
      </c>
      <c r="U349" s="156">
        <f t="shared" si="841"/>
        <v>0</v>
      </c>
      <c r="V349" s="156">
        <f t="shared" si="842"/>
        <v>0</v>
      </c>
      <c r="W349" s="156">
        <f t="shared" si="829"/>
        <v>0</v>
      </c>
      <c r="X349" s="158">
        <f t="shared" ref="X349" si="896">$S349/ORCAMENTO_VALOR_TOTAL_ND</f>
        <v>0</v>
      </c>
      <c r="Y349" s="158">
        <f t="shared" ref="Y349" si="897">$T349/ORCAMENTO_VALOR_TOTAL_DE</f>
        <v>0</v>
      </c>
      <c r="Z349" s="158" cm="1">
        <f t="array" ref="Z349">_xlfn.SWITCH($N349,"BDI 1",$O$6,"BDI 2",$O$7,"BDI 3",$O$8)</f>
        <v>0.20699999999999999</v>
      </c>
      <c r="AA349" s="158" cm="1">
        <f t="array" ref="AA349">_xlfn.SWITCH($N349,"BDI 1",$P$6,"BDI 2",$P$7,"BDI 3",$P$8)</f>
        <v>0.26739999999999997</v>
      </c>
      <c r="AB349" s="158">
        <f t="shared" ca="1" si="845"/>
        <v>0</v>
      </c>
      <c r="AC349" s="158">
        <f t="shared" ca="1" si="846"/>
        <v>0</v>
      </c>
      <c r="AD349" s="164"/>
      <c r="AE349" s="148">
        <f t="shared" si="832"/>
        <v>0</v>
      </c>
      <c r="AF349" s="149"/>
      <c r="AG349" s="150"/>
      <c r="AH349" s="159" t="e">
        <f t="shared" si="833"/>
        <v>#DIV/0!</v>
      </c>
      <c r="AI349" s="160"/>
      <c r="AJ349" s="105"/>
      <c r="AK349" s="105"/>
      <c r="AM349" s="105"/>
      <c r="AN349" s="105"/>
      <c r="AO349" s="105"/>
      <c r="AP349" s="105"/>
      <c r="AQ349" s="105"/>
      <c r="AR349" s="105"/>
    </row>
    <row r="350" spans="1:44" s="49" customFormat="1" ht="40.15" hidden="1" customHeight="1">
      <c r="A350" s="10">
        <f t="shared" ca="1" si="834"/>
        <v>0</v>
      </c>
      <c r="B350" s="153"/>
      <c r="C350" s="154"/>
      <c r="D350" s="154"/>
      <c r="E350" s="155"/>
      <c r="F350" s="154"/>
      <c r="G350" s="154"/>
      <c r="H350" s="154"/>
      <c r="I350" s="154"/>
      <c r="J350" s="168"/>
      <c r="K350" s="168"/>
      <c r="L350" s="168"/>
      <c r="M350" s="168"/>
      <c r="N350" s="168"/>
      <c r="O350" s="157"/>
      <c r="P350" s="157"/>
      <c r="Q350" s="157"/>
      <c r="R350" s="157"/>
      <c r="S350" s="162"/>
      <c r="T350" s="162"/>
      <c r="U350" s="162"/>
      <c r="V350" s="162"/>
      <c r="W350" s="162"/>
      <c r="X350" s="163"/>
      <c r="Y350" s="163"/>
      <c r="Z350" s="163"/>
      <c r="AA350" s="163"/>
      <c r="AB350" s="163"/>
      <c r="AC350" s="163"/>
      <c r="AD350" s="164"/>
      <c r="AE350" s="148">
        <f>IF(S351&gt;0,IFERROR(TRUNC(A351,0),0),0)</f>
        <v>0</v>
      </c>
      <c r="AF350" s="149"/>
      <c r="AG350" s="150"/>
      <c r="AH350" s="159"/>
      <c r="AI350" s="160"/>
      <c r="AJ350" s="105"/>
      <c r="AK350" s="105"/>
      <c r="AM350" s="105"/>
      <c r="AN350" s="105"/>
      <c r="AO350" s="206"/>
      <c r="AP350" s="206"/>
      <c r="AQ350" s="206"/>
      <c r="AR350" s="206"/>
    </row>
    <row r="351" spans="1:44" s="105" customFormat="1" ht="40.15" hidden="1" customHeight="1">
      <c r="A351" s="186">
        <f ca="1">$B$23</f>
        <v>0</v>
      </c>
      <c r="B351" s="170"/>
      <c r="C351" s="171"/>
      <c r="D351" s="172"/>
      <c r="E351" s="187" t="str">
        <f>$D$23</f>
        <v>MICRODRENAGEM - BACIA DE AMORTECIMENTO</v>
      </c>
      <c r="F351" s="174">
        <v>0</v>
      </c>
      <c r="G351" s="175"/>
      <c r="H351" s="176" t="s">
        <v>206</v>
      </c>
      <c r="I351" s="176" t="s">
        <v>206</v>
      </c>
      <c r="J351" s="177"/>
      <c r="K351" s="177"/>
      <c r="L351" s="177"/>
      <c r="M351" s="177"/>
      <c r="N351" s="177"/>
      <c r="O351" s="178" t="str">
        <f ca="1">CONCATENATE("SUB-TOTAL ",$A351)</f>
        <v>SUB-TOTAL 0</v>
      </c>
      <c r="P351" s="178" t="e" cm="1">
        <f t="array" ref="P351">TRUNC($I351*(1+_xlfn.SWITCH($N351,"BDI 1",$P$6,"BDI 2",$P$7,"BDI 3",$P$8)),2)</f>
        <v>#VALUE!</v>
      </c>
      <c r="Q351" s="178" t="str">
        <f ca="1">CONCATENATE("SUB-TOTAL ",$A351)</f>
        <v>SUB-TOTAL 0</v>
      </c>
      <c r="R351" s="178"/>
      <c r="S351" s="179">
        <f>SUM(S352:S453)</f>
        <v>0</v>
      </c>
      <c r="T351" s="179">
        <f>SUM(T352:T453)</f>
        <v>0</v>
      </c>
      <c r="U351" s="179">
        <f>SUM(U352:U453)</f>
        <v>0</v>
      </c>
      <c r="V351" s="179">
        <f>SUM(V352:V453)</f>
        <v>0</v>
      </c>
      <c r="W351" s="179">
        <f>TRUNC(V351-U351,2)</f>
        <v>0</v>
      </c>
      <c r="X351" s="180">
        <f>$S351/ORCAMENTO_VALOR_TOTAL_ND</f>
        <v>0</v>
      </c>
      <c r="Y351" s="180">
        <f>$T351/ORCAMENTO_VALOR_TOTAL_DE</f>
        <v>0</v>
      </c>
      <c r="Z351" s="180"/>
      <c r="AA351" s="180"/>
      <c r="AB351" s="180">
        <f>IFERROR($S351/$S351,0)</f>
        <v>0</v>
      </c>
      <c r="AC351" s="180">
        <f>IFERROR($T351/$T351,0)</f>
        <v>0</v>
      </c>
      <c r="AD351" s="147"/>
      <c r="AE351" s="148">
        <f t="shared" ref="AE351:AE414" si="898">IF(S351&gt;0,IFERROR(TRUNC(A351,0),0),0)</f>
        <v>0</v>
      </c>
      <c r="AF351" s="149"/>
      <c r="AG351" s="150"/>
      <c r="AH351" s="159" t="e">
        <f>S351/$S$351</f>
        <v>#DIV/0!</v>
      </c>
    </row>
    <row r="352" spans="1:44" s="49" customFormat="1" ht="40.15" hidden="1" customHeight="1">
      <c r="A352" s="152">
        <f t="shared" ref="A352:A415" ca="1" si="899">IF(K352&gt;0,A351+0.01,A351)</f>
        <v>0</v>
      </c>
      <c r="B352" s="153"/>
      <c r="C352" s="154"/>
      <c r="D352" s="154"/>
      <c r="E352" s="161" t="s">
        <v>39</v>
      </c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62"/>
      <c r="T352" s="162"/>
      <c r="U352" s="162"/>
      <c r="V352" s="162"/>
      <c r="W352" s="162"/>
      <c r="X352" s="163"/>
      <c r="Y352" s="163"/>
      <c r="Z352" s="163"/>
      <c r="AA352" s="163"/>
      <c r="AB352" s="163"/>
      <c r="AC352" s="163"/>
      <c r="AD352" s="164"/>
      <c r="AE352" s="148">
        <f t="shared" si="898"/>
        <v>0</v>
      </c>
      <c r="AF352" s="149"/>
      <c r="AG352" s="150"/>
      <c r="AH352" s="159"/>
      <c r="AI352" s="160"/>
      <c r="AJ352" s="105"/>
      <c r="AK352" s="105"/>
      <c r="AM352" s="105"/>
      <c r="AN352" s="105"/>
      <c r="AO352" s="105"/>
      <c r="AP352" s="105"/>
      <c r="AQ352" s="105"/>
      <c r="AR352" s="105"/>
    </row>
    <row r="353" spans="1:44" s="49" customFormat="1" ht="40.15" hidden="1" customHeight="1">
      <c r="A353" s="152">
        <f t="shared" ca="1" si="899"/>
        <v>0</v>
      </c>
      <c r="B353" s="153">
        <v>98525</v>
      </c>
      <c r="C353" s="154" t="str">
        <f t="shared" ref="C353:C358" si="900">TEXT(B353,"0")</f>
        <v>98525</v>
      </c>
      <c r="D353" s="154" t="s">
        <v>1416</v>
      </c>
      <c r="E353" s="155" t="s">
        <v>1417</v>
      </c>
      <c r="F353" s="154"/>
      <c r="G353" s="154" t="s">
        <v>1418</v>
      </c>
      <c r="H353" s="152">
        <v>0.63</v>
      </c>
      <c r="I353" s="152">
        <v>0.37</v>
      </c>
      <c r="J353" s="156"/>
      <c r="K353" s="156">
        <f>+Bacia_Amortecimento!J5+Bacia_Amortecimento!J6</f>
        <v>0</v>
      </c>
      <c r="L353" s="156">
        <f t="shared" ref="L353:L358" si="901">IF($K353&gt;$J353,$K353-$J353,0)</f>
        <v>0</v>
      </c>
      <c r="M353" s="156">
        <f t="shared" ref="M353:M358" si="902">IF($K353&lt;$J353,$J353-$K353,0)</f>
        <v>0</v>
      </c>
      <c r="N353" s="156" t="s">
        <v>83</v>
      </c>
      <c r="O353" s="157" cm="1">
        <f t="array" ref="O353">TRUNC($H353*(1+_xlfn.SWITCH($N353,"BDI 1",$O$6,"BDI 2",$O$7,"BDI 3",$O$8)),2)</f>
        <v>0.76</v>
      </c>
      <c r="P353" s="157" cm="1">
        <f t="array" ref="P353">TRUNC($I353*(1+_xlfn.SWITCH($N353,"BDI 1",$P$6,"BDI 2",$P$7,"BDI 3",$P$8)),2)</f>
        <v>0.46</v>
      </c>
      <c r="Q353" s="157">
        <v>0</v>
      </c>
      <c r="R353" s="157">
        <f t="shared" ref="R353" si="903">$Q353-($Q353*LICITACAO_DESCONTO)</f>
        <v>0</v>
      </c>
      <c r="S353" s="156">
        <f t="shared" ref="S353:S358" si="904">TRUNC($K353*$O353,2)</f>
        <v>0</v>
      </c>
      <c r="T353" s="156">
        <f t="shared" ref="T353:T358" si="905">TRUNC($K353*$P353,2)</f>
        <v>0</v>
      </c>
      <c r="U353" s="156">
        <f t="shared" ref="U353:U358" si="906">TRUNC($J353*$R353,2)</f>
        <v>0</v>
      </c>
      <c r="V353" s="156">
        <f t="shared" ref="V353:V358" si="907">TRUNC($K353*$Q353,2)</f>
        <v>0</v>
      </c>
      <c r="W353" s="156">
        <f t="shared" ref="W353:W358" si="908">TRUNC(V353-U353,2)</f>
        <v>0</v>
      </c>
      <c r="X353" s="158">
        <f t="shared" ref="X353" si="909">$S353/ORCAMENTO_VALOR_TOTAL_ND</f>
        <v>0</v>
      </c>
      <c r="Y353" s="158">
        <f t="shared" ref="Y353" si="910">$T353/ORCAMENTO_VALOR_TOTAL_DE</f>
        <v>0</v>
      </c>
      <c r="Z353" s="158" cm="1">
        <f t="array" ref="Z353">_xlfn.SWITCH($N353,"BDI 1",$O$6,"BDI 2",$O$7,"BDI 3",$O$8)</f>
        <v>0.20699999999999999</v>
      </c>
      <c r="AA353" s="158" cm="1">
        <f t="array" ref="AA353">_xlfn.SWITCH($N353,"BDI 1",$P$6,"BDI 2",$P$7,"BDI 3",$P$8)</f>
        <v>0.26739999999999997</v>
      </c>
      <c r="AB353" s="158">
        <f t="shared" ref="AB353:AB358" ca="1" si="911">IFERROR($S353/_xlfn.XLOOKUP($AE353,$B$16:$B$38,$S$16:$S$38),0)</f>
        <v>0</v>
      </c>
      <c r="AC353" s="158">
        <f t="shared" ref="AC353:AC358" ca="1" si="912">IFERROR($T353/_xlfn.XLOOKUP($AE353,$B$16:$B$38,$T$16:$T$38),0)</f>
        <v>0</v>
      </c>
      <c r="AD353" s="164"/>
      <c r="AE353" s="148">
        <f t="shared" si="898"/>
        <v>0</v>
      </c>
      <c r="AF353" s="149"/>
      <c r="AG353" s="150"/>
      <c r="AH353" s="159" t="e">
        <f t="shared" ref="AH353:AH358" si="913">S353/$S$351</f>
        <v>#DIV/0!</v>
      </c>
      <c r="AI353" s="160"/>
      <c r="AJ353" s="105"/>
      <c r="AK353" s="105"/>
      <c r="AO353" s="105"/>
      <c r="AP353" s="105"/>
      <c r="AQ353" s="105"/>
      <c r="AR353" s="105"/>
    </row>
    <row r="354" spans="1:44" s="49" customFormat="1" ht="40.15" hidden="1" customHeight="1">
      <c r="A354" s="152">
        <f t="shared" ca="1" si="899"/>
        <v>0</v>
      </c>
      <c r="B354" s="153" t="s">
        <v>91</v>
      </c>
      <c r="C354" s="154" t="str">
        <f t="shared" si="900"/>
        <v>SC/0068</v>
      </c>
      <c r="D354" s="154" t="s">
        <v>3549</v>
      </c>
      <c r="E354" s="155" t="s">
        <v>1425</v>
      </c>
      <c r="F354" s="154"/>
      <c r="G354" s="154" t="s">
        <v>1418</v>
      </c>
      <c r="H354" s="152">
        <v>5.0199999999999996</v>
      </c>
      <c r="I354" s="152">
        <v>5.01</v>
      </c>
      <c r="J354" s="156"/>
      <c r="K354" s="156">
        <f>+Bacia_Amortecimento!J12</f>
        <v>0</v>
      </c>
      <c r="L354" s="156">
        <f t="shared" si="901"/>
        <v>0</v>
      </c>
      <c r="M354" s="156">
        <f t="shared" si="902"/>
        <v>0</v>
      </c>
      <c r="N354" s="156" t="s">
        <v>83</v>
      </c>
      <c r="O354" s="157" cm="1">
        <f t="array" ref="O354">TRUNC($H354*(1+_xlfn.SWITCH($N354,"BDI 1",$O$6,"BDI 2",$O$7,"BDI 3",$O$8)),2)</f>
        <v>6.05</v>
      </c>
      <c r="P354" s="157" cm="1">
        <f t="array" ref="P354">TRUNC($I354*(1+_xlfn.SWITCH($N354,"BDI 1",$P$6,"BDI 2",$P$7,"BDI 3",$P$8)),2)</f>
        <v>6.34</v>
      </c>
      <c r="Q354" s="157">
        <v>0</v>
      </c>
      <c r="R354" s="157">
        <f t="shared" ref="R354" si="914">$Q354-($Q354*LICITACAO_DESCONTO)</f>
        <v>0</v>
      </c>
      <c r="S354" s="156">
        <f t="shared" si="904"/>
        <v>0</v>
      </c>
      <c r="T354" s="156">
        <f t="shared" si="905"/>
        <v>0</v>
      </c>
      <c r="U354" s="156">
        <f t="shared" si="906"/>
        <v>0</v>
      </c>
      <c r="V354" s="156">
        <f t="shared" si="907"/>
        <v>0</v>
      </c>
      <c r="W354" s="156">
        <f t="shared" si="908"/>
        <v>0</v>
      </c>
      <c r="X354" s="158">
        <f t="shared" ref="X354" si="915">$S354/ORCAMENTO_VALOR_TOTAL_ND</f>
        <v>0</v>
      </c>
      <c r="Y354" s="158">
        <f t="shared" ref="Y354" si="916">$T354/ORCAMENTO_VALOR_TOTAL_DE</f>
        <v>0</v>
      </c>
      <c r="Z354" s="158" cm="1">
        <f t="array" ref="Z354">_xlfn.SWITCH($N354,"BDI 1",$O$6,"BDI 2",$O$7,"BDI 3",$O$8)</f>
        <v>0.20699999999999999</v>
      </c>
      <c r="AA354" s="158" cm="1">
        <f t="array" ref="AA354">_xlfn.SWITCH($N354,"BDI 1",$P$6,"BDI 2",$P$7,"BDI 3",$P$8)</f>
        <v>0.26739999999999997</v>
      </c>
      <c r="AB354" s="158">
        <f t="shared" ca="1" si="911"/>
        <v>0</v>
      </c>
      <c r="AC354" s="158">
        <f t="shared" ca="1" si="912"/>
        <v>0</v>
      </c>
      <c r="AD354" s="164"/>
      <c r="AE354" s="148">
        <f t="shared" si="898"/>
        <v>0</v>
      </c>
      <c r="AF354" s="149"/>
      <c r="AG354" s="150"/>
      <c r="AH354" s="159" t="e">
        <f t="shared" si="913"/>
        <v>#DIV/0!</v>
      </c>
      <c r="AI354" s="160"/>
      <c r="AJ354" s="105"/>
      <c r="AK354" s="105"/>
      <c r="AL354" s="105"/>
      <c r="AM354" s="105"/>
      <c r="AN354" s="105"/>
      <c r="AO354" s="105"/>
      <c r="AP354" s="105"/>
      <c r="AQ354" s="105"/>
      <c r="AR354" s="105"/>
    </row>
    <row r="355" spans="1:44" s="49" customFormat="1" ht="60" hidden="1" customHeight="1">
      <c r="A355" s="152">
        <f t="shared" ca="1" si="899"/>
        <v>0</v>
      </c>
      <c r="B355" s="153" t="s">
        <v>95</v>
      </c>
      <c r="C355" s="154" t="str">
        <f t="shared" si="900"/>
        <v>SP/0020</v>
      </c>
      <c r="D355" s="154" t="s">
        <v>3549</v>
      </c>
      <c r="E355" s="155" t="s">
        <v>3581</v>
      </c>
      <c r="F355" s="154"/>
      <c r="G355" s="154" t="s">
        <v>1418</v>
      </c>
      <c r="H355" s="152">
        <v>142.72</v>
      </c>
      <c r="I355" s="152">
        <v>136.78</v>
      </c>
      <c r="J355" s="156"/>
      <c r="K355" s="156">
        <f>+Bacia_Amortecimento!J14</f>
        <v>0</v>
      </c>
      <c r="L355" s="156">
        <f t="shared" si="901"/>
        <v>0</v>
      </c>
      <c r="M355" s="156">
        <f t="shared" si="902"/>
        <v>0</v>
      </c>
      <c r="N355" s="156" t="s">
        <v>83</v>
      </c>
      <c r="O355" s="157" cm="1">
        <f t="array" ref="O355">TRUNC($H355*(1+_xlfn.SWITCH($N355,"BDI 1",$O$6,"BDI 2",$O$7,"BDI 3",$O$8)),2)</f>
        <v>172.26</v>
      </c>
      <c r="P355" s="157" cm="1">
        <f t="array" ref="P355">TRUNC($I355*(1+_xlfn.SWITCH($N355,"BDI 1",$P$6,"BDI 2",$P$7,"BDI 3",$P$8)),2)</f>
        <v>173.35</v>
      </c>
      <c r="Q355" s="157">
        <v>0</v>
      </c>
      <c r="R355" s="157">
        <f t="shared" ref="R355" si="917">$Q355-($Q355*LICITACAO_DESCONTO)</f>
        <v>0</v>
      </c>
      <c r="S355" s="156">
        <f t="shared" si="904"/>
        <v>0</v>
      </c>
      <c r="T355" s="156">
        <f t="shared" si="905"/>
        <v>0</v>
      </c>
      <c r="U355" s="156">
        <f t="shared" si="906"/>
        <v>0</v>
      </c>
      <c r="V355" s="156">
        <f t="shared" si="907"/>
        <v>0</v>
      </c>
      <c r="W355" s="156">
        <f t="shared" si="908"/>
        <v>0</v>
      </c>
      <c r="X355" s="158">
        <f t="shared" ref="X355" si="918">$S355/ORCAMENTO_VALOR_TOTAL_ND</f>
        <v>0</v>
      </c>
      <c r="Y355" s="158">
        <f t="shared" ref="Y355" si="919">$T355/ORCAMENTO_VALOR_TOTAL_DE</f>
        <v>0</v>
      </c>
      <c r="Z355" s="158" cm="1">
        <f t="array" ref="Z355">_xlfn.SWITCH($N355,"BDI 1",$O$6,"BDI 2",$O$7,"BDI 3",$O$8)</f>
        <v>0.20699999999999999</v>
      </c>
      <c r="AA355" s="158" cm="1">
        <f t="array" ref="AA355">_xlfn.SWITCH($N355,"BDI 1",$P$6,"BDI 2",$P$7,"BDI 3",$P$8)</f>
        <v>0.26739999999999997</v>
      </c>
      <c r="AB355" s="158">
        <f t="shared" ca="1" si="911"/>
        <v>0</v>
      </c>
      <c r="AC355" s="158">
        <f t="shared" ca="1" si="912"/>
        <v>0</v>
      </c>
      <c r="AD355" s="164"/>
      <c r="AE355" s="148">
        <f t="shared" si="898"/>
        <v>0</v>
      </c>
      <c r="AF355" s="149"/>
      <c r="AG355" s="150"/>
      <c r="AH355" s="159" t="e">
        <f t="shared" si="913"/>
        <v>#DIV/0!</v>
      </c>
      <c r="AI355" s="160"/>
      <c r="AJ355" s="105"/>
      <c r="AK355" s="105"/>
      <c r="AL355" s="105"/>
      <c r="AM355" s="105"/>
      <c r="AN355" s="105"/>
      <c r="AO355" s="105"/>
      <c r="AP355" s="105"/>
      <c r="AQ355" s="105"/>
      <c r="AR355" s="105"/>
    </row>
    <row r="356" spans="1:44" s="49" customFormat="1" ht="60" hidden="1" customHeight="1">
      <c r="A356" s="152">
        <f t="shared" ca="1" si="899"/>
        <v>0</v>
      </c>
      <c r="B356" s="153" t="s">
        <v>97</v>
      </c>
      <c r="C356" s="154" t="str">
        <f t="shared" si="900"/>
        <v>SP/0030</v>
      </c>
      <c r="D356" s="154" t="s">
        <v>3549</v>
      </c>
      <c r="E356" s="155" t="s">
        <v>3583</v>
      </c>
      <c r="F356" s="154"/>
      <c r="G356" s="154" t="s">
        <v>58</v>
      </c>
      <c r="H356" s="152">
        <v>6.66</v>
      </c>
      <c r="I356" s="152">
        <v>6.41</v>
      </c>
      <c r="J356" s="156"/>
      <c r="K356" s="156">
        <f>+Bacia_Amortecimento!J15</f>
        <v>0</v>
      </c>
      <c r="L356" s="156">
        <f t="shared" si="901"/>
        <v>0</v>
      </c>
      <c r="M356" s="156">
        <f t="shared" si="902"/>
        <v>0</v>
      </c>
      <c r="N356" s="156" t="s">
        <v>83</v>
      </c>
      <c r="O356" s="157" cm="1">
        <f t="array" ref="O356">TRUNC($H356*(1+_xlfn.SWITCH($N356,"BDI 1",$O$6,"BDI 2",$O$7,"BDI 3",$O$8)),2)</f>
        <v>8.0299999999999994</v>
      </c>
      <c r="P356" s="157" cm="1">
        <f t="array" ref="P356">TRUNC($I356*(1+_xlfn.SWITCH($N356,"BDI 1",$P$6,"BDI 2",$P$7,"BDI 3",$P$8)),2)</f>
        <v>8.1199999999999992</v>
      </c>
      <c r="Q356" s="157">
        <v>0</v>
      </c>
      <c r="R356" s="157">
        <f t="shared" ref="R356" si="920">$Q356-($Q356*LICITACAO_DESCONTO)</f>
        <v>0</v>
      </c>
      <c r="S356" s="156">
        <f t="shared" si="904"/>
        <v>0</v>
      </c>
      <c r="T356" s="156">
        <f t="shared" si="905"/>
        <v>0</v>
      </c>
      <c r="U356" s="156">
        <f t="shared" si="906"/>
        <v>0</v>
      </c>
      <c r="V356" s="156">
        <f t="shared" si="907"/>
        <v>0</v>
      </c>
      <c r="W356" s="156">
        <f t="shared" si="908"/>
        <v>0</v>
      </c>
      <c r="X356" s="158">
        <f t="shared" ref="X356" si="921">$S356/ORCAMENTO_VALOR_TOTAL_ND</f>
        <v>0</v>
      </c>
      <c r="Y356" s="158">
        <f t="shared" ref="Y356" si="922">$T356/ORCAMENTO_VALOR_TOTAL_DE</f>
        <v>0</v>
      </c>
      <c r="Z356" s="158" cm="1">
        <f t="array" ref="Z356">_xlfn.SWITCH($N356,"BDI 1",$O$6,"BDI 2",$O$7,"BDI 3",$O$8)</f>
        <v>0.20699999999999999</v>
      </c>
      <c r="AA356" s="158" cm="1">
        <f t="array" ref="AA356">_xlfn.SWITCH($N356,"BDI 1",$P$6,"BDI 2",$P$7,"BDI 3",$P$8)</f>
        <v>0.26739999999999997</v>
      </c>
      <c r="AB356" s="158">
        <f t="shared" ca="1" si="911"/>
        <v>0</v>
      </c>
      <c r="AC356" s="158">
        <f t="shared" ca="1" si="912"/>
        <v>0</v>
      </c>
      <c r="AD356" s="164"/>
      <c r="AE356" s="148">
        <f t="shared" si="898"/>
        <v>0</v>
      </c>
      <c r="AF356" s="149"/>
      <c r="AG356" s="150"/>
      <c r="AH356" s="159" t="e">
        <f t="shared" si="913"/>
        <v>#DIV/0!</v>
      </c>
      <c r="AI356" s="160"/>
      <c r="AJ356" s="105"/>
      <c r="AK356" s="105"/>
    </row>
    <row r="357" spans="1:44" s="49" customFormat="1" ht="40.15" hidden="1" customHeight="1">
      <c r="A357" s="152">
        <f t="shared" ca="1" si="899"/>
        <v>0</v>
      </c>
      <c r="B357" s="153">
        <v>13244</v>
      </c>
      <c r="C357" s="154" t="str">
        <f t="shared" si="900"/>
        <v>13244</v>
      </c>
      <c r="D357" s="154" t="s">
        <v>3579</v>
      </c>
      <c r="E357" s="155" t="s">
        <v>3584</v>
      </c>
      <c r="F357" s="154"/>
      <c r="G357" s="154" t="s">
        <v>1412</v>
      </c>
      <c r="H357" s="152">
        <v>46.75</v>
      </c>
      <c r="I357" s="152">
        <v>46.75</v>
      </c>
      <c r="J357" s="156"/>
      <c r="K357" s="156">
        <f>+Bacia_Amortecimento!J16</f>
        <v>0</v>
      </c>
      <c r="L357" s="156">
        <f t="shared" si="901"/>
        <v>0</v>
      </c>
      <c r="M357" s="156">
        <f t="shared" si="902"/>
        <v>0</v>
      </c>
      <c r="N357" s="156" t="s">
        <v>92</v>
      </c>
      <c r="O357" s="157" cm="1">
        <f t="array" ref="O357">TRUNC($H357*(1+_xlfn.SWITCH($N357,"BDI 1",$O$6,"BDI 2",$O$7,"BDI 3",$O$8)),2)</f>
        <v>53.88</v>
      </c>
      <c r="P357" s="157" cm="1">
        <f t="array" ref="P357">TRUNC($I357*(1+_xlfn.SWITCH($N357,"BDI 1",$P$6,"BDI 2",$P$7,"BDI 3",$P$8)),2)</f>
        <v>53.88</v>
      </c>
      <c r="Q357" s="157">
        <v>0</v>
      </c>
      <c r="R357" s="157">
        <f t="shared" ref="R357" si="923">$Q357-($Q357*LICITACAO_DESCONTO)</f>
        <v>0</v>
      </c>
      <c r="S357" s="156">
        <f t="shared" si="904"/>
        <v>0</v>
      </c>
      <c r="T357" s="156">
        <f t="shared" si="905"/>
        <v>0</v>
      </c>
      <c r="U357" s="156">
        <f t="shared" si="906"/>
        <v>0</v>
      </c>
      <c r="V357" s="156">
        <f t="shared" si="907"/>
        <v>0</v>
      </c>
      <c r="W357" s="156">
        <f t="shared" si="908"/>
        <v>0</v>
      </c>
      <c r="X357" s="158">
        <f t="shared" ref="X357" si="924">$S357/ORCAMENTO_VALOR_TOTAL_ND</f>
        <v>0</v>
      </c>
      <c r="Y357" s="158">
        <f t="shared" ref="Y357" si="925">$T357/ORCAMENTO_VALOR_TOTAL_DE</f>
        <v>0</v>
      </c>
      <c r="Z357" s="158" cm="1">
        <f t="array" ref="Z357">_xlfn.SWITCH($N357,"BDI 1",$O$6,"BDI 2",$O$7,"BDI 3",$O$8)</f>
        <v>0.1527</v>
      </c>
      <c r="AA357" s="158" cm="1">
        <f t="array" ref="AA357">_xlfn.SWITCH($N357,"BDI 1",$P$6,"BDI 2",$P$7,"BDI 3",$P$8)</f>
        <v>0.1527</v>
      </c>
      <c r="AB357" s="158">
        <f t="shared" ca="1" si="911"/>
        <v>0</v>
      </c>
      <c r="AC357" s="158">
        <f t="shared" ca="1" si="912"/>
        <v>0</v>
      </c>
      <c r="AD357" s="164"/>
      <c r="AE357" s="148">
        <f t="shared" si="898"/>
        <v>0</v>
      </c>
      <c r="AF357" s="149"/>
      <c r="AG357" s="150"/>
      <c r="AH357" s="159" t="e">
        <f t="shared" si="913"/>
        <v>#DIV/0!</v>
      </c>
      <c r="AI357" s="160"/>
      <c r="AJ357" s="105"/>
      <c r="AK357" s="105"/>
    </row>
    <row r="358" spans="1:44" s="49" customFormat="1" ht="49.9" hidden="1" customHeight="1">
      <c r="A358" s="152">
        <f t="shared" ca="1" si="899"/>
        <v>0</v>
      </c>
      <c r="B358" s="153">
        <v>100978</v>
      </c>
      <c r="C358" s="154" t="str">
        <f t="shared" si="900"/>
        <v>100978</v>
      </c>
      <c r="D358" s="154" t="s">
        <v>1416</v>
      </c>
      <c r="E358" s="155" t="s">
        <v>3810</v>
      </c>
      <c r="F358" s="154"/>
      <c r="G358" s="154" t="s">
        <v>464</v>
      </c>
      <c r="H358" s="152">
        <v>6.64</v>
      </c>
      <c r="I358" s="152">
        <v>6.55</v>
      </c>
      <c r="J358" s="156"/>
      <c r="K358" s="156">
        <f>+Bacia_Amortecimento!J7</f>
        <v>0</v>
      </c>
      <c r="L358" s="156">
        <f t="shared" si="901"/>
        <v>0</v>
      </c>
      <c r="M358" s="156">
        <f t="shared" si="902"/>
        <v>0</v>
      </c>
      <c r="N358" s="156" t="s">
        <v>83</v>
      </c>
      <c r="O358" s="157" cm="1">
        <f t="array" ref="O358">TRUNC($H358*(1+_xlfn.SWITCH($N358,"BDI 1",$O$6,"BDI 2",$O$7,"BDI 3",$O$8)),2)</f>
        <v>8.01</v>
      </c>
      <c r="P358" s="157" cm="1">
        <f t="array" ref="P358">TRUNC($I358*(1+_xlfn.SWITCH($N358,"BDI 1",$P$6,"BDI 2",$P$7,"BDI 3",$P$8)),2)</f>
        <v>8.3000000000000007</v>
      </c>
      <c r="Q358" s="157">
        <v>0</v>
      </c>
      <c r="R358" s="157">
        <f t="shared" ref="R358" si="926">$Q358-($Q358*LICITACAO_DESCONTO)</f>
        <v>0</v>
      </c>
      <c r="S358" s="156">
        <f t="shared" si="904"/>
        <v>0</v>
      </c>
      <c r="T358" s="156">
        <f t="shared" si="905"/>
        <v>0</v>
      </c>
      <c r="U358" s="156">
        <f t="shared" si="906"/>
        <v>0</v>
      </c>
      <c r="V358" s="156">
        <f t="shared" si="907"/>
        <v>0</v>
      </c>
      <c r="W358" s="156">
        <f t="shared" si="908"/>
        <v>0</v>
      </c>
      <c r="X358" s="158">
        <f t="shared" ref="X358" si="927">$S358/ORCAMENTO_VALOR_TOTAL_ND</f>
        <v>0</v>
      </c>
      <c r="Y358" s="158">
        <f t="shared" ref="Y358" si="928">$T358/ORCAMENTO_VALOR_TOTAL_DE</f>
        <v>0</v>
      </c>
      <c r="Z358" s="158" cm="1">
        <f t="array" ref="Z358">_xlfn.SWITCH($N358,"BDI 1",$O$6,"BDI 2",$O$7,"BDI 3",$O$8)</f>
        <v>0.20699999999999999</v>
      </c>
      <c r="AA358" s="158" cm="1">
        <f t="array" ref="AA358">_xlfn.SWITCH($N358,"BDI 1",$P$6,"BDI 2",$P$7,"BDI 3",$P$8)</f>
        <v>0.26739999999999997</v>
      </c>
      <c r="AB358" s="158">
        <f t="shared" ca="1" si="911"/>
        <v>0</v>
      </c>
      <c r="AC358" s="158">
        <f t="shared" ca="1" si="912"/>
        <v>0</v>
      </c>
      <c r="AD358" s="164"/>
      <c r="AE358" s="148">
        <f t="shared" si="898"/>
        <v>0</v>
      </c>
      <c r="AF358" s="149"/>
      <c r="AG358" s="150"/>
      <c r="AH358" s="159" t="e">
        <f t="shared" si="913"/>
        <v>#DIV/0!</v>
      </c>
      <c r="AI358" s="165" t="s">
        <v>101</v>
      </c>
      <c r="AJ358" s="105"/>
      <c r="AK358" s="105"/>
      <c r="AL358" s="105"/>
      <c r="AM358" s="105"/>
      <c r="AN358" s="105"/>
      <c r="AO358" s="105"/>
      <c r="AP358" s="105"/>
      <c r="AQ358" s="105"/>
      <c r="AR358" s="105"/>
    </row>
    <row r="359" spans="1:44" s="49" customFormat="1" ht="40.15" hidden="1" customHeight="1">
      <c r="A359" s="152">
        <f t="shared" ca="1" si="899"/>
        <v>0</v>
      </c>
      <c r="B359" s="153"/>
      <c r="C359" s="154"/>
      <c r="D359" s="154"/>
      <c r="E359" s="161" t="s">
        <v>207</v>
      </c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62"/>
      <c r="T359" s="162"/>
      <c r="U359" s="162"/>
      <c r="V359" s="162"/>
      <c r="W359" s="162"/>
      <c r="X359" s="163"/>
      <c r="Y359" s="163"/>
      <c r="Z359" s="163"/>
      <c r="AA359" s="163"/>
      <c r="AB359" s="163"/>
      <c r="AC359" s="163"/>
      <c r="AD359" s="164"/>
      <c r="AE359" s="148">
        <f t="shared" si="898"/>
        <v>0</v>
      </c>
      <c r="AF359" s="149"/>
      <c r="AG359" s="150"/>
      <c r="AH359" s="159"/>
      <c r="AI359" s="160"/>
      <c r="AJ359" s="181" t="s">
        <v>105</v>
      </c>
      <c r="AK359" s="181" t="s">
        <v>106</v>
      </c>
      <c r="AM359" s="105"/>
      <c r="AN359" s="105"/>
      <c r="AO359" s="105"/>
      <c r="AP359" s="105"/>
      <c r="AQ359" s="105"/>
      <c r="AR359" s="105"/>
    </row>
    <row r="360" spans="1:44" s="49" customFormat="1" ht="49.9" hidden="1" customHeight="1">
      <c r="A360" s="152">
        <f t="shared" ca="1" si="899"/>
        <v>0</v>
      </c>
      <c r="B360" s="153">
        <v>101266</v>
      </c>
      <c r="C360" s="154" t="str">
        <f t="shared" ref="C360:C381" si="929">TEXT(B360,"0")</f>
        <v>101266</v>
      </c>
      <c r="D360" s="154" t="s">
        <v>1416</v>
      </c>
      <c r="E360" s="155" t="s">
        <v>3811</v>
      </c>
      <c r="F360" s="154"/>
      <c r="G360" s="154" t="s">
        <v>464</v>
      </c>
      <c r="H360" s="152">
        <v>10.92</v>
      </c>
      <c r="I360" s="152">
        <v>10.8</v>
      </c>
      <c r="J360" s="156"/>
      <c r="K360" s="156">
        <f>Bacia_Amortecimento!J17</f>
        <v>0</v>
      </c>
      <c r="L360" s="156">
        <f t="shared" ref="L360:L381" si="930">IF($K360&gt;$J360,$K360-$J360,0)</f>
        <v>0</v>
      </c>
      <c r="M360" s="156">
        <f t="shared" ref="M360:M381" si="931">IF($K360&lt;$J360,$J360-$K360,0)</f>
        <v>0</v>
      </c>
      <c r="N360" s="156" t="s">
        <v>83</v>
      </c>
      <c r="O360" s="157" cm="1">
        <f t="array" ref="O360">TRUNC($H360*(1+_xlfn.SWITCH($N360,"BDI 1",$O$6,"BDI 2",$O$7,"BDI 3",$O$8)),2)</f>
        <v>13.18</v>
      </c>
      <c r="P360" s="157" cm="1">
        <f t="array" ref="P360">TRUNC($I360*(1+_xlfn.SWITCH($N360,"BDI 1",$P$6,"BDI 2",$P$7,"BDI 3",$P$8)),2)</f>
        <v>13.68</v>
      </c>
      <c r="Q360" s="157">
        <v>0</v>
      </c>
      <c r="R360" s="157">
        <f t="shared" ref="R360" si="932">$Q360-($Q360*LICITACAO_DESCONTO)</f>
        <v>0</v>
      </c>
      <c r="S360" s="156">
        <f t="shared" ref="S360:S381" si="933">TRUNC($K360*$O360,2)</f>
        <v>0</v>
      </c>
      <c r="T360" s="156">
        <f t="shared" ref="T360:T381" si="934">TRUNC($K360*$P360,2)</f>
        <v>0</v>
      </c>
      <c r="U360" s="156">
        <f t="shared" ref="U360:U381" si="935">TRUNC($J360*$R360,2)</f>
        <v>0</v>
      </c>
      <c r="V360" s="156">
        <f t="shared" ref="V360:V381" si="936">TRUNC($K360*$Q360,2)</f>
        <v>0</v>
      </c>
      <c r="W360" s="156">
        <f t="shared" ref="W360:W381" si="937">TRUNC(V360-U360,2)</f>
        <v>0</v>
      </c>
      <c r="X360" s="158">
        <f t="shared" ref="X360" si="938">$S360/ORCAMENTO_VALOR_TOTAL_ND</f>
        <v>0</v>
      </c>
      <c r="Y360" s="158">
        <f t="shared" ref="Y360" si="939">$T360/ORCAMENTO_VALOR_TOTAL_DE</f>
        <v>0</v>
      </c>
      <c r="Z360" s="158" cm="1">
        <f t="array" ref="Z360">_xlfn.SWITCH($N360,"BDI 1",$O$6,"BDI 2",$O$7,"BDI 3",$O$8)</f>
        <v>0.20699999999999999</v>
      </c>
      <c r="AA360" s="158" cm="1">
        <f t="array" ref="AA360">_xlfn.SWITCH($N360,"BDI 1",$P$6,"BDI 2",$P$7,"BDI 3",$P$8)</f>
        <v>0.26739999999999997</v>
      </c>
      <c r="AB360" s="158">
        <f t="shared" ref="AB360:AB381" ca="1" si="940">IFERROR($S360/_xlfn.XLOOKUP($AE360,$B$16:$B$38,$S$16:$S$38),0)</f>
        <v>0</v>
      </c>
      <c r="AC360" s="158">
        <f t="shared" ref="AC360:AC381" ca="1" si="941">IFERROR($T360/_xlfn.XLOOKUP($AE360,$B$16:$B$38,$T$16:$T$38),0)</f>
        <v>0</v>
      </c>
      <c r="AD360" s="164"/>
      <c r="AE360" s="148">
        <f t="shared" si="898"/>
        <v>0</v>
      </c>
      <c r="AF360" s="149"/>
      <c r="AG360" s="150"/>
      <c r="AH360" s="159" t="e">
        <f t="shared" ref="AH360:AH381" si="942">S360/$S$351</f>
        <v>#DIV/0!</v>
      </c>
      <c r="AI360" s="160"/>
      <c r="AJ360" s="198">
        <v>0</v>
      </c>
      <c r="AK360" s="199" t="e">
        <f>K360/AJ360</f>
        <v>#DIV/0!</v>
      </c>
    </row>
    <row r="361" spans="1:44" s="49" customFormat="1" ht="40.15" hidden="1" customHeight="1">
      <c r="A361" s="152">
        <f t="shared" ca="1" si="899"/>
        <v>0</v>
      </c>
      <c r="B361" s="153" t="s">
        <v>130</v>
      </c>
      <c r="C361" s="154" t="str">
        <f t="shared" si="929"/>
        <v>DR/0020</v>
      </c>
      <c r="D361" s="154" t="s">
        <v>3549</v>
      </c>
      <c r="E361" s="155" t="s">
        <v>3641</v>
      </c>
      <c r="F361" s="154"/>
      <c r="G361" s="154" t="s">
        <v>464</v>
      </c>
      <c r="H361" s="152">
        <v>471.96</v>
      </c>
      <c r="I361" s="152">
        <v>455.98</v>
      </c>
      <c r="J361" s="156"/>
      <c r="K361" s="156">
        <f>Bacia_Amortecimento!J18</f>
        <v>0</v>
      </c>
      <c r="L361" s="156">
        <f t="shared" si="930"/>
        <v>0</v>
      </c>
      <c r="M361" s="156">
        <f t="shared" si="931"/>
        <v>0</v>
      </c>
      <c r="N361" s="156" t="s">
        <v>83</v>
      </c>
      <c r="O361" s="157" cm="1">
        <f t="array" ref="O361">TRUNC($H361*(1+_xlfn.SWITCH($N361,"BDI 1",$O$6,"BDI 2",$O$7,"BDI 3",$O$8)),2)</f>
        <v>569.65</v>
      </c>
      <c r="P361" s="157" cm="1">
        <f t="array" ref="P361">TRUNC($I361*(1+_xlfn.SWITCH($N361,"BDI 1",$P$6,"BDI 2",$P$7,"BDI 3",$P$8)),2)</f>
        <v>577.9</v>
      </c>
      <c r="Q361" s="157">
        <v>0</v>
      </c>
      <c r="R361" s="157">
        <f t="shared" ref="R361" si="943">$Q361-($Q361*LICITACAO_DESCONTO)</f>
        <v>0</v>
      </c>
      <c r="S361" s="156">
        <f t="shared" si="933"/>
        <v>0</v>
      </c>
      <c r="T361" s="156">
        <f t="shared" si="934"/>
        <v>0</v>
      </c>
      <c r="U361" s="156">
        <f t="shared" si="935"/>
        <v>0</v>
      </c>
      <c r="V361" s="156">
        <f t="shared" si="936"/>
        <v>0</v>
      </c>
      <c r="W361" s="156">
        <f t="shared" si="937"/>
        <v>0</v>
      </c>
      <c r="X361" s="158">
        <f t="shared" ref="X361" si="944">$S361/ORCAMENTO_VALOR_TOTAL_ND</f>
        <v>0</v>
      </c>
      <c r="Y361" s="158">
        <f t="shared" ref="Y361" si="945">$T361/ORCAMENTO_VALOR_TOTAL_DE</f>
        <v>0</v>
      </c>
      <c r="Z361" s="158" cm="1">
        <f t="array" ref="Z361">_xlfn.SWITCH($N361,"BDI 1",$O$6,"BDI 2",$O$7,"BDI 3",$O$8)</f>
        <v>0.20699999999999999</v>
      </c>
      <c r="AA361" s="158" cm="1">
        <f t="array" ref="AA361">_xlfn.SWITCH($N361,"BDI 1",$P$6,"BDI 2",$P$7,"BDI 3",$P$8)</f>
        <v>0.26739999999999997</v>
      </c>
      <c r="AB361" s="158">
        <f t="shared" ca="1" si="940"/>
        <v>0</v>
      </c>
      <c r="AC361" s="158">
        <f t="shared" ca="1" si="941"/>
        <v>0</v>
      </c>
      <c r="AD361" s="164"/>
      <c r="AE361" s="148">
        <f t="shared" si="898"/>
        <v>0</v>
      </c>
      <c r="AF361" s="149"/>
      <c r="AG361" s="150"/>
      <c r="AH361" s="159" t="e">
        <f t="shared" si="942"/>
        <v>#DIV/0!</v>
      </c>
      <c r="AI361" s="160"/>
      <c r="AJ361" s="198">
        <v>3</v>
      </c>
      <c r="AK361" s="199">
        <f>K361/AJ361</f>
        <v>0</v>
      </c>
      <c r="AL361" s="105"/>
      <c r="AM361" s="105"/>
      <c r="AN361" s="105"/>
      <c r="AO361" s="105"/>
      <c r="AP361" s="105"/>
      <c r="AQ361" s="105"/>
      <c r="AR361" s="105"/>
    </row>
    <row r="362" spans="1:44" s="49" customFormat="1" ht="40.15" hidden="1" customHeight="1">
      <c r="A362" s="152">
        <f t="shared" ca="1" si="899"/>
        <v>0</v>
      </c>
      <c r="B362" s="153" t="s">
        <v>208</v>
      </c>
      <c r="C362" s="154" t="str">
        <f t="shared" si="929"/>
        <v>DR/0007</v>
      </c>
      <c r="D362" s="154" t="s">
        <v>3549</v>
      </c>
      <c r="E362" s="155" t="s">
        <v>3812</v>
      </c>
      <c r="F362" s="154"/>
      <c r="G362" s="154" t="s">
        <v>464</v>
      </c>
      <c r="H362" s="152">
        <v>6.01</v>
      </c>
      <c r="I362" s="152">
        <v>5.89</v>
      </c>
      <c r="J362" s="156"/>
      <c r="K362" s="156">
        <f>Bacia_Amortecimento!J19</f>
        <v>0</v>
      </c>
      <c r="L362" s="156">
        <f t="shared" si="930"/>
        <v>0</v>
      </c>
      <c r="M362" s="156">
        <f t="shared" si="931"/>
        <v>0</v>
      </c>
      <c r="N362" s="156" t="s">
        <v>83</v>
      </c>
      <c r="O362" s="157" cm="1">
        <f t="array" ref="O362">TRUNC($H362*(1+_xlfn.SWITCH($N362,"BDI 1",$O$6,"BDI 2",$O$7,"BDI 3",$O$8)),2)</f>
        <v>7.25</v>
      </c>
      <c r="P362" s="157" cm="1">
        <f t="array" ref="P362">TRUNC($I362*(1+_xlfn.SWITCH($N362,"BDI 1",$P$6,"BDI 2",$P$7,"BDI 3",$P$8)),2)</f>
        <v>7.46</v>
      </c>
      <c r="Q362" s="157">
        <v>0</v>
      </c>
      <c r="R362" s="157">
        <f t="shared" ref="R362" si="946">$Q362-($Q362*LICITACAO_DESCONTO)</f>
        <v>0</v>
      </c>
      <c r="S362" s="156">
        <f t="shared" si="933"/>
        <v>0</v>
      </c>
      <c r="T362" s="156">
        <f t="shared" si="934"/>
        <v>0</v>
      </c>
      <c r="U362" s="156">
        <f t="shared" si="935"/>
        <v>0</v>
      </c>
      <c r="V362" s="156">
        <f t="shared" si="936"/>
        <v>0</v>
      </c>
      <c r="W362" s="156">
        <f t="shared" si="937"/>
        <v>0</v>
      </c>
      <c r="X362" s="158">
        <f t="shared" ref="X362" si="947">$S362/ORCAMENTO_VALOR_TOTAL_ND</f>
        <v>0</v>
      </c>
      <c r="Y362" s="158">
        <f t="shared" ref="Y362" si="948">$T362/ORCAMENTO_VALOR_TOTAL_DE</f>
        <v>0</v>
      </c>
      <c r="Z362" s="158" cm="1">
        <f t="array" ref="Z362">_xlfn.SWITCH($N362,"BDI 1",$O$6,"BDI 2",$O$7,"BDI 3",$O$8)</f>
        <v>0.20699999999999999</v>
      </c>
      <c r="AA362" s="158" cm="1">
        <f t="array" ref="AA362">_xlfn.SWITCH($N362,"BDI 1",$P$6,"BDI 2",$P$7,"BDI 3",$P$8)</f>
        <v>0.26739999999999997</v>
      </c>
      <c r="AB362" s="158">
        <f t="shared" ca="1" si="940"/>
        <v>0</v>
      </c>
      <c r="AC362" s="158">
        <f t="shared" ca="1" si="941"/>
        <v>0</v>
      </c>
      <c r="AD362" s="164"/>
      <c r="AE362" s="148">
        <f t="shared" si="898"/>
        <v>0</v>
      </c>
      <c r="AF362" s="149"/>
      <c r="AG362" s="150"/>
      <c r="AH362" s="159" t="e">
        <f t="shared" si="942"/>
        <v>#DIV/0!</v>
      </c>
      <c r="AI362" s="160"/>
      <c r="AK362" s="105"/>
      <c r="AL362" s="105"/>
      <c r="AM362" s="105"/>
      <c r="AN362" s="105"/>
      <c r="AO362" s="105"/>
      <c r="AP362" s="105"/>
      <c r="AQ362" s="105"/>
      <c r="AR362" s="105"/>
    </row>
    <row r="363" spans="1:44" s="49" customFormat="1" ht="40.15" hidden="1" customHeight="1">
      <c r="A363" s="152">
        <f t="shared" ca="1" si="899"/>
        <v>0</v>
      </c>
      <c r="B363" s="153">
        <v>100575</v>
      </c>
      <c r="C363" s="154" t="str">
        <f t="shared" si="929"/>
        <v>100575</v>
      </c>
      <c r="D363" s="154" t="s">
        <v>1416</v>
      </c>
      <c r="E363" s="155" t="s">
        <v>3588</v>
      </c>
      <c r="F363" s="154"/>
      <c r="G363" s="154" t="s">
        <v>1418</v>
      </c>
      <c r="H363" s="152">
        <v>0.14000000000000001</v>
      </c>
      <c r="I363" s="152">
        <v>0.12</v>
      </c>
      <c r="J363" s="156"/>
      <c r="K363" s="156">
        <f>Bacia_Amortecimento!G5</f>
        <v>0</v>
      </c>
      <c r="L363" s="156">
        <f t="shared" si="930"/>
        <v>0</v>
      </c>
      <c r="M363" s="156">
        <f t="shared" si="931"/>
        <v>0</v>
      </c>
      <c r="N363" s="156" t="s">
        <v>83</v>
      </c>
      <c r="O363" s="157" cm="1">
        <f t="array" ref="O363">TRUNC($H363*(1+_xlfn.SWITCH($N363,"BDI 1",$O$6,"BDI 2",$O$7,"BDI 3",$O$8)),2)</f>
        <v>0.16</v>
      </c>
      <c r="P363" s="157" cm="1">
        <f t="array" ref="P363">TRUNC($I363*(1+_xlfn.SWITCH($N363,"BDI 1",$P$6,"BDI 2",$P$7,"BDI 3",$P$8)),2)</f>
        <v>0.15</v>
      </c>
      <c r="Q363" s="157">
        <v>0</v>
      </c>
      <c r="R363" s="157">
        <f t="shared" ref="R363" si="949">$Q363-($Q363*LICITACAO_DESCONTO)</f>
        <v>0</v>
      </c>
      <c r="S363" s="156">
        <f t="shared" si="933"/>
        <v>0</v>
      </c>
      <c r="T363" s="156">
        <f t="shared" si="934"/>
        <v>0</v>
      </c>
      <c r="U363" s="156">
        <f t="shared" si="935"/>
        <v>0</v>
      </c>
      <c r="V363" s="156">
        <f t="shared" si="936"/>
        <v>0</v>
      </c>
      <c r="W363" s="156">
        <f t="shared" si="937"/>
        <v>0</v>
      </c>
      <c r="X363" s="158">
        <f t="shared" ref="X363" si="950">$S363/ORCAMENTO_VALOR_TOTAL_ND</f>
        <v>0</v>
      </c>
      <c r="Y363" s="158">
        <f t="shared" ref="Y363" si="951">$T363/ORCAMENTO_VALOR_TOTAL_DE</f>
        <v>0</v>
      </c>
      <c r="Z363" s="158" cm="1">
        <f t="array" ref="Z363">_xlfn.SWITCH($N363,"BDI 1",$O$6,"BDI 2",$O$7,"BDI 3",$O$8)</f>
        <v>0.20699999999999999</v>
      </c>
      <c r="AA363" s="158" cm="1">
        <f t="array" ref="AA363">_xlfn.SWITCH($N363,"BDI 1",$P$6,"BDI 2",$P$7,"BDI 3",$P$8)</f>
        <v>0.26739999999999997</v>
      </c>
      <c r="AB363" s="158">
        <f t="shared" ca="1" si="940"/>
        <v>0</v>
      </c>
      <c r="AC363" s="158">
        <f t="shared" ca="1" si="941"/>
        <v>0</v>
      </c>
      <c r="AD363" s="164"/>
      <c r="AE363" s="148">
        <f t="shared" si="898"/>
        <v>0</v>
      </c>
      <c r="AF363" s="149"/>
      <c r="AG363" s="150"/>
      <c r="AH363" s="159" t="e">
        <f t="shared" si="942"/>
        <v>#DIV/0!</v>
      </c>
      <c r="AI363" s="160"/>
      <c r="AK363" s="105"/>
      <c r="AL363" s="105"/>
      <c r="AM363" s="105"/>
      <c r="AN363" s="105"/>
      <c r="AO363" s="167"/>
      <c r="AP363" s="105"/>
      <c r="AQ363" s="105"/>
      <c r="AR363" s="105"/>
    </row>
    <row r="364" spans="1:44" s="49" customFormat="1" ht="40.15" hidden="1" customHeight="1">
      <c r="A364" s="152">
        <f t="shared" ca="1" si="899"/>
        <v>0</v>
      </c>
      <c r="B364" s="153">
        <v>101617</v>
      </c>
      <c r="C364" s="154" t="str">
        <f t="shared" si="929"/>
        <v>101617</v>
      </c>
      <c r="D364" s="154" t="s">
        <v>1416</v>
      </c>
      <c r="E364" s="155" t="s">
        <v>3653</v>
      </c>
      <c r="F364" s="154"/>
      <c r="G364" s="154" t="s">
        <v>1418</v>
      </c>
      <c r="H364" s="152">
        <v>2.87</v>
      </c>
      <c r="I364" s="152">
        <v>2.62</v>
      </c>
      <c r="J364" s="156"/>
      <c r="K364" s="156">
        <f>Bacia_Amortecimento!J21</f>
        <v>0</v>
      </c>
      <c r="L364" s="156">
        <f t="shared" si="930"/>
        <v>0</v>
      </c>
      <c r="M364" s="156">
        <f t="shared" si="931"/>
        <v>0</v>
      </c>
      <c r="N364" s="156" t="s">
        <v>83</v>
      </c>
      <c r="O364" s="157" cm="1">
        <f t="array" ref="O364">TRUNC($H364*(1+_xlfn.SWITCH($N364,"BDI 1",$O$6,"BDI 2",$O$7,"BDI 3",$O$8)),2)</f>
        <v>3.46</v>
      </c>
      <c r="P364" s="157" cm="1">
        <f t="array" ref="P364">TRUNC($I364*(1+_xlfn.SWITCH($N364,"BDI 1",$P$6,"BDI 2",$P$7,"BDI 3",$P$8)),2)</f>
        <v>3.32</v>
      </c>
      <c r="Q364" s="157">
        <v>0</v>
      </c>
      <c r="R364" s="157">
        <f t="shared" ref="R364" si="952">$Q364-($Q364*LICITACAO_DESCONTO)</f>
        <v>0</v>
      </c>
      <c r="S364" s="156">
        <f t="shared" si="933"/>
        <v>0</v>
      </c>
      <c r="T364" s="156">
        <f t="shared" si="934"/>
        <v>0</v>
      </c>
      <c r="U364" s="156">
        <f t="shared" si="935"/>
        <v>0</v>
      </c>
      <c r="V364" s="156">
        <f t="shared" si="936"/>
        <v>0</v>
      </c>
      <c r="W364" s="156">
        <f t="shared" si="937"/>
        <v>0</v>
      </c>
      <c r="X364" s="158">
        <f t="shared" ref="X364" si="953">$S364/ORCAMENTO_VALOR_TOTAL_ND</f>
        <v>0</v>
      </c>
      <c r="Y364" s="158">
        <f t="shared" ref="Y364" si="954">$T364/ORCAMENTO_VALOR_TOTAL_DE</f>
        <v>0</v>
      </c>
      <c r="Z364" s="158" cm="1">
        <f t="array" ref="Z364">_xlfn.SWITCH($N364,"BDI 1",$O$6,"BDI 2",$O$7,"BDI 3",$O$8)</f>
        <v>0.20699999999999999</v>
      </c>
      <c r="AA364" s="158" cm="1">
        <f t="array" ref="AA364">_xlfn.SWITCH($N364,"BDI 1",$P$6,"BDI 2",$P$7,"BDI 3",$P$8)</f>
        <v>0.26739999999999997</v>
      </c>
      <c r="AB364" s="158">
        <f t="shared" ca="1" si="940"/>
        <v>0</v>
      </c>
      <c r="AC364" s="158">
        <f t="shared" ca="1" si="941"/>
        <v>0</v>
      </c>
      <c r="AD364" s="164"/>
      <c r="AE364" s="148">
        <f t="shared" si="898"/>
        <v>0</v>
      </c>
      <c r="AF364" s="149"/>
      <c r="AG364" s="150"/>
      <c r="AH364" s="159" t="e">
        <f t="shared" si="942"/>
        <v>#DIV/0!</v>
      </c>
      <c r="AI364" s="160"/>
      <c r="AK364" s="105"/>
      <c r="AL364" s="105"/>
      <c r="AM364" s="105"/>
      <c r="AN364" s="105"/>
      <c r="AO364" s="105"/>
      <c r="AP364" s="105"/>
      <c r="AQ364" s="105"/>
      <c r="AR364" s="105"/>
    </row>
    <row r="365" spans="1:44" s="49" customFormat="1" ht="40.15" hidden="1" customHeight="1">
      <c r="A365" s="152">
        <f t="shared" ca="1" si="899"/>
        <v>0</v>
      </c>
      <c r="B365" s="153">
        <v>101624</v>
      </c>
      <c r="C365" s="154" t="str">
        <f t="shared" si="929"/>
        <v>101624</v>
      </c>
      <c r="D365" s="154" t="s">
        <v>1416</v>
      </c>
      <c r="E365" s="155" t="s">
        <v>3655</v>
      </c>
      <c r="F365" s="154"/>
      <c r="G365" s="154" t="s">
        <v>464</v>
      </c>
      <c r="H365" s="152">
        <v>192.34</v>
      </c>
      <c r="I365" s="152">
        <v>193.31</v>
      </c>
      <c r="J365" s="156"/>
      <c r="K365" s="156">
        <f>Bacia_Amortecimento!J23</f>
        <v>0</v>
      </c>
      <c r="L365" s="156">
        <f t="shared" si="930"/>
        <v>0</v>
      </c>
      <c r="M365" s="156">
        <f t="shared" si="931"/>
        <v>0</v>
      </c>
      <c r="N365" s="156" t="s">
        <v>83</v>
      </c>
      <c r="O365" s="157" cm="1">
        <f t="array" ref="O365">TRUNC($H365*(1+_xlfn.SWITCH($N365,"BDI 1",$O$6,"BDI 2",$O$7,"BDI 3",$O$8)),2)</f>
        <v>232.15</v>
      </c>
      <c r="P365" s="157" cm="1">
        <f t="array" ref="P365">TRUNC($I365*(1+_xlfn.SWITCH($N365,"BDI 1",$P$6,"BDI 2",$P$7,"BDI 3",$P$8)),2)</f>
        <v>245</v>
      </c>
      <c r="Q365" s="157">
        <v>0</v>
      </c>
      <c r="R365" s="157">
        <f t="shared" ref="R365" si="955">$Q365-($Q365*LICITACAO_DESCONTO)</f>
        <v>0</v>
      </c>
      <c r="S365" s="156">
        <f t="shared" si="933"/>
        <v>0</v>
      </c>
      <c r="T365" s="156">
        <f t="shared" si="934"/>
        <v>0</v>
      </c>
      <c r="U365" s="156">
        <f t="shared" si="935"/>
        <v>0</v>
      </c>
      <c r="V365" s="156">
        <f t="shared" si="936"/>
        <v>0</v>
      </c>
      <c r="W365" s="156">
        <f t="shared" si="937"/>
        <v>0</v>
      </c>
      <c r="X365" s="158">
        <f t="shared" ref="X365" si="956">$S365/ORCAMENTO_VALOR_TOTAL_ND</f>
        <v>0</v>
      </c>
      <c r="Y365" s="158">
        <f t="shared" ref="Y365" si="957">$T365/ORCAMENTO_VALOR_TOTAL_DE</f>
        <v>0</v>
      </c>
      <c r="Z365" s="158" cm="1">
        <f t="array" ref="Z365">_xlfn.SWITCH($N365,"BDI 1",$O$6,"BDI 2",$O$7,"BDI 3",$O$8)</f>
        <v>0.20699999999999999</v>
      </c>
      <c r="AA365" s="158" cm="1">
        <f t="array" ref="AA365">_xlfn.SWITCH($N365,"BDI 1",$P$6,"BDI 2",$P$7,"BDI 3",$P$8)</f>
        <v>0.26739999999999997</v>
      </c>
      <c r="AB365" s="158">
        <f t="shared" ca="1" si="940"/>
        <v>0</v>
      </c>
      <c r="AC365" s="158">
        <f t="shared" ca="1" si="941"/>
        <v>0</v>
      </c>
      <c r="AD365" s="164"/>
      <c r="AE365" s="148">
        <f t="shared" si="898"/>
        <v>0</v>
      </c>
      <c r="AF365" s="149"/>
      <c r="AG365" s="150"/>
      <c r="AH365" s="159" t="e">
        <f t="shared" si="942"/>
        <v>#DIV/0!</v>
      </c>
      <c r="AI365" s="160"/>
      <c r="AK365" s="105"/>
      <c r="AL365" s="105"/>
      <c r="AM365" s="105"/>
      <c r="AN365" s="105"/>
      <c r="AO365" s="105"/>
      <c r="AP365" s="105"/>
      <c r="AQ365" s="105"/>
      <c r="AR365" s="105"/>
    </row>
    <row r="366" spans="1:44" s="49" customFormat="1" ht="40.15" hidden="1" customHeight="1">
      <c r="A366" s="152">
        <f t="shared" ca="1" si="899"/>
        <v>0</v>
      </c>
      <c r="B366" s="153" t="s">
        <v>133</v>
      </c>
      <c r="C366" s="154" t="str">
        <f t="shared" si="929"/>
        <v>DR/0032</v>
      </c>
      <c r="D366" s="154" t="s">
        <v>3549</v>
      </c>
      <c r="E366" s="155" t="s">
        <v>3659</v>
      </c>
      <c r="F366" s="154"/>
      <c r="G366" s="154" t="s">
        <v>464</v>
      </c>
      <c r="H366" s="152">
        <v>258.72000000000003</v>
      </c>
      <c r="I366" s="152">
        <v>246.98</v>
      </c>
      <c r="J366" s="156"/>
      <c r="K366" s="156">
        <f>Bacia_Amortecimento!J25</f>
        <v>0</v>
      </c>
      <c r="L366" s="156">
        <f t="shared" si="930"/>
        <v>0</v>
      </c>
      <c r="M366" s="156">
        <f t="shared" si="931"/>
        <v>0</v>
      </c>
      <c r="N366" s="156" t="s">
        <v>83</v>
      </c>
      <c r="O366" s="157" cm="1">
        <f t="array" ref="O366">TRUNC($H366*(1+_xlfn.SWITCH($N366,"BDI 1",$O$6,"BDI 2",$O$7,"BDI 3",$O$8)),2)</f>
        <v>312.27</v>
      </c>
      <c r="P366" s="157" cm="1">
        <f t="array" ref="P366">TRUNC($I366*(1+_xlfn.SWITCH($N366,"BDI 1",$P$6,"BDI 2",$P$7,"BDI 3",$P$8)),2)</f>
        <v>313.02</v>
      </c>
      <c r="Q366" s="157">
        <v>0</v>
      </c>
      <c r="R366" s="157">
        <f t="shared" ref="R366" si="958">$Q366-($Q366*LICITACAO_DESCONTO)</f>
        <v>0</v>
      </c>
      <c r="S366" s="156">
        <f t="shared" si="933"/>
        <v>0</v>
      </c>
      <c r="T366" s="156">
        <f t="shared" si="934"/>
        <v>0</v>
      </c>
      <c r="U366" s="156">
        <f t="shared" si="935"/>
        <v>0</v>
      </c>
      <c r="V366" s="156">
        <f t="shared" si="936"/>
        <v>0</v>
      </c>
      <c r="W366" s="156">
        <f t="shared" si="937"/>
        <v>0</v>
      </c>
      <c r="X366" s="158">
        <f t="shared" ref="X366" si="959">$S366/ORCAMENTO_VALOR_TOTAL_ND</f>
        <v>0</v>
      </c>
      <c r="Y366" s="158">
        <f t="shared" ref="Y366" si="960">$T366/ORCAMENTO_VALOR_TOTAL_DE</f>
        <v>0</v>
      </c>
      <c r="Z366" s="158" cm="1">
        <f t="array" ref="Z366">_xlfn.SWITCH($N366,"BDI 1",$O$6,"BDI 2",$O$7,"BDI 3",$O$8)</f>
        <v>0.20699999999999999</v>
      </c>
      <c r="AA366" s="158" cm="1">
        <f t="array" ref="AA366">_xlfn.SWITCH($N366,"BDI 1",$P$6,"BDI 2",$P$7,"BDI 3",$P$8)</f>
        <v>0.26739999999999997</v>
      </c>
      <c r="AB366" s="158">
        <f t="shared" ca="1" si="940"/>
        <v>0</v>
      </c>
      <c r="AC366" s="158">
        <f t="shared" ca="1" si="941"/>
        <v>0</v>
      </c>
      <c r="AD366" s="164"/>
      <c r="AE366" s="148">
        <f t="shared" si="898"/>
        <v>0</v>
      </c>
      <c r="AF366" s="149"/>
      <c r="AG366" s="150"/>
      <c r="AH366" s="159" t="e">
        <f t="shared" si="942"/>
        <v>#DIV/0!</v>
      </c>
      <c r="AI366" s="160"/>
      <c r="AK366" s="105"/>
      <c r="AL366" s="105"/>
      <c r="AM366" s="105"/>
      <c r="AN366" s="105"/>
      <c r="AO366" s="105"/>
      <c r="AP366" s="105"/>
      <c r="AQ366" s="105"/>
      <c r="AR366" s="105"/>
    </row>
    <row r="367" spans="1:44" s="49" customFormat="1" ht="49.9" hidden="1" customHeight="1">
      <c r="A367" s="152">
        <f t="shared" ca="1" si="899"/>
        <v>0</v>
      </c>
      <c r="B367" s="153">
        <v>93367</v>
      </c>
      <c r="C367" s="154" t="str">
        <f t="shared" si="929"/>
        <v>93367</v>
      </c>
      <c r="D367" s="154" t="s">
        <v>1416</v>
      </c>
      <c r="E367" s="155" t="s">
        <v>3670</v>
      </c>
      <c r="F367" s="154"/>
      <c r="G367" s="154" t="s">
        <v>464</v>
      </c>
      <c r="H367" s="152">
        <v>21.71</v>
      </c>
      <c r="I367" s="152">
        <v>21.07</v>
      </c>
      <c r="J367" s="156"/>
      <c r="K367" s="156">
        <f>Bacia_Amortecimento!J84</f>
        <v>0</v>
      </c>
      <c r="L367" s="156">
        <f t="shared" si="930"/>
        <v>0</v>
      </c>
      <c r="M367" s="156">
        <f t="shared" si="931"/>
        <v>0</v>
      </c>
      <c r="N367" s="156" t="s">
        <v>83</v>
      </c>
      <c r="O367" s="157" cm="1">
        <f t="array" ref="O367">TRUNC($H367*(1+_xlfn.SWITCH($N367,"BDI 1",$O$6,"BDI 2",$O$7,"BDI 3",$O$8)),2)</f>
        <v>26.2</v>
      </c>
      <c r="P367" s="157" cm="1">
        <f t="array" ref="P367">TRUNC($I367*(1+_xlfn.SWITCH($N367,"BDI 1",$P$6,"BDI 2",$P$7,"BDI 3",$P$8)),2)</f>
        <v>26.7</v>
      </c>
      <c r="Q367" s="157">
        <v>0</v>
      </c>
      <c r="R367" s="157">
        <f t="shared" ref="R367" si="961">$Q367-($Q367*LICITACAO_DESCONTO)</f>
        <v>0</v>
      </c>
      <c r="S367" s="156">
        <f t="shared" si="933"/>
        <v>0</v>
      </c>
      <c r="T367" s="156">
        <f t="shared" si="934"/>
        <v>0</v>
      </c>
      <c r="U367" s="156">
        <f t="shared" si="935"/>
        <v>0</v>
      </c>
      <c r="V367" s="156">
        <f t="shared" si="936"/>
        <v>0</v>
      </c>
      <c r="W367" s="156">
        <f t="shared" si="937"/>
        <v>0</v>
      </c>
      <c r="X367" s="158">
        <f t="shared" ref="X367" si="962">$S367/ORCAMENTO_VALOR_TOTAL_ND</f>
        <v>0</v>
      </c>
      <c r="Y367" s="158">
        <f t="shared" ref="Y367" si="963">$T367/ORCAMENTO_VALOR_TOTAL_DE</f>
        <v>0</v>
      </c>
      <c r="Z367" s="158" cm="1">
        <f t="array" ref="Z367">_xlfn.SWITCH($N367,"BDI 1",$O$6,"BDI 2",$O$7,"BDI 3",$O$8)</f>
        <v>0.20699999999999999</v>
      </c>
      <c r="AA367" s="158" cm="1">
        <f t="array" ref="AA367">_xlfn.SWITCH($N367,"BDI 1",$P$6,"BDI 2",$P$7,"BDI 3",$P$8)</f>
        <v>0.26739999999999997</v>
      </c>
      <c r="AB367" s="158">
        <f t="shared" ca="1" si="940"/>
        <v>0</v>
      </c>
      <c r="AC367" s="158">
        <f t="shared" ca="1" si="941"/>
        <v>0</v>
      </c>
      <c r="AD367" s="164"/>
      <c r="AE367" s="148">
        <f t="shared" si="898"/>
        <v>0</v>
      </c>
      <c r="AF367" s="149"/>
      <c r="AG367" s="150"/>
      <c r="AH367" s="159" t="e">
        <f t="shared" si="942"/>
        <v>#DIV/0!</v>
      </c>
      <c r="AI367" s="160"/>
      <c r="AK367" s="105"/>
      <c r="AL367" s="105"/>
      <c r="AM367" s="105"/>
      <c r="AN367" s="105"/>
      <c r="AO367" s="105"/>
      <c r="AP367" s="105"/>
      <c r="AQ367" s="105"/>
      <c r="AR367" s="105"/>
    </row>
    <row r="368" spans="1:44" s="49" customFormat="1" ht="49.9" hidden="1" customHeight="1">
      <c r="A368" s="152">
        <f t="shared" ca="1" si="899"/>
        <v>0</v>
      </c>
      <c r="B368" s="153">
        <v>93369</v>
      </c>
      <c r="C368" s="154" t="str">
        <f t="shared" si="929"/>
        <v>93369</v>
      </c>
      <c r="D368" s="154" t="s">
        <v>1416</v>
      </c>
      <c r="E368" s="155" t="s">
        <v>3673</v>
      </c>
      <c r="F368" s="154"/>
      <c r="G368" s="154" t="s">
        <v>464</v>
      </c>
      <c r="H368" s="152">
        <v>15.69</v>
      </c>
      <c r="I368" s="152">
        <v>15.16</v>
      </c>
      <c r="J368" s="156"/>
      <c r="K368" s="156">
        <f>Bacia_Amortecimento!J27</f>
        <v>0</v>
      </c>
      <c r="L368" s="156">
        <f t="shared" si="930"/>
        <v>0</v>
      </c>
      <c r="M368" s="156">
        <f t="shared" si="931"/>
        <v>0</v>
      </c>
      <c r="N368" s="156" t="s">
        <v>83</v>
      </c>
      <c r="O368" s="157" cm="1">
        <f t="array" ref="O368">TRUNC($H368*(1+_xlfn.SWITCH($N368,"BDI 1",$O$6,"BDI 2",$O$7,"BDI 3",$O$8)),2)</f>
        <v>18.93</v>
      </c>
      <c r="P368" s="157" cm="1">
        <f t="array" ref="P368">TRUNC($I368*(1+_xlfn.SWITCH($N368,"BDI 1",$P$6,"BDI 2",$P$7,"BDI 3",$P$8)),2)</f>
        <v>19.21</v>
      </c>
      <c r="Q368" s="157">
        <v>0</v>
      </c>
      <c r="R368" s="157">
        <f t="shared" ref="R368" si="964">$Q368-($Q368*LICITACAO_DESCONTO)</f>
        <v>0</v>
      </c>
      <c r="S368" s="156">
        <f t="shared" si="933"/>
        <v>0</v>
      </c>
      <c r="T368" s="156">
        <f t="shared" si="934"/>
        <v>0</v>
      </c>
      <c r="U368" s="156">
        <f t="shared" si="935"/>
        <v>0</v>
      </c>
      <c r="V368" s="156">
        <f t="shared" si="936"/>
        <v>0</v>
      </c>
      <c r="W368" s="156">
        <f t="shared" si="937"/>
        <v>0</v>
      </c>
      <c r="X368" s="158">
        <f t="shared" ref="X368" si="965">$S368/ORCAMENTO_VALOR_TOTAL_ND</f>
        <v>0</v>
      </c>
      <c r="Y368" s="158">
        <f t="shared" ref="Y368" si="966">$T368/ORCAMENTO_VALOR_TOTAL_DE</f>
        <v>0</v>
      </c>
      <c r="Z368" s="158" cm="1">
        <f t="array" ref="Z368">_xlfn.SWITCH($N368,"BDI 1",$O$6,"BDI 2",$O$7,"BDI 3",$O$8)</f>
        <v>0.20699999999999999</v>
      </c>
      <c r="AA368" s="158" cm="1">
        <f t="array" ref="AA368">_xlfn.SWITCH($N368,"BDI 1",$P$6,"BDI 2",$P$7,"BDI 3",$P$8)</f>
        <v>0.26739999999999997</v>
      </c>
      <c r="AB368" s="158">
        <f t="shared" ca="1" si="940"/>
        <v>0</v>
      </c>
      <c r="AC368" s="158">
        <f t="shared" ca="1" si="941"/>
        <v>0</v>
      </c>
      <c r="AD368" s="164"/>
      <c r="AE368" s="148">
        <f t="shared" si="898"/>
        <v>0</v>
      </c>
      <c r="AF368" s="149"/>
      <c r="AG368" s="150"/>
      <c r="AH368" s="159" t="e">
        <f t="shared" si="942"/>
        <v>#DIV/0!</v>
      </c>
      <c r="AI368" s="160"/>
      <c r="AK368" s="105"/>
      <c r="AL368" s="105"/>
      <c r="AM368" s="105"/>
      <c r="AN368" s="105"/>
      <c r="AO368" s="105"/>
      <c r="AP368" s="105"/>
      <c r="AQ368" s="105"/>
      <c r="AR368" s="105"/>
    </row>
    <row r="369" spans="1:44" s="49" customFormat="1" ht="49.9" hidden="1" customHeight="1">
      <c r="A369" s="152">
        <f t="shared" ca="1" si="899"/>
        <v>0</v>
      </c>
      <c r="B369" s="153">
        <v>104732</v>
      </c>
      <c r="C369" s="154" t="str">
        <f t="shared" si="929"/>
        <v>104732</v>
      </c>
      <c r="D369" s="154" t="s">
        <v>1416</v>
      </c>
      <c r="E369" s="155" t="s">
        <v>3667</v>
      </c>
      <c r="F369" s="154"/>
      <c r="G369" s="154" t="s">
        <v>464</v>
      </c>
      <c r="H369" s="152">
        <v>9.24</v>
      </c>
      <c r="I369" s="152">
        <v>9.07</v>
      </c>
      <c r="J369" s="156"/>
      <c r="K369" s="156">
        <f>Bacia_Amortecimento!J28</f>
        <v>0</v>
      </c>
      <c r="L369" s="156">
        <f t="shared" si="930"/>
        <v>0</v>
      </c>
      <c r="M369" s="156">
        <f t="shared" si="931"/>
        <v>0</v>
      </c>
      <c r="N369" s="156" t="s">
        <v>83</v>
      </c>
      <c r="O369" s="157" cm="1">
        <f t="array" ref="O369">TRUNC($H369*(1+_xlfn.SWITCH($N369,"BDI 1",$O$6,"BDI 2",$O$7,"BDI 3",$O$8)),2)</f>
        <v>11.15</v>
      </c>
      <c r="P369" s="157" cm="1">
        <f t="array" ref="P369">TRUNC($I369*(1+_xlfn.SWITCH($N369,"BDI 1",$P$6,"BDI 2",$P$7,"BDI 3",$P$8)),2)</f>
        <v>11.49</v>
      </c>
      <c r="Q369" s="157">
        <v>0</v>
      </c>
      <c r="R369" s="157">
        <f t="shared" ref="R369" si="967">$Q369-($Q369*LICITACAO_DESCONTO)</f>
        <v>0</v>
      </c>
      <c r="S369" s="156">
        <f t="shared" si="933"/>
        <v>0</v>
      </c>
      <c r="T369" s="156">
        <f t="shared" si="934"/>
        <v>0</v>
      </c>
      <c r="U369" s="156">
        <f t="shared" si="935"/>
        <v>0</v>
      </c>
      <c r="V369" s="156">
        <f t="shared" si="936"/>
        <v>0</v>
      </c>
      <c r="W369" s="156">
        <f t="shared" si="937"/>
        <v>0</v>
      </c>
      <c r="X369" s="158">
        <f t="shared" ref="X369" si="968">$S369/ORCAMENTO_VALOR_TOTAL_ND</f>
        <v>0</v>
      </c>
      <c r="Y369" s="158">
        <f t="shared" ref="Y369" si="969">$T369/ORCAMENTO_VALOR_TOTAL_DE</f>
        <v>0</v>
      </c>
      <c r="Z369" s="158" cm="1">
        <f t="array" ref="Z369">_xlfn.SWITCH($N369,"BDI 1",$O$6,"BDI 2",$O$7,"BDI 3",$O$8)</f>
        <v>0.20699999999999999</v>
      </c>
      <c r="AA369" s="158" cm="1">
        <f t="array" ref="AA369">_xlfn.SWITCH($N369,"BDI 1",$P$6,"BDI 2",$P$7,"BDI 3",$P$8)</f>
        <v>0.26739999999999997</v>
      </c>
      <c r="AB369" s="158">
        <f t="shared" ca="1" si="940"/>
        <v>0</v>
      </c>
      <c r="AC369" s="158">
        <f t="shared" ca="1" si="941"/>
        <v>0</v>
      </c>
      <c r="AD369" s="164"/>
      <c r="AE369" s="148">
        <f t="shared" si="898"/>
        <v>0</v>
      </c>
      <c r="AF369" s="149"/>
      <c r="AG369" s="150"/>
      <c r="AH369" s="159" t="e">
        <f t="shared" si="942"/>
        <v>#DIV/0!</v>
      </c>
      <c r="AI369" s="160"/>
      <c r="AK369" s="105"/>
      <c r="AL369" s="105"/>
      <c r="AM369" s="105"/>
      <c r="AN369" s="105"/>
      <c r="AO369" s="105"/>
      <c r="AP369" s="105"/>
      <c r="AQ369" s="105"/>
      <c r="AR369" s="105"/>
    </row>
    <row r="370" spans="1:44" s="49" customFormat="1" ht="49.9" hidden="1" customHeight="1">
      <c r="A370" s="152">
        <f t="shared" ca="1" si="899"/>
        <v>0</v>
      </c>
      <c r="B370" s="153">
        <v>93373</v>
      </c>
      <c r="C370" s="154" t="str">
        <f t="shared" si="929"/>
        <v>93373</v>
      </c>
      <c r="D370" s="154" t="s">
        <v>1416</v>
      </c>
      <c r="E370" s="155" t="s">
        <v>3675</v>
      </c>
      <c r="F370" s="154"/>
      <c r="G370" s="154" t="s">
        <v>464</v>
      </c>
      <c r="H370" s="152">
        <v>12.97</v>
      </c>
      <c r="I370" s="152">
        <v>12.47</v>
      </c>
      <c r="J370" s="156"/>
      <c r="K370" s="156">
        <f>Bacia_Amortecimento!J29</f>
        <v>0</v>
      </c>
      <c r="L370" s="156">
        <f t="shared" si="930"/>
        <v>0</v>
      </c>
      <c r="M370" s="156">
        <f t="shared" si="931"/>
        <v>0</v>
      </c>
      <c r="N370" s="156" t="s">
        <v>83</v>
      </c>
      <c r="O370" s="157" cm="1">
        <f t="array" ref="O370">TRUNC($H370*(1+_xlfn.SWITCH($N370,"BDI 1",$O$6,"BDI 2",$O$7,"BDI 3",$O$8)),2)</f>
        <v>15.65</v>
      </c>
      <c r="P370" s="157" cm="1">
        <f t="array" ref="P370">TRUNC($I370*(1+_xlfn.SWITCH($N370,"BDI 1",$P$6,"BDI 2",$P$7,"BDI 3",$P$8)),2)</f>
        <v>15.8</v>
      </c>
      <c r="Q370" s="157">
        <v>0</v>
      </c>
      <c r="R370" s="157">
        <f t="shared" ref="R370" si="970">$Q370-($Q370*LICITACAO_DESCONTO)</f>
        <v>0</v>
      </c>
      <c r="S370" s="156">
        <f t="shared" si="933"/>
        <v>0</v>
      </c>
      <c r="T370" s="156">
        <f t="shared" si="934"/>
        <v>0</v>
      </c>
      <c r="U370" s="156">
        <f t="shared" si="935"/>
        <v>0</v>
      </c>
      <c r="V370" s="156">
        <f t="shared" si="936"/>
        <v>0</v>
      </c>
      <c r="W370" s="156">
        <f t="shared" si="937"/>
        <v>0</v>
      </c>
      <c r="X370" s="158">
        <f t="shared" ref="X370" si="971">$S370/ORCAMENTO_VALOR_TOTAL_ND</f>
        <v>0</v>
      </c>
      <c r="Y370" s="158">
        <f t="shared" ref="Y370" si="972">$T370/ORCAMENTO_VALOR_TOTAL_DE</f>
        <v>0</v>
      </c>
      <c r="Z370" s="158" cm="1">
        <f t="array" ref="Z370">_xlfn.SWITCH($N370,"BDI 1",$O$6,"BDI 2",$O$7,"BDI 3",$O$8)</f>
        <v>0.20699999999999999</v>
      </c>
      <c r="AA370" s="158" cm="1">
        <f t="array" ref="AA370">_xlfn.SWITCH($N370,"BDI 1",$P$6,"BDI 2",$P$7,"BDI 3",$P$8)</f>
        <v>0.26739999999999997</v>
      </c>
      <c r="AB370" s="158">
        <f t="shared" ca="1" si="940"/>
        <v>0</v>
      </c>
      <c r="AC370" s="158">
        <f t="shared" ca="1" si="941"/>
        <v>0</v>
      </c>
      <c r="AD370" s="164"/>
      <c r="AE370" s="148">
        <f t="shared" si="898"/>
        <v>0</v>
      </c>
      <c r="AF370" s="149"/>
      <c r="AG370" s="150"/>
      <c r="AH370" s="159" t="e">
        <f t="shared" si="942"/>
        <v>#DIV/0!</v>
      </c>
      <c r="AI370" s="160"/>
      <c r="AK370" s="105"/>
      <c r="AL370" s="105"/>
      <c r="AM370" s="105"/>
      <c r="AN370" s="105"/>
      <c r="AO370" s="105"/>
      <c r="AP370" s="105"/>
      <c r="AQ370" s="105"/>
      <c r="AR370" s="105"/>
    </row>
    <row r="371" spans="1:44" s="49" customFormat="1" ht="40.15" hidden="1" customHeight="1">
      <c r="A371" s="152">
        <f t="shared" ca="1" si="899"/>
        <v>0</v>
      </c>
      <c r="B371" s="153">
        <v>96385</v>
      </c>
      <c r="C371" s="154" t="str">
        <f t="shared" si="929"/>
        <v>96385</v>
      </c>
      <c r="D371" s="154" t="s">
        <v>1416</v>
      </c>
      <c r="E371" s="155" t="s">
        <v>3813</v>
      </c>
      <c r="F371" s="154"/>
      <c r="G371" s="154" t="s">
        <v>464</v>
      </c>
      <c r="H371" s="152">
        <v>11.28</v>
      </c>
      <c r="I371" s="152">
        <v>11.08</v>
      </c>
      <c r="J371" s="156"/>
      <c r="K371" s="156">
        <f>Bacia_Amortecimento!J30</f>
        <v>0</v>
      </c>
      <c r="L371" s="156">
        <f t="shared" si="930"/>
        <v>0</v>
      </c>
      <c r="M371" s="156">
        <f t="shared" si="931"/>
        <v>0</v>
      </c>
      <c r="N371" s="156" t="s">
        <v>83</v>
      </c>
      <c r="O371" s="157" cm="1">
        <f t="array" ref="O371">TRUNC($H371*(1+_xlfn.SWITCH($N371,"BDI 1",$O$6,"BDI 2",$O$7,"BDI 3",$O$8)),2)</f>
        <v>13.61</v>
      </c>
      <c r="P371" s="157" cm="1">
        <f t="array" ref="P371">TRUNC($I371*(1+_xlfn.SWITCH($N371,"BDI 1",$P$6,"BDI 2",$P$7,"BDI 3",$P$8)),2)</f>
        <v>14.04</v>
      </c>
      <c r="Q371" s="157">
        <v>0</v>
      </c>
      <c r="R371" s="157">
        <f t="shared" ref="R371" si="973">$Q371-($Q371*LICITACAO_DESCONTO)</f>
        <v>0</v>
      </c>
      <c r="S371" s="156">
        <f t="shared" si="933"/>
        <v>0</v>
      </c>
      <c r="T371" s="156">
        <f t="shared" si="934"/>
        <v>0</v>
      </c>
      <c r="U371" s="156">
        <f t="shared" si="935"/>
        <v>0</v>
      </c>
      <c r="V371" s="156">
        <f t="shared" si="936"/>
        <v>0</v>
      </c>
      <c r="W371" s="156">
        <f t="shared" si="937"/>
        <v>0</v>
      </c>
      <c r="X371" s="158">
        <f t="shared" ref="X371" si="974">$S371/ORCAMENTO_VALOR_TOTAL_ND</f>
        <v>0</v>
      </c>
      <c r="Y371" s="158">
        <f t="shared" ref="Y371" si="975">$T371/ORCAMENTO_VALOR_TOTAL_DE</f>
        <v>0</v>
      </c>
      <c r="Z371" s="158" cm="1">
        <f t="array" ref="Z371">_xlfn.SWITCH($N371,"BDI 1",$O$6,"BDI 2",$O$7,"BDI 3",$O$8)</f>
        <v>0.20699999999999999</v>
      </c>
      <c r="AA371" s="158" cm="1">
        <f t="array" ref="AA371">_xlfn.SWITCH($N371,"BDI 1",$P$6,"BDI 2",$P$7,"BDI 3",$P$8)</f>
        <v>0.26739999999999997</v>
      </c>
      <c r="AB371" s="158">
        <f t="shared" ca="1" si="940"/>
        <v>0</v>
      </c>
      <c r="AC371" s="158">
        <f t="shared" ca="1" si="941"/>
        <v>0</v>
      </c>
      <c r="AD371" s="164"/>
      <c r="AE371" s="148">
        <f t="shared" si="898"/>
        <v>0</v>
      </c>
      <c r="AF371" s="149"/>
      <c r="AG371" s="150"/>
      <c r="AH371" s="159" t="e">
        <f t="shared" si="942"/>
        <v>#DIV/0!</v>
      </c>
      <c r="AI371" s="165" t="s">
        <v>209</v>
      </c>
      <c r="AJ371" s="105"/>
      <c r="AK371" s="105"/>
      <c r="AM371" s="105"/>
      <c r="AN371" s="105"/>
      <c r="AO371" s="105"/>
      <c r="AP371" s="105"/>
      <c r="AQ371" s="105"/>
      <c r="AR371" s="105"/>
    </row>
    <row r="372" spans="1:44" s="49" customFormat="1" ht="49.9" hidden="1" customHeight="1">
      <c r="A372" s="152">
        <f t="shared" ca="1" si="899"/>
        <v>0</v>
      </c>
      <c r="B372" s="153">
        <v>101230</v>
      </c>
      <c r="C372" s="154" t="str">
        <f t="shared" si="929"/>
        <v>101230</v>
      </c>
      <c r="D372" s="154" t="s">
        <v>1416</v>
      </c>
      <c r="E372" s="155" t="s">
        <v>3677</v>
      </c>
      <c r="F372" s="154"/>
      <c r="G372" s="154" t="s">
        <v>464</v>
      </c>
      <c r="H372" s="152">
        <v>10.7</v>
      </c>
      <c r="I372" s="152">
        <v>10.73</v>
      </c>
      <c r="J372" s="156"/>
      <c r="K372" s="156">
        <f>Bacia_Amortecimento!J33</f>
        <v>0</v>
      </c>
      <c r="L372" s="156">
        <f t="shared" si="930"/>
        <v>0</v>
      </c>
      <c r="M372" s="156">
        <f t="shared" si="931"/>
        <v>0</v>
      </c>
      <c r="N372" s="156" t="s">
        <v>83</v>
      </c>
      <c r="O372" s="157" cm="1">
        <f t="array" ref="O372">TRUNC($H372*(1+_xlfn.SWITCH($N372,"BDI 1",$O$6,"BDI 2",$O$7,"BDI 3",$O$8)),2)</f>
        <v>12.91</v>
      </c>
      <c r="P372" s="157" cm="1">
        <f t="array" ref="P372">TRUNC($I372*(1+_xlfn.SWITCH($N372,"BDI 1",$P$6,"BDI 2",$P$7,"BDI 3",$P$8)),2)</f>
        <v>13.59</v>
      </c>
      <c r="Q372" s="157">
        <v>0</v>
      </c>
      <c r="R372" s="157">
        <f t="shared" ref="R372" si="976">$Q372-($Q372*LICITACAO_DESCONTO)</f>
        <v>0</v>
      </c>
      <c r="S372" s="156">
        <f t="shared" si="933"/>
        <v>0</v>
      </c>
      <c r="T372" s="156">
        <f t="shared" si="934"/>
        <v>0</v>
      </c>
      <c r="U372" s="156">
        <f t="shared" si="935"/>
        <v>0</v>
      </c>
      <c r="V372" s="156">
        <f t="shared" si="936"/>
        <v>0</v>
      </c>
      <c r="W372" s="156">
        <f t="shared" si="937"/>
        <v>0</v>
      </c>
      <c r="X372" s="158">
        <f t="shared" ref="X372" si="977">$S372/ORCAMENTO_VALOR_TOTAL_ND</f>
        <v>0</v>
      </c>
      <c r="Y372" s="158">
        <f t="shared" ref="Y372" si="978">$T372/ORCAMENTO_VALOR_TOTAL_DE</f>
        <v>0</v>
      </c>
      <c r="Z372" s="158" cm="1">
        <f t="array" ref="Z372">_xlfn.SWITCH($N372,"BDI 1",$O$6,"BDI 2",$O$7,"BDI 3",$O$8)</f>
        <v>0.20699999999999999</v>
      </c>
      <c r="AA372" s="158" cm="1">
        <f t="array" ref="AA372">_xlfn.SWITCH($N372,"BDI 1",$P$6,"BDI 2",$P$7,"BDI 3",$P$8)</f>
        <v>0.26739999999999997</v>
      </c>
      <c r="AB372" s="158">
        <f t="shared" ca="1" si="940"/>
        <v>0</v>
      </c>
      <c r="AC372" s="158">
        <f t="shared" ca="1" si="941"/>
        <v>0</v>
      </c>
      <c r="AD372" s="164"/>
      <c r="AE372" s="148">
        <f t="shared" si="898"/>
        <v>0</v>
      </c>
      <c r="AF372" s="149"/>
      <c r="AG372" s="150"/>
      <c r="AH372" s="159" t="e">
        <f t="shared" si="942"/>
        <v>#DIV/0!</v>
      </c>
      <c r="AI372" s="160"/>
      <c r="AJ372" s="105"/>
      <c r="AK372" s="105"/>
      <c r="AM372" s="105"/>
      <c r="AN372" s="105"/>
      <c r="AO372" s="105"/>
      <c r="AP372" s="105"/>
      <c r="AQ372" s="105"/>
      <c r="AR372" s="105"/>
    </row>
    <row r="373" spans="1:44" s="49" customFormat="1" ht="40.15" hidden="1" customHeight="1">
      <c r="A373" s="152">
        <f t="shared" ca="1" si="899"/>
        <v>0</v>
      </c>
      <c r="B373" s="153">
        <v>6079</v>
      </c>
      <c r="C373" s="154" t="str">
        <f t="shared" si="929"/>
        <v>6079</v>
      </c>
      <c r="D373" s="154" t="s">
        <v>3579</v>
      </c>
      <c r="E373" s="155" t="s">
        <v>3679</v>
      </c>
      <c r="F373" s="154"/>
      <c r="G373" s="154" t="s">
        <v>464</v>
      </c>
      <c r="H373" s="152">
        <v>37.35</v>
      </c>
      <c r="I373" s="152">
        <v>37.35</v>
      </c>
      <c r="J373" s="156"/>
      <c r="K373" s="156">
        <f>IF(AI373="COMERCIAL",K372,0)</f>
        <v>0</v>
      </c>
      <c r="L373" s="156">
        <f t="shared" si="930"/>
        <v>0</v>
      </c>
      <c r="M373" s="156">
        <f t="shared" si="931"/>
        <v>0</v>
      </c>
      <c r="N373" s="156" t="s">
        <v>92</v>
      </c>
      <c r="O373" s="157" cm="1">
        <f t="array" ref="O373">TRUNC($H373*(1+_xlfn.SWITCH($N373,"BDI 1",$O$6,"BDI 2",$O$7,"BDI 3",$O$8)),2)</f>
        <v>43.05</v>
      </c>
      <c r="P373" s="157" cm="1">
        <f t="array" ref="P373">TRUNC($I373*(1+_xlfn.SWITCH($N373,"BDI 1",$P$6,"BDI 2",$P$7,"BDI 3",$P$8)),2)</f>
        <v>43.05</v>
      </c>
      <c r="Q373" s="157">
        <v>0</v>
      </c>
      <c r="R373" s="157">
        <f t="shared" ref="R373" si="979">$Q373-($Q373*LICITACAO_DESCONTO)</f>
        <v>0</v>
      </c>
      <c r="S373" s="156">
        <f t="shared" si="933"/>
        <v>0</v>
      </c>
      <c r="T373" s="156">
        <f t="shared" si="934"/>
        <v>0</v>
      </c>
      <c r="U373" s="156">
        <f t="shared" si="935"/>
        <v>0</v>
      </c>
      <c r="V373" s="156">
        <f t="shared" si="936"/>
        <v>0</v>
      </c>
      <c r="W373" s="156">
        <f t="shared" si="937"/>
        <v>0</v>
      </c>
      <c r="X373" s="158">
        <f t="shared" ref="X373" si="980">$S373/ORCAMENTO_VALOR_TOTAL_ND</f>
        <v>0</v>
      </c>
      <c r="Y373" s="158">
        <f t="shared" ref="Y373" si="981">$T373/ORCAMENTO_VALOR_TOTAL_DE</f>
        <v>0</v>
      </c>
      <c r="Z373" s="158" cm="1">
        <f t="array" ref="Z373">_xlfn.SWITCH($N373,"BDI 1",$O$6,"BDI 2",$O$7,"BDI 3",$O$8)</f>
        <v>0.1527</v>
      </c>
      <c r="AA373" s="158" cm="1">
        <f t="array" ref="AA373">_xlfn.SWITCH($N373,"BDI 1",$P$6,"BDI 2",$P$7,"BDI 3",$P$8)</f>
        <v>0.1527</v>
      </c>
      <c r="AB373" s="158">
        <f t="shared" ca="1" si="940"/>
        <v>0</v>
      </c>
      <c r="AC373" s="158">
        <f t="shared" ca="1" si="941"/>
        <v>0</v>
      </c>
      <c r="AD373" s="164"/>
      <c r="AE373" s="148">
        <f t="shared" si="898"/>
        <v>0</v>
      </c>
      <c r="AF373" s="149"/>
      <c r="AG373" s="150"/>
      <c r="AH373" s="159" t="e">
        <f t="shared" si="942"/>
        <v>#DIV/0!</v>
      </c>
      <c r="AI373" s="165" t="s">
        <v>134</v>
      </c>
      <c r="AJ373" s="105"/>
      <c r="AK373" s="105"/>
      <c r="AM373" s="105"/>
      <c r="AN373" s="105"/>
      <c r="AO373" s="105"/>
      <c r="AP373" s="105"/>
      <c r="AQ373" s="105"/>
      <c r="AR373" s="105"/>
    </row>
    <row r="374" spans="1:44" s="49" customFormat="1" ht="40.15" hidden="1" customHeight="1">
      <c r="A374" s="152">
        <f t="shared" ca="1" si="899"/>
        <v>0</v>
      </c>
      <c r="B374" s="153">
        <v>100574</v>
      </c>
      <c r="C374" s="154" t="str">
        <f t="shared" si="929"/>
        <v>100574</v>
      </c>
      <c r="D374" s="154" t="s">
        <v>1416</v>
      </c>
      <c r="E374" s="155" t="s">
        <v>3814</v>
      </c>
      <c r="F374" s="154"/>
      <c r="G374" s="154" t="s">
        <v>464</v>
      </c>
      <c r="H374" s="152">
        <v>1.45</v>
      </c>
      <c r="I374" s="152">
        <v>1.36</v>
      </c>
      <c r="J374" s="156"/>
      <c r="K374" s="156">
        <f>+Bacia_Amortecimento!J37</f>
        <v>0</v>
      </c>
      <c r="L374" s="156">
        <f t="shared" si="930"/>
        <v>0</v>
      </c>
      <c r="M374" s="156">
        <f t="shared" si="931"/>
        <v>0</v>
      </c>
      <c r="N374" s="156" t="s">
        <v>83</v>
      </c>
      <c r="O374" s="157" cm="1">
        <f t="array" ref="O374">TRUNC($H374*(1+_xlfn.SWITCH($N374,"BDI 1",$O$6,"BDI 2",$O$7,"BDI 3",$O$8)),2)</f>
        <v>1.75</v>
      </c>
      <c r="P374" s="157" cm="1">
        <f t="array" ref="P374">TRUNC($I374*(1+_xlfn.SWITCH($N374,"BDI 1",$P$6,"BDI 2",$P$7,"BDI 3",$P$8)),2)</f>
        <v>1.72</v>
      </c>
      <c r="Q374" s="157">
        <v>0</v>
      </c>
      <c r="R374" s="157">
        <f t="shared" ref="R374" si="982">$Q374-($Q374*LICITACAO_DESCONTO)</f>
        <v>0</v>
      </c>
      <c r="S374" s="156">
        <f t="shared" si="933"/>
        <v>0</v>
      </c>
      <c r="T374" s="156">
        <f t="shared" si="934"/>
        <v>0</v>
      </c>
      <c r="U374" s="156">
        <f t="shared" si="935"/>
        <v>0</v>
      </c>
      <c r="V374" s="156">
        <f t="shared" si="936"/>
        <v>0</v>
      </c>
      <c r="W374" s="156">
        <f t="shared" si="937"/>
        <v>0</v>
      </c>
      <c r="X374" s="158">
        <f t="shared" ref="X374" si="983">$S374/ORCAMENTO_VALOR_TOTAL_ND</f>
        <v>0</v>
      </c>
      <c r="Y374" s="158">
        <f t="shared" ref="Y374" si="984">$T374/ORCAMENTO_VALOR_TOTAL_DE</f>
        <v>0</v>
      </c>
      <c r="Z374" s="158" cm="1">
        <f t="array" ref="Z374">_xlfn.SWITCH($N374,"BDI 1",$O$6,"BDI 2",$O$7,"BDI 3",$O$8)</f>
        <v>0.20699999999999999</v>
      </c>
      <c r="AA374" s="158" cm="1">
        <f t="array" ref="AA374">_xlfn.SWITCH($N374,"BDI 1",$P$6,"BDI 2",$P$7,"BDI 3",$P$8)</f>
        <v>0.26739999999999997</v>
      </c>
      <c r="AB374" s="158">
        <f t="shared" ca="1" si="940"/>
        <v>0</v>
      </c>
      <c r="AC374" s="158">
        <f t="shared" ca="1" si="941"/>
        <v>0</v>
      </c>
      <c r="AD374" s="164"/>
      <c r="AE374" s="148">
        <f t="shared" si="898"/>
        <v>0</v>
      </c>
      <c r="AF374" s="149"/>
      <c r="AG374" s="150"/>
      <c r="AH374" s="159" t="e">
        <f t="shared" si="942"/>
        <v>#DIV/0!</v>
      </c>
      <c r="AI374" s="160"/>
      <c r="AK374" s="105"/>
      <c r="AL374" s="105"/>
      <c r="AM374" s="105"/>
      <c r="AN374" s="105"/>
      <c r="AO374" s="105"/>
      <c r="AP374" s="105"/>
      <c r="AQ374" s="105"/>
      <c r="AR374" s="105"/>
    </row>
    <row r="375" spans="1:44" s="49" customFormat="1" ht="40.15" hidden="1" customHeight="1">
      <c r="A375" s="152">
        <f t="shared" ca="1" si="899"/>
        <v>0</v>
      </c>
      <c r="B375" s="153">
        <v>93358</v>
      </c>
      <c r="C375" s="154" t="str">
        <f t="shared" si="929"/>
        <v>93358</v>
      </c>
      <c r="D375" s="154" t="s">
        <v>1416</v>
      </c>
      <c r="E375" s="155" t="s">
        <v>3640</v>
      </c>
      <c r="F375" s="154"/>
      <c r="G375" s="154" t="s">
        <v>464</v>
      </c>
      <c r="H375" s="152">
        <v>79.63</v>
      </c>
      <c r="I375" s="152">
        <v>72.430000000000007</v>
      </c>
      <c r="J375" s="156"/>
      <c r="K375" s="156">
        <f>Bacia_Amortecimento!J38</f>
        <v>0</v>
      </c>
      <c r="L375" s="156">
        <f t="shared" si="930"/>
        <v>0</v>
      </c>
      <c r="M375" s="156">
        <f t="shared" si="931"/>
        <v>0</v>
      </c>
      <c r="N375" s="156" t="s">
        <v>83</v>
      </c>
      <c r="O375" s="157" cm="1">
        <f t="array" ref="O375">TRUNC($H375*(1+_xlfn.SWITCH($N375,"BDI 1",$O$6,"BDI 2",$O$7,"BDI 3",$O$8)),2)</f>
        <v>96.11</v>
      </c>
      <c r="P375" s="157" cm="1">
        <f t="array" ref="P375">TRUNC($I375*(1+_xlfn.SWITCH($N375,"BDI 1",$P$6,"BDI 2",$P$7,"BDI 3",$P$8)),2)</f>
        <v>91.79</v>
      </c>
      <c r="Q375" s="157">
        <v>0</v>
      </c>
      <c r="R375" s="157">
        <f t="shared" ref="R375" si="985">$Q375-($Q375*LICITACAO_DESCONTO)</f>
        <v>0</v>
      </c>
      <c r="S375" s="156">
        <f t="shared" si="933"/>
        <v>0</v>
      </c>
      <c r="T375" s="156">
        <f t="shared" si="934"/>
        <v>0</v>
      </c>
      <c r="U375" s="156">
        <f t="shared" si="935"/>
        <v>0</v>
      </c>
      <c r="V375" s="156">
        <f t="shared" si="936"/>
        <v>0</v>
      </c>
      <c r="W375" s="156">
        <f t="shared" si="937"/>
        <v>0</v>
      </c>
      <c r="X375" s="158">
        <f t="shared" ref="X375" si="986">$S375/ORCAMENTO_VALOR_TOTAL_ND</f>
        <v>0</v>
      </c>
      <c r="Y375" s="158">
        <f t="shared" ref="Y375" si="987">$T375/ORCAMENTO_VALOR_TOTAL_DE</f>
        <v>0</v>
      </c>
      <c r="Z375" s="158" cm="1">
        <f t="array" ref="Z375">_xlfn.SWITCH($N375,"BDI 1",$O$6,"BDI 2",$O$7,"BDI 3",$O$8)</f>
        <v>0.20699999999999999</v>
      </c>
      <c r="AA375" s="158" cm="1">
        <f t="array" ref="AA375">_xlfn.SWITCH($N375,"BDI 1",$P$6,"BDI 2",$P$7,"BDI 3",$P$8)</f>
        <v>0.26739999999999997</v>
      </c>
      <c r="AB375" s="158">
        <f t="shared" ca="1" si="940"/>
        <v>0</v>
      </c>
      <c r="AC375" s="158">
        <f t="shared" ca="1" si="941"/>
        <v>0</v>
      </c>
      <c r="AD375" s="164"/>
      <c r="AE375" s="148">
        <f t="shared" si="898"/>
        <v>0</v>
      </c>
      <c r="AF375" s="149"/>
      <c r="AG375" s="150"/>
      <c r="AH375" s="159" t="e">
        <f t="shared" si="942"/>
        <v>#DIV/0!</v>
      </c>
      <c r="AI375" s="160"/>
      <c r="AK375" s="105"/>
      <c r="AL375" s="105"/>
      <c r="AM375" s="105"/>
      <c r="AN375" s="105"/>
      <c r="AO375" s="105"/>
      <c r="AP375" s="105"/>
      <c r="AQ375" s="105"/>
      <c r="AR375" s="105"/>
    </row>
    <row r="376" spans="1:44" s="49" customFormat="1" ht="49.9" hidden="1" customHeight="1">
      <c r="A376" s="152">
        <f t="shared" ca="1" si="899"/>
        <v>0</v>
      </c>
      <c r="B376" s="153">
        <v>90105</v>
      </c>
      <c r="C376" s="154" t="str">
        <f t="shared" si="929"/>
        <v>90105</v>
      </c>
      <c r="D376" s="154" t="s">
        <v>1416</v>
      </c>
      <c r="E376" s="155" t="s">
        <v>3630</v>
      </c>
      <c r="F376" s="154"/>
      <c r="G376" s="154" t="s">
        <v>464</v>
      </c>
      <c r="H376" s="152">
        <v>8.68</v>
      </c>
      <c r="I376" s="152">
        <v>8.3800000000000008</v>
      </c>
      <c r="J376" s="156"/>
      <c r="K376" s="156">
        <f>Bacia_Amortecimento!J39</f>
        <v>0</v>
      </c>
      <c r="L376" s="156">
        <f t="shared" si="930"/>
        <v>0</v>
      </c>
      <c r="M376" s="156">
        <f t="shared" si="931"/>
        <v>0</v>
      </c>
      <c r="N376" s="156" t="s">
        <v>83</v>
      </c>
      <c r="O376" s="157" cm="1">
        <f t="array" ref="O376">TRUNC($H376*(1+_xlfn.SWITCH($N376,"BDI 1",$O$6,"BDI 2",$O$7,"BDI 3",$O$8)),2)</f>
        <v>10.47</v>
      </c>
      <c r="P376" s="157" cm="1">
        <f t="array" ref="P376">TRUNC($I376*(1+_xlfn.SWITCH($N376,"BDI 1",$P$6,"BDI 2",$P$7,"BDI 3",$P$8)),2)</f>
        <v>10.62</v>
      </c>
      <c r="Q376" s="157">
        <v>0</v>
      </c>
      <c r="R376" s="157">
        <f t="shared" ref="R376" si="988">$Q376-($Q376*LICITACAO_DESCONTO)</f>
        <v>0</v>
      </c>
      <c r="S376" s="156">
        <f t="shared" si="933"/>
        <v>0</v>
      </c>
      <c r="T376" s="156">
        <f t="shared" si="934"/>
        <v>0</v>
      </c>
      <c r="U376" s="156">
        <f t="shared" si="935"/>
        <v>0</v>
      </c>
      <c r="V376" s="156">
        <f t="shared" si="936"/>
        <v>0</v>
      </c>
      <c r="W376" s="156">
        <f t="shared" si="937"/>
        <v>0</v>
      </c>
      <c r="X376" s="158">
        <f t="shared" ref="X376" si="989">$S376/ORCAMENTO_VALOR_TOTAL_ND</f>
        <v>0</v>
      </c>
      <c r="Y376" s="158">
        <f t="shared" ref="Y376" si="990">$T376/ORCAMENTO_VALOR_TOTAL_DE</f>
        <v>0</v>
      </c>
      <c r="Z376" s="158" cm="1">
        <f t="array" ref="Z376">_xlfn.SWITCH($N376,"BDI 1",$O$6,"BDI 2",$O$7,"BDI 3",$O$8)</f>
        <v>0.20699999999999999</v>
      </c>
      <c r="AA376" s="158" cm="1">
        <f t="array" ref="AA376">_xlfn.SWITCH($N376,"BDI 1",$P$6,"BDI 2",$P$7,"BDI 3",$P$8)</f>
        <v>0.26739999999999997</v>
      </c>
      <c r="AB376" s="158">
        <f t="shared" ca="1" si="940"/>
        <v>0</v>
      </c>
      <c r="AC376" s="158">
        <f t="shared" ca="1" si="941"/>
        <v>0</v>
      </c>
      <c r="AD376" s="164"/>
      <c r="AE376" s="148">
        <f t="shared" si="898"/>
        <v>0</v>
      </c>
      <c r="AF376" s="149"/>
      <c r="AG376" s="150"/>
      <c r="AH376" s="159" t="e">
        <f t="shared" si="942"/>
        <v>#DIV/0!</v>
      </c>
      <c r="AI376" s="160"/>
      <c r="AK376" s="105"/>
      <c r="AL376" s="105"/>
      <c r="AM376" s="105"/>
      <c r="AN376" s="105"/>
      <c r="AO376" s="105"/>
      <c r="AP376" s="105"/>
      <c r="AQ376" s="105"/>
      <c r="AR376" s="105"/>
    </row>
    <row r="377" spans="1:44" s="49" customFormat="1" ht="40.15" hidden="1" customHeight="1">
      <c r="A377" s="152">
        <f t="shared" ca="1" si="899"/>
        <v>0</v>
      </c>
      <c r="B377" s="153">
        <v>102712</v>
      </c>
      <c r="C377" s="154" t="str">
        <f t="shared" si="929"/>
        <v>102712</v>
      </c>
      <c r="D377" s="154" t="s">
        <v>1416</v>
      </c>
      <c r="E377" s="155" t="s">
        <v>3815</v>
      </c>
      <c r="F377" s="154"/>
      <c r="G377" s="154" t="s">
        <v>1418</v>
      </c>
      <c r="H377" s="152">
        <v>12.68</v>
      </c>
      <c r="I377" s="152">
        <v>12.65</v>
      </c>
      <c r="J377" s="156"/>
      <c r="K377" s="156">
        <f>Bacia_Amortecimento!J40</f>
        <v>0</v>
      </c>
      <c r="L377" s="156">
        <f t="shared" si="930"/>
        <v>0</v>
      </c>
      <c r="M377" s="156">
        <f t="shared" si="931"/>
        <v>0</v>
      </c>
      <c r="N377" s="156" t="s">
        <v>83</v>
      </c>
      <c r="O377" s="157" cm="1">
        <f t="array" ref="O377">TRUNC($H377*(1+_xlfn.SWITCH($N377,"BDI 1",$O$6,"BDI 2",$O$7,"BDI 3",$O$8)),2)</f>
        <v>15.3</v>
      </c>
      <c r="P377" s="157" cm="1">
        <f t="array" ref="P377">TRUNC($I377*(1+_xlfn.SWITCH($N377,"BDI 1",$P$6,"BDI 2",$P$7,"BDI 3",$P$8)),2)</f>
        <v>16.03</v>
      </c>
      <c r="Q377" s="157">
        <v>0</v>
      </c>
      <c r="R377" s="157">
        <f t="shared" ref="R377" si="991">$Q377-($Q377*LICITACAO_DESCONTO)</f>
        <v>0</v>
      </c>
      <c r="S377" s="156">
        <f t="shared" si="933"/>
        <v>0</v>
      </c>
      <c r="T377" s="156">
        <f t="shared" si="934"/>
        <v>0</v>
      </c>
      <c r="U377" s="156">
        <f t="shared" si="935"/>
        <v>0</v>
      </c>
      <c r="V377" s="156">
        <f t="shared" si="936"/>
        <v>0</v>
      </c>
      <c r="W377" s="156">
        <f t="shared" si="937"/>
        <v>0</v>
      </c>
      <c r="X377" s="158">
        <f t="shared" ref="X377" si="992">$S377/ORCAMENTO_VALOR_TOTAL_ND</f>
        <v>0</v>
      </c>
      <c r="Y377" s="158">
        <f t="shared" ref="Y377" si="993">$T377/ORCAMENTO_VALOR_TOTAL_DE</f>
        <v>0</v>
      </c>
      <c r="Z377" s="158" cm="1">
        <f t="array" ref="Z377">_xlfn.SWITCH($N377,"BDI 1",$O$6,"BDI 2",$O$7,"BDI 3",$O$8)</f>
        <v>0.20699999999999999</v>
      </c>
      <c r="AA377" s="158" cm="1">
        <f t="array" ref="AA377">_xlfn.SWITCH($N377,"BDI 1",$P$6,"BDI 2",$P$7,"BDI 3",$P$8)</f>
        <v>0.26739999999999997</v>
      </c>
      <c r="AB377" s="158">
        <f t="shared" ca="1" si="940"/>
        <v>0</v>
      </c>
      <c r="AC377" s="158">
        <f t="shared" ca="1" si="941"/>
        <v>0</v>
      </c>
      <c r="AD377" s="164"/>
      <c r="AE377" s="148">
        <f t="shared" si="898"/>
        <v>0</v>
      </c>
      <c r="AF377" s="149"/>
      <c r="AG377" s="150"/>
      <c r="AH377" s="159" t="e">
        <f t="shared" si="942"/>
        <v>#DIV/0!</v>
      </c>
      <c r="AI377" s="160"/>
      <c r="AJ377" s="105"/>
      <c r="AK377" s="105"/>
      <c r="AM377" s="105"/>
      <c r="AN377" s="105"/>
      <c r="AO377" s="105"/>
      <c r="AP377" s="105"/>
      <c r="AQ377" s="105"/>
      <c r="AR377" s="105"/>
    </row>
    <row r="378" spans="1:44" s="49" customFormat="1" ht="40.15" hidden="1" customHeight="1">
      <c r="A378" s="152">
        <f t="shared" ca="1" si="899"/>
        <v>0</v>
      </c>
      <c r="B378" s="153" t="s">
        <v>210</v>
      </c>
      <c r="C378" s="154" t="str">
        <f t="shared" si="929"/>
        <v>LF/0007</v>
      </c>
      <c r="D378" s="154" t="s">
        <v>3549</v>
      </c>
      <c r="E378" s="155" t="s">
        <v>3816</v>
      </c>
      <c r="F378" s="154"/>
      <c r="G378" s="154" t="s">
        <v>464</v>
      </c>
      <c r="H378" s="152">
        <v>182.99</v>
      </c>
      <c r="I378" s="152">
        <v>176.04</v>
      </c>
      <c r="J378" s="156"/>
      <c r="K378" s="156">
        <f>Bacia_Amortecimento!J41</f>
        <v>0</v>
      </c>
      <c r="L378" s="156">
        <f t="shared" si="930"/>
        <v>0</v>
      </c>
      <c r="M378" s="156">
        <f t="shared" si="931"/>
        <v>0</v>
      </c>
      <c r="N378" s="156" t="s">
        <v>83</v>
      </c>
      <c r="O378" s="157" cm="1">
        <f t="array" ref="O378">TRUNC($H378*(1+_xlfn.SWITCH($N378,"BDI 1",$O$6,"BDI 2",$O$7,"BDI 3",$O$8)),2)</f>
        <v>220.86</v>
      </c>
      <c r="P378" s="157" cm="1">
        <f t="array" ref="P378">TRUNC($I378*(1+_xlfn.SWITCH($N378,"BDI 1",$P$6,"BDI 2",$P$7,"BDI 3",$P$8)),2)</f>
        <v>223.11</v>
      </c>
      <c r="Q378" s="157">
        <v>0</v>
      </c>
      <c r="R378" s="157">
        <f t="shared" ref="R378" si="994">$Q378-($Q378*LICITACAO_DESCONTO)</f>
        <v>0</v>
      </c>
      <c r="S378" s="156">
        <f t="shared" si="933"/>
        <v>0</v>
      </c>
      <c r="T378" s="156">
        <f t="shared" si="934"/>
        <v>0</v>
      </c>
      <c r="U378" s="156">
        <f t="shared" si="935"/>
        <v>0</v>
      </c>
      <c r="V378" s="156">
        <f t="shared" si="936"/>
        <v>0</v>
      </c>
      <c r="W378" s="156">
        <f t="shared" si="937"/>
        <v>0</v>
      </c>
      <c r="X378" s="158">
        <f t="shared" ref="X378" si="995">$S378/ORCAMENTO_VALOR_TOTAL_ND</f>
        <v>0</v>
      </c>
      <c r="Y378" s="158">
        <f t="shared" ref="Y378" si="996">$T378/ORCAMENTO_VALOR_TOTAL_DE</f>
        <v>0</v>
      </c>
      <c r="Z378" s="158" cm="1">
        <f t="array" ref="Z378">_xlfn.SWITCH($N378,"BDI 1",$O$6,"BDI 2",$O$7,"BDI 3",$O$8)</f>
        <v>0.20699999999999999</v>
      </c>
      <c r="AA378" s="158" cm="1">
        <f t="array" ref="AA378">_xlfn.SWITCH($N378,"BDI 1",$P$6,"BDI 2",$P$7,"BDI 3",$P$8)</f>
        <v>0.26739999999999997</v>
      </c>
      <c r="AB378" s="158">
        <f t="shared" ca="1" si="940"/>
        <v>0</v>
      </c>
      <c r="AC378" s="158">
        <f t="shared" ca="1" si="941"/>
        <v>0</v>
      </c>
      <c r="AD378" s="164"/>
      <c r="AE378" s="148">
        <f t="shared" si="898"/>
        <v>0</v>
      </c>
      <c r="AF378" s="149"/>
      <c r="AG378" s="150"/>
      <c r="AH378" s="159" t="e">
        <f t="shared" si="942"/>
        <v>#DIV/0!</v>
      </c>
      <c r="AI378" s="160"/>
      <c r="AJ378" s="105"/>
      <c r="AK378" s="105"/>
      <c r="AM378" s="105"/>
      <c r="AN378" s="105"/>
      <c r="AO378" s="105"/>
      <c r="AP378" s="105"/>
      <c r="AQ378" s="105"/>
      <c r="AR378" s="105"/>
    </row>
    <row r="379" spans="1:44" s="49" customFormat="1" ht="40.15" hidden="1" customHeight="1">
      <c r="A379" s="152">
        <f t="shared" ca="1" si="899"/>
        <v>0</v>
      </c>
      <c r="B379" s="153" t="s">
        <v>211</v>
      </c>
      <c r="C379" s="154" t="str">
        <f t="shared" si="929"/>
        <v>LF/0040</v>
      </c>
      <c r="D379" s="154" t="s">
        <v>3549</v>
      </c>
      <c r="E379" s="155" t="s">
        <v>3817</v>
      </c>
      <c r="F379" s="154"/>
      <c r="G379" s="154" t="s">
        <v>58</v>
      </c>
      <c r="H379" s="152">
        <v>32.57</v>
      </c>
      <c r="I379" s="152">
        <v>30.58</v>
      </c>
      <c r="J379" s="156"/>
      <c r="K379" s="156">
        <f>Bacia_Amortecimento!J42</f>
        <v>0</v>
      </c>
      <c r="L379" s="156">
        <f t="shared" si="930"/>
        <v>0</v>
      </c>
      <c r="M379" s="156">
        <f t="shared" si="931"/>
        <v>0</v>
      </c>
      <c r="N379" s="156" t="s">
        <v>83</v>
      </c>
      <c r="O379" s="157" cm="1">
        <f t="array" ref="O379">TRUNC($H379*(1+_xlfn.SWITCH($N379,"BDI 1",$O$6,"BDI 2",$O$7,"BDI 3",$O$8)),2)</f>
        <v>39.31</v>
      </c>
      <c r="P379" s="157" cm="1">
        <f t="array" ref="P379">TRUNC($I379*(1+_xlfn.SWITCH($N379,"BDI 1",$P$6,"BDI 2",$P$7,"BDI 3",$P$8)),2)</f>
        <v>38.75</v>
      </c>
      <c r="Q379" s="157">
        <v>0</v>
      </c>
      <c r="R379" s="157">
        <f t="shared" ref="R379" si="997">$Q379-($Q379*LICITACAO_DESCONTO)</f>
        <v>0</v>
      </c>
      <c r="S379" s="156">
        <f t="shared" si="933"/>
        <v>0</v>
      </c>
      <c r="T379" s="156">
        <f t="shared" si="934"/>
        <v>0</v>
      </c>
      <c r="U379" s="156">
        <f t="shared" si="935"/>
        <v>0</v>
      </c>
      <c r="V379" s="156">
        <f t="shared" si="936"/>
        <v>0</v>
      </c>
      <c r="W379" s="156">
        <f t="shared" si="937"/>
        <v>0</v>
      </c>
      <c r="X379" s="158">
        <f t="shared" ref="X379" si="998">$S379/ORCAMENTO_VALOR_TOTAL_ND</f>
        <v>0</v>
      </c>
      <c r="Y379" s="158">
        <f t="shared" ref="Y379" si="999">$T379/ORCAMENTO_VALOR_TOTAL_DE</f>
        <v>0</v>
      </c>
      <c r="Z379" s="158" cm="1">
        <f t="array" ref="Z379">_xlfn.SWITCH($N379,"BDI 1",$O$6,"BDI 2",$O$7,"BDI 3",$O$8)</f>
        <v>0.20699999999999999</v>
      </c>
      <c r="AA379" s="158" cm="1">
        <f t="array" ref="AA379">_xlfn.SWITCH($N379,"BDI 1",$P$6,"BDI 2",$P$7,"BDI 3",$P$8)</f>
        <v>0.26739999999999997</v>
      </c>
      <c r="AB379" s="158">
        <f t="shared" ca="1" si="940"/>
        <v>0</v>
      </c>
      <c r="AC379" s="158">
        <f t="shared" ca="1" si="941"/>
        <v>0</v>
      </c>
      <c r="AD379" s="164"/>
      <c r="AE379" s="148">
        <f t="shared" si="898"/>
        <v>0</v>
      </c>
      <c r="AF379" s="149"/>
      <c r="AG379" s="150"/>
      <c r="AH379" s="159" t="e">
        <f t="shared" si="942"/>
        <v>#DIV/0!</v>
      </c>
      <c r="AI379" s="160"/>
      <c r="AJ379" s="207"/>
      <c r="AK379" s="183"/>
      <c r="AM379" s="105"/>
      <c r="AN379" s="105"/>
      <c r="AO379" s="105"/>
      <c r="AP379" s="105"/>
      <c r="AQ379" s="105"/>
      <c r="AR379" s="105"/>
    </row>
    <row r="380" spans="1:44" s="49" customFormat="1" ht="40.15" hidden="1" customHeight="1">
      <c r="A380" s="152">
        <f t="shared" ca="1" si="899"/>
        <v>0</v>
      </c>
      <c r="B380" s="153" t="s">
        <v>212</v>
      </c>
      <c r="C380" s="154" t="str">
        <f t="shared" si="929"/>
        <v>DR/0296</v>
      </c>
      <c r="D380" s="154" t="s">
        <v>3549</v>
      </c>
      <c r="E380" s="155" t="s">
        <v>3818</v>
      </c>
      <c r="F380" s="154"/>
      <c r="G380" s="154" t="s">
        <v>58</v>
      </c>
      <c r="H380" s="152">
        <v>128.57</v>
      </c>
      <c r="I380" s="152">
        <v>124.89</v>
      </c>
      <c r="J380" s="156"/>
      <c r="K380" s="156">
        <f>+Bacia_Amortecimento!J43</f>
        <v>0</v>
      </c>
      <c r="L380" s="156">
        <f t="shared" si="930"/>
        <v>0</v>
      </c>
      <c r="M380" s="156">
        <f t="shared" si="931"/>
        <v>0</v>
      </c>
      <c r="N380" s="156" t="s">
        <v>83</v>
      </c>
      <c r="O380" s="157" cm="1">
        <f t="array" ref="O380">TRUNC($H380*(1+_xlfn.SWITCH($N380,"BDI 1",$O$6,"BDI 2",$O$7,"BDI 3",$O$8)),2)</f>
        <v>155.18</v>
      </c>
      <c r="P380" s="157" cm="1">
        <f t="array" ref="P380">TRUNC($I380*(1+_xlfn.SWITCH($N380,"BDI 1",$P$6,"BDI 2",$P$7,"BDI 3",$P$8)),2)</f>
        <v>158.28</v>
      </c>
      <c r="Q380" s="157">
        <v>0</v>
      </c>
      <c r="R380" s="157">
        <f t="shared" ref="R380" si="1000">$Q380-($Q380*LICITACAO_DESCONTO)</f>
        <v>0</v>
      </c>
      <c r="S380" s="156">
        <f t="shared" si="933"/>
        <v>0</v>
      </c>
      <c r="T380" s="156">
        <f t="shared" si="934"/>
        <v>0</v>
      </c>
      <c r="U380" s="156">
        <f t="shared" si="935"/>
        <v>0</v>
      </c>
      <c r="V380" s="156">
        <f t="shared" si="936"/>
        <v>0</v>
      </c>
      <c r="W380" s="156">
        <f t="shared" si="937"/>
        <v>0</v>
      </c>
      <c r="X380" s="158">
        <f t="shared" ref="X380" si="1001">$S380/ORCAMENTO_VALOR_TOTAL_ND</f>
        <v>0</v>
      </c>
      <c r="Y380" s="158">
        <f t="shared" ref="Y380" si="1002">$T380/ORCAMENTO_VALOR_TOTAL_DE</f>
        <v>0</v>
      </c>
      <c r="Z380" s="158" cm="1">
        <f t="array" ref="Z380">_xlfn.SWITCH($N380,"BDI 1",$O$6,"BDI 2",$O$7,"BDI 3",$O$8)</f>
        <v>0.20699999999999999</v>
      </c>
      <c r="AA380" s="158" cm="1">
        <f t="array" ref="AA380">_xlfn.SWITCH($N380,"BDI 1",$P$6,"BDI 2",$P$7,"BDI 3",$P$8)</f>
        <v>0.26739999999999997</v>
      </c>
      <c r="AB380" s="158">
        <f t="shared" ca="1" si="940"/>
        <v>0</v>
      </c>
      <c r="AC380" s="158">
        <f t="shared" ca="1" si="941"/>
        <v>0</v>
      </c>
      <c r="AD380" s="164"/>
      <c r="AE380" s="148">
        <f t="shared" si="898"/>
        <v>0</v>
      </c>
      <c r="AF380" s="149"/>
      <c r="AG380" s="150"/>
      <c r="AH380" s="159" t="e">
        <f t="shared" si="942"/>
        <v>#DIV/0!</v>
      </c>
      <c r="AI380" s="160"/>
      <c r="AJ380" s="207"/>
      <c r="AK380" s="183"/>
      <c r="AM380" s="105"/>
      <c r="AN380" s="105"/>
      <c r="AO380" s="105"/>
      <c r="AP380" s="105"/>
      <c r="AQ380" s="105"/>
      <c r="AR380" s="105"/>
    </row>
    <row r="381" spans="1:44" s="49" customFormat="1" ht="49.9" hidden="1" customHeight="1">
      <c r="A381" s="152">
        <f t="shared" ca="1" si="899"/>
        <v>0</v>
      </c>
      <c r="B381" s="153" t="s">
        <v>213</v>
      </c>
      <c r="C381" s="154" t="str">
        <f t="shared" si="929"/>
        <v>DR/0300</v>
      </c>
      <c r="D381" s="154" t="s">
        <v>3549</v>
      </c>
      <c r="E381" s="155" t="s">
        <v>3819</v>
      </c>
      <c r="F381" s="154"/>
      <c r="G381" s="154" t="s">
        <v>58</v>
      </c>
      <c r="H381" s="152">
        <v>133.87</v>
      </c>
      <c r="I381" s="152">
        <v>127.75</v>
      </c>
      <c r="J381" s="156"/>
      <c r="K381" s="156">
        <f>+Bacia_Amortecimento!J44</f>
        <v>0</v>
      </c>
      <c r="L381" s="156">
        <f t="shared" si="930"/>
        <v>0</v>
      </c>
      <c r="M381" s="156">
        <f t="shared" si="931"/>
        <v>0</v>
      </c>
      <c r="N381" s="156" t="s">
        <v>83</v>
      </c>
      <c r="O381" s="157" cm="1">
        <f t="array" ref="O381">TRUNC($H381*(1+_xlfn.SWITCH($N381,"BDI 1",$O$6,"BDI 2",$O$7,"BDI 3",$O$8)),2)</f>
        <v>161.58000000000001</v>
      </c>
      <c r="P381" s="157" cm="1">
        <f t="array" ref="P381">TRUNC($I381*(1+_xlfn.SWITCH($N381,"BDI 1",$P$6,"BDI 2",$P$7,"BDI 3",$P$8)),2)</f>
        <v>161.91</v>
      </c>
      <c r="Q381" s="157">
        <v>0</v>
      </c>
      <c r="R381" s="157">
        <f t="shared" ref="R381" si="1003">$Q381-($Q381*LICITACAO_DESCONTO)</f>
        <v>0</v>
      </c>
      <c r="S381" s="156">
        <f t="shared" si="933"/>
        <v>0</v>
      </c>
      <c r="T381" s="156">
        <f t="shared" si="934"/>
        <v>0</v>
      </c>
      <c r="U381" s="156">
        <f t="shared" si="935"/>
        <v>0</v>
      </c>
      <c r="V381" s="156">
        <f t="shared" si="936"/>
        <v>0</v>
      </c>
      <c r="W381" s="156">
        <f t="shared" si="937"/>
        <v>0</v>
      </c>
      <c r="X381" s="158">
        <f t="shared" ref="X381" si="1004">$S381/ORCAMENTO_VALOR_TOTAL_ND</f>
        <v>0</v>
      </c>
      <c r="Y381" s="158">
        <f t="shared" ref="Y381" si="1005">$T381/ORCAMENTO_VALOR_TOTAL_DE</f>
        <v>0</v>
      </c>
      <c r="Z381" s="158" cm="1">
        <f t="array" ref="Z381">_xlfn.SWITCH($N381,"BDI 1",$O$6,"BDI 2",$O$7,"BDI 3",$O$8)</f>
        <v>0.20699999999999999</v>
      </c>
      <c r="AA381" s="158" cm="1">
        <f t="array" ref="AA381">_xlfn.SWITCH($N381,"BDI 1",$P$6,"BDI 2",$P$7,"BDI 3",$P$8)</f>
        <v>0.26739999999999997</v>
      </c>
      <c r="AB381" s="158">
        <f t="shared" ca="1" si="940"/>
        <v>0</v>
      </c>
      <c r="AC381" s="158">
        <f t="shared" ca="1" si="941"/>
        <v>0</v>
      </c>
      <c r="AD381" s="164"/>
      <c r="AE381" s="148">
        <f t="shared" si="898"/>
        <v>0</v>
      </c>
      <c r="AF381" s="149"/>
      <c r="AG381" s="150"/>
      <c r="AH381" s="159" t="e">
        <f t="shared" si="942"/>
        <v>#DIV/0!</v>
      </c>
      <c r="AI381" s="160"/>
      <c r="AJ381" s="207"/>
      <c r="AK381" s="183"/>
      <c r="AM381" s="105"/>
      <c r="AN381" s="105"/>
      <c r="AO381" s="105"/>
      <c r="AP381" s="105"/>
      <c r="AQ381" s="105"/>
      <c r="AR381" s="105"/>
    </row>
    <row r="382" spans="1:44" s="49" customFormat="1" ht="40.15" hidden="1" customHeight="1">
      <c r="A382" s="152">
        <f t="shared" ca="1" si="899"/>
        <v>0</v>
      </c>
      <c r="B382" s="153"/>
      <c r="C382" s="154"/>
      <c r="D382" s="154"/>
      <c r="E382" s="161" t="s">
        <v>214</v>
      </c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62"/>
      <c r="T382" s="162"/>
      <c r="U382" s="162"/>
      <c r="V382" s="162"/>
      <c r="W382" s="162"/>
      <c r="X382" s="163"/>
      <c r="Y382" s="163"/>
      <c r="Z382" s="163"/>
      <c r="AA382" s="163"/>
      <c r="AB382" s="163"/>
      <c r="AC382" s="163"/>
      <c r="AD382" s="164"/>
      <c r="AE382" s="148">
        <f t="shared" si="898"/>
        <v>0</v>
      </c>
      <c r="AF382" s="149"/>
      <c r="AG382" s="150"/>
      <c r="AH382" s="159"/>
      <c r="AI382" s="160"/>
      <c r="AJ382" s="105"/>
      <c r="AK382" s="105"/>
      <c r="AM382" s="105"/>
      <c r="AN382" s="105"/>
      <c r="AO382" s="105"/>
      <c r="AP382" s="105"/>
      <c r="AQ382" s="105"/>
      <c r="AR382" s="105"/>
    </row>
    <row r="383" spans="1:44" s="49" customFormat="1" ht="40.15" hidden="1" customHeight="1">
      <c r="A383" s="152">
        <f t="shared" ca="1" si="899"/>
        <v>0</v>
      </c>
      <c r="B383" s="153">
        <v>94962</v>
      </c>
      <c r="C383" s="154" t="str">
        <f t="shared" ref="C383:C422" si="1006">TEXT(B383,"0")</f>
        <v>94962</v>
      </c>
      <c r="D383" s="154" t="s">
        <v>1416</v>
      </c>
      <c r="E383" s="155" t="s">
        <v>3791</v>
      </c>
      <c r="F383" s="154"/>
      <c r="G383" s="154" t="s">
        <v>464</v>
      </c>
      <c r="H383" s="152">
        <v>385.31</v>
      </c>
      <c r="I383" s="152">
        <v>383.4</v>
      </c>
      <c r="J383" s="156"/>
      <c r="K383" s="156">
        <f>Bacia_Amortecimento!J45</f>
        <v>0</v>
      </c>
      <c r="L383" s="156">
        <f t="shared" ref="L383:L422" si="1007">IF($K383&gt;$J383,$K383-$J383,0)</f>
        <v>0</v>
      </c>
      <c r="M383" s="156">
        <f t="shared" ref="M383:M422" si="1008">IF($K383&lt;$J383,$J383-$K383,0)</f>
        <v>0</v>
      </c>
      <c r="N383" s="156" t="s">
        <v>83</v>
      </c>
      <c r="O383" s="157" cm="1">
        <f t="array" ref="O383">TRUNC($H383*(1+_xlfn.SWITCH($N383,"BDI 1",$O$6,"BDI 2",$O$7,"BDI 3",$O$8)),2)</f>
        <v>465.06</v>
      </c>
      <c r="P383" s="157" cm="1">
        <f t="array" ref="P383">TRUNC($I383*(1+_xlfn.SWITCH($N383,"BDI 1",$P$6,"BDI 2",$P$7,"BDI 3",$P$8)),2)</f>
        <v>485.92</v>
      </c>
      <c r="Q383" s="157">
        <v>0</v>
      </c>
      <c r="R383" s="157">
        <f t="shared" ref="R383" si="1009">$Q383-($Q383*LICITACAO_DESCONTO)</f>
        <v>0</v>
      </c>
      <c r="S383" s="156">
        <f t="shared" ref="S383:S422" si="1010">TRUNC($K383*$O383,2)</f>
        <v>0</v>
      </c>
      <c r="T383" s="156">
        <f t="shared" ref="T383:T422" si="1011">TRUNC($K383*$P383,2)</f>
        <v>0</v>
      </c>
      <c r="U383" s="156">
        <f t="shared" ref="U383:U422" si="1012">TRUNC($J383*$R383,2)</f>
        <v>0</v>
      </c>
      <c r="V383" s="156">
        <f t="shared" ref="V383:V422" si="1013">TRUNC($K383*$Q383,2)</f>
        <v>0</v>
      </c>
      <c r="W383" s="156">
        <f t="shared" ref="W383:W422" si="1014">TRUNC(V383-U383,2)</f>
        <v>0</v>
      </c>
      <c r="X383" s="158">
        <f t="shared" ref="X383" si="1015">$S383/ORCAMENTO_VALOR_TOTAL_ND</f>
        <v>0</v>
      </c>
      <c r="Y383" s="158">
        <f t="shared" ref="Y383" si="1016">$T383/ORCAMENTO_VALOR_TOTAL_DE</f>
        <v>0</v>
      </c>
      <c r="Z383" s="158" cm="1">
        <f t="array" ref="Z383">_xlfn.SWITCH($N383,"BDI 1",$O$6,"BDI 2",$O$7,"BDI 3",$O$8)</f>
        <v>0.20699999999999999</v>
      </c>
      <c r="AA383" s="158" cm="1">
        <f t="array" ref="AA383">_xlfn.SWITCH($N383,"BDI 1",$P$6,"BDI 2",$P$7,"BDI 3",$P$8)</f>
        <v>0.26739999999999997</v>
      </c>
      <c r="AB383" s="158">
        <f t="shared" ref="AB383:AB422" ca="1" si="1017">IFERROR($S383/_xlfn.XLOOKUP($AE383,$B$16:$B$38,$S$16:$S$38),0)</f>
        <v>0</v>
      </c>
      <c r="AC383" s="158">
        <f t="shared" ref="AC383:AC422" ca="1" si="1018">IFERROR($T383/_xlfn.XLOOKUP($AE383,$B$16:$B$38,$T$16:$T$38),0)</f>
        <v>0</v>
      </c>
      <c r="AD383" s="164"/>
      <c r="AE383" s="148">
        <f t="shared" si="898"/>
        <v>0</v>
      </c>
      <c r="AF383" s="149"/>
      <c r="AG383" s="150"/>
      <c r="AH383" s="159" t="e">
        <f t="shared" ref="AH383:AH422" si="1019">S383/$S$351</f>
        <v>#DIV/0!</v>
      </c>
      <c r="AI383" s="160"/>
      <c r="AJ383" s="105"/>
      <c r="AK383" s="105"/>
      <c r="AM383" s="105"/>
      <c r="AN383" s="105"/>
      <c r="AO383" s="105"/>
      <c r="AP383" s="105"/>
      <c r="AQ383" s="105"/>
      <c r="AR383" s="105"/>
    </row>
    <row r="384" spans="1:44" s="49" customFormat="1" ht="40.15" hidden="1" customHeight="1">
      <c r="A384" s="152">
        <f t="shared" ca="1" si="899"/>
        <v>0</v>
      </c>
      <c r="B384" s="153">
        <v>94964</v>
      </c>
      <c r="C384" s="154" t="str">
        <f t="shared" si="1006"/>
        <v>94964</v>
      </c>
      <c r="D384" s="154" t="s">
        <v>1416</v>
      </c>
      <c r="E384" s="155" t="s">
        <v>3793</v>
      </c>
      <c r="F384" s="154"/>
      <c r="G384" s="154" t="s">
        <v>464</v>
      </c>
      <c r="H384" s="152">
        <v>470.38</v>
      </c>
      <c r="I384" s="152">
        <v>467.53</v>
      </c>
      <c r="J384" s="156"/>
      <c r="K384" s="156">
        <f>Bacia_Amortecimento!J46</f>
        <v>0</v>
      </c>
      <c r="L384" s="156">
        <f t="shared" si="1007"/>
        <v>0</v>
      </c>
      <c r="M384" s="156">
        <f t="shared" si="1008"/>
        <v>0</v>
      </c>
      <c r="N384" s="156" t="s">
        <v>83</v>
      </c>
      <c r="O384" s="157" cm="1">
        <f t="array" ref="O384">TRUNC($H384*(1+_xlfn.SWITCH($N384,"BDI 1",$O$6,"BDI 2",$O$7,"BDI 3",$O$8)),2)</f>
        <v>567.74</v>
      </c>
      <c r="P384" s="157" cm="1">
        <f t="array" ref="P384">TRUNC($I384*(1+_xlfn.SWITCH($N384,"BDI 1",$P$6,"BDI 2",$P$7,"BDI 3",$P$8)),2)</f>
        <v>592.54</v>
      </c>
      <c r="Q384" s="157">
        <v>0</v>
      </c>
      <c r="R384" s="157">
        <f t="shared" ref="R384" si="1020">$Q384-($Q384*LICITACAO_DESCONTO)</f>
        <v>0</v>
      </c>
      <c r="S384" s="156">
        <f t="shared" si="1010"/>
        <v>0</v>
      </c>
      <c r="T384" s="156">
        <f t="shared" si="1011"/>
        <v>0</v>
      </c>
      <c r="U384" s="156">
        <f t="shared" si="1012"/>
        <v>0</v>
      </c>
      <c r="V384" s="156">
        <f t="shared" si="1013"/>
        <v>0</v>
      </c>
      <c r="W384" s="156">
        <f t="shared" si="1014"/>
        <v>0</v>
      </c>
      <c r="X384" s="158">
        <f t="shared" ref="X384" si="1021">$S384/ORCAMENTO_VALOR_TOTAL_ND</f>
        <v>0</v>
      </c>
      <c r="Y384" s="158">
        <f t="shared" ref="Y384" si="1022">$T384/ORCAMENTO_VALOR_TOTAL_DE</f>
        <v>0</v>
      </c>
      <c r="Z384" s="158" cm="1">
        <f t="array" ref="Z384">_xlfn.SWITCH($N384,"BDI 1",$O$6,"BDI 2",$O$7,"BDI 3",$O$8)</f>
        <v>0.20699999999999999</v>
      </c>
      <c r="AA384" s="158" cm="1">
        <f t="array" ref="AA384">_xlfn.SWITCH($N384,"BDI 1",$P$6,"BDI 2",$P$7,"BDI 3",$P$8)</f>
        <v>0.26739999999999997</v>
      </c>
      <c r="AB384" s="158">
        <f t="shared" ca="1" si="1017"/>
        <v>0</v>
      </c>
      <c r="AC384" s="158">
        <f t="shared" ca="1" si="1018"/>
        <v>0</v>
      </c>
      <c r="AD384" s="164"/>
      <c r="AE384" s="148">
        <f t="shared" si="898"/>
        <v>0</v>
      </c>
      <c r="AF384" s="149"/>
      <c r="AG384" s="150"/>
      <c r="AH384" s="159" t="e">
        <f t="shared" si="1019"/>
        <v>#DIV/0!</v>
      </c>
      <c r="AI384" s="165" t="s">
        <v>215</v>
      </c>
      <c r="AJ384" s="105"/>
      <c r="AK384" s="105"/>
      <c r="AM384" s="105"/>
      <c r="AN384" s="105"/>
      <c r="AO384" s="105"/>
      <c r="AP384" s="105"/>
      <c r="AQ384" s="105"/>
      <c r="AR384" s="105"/>
    </row>
    <row r="385" spans="1:44" s="49" customFormat="1" ht="40.15" hidden="1" customHeight="1">
      <c r="A385" s="152">
        <f t="shared" ca="1" si="899"/>
        <v>0</v>
      </c>
      <c r="B385" s="153">
        <v>94965</v>
      </c>
      <c r="C385" s="154" t="str">
        <f t="shared" si="1006"/>
        <v>94965</v>
      </c>
      <c r="D385" s="154" t="s">
        <v>1416</v>
      </c>
      <c r="E385" s="155" t="s">
        <v>3820</v>
      </c>
      <c r="F385" s="154"/>
      <c r="G385" s="154" t="s">
        <v>464</v>
      </c>
      <c r="H385" s="152">
        <v>489.71</v>
      </c>
      <c r="I385" s="152">
        <v>487.51</v>
      </c>
      <c r="J385" s="156"/>
      <c r="K385" s="156">
        <f>Bacia_Amortecimento!J47</f>
        <v>0</v>
      </c>
      <c r="L385" s="156">
        <f t="shared" si="1007"/>
        <v>0</v>
      </c>
      <c r="M385" s="156">
        <f t="shared" si="1008"/>
        <v>0</v>
      </c>
      <c r="N385" s="156" t="s">
        <v>83</v>
      </c>
      <c r="O385" s="157" cm="1">
        <f t="array" ref="O385">TRUNC($H385*(1+_xlfn.SWITCH($N385,"BDI 1",$O$6,"BDI 2",$O$7,"BDI 3",$O$8)),2)</f>
        <v>591.07000000000005</v>
      </c>
      <c r="P385" s="157" cm="1">
        <f t="array" ref="P385">TRUNC($I385*(1+_xlfn.SWITCH($N385,"BDI 1",$P$6,"BDI 2",$P$7,"BDI 3",$P$8)),2)</f>
        <v>617.87</v>
      </c>
      <c r="Q385" s="157">
        <v>0</v>
      </c>
      <c r="R385" s="157">
        <f t="shared" ref="R385" si="1023">$Q385-($Q385*LICITACAO_DESCONTO)</f>
        <v>0</v>
      </c>
      <c r="S385" s="156">
        <f t="shared" si="1010"/>
        <v>0</v>
      </c>
      <c r="T385" s="156">
        <f t="shared" si="1011"/>
        <v>0</v>
      </c>
      <c r="U385" s="156">
        <f t="shared" si="1012"/>
        <v>0</v>
      </c>
      <c r="V385" s="156">
        <f t="shared" si="1013"/>
        <v>0</v>
      </c>
      <c r="W385" s="156">
        <f t="shared" si="1014"/>
        <v>0</v>
      </c>
      <c r="X385" s="158">
        <f t="shared" ref="X385" si="1024">$S385/ORCAMENTO_VALOR_TOTAL_ND</f>
        <v>0</v>
      </c>
      <c r="Y385" s="158">
        <f t="shared" ref="Y385" si="1025">$T385/ORCAMENTO_VALOR_TOTAL_DE</f>
        <v>0</v>
      </c>
      <c r="Z385" s="158" cm="1">
        <f t="array" ref="Z385">_xlfn.SWITCH($N385,"BDI 1",$O$6,"BDI 2",$O$7,"BDI 3",$O$8)</f>
        <v>0.20699999999999999</v>
      </c>
      <c r="AA385" s="158" cm="1">
        <f t="array" ref="AA385">_xlfn.SWITCH($N385,"BDI 1",$P$6,"BDI 2",$P$7,"BDI 3",$P$8)</f>
        <v>0.26739999999999997</v>
      </c>
      <c r="AB385" s="158">
        <f t="shared" ca="1" si="1017"/>
        <v>0</v>
      </c>
      <c r="AC385" s="158">
        <f t="shared" ca="1" si="1018"/>
        <v>0</v>
      </c>
      <c r="AD385" s="164"/>
      <c r="AE385" s="148">
        <f t="shared" si="898"/>
        <v>0</v>
      </c>
      <c r="AF385" s="149"/>
      <c r="AG385" s="150"/>
      <c r="AH385" s="159" t="e">
        <f t="shared" si="1019"/>
        <v>#DIV/0!</v>
      </c>
      <c r="AI385" s="165" t="s">
        <v>216</v>
      </c>
      <c r="AJ385" s="105"/>
      <c r="AK385" s="105"/>
      <c r="AM385" s="105"/>
      <c r="AN385" s="105"/>
      <c r="AO385" s="105"/>
      <c r="AP385" s="105"/>
      <c r="AQ385" s="105"/>
      <c r="AR385" s="105"/>
    </row>
    <row r="386" spans="1:44" s="49" customFormat="1" ht="40.15" hidden="1" customHeight="1">
      <c r="A386" s="152">
        <f t="shared" ca="1" si="899"/>
        <v>0</v>
      </c>
      <c r="B386" s="153">
        <v>94966</v>
      </c>
      <c r="C386" s="154" t="str">
        <f t="shared" si="1006"/>
        <v>94966</v>
      </c>
      <c r="D386" s="154" t="s">
        <v>1416</v>
      </c>
      <c r="E386" s="155" t="s">
        <v>3821</v>
      </c>
      <c r="F386" s="154"/>
      <c r="G386" s="154" t="s">
        <v>464</v>
      </c>
      <c r="H386" s="152">
        <v>507.01</v>
      </c>
      <c r="I386" s="152">
        <v>504.78</v>
      </c>
      <c r="J386" s="156"/>
      <c r="K386" s="156">
        <f>Bacia_Amortecimento!J48</f>
        <v>0</v>
      </c>
      <c r="L386" s="156">
        <f t="shared" si="1007"/>
        <v>0</v>
      </c>
      <c r="M386" s="156">
        <f t="shared" si="1008"/>
        <v>0</v>
      </c>
      <c r="N386" s="156" t="s">
        <v>83</v>
      </c>
      <c r="O386" s="157" cm="1">
        <f t="array" ref="O386">TRUNC($H386*(1+_xlfn.SWITCH($N386,"BDI 1",$O$6,"BDI 2",$O$7,"BDI 3",$O$8)),2)</f>
        <v>611.96</v>
      </c>
      <c r="P386" s="157" cm="1">
        <f t="array" ref="P386">TRUNC($I386*(1+_xlfn.SWITCH($N386,"BDI 1",$P$6,"BDI 2",$P$7,"BDI 3",$P$8)),2)</f>
        <v>639.75</v>
      </c>
      <c r="Q386" s="157">
        <v>0</v>
      </c>
      <c r="R386" s="157">
        <f t="shared" ref="R386" si="1026">$Q386-($Q386*LICITACAO_DESCONTO)</f>
        <v>0</v>
      </c>
      <c r="S386" s="156">
        <f t="shared" si="1010"/>
        <v>0</v>
      </c>
      <c r="T386" s="156">
        <f t="shared" si="1011"/>
        <v>0</v>
      </c>
      <c r="U386" s="156">
        <f t="shared" si="1012"/>
        <v>0</v>
      </c>
      <c r="V386" s="156">
        <f t="shared" si="1013"/>
        <v>0</v>
      </c>
      <c r="W386" s="156">
        <f t="shared" si="1014"/>
        <v>0</v>
      </c>
      <c r="X386" s="158">
        <f t="shared" ref="X386" si="1027">$S386/ORCAMENTO_VALOR_TOTAL_ND</f>
        <v>0</v>
      </c>
      <c r="Y386" s="158">
        <f t="shared" ref="Y386" si="1028">$T386/ORCAMENTO_VALOR_TOTAL_DE</f>
        <v>0</v>
      </c>
      <c r="Z386" s="158" cm="1">
        <f t="array" ref="Z386">_xlfn.SWITCH($N386,"BDI 1",$O$6,"BDI 2",$O$7,"BDI 3",$O$8)</f>
        <v>0.20699999999999999</v>
      </c>
      <c r="AA386" s="158" cm="1">
        <f t="array" ref="AA386">_xlfn.SWITCH($N386,"BDI 1",$P$6,"BDI 2",$P$7,"BDI 3",$P$8)</f>
        <v>0.26739999999999997</v>
      </c>
      <c r="AB386" s="158">
        <f t="shared" ca="1" si="1017"/>
        <v>0</v>
      </c>
      <c r="AC386" s="158">
        <f t="shared" ca="1" si="1018"/>
        <v>0</v>
      </c>
      <c r="AD386" s="164"/>
      <c r="AE386" s="148">
        <f t="shared" si="898"/>
        <v>0</v>
      </c>
      <c r="AF386" s="149"/>
      <c r="AG386" s="150"/>
      <c r="AH386" s="159" t="e">
        <f t="shared" si="1019"/>
        <v>#DIV/0!</v>
      </c>
      <c r="AI386" s="165" t="s">
        <v>216</v>
      </c>
      <c r="AJ386" s="105"/>
      <c r="AK386" s="105"/>
      <c r="AM386" s="105"/>
      <c r="AN386" s="105"/>
      <c r="AO386" s="105"/>
      <c r="AP386" s="105"/>
      <c r="AQ386" s="105"/>
      <c r="AR386" s="105"/>
    </row>
    <row r="387" spans="1:44" s="49" customFormat="1" ht="40.15" hidden="1" customHeight="1">
      <c r="A387" s="152">
        <f t="shared" ca="1" si="899"/>
        <v>0</v>
      </c>
      <c r="B387" s="153">
        <v>34495</v>
      </c>
      <c r="C387" s="154" t="str">
        <f t="shared" si="1006"/>
        <v>34495</v>
      </c>
      <c r="D387" s="154" t="s">
        <v>3579</v>
      </c>
      <c r="E387" s="155" t="s">
        <v>3822</v>
      </c>
      <c r="F387" s="154"/>
      <c r="G387" s="154" t="s">
        <v>464</v>
      </c>
      <c r="H387" s="152">
        <v>619.65</v>
      </c>
      <c r="I387" s="152">
        <v>619.65</v>
      </c>
      <c r="J387" s="156"/>
      <c r="K387" s="156">
        <f>Bacia_Amortecimento!J49</f>
        <v>0</v>
      </c>
      <c r="L387" s="156">
        <f t="shared" si="1007"/>
        <v>0</v>
      </c>
      <c r="M387" s="156">
        <f t="shared" si="1008"/>
        <v>0</v>
      </c>
      <c r="N387" s="156" t="s">
        <v>92</v>
      </c>
      <c r="O387" s="157" cm="1">
        <f t="array" ref="O387">TRUNC($H387*(1+_xlfn.SWITCH($N387,"BDI 1",$O$6,"BDI 2",$O$7,"BDI 3",$O$8)),2)</f>
        <v>714.27</v>
      </c>
      <c r="P387" s="157" cm="1">
        <f t="array" ref="P387">TRUNC($I387*(1+_xlfn.SWITCH($N387,"BDI 1",$P$6,"BDI 2",$P$7,"BDI 3",$P$8)),2)</f>
        <v>714.27</v>
      </c>
      <c r="Q387" s="157">
        <v>0</v>
      </c>
      <c r="R387" s="157">
        <f t="shared" ref="R387" si="1029">$Q387-($Q387*LICITACAO_DESCONTO)</f>
        <v>0</v>
      </c>
      <c r="S387" s="156">
        <f t="shared" si="1010"/>
        <v>0</v>
      </c>
      <c r="T387" s="156">
        <f t="shared" si="1011"/>
        <v>0</v>
      </c>
      <c r="U387" s="156">
        <f t="shared" si="1012"/>
        <v>0</v>
      </c>
      <c r="V387" s="156">
        <f t="shared" si="1013"/>
        <v>0</v>
      </c>
      <c r="W387" s="156">
        <f t="shared" si="1014"/>
        <v>0</v>
      </c>
      <c r="X387" s="158">
        <f t="shared" ref="X387" si="1030">$S387/ORCAMENTO_VALOR_TOTAL_ND</f>
        <v>0</v>
      </c>
      <c r="Y387" s="158">
        <f t="shared" ref="Y387" si="1031">$T387/ORCAMENTO_VALOR_TOTAL_DE</f>
        <v>0</v>
      </c>
      <c r="Z387" s="158" cm="1">
        <f t="array" ref="Z387">_xlfn.SWITCH($N387,"BDI 1",$O$6,"BDI 2",$O$7,"BDI 3",$O$8)</f>
        <v>0.1527</v>
      </c>
      <c r="AA387" s="158" cm="1">
        <f t="array" ref="AA387">_xlfn.SWITCH($N387,"BDI 1",$P$6,"BDI 2",$P$7,"BDI 3",$P$8)</f>
        <v>0.1527</v>
      </c>
      <c r="AB387" s="158">
        <f t="shared" ca="1" si="1017"/>
        <v>0</v>
      </c>
      <c r="AC387" s="158">
        <f t="shared" ca="1" si="1018"/>
        <v>0</v>
      </c>
      <c r="AD387" s="164"/>
      <c r="AE387" s="148">
        <f t="shared" si="898"/>
        <v>0</v>
      </c>
      <c r="AF387" s="149"/>
      <c r="AG387" s="150"/>
      <c r="AH387" s="159" t="e">
        <f t="shared" si="1019"/>
        <v>#DIV/0!</v>
      </c>
      <c r="AI387" s="160"/>
      <c r="AJ387" s="105"/>
      <c r="AK387" s="105"/>
      <c r="AM387" s="105"/>
      <c r="AN387" s="105"/>
      <c r="AO387" s="105"/>
      <c r="AP387" s="105"/>
      <c r="AQ387" s="105"/>
      <c r="AR387" s="105"/>
    </row>
    <row r="388" spans="1:44" s="49" customFormat="1" ht="40.15" hidden="1" customHeight="1">
      <c r="A388" s="152">
        <f t="shared" ca="1" si="899"/>
        <v>0</v>
      </c>
      <c r="B388" s="153">
        <v>103670</v>
      </c>
      <c r="C388" s="154" t="str">
        <f t="shared" si="1006"/>
        <v>103670</v>
      </c>
      <c r="D388" s="154" t="s">
        <v>1416</v>
      </c>
      <c r="E388" s="155" t="s">
        <v>3792</v>
      </c>
      <c r="F388" s="154"/>
      <c r="G388" s="154" t="s">
        <v>464</v>
      </c>
      <c r="H388" s="152">
        <v>272.37</v>
      </c>
      <c r="I388" s="152">
        <v>247.05</v>
      </c>
      <c r="J388" s="156"/>
      <c r="K388" s="156">
        <f>K383+IF(AI384="usinado",0,K384)+IF(AI385="usinado",0,K385)+IF(AI386="usinado",0,K386)</f>
        <v>0</v>
      </c>
      <c r="L388" s="156">
        <f t="shared" si="1007"/>
        <v>0</v>
      </c>
      <c r="M388" s="156">
        <f t="shared" si="1008"/>
        <v>0</v>
      </c>
      <c r="N388" s="156" t="s">
        <v>83</v>
      </c>
      <c r="O388" s="157" cm="1">
        <f t="array" ref="O388">TRUNC($H388*(1+_xlfn.SWITCH($N388,"BDI 1",$O$6,"BDI 2",$O$7,"BDI 3",$O$8)),2)</f>
        <v>328.75</v>
      </c>
      <c r="P388" s="157" cm="1">
        <f t="array" ref="P388">TRUNC($I388*(1+_xlfn.SWITCH($N388,"BDI 1",$P$6,"BDI 2",$P$7,"BDI 3",$P$8)),2)</f>
        <v>313.11</v>
      </c>
      <c r="Q388" s="157">
        <v>0</v>
      </c>
      <c r="R388" s="157">
        <f t="shared" ref="R388" si="1032">$Q388-($Q388*LICITACAO_DESCONTO)</f>
        <v>0</v>
      </c>
      <c r="S388" s="156">
        <f t="shared" si="1010"/>
        <v>0</v>
      </c>
      <c r="T388" s="156">
        <f t="shared" si="1011"/>
        <v>0</v>
      </c>
      <c r="U388" s="156">
        <f t="shared" si="1012"/>
        <v>0</v>
      </c>
      <c r="V388" s="156">
        <f t="shared" si="1013"/>
        <v>0</v>
      </c>
      <c r="W388" s="156">
        <f t="shared" si="1014"/>
        <v>0</v>
      </c>
      <c r="X388" s="158">
        <f t="shared" ref="X388" si="1033">$S388/ORCAMENTO_VALOR_TOTAL_ND</f>
        <v>0</v>
      </c>
      <c r="Y388" s="158">
        <f t="shared" ref="Y388" si="1034">$T388/ORCAMENTO_VALOR_TOTAL_DE</f>
        <v>0</v>
      </c>
      <c r="Z388" s="158" cm="1">
        <f t="array" ref="Z388">_xlfn.SWITCH($N388,"BDI 1",$O$6,"BDI 2",$O$7,"BDI 3",$O$8)</f>
        <v>0.20699999999999999</v>
      </c>
      <c r="AA388" s="158" cm="1">
        <f t="array" ref="AA388">_xlfn.SWITCH($N388,"BDI 1",$P$6,"BDI 2",$P$7,"BDI 3",$P$8)</f>
        <v>0.26739999999999997</v>
      </c>
      <c r="AB388" s="158">
        <f t="shared" ca="1" si="1017"/>
        <v>0</v>
      </c>
      <c r="AC388" s="158">
        <f t="shared" ca="1" si="1018"/>
        <v>0</v>
      </c>
      <c r="AD388" s="164"/>
      <c r="AE388" s="148">
        <f t="shared" si="898"/>
        <v>0</v>
      </c>
      <c r="AF388" s="149"/>
      <c r="AG388" s="150"/>
      <c r="AH388" s="159" t="e">
        <f t="shared" si="1019"/>
        <v>#DIV/0!</v>
      </c>
      <c r="AI388" s="160"/>
      <c r="AJ388" s="105"/>
      <c r="AK388" s="105"/>
      <c r="AM388" s="105"/>
      <c r="AN388" s="105"/>
      <c r="AO388" s="105"/>
      <c r="AP388" s="105"/>
      <c r="AQ388" s="105"/>
      <c r="AR388" s="105"/>
    </row>
    <row r="389" spans="1:44" s="49" customFormat="1" ht="40.15" hidden="1" customHeight="1">
      <c r="A389" s="152">
        <f t="shared" ca="1" si="899"/>
        <v>0</v>
      </c>
      <c r="B389" s="153">
        <v>103673</v>
      </c>
      <c r="C389" s="154" t="str">
        <f t="shared" si="1006"/>
        <v>103673</v>
      </c>
      <c r="D389" s="154" t="s">
        <v>1416</v>
      </c>
      <c r="E389" s="155" t="s">
        <v>3795</v>
      </c>
      <c r="F389" s="154"/>
      <c r="G389" s="154" t="s">
        <v>464</v>
      </c>
      <c r="H389" s="152">
        <v>38.33</v>
      </c>
      <c r="I389" s="152">
        <v>34.799999999999997</v>
      </c>
      <c r="J389" s="156"/>
      <c r="K389" s="156">
        <f>K387+IF(AI384="usinado",K384,0)+IF(AI385="usinado",K385,0)+IF(AI386="usinado",K386,0)</f>
        <v>0</v>
      </c>
      <c r="L389" s="156">
        <f t="shared" si="1007"/>
        <v>0</v>
      </c>
      <c r="M389" s="156">
        <f t="shared" si="1008"/>
        <v>0</v>
      </c>
      <c r="N389" s="156" t="s">
        <v>83</v>
      </c>
      <c r="O389" s="157" cm="1">
        <f t="array" ref="O389">TRUNC($H389*(1+_xlfn.SWITCH($N389,"BDI 1",$O$6,"BDI 2",$O$7,"BDI 3",$O$8)),2)</f>
        <v>46.26</v>
      </c>
      <c r="P389" s="157" cm="1">
        <f t="array" ref="P389">TRUNC($I389*(1+_xlfn.SWITCH($N389,"BDI 1",$P$6,"BDI 2",$P$7,"BDI 3",$P$8)),2)</f>
        <v>44.1</v>
      </c>
      <c r="Q389" s="157">
        <v>0</v>
      </c>
      <c r="R389" s="157">
        <f t="shared" ref="R389" si="1035">$Q389-($Q389*LICITACAO_DESCONTO)</f>
        <v>0</v>
      </c>
      <c r="S389" s="156">
        <f t="shared" si="1010"/>
        <v>0</v>
      </c>
      <c r="T389" s="156">
        <f t="shared" si="1011"/>
        <v>0</v>
      </c>
      <c r="U389" s="156">
        <f t="shared" si="1012"/>
        <v>0</v>
      </c>
      <c r="V389" s="156">
        <f t="shared" si="1013"/>
        <v>0</v>
      </c>
      <c r="W389" s="156">
        <f t="shared" si="1014"/>
        <v>0</v>
      </c>
      <c r="X389" s="158">
        <f t="shared" ref="X389" si="1036">$S389/ORCAMENTO_VALOR_TOTAL_ND</f>
        <v>0</v>
      </c>
      <c r="Y389" s="158">
        <f t="shared" ref="Y389" si="1037">$T389/ORCAMENTO_VALOR_TOTAL_DE</f>
        <v>0</v>
      </c>
      <c r="Z389" s="158" cm="1">
        <f t="array" ref="Z389">_xlfn.SWITCH($N389,"BDI 1",$O$6,"BDI 2",$O$7,"BDI 3",$O$8)</f>
        <v>0.20699999999999999</v>
      </c>
      <c r="AA389" s="158" cm="1">
        <f t="array" ref="AA389">_xlfn.SWITCH($N389,"BDI 1",$P$6,"BDI 2",$P$7,"BDI 3",$P$8)</f>
        <v>0.26739999999999997</v>
      </c>
      <c r="AB389" s="158">
        <f t="shared" ca="1" si="1017"/>
        <v>0</v>
      </c>
      <c r="AC389" s="158">
        <f t="shared" ca="1" si="1018"/>
        <v>0</v>
      </c>
      <c r="AD389" s="164"/>
      <c r="AE389" s="148">
        <f t="shared" si="898"/>
        <v>0</v>
      </c>
      <c r="AF389" s="149"/>
      <c r="AG389" s="150"/>
      <c r="AH389" s="159" t="e">
        <f t="shared" si="1019"/>
        <v>#DIV/0!</v>
      </c>
      <c r="AI389" s="160"/>
      <c r="AJ389" s="105"/>
      <c r="AK389" s="105"/>
      <c r="AM389" s="105"/>
      <c r="AN389" s="105"/>
      <c r="AO389" s="105"/>
      <c r="AP389" s="105"/>
      <c r="AQ389" s="105"/>
      <c r="AR389" s="105"/>
    </row>
    <row r="390" spans="1:44" s="49" customFormat="1" ht="40.15" hidden="1" customHeight="1">
      <c r="A390" s="152">
        <f t="shared" ca="1" si="899"/>
        <v>0</v>
      </c>
      <c r="B390" s="153">
        <v>102487</v>
      </c>
      <c r="C390" s="154" t="str">
        <f t="shared" si="1006"/>
        <v>102487</v>
      </c>
      <c r="D390" s="154" t="s">
        <v>1416</v>
      </c>
      <c r="E390" s="155" t="s">
        <v>3796</v>
      </c>
      <c r="F390" s="154"/>
      <c r="G390" s="154" t="s">
        <v>464</v>
      </c>
      <c r="H390" s="152">
        <v>558.70000000000005</v>
      </c>
      <c r="I390" s="152">
        <v>543.11</v>
      </c>
      <c r="J390" s="156"/>
      <c r="K390" s="156">
        <f>Bacia_Amortecimento!J50</f>
        <v>0</v>
      </c>
      <c r="L390" s="156">
        <f t="shared" si="1007"/>
        <v>0</v>
      </c>
      <c r="M390" s="156">
        <f t="shared" si="1008"/>
        <v>0</v>
      </c>
      <c r="N390" s="156" t="s">
        <v>83</v>
      </c>
      <c r="O390" s="157" cm="1">
        <f t="array" ref="O390">TRUNC($H390*(1+_xlfn.SWITCH($N390,"BDI 1",$O$6,"BDI 2",$O$7,"BDI 3",$O$8)),2)</f>
        <v>674.35</v>
      </c>
      <c r="P390" s="157" cm="1">
        <f t="array" ref="P390">TRUNC($I390*(1+_xlfn.SWITCH($N390,"BDI 1",$P$6,"BDI 2",$P$7,"BDI 3",$P$8)),2)</f>
        <v>688.33</v>
      </c>
      <c r="Q390" s="157">
        <v>0</v>
      </c>
      <c r="R390" s="157">
        <f t="shared" ref="R390" si="1038">$Q390-($Q390*LICITACAO_DESCONTO)</f>
        <v>0</v>
      </c>
      <c r="S390" s="156">
        <f t="shared" si="1010"/>
        <v>0</v>
      </c>
      <c r="T390" s="156">
        <f t="shared" si="1011"/>
        <v>0</v>
      </c>
      <c r="U390" s="156">
        <f t="shared" si="1012"/>
        <v>0</v>
      </c>
      <c r="V390" s="156">
        <f t="shared" si="1013"/>
        <v>0</v>
      </c>
      <c r="W390" s="156">
        <f t="shared" si="1014"/>
        <v>0</v>
      </c>
      <c r="X390" s="158">
        <f t="shared" ref="X390" si="1039">$S390/ORCAMENTO_VALOR_TOTAL_ND</f>
        <v>0</v>
      </c>
      <c r="Y390" s="158">
        <f t="shared" ref="Y390" si="1040">$T390/ORCAMENTO_VALOR_TOTAL_DE</f>
        <v>0</v>
      </c>
      <c r="Z390" s="158" cm="1">
        <f t="array" ref="Z390">_xlfn.SWITCH($N390,"BDI 1",$O$6,"BDI 2",$O$7,"BDI 3",$O$8)</f>
        <v>0.20699999999999999</v>
      </c>
      <c r="AA390" s="158" cm="1">
        <f t="array" ref="AA390">_xlfn.SWITCH($N390,"BDI 1",$P$6,"BDI 2",$P$7,"BDI 3",$P$8)</f>
        <v>0.26739999999999997</v>
      </c>
      <c r="AB390" s="158">
        <f t="shared" ca="1" si="1017"/>
        <v>0</v>
      </c>
      <c r="AC390" s="158">
        <f t="shared" ca="1" si="1018"/>
        <v>0</v>
      </c>
      <c r="AD390" s="164"/>
      <c r="AE390" s="148">
        <f t="shared" si="898"/>
        <v>0</v>
      </c>
      <c r="AF390" s="149"/>
      <c r="AG390" s="150"/>
      <c r="AH390" s="159" t="e">
        <f t="shared" si="1019"/>
        <v>#DIV/0!</v>
      </c>
      <c r="AI390" s="160"/>
      <c r="AJ390" s="105"/>
      <c r="AK390" s="105"/>
      <c r="AM390" s="105"/>
      <c r="AN390" s="105"/>
      <c r="AO390" s="105"/>
      <c r="AP390" s="105"/>
      <c r="AQ390" s="105"/>
      <c r="AR390" s="105"/>
    </row>
    <row r="391" spans="1:44" s="49" customFormat="1" ht="49.9" hidden="1" customHeight="1">
      <c r="A391" s="152">
        <f t="shared" ca="1" si="899"/>
        <v>0</v>
      </c>
      <c r="B391" s="153">
        <v>93959</v>
      </c>
      <c r="C391" s="154" t="str">
        <f t="shared" si="1006"/>
        <v>93959</v>
      </c>
      <c r="D391" s="154" t="s">
        <v>1416</v>
      </c>
      <c r="E391" s="155" t="s">
        <v>3823</v>
      </c>
      <c r="F391" s="154"/>
      <c r="G391" s="154" t="s">
        <v>58</v>
      </c>
      <c r="H391" s="152">
        <v>219.26</v>
      </c>
      <c r="I391" s="152">
        <v>209.64</v>
      </c>
      <c r="J391" s="156"/>
      <c r="K391" s="156">
        <f>Bacia_Amortecimento!J65</f>
        <v>0</v>
      </c>
      <c r="L391" s="156">
        <f t="shared" si="1007"/>
        <v>0</v>
      </c>
      <c r="M391" s="156">
        <f t="shared" si="1008"/>
        <v>0</v>
      </c>
      <c r="N391" s="156" t="s">
        <v>83</v>
      </c>
      <c r="O391" s="157" cm="1">
        <f t="array" ref="O391">TRUNC($H391*(1+_xlfn.SWITCH($N391,"BDI 1",$O$6,"BDI 2",$O$7,"BDI 3",$O$8)),2)</f>
        <v>264.64</v>
      </c>
      <c r="P391" s="157" cm="1">
        <f t="array" ref="P391">TRUNC($I391*(1+_xlfn.SWITCH($N391,"BDI 1",$P$6,"BDI 2",$P$7,"BDI 3",$P$8)),2)</f>
        <v>265.69</v>
      </c>
      <c r="Q391" s="157">
        <v>0</v>
      </c>
      <c r="R391" s="157">
        <f t="shared" ref="R391" si="1041">$Q391-($Q391*LICITACAO_DESCONTO)</f>
        <v>0</v>
      </c>
      <c r="S391" s="156">
        <f t="shared" si="1010"/>
        <v>0</v>
      </c>
      <c r="T391" s="156">
        <f t="shared" si="1011"/>
        <v>0</v>
      </c>
      <c r="U391" s="156">
        <f t="shared" si="1012"/>
        <v>0</v>
      </c>
      <c r="V391" s="156">
        <f t="shared" si="1013"/>
        <v>0</v>
      </c>
      <c r="W391" s="156">
        <f t="shared" si="1014"/>
        <v>0</v>
      </c>
      <c r="X391" s="158">
        <f t="shared" ref="X391" si="1042">$S391/ORCAMENTO_VALOR_TOTAL_ND</f>
        <v>0</v>
      </c>
      <c r="Y391" s="158">
        <f t="shared" ref="Y391" si="1043">$T391/ORCAMENTO_VALOR_TOTAL_DE</f>
        <v>0</v>
      </c>
      <c r="Z391" s="158" cm="1">
        <f t="array" ref="Z391">_xlfn.SWITCH($N391,"BDI 1",$O$6,"BDI 2",$O$7,"BDI 3",$O$8)</f>
        <v>0.20699999999999999</v>
      </c>
      <c r="AA391" s="158" cm="1">
        <f t="array" ref="AA391">_xlfn.SWITCH($N391,"BDI 1",$P$6,"BDI 2",$P$7,"BDI 3",$P$8)</f>
        <v>0.26739999999999997</v>
      </c>
      <c r="AB391" s="158">
        <f t="shared" ca="1" si="1017"/>
        <v>0</v>
      </c>
      <c r="AC391" s="158">
        <f t="shared" ca="1" si="1018"/>
        <v>0</v>
      </c>
      <c r="AD391" s="164"/>
      <c r="AE391" s="148">
        <f t="shared" si="898"/>
        <v>0</v>
      </c>
      <c r="AF391" s="149"/>
      <c r="AG391" s="150"/>
      <c r="AH391" s="159" t="e">
        <f t="shared" si="1019"/>
        <v>#DIV/0!</v>
      </c>
      <c r="AI391" s="160"/>
      <c r="AJ391" s="105"/>
      <c r="AK391" s="105"/>
      <c r="AM391" s="105"/>
      <c r="AN391" s="105"/>
      <c r="AO391" s="105"/>
      <c r="AP391" s="105"/>
      <c r="AQ391" s="105"/>
      <c r="AR391" s="105"/>
    </row>
    <row r="392" spans="1:44" s="49" customFormat="1" ht="49.9" hidden="1" customHeight="1">
      <c r="A392" s="152">
        <f t="shared" ca="1" si="899"/>
        <v>0</v>
      </c>
      <c r="B392" s="153">
        <v>93960</v>
      </c>
      <c r="C392" s="154" t="str">
        <f t="shared" si="1006"/>
        <v>93960</v>
      </c>
      <c r="D392" s="154" t="s">
        <v>1416</v>
      </c>
      <c r="E392" s="155" t="s">
        <v>3824</v>
      </c>
      <c r="F392" s="154"/>
      <c r="G392" s="154" t="s">
        <v>58</v>
      </c>
      <c r="H392" s="152">
        <v>212.1</v>
      </c>
      <c r="I392" s="152">
        <v>202.98</v>
      </c>
      <c r="J392" s="156"/>
      <c r="K392" s="156">
        <f>Bacia_Amortecimento!J66</f>
        <v>0</v>
      </c>
      <c r="L392" s="156">
        <f t="shared" si="1007"/>
        <v>0</v>
      </c>
      <c r="M392" s="156">
        <f t="shared" si="1008"/>
        <v>0</v>
      </c>
      <c r="N392" s="156" t="s">
        <v>83</v>
      </c>
      <c r="O392" s="157" cm="1">
        <f t="array" ref="O392">TRUNC($H392*(1+_xlfn.SWITCH($N392,"BDI 1",$O$6,"BDI 2",$O$7,"BDI 3",$O$8)),2)</f>
        <v>256</v>
      </c>
      <c r="P392" s="157" cm="1">
        <f t="array" ref="P392">TRUNC($I392*(1+_xlfn.SWITCH($N392,"BDI 1",$P$6,"BDI 2",$P$7,"BDI 3",$P$8)),2)</f>
        <v>257.25</v>
      </c>
      <c r="Q392" s="157">
        <v>0</v>
      </c>
      <c r="R392" s="157">
        <f t="shared" ref="R392" si="1044">$Q392-($Q392*LICITACAO_DESCONTO)</f>
        <v>0</v>
      </c>
      <c r="S392" s="156">
        <f t="shared" si="1010"/>
        <v>0</v>
      </c>
      <c r="T392" s="156">
        <f t="shared" si="1011"/>
        <v>0</v>
      </c>
      <c r="U392" s="156">
        <f t="shared" si="1012"/>
        <v>0</v>
      </c>
      <c r="V392" s="156">
        <f t="shared" si="1013"/>
        <v>0</v>
      </c>
      <c r="W392" s="156">
        <f t="shared" si="1014"/>
        <v>0</v>
      </c>
      <c r="X392" s="158">
        <f t="shared" ref="X392" si="1045">$S392/ORCAMENTO_VALOR_TOTAL_ND</f>
        <v>0</v>
      </c>
      <c r="Y392" s="158">
        <f t="shared" ref="Y392" si="1046">$T392/ORCAMENTO_VALOR_TOTAL_DE</f>
        <v>0</v>
      </c>
      <c r="Z392" s="158" cm="1">
        <f t="array" ref="Z392">_xlfn.SWITCH($N392,"BDI 1",$O$6,"BDI 2",$O$7,"BDI 3",$O$8)</f>
        <v>0.20699999999999999</v>
      </c>
      <c r="AA392" s="158" cm="1">
        <f t="array" ref="AA392">_xlfn.SWITCH($N392,"BDI 1",$P$6,"BDI 2",$P$7,"BDI 3",$P$8)</f>
        <v>0.26739999999999997</v>
      </c>
      <c r="AB392" s="158">
        <f t="shared" ca="1" si="1017"/>
        <v>0</v>
      </c>
      <c r="AC392" s="158">
        <f t="shared" ca="1" si="1018"/>
        <v>0</v>
      </c>
      <c r="AD392" s="164"/>
      <c r="AE392" s="148">
        <f t="shared" si="898"/>
        <v>0</v>
      </c>
      <c r="AF392" s="149"/>
      <c r="AG392" s="150"/>
      <c r="AH392" s="159" t="e">
        <f t="shared" si="1019"/>
        <v>#DIV/0!</v>
      </c>
      <c r="AI392" s="160"/>
      <c r="AJ392" s="105"/>
      <c r="AK392" s="105"/>
      <c r="AM392" s="105"/>
      <c r="AN392" s="105"/>
      <c r="AO392" s="105"/>
      <c r="AP392" s="105"/>
      <c r="AQ392" s="105"/>
      <c r="AR392" s="105"/>
    </row>
    <row r="393" spans="1:44" s="49" customFormat="1" ht="49.9" hidden="1" customHeight="1">
      <c r="A393" s="152">
        <f t="shared" ca="1" si="899"/>
        <v>0</v>
      </c>
      <c r="B393" s="153">
        <v>91074</v>
      </c>
      <c r="C393" s="154" t="str">
        <f t="shared" si="1006"/>
        <v>91074</v>
      </c>
      <c r="D393" s="154" t="s">
        <v>1416</v>
      </c>
      <c r="E393" s="155" t="s">
        <v>3825</v>
      </c>
      <c r="F393" s="154"/>
      <c r="G393" s="154" t="s">
        <v>1418</v>
      </c>
      <c r="H393" s="152">
        <v>148.91</v>
      </c>
      <c r="I393" s="152">
        <v>144.52000000000001</v>
      </c>
      <c r="J393" s="156"/>
      <c r="K393" s="156">
        <f>Bacia_Amortecimento!J67</f>
        <v>0</v>
      </c>
      <c r="L393" s="156">
        <f t="shared" si="1007"/>
        <v>0</v>
      </c>
      <c r="M393" s="156">
        <f t="shared" si="1008"/>
        <v>0</v>
      </c>
      <c r="N393" s="156" t="s">
        <v>83</v>
      </c>
      <c r="O393" s="157" cm="1">
        <f t="array" ref="O393">TRUNC($H393*(1+_xlfn.SWITCH($N393,"BDI 1",$O$6,"BDI 2",$O$7,"BDI 3",$O$8)),2)</f>
        <v>179.73</v>
      </c>
      <c r="P393" s="157" cm="1">
        <f t="array" ref="P393">TRUNC($I393*(1+_xlfn.SWITCH($N393,"BDI 1",$P$6,"BDI 2",$P$7,"BDI 3",$P$8)),2)</f>
        <v>183.16</v>
      </c>
      <c r="Q393" s="157">
        <v>0</v>
      </c>
      <c r="R393" s="157">
        <f t="shared" ref="R393" si="1047">$Q393-($Q393*LICITACAO_DESCONTO)</f>
        <v>0</v>
      </c>
      <c r="S393" s="156">
        <f t="shared" si="1010"/>
        <v>0</v>
      </c>
      <c r="T393" s="156">
        <f t="shared" si="1011"/>
        <v>0</v>
      </c>
      <c r="U393" s="156">
        <f t="shared" si="1012"/>
        <v>0</v>
      </c>
      <c r="V393" s="156">
        <f t="shared" si="1013"/>
        <v>0</v>
      </c>
      <c r="W393" s="156">
        <f t="shared" si="1014"/>
        <v>0</v>
      </c>
      <c r="X393" s="158">
        <f t="shared" ref="X393" si="1048">$S393/ORCAMENTO_VALOR_TOTAL_ND</f>
        <v>0</v>
      </c>
      <c r="Y393" s="158">
        <f t="shared" ref="Y393" si="1049">$T393/ORCAMENTO_VALOR_TOTAL_DE</f>
        <v>0</v>
      </c>
      <c r="Z393" s="158" cm="1">
        <f t="array" ref="Z393">_xlfn.SWITCH($N393,"BDI 1",$O$6,"BDI 2",$O$7,"BDI 3",$O$8)</f>
        <v>0.20699999999999999</v>
      </c>
      <c r="AA393" s="158" cm="1">
        <f t="array" ref="AA393">_xlfn.SWITCH($N393,"BDI 1",$P$6,"BDI 2",$P$7,"BDI 3",$P$8)</f>
        <v>0.26739999999999997</v>
      </c>
      <c r="AB393" s="158">
        <f t="shared" ca="1" si="1017"/>
        <v>0</v>
      </c>
      <c r="AC393" s="158">
        <f t="shared" ca="1" si="1018"/>
        <v>0</v>
      </c>
      <c r="AD393" s="164"/>
      <c r="AE393" s="148">
        <f t="shared" si="898"/>
        <v>0</v>
      </c>
      <c r="AF393" s="149"/>
      <c r="AG393" s="150"/>
      <c r="AH393" s="159" t="e">
        <f t="shared" si="1019"/>
        <v>#DIV/0!</v>
      </c>
      <c r="AI393" s="160"/>
      <c r="AJ393" s="105"/>
      <c r="AK393" s="105"/>
      <c r="AM393" s="105"/>
      <c r="AN393" s="105"/>
      <c r="AO393" s="105"/>
      <c r="AP393" s="105"/>
      <c r="AQ393" s="105"/>
      <c r="AR393" s="105"/>
    </row>
    <row r="394" spans="1:44" s="49" customFormat="1" ht="49.9" hidden="1" customHeight="1">
      <c r="A394" s="152">
        <f t="shared" ca="1" si="899"/>
        <v>0</v>
      </c>
      <c r="B394" s="153">
        <v>91099</v>
      </c>
      <c r="C394" s="154" t="str">
        <f t="shared" si="1006"/>
        <v>91099</v>
      </c>
      <c r="D394" s="154" t="s">
        <v>1416</v>
      </c>
      <c r="E394" s="155" t="s">
        <v>3826</v>
      </c>
      <c r="F394" s="154"/>
      <c r="G394" s="154" t="s">
        <v>1418</v>
      </c>
      <c r="H394" s="152">
        <v>175.17</v>
      </c>
      <c r="I394" s="152">
        <v>174.93</v>
      </c>
      <c r="J394" s="156"/>
      <c r="K394" s="156">
        <f>Bacia_Amortecimento!J68</f>
        <v>0</v>
      </c>
      <c r="L394" s="156">
        <f t="shared" si="1007"/>
        <v>0</v>
      </c>
      <c r="M394" s="156">
        <f t="shared" si="1008"/>
        <v>0</v>
      </c>
      <c r="N394" s="156" t="s">
        <v>83</v>
      </c>
      <c r="O394" s="157" cm="1">
        <f t="array" ref="O394">TRUNC($H394*(1+_xlfn.SWITCH($N394,"BDI 1",$O$6,"BDI 2",$O$7,"BDI 3",$O$8)),2)</f>
        <v>211.43</v>
      </c>
      <c r="P394" s="157" cm="1">
        <f t="array" ref="P394">TRUNC($I394*(1+_xlfn.SWITCH($N394,"BDI 1",$P$6,"BDI 2",$P$7,"BDI 3",$P$8)),2)</f>
        <v>221.7</v>
      </c>
      <c r="Q394" s="157">
        <v>0</v>
      </c>
      <c r="R394" s="157">
        <f t="shared" ref="R394" si="1050">$Q394-($Q394*LICITACAO_DESCONTO)</f>
        <v>0</v>
      </c>
      <c r="S394" s="156">
        <f t="shared" si="1010"/>
        <v>0</v>
      </c>
      <c r="T394" s="156">
        <f t="shared" si="1011"/>
        <v>0</v>
      </c>
      <c r="U394" s="156">
        <f t="shared" si="1012"/>
        <v>0</v>
      </c>
      <c r="V394" s="156">
        <f t="shared" si="1013"/>
        <v>0</v>
      </c>
      <c r="W394" s="156">
        <f t="shared" si="1014"/>
        <v>0</v>
      </c>
      <c r="X394" s="158">
        <f t="shared" ref="X394" si="1051">$S394/ORCAMENTO_VALOR_TOTAL_ND</f>
        <v>0</v>
      </c>
      <c r="Y394" s="158">
        <f t="shared" ref="Y394" si="1052">$T394/ORCAMENTO_VALOR_TOTAL_DE</f>
        <v>0</v>
      </c>
      <c r="Z394" s="158" cm="1">
        <f t="array" ref="Z394">_xlfn.SWITCH($N394,"BDI 1",$O$6,"BDI 2",$O$7,"BDI 3",$O$8)</f>
        <v>0.20699999999999999</v>
      </c>
      <c r="AA394" s="158" cm="1">
        <f t="array" ref="AA394">_xlfn.SWITCH($N394,"BDI 1",$P$6,"BDI 2",$P$7,"BDI 3",$P$8)</f>
        <v>0.26739999999999997</v>
      </c>
      <c r="AB394" s="158">
        <f t="shared" ca="1" si="1017"/>
        <v>0</v>
      </c>
      <c r="AC394" s="158">
        <f t="shared" ca="1" si="1018"/>
        <v>0</v>
      </c>
      <c r="AD394" s="164"/>
      <c r="AE394" s="148">
        <f t="shared" si="898"/>
        <v>0</v>
      </c>
      <c r="AF394" s="149"/>
      <c r="AG394" s="150"/>
      <c r="AH394" s="159" t="e">
        <f t="shared" si="1019"/>
        <v>#DIV/0!</v>
      </c>
      <c r="AI394" s="160"/>
      <c r="AJ394" s="105"/>
      <c r="AK394" s="105"/>
      <c r="AM394" s="105"/>
      <c r="AN394" s="105"/>
      <c r="AO394" s="105"/>
      <c r="AP394" s="105"/>
      <c r="AQ394" s="105"/>
      <c r="AR394" s="105"/>
    </row>
    <row r="395" spans="1:44" s="49" customFormat="1" ht="40.15" hidden="1" customHeight="1">
      <c r="A395" s="152">
        <f t="shared" ca="1" si="899"/>
        <v>0</v>
      </c>
      <c r="B395" s="153">
        <v>92415</v>
      </c>
      <c r="C395" s="154" t="str">
        <f t="shared" si="1006"/>
        <v>92415</v>
      </c>
      <c r="D395" s="154" t="s">
        <v>1416</v>
      </c>
      <c r="E395" s="155" t="s">
        <v>3797</v>
      </c>
      <c r="F395" s="154"/>
      <c r="G395" s="154" t="s">
        <v>1418</v>
      </c>
      <c r="H395" s="152">
        <v>148.03</v>
      </c>
      <c r="I395" s="152">
        <v>133.79</v>
      </c>
      <c r="J395" s="156"/>
      <c r="K395" s="156">
        <f>Bacia_Amortecimento!J51</f>
        <v>0</v>
      </c>
      <c r="L395" s="156">
        <f t="shared" si="1007"/>
        <v>0</v>
      </c>
      <c r="M395" s="156">
        <f t="shared" si="1008"/>
        <v>0</v>
      </c>
      <c r="N395" s="156" t="s">
        <v>83</v>
      </c>
      <c r="O395" s="157" cm="1">
        <f t="array" ref="O395">TRUNC($H395*(1+_xlfn.SWITCH($N395,"BDI 1",$O$6,"BDI 2",$O$7,"BDI 3",$O$8)),2)</f>
        <v>178.67</v>
      </c>
      <c r="P395" s="157" cm="1">
        <f t="array" ref="P395">TRUNC($I395*(1+_xlfn.SWITCH($N395,"BDI 1",$P$6,"BDI 2",$P$7,"BDI 3",$P$8)),2)</f>
        <v>169.56</v>
      </c>
      <c r="Q395" s="157">
        <v>0</v>
      </c>
      <c r="R395" s="157">
        <f t="shared" ref="R395" si="1053">$Q395-($Q395*LICITACAO_DESCONTO)</f>
        <v>0</v>
      </c>
      <c r="S395" s="156">
        <f t="shared" si="1010"/>
        <v>0</v>
      </c>
      <c r="T395" s="156">
        <f t="shared" si="1011"/>
        <v>0</v>
      </c>
      <c r="U395" s="156">
        <f t="shared" si="1012"/>
        <v>0</v>
      </c>
      <c r="V395" s="156">
        <f t="shared" si="1013"/>
        <v>0</v>
      </c>
      <c r="W395" s="156">
        <f t="shared" si="1014"/>
        <v>0</v>
      </c>
      <c r="X395" s="158">
        <f t="shared" ref="X395" si="1054">$S395/ORCAMENTO_VALOR_TOTAL_ND</f>
        <v>0</v>
      </c>
      <c r="Y395" s="158">
        <f t="shared" ref="Y395" si="1055">$T395/ORCAMENTO_VALOR_TOTAL_DE</f>
        <v>0</v>
      </c>
      <c r="Z395" s="158" cm="1">
        <f t="array" ref="Z395">_xlfn.SWITCH($N395,"BDI 1",$O$6,"BDI 2",$O$7,"BDI 3",$O$8)</f>
        <v>0.20699999999999999</v>
      </c>
      <c r="AA395" s="158" cm="1">
        <f t="array" ref="AA395">_xlfn.SWITCH($N395,"BDI 1",$P$6,"BDI 2",$P$7,"BDI 3",$P$8)</f>
        <v>0.26739999999999997</v>
      </c>
      <c r="AB395" s="158">
        <f t="shared" ca="1" si="1017"/>
        <v>0</v>
      </c>
      <c r="AC395" s="158">
        <f t="shared" ca="1" si="1018"/>
        <v>0</v>
      </c>
      <c r="AD395" s="164"/>
      <c r="AE395" s="148">
        <f t="shared" si="898"/>
        <v>0</v>
      </c>
      <c r="AF395" s="149"/>
      <c r="AG395" s="150"/>
      <c r="AH395" s="159" t="e">
        <f t="shared" si="1019"/>
        <v>#DIV/0!</v>
      </c>
      <c r="AI395" s="160"/>
      <c r="AJ395" s="105"/>
      <c r="AK395" s="105"/>
      <c r="AM395" s="105"/>
      <c r="AN395" s="105"/>
      <c r="AO395" s="105"/>
      <c r="AP395" s="105"/>
      <c r="AQ395" s="105"/>
      <c r="AR395" s="105"/>
    </row>
    <row r="396" spans="1:44" s="49" customFormat="1" ht="40.15" hidden="1" customHeight="1">
      <c r="A396" s="152">
        <f t="shared" ca="1" si="899"/>
        <v>0</v>
      </c>
      <c r="B396" s="153">
        <v>92423</v>
      </c>
      <c r="C396" s="154" t="str">
        <f t="shared" si="1006"/>
        <v>92423</v>
      </c>
      <c r="D396" s="154" t="s">
        <v>1416</v>
      </c>
      <c r="E396" s="155" t="s">
        <v>3798</v>
      </c>
      <c r="F396" s="154"/>
      <c r="G396" s="154" t="s">
        <v>1418</v>
      </c>
      <c r="H396" s="152">
        <v>80.2</v>
      </c>
      <c r="I396" s="152">
        <v>68.33</v>
      </c>
      <c r="J396" s="156"/>
      <c r="K396" s="156">
        <f>Bacia_Amortecimento!J52</f>
        <v>0</v>
      </c>
      <c r="L396" s="156">
        <f t="shared" si="1007"/>
        <v>0</v>
      </c>
      <c r="M396" s="156">
        <f t="shared" si="1008"/>
        <v>0</v>
      </c>
      <c r="N396" s="156" t="s">
        <v>83</v>
      </c>
      <c r="O396" s="157" cm="1">
        <f t="array" ref="O396">TRUNC($H396*(1+_xlfn.SWITCH($N396,"BDI 1",$O$6,"BDI 2",$O$7,"BDI 3",$O$8)),2)</f>
        <v>96.8</v>
      </c>
      <c r="P396" s="157" cm="1">
        <f t="array" ref="P396">TRUNC($I396*(1+_xlfn.SWITCH($N396,"BDI 1",$P$6,"BDI 2",$P$7,"BDI 3",$P$8)),2)</f>
        <v>86.6</v>
      </c>
      <c r="Q396" s="157">
        <v>0</v>
      </c>
      <c r="R396" s="157">
        <f t="shared" ref="R396" si="1056">$Q396-($Q396*LICITACAO_DESCONTO)</f>
        <v>0</v>
      </c>
      <c r="S396" s="156">
        <f t="shared" si="1010"/>
        <v>0</v>
      </c>
      <c r="T396" s="156">
        <f t="shared" si="1011"/>
        <v>0</v>
      </c>
      <c r="U396" s="156">
        <f t="shared" si="1012"/>
        <v>0</v>
      </c>
      <c r="V396" s="156">
        <f t="shared" si="1013"/>
        <v>0</v>
      </c>
      <c r="W396" s="156">
        <f t="shared" si="1014"/>
        <v>0</v>
      </c>
      <c r="X396" s="158">
        <f t="shared" ref="X396" si="1057">$S396/ORCAMENTO_VALOR_TOTAL_ND</f>
        <v>0</v>
      </c>
      <c r="Y396" s="158">
        <f t="shared" ref="Y396" si="1058">$T396/ORCAMENTO_VALOR_TOTAL_DE</f>
        <v>0</v>
      </c>
      <c r="Z396" s="158" cm="1">
        <f t="array" ref="Z396">_xlfn.SWITCH($N396,"BDI 1",$O$6,"BDI 2",$O$7,"BDI 3",$O$8)</f>
        <v>0.20699999999999999</v>
      </c>
      <c r="AA396" s="158" cm="1">
        <f t="array" ref="AA396">_xlfn.SWITCH($N396,"BDI 1",$P$6,"BDI 2",$P$7,"BDI 3",$P$8)</f>
        <v>0.26739999999999997</v>
      </c>
      <c r="AB396" s="158">
        <f t="shared" ca="1" si="1017"/>
        <v>0</v>
      </c>
      <c r="AC396" s="158">
        <f t="shared" ca="1" si="1018"/>
        <v>0</v>
      </c>
      <c r="AD396" s="164"/>
      <c r="AE396" s="148">
        <f t="shared" si="898"/>
        <v>0</v>
      </c>
      <c r="AF396" s="149"/>
      <c r="AG396" s="150"/>
      <c r="AH396" s="159" t="e">
        <f t="shared" si="1019"/>
        <v>#DIV/0!</v>
      </c>
      <c r="AI396" s="160"/>
      <c r="AJ396" s="105"/>
      <c r="AK396" s="105"/>
      <c r="AM396" s="105"/>
      <c r="AN396" s="105"/>
      <c r="AO396" s="105"/>
      <c r="AP396" s="105"/>
      <c r="AQ396" s="105"/>
      <c r="AR396" s="105"/>
    </row>
    <row r="397" spans="1:44" s="49" customFormat="1" ht="40.15" hidden="1" customHeight="1">
      <c r="A397" s="152">
        <f t="shared" ca="1" si="899"/>
        <v>0</v>
      </c>
      <c r="B397" s="153">
        <v>92413</v>
      </c>
      <c r="C397" s="154" t="str">
        <f t="shared" si="1006"/>
        <v>92413</v>
      </c>
      <c r="D397" s="154" t="s">
        <v>1416</v>
      </c>
      <c r="E397" s="155" t="s">
        <v>3800</v>
      </c>
      <c r="F397" s="154"/>
      <c r="G397" s="154" t="s">
        <v>1418</v>
      </c>
      <c r="H397" s="152">
        <v>93.28</v>
      </c>
      <c r="I397" s="152">
        <v>87.04</v>
      </c>
      <c r="J397" s="156"/>
      <c r="K397" s="156">
        <f>Bacia_Amortecimento!J53</f>
        <v>0</v>
      </c>
      <c r="L397" s="156">
        <f t="shared" si="1007"/>
        <v>0</v>
      </c>
      <c r="M397" s="156">
        <f t="shared" si="1008"/>
        <v>0</v>
      </c>
      <c r="N397" s="156" t="s">
        <v>83</v>
      </c>
      <c r="O397" s="157" cm="1">
        <f t="array" ref="O397">TRUNC($H397*(1+_xlfn.SWITCH($N397,"BDI 1",$O$6,"BDI 2",$O$7,"BDI 3",$O$8)),2)</f>
        <v>112.58</v>
      </c>
      <c r="P397" s="157" cm="1">
        <f t="array" ref="P397">TRUNC($I397*(1+_xlfn.SWITCH($N397,"BDI 1",$P$6,"BDI 2",$P$7,"BDI 3",$P$8)),2)</f>
        <v>110.31</v>
      </c>
      <c r="Q397" s="157">
        <v>0</v>
      </c>
      <c r="R397" s="157">
        <f t="shared" ref="R397" si="1059">$Q397-($Q397*LICITACAO_DESCONTO)</f>
        <v>0</v>
      </c>
      <c r="S397" s="156">
        <f t="shared" si="1010"/>
        <v>0</v>
      </c>
      <c r="T397" s="156">
        <f t="shared" si="1011"/>
        <v>0</v>
      </c>
      <c r="U397" s="156">
        <f t="shared" si="1012"/>
        <v>0</v>
      </c>
      <c r="V397" s="156">
        <f t="shared" si="1013"/>
        <v>0</v>
      </c>
      <c r="W397" s="156">
        <f t="shared" si="1014"/>
        <v>0</v>
      </c>
      <c r="X397" s="158">
        <f t="shared" ref="X397" si="1060">$S397/ORCAMENTO_VALOR_TOTAL_ND</f>
        <v>0</v>
      </c>
      <c r="Y397" s="158">
        <f t="shared" ref="Y397" si="1061">$T397/ORCAMENTO_VALOR_TOTAL_DE</f>
        <v>0</v>
      </c>
      <c r="Z397" s="158" cm="1">
        <f t="array" ref="Z397">_xlfn.SWITCH($N397,"BDI 1",$O$6,"BDI 2",$O$7,"BDI 3",$O$8)</f>
        <v>0.20699999999999999</v>
      </c>
      <c r="AA397" s="158" cm="1">
        <f t="array" ref="AA397">_xlfn.SWITCH($N397,"BDI 1",$P$6,"BDI 2",$P$7,"BDI 3",$P$8)</f>
        <v>0.26739999999999997</v>
      </c>
      <c r="AB397" s="158">
        <f t="shared" ca="1" si="1017"/>
        <v>0</v>
      </c>
      <c r="AC397" s="158">
        <f t="shared" ca="1" si="1018"/>
        <v>0</v>
      </c>
      <c r="AD397" s="164"/>
      <c r="AE397" s="148">
        <f t="shared" si="898"/>
        <v>0</v>
      </c>
      <c r="AF397" s="149"/>
      <c r="AG397" s="150"/>
      <c r="AH397" s="159" t="e">
        <f t="shared" si="1019"/>
        <v>#DIV/0!</v>
      </c>
      <c r="AI397" s="160"/>
      <c r="AJ397" s="105"/>
      <c r="AK397" s="105"/>
      <c r="AM397" s="105"/>
      <c r="AN397" s="105"/>
      <c r="AO397" s="105"/>
      <c r="AP397" s="105"/>
      <c r="AQ397" s="105"/>
      <c r="AR397" s="105"/>
    </row>
    <row r="398" spans="1:44" s="49" customFormat="1" ht="40.15" hidden="1" customHeight="1">
      <c r="A398" s="152">
        <f t="shared" ca="1" si="899"/>
        <v>0</v>
      </c>
      <c r="B398" s="153">
        <v>101792</v>
      </c>
      <c r="C398" s="154" t="str">
        <f t="shared" si="1006"/>
        <v>101792</v>
      </c>
      <c r="D398" s="154" t="s">
        <v>1416</v>
      </c>
      <c r="E398" s="155" t="s">
        <v>3809</v>
      </c>
      <c r="F398" s="154"/>
      <c r="G398" s="154" t="s">
        <v>464</v>
      </c>
      <c r="H398" s="152">
        <v>16.14</v>
      </c>
      <c r="I398" s="152">
        <v>15.51</v>
      </c>
      <c r="J398" s="156"/>
      <c r="K398" s="156">
        <f>Bacia_Amortecimento!J54</f>
        <v>0</v>
      </c>
      <c r="L398" s="156">
        <f t="shared" si="1007"/>
        <v>0</v>
      </c>
      <c r="M398" s="156">
        <f t="shared" si="1008"/>
        <v>0</v>
      </c>
      <c r="N398" s="156" t="s">
        <v>83</v>
      </c>
      <c r="O398" s="157" cm="1">
        <f t="array" ref="O398">TRUNC($H398*(1+_xlfn.SWITCH($N398,"BDI 1",$O$6,"BDI 2",$O$7,"BDI 3",$O$8)),2)</f>
        <v>19.48</v>
      </c>
      <c r="P398" s="157" cm="1">
        <f t="array" ref="P398">TRUNC($I398*(1+_xlfn.SWITCH($N398,"BDI 1",$P$6,"BDI 2",$P$7,"BDI 3",$P$8)),2)</f>
        <v>19.649999999999999</v>
      </c>
      <c r="Q398" s="157">
        <v>0</v>
      </c>
      <c r="R398" s="157">
        <f t="shared" ref="R398" si="1062">$Q398-($Q398*LICITACAO_DESCONTO)</f>
        <v>0</v>
      </c>
      <c r="S398" s="156">
        <f t="shared" si="1010"/>
        <v>0</v>
      </c>
      <c r="T398" s="156">
        <f t="shared" si="1011"/>
        <v>0</v>
      </c>
      <c r="U398" s="156">
        <f t="shared" si="1012"/>
        <v>0</v>
      </c>
      <c r="V398" s="156">
        <f t="shared" si="1013"/>
        <v>0</v>
      </c>
      <c r="W398" s="156">
        <f t="shared" si="1014"/>
        <v>0</v>
      </c>
      <c r="X398" s="158">
        <f t="shared" ref="X398" si="1063">$S398/ORCAMENTO_VALOR_TOTAL_ND</f>
        <v>0</v>
      </c>
      <c r="Y398" s="158">
        <f t="shared" ref="Y398" si="1064">$T398/ORCAMENTO_VALOR_TOTAL_DE</f>
        <v>0</v>
      </c>
      <c r="Z398" s="158" cm="1">
        <f t="array" ref="Z398">_xlfn.SWITCH($N398,"BDI 1",$O$6,"BDI 2",$O$7,"BDI 3",$O$8)</f>
        <v>0.20699999999999999</v>
      </c>
      <c r="AA398" s="158" cm="1">
        <f t="array" ref="AA398">_xlfn.SWITCH($N398,"BDI 1",$P$6,"BDI 2",$P$7,"BDI 3",$P$8)</f>
        <v>0.26739999999999997</v>
      </c>
      <c r="AB398" s="158">
        <f t="shared" ca="1" si="1017"/>
        <v>0</v>
      </c>
      <c r="AC398" s="158">
        <f t="shared" ca="1" si="1018"/>
        <v>0</v>
      </c>
      <c r="AD398" s="164"/>
      <c r="AE398" s="148">
        <f t="shared" si="898"/>
        <v>0</v>
      </c>
      <c r="AF398" s="149"/>
      <c r="AG398" s="150"/>
      <c r="AH398" s="159" t="e">
        <f t="shared" si="1019"/>
        <v>#DIV/0!</v>
      </c>
      <c r="AI398" s="160"/>
      <c r="AJ398" s="105"/>
      <c r="AK398" s="105"/>
      <c r="AM398" s="105"/>
      <c r="AN398" s="105"/>
      <c r="AO398" s="105"/>
      <c r="AP398" s="105"/>
      <c r="AQ398" s="105"/>
      <c r="AR398" s="105"/>
    </row>
    <row r="399" spans="1:44" s="49" customFormat="1" ht="40.15" hidden="1" customHeight="1">
      <c r="A399" s="152">
        <f t="shared" ca="1" si="899"/>
        <v>0</v>
      </c>
      <c r="B399" s="153">
        <v>96543</v>
      </c>
      <c r="C399" s="154" t="str">
        <f t="shared" si="1006"/>
        <v>96543</v>
      </c>
      <c r="D399" s="154" t="s">
        <v>1416</v>
      </c>
      <c r="E399" s="155" t="s">
        <v>3801</v>
      </c>
      <c r="F399" s="154"/>
      <c r="G399" s="154" t="s">
        <v>3802</v>
      </c>
      <c r="H399" s="152">
        <v>19.41</v>
      </c>
      <c r="I399" s="152">
        <v>18.38</v>
      </c>
      <c r="J399" s="156"/>
      <c r="K399" s="156">
        <f>Bacia_Amortecimento!J55</f>
        <v>0</v>
      </c>
      <c r="L399" s="156">
        <f t="shared" si="1007"/>
        <v>0</v>
      </c>
      <c r="M399" s="156">
        <f t="shared" si="1008"/>
        <v>0</v>
      </c>
      <c r="N399" s="156" t="s">
        <v>83</v>
      </c>
      <c r="O399" s="157" cm="1">
        <f t="array" ref="O399">TRUNC($H399*(1+_xlfn.SWITCH($N399,"BDI 1",$O$6,"BDI 2",$O$7,"BDI 3",$O$8)),2)</f>
        <v>23.42</v>
      </c>
      <c r="P399" s="157" cm="1">
        <f t="array" ref="P399">TRUNC($I399*(1+_xlfn.SWITCH($N399,"BDI 1",$P$6,"BDI 2",$P$7,"BDI 3",$P$8)),2)</f>
        <v>23.29</v>
      </c>
      <c r="Q399" s="157">
        <v>0</v>
      </c>
      <c r="R399" s="157">
        <f t="shared" ref="R399" si="1065">$Q399-($Q399*LICITACAO_DESCONTO)</f>
        <v>0</v>
      </c>
      <c r="S399" s="156">
        <f t="shared" si="1010"/>
        <v>0</v>
      </c>
      <c r="T399" s="156">
        <f t="shared" si="1011"/>
        <v>0</v>
      </c>
      <c r="U399" s="156">
        <f t="shared" si="1012"/>
        <v>0</v>
      </c>
      <c r="V399" s="156">
        <f t="shared" si="1013"/>
        <v>0</v>
      </c>
      <c r="W399" s="156">
        <f t="shared" si="1014"/>
        <v>0</v>
      </c>
      <c r="X399" s="158">
        <f t="shared" ref="X399" si="1066">$S399/ORCAMENTO_VALOR_TOTAL_ND</f>
        <v>0</v>
      </c>
      <c r="Y399" s="158">
        <f t="shared" ref="Y399" si="1067">$T399/ORCAMENTO_VALOR_TOTAL_DE</f>
        <v>0</v>
      </c>
      <c r="Z399" s="158" cm="1">
        <f t="array" ref="Z399">_xlfn.SWITCH($N399,"BDI 1",$O$6,"BDI 2",$O$7,"BDI 3",$O$8)</f>
        <v>0.20699999999999999</v>
      </c>
      <c r="AA399" s="158" cm="1">
        <f t="array" ref="AA399">_xlfn.SWITCH($N399,"BDI 1",$P$6,"BDI 2",$P$7,"BDI 3",$P$8)</f>
        <v>0.26739999999999997</v>
      </c>
      <c r="AB399" s="158">
        <f t="shared" ca="1" si="1017"/>
        <v>0</v>
      </c>
      <c r="AC399" s="158">
        <f t="shared" ca="1" si="1018"/>
        <v>0</v>
      </c>
      <c r="AD399" s="164"/>
      <c r="AE399" s="148">
        <f t="shared" si="898"/>
        <v>0</v>
      </c>
      <c r="AF399" s="149"/>
      <c r="AG399" s="150"/>
      <c r="AH399" s="159" t="e">
        <f t="shared" si="1019"/>
        <v>#DIV/0!</v>
      </c>
      <c r="AI399" s="160"/>
      <c r="AJ399" s="105"/>
      <c r="AK399" s="105"/>
      <c r="AM399" s="105"/>
      <c r="AN399" s="105"/>
      <c r="AO399" s="105"/>
      <c r="AP399" s="105"/>
      <c r="AQ399" s="105"/>
      <c r="AR399" s="105"/>
    </row>
    <row r="400" spans="1:44" s="49" customFormat="1" ht="40.15" hidden="1" customHeight="1">
      <c r="A400" s="152">
        <f t="shared" ca="1" si="899"/>
        <v>0</v>
      </c>
      <c r="B400" s="153">
        <v>100342</v>
      </c>
      <c r="C400" s="154" t="str">
        <f t="shared" si="1006"/>
        <v>100342</v>
      </c>
      <c r="D400" s="154" t="s">
        <v>1416</v>
      </c>
      <c r="E400" s="155" t="s">
        <v>3803</v>
      </c>
      <c r="F400" s="154"/>
      <c r="G400" s="154" t="s">
        <v>3802</v>
      </c>
      <c r="H400" s="152">
        <v>14.4</v>
      </c>
      <c r="I400" s="152">
        <v>13.93</v>
      </c>
      <c r="J400" s="156"/>
      <c r="K400" s="156">
        <f>Bacia_Amortecimento!J56</f>
        <v>0</v>
      </c>
      <c r="L400" s="156">
        <f t="shared" si="1007"/>
        <v>0</v>
      </c>
      <c r="M400" s="156">
        <f t="shared" si="1008"/>
        <v>0</v>
      </c>
      <c r="N400" s="156" t="s">
        <v>83</v>
      </c>
      <c r="O400" s="157" cm="1">
        <f t="array" ref="O400">TRUNC($H400*(1+_xlfn.SWITCH($N400,"BDI 1",$O$6,"BDI 2",$O$7,"BDI 3",$O$8)),2)</f>
        <v>17.38</v>
      </c>
      <c r="P400" s="157" cm="1">
        <f t="array" ref="P400">TRUNC($I400*(1+_xlfn.SWITCH($N400,"BDI 1",$P$6,"BDI 2",$P$7,"BDI 3",$P$8)),2)</f>
        <v>17.649999999999999</v>
      </c>
      <c r="Q400" s="157">
        <v>0</v>
      </c>
      <c r="R400" s="157">
        <f t="shared" ref="R400" si="1068">$Q400-($Q400*LICITACAO_DESCONTO)</f>
        <v>0</v>
      </c>
      <c r="S400" s="156">
        <f t="shared" si="1010"/>
        <v>0</v>
      </c>
      <c r="T400" s="156">
        <f t="shared" si="1011"/>
        <v>0</v>
      </c>
      <c r="U400" s="156">
        <f t="shared" si="1012"/>
        <v>0</v>
      </c>
      <c r="V400" s="156">
        <f t="shared" si="1013"/>
        <v>0</v>
      </c>
      <c r="W400" s="156">
        <f t="shared" si="1014"/>
        <v>0</v>
      </c>
      <c r="X400" s="158">
        <f t="shared" ref="X400" si="1069">$S400/ORCAMENTO_VALOR_TOTAL_ND</f>
        <v>0</v>
      </c>
      <c r="Y400" s="158">
        <f t="shared" ref="Y400" si="1070">$T400/ORCAMENTO_VALOR_TOTAL_DE</f>
        <v>0</v>
      </c>
      <c r="Z400" s="158" cm="1">
        <f t="array" ref="Z400">_xlfn.SWITCH($N400,"BDI 1",$O$6,"BDI 2",$O$7,"BDI 3",$O$8)</f>
        <v>0.20699999999999999</v>
      </c>
      <c r="AA400" s="158" cm="1">
        <f t="array" ref="AA400">_xlfn.SWITCH($N400,"BDI 1",$P$6,"BDI 2",$P$7,"BDI 3",$P$8)</f>
        <v>0.26739999999999997</v>
      </c>
      <c r="AB400" s="158">
        <f t="shared" ca="1" si="1017"/>
        <v>0</v>
      </c>
      <c r="AC400" s="158">
        <f t="shared" ca="1" si="1018"/>
        <v>0</v>
      </c>
      <c r="AD400" s="164"/>
      <c r="AE400" s="148">
        <f t="shared" si="898"/>
        <v>0</v>
      </c>
      <c r="AF400" s="149"/>
      <c r="AG400" s="150"/>
      <c r="AH400" s="159" t="e">
        <f t="shared" si="1019"/>
        <v>#DIV/0!</v>
      </c>
      <c r="AI400" s="160"/>
      <c r="AJ400" s="105"/>
      <c r="AK400" s="105"/>
      <c r="AM400" s="105"/>
      <c r="AN400" s="105"/>
      <c r="AO400" s="105"/>
      <c r="AP400" s="105"/>
      <c r="AQ400" s="105"/>
      <c r="AR400" s="105"/>
    </row>
    <row r="401" spans="1:44" s="49" customFormat="1" ht="40.15" hidden="1" customHeight="1">
      <c r="A401" s="152">
        <f t="shared" ca="1" si="899"/>
        <v>0</v>
      </c>
      <c r="B401" s="153">
        <v>100343</v>
      </c>
      <c r="C401" s="154" t="str">
        <f t="shared" si="1006"/>
        <v>100343</v>
      </c>
      <c r="D401" s="154" t="s">
        <v>1416</v>
      </c>
      <c r="E401" s="155" t="s">
        <v>3804</v>
      </c>
      <c r="F401" s="154"/>
      <c r="G401" s="154" t="s">
        <v>3802</v>
      </c>
      <c r="H401" s="152">
        <v>13.61</v>
      </c>
      <c r="I401" s="152">
        <v>13.26</v>
      </c>
      <c r="J401" s="156"/>
      <c r="K401" s="156">
        <f>Bacia_Amortecimento!J57</f>
        <v>0</v>
      </c>
      <c r="L401" s="156">
        <f t="shared" si="1007"/>
        <v>0</v>
      </c>
      <c r="M401" s="156">
        <f t="shared" si="1008"/>
        <v>0</v>
      </c>
      <c r="N401" s="156" t="s">
        <v>83</v>
      </c>
      <c r="O401" s="157" cm="1">
        <f t="array" ref="O401">TRUNC($H401*(1+_xlfn.SWITCH($N401,"BDI 1",$O$6,"BDI 2",$O$7,"BDI 3",$O$8)),2)</f>
        <v>16.420000000000002</v>
      </c>
      <c r="P401" s="157" cm="1">
        <f t="array" ref="P401">TRUNC($I401*(1+_xlfn.SWITCH($N401,"BDI 1",$P$6,"BDI 2",$P$7,"BDI 3",$P$8)),2)</f>
        <v>16.8</v>
      </c>
      <c r="Q401" s="157">
        <v>0</v>
      </c>
      <c r="R401" s="157">
        <f t="shared" ref="R401" si="1071">$Q401-($Q401*LICITACAO_DESCONTO)</f>
        <v>0</v>
      </c>
      <c r="S401" s="156">
        <f t="shared" si="1010"/>
        <v>0</v>
      </c>
      <c r="T401" s="156">
        <f t="shared" si="1011"/>
        <v>0</v>
      </c>
      <c r="U401" s="156">
        <f t="shared" si="1012"/>
        <v>0</v>
      </c>
      <c r="V401" s="156">
        <f t="shared" si="1013"/>
        <v>0</v>
      </c>
      <c r="W401" s="156">
        <f t="shared" si="1014"/>
        <v>0</v>
      </c>
      <c r="X401" s="158">
        <f t="shared" ref="X401" si="1072">$S401/ORCAMENTO_VALOR_TOTAL_ND</f>
        <v>0</v>
      </c>
      <c r="Y401" s="158">
        <f t="shared" ref="Y401" si="1073">$T401/ORCAMENTO_VALOR_TOTAL_DE</f>
        <v>0</v>
      </c>
      <c r="Z401" s="158" cm="1">
        <f t="array" ref="Z401">_xlfn.SWITCH($N401,"BDI 1",$O$6,"BDI 2",$O$7,"BDI 3",$O$8)</f>
        <v>0.20699999999999999</v>
      </c>
      <c r="AA401" s="158" cm="1">
        <f t="array" ref="AA401">_xlfn.SWITCH($N401,"BDI 1",$P$6,"BDI 2",$P$7,"BDI 3",$P$8)</f>
        <v>0.26739999999999997</v>
      </c>
      <c r="AB401" s="158">
        <f t="shared" ca="1" si="1017"/>
        <v>0</v>
      </c>
      <c r="AC401" s="158">
        <f t="shared" ca="1" si="1018"/>
        <v>0</v>
      </c>
      <c r="AD401" s="164"/>
      <c r="AE401" s="148">
        <f t="shared" si="898"/>
        <v>0</v>
      </c>
      <c r="AF401" s="149"/>
      <c r="AG401" s="150"/>
      <c r="AH401" s="159" t="e">
        <f t="shared" si="1019"/>
        <v>#DIV/0!</v>
      </c>
      <c r="AI401" s="160"/>
      <c r="AJ401" s="105"/>
      <c r="AK401" s="105"/>
      <c r="AM401" s="105"/>
      <c r="AN401" s="105"/>
      <c r="AO401" s="105"/>
      <c r="AP401" s="105"/>
      <c r="AQ401" s="105"/>
      <c r="AR401" s="105"/>
    </row>
    <row r="402" spans="1:44" s="49" customFormat="1" ht="40.15" hidden="1" customHeight="1">
      <c r="A402" s="152">
        <f t="shared" ca="1" si="899"/>
        <v>0</v>
      </c>
      <c r="B402" s="153">
        <v>100344</v>
      </c>
      <c r="C402" s="154" t="str">
        <f t="shared" si="1006"/>
        <v>100344</v>
      </c>
      <c r="D402" s="154" t="s">
        <v>1416</v>
      </c>
      <c r="E402" s="155" t="s">
        <v>3805</v>
      </c>
      <c r="F402" s="154"/>
      <c r="G402" s="154" t="s">
        <v>3802</v>
      </c>
      <c r="H402" s="152">
        <v>12.17</v>
      </c>
      <c r="I402" s="152">
        <v>11.92</v>
      </c>
      <c r="J402" s="156"/>
      <c r="K402" s="156">
        <f>Bacia_Amortecimento!J58</f>
        <v>0</v>
      </c>
      <c r="L402" s="156">
        <f t="shared" si="1007"/>
        <v>0</v>
      </c>
      <c r="M402" s="156">
        <f t="shared" si="1008"/>
        <v>0</v>
      </c>
      <c r="N402" s="156" t="s">
        <v>83</v>
      </c>
      <c r="O402" s="157" cm="1">
        <f t="array" ref="O402">TRUNC($H402*(1+_xlfn.SWITCH($N402,"BDI 1",$O$6,"BDI 2",$O$7,"BDI 3",$O$8)),2)</f>
        <v>14.68</v>
      </c>
      <c r="P402" s="157" cm="1">
        <f t="array" ref="P402">TRUNC($I402*(1+_xlfn.SWITCH($N402,"BDI 1",$P$6,"BDI 2",$P$7,"BDI 3",$P$8)),2)</f>
        <v>15.1</v>
      </c>
      <c r="Q402" s="157">
        <v>0</v>
      </c>
      <c r="R402" s="157">
        <f t="shared" ref="R402" si="1074">$Q402-($Q402*LICITACAO_DESCONTO)</f>
        <v>0</v>
      </c>
      <c r="S402" s="156">
        <f t="shared" si="1010"/>
        <v>0</v>
      </c>
      <c r="T402" s="156">
        <f t="shared" si="1011"/>
        <v>0</v>
      </c>
      <c r="U402" s="156">
        <f t="shared" si="1012"/>
        <v>0</v>
      </c>
      <c r="V402" s="156">
        <f t="shared" si="1013"/>
        <v>0</v>
      </c>
      <c r="W402" s="156">
        <f t="shared" si="1014"/>
        <v>0</v>
      </c>
      <c r="X402" s="158">
        <f t="shared" ref="X402" si="1075">$S402/ORCAMENTO_VALOR_TOTAL_ND</f>
        <v>0</v>
      </c>
      <c r="Y402" s="158">
        <f t="shared" ref="Y402" si="1076">$T402/ORCAMENTO_VALOR_TOTAL_DE</f>
        <v>0</v>
      </c>
      <c r="Z402" s="158" cm="1">
        <f t="array" ref="Z402">_xlfn.SWITCH($N402,"BDI 1",$O$6,"BDI 2",$O$7,"BDI 3",$O$8)</f>
        <v>0.20699999999999999</v>
      </c>
      <c r="AA402" s="158" cm="1">
        <f t="array" ref="AA402">_xlfn.SWITCH($N402,"BDI 1",$P$6,"BDI 2",$P$7,"BDI 3",$P$8)</f>
        <v>0.26739999999999997</v>
      </c>
      <c r="AB402" s="158">
        <f t="shared" ca="1" si="1017"/>
        <v>0</v>
      </c>
      <c r="AC402" s="158">
        <f t="shared" ca="1" si="1018"/>
        <v>0</v>
      </c>
      <c r="AD402" s="164"/>
      <c r="AE402" s="148">
        <f t="shared" si="898"/>
        <v>0</v>
      </c>
      <c r="AF402" s="149"/>
      <c r="AG402" s="150"/>
      <c r="AH402" s="159" t="e">
        <f t="shared" si="1019"/>
        <v>#DIV/0!</v>
      </c>
      <c r="AI402" s="160"/>
      <c r="AJ402" s="105"/>
      <c r="AK402" s="105"/>
      <c r="AM402" s="105"/>
      <c r="AN402" s="105"/>
      <c r="AO402" s="105"/>
      <c r="AP402" s="105"/>
      <c r="AQ402" s="105"/>
      <c r="AR402" s="105"/>
    </row>
    <row r="403" spans="1:44" s="49" customFormat="1" ht="40.15" hidden="1" customHeight="1">
      <c r="A403" s="152">
        <f t="shared" ca="1" si="899"/>
        <v>0</v>
      </c>
      <c r="B403" s="153">
        <v>100345</v>
      </c>
      <c r="C403" s="154" t="str">
        <f t="shared" si="1006"/>
        <v>100345</v>
      </c>
      <c r="D403" s="154" t="s">
        <v>1416</v>
      </c>
      <c r="E403" s="155" t="s">
        <v>3806</v>
      </c>
      <c r="F403" s="154"/>
      <c r="G403" s="154" t="s">
        <v>3802</v>
      </c>
      <c r="H403" s="152">
        <v>10.31</v>
      </c>
      <c r="I403" s="152">
        <v>10.1</v>
      </c>
      <c r="J403" s="156"/>
      <c r="K403" s="156">
        <f>Bacia_Amortecimento!J59</f>
        <v>0</v>
      </c>
      <c r="L403" s="156">
        <f t="shared" si="1007"/>
        <v>0</v>
      </c>
      <c r="M403" s="156">
        <f t="shared" si="1008"/>
        <v>0</v>
      </c>
      <c r="N403" s="156" t="s">
        <v>83</v>
      </c>
      <c r="O403" s="157" cm="1">
        <f t="array" ref="O403">TRUNC($H403*(1+_xlfn.SWITCH($N403,"BDI 1",$O$6,"BDI 2",$O$7,"BDI 3",$O$8)),2)</f>
        <v>12.44</v>
      </c>
      <c r="P403" s="157" cm="1">
        <f t="array" ref="P403">TRUNC($I403*(1+_xlfn.SWITCH($N403,"BDI 1",$P$6,"BDI 2",$P$7,"BDI 3",$P$8)),2)</f>
        <v>12.8</v>
      </c>
      <c r="Q403" s="157">
        <v>0</v>
      </c>
      <c r="R403" s="157">
        <f t="shared" ref="R403" si="1077">$Q403-($Q403*LICITACAO_DESCONTO)</f>
        <v>0</v>
      </c>
      <c r="S403" s="156">
        <f t="shared" si="1010"/>
        <v>0</v>
      </c>
      <c r="T403" s="156">
        <f t="shared" si="1011"/>
        <v>0</v>
      </c>
      <c r="U403" s="156">
        <f t="shared" si="1012"/>
        <v>0</v>
      </c>
      <c r="V403" s="156">
        <f t="shared" si="1013"/>
        <v>0</v>
      </c>
      <c r="W403" s="156">
        <f t="shared" si="1014"/>
        <v>0</v>
      </c>
      <c r="X403" s="158">
        <f t="shared" ref="X403" si="1078">$S403/ORCAMENTO_VALOR_TOTAL_ND</f>
        <v>0</v>
      </c>
      <c r="Y403" s="158">
        <f t="shared" ref="Y403" si="1079">$T403/ORCAMENTO_VALOR_TOTAL_DE</f>
        <v>0</v>
      </c>
      <c r="Z403" s="158" cm="1">
        <f t="array" ref="Z403">_xlfn.SWITCH($N403,"BDI 1",$O$6,"BDI 2",$O$7,"BDI 3",$O$8)</f>
        <v>0.20699999999999999</v>
      </c>
      <c r="AA403" s="158" cm="1">
        <f t="array" ref="AA403">_xlfn.SWITCH($N403,"BDI 1",$P$6,"BDI 2",$P$7,"BDI 3",$P$8)</f>
        <v>0.26739999999999997</v>
      </c>
      <c r="AB403" s="158">
        <f t="shared" ca="1" si="1017"/>
        <v>0</v>
      </c>
      <c r="AC403" s="158">
        <f t="shared" ca="1" si="1018"/>
        <v>0</v>
      </c>
      <c r="AD403" s="164"/>
      <c r="AE403" s="148">
        <f t="shared" si="898"/>
        <v>0</v>
      </c>
      <c r="AF403" s="149"/>
      <c r="AG403" s="150"/>
      <c r="AH403" s="159" t="e">
        <f t="shared" si="1019"/>
        <v>#DIV/0!</v>
      </c>
      <c r="AI403" s="160"/>
      <c r="AJ403" s="105"/>
      <c r="AK403" s="105"/>
      <c r="AM403" s="105"/>
      <c r="AN403" s="105"/>
      <c r="AO403" s="105"/>
      <c r="AP403" s="105"/>
      <c r="AQ403" s="105"/>
      <c r="AR403" s="105"/>
    </row>
    <row r="404" spans="1:44" s="49" customFormat="1" ht="40.15" hidden="1" customHeight="1">
      <c r="A404" s="152">
        <f t="shared" ca="1" si="899"/>
        <v>0</v>
      </c>
      <c r="B404" s="153">
        <v>92922</v>
      </c>
      <c r="C404" s="154" t="str">
        <f t="shared" si="1006"/>
        <v>92922</v>
      </c>
      <c r="D404" s="154" t="s">
        <v>1416</v>
      </c>
      <c r="E404" s="155" t="s">
        <v>3827</v>
      </c>
      <c r="F404" s="154"/>
      <c r="G404" s="154" t="s">
        <v>3802</v>
      </c>
      <c r="H404" s="152">
        <v>9.9499999999999993</v>
      </c>
      <c r="I404" s="152">
        <v>9.77</v>
      </c>
      <c r="J404" s="156"/>
      <c r="K404" s="156">
        <f>Bacia_Amortecimento!J60</f>
        <v>0</v>
      </c>
      <c r="L404" s="156">
        <f t="shared" si="1007"/>
        <v>0</v>
      </c>
      <c r="M404" s="156">
        <f t="shared" si="1008"/>
        <v>0</v>
      </c>
      <c r="N404" s="156" t="s">
        <v>83</v>
      </c>
      <c r="O404" s="157" cm="1">
        <f t="array" ref="O404">TRUNC($H404*(1+_xlfn.SWITCH($N404,"BDI 1",$O$6,"BDI 2",$O$7,"BDI 3",$O$8)),2)</f>
        <v>12</v>
      </c>
      <c r="P404" s="157" cm="1">
        <f t="array" ref="P404">TRUNC($I404*(1+_xlfn.SWITCH($N404,"BDI 1",$P$6,"BDI 2",$P$7,"BDI 3",$P$8)),2)</f>
        <v>12.38</v>
      </c>
      <c r="Q404" s="157">
        <v>0</v>
      </c>
      <c r="R404" s="157">
        <f t="shared" ref="R404" si="1080">$Q404-($Q404*LICITACAO_DESCONTO)</f>
        <v>0</v>
      </c>
      <c r="S404" s="156">
        <f t="shared" si="1010"/>
        <v>0</v>
      </c>
      <c r="T404" s="156">
        <f t="shared" si="1011"/>
        <v>0</v>
      </c>
      <c r="U404" s="156">
        <f t="shared" si="1012"/>
        <v>0</v>
      </c>
      <c r="V404" s="156">
        <f t="shared" si="1013"/>
        <v>0</v>
      </c>
      <c r="W404" s="156">
        <f t="shared" si="1014"/>
        <v>0</v>
      </c>
      <c r="X404" s="158">
        <f t="shared" ref="X404" si="1081">$S404/ORCAMENTO_VALOR_TOTAL_ND</f>
        <v>0</v>
      </c>
      <c r="Y404" s="158">
        <f t="shared" ref="Y404" si="1082">$T404/ORCAMENTO_VALOR_TOTAL_DE</f>
        <v>0</v>
      </c>
      <c r="Z404" s="158" cm="1">
        <f t="array" ref="Z404">_xlfn.SWITCH($N404,"BDI 1",$O$6,"BDI 2",$O$7,"BDI 3",$O$8)</f>
        <v>0.20699999999999999</v>
      </c>
      <c r="AA404" s="158" cm="1">
        <f t="array" ref="AA404">_xlfn.SWITCH($N404,"BDI 1",$P$6,"BDI 2",$P$7,"BDI 3",$P$8)</f>
        <v>0.26739999999999997</v>
      </c>
      <c r="AB404" s="158">
        <f t="shared" ca="1" si="1017"/>
        <v>0</v>
      </c>
      <c r="AC404" s="158">
        <f t="shared" ca="1" si="1018"/>
        <v>0</v>
      </c>
      <c r="AD404" s="164"/>
      <c r="AE404" s="148">
        <f t="shared" si="898"/>
        <v>0</v>
      </c>
      <c r="AF404" s="149"/>
      <c r="AG404" s="150"/>
      <c r="AH404" s="159" t="e">
        <f t="shared" si="1019"/>
        <v>#DIV/0!</v>
      </c>
      <c r="AI404" s="160"/>
      <c r="AJ404" s="105"/>
      <c r="AK404" s="105"/>
      <c r="AM404" s="105"/>
      <c r="AN404" s="105"/>
      <c r="AO404" s="105"/>
      <c r="AP404" s="105"/>
      <c r="AQ404" s="105"/>
      <c r="AR404" s="105"/>
    </row>
    <row r="405" spans="1:44" s="49" customFormat="1" ht="40.15" hidden="1" customHeight="1">
      <c r="A405" s="152">
        <f t="shared" ca="1" si="899"/>
        <v>0</v>
      </c>
      <c r="B405" s="153">
        <v>92923</v>
      </c>
      <c r="C405" s="154" t="str">
        <f t="shared" si="1006"/>
        <v>92923</v>
      </c>
      <c r="D405" s="154" t="s">
        <v>1416</v>
      </c>
      <c r="E405" s="155" t="s">
        <v>3828</v>
      </c>
      <c r="F405" s="154"/>
      <c r="G405" s="154" t="s">
        <v>3802</v>
      </c>
      <c r="H405" s="152">
        <v>11.23</v>
      </c>
      <c r="I405" s="152">
        <v>11.07</v>
      </c>
      <c r="J405" s="156"/>
      <c r="K405" s="156">
        <f>Bacia_Amortecimento!J61</f>
        <v>0</v>
      </c>
      <c r="L405" s="156">
        <f t="shared" si="1007"/>
        <v>0</v>
      </c>
      <c r="M405" s="156">
        <f t="shared" si="1008"/>
        <v>0</v>
      </c>
      <c r="N405" s="156" t="s">
        <v>83</v>
      </c>
      <c r="O405" s="157" cm="1">
        <f t="array" ref="O405">TRUNC($H405*(1+_xlfn.SWITCH($N405,"BDI 1",$O$6,"BDI 2",$O$7,"BDI 3",$O$8)),2)</f>
        <v>13.55</v>
      </c>
      <c r="P405" s="157" cm="1">
        <f t="array" ref="P405">TRUNC($I405*(1+_xlfn.SWITCH($N405,"BDI 1",$P$6,"BDI 2",$P$7,"BDI 3",$P$8)),2)</f>
        <v>14.03</v>
      </c>
      <c r="Q405" s="157">
        <v>0</v>
      </c>
      <c r="R405" s="157">
        <f t="shared" ref="R405" si="1083">$Q405-($Q405*LICITACAO_DESCONTO)</f>
        <v>0</v>
      </c>
      <c r="S405" s="156">
        <f t="shared" si="1010"/>
        <v>0</v>
      </c>
      <c r="T405" s="156">
        <f t="shared" si="1011"/>
        <v>0</v>
      </c>
      <c r="U405" s="156">
        <f t="shared" si="1012"/>
        <v>0</v>
      </c>
      <c r="V405" s="156">
        <f t="shared" si="1013"/>
        <v>0</v>
      </c>
      <c r="W405" s="156">
        <f t="shared" si="1014"/>
        <v>0</v>
      </c>
      <c r="X405" s="158">
        <f t="shared" ref="X405" si="1084">$S405/ORCAMENTO_VALOR_TOTAL_ND</f>
        <v>0</v>
      </c>
      <c r="Y405" s="158">
        <f t="shared" ref="Y405" si="1085">$T405/ORCAMENTO_VALOR_TOTAL_DE</f>
        <v>0</v>
      </c>
      <c r="Z405" s="158" cm="1">
        <f t="array" ref="Z405">_xlfn.SWITCH($N405,"BDI 1",$O$6,"BDI 2",$O$7,"BDI 3",$O$8)</f>
        <v>0.20699999999999999</v>
      </c>
      <c r="AA405" s="158" cm="1">
        <f t="array" ref="AA405">_xlfn.SWITCH($N405,"BDI 1",$P$6,"BDI 2",$P$7,"BDI 3",$P$8)</f>
        <v>0.26739999999999997</v>
      </c>
      <c r="AB405" s="158">
        <f t="shared" ca="1" si="1017"/>
        <v>0</v>
      </c>
      <c r="AC405" s="158">
        <f t="shared" ca="1" si="1018"/>
        <v>0</v>
      </c>
      <c r="AD405" s="164"/>
      <c r="AE405" s="148">
        <f t="shared" si="898"/>
        <v>0</v>
      </c>
      <c r="AF405" s="149"/>
      <c r="AG405" s="150"/>
      <c r="AH405" s="159" t="e">
        <f t="shared" si="1019"/>
        <v>#DIV/0!</v>
      </c>
      <c r="AI405" s="160"/>
      <c r="AJ405" s="105"/>
      <c r="AK405" s="105"/>
      <c r="AM405" s="105"/>
      <c r="AN405" s="105"/>
      <c r="AO405" s="105"/>
      <c r="AP405" s="105"/>
      <c r="AQ405" s="105"/>
      <c r="AR405" s="105"/>
    </row>
    <row r="406" spans="1:44" s="49" customFormat="1" ht="40.15" hidden="1" customHeight="1">
      <c r="A406" s="152">
        <f t="shared" ca="1" si="899"/>
        <v>0</v>
      </c>
      <c r="B406" s="153">
        <v>92924</v>
      </c>
      <c r="C406" s="154" t="str">
        <f t="shared" si="1006"/>
        <v>92924</v>
      </c>
      <c r="D406" s="154" t="s">
        <v>1416</v>
      </c>
      <c r="E406" s="155" t="s">
        <v>3829</v>
      </c>
      <c r="F406" s="154"/>
      <c r="G406" s="154" t="s">
        <v>3802</v>
      </c>
      <c r="H406" s="152">
        <v>11.04</v>
      </c>
      <c r="I406" s="152">
        <v>10.91</v>
      </c>
      <c r="J406" s="156"/>
      <c r="K406" s="156">
        <f>Bacia_Amortecimento!J62</f>
        <v>0</v>
      </c>
      <c r="L406" s="156">
        <f t="shared" si="1007"/>
        <v>0</v>
      </c>
      <c r="M406" s="156">
        <f t="shared" si="1008"/>
        <v>0</v>
      </c>
      <c r="N406" s="156" t="s">
        <v>83</v>
      </c>
      <c r="O406" s="157" cm="1">
        <f t="array" ref="O406">TRUNC($H406*(1+_xlfn.SWITCH($N406,"BDI 1",$O$6,"BDI 2",$O$7,"BDI 3",$O$8)),2)</f>
        <v>13.32</v>
      </c>
      <c r="P406" s="157" cm="1">
        <f t="array" ref="P406">TRUNC($I406*(1+_xlfn.SWITCH($N406,"BDI 1",$P$6,"BDI 2",$P$7,"BDI 3",$P$8)),2)</f>
        <v>13.82</v>
      </c>
      <c r="Q406" s="157">
        <v>0</v>
      </c>
      <c r="R406" s="157">
        <f t="shared" ref="R406" si="1086">$Q406-($Q406*LICITACAO_DESCONTO)</f>
        <v>0</v>
      </c>
      <c r="S406" s="156">
        <f t="shared" si="1010"/>
        <v>0</v>
      </c>
      <c r="T406" s="156">
        <f t="shared" si="1011"/>
        <v>0</v>
      </c>
      <c r="U406" s="156">
        <f t="shared" si="1012"/>
        <v>0</v>
      </c>
      <c r="V406" s="156">
        <f t="shared" si="1013"/>
        <v>0</v>
      </c>
      <c r="W406" s="156">
        <f t="shared" si="1014"/>
        <v>0</v>
      </c>
      <c r="X406" s="158">
        <f t="shared" ref="X406" si="1087">$S406/ORCAMENTO_VALOR_TOTAL_ND</f>
        <v>0</v>
      </c>
      <c r="Y406" s="158">
        <f t="shared" ref="Y406" si="1088">$T406/ORCAMENTO_VALOR_TOTAL_DE</f>
        <v>0</v>
      </c>
      <c r="Z406" s="158" cm="1">
        <f t="array" ref="Z406">_xlfn.SWITCH($N406,"BDI 1",$O$6,"BDI 2",$O$7,"BDI 3",$O$8)</f>
        <v>0.20699999999999999</v>
      </c>
      <c r="AA406" s="158" cm="1">
        <f t="array" ref="AA406">_xlfn.SWITCH($N406,"BDI 1",$P$6,"BDI 2",$P$7,"BDI 3",$P$8)</f>
        <v>0.26739999999999997</v>
      </c>
      <c r="AB406" s="158">
        <f t="shared" ca="1" si="1017"/>
        <v>0</v>
      </c>
      <c r="AC406" s="158">
        <f t="shared" ca="1" si="1018"/>
        <v>0</v>
      </c>
      <c r="AD406" s="164"/>
      <c r="AE406" s="148">
        <f t="shared" si="898"/>
        <v>0</v>
      </c>
      <c r="AF406" s="149"/>
      <c r="AG406" s="150"/>
      <c r="AH406" s="159" t="e">
        <f t="shared" si="1019"/>
        <v>#DIV/0!</v>
      </c>
      <c r="AI406" s="160"/>
      <c r="AJ406" s="105"/>
      <c r="AK406" s="105"/>
      <c r="AM406" s="105"/>
      <c r="AN406" s="105"/>
      <c r="AO406" s="105"/>
      <c r="AP406" s="105"/>
      <c r="AQ406" s="105"/>
      <c r="AR406" s="105"/>
    </row>
    <row r="407" spans="1:44" s="49" customFormat="1" ht="40.15" hidden="1" customHeight="1">
      <c r="A407" s="152">
        <f t="shared" ca="1" si="899"/>
        <v>0</v>
      </c>
      <c r="B407" s="153">
        <v>91593</v>
      </c>
      <c r="C407" s="154" t="str">
        <f t="shared" si="1006"/>
        <v>91593</v>
      </c>
      <c r="D407" s="154" t="s">
        <v>1416</v>
      </c>
      <c r="E407" s="155" t="s">
        <v>3807</v>
      </c>
      <c r="F407" s="154"/>
      <c r="G407" s="154" t="s">
        <v>3802</v>
      </c>
      <c r="H407" s="152">
        <v>10.59</v>
      </c>
      <c r="I407" s="152">
        <v>10.220000000000001</v>
      </c>
      <c r="J407" s="156"/>
      <c r="K407" s="156">
        <f>Bacia_Amortecimento!J63</f>
        <v>0</v>
      </c>
      <c r="L407" s="156">
        <f t="shared" si="1007"/>
        <v>0</v>
      </c>
      <c r="M407" s="156">
        <f t="shared" si="1008"/>
        <v>0</v>
      </c>
      <c r="N407" s="156" t="s">
        <v>83</v>
      </c>
      <c r="O407" s="157" cm="1">
        <f t="array" ref="O407">TRUNC($H407*(1+_xlfn.SWITCH($N407,"BDI 1",$O$6,"BDI 2",$O$7,"BDI 3",$O$8)),2)</f>
        <v>12.78</v>
      </c>
      <c r="P407" s="157" cm="1">
        <f t="array" ref="P407">TRUNC($I407*(1+_xlfn.SWITCH($N407,"BDI 1",$P$6,"BDI 2",$P$7,"BDI 3",$P$8)),2)</f>
        <v>12.95</v>
      </c>
      <c r="Q407" s="157">
        <v>0</v>
      </c>
      <c r="R407" s="157">
        <f t="shared" ref="R407" si="1089">$Q407-($Q407*LICITACAO_DESCONTO)</f>
        <v>0</v>
      </c>
      <c r="S407" s="156">
        <f t="shared" si="1010"/>
        <v>0</v>
      </c>
      <c r="T407" s="156">
        <f t="shared" si="1011"/>
        <v>0</v>
      </c>
      <c r="U407" s="156">
        <f t="shared" si="1012"/>
        <v>0</v>
      </c>
      <c r="V407" s="156">
        <f t="shared" si="1013"/>
        <v>0</v>
      </c>
      <c r="W407" s="156">
        <f t="shared" si="1014"/>
        <v>0</v>
      </c>
      <c r="X407" s="158">
        <f t="shared" ref="X407" si="1090">$S407/ORCAMENTO_VALOR_TOTAL_ND</f>
        <v>0</v>
      </c>
      <c r="Y407" s="158">
        <f t="shared" ref="Y407" si="1091">$T407/ORCAMENTO_VALOR_TOTAL_DE</f>
        <v>0</v>
      </c>
      <c r="Z407" s="158" cm="1">
        <f t="array" ref="Z407">_xlfn.SWITCH($N407,"BDI 1",$O$6,"BDI 2",$O$7,"BDI 3",$O$8)</f>
        <v>0.20699999999999999</v>
      </c>
      <c r="AA407" s="158" cm="1">
        <f t="array" ref="AA407">_xlfn.SWITCH($N407,"BDI 1",$P$6,"BDI 2",$P$7,"BDI 3",$P$8)</f>
        <v>0.26739999999999997</v>
      </c>
      <c r="AB407" s="158">
        <f t="shared" ca="1" si="1017"/>
        <v>0</v>
      </c>
      <c r="AC407" s="158">
        <f t="shared" ca="1" si="1018"/>
        <v>0</v>
      </c>
      <c r="AD407" s="164"/>
      <c r="AE407" s="148">
        <f t="shared" si="898"/>
        <v>0</v>
      </c>
      <c r="AF407" s="149"/>
      <c r="AG407" s="150"/>
      <c r="AH407" s="159" t="e">
        <f t="shared" si="1019"/>
        <v>#DIV/0!</v>
      </c>
      <c r="AI407" s="160"/>
      <c r="AJ407" s="105"/>
      <c r="AK407" s="105"/>
      <c r="AM407" s="105"/>
      <c r="AN407" s="105"/>
      <c r="AO407" s="105"/>
      <c r="AP407" s="105"/>
      <c r="AQ407" s="105"/>
      <c r="AR407" s="105"/>
    </row>
    <row r="408" spans="1:44" s="49" customFormat="1" ht="40.15" hidden="1" customHeight="1">
      <c r="A408" s="152">
        <f t="shared" ca="1" si="899"/>
        <v>0</v>
      </c>
      <c r="B408" s="153">
        <v>91594</v>
      </c>
      <c r="C408" s="154" t="str">
        <f t="shared" si="1006"/>
        <v>91594</v>
      </c>
      <c r="D408" s="154" t="s">
        <v>1416</v>
      </c>
      <c r="E408" s="155" t="s">
        <v>3808</v>
      </c>
      <c r="F408" s="154"/>
      <c r="G408" s="154" t="s">
        <v>3802</v>
      </c>
      <c r="H408" s="152">
        <v>11</v>
      </c>
      <c r="I408" s="152">
        <v>10.61</v>
      </c>
      <c r="J408" s="156"/>
      <c r="K408" s="156">
        <f>Bacia_Amortecimento!J64</f>
        <v>0</v>
      </c>
      <c r="L408" s="156">
        <f t="shared" si="1007"/>
        <v>0</v>
      </c>
      <c r="M408" s="156">
        <f t="shared" si="1008"/>
        <v>0</v>
      </c>
      <c r="N408" s="156" t="s">
        <v>83</v>
      </c>
      <c r="O408" s="157" cm="1">
        <f t="array" ref="O408">TRUNC($H408*(1+_xlfn.SWITCH($N408,"BDI 1",$O$6,"BDI 2",$O$7,"BDI 3",$O$8)),2)</f>
        <v>13.27</v>
      </c>
      <c r="P408" s="157" cm="1">
        <f t="array" ref="P408">TRUNC($I408*(1+_xlfn.SWITCH($N408,"BDI 1",$P$6,"BDI 2",$P$7,"BDI 3",$P$8)),2)</f>
        <v>13.44</v>
      </c>
      <c r="Q408" s="157">
        <v>0</v>
      </c>
      <c r="R408" s="157">
        <f t="shared" ref="R408" si="1092">$Q408-($Q408*LICITACAO_DESCONTO)</f>
        <v>0</v>
      </c>
      <c r="S408" s="156">
        <f t="shared" si="1010"/>
        <v>0</v>
      </c>
      <c r="T408" s="156">
        <f t="shared" si="1011"/>
        <v>0</v>
      </c>
      <c r="U408" s="156">
        <f t="shared" si="1012"/>
        <v>0</v>
      </c>
      <c r="V408" s="156">
        <f t="shared" si="1013"/>
        <v>0</v>
      </c>
      <c r="W408" s="156">
        <f t="shared" si="1014"/>
        <v>0</v>
      </c>
      <c r="X408" s="158">
        <f t="shared" ref="X408" si="1093">$S408/ORCAMENTO_VALOR_TOTAL_ND</f>
        <v>0</v>
      </c>
      <c r="Y408" s="158">
        <f t="shared" ref="Y408" si="1094">$T408/ORCAMENTO_VALOR_TOTAL_DE</f>
        <v>0</v>
      </c>
      <c r="Z408" s="158" cm="1">
        <f t="array" ref="Z408">_xlfn.SWITCH($N408,"BDI 1",$O$6,"BDI 2",$O$7,"BDI 3",$O$8)</f>
        <v>0.20699999999999999</v>
      </c>
      <c r="AA408" s="158" cm="1">
        <f t="array" ref="AA408">_xlfn.SWITCH($N408,"BDI 1",$P$6,"BDI 2",$P$7,"BDI 3",$P$8)</f>
        <v>0.26739999999999997</v>
      </c>
      <c r="AB408" s="158">
        <f t="shared" ca="1" si="1017"/>
        <v>0</v>
      </c>
      <c r="AC408" s="158">
        <f t="shared" ca="1" si="1018"/>
        <v>0</v>
      </c>
      <c r="AD408" s="164"/>
      <c r="AE408" s="148">
        <f t="shared" si="898"/>
        <v>0</v>
      </c>
      <c r="AF408" s="149"/>
      <c r="AG408" s="150"/>
      <c r="AH408" s="159" t="e">
        <f t="shared" si="1019"/>
        <v>#DIV/0!</v>
      </c>
      <c r="AI408" s="160"/>
      <c r="AJ408" s="105"/>
      <c r="AK408" s="105"/>
      <c r="AM408" s="105"/>
      <c r="AN408" s="105"/>
      <c r="AO408" s="105"/>
      <c r="AP408" s="105"/>
      <c r="AQ408" s="105"/>
      <c r="AR408" s="105"/>
    </row>
    <row r="409" spans="1:44" s="49" customFormat="1" ht="60" hidden="1" customHeight="1">
      <c r="A409" s="152">
        <f t="shared" ca="1" si="899"/>
        <v>0</v>
      </c>
      <c r="B409" s="153" t="s">
        <v>217</v>
      </c>
      <c r="C409" s="154" t="str">
        <f t="shared" si="1006"/>
        <v>EC/0020</v>
      </c>
      <c r="D409" s="154" t="s">
        <v>3549</v>
      </c>
      <c r="E409" s="155" t="s">
        <v>3830</v>
      </c>
      <c r="F409" s="154"/>
      <c r="G409" s="154" t="s">
        <v>464</v>
      </c>
      <c r="H409" s="152">
        <v>709.02</v>
      </c>
      <c r="I409" s="152">
        <v>696.92</v>
      </c>
      <c r="J409" s="156"/>
      <c r="K409" s="156">
        <f>Bacia_Amortecimento!J69</f>
        <v>0</v>
      </c>
      <c r="L409" s="156">
        <f t="shared" si="1007"/>
        <v>0</v>
      </c>
      <c r="M409" s="156">
        <f t="shared" si="1008"/>
        <v>0</v>
      </c>
      <c r="N409" s="156" t="s">
        <v>83</v>
      </c>
      <c r="O409" s="157" cm="1">
        <f t="array" ref="O409">TRUNC($H409*(1+_xlfn.SWITCH($N409,"BDI 1",$O$6,"BDI 2",$O$7,"BDI 3",$O$8)),2)</f>
        <v>855.78</v>
      </c>
      <c r="P409" s="157" cm="1">
        <f t="array" ref="P409">TRUNC($I409*(1+_xlfn.SWITCH($N409,"BDI 1",$P$6,"BDI 2",$P$7,"BDI 3",$P$8)),2)</f>
        <v>883.27</v>
      </c>
      <c r="Q409" s="157">
        <v>0</v>
      </c>
      <c r="R409" s="157">
        <f t="shared" ref="R409" si="1095">$Q409-($Q409*LICITACAO_DESCONTO)</f>
        <v>0</v>
      </c>
      <c r="S409" s="156">
        <f t="shared" si="1010"/>
        <v>0</v>
      </c>
      <c r="T409" s="156">
        <f t="shared" si="1011"/>
        <v>0</v>
      </c>
      <c r="U409" s="156">
        <f t="shared" si="1012"/>
        <v>0</v>
      </c>
      <c r="V409" s="156">
        <f t="shared" si="1013"/>
        <v>0</v>
      </c>
      <c r="W409" s="156">
        <f t="shared" si="1014"/>
        <v>0</v>
      </c>
      <c r="X409" s="158">
        <f t="shared" ref="X409" si="1096">$S409/ORCAMENTO_VALOR_TOTAL_ND</f>
        <v>0</v>
      </c>
      <c r="Y409" s="158">
        <f t="shared" ref="Y409" si="1097">$T409/ORCAMENTO_VALOR_TOTAL_DE</f>
        <v>0</v>
      </c>
      <c r="Z409" s="158" cm="1">
        <f t="array" ref="Z409">_xlfn.SWITCH($N409,"BDI 1",$O$6,"BDI 2",$O$7,"BDI 3",$O$8)</f>
        <v>0.20699999999999999</v>
      </c>
      <c r="AA409" s="158" cm="1">
        <f t="array" ref="AA409">_xlfn.SWITCH($N409,"BDI 1",$P$6,"BDI 2",$P$7,"BDI 3",$P$8)</f>
        <v>0.26739999999999997</v>
      </c>
      <c r="AB409" s="158">
        <f t="shared" ca="1" si="1017"/>
        <v>0</v>
      </c>
      <c r="AC409" s="158">
        <f t="shared" ca="1" si="1018"/>
        <v>0</v>
      </c>
      <c r="AD409" s="164"/>
      <c r="AE409" s="148">
        <f t="shared" si="898"/>
        <v>0</v>
      </c>
      <c r="AF409" s="149"/>
      <c r="AG409" s="150"/>
      <c r="AH409" s="159" t="e">
        <f t="shared" si="1019"/>
        <v>#DIV/0!</v>
      </c>
      <c r="AI409" s="160"/>
      <c r="AJ409" s="105"/>
      <c r="AK409" s="105"/>
      <c r="AM409" s="105"/>
      <c r="AN409" s="105"/>
      <c r="AO409" s="105"/>
      <c r="AP409" s="105"/>
      <c r="AQ409" s="105"/>
      <c r="AR409" s="105"/>
    </row>
    <row r="410" spans="1:44" s="49" customFormat="1" ht="60" hidden="1" customHeight="1">
      <c r="A410" s="152">
        <f t="shared" ca="1" si="899"/>
        <v>0</v>
      </c>
      <c r="B410" s="153" t="s">
        <v>218</v>
      </c>
      <c r="C410" s="154" t="str">
        <f t="shared" si="1006"/>
        <v>EC/0025</v>
      </c>
      <c r="D410" s="154" t="s">
        <v>3549</v>
      </c>
      <c r="E410" s="155" t="s">
        <v>3831</v>
      </c>
      <c r="F410" s="154"/>
      <c r="G410" s="154" t="s">
        <v>464</v>
      </c>
      <c r="H410" s="152">
        <v>831.02</v>
      </c>
      <c r="I410" s="152">
        <v>816.44</v>
      </c>
      <c r="J410" s="156"/>
      <c r="K410" s="156">
        <f>Bacia_Amortecimento!J70</f>
        <v>0</v>
      </c>
      <c r="L410" s="156">
        <f t="shared" si="1007"/>
        <v>0</v>
      </c>
      <c r="M410" s="156">
        <f t="shared" si="1008"/>
        <v>0</v>
      </c>
      <c r="N410" s="156" t="s">
        <v>83</v>
      </c>
      <c r="O410" s="157" cm="1">
        <f t="array" ref="O410">TRUNC($H410*(1+_xlfn.SWITCH($N410,"BDI 1",$O$6,"BDI 2",$O$7,"BDI 3",$O$8)),2)</f>
        <v>1003.04</v>
      </c>
      <c r="P410" s="157" cm="1">
        <f t="array" ref="P410">TRUNC($I410*(1+_xlfn.SWITCH($N410,"BDI 1",$P$6,"BDI 2",$P$7,"BDI 3",$P$8)),2)</f>
        <v>1034.75</v>
      </c>
      <c r="Q410" s="157">
        <v>0</v>
      </c>
      <c r="R410" s="157">
        <f t="shared" ref="R410" si="1098">$Q410-($Q410*LICITACAO_DESCONTO)</f>
        <v>0</v>
      </c>
      <c r="S410" s="156">
        <f t="shared" si="1010"/>
        <v>0</v>
      </c>
      <c r="T410" s="156">
        <f t="shared" si="1011"/>
        <v>0</v>
      </c>
      <c r="U410" s="156">
        <f t="shared" si="1012"/>
        <v>0</v>
      </c>
      <c r="V410" s="156">
        <f t="shared" si="1013"/>
        <v>0</v>
      </c>
      <c r="W410" s="156">
        <f t="shared" si="1014"/>
        <v>0</v>
      </c>
      <c r="X410" s="158">
        <f t="shared" ref="X410" si="1099">$S410/ORCAMENTO_VALOR_TOTAL_ND</f>
        <v>0</v>
      </c>
      <c r="Y410" s="158">
        <f t="shared" ref="Y410" si="1100">$T410/ORCAMENTO_VALOR_TOTAL_DE</f>
        <v>0</v>
      </c>
      <c r="Z410" s="158" cm="1">
        <f t="array" ref="Z410">_xlfn.SWITCH($N410,"BDI 1",$O$6,"BDI 2",$O$7,"BDI 3",$O$8)</f>
        <v>0.20699999999999999</v>
      </c>
      <c r="AA410" s="158" cm="1">
        <f t="array" ref="AA410">_xlfn.SWITCH($N410,"BDI 1",$P$6,"BDI 2",$P$7,"BDI 3",$P$8)</f>
        <v>0.26739999999999997</v>
      </c>
      <c r="AB410" s="158">
        <f t="shared" ca="1" si="1017"/>
        <v>0</v>
      </c>
      <c r="AC410" s="158">
        <f t="shared" ca="1" si="1018"/>
        <v>0</v>
      </c>
      <c r="AD410" s="164"/>
      <c r="AE410" s="148">
        <f t="shared" si="898"/>
        <v>0</v>
      </c>
      <c r="AF410" s="149"/>
      <c r="AG410" s="150"/>
      <c r="AH410" s="159" t="e">
        <f t="shared" si="1019"/>
        <v>#DIV/0!</v>
      </c>
      <c r="AI410" s="160"/>
      <c r="AJ410" s="105"/>
      <c r="AK410" s="105"/>
      <c r="AM410" s="105"/>
      <c r="AN410" s="105"/>
      <c r="AO410" s="105"/>
      <c r="AP410" s="105"/>
      <c r="AQ410" s="105"/>
      <c r="AR410" s="105"/>
    </row>
    <row r="411" spans="1:44" s="49" customFormat="1" ht="60" hidden="1" customHeight="1">
      <c r="A411" s="152">
        <f t="shared" ca="1" si="899"/>
        <v>0</v>
      </c>
      <c r="B411" s="153" t="s">
        <v>219</v>
      </c>
      <c r="C411" s="154" t="str">
        <f t="shared" si="1006"/>
        <v>EC/0030</v>
      </c>
      <c r="D411" s="154" t="s">
        <v>3549</v>
      </c>
      <c r="E411" s="155" t="s">
        <v>3832</v>
      </c>
      <c r="F411" s="154"/>
      <c r="G411" s="154" t="s">
        <v>464</v>
      </c>
      <c r="H411" s="152">
        <v>899.71</v>
      </c>
      <c r="I411" s="152">
        <v>883.74</v>
      </c>
      <c r="J411" s="156"/>
      <c r="K411" s="156">
        <f>Bacia_Amortecimento!J71</f>
        <v>0</v>
      </c>
      <c r="L411" s="156">
        <f t="shared" si="1007"/>
        <v>0</v>
      </c>
      <c r="M411" s="156">
        <f t="shared" si="1008"/>
        <v>0</v>
      </c>
      <c r="N411" s="156" t="s">
        <v>83</v>
      </c>
      <c r="O411" s="157" cm="1">
        <f t="array" ref="O411">TRUNC($H411*(1+_xlfn.SWITCH($N411,"BDI 1",$O$6,"BDI 2",$O$7,"BDI 3",$O$8)),2)</f>
        <v>1085.94</v>
      </c>
      <c r="P411" s="157" cm="1">
        <f t="array" ref="P411">TRUNC($I411*(1+_xlfn.SWITCH($N411,"BDI 1",$P$6,"BDI 2",$P$7,"BDI 3",$P$8)),2)</f>
        <v>1120.05</v>
      </c>
      <c r="Q411" s="157">
        <v>0</v>
      </c>
      <c r="R411" s="157">
        <f t="shared" ref="R411" si="1101">$Q411-($Q411*LICITACAO_DESCONTO)</f>
        <v>0</v>
      </c>
      <c r="S411" s="156">
        <f t="shared" si="1010"/>
        <v>0</v>
      </c>
      <c r="T411" s="156">
        <f t="shared" si="1011"/>
        <v>0</v>
      </c>
      <c r="U411" s="156">
        <f t="shared" si="1012"/>
        <v>0</v>
      </c>
      <c r="V411" s="156">
        <f t="shared" si="1013"/>
        <v>0</v>
      </c>
      <c r="W411" s="156">
        <f t="shared" si="1014"/>
        <v>0</v>
      </c>
      <c r="X411" s="158">
        <f t="shared" ref="X411" si="1102">$S411/ORCAMENTO_VALOR_TOTAL_ND</f>
        <v>0</v>
      </c>
      <c r="Y411" s="158">
        <f t="shared" ref="Y411" si="1103">$T411/ORCAMENTO_VALOR_TOTAL_DE</f>
        <v>0</v>
      </c>
      <c r="Z411" s="158" cm="1">
        <f t="array" ref="Z411">_xlfn.SWITCH($N411,"BDI 1",$O$6,"BDI 2",$O$7,"BDI 3",$O$8)</f>
        <v>0.20699999999999999</v>
      </c>
      <c r="AA411" s="158" cm="1">
        <f t="array" ref="AA411">_xlfn.SWITCH($N411,"BDI 1",$P$6,"BDI 2",$P$7,"BDI 3",$P$8)</f>
        <v>0.26739999999999997</v>
      </c>
      <c r="AB411" s="158">
        <f t="shared" ca="1" si="1017"/>
        <v>0</v>
      </c>
      <c r="AC411" s="158">
        <f t="shared" ca="1" si="1018"/>
        <v>0</v>
      </c>
      <c r="AD411" s="164"/>
      <c r="AE411" s="148">
        <f t="shared" si="898"/>
        <v>0</v>
      </c>
      <c r="AF411" s="149"/>
      <c r="AG411" s="150"/>
      <c r="AH411" s="159" t="e">
        <f t="shared" si="1019"/>
        <v>#DIV/0!</v>
      </c>
      <c r="AI411" s="160"/>
      <c r="AJ411" s="105"/>
      <c r="AK411" s="105"/>
      <c r="AM411" s="105"/>
      <c r="AN411" s="105"/>
      <c r="AO411" s="105"/>
      <c r="AP411" s="105"/>
      <c r="AQ411" s="105"/>
      <c r="AR411" s="105"/>
    </row>
    <row r="412" spans="1:44" s="49" customFormat="1" ht="40.15" hidden="1" customHeight="1">
      <c r="A412" s="152">
        <f t="shared" ca="1" si="899"/>
        <v>0</v>
      </c>
      <c r="B412" s="153">
        <v>92749</v>
      </c>
      <c r="C412" s="154" t="str">
        <f t="shared" si="1006"/>
        <v>92749</v>
      </c>
      <c r="D412" s="154" t="s">
        <v>1416</v>
      </c>
      <c r="E412" s="155" t="s">
        <v>3833</v>
      </c>
      <c r="F412" s="154"/>
      <c r="G412" s="154" t="s">
        <v>464</v>
      </c>
      <c r="H412" s="152">
        <v>870.26</v>
      </c>
      <c r="I412" s="152">
        <v>793.23</v>
      </c>
      <c r="J412" s="156"/>
      <c r="K412" s="156">
        <f>Bacia_Amortecimento!J72</f>
        <v>0</v>
      </c>
      <c r="L412" s="156">
        <f t="shared" si="1007"/>
        <v>0</v>
      </c>
      <c r="M412" s="156">
        <f t="shared" si="1008"/>
        <v>0</v>
      </c>
      <c r="N412" s="156" t="s">
        <v>83</v>
      </c>
      <c r="O412" s="157" cm="1">
        <f t="array" ref="O412">TRUNC($H412*(1+_xlfn.SWITCH($N412,"BDI 1",$O$6,"BDI 2",$O$7,"BDI 3",$O$8)),2)</f>
        <v>1050.4000000000001</v>
      </c>
      <c r="P412" s="157" cm="1">
        <f t="array" ref="P412">TRUNC($I412*(1+_xlfn.SWITCH($N412,"BDI 1",$P$6,"BDI 2",$P$7,"BDI 3",$P$8)),2)</f>
        <v>1005.33</v>
      </c>
      <c r="Q412" s="157">
        <v>0</v>
      </c>
      <c r="R412" s="157">
        <f t="shared" ref="R412" si="1104">$Q412-($Q412*LICITACAO_DESCONTO)</f>
        <v>0</v>
      </c>
      <c r="S412" s="156">
        <f t="shared" si="1010"/>
        <v>0</v>
      </c>
      <c r="T412" s="156">
        <f t="shared" si="1011"/>
        <v>0</v>
      </c>
      <c r="U412" s="156">
        <f t="shared" si="1012"/>
        <v>0</v>
      </c>
      <c r="V412" s="156">
        <f t="shared" si="1013"/>
        <v>0</v>
      </c>
      <c r="W412" s="156">
        <f t="shared" si="1014"/>
        <v>0</v>
      </c>
      <c r="X412" s="158">
        <f t="shared" ref="X412" si="1105">$S412/ORCAMENTO_VALOR_TOTAL_ND</f>
        <v>0</v>
      </c>
      <c r="Y412" s="158">
        <f t="shared" ref="Y412" si="1106">$T412/ORCAMENTO_VALOR_TOTAL_DE</f>
        <v>0</v>
      </c>
      <c r="Z412" s="158" cm="1">
        <f t="array" ref="Z412">_xlfn.SWITCH($N412,"BDI 1",$O$6,"BDI 2",$O$7,"BDI 3",$O$8)</f>
        <v>0.20699999999999999</v>
      </c>
      <c r="AA412" s="158" cm="1">
        <f t="array" ref="AA412">_xlfn.SWITCH($N412,"BDI 1",$P$6,"BDI 2",$P$7,"BDI 3",$P$8)</f>
        <v>0.26739999999999997</v>
      </c>
      <c r="AB412" s="158">
        <f t="shared" ca="1" si="1017"/>
        <v>0</v>
      </c>
      <c r="AC412" s="158">
        <f t="shared" ca="1" si="1018"/>
        <v>0</v>
      </c>
      <c r="AD412" s="164"/>
      <c r="AE412" s="148">
        <f t="shared" si="898"/>
        <v>0</v>
      </c>
      <c r="AF412" s="149"/>
      <c r="AG412" s="150"/>
      <c r="AH412" s="159" t="e">
        <f t="shared" si="1019"/>
        <v>#DIV/0!</v>
      </c>
      <c r="AI412" s="160"/>
      <c r="AJ412" s="105"/>
      <c r="AK412" s="105"/>
      <c r="AM412" s="105"/>
      <c r="AN412" s="105"/>
      <c r="AO412" s="105"/>
      <c r="AP412" s="105"/>
      <c r="AQ412" s="105"/>
      <c r="AR412" s="105"/>
    </row>
    <row r="413" spans="1:44" s="49" customFormat="1" ht="60" hidden="1" customHeight="1">
      <c r="A413" s="152">
        <f t="shared" ca="1" si="899"/>
        <v>0</v>
      </c>
      <c r="B413" s="153" t="s">
        <v>220</v>
      </c>
      <c r="C413" s="154" t="str">
        <f t="shared" si="1006"/>
        <v>EC/0033</v>
      </c>
      <c r="D413" s="154" t="s">
        <v>3549</v>
      </c>
      <c r="E413" s="155" t="s">
        <v>3834</v>
      </c>
      <c r="F413" s="154"/>
      <c r="G413" s="154" t="s">
        <v>464</v>
      </c>
      <c r="H413" s="152">
        <v>0</v>
      </c>
      <c r="I413" s="152">
        <v>0</v>
      </c>
      <c r="J413" s="156"/>
      <c r="K413" s="156">
        <f>Bacia_Amortecimento!J73</f>
        <v>0</v>
      </c>
      <c r="L413" s="156">
        <f t="shared" si="1007"/>
        <v>0</v>
      </c>
      <c r="M413" s="156">
        <f t="shared" si="1008"/>
        <v>0</v>
      </c>
      <c r="N413" s="156" t="s">
        <v>83</v>
      </c>
      <c r="O413" s="157" cm="1">
        <f t="array" ref="O413">TRUNC($H413*(1+_xlfn.SWITCH($N413,"BDI 1",$O$6,"BDI 2",$O$7,"BDI 3",$O$8)),2)</f>
        <v>0</v>
      </c>
      <c r="P413" s="157" cm="1">
        <f t="array" ref="P413">TRUNC($I413*(1+_xlfn.SWITCH($N413,"BDI 1",$P$6,"BDI 2",$P$7,"BDI 3",$P$8)),2)</f>
        <v>0</v>
      </c>
      <c r="Q413" s="157">
        <v>0</v>
      </c>
      <c r="R413" s="157">
        <f t="shared" ref="R413" si="1107">$Q413-($Q413*LICITACAO_DESCONTO)</f>
        <v>0</v>
      </c>
      <c r="S413" s="156">
        <f t="shared" si="1010"/>
        <v>0</v>
      </c>
      <c r="T413" s="156">
        <f t="shared" si="1011"/>
        <v>0</v>
      </c>
      <c r="U413" s="156">
        <f t="shared" si="1012"/>
        <v>0</v>
      </c>
      <c r="V413" s="156">
        <f t="shared" si="1013"/>
        <v>0</v>
      </c>
      <c r="W413" s="156">
        <f t="shared" si="1014"/>
        <v>0</v>
      </c>
      <c r="X413" s="158">
        <f t="shared" ref="X413" si="1108">$S413/ORCAMENTO_VALOR_TOTAL_ND</f>
        <v>0</v>
      </c>
      <c r="Y413" s="158">
        <f t="shared" ref="Y413" si="1109">$T413/ORCAMENTO_VALOR_TOTAL_DE</f>
        <v>0</v>
      </c>
      <c r="Z413" s="158" cm="1">
        <f t="array" ref="Z413">_xlfn.SWITCH($N413,"BDI 1",$O$6,"BDI 2",$O$7,"BDI 3",$O$8)</f>
        <v>0.20699999999999999</v>
      </c>
      <c r="AA413" s="158" cm="1">
        <f t="array" ref="AA413">_xlfn.SWITCH($N413,"BDI 1",$P$6,"BDI 2",$P$7,"BDI 3",$P$8)</f>
        <v>0.26739999999999997</v>
      </c>
      <c r="AB413" s="158">
        <f t="shared" ca="1" si="1017"/>
        <v>0</v>
      </c>
      <c r="AC413" s="158">
        <f t="shared" ca="1" si="1018"/>
        <v>0</v>
      </c>
      <c r="AD413" s="164"/>
      <c r="AE413" s="148">
        <f t="shared" si="898"/>
        <v>0</v>
      </c>
      <c r="AF413" s="149"/>
      <c r="AG413" s="150"/>
      <c r="AH413" s="159" t="e">
        <f t="shared" si="1019"/>
        <v>#DIV/0!</v>
      </c>
      <c r="AI413" s="160"/>
      <c r="AJ413" s="105"/>
      <c r="AK413" s="105"/>
      <c r="AM413" s="105"/>
      <c r="AN413" s="105"/>
      <c r="AO413" s="105"/>
      <c r="AP413" s="105"/>
      <c r="AQ413" s="105"/>
      <c r="AR413" s="105"/>
    </row>
    <row r="414" spans="1:44" s="49" customFormat="1" ht="49.9" hidden="1" customHeight="1">
      <c r="A414" s="152">
        <f t="shared" ca="1" si="899"/>
        <v>0</v>
      </c>
      <c r="B414" s="153">
        <v>92750</v>
      </c>
      <c r="C414" s="154" t="str">
        <f t="shared" si="1006"/>
        <v>92750</v>
      </c>
      <c r="D414" s="154" t="s">
        <v>1416</v>
      </c>
      <c r="E414" s="155" t="s">
        <v>3835</v>
      </c>
      <c r="F414" s="154"/>
      <c r="G414" s="154" t="s">
        <v>464</v>
      </c>
      <c r="H414" s="152">
        <v>1441.34</v>
      </c>
      <c r="I414" s="152">
        <v>1320.7</v>
      </c>
      <c r="J414" s="156"/>
      <c r="K414" s="156">
        <f>Bacia_Amortecimento!J74</f>
        <v>0</v>
      </c>
      <c r="L414" s="156">
        <f t="shared" si="1007"/>
        <v>0</v>
      </c>
      <c r="M414" s="156">
        <f t="shared" si="1008"/>
        <v>0</v>
      </c>
      <c r="N414" s="156" t="s">
        <v>83</v>
      </c>
      <c r="O414" s="157" cm="1">
        <f t="array" ref="O414">TRUNC($H414*(1+_xlfn.SWITCH($N414,"BDI 1",$O$6,"BDI 2",$O$7,"BDI 3",$O$8)),2)</f>
        <v>1739.69</v>
      </c>
      <c r="P414" s="157" cm="1">
        <f t="array" ref="P414">TRUNC($I414*(1+_xlfn.SWITCH($N414,"BDI 1",$P$6,"BDI 2",$P$7,"BDI 3",$P$8)),2)</f>
        <v>1673.85</v>
      </c>
      <c r="Q414" s="157">
        <v>0</v>
      </c>
      <c r="R414" s="157">
        <f t="shared" ref="R414" si="1110">$Q414-($Q414*LICITACAO_DESCONTO)</f>
        <v>0</v>
      </c>
      <c r="S414" s="156">
        <f t="shared" si="1010"/>
        <v>0</v>
      </c>
      <c r="T414" s="156">
        <f t="shared" si="1011"/>
        <v>0</v>
      </c>
      <c r="U414" s="156">
        <f t="shared" si="1012"/>
        <v>0</v>
      </c>
      <c r="V414" s="156">
        <f t="shared" si="1013"/>
        <v>0</v>
      </c>
      <c r="W414" s="156">
        <f t="shared" si="1014"/>
        <v>0</v>
      </c>
      <c r="X414" s="158">
        <f t="shared" ref="X414" si="1111">$S414/ORCAMENTO_VALOR_TOTAL_ND</f>
        <v>0</v>
      </c>
      <c r="Y414" s="158">
        <f t="shared" ref="Y414" si="1112">$T414/ORCAMENTO_VALOR_TOTAL_DE</f>
        <v>0</v>
      </c>
      <c r="Z414" s="158" cm="1">
        <f t="array" ref="Z414">_xlfn.SWITCH($N414,"BDI 1",$O$6,"BDI 2",$O$7,"BDI 3",$O$8)</f>
        <v>0.20699999999999999</v>
      </c>
      <c r="AA414" s="158" cm="1">
        <f t="array" ref="AA414">_xlfn.SWITCH($N414,"BDI 1",$P$6,"BDI 2",$P$7,"BDI 3",$P$8)</f>
        <v>0.26739999999999997</v>
      </c>
      <c r="AB414" s="158">
        <f t="shared" ca="1" si="1017"/>
        <v>0</v>
      </c>
      <c r="AC414" s="158">
        <f t="shared" ca="1" si="1018"/>
        <v>0</v>
      </c>
      <c r="AD414" s="164"/>
      <c r="AE414" s="148">
        <f t="shared" si="898"/>
        <v>0</v>
      </c>
      <c r="AF414" s="149"/>
      <c r="AG414" s="150"/>
      <c r="AH414" s="159" t="e">
        <f t="shared" si="1019"/>
        <v>#DIV/0!</v>
      </c>
      <c r="AI414" s="160"/>
      <c r="AJ414" s="105"/>
      <c r="AK414" s="105"/>
      <c r="AM414" s="105"/>
      <c r="AN414" s="105"/>
      <c r="AO414" s="105"/>
      <c r="AP414" s="105"/>
      <c r="AQ414" s="105"/>
      <c r="AR414" s="105"/>
    </row>
    <row r="415" spans="1:44" s="49" customFormat="1" ht="60" hidden="1" customHeight="1">
      <c r="A415" s="152">
        <f t="shared" ca="1" si="899"/>
        <v>0</v>
      </c>
      <c r="B415" s="153" t="s">
        <v>221</v>
      </c>
      <c r="C415" s="154" t="str">
        <f t="shared" si="1006"/>
        <v>EC/0035</v>
      </c>
      <c r="D415" s="154" t="s">
        <v>3549</v>
      </c>
      <c r="E415" s="155" t="s">
        <v>3836</v>
      </c>
      <c r="F415" s="154"/>
      <c r="G415" s="154" t="s">
        <v>464</v>
      </c>
      <c r="H415" s="152">
        <v>0</v>
      </c>
      <c r="I415" s="152">
        <v>0</v>
      </c>
      <c r="J415" s="156"/>
      <c r="K415" s="156">
        <f>Bacia_Amortecimento!J75</f>
        <v>0</v>
      </c>
      <c r="L415" s="156">
        <f t="shared" si="1007"/>
        <v>0</v>
      </c>
      <c r="M415" s="156">
        <f t="shared" si="1008"/>
        <v>0</v>
      </c>
      <c r="N415" s="156" t="s">
        <v>83</v>
      </c>
      <c r="O415" s="157" cm="1">
        <f t="array" ref="O415">TRUNC($H415*(1+_xlfn.SWITCH($N415,"BDI 1",$O$6,"BDI 2",$O$7,"BDI 3",$O$8)),2)</f>
        <v>0</v>
      </c>
      <c r="P415" s="157" cm="1">
        <f t="array" ref="P415">TRUNC($I415*(1+_xlfn.SWITCH($N415,"BDI 1",$P$6,"BDI 2",$P$7,"BDI 3",$P$8)),2)</f>
        <v>0</v>
      </c>
      <c r="Q415" s="157">
        <v>0</v>
      </c>
      <c r="R415" s="157">
        <f t="shared" ref="R415" si="1113">$Q415-($Q415*LICITACAO_DESCONTO)</f>
        <v>0</v>
      </c>
      <c r="S415" s="156">
        <f t="shared" si="1010"/>
        <v>0</v>
      </c>
      <c r="T415" s="156">
        <f t="shared" si="1011"/>
        <v>0</v>
      </c>
      <c r="U415" s="156">
        <f t="shared" si="1012"/>
        <v>0</v>
      </c>
      <c r="V415" s="156">
        <f t="shared" si="1013"/>
        <v>0</v>
      </c>
      <c r="W415" s="156">
        <f t="shared" si="1014"/>
        <v>0</v>
      </c>
      <c r="X415" s="158">
        <f t="shared" ref="X415" si="1114">$S415/ORCAMENTO_VALOR_TOTAL_ND</f>
        <v>0</v>
      </c>
      <c r="Y415" s="158">
        <f t="shared" ref="Y415" si="1115">$T415/ORCAMENTO_VALOR_TOTAL_DE</f>
        <v>0</v>
      </c>
      <c r="Z415" s="158" cm="1">
        <f t="array" ref="Z415">_xlfn.SWITCH($N415,"BDI 1",$O$6,"BDI 2",$O$7,"BDI 3",$O$8)</f>
        <v>0.20699999999999999</v>
      </c>
      <c r="AA415" s="158" cm="1">
        <f t="array" ref="AA415">_xlfn.SWITCH($N415,"BDI 1",$P$6,"BDI 2",$P$7,"BDI 3",$P$8)</f>
        <v>0.26739999999999997</v>
      </c>
      <c r="AB415" s="158">
        <f t="shared" ca="1" si="1017"/>
        <v>0</v>
      </c>
      <c r="AC415" s="158">
        <f t="shared" ca="1" si="1018"/>
        <v>0</v>
      </c>
      <c r="AD415" s="164"/>
      <c r="AE415" s="148">
        <f t="shared" ref="AE415:AE436" si="1116">IF(S415&gt;0,IFERROR(TRUNC(A415,0),0),0)</f>
        <v>0</v>
      </c>
      <c r="AF415" s="149"/>
      <c r="AG415" s="150"/>
      <c r="AH415" s="159" t="e">
        <f t="shared" si="1019"/>
        <v>#DIV/0!</v>
      </c>
      <c r="AI415" s="160"/>
      <c r="AJ415" s="105"/>
      <c r="AK415" s="105"/>
      <c r="AM415" s="105"/>
      <c r="AN415" s="105"/>
      <c r="AO415" s="105"/>
      <c r="AP415" s="105"/>
      <c r="AQ415" s="105"/>
      <c r="AR415" s="105"/>
    </row>
    <row r="416" spans="1:44" s="49" customFormat="1" ht="60" hidden="1" customHeight="1">
      <c r="A416" s="152">
        <f t="shared" ref="A416:A454" ca="1" si="1117">IF(K416&gt;0,A415+0.01,A415)</f>
        <v>0</v>
      </c>
      <c r="B416" s="153" t="s">
        <v>222</v>
      </c>
      <c r="C416" s="154" t="str">
        <f t="shared" si="1006"/>
        <v>EC/0040</v>
      </c>
      <c r="D416" s="154" t="s">
        <v>3549</v>
      </c>
      <c r="E416" s="155" t="s">
        <v>3837</v>
      </c>
      <c r="F416" s="154"/>
      <c r="G416" s="154" t="s">
        <v>464</v>
      </c>
      <c r="H416" s="152">
        <v>0</v>
      </c>
      <c r="I416" s="152">
        <v>0</v>
      </c>
      <c r="J416" s="156"/>
      <c r="K416" s="156">
        <f>Bacia_Amortecimento!J76</f>
        <v>0</v>
      </c>
      <c r="L416" s="156">
        <f t="shared" si="1007"/>
        <v>0</v>
      </c>
      <c r="M416" s="156">
        <f t="shared" si="1008"/>
        <v>0</v>
      </c>
      <c r="N416" s="156" t="s">
        <v>83</v>
      </c>
      <c r="O416" s="157" cm="1">
        <f t="array" ref="O416">TRUNC($H416*(1+_xlfn.SWITCH($N416,"BDI 1",$O$6,"BDI 2",$O$7,"BDI 3",$O$8)),2)</f>
        <v>0</v>
      </c>
      <c r="P416" s="157" cm="1">
        <f t="array" ref="P416">TRUNC($I416*(1+_xlfn.SWITCH($N416,"BDI 1",$P$6,"BDI 2",$P$7,"BDI 3",$P$8)),2)</f>
        <v>0</v>
      </c>
      <c r="Q416" s="157">
        <v>0</v>
      </c>
      <c r="R416" s="157">
        <f t="shared" ref="R416" si="1118">$Q416-($Q416*LICITACAO_DESCONTO)</f>
        <v>0</v>
      </c>
      <c r="S416" s="156">
        <f t="shared" si="1010"/>
        <v>0</v>
      </c>
      <c r="T416" s="156">
        <f t="shared" si="1011"/>
        <v>0</v>
      </c>
      <c r="U416" s="156">
        <f t="shared" si="1012"/>
        <v>0</v>
      </c>
      <c r="V416" s="156">
        <f t="shared" si="1013"/>
        <v>0</v>
      </c>
      <c r="W416" s="156">
        <f t="shared" si="1014"/>
        <v>0</v>
      </c>
      <c r="X416" s="158">
        <f t="shared" ref="X416" si="1119">$S416/ORCAMENTO_VALOR_TOTAL_ND</f>
        <v>0</v>
      </c>
      <c r="Y416" s="158">
        <f t="shared" ref="Y416" si="1120">$T416/ORCAMENTO_VALOR_TOTAL_DE</f>
        <v>0</v>
      </c>
      <c r="Z416" s="158" cm="1">
        <f t="array" ref="Z416">_xlfn.SWITCH($N416,"BDI 1",$O$6,"BDI 2",$O$7,"BDI 3",$O$8)</f>
        <v>0.20699999999999999</v>
      </c>
      <c r="AA416" s="158" cm="1">
        <f t="array" ref="AA416">_xlfn.SWITCH($N416,"BDI 1",$P$6,"BDI 2",$P$7,"BDI 3",$P$8)</f>
        <v>0.26739999999999997</v>
      </c>
      <c r="AB416" s="158">
        <f t="shared" ca="1" si="1017"/>
        <v>0</v>
      </c>
      <c r="AC416" s="158">
        <f t="shared" ca="1" si="1018"/>
        <v>0</v>
      </c>
      <c r="AD416" s="164"/>
      <c r="AE416" s="148">
        <f t="shared" si="1116"/>
        <v>0</v>
      </c>
      <c r="AF416" s="149"/>
      <c r="AG416" s="150"/>
      <c r="AH416" s="159" t="e">
        <f t="shared" si="1019"/>
        <v>#DIV/0!</v>
      </c>
      <c r="AI416" s="160"/>
      <c r="AJ416" s="105"/>
      <c r="AK416" s="105"/>
      <c r="AM416" s="105"/>
      <c r="AN416" s="105"/>
      <c r="AO416" s="105"/>
      <c r="AP416" s="105"/>
      <c r="AQ416" s="105"/>
      <c r="AR416" s="105"/>
    </row>
    <row r="417" spans="1:44" s="49" customFormat="1" ht="40.15" hidden="1" customHeight="1">
      <c r="A417" s="152">
        <f t="shared" ca="1" si="1117"/>
        <v>0</v>
      </c>
      <c r="B417" s="153">
        <v>92755</v>
      </c>
      <c r="C417" s="154" t="str">
        <f t="shared" si="1006"/>
        <v>92755</v>
      </c>
      <c r="D417" s="154" t="s">
        <v>1416</v>
      </c>
      <c r="E417" s="155" t="s">
        <v>3838</v>
      </c>
      <c r="F417" s="154"/>
      <c r="G417" s="154" t="s">
        <v>1418</v>
      </c>
      <c r="H417" s="152">
        <v>225.29</v>
      </c>
      <c r="I417" s="152">
        <v>205.35</v>
      </c>
      <c r="J417" s="156"/>
      <c r="K417" s="156">
        <f>Bacia_Amortecimento!J77</f>
        <v>0</v>
      </c>
      <c r="L417" s="156">
        <f t="shared" si="1007"/>
        <v>0</v>
      </c>
      <c r="M417" s="156">
        <f t="shared" si="1008"/>
        <v>0</v>
      </c>
      <c r="N417" s="156" t="s">
        <v>83</v>
      </c>
      <c r="O417" s="157" cm="1">
        <f t="array" ref="O417">TRUNC($H417*(1+_xlfn.SWITCH($N417,"BDI 1",$O$6,"BDI 2",$O$7,"BDI 3",$O$8)),2)</f>
        <v>271.92</v>
      </c>
      <c r="P417" s="157" cm="1">
        <f t="array" ref="P417">TRUNC($I417*(1+_xlfn.SWITCH($N417,"BDI 1",$P$6,"BDI 2",$P$7,"BDI 3",$P$8)),2)</f>
        <v>260.26</v>
      </c>
      <c r="Q417" s="157">
        <v>0</v>
      </c>
      <c r="R417" s="157">
        <f t="shared" ref="R417" si="1121">$Q417-($Q417*LICITACAO_DESCONTO)</f>
        <v>0</v>
      </c>
      <c r="S417" s="156">
        <f t="shared" si="1010"/>
        <v>0</v>
      </c>
      <c r="T417" s="156">
        <f t="shared" si="1011"/>
        <v>0</v>
      </c>
      <c r="U417" s="156">
        <f t="shared" si="1012"/>
        <v>0</v>
      </c>
      <c r="V417" s="156">
        <f t="shared" si="1013"/>
        <v>0</v>
      </c>
      <c r="W417" s="156">
        <f t="shared" si="1014"/>
        <v>0</v>
      </c>
      <c r="X417" s="158">
        <f t="shared" ref="X417" si="1122">$S417/ORCAMENTO_VALOR_TOTAL_ND</f>
        <v>0</v>
      </c>
      <c r="Y417" s="158">
        <f t="shared" ref="Y417" si="1123">$T417/ORCAMENTO_VALOR_TOTAL_DE</f>
        <v>0</v>
      </c>
      <c r="Z417" s="158" cm="1">
        <f t="array" ref="Z417">_xlfn.SWITCH($N417,"BDI 1",$O$6,"BDI 2",$O$7,"BDI 3",$O$8)</f>
        <v>0.20699999999999999</v>
      </c>
      <c r="AA417" s="158" cm="1">
        <f t="array" ref="AA417">_xlfn.SWITCH($N417,"BDI 1",$P$6,"BDI 2",$P$7,"BDI 3",$P$8)</f>
        <v>0.26739999999999997</v>
      </c>
      <c r="AB417" s="158">
        <f t="shared" ca="1" si="1017"/>
        <v>0</v>
      </c>
      <c r="AC417" s="158">
        <f t="shared" ca="1" si="1018"/>
        <v>0</v>
      </c>
      <c r="AD417" s="164"/>
      <c r="AE417" s="148">
        <f t="shared" si="1116"/>
        <v>0</v>
      </c>
      <c r="AF417" s="149"/>
      <c r="AG417" s="150"/>
      <c r="AH417" s="159" t="e">
        <f t="shared" si="1019"/>
        <v>#DIV/0!</v>
      </c>
      <c r="AI417" s="160"/>
      <c r="AJ417" s="105"/>
      <c r="AK417" s="105"/>
      <c r="AM417" s="105"/>
      <c r="AN417" s="105"/>
      <c r="AO417" s="105"/>
      <c r="AP417" s="105"/>
      <c r="AQ417" s="105"/>
      <c r="AR417" s="105"/>
    </row>
    <row r="418" spans="1:44" s="49" customFormat="1" ht="40.15" hidden="1" customHeight="1">
      <c r="A418" s="152">
        <f t="shared" ca="1" si="1117"/>
        <v>0</v>
      </c>
      <c r="B418" s="153">
        <v>92756</v>
      </c>
      <c r="C418" s="154" t="str">
        <f t="shared" si="1006"/>
        <v>92756</v>
      </c>
      <c r="D418" s="154" t="s">
        <v>1416</v>
      </c>
      <c r="E418" s="155" t="s">
        <v>3839</v>
      </c>
      <c r="F418" s="154"/>
      <c r="G418" s="154" t="s">
        <v>1418</v>
      </c>
      <c r="H418" s="152">
        <v>257.99</v>
      </c>
      <c r="I418" s="152">
        <v>234.22</v>
      </c>
      <c r="J418" s="156"/>
      <c r="K418" s="156">
        <f>Bacia_Amortecimento!J78</f>
        <v>0</v>
      </c>
      <c r="L418" s="156">
        <f t="shared" si="1007"/>
        <v>0</v>
      </c>
      <c r="M418" s="156">
        <f t="shared" si="1008"/>
        <v>0</v>
      </c>
      <c r="N418" s="156" t="s">
        <v>83</v>
      </c>
      <c r="O418" s="157" cm="1">
        <f t="array" ref="O418">TRUNC($H418*(1+_xlfn.SWITCH($N418,"BDI 1",$O$6,"BDI 2",$O$7,"BDI 3",$O$8)),2)</f>
        <v>311.39</v>
      </c>
      <c r="P418" s="157" cm="1">
        <f t="array" ref="P418">TRUNC($I418*(1+_xlfn.SWITCH($N418,"BDI 1",$P$6,"BDI 2",$P$7,"BDI 3",$P$8)),2)</f>
        <v>296.85000000000002</v>
      </c>
      <c r="Q418" s="157">
        <v>0</v>
      </c>
      <c r="R418" s="157">
        <f t="shared" ref="R418" si="1124">$Q418-($Q418*LICITACAO_DESCONTO)</f>
        <v>0</v>
      </c>
      <c r="S418" s="156">
        <f t="shared" si="1010"/>
        <v>0</v>
      </c>
      <c r="T418" s="156">
        <f t="shared" si="1011"/>
        <v>0</v>
      </c>
      <c r="U418" s="156">
        <f t="shared" si="1012"/>
        <v>0</v>
      </c>
      <c r="V418" s="156">
        <f t="shared" si="1013"/>
        <v>0</v>
      </c>
      <c r="W418" s="156">
        <f t="shared" si="1014"/>
        <v>0</v>
      </c>
      <c r="X418" s="158">
        <f t="shared" ref="X418" si="1125">$S418/ORCAMENTO_VALOR_TOTAL_ND</f>
        <v>0</v>
      </c>
      <c r="Y418" s="158">
        <f t="shared" ref="Y418" si="1126">$T418/ORCAMENTO_VALOR_TOTAL_DE</f>
        <v>0</v>
      </c>
      <c r="Z418" s="158" cm="1">
        <f t="array" ref="Z418">_xlfn.SWITCH($N418,"BDI 1",$O$6,"BDI 2",$O$7,"BDI 3",$O$8)</f>
        <v>0.20699999999999999</v>
      </c>
      <c r="AA418" s="158" cm="1">
        <f t="array" ref="AA418">_xlfn.SWITCH($N418,"BDI 1",$P$6,"BDI 2",$P$7,"BDI 3",$P$8)</f>
        <v>0.26739999999999997</v>
      </c>
      <c r="AB418" s="158">
        <f t="shared" ca="1" si="1017"/>
        <v>0</v>
      </c>
      <c r="AC418" s="158">
        <f t="shared" ca="1" si="1018"/>
        <v>0</v>
      </c>
      <c r="AD418" s="164"/>
      <c r="AE418" s="148">
        <f t="shared" si="1116"/>
        <v>0</v>
      </c>
      <c r="AF418" s="149"/>
      <c r="AG418" s="150"/>
      <c r="AH418" s="159" t="e">
        <f t="shared" si="1019"/>
        <v>#DIV/0!</v>
      </c>
      <c r="AI418" s="160"/>
      <c r="AK418" s="105"/>
      <c r="AL418" s="105"/>
      <c r="AM418" s="105"/>
      <c r="AN418" s="105"/>
      <c r="AO418" s="105"/>
      <c r="AP418" s="105"/>
      <c r="AQ418" s="105"/>
      <c r="AR418" s="105"/>
    </row>
    <row r="419" spans="1:44" s="49" customFormat="1" ht="40.15" hidden="1" customHeight="1">
      <c r="A419" s="152">
        <f t="shared" ca="1" si="1117"/>
        <v>0</v>
      </c>
      <c r="B419" s="153">
        <v>92757</v>
      </c>
      <c r="C419" s="154" t="str">
        <f t="shared" si="1006"/>
        <v>92757</v>
      </c>
      <c r="D419" s="154" t="s">
        <v>1416</v>
      </c>
      <c r="E419" s="155" t="s">
        <v>3840</v>
      </c>
      <c r="F419" s="154"/>
      <c r="G419" s="154" t="s">
        <v>1418</v>
      </c>
      <c r="H419" s="152">
        <v>297.19</v>
      </c>
      <c r="I419" s="152">
        <v>269.14</v>
      </c>
      <c r="J419" s="156"/>
      <c r="K419" s="156">
        <f>Bacia_Amortecimento!J79</f>
        <v>0</v>
      </c>
      <c r="L419" s="156">
        <f t="shared" si="1007"/>
        <v>0</v>
      </c>
      <c r="M419" s="156">
        <f t="shared" si="1008"/>
        <v>0</v>
      </c>
      <c r="N419" s="156" t="s">
        <v>83</v>
      </c>
      <c r="O419" s="157" cm="1">
        <f t="array" ref="O419">TRUNC($H419*(1+_xlfn.SWITCH($N419,"BDI 1",$O$6,"BDI 2",$O$7,"BDI 3",$O$8)),2)</f>
        <v>358.7</v>
      </c>
      <c r="P419" s="157" cm="1">
        <f t="array" ref="P419">TRUNC($I419*(1+_xlfn.SWITCH($N419,"BDI 1",$P$6,"BDI 2",$P$7,"BDI 3",$P$8)),2)</f>
        <v>341.1</v>
      </c>
      <c r="Q419" s="157">
        <v>0</v>
      </c>
      <c r="R419" s="157">
        <f t="shared" ref="R419" si="1127">$Q419-($Q419*LICITACAO_DESCONTO)</f>
        <v>0</v>
      </c>
      <c r="S419" s="156">
        <f t="shared" si="1010"/>
        <v>0</v>
      </c>
      <c r="T419" s="156">
        <f t="shared" si="1011"/>
        <v>0</v>
      </c>
      <c r="U419" s="156">
        <f t="shared" si="1012"/>
        <v>0</v>
      </c>
      <c r="V419" s="156">
        <f t="shared" si="1013"/>
        <v>0</v>
      </c>
      <c r="W419" s="156">
        <f t="shared" si="1014"/>
        <v>0</v>
      </c>
      <c r="X419" s="158">
        <f t="shared" ref="X419" si="1128">$S419/ORCAMENTO_VALOR_TOTAL_ND</f>
        <v>0</v>
      </c>
      <c r="Y419" s="158">
        <f t="shared" ref="Y419" si="1129">$T419/ORCAMENTO_VALOR_TOTAL_DE</f>
        <v>0</v>
      </c>
      <c r="Z419" s="158" cm="1">
        <f t="array" ref="Z419">_xlfn.SWITCH($N419,"BDI 1",$O$6,"BDI 2",$O$7,"BDI 3",$O$8)</f>
        <v>0.20699999999999999</v>
      </c>
      <c r="AA419" s="158" cm="1">
        <f t="array" ref="AA419">_xlfn.SWITCH($N419,"BDI 1",$P$6,"BDI 2",$P$7,"BDI 3",$P$8)</f>
        <v>0.26739999999999997</v>
      </c>
      <c r="AB419" s="158">
        <f t="shared" ca="1" si="1017"/>
        <v>0</v>
      </c>
      <c r="AC419" s="158">
        <f t="shared" ca="1" si="1018"/>
        <v>0</v>
      </c>
      <c r="AD419" s="164"/>
      <c r="AE419" s="148">
        <f t="shared" si="1116"/>
        <v>0</v>
      </c>
      <c r="AF419" s="149"/>
      <c r="AG419" s="150"/>
      <c r="AH419" s="159" t="e">
        <f t="shared" si="1019"/>
        <v>#DIV/0!</v>
      </c>
      <c r="AI419" s="160"/>
      <c r="AK419" s="105"/>
      <c r="AL419" s="105"/>
      <c r="AM419" s="105"/>
      <c r="AN419" s="105"/>
      <c r="AO419" s="105"/>
      <c r="AP419" s="105"/>
      <c r="AQ419" s="105"/>
      <c r="AR419" s="105"/>
    </row>
    <row r="420" spans="1:44" s="49" customFormat="1" ht="40.15" hidden="1" customHeight="1">
      <c r="A420" s="152">
        <f t="shared" ca="1" si="1117"/>
        <v>0</v>
      </c>
      <c r="B420" s="153">
        <v>92758</v>
      </c>
      <c r="C420" s="154" t="str">
        <f t="shared" si="1006"/>
        <v>92758</v>
      </c>
      <c r="D420" s="154" t="s">
        <v>1416</v>
      </c>
      <c r="E420" s="155" t="s">
        <v>3841</v>
      </c>
      <c r="F420" s="154"/>
      <c r="G420" s="154" t="s">
        <v>464</v>
      </c>
      <c r="H420" s="152">
        <v>621.94000000000005</v>
      </c>
      <c r="I420" s="152">
        <v>605.32000000000005</v>
      </c>
      <c r="J420" s="156"/>
      <c r="K420" s="156">
        <f>Bacia_Amortecimento!J80</f>
        <v>0</v>
      </c>
      <c r="L420" s="156">
        <f t="shared" si="1007"/>
        <v>0</v>
      </c>
      <c r="M420" s="156">
        <f t="shared" si="1008"/>
        <v>0</v>
      </c>
      <c r="N420" s="156" t="s">
        <v>83</v>
      </c>
      <c r="O420" s="157" cm="1">
        <f t="array" ref="O420">TRUNC($H420*(1+_xlfn.SWITCH($N420,"BDI 1",$O$6,"BDI 2",$O$7,"BDI 3",$O$8)),2)</f>
        <v>750.68</v>
      </c>
      <c r="P420" s="157" cm="1">
        <f t="array" ref="P420">TRUNC($I420*(1+_xlfn.SWITCH($N420,"BDI 1",$P$6,"BDI 2",$P$7,"BDI 3",$P$8)),2)</f>
        <v>767.18</v>
      </c>
      <c r="Q420" s="157">
        <v>0</v>
      </c>
      <c r="R420" s="157">
        <f t="shared" ref="R420" si="1130">$Q420-($Q420*LICITACAO_DESCONTO)</f>
        <v>0</v>
      </c>
      <c r="S420" s="156">
        <f t="shared" si="1010"/>
        <v>0</v>
      </c>
      <c r="T420" s="156">
        <f t="shared" si="1011"/>
        <v>0</v>
      </c>
      <c r="U420" s="156">
        <f t="shared" si="1012"/>
        <v>0</v>
      </c>
      <c r="V420" s="156">
        <f t="shared" si="1013"/>
        <v>0</v>
      </c>
      <c r="W420" s="156">
        <f t="shared" si="1014"/>
        <v>0</v>
      </c>
      <c r="X420" s="158">
        <f t="shared" ref="X420" si="1131">$S420/ORCAMENTO_VALOR_TOTAL_ND</f>
        <v>0</v>
      </c>
      <c r="Y420" s="158">
        <f t="shared" ref="Y420" si="1132">$T420/ORCAMENTO_VALOR_TOTAL_DE</f>
        <v>0</v>
      </c>
      <c r="Z420" s="158" cm="1">
        <f t="array" ref="Z420">_xlfn.SWITCH($N420,"BDI 1",$O$6,"BDI 2",$O$7,"BDI 3",$O$8)</f>
        <v>0.20699999999999999</v>
      </c>
      <c r="AA420" s="158" cm="1">
        <f t="array" ref="AA420">_xlfn.SWITCH($N420,"BDI 1",$P$6,"BDI 2",$P$7,"BDI 3",$P$8)</f>
        <v>0.26739999999999997</v>
      </c>
      <c r="AB420" s="158">
        <f t="shared" ca="1" si="1017"/>
        <v>0</v>
      </c>
      <c r="AC420" s="158">
        <f t="shared" ca="1" si="1018"/>
        <v>0</v>
      </c>
      <c r="AD420" s="164"/>
      <c r="AE420" s="148">
        <f t="shared" si="1116"/>
        <v>0</v>
      </c>
      <c r="AF420" s="149"/>
      <c r="AG420" s="150"/>
      <c r="AH420" s="159" t="e">
        <f t="shared" si="1019"/>
        <v>#DIV/0!</v>
      </c>
      <c r="AI420" s="160"/>
      <c r="AK420" s="105"/>
      <c r="AL420" s="105"/>
      <c r="AM420" s="105"/>
      <c r="AN420" s="105"/>
      <c r="AO420" s="105"/>
      <c r="AP420" s="105"/>
      <c r="AQ420" s="105"/>
      <c r="AR420" s="105"/>
    </row>
    <row r="421" spans="1:44" s="49" customFormat="1" ht="40.15" hidden="1" customHeight="1">
      <c r="A421" s="152">
        <f t="shared" ca="1" si="1117"/>
        <v>0</v>
      </c>
      <c r="B421" s="153" t="s">
        <v>223</v>
      </c>
      <c r="C421" s="154" t="str">
        <f t="shared" si="1006"/>
        <v>SC/0100</v>
      </c>
      <c r="D421" s="154" t="s">
        <v>3549</v>
      </c>
      <c r="E421" s="155" t="s">
        <v>3842</v>
      </c>
      <c r="F421" s="154"/>
      <c r="G421" s="154" t="s">
        <v>58</v>
      </c>
      <c r="H421" s="152">
        <v>58.41</v>
      </c>
      <c r="I421" s="152">
        <v>58.28</v>
      </c>
      <c r="J421" s="156"/>
      <c r="K421" s="156">
        <f>Bacia_Amortecimento!J81</f>
        <v>0</v>
      </c>
      <c r="L421" s="156">
        <f t="shared" si="1007"/>
        <v>0</v>
      </c>
      <c r="M421" s="156">
        <f t="shared" si="1008"/>
        <v>0</v>
      </c>
      <c r="N421" s="156" t="s">
        <v>83</v>
      </c>
      <c r="O421" s="157" cm="1">
        <f t="array" ref="O421">TRUNC($H421*(1+_xlfn.SWITCH($N421,"BDI 1",$O$6,"BDI 2",$O$7,"BDI 3",$O$8)),2)</f>
        <v>70.5</v>
      </c>
      <c r="P421" s="157" cm="1">
        <f t="array" ref="P421">TRUNC($I421*(1+_xlfn.SWITCH($N421,"BDI 1",$P$6,"BDI 2",$P$7,"BDI 3",$P$8)),2)</f>
        <v>73.86</v>
      </c>
      <c r="Q421" s="157">
        <v>0</v>
      </c>
      <c r="R421" s="157">
        <f t="shared" ref="R421" si="1133">$Q421-($Q421*LICITACAO_DESCONTO)</f>
        <v>0</v>
      </c>
      <c r="S421" s="156">
        <f t="shared" si="1010"/>
        <v>0</v>
      </c>
      <c r="T421" s="156">
        <f t="shared" si="1011"/>
        <v>0</v>
      </c>
      <c r="U421" s="156">
        <f t="shared" si="1012"/>
        <v>0</v>
      </c>
      <c r="V421" s="156">
        <f t="shared" si="1013"/>
        <v>0</v>
      </c>
      <c r="W421" s="156">
        <f t="shared" si="1014"/>
        <v>0</v>
      </c>
      <c r="X421" s="158">
        <f t="shared" ref="X421" si="1134">$S421/ORCAMENTO_VALOR_TOTAL_ND</f>
        <v>0</v>
      </c>
      <c r="Y421" s="158">
        <f t="shared" ref="Y421" si="1135">$T421/ORCAMENTO_VALOR_TOTAL_DE</f>
        <v>0</v>
      </c>
      <c r="Z421" s="158" cm="1">
        <f t="array" ref="Z421">_xlfn.SWITCH($N421,"BDI 1",$O$6,"BDI 2",$O$7,"BDI 3",$O$8)</f>
        <v>0.20699999999999999</v>
      </c>
      <c r="AA421" s="158" cm="1">
        <f t="array" ref="AA421">_xlfn.SWITCH($N421,"BDI 1",$P$6,"BDI 2",$P$7,"BDI 3",$P$8)</f>
        <v>0.26739999999999997</v>
      </c>
      <c r="AB421" s="158">
        <f t="shared" ca="1" si="1017"/>
        <v>0</v>
      </c>
      <c r="AC421" s="158">
        <f t="shared" ca="1" si="1018"/>
        <v>0</v>
      </c>
      <c r="AD421" s="164"/>
      <c r="AE421" s="148">
        <f t="shared" si="1116"/>
        <v>0</v>
      </c>
      <c r="AF421" s="149"/>
      <c r="AG421" s="150"/>
      <c r="AH421" s="159" t="e">
        <f t="shared" si="1019"/>
        <v>#DIV/0!</v>
      </c>
      <c r="AI421" s="160"/>
      <c r="AK421" s="105"/>
      <c r="AL421" s="105"/>
      <c r="AM421" s="105"/>
      <c r="AN421" s="105"/>
      <c r="AO421" s="105"/>
      <c r="AP421" s="105"/>
      <c r="AQ421" s="105"/>
      <c r="AR421" s="105"/>
    </row>
    <row r="422" spans="1:44" s="49" customFormat="1" ht="40.15" hidden="1" customHeight="1">
      <c r="A422" s="152">
        <f t="shared" ca="1" si="1117"/>
        <v>0</v>
      </c>
      <c r="B422" s="153" t="s">
        <v>224</v>
      </c>
      <c r="C422" s="154" t="str">
        <f t="shared" si="1006"/>
        <v>SC/0105</v>
      </c>
      <c r="D422" s="154" t="s">
        <v>3549</v>
      </c>
      <c r="E422" s="155" t="s">
        <v>3843</v>
      </c>
      <c r="F422" s="154"/>
      <c r="G422" s="154" t="s">
        <v>58</v>
      </c>
      <c r="H422" s="152">
        <v>76.19</v>
      </c>
      <c r="I422" s="152">
        <v>76.06</v>
      </c>
      <c r="J422" s="156"/>
      <c r="K422" s="156">
        <f>Bacia_Amortecimento!J82</f>
        <v>0</v>
      </c>
      <c r="L422" s="156">
        <f t="shared" si="1007"/>
        <v>0</v>
      </c>
      <c r="M422" s="156">
        <f t="shared" si="1008"/>
        <v>0</v>
      </c>
      <c r="N422" s="156" t="s">
        <v>83</v>
      </c>
      <c r="O422" s="157" cm="1">
        <f t="array" ref="O422">TRUNC($H422*(1+_xlfn.SWITCH($N422,"BDI 1",$O$6,"BDI 2",$O$7,"BDI 3",$O$8)),2)</f>
        <v>91.96</v>
      </c>
      <c r="P422" s="157" cm="1">
        <f t="array" ref="P422">TRUNC($I422*(1+_xlfn.SWITCH($N422,"BDI 1",$P$6,"BDI 2",$P$7,"BDI 3",$P$8)),2)</f>
        <v>96.39</v>
      </c>
      <c r="Q422" s="157">
        <v>0</v>
      </c>
      <c r="R422" s="157">
        <f t="shared" ref="R422" si="1136">$Q422-($Q422*LICITACAO_DESCONTO)</f>
        <v>0</v>
      </c>
      <c r="S422" s="156">
        <f t="shared" si="1010"/>
        <v>0</v>
      </c>
      <c r="T422" s="156">
        <f t="shared" si="1011"/>
        <v>0</v>
      </c>
      <c r="U422" s="156">
        <f t="shared" si="1012"/>
        <v>0</v>
      </c>
      <c r="V422" s="156">
        <f t="shared" si="1013"/>
        <v>0</v>
      </c>
      <c r="W422" s="156">
        <f t="shared" si="1014"/>
        <v>0</v>
      </c>
      <c r="X422" s="158">
        <f t="shared" ref="X422" si="1137">$S422/ORCAMENTO_VALOR_TOTAL_ND</f>
        <v>0</v>
      </c>
      <c r="Y422" s="158">
        <f t="shared" ref="Y422" si="1138">$T422/ORCAMENTO_VALOR_TOTAL_DE</f>
        <v>0</v>
      </c>
      <c r="Z422" s="158" cm="1">
        <f t="array" ref="Z422">_xlfn.SWITCH($N422,"BDI 1",$O$6,"BDI 2",$O$7,"BDI 3",$O$8)</f>
        <v>0.20699999999999999</v>
      </c>
      <c r="AA422" s="158" cm="1">
        <f t="array" ref="AA422">_xlfn.SWITCH($N422,"BDI 1",$P$6,"BDI 2",$P$7,"BDI 3",$P$8)</f>
        <v>0.26739999999999997</v>
      </c>
      <c r="AB422" s="158">
        <f t="shared" ca="1" si="1017"/>
        <v>0</v>
      </c>
      <c r="AC422" s="158">
        <f t="shared" ca="1" si="1018"/>
        <v>0</v>
      </c>
      <c r="AD422" s="164"/>
      <c r="AE422" s="148">
        <f t="shared" si="1116"/>
        <v>0</v>
      </c>
      <c r="AF422" s="149"/>
      <c r="AG422" s="150"/>
      <c r="AH422" s="159" t="e">
        <f t="shared" si="1019"/>
        <v>#DIV/0!</v>
      </c>
      <c r="AI422" s="160"/>
      <c r="AK422" s="105"/>
      <c r="AL422" s="105"/>
      <c r="AM422" s="105"/>
      <c r="AN422" s="105"/>
      <c r="AO422" s="105"/>
      <c r="AP422" s="105"/>
      <c r="AQ422" s="105"/>
      <c r="AR422" s="105"/>
    </row>
    <row r="423" spans="1:44" s="49" customFormat="1" ht="40.15" hidden="1" customHeight="1">
      <c r="A423" s="152">
        <f t="shared" ca="1" si="1117"/>
        <v>0</v>
      </c>
      <c r="B423" s="153"/>
      <c r="C423" s="154"/>
      <c r="D423" s="154"/>
      <c r="E423" s="161" t="s">
        <v>225</v>
      </c>
      <c r="F423" s="154"/>
      <c r="G423" s="154"/>
      <c r="H423" s="152"/>
      <c r="I423" s="152"/>
      <c r="J423" s="154"/>
      <c r="K423" s="154"/>
      <c r="L423" s="154"/>
      <c r="M423" s="154"/>
      <c r="N423" s="154"/>
      <c r="O423" s="154"/>
      <c r="P423" s="154"/>
      <c r="Q423" s="154"/>
      <c r="R423" s="154"/>
      <c r="S423" s="162"/>
      <c r="T423" s="162"/>
      <c r="U423" s="162"/>
      <c r="V423" s="162"/>
      <c r="W423" s="162"/>
      <c r="X423" s="163"/>
      <c r="Y423" s="163"/>
      <c r="Z423" s="163"/>
      <c r="AA423" s="163"/>
      <c r="AB423" s="163"/>
      <c r="AC423" s="163"/>
      <c r="AD423" s="164"/>
      <c r="AE423" s="148">
        <f t="shared" si="1116"/>
        <v>0</v>
      </c>
      <c r="AF423" s="149"/>
      <c r="AG423" s="150"/>
      <c r="AH423" s="159"/>
      <c r="AI423" s="160"/>
      <c r="AK423" s="105"/>
      <c r="AL423" s="105"/>
      <c r="AM423" s="105"/>
      <c r="AN423" s="105"/>
      <c r="AO423" s="105"/>
      <c r="AP423" s="105"/>
      <c r="AQ423" s="105"/>
      <c r="AR423" s="105"/>
    </row>
    <row r="424" spans="1:44" s="49" customFormat="1" ht="49.9" hidden="1" customHeight="1">
      <c r="A424" s="152">
        <f t="shared" ca="1" si="1117"/>
        <v>0</v>
      </c>
      <c r="B424" s="153" t="s">
        <v>226</v>
      </c>
      <c r="C424" s="154" t="str">
        <f t="shared" ref="C424:C436" si="1139">TEXT(B424,"0")</f>
        <v>SC/0115</v>
      </c>
      <c r="D424" s="154" t="s">
        <v>3549</v>
      </c>
      <c r="E424" s="155" t="s">
        <v>3844</v>
      </c>
      <c r="F424" s="154"/>
      <c r="G424" s="154" t="s">
        <v>58</v>
      </c>
      <c r="H424" s="152">
        <v>233.38</v>
      </c>
      <c r="I424" s="152">
        <v>223.03</v>
      </c>
      <c r="J424" s="156"/>
      <c r="K424" s="156">
        <f>Bacia_Amortecimento!J83</f>
        <v>0</v>
      </c>
      <c r="L424" s="156">
        <f t="shared" ref="L424:L436" si="1140">IF($K424&gt;$J424,$K424-$J424,0)</f>
        <v>0</v>
      </c>
      <c r="M424" s="156">
        <f t="shared" ref="M424:M436" si="1141">IF($K424&lt;$J424,$J424-$K424,0)</f>
        <v>0</v>
      </c>
      <c r="N424" s="156" t="s">
        <v>83</v>
      </c>
      <c r="O424" s="157" cm="1">
        <f t="array" ref="O424">TRUNC($H424*(1+_xlfn.SWITCH($N424,"BDI 1",$O$6,"BDI 2",$O$7,"BDI 3",$O$8)),2)</f>
        <v>281.68</v>
      </c>
      <c r="P424" s="157" cm="1">
        <f t="array" ref="P424">TRUNC($I424*(1+_xlfn.SWITCH($N424,"BDI 1",$P$6,"BDI 2",$P$7,"BDI 3",$P$8)),2)</f>
        <v>282.66000000000003</v>
      </c>
      <c r="Q424" s="157">
        <v>0</v>
      </c>
      <c r="R424" s="157">
        <f t="shared" ref="R424" si="1142">$Q424-($Q424*LICITACAO_DESCONTO)</f>
        <v>0</v>
      </c>
      <c r="S424" s="156">
        <f t="shared" ref="S424:S436" si="1143">TRUNC($K424*$O424,2)</f>
        <v>0</v>
      </c>
      <c r="T424" s="156">
        <f t="shared" ref="T424:T436" si="1144">TRUNC($K424*$P424,2)</f>
        <v>0</v>
      </c>
      <c r="U424" s="156">
        <f t="shared" ref="U424:U436" si="1145">TRUNC($J424*$R424,2)</f>
        <v>0</v>
      </c>
      <c r="V424" s="156">
        <f t="shared" ref="V424:V436" si="1146">TRUNC($K424*$Q424,2)</f>
        <v>0</v>
      </c>
      <c r="W424" s="156">
        <f t="shared" ref="W424:W436" si="1147">TRUNC(V424-U424,2)</f>
        <v>0</v>
      </c>
      <c r="X424" s="158">
        <f t="shared" ref="X424" si="1148">$S424/ORCAMENTO_VALOR_TOTAL_ND</f>
        <v>0</v>
      </c>
      <c r="Y424" s="158">
        <f t="shared" ref="Y424" si="1149">$T424/ORCAMENTO_VALOR_TOTAL_DE</f>
        <v>0</v>
      </c>
      <c r="Z424" s="158" cm="1">
        <f t="array" ref="Z424">_xlfn.SWITCH($N424,"BDI 1",$O$6,"BDI 2",$O$7,"BDI 3",$O$8)</f>
        <v>0.20699999999999999</v>
      </c>
      <c r="AA424" s="158" cm="1">
        <f t="array" ref="AA424">_xlfn.SWITCH($N424,"BDI 1",$P$6,"BDI 2",$P$7,"BDI 3",$P$8)</f>
        <v>0.26739999999999997</v>
      </c>
      <c r="AB424" s="158">
        <f t="shared" ref="AB424:AB436" ca="1" si="1150">IFERROR($S424/_xlfn.XLOOKUP($AE424,$B$16:$B$38,$S$16:$S$38),0)</f>
        <v>0</v>
      </c>
      <c r="AC424" s="158">
        <f t="shared" ref="AC424:AC436" ca="1" si="1151">IFERROR($T424/_xlfn.XLOOKUP($AE424,$B$16:$B$38,$T$16:$T$38),0)</f>
        <v>0</v>
      </c>
      <c r="AD424" s="164"/>
      <c r="AE424" s="148">
        <f t="shared" si="1116"/>
        <v>0</v>
      </c>
      <c r="AF424" s="149"/>
      <c r="AG424" s="150"/>
      <c r="AH424" s="159" t="e">
        <f t="shared" ref="AH424:AH436" si="1152">S424/$S$351</f>
        <v>#DIV/0!</v>
      </c>
      <c r="AI424" s="154"/>
      <c r="AJ424" s="105"/>
      <c r="AK424" s="105"/>
      <c r="AM424" s="105"/>
      <c r="AN424" s="105"/>
      <c r="AO424" s="105"/>
      <c r="AP424" s="105"/>
      <c r="AQ424" s="105"/>
      <c r="AR424" s="105"/>
    </row>
    <row r="425" spans="1:44" s="49" customFormat="1" ht="40.15" hidden="1" customHeight="1">
      <c r="A425" s="152">
        <f t="shared" ca="1" si="1117"/>
        <v>0</v>
      </c>
      <c r="B425" s="153">
        <v>101199</v>
      </c>
      <c r="C425" s="154" t="str">
        <f t="shared" si="1139"/>
        <v>101199</v>
      </c>
      <c r="D425" s="154" t="s">
        <v>1416</v>
      </c>
      <c r="E425" s="155" t="s">
        <v>3845</v>
      </c>
      <c r="F425" s="154"/>
      <c r="G425" s="154" t="s">
        <v>58</v>
      </c>
      <c r="H425" s="152">
        <v>84.2</v>
      </c>
      <c r="I425" s="152">
        <v>80.22</v>
      </c>
      <c r="J425" s="156"/>
      <c r="K425" s="156">
        <f>Bacia_Amortecimento!J84</f>
        <v>0</v>
      </c>
      <c r="L425" s="156">
        <f t="shared" si="1140"/>
        <v>0</v>
      </c>
      <c r="M425" s="156">
        <f t="shared" si="1141"/>
        <v>0</v>
      </c>
      <c r="N425" s="156" t="s">
        <v>83</v>
      </c>
      <c r="O425" s="157" cm="1">
        <f t="array" ref="O425">TRUNC($H425*(1+_xlfn.SWITCH($N425,"BDI 1",$O$6,"BDI 2",$O$7,"BDI 3",$O$8)),2)</f>
        <v>101.62</v>
      </c>
      <c r="P425" s="157" cm="1">
        <f t="array" ref="P425">TRUNC($I425*(1+_xlfn.SWITCH($N425,"BDI 1",$P$6,"BDI 2",$P$7,"BDI 3",$P$8)),2)</f>
        <v>101.67</v>
      </c>
      <c r="Q425" s="157">
        <v>0</v>
      </c>
      <c r="R425" s="157">
        <f t="shared" ref="R425" si="1153">$Q425-($Q425*LICITACAO_DESCONTO)</f>
        <v>0</v>
      </c>
      <c r="S425" s="156">
        <f t="shared" si="1143"/>
        <v>0</v>
      </c>
      <c r="T425" s="156">
        <f t="shared" si="1144"/>
        <v>0</v>
      </c>
      <c r="U425" s="156">
        <f t="shared" si="1145"/>
        <v>0</v>
      </c>
      <c r="V425" s="156">
        <f t="shared" si="1146"/>
        <v>0</v>
      </c>
      <c r="W425" s="156">
        <f t="shared" si="1147"/>
        <v>0</v>
      </c>
      <c r="X425" s="158">
        <f t="shared" ref="X425" si="1154">$S425/ORCAMENTO_VALOR_TOTAL_ND</f>
        <v>0</v>
      </c>
      <c r="Y425" s="158">
        <f t="shared" ref="Y425" si="1155">$T425/ORCAMENTO_VALOR_TOTAL_DE</f>
        <v>0</v>
      </c>
      <c r="Z425" s="158" cm="1">
        <f t="array" ref="Z425">_xlfn.SWITCH($N425,"BDI 1",$O$6,"BDI 2",$O$7,"BDI 3",$O$8)</f>
        <v>0.20699999999999999</v>
      </c>
      <c r="AA425" s="158" cm="1">
        <f t="array" ref="AA425">_xlfn.SWITCH($N425,"BDI 1",$P$6,"BDI 2",$P$7,"BDI 3",$P$8)</f>
        <v>0.26739999999999997</v>
      </c>
      <c r="AB425" s="158">
        <f t="shared" ca="1" si="1150"/>
        <v>0</v>
      </c>
      <c r="AC425" s="158">
        <f t="shared" ca="1" si="1151"/>
        <v>0</v>
      </c>
      <c r="AD425" s="164"/>
      <c r="AE425" s="148">
        <f t="shared" si="1116"/>
        <v>0</v>
      </c>
      <c r="AF425" s="149"/>
      <c r="AG425" s="150"/>
      <c r="AH425" s="159" t="e">
        <f t="shared" si="1152"/>
        <v>#DIV/0!</v>
      </c>
      <c r="AI425" s="154"/>
      <c r="AJ425" s="105"/>
      <c r="AK425" s="105"/>
      <c r="AM425" s="105"/>
      <c r="AN425" s="105"/>
      <c r="AO425" s="105"/>
      <c r="AP425" s="105"/>
      <c r="AQ425" s="105"/>
      <c r="AR425" s="105"/>
    </row>
    <row r="426" spans="1:44" s="49" customFormat="1" ht="40.15" hidden="1" customHeight="1">
      <c r="A426" s="152">
        <f t="shared" ca="1" si="1117"/>
        <v>0</v>
      </c>
      <c r="B426" s="153" t="s">
        <v>94</v>
      </c>
      <c r="C426" s="154" t="str">
        <f t="shared" si="1139"/>
        <v>SC/0120</v>
      </c>
      <c r="D426" s="154" t="s">
        <v>3549</v>
      </c>
      <c r="E426" s="155" t="s">
        <v>3543</v>
      </c>
      <c r="F426" s="154"/>
      <c r="G426" s="154" t="s">
        <v>1418</v>
      </c>
      <c r="H426" s="152">
        <v>989.46</v>
      </c>
      <c r="I426" s="152">
        <v>939.81</v>
      </c>
      <c r="J426" s="156"/>
      <c r="K426" s="156">
        <f>Bacia_Amortecimento!J85</f>
        <v>0</v>
      </c>
      <c r="L426" s="156">
        <f t="shared" si="1140"/>
        <v>0</v>
      </c>
      <c r="M426" s="156">
        <f t="shared" si="1141"/>
        <v>0</v>
      </c>
      <c r="N426" s="156" t="s">
        <v>83</v>
      </c>
      <c r="O426" s="157" cm="1">
        <f t="array" ref="O426">TRUNC($H426*(1+_xlfn.SWITCH($N426,"BDI 1",$O$6,"BDI 2",$O$7,"BDI 3",$O$8)),2)</f>
        <v>1194.27</v>
      </c>
      <c r="P426" s="157" cm="1">
        <f t="array" ref="P426">TRUNC($I426*(1+_xlfn.SWITCH($N426,"BDI 1",$P$6,"BDI 2",$P$7,"BDI 3",$P$8)),2)</f>
        <v>1191.1099999999999</v>
      </c>
      <c r="Q426" s="157">
        <v>0</v>
      </c>
      <c r="R426" s="157">
        <f t="shared" ref="R426" si="1156">$Q426-($Q426*LICITACAO_DESCONTO)</f>
        <v>0</v>
      </c>
      <c r="S426" s="156">
        <f t="shared" si="1143"/>
        <v>0</v>
      </c>
      <c r="T426" s="156">
        <f t="shared" si="1144"/>
        <v>0</v>
      </c>
      <c r="U426" s="156">
        <f t="shared" si="1145"/>
        <v>0</v>
      </c>
      <c r="V426" s="156">
        <f t="shared" si="1146"/>
        <v>0</v>
      </c>
      <c r="W426" s="156">
        <f t="shared" si="1147"/>
        <v>0</v>
      </c>
      <c r="X426" s="158">
        <f t="shared" ref="X426" si="1157">$S426/ORCAMENTO_VALOR_TOTAL_ND</f>
        <v>0</v>
      </c>
      <c r="Y426" s="158">
        <f t="shared" ref="Y426" si="1158">$T426/ORCAMENTO_VALOR_TOTAL_DE</f>
        <v>0</v>
      </c>
      <c r="Z426" s="158" cm="1">
        <f t="array" ref="Z426">_xlfn.SWITCH($N426,"BDI 1",$O$6,"BDI 2",$O$7,"BDI 3",$O$8)</f>
        <v>0.20699999999999999</v>
      </c>
      <c r="AA426" s="158" cm="1">
        <f t="array" ref="AA426">_xlfn.SWITCH($N426,"BDI 1",$P$6,"BDI 2",$P$7,"BDI 3",$P$8)</f>
        <v>0.26739999999999997</v>
      </c>
      <c r="AB426" s="158">
        <f t="shared" ca="1" si="1150"/>
        <v>0</v>
      </c>
      <c r="AC426" s="158">
        <f t="shared" ca="1" si="1151"/>
        <v>0</v>
      </c>
      <c r="AD426" s="164"/>
      <c r="AE426" s="148">
        <f t="shared" si="1116"/>
        <v>0</v>
      </c>
      <c r="AF426" s="149"/>
      <c r="AG426" s="150"/>
      <c r="AH426" s="159" t="e">
        <f t="shared" si="1152"/>
        <v>#DIV/0!</v>
      </c>
      <c r="AI426" s="154"/>
      <c r="AJ426" s="105"/>
      <c r="AK426" s="105"/>
      <c r="AM426" s="105"/>
      <c r="AN426" s="105"/>
      <c r="AO426" s="105"/>
      <c r="AP426" s="105"/>
      <c r="AQ426" s="105"/>
      <c r="AR426" s="105"/>
    </row>
    <row r="427" spans="1:44" s="49" customFormat="1" ht="40.15" hidden="1" customHeight="1">
      <c r="A427" s="152">
        <f t="shared" ca="1" si="1117"/>
        <v>0</v>
      </c>
      <c r="B427" s="153">
        <v>98504</v>
      </c>
      <c r="C427" s="154" t="str">
        <f t="shared" si="1139"/>
        <v>98504</v>
      </c>
      <c r="D427" s="154" t="s">
        <v>1416</v>
      </c>
      <c r="E427" s="155" t="s">
        <v>3846</v>
      </c>
      <c r="F427" s="154"/>
      <c r="G427" s="154" t="s">
        <v>1418</v>
      </c>
      <c r="H427" s="152">
        <v>10.48</v>
      </c>
      <c r="I427" s="152">
        <v>9.93</v>
      </c>
      <c r="J427" s="156"/>
      <c r="K427" s="156">
        <f>+Bacia_Amortecimento!J86</f>
        <v>0</v>
      </c>
      <c r="L427" s="156">
        <f t="shared" si="1140"/>
        <v>0</v>
      </c>
      <c r="M427" s="156">
        <f t="shared" si="1141"/>
        <v>0</v>
      </c>
      <c r="N427" s="156" t="s">
        <v>83</v>
      </c>
      <c r="O427" s="157" cm="1">
        <f t="array" ref="O427">TRUNC($H427*(1+_xlfn.SWITCH($N427,"BDI 1",$O$6,"BDI 2",$O$7,"BDI 3",$O$8)),2)</f>
        <v>12.64</v>
      </c>
      <c r="P427" s="157" cm="1">
        <f t="array" ref="P427">TRUNC($I427*(1+_xlfn.SWITCH($N427,"BDI 1",$P$6,"BDI 2",$P$7,"BDI 3",$P$8)),2)</f>
        <v>12.58</v>
      </c>
      <c r="Q427" s="157">
        <v>0</v>
      </c>
      <c r="R427" s="157">
        <f t="shared" ref="R427" si="1159">$Q427-($Q427*LICITACAO_DESCONTO)</f>
        <v>0</v>
      </c>
      <c r="S427" s="156">
        <f t="shared" si="1143"/>
        <v>0</v>
      </c>
      <c r="T427" s="156">
        <f t="shared" si="1144"/>
        <v>0</v>
      </c>
      <c r="U427" s="156">
        <f t="shared" si="1145"/>
        <v>0</v>
      </c>
      <c r="V427" s="156">
        <f t="shared" si="1146"/>
        <v>0</v>
      </c>
      <c r="W427" s="156">
        <f t="shared" si="1147"/>
        <v>0</v>
      </c>
      <c r="X427" s="158">
        <f t="shared" ref="X427" si="1160">$S427/ORCAMENTO_VALOR_TOTAL_ND</f>
        <v>0</v>
      </c>
      <c r="Y427" s="158">
        <f t="shared" ref="Y427" si="1161">$T427/ORCAMENTO_VALOR_TOTAL_DE</f>
        <v>0</v>
      </c>
      <c r="Z427" s="158" cm="1">
        <f t="array" ref="Z427">_xlfn.SWITCH($N427,"BDI 1",$O$6,"BDI 2",$O$7,"BDI 3",$O$8)</f>
        <v>0.20699999999999999</v>
      </c>
      <c r="AA427" s="158" cm="1">
        <f t="array" ref="AA427">_xlfn.SWITCH($N427,"BDI 1",$P$6,"BDI 2",$P$7,"BDI 3",$P$8)</f>
        <v>0.26739999999999997</v>
      </c>
      <c r="AB427" s="158">
        <f t="shared" ca="1" si="1150"/>
        <v>0</v>
      </c>
      <c r="AC427" s="158">
        <f t="shared" ca="1" si="1151"/>
        <v>0</v>
      </c>
      <c r="AD427" s="164"/>
      <c r="AE427" s="148">
        <f t="shared" si="1116"/>
        <v>0</v>
      </c>
      <c r="AF427" s="149"/>
      <c r="AG427" s="150"/>
      <c r="AH427" s="159" t="e">
        <f t="shared" si="1152"/>
        <v>#DIV/0!</v>
      </c>
      <c r="AI427" s="165" t="s">
        <v>227</v>
      </c>
      <c r="AJ427" s="105"/>
      <c r="AK427" s="105"/>
      <c r="AM427" s="105"/>
      <c r="AN427" s="105"/>
      <c r="AO427" s="105"/>
      <c r="AP427" s="105"/>
      <c r="AQ427" s="105"/>
      <c r="AR427" s="105"/>
    </row>
    <row r="428" spans="1:44" s="49" customFormat="1" ht="40.15" hidden="1" customHeight="1">
      <c r="A428" s="152">
        <f t="shared" ca="1" si="1117"/>
        <v>0</v>
      </c>
      <c r="B428" s="153" t="s">
        <v>228</v>
      </c>
      <c r="C428" s="154" t="str">
        <f t="shared" si="1139"/>
        <v>SC/0250</v>
      </c>
      <c r="D428" s="154" t="s">
        <v>3549</v>
      </c>
      <c r="E428" s="155" t="s">
        <v>3847</v>
      </c>
      <c r="F428" s="154"/>
      <c r="G428" s="154" t="s">
        <v>1418</v>
      </c>
      <c r="H428" s="152">
        <v>6.57</v>
      </c>
      <c r="I428" s="152">
        <v>6.52</v>
      </c>
      <c r="J428" s="156"/>
      <c r="K428" s="156">
        <f>+Bacia_Amortecimento!J87</f>
        <v>0</v>
      </c>
      <c r="L428" s="156">
        <f t="shared" si="1140"/>
        <v>0</v>
      </c>
      <c r="M428" s="156">
        <f t="shared" si="1141"/>
        <v>0</v>
      </c>
      <c r="N428" s="156" t="s">
        <v>83</v>
      </c>
      <c r="O428" s="157" cm="1">
        <f t="array" ref="O428">TRUNC($H428*(1+_xlfn.SWITCH($N428,"BDI 1",$O$6,"BDI 2",$O$7,"BDI 3",$O$8)),2)</f>
        <v>7.92</v>
      </c>
      <c r="P428" s="157" cm="1">
        <f t="array" ref="P428">TRUNC($I428*(1+_xlfn.SWITCH($N428,"BDI 1",$P$6,"BDI 2",$P$7,"BDI 3",$P$8)),2)</f>
        <v>8.26</v>
      </c>
      <c r="Q428" s="157">
        <v>0</v>
      </c>
      <c r="R428" s="157">
        <f t="shared" ref="R428" si="1162">$Q428-($Q428*LICITACAO_DESCONTO)</f>
        <v>0</v>
      </c>
      <c r="S428" s="156">
        <f t="shared" si="1143"/>
        <v>0</v>
      </c>
      <c r="T428" s="156">
        <f t="shared" si="1144"/>
        <v>0</v>
      </c>
      <c r="U428" s="156">
        <f t="shared" si="1145"/>
        <v>0</v>
      </c>
      <c r="V428" s="156">
        <f t="shared" si="1146"/>
        <v>0</v>
      </c>
      <c r="W428" s="156">
        <f t="shared" si="1147"/>
        <v>0</v>
      </c>
      <c r="X428" s="158">
        <f t="shared" ref="X428" si="1163">$S428/ORCAMENTO_VALOR_TOTAL_ND</f>
        <v>0</v>
      </c>
      <c r="Y428" s="158">
        <f t="shared" ref="Y428" si="1164">$T428/ORCAMENTO_VALOR_TOTAL_DE</f>
        <v>0</v>
      </c>
      <c r="Z428" s="158" cm="1">
        <f t="array" ref="Z428">_xlfn.SWITCH($N428,"BDI 1",$O$6,"BDI 2",$O$7,"BDI 3",$O$8)</f>
        <v>0.20699999999999999</v>
      </c>
      <c r="AA428" s="158" cm="1">
        <f t="array" ref="AA428">_xlfn.SWITCH($N428,"BDI 1",$P$6,"BDI 2",$P$7,"BDI 3",$P$8)</f>
        <v>0.26739999999999997</v>
      </c>
      <c r="AB428" s="158">
        <f t="shared" ca="1" si="1150"/>
        <v>0</v>
      </c>
      <c r="AC428" s="158">
        <f t="shared" ca="1" si="1151"/>
        <v>0</v>
      </c>
      <c r="AD428" s="164"/>
      <c r="AE428" s="148">
        <f t="shared" si="1116"/>
        <v>0</v>
      </c>
      <c r="AF428" s="149"/>
      <c r="AG428" s="150"/>
      <c r="AH428" s="159" t="e">
        <f t="shared" si="1152"/>
        <v>#DIV/0!</v>
      </c>
      <c r="AI428" s="154"/>
      <c r="AJ428" s="105"/>
      <c r="AK428" s="105"/>
      <c r="AM428" s="105"/>
      <c r="AN428" s="105"/>
      <c r="AO428" s="105"/>
      <c r="AP428" s="105"/>
      <c r="AQ428" s="105"/>
      <c r="AR428" s="105"/>
    </row>
    <row r="429" spans="1:44" s="49" customFormat="1" ht="40.15" hidden="1" customHeight="1">
      <c r="A429" s="152">
        <f t="shared" ca="1" si="1117"/>
        <v>0</v>
      </c>
      <c r="B429" s="153">
        <v>98510</v>
      </c>
      <c r="C429" s="154" t="str">
        <f t="shared" si="1139"/>
        <v>98510</v>
      </c>
      <c r="D429" s="154" t="s">
        <v>1416</v>
      </c>
      <c r="E429" s="155" t="s">
        <v>1429</v>
      </c>
      <c r="F429" s="154"/>
      <c r="G429" s="154" t="s">
        <v>1412</v>
      </c>
      <c r="H429" s="152">
        <v>68.48</v>
      </c>
      <c r="I429" s="152">
        <v>66.75</v>
      </c>
      <c r="J429" s="156"/>
      <c r="K429" s="156">
        <f>Bacia_Amortecimento!J88</f>
        <v>0</v>
      </c>
      <c r="L429" s="156">
        <f t="shared" si="1140"/>
        <v>0</v>
      </c>
      <c r="M429" s="156">
        <f t="shared" si="1141"/>
        <v>0</v>
      </c>
      <c r="N429" s="156" t="s">
        <v>83</v>
      </c>
      <c r="O429" s="157" cm="1">
        <f t="array" ref="O429">TRUNC($H429*(1+_xlfn.SWITCH($N429,"BDI 1",$O$6,"BDI 2",$O$7,"BDI 3",$O$8)),2)</f>
        <v>82.65</v>
      </c>
      <c r="P429" s="157" cm="1">
        <f t="array" ref="P429">TRUNC($I429*(1+_xlfn.SWITCH($N429,"BDI 1",$P$6,"BDI 2",$P$7,"BDI 3",$P$8)),2)</f>
        <v>84.59</v>
      </c>
      <c r="Q429" s="157">
        <v>0</v>
      </c>
      <c r="R429" s="157">
        <f t="shared" ref="R429" si="1165">$Q429-($Q429*LICITACAO_DESCONTO)</f>
        <v>0</v>
      </c>
      <c r="S429" s="156">
        <f t="shared" si="1143"/>
        <v>0</v>
      </c>
      <c r="T429" s="156">
        <f t="shared" si="1144"/>
        <v>0</v>
      </c>
      <c r="U429" s="156">
        <f t="shared" si="1145"/>
        <v>0</v>
      </c>
      <c r="V429" s="156">
        <f t="shared" si="1146"/>
        <v>0</v>
      </c>
      <c r="W429" s="156">
        <f t="shared" si="1147"/>
        <v>0</v>
      </c>
      <c r="X429" s="158">
        <f t="shared" ref="X429" si="1166">$S429/ORCAMENTO_VALOR_TOTAL_ND</f>
        <v>0</v>
      </c>
      <c r="Y429" s="158">
        <f t="shared" ref="Y429" si="1167">$T429/ORCAMENTO_VALOR_TOTAL_DE</f>
        <v>0</v>
      </c>
      <c r="Z429" s="158" cm="1">
        <f t="array" ref="Z429">_xlfn.SWITCH($N429,"BDI 1",$O$6,"BDI 2",$O$7,"BDI 3",$O$8)</f>
        <v>0.20699999999999999</v>
      </c>
      <c r="AA429" s="158" cm="1">
        <f t="array" ref="AA429">_xlfn.SWITCH($N429,"BDI 1",$P$6,"BDI 2",$P$7,"BDI 3",$P$8)</f>
        <v>0.26739999999999997</v>
      </c>
      <c r="AB429" s="158">
        <f t="shared" ca="1" si="1150"/>
        <v>0</v>
      </c>
      <c r="AC429" s="158">
        <f t="shared" ca="1" si="1151"/>
        <v>0</v>
      </c>
      <c r="AD429" s="164"/>
      <c r="AE429" s="148">
        <f t="shared" si="1116"/>
        <v>0</v>
      </c>
      <c r="AF429" s="149"/>
      <c r="AG429" s="150"/>
      <c r="AH429" s="159" t="e">
        <f t="shared" si="1152"/>
        <v>#DIV/0!</v>
      </c>
      <c r="AI429" s="165" t="s">
        <v>229</v>
      </c>
      <c r="AJ429" s="105"/>
      <c r="AK429" s="105"/>
      <c r="AM429" s="105"/>
      <c r="AN429" s="105"/>
      <c r="AO429" s="105"/>
      <c r="AP429" s="105"/>
      <c r="AQ429" s="105"/>
      <c r="AR429" s="105"/>
    </row>
    <row r="430" spans="1:44" s="49" customFormat="1" ht="40.15" hidden="1" customHeight="1">
      <c r="A430" s="152">
        <f t="shared" ca="1" si="1117"/>
        <v>0</v>
      </c>
      <c r="B430" s="153">
        <v>98516</v>
      </c>
      <c r="C430" s="154" t="str">
        <f t="shared" si="1139"/>
        <v>98516</v>
      </c>
      <c r="D430" s="154" t="s">
        <v>1416</v>
      </c>
      <c r="E430" s="155" t="s">
        <v>3848</v>
      </c>
      <c r="F430" s="154"/>
      <c r="G430" s="154" t="s">
        <v>1412</v>
      </c>
      <c r="H430" s="152">
        <v>352.12</v>
      </c>
      <c r="I430" s="152">
        <v>337.78</v>
      </c>
      <c r="J430" s="156"/>
      <c r="K430" s="156">
        <f>Bacia_Amortecimento!J89</f>
        <v>0</v>
      </c>
      <c r="L430" s="156">
        <f t="shared" si="1140"/>
        <v>0</v>
      </c>
      <c r="M430" s="156">
        <f t="shared" si="1141"/>
        <v>0</v>
      </c>
      <c r="N430" s="156" t="s">
        <v>83</v>
      </c>
      <c r="O430" s="157" cm="1">
        <f t="array" ref="O430">TRUNC($H430*(1+_xlfn.SWITCH($N430,"BDI 1",$O$6,"BDI 2",$O$7,"BDI 3",$O$8)),2)</f>
        <v>425</v>
      </c>
      <c r="P430" s="157" cm="1">
        <f t="array" ref="P430">TRUNC($I430*(1+_xlfn.SWITCH($N430,"BDI 1",$P$6,"BDI 2",$P$7,"BDI 3",$P$8)),2)</f>
        <v>428.1</v>
      </c>
      <c r="Q430" s="157">
        <v>0</v>
      </c>
      <c r="R430" s="157">
        <f t="shared" ref="R430" si="1168">$Q430-($Q430*LICITACAO_DESCONTO)</f>
        <v>0</v>
      </c>
      <c r="S430" s="156">
        <f t="shared" si="1143"/>
        <v>0</v>
      </c>
      <c r="T430" s="156">
        <f t="shared" si="1144"/>
        <v>0</v>
      </c>
      <c r="U430" s="156">
        <f t="shared" si="1145"/>
        <v>0</v>
      </c>
      <c r="V430" s="156">
        <f t="shared" si="1146"/>
        <v>0</v>
      </c>
      <c r="W430" s="156">
        <f t="shared" si="1147"/>
        <v>0</v>
      </c>
      <c r="X430" s="158">
        <f t="shared" ref="X430" si="1169">$S430/ORCAMENTO_VALOR_TOTAL_ND</f>
        <v>0</v>
      </c>
      <c r="Y430" s="158">
        <f t="shared" ref="Y430" si="1170">$T430/ORCAMENTO_VALOR_TOTAL_DE</f>
        <v>0</v>
      </c>
      <c r="Z430" s="158" cm="1">
        <f t="array" ref="Z430">_xlfn.SWITCH($N430,"BDI 1",$O$6,"BDI 2",$O$7,"BDI 3",$O$8)</f>
        <v>0.20699999999999999</v>
      </c>
      <c r="AA430" s="158" cm="1">
        <f t="array" ref="AA430">_xlfn.SWITCH($N430,"BDI 1",$P$6,"BDI 2",$P$7,"BDI 3",$P$8)</f>
        <v>0.26739999999999997</v>
      </c>
      <c r="AB430" s="158">
        <f t="shared" ca="1" si="1150"/>
        <v>0</v>
      </c>
      <c r="AC430" s="158">
        <f t="shared" ca="1" si="1151"/>
        <v>0</v>
      </c>
      <c r="AD430" s="164"/>
      <c r="AE430" s="148">
        <f t="shared" si="1116"/>
        <v>0</v>
      </c>
      <c r="AF430" s="149"/>
      <c r="AG430" s="150"/>
      <c r="AH430" s="159" t="e">
        <f t="shared" si="1152"/>
        <v>#DIV/0!</v>
      </c>
      <c r="AI430" s="160"/>
      <c r="AJ430" s="105"/>
      <c r="AK430" s="105"/>
      <c r="AM430" s="105"/>
      <c r="AN430" s="105"/>
      <c r="AO430" s="105"/>
      <c r="AP430" s="105"/>
      <c r="AQ430" s="105"/>
      <c r="AR430" s="105"/>
    </row>
    <row r="431" spans="1:44" s="49" customFormat="1" ht="49.9" hidden="1" customHeight="1">
      <c r="A431" s="152">
        <f t="shared" ca="1" si="1117"/>
        <v>0</v>
      </c>
      <c r="B431" s="153" t="s">
        <v>230</v>
      </c>
      <c r="C431" s="154" t="str">
        <f t="shared" si="1139"/>
        <v>SC/0080</v>
      </c>
      <c r="D431" s="154" t="s">
        <v>3549</v>
      </c>
      <c r="E431" s="155" t="s">
        <v>3849</v>
      </c>
      <c r="F431" s="154"/>
      <c r="G431" s="154" t="s">
        <v>58</v>
      </c>
      <c r="H431" s="152">
        <v>59.35</v>
      </c>
      <c r="I431" s="152">
        <v>57.76</v>
      </c>
      <c r="J431" s="156"/>
      <c r="K431" s="156">
        <f>Bacia_Amortecimento!J90</f>
        <v>0</v>
      </c>
      <c r="L431" s="156">
        <f t="shared" si="1140"/>
        <v>0</v>
      </c>
      <c r="M431" s="156">
        <f t="shared" si="1141"/>
        <v>0</v>
      </c>
      <c r="N431" s="156" t="s">
        <v>83</v>
      </c>
      <c r="O431" s="157" cm="1">
        <f t="array" ref="O431">TRUNC($H431*(1+_xlfn.SWITCH($N431,"BDI 1",$O$6,"BDI 2",$O$7,"BDI 3",$O$8)),2)</f>
        <v>71.63</v>
      </c>
      <c r="P431" s="157" cm="1">
        <f t="array" ref="P431">TRUNC($I431*(1+_xlfn.SWITCH($N431,"BDI 1",$P$6,"BDI 2",$P$7,"BDI 3",$P$8)),2)</f>
        <v>73.2</v>
      </c>
      <c r="Q431" s="157">
        <v>0</v>
      </c>
      <c r="R431" s="157">
        <f t="shared" ref="R431" si="1171">$Q431-($Q431*LICITACAO_DESCONTO)</f>
        <v>0</v>
      </c>
      <c r="S431" s="156">
        <f t="shared" si="1143"/>
        <v>0</v>
      </c>
      <c r="T431" s="156">
        <f t="shared" si="1144"/>
        <v>0</v>
      </c>
      <c r="U431" s="156">
        <f t="shared" si="1145"/>
        <v>0</v>
      </c>
      <c r="V431" s="156">
        <f t="shared" si="1146"/>
        <v>0</v>
      </c>
      <c r="W431" s="156">
        <f t="shared" si="1147"/>
        <v>0</v>
      </c>
      <c r="X431" s="158">
        <f t="shared" ref="X431" si="1172">$S431/ORCAMENTO_VALOR_TOTAL_ND</f>
        <v>0</v>
      </c>
      <c r="Y431" s="158">
        <f t="shared" ref="Y431" si="1173">$T431/ORCAMENTO_VALOR_TOTAL_DE</f>
        <v>0</v>
      </c>
      <c r="Z431" s="158" cm="1">
        <f t="array" ref="Z431">_xlfn.SWITCH($N431,"BDI 1",$O$6,"BDI 2",$O$7,"BDI 3",$O$8)</f>
        <v>0.20699999999999999</v>
      </c>
      <c r="AA431" s="158" cm="1">
        <f t="array" ref="AA431">_xlfn.SWITCH($N431,"BDI 1",$P$6,"BDI 2",$P$7,"BDI 3",$P$8)</f>
        <v>0.26739999999999997</v>
      </c>
      <c r="AB431" s="158">
        <f t="shared" ca="1" si="1150"/>
        <v>0</v>
      </c>
      <c r="AC431" s="158">
        <f t="shared" ca="1" si="1151"/>
        <v>0</v>
      </c>
      <c r="AD431" s="164"/>
      <c r="AE431" s="148">
        <f t="shared" si="1116"/>
        <v>0</v>
      </c>
      <c r="AF431" s="149"/>
      <c r="AG431" s="150"/>
      <c r="AH431" s="159" t="e">
        <f t="shared" si="1152"/>
        <v>#DIV/0!</v>
      </c>
      <c r="AI431" s="160"/>
      <c r="AJ431" s="105"/>
      <c r="AK431" s="105"/>
      <c r="AM431" s="105"/>
      <c r="AN431" s="105"/>
      <c r="AO431" s="105"/>
      <c r="AP431" s="105"/>
      <c r="AQ431" s="105"/>
      <c r="AR431" s="105"/>
    </row>
    <row r="432" spans="1:44" s="49" customFormat="1" ht="40.15" hidden="1" customHeight="1">
      <c r="A432" s="152">
        <f t="shared" ca="1" si="1117"/>
        <v>0</v>
      </c>
      <c r="B432" s="153">
        <v>94962</v>
      </c>
      <c r="C432" s="154" t="str">
        <f t="shared" si="1139"/>
        <v>94962</v>
      </c>
      <c r="D432" s="154" t="s">
        <v>1416</v>
      </c>
      <c r="E432" s="155" t="s">
        <v>3791</v>
      </c>
      <c r="F432" s="154"/>
      <c r="G432" s="154" t="s">
        <v>464</v>
      </c>
      <c r="H432" s="152">
        <v>385.31</v>
      </c>
      <c r="I432" s="152">
        <v>383.4</v>
      </c>
      <c r="J432" s="156"/>
      <c r="K432" s="156">
        <f>Bacia_Amortecimento!J91</f>
        <v>0</v>
      </c>
      <c r="L432" s="156">
        <f t="shared" si="1140"/>
        <v>0</v>
      </c>
      <c r="M432" s="156">
        <f t="shared" si="1141"/>
        <v>0</v>
      </c>
      <c r="N432" s="156" t="s">
        <v>83</v>
      </c>
      <c r="O432" s="157" cm="1">
        <f t="array" ref="O432">TRUNC($H432*(1+_xlfn.SWITCH($N432,"BDI 1",$O$6,"BDI 2",$O$7,"BDI 3",$O$8)),2)</f>
        <v>465.06</v>
      </c>
      <c r="P432" s="157" cm="1">
        <f t="array" ref="P432">TRUNC($I432*(1+_xlfn.SWITCH($N432,"BDI 1",$P$6,"BDI 2",$P$7,"BDI 3",$P$8)),2)</f>
        <v>485.92</v>
      </c>
      <c r="Q432" s="157">
        <v>0</v>
      </c>
      <c r="R432" s="157">
        <f t="shared" ref="R432" si="1174">$Q432-($Q432*LICITACAO_DESCONTO)</f>
        <v>0</v>
      </c>
      <c r="S432" s="156">
        <f t="shared" si="1143"/>
        <v>0</v>
      </c>
      <c r="T432" s="156">
        <f t="shared" si="1144"/>
        <v>0</v>
      </c>
      <c r="U432" s="156">
        <f t="shared" si="1145"/>
        <v>0</v>
      </c>
      <c r="V432" s="156">
        <f t="shared" si="1146"/>
        <v>0</v>
      </c>
      <c r="W432" s="156">
        <f t="shared" si="1147"/>
        <v>0</v>
      </c>
      <c r="X432" s="158">
        <f t="shared" ref="X432" si="1175">$S432/ORCAMENTO_VALOR_TOTAL_ND</f>
        <v>0</v>
      </c>
      <c r="Y432" s="158">
        <f t="shared" ref="Y432" si="1176">$T432/ORCAMENTO_VALOR_TOTAL_DE</f>
        <v>0</v>
      </c>
      <c r="Z432" s="158" cm="1">
        <f t="array" ref="Z432">_xlfn.SWITCH($N432,"BDI 1",$O$6,"BDI 2",$O$7,"BDI 3",$O$8)</f>
        <v>0.20699999999999999</v>
      </c>
      <c r="AA432" s="158" cm="1">
        <f t="array" ref="AA432">_xlfn.SWITCH($N432,"BDI 1",$P$6,"BDI 2",$P$7,"BDI 3",$P$8)</f>
        <v>0.26739999999999997</v>
      </c>
      <c r="AB432" s="158">
        <f t="shared" ca="1" si="1150"/>
        <v>0</v>
      </c>
      <c r="AC432" s="158">
        <f t="shared" ca="1" si="1151"/>
        <v>0</v>
      </c>
      <c r="AD432" s="164"/>
      <c r="AE432" s="148">
        <f t="shared" si="1116"/>
        <v>0</v>
      </c>
      <c r="AF432" s="149"/>
      <c r="AG432" s="150"/>
      <c r="AH432" s="159" t="e">
        <f t="shared" si="1152"/>
        <v>#DIV/0!</v>
      </c>
      <c r="AI432" s="160"/>
      <c r="AJ432" s="105"/>
      <c r="AK432" s="105"/>
      <c r="AM432" s="105"/>
      <c r="AN432" s="105"/>
      <c r="AO432" s="105"/>
      <c r="AP432" s="105"/>
      <c r="AQ432" s="105"/>
      <c r="AR432" s="105"/>
    </row>
    <row r="433" spans="1:44" s="49" customFormat="1" ht="40.15" hidden="1" customHeight="1">
      <c r="A433" s="152">
        <f t="shared" ca="1" si="1117"/>
        <v>0</v>
      </c>
      <c r="B433" s="153">
        <v>94991</v>
      </c>
      <c r="C433" s="154" t="str">
        <f t="shared" si="1139"/>
        <v>94991</v>
      </c>
      <c r="D433" s="154" t="s">
        <v>1416</v>
      </c>
      <c r="E433" s="155" t="s">
        <v>3850</v>
      </c>
      <c r="F433" s="154"/>
      <c r="G433" s="154" t="s">
        <v>464</v>
      </c>
      <c r="H433" s="152">
        <v>801</v>
      </c>
      <c r="I433" s="152">
        <v>784.57</v>
      </c>
      <c r="J433" s="156"/>
      <c r="K433" s="156">
        <f>Bacia_Amortecimento!J96</f>
        <v>0</v>
      </c>
      <c r="L433" s="156">
        <f t="shared" si="1140"/>
        <v>0</v>
      </c>
      <c r="M433" s="156">
        <f t="shared" si="1141"/>
        <v>0</v>
      </c>
      <c r="N433" s="156" t="s">
        <v>83</v>
      </c>
      <c r="O433" s="157" cm="1">
        <f t="array" ref="O433">TRUNC($H433*(1+_xlfn.SWITCH($N433,"BDI 1",$O$6,"BDI 2",$O$7,"BDI 3",$O$8)),2)</f>
        <v>966.8</v>
      </c>
      <c r="P433" s="157" cm="1">
        <f t="array" ref="P433">TRUNC($I433*(1+_xlfn.SWITCH($N433,"BDI 1",$P$6,"BDI 2",$P$7,"BDI 3",$P$8)),2)</f>
        <v>994.36</v>
      </c>
      <c r="Q433" s="157">
        <v>0</v>
      </c>
      <c r="R433" s="157">
        <f t="shared" ref="R433" si="1177">$Q433-($Q433*LICITACAO_DESCONTO)</f>
        <v>0</v>
      </c>
      <c r="S433" s="156">
        <f t="shared" si="1143"/>
        <v>0</v>
      </c>
      <c r="T433" s="156">
        <f t="shared" si="1144"/>
        <v>0</v>
      </c>
      <c r="U433" s="156">
        <f t="shared" si="1145"/>
        <v>0</v>
      </c>
      <c r="V433" s="156">
        <f t="shared" si="1146"/>
        <v>0</v>
      </c>
      <c r="W433" s="156">
        <f t="shared" si="1147"/>
        <v>0</v>
      </c>
      <c r="X433" s="158">
        <f t="shared" ref="X433" si="1178">$S433/ORCAMENTO_VALOR_TOTAL_ND</f>
        <v>0</v>
      </c>
      <c r="Y433" s="158">
        <f t="shared" ref="Y433" si="1179">$T433/ORCAMENTO_VALOR_TOTAL_DE</f>
        <v>0</v>
      </c>
      <c r="Z433" s="158" cm="1">
        <f t="array" ref="Z433">_xlfn.SWITCH($N433,"BDI 1",$O$6,"BDI 2",$O$7,"BDI 3",$O$8)</f>
        <v>0.20699999999999999</v>
      </c>
      <c r="AA433" s="158" cm="1">
        <f t="array" ref="AA433">_xlfn.SWITCH($N433,"BDI 1",$P$6,"BDI 2",$P$7,"BDI 3",$P$8)</f>
        <v>0.26739999999999997</v>
      </c>
      <c r="AB433" s="158">
        <f t="shared" ca="1" si="1150"/>
        <v>0</v>
      </c>
      <c r="AC433" s="158">
        <f t="shared" ca="1" si="1151"/>
        <v>0</v>
      </c>
      <c r="AD433" s="164"/>
      <c r="AE433" s="148">
        <f t="shared" si="1116"/>
        <v>0</v>
      </c>
      <c r="AF433" s="149"/>
      <c r="AG433" s="150"/>
      <c r="AH433" s="159" t="e">
        <f t="shared" si="1152"/>
        <v>#DIV/0!</v>
      </c>
      <c r="AI433" s="165" t="s">
        <v>216</v>
      </c>
      <c r="AJ433" s="105"/>
      <c r="AK433" s="167"/>
      <c r="AM433" s="167"/>
      <c r="AN433" s="167"/>
      <c r="AO433" s="167"/>
      <c r="AP433" s="167"/>
      <c r="AQ433" s="167"/>
      <c r="AR433" s="167"/>
    </row>
    <row r="434" spans="1:44" s="49" customFormat="1" ht="40.15" hidden="1" customHeight="1">
      <c r="A434" s="152">
        <f t="shared" ca="1" si="1117"/>
        <v>0</v>
      </c>
      <c r="B434" s="153">
        <v>94994</v>
      </c>
      <c r="C434" s="154" t="str">
        <f t="shared" si="1139"/>
        <v>94994</v>
      </c>
      <c r="D434" s="154" t="s">
        <v>1416</v>
      </c>
      <c r="E434" s="155" t="s">
        <v>3851</v>
      </c>
      <c r="F434" s="154"/>
      <c r="G434" s="154" t="s">
        <v>1418</v>
      </c>
      <c r="H434" s="152">
        <v>93.23</v>
      </c>
      <c r="I434" s="152">
        <v>90.7</v>
      </c>
      <c r="J434" s="156"/>
      <c r="K434" s="156">
        <f>Bacia_Amortecimento!J97</f>
        <v>0</v>
      </c>
      <c r="L434" s="156">
        <f t="shared" si="1140"/>
        <v>0</v>
      </c>
      <c r="M434" s="156">
        <f t="shared" si="1141"/>
        <v>0</v>
      </c>
      <c r="N434" s="156" t="s">
        <v>83</v>
      </c>
      <c r="O434" s="157" cm="1">
        <f t="array" ref="O434">TRUNC($H434*(1+_xlfn.SWITCH($N434,"BDI 1",$O$6,"BDI 2",$O$7,"BDI 3",$O$8)),2)</f>
        <v>112.52</v>
      </c>
      <c r="P434" s="157" cm="1">
        <f t="array" ref="P434">TRUNC($I434*(1+_xlfn.SWITCH($N434,"BDI 1",$P$6,"BDI 2",$P$7,"BDI 3",$P$8)),2)</f>
        <v>114.95</v>
      </c>
      <c r="Q434" s="157">
        <v>0</v>
      </c>
      <c r="R434" s="157">
        <f t="shared" ref="R434" si="1180">$Q434-($Q434*LICITACAO_DESCONTO)</f>
        <v>0</v>
      </c>
      <c r="S434" s="156">
        <f t="shared" si="1143"/>
        <v>0</v>
      </c>
      <c r="T434" s="156">
        <f t="shared" si="1144"/>
        <v>0</v>
      </c>
      <c r="U434" s="156">
        <f t="shared" si="1145"/>
        <v>0</v>
      </c>
      <c r="V434" s="156">
        <f t="shared" si="1146"/>
        <v>0</v>
      </c>
      <c r="W434" s="156">
        <f t="shared" si="1147"/>
        <v>0</v>
      </c>
      <c r="X434" s="158">
        <f t="shared" ref="X434" si="1181">$S434/ORCAMENTO_VALOR_TOTAL_ND</f>
        <v>0</v>
      </c>
      <c r="Y434" s="158">
        <f t="shared" ref="Y434" si="1182">$T434/ORCAMENTO_VALOR_TOTAL_DE</f>
        <v>0</v>
      </c>
      <c r="Z434" s="158" cm="1">
        <f t="array" ref="Z434">_xlfn.SWITCH($N434,"BDI 1",$O$6,"BDI 2",$O$7,"BDI 3",$O$8)</f>
        <v>0.20699999999999999</v>
      </c>
      <c r="AA434" s="158" cm="1">
        <f t="array" ref="AA434">_xlfn.SWITCH($N434,"BDI 1",$P$6,"BDI 2",$P$7,"BDI 3",$P$8)</f>
        <v>0.26739999999999997</v>
      </c>
      <c r="AB434" s="158">
        <f t="shared" ca="1" si="1150"/>
        <v>0</v>
      </c>
      <c r="AC434" s="158">
        <f t="shared" ca="1" si="1151"/>
        <v>0</v>
      </c>
      <c r="AD434" s="164"/>
      <c r="AE434" s="148">
        <f t="shared" si="1116"/>
        <v>0</v>
      </c>
      <c r="AF434" s="149"/>
      <c r="AG434" s="150"/>
      <c r="AH434" s="159" t="e">
        <f t="shared" si="1152"/>
        <v>#DIV/0!</v>
      </c>
      <c r="AI434" s="165" t="s">
        <v>231</v>
      </c>
      <c r="AJ434" s="105"/>
      <c r="AK434" s="167"/>
      <c r="AM434" s="167"/>
      <c r="AN434" s="167"/>
      <c r="AO434" s="167"/>
      <c r="AP434" s="167"/>
      <c r="AQ434" s="167"/>
      <c r="AR434" s="167"/>
    </row>
    <row r="435" spans="1:44" s="49" customFormat="1" ht="40.15" hidden="1" customHeight="1">
      <c r="A435" s="152">
        <f t="shared" ca="1" si="1117"/>
        <v>0</v>
      </c>
      <c r="B435" s="153">
        <v>100324</v>
      </c>
      <c r="C435" s="154" t="str">
        <f t="shared" si="1139"/>
        <v>100324</v>
      </c>
      <c r="D435" s="154" t="s">
        <v>1416</v>
      </c>
      <c r="E435" s="155" t="s">
        <v>3852</v>
      </c>
      <c r="F435" s="154"/>
      <c r="G435" s="154" t="s">
        <v>464</v>
      </c>
      <c r="H435" s="152">
        <v>166.91</v>
      </c>
      <c r="I435" s="152">
        <v>166.99</v>
      </c>
      <c r="J435" s="156"/>
      <c r="K435" s="156">
        <f>Bacia_Amortecimento!J102</f>
        <v>0</v>
      </c>
      <c r="L435" s="156">
        <f t="shared" si="1140"/>
        <v>0</v>
      </c>
      <c r="M435" s="156">
        <f t="shared" si="1141"/>
        <v>0</v>
      </c>
      <c r="N435" s="156" t="s">
        <v>83</v>
      </c>
      <c r="O435" s="157" cm="1">
        <f t="array" ref="O435">TRUNC($H435*(1+_xlfn.SWITCH($N435,"BDI 1",$O$6,"BDI 2",$O$7,"BDI 3",$O$8)),2)</f>
        <v>201.46</v>
      </c>
      <c r="P435" s="157" cm="1">
        <f t="array" ref="P435">TRUNC($I435*(1+_xlfn.SWITCH($N435,"BDI 1",$P$6,"BDI 2",$P$7,"BDI 3",$P$8)),2)</f>
        <v>211.64</v>
      </c>
      <c r="Q435" s="157">
        <v>0</v>
      </c>
      <c r="R435" s="157">
        <f t="shared" ref="R435" si="1183">$Q435-($Q435*LICITACAO_DESCONTO)</f>
        <v>0</v>
      </c>
      <c r="S435" s="156">
        <f t="shared" si="1143"/>
        <v>0</v>
      </c>
      <c r="T435" s="156">
        <f t="shared" si="1144"/>
        <v>0</v>
      </c>
      <c r="U435" s="156">
        <f t="shared" si="1145"/>
        <v>0</v>
      </c>
      <c r="V435" s="156">
        <f t="shared" si="1146"/>
        <v>0</v>
      </c>
      <c r="W435" s="156">
        <f t="shared" si="1147"/>
        <v>0</v>
      </c>
      <c r="X435" s="158">
        <f t="shared" ref="X435" si="1184">$S435/ORCAMENTO_VALOR_TOTAL_ND</f>
        <v>0</v>
      </c>
      <c r="Y435" s="158">
        <f t="shared" ref="Y435" si="1185">$T435/ORCAMENTO_VALOR_TOTAL_DE</f>
        <v>0</v>
      </c>
      <c r="Z435" s="158" cm="1">
        <f t="array" ref="Z435">_xlfn.SWITCH($N435,"BDI 1",$O$6,"BDI 2",$O$7,"BDI 3",$O$8)</f>
        <v>0.20699999999999999</v>
      </c>
      <c r="AA435" s="158" cm="1">
        <f t="array" ref="AA435">_xlfn.SWITCH($N435,"BDI 1",$P$6,"BDI 2",$P$7,"BDI 3",$P$8)</f>
        <v>0.26739999999999997</v>
      </c>
      <c r="AB435" s="158">
        <f t="shared" ca="1" si="1150"/>
        <v>0</v>
      </c>
      <c r="AC435" s="158">
        <f t="shared" ca="1" si="1151"/>
        <v>0</v>
      </c>
      <c r="AD435" s="164"/>
      <c r="AE435" s="148">
        <f t="shared" si="1116"/>
        <v>0</v>
      </c>
      <c r="AF435" s="149"/>
      <c r="AG435" s="150"/>
      <c r="AH435" s="159" t="e">
        <f t="shared" si="1152"/>
        <v>#DIV/0!</v>
      </c>
      <c r="AI435" s="165" t="s">
        <v>231</v>
      </c>
      <c r="AJ435" s="105"/>
      <c r="AK435" s="167"/>
      <c r="AM435" s="167"/>
      <c r="AN435" s="167"/>
      <c r="AO435" s="167"/>
      <c r="AP435" s="167"/>
      <c r="AQ435" s="167"/>
      <c r="AR435" s="167"/>
    </row>
    <row r="436" spans="1:44" s="49" customFormat="1" ht="40.15" hidden="1" customHeight="1">
      <c r="A436" s="152">
        <f t="shared" ca="1" si="1117"/>
        <v>0</v>
      </c>
      <c r="B436" s="153">
        <v>92396</v>
      </c>
      <c r="C436" s="154" t="str">
        <f t="shared" si="1139"/>
        <v>92396</v>
      </c>
      <c r="D436" s="154" t="s">
        <v>1416</v>
      </c>
      <c r="E436" s="155" t="s">
        <v>3853</v>
      </c>
      <c r="F436" s="154"/>
      <c r="G436" s="154" t="s">
        <v>1418</v>
      </c>
      <c r="H436" s="152">
        <v>83.59</v>
      </c>
      <c r="I436" s="152">
        <v>75.23</v>
      </c>
      <c r="J436" s="156"/>
      <c r="K436" s="156">
        <f>Bacia_Amortecimento!J103</f>
        <v>0</v>
      </c>
      <c r="L436" s="156">
        <f t="shared" si="1140"/>
        <v>0</v>
      </c>
      <c r="M436" s="156">
        <f t="shared" si="1141"/>
        <v>0</v>
      </c>
      <c r="N436" s="156" t="s">
        <v>83</v>
      </c>
      <c r="O436" s="157" cm="1">
        <f t="array" ref="O436">TRUNC($H436*(1+_xlfn.SWITCH($N436,"BDI 1",$O$6,"BDI 2",$O$7,"BDI 3",$O$8)),2)</f>
        <v>100.89</v>
      </c>
      <c r="P436" s="157" cm="1">
        <f t="array" ref="P436">TRUNC($I436*(1+_xlfn.SWITCH($N436,"BDI 1",$P$6,"BDI 2",$P$7,"BDI 3",$P$8)),2)</f>
        <v>95.34</v>
      </c>
      <c r="Q436" s="157">
        <v>0</v>
      </c>
      <c r="R436" s="157">
        <f t="shared" ref="R436" si="1186">$Q436-($Q436*LICITACAO_DESCONTO)</f>
        <v>0</v>
      </c>
      <c r="S436" s="156">
        <f t="shared" si="1143"/>
        <v>0</v>
      </c>
      <c r="T436" s="156">
        <f t="shared" si="1144"/>
        <v>0</v>
      </c>
      <c r="U436" s="156">
        <f t="shared" si="1145"/>
        <v>0</v>
      </c>
      <c r="V436" s="156">
        <f t="shared" si="1146"/>
        <v>0</v>
      </c>
      <c r="W436" s="156">
        <f t="shared" si="1147"/>
        <v>0</v>
      </c>
      <c r="X436" s="158">
        <f t="shared" ref="X436" si="1187">$S436/ORCAMENTO_VALOR_TOTAL_ND</f>
        <v>0</v>
      </c>
      <c r="Y436" s="158">
        <f t="shared" ref="Y436" si="1188">$T436/ORCAMENTO_VALOR_TOTAL_DE</f>
        <v>0</v>
      </c>
      <c r="Z436" s="158" cm="1">
        <f t="array" ref="Z436">_xlfn.SWITCH($N436,"BDI 1",$O$6,"BDI 2",$O$7,"BDI 3",$O$8)</f>
        <v>0.20699999999999999</v>
      </c>
      <c r="AA436" s="158" cm="1">
        <f t="array" ref="AA436">_xlfn.SWITCH($N436,"BDI 1",$P$6,"BDI 2",$P$7,"BDI 3",$P$8)</f>
        <v>0.26739999999999997</v>
      </c>
      <c r="AB436" s="158">
        <f t="shared" ca="1" si="1150"/>
        <v>0</v>
      </c>
      <c r="AC436" s="158">
        <f t="shared" ca="1" si="1151"/>
        <v>0</v>
      </c>
      <c r="AD436" s="164"/>
      <c r="AE436" s="148">
        <f t="shared" si="1116"/>
        <v>0</v>
      </c>
      <c r="AF436" s="149"/>
      <c r="AG436" s="150"/>
      <c r="AH436" s="159" t="e">
        <f t="shared" si="1152"/>
        <v>#DIV/0!</v>
      </c>
      <c r="AI436" s="165" t="s">
        <v>232</v>
      </c>
      <c r="AJ436" s="105"/>
      <c r="AK436" s="167"/>
      <c r="AM436" s="167"/>
      <c r="AN436" s="167"/>
      <c r="AO436" s="167"/>
      <c r="AP436" s="167"/>
      <c r="AQ436" s="167"/>
      <c r="AR436" s="167"/>
    </row>
    <row r="437" spans="1:44" s="49" customFormat="1" ht="40.15" hidden="1" customHeight="1">
      <c r="A437" s="10">
        <f t="shared" ca="1" si="1117"/>
        <v>0</v>
      </c>
      <c r="B437" s="153"/>
      <c r="C437" s="154"/>
      <c r="D437" s="154"/>
      <c r="E437" s="161" t="s">
        <v>102</v>
      </c>
      <c r="F437" s="154"/>
      <c r="G437" s="154"/>
      <c r="H437" s="152"/>
      <c r="I437" s="152"/>
      <c r="J437" s="154"/>
      <c r="K437" s="154"/>
      <c r="L437" s="154"/>
      <c r="M437" s="154"/>
      <c r="N437" s="154"/>
      <c r="O437" s="154"/>
      <c r="P437" s="154"/>
      <c r="Q437" s="154"/>
      <c r="R437" s="154"/>
      <c r="S437" s="162"/>
      <c r="T437" s="162"/>
      <c r="U437" s="162"/>
      <c r="V437" s="162"/>
      <c r="W437" s="162"/>
      <c r="X437" s="163"/>
      <c r="Y437" s="163"/>
      <c r="Z437" s="163"/>
      <c r="AA437" s="163"/>
      <c r="AB437" s="163"/>
      <c r="AC437" s="163"/>
      <c r="AD437" s="164"/>
      <c r="AE437" s="148">
        <f>IF(SUM(S438:S439)&gt;0,IFERROR(TRUNC(A437,0),0),0)</f>
        <v>0</v>
      </c>
      <c r="AF437" s="149"/>
      <c r="AG437" s="150"/>
      <c r="AH437" s="159"/>
      <c r="AI437" s="160" t="s">
        <v>85</v>
      </c>
      <c r="AK437" s="105"/>
      <c r="AL437" s="105"/>
      <c r="AM437" s="105"/>
      <c r="AN437" s="105"/>
      <c r="AO437" s="105"/>
      <c r="AP437" s="105"/>
      <c r="AQ437" s="105"/>
      <c r="AR437" s="105"/>
    </row>
    <row r="438" spans="1:44" s="49" customFormat="1" ht="40.15" hidden="1" customHeight="1">
      <c r="A438" s="152">
        <f t="shared" ca="1" si="1117"/>
        <v>0</v>
      </c>
      <c r="B438" s="153">
        <v>95876</v>
      </c>
      <c r="C438" s="154" t="str">
        <f>TEXT(B438,"0")</f>
        <v>95876</v>
      </c>
      <c r="D438" s="154" t="s">
        <v>1416</v>
      </c>
      <c r="E438" s="155" t="s">
        <v>3537</v>
      </c>
      <c r="F438" s="154">
        <f>IF(Dados_DMT!$B$17&lt;30,Dados_DMT!$B$17,30)</f>
        <v>3.5</v>
      </c>
      <c r="G438" s="154" t="s">
        <v>3538</v>
      </c>
      <c r="H438" s="152">
        <v>2.09</v>
      </c>
      <c r="I438" s="152">
        <v>2.1</v>
      </c>
      <c r="J438" s="156"/>
      <c r="K438" s="156">
        <f>ROUND(Bacia_Amortecimento!J104*F438,2)</f>
        <v>0</v>
      </c>
      <c r="L438" s="156">
        <f>IF($K438&gt;$J438,$K438-$J438,0)</f>
        <v>0</v>
      </c>
      <c r="M438" s="156">
        <f>IF($K438&lt;$J438,$J438-$K438,0)</f>
        <v>0</v>
      </c>
      <c r="N438" s="156" t="s">
        <v>83</v>
      </c>
      <c r="O438" s="157" cm="1">
        <f t="array" ref="O438">TRUNC($H438*(1+_xlfn.SWITCH($N438,"BDI 1",$O$6,"BDI 2",$O$7,"BDI 3",$O$8)),2)</f>
        <v>2.52</v>
      </c>
      <c r="P438" s="157" cm="1">
        <f t="array" ref="P438">TRUNC($I438*(1+_xlfn.SWITCH($N438,"BDI 1",$P$6,"BDI 2",$P$7,"BDI 3",$P$8)),2)</f>
        <v>2.66</v>
      </c>
      <c r="Q438" s="157">
        <v>0</v>
      </c>
      <c r="R438" s="157">
        <v>0</v>
      </c>
      <c r="S438" s="156">
        <f>TRUNC($K438*$O438,2)</f>
        <v>0</v>
      </c>
      <c r="T438" s="156">
        <f>TRUNC($K438*$P438,2)</f>
        <v>0</v>
      </c>
      <c r="U438" s="156">
        <f>TRUNC($J438*$R438,2)</f>
        <v>0</v>
      </c>
      <c r="V438" s="156">
        <f>TRUNC($K438*$Q438,2)</f>
        <v>0</v>
      </c>
      <c r="W438" s="156">
        <f>TRUNC(V438-U438,2)</f>
        <v>0</v>
      </c>
      <c r="X438" s="158">
        <f>$S438/ORCAMENTO_VALOR_TOTAL_ND</f>
        <v>0</v>
      </c>
      <c r="Y438" s="158">
        <f>$T438/ORCAMENTO_VALOR_TOTAL_DE</f>
        <v>0</v>
      </c>
      <c r="Z438" s="158" cm="1">
        <f t="array" ref="Z438">_xlfn.SWITCH($N438,"BDI 1",$O$6,"BDI 2",$O$7,"BDI 3",$O$8)</f>
        <v>0.20699999999999999</v>
      </c>
      <c r="AA438" s="158" cm="1">
        <f t="array" ref="AA438">_xlfn.SWITCH($N438,"BDI 1",$P$6,"BDI 2",$P$7,"BDI 3",$P$8)</f>
        <v>0.26739999999999997</v>
      </c>
      <c r="AB438" s="158">
        <f ca="1">IFERROR($S438/_xlfn.XLOOKUP($AE438,$B$16:$B$38,$S$16:$S$38),0)</f>
        <v>0</v>
      </c>
      <c r="AC438" s="158">
        <f ca="1">IFERROR($T438/_xlfn.XLOOKUP($AE438,$B$16:$B$38,$T$16:$T$38),0)</f>
        <v>0</v>
      </c>
      <c r="AD438" s="164"/>
      <c r="AE438" s="148">
        <f t="shared" ref="AE438:AE439" si="1189">IF(S438&gt;0,IFERROR(TRUNC(A438,0),0),0)</f>
        <v>0</v>
      </c>
      <c r="AF438" s="149"/>
      <c r="AG438" s="150"/>
      <c r="AH438" s="159" t="e">
        <f>S438/$S$351</f>
        <v>#DIV/0!</v>
      </c>
      <c r="AI438" s="166">
        <v>2000</v>
      </c>
      <c r="AK438" s="105"/>
      <c r="AL438" s="105"/>
      <c r="AM438" s="105"/>
      <c r="AN438" s="105"/>
      <c r="AO438" s="105"/>
      <c r="AP438" s="105"/>
      <c r="AQ438" s="105"/>
      <c r="AR438" s="105"/>
    </row>
    <row r="439" spans="1:44" s="49" customFormat="1" ht="40.15" hidden="1" customHeight="1">
      <c r="A439" s="152">
        <f t="shared" ca="1" si="1117"/>
        <v>0</v>
      </c>
      <c r="B439" s="153">
        <v>93593</v>
      </c>
      <c r="C439" s="154" t="str">
        <f>TEXT(B439,"0")</f>
        <v>93593</v>
      </c>
      <c r="D439" s="154" t="s">
        <v>1416</v>
      </c>
      <c r="E439" s="155" t="s">
        <v>3545</v>
      </c>
      <c r="F439" s="154">
        <f>Dados_DMT!$B$17-F438</f>
        <v>0</v>
      </c>
      <c r="G439" s="154" t="s">
        <v>3538</v>
      </c>
      <c r="H439" s="152">
        <v>0.84</v>
      </c>
      <c r="I439" s="152">
        <v>0.85</v>
      </c>
      <c r="J439" s="156"/>
      <c r="K439" s="156">
        <f>ROUND(Bacia_Amortecimento!J104*F439,2)</f>
        <v>0</v>
      </c>
      <c r="L439" s="156">
        <f>IF($K439&gt;$J439,$K439-$J439,0)</f>
        <v>0</v>
      </c>
      <c r="M439" s="156">
        <f>IF($K439&lt;$J439,$J439-$K439,0)</f>
        <v>0</v>
      </c>
      <c r="N439" s="156" t="s">
        <v>83</v>
      </c>
      <c r="O439" s="157" cm="1">
        <f t="array" ref="O439">TRUNC($H439*(1+_xlfn.SWITCH($N439,"BDI 1",$O$6,"BDI 2",$O$7,"BDI 3",$O$8)),2)</f>
        <v>1.01</v>
      </c>
      <c r="P439" s="157" cm="1">
        <f t="array" ref="P439">TRUNC($I439*(1+_xlfn.SWITCH($N439,"BDI 1",$P$6,"BDI 2",$P$7,"BDI 3",$P$8)),2)</f>
        <v>1.07</v>
      </c>
      <c r="Q439" s="157">
        <v>0</v>
      </c>
      <c r="R439" s="157">
        <v>0</v>
      </c>
      <c r="S439" s="156">
        <f>TRUNC($K439*$O439,2)</f>
        <v>0</v>
      </c>
      <c r="T439" s="156">
        <f>TRUNC($K439*$P439,2)</f>
        <v>0</v>
      </c>
      <c r="U439" s="156">
        <f>TRUNC($J439*$R439,2)</f>
        <v>0</v>
      </c>
      <c r="V439" s="156">
        <f>TRUNC($K439*$Q439,2)</f>
        <v>0</v>
      </c>
      <c r="W439" s="156">
        <f>TRUNC(V439-U439,2)</f>
        <v>0</v>
      </c>
      <c r="X439" s="158">
        <f>$S439/ORCAMENTO_VALOR_TOTAL_ND</f>
        <v>0</v>
      </c>
      <c r="Y439" s="158">
        <f>$T439/ORCAMENTO_VALOR_TOTAL_DE</f>
        <v>0</v>
      </c>
      <c r="Z439" s="158" cm="1">
        <f t="array" ref="Z439">_xlfn.SWITCH($N439,"BDI 1",$O$6,"BDI 2",$O$7,"BDI 3",$O$8)</f>
        <v>0.20699999999999999</v>
      </c>
      <c r="AA439" s="158" cm="1">
        <f t="array" ref="AA439">_xlfn.SWITCH($N439,"BDI 1",$P$6,"BDI 2",$P$7,"BDI 3",$P$8)</f>
        <v>0.26739999999999997</v>
      </c>
      <c r="AB439" s="158">
        <f ca="1">IFERROR($S439/_xlfn.XLOOKUP($AE439,$B$16:$B$38,$S$16:$S$38),0)</f>
        <v>0</v>
      </c>
      <c r="AC439" s="158">
        <f ca="1">IFERROR($T439/_xlfn.XLOOKUP($AE439,$B$16:$B$38,$T$16:$T$38),0)</f>
        <v>0</v>
      </c>
      <c r="AD439" s="164"/>
      <c r="AE439" s="148">
        <f t="shared" si="1189"/>
        <v>0</v>
      </c>
      <c r="AF439" s="149"/>
      <c r="AG439" s="150"/>
      <c r="AH439" s="159" t="e">
        <f>S439/$S$351</f>
        <v>#DIV/0!</v>
      </c>
      <c r="AI439" s="166">
        <v>2000</v>
      </c>
      <c r="AK439" s="105"/>
      <c r="AL439" s="105"/>
      <c r="AM439" s="105"/>
      <c r="AN439" s="105"/>
      <c r="AO439" s="105"/>
      <c r="AP439" s="105"/>
      <c r="AQ439" s="105"/>
      <c r="AR439" s="105"/>
    </row>
    <row r="440" spans="1:44" s="49" customFormat="1" ht="40.15" hidden="1" customHeight="1">
      <c r="A440" s="10">
        <f t="shared" ca="1" si="1117"/>
        <v>0</v>
      </c>
      <c r="B440" s="153"/>
      <c r="C440" s="154"/>
      <c r="D440" s="154"/>
      <c r="E440" s="161" t="s">
        <v>137</v>
      </c>
      <c r="F440" s="154"/>
      <c r="G440" s="154"/>
      <c r="H440" s="152"/>
      <c r="I440" s="152"/>
      <c r="J440" s="154"/>
      <c r="K440" s="154"/>
      <c r="L440" s="154"/>
      <c r="M440" s="154"/>
      <c r="N440" s="154"/>
      <c r="O440" s="154"/>
      <c r="P440" s="154"/>
      <c r="Q440" s="154"/>
      <c r="R440" s="154"/>
      <c r="S440" s="162"/>
      <c r="T440" s="162"/>
      <c r="U440" s="162"/>
      <c r="V440" s="162"/>
      <c r="W440" s="162"/>
      <c r="X440" s="163"/>
      <c r="Y440" s="163"/>
      <c r="Z440" s="163"/>
      <c r="AA440" s="163"/>
      <c r="AB440" s="163"/>
      <c r="AC440" s="163"/>
      <c r="AD440" s="164"/>
      <c r="AE440" s="148">
        <f>IF(SUM(S441:S442)&gt;0,IFERROR(TRUNC(A440,0),0),0)</f>
        <v>0</v>
      </c>
      <c r="AF440" s="149"/>
      <c r="AG440" s="150"/>
      <c r="AH440" s="159"/>
      <c r="AI440" s="160" t="s">
        <v>138</v>
      </c>
      <c r="AJ440" s="105"/>
      <c r="AK440" s="105"/>
      <c r="AM440" s="105"/>
      <c r="AN440" s="105"/>
      <c r="AO440" s="105"/>
      <c r="AP440" s="105"/>
      <c r="AQ440" s="105"/>
      <c r="AR440" s="105"/>
    </row>
    <row r="441" spans="1:44" s="49" customFormat="1" ht="40.15" hidden="1" customHeight="1">
      <c r="A441" s="152">
        <f t="shared" ca="1" si="1117"/>
        <v>0</v>
      </c>
      <c r="B441" s="153">
        <v>95876</v>
      </c>
      <c r="C441" s="154" t="str">
        <f>TEXT(B441,"0")</f>
        <v>95876</v>
      </c>
      <c r="D441" s="154" t="s">
        <v>1416</v>
      </c>
      <c r="E441" s="155" t="s">
        <v>3537</v>
      </c>
      <c r="F441" s="154">
        <f>IF(Dados_DMT!$B$17&lt;30,Dados_DMT!$B$17,30)</f>
        <v>3.5</v>
      </c>
      <c r="G441" s="154" t="s">
        <v>3538</v>
      </c>
      <c r="H441" s="152">
        <v>2.09</v>
      </c>
      <c r="I441" s="152">
        <v>2.1</v>
      </c>
      <c r="J441" s="156"/>
      <c r="K441" s="156">
        <f>ROUND(Bacia_Amortecimento!J105*F441,2)</f>
        <v>0</v>
      </c>
      <c r="L441" s="156">
        <f>IF($K441&gt;$J441,$K441-$J441,0)</f>
        <v>0</v>
      </c>
      <c r="M441" s="156">
        <f>IF($K441&lt;$J441,$J441-$K441,0)</f>
        <v>0</v>
      </c>
      <c r="N441" s="156" t="s">
        <v>83</v>
      </c>
      <c r="O441" s="157" cm="1">
        <f t="array" ref="O441">TRUNC($H441*(1+_xlfn.SWITCH($N441,"BDI 1",$O$6,"BDI 2",$O$7,"BDI 3",$O$8)),2)</f>
        <v>2.52</v>
      </c>
      <c r="P441" s="157" cm="1">
        <f t="array" ref="P441">TRUNC($I441*(1+_xlfn.SWITCH($N441,"BDI 1",$P$6,"BDI 2",$P$7,"BDI 3",$P$8)),2)</f>
        <v>2.66</v>
      </c>
      <c r="Q441" s="157">
        <v>0</v>
      </c>
      <c r="R441" s="157">
        <v>0</v>
      </c>
      <c r="S441" s="156">
        <f>TRUNC($K441*$O441,2)</f>
        <v>0</v>
      </c>
      <c r="T441" s="156">
        <f>TRUNC($K441*$P441,2)</f>
        <v>0</v>
      </c>
      <c r="U441" s="156">
        <f>TRUNC($J441*$R441,2)</f>
        <v>0</v>
      </c>
      <c r="V441" s="156">
        <f>TRUNC($K441*$Q441,2)</f>
        <v>0</v>
      </c>
      <c r="W441" s="156">
        <f>TRUNC(V441-U441,2)</f>
        <v>0</v>
      </c>
      <c r="X441" s="158">
        <f>$S441/ORCAMENTO_VALOR_TOTAL_ND</f>
        <v>0</v>
      </c>
      <c r="Y441" s="158">
        <f>$T441/ORCAMENTO_VALOR_TOTAL_DE</f>
        <v>0</v>
      </c>
      <c r="Z441" s="158" cm="1">
        <f t="array" ref="Z441">_xlfn.SWITCH($N441,"BDI 1",$O$6,"BDI 2",$O$7,"BDI 3",$O$8)</f>
        <v>0.20699999999999999</v>
      </c>
      <c r="AA441" s="158" cm="1">
        <f t="array" ref="AA441">_xlfn.SWITCH($N441,"BDI 1",$P$6,"BDI 2",$P$7,"BDI 3",$P$8)</f>
        <v>0.26739999999999997</v>
      </c>
      <c r="AB441" s="158">
        <f ca="1">IFERROR($S441/_xlfn.XLOOKUP($AE441,$B$16:$B$38,$S$16:$S$38),0)</f>
        <v>0</v>
      </c>
      <c r="AC441" s="158">
        <f ca="1">IFERROR($T441/_xlfn.XLOOKUP($AE441,$B$16:$B$38,$T$16:$T$38),0)</f>
        <v>0</v>
      </c>
      <c r="AD441" s="164"/>
      <c r="AE441" s="148">
        <f t="shared" ref="AE441:AE442" si="1190">IF(S441&gt;0,IFERROR(TRUNC(A441,0),0),0)</f>
        <v>0</v>
      </c>
      <c r="AF441" s="149"/>
      <c r="AG441" s="150"/>
      <c r="AH441" s="159" t="e">
        <f>S441/$S$351</f>
        <v>#DIV/0!</v>
      </c>
      <c r="AI441" s="165" t="s">
        <v>233</v>
      </c>
      <c r="AJ441" s="105"/>
      <c r="AK441" s="105"/>
      <c r="AM441" s="105"/>
      <c r="AN441" s="105"/>
      <c r="AO441" s="105"/>
      <c r="AP441" s="105"/>
      <c r="AQ441" s="105"/>
      <c r="AR441" s="105"/>
    </row>
    <row r="442" spans="1:44" s="49" customFormat="1" ht="40.15" hidden="1" customHeight="1">
      <c r="A442" s="152">
        <f t="shared" ca="1" si="1117"/>
        <v>0</v>
      </c>
      <c r="B442" s="153">
        <v>93593</v>
      </c>
      <c r="C442" s="154" t="str">
        <f>TEXT(B442,"0")</f>
        <v>93593</v>
      </c>
      <c r="D442" s="154" t="s">
        <v>1416</v>
      </c>
      <c r="E442" s="155" t="s">
        <v>3545</v>
      </c>
      <c r="F442" s="154">
        <f>Dados_DMT!$B$17-F441</f>
        <v>0</v>
      </c>
      <c r="G442" s="154" t="s">
        <v>3538</v>
      </c>
      <c r="H442" s="152">
        <v>0.84</v>
      </c>
      <c r="I442" s="152">
        <v>0.85</v>
      </c>
      <c r="J442" s="156"/>
      <c r="K442" s="156">
        <f>ROUND(Bacia_Amortecimento!J105*F442,2)</f>
        <v>0</v>
      </c>
      <c r="L442" s="156">
        <f>IF($K442&gt;$J442,$K442-$J442,0)</f>
        <v>0</v>
      </c>
      <c r="M442" s="156">
        <f>IF($K442&lt;$J442,$J442-$K442,0)</f>
        <v>0</v>
      </c>
      <c r="N442" s="156" t="s">
        <v>83</v>
      </c>
      <c r="O442" s="157" cm="1">
        <f t="array" ref="O442">TRUNC($H442*(1+_xlfn.SWITCH($N442,"BDI 1",$O$6,"BDI 2",$O$7,"BDI 3",$O$8)),2)</f>
        <v>1.01</v>
      </c>
      <c r="P442" s="157" cm="1">
        <f t="array" ref="P442">TRUNC($I442*(1+_xlfn.SWITCH($N442,"BDI 1",$P$6,"BDI 2",$P$7,"BDI 3",$P$8)),2)</f>
        <v>1.07</v>
      </c>
      <c r="Q442" s="157">
        <v>0</v>
      </c>
      <c r="R442" s="157">
        <v>0</v>
      </c>
      <c r="S442" s="156">
        <f>TRUNC($K442*$O442,2)</f>
        <v>0</v>
      </c>
      <c r="T442" s="156">
        <f>TRUNC($K442*$P442,2)</f>
        <v>0</v>
      </c>
      <c r="U442" s="156">
        <f>TRUNC($J442*$R442,2)</f>
        <v>0</v>
      </c>
      <c r="V442" s="156">
        <f>TRUNC($K442*$Q442,2)</f>
        <v>0</v>
      </c>
      <c r="W442" s="156">
        <f>TRUNC(V442-U442,2)</f>
        <v>0</v>
      </c>
      <c r="X442" s="158">
        <f>$S442/ORCAMENTO_VALOR_TOTAL_ND</f>
        <v>0</v>
      </c>
      <c r="Y442" s="158">
        <f>$T442/ORCAMENTO_VALOR_TOTAL_DE</f>
        <v>0</v>
      </c>
      <c r="Z442" s="158" cm="1">
        <f t="array" ref="Z442">_xlfn.SWITCH($N442,"BDI 1",$O$6,"BDI 2",$O$7,"BDI 3",$O$8)</f>
        <v>0.20699999999999999</v>
      </c>
      <c r="AA442" s="158" cm="1">
        <f t="array" ref="AA442">_xlfn.SWITCH($N442,"BDI 1",$P$6,"BDI 2",$P$7,"BDI 3",$P$8)</f>
        <v>0.26739999999999997</v>
      </c>
      <c r="AB442" s="158">
        <f ca="1">IFERROR($S442/_xlfn.XLOOKUP($AE442,$B$16:$B$38,$S$16:$S$38),0)</f>
        <v>0</v>
      </c>
      <c r="AC442" s="158">
        <f ca="1">IFERROR($T442/_xlfn.XLOOKUP($AE442,$B$16:$B$38,$T$16:$T$38),0)</f>
        <v>0</v>
      </c>
      <c r="AD442" s="164"/>
      <c r="AE442" s="148">
        <f t="shared" si="1190"/>
        <v>0</v>
      </c>
      <c r="AF442" s="149"/>
      <c r="AG442" s="150"/>
      <c r="AH442" s="159" t="e">
        <f>S442/$S$351</f>
        <v>#DIV/0!</v>
      </c>
      <c r="AI442" s="165" t="s">
        <v>233</v>
      </c>
      <c r="AJ442" s="105"/>
      <c r="AK442" s="105"/>
      <c r="AM442" s="105"/>
      <c r="AN442" s="105"/>
      <c r="AO442" s="105"/>
      <c r="AP442" s="105"/>
      <c r="AQ442" s="105"/>
      <c r="AR442" s="105"/>
    </row>
    <row r="443" spans="1:44" s="49" customFormat="1" ht="40.15" hidden="1" customHeight="1">
      <c r="A443" s="10">
        <f t="shared" ca="1" si="1117"/>
        <v>0</v>
      </c>
      <c r="B443" s="153"/>
      <c r="C443" s="154"/>
      <c r="D443" s="154"/>
      <c r="E443" s="161" t="s">
        <v>136</v>
      </c>
      <c r="F443" s="154"/>
      <c r="G443" s="154"/>
      <c r="H443" s="152"/>
      <c r="I443" s="152"/>
      <c r="J443" s="154"/>
      <c r="K443" s="154"/>
      <c r="L443" s="154"/>
      <c r="M443" s="154"/>
      <c r="N443" s="154"/>
      <c r="O443" s="154"/>
      <c r="P443" s="154"/>
      <c r="Q443" s="154"/>
      <c r="R443" s="154"/>
      <c r="S443" s="162"/>
      <c r="T443" s="162"/>
      <c r="U443" s="162"/>
      <c r="V443" s="162"/>
      <c r="W443" s="162"/>
      <c r="X443" s="163"/>
      <c r="Y443" s="163"/>
      <c r="Z443" s="163"/>
      <c r="AA443" s="163"/>
      <c r="AB443" s="163"/>
      <c r="AC443" s="163"/>
      <c r="AD443" s="164"/>
      <c r="AE443" s="148">
        <f>IF(SUM(S444:S445)&gt;0,IFERROR(TRUNC(A443,0),0),0)</f>
        <v>0</v>
      </c>
      <c r="AF443" s="149"/>
      <c r="AG443" s="150"/>
      <c r="AH443" s="159"/>
      <c r="AI443" s="160" t="s">
        <v>123</v>
      </c>
      <c r="AJ443" s="105"/>
      <c r="AK443" s="105"/>
      <c r="AM443" s="105"/>
      <c r="AN443" s="105"/>
      <c r="AO443" s="105"/>
      <c r="AP443" s="105"/>
      <c r="AQ443" s="105"/>
      <c r="AR443" s="105"/>
    </row>
    <row r="444" spans="1:44" s="49" customFormat="1" ht="40.15" hidden="1" customHeight="1">
      <c r="A444" s="152">
        <f t="shared" ca="1" si="1117"/>
        <v>0</v>
      </c>
      <c r="B444" s="153">
        <v>95876</v>
      </c>
      <c r="C444" s="154" t="str">
        <f>TEXT(B444,"0")</f>
        <v>95876</v>
      </c>
      <c r="D444" s="154" t="s">
        <v>1416</v>
      </c>
      <c r="E444" s="155" t="s">
        <v>3537</v>
      </c>
      <c r="F444" s="154">
        <f>IF(Dados_DMT!$B$16&lt;30,Dados_DMT!$B$16,30)</f>
        <v>0</v>
      </c>
      <c r="G444" s="154" t="s">
        <v>3538</v>
      </c>
      <c r="H444" s="152">
        <v>2.09</v>
      </c>
      <c r="I444" s="152">
        <v>2.1</v>
      </c>
      <c r="J444" s="156"/>
      <c r="K444" s="156">
        <f>ROUND(Bacia_Amortecimento!J106*F444,2)</f>
        <v>0</v>
      </c>
      <c r="L444" s="156">
        <f>IF($K444&gt;$J444,$K444-$J444,0)</f>
        <v>0</v>
      </c>
      <c r="M444" s="156">
        <f>IF($K444&lt;$J444,$J444-$K444,0)</f>
        <v>0</v>
      </c>
      <c r="N444" s="156" t="s">
        <v>83</v>
      </c>
      <c r="O444" s="157" cm="1">
        <f t="array" ref="O444">TRUNC($H444*(1+_xlfn.SWITCH($N444,"BDI 1",$O$6,"BDI 2",$O$7,"BDI 3",$O$8)),2)</f>
        <v>2.52</v>
      </c>
      <c r="P444" s="157" cm="1">
        <f t="array" ref="P444">TRUNC($I444*(1+_xlfn.SWITCH($N444,"BDI 1",$P$6,"BDI 2",$P$7,"BDI 3",$P$8)),2)</f>
        <v>2.66</v>
      </c>
      <c r="Q444" s="157">
        <v>0</v>
      </c>
      <c r="R444" s="157">
        <v>0</v>
      </c>
      <c r="S444" s="156">
        <f>TRUNC($K444*$O444,2)</f>
        <v>0</v>
      </c>
      <c r="T444" s="156">
        <f>TRUNC($K444*$P444,2)</f>
        <v>0</v>
      </c>
      <c r="U444" s="156">
        <f>TRUNC($J444*$R444,2)</f>
        <v>0</v>
      </c>
      <c r="V444" s="156">
        <f>TRUNC($K444*$Q444,2)</f>
        <v>0</v>
      </c>
      <c r="W444" s="156">
        <f>TRUNC(V444-U444,2)</f>
        <v>0</v>
      </c>
      <c r="X444" s="158">
        <f>$S444/ORCAMENTO_VALOR_TOTAL_ND</f>
        <v>0</v>
      </c>
      <c r="Y444" s="158">
        <f>$T444/ORCAMENTO_VALOR_TOTAL_DE</f>
        <v>0</v>
      </c>
      <c r="Z444" s="158" cm="1">
        <f t="array" ref="Z444">_xlfn.SWITCH($N444,"BDI 1",$O$6,"BDI 2",$O$7,"BDI 3",$O$8)</f>
        <v>0.20699999999999999</v>
      </c>
      <c r="AA444" s="158" cm="1">
        <f t="array" ref="AA444">_xlfn.SWITCH($N444,"BDI 1",$P$6,"BDI 2",$P$7,"BDI 3",$P$8)</f>
        <v>0.26739999999999997</v>
      </c>
      <c r="AB444" s="158">
        <f ca="1">IFERROR($S444/_xlfn.XLOOKUP($AE444,$B$16:$B$38,$S$16:$S$38),0)</f>
        <v>0</v>
      </c>
      <c r="AC444" s="158">
        <f ca="1">IFERROR($T444/_xlfn.XLOOKUP($AE444,$B$16:$B$38,$T$16:$T$38),0)</f>
        <v>0</v>
      </c>
      <c r="AD444" s="164"/>
      <c r="AE444" s="148">
        <f t="shared" ref="AE444:AE445" si="1191">IF(S444&gt;0,IFERROR(TRUNC(A444,0),0),0)</f>
        <v>0</v>
      </c>
      <c r="AF444" s="149"/>
      <c r="AG444" s="150"/>
      <c r="AH444" s="159" t="e">
        <f>S444/$S$351</f>
        <v>#DIV/0!</v>
      </c>
      <c r="AI444" s="166">
        <f>IF(K444=0,0,K444/F444)</f>
        <v>0</v>
      </c>
      <c r="AJ444" s="105"/>
      <c r="AK444" s="105"/>
      <c r="AM444" s="105"/>
      <c r="AN444" s="105"/>
      <c r="AO444" s="105"/>
      <c r="AP444" s="105"/>
      <c r="AQ444" s="105"/>
      <c r="AR444" s="105"/>
    </row>
    <row r="445" spans="1:44" s="49" customFormat="1" ht="40.15" hidden="1" customHeight="1">
      <c r="A445" s="152">
        <f t="shared" ca="1" si="1117"/>
        <v>0</v>
      </c>
      <c r="B445" s="153">
        <v>93593</v>
      </c>
      <c r="C445" s="154" t="str">
        <f>TEXT(B445,"0")</f>
        <v>93593</v>
      </c>
      <c r="D445" s="154" t="s">
        <v>1416</v>
      </c>
      <c r="E445" s="155" t="s">
        <v>3545</v>
      </c>
      <c r="F445" s="154">
        <f>Dados_DMT!$B$16-F444</f>
        <v>0</v>
      </c>
      <c r="G445" s="154" t="s">
        <v>3538</v>
      </c>
      <c r="H445" s="152">
        <v>0.84</v>
      </c>
      <c r="I445" s="152">
        <v>0.85</v>
      </c>
      <c r="J445" s="156"/>
      <c r="K445" s="156">
        <f>ROUND(Bacia_Amortecimento!J106*F445,2)</f>
        <v>0</v>
      </c>
      <c r="L445" s="156">
        <f>IF($K445&gt;$J445,$K445-$J445,0)</f>
        <v>0</v>
      </c>
      <c r="M445" s="156">
        <f>IF($K445&lt;$J445,$J445-$K445,0)</f>
        <v>0</v>
      </c>
      <c r="N445" s="156" t="s">
        <v>83</v>
      </c>
      <c r="O445" s="157" cm="1">
        <f t="array" ref="O445">TRUNC($H445*(1+_xlfn.SWITCH($N445,"BDI 1",$O$6,"BDI 2",$O$7,"BDI 3",$O$8)),2)</f>
        <v>1.01</v>
      </c>
      <c r="P445" s="157" cm="1">
        <f t="array" ref="P445">TRUNC($I445*(1+_xlfn.SWITCH($N445,"BDI 1",$P$6,"BDI 2",$P$7,"BDI 3",$P$8)),2)</f>
        <v>1.07</v>
      </c>
      <c r="Q445" s="157">
        <v>0</v>
      </c>
      <c r="R445" s="157">
        <v>0</v>
      </c>
      <c r="S445" s="156">
        <f>TRUNC($K445*$O445,2)</f>
        <v>0</v>
      </c>
      <c r="T445" s="156">
        <f>TRUNC($K445*$P445,2)</f>
        <v>0</v>
      </c>
      <c r="U445" s="156">
        <f>TRUNC($J445*$R445,2)</f>
        <v>0</v>
      </c>
      <c r="V445" s="156">
        <f>TRUNC($K445*$Q445,2)</f>
        <v>0</v>
      </c>
      <c r="W445" s="156">
        <f>TRUNC(V445-U445,2)</f>
        <v>0</v>
      </c>
      <c r="X445" s="158">
        <f>$S445/ORCAMENTO_VALOR_TOTAL_ND</f>
        <v>0</v>
      </c>
      <c r="Y445" s="158">
        <f>$T445/ORCAMENTO_VALOR_TOTAL_DE</f>
        <v>0</v>
      </c>
      <c r="Z445" s="158" cm="1">
        <f t="array" ref="Z445">_xlfn.SWITCH($N445,"BDI 1",$O$6,"BDI 2",$O$7,"BDI 3",$O$8)</f>
        <v>0.20699999999999999</v>
      </c>
      <c r="AA445" s="158" cm="1">
        <f t="array" ref="AA445">_xlfn.SWITCH($N445,"BDI 1",$P$6,"BDI 2",$P$7,"BDI 3",$P$8)</f>
        <v>0.26739999999999997</v>
      </c>
      <c r="AB445" s="158">
        <f ca="1">IFERROR($S445/_xlfn.XLOOKUP($AE445,$B$16:$B$38,$S$16:$S$38),0)</f>
        <v>0</v>
      </c>
      <c r="AC445" s="158">
        <f ca="1">IFERROR($T445/_xlfn.XLOOKUP($AE445,$B$16:$B$38,$T$16:$T$38),0)</f>
        <v>0</v>
      </c>
      <c r="AD445" s="164"/>
      <c r="AE445" s="148">
        <f t="shared" si="1191"/>
        <v>0</v>
      </c>
      <c r="AF445" s="149"/>
      <c r="AG445" s="150"/>
      <c r="AH445" s="159" t="e">
        <f>S445/$S$351</f>
        <v>#DIV/0!</v>
      </c>
      <c r="AI445" s="166">
        <f>IF(K445=0,0,K445/F445)</f>
        <v>0</v>
      </c>
      <c r="AJ445" s="105"/>
      <c r="AK445" s="105"/>
      <c r="AM445" s="105"/>
      <c r="AN445" s="105"/>
      <c r="AO445" s="105"/>
      <c r="AP445" s="105"/>
      <c r="AQ445" s="105"/>
      <c r="AR445" s="105"/>
    </row>
    <row r="446" spans="1:44" s="49" customFormat="1" ht="40.15" hidden="1" customHeight="1">
      <c r="A446" s="10">
        <f t="shared" ca="1" si="1117"/>
        <v>0</v>
      </c>
      <c r="B446" s="153"/>
      <c r="C446" s="154"/>
      <c r="D446" s="154"/>
      <c r="E446" s="161" t="s">
        <v>234</v>
      </c>
      <c r="F446" s="154"/>
      <c r="G446" s="154"/>
      <c r="H446" s="152"/>
      <c r="I446" s="152"/>
      <c r="J446" s="154"/>
      <c r="K446" s="154"/>
      <c r="L446" s="154"/>
      <c r="M446" s="154"/>
      <c r="N446" s="154"/>
      <c r="O446" s="154"/>
      <c r="P446" s="154"/>
      <c r="Q446" s="154"/>
      <c r="R446" s="154"/>
      <c r="S446" s="162"/>
      <c r="T446" s="162"/>
      <c r="U446" s="162"/>
      <c r="V446" s="162"/>
      <c r="W446" s="162"/>
      <c r="X446" s="163"/>
      <c r="Y446" s="163"/>
      <c r="Z446" s="163"/>
      <c r="AA446" s="163"/>
      <c r="AB446" s="163"/>
      <c r="AC446" s="163"/>
      <c r="AD446" s="164"/>
      <c r="AE446" s="148">
        <f>IF(SUM(S447)&gt;0,IFERROR(TRUNC(A446,0),0),0)</f>
        <v>0</v>
      </c>
      <c r="AF446" s="149"/>
      <c r="AG446" s="150"/>
      <c r="AH446" s="159"/>
      <c r="AI446" s="160"/>
      <c r="AJ446" s="105"/>
      <c r="AK446" s="105"/>
      <c r="AM446" s="105"/>
      <c r="AN446" s="105"/>
      <c r="AO446" s="105"/>
      <c r="AP446" s="105"/>
      <c r="AQ446" s="105"/>
      <c r="AR446" s="105"/>
    </row>
    <row r="447" spans="1:44" s="49" customFormat="1" ht="40.15" hidden="1" customHeight="1">
      <c r="A447" s="152">
        <f t="shared" ca="1" si="1117"/>
        <v>0</v>
      </c>
      <c r="B447" s="153">
        <v>95876</v>
      </c>
      <c r="C447" s="154" t="str">
        <f>TEXT(B447,"0")</f>
        <v>95876</v>
      </c>
      <c r="D447" s="154" t="s">
        <v>1416</v>
      </c>
      <c r="E447" s="155" t="s">
        <v>3537</v>
      </c>
      <c r="F447" s="154">
        <f>Dados_DMT!$B$15</f>
        <v>1</v>
      </c>
      <c r="G447" s="154" t="s">
        <v>3538</v>
      </c>
      <c r="H447" s="152">
        <v>2.09</v>
      </c>
      <c r="I447" s="152">
        <v>2.1</v>
      </c>
      <c r="J447" s="156"/>
      <c r="K447" s="156">
        <f>ROUND(Bacia_Amortecimento!J107*F447,2)</f>
        <v>0</v>
      </c>
      <c r="L447" s="156">
        <f>IF($K447&gt;$J447,$K447-$J447,0)</f>
        <v>0</v>
      </c>
      <c r="M447" s="156">
        <f>IF($K447&lt;$J447,$J447-$K447,0)</f>
        <v>0</v>
      </c>
      <c r="N447" s="156" t="s">
        <v>83</v>
      </c>
      <c r="O447" s="157" cm="1">
        <f t="array" ref="O447">TRUNC($H447*(1+_xlfn.SWITCH($N447,"BDI 1",$O$6,"BDI 2",$O$7,"BDI 3",$O$8)),2)</f>
        <v>2.52</v>
      </c>
      <c r="P447" s="157" cm="1">
        <f t="array" ref="P447">TRUNC($I447*(1+_xlfn.SWITCH($N447,"BDI 1",$P$6,"BDI 2",$P$7,"BDI 3",$P$8)),2)</f>
        <v>2.66</v>
      </c>
      <c r="Q447" s="157">
        <v>0</v>
      </c>
      <c r="R447" s="157">
        <v>0</v>
      </c>
      <c r="S447" s="156">
        <f>TRUNC($K447*$O447,2)</f>
        <v>0</v>
      </c>
      <c r="T447" s="156">
        <f>TRUNC($K447*$P447,2)</f>
        <v>0</v>
      </c>
      <c r="U447" s="156">
        <f>TRUNC($J447*$R447,2)</f>
        <v>0</v>
      </c>
      <c r="V447" s="156">
        <f>TRUNC($K447*$Q447,2)</f>
        <v>0</v>
      </c>
      <c r="W447" s="156">
        <f>TRUNC(V447-U447,2)</f>
        <v>0</v>
      </c>
      <c r="X447" s="158">
        <f>$S447/ORCAMENTO_VALOR_TOTAL_ND</f>
        <v>0</v>
      </c>
      <c r="Y447" s="158">
        <f>$T447/ORCAMENTO_VALOR_TOTAL_DE</f>
        <v>0</v>
      </c>
      <c r="Z447" s="158" cm="1">
        <f t="array" ref="Z447">_xlfn.SWITCH($N447,"BDI 1",$O$6,"BDI 2",$O$7,"BDI 3",$O$8)</f>
        <v>0.20699999999999999</v>
      </c>
      <c r="AA447" s="158" cm="1">
        <f t="array" ref="AA447">_xlfn.SWITCH($N447,"BDI 1",$P$6,"BDI 2",$P$7,"BDI 3",$P$8)</f>
        <v>0.26739999999999997</v>
      </c>
      <c r="AB447" s="158">
        <f ca="1">IFERROR($S447/_xlfn.XLOOKUP($AE447,$B$16:$B$38,$S$16:$S$38),0)</f>
        <v>0</v>
      </c>
      <c r="AC447" s="158">
        <f ca="1">IFERROR($T447/_xlfn.XLOOKUP($AE447,$B$16:$B$38,$T$16:$T$38),0)</f>
        <v>0</v>
      </c>
      <c r="AD447" s="164"/>
      <c r="AE447" s="148">
        <f t="shared" ref="AE447" si="1192">IF(S447&gt;0,IFERROR(TRUNC(A447,0),0),0)</f>
        <v>0</v>
      </c>
      <c r="AF447" s="149"/>
      <c r="AG447" s="150"/>
      <c r="AH447" s="159" t="e">
        <f>S447/$S$351</f>
        <v>#DIV/0!</v>
      </c>
      <c r="AI447" s="166">
        <f>IF(K447=0,0,K447/F447)</f>
        <v>0</v>
      </c>
      <c r="AJ447" s="105"/>
      <c r="AK447" s="105"/>
      <c r="AM447" s="105"/>
      <c r="AN447" s="105"/>
      <c r="AO447" s="105"/>
      <c r="AP447" s="105"/>
      <c r="AQ447" s="105"/>
      <c r="AR447" s="105"/>
    </row>
    <row r="448" spans="1:44" s="49" customFormat="1" ht="40.15" hidden="1" customHeight="1">
      <c r="A448" s="10">
        <f t="shared" ca="1" si="1117"/>
        <v>0</v>
      </c>
      <c r="B448" s="153"/>
      <c r="C448" s="154"/>
      <c r="D448" s="154"/>
      <c r="E448" s="161" t="s">
        <v>139</v>
      </c>
      <c r="F448" s="154"/>
      <c r="G448" s="154"/>
      <c r="H448" s="152"/>
      <c r="I448" s="152"/>
      <c r="J448" s="154"/>
      <c r="K448" s="154"/>
      <c r="L448" s="154"/>
      <c r="M448" s="154"/>
      <c r="N448" s="154"/>
      <c r="O448" s="154"/>
      <c r="P448" s="154"/>
      <c r="Q448" s="154"/>
      <c r="R448" s="154"/>
      <c r="S448" s="162"/>
      <c r="T448" s="162"/>
      <c r="U448" s="162"/>
      <c r="V448" s="162"/>
      <c r="W448" s="162"/>
      <c r="X448" s="163"/>
      <c r="Y448" s="163"/>
      <c r="Z448" s="163"/>
      <c r="AA448" s="163"/>
      <c r="AB448" s="163"/>
      <c r="AC448" s="163"/>
      <c r="AD448" s="164"/>
      <c r="AE448" s="148">
        <f>IF(SUM(S449:S450)&gt;0,IFERROR(TRUNC(A448,0),0),0)</f>
        <v>0</v>
      </c>
      <c r="AF448" s="149"/>
      <c r="AG448" s="150"/>
      <c r="AH448" s="159"/>
      <c r="AI448" s="160"/>
      <c r="AJ448" s="105"/>
      <c r="AK448" s="105"/>
      <c r="AM448" s="105"/>
      <c r="AN448" s="105"/>
      <c r="AO448" s="105"/>
      <c r="AP448" s="105"/>
      <c r="AQ448" s="105"/>
      <c r="AR448" s="105"/>
    </row>
    <row r="449" spans="1:44" s="49" customFormat="1" ht="40.15" hidden="1" customHeight="1">
      <c r="A449" s="152">
        <f t="shared" ca="1" si="1117"/>
        <v>0</v>
      </c>
      <c r="B449" s="153">
        <v>95876</v>
      </c>
      <c r="C449" s="154" t="str">
        <f>TEXT(B449,"0")</f>
        <v>95876</v>
      </c>
      <c r="D449" s="154" t="s">
        <v>1416</v>
      </c>
      <c r="E449" s="155" t="s">
        <v>3537</v>
      </c>
      <c r="F449" s="154">
        <f>IF(Dados_DMT!$B$14&lt;30,Dados_DMT!$B$14,30)</f>
        <v>3.5</v>
      </c>
      <c r="G449" s="154" t="s">
        <v>3538</v>
      </c>
      <c r="H449" s="152">
        <v>2.09</v>
      </c>
      <c r="I449" s="152">
        <v>2.1</v>
      </c>
      <c r="J449" s="156"/>
      <c r="K449" s="156">
        <f>ROUND(Bacia_Amortecimento!J108*F449,2)</f>
        <v>0</v>
      </c>
      <c r="L449" s="156">
        <f>IF($K449&gt;$J449,$K449-$J449,0)</f>
        <v>0</v>
      </c>
      <c r="M449" s="156">
        <f>IF($K449&lt;$J449,$J449-$K449,0)</f>
        <v>0</v>
      </c>
      <c r="N449" s="156" t="s">
        <v>83</v>
      </c>
      <c r="O449" s="157" cm="1">
        <f t="array" ref="O449">TRUNC($H449*(1+_xlfn.SWITCH($N449,"BDI 1",$O$6,"BDI 2",$O$7,"BDI 3",$O$8)),2)</f>
        <v>2.52</v>
      </c>
      <c r="P449" s="157" cm="1">
        <f t="array" ref="P449">TRUNC($I449*(1+_xlfn.SWITCH($N449,"BDI 1",$P$6,"BDI 2",$P$7,"BDI 3",$P$8)),2)</f>
        <v>2.66</v>
      </c>
      <c r="Q449" s="157">
        <v>0</v>
      </c>
      <c r="R449" s="157">
        <v>0</v>
      </c>
      <c r="S449" s="156">
        <f>TRUNC($K449*$O449,2)</f>
        <v>0</v>
      </c>
      <c r="T449" s="156">
        <f>TRUNC($K449*$P449,2)</f>
        <v>0</v>
      </c>
      <c r="U449" s="156">
        <f>TRUNC($J449*$R449,2)</f>
        <v>0</v>
      </c>
      <c r="V449" s="156">
        <f>TRUNC($K449*$Q449,2)</f>
        <v>0</v>
      </c>
      <c r="W449" s="156">
        <f>TRUNC(V449-U449,2)</f>
        <v>0</v>
      </c>
      <c r="X449" s="158">
        <f>$S449/ORCAMENTO_VALOR_TOTAL_ND</f>
        <v>0</v>
      </c>
      <c r="Y449" s="158">
        <f>$T449/ORCAMENTO_VALOR_TOTAL_DE</f>
        <v>0</v>
      </c>
      <c r="Z449" s="158" cm="1">
        <f t="array" ref="Z449">_xlfn.SWITCH($N449,"BDI 1",$O$6,"BDI 2",$O$7,"BDI 3",$O$8)</f>
        <v>0.20699999999999999</v>
      </c>
      <c r="AA449" s="158" cm="1">
        <f t="array" ref="AA449">_xlfn.SWITCH($N449,"BDI 1",$P$6,"BDI 2",$P$7,"BDI 3",$P$8)</f>
        <v>0.26739999999999997</v>
      </c>
      <c r="AB449" s="158">
        <f ca="1">IFERROR($S449/_xlfn.XLOOKUP($AE449,$B$16:$B$38,$S$16:$S$38),0)</f>
        <v>0</v>
      </c>
      <c r="AC449" s="158">
        <f ca="1">IFERROR($T449/_xlfn.XLOOKUP($AE449,$B$16:$B$38,$T$16:$T$38),0)</f>
        <v>0</v>
      </c>
      <c r="AD449" s="164"/>
      <c r="AE449" s="148">
        <f t="shared" ref="AE449:AE450" si="1193">IF(S449&gt;0,IFERROR(TRUNC(A449,0),0),0)</f>
        <v>0</v>
      </c>
      <c r="AF449" s="149"/>
      <c r="AG449" s="150"/>
      <c r="AH449" s="159" t="e">
        <f>S449/$S$351</f>
        <v>#DIV/0!</v>
      </c>
      <c r="AI449" s="166">
        <f>IF(K449=0,0,K449/F449)</f>
        <v>0</v>
      </c>
      <c r="AJ449" s="105"/>
      <c r="AK449" s="105"/>
      <c r="AM449" s="105"/>
      <c r="AN449" s="105"/>
      <c r="AO449" s="105"/>
      <c r="AP449" s="105"/>
      <c r="AQ449" s="105"/>
      <c r="AR449" s="105"/>
    </row>
    <row r="450" spans="1:44" s="49" customFormat="1" ht="40.15" hidden="1" customHeight="1">
      <c r="A450" s="152">
        <f t="shared" ca="1" si="1117"/>
        <v>0</v>
      </c>
      <c r="B450" s="153">
        <v>93593</v>
      </c>
      <c r="C450" s="154" t="str">
        <f>TEXT(B450,"0")</f>
        <v>93593</v>
      </c>
      <c r="D450" s="154" t="s">
        <v>1416</v>
      </c>
      <c r="E450" s="155" t="s">
        <v>3545</v>
      </c>
      <c r="F450" s="154">
        <f>Dados_DMT!$B$14-F449</f>
        <v>0</v>
      </c>
      <c r="G450" s="154" t="s">
        <v>3538</v>
      </c>
      <c r="H450" s="152">
        <v>0.84</v>
      </c>
      <c r="I450" s="152">
        <v>0.85</v>
      </c>
      <c r="J450" s="156"/>
      <c r="K450" s="156">
        <f>ROUND(Bacia_Amortecimento!J108*F450,2)</f>
        <v>0</v>
      </c>
      <c r="L450" s="156">
        <f>IF($K450&gt;$J450,$K450-$J450,0)</f>
        <v>0</v>
      </c>
      <c r="M450" s="156">
        <f>IF($K450&lt;$J450,$J450-$K450,0)</f>
        <v>0</v>
      </c>
      <c r="N450" s="156" t="s">
        <v>83</v>
      </c>
      <c r="O450" s="157" cm="1">
        <f t="array" ref="O450">TRUNC($H450*(1+_xlfn.SWITCH($N450,"BDI 1",$O$6,"BDI 2",$O$7,"BDI 3",$O$8)),2)</f>
        <v>1.01</v>
      </c>
      <c r="P450" s="157" cm="1">
        <f t="array" ref="P450">TRUNC($I450*(1+_xlfn.SWITCH($N450,"BDI 1",$P$6,"BDI 2",$P$7,"BDI 3",$P$8)),2)</f>
        <v>1.07</v>
      </c>
      <c r="Q450" s="157">
        <v>0</v>
      </c>
      <c r="R450" s="157">
        <v>0</v>
      </c>
      <c r="S450" s="156">
        <f>TRUNC($K450*$O450,2)</f>
        <v>0</v>
      </c>
      <c r="T450" s="156">
        <f>TRUNC($K450*$P450,2)</f>
        <v>0</v>
      </c>
      <c r="U450" s="156">
        <f>TRUNC($J450*$R450,2)</f>
        <v>0</v>
      </c>
      <c r="V450" s="156">
        <f>TRUNC($K450*$Q450,2)</f>
        <v>0</v>
      </c>
      <c r="W450" s="156">
        <f>TRUNC(V450-U450,2)</f>
        <v>0</v>
      </c>
      <c r="X450" s="158">
        <f>$S450/ORCAMENTO_VALOR_TOTAL_ND</f>
        <v>0</v>
      </c>
      <c r="Y450" s="158">
        <f>$T450/ORCAMENTO_VALOR_TOTAL_DE</f>
        <v>0</v>
      </c>
      <c r="Z450" s="158" cm="1">
        <f t="array" ref="Z450">_xlfn.SWITCH($N450,"BDI 1",$O$6,"BDI 2",$O$7,"BDI 3",$O$8)</f>
        <v>0.20699999999999999</v>
      </c>
      <c r="AA450" s="158" cm="1">
        <f t="array" ref="AA450">_xlfn.SWITCH($N450,"BDI 1",$P$6,"BDI 2",$P$7,"BDI 3",$P$8)</f>
        <v>0.26739999999999997</v>
      </c>
      <c r="AB450" s="158">
        <f ca="1">IFERROR($S450/_xlfn.XLOOKUP($AE450,$B$16:$B$38,$S$16:$S$38),0)</f>
        <v>0</v>
      </c>
      <c r="AC450" s="158">
        <f ca="1">IFERROR($T450/_xlfn.XLOOKUP($AE450,$B$16:$B$38,$T$16:$T$38),0)</f>
        <v>0</v>
      </c>
      <c r="AD450" s="164"/>
      <c r="AE450" s="148">
        <f t="shared" si="1193"/>
        <v>0</v>
      </c>
      <c r="AF450" s="149"/>
      <c r="AG450" s="150"/>
      <c r="AH450" s="159" t="e">
        <f>S450/$S$351</f>
        <v>#DIV/0!</v>
      </c>
      <c r="AI450" s="166">
        <f>IF(K450=0,0,K450/F450)</f>
        <v>0</v>
      </c>
      <c r="AJ450" s="105"/>
      <c r="AK450" s="105"/>
      <c r="AM450" s="105"/>
      <c r="AN450" s="105"/>
      <c r="AO450" s="105"/>
      <c r="AP450" s="105"/>
      <c r="AQ450" s="105"/>
      <c r="AR450" s="105"/>
    </row>
    <row r="451" spans="1:44" s="49" customFormat="1" ht="40.15" hidden="1" customHeight="1">
      <c r="A451" s="10">
        <f t="shared" ca="1" si="1117"/>
        <v>0</v>
      </c>
      <c r="B451" s="153"/>
      <c r="C451" s="154"/>
      <c r="D451" s="154"/>
      <c r="E451" s="161" t="s">
        <v>103</v>
      </c>
      <c r="F451" s="154"/>
      <c r="G451" s="154"/>
      <c r="H451" s="152"/>
      <c r="I451" s="152"/>
      <c r="J451" s="154"/>
      <c r="K451" s="154"/>
      <c r="L451" s="154"/>
      <c r="M451" s="154"/>
      <c r="N451" s="154"/>
      <c r="O451" s="154"/>
      <c r="P451" s="154"/>
      <c r="Q451" s="154"/>
      <c r="R451" s="154"/>
      <c r="S451" s="162"/>
      <c r="T451" s="162"/>
      <c r="U451" s="162"/>
      <c r="V451" s="162"/>
      <c r="W451" s="162"/>
      <c r="X451" s="163"/>
      <c r="Y451" s="163"/>
      <c r="Z451" s="163"/>
      <c r="AA451" s="163"/>
      <c r="AB451" s="163"/>
      <c r="AC451" s="163"/>
      <c r="AD451" s="164"/>
      <c r="AE451" s="148">
        <f>IF(SUM(S452:S453)&gt;0,IFERROR(TRUNC(A451,0),0),0)</f>
        <v>0</v>
      </c>
      <c r="AF451" s="149"/>
      <c r="AG451" s="150"/>
      <c r="AH451" s="159"/>
      <c r="AI451" s="160"/>
      <c r="AJ451" s="105"/>
      <c r="AK451" s="105"/>
      <c r="AM451" s="105"/>
      <c r="AN451" s="105"/>
      <c r="AO451" s="105"/>
      <c r="AP451" s="105"/>
      <c r="AQ451" s="105"/>
      <c r="AR451" s="105"/>
    </row>
    <row r="452" spans="1:44" s="49" customFormat="1" ht="40.15" hidden="1" customHeight="1">
      <c r="A452" s="152">
        <f t="shared" ca="1" si="1117"/>
        <v>0</v>
      </c>
      <c r="B452" s="153">
        <v>95876</v>
      </c>
      <c r="C452" s="154" t="str">
        <f>TEXT(B452,"0")</f>
        <v>95876</v>
      </c>
      <c r="D452" s="154" t="s">
        <v>1416</v>
      </c>
      <c r="E452" s="155" t="s">
        <v>3537</v>
      </c>
      <c r="F452" s="154">
        <f>IF(Dados_DMT!$B$34&lt;30,Dados_DMT!$B$34,30)</f>
        <v>30</v>
      </c>
      <c r="G452" s="154" t="s">
        <v>3538</v>
      </c>
      <c r="H452" s="152">
        <v>2.09</v>
      </c>
      <c r="I452" s="152">
        <v>2.1</v>
      </c>
      <c r="J452" s="156"/>
      <c r="K452" s="156">
        <f>ROUND(Bacia_Amortecimento!J109*F452,2)</f>
        <v>0</v>
      </c>
      <c r="L452" s="156">
        <f>IF($K452&gt;$J452,$K452-$J452,0)</f>
        <v>0</v>
      </c>
      <c r="M452" s="156">
        <f>IF($K452&lt;$J452,$J452-$K452,0)</f>
        <v>0</v>
      </c>
      <c r="N452" s="156" t="s">
        <v>83</v>
      </c>
      <c r="O452" s="157" cm="1">
        <f t="array" ref="O452">TRUNC($H452*(1+_xlfn.SWITCH($N452,"BDI 1",$O$6,"BDI 2",$O$7,"BDI 3",$O$8)),2)</f>
        <v>2.52</v>
      </c>
      <c r="P452" s="157" cm="1">
        <f t="array" ref="P452">TRUNC($I452*(1+_xlfn.SWITCH($N452,"BDI 1",$P$6,"BDI 2",$P$7,"BDI 3",$P$8)),2)</f>
        <v>2.66</v>
      </c>
      <c r="Q452" s="157">
        <v>0</v>
      </c>
      <c r="R452" s="157">
        <v>0</v>
      </c>
      <c r="S452" s="156">
        <f>TRUNC($K452*$O452,2)</f>
        <v>0</v>
      </c>
      <c r="T452" s="156">
        <f>TRUNC($K452*$P452,2)</f>
        <v>0</v>
      </c>
      <c r="U452" s="156">
        <f>TRUNC($J452*$R452,2)</f>
        <v>0</v>
      </c>
      <c r="V452" s="156">
        <f>TRUNC($K452*$Q452,2)</f>
        <v>0</v>
      </c>
      <c r="W452" s="156">
        <f>TRUNC(V452-U452,2)</f>
        <v>0</v>
      </c>
      <c r="X452" s="158">
        <f>$S452/ORCAMENTO_VALOR_TOTAL_ND</f>
        <v>0</v>
      </c>
      <c r="Y452" s="158">
        <f>$T452/ORCAMENTO_VALOR_TOTAL_DE</f>
        <v>0</v>
      </c>
      <c r="Z452" s="158" cm="1">
        <f t="array" ref="Z452">_xlfn.SWITCH($N452,"BDI 1",$O$6,"BDI 2",$O$7,"BDI 3",$O$8)</f>
        <v>0.20699999999999999</v>
      </c>
      <c r="AA452" s="158" cm="1">
        <f t="array" ref="AA452">_xlfn.SWITCH($N452,"BDI 1",$P$6,"BDI 2",$P$7,"BDI 3",$P$8)</f>
        <v>0.26739999999999997</v>
      </c>
      <c r="AB452" s="158">
        <f ca="1">IFERROR($S452/_xlfn.XLOOKUP($AE452,$B$16:$B$38,$S$16:$S$38),0)</f>
        <v>0</v>
      </c>
      <c r="AC452" s="158">
        <f ca="1">IFERROR($T452/_xlfn.XLOOKUP($AE452,$B$16:$B$38,$T$16:$T$38),0)</f>
        <v>0</v>
      </c>
      <c r="AD452" s="164"/>
      <c r="AE452" s="148">
        <f t="shared" ref="AE452:AE453" si="1194">IF(S452&gt;0,IFERROR(TRUNC(A452,0),0),0)</f>
        <v>0</v>
      </c>
      <c r="AF452" s="149"/>
      <c r="AG452" s="150"/>
      <c r="AH452" s="159" t="e">
        <f>S452/$S$351</f>
        <v>#DIV/0!</v>
      </c>
      <c r="AI452" s="166">
        <f>IF(K452=0,0,K452/F452)</f>
        <v>0</v>
      </c>
      <c r="AJ452" s="105"/>
      <c r="AK452" s="105"/>
      <c r="AM452" s="105"/>
      <c r="AN452" s="105"/>
      <c r="AO452" s="105"/>
      <c r="AP452" s="105"/>
      <c r="AQ452" s="105"/>
      <c r="AR452" s="105"/>
    </row>
    <row r="453" spans="1:44" s="49" customFormat="1" ht="40.15" hidden="1" customHeight="1">
      <c r="A453" s="152">
        <f t="shared" ca="1" si="1117"/>
        <v>0</v>
      </c>
      <c r="B453" s="153">
        <v>93593</v>
      </c>
      <c r="C453" s="154" t="str">
        <f>TEXT(B453,"0")</f>
        <v>93593</v>
      </c>
      <c r="D453" s="154" t="s">
        <v>1416</v>
      </c>
      <c r="E453" s="155" t="s">
        <v>3545</v>
      </c>
      <c r="F453" s="154">
        <f>Dados_DMT!$B$34-F452</f>
        <v>80</v>
      </c>
      <c r="G453" s="154" t="s">
        <v>3538</v>
      </c>
      <c r="H453" s="152">
        <v>0.84</v>
      </c>
      <c r="I453" s="152">
        <v>0.85</v>
      </c>
      <c r="J453" s="156"/>
      <c r="K453" s="156">
        <f>ROUND(Bacia_Amortecimento!J109*F453,2)</f>
        <v>0</v>
      </c>
      <c r="L453" s="156">
        <f>IF($K453&gt;$J453,$K453-$J453,0)</f>
        <v>0</v>
      </c>
      <c r="M453" s="156">
        <f>IF($K453&lt;$J453,$J453-$K453,0)</f>
        <v>0</v>
      </c>
      <c r="N453" s="156" t="s">
        <v>83</v>
      </c>
      <c r="O453" s="157" cm="1">
        <f t="array" ref="O453">TRUNC($H453*(1+_xlfn.SWITCH($N453,"BDI 1",$O$6,"BDI 2",$O$7,"BDI 3",$O$8)),2)</f>
        <v>1.01</v>
      </c>
      <c r="P453" s="157" cm="1">
        <f t="array" ref="P453">TRUNC($I453*(1+_xlfn.SWITCH($N453,"BDI 1",$P$6,"BDI 2",$P$7,"BDI 3",$P$8)),2)</f>
        <v>1.07</v>
      </c>
      <c r="Q453" s="157">
        <v>0</v>
      </c>
      <c r="R453" s="157">
        <v>0</v>
      </c>
      <c r="S453" s="156">
        <f>TRUNC($K453*$O453,2)</f>
        <v>0</v>
      </c>
      <c r="T453" s="156">
        <f>TRUNC($K453*$P453,2)</f>
        <v>0</v>
      </c>
      <c r="U453" s="156">
        <f>TRUNC($J453*$R453,2)</f>
        <v>0</v>
      </c>
      <c r="V453" s="156">
        <f>TRUNC($K453*$Q453,2)</f>
        <v>0</v>
      </c>
      <c r="W453" s="156">
        <f>TRUNC(V453-U453,2)</f>
        <v>0</v>
      </c>
      <c r="X453" s="158">
        <f>$S453/ORCAMENTO_VALOR_TOTAL_ND</f>
        <v>0</v>
      </c>
      <c r="Y453" s="158">
        <f>$T453/ORCAMENTO_VALOR_TOTAL_DE</f>
        <v>0</v>
      </c>
      <c r="Z453" s="158" cm="1">
        <f t="array" ref="Z453">_xlfn.SWITCH($N453,"BDI 1",$O$6,"BDI 2",$O$7,"BDI 3",$O$8)</f>
        <v>0.20699999999999999</v>
      </c>
      <c r="AA453" s="158" cm="1">
        <f t="array" ref="AA453">_xlfn.SWITCH($N453,"BDI 1",$P$6,"BDI 2",$P$7,"BDI 3",$P$8)</f>
        <v>0.26739999999999997</v>
      </c>
      <c r="AB453" s="158">
        <f ca="1">IFERROR($S453/_xlfn.XLOOKUP($AE453,$B$16:$B$38,$S$16:$S$38),0)</f>
        <v>0</v>
      </c>
      <c r="AC453" s="158">
        <f ca="1">IFERROR($T453/_xlfn.XLOOKUP($AE453,$B$16:$B$38,$T$16:$T$38),0)</f>
        <v>0</v>
      </c>
      <c r="AD453" s="164"/>
      <c r="AE453" s="148">
        <f t="shared" si="1194"/>
        <v>0</v>
      </c>
      <c r="AF453" s="149"/>
      <c r="AG453" s="150"/>
      <c r="AH453" s="159" t="e">
        <f>S453/$S$351</f>
        <v>#DIV/0!</v>
      </c>
      <c r="AI453" s="166">
        <f>IF(K453=0,0,K453/F453)</f>
        <v>0</v>
      </c>
      <c r="AJ453" s="105"/>
      <c r="AK453" s="105"/>
      <c r="AM453" s="105"/>
      <c r="AN453" s="105"/>
      <c r="AO453" s="105"/>
      <c r="AP453" s="105"/>
      <c r="AQ453" s="105"/>
      <c r="AR453" s="105"/>
    </row>
    <row r="454" spans="1:44" s="49" customFormat="1" ht="40.15" hidden="1" customHeight="1">
      <c r="A454" s="10">
        <f t="shared" ca="1" si="1117"/>
        <v>0</v>
      </c>
      <c r="B454" s="153"/>
      <c r="C454" s="154"/>
      <c r="D454" s="154"/>
      <c r="E454" s="155"/>
      <c r="F454" s="154"/>
      <c r="G454" s="154"/>
      <c r="H454" s="154"/>
      <c r="I454" s="154"/>
      <c r="J454" s="168"/>
      <c r="K454" s="168"/>
      <c r="L454" s="168"/>
      <c r="M454" s="168"/>
      <c r="N454" s="168"/>
      <c r="O454" s="157"/>
      <c r="P454" s="157"/>
      <c r="Q454" s="157"/>
      <c r="R454" s="157"/>
      <c r="S454" s="162"/>
      <c r="T454" s="162"/>
      <c r="U454" s="162"/>
      <c r="V454" s="162"/>
      <c r="W454" s="162"/>
      <c r="X454" s="163"/>
      <c r="Y454" s="163"/>
      <c r="Z454" s="163"/>
      <c r="AA454" s="163"/>
      <c r="AB454" s="163"/>
      <c r="AC454" s="163"/>
      <c r="AD454" s="164"/>
      <c r="AE454" s="148">
        <f>IF(S455&gt;0,IFERROR(TRUNC(A455,0),0),0)</f>
        <v>0</v>
      </c>
      <c r="AF454" s="149"/>
      <c r="AG454" s="150"/>
      <c r="AH454" s="159"/>
      <c r="AI454" s="208"/>
      <c r="AJ454" s="105"/>
      <c r="AK454" s="105"/>
      <c r="AM454" s="105"/>
      <c r="AN454" s="105"/>
      <c r="AO454" s="105"/>
      <c r="AP454" s="105"/>
      <c r="AQ454" s="105"/>
      <c r="AR454" s="105"/>
    </row>
    <row r="455" spans="1:44" s="105" customFormat="1" ht="40.15" hidden="1" customHeight="1">
      <c r="A455" s="169">
        <f ca="1">$B$24</f>
        <v>0</v>
      </c>
      <c r="B455" s="170"/>
      <c r="C455" s="171"/>
      <c r="D455" s="172"/>
      <c r="E455" s="173" t="str">
        <f>$D$24</f>
        <v>DRENAGEM DE LENÇOL FREÁTICO</v>
      </c>
      <c r="F455" s="174">
        <v>0</v>
      </c>
      <c r="G455" s="175"/>
      <c r="H455" s="176" t="s">
        <v>235</v>
      </c>
      <c r="I455" s="176" t="s">
        <v>235</v>
      </c>
      <c r="J455" s="177"/>
      <c r="K455" s="177"/>
      <c r="L455" s="177"/>
      <c r="M455" s="177"/>
      <c r="N455" s="177"/>
      <c r="O455" s="178" t="str">
        <f ca="1">CONCATENATE("SUB-TOTAL ",$A455)</f>
        <v>SUB-TOTAL 0</v>
      </c>
      <c r="P455" s="178" t="e" cm="1">
        <f t="array" ref="P455">TRUNC($I455*(1+_xlfn.SWITCH($N455,"BDI 1",$P$6,"BDI 2",$P$7,"BDI 3",$P$8)),2)</f>
        <v>#VALUE!</v>
      </c>
      <c r="Q455" s="178" t="str">
        <f ca="1">CONCATENATE("SUB-TOTAL ",$A455)</f>
        <v>SUB-TOTAL 0</v>
      </c>
      <c r="R455" s="178"/>
      <c r="S455" s="179">
        <f>SUM(S456:S492)</f>
        <v>0</v>
      </c>
      <c r="T455" s="179">
        <f>SUM(T456:T492)</f>
        <v>0</v>
      </c>
      <c r="U455" s="179">
        <f>SUM(U456:U492)</f>
        <v>0</v>
      </c>
      <c r="V455" s="179">
        <f>SUM(V456:V492)</f>
        <v>0</v>
      </c>
      <c r="W455" s="179">
        <f t="shared" ref="W455:W480" si="1195">TRUNC(V455-U455,2)</f>
        <v>0</v>
      </c>
      <c r="X455" s="180">
        <f t="shared" ref="X455" si="1196">$S455/ORCAMENTO_VALOR_TOTAL_ND</f>
        <v>0</v>
      </c>
      <c r="Y455" s="180">
        <f t="shared" ref="Y455" si="1197">$T455/ORCAMENTO_VALOR_TOTAL_DE</f>
        <v>0</v>
      </c>
      <c r="Z455" s="180"/>
      <c r="AA455" s="180"/>
      <c r="AB455" s="180">
        <f>IFERROR($S455/$S455,0)</f>
        <v>0</v>
      </c>
      <c r="AC455" s="180">
        <f>IFERROR($T455/$T455,0)</f>
        <v>0</v>
      </c>
      <c r="AD455" s="147"/>
      <c r="AE455" s="148">
        <f>IF(S455&gt;0,IFERROR(TRUNC(A455,0),0),0)</f>
        <v>0</v>
      </c>
      <c r="AF455" s="149"/>
      <c r="AG455" s="150"/>
      <c r="AH455" s="151" t="e">
        <f t="shared" ref="AH455:AH480" si="1198">S455/$S$455</f>
        <v>#DIV/0!</v>
      </c>
      <c r="AJ455" s="181" t="s">
        <v>105</v>
      </c>
      <c r="AK455" s="181" t="s">
        <v>106</v>
      </c>
    </row>
    <row r="456" spans="1:44" s="49" customFormat="1" ht="49.9" hidden="1" customHeight="1">
      <c r="A456" s="152">
        <f t="shared" ref="A456:A493" ca="1" si="1199">IF(K456&gt;0,A455+0.01,A455)</f>
        <v>0</v>
      </c>
      <c r="B456" s="153" t="s">
        <v>236</v>
      </c>
      <c r="C456" s="154" t="str">
        <f t="shared" ref="C456:C480" si="1200">TEXT(B456,"0")</f>
        <v>LF/0015</v>
      </c>
      <c r="D456" s="154" t="s">
        <v>3549</v>
      </c>
      <c r="E456" s="155" t="s">
        <v>3854</v>
      </c>
      <c r="F456" s="154"/>
      <c r="G456" s="154" t="s">
        <v>58</v>
      </c>
      <c r="H456" s="152">
        <v>37.86</v>
      </c>
      <c r="I456" s="152">
        <v>37.28</v>
      </c>
      <c r="J456" s="156"/>
      <c r="K456" s="156">
        <f>+Dre_Profunda!I4</f>
        <v>0</v>
      </c>
      <c r="L456" s="156">
        <f t="shared" ref="L456:L480" si="1201">IF($K456&gt;$J456,$K456-$J456,0)</f>
        <v>0</v>
      </c>
      <c r="M456" s="156">
        <f t="shared" ref="M456:M480" si="1202">IF($K456&lt;$J456,$J456-$K456,0)</f>
        <v>0</v>
      </c>
      <c r="N456" s="156" t="s">
        <v>83</v>
      </c>
      <c r="O456" s="157" cm="1">
        <f t="array" ref="O456">TRUNC($H456*(1+_xlfn.SWITCH($N456,"BDI 1",$O$6,"BDI 2",$O$7,"BDI 3",$O$8)),2)</f>
        <v>45.69</v>
      </c>
      <c r="P456" s="157" cm="1">
        <f t="array" ref="P456">TRUNC($I456*(1+_xlfn.SWITCH($N456,"BDI 1",$P$6,"BDI 2",$P$7,"BDI 3",$P$8)),2)</f>
        <v>47.24</v>
      </c>
      <c r="Q456" s="157">
        <v>0</v>
      </c>
      <c r="R456" s="157">
        <f t="shared" ref="R456" si="1203">$Q456-($Q456*LICITACAO_DESCONTO)</f>
        <v>0</v>
      </c>
      <c r="S456" s="156">
        <f t="shared" ref="S456:S480" si="1204">TRUNC($K456*$O456,2)</f>
        <v>0</v>
      </c>
      <c r="T456" s="156">
        <f t="shared" ref="T456:T480" si="1205">TRUNC($K456*$P456,2)</f>
        <v>0</v>
      </c>
      <c r="U456" s="156">
        <f t="shared" ref="U456:U480" si="1206">TRUNC($J456*$R456,2)</f>
        <v>0</v>
      </c>
      <c r="V456" s="156">
        <f t="shared" ref="V456:V480" si="1207">TRUNC($K456*$Q456,2)</f>
        <v>0</v>
      </c>
      <c r="W456" s="156">
        <f t="shared" si="1195"/>
        <v>0</v>
      </c>
      <c r="X456" s="158">
        <f t="shared" ref="X456" si="1208">$S456/ORCAMENTO_VALOR_TOTAL_ND</f>
        <v>0</v>
      </c>
      <c r="Y456" s="158">
        <f t="shared" ref="Y456" si="1209">$T456/ORCAMENTO_VALOR_TOTAL_DE</f>
        <v>0</v>
      </c>
      <c r="Z456" s="158" cm="1">
        <f t="array" ref="Z456">_xlfn.SWITCH($N456,"BDI 1",$O$6,"BDI 2",$O$7,"BDI 3",$O$8)</f>
        <v>0.20699999999999999</v>
      </c>
      <c r="AA456" s="158" cm="1">
        <f t="array" ref="AA456">_xlfn.SWITCH($N456,"BDI 1",$P$6,"BDI 2",$P$7,"BDI 3",$P$8)</f>
        <v>0.26739999999999997</v>
      </c>
      <c r="AB456" s="158">
        <f ca="1">IFERROR($S456/_xlfn.XLOOKUP($AE456,$B$16:$B$38,$S$16:$S$38),0)</f>
        <v>0</v>
      </c>
      <c r="AC456" s="158">
        <f ca="1">IFERROR($T456/_xlfn.XLOOKUP($AE456,$B$16:$B$38,$T$16:$T$38),0)</f>
        <v>0</v>
      </c>
      <c r="AD456" s="164"/>
      <c r="AE456" s="148">
        <f>IF(S456&gt;0,IFERROR(TRUNC(A456,0),0),0)</f>
        <v>0</v>
      </c>
      <c r="AF456" s="149"/>
      <c r="AG456" s="150"/>
      <c r="AH456" s="159" t="e">
        <f t="shared" si="1198"/>
        <v>#DIV/0!</v>
      </c>
      <c r="AI456" s="160"/>
      <c r="AJ456" s="198">
        <v>173</v>
      </c>
      <c r="AK456" s="183">
        <f>+K456/AJ456</f>
        <v>0</v>
      </c>
      <c r="AM456" s="105"/>
      <c r="AN456" s="105"/>
      <c r="AO456" s="105"/>
      <c r="AP456" s="105"/>
      <c r="AQ456" s="105"/>
      <c r="AR456" s="105"/>
    </row>
    <row r="457" spans="1:44" s="49" customFormat="1" ht="49.9" hidden="1" customHeight="1">
      <c r="A457" s="152">
        <f t="shared" ca="1" si="1199"/>
        <v>0</v>
      </c>
      <c r="B457" s="153" t="s">
        <v>237</v>
      </c>
      <c r="C457" s="154" t="str">
        <f t="shared" si="1200"/>
        <v>LF/0020</v>
      </c>
      <c r="D457" s="154" t="s">
        <v>3549</v>
      </c>
      <c r="E457" s="155" t="s">
        <v>3855</v>
      </c>
      <c r="F457" s="154"/>
      <c r="G457" s="154" t="s">
        <v>58</v>
      </c>
      <c r="H457" s="152">
        <v>67.41</v>
      </c>
      <c r="I457" s="152">
        <v>66.290000000000006</v>
      </c>
      <c r="J457" s="156"/>
      <c r="K457" s="156">
        <f>+Dre_Profunda!I5</f>
        <v>0</v>
      </c>
      <c r="L457" s="156">
        <f t="shared" si="1201"/>
        <v>0</v>
      </c>
      <c r="M457" s="156">
        <f t="shared" si="1202"/>
        <v>0</v>
      </c>
      <c r="N457" s="156" t="s">
        <v>83</v>
      </c>
      <c r="O457" s="157" cm="1">
        <f t="array" ref="O457">TRUNC($H457*(1+_xlfn.SWITCH($N457,"BDI 1",$O$6,"BDI 2",$O$7,"BDI 3",$O$8)),2)</f>
        <v>81.36</v>
      </c>
      <c r="P457" s="157" cm="1">
        <f t="array" ref="P457">TRUNC($I457*(1+_xlfn.SWITCH($N457,"BDI 1",$P$6,"BDI 2",$P$7,"BDI 3",$P$8)),2)</f>
        <v>84.01</v>
      </c>
      <c r="Q457" s="157">
        <v>0</v>
      </c>
      <c r="R457" s="157">
        <f t="shared" ref="R457" si="1210">$Q457-($Q457*LICITACAO_DESCONTO)</f>
        <v>0</v>
      </c>
      <c r="S457" s="156">
        <f t="shared" si="1204"/>
        <v>0</v>
      </c>
      <c r="T457" s="156">
        <f t="shared" si="1205"/>
        <v>0</v>
      </c>
      <c r="U457" s="156">
        <f t="shared" si="1206"/>
        <v>0</v>
      </c>
      <c r="V457" s="156">
        <f t="shared" si="1207"/>
        <v>0</v>
      </c>
      <c r="W457" s="156">
        <f t="shared" si="1195"/>
        <v>0</v>
      </c>
      <c r="X457" s="158">
        <f t="shared" ref="X457" si="1211">$S457/ORCAMENTO_VALOR_TOTAL_ND</f>
        <v>0</v>
      </c>
      <c r="Y457" s="158">
        <f t="shared" ref="Y457" si="1212">$T457/ORCAMENTO_VALOR_TOTAL_DE</f>
        <v>0</v>
      </c>
      <c r="Z457" s="158" cm="1">
        <f t="array" ref="Z457">_xlfn.SWITCH($N457,"BDI 1",$O$6,"BDI 2",$O$7,"BDI 3",$O$8)</f>
        <v>0.20699999999999999</v>
      </c>
      <c r="AA457" s="158" cm="1">
        <f t="array" ref="AA457">_xlfn.SWITCH($N457,"BDI 1",$P$6,"BDI 2",$P$7,"BDI 3",$P$8)</f>
        <v>0.26739999999999997</v>
      </c>
      <c r="AB457" s="158">
        <f t="shared" ref="AB457:AB472" ca="1" si="1213">IFERROR($S457/_xlfn.XLOOKUP($AE457,$B$16:$B$38,$S$16:$S$38),0)</f>
        <v>0</v>
      </c>
      <c r="AC457" s="158">
        <f t="shared" ref="AC457:AC472" ca="1" si="1214">IFERROR($T457/_xlfn.XLOOKUP($AE457,$B$16:$B$38,$T$16:$T$38),0)</f>
        <v>0</v>
      </c>
      <c r="AD457" s="164"/>
      <c r="AE457" s="148">
        <f t="shared" ref="AE457:AE472" si="1215">IF(S457&gt;0,IFERROR(TRUNC(A457,0),0),0)</f>
        <v>0</v>
      </c>
      <c r="AF457" s="149"/>
      <c r="AG457" s="150"/>
      <c r="AH457" s="159" t="e">
        <f t="shared" si="1198"/>
        <v>#DIV/0!</v>
      </c>
      <c r="AI457" s="160"/>
      <c r="AJ457" s="198">
        <v>132</v>
      </c>
      <c r="AK457" s="183">
        <f>+K457/AJ457</f>
        <v>0</v>
      </c>
      <c r="AM457" s="105"/>
      <c r="AN457" s="105"/>
      <c r="AO457" s="105"/>
      <c r="AP457" s="105"/>
      <c r="AQ457" s="105"/>
      <c r="AR457" s="105"/>
    </row>
    <row r="458" spans="1:44" s="49" customFormat="1" ht="49.9" hidden="1" customHeight="1">
      <c r="A458" s="152">
        <f t="shared" ca="1" si="1199"/>
        <v>0</v>
      </c>
      <c r="B458" s="153" t="s">
        <v>238</v>
      </c>
      <c r="C458" s="154" t="str">
        <f t="shared" si="1200"/>
        <v>LF/0025</v>
      </c>
      <c r="D458" s="154" t="s">
        <v>3549</v>
      </c>
      <c r="E458" s="155" t="s">
        <v>3856</v>
      </c>
      <c r="F458" s="154"/>
      <c r="G458" s="154" t="s">
        <v>58</v>
      </c>
      <c r="H458" s="152">
        <v>92.01</v>
      </c>
      <c r="I458" s="152">
        <v>90.43</v>
      </c>
      <c r="J458" s="156"/>
      <c r="K458" s="156">
        <f>+Dre_Profunda!I6</f>
        <v>0</v>
      </c>
      <c r="L458" s="156">
        <f t="shared" si="1201"/>
        <v>0</v>
      </c>
      <c r="M458" s="156">
        <f t="shared" si="1202"/>
        <v>0</v>
      </c>
      <c r="N458" s="156" t="s">
        <v>83</v>
      </c>
      <c r="O458" s="157" cm="1">
        <f t="array" ref="O458">TRUNC($H458*(1+_xlfn.SWITCH($N458,"BDI 1",$O$6,"BDI 2",$O$7,"BDI 3",$O$8)),2)</f>
        <v>111.05</v>
      </c>
      <c r="P458" s="157" cm="1">
        <f t="array" ref="P458">TRUNC($I458*(1+_xlfn.SWITCH($N458,"BDI 1",$P$6,"BDI 2",$P$7,"BDI 3",$P$8)),2)</f>
        <v>114.61</v>
      </c>
      <c r="Q458" s="157">
        <v>0</v>
      </c>
      <c r="R458" s="157">
        <f t="shared" ref="R458" si="1216">$Q458-($Q458*LICITACAO_DESCONTO)</f>
        <v>0</v>
      </c>
      <c r="S458" s="156">
        <f t="shared" si="1204"/>
        <v>0</v>
      </c>
      <c r="T458" s="156">
        <f t="shared" si="1205"/>
        <v>0</v>
      </c>
      <c r="U458" s="156">
        <f t="shared" si="1206"/>
        <v>0</v>
      </c>
      <c r="V458" s="156">
        <f t="shared" si="1207"/>
        <v>0</v>
      </c>
      <c r="W458" s="156">
        <f t="shared" si="1195"/>
        <v>0</v>
      </c>
      <c r="X458" s="158">
        <f t="shared" ref="X458" si="1217">$S458/ORCAMENTO_VALOR_TOTAL_ND</f>
        <v>0</v>
      </c>
      <c r="Y458" s="158">
        <f t="shared" ref="Y458" si="1218">$T458/ORCAMENTO_VALOR_TOTAL_DE</f>
        <v>0</v>
      </c>
      <c r="Z458" s="158" cm="1">
        <f t="array" ref="Z458">_xlfn.SWITCH($N458,"BDI 1",$O$6,"BDI 2",$O$7,"BDI 3",$O$8)</f>
        <v>0.20699999999999999</v>
      </c>
      <c r="AA458" s="158" cm="1">
        <f t="array" ref="AA458">_xlfn.SWITCH($N458,"BDI 1",$P$6,"BDI 2",$P$7,"BDI 3",$P$8)</f>
        <v>0.26739999999999997</v>
      </c>
      <c r="AB458" s="158">
        <f t="shared" ca="1" si="1213"/>
        <v>0</v>
      </c>
      <c r="AC458" s="158">
        <f t="shared" ca="1" si="1214"/>
        <v>0</v>
      </c>
      <c r="AD458" s="164"/>
      <c r="AE458" s="148">
        <f t="shared" si="1215"/>
        <v>0</v>
      </c>
      <c r="AF458" s="149"/>
      <c r="AG458" s="150"/>
      <c r="AH458" s="159" t="e">
        <f t="shared" si="1198"/>
        <v>#DIV/0!</v>
      </c>
      <c r="AI458" s="160"/>
      <c r="AJ458" s="198">
        <v>113</v>
      </c>
      <c r="AK458" s="183">
        <f>+K458/AJ458</f>
        <v>0</v>
      </c>
      <c r="AM458" s="105"/>
      <c r="AN458" s="105"/>
      <c r="AO458" s="105"/>
      <c r="AP458" s="105"/>
      <c r="AQ458" s="105"/>
      <c r="AR458" s="105"/>
    </row>
    <row r="459" spans="1:44" s="49" customFormat="1" ht="49.9" hidden="1" customHeight="1">
      <c r="A459" s="152">
        <f t="shared" ca="1" si="1199"/>
        <v>0</v>
      </c>
      <c r="B459" s="153" t="s">
        <v>239</v>
      </c>
      <c r="C459" s="154" t="str">
        <f t="shared" si="1200"/>
        <v>LF/0030</v>
      </c>
      <c r="D459" s="154" t="s">
        <v>3549</v>
      </c>
      <c r="E459" s="155" t="s">
        <v>3857</v>
      </c>
      <c r="F459" s="154"/>
      <c r="G459" s="154" t="s">
        <v>58</v>
      </c>
      <c r="H459" s="152">
        <v>98.71</v>
      </c>
      <c r="I459" s="152">
        <v>96.12</v>
      </c>
      <c r="J459" s="156"/>
      <c r="K459" s="156">
        <f>+Dre_Profunda!I7</f>
        <v>0</v>
      </c>
      <c r="L459" s="156">
        <f t="shared" si="1201"/>
        <v>0</v>
      </c>
      <c r="M459" s="156">
        <f t="shared" si="1202"/>
        <v>0</v>
      </c>
      <c r="N459" s="156" t="s">
        <v>83</v>
      </c>
      <c r="O459" s="157" cm="1">
        <f t="array" ref="O459">TRUNC($H459*(1+_xlfn.SWITCH($N459,"BDI 1",$O$6,"BDI 2",$O$7,"BDI 3",$O$8)),2)</f>
        <v>119.14</v>
      </c>
      <c r="P459" s="157" cm="1">
        <f t="array" ref="P459">TRUNC($I459*(1+_xlfn.SWITCH($N459,"BDI 1",$P$6,"BDI 2",$P$7,"BDI 3",$P$8)),2)</f>
        <v>121.82</v>
      </c>
      <c r="Q459" s="157">
        <v>0</v>
      </c>
      <c r="R459" s="157">
        <f t="shared" ref="R459" si="1219">$Q459-($Q459*LICITACAO_DESCONTO)</f>
        <v>0</v>
      </c>
      <c r="S459" s="156">
        <f t="shared" si="1204"/>
        <v>0</v>
      </c>
      <c r="T459" s="156">
        <f t="shared" si="1205"/>
        <v>0</v>
      </c>
      <c r="U459" s="156">
        <f t="shared" si="1206"/>
        <v>0</v>
      </c>
      <c r="V459" s="156">
        <f t="shared" si="1207"/>
        <v>0</v>
      </c>
      <c r="W459" s="156">
        <f t="shared" si="1195"/>
        <v>0</v>
      </c>
      <c r="X459" s="158">
        <f t="shared" ref="X459" si="1220">$S459/ORCAMENTO_VALOR_TOTAL_ND</f>
        <v>0</v>
      </c>
      <c r="Y459" s="158">
        <f t="shared" ref="Y459" si="1221">$T459/ORCAMENTO_VALOR_TOTAL_DE</f>
        <v>0</v>
      </c>
      <c r="Z459" s="158" cm="1">
        <f t="array" ref="Z459">_xlfn.SWITCH($N459,"BDI 1",$O$6,"BDI 2",$O$7,"BDI 3",$O$8)</f>
        <v>0.20699999999999999</v>
      </c>
      <c r="AA459" s="158" cm="1">
        <f t="array" ref="AA459">_xlfn.SWITCH($N459,"BDI 1",$P$6,"BDI 2",$P$7,"BDI 3",$P$8)</f>
        <v>0.26739999999999997</v>
      </c>
      <c r="AB459" s="158">
        <f t="shared" ca="1" si="1213"/>
        <v>0</v>
      </c>
      <c r="AC459" s="158">
        <f t="shared" ca="1" si="1214"/>
        <v>0</v>
      </c>
      <c r="AD459" s="164"/>
      <c r="AE459" s="148">
        <f t="shared" si="1215"/>
        <v>0</v>
      </c>
      <c r="AF459" s="149"/>
      <c r="AG459" s="150"/>
      <c r="AH459" s="159" t="e">
        <f t="shared" si="1198"/>
        <v>#DIV/0!</v>
      </c>
      <c r="AI459" s="160"/>
      <c r="AJ459" s="198">
        <v>29.98</v>
      </c>
      <c r="AK459" s="183">
        <f>+K459/AJ459</f>
        <v>0</v>
      </c>
      <c r="AM459" s="105"/>
      <c r="AN459" s="105"/>
      <c r="AO459" s="105"/>
      <c r="AP459" s="105"/>
      <c r="AQ459" s="105"/>
      <c r="AR459" s="105"/>
    </row>
    <row r="460" spans="1:44" s="49" customFormat="1" ht="49.9" hidden="1" customHeight="1">
      <c r="A460" s="152">
        <f t="shared" ca="1" si="1199"/>
        <v>0</v>
      </c>
      <c r="B460" s="153" t="s">
        <v>240</v>
      </c>
      <c r="C460" s="154" t="str">
        <f t="shared" si="1200"/>
        <v>LF/0035</v>
      </c>
      <c r="D460" s="154" t="s">
        <v>3549</v>
      </c>
      <c r="E460" s="155" t="s">
        <v>3858</v>
      </c>
      <c r="F460" s="154"/>
      <c r="G460" s="154" t="s">
        <v>58</v>
      </c>
      <c r="H460" s="152">
        <v>175.47</v>
      </c>
      <c r="I460" s="152">
        <v>170.97</v>
      </c>
      <c r="J460" s="156"/>
      <c r="K460" s="156">
        <f>+Dre_Profunda!I8</f>
        <v>0</v>
      </c>
      <c r="L460" s="156">
        <f t="shared" si="1201"/>
        <v>0</v>
      </c>
      <c r="M460" s="156">
        <f t="shared" si="1202"/>
        <v>0</v>
      </c>
      <c r="N460" s="156" t="s">
        <v>83</v>
      </c>
      <c r="O460" s="157" cm="1">
        <f t="array" ref="O460">TRUNC($H460*(1+_xlfn.SWITCH($N460,"BDI 1",$O$6,"BDI 2",$O$7,"BDI 3",$O$8)),2)</f>
        <v>211.79</v>
      </c>
      <c r="P460" s="157" cm="1">
        <f t="array" ref="P460">TRUNC($I460*(1+_xlfn.SWITCH($N460,"BDI 1",$P$6,"BDI 2",$P$7,"BDI 3",$P$8)),2)</f>
        <v>216.68</v>
      </c>
      <c r="Q460" s="157">
        <v>0</v>
      </c>
      <c r="R460" s="157">
        <f t="shared" ref="R460" si="1222">$Q460-($Q460*LICITACAO_DESCONTO)</f>
        <v>0</v>
      </c>
      <c r="S460" s="156">
        <f t="shared" si="1204"/>
        <v>0</v>
      </c>
      <c r="T460" s="156">
        <f t="shared" si="1205"/>
        <v>0</v>
      </c>
      <c r="U460" s="156">
        <f t="shared" si="1206"/>
        <v>0</v>
      </c>
      <c r="V460" s="156">
        <f t="shared" si="1207"/>
        <v>0</v>
      </c>
      <c r="W460" s="156">
        <f t="shared" si="1195"/>
        <v>0</v>
      </c>
      <c r="X460" s="158">
        <f t="shared" ref="X460" si="1223">$S460/ORCAMENTO_VALOR_TOTAL_ND</f>
        <v>0</v>
      </c>
      <c r="Y460" s="158">
        <f t="shared" ref="Y460" si="1224">$T460/ORCAMENTO_VALOR_TOTAL_DE</f>
        <v>0</v>
      </c>
      <c r="Z460" s="158" cm="1">
        <f t="array" ref="Z460">_xlfn.SWITCH($N460,"BDI 1",$O$6,"BDI 2",$O$7,"BDI 3",$O$8)</f>
        <v>0.20699999999999999</v>
      </c>
      <c r="AA460" s="158" cm="1">
        <f t="array" ref="AA460">_xlfn.SWITCH($N460,"BDI 1",$P$6,"BDI 2",$P$7,"BDI 3",$P$8)</f>
        <v>0.26739999999999997</v>
      </c>
      <c r="AB460" s="158">
        <f t="shared" ca="1" si="1213"/>
        <v>0</v>
      </c>
      <c r="AC460" s="158">
        <f t="shared" ca="1" si="1214"/>
        <v>0</v>
      </c>
      <c r="AD460" s="164"/>
      <c r="AE460" s="148">
        <f t="shared" si="1215"/>
        <v>0</v>
      </c>
      <c r="AF460" s="149"/>
      <c r="AG460" s="150"/>
      <c r="AH460" s="159" t="e">
        <f t="shared" si="1198"/>
        <v>#DIV/0!</v>
      </c>
      <c r="AI460" s="160"/>
      <c r="AJ460" s="198">
        <v>19.989999999999998</v>
      </c>
      <c r="AK460" s="183">
        <f>+K460/AJ460</f>
        <v>0</v>
      </c>
      <c r="AM460" s="105"/>
      <c r="AN460" s="105"/>
      <c r="AO460" s="105"/>
      <c r="AP460" s="105"/>
      <c r="AQ460" s="105"/>
      <c r="AR460" s="105"/>
    </row>
    <row r="461" spans="1:44" s="49" customFormat="1" ht="40.15" hidden="1" customHeight="1">
      <c r="A461" s="152">
        <f t="shared" ca="1" si="1199"/>
        <v>0</v>
      </c>
      <c r="B461" s="153" t="s">
        <v>211</v>
      </c>
      <c r="C461" s="154" t="str">
        <f t="shared" si="1200"/>
        <v>LF/0040</v>
      </c>
      <c r="D461" s="154" t="s">
        <v>3549</v>
      </c>
      <c r="E461" s="155" t="s">
        <v>3817</v>
      </c>
      <c r="F461" s="154"/>
      <c r="G461" s="154" t="s">
        <v>58</v>
      </c>
      <c r="H461" s="152">
        <v>32.57</v>
      </c>
      <c r="I461" s="152">
        <v>30.58</v>
      </c>
      <c r="J461" s="156"/>
      <c r="K461" s="156">
        <f>+Dre_Profunda!I18</f>
        <v>0</v>
      </c>
      <c r="L461" s="156">
        <f t="shared" si="1201"/>
        <v>0</v>
      </c>
      <c r="M461" s="156">
        <f t="shared" si="1202"/>
        <v>0</v>
      </c>
      <c r="N461" s="156" t="s">
        <v>83</v>
      </c>
      <c r="O461" s="157" cm="1">
        <f t="array" ref="O461">TRUNC($H461*(1+_xlfn.SWITCH($N461,"BDI 1",$O$6,"BDI 2",$O$7,"BDI 3",$O$8)),2)</f>
        <v>39.31</v>
      </c>
      <c r="P461" s="157" cm="1">
        <f t="array" ref="P461">TRUNC($I461*(1+_xlfn.SWITCH($N461,"BDI 1",$P$6,"BDI 2",$P$7,"BDI 3",$P$8)),2)</f>
        <v>38.75</v>
      </c>
      <c r="Q461" s="157">
        <v>0</v>
      </c>
      <c r="R461" s="157">
        <f t="shared" ref="R461" si="1225">$Q461-($Q461*LICITACAO_DESCONTO)</f>
        <v>0</v>
      </c>
      <c r="S461" s="156">
        <f t="shared" si="1204"/>
        <v>0</v>
      </c>
      <c r="T461" s="156">
        <f t="shared" si="1205"/>
        <v>0</v>
      </c>
      <c r="U461" s="156">
        <f t="shared" si="1206"/>
        <v>0</v>
      </c>
      <c r="V461" s="156">
        <f t="shared" si="1207"/>
        <v>0</v>
      </c>
      <c r="W461" s="156">
        <f t="shared" si="1195"/>
        <v>0</v>
      </c>
      <c r="X461" s="158">
        <f t="shared" ref="X461" si="1226">$S461/ORCAMENTO_VALOR_TOTAL_ND</f>
        <v>0</v>
      </c>
      <c r="Y461" s="158">
        <f t="shared" ref="Y461" si="1227">$T461/ORCAMENTO_VALOR_TOTAL_DE</f>
        <v>0</v>
      </c>
      <c r="Z461" s="158" cm="1">
        <f t="array" ref="Z461">_xlfn.SWITCH($N461,"BDI 1",$O$6,"BDI 2",$O$7,"BDI 3",$O$8)</f>
        <v>0.20699999999999999</v>
      </c>
      <c r="AA461" s="158" cm="1">
        <f t="array" ref="AA461">_xlfn.SWITCH($N461,"BDI 1",$P$6,"BDI 2",$P$7,"BDI 3",$P$8)</f>
        <v>0.26739999999999997</v>
      </c>
      <c r="AB461" s="158">
        <f t="shared" ca="1" si="1213"/>
        <v>0</v>
      </c>
      <c r="AC461" s="158">
        <f t="shared" ca="1" si="1214"/>
        <v>0</v>
      </c>
      <c r="AD461" s="164"/>
      <c r="AE461" s="148">
        <f t="shared" si="1215"/>
        <v>0</v>
      </c>
      <c r="AF461" s="149"/>
      <c r="AG461" s="150"/>
      <c r="AH461" s="159" t="e">
        <f t="shared" si="1198"/>
        <v>#DIV/0!</v>
      </c>
      <c r="AI461" s="160"/>
      <c r="AJ461" s="207"/>
      <c r="AK461" s="183"/>
      <c r="AM461" s="105"/>
      <c r="AN461" s="105"/>
      <c r="AO461" s="105"/>
      <c r="AP461" s="105"/>
      <c r="AQ461" s="105"/>
      <c r="AR461" s="105"/>
    </row>
    <row r="462" spans="1:44" s="49" customFormat="1" ht="40.15" hidden="1" customHeight="1">
      <c r="A462" s="152">
        <f t="shared" ca="1" si="1199"/>
        <v>0</v>
      </c>
      <c r="B462" s="153" t="s">
        <v>241</v>
      </c>
      <c r="C462" s="154" t="str">
        <f t="shared" si="1200"/>
        <v>LF/0045</v>
      </c>
      <c r="D462" s="154" t="s">
        <v>3549</v>
      </c>
      <c r="E462" s="155" t="s">
        <v>3859</v>
      </c>
      <c r="F462" s="154"/>
      <c r="G462" s="154" t="s">
        <v>58</v>
      </c>
      <c r="H462" s="152">
        <v>45.06</v>
      </c>
      <c r="I462" s="152">
        <v>43.07</v>
      </c>
      <c r="J462" s="156"/>
      <c r="K462" s="156">
        <f>+Dre_Profunda!I19</f>
        <v>0</v>
      </c>
      <c r="L462" s="156">
        <f t="shared" si="1201"/>
        <v>0</v>
      </c>
      <c r="M462" s="156">
        <f t="shared" si="1202"/>
        <v>0</v>
      </c>
      <c r="N462" s="156" t="s">
        <v>83</v>
      </c>
      <c r="O462" s="157" cm="1">
        <f t="array" ref="O462">TRUNC($H462*(1+_xlfn.SWITCH($N462,"BDI 1",$O$6,"BDI 2",$O$7,"BDI 3",$O$8)),2)</f>
        <v>54.38</v>
      </c>
      <c r="P462" s="157" cm="1">
        <f t="array" ref="P462">TRUNC($I462*(1+_xlfn.SWITCH($N462,"BDI 1",$P$6,"BDI 2",$P$7,"BDI 3",$P$8)),2)</f>
        <v>54.58</v>
      </c>
      <c r="Q462" s="157">
        <v>0</v>
      </c>
      <c r="R462" s="157">
        <f t="shared" ref="R462" si="1228">$Q462-($Q462*LICITACAO_DESCONTO)</f>
        <v>0</v>
      </c>
      <c r="S462" s="156">
        <f t="shared" si="1204"/>
        <v>0</v>
      </c>
      <c r="T462" s="156">
        <f t="shared" si="1205"/>
        <v>0</v>
      </c>
      <c r="U462" s="156">
        <f t="shared" si="1206"/>
        <v>0</v>
      </c>
      <c r="V462" s="156">
        <f t="shared" si="1207"/>
        <v>0</v>
      </c>
      <c r="W462" s="156">
        <f t="shared" si="1195"/>
        <v>0</v>
      </c>
      <c r="X462" s="158">
        <f t="shared" ref="X462" si="1229">$S462/ORCAMENTO_VALOR_TOTAL_ND</f>
        <v>0</v>
      </c>
      <c r="Y462" s="158">
        <f t="shared" ref="Y462" si="1230">$T462/ORCAMENTO_VALOR_TOTAL_DE</f>
        <v>0</v>
      </c>
      <c r="Z462" s="158" cm="1">
        <f t="array" ref="Z462">_xlfn.SWITCH($N462,"BDI 1",$O$6,"BDI 2",$O$7,"BDI 3",$O$8)</f>
        <v>0.20699999999999999</v>
      </c>
      <c r="AA462" s="158" cm="1">
        <f t="array" ref="AA462">_xlfn.SWITCH($N462,"BDI 1",$P$6,"BDI 2",$P$7,"BDI 3",$P$8)</f>
        <v>0.26739999999999997</v>
      </c>
      <c r="AB462" s="158">
        <f t="shared" ca="1" si="1213"/>
        <v>0</v>
      </c>
      <c r="AC462" s="158">
        <f t="shared" ca="1" si="1214"/>
        <v>0</v>
      </c>
      <c r="AD462" s="164"/>
      <c r="AE462" s="148">
        <f t="shared" si="1215"/>
        <v>0</v>
      </c>
      <c r="AF462" s="149"/>
      <c r="AG462" s="150"/>
      <c r="AH462" s="159" t="e">
        <f t="shared" si="1198"/>
        <v>#DIV/0!</v>
      </c>
      <c r="AI462" s="160"/>
      <c r="AJ462" s="207"/>
      <c r="AK462" s="183"/>
      <c r="AM462" s="105"/>
      <c r="AN462" s="105"/>
      <c r="AO462" s="105"/>
      <c r="AP462" s="105"/>
      <c r="AQ462" s="105"/>
      <c r="AR462" s="105"/>
    </row>
    <row r="463" spans="1:44" s="49" customFormat="1" ht="40.15" hidden="1" customHeight="1">
      <c r="A463" s="152">
        <f t="shared" ca="1" si="1199"/>
        <v>0</v>
      </c>
      <c r="B463" s="153" t="s">
        <v>130</v>
      </c>
      <c r="C463" s="154" t="str">
        <f t="shared" si="1200"/>
        <v>DR/0020</v>
      </c>
      <c r="D463" s="154" t="s">
        <v>3549</v>
      </c>
      <c r="E463" s="155" t="s">
        <v>3641</v>
      </c>
      <c r="F463" s="154"/>
      <c r="G463" s="154" t="s">
        <v>464</v>
      </c>
      <c r="H463" s="152">
        <v>471.96</v>
      </c>
      <c r="I463" s="152">
        <v>455.98</v>
      </c>
      <c r="J463" s="156"/>
      <c r="K463" s="156">
        <f>+Dre_Profunda!I29</f>
        <v>0</v>
      </c>
      <c r="L463" s="156">
        <f t="shared" si="1201"/>
        <v>0</v>
      </c>
      <c r="M463" s="156">
        <f t="shared" si="1202"/>
        <v>0</v>
      </c>
      <c r="N463" s="156" t="s">
        <v>83</v>
      </c>
      <c r="O463" s="157" cm="1">
        <f t="array" ref="O463">TRUNC($H463*(1+_xlfn.SWITCH($N463,"BDI 1",$O$6,"BDI 2",$O$7,"BDI 3",$O$8)),2)</f>
        <v>569.65</v>
      </c>
      <c r="P463" s="157" cm="1">
        <f t="array" ref="P463">TRUNC($I463*(1+_xlfn.SWITCH($N463,"BDI 1",$P$6,"BDI 2",$P$7,"BDI 3",$P$8)),2)</f>
        <v>577.9</v>
      </c>
      <c r="Q463" s="157">
        <v>0</v>
      </c>
      <c r="R463" s="157">
        <f t="shared" ref="R463" si="1231">$Q463-($Q463*LICITACAO_DESCONTO)</f>
        <v>0</v>
      </c>
      <c r="S463" s="156">
        <f t="shared" si="1204"/>
        <v>0</v>
      </c>
      <c r="T463" s="156">
        <f t="shared" si="1205"/>
        <v>0</v>
      </c>
      <c r="U463" s="156">
        <f t="shared" si="1206"/>
        <v>0</v>
      </c>
      <c r="V463" s="156">
        <f t="shared" si="1207"/>
        <v>0</v>
      </c>
      <c r="W463" s="156">
        <f t="shared" si="1195"/>
        <v>0</v>
      </c>
      <c r="X463" s="158">
        <f t="shared" ref="X463" si="1232">$S463/ORCAMENTO_VALOR_TOTAL_ND</f>
        <v>0</v>
      </c>
      <c r="Y463" s="158">
        <f t="shared" ref="Y463" si="1233">$T463/ORCAMENTO_VALOR_TOTAL_DE</f>
        <v>0</v>
      </c>
      <c r="Z463" s="158" cm="1">
        <f t="array" ref="Z463">_xlfn.SWITCH($N463,"BDI 1",$O$6,"BDI 2",$O$7,"BDI 3",$O$8)</f>
        <v>0.20699999999999999</v>
      </c>
      <c r="AA463" s="158" cm="1">
        <f t="array" ref="AA463">_xlfn.SWITCH($N463,"BDI 1",$P$6,"BDI 2",$P$7,"BDI 3",$P$8)</f>
        <v>0.26739999999999997</v>
      </c>
      <c r="AB463" s="158">
        <f t="shared" ca="1" si="1213"/>
        <v>0</v>
      </c>
      <c r="AC463" s="158">
        <f t="shared" ca="1" si="1214"/>
        <v>0</v>
      </c>
      <c r="AD463" s="164"/>
      <c r="AE463" s="148">
        <f t="shared" si="1215"/>
        <v>0</v>
      </c>
      <c r="AF463" s="149"/>
      <c r="AG463" s="150"/>
      <c r="AH463" s="159" t="e">
        <f t="shared" si="1198"/>
        <v>#DIV/0!</v>
      </c>
      <c r="AI463" s="160"/>
      <c r="AJ463" s="182">
        <v>3</v>
      </c>
      <c r="AK463" s="183">
        <f>+K463/AJ463</f>
        <v>0</v>
      </c>
      <c r="AM463" s="105"/>
      <c r="AN463" s="105"/>
      <c r="AO463" s="105"/>
      <c r="AP463" s="105"/>
      <c r="AQ463" s="105"/>
      <c r="AR463" s="105"/>
    </row>
    <row r="464" spans="1:44" s="49" customFormat="1" ht="49.9" hidden="1" customHeight="1">
      <c r="A464" s="152">
        <f t="shared" ca="1" si="1199"/>
        <v>0</v>
      </c>
      <c r="B464" s="153">
        <v>90099</v>
      </c>
      <c r="C464" s="154" t="str">
        <f t="shared" si="1200"/>
        <v>90099</v>
      </c>
      <c r="D464" s="154" t="s">
        <v>1416</v>
      </c>
      <c r="E464" s="155" t="s">
        <v>3620</v>
      </c>
      <c r="F464" s="154"/>
      <c r="G464" s="154" t="s">
        <v>464</v>
      </c>
      <c r="H464" s="152">
        <v>15.75</v>
      </c>
      <c r="I464" s="152">
        <v>15.19</v>
      </c>
      <c r="J464" s="156"/>
      <c r="K464" s="156">
        <f>+Dre_Profunda!I30</f>
        <v>0</v>
      </c>
      <c r="L464" s="156">
        <f t="shared" si="1201"/>
        <v>0</v>
      </c>
      <c r="M464" s="156">
        <f t="shared" si="1202"/>
        <v>0</v>
      </c>
      <c r="N464" s="156" t="s">
        <v>83</v>
      </c>
      <c r="O464" s="157" cm="1">
        <f t="array" ref="O464">TRUNC($H464*(1+_xlfn.SWITCH($N464,"BDI 1",$O$6,"BDI 2",$O$7,"BDI 3",$O$8)),2)</f>
        <v>19.010000000000002</v>
      </c>
      <c r="P464" s="157" cm="1">
        <f t="array" ref="P464">TRUNC($I464*(1+_xlfn.SWITCH($N464,"BDI 1",$P$6,"BDI 2",$P$7,"BDI 3",$P$8)),2)</f>
        <v>19.25</v>
      </c>
      <c r="Q464" s="157">
        <v>0</v>
      </c>
      <c r="R464" s="157">
        <f t="shared" ref="R464" si="1234">$Q464-($Q464*LICITACAO_DESCONTO)</f>
        <v>0</v>
      </c>
      <c r="S464" s="156">
        <f t="shared" si="1204"/>
        <v>0</v>
      </c>
      <c r="T464" s="156">
        <f t="shared" si="1205"/>
        <v>0</v>
      </c>
      <c r="U464" s="156">
        <f t="shared" si="1206"/>
        <v>0</v>
      </c>
      <c r="V464" s="156">
        <f t="shared" si="1207"/>
        <v>0</v>
      </c>
      <c r="W464" s="156">
        <f t="shared" si="1195"/>
        <v>0</v>
      </c>
      <c r="X464" s="158">
        <f t="shared" ref="X464" si="1235">$S464/ORCAMENTO_VALOR_TOTAL_ND</f>
        <v>0</v>
      </c>
      <c r="Y464" s="158">
        <f t="shared" ref="Y464" si="1236">$T464/ORCAMENTO_VALOR_TOTAL_DE</f>
        <v>0</v>
      </c>
      <c r="Z464" s="158" cm="1">
        <f t="array" ref="Z464">_xlfn.SWITCH($N464,"BDI 1",$O$6,"BDI 2",$O$7,"BDI 3",$O$8)</f>
        <v>0.20699999999999999</v>
      </c>
      <c r="AA464" s="158" cm="1">
        <f t="array" ref="AA464">_xlfn.SWITCH($N464,"BDI 1",$P$6,"BDI 2",$P$7,"BDI 3",$P$8)</f>
        <v>0.26739999999999997</v>
      </c>
      <c r="AB464" s="158">
        <f t="shared" ca="1" si="1213"/>
        <v>0</v>
      </c>
      <c r="AC464" s="158">
        <f t="shared" ca="1" si="1214"/>
        <v>0</v>
      </c>
      <c r="AD464" s="164"/>
      <c r="AE464" s="148">
        <f t="shared" si="1215"/>
        <v>0</v>
      </c>
      <c r="AF464" s="149"/>
      <c r="AG464" s="150"/>
      <c r="AH464" s="159" t="e">
        <f t="shared" si="1198"/>
        <v>#DIV/0!</v>
      </c>
      <c r="AI464" s="160">
        <v>0</v>
      </c>
      <c r="AJ464" s="182">
        <v>0</v>
      </c>
      <c r="AK464" s="183" t="e">
        <f>+K464/AJ464</f>
        <v>#DIV/0!</v>
      </c>
      <c r="AM464" s="105"/>
      <c r="AN464" s="105"/>
      <c r="AO464" s="105"/>
      <c r="AP464" s="105"/>
      <c r="AQ464" s="105"/>
      <c r="AR464" s="105"/>
    </row>
    <row r="465" spans="1:44" s="49" customFormat="1" ht="40.15" hidden="1" customHeight="1">
      <c r="A465" s="152">
        <f t="shared" ca="1" si="1199"/>
        <v>0</v>
      </c>
      <c r="B465" s="153" t="s">
        <v>242</v>
      </c>
      <c r="C465" s="154" t="str">
        <f t="shared" si="1200"/>
        <v>LF/0005</v>
      </c>
      <c r="D465" s="154" t="s">
        <v>3549</v>
      </c>
      <c r="E465" s="155" t="s">
        <v>3860</v>
      </c>
      <c r="F465" s="154"/>
      <c r="G465" s="154" t="s">
        <v>464</v>
      </c>
      <c r="H465" s="152">
        <v>45.53</v>
      </c>
      <c r="I465" s="152">
        <v>43.11</v>
      </c>
      <c r="J465" s="156"/>
      <c r="K465" s="156">
        <f>+Dre_Profunda!I31</f>
        <v>0</v>
      </c>
      <c r="L465" s="156">
        <f t="shared" si="1201"/>
        <v>0</v>
      </c>
      <c r="M465" s="156">
        <f t="shared" si="1202"/>
        <v>0</v>
      </c>
      <c r="N465" s="156" t="s">
        <v>83</v>
      </c>
      <c r="O465" s="157" cm="1">
        <f t="array" ref="O465">TRUNC($H465*(1+_xlfn.SWITCH($N465,"BDI 1",$O$6,"BDI 2",$O$7,"BDI 3",$O$8)),2)</f>
        <v>54.95</v>
      </c>
      <c r="P465" s="157" cm="1">
        <f t="array" ref="P465">TRUNC($I465*(1+_xlfn.SWITCH($N465,"BDI 1",$P$6,"BDI 2",$P$7,"BDI 3",$P$8)),2)</f>
        <v>54.63</v>
      </c>
      <c r="Q465" s="157">
        <v>0</v>
      </c>
      <c r="R465" s="157">
        <f t="shared" ref="R465" si="1237">$Q465-($Q465*LICITACAO_DESCONTO)</f>
        <v>0</v>
      </c>
      <c r="S465" s="156">
        <f t="shared" si="1204"/>
        <v>0</v>
      </c>
      <c r="T465" s="156">
        <f t="shared" si="1205"/>
        <v>0</v>
      </c>
      <c r="U465" s="156">
        <f t="shared" si="1206"/>
        <v>0</v>
      </c>
      <c r="V465" s="156">
        <f t="shared" si="1207"/>
        <v>0</v>
      </c>
      <c r="W465" s="156">
        <f t="shared" si="1195"/>
        <v>0</v>
      </c>
      <c r="X465" s="158">
        <f t="shared" ref="X465" si="1238">$S465/ORCAMENTO_VALOR_TOTAL_ND</f>
        <v>0</v>
      </c>
      <c r="Y465" s="158">
        <f t="shared" ref="Y465" si="1239">$T465/ORCAMENTO_VALOR_TOTAL_DE</f>
        <v>0</v>
      </c>
      <c r="Z465" s="158" cm="1">
        <f t="array" ref="Z465">_xlfn.SWITCH($N465,"BDI 1",$O$6,"BDI 2",$O$7,"BDI 3",$O$8)</f>
        <v>0.20699999999999999</v>
      </c>
      <c r="AA465" s="158" cm="1">
        <f t="array" ref="AA465">_xlfn.SWITCH($N465,"BDI 1",$P$6,"BDI 2",$P$7,"BDI 3",$P$8)</f>
        <v>0.26739999999999997</v>
      </c>
      <c r="AB465" s="158">
        <f t="shared" ca="1" si="1213"/>
        <v>0</v>
      </c>
      <c r="AC465" s="158">
        <f t="shared" ca="1" si="1214"/>
        <v>0</v>
      </c>
      <c r="AD465" s="164"/>
      <c r="AE465" s="148">
        <f t="shared" si="1215"/>
        <v>0</v>
      </c>
      <c r="AF465" s="149"/>
      <c r="AG465" s="150"/>
      <c r="AH465" s="159" t="e">
        <f t="shared" si="1198"/>
        <v>#DIV/0!</v>
      </c>
      <c r="AI465" s="160"/>
      <c r="AJ465" s="182">
        <v>2.33</v>
      </c>
      <c r="AK465" s="183">
        <f>+K465/AJ465</f>
        <v>0</v>
      </c>
      <c r="AM465" s="105"/>
      <c r="AN465" s="105"/>
      <c r="AO465" s="105"/>
      <c r="AP465" s="105"/>
      <c r="AQ465" s="105"/>
      <c r="AR465" s="105"/>
    </row>
    <row r="466" spans="1:44" s="49" customFormat="1" ht="40.15" hidden="1" customHeight="1">
      <c r="A466" s="152">
        <f t="shared" ca="1" si="1199"/>
        <v>0</v>
      </c>
      <c r="B466" s="153">
        <v>93382</v>
      </c>
      <c r="C466" s="154" t="str">
        <f t="shared" si="1200"/>
        <v>93382</v>
      </c>
      <c r="D466" s="154" t="s">
        <v>1416</v>
      </c>
      <c r="E466" s="155" t="s">
        <v>3861</v>
      </c>
      <c r="F466" s="154"/>
      <c r="G466" s="154" t="s">
        <v>464</v>
      </c>
      <c r="H466" s="152">
        <v>24.46</v>
      </c>
      <c r="I466" s="152">
        <v>22.41</v>
      </c>
      <c r="J466" s="156"/>
      <c r="K466" s="156">
        <f>+Dre_Profunda!I32</f>
        <v>0</v>
      </c>
      <c r="L466" s="156">
        <f t="shared" si="1201"/>
        <v>0</v>
      </c>
      <c r="M466" s="156">
        <f t="shared" si="1202"/>
        <v>0</v>
      </c>
      <c r="N466" s="156" t="s">
        <v>83</v>
      </c>
      <c r="O466" s="157" cm="1">
        <f t="array" ref="O466">TRUNC($H466*(1+_xlfn.SWITCH($N466,"BDI 1",$O$6,"BDI 2",$O$7,"BDI 3",$O$8)),2)</f>
        <v>29.52</v>
      </c>
      <c r="P466" s="157" cm="1">
        <f t="array" ref="P466">TRUNC($I466*(1+_xlfn.SWITCH($N466,"BDI 1",$P$6,"BDI 2",$P$7,"BDI 3",$P$8)),2)</f>
        <v>28.4</v>
      </c>
      <c r="Q466" s="157">
        <v>0</v>
      </c>
      <c r="R466" s="157">
        <f t="shared" ref="R466" si="1240">$Q466-($Q466*LICITACAO_DESCONTO)</f>
        <v>0</v>
      </c>
      <c r="S466" s="156">
        <f t="shared" si="1204"/>
        <v>0</v>
      </c>
      <c r="T466" s="156">
        <f t="shared" si="1205"/>
        <v>0</v>
      </c>
      <c r="U466" s="156">
        <f t="shared" si="1206"/>
        <v>0</v>
      </c>
      <c r="V466" s="156">
        <f t="shared" si="1207"/>
        <v>0</v>
      </c>
      <c r="W466" s="156">
        <f t="shared" si="1195"/>
        <v>0</v>
      </c>
      <c r="X466" s="158">
        <f t="shared" ref="X466" si="1241">$S466/ORCAMENTO_VALOR_TOTAL_ND</f>
        <v>0</v>
      </c>
      <c r="Y466" s="158">
        <f t="shared" ref="Y466" si="1242">$T466/ORCAMENTO_VALOR_TOTAL_DE</f>
        <v>0</v>
      </c>
      <c r="Z466" s="158" cm="1">
        <f t="array" ref="Z466">_xlfn.SWITCH($N466,"BDI 1",$O$6,"BDI 2",$O$7,"BDI 3",$O$8)</f>
        <v>0.20699999999999999</v>
      </c>
      <c r="AA466" s="158" cm="1">
        <f t="array" ref="AA466">_xlfn.SWITCH($N466,"BDI 1",$P$6,"BDI 2",$P$7,"BDI 3",$P$8)</f>
        <v>0.26739999999999997</v>
      </c>
      <c r="AB466" s="158">
        <f t="shared" ca="1" si="1213"/>
        <v>0</v>
      </c>
      <c r="AC466" s="158">
        <f t="shared" ca="1" si="1214"/>
        <v>0</v>
      </c>
      <c r="AD466" s="164"/>
      <c r="AE466" s="148">
        <f t="shared" si="1215"/>
        <v>0</v>
      </c>
      <c r="AF466" s="149"/>
      <c r="AG466" s="150"/>
      <c r="AH466" s="159" t="e">
        <f t="shared" si="1198"/>
        <v>#DIV/0!</v>
      </c>
      <c r="AI466" s="160"/>
      <c r="AJ466" s="105"/>
      <c r="AK466" s="105"/>
      <c r="AM466" s="105"/>
      <c r="AN466" s="105"/>
      <c r="AO466" s="105"/>
      <c r="AP466" s="105"/>
      <c r="AQ466" s="105"/>
      <c r="AR466" s="105"/>
    </row>
    <row r="467" spans="1:44" s="49" customFormat="1" ht="40.15" hidden="1" customHeight="1">
      <c r="A467" s="152">
        <f t="shared" ca="1" si="1199"/>
        <v>0</v>
      </c>
      <c r="B467" s="153">
        <v>101570</v>
      </c>
      <c r="C467" s="154" t="str">
        <f t="shared" si="1200"/>
        <v>101570</v>
      </c>
      <c r="D467" s="154" t="s">
        <v>1416</v>
      </c>
      <c r="E467" s="155" t="s">
        <v>3642</v>
      </c>
      <c r="F467" s="154"/>
      <c r="G467" s="154" t="s">
        <v>1418</v>
      </c>
      <c r="H467" s="152">
        <v>22.76</v>
      </c>
      <c r="I467" s="152">
        <v>21.39</v>
      </c>
      <c r="J467" s="156"/>
      <c r="K467" s="156">
        <f>+Dre_Profunda!I35</f>
        <v>0</v>
      </c>
      <c r="L467" s="156">
        <f t="shared" si="1201"/>
        <v>0</v>
      </c>
      <c r="M467" s="156">
        <f t="shared" si="1202"/>
        <v>0</v>
      </c>
      <c r="N467" s="156" t="s">
        <v>83</v>
      </c>
      <c r="O467" s="157" cm="1">
        <f t="array" ref="O467">TRUNC($H467*(1+_xlfn.SWITCH($N467,"BDI 1",$O$6,"BDI 2",$O$7,"BDI 3",$O$8)),2)</f>
        <v>27.47</v>
      </c>
      <c r="P467" s="157" cm="1">
        <f t="array" ref="P467">TRUNC($I467*(1+_xlfn.SWITCH($N467,"BDI 1",$P$6,"BDI 2",$P$7,"BDI 3",$P$8)),2)</f>
        <v>27.1</v>
      </c>
      <c r="Q467" s="157">
        <v>0</v>
      </c>
      <c r="R467" s="157">
        <f t="shared" ref="R467" si="1243">$Q467-($Q467*LICITACAO_DESCONTO)</f>
        <v>0</v>
      </c>
      <c r="S467" s="156">
        <f t="shared" si="1204"/>
        <v>0</v>
      </c>
      <c r="T467" s="156">
        <f t="shared" si="1205"/>
        <v>0</v>
      </c>
      <c r="U467" s="156">
        <f t="shared" si="1206"/>
        <v>0</v>
      </c>
      <c r="V467" s="156">
        <f t="shared" si="1207"/>
        <v>0</v>
      </c>
      <c r="W467" s="156">
        <f t="shared" si="1195"/>
        <v>0</v>
      </c>
      <c r="X467" s="158">
        <f t="shared" ref="X467" si="1244">$S467/ORCAMENTO_VALOR_TOTAL_ND</f>
        <v>0</v>
      </c>
      <c r="Y467" s="158">
        <f t="shared" ref="Y467" si="1245">$T467/ORCAMENTO_VALOR_TOTAL_DE</f>
        <v>0</v>
      </c>
      <c r="Z467" s="158" cm="1">
        <f t="array" ref="Z467">_xlfn.SWITCH($N467,"BDI 1",$O$6,"BDI 2",$O$7,"BDI 3",$O$8)</f>
        <v>0.20699999999999999</v>
      </c>
      <c r="AA467" s="158" cm="1">
        <f t="array" ref="AA467">_xlfn.SWITCH($N467,"BDI 1",$P$6,"BDI 2",$P$7,"BDI 3",$P$8)</f>
        <v>0.26739999999999997</v>
      </c>
      <c r="AB467" s="158">
        <f t="shared" ca="1" si="1213"/>
        <v>0</v>
      </c>
      <c r="AC467" s="158">
        <f t="shared" ca="1" si="1214"/>
        <v>0</v>
      </c>
      <c r="AD467" s="164"/>
      <c r="AE467" s="148">
        <f t="shared" si="1215"/>
        <v>0</v>
      </c>
      <c r="AF467" s="149"/>
      <c r="AG467" s="150"/>
      <c r="AH467" s="159" t="e">
        <f t="shared" si="1198"/>
        <v>#DIV/0!</v>
      </c>
      <c r="AI467" s="160">
        <v>0</v>
      </c>
      <c r="AJ467" s="105"/>
      <c r="AK467" s="105"/>
      <c r="AM467" s="105"/>
      <c r="AN467" s="105"/>
      <c r="AO467" s="105"/>
      <c r="AP467" s="105"/>
      <c r="AQ467" s="105"/>
      <c r="AR467" s="105"/>
    </row>
    <row r="468" spans="1:44" s="49" customFormat="1" ht="40.15" hidden="1" customHeight="1">
      <c r="A468" s="152">
        <f t="shared" ca="1" si="1199"/>
        <v>0</v>
      </c>
      <c r="B468" s="153">
        <v>102712</v>
      </c>
      <c r="C468" s="154" t="str">
        <f t="shared" si="1200"/>
        <v>102712</v>
      </c>
      <c r="D468" s="154" t="s">
        <v>1416</v>
      </c>
      <c r="E468" s="155" t="s">
        <v>3815</v>
      </c>
      <c r="F468" s="154"/>
      <c r="G468" s="154" t="s">
        <v>1418</v>
      </c>
      <c r="H468" s="152">
        <v>12.68</v>
      </c>
      <c r="I468" s="152">
        <v>12.65</v>
      </c>
      <c r="J468" s="156"/>
      <c r="K468" s="156">
        <f>+Dre_Profunda!I37</f>
        <v>0</v>
      </c>
      <c r="L468" s="156">
        <f t="shared" si="1201"/>
        <v>0</v>
      </c>
      <c r="M468" s="156">
        <f t="shared" si="1202"/>
        <v>0</v>
      </c>
      <c r="N468" s="156" t="s">
        <v>83</v>
      </c>
      <c r="O468" s="157" cm="1">
        <f t="array" ref="O468">TRUNC($H468*(1+_xlfn.SWITCH($N468,"BDI 1",$O$6,"BDI 2",$O$7,"BDI 3",$O$8)),2)</f>
        <v>15.3</v>
      </c>
      <c r="P468" s="157" cm="1">
        <f t="array" ref="P468">TRUNC($I468*(1+_xlfn.SWITCH($N468,"BDI 1",$P$6,"BDI 2",$P$7,"BDI 3",$P$8)),2)</f>
        <v>16.03</v>
      </c>
      <c r="Q468" s="157">
        <v>0</v>
      </c>
      <c r="R468" s="157">
        <f t="shared" ref="R468" si="1246">$Q468-($Q468*LICITACAO_DESCONTO)</f>
        <v>0</v>
      </c>
      <c r="S468" s="156">
        <f t="shared" si="1204"/>
        <v>0</v>
      </c>
      <c r="T468" s="156">
        <f t="shared" si="1205"/>
        <v>0</v>
      </c>
      <c r="U468" s="156">
        <f t="shared" si="1206"/>
        <v>0</v>
      </c>
      <c r="V468" s="156">
        <f t="shared" si="1207"/>
        <v>0</v>
      </c>
      <c r="W468" s="156">
        <f t="shared" si="1195"/>
        <v>0</v>
      </c>
      <c r="X468" s="158">
        <f t="shared" ref="X468" si="1247">$S468/ORCAMENTO_VALOR_TOTAL_ND</f>
        <v>0</v>
      </c>
      <c r="Y468" s="158">
        <f t="shared" ref="Y468" si="1248">$T468/ORCAMENTO_VALOR_TOTAL_DE</f>
        <v>0</v>
      </c>
      <c r="Z468" s="158" cm="1">
        <f t="array" ref="Z468">_xlfn.SWITCH($N468,"BDI 1",$O$6,"BDI 2",$O$7,"BDI 3",$O$8)</f>
        <v>0.20699999999999999</v>
      </c>
      <c r="AA468" s="158" cm="1">
        <f t="array" ref="AA468">_xlfn.SWITCH($N468,"BDI 1",$P$6,"BDI 2",$P$7,"BDI 3",$P$8)</f>
        <v>0.26739999999999997</v>
      </c>
      <c r="AB468" s="158">
        <f t="shared" ca="1" si="1213"/>
        <v>0</v>
      </c>
      <c r="AC468" s="158">
        <f t="shared" ca="1" si="1214"/>
        <v>0</v>
      </c>
      <c r="AD468" s="164"/>
      <c r="AE468" s="148">
        <f t="shared" si="1215"/>
        <v>0</v>
      </c>
      <c r="AF468" s="149"/>
      <c r="AG468" s="150"/>
      <c r="AH468" s="159" t="e">
        <f t="shared" si="1198"/>
        <v>#DIV/0!</v>
      </c>
      <c r="AI468" s="160"/>
      <c r="AJ468" s="105"/>
      <c r="AK468" s="105"/>
      <c r="AM468" s="105"/>
      <c r="AN468" s="105"/>
      <c r="AO468" s="105"/>
      <c r="AP468" s="105"/>
      <c r="AQ468" s="105"/>
      <c r="AR468" s="105"/>
    </row>
    <row r="469" spans="1:44" s="49" customFormat="1" ht="40.15" hidden="1" customHeight="1">
      <c r="A469" s="152">
        <f t="shared" ca="1" si="1199"/>
        <v>0</v>
      </c>
      <c r="B469" s="153" t="s">
        <v>210</v>
      </c>
      <c r="C469" s="154" t="str">
        <f t="shared" si="1200"/>
        <v>LF/0007</v>
      </c>
      <c r="D469" s="154" t="s">
        <v>3549</v>
      </c>
      <c r="E469" s="155" t="s">
        <v>3816</v>
      </c>
      <c r="F469" s="154"/>
      <c r="G469" s="154" t="s">
        <v>464</v>
      </c>
      <c r="H469" s="152">
        <v>182.99</v>
      </c>
      <c r="I469" s="152">
        <v>176.04</v>
      </c>
      <c r="J469" s="156"/>
      <c r="K469" s="156">
        <f>+Dre_Profunda!I43</f>
        <v>0</v>
      </c>
      <c r="L469" s="156">
        <f t="shared" si="1201"/>
        <v>0</v>
      </c>
      <c r="M469" s="156">
        <f t="shared" si="1202"/>
        <v>0</v>
      </c>
      <c r="N469" s="156" t="s">
        <v>83</v>
      </c>
      <c r="O469" s="157" cm="1">
        <f t="array" ref="O469">TRUNC($H469*(1+_xlfn.SWITCH($N469,"BDI 1",$O$6,"BDI 2",$O$7,"BDI 3",$O$8)),2)</f>
        <v>220.86</v>
      </c>
      <c r="P469" s="157" cm="1">
        <f t="array" ref="P469">TRUNC($I469*(1+_xlfn.SWITCH($N469,"BDI 1",$P$6,"BDI 2",$P$7,"BDI 3",$P$8)),2)</f>
        <v>223.11</v>
      </c>
      <c r="Q469" s="157">
        <v>0</v>
      </c>
      <c r="R469" s="157">
        <f t="shared" ref="R469" si="1249">$Q469-($Q469*LICITACAO_DESCONTO)</f>
        <v>0</v>
      </c>
      <c r="S469" s="156">
        <f t="shared" si="1204"/>
        <v>0</v>
      </c>
      <c r="T469" s="156">
        <f t="shared" si="1205"/>
        <v>0</v>
      </c>
      <c r="U469" s="156">
        <f t="shared" si="1206"/>
        <v>0</v>
      </c>
      <c r="V469" s="156">
        <f t="shared" si="1207"/>
        <v>0</v>
      </c>
      <c r="W469" s="156">
        <f t="shared" si="1195"/>
        <v>0</v>
      </c>
      <c r="X469" s="158">
        <f t="shared" ref="X469" si="1250">$S469/ORCAMENTO_VALOR_TOTAL_ND</f>
        <v>0</v>
      </c>
      <c r="Y469" s="158">
        <f t="shared" ref="Y469" si="1251">$T469/ORCAMENTO_VALOR_TOTAL_DE</f>
        <v>0</v>
      </c>
      <c r="Z469" s="158" cm="1">
        <f t="array" ref="Z469">_xlfn.SWITCH($N469,"BDI 1",$O$6,"BDI 2",$O$7,"BDI 3",$O$8)</f>
        <v>0.20699999999999999</v>
      </c>
      <c r="AA469" s="158" cm="1">
        <f t="array" ref="AA469">_xlfn.SWITCH($N469,"BDI 1",$P$6,"BDI 2",$P$7,"BDI 3",$P$8)</f>
        <v>0.26739999999999997</v>
      </c>
      <c r="AB469" s="158">
        <f t="shared" ca="1" si="1213"/>
        <v>0</v>
      </c>
      <c r="AC469" s="158">
        <f t="shared" ca="1" si="1214"/>
        <v>0</v>
      </c>
      <c r="AD469" s="164"/>
      <c r="AE469" s="148">
        <f t="shared" si="1215"/>
        <v>0</v>
      </c>
      <c r="AF469" s="149"/>
      <c r="AG469" s="150"/>
      <c r="AH469" s="159" t="e">
        <f t="shared" si="1198"/>
        <v>#DIV/0!</v>
      </c>
      <c r="AI469" s="160"/>
      <c r="AJ469" s="105"/>
      <c r="AK469" s="105"/>
      <c r="AM469" s="105"/>
      <c r="AN469" s="105"/>
      <c r="AO469" s="105"/>
      <c r="AP469" s="105"/>
      <c r="AQ469" s="105"/>
      <c r="AR469" s="105"/>
    </row>
    <row r="470" spans="1:44" s="49" customFormat="1" ht="49.9" hidden="1" customHeight="1">
      <c r="A470" s="152">
        <f t="shared" ca="1" si="1199"/>
        <v>0</v>
      </c>
      <c r="B470" s="153">
        <v>104733</v>
      </c>
      <c r="C470" s="154" t="str">
        <f t="shared" si="1200"/>
        <v>104733</v>
      </c>
      <c r="D470" s="154" t="s">
        <v>1416</v>
      </c>
      <c r="E470" s="155" t="s">
        <v>3660</v>
      </c>
      <c r="F470" s="154"/>
      <c r="G470" s="154" t="s">
        <v>464</v>
      </c>
      <c r="H470" s="152">
        <v>18.8</v>
      </c>
      <c r="I470" s="152">
        <v>18.12</v>
      </c>
      <c r="J470" s="156"/>
      <c r="K470" s="156">
        <f>+Dre_Profunda!I45</f>
        <v>0</v>
      </c>
      <c r="L470" s="156">
        <f t="shared" si="1201"/>
        <v>0</v>
      </c>
      <c r="M470" s="156">
        <f t="shared" si="1202"/>
        <v>0</v>
      </c>
      <c r="N470" s="156" t="s">
        <v>83</v>
      </c>
      <c r="O470" s="157" cm="1">
        <f t="array" ref="O470">TRUNC($H470*(1+_xlfn.SWITCH($N470,"BDI 1",$O$6,"BDI 2",$O$7,"BDI 3",$O$8)),2)</f>
        <v>22.69</v>
      </c>
      <c r="P470" s="157" cm="1">
        <f t="array" ref="P470">TRUNC($I470*(1+_xlfn.SWITCH($N470,"BDI 1",$P$6,"BDI 2",$P$7,"BDI 3",$P$8)),2)</f>
        <v>22.96</v>
      </c>
      <c r="Q470" s="157">
        <v>0</v>
      </c>
      <c r="R470" s="157">
        <f t="shared" ref="R470" si="1252">$Q470-($Q470*LICITACAO_DESCONTO)</f>
        <v>0</v>
      </c>
      <c r="S470" s="156">
        <f t="shared" si="1204"/>
        <v>0</v>
      </c>
      <c r="T470" s="156">
        <f t="shared" si="1205"/>
        <v>0</v>
      </c>
      <c r="U470" s="156">
        <f t="shared" si="1206"/>
        <v>0</v>
      </c>
      <c r="V470" s="156">
        <f t="shared" si="1207"/>
        <v>0</v>
      </c>
      <c r="W470" s="156">
        <f t="shared" si="1195"/>
        <v>0</v>
      </c>
      <c r="X470" s="158">
        <f t="shared" ref="X470" si="1253">$S470/ORCAMENTO_VALOR_TOTAL_ND</f>
        <v>0</v>
      </c>
      <c r="Y470" s="158">
        <f t="shared" ref="Y470" si="1254">$T470/ORCAMENTO_VALOR_TOTAL_DE</f>
        <v>0</v>
      </c>
      <c r="Z470" s="158" cm="1">
        <f t="array" ref="Z470">_xlfn.SWITCH($N470,"BDI 1",$O$6,"BDI 2",$O$7,"BDI 3",$O$8)</f>
        <v>0.20699999999999999</v>
      </c>
      <c r="AA470" s="158" cm="1">
        <f t="array" ref="AA470">_xlfn.SWITCH($N470,"BDI 1",$P$6,"BDI 2",$P$7,"BDI 3",$P$8)</f>
        <v>0.26739999999999997</v>
      </c>
      <c r="AB470" s="158">
        <f t="shared" ca="1" si="1213"/>
        <v>0</v>
      </c>
      <c r="AC470" s="158">
        <f t="shared" ca="1" si="1214"/>
        <v>0</v>
      </c>
      <c r="AD470" s="164"/>
      <c r="AE470" s="148">
        <f t="shared" si="1215"/>
        <v>0</v>
      </c>
      <c r="AF470" s="149"/>
      <c r="AG470" s="150"/>
      <c r="AH470" s="159" t="e">
        <f t="shared" si="1198"/>
        <v>#DIV/0!</v>
      </c>
      <c r="AI470" s="160">
        <v>0</v>
      </c>
      <c r="AJ470" s="105"/>
      <c r="AK470" s="105"/>
      <c r="AM470" s="105"/>
      <c r="AN470" s="105"/>
      <c r="AO470" s="105"/>
      <c r="AP470" s="105"/>
      <c r="AQ470" s="105"/>
      <c r="AR470" s="105"/>
    </row>
    <row r="471" spans="1:44" s="49" customFormat="1" ht="49.9" hidden="1" customHeight="1">
      <c r="A471" s="152">
        <f t="shared" ca="1" si="1199"/>
        <v>0</v>
      </c>
      <c r="B471" s="153">
        <v>101230</v>
      </c>
      <c r="C471" s="154" t="str">
        <f t="shared" si="1200"/>
        <v>101230</v>
      </c>
      <c r="D471" s="154" t="s">
        <v>1416</v>
      </c>
      <c r="E471" s="155" t="s">
        <v>3677</v>
      </c>
      <c r="F471" s="154"/>
      <c r="G471" s="154" t="s">
        <v>464</v>
      </c>
      <c r="H471" s="152">
        <v>10.7</v>
      </c>
      <c r="I471" s="152">
        <v>10.73</v>
      </c>
      <c r="J471" s="156"/>
      <c r="K471" s="156">
        <f>IF(K472=0,Dre_Profunda!I50,0)</f>
        <v>0</v>
      </c>
      <c r="L471" s="156">
        <f t="shared" si="1201"/>
        <v>0</v>
      </c>
      <c r="M471" s="156">
        <f t="shared" si="1202"/>
        <v>0</v>
      </c>
      <c r="N471" s="156" t="s">
        <v>83</v>
      </c>
      <c r="O471" s="157" cm="1">
        <f t="array" ref="O471">TRUNC($H471*(1+_xlfn.SWITCH($N471,"BDI 1",$O$6,"BDI 2",$O$7,"BDI 3",$O$8)),2)</f>
        <v>12.91</v>
      </c>
      <c r="P471" s="157" cm="1">
        <f t="array" ref="P471">TRUNC($I471*(1+_xlfn.SWITCH($N471,"BDI 1",$P$6,"BDI 2",$P$7,"BDI 3",$P$8)),2)</f>
        <v>13.59</v>
      </c>
      <c r="Q471" s="157">
        <v>0</v>
      </c>
      <c r="R471" s="157">
        <f t="shared" ref="R471" si="1255">$Q471-($Q471*LICITACAO_DESCONTO)</f>
        <v>0</v>
      </c>
      <c r="S471" s="156">
        <f t="shared" si="1204"/>
        <v>0</v>
      </c>
      <c r="T471" s="156">
        <f t="shared" si="1205"/>
        <v>0</v>
      </c>
      <c r="U471" s="156">
        <f t="shared" si="1206"/>
        <v>0</v>
      </c>
      <c r="V471" s="156">
        <f t="shared" si="1207"/>
        <v>0</v>
      </c>
      <c r="W471" s="156">
        <f t="shared" si="1195"/>
        <v>0</v>
      </c>
      <c r="X471" s="158">
        <f t="shared" ref="X471" si="1256">$S471/ORCAMENTO_VALOR_TOTAL_ND</f>
        <v>0</v>
      </c>
      <c r="Y471" s="158">
        <f t="shared" ref="Y471" si="1257">$T471/ORCAMENTO_VALOR_TOTAL_DE</f>
        <v>0</v>
      </c>
      <c r="Z471" s="158" cm="1">
        <f t="array" ref="Z471">_xlfn.SWITCH($N471,"BDI 1",$O$6,"BDI 2",$O$7,"BDI 3",$O$8)</f>
        <v>0.20699999999999999</v>
      </c>
      <c r="AA471" s="158" cm="1">
        <f t="array" ref="AA471">_xlfn.SWITCH($N471,"BDI 1",$P$6,"BDI 2",$P$7,"BDI 3",$P$8)</f>
        <v>0.26739999999999997</v>
      </c>
      <c r="AB471" s="158">
        <f t="shared" ca="1" si="1213"/>
        <v>0</v>
      </c>
      <c r="AC471" s="158">
        <f t="shared" ca="1" si="1214"/>
        <v>0</v>
      </c>
      <c r="AD471" s="164"/>
      <c r="AE471" s="148">
        <f t="shared" si="1215"/>
        <v>0</v>
      </c>
      <c r="AF471" s="149"/>
      <c r="AG471" s="150"/>
      <c r="AH471" s="159" t="e">
        <f t="shared" si="1198"/>
        <v>#DIV/0!</v>
      </c>
      <c r="AI471" s="160"/>
      <c r="AJ471" s="105"/>
      <c r="AK471" s="105"/>
      <c r="AM471" s="105"/>
      <c r="AN471" s="105"/>
      <c r="AO471" s="105"/>
      <c r="AP471" s="105"/>
      <c r="AQ471" s="105"/>
      <c r="AR471" s="105"/>
    </row>
    <row r="472" spans="1:44" s="49" customFormat="1" ht="40.15" hidden="1" customHeight="1">
      <c r="A472" s="152">
        <f t="shared" ca="1" si="1199"/>
        <v>0</v>
      </c>
      <c r="B472" s="153">
        <v>6079</v>
      </c>
      <c r="C472" s="154" t="str">
        <f t="shared" si="1200"/>
        <v>6079</v>
      </c>
      <c r="D472" s="154" t="s">
        <v>3579</v>
      </c>
      <c r="E472" s="155" t="s">
        <v>3679</v>
      </c>
      <c r="F472" s="154"/>
      <c r="G472" s="154" t="s">
        <v>464</v>
      </c>
      <c r="H472" s="152">
        <v>37.35</v>
      </c>
      <c r="I472" s="152">
        <v>37.35</v>
      </c>
      <c r="J472" s="156"/>
      <c r="K472" s="156">
        <f>IF(AI472="COMERCIAL",Dre_Profunda!I50,0)</f>
        <v>0</v>
      </c>
      <c r="L472" s="156">
        <f t="shared" si="1201"/>
        <v>0</v>
      </c>
      <c r="M472" s="156">
        <f t="shared" si="1202"/>
        <v>0</v>
      </c>
      <c r="N472" s="156" t="s">
        <v>92</v>
      </c>
      <c r="O472" s="157" cm="1">
        <f t="array" ref="O472">TRUNC($H472*(1+_xlfn.SWITCH($N472,"BDI 1",$O$6,"BDI 2",$O$7,"BDI 3",$O$8)),2)</f>
        <v>43.05</v>
      </c>
      <c r="P472" s="157" cm="1">
        <f t="array" ref="P472">TRUNC($I472*(1+_xlfn.SWITCH($N472,"BDI 1",$P$6,"BDI 2",$P$7,"BDI 3",$P$8)),2)</f>
        <v>43.05</v>
      </c>
      <c r="Q472" s="157">
        <v>0</v>
      </c>
      <c r="R472" s="157">
        <f t="shared" ref="R472" si="1258">$Q472-($Q472*LICITACAO_DESCONTO)</f>
        <v>0</v>
      </c>
      <c r="S472" s="156">
        <f t="shared" si="1204"/>
        <v>0</v>
      </c>
      <c r="T472" s="156">
        <f t="shared" si="1205"/>
        <v>0</v>
      </c>
      <c r="U472" s="156">
        <f t="shared" si="1206"/>
        <v>0</v>
      </c>
      <c r="V472" s="156">
        <f t="shared" si="1207"/>
        <v>0</v>
      </c>
      <c r="W472" s="156">
        <f t="shared" si="1195"/>
        <v>0</v>
      </c>
      <c r="X472" s="158">
        <f t="shared" ref="X472" si="1259">$S472/ORCAMENTO_VALOR_TOTAL_ND</f>
        <v>0</v>
      </c>
      <c r="Y472" s="158">
        <f t="shared" ref="Y472" si="1260">$T472/ORCAMENTO_VALOR_TOTAL_DE</f>
        <v>0</v>
      </c>
      <c r="Z472" s="158" cm="1">
        <f t="array" ref="Z472">_xlfn.SWITCH($N472,"BDI 1",$O$6,"BDI 2",$O$7,"BDI 3",$O$8)</f>
        <v>0.1527</v>
      </c>
      <c r="AA472" s="158" cm="1">
        <f t="array" ref="AA472">_xlfn.SWITCH($N472,"BDI 1",$P$6,"BDI 2",$P$7,"BDI 3",$P$8)</f>
        <v>0.1527</v>
      </c>
      <c r="AB472" s="158">
        <f t="shared" ca="1" si="1213"/>
        <v>0</v>
      </c>
      <c r="AC472" s="158">
        <f t="shared" ca="1" si="1214"/>
        <v>0</v>
      </c>
      <c r="AD472" s="164"/>
      <c r="AE472" s="148">
        <f t="shared" si="1215"/>
        <v>0</v>
      </c>
      <c r="AF472" s="149"/>
      <c r="AG472" s="150"/>
      <c r="AH472" s="159" t="e">
        <f t="shared" si="1198"/>
        <v>#DIV/0!</v>
      </c>
      <c r="AI472" s="165" t="s">
        <v>243</v>
      </c>
      <c r="AJ472" s="105"/>
      <c r="AK472" s="105"/>
      <c r="AM472" s="105"/>
      <c r="AN472" s="105"/>
      <c r="AO472" s="105"/>
      <c r="AP472" s="105"/>
      <c r="AQ472" s="105"/>
      <c r="AR472" s="105"/>
    </row>
    <row r="473" spans="1:44" s="49" customFormat="1" ht="40.15" hidden="1" customHeight="1">
      <c r="A473" s="152">
        <f t="shared" ca="1" si="1199"/>
        <v>0</v>
      </c>
      <c r="B473" s="153" t="s">
        <v>127</v>
      </c>
      <c r="C473" s="154" t="str">
        <f t="shared" si="1200"/>
        <v>DR/0050</v>
      </c>
      <c r="D473" s="154" t="s">
        <v>3549</v>
      </c>
      <c r="E473" s="155" t="s">
        <v>3616</v>
      </c>
      <c r="F473" s="154"/>
      <c r="G473" s="154" t="s">
        <v>3617</v>
      </c>
      <c r="H473" s="152">
        <v>13.36</v>
      </c>
      <c r="I473" s="152">
        <v>13.22</v>
      </c>
      <c r="J473" s="156"/>
      <c r="K473" s="156">
        <f>+Dre_Profunda!I52</f>
        <v>0</v>
      </c>
      <c r="L473" s="156">
        <f t="shared" si="1201"/>
        <v>0</v>
      </c>
      <c r="M473" s="156">
        <f t="shared" si="1202"/>
        <v>0</v>
      </c>
      <c r="N473" s="156" t="s">
        <v>83</v>
      </c>
      <c r="O473" s="157" cm="1">
        <f t="array" ref="O473">TRUNC($H473*(1+_xlfn.SWITCH($N473,"BDI 1",$O$6,"BDI 2",$O$7,"BDI 3",$O$8)),2)</f>
        <v>16.12</v>
      </c>
      <c r="P473" s="157" cm="1">
        <f t="array" ref="P473">TRUNC($I473*(1+_xlfn.SWITCH($N473,"BDI 1",$P$6,"BDI 2",$P$7,"BDI 3",$P$8)),2)</f>
        <v>16.75</v>
      </c>
      <c r="Q473" s="157">
        <v>0</v>
      </c>
      <c r="R473" s="157">
        <f t="shared" ref="R473" si="1261">$Q473-($Q473*LICITACAO_DESCONTO)</f>
        <v>0</v>
      </c>
      <c r="S473" s="156">
        <f t="shared" si="1204"/>
        <v>0</v>
      </c>
      <c r="T473" s="156">
        <f t="shared" si="1205"/>
        <v>0</v>
      </c>
      <c r="U473" s="156">
        <f t="shared" si="1206"/>
        <v>0</v>
      </c>
      <c r="V473" s="156">
        <f t="shared" si="1207"/>
        <v>0</v>
      </c>
      <c r="W473" s="156">
        <f t="shared" si="1195"/>
        <v>0</v>
      </c>
      <c r="X473" s="158">
        <f t="shared" ref="X473" si="1262">$S473/ORCAMENTO_VALOR_TOTAL_ND</f>
        <v>0</v>
      </c>
      <c r="Y473" s="158">
        <f t="shared" ref="Y473" si="1263">$T473/ORCAMENTO_VALOR_TOTAL_DE</f>
        <v>0</v>
      </c>
      <c r="Z473" s="158" cm="1">
        <f t="array" ref="Z473">_xlfn.SWITCH($N473,"BDI 1",$O$6,"BDI 2",$O$7,"BDI 3",$O$8)</f>
        <v>0.20699999999999999</v>
      </c>
      <c r="AA473" s="158" cm="1">
        <f t="array" ref="AA473">_xlfn.SWITCH($N473,"BDI 1",$P$6,"BDI 2",$P$7,"BDI 3",$P$8)</f>
        <v>0.26739999999999997</v>
      </c>
      <c r="AB473" s="158">
        <f ca="1">IFERROR($S473/_xlfn.XLOOKUP($AE473,$B$16:$B$38,$S$16:$S$38),0)</f>
        <v>0</v>
      </c>
      <c r="AC473" s="158">
        <f ca="1">IFERROR($T473/_xlfn.XLOOKUP($AE473,$B$16:$B$38,$T$16:$T$38),0)</f>
        <v>0</v>
      </c>
      <c r="AD473" s="164"/>
      <c r="AE473" s="148">
        <f>IF(S473&gt;0,IFERROR(TRUNC(A473,0),0),0)</f>
        <v>0</v>
      </c>
      <c r="AF473" s="149"/>
      <c r="AG473" s="150"/>
      <c r="AH473" s="159" t="e">
        <f t="shared" si="1198"/>
        <v>#DIV/0!</v>
      </c>
      <c r="AI473" s="160"/>
      <c r="AJ473" s="105"/>
      <c r="AK473" s="105"/>
      <c r="AM473" s="105"/>
      <c r="AN473" s="105"/>
      <c r="AO473" s="105"/>
      <c r="AP473" s="105"/>
      <c r="AQ473" s="105"/>
      <c r="AR473" s="105"/>
    </row>
    <row r="474" spans="1:44" s="49" customFormat="1" ht="40.15" hidden="1" customHeight="1">
      <c r="A474" s="152">
        <f t="shared" ca="1" si="1199"/>
        <v>0</v>
      </c>
      <c r="B474" s="153" t="s">
        <v>133</v>
      </c>
      <c r="C474" s="154" t="str">
        <f t="shared" si="1200"/>
        <v>DR/0032</v>
      </c>
      <c r="D474" s="154" t="s">
        <v>3549</v>
      </c>
      <c r="E474" s="155" t="s">
        <v>3659</v>
      </c>
      <c r="F474" s="154"/>
      <c r="G474" s="154" t="s">
        <v>464</v>
      </c>
      <c r="H474" s="152">
        <v>258.72000000000003</v>
      </c>
      <c r="I474" s="152">
        <v>246.98</v>
      </c>
      <c r="J474" s="156"/>
      <c r="K474" s="156">
        <f>+Dre_Profunda!I56</f>
        <v>0</v>
      </c>
      <c r="L474" s="156">
        <f t="shared" si="1201"/>
        <v>0</v>
      </c>
      <c r="M474" s="156">
        <f t="shared" si="1202"/>
        <v>0</v>
      </c>
      <c r="N474" s="156" t="s">
        <v>83</v>
      </c>
      <c r="O474" s="157" cm="1">
        <f t="array" ref="O474">TRUNC($H474*(1+_xlfn.SWITCH($N474,"BDI 1",$O$6,"BDI 2",$O$7,"BDI 3",$O$8)),2)</f>
        <v>312.27</v>
      </c>
      <c r="P474" s="157" cm="1">
        <f t="array" ref="P474">TRUNC($I474*(1+_xlfn.SWITCH($N474,"BDI 1",$P$6,"BDI 2",$P$7,"BDI 3",$P$8)),2)</f>
        <v>313.02</v>
      </c>
      <c r="Q474" s="157">
        <v>0</v>
      </c>
      <c r="R474" s="157">
        <f t="shared" ref="R474" si="1264">$Q474-($Q474*LICITACAO_DESCONTO)</f>
        <v>0</v>
      </c>
      <c r="S474" s="156">
        <f t="shared" si="1204"/>
        <v>0</v>
      </c>
      <c r="T474" s="156">
        <f t="shared" si="1205"/>
        <v>0</v>
      </c>
      <c r="U474" s="156">
        <f t="shared" si="1206"/>
        <v>0</v>
      </c>
      <c r="V474" s="156">
        <f t="shared" si="1207"/>
        <v>0</v>
      </c>
      <c r="W474" s="156">
        <f t="shared" si="1195"/>
        <v>0</v>
      </c>
      <c r="X474" s="158">
        <f t="shared" ref="X474" si="1265">$S474/ORCAMENTO_VALOR_TOTAL_ND</f>
        <v>0</v>
      </c>
      <c r="Y474" s="158">
        <f t="shared" ref="Y474" si="1266">$T474/ORCAMENTO_VALOR_TOTAL_DE</f>
        <v>0</v>
      </c>
      <c r="Z474" s="158" cm="1">
        <f t="array" ref="Z474">_xlfn.SWITCH($N474,"BDI 1",$O$6,"BDI 2",$O$7,"BDI 3",$O$8)</f>
        <v>0.20699999999999999</v>
      </c>
      <c r="AA474" s="158" cm="1">
        <f t="array" ref="AA474">_xlfn.SWITCH($N474,"BDI 1",$P$6,"BDI 2",$P$7,"BDI 3",$P$8)</f>
        <v>0.26739999999999997</v>
      </c>
      <c r="AB474" s="158">
        <f t="shared" ref="AB474:AB480" ca="1" si="1267">IFERROR($S474/_xlfn.XLOOKUP($AE474,$B$16:$B$38,$S$16:$S$38),0)</f>
        <v>0</v>
      </c>
      <c r="AC474" s="158">
        <f t="shared" ref="AC474:AC480" ca="1" si="1268">IFERROR($T474/_xlfn.XLOOKUP($AE474,$B$16:$B$38,$T$16:$T$38),0)</f>
        <v>0</v>
      </c>
      <c r="AD474" s="164"/>
      <c r="AE474" s="148">
        <f t="shared" ref="AE474:AE480" si="1269">IF(S474&gt;0,IFERROR(TRUNC(A474,0),0),0)</f>
        <v>0</v>
      </c>
      <c r="AF474" s="149"/>
      <c r="AG474" s="150"/>
      <c r="AH474" s="159" t="e">
        <f t="shared" si="1198"/>
        <v>#DIV/0!</v>
      </c>
      <c r="AI474" s="160"/>
      <c r="AJ474" s="105"/>
      <c r="AK474" s="105"/>
      <c r="AM474" s="105"/>
      <c r="AN474" s="105"/>
      <c r="AO474" s="105"/>
      <c r="AP474" s="105"/>
      <c r="AQ474" s="105"/>
      <c r="AR474" s="105"/>
    </row>
    <row r="475" spans="1:44" s="49" customFormat="1" ht="49.9" hidden="1" customHeight="1">
      <c r="A475" s="152">
        <f t="shared" ca="1" si="1199"/>
        <v>0</v>
      </c>
      <c r="B475" s="153" t="s">
        <v>162</v>
      </c>
      <c r="C475" s="154" t="str">
        <f t="shared" si="1200"/>
        <v>DR/0166</v>
      </c>
      <c r="D475" s="154" t="s">
        <v>3549</v>
      </c>
      <c r="E475" s="155" t="s">
        <v>3746</v>
      </c>
      <c r="F475" s="154"/>
      <c r="G475" s="154" t="s">
        <v>1412</v>
      </c>
      <c r="H475" s="152">
        <v>4379.01</v>
      </c>
      <c r="I475" s="152">
        <v>4170.59</v>
      </c>
      <c r="J475" s="156"/>
      <c r="K475" s="156">
        <f>+Dre_Profunda!I60</f>
        <v>0</v>
      </c>
      <c r="L475" s="156">
        <f t="shared" si="1201"/>
        <v>0</v>
      </c>
      <c r="M475" s="156">
        <f t="shared" si="1202"/>
        <v>0</v>
      </c>
      <c r="N475" s="156" t="s">
        <v>83</v>
      </c>
      <c r="O475" s="157" cm="1">
        <f t="array" ref="O475">TRUNC($H475*(1+_xlfn.SWITCH($N475,"BDI 1",$O$6,"BDI 2",$O$7,"BDI 3",$O$8)),2)</f>
        <v>5285.46</v>
      </c>
      <c r="P475" s="157" cm="1">
        <f t="array" ref="P475">TRUNC($I475*(1+_xlfn.SWITCH($N475,"BDI 1",$P$6,"BDI 2",$P$7,"BDI 3",$P$8)),2)</f>
        <v>5285.8</v>
      </c>
      <c r="Q475" s="157">
        <v>0</v>
      </c>
      <c r="R475" s="157">
        <f t="shared" ref="R475" si="1270">$Q475-($Q475*LICITACAO_DESCONTO)</f>
        <v>0</v>
      </c>
      <c r="S475" s="156">
        <f t="shared" si="1204"/>
        <v>0</v>
      </c>
      <c r="T475" s="156">
        <f t="shared" si="1205"/>
        <v>0</v>
      </c>
      <c r="U475" s="156">
        <f t="shared" si="1206"/>
        <v>0</v>
      </c>
      <c r="V475" s="156">
        <f t="shared" si="1207"/>
        <v>0</v>
      </c>
      <c r="W475" s="156">
        <f t="shared" si="1195"/>
        <v>0</v>
      </c>
      <c r="X475" s="158">
        <f t="shared" ref="X475" si="1271">$S475/ORCAMENTO_VALOR_TOTAL_ND</f>
        <v>0</v>
      </c>
      <c r="Y475" s="158">
        <f t="shared" ref="Y475" si="1272">$T475/ORCAMENTO_VALOR_TOTAL_DE</f>
        <v>0</v>
      </c>
      <c r="Z475" s="158" cm="1">
        <f t="array" ref="Z475">_xlfn.SWITCH($N475,"BDI 1",$O$6,"BDI 2",$O$7,"BDI 3",$O$8)</f>
        <v>0.20699999999999999</v>
      </c>
      <c r="AA475" s="158" cm="1">
        <f t="array" ref="AA475">_xlfn.SWITCH($N475,"BDI 1",$P$6,"BDI 2",$P$7,"BDI 3",$P$8)</f>
        <v>0.26739999999999997</v>
      </c>
      <c r="AB475" s="158">
        <f t="shared" ca="1" si="1267"/>
        <v>0</v>
      </c>
      <c r="AC475" s="158">
        <f t="shared" ca="1" si="1268"/>
        <v>0</v>
      </c>
      <c r="AD475" s="164"/>
      <c r="AE475" s="148">
        <f t="shared" si="1269"/>
        <v>0</v>
      </c>
      <c r="AF475" s="149"/>
      <c r="AG475" s="150"/>
      <c r="AH475" s="159" t="e">
        <f t="shared" si="1198"/>
        <v>#DIV/0!</v>
      </c>
      <c r="AI475" s="160"/>
      <c r="AJ475" s="105"/>
      <c r="AK475" s="105"/>
      <c r="AM475" s="105"/>
      <c r="AN475" s="105"/>
      <c r="AO475" s="105"/>
      <c r="AP475" s="105"/>
      <c r="AQ475" s="105"/>
      <c r="AR475" s="105"/>
    </row>
    <row r="476" spans="1:44" s="49" customFormat="1" ht="40.15" hidden="1" customHeight="1">
      <c r="A476" s="152">
        <f t="shared" ca="1" si="1199"/>
        <v>0</v>
      </c>
      <c r="B476" s="153">
        <v>94963</v>
      </c>
      <c r="C476" s="154" t="str">
        <f t="shared" si="1200"/>
        <v>94963</v>
      </c>
      <c r="D476" s="154" t="s">
        <v>1416</v>
      </c>
      <c r="E476" s="155" t="s">
        <v>3862</v>
      </c>
      <c r="F476" s="154"/>
      <c r="G476" s="154" t="s">
        <v>464</v>
      </c>
      <c r="H476" s="152">
        <v>428.94</v>
      </c>
      <c r="I476" s="152">
        <v>426.98</v>
      </c>
      <c r="J476" s="156"/>
      <c r="K476" s="156">
        <f>+Dre_Profunda!I62</f>
        <v>0</v>
      </c>
      <c r="L476" s="156">
        <f t="shared" si="1201"/>
        <v>0</v>
      </c>
      <c r="M476" s="156">
        <f t="shared" si="1202"/>
        <v>0</v>
      </c>
      <c r="N476" s="156" t="s">
        <v>83</v>
      </c>
      <c r="O476" s="157" cm="1">
        <f t="array" ref="O476">TRUNC($H476*(1+_xlfn.SWITCH($N476,"BDI 1",$O$6,"BDI 2",$O$7,"BDI 3",$O$8)),2)</f>
        <v>517.73</v>
      </c>
      <c r="P476" s="157" cm="1">
        <f t="array" ref="P476">TRUNC($I476*(1+_xlfn.SWITCH($N476,"BDI 1",$P$6,"BDI 2",$P$7,"BDI 3",$P$8)),2)</f>
        <v>541.15</v>
      </c>
      <c r="Q476" s="157">
        <v>0</v>
      </c>
      <c r="R476" s="157">
        <f t="shared" ref="R476" si="1273">$Q476-($Q476*LICITACAO_DESCONTO)</f>
        <v>0</v>
      </c>
      <c r="S476" s="156">
        <f t="shared" si="1204"/>
        <v>0</v>
      </c>
      <c r="T476" s="156">
        <f t="shared" si="1205"/>
        <v>0</v>
      </c>
      <c r="U476" s="156">
        <f t="shared" si="1206"/>
        <v>0</v>
      </c>
      <c r="V476" s="156">
        <f t="shared" si="1207"/>
        <v>0</v>
      </c>
      <c r="W476" s="156">
        <f t="shared" si="1195"/>
        <v>0</v>
      </c>
      <c r="X476" s="158">
        <f t="shared" ref="X476" si="1274">$S476/ORCAMENTO_VALOR_TOTAL_ND</f>
        <v>0</v>
      </c>
      <c r="Y476" s="158">
        <f t="shared" ref="Y476" si="1275">$T476/ORCAMENTO_VALOR_TOTAL_DE</f>
        <v>0</v>
      </c>
      <c r="Z476" s="158" cm="1">
        <f t="array" ref="Z476">_xlfn.SWITCH($N476,"BDI 1",$O$6,"BDI 2",$O$7,"BDI 3",$O$8)</f>
        <v>0.20699999999999999</v>
      </c>
      <c r="AA476" s="158" cm="1">
        <f t="array" ref="AA476">_xlfn.SWITCH($N476,"BDI 1",$P$6,"BDI 2",$P$7,"BDI 3",$P$8)</f>
        <v>0.26739999999999997</v>
      </c>
      <c r="AB476" s="158">
        <f t="shared" ca="1" si="1267"/>
        <v>0</v>
      </c>
      <c r="AC476" s="158">
        <f t="shared" ca="1" si="1268"/>
        <v>0</v>
      </c>
      <c r="AD476" s="164"/>
      <c r="AE476" s="148">
        <f t="shared" si="1269"/>
        <v>0</v>
      </c>
      <c r="AF476" s="149"/>
      <c r="AG476" s="150"/>
      <c r="AH476" s="159" t="e">
        <f t="shared" si="1198"/>
        <v>#DIV/0!</v>
      </c>
      <c r="AI476" s="160"/>
      <c r="AJ476" s="105"/>
      <c r="AK476" s="105"/>
      <c r="AM476" s="105"/>
      <c r="AN476" s="105"/>
      <c r="AO476" s="105"/>
      <c r="AP476" s="105"/>
      <c r="AQ476" s="105"/>
      <c r="AR476" s="105"/>
    </row>
    <row r="477" spans="1:44" s="49" customFormat="1" ht="40.15" hidden="1" customHeight="1">
      <c r="A477" s="152">
        <f t="shared" ca="1" si="1199"/>
        <v>0</v>
      </c>
      <c r="B477" s="153">
        <v>103670</v>
      </c>
      <c r="C477" s="154" t="str">
        <f t="shared" si="1200"/>
        <v>103670</v>
      </c>
      <c r="D477" s="154" t="s">
        <v>1416</v>
      </c>
      <c r="E477" s="155" t="s">
        <v>3792</v>
      </c>
      <c r="F477" s="154"/>
      <c r="G477" s="154" t="s">
        <v>464</v>
      </c>
      <c r="H477" s="152">
        <v>272.37</v>
      </c>
      <c r="I477" s="152">
        <v>247.05</v>
      </c>
      <c r="J477" s="156"/>
      <c r="K477" s="156">
        <f>+K476</f>
        <v>0</v>
      </c>
      <c r="L477" s="156">
        <f t="shared" si="1201"/>
        <v>0</v>
      </c>
      <c r="M477" s="156">
        <f t="shared" si="1202"/>
        <v>0</v>
      </c>
      <c r="N477" s="156" t="s">
        <v>83</v>
      </c>
      <c r="O477" s="157" cm="1">
        <f t="array" ref="O477">TRUNC($H477*(1+_xlfn.SWITCH($N477,"BDI 1",$O$6,"BDI 2",$O$7,"BDI 3",$O$8)),2)</f>
        <v>328.75</v>
      </c>
      <c r="P477" s="157" cm="1">
        <f t="array" ref="P477">TRUNC($I477*(1+_xlfn.SWITCH($N477,"BDI 1",$P$6,"BDI 2",$P$7,"BDI 3",$P$8)),2)</f>
        <v>313.11</v>
      </c>
      <c r="Q477" s="157">
        <v>0</v>
      </c>
      <c r="R477" s="157">
        <f t="shared" ref="R477" si="1276">$Q477-($Q477*LICITACAO_DESCONTO)</f>
        <v>0</v>
      </c>
      <c r="S477" s="156">
        <f t="shared" si="1204"/>
        <v>0</v>
      </c>
      <c r="T477" s="156">
        <f t="shared" si="1205"/>
        <v>0</v>
      </c>
      <c r="U477" s="156">
        <f t="shared" si="1206"/>
        <v>0</v>
      </c>
      <c r="V477" s="156">
        <f t="shared" si="1207"/>
        <v>0</v>
      </c>
      <c r="W477" s="156">
        <f t="shared" si="1195"/>
        <v>0</v>
      </c>
      <c r="X477" s="158">
        <f t="shared" ref="X477" si="1277">$S477/ORCAMENTO_VALOR_TOTAL_ND</f>
        <v>0</v>
      </c>
      <c r="Y477" s="158">
        <f t="shared" ref="Y477" si="1278">$T477/ORCAMENTO_VALOR_TOTAL_DE</f>
        <v>0</v>
      </c>
      <c r="Z477" s="158" cm="1">
        <f t="array" ref="Z477">_xlfn.SWITCH($N477,"BDI 1",$O$6,"BDI 2",$O$7,"BDI 3",$O$8)</f>
        <v>0.20699999999999999</v>
      </c>
      <c r="AA477" s="158" cm="1">
        <f t="array" ref="AA477">_xlfn.SWITCH($N477,"BDI 1",$P$6,"BDI 2",$P$7,"BDI 3",$P$8)</f>
        <v>0.26739999999999997</v>
      </c>
      <c r="AB477" s="158">
        <f t="shared" ca="1" si="1267"/>
        <v>0</v>
      </c>
      <c r="AC477" s="158">
        <f t="shared" ca="1" si="1268"/>
        <v>0</v>
      </c>
      <c r="AD477" s="164"/>
      <c r="AE477" s="148">
        <f t="shared" si="1269"/>
        <v>0</v>
      </c>
      <c r="AF477" s="149"/>
      <c r="AG477" s="150"/>
      <c r="AH477" s="159" t="e">
        <f t="shared" si="1198"/>
        <v>#DIV/0!</v>
      </c>
      <c r="AI477" s="160"/>
      <c r="AJ477" s="105"/>
      <c r="AK477" s="105"/>
      <c r="AM477" s="105"/>
      <c r="AN477" s="105"/>
      <c r="AO477" s="105"/>
      <c r="AP477" s="105"/>
      <c r="AQ477" s="105"/>
      <c r="AR477" s="105"/>
    </row>
    <row r="478" spans="1:44" s="49" customFormat="1" ht="40.15" hidden="1" customHeight="1">
      <c r="A478" s="152">
        <f t="shared" ca="1" si="1199"/>
        <v>0</v>
      </c>
      <c r="B478" s="153" t="s">
        <v>244</v>
      </c>
      <c r="C478" s="154" t="str">
        <f t="shared" si="1200"/>
        <v>EC/0044</v>
      </c>
      <c r="D478" s="154" t="s">
        <v>3549</v>
      </c>
      <c r="E478" s="155" t="s">
        <v>3863</v>
      </c>
      <c r="F478" s="154"/>
      <c r="G478" s="154" t="s">
        <v>1418</v>
      </c>
      <c r="H478" s="152">
        <v>203.44</v>
      </c>
      <c r="I478" s="152">
        <v>196.29</v>
      </c>
      <c r="J478" s="156"/>
      <c r="K478" s="156">
        <f>+Dre_Profunda!I63</f>
        <v>0</v>
      </c>
      <c r="L478" s="156">
        <f t="shared" si="1201"/>
        <v>0</v>
      </c>
      <c r="M478" s="156">
        <f t="shared" si="1202"/>
        <v>0</v>
      </c>
      <c r="N478" s="156" t="s">
        <v>83</v>
      </c>
      <c r="O478" s="157" cm="1">
        <f t="array" ref="O478">TRUNC($H478*(1+_xlfn.SWITCH($N478,"BDI 1",$O$6,"BDI 2",$O$7,"BDI 3",$O$8)),2)</f>
        <v>245.55</v>
      </c>
      <c r="P478" s="157" cm="1">
        <f t="array" ref="P478">TRUNC($I478*(1+_xlfn.SWITCH($N478,"BDI 1",$P$6,"BDI 2",$P$7,"BDI 3",$P$8)),2)</f>
        <v>248.77</v>
      </c>
      <c r="Q478" s="157">
        <v>0</v>
      </c>
      <c r="R478" s="157">
        <f t="shared" ref="R478" si="1279">$Q478-($Q478*LICITACAO_DESCONTO)</f>
        <v>0</v>
      </c>
      <c r="S478" s="156">
        <f t="shared" si="1204"/>
        <v>0</v>
      </c>
      <c r="T478" s="156">
        <f t="shared" si="1205"/>
        <v>0</v>
      </c>
      <c r="U478" s="156">
        <f t="shared" si="1206"/>
        <v>0</v>
      </c>
      <c r="V478" s="156">
        <f t="shared" si="1207"/>
        <v>0</v>
      </c>
      <c r="W478" s="156">
        <f t="shared" si="1195"/>
        <v>0</v>
      </c>
      <c r="X478" s="158">
        <f t="shared" ref="X478" si="1280">$S478/ORCAMENTO_VALOR_TOTAL_ND</f>
        <v>0</v>
      </c>
      <c r="Y478" s="158">
        <f t="shared" ref="Y478" si="1281">$T478/ORCAMENTO_VALOR_TOTAL_DE</f>
        <v>0</v>
      </c>
      <c r="Z478" s="158" cm="1">
        <f t="array" ref="Z478">_xlfn.SWITCH($N478,"BDI 1",$O$6,"BDI 2",$O$7,"BDI 3",$O$8)</f>
        <v>0.20699999999999999</v>
      </c>
      <c r="AA478" s="158" cm="1">
        <f t="array" ref="AA478">_xlfn.SWITCH($N478,"BDI 1",$P$6,"BDI 2",$P$7,"BDI 3",$P$8)</f>
        <v>0.26739999999999997</v>
      </c>
      <c r="AB478" s="158">
        <f t="shared" ca="1" si="1267"/>
        <v>0</v>
      </c>
      <c r="AC478" s="158">
        <f t="shared" ca="1" si="1268"/>
        <v>0</v>
      </c>
      <c r="AD478" s="164"/>
      <c r="AE478" s="148">
        <f t="shared" si="1269"/>
        <v>0</v>
      </c>
      <c r="AF478" s="149"/>
      <c r="AG478" s="150"/>
      <c r="AH478" s="159" t="e">
        <f t="shared" si="1198"/>
        <v>#DIV/0!</v>
      </c>
      <c r="AI478" s="160"/>
      <c r="AJ478" s="105"/>
      <c r="AK478" s="105"/>
      <c r="AM478" s="105"/>
      <c r="AN478" s="105"/>
      <c r="AO478" s="105"/>
      <c r="AP478" s="105"/>
      <c r="AQ478" s="105"/>
      <c r="AR478" s="105"/>
    </row>
    <row r="479" spans="1:44" s="49" customFormat="1" ht="40.15" hidden="1" customHeight="1">
      <c r="A479" s="152">
        <f t="shared" ca="1" si="1199"/>
        <v>0</v>
      </c>
      <c r="B479" s="153">
        <v>87878</v>
      </c>
      <c r="C479" s="154" t="str">
        <f t="shared" si="1200"/>
        <v>87878</v>
      </c>
      <c r="D479" s="154" t="s">
        <v>1416</v>
      </c>
      <c r="E479" s="155" t="s">
        <v>3864</v>
      </c>
      <c r="F479" s="154"/>
      <c r="G479" s="154" t="s">
        <v>1418</v>
      </c>
      <c r="H479" s="152">
        <v>4.5599999999999996</v>
      </c>
      <c r="I479" s="152">
        <v>4.29</v>
      </c>
      <c r="J479" s="156"/>
      <c r="K479" s="156">
        <f>+Dre_Profunda!I64</f>
        <v>0</v>
      </c>
      <c r="L479" s="156">
        <f t="shared" si="1201"/>
        <v>0</v>
      </c>
      <c r="M479" s="156">
        <f t="shared" si="1202"/>
        <v>0</v>
      </c>
      <c r="N479" s="156" t="s">
        <v>83</v>
      </c>
      <c r="O479" s="157" cm="1">
        <f t="array" ref="O479">TRUNC($H479*(1+_xlfn.SWITCH($N479,"BDI 1",$O$6,"BDI 2",$O$7,"BDI 3",$O$8)),2)</f>
        <v>5.5</v>
      </c>
      <c r="P479" s="157" cm="1">
        <f t="array" ref="P479">TRUNC($I479*(1+_xlfn.SWITCH($N479,"BDI 1",$P$6,"BDI 2",$P$7,"BDI 3",$P$8)),2)</f>
        <v>5.43</v>
      </c>
      <c r="Q479" s="157">
        <v>0</v>
      </c>
      <c r="R479" s="157">
        <f t="shared" ref="R479" si="1282">$Q479-($Q479*LICITACAO_DESCONTO)</f>
        <v>0</v>
      </c>
      <c r="S479" s="156">
        <f t="shared" si="1204"/>
        <v>0</v>
      </c>
      <c r="T479" s="156">
        <f t="shared" si="1205"/>
        <v>0</v>
      </c>
      <c r="U479" s="156">
        <f t="shared" si="1206"/>
        <v>0</v>
      </c>
      <c r="V479" s="156">
        <f t="shared" si="1207"/>
        <v>0</v>
      </c>
      <c r="W479" s="156">
        <f t="shared" si="1195"/>
        <v>0</v>
      </c>
      <c r="X479" s="158">
        <f t="shared" ref="X479" si="1283">$S479/ORCAMENTO_VALOR_TOTAL_ND</f>
        <v>0</v>
      </c>
      <c r="Y479" s="158">
        <f t="shared" ref="Y479" si="1284">$T479/ORCAMENTO_VALOR_TOTAL_DE</f>
        <v>0</v>
      </c>
      <c r="Z479" s="158" cm="1">
        <f t="array" ref="Z479">_xlfn.SWITCH($N479,"BDI 1",$O$6,"BDI 2",$O$7,"BDI 3",$O$8)</f>
        <v>0.20699999999999999</v>
      </c>
      <c r="AA479" s="158" cm="1">
        <f t="array" ref="AA479">_xlfn.SWITCH($N479,"BDI 1",$P$6,"BDI 2",$P$7,"BDI 3",$P$8)</f>
        <v>0.26739999999999997</v>
      </c>
      <c r="AB479" s="158">
        <f t="shared" ca="1" si="1267"/>
        <v>0</v>
      </c>
      <c r="AC479" s="158">
        <f t="shared" ca="1" si="1268"/>
        <v>0</v>
      </c>
      <c r="AD479" s="164"/>
      <c r="AE479" s="148">
        <f t="shared" si="1269"/>
        <v>0</v>
      </c>
      <c r="AF479" s="149"/>
      <c r="AG479" s="150"/>
      <c r="AH479" s="159" t="e">
        <f t="shared" si="1198"/>
        <v>#DIV/0!</v>
      </c>
      <c r="AI479" s="160"/>
      <c r="AJ479" s="105"/>
      <c r="AK479" s="105"/>
      <c r="AM479" s="105"/>
      <c r="AN479" s="105"/>
      <c r="AO479" s="105"/>
      <c r="AP479" s="105"/>
      <c r="AQ479" s="105"/>
      <c r="AR479" s="105"/>
    </row>
    <row r="480" spans="1:44" s="49" customFormat="1" ht="40.15" hidden="1" customHeight="1">
      <c r="A480" s="152">
        <f t="shared" ca="1" si="1199"/>
        <v>0</v>
      </c>
      <c r="B480" s="153">
        <v>87313</v>
      </c>
      <c r="C480" s="154" t="str">
        <f t="shared" si="1200"/>
        <v>87313</v>
      </c>
      <c r="D480" s="154" t="s">
        <v>1416</v>
      </c>
      <c r="E480" s="155" t="s">
        <v>3865</v>
      </c>
      <c r="F480" s="154"/>
      <c r="G480" s="154" t="s">
        <v>464</v>
      </c>
      <c r="H480" s="152">
        <v>530.89</v>
      </c>
      <c r="I480" s="152">
        <v>524.08000000000004</v>
      </c>
      <c r="J480" s="156"/>
      <c r="K480" s="156">
        <f>+Dre_Profunda!I65</f>
        <v>0</v>
      </c>
      <c r="L480" s="156">
        <f t="shared" si="1201"/>
        <v>0</v>
      </c>
      <c r="M480" s="156">
        <f t="shared" si="1202"/>
        <v>0</v>
      </c>
      <c r="N480" s="156" t="s">
        <v>83</v>
      </c>
      <c r="O480" s="157" cm="1">
        <f t="array" ref="O480">TRUNC($H480*(1+_xlfn.SWITCH($N480,"BDI 1",$O$6,"BDI 2",$O$7,"BDI 3",$O$8)),2)</f>
        <v>640.78</v>
      </c>
      <c r="P480" s="157" cm="1">
        <f t="array" ref="P480">TRUNC($I480*(1+_xlfn.SWITCH($N480,"BDI 1",$P$6,"BDI 2",$P$7,"BDI 3",$P$8)),2)</f>
        <v>664.21</v>
      </c>
      <c r="Q480" s="157">
        <v>0</v>
      </c>
      <c r="R480" s="157">
        <f t="shared" ref="R480" si="1285">$Q480-($Q480*LICITACAO_DESCONTO)</f>
        <v>0</v>
      </c>
      <c r="S480" s="156">
        <f t="shared" si="1204"/>
        <v>0</v>
      </c>
      <c r="T480" s="156">
        <f t="shared" si="1205"/>
        <v>0</v>
      </c>
      <c r="U480" s="156">
        <f t="shared" si="1206"/>
        <v>0</v>
      </c>
      <c r="V480" s="156">
        <f t="shared" si="1207"/>
        <v>0</v>
      </c>
      <c r="W480" s="156">
        <f t="shared" si="1195"/>
        <v>0</v>
      </c>
      <c r="X480" s="158">
        <f t="shared" ref="X480" si="1286">$S480/ORCAMENTO_VALOR_TOTAL_ND</f>
        <v>0</v>
      </c>
      <c r="Y480" s="158">
        <f t="shared" ref="Y480" si="1287">$T480/ORCAMENTO_VALOR_TOTAL_DE</f>
        <v>0</v>
      </c>
      <c r="Z480" s="158" cm="1">
        <f t="array" ref="Z480">_xlfn.SWITCH($N480,"BDI 1",$O$6,"BDI 2",$O$7,"BDI 3",$O$8)</f>
        <v>0.20699999999999999</v>
      </c>
      <c r="AA480" s="158" cm="1">
        <f t="array" ref="AA480">_xlfn.SWITCH($N480,"BDI 1",$P$6,"BDI 2",$P$7,"BDI 3",$P$8)</f>
        <v>0.26739999999999997</v>
      </c>
      <c r="AB480" s="158">
        <f t="shared" ca="1" si="1267"/>
        <v>0</v>
      </c>
      <c r="AC480" s="158">
        <f t="shared" ca="1" si="1268"/>
        <v>0</v>
      </c>
      <c r="AD480" s="164"/>
      <c r="AE480" s="148">
        <f t="shared" si="1269"/>
        <v>0</v>
      </c>
      <c r="AF480" s="149"/>
      <c r="AG480" s="150"/>
      <c r="AH480" s="159" t="e">
        <f t="shared" si="1198"/>
        <v>#DIV/0!</v>
      </c>
      <c r="AI480" s="160"/>
      <c r="AJ480" s="105"/>
      <c r="AK480" s="105"/>
      <c r="AM480" s="105"/>
      <c r="AN480" s="105"/>
      <c r="AO480" s="105"/>
      <c r="AP480" s="105"/>
      <c r="AQ480" s="105"/>
      <c r="AR480" s="105"/>
    </row>
    <row r="481" spans="1:44" s="49" customFormat="1" ht="40.15" hidden="1" customHeight="1">
      <c r="A481" s="10">
        <f t="shared" ca="1" si="1199"/>
        <v>0</v>
      </c>
      <c r="B481" s="153"/>
      <c r="C481" s="154"/>
      <c r="D481" s="154"/>
      <c r="E481" s="161" t="s">
        <v>136</v>
      </c>
      <c r="F481" s="154"/>
      <c r="G481" s="154"/>
      <c r="H481" s="152"/>
      <c r="I481" s="152"/>
      <c r="J481" s="154"/>
      <c r="K481" s="154"/>
      <c r="L481" s="154"/>
      <c r="M481" s="154"/>
      <c r="N481" s="154"/>
      <c r="O481" s="154"/>
      <c r="P481" s="154"/>
      <c r="Q481" s="154"/>
      <c r="R481" s="154"/>
      <c r="S481" s="162"/>
      <c r="T481" s="162"/>
      <c r="U481" s="162"/>
      <c r="V481" s="162"/>
      <c r="W481" s="162"/>
      <c r="X481" s="163"/>
      <c r="Y481" s="163"/>
      <c r="Z481" s="163"/>
      <c r="AA481" s="163"/>
      <c r="AB481" s="163"/>
      <c r="AC481" s="163"/>
      <c r="AD481" s="164"/>
      <c r="AE481" s="148">
        <f>IF(SUM(S482:S483)&gt;0,IFERROR(TRUNC(A481,0),0),0)</f>
        <v>0</v>
      </c>
      <c r="AF481" s="149"/>
      <c r="AG481" s="150"/>
      <c r="AH481" s="159"/>
      <c r="AI481" s="160" t="s">
        <v>123</v>
      </c>
      <c r="AJ481" s="105"/>
      <c r="AK481" s="105"/>
      <c r="AM481" s="105"/>
      <c r="AN481" s="105"/>
      <c r="AO481" s="105"/>
      <c r="AP481" s="105"/>
      <c r="AQ481" s="105"/>
      <c r="AR481" s="105"/>
    </row>
    <row r="482" spans="1:44" s="49" customFormat="1" ht="40.15" hidden="1" customHeight="1">
      <c r="A482" s="152">
        <f t="shared" ca="1" si="1199"/>
        <v>0</v>
      </c>
      <c r="B482" s="153">
        <v>95876</v>
      </c>
      <c r="C482" s="154" t="str">
        <f>TEXT(B482,"0")</f>
        <v>95876</v>
      </c>
      <c r="D482" s="154" t="s">
        <v>1416</v>
      </c>
      <c r="E482" s="155" t="s">
        <v>3537</v>
      </c>
      <c r="F482" s="154">
        <f>IF(Dados_DMT!$B$16&lt;30,Dados_DMT!$B$16,30)</f>
        <v>0</v>
      </c>
      <c r="G482" s="154" t="s">
        <v>3538</v>
      </c>
      <c r="H482" s="152">
        <v>2.09</v>
      </c>
      <c r="I482" s="152">
        <v>2.1</v>
      </c>
      <c r="J482" s="156"/>
      <c r="K482" s="156">
        <f>ROUND(Dre_Profunda!I68*F482,2)</f>
        <v>0</v>
      </c>
      <c r="L482" s="156">
        <f>IF($K482&gt;$J482,$K482-$J482,0)</f>
        <v>0</v>
      </c>
      <c r="M482" s="156">
        <f>IF($K482&lt;$J482,$J482-$K482,0)</f>
        <v>0</v>
      </c>
      <c r="N482" s="156" t="s">
        <v>83</v>
      </c>
      <c r="O482" s="157" cm="1">
        <f t="array" ref="O482">TRUNC($H482*(1+_xlfn.SWITCH($N482,"BDI 1",$O$6,"BDI 2",$O$7,"BDI 3",$O$8)),2)</f>
        <v>2.52</v>
      </c>
      <c r="P482" s="157" cm="1">
        <f t="array" ref="P482">TRUNC($I482*(1+_xlfn.SWITCH($N482,"BDI 1",$P$6,"BDI 2",$P$7,"BDI 3",$P$8)),2)</f>
        <v>2.66</v>
      </c>
      <c r="Q482" s="157">
        <v>0</v>
      </c>
      <c r="R482" s="157">
        <v>0</v>
      </c>
      <c r="S482" s="156">
        <f>TRUNC($K482*$O482,2)</f>
        <v>0</v>
      </c>
      <c r="T482" s="156">
        <f>TRUNC($K482*$P482,2)</f>
        <v>0</v>
      </c>
      <c r="U482" s="156">
        <f>TRUNC($J482*$R482,2)</f>
        <v>0</v>
      </c>
      <c r="V482" s="156">
        <f>TRUNC($K482*$Q482,2)</f>
        <v>0</v>
      </c>
      <c r="W482" s="156">
        <f>TRUNC(V482-U482,2)</f>
        <v>0</v>
      </c>
      <c r="X482" s="158">
        <f>$S482/ORCAMENTO_VALOR_TOTAL_ND</f>
        <v>0</v>
      </c>
      <c r="Y482" s="158">
        <f>$T482/ORCAMENTO_VALOR_TOTAL_DE</f>
        <v>0</v>
      </c>
      <c r="Z482" s="158" cm="1">
        <f t="array" ref="Z482">_xlfn.SWITCH($N482,"BDI 1",$O$6,"BDI 2",$O$7,"BDI 3",$O$8)</f>
        <v>0.20699999999999999</v>
      </c>
      <c r="AA482" s="158" cm="1">
        <f t="array" ref="AA482">_xlfn.SWITCH($N482,"BDI 1",$P$6,"BDI 2",$P$7,"BDI 3",$P$8)</f>
        <v>0.26739999999999997</v>
      </c>
      <c r="AB482" s="158">
        <f ca="1">IFERROR($S482/_xlfn.XLOOKUP($AE482,$B$16:$B$38,$S$16:$S$38),0)</f>
        <v>0</v>
      </c>
      <c r="AC482" s="158">
        <f ca="1">IFERROR($T482/_xlfn.XLOOKUP($AE482,$B$16:$B$38,$T$16:$T$38),0)</f>
        <v>0</v>
      </c>
      <c r="AD482" s="164"/>
      <c r="AE482" s="148">
        <f t="shared" ref="AE482:AE483" si="1288">IF(S482&gt;0,IFERROR(TRUNC(A482,0),0),0)</f>
        <v>0</v>
      </c>
      <c r="AF482" s="149"/>
      <c r="AG482" s="150"/>
      <c r="AH482" s="159" t="e">
        <f>S482/$S$455</f>
        <v>#DIV/0!</v>
      </c>
      <c r="AI482" s="166">
        <f>IF(K482=0,0,K482/F482)</f>
        <v>0</v>
      </c>
      <c r="AJ482" s="105"/>
      <c r="AK482" s="105"/>
      <c r="AM482" s="105"/>
      <c r="AN482" s="105"/>
      <c r="AO482" s="105"/>
      <c r="AP482" s="105"/>
      <c r="AQ482" s="105"/>
      <c r="AR482" s="105"/>
    </row>
    <row r="483" spans="1:44" s="49" customFormat="1" ht="40.15" hidden="1" customHeight="1">
      <c r="A483" s="152">
        <f t="shared" ca="1" si="1199"/>
        <v>0</v>
      </c>
      <c r="B483" s="153">
        <v>93593</v>
      </c>
      <c r="C483" s="154" t="str">
        <f>TEXT(B483,"0")</f>
        <v>93593</v>
      </c>
      <c r="D483" s="154" t="s">
        <v>1416</v>
      </c>
      <c r="E483" s="155" t="s">
        <v>3545</v>
      </c>
      <c r="F483" s="154">
        <f>Dados_DMT!$B$16-F482</f>
        <v>0</v>
      </c>
      <c r="G483" s="154" t="s">
        <v>3538</v>
      </c>
      <c r="H483" s="152">
        <v>0.84</v>
      </c>
      <c r="I483" s="152">
        <v>0.85</v>
      </c>
      <c r="J483" s="156"/>
      <c r="K483" s="156">
        <f>ROUND(Dre_Profunda!I68*F483,2)</f>
        <v>0</v>
      </c>
      <c r="L483" s="156">
        <f>IF($K483&gt;$J483,$K483-$J483,0)</f>
        <v>0</v>
      </c>
      <c r="M483" s="156">
        <f>IF($K483&lt;$J483,$J483-$K483,0)</f>
        <v>0</v>
      </c>
      <c r="N483" s="156" t="s">
        <v>83</v>
      </c>
      <c r="O483" s="157" cm="1">
        <f t="array" ref="O483">TRUNC($H483*(1+_xlfn.SWITCH($N483,"BDI 1",$O$6,"BDI 2",$O$7,"BDI 3",$O$8)),2)</f>
        <v>1.01</v>
      </c>
      <c r="P483" s="157" cm="1">
        <f t="array" ref="P483">TRUNC($I483*(1+_xlfn.SWITCH($N483,"BDI 1",$P$6,"BDI 2",$P$7,"BDI 3",$P$8)),2)</f>
        <v>1.07</v>
      </c>
      <c r="Q483" s="157">
        <v>0</v>
      </c>
      <c r="R483" s="157">
        <v>0</v>
      </c>
      <c r="S483" s="156">
        <f>TRUNC($K483*$O483,2)</f>
        <v>0</v>
      </c>
      <c r="T483" s="156">
        <f>TRUNC($K483*$P483,2)</f>
        <v>0</v>
      </c>
      <c r="U483" s="156">
        <f>TRUNC($J483*$R483,2)</f>
        <v>0</v>
      </c>
      <c r="V483" s="156">
        <f>TRUNC($K483*$Q483,2)</f>
        <v>0</v>
      </c>
      <c r="W483" s="156">
        <f>TRUNC(V483-U483,2)</f>
        <v>0</v>
      </c>
      <c r="X483" s="158">
        <f>$S483/ORCAMENTO_VALOR_TOTAL_ND</f>
        <v>0</v>
      </c>
      <c r="Y483" s="158">
        <f>$T483/ORCAMENTO_VALOR_TOTAL_DE</f>
        <v>0</v>
      </c>
      <c r="Z483" s="158" cm="1">
        <f t="array" ref="Z483">_xlfn.SWITCH($N483,"BDI 1",$O$6,"BDI 2",$O$7,"BDI 3",$O$8)</f>
        <v>0.20699999999999999</v>
      </c>
      <c r="AA483" s="158" cm="1">
        <f t="array" ref="AA483">_xlfn.SWITCH($N483,"BDI 1",$P$6,"BDI 2",$P$7,"BDI 3",$P$8)</f>
        <v>0.26739999999999997</v>
      </c>
      <c r="AB483" s="158">
        <f ca="1">IFERROR($S483/_xlfn.XLOOKUP($AE483,$B$16:$B$38,$S$16:$S$38),0)</f>
        <v>0</v>
      </c>
      <c r="AC483" s="158">
        <f ca="1">IFERROR($T483/_xlfn.XLOOKUP($AE483,$B$16:$B$38,$T$16:$T$38),0)</f>
        <v>0</v>
      </c>
      <c r="AD483" s="164"/>
      <c r="AE483" s="148">
        <f t="shared" si="1288"/>
        <v>0</v>
      </c>
      <c r="AF483" s="149"/>
      <c r="AG483" s="150"/>
      <c r="AH483" s="159" t="e">
        <f>S483/$S$455</f>
        <v>#DIV/0!</v>
      </c>
      <c r="AI483" s="166">
        <f>IF(K483=0,0,K483/F483)</f>
        <v>0</v>
      </c>
      <c r="AJ483" s="105"/>
      <c r="AK483" s="105"/>
      <c r="AM483" s="105"/>
      <c r="AN483" s="105"/>
      <c r="AO483" s="105"/>
      <c r="AP483" s="105"/>
      <c r="AQ483" s="105"/>
      <c r="AR483" s="105"/>
    </row>
    <row r="484" spans="1:44" s="49" customFormat="1" ht="40.15" hidden="1" customHeight="1">
      <c r="A484" s="10">
        <f t="shared" ca="1" si="1199"/>
        <v>0</v>
      </c>
      <c r="B484" s="153"/>
      <c r="C484" s="154"/>
      <c r="D484" s="154"/>
      <c r="E484" s="161" t="s">
        <v>137</v>
      </c>
      <c r="F484" s="154"/>
      <c r="G484" s="154"/>
      <c r="H484" s="152"/>
      <c r="I484" s="152"/>
      <c r="J484" s="154"/>
      <c r="K484" s="154"/>
      <c r="L484" s="154"/>
      <c r="M484" s="154"/>
      <c r="N484" s="154"/>
      <c r="O484" s="154"/>
      <c r="P484" s="154"/>
      <c r="Q484" s="154"/>
      <c r="R484" s="154"/>
      <c r="S484" s="162"/>
      <c r="T484" s="162"/>
      <c r="U484" s="162"/>
      <c r="V484" s="162"/>
      <c r="W484" s="162"/>
      <c r="X484" s="163"/>
      <c r="Y484" s="163"/>
      <c r="Z484" s="163"/>
      <c r="AA484" s="163"/>
      <c r="AB484" s="163"/>
      <c r="AC484" s="163"/>
      <c r="AD484" s="164"/>
      <c r="AE484" s="148">
        <f>IF(SUM(S485:S486)&gt;0,IFERROR(TRUNC(A484,0),0),0)</f>
        <v>0</v>
      </c>
      <c r="AF484" s="149"/>
      <c r="AG484" s="150"/>
      <c r="AH484" s="159"/>
      <c r="AI484" s="160" t="s">
        <v>245</v>
      </c>
      <c r="AJ484" s="105"/>
      <c r="AK484" s="105"/>
      <c r="AM484" s="105"/>
      <c r="AN484" s="105"/>
      <c r="AO484" s="105"/>
      <c r="AP484" s="105"/>
      <c r="AQ484" s="105"/>
      <c r="AR484" s="105"/>
    </row>
    <row r="485" spans="1:44" s="49" customFormat="1" ht="40.15" hidden="1" customHeight="1">
      <c r="A485" s="152">
        <f t="shared" ca="1" si="1199"/>
        <v>0</v>
      </c>
      <c r="B485" s="153">
        <v>95876</v>
      </c>
      <c r="C485" s="154" t="str">
        <f>TEXT(B485,"0")</f>
        <v>95876</v>
      </c>
      <c r="D485" s="154" t="s">
        <v>1416</v>
      </c>
      <c r="E485" s="155" t="s">
        <v>3537</v>
      </c>
      <c r="F485" s="154">
        <f>IF(Dados_DMT!$B$17&lt;30,Dados_DMT!$B$17,30)</f>
        <v>3.5</v>
      </c>
      <c r="G485" s="154" t="s">
        <v>3538</v>
      </c>
      <c r="H485" s="152">
        <v>2.09</v>
      </c>
      <c r="I485" s="152">
        <v>2.1</v>
      </c>
      <c r="J485" s="156"/>
      <c r="K485" s="156">
        <f>ROUND(Dre_Profunda!I69*F485,2)</f>
        <v>0</v>
      </c>
      <c r="L485" s="156">
        <f>IF($K485&gt;$J485,$K485-$J485,0)</f>
        <v>0</v>
      </c>
      <c r="M485" s="156">
        <f>IF($K485&lt;$J485,$J485-$K485,0)</f>
        <v>0</v>
      </c>
      <c r="N485" s="156" t="s">
        <v>83</v>
      </c>
      <c r="O485" s="157" cm="1">
        <f t="array" ref="O485">TRUNC($H485*(1+_xlfn.SWITCH($N485,"BDI 1",$O$6,"BDI 2",$O$7,"BDI 3",$O$8)),2)</f>
        <v>2.52</v>
      </c>
      <c r="P485" s="157" cm="1">
        <f t="array" ref="P485">TRUNC($I485*(1+_xlfn.SWITCH($N485,"BDI 1",$P$6,"BDI 2",$P$7,"BDI 3",$P$8)),2)</f>
        <v>2.66</v>
      </c>
      <c r="Q485" s="157">
        <v>0</v>
      </c>
      <c r="R485" s="157">
        <v>0</v>
      </c>
      <c r="S485" s="156">
        <f>TRUNC($K485*$O485,2)</f>
        <v>0</v>
      </c>
      <c r="T485" s="156">
        <f>TRUNC($K485*$P485,2)</f>
        <v>0</v>
      </c>
      <c r="U485" s="156">
        <f>TRUNC($J485*$R485,2)</f>
        <v>0</v>
      </c>
      <c r="V485" s="156">
        <f>TRUNC($K485*$Q485,2)</f>
        <v>0</v>
      </c>
      <c r="W485" s="156">
        <f>TRUNC(V485-U485,2)</f>
        <v>0</v>
      </c>
      <c r="X485" s="158">
        <f>$S485/ORCAMENTO_VALOR_TOTAL_ND</f>
        <v>0</v>
      </c>
      <c r="Y485" s="158">
        <f>$T485/ORCAMENTO_VALOR_TOTAL_DE</f>
        <v>0</v>
      </c>
      <c r="Z485" s="158" cm="1">
        <f t="array" ref="Z485">_xlfn.SWITCH($N485,"BDI 1",$O$6,"BDI 2",$O$7,"BDI 3",$O$8)</f>
        <v>0.20699999999999999</v>
      </c>
      <c r="AA485" s="158" cm="1">
        <f t="array" ref="AA485">_xlfn.SWITCH($N485,"BDI 1",$P$6,"BDI 2",$P$7,"BDI 3",$P$8)</f>
        <v>0.26739999999999997</v>
      </c>
      <c r="AB485" s="158">
        <f ca="1">IFERROR($S485/_xlfn.XLOOKUP($AE485,$B$16:$B$38,$S$16:$S$38),0)</f>
        <v>0</v>
      </c>
      <c r="AC485" s="158">
        <f ca="1">IFERROR($T485/_xlfn.XLOOKUP($AE485,$B$16:$B$38,$T$16:$T$38),0)</f>
        <v>0</v>
      </c>
      <c r="AD485" s="164"/>
      <c r="AE485" s="148">
        <f t="shared" ref="AE485:AE486" si="1289">IF(S485&gt;0,IFERROR(TRUNC(A485,0),0),0)</f>
        <v>0</v>
      </c>
      <c r="AF485" s="149"/>
      <c r="AG485" s="150"/>
      <c r="AH485" s="159" t="e">
        <f>S485/$S$455</f>
        <v>#DIV/0!</v>
      </c>
      <c r="AI485" s="166">
        <f>IF(K485=0,0,K485/F485)</f>
        <v>0</v>
      </c>
      <c r="AJ485" s="105"/>
      <c r="AK485" s="105"/>
      <c r="AM485" s="105"/>
      <c r="AN485" s="105"/>
      <c r="AO485" s="105"/>
      <c r="AP485" s="105"/>
      <c r="AQ485" s="105"/>
      <c r="AR485" s="105"/>
    </row>
    <row r="486" spans="1:44" s="49" customFormat="1" ht="40.15" hidden="1" customHeight="1">
      <c r="A486" s="152">
        <f t="shared" ca="1" si="1199"/>
        <v>0</v>
      </c>
      <c r="B486" s="153">
        <v>93593</v>
      </c>
      <c r="C486" s="154" t="str">
        <f>TEXT(B486,"0")</f>
        <v>93593</v>
      </c>
      <c r="D486" s="154" t="s">
        <v>1416</v>
      </c>
      <c r="E486" s="155" t="s">
        <v>3545</v>
      </c>
      <c r="F486" s="154">
        <f>Dados_DMT!$B$17-F485</f>
        <v>0</v>
      </c>
      <c r="G486" s="154" t="s">
        <v>3538</v>
      </c>
      <c r="H486" s="152">
        <v>0.84</v>
      </c>
      <c r="I486" s="152">
        <v>0.85</v>
      </c>
      <c r="J486" s="156"/>
      <c r="K486" s="156">
        <f>ROUND(Dre_Profunda!I69*F486,2)</f>
        <v>0</v>
      </c>
      <c r="L486" s="156">
        <f>IF($K486&gt;$J486,$K486-$J486,0)</f>
        <v>0</v>
      </c>
      <c r="M486" s="156">
        <f>IF($K486&lt;$J486,$J486-$K486,0)</f>
        <v>0</v>
      </c>
      <c r="N486" s="156" t="s">
        <v>83</v>
      </c>
      <c r="O486" s="157" cm="1">
        <f t="array" ref="O486">TRUNC($H486*(1+_xlfn.SWITCH($N486,"BDI 1",$O$6,"BDI 2",$O$7,"BDI 3",$O$8)),2)</f>
        <v>1.01</v>
      </c>
      <c r="P486" s="157" cm="1">
        <f t="array" ref="P486">TRUNC($I486*(1+_xlfn.SWITCH($N486,"BDI 1",$P$6,"BDI 2",$P$7,"BDI 3",$P$8)),2)</f>
        <v>1.07</v>
      </c>
      <c r="Q486" s="157">
        <v>0</v>
      </c>
      <c r="R486" s="157">
        <v>0</v>
      </c>
      <c r="S486" s="156">
        <f>TRUNC($K486*$O486,2)</f>
        <v>0</v>
      </c>
      <c r="T486" s="156">
        <f>TRUNC($K486*$P486,2)</f>
        <v>0</v>
      </c>
      <c r="U486" s="156">
        <f>TRUNC($J486*$R486,2)</f>
        <v>0</v>
      </c>
      <c r="V486" s="156">
        <f>TRUNC($K486*$Q486,2)</f>
        <v>0</v>
      </c>
      <c r="W486" s="156">
        <f>TRUNC(V486-U486,2)</f>
        <v>0</v>
      </c>
      <c r="X486" s="158">
        <f>$S486/ORCAMENTO_VALOR_TOTAL_ND</f>
        <v>0</v>
      </c>
      <c r="Y486" s="158">
        <f>$T486/ORCAMENTO_VALOR_TOTAL_DE</f>
        <v>0</v>
      </c>
      <c r="Z486" s="158" cm="1">
        <f t="array" ref="Z486">_xlfn.SWITCH($N486,"BDI 1",$O$6,"BDI 2",$O$7,"BDI 3",$O$8)</f>
        <v>0.20699999999999999</v>
      </c>
      <c r="AA486" s="158" cm="1">
        <f t="array" ref="AA486">_xlfn.SWITCH($N486,"BDI 1",$P$6,"BDI 2",$P$7,"BDI 3",$P$8)</f>
        <v>0.26739999999999997</v>
      </c>
      <c r="AB486" s="158">
        <f ca="1">IFERROR($S486/_xlfn.XLOOKUP($AE486,$B$16:$B$38,$S$16:$S$38),0)</f>
        <v>0</v>
      </c>
      <c r="AC486" s="158">
        <f ca="1">IFERROR($T486/_xlfn.XLOOKUP($AE486,$B$16:$B$38,$T$16:$T$38),0)</f>
        <v>0</v>
      </c>
      <c r="AD486" s="164"/>
      <c r="AE486" s="148">
        <f t="shared" si="1289"/>
        <v>0</v>
      </c>
      <c r="AF486" s="149"/>
      <c r="AG486" s="150"/>
      <c r="AH486" s="159" t="e">
        <f>S486/$S$455</f>
        <v>#DIV/0!</v>
      </c>
      <c r="AI486" s="166">
        <f>IF(K486=0,0,K486/F486)</f>
        <v>0</v>
      </c>
      <c r="AJ486" s="105"/>
      <c r="AK486" s="105"/>
      <c r="AM486" s="105"/>
      <c r="AN486" s="105"/>
      <c r="AO486" s="105"/>
      <c r="AP486" s="105"/>
      <c r="AQ486" s="105"/>
      <c r="AR486" s="105"/>
    </row>
    <row r="487" spans="1:44" s="49" customFormat="1" ht="40.15" hidden="1" customHeight="1">
      <c r="A487" s="10">
        <f t="shared" ca="1" si="1199"/>
        <v>0</v>
      </c>
      <c r="B487" s="153"/>
      <c r="C487" s="154"/>
      <c r="D487" s="154"/>
      <c r="E487" s="161" t="s">
        <v>139</v>
      </c>
      <c r="F487" s="154"/>
      <c r="G487" s="154"/>
      <c r="H487" s="152"/>
      <c r="I487" s="152"/>
      <c r="J487" s="154"/>
      <c r="K487" s="154"/>
      <c r="L487" s="154"/>
      <c r="M487" s="154"/>
      <c r="N487" s="154"/>
      <c r="O487" s="154"/>
      <c r="P487" s="154"/>
      <c r="Q487" s="154"/>
      <c r="R487" s="154"/>
      <c r="S487" s="162"/>
      <c r="T487" s="162"/>
      <c r="U487" s="162"/>
      <c r="V487" s="162"/>
      <c r="W487" s="162"/>
      <c r="X487" s="163"/>
      <c r="Y487" s="163"/>
      <c r="Z487" s="163"/>
      <c r="AA487" s="163"/>
      <c r="AB487" s="163"/>
      <c r="AC487" s="163"/>
      <c r="AD487" s="164"/>
      <c r="AE487" s="148">
        <f>IF(SUM(S488:S489)&gt;0,IFERROR(TRUNC(A487,0),0),0)</f>
        <v>0</v>
      </c>
      <c r="AF487" s="149"/>
      <c r="AG487" s="150"/>
      <c r="AH487" s="159"/>
      <c r="AI487" s="160"/>
      <c r="AJ487" s="105"/>
      <c r="AK487" s="105"/>
      <c r="AM487" s="105"/>
      <c r="AN487" s="105"/>
      <c r="AO487" s="105"/>
      <c r="AP487" s="105"/>
      <c r="AQ487" s="105"/>
      <c r="AR487" s="105"/>
    </row>
    <row r="488" spans="1:44" s="49" customFormat="1" ht="40.15" hidden="1" customHeight="1">
      <c r="A488" s="152">
        <f t="shared" ca="1" si="1199"/>
        <v>0</v>
      </c>
      <c r="B488" s="153">
        <v>95876</v>
      </c>
      <c r="C488" s="154" t="str">
        <f>TEXT(B488,"0")</f>
        <v>95876</v>
      </c>
      <c r="D488" s="154" t="s">
        <v>1416</v>
      </c>
      <c r="E488" s="155" t="s">
        <v>3537</v>
      </c>
      <c r="F488" s="154">
        <f>IF(Dados_DMT!$B$14&lt;30,Dados_DMT!$B$14,30)</f>
        <v>3.5</v>
      </c>
      <c r="G488" s="154" t="s">
        <v>3538</v>
      </c>
      <c r="H488" s="152">
        <v>2.09</v>
      </c>
      <c r="I488" s="152">
        <v>2.1</v>
      </c>
      <c r="J488" s="156"/>
      <c r="K488" s="156">
        <f>ROUND(Dre_Profunda!I70*F488,2)</f>
        <v>0</v>
      </c>
      <c r="L488" s="156">
        <f>IF($K488&gt;$J488,$K488-$J488,0)</f>
        <v>0</v>
      </c>
      <c r="M488" s="156">
        <f>IF($K488&lt;$J488,$J488-$K488,0)</f>
        <v>0</v>
      </c>
      <c r="N488" s="156" t="s">
        <v>83</v>
      </c>
      <c r="O488" s="157" cm="1">
        <f t="array" ref="O488">TRUNC($H488*(1+_xlfn.SWITCH($N488,"BDI 1",$O$6,"BDI 2",$O$7,"BDI 3",$O$8)),2)</f>
        <v>2.52</v>
      </c>
      <c r="P488" s="157" cm="1">
        <f t="array" ref="P488">TRUNC($I488*(1+_xlfn.SWITCH($N488,"BDI 1",$P$6,"BDI 2",$P$7,"BDI 3",$P$8)),2)</f>
        <v>2.66</v>
      </c>
      <c r="Q488" s="157">
        <v>0</v>
      </c>
      <c r="R488" s="157">
        <v>0</v>
      </c>
      <c r="S488" s="156">
        <f>TRUNC($K488*$O488,2)</f>
        <v>0</v>
      </c>
      <c r="T488" s="156">
        <f>TRUNC($K488*$P488,2)</f>
        <v>0</v>
      </c>
      <c r="U488" s="156">
        <f>TRUNC($J488*$R488,2)</f>
        <v>0</v>
      </c>
      <c r="V488" s="156">
        <f>TRUNC($K488*$Q488,2)</f>
        <v>0</v>
      </c>
      <c r="W488" s="156">
        <f>TRUNC(V488-U488,2)</f>
        <v>0</v>
      </c>
      <c r="X488" s="158">
        <f>$S488/ORCAMENTO_VALOR_TOTAL_ND</f>
        <v>0</v>
      </c>
      <c r="Y488" s="158">
        <f>$T488/ORCAMENTO_VALOR_TOTAL_DE</f>
        <v>0</v>
      </c>
      <c r="Z488" s="158" cm="1">
        <f t="array" ref="Z488">_xlfn.SWITCH($N488,"BDI 1",$O$6,"BDI 2",$O$7,"BDI 3",$O$8)</f>
        <v>0.20699999999999999</v>
      </c>
      <c r="AA488" s="158" cm="1">
        <f t="array" ref="AA488">_xlfn.SWITCH($N488,"BDI 1",$P$6,"BDI 2",$P$7,"BDI 3",$P$8)</f>
        <v>0.26739999999999997</v>
      </c>
      <c r="AB488" s="158">
        <f ca="1">IFERROR($S488/_xlfn.XLOOKUP($AE488,$B$16:$B$38,$S$16:$S$38),0)</f>
        <v>0</v>
      </c>
      <c r="AC488" s="158">
        <f ca="1">IFERROR($T488/_xlfn.XLOOKUP($AE488,$B$16:$B$38,$T$16:$T$38),0)</f>
        <v>0</v>
      </c>
      <c r="AD488" s="164"/>
      <c r="AE488" s="148">
        <f t="shared" ref="AE488:AE489" si="1290">IF(S488&gt;0,IFERROR(TRUNC(A488,0),0),0)</f>
        <v>0</v>
      </c>
      <c r="AF488" s="149"/>
      <c r="AG488" s="150"/>
      <c r="AH488" s="159" t="e">
        <f>S488/$S$455</f>
        <v>#DIV/0!</v>
      </c>
      <c r="AI488" s="166">
        <f>IF(K488=0,0,K488/F488)</f>
        <v>0</v>
      </c>
      <c r="AJ488" s="105"/>
      <c r="AK488" s="105"/>
      <c r="AM488" s="105"/>
      <c r="AN488" s="105"/>
      <c r="AO488" s="105"/>
      <c r="AP488" s="105"/>
      <c r="AQ488" s="105"/>
      <c r="AR488" s="105"/>
    </row>
    <row r="489" spans="1:44" s="49" customFormat="1" ht="40.15" hidden="1" customHeight="1">
      <c r="A489" s="152">
        <f t="shared" ca="1" si="1199"/>
        <v>0</v>
      </c>
      <c r="B489" s="153">
        <v>93593</v>
      </c>
      <c r="C489" s="154" t="str">
        <f>TEXT(B489,"0")</f>
        <v>93593</v>
      </c>
      <c r="D489" s="154" t="s">
        <v>1416</v>
      </c>
      <c r="E489" s="155" t="s">
        <v>3545</v>
      </c>
      <c r="F489" s="154">
        <f>Dados_DMT!$B$14-F488</f>
        <v>0</v>
      </c>
      <c r="G489" s="154" t="s">
        <v>3538</v>
      </c>
      <c r="H489" s="152">
        <v>0.84</v>
      </c>
      <c r="I489" s="152">
        <v>0.85</v>
      </c>
      <c r="J489" s="156"/>
      <c r="K489" s="156">
        <f>ROUND(Dre_Profunda!I70*F489,2)</f>
        <v>0</v>
      </c>
      <c r="L489" s="156">
        <f>IF($K489&gt;$J489,$K489-$J489,0)</f>
        <v>0</v>
      </c>
      <c r="M489" s="156">
        <f>IF($K489&lt;$J489,$J489-$K489,0)</f>
        <v>0</v>
      </c>
      <c r="N489" s="156" t="s">
        <v>83</v>
      </c>
      <c r="O489" s="157" cm="1">
        <f t="array" ref="O489">TRUNC($H489*(1+_xlfn.SWITCH($N489,"BDI 1",$O$6,"BDI 2",$O$7,"BDI 3",$O$8)),2)</f>
        <v>1.01</v>
      </c>
      <c r="P489" s="157" cm="1">
        <f t="array" ref="P489">TRUNC($I489*(1+_xlfn.SWITCH($N489,"BDI 1",$P$6,"BDI 2",$P$7,"BDI 3",$P$8)),2)</f>
        <v>1.07</v>
      </c>
      <c r="Q489" s="157">
        <v>0</v>
      </c>
      <c r="R489" s="157">
        <v>0</v>
      </c>
      <c r="S489" s="156">
        <f>TRUNC($K489*$O489,2)</f>
        <v>0</v>
      </c>
      <c r="T489" s="156">
        <f>TRUNC($K489*$P489,2)</f>
        <v>0</v>
      </c>
      <c r="U489" s="156">
        <f>TRUNC($J489*$R489,2)</f>
        <v>0</v>
      </c>
      <c r="V489" s="156">
        <f>TRUNC($K489*$Q489,2)</f>
        <v>0</v>
      </c>
      <c r="W489" s="156">
        <f>TRUNC(V489-U489,2)</f>
        <v>0</v>
      </c>
      <c r="X489" s="158">
        <f>$S489/ORCAMENTO_VALOR_TOTAL_ND</f>
        <v>0</v>
      </c>
      <c r="Y489" s="158">
        <f>$T489/ORCAMENTO_VALOR_TOTAL_DE</f>
        <v>0</v>
      </c>
      <c r="Z489" s="158" cm="1">
        <f t="array" ref="Z489">_xlfn.SWITCH($N489,"BDI 1",$O$6,"BDI 2",$O$7,"BDI 3",$O$8)</f>
        <v>0.20699999999999999</v>
      </c>
      <c r="AA489" s="158" cm="1">
        <f t="array" ref="AA489">_xlfn.SWITCH($N489,"BDI 1",$P$6,"BDI 2",$P$7,"BDI 3",$P$8)</f>
        <v>0.26739999999999997</v>
      </c>
      <c r="AB489" s="158">
        <f ca="1">IFERROR($S489/_xlfn.XLOOKUP($AE489,$B$16:$B$38,$S$16:$S$38),0)</f>
        <v>0</v>
      </c>
      <c r="AC489" s="158">
        <f ca="1">IFERROR($T489/_xlfn.XLOOKUP($AE489,$B$16:$B$38,$T$16:$T$38),0)</f>
        <v>0</v>
      </c>
      <c r="AD489" s="164"/>
      <c r="AE489" s="148">
        <f t="shared" si="1290"/>
        <v>0</v>
      </c>
      <c r="AF489" s="149"/>
      <c r="AG489" s="150"/>
      <c r="AH489" s="159" t="e">
        <f>S489/$S$455</f>
        <v>#DIV/0!</v>
      </c>
      <c r="AI489" s="166">
        <f>IF(K489=0,0,K489/F489)</f>
        <v>0</v>
      </c>
      <c r="AJ489" s="105"/>
      <c r="AK489" s="105"/>
      <c r="AM489" s="105"/>
      <c r="AN489" s="105"/>
      <c r="AO489" s="105"/>
      <c r="AP489" s="105"/>
      <c r="AQ489" s="105"/>
      <c r="AR489" s="105"/>
    </row>
    <row r="490" spans="1:44" s="49" customFormat="1" ht="40.15" hidden="1" customHeight="1">
      <c r="A490" s="10">
        <f t="shared" ca="1" si="1199"/>
        <v>0</v>
      </c>
      <c r="B490" s="153"/>
      <c r="C490" s="154"/>
      <c r="D490" s="154"/>
      <c r="E490" s="161" t="s">
        <v>103</v>
      </c>
      <c r="F490" s="154"/>
      <c r="G490" s="154"/>
      <c r="H490" s="152"/>
      <c r="I490" s="152"/>
      <c r="J490" s="154"/>
      <c r="K490" s="154"/>
      <c r="L490" s="154"/>
      <c r="M490" s="154"/>
      <c r="N490" s="154"/>
      <c r="O490" s="154"/>
      <c r="P490" s="154"/>
      <c r="Q490" s="154"/>
      <c r="R490" s="154"/>
      <c r="S490" s="162"/>
      <c r="T490" s="162"/>
      <c r="U490" s="162"/>
      <c r="V490" s="162"/>
      <c r="W490" s="162"/>
      <c r="X490" s="163"/>
      <c r="Y490" s="163"/>
      <c r="Z490" s="163"/>
      <c r="AA490" s="163"/>
      <c r="AB490" s="163"/>
      <c r="AC490" s="163"/>
      <c r="AD490" s="164"/>
      <c r="AE490" s="148">
        <f>IF(SUM(S491:S492)&gt;0,IFERROR(TRUNC(A490,0),0),0)</f>
        <v>0</v>
      </c>
      <c r="AF490" s="149"/>
      <c r="AG490" s="150"/>
      <c r="AH490" s="159"/>
      <c r="AI490" s="160"/>
      <c r="AJ490" s="105"/>
      <c r="AK490" s="105"/>
      <c r="AM490" s="105"/>
      <c r="AN490" s="105"/>
      <c r="AO490" s="105"/>
      <c r="AP490" s="105"/>
      <c r="AQ490" s="105"/>
      <c r="AR490" s="105"/>
    </row>
    <row r="491" spans="1:44" s="49" customFormat="1" ht="40.15" hidden="1" customHeight="1">
      <c r="A491" s="152">
        <f t="shared" ca="1" si="1199"/>
        <v>0</v>
      </c>
      <c r="B491" s="153">
        <v>95876</v>
      </c>
      <c r="C491" s="154" t="str">
        <f>TEXT(B491,"0")</f>
        <v>95876</v>
      </c>
      <c r="D491" s="154" t="s">
        <v>1416</v>
      </c>
      <c r="E491" s="155" t="s">
        <v>3537</v>
      </c>
      <c r="F491" s="154">
        <f>IF(Dados_DMT!$B$34&lt;30,Dados_DMT!$B$34,30)</f>
        <v>30</v>
      </c>
      <c r="G491" s="154" t="s">
        <v>3538</v>
      </c>
      <c r="H491" s="152">
        <v>2.09</v>
      </c>
      <c r="I491" s="152">
        <v>2.1</v>
      </c>
      <c r="J491" s="156"/>
      <c r="K491" s="156">
        <f>ROUND(Dre_Profunda!I74*F491,2)</f>
        <v>0</v>
      </c>
      <c r="L491" s="156">
        <f>IF($K491&gt;$J491,$K491-$J491,0)</f>
        <v>0</v>
      </c>
      <c r="M491" s="156">
        <f>IF($K491&lt;$J491,$J491-$K491,0)</f>
        <v>0</v>
      </c>
      <c r="N491" s="156" t="s">
        <v>83</v>
      </c>
      <c r="O491" s="157" cm="1">
        <f t="array" ref="O491">TRUNC($H491*(1+_xlfn.SWITCH($N491,"BDI 1",$O$6,"BDI 2",$O$7,"BDI 3",$O$8)),2)</f>
        <v>2.52</v>
      </c>
      <c r="P491" s="157" cm="1">
        <f t="array" ref="P491">TRUNC($I491*(1+_xlfn.SWITCH($N491,"BDI 1",$P$6,"BDI 2",$P$7,"BDI 3",$P$8)),2)</f>
        <v>2.66</v>
      </c>
      <c r="Q491" s="157">
        <v>0</v>
      </c>
      <c r="R491" s="157">
        <v>0</v>
      </c>
      <c r="S491" s="156">
        <f>TRUNC($K491*$O491,2)</f>
        <v>0</v>
      </c>
      <c r="T491" s="156">
        <f>TRUNC($K491*$P491,2)</f>
        <v>0</v>
      </c>
      <c r="U491" s="156">
        <f>TRUNC($J491*$R491,2)</f>
        <v>0</v>
      </c>
      <c r="V491" s="156">
        <f>TRUNC($K491*$Q491,2)</f>
        <v>0</v>
      </c>
      <c r="W491" s="156">
        <f>TRUNC(V491-U491,2)</f>
        <v>0</v>
      </c>
      <c r="X491" s="158">
        <f>$S491/ORCAMENTO_VALOR_TOTAL_ND</f>
        <v>0</v>
      </c>
      <c r="Y491" s="158">
        <f>$T491/ORCAMENTO_VALOR_TOTAL_DE</f>
        <v>0</v>
      </c>
      <c r="Z491" s="158" cm="1">
        <f t="array" ref="Z491">_xlfn.SWITCH($N491,"BDI 1",$O$6,"BDI 2",$O$7,"BDI 3",$O$8)</f>
        <v>0.20699999999999999</v>
      </c>
      <c r="AA491" s="158" cm="1">
        <f t="array" ref="AA491">_xlfn.SWITCH($N491,"BDI 1",$P$6,"BDI 2",$P$7,"BDI 3",$P$8)</f>
        <v>0.26739999999999997</v>
      </c>
      <c r="AB491" s="158">
        <f ca="1">IFERROR($S491/_xlfn.XLOOKUP($AE491,$B$16:$B$38,$S$16:$S$38),0)</f>
        <v>0</v>
      </c>
      <c r="AC491" s="158">
        <f ca="1">IFERROR($T491/_xlfn.XLOOKUP($AE491,$B$16:$B$38,$T$16:$T$38),0)</f>
        <v>0</v>
      </c>
      <c r="AD491" s="164"/>
      <c r="AE491" s="148">
        <f>IF(S491&gt;0,IFERROR(TRUNC(A491,0),0),0)</f>
        <v>0</v>
      </c>
      <c r="AF491" s="149"/>
      <c r="AG491" s="150"/>
      <c r="AH491" s="159" t="e">
        <f>S491/$S$455</f>
        <v>#DIV/0!</v>
      </c>
      <c r="AI491" s="166">
        <f>IF(K491=0,0,K491/F491)</f>
        <v>0</v>
      </c>
      <c r="AJ491" s="105"/>
      <c r="AK491" s="105"/>
      <c r="AM491" s="105"/>
      <c r="AN491" s="105"/>
      <c r="AO491" s="105"/>
      <c r="AP491" s="105"/>
      <c r="AQ491" s="105"/>
      <c r="AR491" s="105"/>
    </row>
    <row r="492" spans="1:44" s="49" customFormat="1" ht="40.15" hidden="1" customHeight="1">
      <c r="A492" s="152">
        <f t="shared" ca="1" si="1199"/>
        <v>0</v>
      </c>
      <c r="B492" s="153">
        <v>93593</v>
      </c>
      <c r="C492" s="154" t="str">
        <f>TEXT(B492,"0")</f>
        <v>93593</v>
      </c>
      <c r="D492" s="154" t="s">
        <v>1416</v>
      </c>
      <c r="E492" s="155" t="s">
        <v>3545</v>
      </c>
      <c r="F492" s="154">
        <f>Dados_DMT!$B$34-F491</f>
        <v>80</v>
      </c>
      <c r="G492" s="154" t="s">
        <v>3538</v>
      </c>
      <c r="H492" s="152">
        <v>0.84</v>
      </c>
      <c r="I492" s="152">
        <v>0.85</v>
      </c>
      <c r="J492" s="156"/>
      <c r="K492" s="156">
        <f>ROUND(Dre_Profunda!I74*F492,2)</f>
        <v>0</v>
      </c>
      <c r="L492" s="156">
        <f>IF($K492&gt;$J492,$K492-$J492,0)</f>
        <v>0</v>
      </c>
      <c r="M492" s="156">
        <f>IF($K492&lt;$J492,$J492-$K492,0)</f>
        <v>0</v>
      </c>
      <c r="N492" s="156" t="s">
        <v>83</v>
      </c>
      <c r="O492" s="157" cm="1">
        <f t="array" ref="O492">TRUNC($H492*(1+_xlfn.SWITCH($N492,"BDI 1",$O$6,"BDI 2",$O$7,"BDI 3",$O$8)),2)</f>
        <v>1.01</v>
      </c>
      <c r="P492" s="157" cm="1">
        <f t="array" ref="P492">TRUNC($I492*(1+_xlfn.SWITCH($N492,"BDI 1",$P$6,"BDI 2",$P$7,"BDI 3",$P$8)),2)</f>
        <v>1.07</v>
      </c>
      <c r="Q492" s="157">
        <v>0</v>
      </c>
      <c r="R492" s="157">
        <v>0</v>
      </c>
      <c r="S492" s="156">
        <f>TRUNC($K492*$O492,2)</f>
        <v>0</v>
      </c>
      <c r="T492" s="156">
        <f>TRUNC($K492*$P492,2)</f>
        <v>0</v>
      </c>
      <c r="U492" s="156">
        <f>TRUNC($J492*$R492,2)</f>
        <v>0</v>
      </c>
      <c r="V492" s="156">
        <f>TRUNC($K492*$Q492,2)</f>
        <v>0</v>
      </c>
      <c r="W492" s="156">
        <f>TRUNC(V492-U492,2)</f>
        <v>0</v>
      </c>
      <c r="X492" s="158">
        <f>$S492/ORCAMENTO_VALOR_TOTAL_ND</f>
        <v>0</v>
      </c>
      <c r="Y492" s="158">
        <f>$T492/ORCAMENTO_VALOR_TOTAL_DE</f>
        <v>0</v>
      </c>
      <c r="Z492" s="158" cm="1">
        <f t="array" ref="Z492">_xlfn.SWITCH($N492,"BDI 1",$O$6,"BDI 2",$O$7,"BDI 3",$O$8)</f>
        <v>0.20699999999999999</v>
      </c>
      <c r="AA492" s="158" cm="1">
        <f t="array" ref="AA492">_xlfn.SWITCH($N492,"BDI 1",$P$6,"BDI 2",$P$7,"BDI 3",$P$8)</f>
        <v>0.26739999999999997</v>
      </c>
      <c r="AB492" s="158">
        <f ca="1">IFERROR($S492/_xlfn.XLOOKUP($AE492,$B$16:$B$38,$S$16:$S$38),0)</f>
        <v>0</v>
      </c>
      <c r="AC492" s="158">
        <f ca="1">IFERROR($T492/_xlfn.XLOOKUP($AE492,$B$16:$B$38,$T$16:$T$38),0)</f>
        <v>0</v>
      </c>
      <c r="AD492" s="164"/>
      <c r="AE492" s="148">
        <f t="shared" ref="AE492" si="1291">IF(S492&gt;0,IFERROR(TRUNC(A492,0),0),0)</f>
        <v>0</v>
      </c>
      <c r="AF492" s="149"/>
      <c r="AG492" s="150"/>
      <c r="AH492" s="159" t="e">
        <f>S492/$S$455</f>
        <v>#DIV/0!</v>
      </c>
      <c r="AI492" s="166">
        <f>IF(K492=0,0,K492/F492)</f>
        <v>0</v>
      </c>
      <c r="AJ492" s="105"/>
      <c r="AK492" s="105"/>
      <c r="AM492" s="105"/>
      <c r="AN492" s="105"/>
      <c r="AO492" s="105"/>
      <c r="AP492" s="105"/>
      <c r="AQ492" s="105"/>
      <c r="AR492" s="105"/>
    </row>
    <row r="493" spans="1:44" s="49" customFormat="1" ht="40.15" hidden="1" customHeight="1">
      <c r="A493" s="10">
        <f t="shared" ca="1" si="1199"/>
        <v>0</v>
      </c>
      <c r="B493" s="153"/>
      <c r="C493" s="154"/>
      <c r="D493" s="154"/>
      <c r="E493" s="155"/>
      <c r="F493" s="154"/>
      <c r="G493" s="154"/>
      <c r="H493" s="154"/>
      <c r="I493" s="154"/>
      <c r="J493" s="168"/>
      <c r="K493" s="168"/>
      <c r="L493" s="168"/>
      <c r="M493" s="168"/>
      <c r="N493" s="168"/>
      <c r="O493" s="157"/>
      <c r="P493" s="157"/>
      <c r="Q493" s="157"/>
      <c r="R493" s="157"/>
      <c r="S493" s="162"/>
      <c r="T493" s="162"/>
      <c r="U493" s="162"/>
      <c r="V493" s="162"/>
      <c r="W493" s="162"/>
      <c r="X493" s="163"/>
      <c r="Y493" s="163"/>
      <c r="Z493" s="163"/>
      <c r="AA493" s="163"/>
      <c r="AB493" s="163"/>
      <c r="AC493" s="163"/>
      <c r="AD493" s="164"/>
      <c r="AE493" s="148">
        <f>IF(S494&gt;0,IFERROR(TRUNC(A494,0),0),0)</f>
        <v>0</v>
      </c>
      <c r="AF493" s="149"/>
      <c r="AG493" s="150"/>
      <c r="AH493" s="159"/>
      <c r="AI493" s="160"/>
      <c r="AJ493" s="105"/>
      <c r="AK493" s="105"/>
      <c r="AM493" s="105"/>
      <c r="AN493" s="105"/>
      <c r="AO493" s="105"/>
      <c r="AP493" s="105"/>
      <c r="AQ493" s="105"/>
      <c r="AR493" s="105"/>
    </row>
    <row r="494" spans="1:44" s="105" customFormat="1" ht="40.15" hidden="1" customHeight="1">
      <c r="A494" s="169">
        <f ca="1">$B$25</f>
        <v>0</v>
      </c>
      <c r="B494" s="170"/>
      <c r="C494" s="171"/>
      <c r="D494" s="172"/>
      <c r="E494" s="173" t="str">
        <f>$D$25</f>
        <v>MICRODRENAGEM - RECOMPOSIÇÃO DO PAVIMENTO</v>
      </c>
      <c r="F494" s="174">
        <v>0</v>
      </c>
      <c r="G494" s="175"/>
      <c r="H494" s="176" t="s">
        <v>246</v>
      </c>
      <c r="I494" s="176" t="s">
        <v>246</v>
      </c>
      <c r="J494" s="177"/>
      <c r="K494" s="177"/>
      <c r="L494" s="177"/>
      <c r="M494" s="177"/>
      <c r="N494" s="177"/>
      <c r="O494" s="178" t="str">
        <f ca="1">CONCATENATE("SUB-TOTAL ",$A494)</f>
        <v>SUB-TOTAL 0</v>
      </c>
      <c r="P494" s="178" t="e" cm="1">
        <f t="array" ref="P494">TRUNC($I494*(1+_xlfn.SWITCH($N494,"BDI 1",$P$6,"BDI 2",$P$7,"BDI 3",$P$8)),2)</f>
        <v>#VALUE!</v>
      </c>
      <c r="Q494" s="178" t="str">
        <f ca="1">CONCATENATE("SUB-TOTAL ",$A494)</f>
        <v>SUB-TOTAL 0</v>
      </c>
      <c r="R494" s="178"/>
      <c r="S494" s="179">
        <f>SUM(S495:S569)</f>
        <v>0</v>
      </c>
      <c r="T494" s="179">
        <f>SUM(T495:T569)</f>
        <v>0</v>
      </c>
      <c r="U494" s="179">
        <f>SUM(U495:U568)</f>
        <v>0</v>
      </c>
      <c r="V494" s="179">
        <f>SUM(V495:V568)</f>
        <v>0</v>
      </c>
      <c r="W494" s="179">
        <f t="shared" ref="W494:W512" si="1292">TRUNC(V494-U494,2)</f>
        <v>0</v>
      </c>
      <c r="X494" s="180">
        <f t="shared" ref="X494" si="1293">$S494/ORCAMENTO_VALOR_TOTAL_ND</f>
        <v>0</v>
      </c>
      <c r="Y494" s="180">
        <f t="shared" ref="Y494" si="1294">$T494/ORCAMENTO_VALOR_TOTAL_DE</f>
        <v>0</v>
      </c>
      <c r="Z494" s="180"/>
      <c r="AA494" s="180"/>
      <c r="AB494" s="180">
        <f>IFERROR($S494/$S494,0)</f>
        <v>0</v>
      </c>
      <c r="AC494" s="180">
        <f>IFERROR($T494/$T494,0)</f>
        <v>0</v>
      </c>
      <c r="AD494" s="147"/>
      <c r="AE494" s="148">
        <f t="shared" ref="AE494:AE512" si="1295">IF(S494&gt;0,IFERROR(TRUNC(A494,0),0),0)</f>
        <v>0</v>
      </c>
      <c r="AF494" s="149"/>
      <c r="AG494" s="150"/>
      <c r="AH494" s="151" t="e">
        <f t="shared" ref="AH494:AH512" si="1296">S494/$S$494</f>
        <v>#DIV/0!</v>
      </c>
    </row>
    <row r="495" spans="1:44" s="49" customFormat="1" ht="49.9" hidden="1" customHeight="1">
      <c r="A495" s="152">
        <f t="shared" ref="A495:A558" ca="1" si="1297">IF(K495&gt;0,A494+0.01,A494)</f>
        <v>0</v>
      </c>
      <c r="B495" s="153">
        <v>90105</v>
      </c>
      <c r="C495" s="154" t="str">
        <f t="shared" ref="C495:C512" si="1298">TEXT(B495,"0")</f>
        <v>90105</v>
      </c>
      <c r="D495" s="154" t="s">
        <v>1416</v>
      </c>
      <c r="E495" s="155" t="s">
        <v>3630</v>
      </c>
      <c r="F495" s="154"/>
      <c r="G495" s="154" t="s">
        <v>464</v>
      </c>
      <c r="H495" s="152">
        <v>8.68</v>
      </c>
      <c r="I495" s="152">
        <v>8.3800000000000008</v>
      </c>
      <c r="J495" s="156"/>
      <c r="K495" s="156">
        <f>+Dre_Fecha_Vala!U16</f>
        <v>0</v>
      </c>
      <c r="L495" s="156">
        <f t="shared" ref="L495:L512" si="1299">IF($K495&gt;$J495,$K495-$J495,0)</f>
        <v>0</v>
      </c>
      <c r="M495" s="156">
        <f t="shared" ref="M495:M512" si="1300">IF($K495&lt;$J495,$J495-$K495,0)</f>
        <v>0</v>
      </c>
      <c r="N495" s="156" t="s">
        <v>83</v>
      </c>
      <c r="O495" s="157" cm="1">
        <f t="array" ref="O495">TRUNC($H495*(1+_xlfn.SWITCH($N495,"BDI 1",$O$6,"BDI 2",$O$7,"BDI 3",$O$8)),2)</f>
        <v>10.47</v>
      </c>
      <c r="P495" s="157" cm="1">
        <f t="array" ref="P495">TRUNC($I495*(1+_xlfn.SWITCH($N495,"BDI 1",$P$6,"BDI 2",$P$7,"BDI 3",$P$8)),2)</f>
        <v>10.62</v>
      </c>
      <c r="Q495" s="157">
        <v>0</v>
      </c>
      <c r="R495" s="157">
        <f t="shared" ref="R495" si="1301">$Q495-($Q495*LICITACAO_DESCONTO)</f>
        <v>0</v>
      </c>
      <c r="S495" s="156">
        <f t="shared" ref="S495:S512" si="1302">TRUNC($K495*$O495,2)</f>
        <v>0</v>
      </c>
      <c r="T495" s="156">
        <f t="shared" ref="T495:T512" si="1303">TRUNC($K495*$P495,2)</f>
        <v>0</v>
      </c>
      <c r="U495" s="156">
        <f t="shared" ref="U495:U512" si="1304">TRUNC($J495*$R495,2)</f>
        <v>0</v>
      </c>
      <c r="V495" s="156">
        <f t="shared" ref="V495:V512" si="1305">TRUNC($K495*$Q495,2)</f>
        <v>0</v>
      </c>
      <c r="W495" s="156">
        <f t="shared" si="1292"/>
        <v>0</v>
      </c>
      <c r="X495" s="158">
        <f t="shared" ref="X495" si="1306">$S495/ORCAMENTO_VALOR_TOTAL_ND</f>
        <v>0</v>
      </c>
      <c r="Y495" s="158">
        <f t="shared" ref="Y495" si="1307">$T495/ORCAMENTO_VALOR_TOTAL_DE</f>
        <v>0</v>
      </c>
      <c r="Z495" s="158" cm="1">
        <f t="array" ref="Z495">_xlfn.SWITCH($N495,"BDI 1",$O$6,"BDI 2",$O$7,"BDI 3",$O$8)</f>
        <v>0.20699999999999999</v>
      </c>
      <c r="AA495" s="158" cm="1">
        <f t="array" ref="AA495">_xlfn.SWITCH($N495,"BDI 1",$P$6,"BDI 2",$P$7,"BDI 3",$P$8)</f>
        <v>0.26739999999999997</v>
      </c>
      <c r="AB495" s="158">
        <f t="shared" ref="AB495:AB512" ca="1" si="1308">IFERROR($S495/_xlfn.XLOOKUP($AE495,$B$16:$B$38,$S$16:$S$38),0)</f>
        <v>0</v>
      </c>
      <c r="AC495" s="158">
        <f t="shared" ref="AC495:AC512" ca="1" si="1309">IFERROR($T495/_xlfn.XLOOKUP($AE495,$B$16:$B$38,$T$16:$T$38),0)</f>
        <v>0</v>
      </c>
      <c r="AD495" s="164"/>
      <c r="AE495" s="148">
        <f t="shared" si="1295"/>
        <v>0</v>
      </c>
      <c r="AF495" s="149"/>
      <c r="AG495" s="150"/>
      <c r="AH495" s="159" t="e">
        <f t="shared" si="1296"/>
        <v>#DIV/0!</v>
      </c>
      <c r="AI495" s="160"/>
      <c r="AJ495" s="105"/>
      <c r="AK495" s="105"/>
      <c r="AM495" s="105"/>
      <c r="AN495" s="105"/>
      <c r="AO495" s="105"/>
      <c r="AP495" s="105"/>
      <c r="AQ495" s="105"/>
      <c r="AR495" s="105"/>
    </row>
    <row r="496" spans="1:44" s="49" customFormat="1" ht="49.9" hidden="1" customHeight="1">
      <c r="A496" s="152">
        <f t="shared" ca="1" si="1297"/>
        <v>0</v>
      </c>
      <c r="B496" s="153">
        <v>101230</v>
      </c>
      <c r="C496" s="154" t="str">
        <f t="shared" si="1298"/>
        <v>101230</v>
      </c>
      <c r="D496" s="154" t="s">
        <v>1416</v>
      </c>
      <c r="E496" s="155" t="s">
        <v>3677</v>
      </c>
      <c r="F496" s="154"/>
      <c r="G496" s="154" t="s">
        <v>464</v>
      </c>
      <c r="H496" s="152">
        <v>10.7</v>
      </c>
      <c r="I496" s="152">
        <v>10.73</v>
      </c>
      <c r="J496" s="156"/>
      <c r="K496" s="156">
        <f>IF(K497=0,Dre_Fecha_Vala!U27,0)+IF(K499=0,Dre_Fecha_Vala!U29,0)</f>
        <v>0</v>
      </c>
      <c r="L496" s="156">
        <f t="shared" si="1299"/>
        <v>0</v>
      </c>
      <c r="M496" s="156">
        <f t="shared" si="1300"/>
        <v>0</v>
      </c>
      <c r="N496" s="156" t="s">
        <v>83</v>
      </c>
      <c r="O496" s="157" cm="1">
        <f t="array" ref="O496">TRUNC($H496*(1+_xlfn.SWITCH($N496,"BDI 1",$O$6,"BDI 2",$O$7,"BDI 3",$O$8)),2)</f>
        <v>12.91</v>
      </c>
      <c r="P496" s="157" cm="1">
        <f t="array" ref="P496">TRUNC($I496*(1+_xlfn.SWITCH($N496,"BDI 1",$P$6,"BDI 2",$P$7,"BDI 3",$P$8)),2)</f>
        <v>13.59</v>
      </c>
      <c r="Q496" s="157">
        <v>0</v>
      </c>
      <c r="R496" s="157">
        <f t="shared" ref="R496" si="1310">$Q496-($Q496*LICITACAO_DESCONTO)</f>
        <v>0</v>
      </c>
      <c r="S496" s="156">
        <f t="shared" si="1302"/>
        <v>0</v>
      </c>
      <c r="T496" s="156">
        <f t="shared" si="1303"/>
        <v>0</v>
      </c>
      <c r="U496" s="156">
        <f t="shared" si="1304"/>
        <v>0</v>
      </c>
      <c r="V496" s="156">
        <f t="shared" si="1305"/>
        <v>0</v>
      </c>
      <c r="W496" s="156">
        <f t="shared" si="1292"/>
        <v>0</v>
      </c>
      <c r="X496" s="158">
        <f t="shared" ref="X496" si="1311">$S496/ORCAMENTO_VALOR_TOTAL_ND</f>
        <v>0</v>
      </c>
      <c r="Y496" s="158">
        <f t="shared" ref="Y496" si="1312">$T496/ORCAMENTO_VALOR_TOTAL_DE</f>
        <v>0</v>
      </c>
      <c r="Z496" s="158" cm="1">
        <f t="array" ref="Z496">_xlfn.SWITCH($N496,"BDI 1",$O$6,"BDI 2",$O$7,"BDI 3",$O$8)</f>
        <v>0.20699999999999999</v>
      </c>
      <c r="AA496" s="158" cm="1">
        <f t="array" ref="AA496">_xlfn.SWITCH($N496,"BDI 1",$P$6,"BDI 2",$P$7,"BDI 3",$P$8)</f>
        <v>0.26739999999999997</v>
      </c>
      <c r="AB496" s="158">
        <f t="shared" ca="1" si="1308"/>
        <v>0</v>
      </c>
      <c r="AC496" s="158">
        <f t="shared" ca="1" si="1309"/>
        <v>0</v>
      </c>
      <c r="AD496" s="164"/>
      <c r="AE496" s="148">
        <f t="shared" si="1295"/>
        <v>0</v>
      </c>
      <c r="AF496" s="149"/>
      <c r="AG496" s="150"/>
      <c r="AH496" s="159" t="e">
        <f t="shared" si="1296"/>
        <v>#DIV/0!</v>
      </c>
      <c r="AI496" s="160"/>
      <c r="AJ496" s="105"/>
      <c r="AK496" s="105"/>
      <c r="AM496" s="105"/>
      <c r="AN496" s="105"/>
      <c r="AO496" s="105"/>
      <c r="AP496" s="105"/>
      <c r="AQ496" s="105"/>
      <c r="AR496" s="105"/>
    </row>
    <row r="497" spans="1:44" s="49" customFormat="1" ht="40.15" hidden="1" customHeight="1">
      <c r="A497" s="152">
        <f t="shared" ca="1" si="1297"/>
        <v>0</v>
      </c>
      <c r="B497" s="153">
        <v>6079</v>
      </c>
      <c r="C497" s="154" t="str">
        <f t="shared" si="1298"/>
        <v>6079</v>
      </c>
      <c r="D497" s="154" t="s">
        <v>3579</v>
      </c>
      <c r="E497" s="155" t="s">
        <v>3679</v>
      </c>
      <c r="F497" s="154"/>
      <c r="G497" s="154" t="s">
        <v>464</v>
      </c>
      <c r="H497" s="152">
        <v>37.35</v>
      </c>
      <c r="I497" s="152">
        <v>37.35</v>
      </c>
      <c r="J497" s="156"/>
      <c r="K497" s="156">
        <f>IF(AI497="COMERCIAL",+Dre_Fecha_Vala!U27,0)</f>
        <v>0</v>
      </c>
      <c r="L497" s="156">
        <f t="shared" si="1299"/>
        <v>0</v>
      </c>
      <c r="M497" s="156">
        <f t="shared" si="1300"/>
        <v>0</v>
      </c>
      <c r="N497" s="156" t="s">
        <v>92</v>
      </c>
      <c r="O497" s="157" cm="1">
        <f t="array" ref="O497">TRUNC($H497*(1+_xlfn.SWITCH($N497,"BDI 1",$O$6,"BDI 2",$O$7,"BDI 3",$O$8)),2)</f>
        <v>43.05</v>
      </c>
      <c r="P497" s="157" cm="1">
        <f t="array" ref="P497">TRUNC($I497*(1+_xlfn.SWITCH($N497,"BDI 1",$P$6,"BDI 2",$P$7,"BDI 3",$P$8)),2)</f>
        <v>43.05</v>
      </c>
      <c r="Q497" s="157">
        <v>0</v>
      </c>
      <c r="R497" s="157">
        <f t="shared" ref="R497" si="1313">$Q497-($Q497*LICITACAO_DESCONTO)</f>
        <v>0</v>
      </c>
      <c r="S497" s="156">
        <f t="shared" si="1302"/>
        <v>0</v>
      </c>
      <c r="T497" s="156">
        <f t="shared" si="1303"/>
        <v>0</v>
      </c>
      <c r="U497" s="156">
        <f t="shared" si="1304"/>
        <v>0</v>
      </c>
      <c r="V497" s="156">
        <f t="shared" si="1305"/>
        <v>0</v>
      </c>
      <c r="W497" s="156">
        <f t="shared" si="1292"/>
        <v>0</v>
      </c>
      <c r="X497" s="158">
        <f t="shared" ref="X497" si="1314">$S497/ORCAMENTO_VALOR_TOTAL_ND</f>
        <v>0</v>
      </c>
      <c r="Y497" s="158">
        <f t="shared" ref="Y497" si="1315">$T497/ORCAMENTO_VALOR_TOTAL_DE</f>
        <v>0</v>
      </c>
      <c r="Z497" s="158" cm="1">
        <f t="array" ref="Z497">_xlfn.SWITCH($N497,"BDI 1",$O$6,"BDI 2",$O$7,"BDI 3",$O$8)</f>
        <v>0.1527</v>
      </c>
      <c r="AA497" s="158" cm="1">
        <f t="array" ref="AA497">_xlfn.SWITCH($N497,"BDI 1",$P$6,"BDI 2",$P$7,"BDI 3",$P$8)</f>
        <v>0.1527</v>
      </c>
      <c r="AB497" s="158">
        <f t="shared" ca="1" si="1308"/>
        <v>0</v>
      </c>
      <c r="AC497" s="158">
        <f t="shared" ca="1" si="1309"/>
        <v>0</v>
      </c>
      <c r="AD497" s="164"/>
      <c r="AE497" s="148">
        <f t="shared" si="1295"/>
        <v>0</v>
      </c>
      <c r="AF497" s="149"/>
      <c r="AG497" s="150"/>
      <c r="AH497" s="159" t="e">
        <f t="shared" si="1296"/>
        <v>#DIV/0!</v>
      </c>
      <c r="AI497" s="165" t="s">
        <v>243</v>
      </c>
      <c r="AJ497" s="105"/>
      <c r="AK497" s="105"/>
      <c r="AM497" s="105"/>
      <c r="AN497" s="105"/>
      <c r="AO497" s="105"/>
      <c r="AP497" s="105"/>
      <c r="AQ497" s="105"/>
      <c r="AR497" s="105"/>
    </row>
    <row r="498" spans="1:44" s="49" customFormat="1" ht="40.15" hidden="1" customHeight="1">
      <c r="A498" s="152">
        <f t="shared" ca="1" si="1297"/>
        <v>0</v>
      </c>
      <c r="B498" s="153">
        <v>4721</v>
      </c>
      <c r="C498" s="154" t="str">
        <f t="shared" si="1298"/>
        <v>4721</v>
      </c>
      <c r="D498" s="154" t="s">
        <v>3579</v>
      </c>
      <c r="E498" s="155" t="s">
        <v>3866</v>
      </c>
      <c r="F498" s="154"/>
      <c r="G498" s="154" t="s">
        <v>464</v>
      </c>
      <c r="H498" s="152">
        <v>95.96</v>
      </c>
      <c r="I498" s="152">
        <v>95.96</v>
      </c>
      <c r="J498" s="156"/>
      <c r="K498" s="156">
        <f>+Dre_Fecha_Vala!U28</f>
        <v>0</v>
      </c>
      <c r="L498" s="156">
        <f t="shared" si="1299"/>
        <v>0</v>
      </c>
      <c r="M498" s="156">
        <f t="shared" si="1300"/>
        <v>0</v>
      </c>
      <c r="N498" s="156" t="s">
        <v>92</v>
      </c>
      <c r="O498" s="157" cm="1">
        <f t="array" ref="O498">TRUNC($H498*(1+_xlfn.SWITCH($N498,"BDI 1",$O$6,"BDI 2",$O$7,"BDI 3",$O$8)),2)</f>
        <v>110.61</v>
      </c>
      <c r="P498" s="157" cm="1">
        <f t="array" ref="P498">TRUNC($I498*(1+_xlfn.SWITCH($N498,"BDI 1",$P$6,"BDI 2",$P$7,"BDI 3",$P$8)),2)</f>
        <v>110.61</v>
      </c>
      <c r="Q498" s="157">
        <v>0</v>
      </c>
      <c r="R498" s="157">
        <f t="shared" ref="R498" si="1316">$Q498-($Q498*LICITACAO_DESCONTO)</f>
        <v>0</v>
      </c>
      <c r="S498" s="156">
        <f t="shared" si="1302"/>
        <v>0</v>
      </c>
      <c r="T498" s="156">
        <f t="shared" si="1303"/>
        <v>0</v>
      </c>
      <c r="U498" s="156">
        <f t="shared" si="1304"/>
        <v>0</v>
      </c>
      <c r="V498" s="156">
        <f t="shared" si="1305"/>
        <v>0</v>
      </c>
      <c r="W498" s="156">
        <f t="shared" si="1292"/>
        <v>0</v>
      </c>
      <c r="X498" s="158">
        <f t="shared" ref="X498" si="1317">$S498/ORCAMENTO_VALOR_TOTAL_ND</f>
        <v>0</v>
      </c>
      <c r="Y498" s="158">
        <f t="shared" ref="Y498" si="1318">$T498/ORCAMENTO_VALOR_TOTAL_DE</f>
        <v>0</v>
      </c>
      <c r="Z498" s="158" cm="1">
        <f t="array" ref="Z498">_xlfn.SWITCH($N498,"BDI 1",$O$6,"BDI 2",$O$7,"BDI 3",$O$8)</f>
        <v>0.1527</v>
      </c>
      <c r="AA498" s="158" cm="1">
        <f t="array" ref="AA498">_xlfn.SWITCH($N498,"BDI 1",$P$6,"BDI 2",$P$7,"BDI 3",$P$8)</f>
        <v>0.1527</v>
      </c>
      <c r="AB498" s="158">
        <f t="shared" ca="1" si="1308"/>
        <v>0</v>
      </c>
      <c r="AC498" s="158">
        <f t="shared" ca="1" si="1309"/>
        <v>0</v>
      </c>
      <c r="AD498" s="164"/>
      <c r="AE498" s="148">
        <f t="shared" si="1295"/>
        <v>0</v>
      </c>
      <c r="AF498" s="149"/>
      <c r="AG498" s="150"/>
      <c r="AH498" s="159" t="e">
        <f t="shared" si="1296"/>
        <v>#DIV/0!</v>
      </c>
      <c r="AI498" s="160"/>
      <c r="AJ498" s="105"/>
      <c r="AK498" s="105"/>
      <c r="AM498" s="105"/>
      <c r="AN498" s="105"/>
      <c r="AO498" s="105"/>
      <c r="AP498" s="105"/>
      <c r="AQ498" s="105"/>
      <c r="AR498" s="105"/>
    </row>
    <row r="499" spans="1:44" s="49" customFormat="1" ht="40.15" hidden="1" customHeight="1">
      <c r="A499" s="152">
        <f t="shared" ca="1" si="1297"/>
        <v>0</v>
      </c>
      <c r="B499" s="153">
        <v>4743</v>
      </c>
      <c r="C499" s="154" t="str">
        <f t="shared" si="1298"/>
        <v>4743</v>
      </c>
      <c r="D499" s="154" t="s">
        <v>3579</v>
      </c>
      <c r="E499" s="155" t="s">
        <v>3867</v>
      </c>
      <c r="F499" s="154"/>
      <c r="G499" s="154" t="s">
        <v>464</v>
      </c>
      <c r="H499" s="152">
        <v>55.95</v>
      </c>
      <c r="I499" s="152">
        <v>55.95</v>
      </c>
      <c r="J499" s="156"/>
      <c r="K499" s="156">
        <f>IF(AI499="COMERCIAL",+Dre_Fecha_Vala!U29,0)</f>
        <v>0</v>
      </c>
      <c r="L499" s="156">
        <f t="shared" si="1299"/>
        <v>0</v>
      </c>
      <c r="M499" s="156">
        <f t="shared" si="1300"/>
        <v>0</v>
      </c>
      <c r="N499" s="156" t="s">
        <v>92</v>
      </c>
      <c r="O499" s="157" cm="1">
        <f t="array" ref="O499">TRUNC($H499*(1+_xlfn.SWITCH($N499,"BDI 1",$O$6,"BDI 2",$O$7,"BDI 3",$O$8)),2)</f>
        <v>64.489999999999995</v>
      </c>
      <c r="P499" s="157" cm="1">
        <f t="array" ref="P499">TRUNC($I499*(1+_xlfn.SWITCH($N499,"BDI 1",$P$6,"BDI 2",$P$7,"BDI 3",$P$8)),2)</f>
        <v>64.489999999999995</v>
      </c>
      <c r="Q499" s="157">
        <v>0</v>
      </c>
      <c r="R499" s="157">
        <f t="shared" ref="R499" si="1319">$Q499-($Q499*LICITACAO_DESCONTO)</f>
        <v>0</v>
      </c>
      <c r="S499" s="156">
        <f t="shared" si="1302"/>
        <v>0</v>
      </c>
      <c r="T499" s="156">
        <f t="shared" si="1303"/>
        <v>0</v>
      </c>
      <c r="U499" s="156">
        <f t="shared" si="1304"/>
        <v>0</v>
      </c>
      <c r="V499" s="156">
        <f t="shared" si="1305"/>
        <v>0</v>
      </c>
      <c r="W499" s="156">
        <f t="shared" si="1292"/>
        <v>0</v>
      </c>
      <c r="X499" s="158">
        <f t="shared" ref="X499" si="1320">$S499/ORCAMENTO_VALOR_TOTAL_ND</f>
        <v>0</v>
      </c>
      <c r="Y499" s="158">
        <f t="shared" ref="Y499" si="1321">$T499/ORCAMENTO_VALOR_TOTAL_DE</f>
        <v>0</v>
      </c>
      <c r="Z499" s="158" cm="1">
        <f t="array" ref="Z499">_xlfn.SWITCH($N499,"BDI 1",$O$6,"BDI 2",$O$7,"BDI 3",$O$8)</f>
        <v>0.1527</v>
      </c>
      <c r="AA499" s="158" cm="1">
        <f t="array" ref="AA499">_xlfn.SWITCH($N499,"BDI 1",$P$6,"BDI 2",$P$7,"BDI 3",$P$8)</f>
        <v>0.1527</v>
      </c>
      <c r="AB499" s="158">
        <f t="shared" ca="1" si="1308"/>
        <v>0</v>
      </c>
      <c r="AC499" s="158">
        <f t="shared" ca="1" si="1309"/>
        <v>0</v>
      </c>
      <c r="AD499" s="164"/>
      <c r="AE499" s="148">
        <f t="shared" si="1295"/>
        <v>0</v>
      </c>
      <c r="AF499" s="149"/>
      <c r="AG499" s="150"/>
      <c r="AH499" s="159" t="e">
        <f t="shared" si="1296"/>
        <v>#DIV/0!</v>
      </c>
      <c r="AI499" s="165" t="s">
        <v>243</v>
      </c>
      <c r="AJ499" s="105"/>
      <c r="AK499" s="105"/>
      <c r="AM499" s="105"/>
      <c r="AN499" s="105"/>
      <c r="AO499" s="105"/>
      <c r="AP499" s="105"/>
      <c r="AQ499" s="105"/>
      <c r="AR499" s="105"/>
    </row>
    <row r="500" spans="1:44" s="49" customFormat="1" ht="40.15" hidden="1" customHeight="1">
      <c r="A500" s="152">
        <f t="shared" ca="1" si="1297"/>
        <v>0</v>
      </c>
      <c r="B500" s="153">
        <v>4748</v>
      </c>
      <c r="C500" s="154" t="str">
        <f t="shared" si="1298"/>
        <v>4748</v>
      </c>
      <c r="D500" s="154" t="s">
        <v>3579</v>
      </c>
      <c r="E500" s="155" t="s">
        <v>3868</v>
      </c>
      <c r="F500" s="154"/>
      <c r="G500" s="154" t="s">
        <v>464</v>
      </c>
      <c r="H500" s="152">
        <v>88.63</v>
      </c>
      <c r="I500" s="152">
        <v>88.63</v>
      </c>
      <c r="J500" s="156"/>
      <c r="K500" s="156">
        <f>+Dre_Fecha_Vala!U30</f>
        <v>0</v>
      </c>
      <c r="L500" s="156">
        <f t="shared" si="1299"/>
        <v>0</v>
      </c>
      <c r="M500" s="156">
        <f t="shared" si="1300"/>
        <v>0</v>
      </c>
      <c r="N500" s="156" t="s">
        <v>92</v>
      </c>
      <c r="O500" s="157" cm="1">
        <f t="array" ref="O500">TRUNC($H500*(1+_xlfn.SWITCH($N500,"BDI 1",$O$6,"BDI 2",$O$7,"BDI 3",$O$8)),2)</f>
        <v>102.16</v>
      </c>
      <c r="P500" s="157" cm="1">
        <f t="array" ref="P500">TRUNC($I500*(1+_xlfn.SWITCH($N500,"BDI 1",$P$6,"BDI 2",$P$7,"BDI 3",$P$8)),2)</f>
        <v>102.16</v>
      </c>
      <c r="Q500" s="157">
        <v>0</v>
      </c>
      <c r="R500" s="157">
        <f t="shared" ref="R500" si="1322">$Q500-($Q500*LICITACAO_DESCONTO)</f>
        <v>0</v>
      </c>
      <c r="S500" s="156">
        <f t="shared" si="1302"/>
        <v>0</v>
      </c>
      <c r="T500" s="156">
        <f t="shared" si="1303"/>
        <v>0</v>
      </c>
      <c r="U500" s="156">
        <f t="shared" si="1304"/>
        <v>0</v>
      </c>
      <c r="V500" s="156">
        <f t="shared" si="1305"/>
        <v>0</v>
      </c>
      <c r="W500" s="156">
        <f t="shared" si="1292"/>
        <v>0</v>
      </c>
      <c r="X500" s="158">
        <f t="shared" ref="X500" si="1323">$S500/ORCAMENTO_VALOR_TOTAL_ND</f>
        <v>0</v>
      </c>
      <c r="Y500" s="158">
        <f t="shared" ref="Y500" si="1324">$T500/ORCAMENTO_VALOR_TOTAL_DE</f>
        <v>0</v>
      </c>
      <c r="Z500" s="158" cm="1">
        <f t="array" ref="Z500">_xlfn.SWITCH($N500,"BDI 1",$O$6,"BDI 2",$O$7,"BDI 3",$O$8)</f>
        <v>0.1527</v>
      </c>
      <c r="AA500" s="158" cm="1">
        <f t="array" ref="AA500">_xlfn.SWITCH($N500,"BDI 1",$P$6,"BDI 2",$P$7,"BDI 3",$P$8)</f>
        <v>0.1527</v>
      </c>
      <c r="AB500" s="158">
        <f t="shared" ca="1" si="1308"/>
        <v>0</v>
      </c>
      <c r="AC500" s="158">
        <f t="shared" ca="1" si="1309"/>
        <v>0</v>
      </c>
      <c r="AD500" s="164"/>
      <c r="AE500" s="148">
        <f t="shared" si="1295"/>
        <v>0</v>
      </c>
      <c r="AF500" s="149"/>
      <c r="AG500" s="150"/>
      <c r="AH500" s="159" t="e">
        <f t="shared" si="1296"/>
        <v>#DIV/0!</v>
      </c>
      <c r="AI500" s="160"/>
      <c r="AJ500" s="105"/>
      <c r="AK500" s="105"/>
      <c r="AM500" s="105"/>
      <c r="AN500" s="105"/>
      <c r="AO500" s="105"/>
      <c r="AP500" s="105"/>
      <c r="AQ500" s="105"/>
      <c r="AR500" s="105"/>
    </row>
    <row r="501" spans="1:44" s="49" customFormat="1" ht="40.15" hidden="1" customHeight="1">
      <c r="A501" s="152">
        <f t="shared" ca="1" si="1297"/>
        <v>0</v>
      </c>
      <c r="B501" s="153">
        <v>4729</v>
      </c>
      <c r="C501" s="154" t="str">
        <f t="shared" si="1298"/>
        <v>4729</v>
      </c>
      <c r="D501" s="154" t="s">
        <v>3579</v>
      </c>
      <c r="E501" s="155" t="s">
        <v>3869</v>
      </c>
      <c r="F501" s="154"/>
      <c r="G501" s="154" t="s">
        <v>464</v>
      </c>
      <c r="H501" s="152">
        <v>96.69</v>
      </c>
      <c r="I501" s="152">
        <v>96.69</v>
      </c>
      <c r="J501" s="156"/>
      <c r="K501" s="156">
        <f>Dre_Fecha_Vala!U31</f>
        <v>0</v>
      </c>
      <c r="L501" s="156">
        <f t="shared" si="1299"/>
        <v>0</v>
      </c>
      <c r="M501" s="156">
        <f t="shared" si="1300"/>
        <v>0</v>
      </c>
      <c r="N501" s="156" t="s">
        <v>92</v>
      </c>
      <c r="O501" s="157" cm="1">
        <f t="array" ref="O501">TRUNC($H501*(1+_xlfn.SWITCH($N501,"BDI 1",$O$6,"BDI 2",$O$7,"BDI 3",$O$8)),2)</f>
        <v>111.45</v>
      </c>
      <c r="P501" s="157" cm="1">
        <f t="array" ref="P501">TRUNC($I501*(1+_xlfn.SWITCH($N501,"BDI 1",$P$6,"BDI 2",$P$7,"BDI 3",$P$8)),2)</f>
        <v>111.45</v>
      </c>
      <c r="Q501" s="157">
        <v>0</v>
      </c>
      <c r="R501" s="157">
        <f t="shared" ref="R501" si="1325">$Q501-($Q501*LICITACAO_DESCONTO)</f>
        <v>0</v>
      </c>
      <c r="S501" s="156">
        <f t="shared" si="1302"/>
        <v>0</v>
      </c>
      <c r="T501" s="156">
        <f t="shared" si="1303"/>
        <v>0</v>
      </c>
      <c r="U501" s="156">
        <f t="shared" si="1304"/>
        <v>0</v>
      </c>
      <c r="V501" s="156">
        <f t="shared" si="1305"/>
        <v>0</v>
      </c>
      <c r="W501" s="156">
        <f t="shared" si="1292"/>
        <v>0</v>
      </c>
      <c r="X501" s="158">
        <f t="shared" ref="X501" si="1326">$S501/ORCAMENTO_VALOR_TOTAL_ND</f>
        <v>0</v>
      </c>
      <c r="Y501" s="158">
        <f t="shared" ref="Y501" si="1327">$T501/ORCAMENTO_VALOR_TOTAL_DE</f>
        <v>0</v>
      </c>
      <c r="Z501" s="158" cm="1">
        <f t="array" ref="Z501">_xlfn.SWITCH($N501,"BDI 1",$O$6,"BDI 2",$O$7,"BDI 3",$O$8)</f>
        <v>0.1527</v>
      </c>
      <c r="AA501" s="158" cm="1">
        <f t="array" ref="AA501">_xlfn.SWITCH($N501,"BDI 1",$P$6,"BDI 2",$P$7,"BDI 3",$P$8)</f>
        <v>0.1527</v>
      </c>
      <c r="AB501" s="158">
        <f t="shared" ca="1" si="1308"/>
        <v>0</v>
      </c>
      <c r="AC501" s="158">
        <f t="shared" ca="1" si="1309"/>
        <v>0</v>
      </c>
      <c r="AD501" s="164"/>
      <c r="AE501" s="148">
        <f t="shared" si="1295"/>
        <v>0</v>
      </c>
      <c r="AF501" s="149"/>
      <c r="AG501" s="150"/>
      <c r="AH501" s="159" t="e">
        <f t="shared" si="1296"/>
        <v>#DIV/0!</v>
      </c>
      <c r="AI501" s="160"/>
      <c r="AJ501" s="105"/>
      <c r="AK501" s="105"/>
      <c r="AM501" s="105"/>
      <c r="AN501" s="105"/>
      <c r="AO501" s="105"/>
      <c r="AP501" s="105"/>
      <c r="AQ501" s="105"/>
      <c r="AR501" s="105"/>
    </row>
    <row r="502" spans="1:44" s="49" customFormat="1" ht="49.9" hidden="1" customHeight="1">
      <c r="A502" s="152">
        <f t="shared" ca="1" si="1297"/>
        <v>0</v>
      </c>
      <c r="B502" s="153">
        <v>101767</v>
      </c>
      <c r="C502" s="154" t="str">
        <f t="shared" si="1298"/>
        <v>101767</v>
      </c>
      <c r="D502" s="154" t="s">
        <v>1416</v>
      </c>
      <c r="E502" s="155" t="s">
        <v>3870</v>
      </c>
      <c r="F502" s="154"/>
      <c r="G502" s="154" t="s">
        <v>464</v>
      </c>
      <c r="H502" s="152">
        <v>27.3</v>
      </c>
      <c r="I502" s="152">
        <v>26.65</v>
      </c>
      <c r="J502" s="156"/>
      <c r="K502" s="156">
        <f>+Dre_Fecha_Vala!U19</f>
        <v>0</v>
      </c>
      <c r="L502" s="156">
        <f t="shared" si="1299"/>
        <v>0</v>
      </c>
      <c r="M502" s="156">
        <f t="shared" si="1300"/>
        <v>0</v>
      </c>
      <c r="N502" s="156" t="s">
        <v>83</v>
      </c>
      <c r="O502" s="157" cm="1">
        <f t="array" ref="O502">TRUNC($H502*(1+_xlfn.SWITCH($N502,"BDI 1",$O$6,"BDI 2",$O$7,"BDI 3",$O$8)),2)</f>
        <v>32.950000000000003</v>
      </c>
      <c r="P502" s="157" cm="1">
        <f t="array" ref="P502">TRUNC($I502*(1+_xlfn.SWITCH($N502,"BDI 1",$P$6,"BDI 2",$P$7,"BDI 3",$P$8)),2)</f>
        <v>33.770000000000003</v>
      </c>
      <c r="Q502" s="157">
        <v>0</v>
      </c>
      <c r="R502" s="157">
        <f t="shared" ref="R502" si="1328">$Q502-($Q502*LICITACAO_DESCONTO)</f>
        <v>0</v>
      </c>
      <c r="S502" s="156">
        <f t="shared" si="1302"/>
        <v>0</v>
      </c>
      <c r="T502" s="156">
        <f t="shared" si="1303"/>
        <v>0</v>
      </c>
      <c r="U502" s="156">
        <f t="shared" si="1304"/>
        <v>0</v>
      </c>
      <c r="V502" s="156">
        <f t="shared" si="1305"/>
        <v>0</v>
      </c>
      <c r="W502" s="156">
        <f t="shared" si="1292"/>
        <v>0</v>
      </c>
      <c r="X502" s="158">
        <f t="shared" ref="X502" si="1329">$S502/ORCAMENTO_VALOR_TOTAL_ND</f>
        <v>0</v>
      </c>
      <c r="Y502" s="158">
        <f t="shared" ref="Y502" si="1330">$T502/ORCAMENTO_VALOR_TOTAL_DE</f>
        <v>0</v>
      </c>
      <c r="Z502" s="158" cm="1">
        <f t="array" ref="Z502">_xlfn.SWITCH($N502,"BDI 1",$O$6,"BDI 2",$O$7,"BDI 3",$O$8)</f>
        <v>0.20699999999999999</v>
      </c>
      <c r="AA502" s="158" cm="1">
        <f t="array" ref="AA502">_xlfn.SWITCH($N502,"BDI 1",$P$6,"BDI 2",$P$7,"BDI 3",$P$8)</f>
        <v>0.26739999999999997</v>
      </c>
      <c r="AB502" s="158">
        <f t="shared" ca="1" si="1308"/>
        <v>0</v>
      </c>
      <c r="AC502" s="158">
        <f t="shared" ca="1" si="1309"/>
        <v>0</v>
      </c>
      <c r="AD502" s="164"/>
      <c r="AE502" s="148">
        <f t="shared" si="1295"/>
        <v>0</v>
      </c>
      <c r="AF502" s="149"/>
      <c r="AG502" s="150"/>
      <c r="AH502" s="159" t="e">
        <f t="shared" si="1296"/>
        <v>#DIV/0!</v>
      </c>
      <c r="AI502" s="160"/>
      <c r="AJ502" s="105"/>
      <c r="AK502" s="105"/>
      <c r="AM502" s="105"/>
      <c r="AN502" s="105"/>
      <c r="AO502" s="105"/>
      <c r="AP502" s="105"/>
      <c r="AQ502" s="105"/>
      <c r="AR502" s="105"/>
    </row>
    <row r="503" spans="1:44" s="49" customFormat="1" ht="49.9" hidden="1" customHeight="1">
      <c r="A503" s="152">
        <f t="shared" ca="1" si="1297"/>
        <v>0</v>
      </c>
      <c r="B503" s="153">
        <v>101768</v>
      </c>
      <c r="C503" s="154" t="str">
        <f t="shared" si="1298"/>
        <v>101768</v>
      </c>
      <c r="D503" s="154" t="s">
        <v>1416</v>
      </c>
      <c r="E503" s="155" t="s">
        <v>3871</v>
      </c>
      <c r="F503" s="154"/>
      <c r="G503" s="154" t="s">
        <v>464</v>
      </c>
      <c r="H503" s="152">
        <v>23.65</v>
      </c>
      <c r="I503" s="152">
        <v>23.25</v>
      </c>
      <c r="J503" s="156"/>
      <c r="K503" s="156">
        <f>Dre_Fecha_Vala!U21</f>
        <v>0</v>
      </c>
      <c r="L503" s="156">
        <f t="shared" si="1299"/>
        <v>0</v>
      </c>
      <c r="M503" s="156">
        <f t="shared" si="1300"/>
        <v>0</v>
      </c>
      <c r="N503" s="156" t="s">
        <v>83</v>
      </c>
      <c r="O503" s="157" cm="1">
        <f t="array" ref="O503">TRUNC($H503*(1+_xlfn.SWITCH($N503,"BDI 1",$O$6,"BDI 2",$O$7,"BDI 3",$O$8)),2)</f>
        <v>28.54</v>
      </c>
      <c r="P503" s="157" cm="1">
        <f t="array" ref="P503">TRUNC($I503*(1+_xlfn.SWITCH($N503,"BDI 1",$P$6,"BDI 2",$P$7,"BDI 3",$P$8)),2)</f>
        <v>29.46</v>
      </c>
      <c r="Q503" s="157">
        <v>0</v>
      </c>
      <c r="R503" s="157">
        <f t="shared" ref="R503" si="1331">$Q503-($Q503*LICITACAO_DESCONTO)</f>
        <v>0</v>
      </c>
      <c r="S503" s="156">
        <f t="shared" si="1302"/>
        <v>0</v>
      </c>
      <c r="T503" s="156">
        <f t="shared" si="1303"/>
        <v>0</v>
      </c>
      <c r="U503" s="156">
        <f t="shared" si="1304"/>
        <v>0</v>
      </c>
      <c r="V503" s="156">
        <f t="shared" si="1305"/>
        <v>0</v>
      </c>
      <c r="W503" s="156">
        <f t="shared" si="1292"/>
        <v>0</v>
      </c>
      <c r="X503" s="158">
        <f t="shared" ref="X503" si="1332">$S503/ORCAMENTO_VALOR_TOTAL_ND</f>
        <v>0</v>
      </c>
      <c r="Y503" s="158">
        <f t="shared" ref="Y503" si="1333">$T503/ORCAMENTO_VALOR_TOTAL_DE</f>
        <v>0</v>
      </c>
      <c r="Z503" s="158" cm="1">
        <f t="array" ref="Z503">_xlfn.SWITCH($N503,"BDI 1",$O$6,"BDI 2",$O$7,"BDI 3",$O$8)</f>
        <v>0.20699999999999999</v>
      </c>
      <c r="AA503" s="158" cm="1">
        <f t="array" ref="AA503">_xlfn.SWITCH($N503,"BDI 1",$P$6,"BDI 2",$P$7,"BDI 3",$P$8)</f>
        <v>0.26739999999999997</v>
      </c>
      <c r="AB503" s="158">
        <f t="shared" ca="1" si="1308"/>
        <v>0</v>
      </c>
      <c r="AC503" s="158">
        <f t="shared" ca="1" si="1309"/>
        <v>0</v>
      </c>
      <c r="AD503" s="164"/>
      <c r="AE503" s="148">
        <f t="shared" si="1295"/>
        <v>0</v>
      </c>
      <c r="AF503" s="149"/>
      <c r="AG503" s="150"/>
      <c r="AH503" s="159" t="e">
        <f t="shared" si="1296"/>
        <v>#DIV/0!</v>
      </c>
      <c r="AI503" s="160"/>
      <c r="AJ503" s="105"/>
      <c r="AK503" s="105"/>
      <c r="AM503" s="105"/>
      <c r="AN503" s="105"/>
      <c r="AO503" s="105"/>
      <c r="AP503" s="105"/>
      <c r="AQ503" s="105"/>
      <c r="AR503" s="105"/>
    </row>
    <row r="504" spans="1:44" s="49" customFormat="1" ht="40.15" hidden="1" customHeight="1">
      <c r="A504" s="152">
        <f t="shared" ca="1" si="1297"/>
        <v>0</v>
      </c>
      <c r="B504" s="153" t="s">
        <v>247</v>
      </c>
      <c r="C504" s="154" t="str">
        <f t="shared" si="1298"/>
        <v>PA/0018</v>
      </c>
      <c r="D504" s="154" t="s">
        <v>3549</v>
      </c>
      <c r="E504" s="155" t="s">
        <v>3872</v>
      </c>
      <c r="F504" s="154"/>
      <c r="G504" s="154" t="s">
        <v>464</v>
      </c>
      <c r="H504" s="152">
        <v>6.89</v>
      </c>
      <c r="I504" s="152">
        <v>6.5</v>
      </c>
      <c r="J504" s="156"/>
      <c r="K504" s="156"/>
      <c r="L504" s="156">
        <f t="shared" si="1299"/>
        <v>0</v>
      </c>
      <c r="M504" s="156">
        <f t="shared" si="1300"/>
        <v>0</v>
      </c>
      <c r="N504" s="156" t="s">
        <v>83</v>
      </c>
      <c r="O504" s="157" cm="1">
        <f t="array" ref="O504">TRUNC($H504*(1+_xlfn.SWITCH($N504,"BDI 1",$O$6,"BDI 2",$O$7,"BDI 3",$O$8)),2)</f>
        <v>8.31</v>
      </c>
      <c r="P504" s="157" cm="1">
        <f t="array" ref="P504">TRUNC($I504*(1+_xlfn.SWITCH($N504,"BDI 1",$P$6,"BDI 2",$P$7,"BDI 3",$P$8)),2)</f>
        <v>8.23</v>
      </c>
      <c r="Q504" s="157">
        <v>0</v>
      </c>
      <c r="R504" s="157">
        <f t="shared" ref="R504" si="1334">$Q504-($Q504*LICITACAO_DESCONTO)</f>
        <v>0</v>
      </c>
      <c r="S504" s="156">
        <f t="shared" si="1302"/>
        <v>0</v>
      </c>
      <c r="T504" s="156">
        <f t="shared" si="1303"/>
        <v>0</v>
      </c>
      <c r="U504" s="156">
        <f t="shared" si="1304"/>
        <v>0</v>
      </c>
      <c r="V504" s="156">
        <f t="shared" si="1305"/>
        <v>0</v>
      </c>
      <c r="W504" s="156">
        <f t="shared" si="1292"/>
        <v>0</v>
      </c>
      <c r="X504" s="158">
        <f t="shared" ref="X504" si="1335">$S504/ORCAMENTO_VALOR_TOTAL_ND</f>
        <v>0</v>
      </c>
      <c r="Y504" s="158">
        <f t="shared" ref="Y504" si="1336">$T504/ORCAMENTO_VALOR_TOTAL_DE</f>
        <v>0</v>
      </c>
      <c r="Z504" s="158" cm="1">
        <f t="array" ref="Z504">_xlfn.SWITCH($N504,"BDI 1",$O$6,"BDI 2",$O$7,"BDI 3",$O$8)</f>
        <v>0.20699999999999999</v>
      </c>
      <c r="AA504" s="158" cm="1">
        <f t="array" ref="AA504">_xlfn.SWITCH($N504,"BDI 1",$P$6,"BDI 2",$P$7,"BDI 3",$P$8)</f>
        <v>0.26739999999999997</v>
      </c>
      <c r="AB504" s="158">
        <f t="shared" ca="1" si="1308"/>
        <v>0</v>
      </c>
      <c r="AC504" s="158">
        <f t="shared" ca="1" si="1309"/>
        <v>0</v>
      </c>
      <c r="AD504" s="164"/>
      <c r="AE504" s="148">
        <f t="shared" si="1295"/>
        <v>0</v>
      </c>
      <c r="AF504" s="149"/>
      <c r="AG504" s="150"/>
      <c r="AH504" s="159" t="e">
        <f t="shared" si="1296"/>
        <v>#DIV/0!</v>
      </c>
      <c r="AI504" s="160"/>
      <c r="AJ504" s="105"/>
      <c r="AK504" s="105"/>
      <c r="AM504" s="105"/>
      <c r="AN504" s="105"/>
      <c r="AO504" s="105"/>
      <c r="AP504" s="105"/>
      <c r="AQ504" s="105"/>
      <c r="AR504" s="105"/>
    </row>
    <row r="505" spans="1:44" s="49" customFormat="1" ht="40.15" hidden="1" customHeight="1">
      <c r="A505" s="152">
        <f t="shared" ca="1" si="1297"/>
        <v>0</v>
      </c>
      <c r="B505" s="153" t="s">
        <v>248</v>
      </c>
      <c r="C505" s="154" t="str">
        <f t="shared" si="1298"/>
        <v>PA/0020</v>
      </c>
      <c r="D505" s="154" t="s">
        <v>3549</v>
      </c>
      <c r="E505" s="155" t="s">
        <v>3873</v>
      </c>
      <c r="F505" s="154"/>
      <c r="G505" s="154" t="s">
        <v>464</v>
      </c>
      <c r="H505" s="152">
        <v>13.37</v>
      </c>
      <c r="I505" s="152">
        <v>13.23</v>
      </c>
      <c r="J505" s="156"/>
      <c r="K505" s="156">
        <f>+Dre_Fecha_Vala!U20</f>
        <v>0</v>
      </c>
      <c r="L505" s="156">
        <f t="shared" si="1299"/>
        <v>0</v>
      </c>
      <c r="M505" s="156">
        <f t="shared" si="1300"/>
        <v>0</v>
      </c>
      <c r="N505" s="156" t="s">
        <v>83</v>
      </c>
      <c r="O505" s="157" cm="1">
        <f t="array" ref="O505">TRUNC($H505*(1+_xlfn.SWITCH($N505,"BDI 1",$O$6,"BDI 2",$O$7,"BDI 3",$O$8)),2)</f>
        <v>16.13</v>
      </c>
      <c r="P505" s="157" cm="1">
        <f t="array" ref="P505">TRUNC($I505*(1+_xlfn.SWITCH($N505,"BDI 1",$P$6,"BDI 2",$P$7,"BDI 3",$P$8)),2)</f>
        <v>16.760000000000002</v>
      </c>
      <c r="Q505" s="157">
        <v>0</v>
      </c>
      <c r="R505" s="157">
        <f t="shared" ref="R505" si="1337">$Q505-($Q505*LICITACAO_DESCONTO)</f>
        <v>0</v>
      </c>
      <c r="S505" s="156">
        <f t="shared" si="1302"/>
        <v>0</v>
      </c>
      <c r="T505" s="156">
        <f t="shared" si="1303"/>
        <v>0</v>
      </c>
      <c r="U505" s="156">
        <f t="shared" si="1304"/>
        <v>0</v>
      </c>
      <c r="V505" s="156">
        <f t="shared" si="1305"/>
        <v>0</v>
      </c>
      <c r="W505" s="156">
        <f t="shared" si="1292"/>
        <v>0</v>
      </c>
      <c r="X505" s="158">
        <f t="shared" ref="X505" si="1338">$S505/ORCAMENTO_VALOR_TOTAL_ND</f>
        <v>0</v>
      </c>
      <c r="Y505" s="158">
        <f t="shared" ref="Y505" si="1339">$T505/ORCAMENTO_VALOR_TOTAL_DE</f>
        <v>0</v>
      </c>
      <c r="Z505" s="158" cm="1">
        <f t="array" ref="Z505">_xlfn.SWITCH($N505,"BDI 1",$O$6,"BDI 2",$O$7,"BDI 3",$O$8)</f>
        <v>0.20699999999999999</v>
      </c>
      <c r="AA505" s="158" cm="1">
        <f t="array" ref="AA505">_xlfn.SWITCH($N505,"BDI 1",$P$6,"BDI 2",$P$7,"BDI 3",$P$8)</f>
        <v>0.26739999999999997</v>
      </c>
      <c r="AB505" s="158">
        <f t="shared" ca="1" si="1308"/>
        <v>0</v>
      </c>
      <c r="AC505" s="158">
        <f t="shared" ca="1" si="1309"/>
        <v>0</v>
      </c>
      <c r="AD505" s="164"/>
      <c r="AE505" s="148">
        <f t="shared" si="1295"/>
        <v>0</v>
      </c>
      <c r="AF505" s="149"/>
      <c r="AG505" s="150"/>
      <c r="AH505" s="159" t="e">
        <f t="shared" si="1296"/>
        <v>#DIV/0!</v>
      </c>
      <c r="AI505" s="160"/>
      <c r="AJ505" s="105"/>
      <c r="AK505" s="105"/>
      <c r="AM505" s="105"/>
      <c r="AN505" s="105"/>
      <c r="AO505" s="105"/>
      <c r="AP505" s="105"/>
      <c r="AQ505" s="105"/>
      <c r="AR505" s="105"/>
    </row>
    <row r="506" spans="1:44" s="49" customFormat="1" ht="40.15" hidden="1" customHeight="1">
      <c r="A506" s="152">
        <f t="shared" ca="1" si="1297"/>
        <v>0</v>
      </c>
      <c r="B506" s="153" t="s">
        <v>249</v>
      </c>
      <c r="C506" s="154" t="str">
        <f t="shared" si="1298"/>
        <v>PA/0025</v>
      </c>
      <c r="D506" s="154" t="s">
        <v>3549</v>
      </c>
      <c r="E506" s="155" t="s">
        <v>3532</v>
      </c>
      <c r="F506" s="154"/>
      <c r="G506" s="154" t="s">
        <v>1418</v>
      </c>
      <c r="H506" s="152">
        <v>5.28</v>
      </c>
      <c r="I506" s="152">
        <v>5.24</v>
      </c>
      <c r="J506" s="156"/>
      <c r="K506" s="156">
        <f>+Dre_Fecha_Vala!U32</f>
        <v>0</v>
      </c>
      <c r="L506" s="156">
        <f t="shared" si="1299"/>
        <v>0</v>
      </c>
      <c r="M506" s="156">
        <f t="shared" si="1300"/>
        <v>0</v>
      </c>
      <c r="N506" s="156" t="s">
        <v>83</v>
      </c>
      <c r="O506" s="157" cm="1">
        <f t="array" ref="O506">TRUNC($H506*(1+_xlfn.SWITCH($N506,"BDI 1",$O$6,"BDI 2",$O$7,"BDI 3",$O$8)),2)</f>
        <v>6.37</v>
      </c>
      <c r="P506" s="157" cm="1">
        <f t="array" ref="P506">TRUNC($I506*(1+_xlfn.SWITCH($N506,"BDI 1",$P$6,"BDI 2",$P$7,"BDI 3",$P$8)),2)</f>
        <v>6.64</v>
      </c>
      <c r="Q506" s="157">
        <v>0</v>
      </c>
      <c r="R506" s="157">
        <f t="shared" ref="R506" si="1340">$Q506-($Q506*LICITACAO_DESCONTO)</f>
        <v>0</v>
      </c>
      <c r="S506" s="156">
        <f t="shared" si="1302"/>
        <v>0</v>
      </c>
      <c r="T506" s="156">
        <f t="shared" si="1303"/>
        <v>0</v>
      </c>
      <c r="U506" s="156">
        <f t="shared" si="1304"/>
        <v>0</v>
      </c>
      <c r="V506" s="156">
        <f t="shared" si="1305"/>
        <v>0</v>
      </c>
      <c r="W506" s="156">
        <f t="shared" si="1292"/>
        <v>0</v>
      </c>
      <c r="X506" s="158">
        <f t="shared" ref="X506" si="1341">$S506/ORCAMENTO_VALOR_TOTAL_ND</f>
        <v>0</v>
      </c>
      <c r="Y506" s="158">
        <f t="shared" ref="Y506" si="1342">$T506/ORCAMENTO_VALOR_TOTAL_DE</f>
        <v>0</v>
      </c>
      <c r="Z506" s="158" cm="1">
        <f t="array" ref="Z506">_xlfn.SWITCH($N506,"BDI 1",$O$6,"BDI 2",$O$7,"BDI 3",$O$8)</f>
        <v>0.20699999999999999</v>
      </c>
      <c r="AA506" s="158" cm="1">
        <f t="array" ref="AA506">_xlfn.SWITCH($N506,"BDI 1",$P$6,"BDI 2",$P$7,"BDI 3",$P$8)</f>
        <v>0.26739999999999997</v>
      </c>
      <c r="AB506" s="158">
        <f t="shared" ca="1" si="1308"/>
        <v>0</v>
      </c>
      <c r="AC506" s="158">
        <f t="shared" ca="1" si="1309"/>
        <v>0</v>
      </c>
      <c r="AD506" s="164"/>
      <c r="AE506" s="148">
        <f t="shared" si="1295"/>
        <v>0</v>
      </c>
      <c r="AF506" s="149"/>
      <c r="AG506" s="150"/>
      <c r="AH506" s="159" t="e">
        <f t="shared" si="1296"/>
        <v>#DIV/0!</v>
      </c>
      <c r="AI506" s="165" t="s">
        <v>250</v>
      </c>
      <c r="AJ506" s="105"/>
      <c r="AK506" s="105"/>
      <c r="AM506" s="105"/>
      <c r="AN506" s="105"/>
      <c r="AO506" s="105"/>
      <c r="AP506" s="105"/>
      <c r="AQ506" s="105"/>
      <c r="AR506" s="105"/>
    </row>
    <row r="507" spans="1:44" s="49" customFormat="1" ht="40.15" hidden="1" customHeight="1">
      <c r="A507" s="152">
        <f t="shared" ca="1" si="1297"/>
        <v>0</v>
      </c>
      <c r="B507" s="153" t="s">
        <v>251</v>
      </c>
      <c r="C507" s="154" t="str">
        <f t="shared" si="1298"/>
        <v>PA/0150</v>
      </c>
      <c r="D507" s="154" t="s">
        <v>3549</v>
      </c>
      <c r="E507" s="155" t="s">
        <v>3874</v>
      </c>
      <c r="F507" s="154"/>
      <c r="G507" s="154" t="s">
        <v>1418</v>
      </c>
      <c r="H507" s="152">
        <v>17.59</v>
      </c>
      <c r="I507" s="152">
        <v>17.55</v>
      </c>
      <c r="J507" s="156"/>
      <c r="K507" s="156">
        <f>+Dre_Fecha_Vala!U34</f>
        <v>0</v>
      </c>
      <c r="L507" s="156">
        <f t="shared" si="1299"/>
        <v>0</v>
      </c>
      <c r="M507" s="156">
        <f t="shared" si="1300"/>
        <v>0</v>
      </c>
      <c r="N507" s="156" t="s">
        <v>83</v>
      </c>
      <c r="O507" s="157" cm="1">
        <f t="array" ref="O507">TRUNC($H507*(1+_xlfn.SWITCH($N507,"BDI 1",$O$6,"BDI 2",$O$7,"BDI 3",$O$8)),2)</f>
        <v>21.23</v>
      </c>
      <c r="P507" s="157" cm="1">
        <f t="array" ref="P507">TRUNC($I507*(1+_xlfn.SWITCH($N507,"BDI 1",$P$6,"BDI 2",$P$7,"BDI 3",$P$8)),2)</f>
        <v>22.24</v>
      </c>
      <c r="Q507" s="157">
        <v>0</v>
      </c>
      <c r="R507" s="157">
        <f t="shared" ref="R507" si="1343">$Q507-($Q507*LICITACAO_DESCONTO)</f>
        <v>0</v>
      </c>
      <c r="S507" s="156">
        <f t="shared" si="1302"/>
        <v>0</v>
      </c>
      <c r="T507" s="156">
        <f t="shared" si="1303"/>
        <v>0</v>
      </c>
      <c r="U507" s="156">
        <f t="shared" si="1304"/>
        <v>0</v>
      </c>
      <c r="V507" s="156">
        <f t="shared" si="1305"/>
        <v>0</v>
      </c>
      <c r="W507" s="156">
        <f t="shared" si="1292"/>
        <v>0</v>
      </c>
      <c r="X507" s="158">
        <f t="shared" ref="X507" si="1344">$S507/ORCAMENTO_VALOR_TOTAL_ND</f>
        <v>0</v>
      </c>
      <c r="Y507" s="158">
        <f t="shared" ref="Y507" si="1345">$T507/ORCAMENTO_VALOR_TOTAL_DE</f>
        <v>0</v>
      </c>
      <c r="Z507" s="158" cm="1">
        <f t="array" ref="Z507">_xlfn.SWITCH($N507,"BDI 1",$O$6,"BDI 2",$O$7,"BDI 3",$O$8)</f>
        <v>0.20699999999999999</v>
      </c>
      <c r="AA507" s="158" cm="1">
        <f t="array" ref="AA507">_xlfn.SWITCH($N507,"BDI 1",$P$6,"BDI 2",$P$7,"BDI 3",$P$8)</f>
        <v>0.26739999999999997</v>
      </c>
      <c r="AB507" s="158">
        <f t="shared" ca="1" si="1308"/>
        <v>0</v>
      </c>
      <c r="AC507" s="158">
        <f t="shared" ca="1" si="1309"/>
        <v>0</v>
      </c>
      <c r="AD507" s="164"/>
      <c r="AE507" s="148">
        <f t="shared" si="1295"/>
        <v>0</v>
      </c>
      <c r="AF507" s="149"/>
      <c r="AG507" s="150"/>
      <c r="AH507" s="159" t="e">
        <f t="shared" si="1296"/>
        <v>#DIV/0!</v>
      </c>
      <c r="AI507" s="160"/>
      <c r="AJ507" s="105"/>
      <c r="AK507" s="105"/>
      <c r="AM507" s="105"/>
      <c r="AN507" s="105"/>
      <c r="AO507" s="105"/>
      <c r="AP507" s="105"/>
      <c r="AQ507" s="105"/>
      <c r="AR507" s="105"/>
    </row>
    <row r="508" spans="1:44" s="49" customFormat="1" ht="49.9" hidden="1" customHeight="1">
      <c r="A508" s="152">
        <f t="shared" ca="1" si="1297"/>
        <v>0</v>
      </c>
      <c r="B508" s="153" t="s">
        <v>252</v>
      </c>
      <c r="C508" s="154" t="str">
        <f t="shared" si="1298"/>
        <v>PA/0040</v>
      </c>
      <c r="D508" s="154" t="s">
        <v>3549</v>
      </c>
      <c r="E508" s="155" t="s">
        <v>3875</v>
      </c>
      <c r="F508" s="154"/>
      <c r="G508" s="154" t="s">
        <v>464</v>
      </c>
      <c r="H508" s="152">
        <v>1628.68</v>
      </c>
      <c r="I508" s="152">
        <v>1625.69</v>
      </c>
      <c r="J508" s="156"/>
      <c r="K508" s="156">
        <f>+Dre_Fecha_Vala!U40+Dre_Fecha_Vala!U41</f>
        <v>0</v>
      </c>
      <c r="L508" s="156">
        <f t="shared" si="1299"/>
        <v>0</v>
      </c>
      <c r="M508" s="156">
        <f t="shared" si="1300"/>
        <v>0</v>
      </c>
      <c r="N508" s="156" t="s">
        <v>83</v>
      </c>
      <c r="O508" s="157" cm="1">
        <f t="array" ref="O508">TRUNC($H508*(1+_xlfn.SWITCH($N508,"BDI 1",$O$6,"BDI 2",$O$7,"BDI 3",$O$8)),2)</f>
        <v>1965.81</v>
      </c>
      <c r="P508" s="157" cm="1">
        <f t="array" ref="P508">TRUNC($I508*(1+_xlfn.SWITCH($N508,"BDI 1",$P$6,"BDI 2",$P$7,"BDI 3",$P$8)),2)</f>
        <v>2060.39</v>
      </c>
      <c r="Q508" s="157">
        <v>0</v>
      </c>
      <c r="R508" s="157">
        <f t="shared" ref="R508" si="1346">$Q508-($Q508*LICITACAO_DESCONTO)</f>
        <v>0</v>
      </c>
      <c r="S508" s="156">
        <f t="shared" si="1302"/>
        <v>0</v>
      </c>
      <c r="T508" s="156">
        <f t="shared" si="1303"/>
        <v>0</v>
      </c>
      <c r="U508" s="156">
        <f t="shared" si="1304"/>
        <v>0</v>
      </c>
      <c r="V508" s="156">
        <f t="shared" si="1305"/>
        <v>0</v>
      </c>
      <c r="W508" s="156">
        <f t="shared" si="1292"/>
        <v>0</v>
      </c>
      <c r="X508" s="158">
        <f t="shared" ref="X508" si="1347">$S508/ORCAMENTO_VALOR_TOTAL_ND</f>
        <v>0</v>
      </c>
      <c r="Y508" s="158">
        <f t="shared" ref="Y508" si="1348">$T508/ORCAMENTO_VALOR_TOTAL_DE</f>
        <v>0</v>
      </c>
      <c r="Z508" s="158" cm="1">
        <f t="array" ref="Z508">_xlfn.SWITCH($N508,"BDI 1",$O$6,"BDI 2",$O$7,"BDI 3",$O$8)</f>
        <v>0.20699999999999999</v>
      </c>
      <c r="AA508" s="158" cm="1">
        <f t="array" ref="AA508">_xlfn.SWITCH($N508,"BDI 1",$P$6,"BDI 2",$P$7,"BDI 3",$P$8)</f>
        <v>0.26739999999999997</v>
      </c>
      <c r="AB508" s="158">
        <f t="shared" ca="1" si="1308"/>
        <v>0</v>
      </c>
      <c r="AC508" s="158">
        <f t="shared" ca="1" si="1309"/>
        <v>0</v>
      </c>
      <c r="AD508" s="164"/>
      <c r="AE508" s="148">
        <f t="shared" si="1295"/>
        <v>0</v>
      </c>
      <c r="AF508" s="149"/>
      <c r="AG508" s="150"/>
      <c r="AH508" s="159" t="e">
        <f t="shared" si="1296"/>
        <v>#DIV/0!</v>
      </c>
      <c r="AI508" s="165" t="s">
        <v>243</v>
      </c>
      <c r="AJ508" s="105"/>
      <c r="AK508" s="105"/>
      <c r="AM508" s="105"/>
      <c r="AN508" s="105"/>
      <c r="AO508" s="105"/>
      <c r="AP508" s="105"/>
      <c r="AQ508" s="105"/>
      <c r="AR508" s="105"/>
    </row>
    <row r="509" spans="1:44" s="49" customFormat="1" ht="40.15" hidden="1" customHeight="1">
      <c r="A509" s="152">
        <f t="shared" ca="1" si="1297"/>
        <v>0</v>
      </c>
      <c r="B509" s="153" t="s">
        <v>253</v>
      </c>
      <c r="C509" s="154" t="str">
        <f t="shared" si="1298"/>
        <v>RE/0055</v>
      </c>
      <c r="D509" s="154" t="s">
        <v>3549</v>
      </c>
      <c r="E509" s="155" t="s">
        <v>3876</v>
      </c>
      <c r="F509" s="154"/>
      <c r="G509" s="154" t="s">
        <v>464</v>
      </c>
      <c r="H509" s="152">
        <v>1580.75</v>
      </c>
      <c r="I509" s="152">
        <v>1580.01</v>
      </c>
      <c r="J509" s="156"/>
      <c r="K509" s="156"/>
      <c r="L509" s="156">
        <f t="shared" si="1299"/>
        <v>0</v>
      </c>
      <c r="M509" s="156">
        <f t="shared" si="1300"/>
        <v>0</v>
      </c>
      <c r="N509" s="156" t="s">
        <v>83</v>
      </c>
      <c r="O509" s="157" cm="1">
        <f t="array" ref="O509">TRUNC($H509*(1+_xlfn.SWITCH($N509,"BDI 1",$O$6,"BDI 2",$O$7,"BDI 3",$O$8)),2)</f>
        <v>1907.96</v>
      </c>
      <c r="P509" s="157" cm="1">
        <f t="array" ref="P509">TRUNC($I509*(1+_xlfn.SWITCH($N509,"BDI 1",$P$6,"BDI 2",$P$7,"BDI 3",$P$8)),2)</f>
        <v>2002.5</v>
      </c>
      <c r="Q509" s="157">
        <v>0</v>
      </c>
      <c r="R509" s="157">
        <f t="shared" ref="R509" si="1349">$Q509-($Q509*LICITACAO_DESCONTO)</f>
        <v>0</v>
      </c>
      <c r="S509" s="156">
        <f t="shared" si="1302"/>
        <v>0</v>
      </c>
      <c r="T509" s="156">
        <f t="shared" si="1303"/>
        <v>0</v>
      </c>
      <c r="U509" s="156">
        <f t="shared" si="1304"/>
        <v>0</v>
      </c>
      <c r="V509" s="156">
        <f t="shared" si="1305"/>
        <v>0</v>
      </c>
      <c r="W509" s="156">
        <f t="shared" si="1292"/>
        <v>0</v>
      </c>
      <c r="X509" s="158">
        <f t="shared" ref="X509" si="1350">$S509/ORCAMENTO_VALOR_TOTAL_ND</f>
        <v>0</v>
      </c>
      <c r="Y509" s="158">
        <f t="shared" ref="Y509" si="1351">$T509/ORCAMENTO_VALOR_TOTAL_DE</f>
        <v>0</v>
      </c>
      <c r="Z509" s="158" cm="1">
        <f t="array" ref="Z509">_xlfn.SWITCH($N509,"BDI 1",$O$6,"BDI 2",$O$7,"BDI 3",$O$8)</f>
        <v>0.20699999999999999</v>
      </c>
      <c r="AA509" s="158" cm="1">
        <f t="array" ref="AA509">_xlfn.SWITCH($N509,"BDI 1",$P$6,"BDI 2",$P$7,"BDI 3",$P$8)</f>
        <v>0.26739999999999997</v>
      </c>
      <c r="AB509" s="158">
        <f t="shared" ca="1" si="1308"/>
        <v>0</v>
      </c>
      <c r="AC509" s="158">
        <f t="shared" ca="1" si="1309"/>
        <v>0</v>
      </c>
      <c r="AD509" s="164"/>
      <c r="AE509" s="148">
        <f t="shared" si="1295"/>
        <v>0</v>
      </c>
      <c r="AF509" s="149"/>
      <c r="AG509" s="150"/>
      <c r="AH509" s="159" t="e">
        <f t="shared" si="1296"/>
        <v>#DIV/0!</v>
      </c>
      <c r="AI509" s="165" t="s">
        <v>243</v>
      </c>
      <c r="AJ509" s="105"/>
      <c r="AK509" s="105"/>
      <c r="AM509" s="105"/>
      <c r="AN509" s="105"/>
      <c r="AO509" s="105"/>
      <c r="AP509" s="105"/>
      <c r="AQ509" s="105"/>
      <c r="AR509" s="105"/>
    </row>
    <row r="510" spans="1:44" s="49" customFormat="1" ht="40.15" hidden="1" customHeight="1">
      <c r="A510" s="152">
        <f t="shared" ca="1" si="1297"/>
        <v>0</v>
      </c>
      <c r="B510" s="153" t="s">
        <v>254</v>
      </c>
      <c r="C510" s="154" t="str">
        <f t="shared" si="1298"/>
        <v>RE/0040</v>
      </c>
      <c r="D510" s="154">
        <v>0</v>
      </c>
      <c r="E510" s="155" t="s">
        <v>3766</v>
      </c>
      <c r="F510" s="154"/>
      <c r="G510" s="154">
        <v>0</v>
      </c>
      <c r="H510" s="152">
        <v>0</v>
      </c>
      <c r="I510" s="152">
        <v>0</v>
      </c>
      <c r="J510" s="156"/>
      <c r="K510" s="156">
        <f>+Dre_Fecha_Vala!U47</f>
        <v>0</v>
      </c>
      <c r="L510" s="156">
        <f t="shared" si="1299"/>
        <v>0</v>
      </c>
      <c r="M510" s="156">
        <f t="shared" si="1300"/>
        <v>0</v>
      </c>
      <c r="N510" s="156" t="s">
        <v>83</v>
      </c>
      <c r="O510" s="157" cm="1">
        <f t="array" ref="O510">TRUNC($H510*(1+_xlfn.SWITCH($N510,"BDI 1",$O$6,"BDI 2",$O$7,"BDI 3",$O$8)),2)</f>
        <v>0</v>
      </c>
      <c r="P510" s="157" cm="1">
        <f t="array" ref="P510">TRUNC($I510*(1+_xlfn.SWITCH($N510,"BDI 1",$P$6,"BDI 2",$P$7,"BDI 3",$P$8)),2)</f>
        <v>0</v>
      </c>
      <c r="Q510" s="157">
        <v>0</v>
      </c>
      <c r="R510" s="157">
        <f t="shared" ref="R510" si="1352">$Q510-($Q510*LICITACAO_DESCONTO)</f>
        <v>0</v>
      </c>
      <c r="S510" s="156">
        <f t="shared" si="1302"/>
        <v>0</v>
      </c>
      <c r="T510" s="156">
        <f t="shared" si="1303"/>
        <v>0</v>
      </c>
      <c r="U510" s="156">
        <f t="shared" si="1304"/>
        <v>0</v>
      </c>
      <c r="V510" s="156">
        <f t="shared" si="1305"/>
        <v>0</v>
      </c>
      <c r="W510" s="156">
        <f t="shared" si="1292"/>
        <v>0</v>
      </c>
      <c r="X510" s="158">
        <f t="shared" ref="X510" si="1353">$S510/ORCAMENTO_VALOR_TOTAL_ND</f>
        <v>0</v>
      </c>
      <c r="Y510" s="158">
        <f t="shared" ref="Y510" si="1354">$T510/ORCAMENTO_VALOR_TOTAL_DE</f>
        <v>0</v>
      </c>
      <c r="Z510" s="158" cm="1">
        <f t="array" ref="Z510">_xlfn.SWITCH($N510,"BDI 1",$O$6,"BDI 2",$O$7,"BDI 3",$O$8)</f>
        <v>0.20699999999999999</v>
      </c>
      <c r="AA510" s="158" cm="1">
        <f t="array" ref="AA510">_xlfn.SWITCH($N510,"BDI 1",$P$6,"BDI 2",$P$7,"BDI 3",$P$8)</f>
        <v>0.26739999999999997</v>
      </c>
      <c r="AB510" s="158">
        <f t="shared" ca="1" si="1308"/>
        <v>0</v>
      </c>
      <c r="AC510" s="158">
        <f t="shared" ca="1" si="1309"/>
        <v>0</v>
      </c>
      <c r="AD510" s="164"/>
      <c r="AE510" s="148">
        <f t="shared" si="1295"/>
        <v>0</v>
      </c>
      <c r="AF510" s="149"/>
      <c r="AG510" s="150"/>
      <c r="AH510" s="159" t="e">
        <f t="shared" si="1296"/>
        <v>#DIV/0!</v>
      </c>
      <c r="AI510" s="160"/>
      <c r="AJ510" s="105"/>
      <c r="AK510" s="105"/>
      <c r="AM510" s="105"/>
      <c r="AN510" s="105"/>
      <c r="AO510" s="105"/>
      <c r="AP510" s="105"/>
      <c r="AQ510" s="105"/>
      <c r="AR510" s="105"/>
    </row>
    <row r="511" spans="1:44" s="49" customFormat="1" ht="40.15" hidden="1" customHeight="1">
      <c r="A511" s="152">
        <f t="shared" ca="1" si="1297"/>
        <v>0</v>
      </c>
      <c r="B511" s="153" t="s">
        <v>255</v>
      </c>
      <c r="C511" s="154" t="str">
        <f t="shared" si="1298"/>
        <v>RE/0045</v>
      </c>
      <c r="D511" s="154">
        <v>0</v>
      </c>
      <c r="E511" s="155" t="s">
        <v>3766</v>
      </c>
      <c r="F511" s="154"/>
      <c r="G511" s="154">
        <v>0</v>
      </c>
      <c r="H511" s="152">
        <v>0</v>
      </c>
      <c r="I511" s="152">
        <v>0</v>
      </c>
      <c r="J511" s="156"/>
      <c r="K511" s="156">
        <f>+Dre_Fecha_Vala!U48</f>
        <v>0</v>
      </c>
      <c r="L511" s="156">
        <f t="shared" si="1299"/>
        <v>0</v>
      </c>
      <c r="M511" s="156">
        <f t="shared" si="1300"/>
        <v>0</v>
      </c>
      <c r="N511" s="156" t="s">
        <v>83</v>
      </c>
      <c r="O511" s="157" cm="1">
        <f t="array" ref="O511">TRUNC($H511*(1+_xlfn.SWITCH($N511,"BDI 1",$O$6,"BDI 2",$O$7,"BDI 3",$O$8)),2)</f>
        <v>0</v>
      </c>
      <c r="P511" s="157" cm="1">
        <f t="array" ref="P511">TRUNC($I511*(1+_xlfn.SWITCH($N511,"BDI 1",$P$6,"BDI 2",$P$7,"BDI 3",$P$8)),2)</f>
        <v>0</v>
      </c>
      <c r="Q511" s="157">
        <v>0</v>
      </c>
      <c r="R511" s="157">
        <f t="shared" ref="R511" si="1355">$Q511-($Q511*LICITACAO_DESCONTO)</f>
        <v>0</v>
      </c>
      <c r="S511" s="156">
        <f t="shared" si="1302"/>
        <v>0</v>
      </c>
      <c r="T511" s="156">
        <f t="shared" si="1303"/>
        <v>0</v>
      </c>
      <c r="U511" s="156">
        <f t="shared" si="1304"/>
        <v>0</v>
      </c>
      <c r="V511" s="156">
        <f t="shared" si="1305"/>
        <v>0</v>
      </c>
      <c r="W511" s="156">
        <f t="shared" si="1292"/>
        <v>0</v>
      </c>
      <c r="X511" s="158">
        <f t="shared" ref="X511" si="1356">$S511/ORCAMENTO_VALOR_TOTAL_ND</f>
        <v>0</v>
      </c>
      <c r="Y511" s="158">
        <f t="shared" ref="Y511" si="1357">$T511/ORCAMENTO_VALOR_TOTAL_DE</f>
        <v>0</v>
      </c>
      <c r="Z511" s="158" cm="1">
        <f t="array" ref="Z511">_xlfn.SWITCH($N511,"BDI 1",$O$6,"BDI 2",$O$7,"BDI 3",$O$8)</f>
        <v>0.20699999999999999</v>
      </c>
      <c r="AA511" s="158" cm="1">
        <f t="array" ref="AA511">_xlfn.SWITCH($N511,"BDI 1",$P$6,"BDI 2",$P$7,"BDI 3",$P$8)</f>
        <v>0.26739999999999997</v>
      </c>
      <c r="AB511" s="158">
        <f t="shared" ca="1" si="1308"/>
        <v>0</v>
      </c>
      <c r="AC511" s="158">
        <f t="shared" ca="1" si="1309"/>
        <v>0</v>
      </c>
      <c r="AD511" s="164"/>
      <c r="AE511" s="148">
        <f t="shared" si="1295"/>
        <v>0</v>
      </c>
      <c r="AF511" s="149"/>
      <c r="AG511" s="150"/>
      <c r="AH511" s="159" t="e">
        <f t="shared" si="1296"/>
        <v>#DIV/0!</v>
      </c>
      <c r="AI511" s="160"/>
      <c r="AJ511" s="105"/>
      <c r="AK511" s="105"/>
      <c r="AM511" s="105"/>
      <c r="AN511" s="105"/>
      <c r="AO511" s="105"/>
      <c r="AP511" s="105"/>
      <c r="AQ511" s="105"/>
      <c r="AR511" s="105"/>
    </row>
    <row r="512" spans="1:44" s="49" customFormat="1" ht="49.9" hidden="1" customHeight="1">
      <c r="A512" s="152">
        <f t="shared" ca="1" si="1297"/>
        <v>0</v>
      </c>
      <c r="B512" s="153">
        <v>100978</v>
      </c>
      <c r="C512" s="154" t="str">
        <f t="shared" si="1298"/>
        <v>100978</v>
      </c>
      <c r="D512" s="154" t="s">
        <v>1416</v>
      </c>
      <c r="E512" s="155" t="s">
        <v>3810</v>
      </c>
      <c r="F512" s="154"/>
      <c r="G512" s="154" t="s">
        <v>464</v>
      </c>
      <c r="H512" s="152">
        <v>6.64</v>
      </c>
      <c r="I512" s="152">
        <v>6.55</v>
      </c>
      <c r="J512" s="156"/>
      <c r="K512" s="156">
        <f>Dre_Fecha_Vala!U61</f>
        <v>0</v>
      </c>
      <c r="L512" s="156">
        <f t="shared" si="1299"/>
        <v>0</v>
      </c>
      <c r="M512" s="156">
        <f t="shared" si="1300"/>
        <v>0</v>
      </c>
      <c r="N512" s="156" t="s">
        <v>83</v>
      </c>
      <c r="O512" s="157" cm="1">
        <f t="array" ref="O512">TRUNC($H512*(1+_xlfn.SWITCH($N512,"BDI 1",$O$6,"BDI 2",$O$7,"BDI 3",$O$8)),2)</f>
        <v>8.01</v>
      </c>
      <c r="P512" s="157" cm="1">
        <f t="array" ref="P512">TRUNC($I512*(1+_xlfn.SWITCH($N512,"BDI 1",$P$6,"BDI 2",$P$7,"BDI 3",$P$8)),2)</f>
        <v>8.3000000000000007</v>
      </c>
      <c r="Q512" s="157">
        <v>0</v>
      </c>
      <c r="R512" s="157">
        <f t="shared" ref="R512" si="1358">$Q512-($Q512*LICITACAO_DESCONTO)</f>
        <v>0</v>
      </c>
      <c r="S512" s="156">
        <f t="shared" si="1302"/>
        <v>0</v>
      </c>
      <c r="T512" s="156">
        <f t="shared" si="1303"/>
        <v>0</v>
      </c>
      <c r="U512" s="156">
        <f t="shared" si="1304"/>
        <v>0</v>
      </c>
      <c r="V512" s="156">
        <f t="shared" si="1305"/>
        <v>0</v>
      </c>
      <c r="W512" s="156">
        <f t="shared" si="1292"/>
        <v>0</v>
      </c>
      <c r="X512" s="158">
        <f t="shared" ref="X512" si="1359">$S512/ORCAMENTO_VALOR_TOTAL_ND</f>
        <v>0</v>
      </c>
      <c r="Y512" s="158">
        <f t="shared" ref="Y512" si="1360">$T512/ORCAMENTO_VALOR_TOTAL_DE</f>
        <v>0</v>
      </c>
      <c r="Z512" s="158" cm="1">
        <f t="array" ref="Z512">_xlfn.SWITCH($N512,"BDI 1",$O$6,"BDI 2",$O$7,"BDI 3",$O$8)</f>
        <v>0.20699999999999999</v>
      </c>
      <c r="AA512" s="158" cm="1">
        <f t="array" ref="AA512">_xlfn.SWITCH($N512,"BDI 1",$P$6,"BDI 2",$P$7,"BDI 3",$P$8)</f>
        <v>0.26739999999999997</v>
      </c>
      <c r="AB512" s="158">
        <f t="shared" ca="1" si="1308"/>
        <v>0</v>
      </c>
      <c r="AC512" s="158">
        <f t="shared" ca="1" si="1309"/>
        <v>0</v>
      </c>
      <c r="AD512" s="164"/>
      <c r="AE512" s="148">
        <f t="shared" si="1295"/>
        <v>0</v>
      </c>
      <c r="AF512" s="149"/>
      <c r="AG512" s="150"/>
      <c r="AH512" s="159" t="e">
        <f t="shared" si="1296"/>
        <v>#DIV/0!</v>
      </c>
      <c r="AI512" s="165" t="s">
        <v>101</v>
      </c>
      <c r="AJ512" s="105"/>
      <c r="AK512" s="105"/>
      <c r="AM512" s="105"/>
      <c r="AN512" s="105"/>
      <c r="AO512" s="105"/>
      <c r="AP512" s="105"/>
      <c r="AQ512" s="105"/>
      <c r="AR512" s="105"/>
    </row>
    <row r="513" spans="1:44" s="49" customFormat="1" ht="40.15" hidden="1" customHeight="1">
      <c r="A513" s="10">
        <f t="shared" ca="1" si="1297"/>
        <v>0</v>
      </c>
      <c r="B513" s="153"/>
      <c r="C513" s="154"/>
      <c r="D513" s="154"/>
      <c r="E513" s="161" t="s">
        <v>256</v>
      </c>
      <c r="F513" s="154"/>
      <c r="G513" s="154"/>
      <c r="H513" s="152"/>
      <c r="I513" s="152"/>
      <c r="J513" s="154"/>
      <c r="K513" s="154"/>
      <c r="L513" s="154"/>
      <c r="M513" s="154"/>
      <c r="N513" s="154"/>
      <c r="O513" s="154"/>
      <c r="P513" s="154"/>
      <c r="Q513" s="154"/>
      <c r="R513" s="154"/>
      <c r="S513" s="162"/>
      <c r="T513" s="162"/>
      <c r="U513" s="162"/>
      <c r="V513" s="162"/>
      <c r="W513" s="162"/>
      <c r="X513" s="163"/>
      <c r="Y513" s="163"/>
      <c r="Z513" s="163"/>
      <c r="AA513" s="163"/>
      <c r="AB513" s="163"/>
      <c r="AC513" s="163"/>
      <c r="AD513" s="164"/>
      <c r="AE513" s="148">
        <f>IF(SUM(S514:S515)&gt;0,IFERROR(TRUNC(A513,0),0),0)</f>
        <v>0</v>
      </c>
      <c r="AF513" s="149"/>
      <c r="AG513" s="150"/>
      <c r="AH513" s="159"/>
      <c r="AI513" s="160" t="s">
        <v>245</v>
      </c>
      <c r="AJ513" s="105"/>
      <c r="AK513" s="105"/>
      <c r="AM513" s="105"/>
      <c r="AN513" s="105"/>
      <c r="AO513" s="105"/>
      <c r="AP513" s="105"/>
      <c r="AQ513" s="105"/>
      <c r="AR513" s="105"/>
    </row>
    <row r="514" spans="1:44" s="49" customFormat="1" ht="40.15" hidden="1" customHeight="1">
      <c r="A514" s="152">
        <f t="shared" ca="1" si="1297"/>
        <v>0</v>
      </c>
      <c r="B514" s="153">
        <v>95876</v>
      </c>
      <c r="C514" s="154" t="str">
        <f>TEXT(B514,"0")</f>
        <v>95876</v>
      </c>
      <c r="D514" s="154" t="s">
        <v>1416</v>
      </c>
      <c r="E514" s="155" t="s">
        <v>3537</v>
      </c>
      <c r="F514" s="154">
        <f>IF(Dados_DMT!$B$17&lt;30,Dados_DMT!$B$17,30)</f>
        <v>3.5</v>
      </c>
      <c r="G514" s="154" t="s">
        <v>3538</v>
      </c>
      <c r="H514" s="152">
        <v>2.09</v>
      </c>
      <c r="I514" s="152">
        <v>2.1</v>
      </c>
      <c r="J514" s="156"/>
      <c r="K514" s="156">
        <f>ROUND(Dre_Fecha_Vala!U62*F514,2)</f>
        <v>0</v>
      </c>
      <c r="L514" s="156">
        <f>IF($K514&gt;$J514,$K514-$J514,0)</f>
        <v>0</v>
      </c>
      <c r="M514" s="156">
        <f>IF($K514&lt;$J514,$J514-$K514,0)</f>
        <v>0</v>
      </c>
      <c r="N514" s="156" t="s">
        <v>83</v>
      </c>
      <c r="O514" s="157" cm="1">
        <f t="array" ref="O514">TRUNC($H514*(1+_xlfn.SWITCH($N514,"BDI 1",$O$6,"BDI 2",$O$7,"BDI 3",$O$8)),2)</f>
        <v>2.52</v>
      </c>
      <c r="P514" s="157" cm="1">
        <f t="array" ref="P514">TRUNC($I514*(1+_xlfn.SWITCH($N514,"BDI 1",$P$6,"BDI 2",$P$7,"BDI 3",$P$8)),2)</f>
        <v>2.66</v>
      </c>
      <c r="Q514" s="157">
        <v>0</v>
      </c>
      <c r="R514" s="157">
        <v>0</v>
      </c>
      <c r="S514" s="156">
        <f>TRUNC($K514*$O514,2)</f>
        <v>0</v>
      </c>
      <c r="T514" s="156">
        <f>TRUNC($K514*$P514,2)</f>
        <v>0</v>
      </c>
      <c r="U514" s="156">
        <f>TRUNC($J514*$R514,2)</f>
        <v>0</v>
      </c>
      <c r="V514" s="156">
        <f>TRUNC($K514*$Q514,2)</f>
        <v>0</v>
      </c>
      <c r="W514" s="156">
        <f>TRUNC(V514-U514,2)</f>
        <v>0</v>
      </c>
      <c r="X514" s="158">
        <f>$S514/ORCAMENTO_VALOR_TOTAL_ND</f>
        <v>0</v>
      </c>
      <c r="Y514" s="158">
        <f>$T514/ORCAMENTO_VALOR_TOTAL_DE</f>
        <v>0</v>
      </c>
      <c r="Z514" s="158" cm="1">
        <f t="array" ref="Z514">_xlfn.SWITCH($N514,"BDI 1",$O$6,"BDI 2",$O$7,"BDI 3",$O$8)</f>
        <v>0.20699999999999999</v>
      </c>
      <c r="AA514" s="158" cm="1">
        <f t="array" ref="AA514">_xlfn.SWITCH($N514,"BDI 1",$P$6,"BDI 2",$P$7,"BDI 3",$P$8)</f>
        <v>0.26739999999999997</v>
      </c>
      <c r="AB514" s="158">
        <f ca="1">IFERROR($S514/_xlfn.XLOOKUP($AE514,$B$16:$B$38,$S$16:$S$38),0)</f>
        <v>0</v>
      </c>
      <c r="AC514" s="158">
        <f ca="1">IFERROR($T514/_xlfn.XLOOKUP($AE514,$B$16:$B$38,$T$16:$T$38),0)</f>
        <v>0</v>
      </c>
      <c r="AD514" s="164"/>
      <c r="AE514" s="148">
        <f t="shared" ref="AE514:AE515" si="1361">IF(S514&gt;0,IFERROR(TRUNC(A514,0),0),0)</f>
        <v>0</v>
      </c>
      <c r="AF514" s="149"/>
      <c r="AG514" s="150"/>
      <c r="AH514" s="159" t="e">
        <f>S514/$S$494</f>
        <v>#DIV/0!</v>
      </c>
      <c r="AI514" s="166">
        <f>IF(K514=0,0,K514/F514)</f>
        <v>0</v>
      </c>
      <c r="AJ514" s="105"/>
      <c r="AK514" s="105"/>
      <c r="AM514" s="105"/>
      <c r="AN514" s="105"/>
      <c r="AO514" s="105"/>
      <c r="AP514" s="105"/>
      <c r="AQ514" s="105"/>
      <c r="AR514" s="105"/>
    </row>
    <row r="515" spans="1:44" s="49" customFormat="1" ht="40.15" hidden="1" customHeight="1">
      <c r="A515" s="152">
        <f t="shared" ca="1" si="1297"/>
        <v>0</v>
      </c>
      <c r="B515" s="153">
        <v>93593</v>
      </c>
      <c r="C515" s="154" t="str">
        <f>TEXT(B515,"0")</f>
        <v>93593</v>
      </c>
      <c r="D515" s="154" t="s">
        <v>1416</v>
      </c>
      <c r="E515" s="155" t="s">
        <v>3545</v>
      </c>
      <c r="F515" s="154">
        <f>Dados_DMT!$B$17-F514</f>
        <v>0</v>
      </c>
      <c r="G515" s="154" t="s">
        <v>3538</v>
      </c>
      <c r="H515" s="152">
        <v>0.84</v>
      </c>
      <c r="I515" s="152">
        <v>0.85</v>
      </c>
      <c r="J515" s="156"/>
      <c r="K515" s="156">
        <f>ROUND(Dre_Fecha_Vala!U62*F515,2)</f>
        <v>0</v>
      </c>
      <c r="L515" s="156">
        <f>IF($K515&gt;$J515,$K515-$J515,0)</f>
        <v>0</v>
      </c>
      <c r="M515" s="156">
        <f>IF($K515&lt;$J515,$J515-$K515,0)</f>
        <v>0</v>
      </c>
      <c r="N515" s="156" t="s">
        <v>83</v>
      </c>
      <c r="O515" s="157" cm="1">
        <f t="array" ref="O515">TRUNC($H515*(1+_xlfn.SWITCH($N515,"BDI 1",$O$6,"BDI 2",$O$7,"BDI 3",$O$8)),2)</f>
        <v>1.01</v>
      </c>
      <c r="P515" s="157" cm="1">
        <f t="array" ref="P515">TRUNC($I515*(1+_xlfn.SWITCH($N515,"BDI 1",$P$6,"BDI 2",$P$7,"BDI 3",$P$8)),2)</f>
        <v>1.07</v>
      </c>
      <c r="Q515" s="157">
        <v>0</v>
      </c>
      <c r="R515" s="157">
        <v>0</v>
      </c>
      <c r="S515" s="156">
        <f>TRUNC($K515*$O515,2)</f>
        <v>0</v>
      </c>
      <c r="T515" s="156">
        <f>TRUNC($K515*$P515,2)</f>
        <v>0</v>
      </c>
      <c r="U515" s="156">
        <f>TRUNC($J515*$R515,2)</f>
        <v>0</v>
      </c>
      <c r="V515" s="156">
        <f>TRUNC($K515*$Q515,2)</f>
        <v>0</v>
      </c>
      <c r="W515" s="156">
        <f>TRUNC(V515-U515,2)</f>
        <v>0</v>
      </c>
      <c r="X515" s="158">
        <f>$S515/ORCAMENTO_VALOR_TOTAL_ND</f>
        <v>0</v>
      </c>
      <c r="Y515" s="158">
        <f>$T515/ORCAMENTO_VALOR_TOTAL_DE</f>
        <v>0</v>
      </c>
      <c r="Z515" s="158" cm="1">
        <f t="array" ref="Z515">_xlfn.SWITCH($N515,"BDI 1",$O$6,"BDI 2",$O$7,"BDI 3",$O$8)</f>
        <v>0.20699999999999999</v>
      </c>
      <c r="AA515" s="158" cm="1">
        <f t="array" ref="AA515">_xlfn.SWITCH($N515,"BDI 1",$P$6,"BDI 2",$P$7,"BDI 3",$P$8)</f>
        <v>0.26739999999999997</v>
      </c>
      <c r="AB515" s="158">
        <f ca="1">IFERROR($S515/_xlfn.XLOOKUP($AE515,$B$16:$B$38,$S$16:$S$38),0)</f>
        <v>0</v>
      </c>
      <c r="AC515" s="158">
        <f ca="1">IFERROR($T515/_xlfn.XLOOKUP($AE515,$B$16:$B$38,$T$16:$T$38),0)</f>
        <v>0</v>
      </c>
      <c r="AD515" s="164"/>
      <c r="AE515" s="148">
        <f t="shared" si="1361"/>
        <v>0</v>
      </c>
      <c r="AF515" s="149"/>
      <c r="AG515" s="150"/>
      <c r="AH515" s="159" t="e">
        <f>S515/$S$494</f>
        <v>#DIV/0!</v>
      </c>
      <c r="AI515" s="166">
        <f>IF(K515=0,0,K515/F515)</f>
        <v>0</v>
      </c>
      <c r="AJ515" s="105"/>
      <c r="AK515" s="105"/>
      <c r="AM515" s="105"/>
      <c r="AN515" s="105"/>
      <c r="AO515" s="105"/>
      <c r="AP515" s="105"/>
      <c r="AQ515" s="105"/>
      <c r="AR515" s="105"/>
    </row>
    <row r="516" spans="1:44" s="49" customFormat="1" ht="40.15" hidden="1" customHeight="1">
      <c r="A516" s="10">
        <f t="shared" ca="1" si="1297"/>
        <v>0</v>
      </c>
      <c r="B516" s="153"/>
      <c r="C516" s="154"/>
      <c r="D516" s="154"/>
      <c r="E516" s="161" t="s">
        <v>257</v>
      </c>
      <c r="F516" s="154"/>
      <c r="G516" s="154"/>
      <c r="H516" s="152"/>
      <c r="I516" s="152"/>
      <c r="J516" s="154"/>
      <c r="K516" s="154"/>
      <c r="L516" s="154"/>
      <c r="M516" s="154"/>
      <c r="N516" s="154"/>
      <c r="O516" s="154"/>
      <c r="P516" s="154"/>
      <c r="Q516" s="154"/>
      <c r="R516" s="154"/>
      <c r="S516" s="162"/>
      <c r="T516" s="162"/>
      <c r="U516" s="162"/>
      <c r="V516" s="162"/>
      <c r="W516" s="162"/>
      <c r="X516" s="163"/>
      <c r="Y516" s="163"/>
      <c r="Z516" s="163"/>
      <c r="AA516" s="163"/>
      <c r="AB516" s="163"/>
      <c r="AC516" s="163"/>
      <c r="AD516" s="164"/>
      <c r="AE516" s="148">
        <f>IF(SUM(S517:S518)&gt;0,IFERROR(TRUNC(A516,0),0),0)</f>
        <v>0</v>
      </c>
      <c r="AF516" s="149"/>
      <c r="AG516" s="150"/>
      <c r="AH516" s="159"/>
      <c r="AI516" s="160"/>
      <c r="AJ516" s="105"/>
      <c r="AK516" s="105"/>
      <c r="AM516" s="105"/>
      <c r="AN516" s="105"/>
      <c r="AO516" s="105"/>
      <c r="AP516" s="105"/>
      <c r="AQ516" s="105"/>
      <c r="AR516" s="105"/>
    </row>
    <row r="517" spans="1:44" s="49" customFormat="1" ht="40.15" hidden="1" customHeight="1">
      <c r="A517" s="152">
        <f t="shared" ca="1" si="1297"/>
        <v>0</v>
      </c>
      <c r="B517" s="153">
        <v>95876</v>
      </c>
      <c r="C517" s="154" t="str">
        <f>TEXT(B517,"0")</f>
        <v>95876</v>
      </c>
      <c r="D517" s="154" t="s">
        <v>1416</v>
      </c>
      <c r="E517" s="155" t="s">
        <v>3537</v>
      </c>
      <c r="F517" s="154">
        <f>IF(Dados_DMT!$B$14&lt;30,Dados_DMT!$B$14,30)</f>
        <v>3.5</v>
      </c>
      <c r="G517" s="154" t="s">
        <v>3538</v>
      </c>
      <c r="H517" s="152">
        <v>2.09</v>
      </c>
      <c r="I517" s="152">
        <v>2.1</v>
      </c>
      <c r="J517" s="156"/>
      <c r="K517" s="156">
        <f>ROUND(Dre_Fecha_Vala!U63*F517,2)</f>
        <v>0</v>
      </c>
      <c r="L517" s="156">
        <f>IF($K517&gt;$J517,$K517-$J517,0)</f>
        <v>0</v>
      </c>
      <c r="M517" s="156">
        <f>IF($K517&lt;$J517,$J517-$K517,0)</f>
        <v>0</v>
      </c>
      <c r="N517" s="156" t="s">
        <v>83</v>
      </c>
      <c r="O517" s="157" cm="1">
        <f t="array" ref="O517">TRUNC($H517*(1+_xlfn.SWITCH($N517,"BDI 1",$O$6,"BDI 2",$O$7,"BDI 3",$O$8)),2)</f>
        <v>2.52</v>
      </c>
      <c r="P517" s="157" cm="1">
        <f t="array" ref="P517">TRUNC($I517*(1+_xlfn.SWITCH($N517,"BDI 1",$P$6,"BDI 2",$P$7,"BDI 3",$P$8)),2)</f>
        <v>2.66</v>
      </c>
      <c r="Q517" s="157">
        <v>0</v>
      </c>
      <c r="R517" s="157">
        <v>0</v>
      </c>
      <c r="S517" s="156">
        <f>TRUNC($K517*$O517,2)</f>
        <v>0</v>
      </c>
      <c r="T517" s="156">
        <f>TRUNC($K517*$P517,2)</f>
        <v>0</v>
      </c>
      <c r="U517" s="156">
        <f>TRUNC($J517*$R517,2)</f>
        <v>0</v>
      </c>
      <c r="V517" s="156">
        <f>TRUNC($K517*$Q517,2)</f>
        <v>0</v>
      </c>
      <c r="W517" s="156">
        <f>TRUNC(V517-U517,2)</f>
        <v>0</v>
      </c>
      <c r="X517" s="158">
        <f>$S517/ORCAMENTO_VALOR_TOTAL_ND</f>
        <v>0</v>
      </c>
      <c r="Y517" s="158">
        <f>$T517/ORCAMENTO_VALOR_TOTAL_DE</f>
        <v>0</v>
      </c>
      <c r="Z517" s="158" cm="1">
        <f t="array" ref="Z517">_xlfn.SWITCH($N517,"BDI 1",$O$6,"BDI 2",$O$7,"BDI 3",$O$8)</f>
        <v>0.20699999999999999</v>
      </c>
      <c r="AA517" s="158" cm="1">
        <f t="array" ref="AA517">_xlfn.SWITCH($N517,"BDI 1",$P$6,"BDI 2",$P$7,"BDI 3",$P$8)</f>
        <v>0.26739999999999997</v>
      </c>
      <c r="AB517" s="158">
        <f ca="1">IFERROR($S517/_xlfn.XLOOKUP($AE517,$B$16:$B$38,$S$16:$S$38),0)</f>
        <v>0</v>
      </c>
      <c r="AC517" s="158">
        <f ca="1">IFERROR($T517/_xlfn.XLOOKUP($AE517,$B$16:$B$38,$T$16:$T$38),0)</f>
        <v>0</v>
      </c>
      <c r="AD517" s="164"/>
      <c r="AE517" s="148">
        <f t="shared" ref="AE517:AE518" si="1362">IF(S517&gt;0,IFERROR(TRUNC(A517,0),0),0)</f>
        <v>0</v>
      </c>
      <c r="AF517" s="149"/>
      <c r="AG517" s="150"/>
      <c r="AH517" s="159" t="e">
        <f>S517/$S$494</f>
        <v>#DIV/0!</v>
      </c>
      <c r="AI517" s="166">
        <f>IF(K517=0,0,K517/F517)</f>
        <v>0</v>
      </c>
      <c r="AJ517" s="105"/>
      <c r="AK517" s="105"/>
      <c r="AM517" s="105"/>
      <c r="AN517" s="105"/>
      <c r="AO517" s="105"/>
      <c r="AP517" s="105"/>
      <c r="AQ517" s="105"/>
      <c r="AR517" s="105"/>
    </row>
    <row r="518" spans="1:44" s="49" customFormat="1" ht="40.15" hidden="1" customHeight="1">
      <c r="A518" s="152">
        <f t="shared" ca="1" si="1297"/>
        <v>0</v>
      </c>
      <c r="B518" s="153">
        <v>93593</v>
      </c>
      <c r="C518" s="154" t="str">
        <f>TEXT(B518,"0")</f>
        <v>93593</v>
      </c>
      <c r="D518" s="154" t="s">
        <v>1416</v>
      </c>
      <c r="E518" s="155" t="s">
        <v>3545</v>
      </c>
      <c r="F518" s="154">
        <f>+Dados_DMT!$B$14-F517</f>
        <v>0</v>
      </c>
      <c r="G518" s="154" t="s">
        <v>3538</v>
      </c>
      <c r="H518" s="152">
        <v>0.84</v>
      </c>
      <c r="I518" s="152">
        <v>0.85</v>
      </c>
      <c r="J518" s="156"/>
      <c r="K518" s="156">
        <f>ROUND(Dre_Fecha_Vala!U63*F518,2)</f>
        <v>0</v>
      </c>
      <c r="L518" s="156">
        <f>IF($K518&gt;$J518,$K518-$J518,0)</f>
        <v>0</v>
      </c>
      <c r="M518" s="156">
        <f>IF($K518&lt;$J518,$J518-$K518,0)</f>
        <v>0</v>
      </c>
      <c r="N518" s="156" t="s">
        <v>83</v>
      </c>
      <c r="O518" s="157" cm="1">
        <f t="array" ref="O518">TRUNC($H518*(1+_xlfn.SWITCH($N518,"BDI 1",$O$6,"BDI 2",$O$7,"BDI 3",$O$8)),2)</f>
        <v>1.01</v>
      </c>
      <c r="P518" s="157" cm="1">
        <f t="array" ref="P518">TRUNC($I518*(1+_xlfn.SWITCH($N518,"BDI 1",$P$6,"BDI 2",$P$7,"BDI 3",$P$8)),2)</f>
        <v>1.07</v>
      </c>
      <c r="Q518" s="157">
        <v>0</v>
      </c>
      <c r="R518" s="157">
        <v>0</v>
      </c>
      <c r="S518" s="156">
        <f>TRUNC($K518*$O518,2)</f>
        <v>0</v>
      </c>
      <c r="T518" s="156">
        <f>TRUNC($K518*$P518,2)</f>
        <v>0</v>
      </c>
      <c r="U518" s="156">
        <f>TRUNC($J518*$R518,2)</f>
        <v>0</v>
      </c>
      <c r="V518" s="156">
        <f>TRUNC($K518*$Q518,2)</f>
        <v>0</v>
      </c>
      <c r="W518" s="156">
        <f>TRUNC(V518-U518,2)</f>
        <v>0</v>
      </c>
      <c r="X518" s="158">
        <f>$S518/ORCAMENTO_VALOR_TOTAL_ND</f>
        <v>0</v>
      </c>
      <c r="Y518" s="158">
        <f>$T518/ORCAMENTO_VALOR_TOTAL_DE</f>
        <v>0</v>
      </c>
      <c r="Z518" s="158" cm="1">
        <f t="array" ref="Z518">_xlfn.SWITCH($N518,"BDI 1",$O$6,"BDI 2",$O$7,"BDI 3",$O$8)</f>
        <v>0.20699999999999999</v>
      </c>
      <c r="AA518" s="158" cm="1">
        <f t="array" ref="AA518">_xlfn.SWITCH($N518,"BDI 1",$P$6,"BDI 2",$P$7,"BDI 3",$P$8)</f>
        <v>0.26739999999999997</v>
      </c>
      <c r="AB518" s="158">
        <f ca="1">IFERROR($S518/_xlfn.XLOOKUP($AE518,$B$16:$B$38,$S$16:$S$38),0)</f>
        <v>0</v>
      </c>
      <c r="AC518" s="158">
        <f ca="1">IFERROR($T518/_xlfn.XLOOKUP($AE518,$B$16:$B$38,$T$16:$T$38),0)</f>
        <v>0</v>
      </c>
      <c r="AD518" s="164"/>
      <c r="AE518" s="148">
        <f t="shared" si="1362"/>
        <v>0</v>
      </c>
      <c r="AF518" s="149"/>
      <c r="AG518" s="150"/>
      <c r="AH518" s="159" t="e">
        <f>S518/$S$494</f>
        <v>#DIV/0!</v>
      </c>
      <c r="AI518" s="166">
        <f>IF(K518=0,0,K518/F518)</f>
        <v>0</v>
      </c>
      <c r="AJ518" s="105"/>
      <c r="AK518" s="105"/>
      <c r="AM518" s="105"/>
      <c r="AN518" s="105"/>
      <c r="AO518" s="105"/>
      <c r="AP518" s="105"/>
      <c r="AQ518" s="105"/>
      <c r="AR518" s="105"/>
    </row>
    <row r="519" spans="1:44" s="49" customFormat="1" ht="40.15" hidden="1" customHeight="1">
      <c r="A519" s="10">
        <f t="shared" ca="1" si="1297"/>
        <v>0</v>
      </c>
      <c r="B519" s="153"/>
      <c r="C519" s="154"/>
      <c r="D519" s="154"/>
      <c r="E519" s="161" t="s">
        <v>258</v>
      </c>
      <c r="F519" s="154"/>
      <c r="G519" s="154"/>
      <c r="H519" s="152"/>
      <c r="I519" s="152"/>
      <c r="J519" s="154"/>
      <c r="K519" s="154"/>
      <c r="L519" s="154"/>
      <c r="M519" s="154"/>
      <c r="N519" s="154"/>
      <c r="O519" s="154"/>
      <c r="P519" s="154"/>
      <c r="Q519" s="154"/>
      <c r="R519" s="154"/>
      <c r="S519" s="162"/>
      <c r="T519" s="162"/>
      <c r="U519" s="162"/>
      <c r="V519" s="162"/>
      <c r="W519" s="162"/>
      <c r="X519" s="163"/>
      <c r="Y519" s="163"/>
      <c r="Z519" s="163"/>
      <c r="AA519" s="163"/>
      <c r="AB519" s="163"/>
      <c r="AC519" s="163"/>
      <c r="AD519" s="164"/>
      <c r="AE519" s="148">
        <f>IF(SUM(S520:S521)&gt;0,IFERROR(TRUNC(A519,0),0),0)</f>
        <v>0</v>
      </c>
      <c r="AF519" s="149"/>
      <c r="AG519" s="150"/>
      <c r="AH519" s="159"/>
      <c r="AI519" s="160"/>
      <c r="AJ519" s="105"/>
      <c r="AK519" s="105"/>
      <c r="AM519" s="105"/>
      <c r="AN519" s="105"/>
      <c r="AO519" s="105"/>
      <c r="AP519" s="105"/>
      <c r="AQ519" s="105"/>
      <c r="AR519" s="105"/>
    </row>
    <row r="520" spans="1:44" s="49" customFormat="1" ht="40.15" hidden="1" customHeight="1">
      <c r="A520" s="152">
        <f t="shared" ca="1" si="1297"/>
        <v>0</v>
      </c>
      <c r="B520" s="153">
        <v>95876</v>
      </c>
      <c r="C520" s="154" t="str">
        <f>TEXT(B520,"0")</f>
        <v>95876</v>
      </c>
      <c r="D520" s="154" t="s">
        <v>1416</v>
      </c>
      <c r="E520" s="155" t="s">
        <v>3537</v>
      </c>
      <c r="F520" s="154">
        <f>IF(Dados_DMT!$B$15&lt;30,Dados_DMT!$B$15,30)</f>
        <v>1</v>
      </c>
      <c r="G520" s="154" t="s">
        <v>3538</v>
      </c>
      <c r="H520" s="152">
        <v>2.09</v>
      </c>
      <c r="I520" s="152">
        <v>2.1</v>
      </c>
      <c r="J520" s="156"/>
      <c r="K520" s="156">
        <f>ROUND(Dre_Fecha_Vala!U61*F520,2)</f>
        <v>0</v>
      </c>
      <c r="L520" s="156">
        <f>IF($K520&gt;$J520,$K520-$J520,0)</f>
        <v>0</v>
      </c>
      <c r="M520" s="156">
        <f>IF($K520&lt;$J520,$J520-$K520,0)</f>
        <v>0</v>
      </c>
      <c r="N520" s="156" t="s">
        <v>83</v>
      </c>
      <c r="O520" s="157" cm="1">
        <f t="array" ref="O520">TRUNC($H520*(1+_xlfn.SWITCH($N520,"BDI 1",$O$6,"BDI 2",$O$7,"BDI 3",$O$8)),2)</f>
        <v>2.52</v>
      </c>
      <c r="P520" s="157" cm="1">
        <f t="array" ref="P520">TRUNC($I520*(1+_xlfn.SWITCH($N520,"BDI 1",$P$6,"BDI 2",$P$7,"BDI 3",$P$8)),2)</f>
        <v>2.66</v>
      </c>
      <c r="Q520" s="157">
        <v>0</v>
      </c>
      <c r="R520" s="157">
        <v>0</v>
      </c>
      <c r="S520" s="156">
        <f>TRUNC($K520*$O520,2)</f>
        <v>0</v>
      </c>
      <c r="T520" s="156">
        <f>TRUNC($K520*$P520,2)</f>
        <v>0</v>
      </c>
      <c r="U520" s="156">
        <f>TRUNC($J520*$R520,2)</f>
        <v>0</v>
      </c>
      <c r="V520" s="156">
        <f>TRUNC($K520*$Q520,2)</f>
        <v>0</v>
      </c>
      <c r="W520" s="156">
        <f>TRUNC(V520-U520,2)</f>
        <v>0</v>
      </c>
      <c r="X520" s="158">
        <f>$S520/ORCAMENTO_VALOR_TOTAL_ND</f>
        <v>0</v>
      </c>
      <c r="Y520" s="158">
        <f>$T520/ORCAMENTO_VALOR_TOTAL_DE</f>
        <v>0</v>
      </c>
      <c r="Z520" s="158" cm="1">
        <f t="array" ref="Z520">_xlfn.SWITCH($N520,"BDI 1",$O$6,"BDI 2",$O$7,"BDI 3",$O$8)</f>
        <v>0.20699999999999999</v>
      </c>
      <c r="AA520" s="158" cm="1">
        <f t="array" ref="AA520">_xlfn.SWITCH($N520,"BDI 1",$P$6,"BDI 2",$P$7,"BDI 3",$P$8)</f>
        <v>0.26739999999999997</v>
      </c>
      <c r="AB520" s="158">
        <f ca="1">IFERROR($S520/_xlfn.XLOOKUP($AE520,$B$16:$B$38,$S$16:$S$38),0)</f>
        <v>0</v>
      </c>
      <c r="AC520" s="158">
        <f ca="1">IFERROR($T520/_xlfn.XLOOKUP($AE520,$B$16:$B$38,$T$16:$T$38),0)</f>
        <v>0</v>
      </c>
      <c r="AD520" s="164"/>
      <c r="AE520" s="148">
        <f t="shared" ref="AE520:AE521" si="1363">IF(S520&gt;0,IFERROR(TRUNC(A520,0),0),0)</f>
        <v>0</v>
      </c>
      <c r="AF520" s="149"/>
      <c r="AG520" s="150"/>
      <c r="AH520" s="159" t="e">
        <f>S520/$S$494</f>
        <v>#DIV/0!</v>
      </c>
      <c r="AI520" s="160"/>
      <c r="AJ520" s="105"/>
      <c r="AK520" s="105"/>
      <c r="AM520" s="105"/>
      <c r="AN520" s="105"/>
      <c r="AO520" s="105"/>
      <c r="AP520" s="105"/>
      <c r="AQ520" s="105"/>
      <c r="AR520" s="105"/>
    </row>
    <row r="521" spans="1:44" s="49" customFormat="1" ht="40.15" hidden="1" customHeight="1">
      <c r="A521" s="152">
        <f t="shared" ca="1" si="1297"/>
        <v>0</v>
      </c>
      <c r="B521" s="153">
        <v>93593</v>
      </c>
      <c r="C521" s="154" t="str">
        <f>TEXT(B521,"0")</f>
        <v>93593</v>
      </c>
      <c r="D521" s="154" t="s">
        <v>1416</v>
      </c>
      <c r="E521" s="155" t="s">
        <v>3545</v>
      </c>
      <c r="F521" s="154">
        <f>Dados_DMT!$B$15-F520</f>
        <v>0</v>
      </c>
      <c r="G521" s="154" t="s">
        <v>3538</v>
      </c>
      <c r="H521" s="152">
        <v>0.84</v>
      </c>
      <c r="I521" s="152">
        <v>0.85</v>
      </c>
      <c r="J521" s="156"/>
      <c r="K521" s="156">
        <f>ROUND(Dre_Fecha_Vala!U61*F521,2)</f>
        <v>0</v>
      </c>
      <c r="L521" s="156">
        <f>IF($K521&gt;$J521,$K521-$J521,0)</f>
        <v>0</v>
      </c>
      <c r="M521" s="156">
        <f>IF($K521&lt;$J521,$J521-$K521,0)</f>
        <v>0</v>
      </c>
      <c r="N521" s="156" t="s">
        <v>83</v>
      </c>
      <c r="O521" s="157" cm="1">
        <f t="array" ref="O521">TRUNC($H521*(1+_xlfn.SWITCH($N521,"BDI 1",$O$6,"BDI 2",$O$7,"BDI 3",$O$8)),2)</f>
        <v>1.01</v>
      </c>
      <c r="P521" s="157" cm="1">
        <f t="array" ref="P521">TRUNC($I521*(1+_xlfn.SWITCH($N521,"BDI 1",$P$6,"BDI 2",$P$7,"BDI 3",$P$8)),2)</f>
        <v>1.07</v>
      </c>
      <c r="Q521" s="157">
        <v>0</v>
      </c>
      <c r="R521" s="157">
        <v>0</v>
      </c>
      <c r="S521" s="156">
        <f>TRUNC($K521*$O521,2)</f>
        <v>0</v>
      </c>
      <c r="T521" s="156">
        <f>TRUNC($K521*$P521,2)</f>
        <v>0</v>
      </c>
      <c r="U521" s="156">
        <f>TRUNC($J521*$R521,2)</f>
        <v>0</v>
      </c>
      <c r="V521" s="156">
        <f>TRUNC($K521*$Q521,2)</f>
        <v>0</v>
      </c>
      <c r="W521" s="156">
        <f>TRUNC(V521-U521,2)</f>
        <v>0</v>
      </c>
      <c r="X521" s="158">
        <f>$S521/ORCAMENTO_VALOR_TOTAL_ND</f>
        <v>0</v>
      </c>
      <c r="Y521" s="158">
        <f>$T521/ORCAMENTO_VALOR_TOTAL_DE</f>
        <v>0</v>
      </c>
      <c r="Z521" s="158" cm="1">
        <f t="array" ref="Z521">_xlfn.SWITCH($N521,"BDI 1",$O$6,"BDI 2",$O$7,"BDI 3",$O$8)</f>
        <v>0.20699999999999999</v>
      </c>
      <c r="AA521" s="158" cm="1">
        <f t="array" ref="AA521">_xlfn.SWITCH($N521,"BDI 1",$P$6,"BDI 2",$P$7,"BDI 3",$P$8)</f>
        <v>0.26739999999999997</v>
      </c>
      <c r="AB521" s="158">
        <f ca="1">IFERROR($S521/_xlfn.XLOOKUP($AE521,$B$16:$B$38,$S$16:$S$38),0)</f>
        <v>0</v>
      </c>
      <c r="AC521" s="158">
        <f ca="1">IFERROR($T521/_xlfn.XLOOKUP($AE521,$B$16:$B$38,$T$16:$T$38),0)</f>
        <v>0</v>
      </c>
      <c r="AD521" s="164"/>
      <c r="AE521" s="148">
        <f t="shared" si="1363"/>
        <v>0</v>
      </c>
      <c r="AF521" s="149"/>
      <c r="AG521" s="150"/>
      <c r="AH521" s="159" t="e">
        <f>S521/$S$494</f>
        <v>#DIV/0!</v>
      </c>
      <c r="AI521" s="160"/>
      <c r="AJ521" s="105"/>
      <c r="AK521" s="105"/>
      <c r="AM521" s="105"/>
      <c r="AN521" s="105"/>
      <c r="AO521" s="105"/>
      <c r="AP521" s="105"/>
      <c r="AQ521" s="105"/>
      <c r="AR521" s="105"/>
    </row>
    <row r="522" spans="1:44" s="49" customFormat="1" ht="40.15" hidden="1" customHeight="1">
      <c r="A522" s="10">
        <f t="shared" ca="1" si="1297"/>
        <v>0</v>
      </c>
      <c r="B522" s="153"/>
      <c r="C522" s="154"/>
      <c r="D522" s="154"/>
      <c r="E522" s="161" t="s">
        <v>259</v>
      </c>
      <c r="F522" s="154"/>
      <c r="G522" s="154"/>
      <c r="H522" s="152"/>
      <c r="I522" s="152"/>
      <c r="J522" s="154"/>
      <c r="K522" s="154"/>
      <c r="L522" s="154"/>
      <c r="M522" s="154"/>
      <c r="N522" s="154"/>
      <c r="O522" s="154"/>
      <c r="P522" s="154"/>
      <c r="Q522" s="154"/>
      <c r="R522" s="154"/>
      <c r="S522" s="162"/>
      <c r="T522" s="162"/>
      <c r="U522" s="162"/>
      <c r="V522" s="162"/>
      <c r="W522" s="162"/>
      <c r="X522" s="163"/>
      <c r="Y522" s="163"/>
      <c r="Z522" s="163"/>
      <c r="AA522" s="163"/>
      <c r="AB522" s="163"/>
      <c r="AC522" s="163"/>
      <c r="AD522" s="164"/>
      <c r="AE522" s="148">
        <f>IF(SUM(S523:S524)&gt;0,IFERROR(TRUNC(A522,0),0),0)</f>
        <v>0</v>
      </c>
      <c r="AF522" s="149"/>
      <c r="AG522" s="150"/>
      <c r="AH522" s="159"/>
      <c r="AI522" s="160"/>
      <c r="AJ522" s="105"/>
      <c r="AK522" s="105"/>
      <c r="AM522" s="105"/>
      <c r="AN522" s="105"/>
      <c r="AO522" s="105"/>
      <c r="AP522" s="105"/>
      <c r="AQ522" s="105"/>
      <c r="AR522" s="105"/>
    </row>
    <row r="523" spans="1:44" s="49" customFormat="1" ht="40.15" hidden="1" customHeight="1">
      <c r="A523" s="152">
        <f t="shared" ca="1" si="1297"/>
        <v>0</v>
      </c>
      <c r="B523" s="153">
        <v>95876</v>
      </c>
      <c r="C523" s="154" t="str">
        <f>TEXT(B523,"0")</f>
        <v>95876</v>
      </c>
      <c r="D523" s="154" t="s">
        <v>1416</v>
      </c>
      <c r="E523" s="155" t="s">
        <v>3537</v>
      </c>
      <c r="F523" s="154">
        <f>IF(Dados_DMT!$B$24&lt;30,Dados_DMT!$B$24,30)</f>
        <v>0</v>
      </c>
      <c r="G523" s="154" t="s">
        <v>3538</v>
      </c>
      <c r="H523" s="152">
        <v>2.09</v>
      </c>
      <c r="I523" s="152">
        <v>2.1</v>
      </c>
      <c r="J523" s="156"/>
      <c r="K523" s="156">
        <f>ROUND(Dre_Fecha_Vala!U69*F523,2)</f>
        <v>0</v>
      </c>
      <c r="L523" s="156">
        <f>IF($K523&gt;$J523,$K523-$J523,0)</f>
        <v>0</v>
      </c>
      <c r="M523" s="156">
        <f>IF($K523&lt;$J523,$J523-$K523,0)</f>
        <v>0</v>
      </c>
      <c r="N523" s="156" t="s">
        <v>83</v>
      </c>
      <c r="O523" s="157" cm="1">
        <f t="array" ref="O523">TRUNC($H523*(1+_xlfn.SWITCH($N523,"BDI 1",$O$6,"BDI 2",$O$7,"BDI 3",$O$8)),2)</f>
        <v>2.52</v>
      </c>
      <c r="P523" s="157" cm="1">
        <f t="array" ref="P523">TRUNC($I523*(1+_xlfn.SWITCH($N523,"BDI 1",$P$6,"BDI 2",$P$7,"BDI 3",$P$8)),2)</f>
        <v>2.66</v>
      </c>
      <c r="Q523" s="157">
        <v>0</v>
      </c>
      <c r="R523" s="157">
        <v>0</v>
      </c>
      <c r="S523" s="156">
        <f>TRUNC($K523*$O523,2)</f>
        <v>0</v>
      </c>
      <c r="T523" s="156">
        <f>TRUNC($K523*$P523,2)</f>
        <v>0</v>
      </c>
      <c r="U523" s="156">
        <f>TRUNC($J523*$R523,2)</f>
        <v>0</v>
      </c>
      <c r="V523" s="156">
        <f>TRUNC($K523*$Q523,2)</f>
        <v>0</v>
      </c>
      <c r="W523" s="156">
        <f>TRUNC(V523-U523,2)</f>
        <v>0</v>
      </c>
      <c r="X523" s="158">
        <f>$S523/ORCAMENTO_VALOR_TOTAL_ND</f>
        <v>0</v>
      </c>
      <c r="Y523" s="158">
        <f>$T523/ORCAMENTO_VALOR_TOTAL_DE</f>
        <v>0</v>
      </c>
      <c r="Z523" s="158" cm="1">
        <f t="array" ref="Z523">_xlfn.SWITCH($N523,"BDI 1",$O$6,"BDI 2",$O$7,"BDI 3",$O$8)</f>
        <v>0.20699999999999999</v>
      </c>
      <c r="AA523" s="158" cm="1">
        <f t="array" ref="AA523">_xlfn.SWITCH($N523,"BDI 1",$P$6,"BDI 2",$P$7,"BDI 3",$P$8)</f>
        <v>0.26739999999999997</v>
      </c>
      <c r="AB523" s="158">
        <f ca="1">IFERROR($S523/_xlfn.XLOOKUP($AE523,$B$16:$B$38,$S$16:$S$38),0)</f>
        <v>0</v>
      </c>
      <c r="AC523" s="158">
        <f ca="1">IFERROR($T523/_xlfn.XLOOKUP($AE523,$B$16:$B$38,$T$16:$T$38),0)</f>
        <v>0</v>
      </c>
      <c r="AD523" s="164"/>
      <c r="AE523" s="148">
        <f t="shared" ref="AE523:AE524" si="1364">IF(S523&gt;0,IFERROR(TRUNC(A523,0),0),0)</f>
        <v>0</v>
      </c>
      <c r="AF523" s="149"/>
      <c r="AG523" s="150"/>
      <c r="AH523" s="159" t="e">
        <f>S523/$S$494</f>
        <v>#DIV/0!</v>
      </c>
      <c r="AI523" s="166">
        <f>IF(K523=0,0,K523/F523)</f>
        <v>0</v>
      </c>
      <c r="AJ523" s="105"/>
      <c r="AK523" s="105"/>
      <c r="AM523" s="105"/>
      <c r="AN523" s="105"/>
      <c r="AO523" s="105"/>
      <c r="AP523" s="105"/>
      <c r="AQ523" s="105"/>
      <c r="AR523" s="105"/>
    </row>
    <row r="524" spans="1:44" s="49" customFormat="1" ht="40.15" hidden="1" customHeight="1">
      <c r="A524" s="152">
        <f t="shared" ca="1" si="1297"/>
        <v>0</v>
      </c>
      <c r="B524" s="153">
        <v>93593</v>
      </c>
      <c r="C524" s="154" t="str">
        <f>TEXT(B524,"0")</f>
        <v>93593</v>
      </c>
      <c r="D524" s="154" t="s">
        <v>1416</v>
      </c>
      <c r="E524" s="155" t="s">
        <v>3545</v>
      </c>
      <c r="F524" s="154">
        <f>+Dados_DMT!$B$24-F523</f>
        <v>0</v>
      </c>
      <c r="G524" s="154" t="s">
        <v>3538</v>
      </c>
      <c r="H524" s="152">
        <v>0.84</v>
      </c>
      <c r="I524" s="152">
        <v>0.85</v>
      </c>
      <c r="J524" s="156"/>
      <c r="K524" s="156">
        <f>ROUND(Dre_Fecha_Vala!U69*F524,2)</f>
        <v>0</v>
      </c>
      <c r="L524" s="156">
        <f>IF($K524&gt;$J524,$K524-$J524,0)</f>
        <v>0</v>
      </c>
      <c r="M524" s="156">
        <f>IF($K524&lt;$J524,$J524-$K524,0)</f>
        <v>0</v>
      </c>
      <c r="N524" s="156" t="s">
        <v>83</v>
      </c>
      <c r="O524" s="157" cm="1">
        <f t="array" ref="O524">TRUNC($H524*(1+_xlfn.SWITCH($N524,"BDI 1",$O$6,"BDI 2",$O$7,"BDI 3",$O$8)),2)</f>
        <v>1.01</v>
      </c>
      <c r="P524" s="157" cm="1">
        <f t="array" ref="P524">TRUNC($I524*(1+_xlfn.SWITCH($N524,"BDI 1",$P$6,"BDI 2",$P$7,"BDI 3",$P$8)),2)</f>
        <v>1.07</v>
      </c>
      <c r="Q524" s="157">
        <v>0</v>
      </c>
      <c r="R524" s="157">
        <v>0</v>
      </c>
      <c r="S524" s="156">
        <f>TRUNC($K524*$O524,2)</f>
        <v>0</v>
      </c>
      <c r="T524" s="156">
        <f>TRUNC($K524*$P524,2)</f>
        <v>0</v>
      </c>
      <c r="U524" s="156">
        <f>TRUNC($J524*$R524,2)</f>
        <v>0</v>
      </c>
      <c r="V524" s="156">
        <f>TRUNC($K524*$Q524,2)</f>
        <v>0</v>
      </c>
      <c r="W524" s="156">
        <f>TRUNC(V524-U524,2)</f>
        <v>0</v>
      </c>
      <c r="X524" s="158">
        <f>$S524/ORCAMENTO_VALOR_TOTAL_ND</f>
        <v>0</v>
      </c>
      <c r="Y524" s="158">
        <f>$T524/ORCAMENTO_VALOR_TOTAL_DE</f>
        <v>0</v>
      </c>
      <c r="Z524" s="158" cm="1">
        <f t="array" ref="Z524">_xlfn.SWITCH($N524,"BDI 1",$O$6,"BDI 2",$O$7,"BDI 3",$O$8)</f>
        <v>0.20699999999999999</v>
      </c>
      <c r="AA524" s="158" cm="1">
        <f t="array" ref="AA524">_xlfn.SWITCH($N524,"BDI 1",$P$6,"BDI 2",$P$7,"BDI 3",$P$8)</f>
        <v>0.26739999999999997</v>
      </c>
      <c r="AB524" s="158">
        <f ca="1">IFERROR($S524/_xlfn.XLOOKUP($AE524,$B$16:$B$38,$S$16:$S$38),0)</f>
        <v>0</v>
      </c>
      <c r="AC524" s="158">
        <f ca="1">IFERROR($T524/_xlfn.XLOOKUP($AE524,$B$16:$B$38,$T$16:$T$38),0)</f>
        <v>0</v>
      </c>
      <c r="AD524" s="164"/>
      <c r="AE524" s="148">
        <f t="shared" si="1364"/>
        <v>0</v>
      </c>
      <c r="AF524" s="149"/>
      <c r="AG524" s="150"/>
      <c r="AH524" s="159" t="e">
        <f>S524/$S$494</f>
        <v>#DIV/0!</v>
      </c>
      <c r="AI524" s="166">
        <f>IF(K524=0,0,K524/F524)</f>
        <v>0</v>
      </c>
      <c r="AJ524" s="105"/>
      <c r="AK524" s="105"/>
      <c r="AM524" s="105"/>
      <c r="AN524" s="105"/>
      <c r="AO524" s="105"/>
      <c r="AP524" s="105"/>
      <c r="AQ524" s="105"/>
      <c r="AR524" s="105"/>
    </row>
    <row r="525" spans="1:44" s="49" customFormat="1" ht="40.15" hidden="1" customHeight="1">
      <c r="A525" s="10">
        <f t="shared" ca="1" si="1297"/>
        <v>0</v>
      </c>
      <c r="B525" s="153"/>
      <c r="C525" s="154"/>
      <c r="D525" s="154"/>
      <c r="E525" s="161" t="s">
        <v>260</v>
      </c>
      <c r="F525" s="154"/>
      <c r="G525" s="154"/>
      <c r="H525" s="152"/>
      <c r="I525" s="152"/>
      <c r="J525" s="154"/>
      <c r="K525" s="154"/>
      <c r="L525" s="154"/>
      <c r="M525" s="154"/>
      <c r="N525" s="154"/>
      <c r="O525" s="154"/>
      <c r="P525" s="154"/>
      <c r="Q525" s="154"/>
      <c r="R525" s="154"/>
      <c r="S525" s="162"/>
      <c r="T525" s="162"/>
      <c r="U525" s="162"/>
      <c r="V525" s="162"/>
      <c r="W525" s="162"/>
      <c r="X525" s="163"/>
      <c r="Y525" s="163"/>
      <c r="Z525" s="163"/>
      <c r="AA525" s="163"/>
      <c r="AB525" s="163"/>
      <c r="AC525" s="163"/>
      <c r="AD525" s="164"/>
      <c r="AE525" s="148">
        <f>IF(SUM(S526:S527)&gt;0,IFERROR(TRUNC(A525,0),0),0)</f>
        <v>0</v>
      </c>
      <c r="AF525" s="149"/>
      <c r="AG525" s="150"/>
      <c r="AH525" s="159"/>
      <c r="AI525" s="160"/>
      <c r="AJ525" s="105"/>
      <c r="AK525" s="105"/>
      <c r="AM525" s="105"/>
      <c r="AN525" s="105"/>
      <c r="AO525" s="105"/>
      <c r="AP525" s="105"/>
      <c r="AQ525" s="105"/>
      <c r="AR525" s="105"/>
    </row>
    <row r="526" spans="1:44" s="49" customFormat="1" ht="40.15" hidden="1" customHeight="1">
      <c r="A526" s="152">
        <f t="shared" ca="1" si="1297"/>
        <v>0</v>
      </c>
      <c r="B526" s="153">
        <v>95876</v>
      </c>
      <c r="C526" s="154" t="str">
        <f>TEXT(B526,"0")</f>
        <v>95876</v>
      </c>
      <c r="D526" s="154" t="s">
        <v>1416</v>
      </c>
      <c r="E526" s="155" t="s">
        <v>3537</v>
      </c>
      <c r="F526" s="154">
        <f>IF(Dados_DMT!$B$34&lt;30,Dados_DMT!$B$34,30)</f>
        <v>30</v>
      </c>
      <c r="G526" s="154" t="s">
        <v>3538</v>
      </c>
      <c r="H526" s="152">
        <v>2.09</v>
      </c>
      <c r="I526" s="152">
        <v>2.1</v>
      </c>
      <c r="J526" s="156"/>
      <c r="K526" s="156">
        <f>ROUND(Dre_Fecha_Vala!U70*F526,2)</f>
        <v>0</v>
      </c>
      <c r="L526" s="156">
        <f>IF($K526&gt;$J526,$K526-$J526,0)</f>
        <v>0</v>
      </c>
      <c r="M526" s="156">
        <f>IF($K526&lt;$J526,$J526-$K526,0)</f>
        <v>0</v>
      </c>
      <c r="N526" s="156" t="s">
        <v>83</v>
      </c>
      <c r="O526" s="157" cm="1">
        <f t="array" ref="O526">TRUNC($H526*(1+_xlfn.SWITCH($N526,"BDI 1",$O$6,"BDI 2",$O$7,"BDI 3",$O$8)),2)</f>
        <v>2.52</v>
      </c>
      <c r="P526" s="157" cm="1">
        <f t="array" ref="P526">TRUNC($I526*(1+_xlfn.SWITCH($N526,"BDI 1",$P$6,"BDI 2",$P$7,"BDI 3",$P$8)),2)</f>
        <v>2.66</v>
      </c>
      <c r="Q526" s="157">
        <v>0</v>
      </c>
      <c r="R526" s="157">
        <v>0</v>
      </c>
      <c r="S526" s="156">
        <f>TRUNC($K526*$O526,2)</f>
        <v>0</v>
      </c>
      <c r="T526" s="156">
        <f>TRUNC($K526*$P526,2)</f>
        <v>0</v>
      </c>
      <c r="U526" s="156">
        <f>TRUNC($J526*$R526,2)</f>
        <v>0</v>
      </c>
      <c r="V526" s="156">
        <f>TRUNC($K526*$Q526,2)</f>
        <v>0</v>
      </c>
      <c r="W526" s="156">
        <f>TRUNC(V526-U526,2)</f>
        <v>0</v>
      </c>
      <c r="X526" s="158">
        <f>$S526/ORCAMENTO_VALOR_TOTAL_ND</f>
        <v>0</v>
      </c>
      <c r="Y526" s="158">
        <f>$T526/ORCAMENTO_VALOR_TOTAL_DE</f>
        <v>0</v>
      </c>
      <c r="Z526" s="158" cm="1">
        <f t="array" ref="Z526">_xlfn.SWITCH($N526,"BDI 1",$O$6,"BDI 2",$O$7,"BDI 3",$O$8)</f>
        <v>0.20699999999999999</v>
      </c>
      <c r="AA526" s="158" cm="1">
        <f t="array" ref="AA526">_xlfn.SWITCH($N526,"BDI 1",$P$6,"BDI 2",$P$7,"BDI 3",$P$8)</f>
        <v>0.26739999999999997</v>
      </c>
      <c r="AB526" s="158">
        <f ca="1">IFERROR($S526/_xlfn.XLOOKUP($AE526,$B$16:$B$38,$S$16:$S$38),0)</f>
        <v>0</v>
      </c>
      <c r="AC526" s="158">
        <f ca="1">IFERROR($T526/_xlfn.XLOOKUP($AE526,$B$16:$B$38,$T$16:$T$38),0)</f>
        <v>0</v>
      </c>
      <c r="AD526" s="164"/>
      <c r="AE526" s="148">
        <f t="shared" ref="AE526:AE527" si="1365">IF(S526&gt;0,IFERROR(TRUNC(A526,0),0),0)</f>
        <v>0</v>
      </c>
      <c r="AF526" s="149"/>
      <c r="AG526" s="150"/>
      <c r="AH526" s="159" t="e">
        <f>S526/$S$494</f>
        <v>#DIV/0!</v>
      </c>
      <c r="AI526" s="166">
        <f>IF(K526=0,0,K526/F526)</f>
        <v>0</v>
      </c>
      <c r="AJ526" s="105"/>
      <c r="AK526" s="105"/>
      <c r="AM526" s="105"/>
      <c r="AN526" s="105"/>
      <c r="AO526" s="105"/>
      <c r="AP526" s="105"/>
      <c r="AQ526" s="105"/>
      <c r="AR526" s="105"/>
    </row>
    <row r="527" spans="1:44" s="49" customFormat="1" ht="40.15" hidden="1" customHeight="1">
      <c r="A527" s="152">
        <f t="shared" ca="1" si="1297"/>
        <v>0</v>
      </c>
      <c r="B527" s="153">
        <v>93593</v>
      </c>
      <c r="C527" s="154" t="str">
        <f>TEXT(B527,"0")</f>
        <v>93593</v>
      </c>
      <c r="D527" s="154" t="s">
        <v>1416</v>
      </c>
      <c r="E527" s="155" t="s">
        <v>3545</v>
      </c>
      <c r="F527" s="154">
        <f>+Dados_DMT!$B$34-F526</f>
        <v>80</v>
      </c>
      <c r="G527" s="154" t="s">
        <v>3538</v>
      </c>
      <c r="H527" s="152">
        <v>0.84</v>
      </c>
      <c r="I527" s="152">
        <v>0.85</v>
      </c>
      <c r="J527" s="156"/>
      <c r="K527" s="156">
        <f>ROUND(Dre_Fecha_Vala!U70*F527,2)</f>
        <v>0</v>
      </c>
      <c r="L527" s="156">
        <f>IF($K527&gt;$J527,$K527-$J527,0)</f>
        <v>0</v>
      </c>
      <c r="M527" s="156">
        <f>IF($K527&lt;$J527,$J527-$K527,0)</f>
        <v>0</v>
      </c>
      <c r="N527" s="156" t="s">
        <v>83</v>
      </c>
      <c r="O527" s="157" cm="1">
        <f t="array" ref="O527">TRUNC($H527*(1+_xlfn.SWITCH($N527,"BDI 1",$O$6,"BDI 2",$O$7,"BDI 3",$O$8)),2)</f>
        <v>1.01</v>
      </c>
      <c r="P527" s="157" cm="1">
        <f t="array" ref="P527">TRUNC($I527*(1+_xlfn.SWITCH($N527,"BDI 1",$P$6,"BDI 2",$P$7,"BDI 3",$P$8)),2)</f>
        <v>1.07</v>
      </c>
      <c r="Q527" s="157">
        <v>0</v>
      </c>
      <c r="R527" s="157">
        <v>0</v>
      </c>
      <c r="S527" s="156">
        <f>TRUNC($K527*$O527,2)</f>
        <v>0</v>
      </c>
      <c r="T527" s="156">
        <f>TRUNC($K527*$P527,2)</f>
        <v>0</v>
      </c>
      <c r="U527" s="156">
        <f>TRUNC($J527*$R527,2)</f>
        <v>0</v>
      </c>
      <c r="V527" s="156">
        <f>TRUNC($K527*$Q527,2)</f>
        <v>0</v>
      </c>
      <c r="W527" s="156">
        <f>TRUNC(V527-U527,2)</f>
        <v>0</v>
      </c>
      <c r="X527" s="158">
        <f>$S527/ORCAMENTO_VALOR_TOTAL_ND</f>
        <v>0</v>
      </c>
      <c r="Y527" s="158">
        <f>$T527/ORCAMENTO_VALOR_TOTAL_DE</f>
        <v>0</v>
      </c>
      <c r="Z527" s="158" cm="1">
        <f t="array" ref="Z527">_xlfn.SWITCH($N527,"BDI 1",$O$6,"BDI 2",$O$7,"BDI 3",$O$8)</f>
        <v>0.20699999999999999</v>
      </c>
      <c r="AA527" s="158" cm="1">
        <f t="array" ref="AA527">_xlfn.SWITCH($N527,"BDI 1",$P$6,"BDI 2",$P$7,"BDI 3",$P$8)</f>
        <v>0.26739999999999997</v>
      </c>
      <c r="AB527" s="158">
        <f ca="1">IFERROR($S527/_xlfn.XLOOKUP($AE527,$B$16:$B$38,$S$16:$S$38),0)</f>
        <v>0</v>
      </c>
      <c r="AC527" s="158">
        <f ca="1">IFERROR($T527/_xlfn.XLOOKUP($AE527,$B$16:$B$38,$T$16:$T$38),0)</f>
        <v>0</v>
      </c>
      <c r="AD527" s="164"/>
      <c r="AE527" s="148">
        <f t="shared" si="1365"/>
        <v>0</v>
      </c>
      <c r="AF527" s="149"/>
      <c r="AG527" s="150"/>
      <c r="AH527" s="159" t="e">
        <f>S527/$S$494</f>
        <v>#DIV/0!</v>
      </c>
      <c r="AI527" s="166">
        <f>IF(K527=0,0,K527/F527)</f>
        <v>0</v>
      </c>
      <c r="AJ527" s="105"/>
      <c r="AK527" s="105"/>
      <c r="AM527" s="105"/>
      <c r="AN527" s="105"/>
      <c r="AO527" s="105"/>
      <c r="AP527" s="105"/>
      <c r="AQ527" s="105"/>
      <c r="AR527" s="105"/>
    </row>
    <row r="528" spans="1:44" s="49" customFormat="1" ht="40.15" hidden="1" customHeight="1">
      <c r="A528" s="10">
        <f t="shared" ca="1" si="1297"/>
        <v>0</v>
      </c>
      <c r="B528" s="153"/>
      <c r="C528" s="154"/>
      <c r="D528" s="154"/>
      <c r="E528" s="161" t="s">
        <v>261</v>
      </c>
      <c r="F528" s="154"/>
      <c r="G528" s="154"/>
      <c r="H528" s="152"/>
      <c r="I528" s="152"/>
      <c r="J528" s="154"/>
      <c r="K528" s="154"/>
      <c r="L528" s="154"/>
      <c r="M528" s="154"/>
      <c r="N528" s="154"/>
      <c r="O528" s="154"/>
      <c r="P528" s="154"/>
      <c r="Q528" s="154"/>
      <c r="R528" s="154"/>
      <c r="S528" s="162"/>
      <c r="T528" s="162"/>
      <c r="U528" s="162"/>
      <c r="V528" s="162"/>
      <c r="W528" s="162"/>
      <c r="X528" s="163"/>
      <c r="Y528" s="163"/>
      <c r="Z528" s="163"/>
      <c r="AA528" s="163"/>
      <c r="AB528" s="163"/>
      <c r="AC528" s="163"/>
      <c r="AD528" s="164"/>
      <c r="AE528" s="148">
        <f>IF(SUM(S529:S530)&gt;0,IFERROR(TRUNC(A528,0),0),0)</f>
        <v>0</v>
      </c>
      <c r="AF528" s="149"/>
      <c r="AG528" s="150"/>
      <c r="AH528" s="159"/>
      <c r="AI528" s="160"/>
      <c r="AJ528" s="105"/>
      <c r="AK528" s="105"/>
      <c r="AM528" s="105"/>
      <c r="AN528" s="105"/>
      <c r="AO528" s="105"/>
      <c r="AP528" s="105"/>
      <c r="AQ528" s="105"/>
      <c r="AR528" s="105"/>
    </row>
    <row r="529" spans="1:44" s="49" customFormat="1" ht="40.15" hidden="1" customHeight="1">
      <c r="A529" s="152">
        <f t="shared" ca="1" si="1297"/>
        <v>0</v>
      </c>
      <c r="B529" s="153">
        <v>95876</v>
      </c>
      <c r="C529" s="154" t="str">
        <f>TEXT(B529,"0")</f>
        <v>95876</v>
      </c>
      <c r="D529" s="154" t="s">
        <v>1416</v>
      </c>
      <c r="E529" s="155" t="s">
        <v>3537</v>
      </c>
      <c r="F529" s="154">
        <f>IF(Dados_DMT!$B$34&lt;30,Dados_DMT!$B$34,30)</f>
        <v>30</v>
      </c>
      <c r="G529" s="154" t="s">
        <v>3538</v>
      </c>
      <c r="H529" s="152">
        <v>2.09</v>
      </c>
      <c r="I529" s="152">
        <v>2.1</v>
      </c>
      <c r="J529" s="156"/>
      <c r="K529" s="156">
        <f>ROUND(Dre_Fecha_Vala!U70*F529,2)</f>
        <v>0</v>
      </c>
      <c r="L529" s="156">
        <f>IF($K529&gt;$J529,$K529-$J529,0)</f>
        <v>0</v>
      </c>
      <c r="M529" s="156">
        <f>IF($K529&lt;$J529,$J529-$K529,0)</f>
        <v>0</v>
      </c>
      <c r="N529" s="156" t="s">
        <v>83</v>
      </c>
      <c r="O529" s="157" cm="1">
        <f t="array" ref="O529">TRUNC($H529*(1+_xlfn.SWITCH($N529,"BDI 1",$O$6,"BDI 2",$O$7,"BDI 3",$O$8)),2)</f>
        <v>2.52</v>
      </c>
      <c r="P529" s="157" cm="1">
        <f t="array" ref="P529">TRUNC($I529*(1+_xlfn.SWITCH($N529,"BDI 1",$P$6,"BDI 2",$P$7,"BDI 3",$P$8)),2)</f>
        <v>2.66</v>
      </c>
      <c r="Q529" s="157">
        <v>0</v>
      </c>
      <c r="R529" s="157">
        <v>0</v>
      </c>
      <c r="S529" s="156">
        <f>TRUNC($K529*$O529,2)</f>
        <v>0</v>
      </c>
      <c r="T529" s="156">
        <f>TRUNC($K529*$P529,2)</f>
        <v>0</v>
      </c>
      <c r="U529" s="156">
        <f>TRUNC($J529*$R529,2)</f>
        <v>0</v>
      </c>
      <c r="V529" s="156">
        <f>TRUNC($K529*$Q529,2)</f>
        <v>0</v>
      </c>
      <c r="W529" s="156">
        <f>TRUNC(V529-U529,2)</f>
        <v>0</v>
      </c>
      <c r="X529" s="158">
        <f>$S529/ORCAMENTO_VALOR_TOTAL_ND</f>
        <v>0</v>
      </c>
      <c r="Y529" s="158">
        <f>$T529/ORCAMENTO_VALOR_TOTAL_DE</f>
        <v>0</v>
      </c>
      <c r="Z529" s="158" cm="1">
        <f t="array" ref="Z529">_xlfn.SWITCH($N529,"BDI 1",$O$6,"BDI 2",$O$7,"BDI 3",$O$8)</f>
        <v>0.20699999999999999</v>
      </c>
      <c r="AA529" s="158" cm="1">
        <f t="array" ref="AA529">_xlfn.SWITCH($N529,"BDI 1",$P$6,"BDI 2",$P$7,"BDI 3",$P$8)</f>
        <v>0.26739999999999997</v>
      </c>
      <c r="AB529" s="158">
        <f ca="1">IFERROR($S529/_xlfn.XLOOKUP($AE529,$B$16:$B$38,$S$16:$S$38),0)</f>
        <v>0</v>
      </c>
      <c r="AC529" s="158">
        <f ca="1">IFERROR($T529/_xlfn.XLOOKUP($AE529,$B$16:$B$38,$T$16:$T$38),0)</f>
        <v>0</v>
      </c>
      <c r="AD529" s="164"/>
      <c r="AE529" s="148">
        <f t="shared" ref="AE529:AE530" si="1366">IF(S529&gt;0,IFERROR(TRUNC(A529,0),0),0)</f>
        <v>0</v>
      </c>
      <c r="AF529" s="149"/>
      <c r="AG529" s="150"/>
      <c r="AH529" s="159" t="e">
        <f>S529/$S$494</f>
        <v>#DIV/0!</v>
      </c>
      <c r="AI529" s="166">
        <f>IF(K529=0,0,K529/F529)</f>
        <v>0</v>
      </c>
      <c r="AJ529" s="105"/>
      <c r="AK529" s="105"/>
      <c r="AM529" s="105"/>
      <c r="AN529" s="105"/>
      <c r="AO529" s="105"/>
      <c r="AP529" s="105"/>
      <c r="AQ529" s="105"/>
      <c r="AR529" s="105"/>
    </row>
    <row r="530" spans="1:44" s="49" customFormat="1" ht="40.15" hidden="1" customHeight="1">
      <c r="A530" s="152">
        <f t="shared" ca="1" si="1297"/>
        <v>0</v>
      </c>
      <c r="B530" s="153">
        <v>93593</v>
      </c>
      <c r="C530" s="154" t="str">
        <f>TEXT(B530,"0")</f>
        <v>93593</v>
      </c>
      <c r="D530" s="154" t="s">
        <v>1416</v>
      </c>
      <c r="E530" s="155" t="s">
        <v>3545</v>
      </c>
      <c r="F530" s="154">
        <f>+Dados_DMT!$B$34-F529</f>
        <v>80</v>
      </c>
      <c r="G530" s="154" t="s">
        <v>3538</v>
      </c>
      <c r="H530" s="152">
        <v>0.84</v>
      </c>
      <c r="I530" s="152">
        <v>0.85</v>
      </c>
      <c r="J530" s="156"/>
      <c r="K530" s="156">
        <f>ROUND(Dre_Fecha_Vala!U70*F530,2)</f>
        <v>0</v>
      </c>
      <c r="L530" s="156">
        <f>IF($K530&gt;$J530,$K530-$J530,0)</f>
        <v>0</v>
      </c>
      <c r="M530" s="156">
        <f>IF($K530&lt;$J530,$J530-$K530,0)</f>
        <v>0</v>
      </c>
      <c r="N530" s="156" t="s">
        <v>83</v>
      </c>
      <c r="O530" s="157" cm="1">
        <f t="array" ref="O530">TRUNC($H530*(1+_xlfn.SWITCH($N530,"BDI 1",$O$6,"BDI 2",$O$7,"BDI 3",$O$8)),2)</f>
        <v>1.01</v>
      </c>
      <c r="P530" s="157" cm="1">
        <f t="array" ref="P530">TRUNC($I530*(1+_xlfn.SWITCH($N530,"BDI 1",$P$6,"BDI 2",$P$7,"BDI 3",$P$8)),2)</f>
        <v>1.07</v>
      </c>
      <c r="Q530" s="157">
        <v>0</v>
      </c>
      <c r="R530" s="157">
        <v>0</v>
      </c>
      <c r="S530" s="156">
        <f>TRUNC($K530*$O530,2)</f>
        <v>0</v>
      </c>
      <c r="T530" s="156">
        <f>TRUNC($K530*$P530,2)</f>
        <v>0</v>
      </c>
      <c r="U530" s="156">
        <f>TRUNC($J530*$R530,2)</f>
        <v>0</v>
      </c>
      <c r="V530" s="156">
        <f>TRUNC($K530*$Q530,2)</f>
        <v>0</v>
      </c>
      <c r="W530" s="156">
        <f>TRUNC(V530-U530,2)</f>
        <v>0</v>
      </c>
      <c r="X530" s="158">
        <f>$S530/ORCAMENTO_VALOR_TOTAL_ND</f>
        <v>0</v>
      </c>
      <c r="Y530" s="158">
        <f>$T530/ORCAMENTO_VALOR_TOTAL_DE</f>
        <v>0</v>
      </c>
      <c r="Z530" s="158" cm="1">
        <f t="array" ref="Z530">_xlfn.SWITCH($N530,"BDI 1",$O$6,"BDI 2",$O$7,"BDI 3",$O$8)</f>
        <v>0.20699999999999999</v>
      </c>
      <c r="AA530" s="158" cm="1">
        <f t="array" ref="AA530">_xlfn.SWITCH($N530,"BDI 1",$P$6,"BDI 2",$P$7,"BDI 3",$P$8)</f>
        <v>0.26739999999999997</v>
      </c>
      <c r="AB530" s="158">
        <f ca="1">IFERROR($S530/_xlfn.XLOOKUP($AE530,$B$16:$B$38,$S$16:$S$38),0)</f>
        <v>0</v>
      </c>
      <c r="AC530" s="158">
        <f ca="1">IFERROR($T530/_xlfn.XLOOKUP($AE530,$B$16:$B$38,$T$16:$T$38),0)</f>
        <v>0</v>
      </c>
      <c r="AD530" s="164"/>
      <c r="AE530" s="148">
        <f t="shared" si="1366"/>
        <v>0</v>
      </c>
      <c r="AF530" s="149"/>
      <c r="AG530" s="150"/>
      <c r="AH530" s="159" t="e">
        <f>S530/$S$494</f>
        <v>#DIV/0!</v>
      </c>
      <c r="AI530" s="166">
        <f>IF(K530=0,0,K530/F530)</f>
        <v>0</v>
      </c>
      <c r="AJ530" s="105"/>
      <c r="AK530" s="105"/>
      <c r="AM530" s="105"/>
      <c r="AN530" s="105"/>
      <c r="AO530" s="105"/>
      <c r="AP530" s="105"/>
      <c r="AQ530" s="105"/>
      <c r="AR530" s="105"/>
    </row>
    <row r="531" spans="1:44" s="49" customFormat="1" ht="40.15" hidden="1" customHeight="1">
      <c r="A531" s="10">
        <f t="shared" ca="1" si="1297"/>
        <v>0</v>
      </c>
      <c r="B531" s="153"/>
      <c r="C531" s="154"/>
      <c r="D531" s="154"/>
      <c r="E531" s="161" t="s">
        <v>262</v>
      </c>
      <c r="F531" s="154"/>
      <c r="G531" s="154"/>
      <c r="H531" s="152"/>
      <c r="I531" s="152"/>
      <c r="J531" s="154"/>
      <c r="K531" s="154"/>
      <c r="L531" s="154"/>
      <c r="M531" s="154"/>
      <c r="N531" s="154"/>
      <c r="O531" s="154"/>
      <c r="P531" s="154"/>
      <c r="Q531" s="154"/>
      <c r="R531" s="154"/>
      <c r="S531" s="162"/>
      <c r="T531" s="162"/>
      <c r="U531" s="162"/>
      <c r="V531" s="162"/>
      <c r="W531" s="162"/>
      <c r="X531" s="163"/>
      <c r="Y531" s="163"/>
      <c r="Z531" s="163"/>
      <c r="AA531" s="163"/>
      <c r="AB531" s="163"/>
      <c r="AC531" s="163"/>
      <c r="AD531" s="164"/>
      <c r="AE531" s="148">
        <f>IF(SUM(S532:S533)&gt;0,IFERROR(TRUNC(A531,0),0),0)</f>
        <v>0</v>
      </c>
      <c r="AF531" s="149"/>
      <c r="AG531" s="150"/>
      <c r="AH531" s="159"/>
      <c r="AI531" s="160"/>
      <c r="AJ531" s="105"/>
      <c r="AK531" s="105"/>
      <c r="AM531" s="105"/>
      <c r="AN531" s="105"/>
      <c r="AO531" s="105"/>
      <c r="AP531" s="105"/>
      <c r="AQ531" s="105"/>
      <c r="AR531" s="105"/>
    </row>
    <row r="532" spans="1:44" s="49" customFormat="1" ht="40.15" hidden="1" customHeight="1">
      <c r="A532" s="152">
        <f t="shared" ca="1" si="1297"/>
        <v>0</v>
      </c>
      <c r="B532" s="153">
        <v>95876</v>
      </c>
      <c r="C532" s="154" t="str">
        <f>TEXT(B532,"0")</f>
        <v>95876</v>
      </c>
      <c r="D532" s="154" t="s">
        <v>1416</v>
      </c>
      <c r="E532" s="155" t="s">
        <v>3537</v>
      </c>
      <c r="F532" s="154">
        <f>IF(Dados_DMT!$B$34&lt;30,Dados_DMT!$B$34,30)</f>
        <v>30</v>
      </c>
      <c r="G532" s="154" t="s">
        <v>3538</v>
      </c>
      <c r="H532" s="152">
        <v>2.09</v>
      </c>
      <c r="I532" s="152">
        <v>2.1</v>
      </c>
      <c r="J532" s="156"/>
      <c r="K532" s="156">
        <f>ROUND(Dre_Fecha_Vala!U72*F532,2)</f>
        <v>0</v>
      </c>
      <c r="L532" s="156">
        <f>IF($K532&gt;$J532,$K532-$J532,0)</f>
        <v>0</v>
      </c>
      <c r="M532" s="156">
        <f>IF($K532&lt;$J532,$J532-$K532,0)</f>
        <v>0</v>
      </c>
      <c r="N532" s="156" t="s">
        <v>83</v>
      </c>
      <c r="O532" s="157" cm="1">
        <f t="array" ref="O532">TRUNC($H532*(1+_xlfn.SWITCH($N532,"BDI 1",$O$6,"BDI 2",$O$7,"BDI 3",$O$8)),2)</f>
        <v>2.52</v>
      </c>
      <c r="P532" s="157" cm="1">
        <f t="array" ref="P532">TRUNC($I532*(1+_xlfn.SWITCH($N532,"BDI 1",$P$6,"BDI 2",$P$7,"BDI 3",$P$8)),2)</f>
        <v>2.66</v>
      </c>
      <c r="Q532" s="157">
        <v>0</v>
      </c>
      <c r="R532" s="157">
        <v>0</v>
      </c>
      <c r="S532" s="156">
        <f>TRUNC($K532*$O532,2)</f>
        <v>0</v>
      </c>
      <c r="T532" s="156">
        <f>TRUNC($K532*$P532,2)</f>
        <v>0</v>
      </c>
      <c r="U532" s="156">
        <f>TRUNC($J532*$R532,2)</f>
        <v>0</v>
      </c>
      <c r="V532" s="156">
        <f>TRUNC($K532*$Q532,2)</f>
        <v>0</v>
      </c>
      <c r="W532" s="156">
        <f>TRUNC(V532-U532,2)</f>
        <v>0</v>
      </c>
      <c r="X532" s="158">
        <f>$S532/ORCAMENTO_VALOR_TOTAL_ND</f>
        <v>0</v>
      </c>
      <c r="Y532" s="158">
        <f>$T532/ORCAMENTO_VALOR_TOTAL_DE</f>
        <v>0</v>
      </c>
      <c r="Z532" s="158" cm="1">
        <f t="array" ref="Z532">_xlfn.SWITCH($N532,"BDI 1",$O$6,"BDI 2",$O$7,"BDI 3",$O$8)</f>
        <v>0.20699999999999999</v>
      </c>
      <c r="AA532" s="158" cm="1">
        <f t="array" ref="AA532">_xlfn.SWITCH($N532,"BDI 1",$P$6,"BDI 2",$P$7,"BDI 3",$P$8)</f>
        <v>0.26739999999999997</v>
      </c>
      <c r="AB532" s="158">
        <f ca="1">IFERROR($S532/_xlfn.XLOOKUP($AE532,$B$16:$B$38,$S$16:$S$38),0)</f>
        <v>0</v>
      </c>
      <c r="AC532" s="158">
        <f ca="1">IFERROR($T532/_xlfn.XLOOKUP($AE532,$B$16:$B$38,$T$16:$T$38),0)</f>
        <v>0</v>
      </c>
      <c r="AD532" s="164"/>
      <c r="AE532" s="148">
        <f t="shared" ref="AE532:AE533" si="1367">IF(S532&gt;0,IFERROR(TRUNC(A532,0),0),0)</f>
        <v>0</v>
      </c>
      <c r="AF532" s="149"/>
      <c r="AG532" s="150"/>
      <c r="AH532" s="159" t="e">
        <f>S532/$S$494</f>
        <v>#DIV/0!</v>
      </c>
      <c r="AI532" s="166">
        <f>IF(K532=0,0,K532/F532)</f>
        <v>0</v>
      </c>
      <c r="AJ532" s="105"/>
      <c r="AK532" s="105"/>
      <c r="AM532" s="105"/>
      <c r="AN532" s="105"/>
      <c r="AO532" s="105"/>
      <c r="AP532" s="105"/>
      <c r="AQ532" s="105"/>
      <c r="AR532" s="105"/>
    </row>
    <row r="533" spans="1:44" s="49" customFormat="1" ht="40.15" hidden="1" customHeight="1">
      <c r="A533" s="152">
        <f t="shared" ca="1" si="1297"/>
        <v>0</v>
      </c>
      <c r="B533" s="153">
        <v>93593</v>
      </c>
      <c r="C533" s="154" t="str">
        <f>TEXT(B533,"0")</f>
        <v>93593</v>
      </c>
      <c r="D533" s="154" t="s">
        <v>1416</v>
      </c>
      <c r="E533" s="155" t="s">
        <v>3545</v>
      </c>
      <c r="F533" s="154">
        <f>+Dados_DMT!$B$34-F532</f>
        <v>80</v>
      </c>
      <c r="G533" s="154" t="s">
        <v>3538</v>
      </c>
      <c r="H533" s="152">
        <v>0.84</v>
      </c>
      <c r="I533" s="152">
        <v>0.85</v>
      </c>
      <c r="J533" s="156"/>
      <c r="K533" s="156">
        <f>ROUND(Dre_Fecha_Vala!U72*F533,2)</f>
        <v>0</v>
      </c>
      <c r="L533" s="156">
        <f>IF($K533&gt;$J533,$K533-$J533,0)</f>
        <v>0</v>
      </c>
      <c r="M533" s="156">
        <f>IF($K533&lt;$J533,$J533-$K533,0)</f>
        <v>0</v>
      </c>
      <c r="N533" s="156" t="s">
        <v>83</v>
      </c>
      <c r="O533" s="157" cm="1">
        <f t="array" ref="O533">TRUNC($H533*(1+_xlfn.SWITCH($N533,"BDI 1",$O$6,"BDI 2",$O$7,"BDI 3",$O$8)),2)</f>
        <v>1.01</v>
      </c>
      <c r="P533" s="157" cm="1">
        <f t="array" ref="P533">TRUNC($I533*(1+_xlfn.SWITCH($N533,"BDI 1",$P$6,"BDI 2",$P$7,"BDI 3",$P$8)),2)</f>
        <v>1.07</v>
      </c>
      <c r="Q533" s="157">
        <v>0</v>
      </c>
      <c r="R533" s="157">
        <v>0</v>
      </c>
      <c r="S533" s="156">
        <f>TRUNC($K533*$O533,2)</f>
        <v>0</v>
      </c>
      <c r="T533" s="156">
        <f>TRUNC($K533*$P533,2)</f>
        <v>0</v>
      </c>
      <c r="U533" s="156">
        <f>TRUNC($J533*$R533,2)</f>
        <v>0</v>
      </c>
      <c r="V533" s="156">
        <f>TRUNC($K533*$Q533,2)</f>
        <v>0</v>
      </c>
      <c r="W533" s="156">
        <f>TRUNC(V533-U533,2)</f>
        <v>0</v>
      </c>
      <c r="X533" s="158">
        <f>$S533/ORCAMENTO_VALOR_TOTAL_ND</f>
        <v>0</v>
      </c>
      <c r="Y533" s="158">
        <f>$T533/ORCAMENTO_VALOR_TOTAL_DE</f>
        <v>0</v>
      </c>
      <c r="Z533" s="158" cm="1">
        <f t="array" ref="Z533">_xlfn.SWITCH($N533,"BDI 1",$O$6,"BDI 2",$O$7,"BDI 3",$O$8)</f>
        <v>0.20699999999999999</v>
      </c>
      <c r="AA533" s="158" cm="1">
        <f t="array" ref="AA533">_xlfn.SWITCH($N533,"BDI 1",$P$6,"BDI 2",$P$7,"BDI 3",$P$8)</f>
        <v>0.26739999999999997</v>
      </c>
      <c r="AB533" s="158">
        <f ca="1">IFERROR($S533/_xlfn.XLOOKUP($AE533,$B$16:$B$38,$S$16:$S$38),0)</f>
        <v>0</v>
      </c>
      <c r="AC533" s="158">
        <f ca="1">IFERROR($T533/_xlfn.XLOOKUP($AE533,$B$16:$B$38,$T$16:$T$38),0)</f>
        <v>0</v>
      </c>
      <c r="AD533" s="164"/>
      <c r="AE533" s="148">
        <f t="shared" si="1367"/>
        <v>0</v>
      </c>
      <c r="AF533" s="149"/>
      <c r="AG533" s="150"/>
      <c r="AH533" s="159" t="e">
        <f>S533/$S$494</f>
        <v>#DIV/0!</v>
      </c>
      <c r="AI533" s="166">
        <f>IF(K533=0,0,K533/F533)</f>
        <v>0</v>
      </c>
      <c r="AJ533" s="105"/>
      <c r="AK533" s="105"/>
      <c r="AM533" s="105"/>
      <c r="AN533" s="105"/>
      <c r="AO533" s="105"/>
      <c r="AP533" s="105"/>
      <c r="AQ533" s="105"/>
      <c r="AR533" s="105"/>
    </row>
    <row r="534" spans="1:44" s="49" customFormat="1" ht="40.15" hidden="1" customHeight="1">
      <c r="A534" s="10">
        <f t="shared" ca="1" si="1297"/>
        <v>0</v>
      </c>
      <c r="B534" s="153"/>
      <c r="C534" s="154"/>
      <c r="D534" s="154"/>
      <c r="E534" s="161" t="s">
        <v>263</v>
      </c>
      <c r="F534" s="154"/>
      <c r="G534" s="154"/>
      <c r="H534" s="152"/>
      <c r="I534" s="152"/>
      <c r="J534" s="154"/>
      <c r="K534" s="154"/>
      <c r="L534" s="154"/>
      <c r="M534" s="154"/>
      <c r="N534" s="154"/>
      <c r="O534" s="154"/>
      <c r="P534" s="154"/>
      <c r="Q534" s="154"/>
      <c r="R534" s="154"/>
      <c r="S534" s="162"/>
      <c r="T534" s="162"/>
      <c r="U534" s="162"/>
      <c r="V534" s="162"/>
      <c r="W534" s="162"/>
      <c r="X534" s="163"/>
      <c r="Y534" s="163"/>
      <c r="Z534" s="163"/>
      <c r="AA534" s="163"/>
      <c r="AB534" s="163"/>
      <c r="AC534" s="163"/>
      <c r="AD534" s="164"/>
      <c r="AE534" s="148">
        <f>IF(SUM(S535:S536)&gt;0,IFERROR(TRUNC(A534,0),0),0)</f>
        <v>0</v>
      </c>
      <c r="AF534" s="149"/>
      <c r="AG534" s="150"/>
      <c r="AH534" s="159"/>
      <c r="AI534" s="160"/>
      <c r="AJ534" s="105"/>
      <c r="AK534" s="105"/>
      <c r="AM534" s="105"/>
      <c r="AN534" s="105"/>
      <c r="AO534" s="105"/>
      <c r="AP534" s="105"/>
      <c r="AQ534" s="105"/>
      <c r="AR534" s="105"/>
    </row>
    <row r="535" spans="1:44" s="49" customFormat="1" ht="40.15" hidden="1" customHeight="1">
      <c r="A535" s="152">
        <f t="shared" ca="1" si="1297"/>
        <v>0</v>
      </c>
      <c r="B535" s="153">
        <v>95876</v>
      </c>
      <c r="C535" s="154" t="str">
        <f>TEXT(B535,"0")</f>
        <v>95876</v>
      </c>
      <c r="D535" s="154" t="s">
        <v>1416</v>
      </c>
      <c r="E535" s="155" t="s">
        <v>3537</v>
      </c>
      <c r="F535" s="154">
        <f>IF(Dados_DMT!$B$34&lt;30,Dados_DMT!$B$34,30)</f>
        <v>30</v>
      </c>
      <c r="G535" s="154" t="s">
        <v>3538</v>
      </c>
      <c r="H535" s="152">
        <v>2.09</v>
      </c>
      <c r="I535" s="152">
        <v>2.1</v>
      </c>
      <c r="J535" s="156"/>
      <c r="K535" s="156">
        <f>ROUND(Dre_Fecha_Vala!U73*F535,2)</f>
        <v>0</v>
      </c>
      <c r="L535" s="156">
        <f>IF($K535&gt;$J535,$K535-$J535,0)</f>
        <v>0</v>
      </c>
      <c r="M535" s="156">
        <f>IF($K535&lt;$J535,$J535-$K535,0)</f>
        <v>0</v>
      </c>
      <c r="N535" s="156" t="s">
        <v>83</v>
      </c>
      <c r="O535" s="157" cm="1">
        <f t="array" ref="O535">TRUNC($H535*(1+_xlfn.SWITCH($N535,"BDI 1",$O$6,"BDI 2",$O$7,"BDI 3",$O$8)),2)</f>
        <v>2.52</v>
      </c>
      <c r="P535" s="157" cm="1">
        <f t="array" ref="P535">TRUNC($I535*(1+_xlfn.SWITCH($N535,"BDI 1",$P$6,"BDI 2",$P$7,"BDI 3",$P$8)),2)</f>
        <v>2.66</v>
      </c>
      <c r="Q535" s="157">
        <v>0</v>
      </c>
      <c r="R535" s="157">
        <v>0</v>
      </c>
      <c r="S535" s="156">
        <f>TRUNC($K535*$O535,2)</f>
        <v>0</v>
      </c>
      <c r="T535" s="156">
        <f>TRUNC($K535*$P535,2)</f>
        <v>0</v>
      </c>
      <c r="U535" s="156">
        <f>TRUNC($J535*$R535,2)</f>
        <v>0</v>
      </c>
      <c r="V535" s="156">
        <f>TRUNC($K535*$Q535,2)</f>
        <v>0</v>
      </c>
      <c r="W535" s="156">
        <f>TRUNC(V535-U535,2)</f>
        <v>0</v>
      </c>
      <c r="X535" s="158">
        <f>$S535/ORCAMENTO_VALOR_TOTAL_ND</f>
        <v>0</v>
      </c>
      <c r="Y535" s="158">
        <f>$T535/ORCAMENTO_VALOR_TOTAL_DE</f>
        <v>0</v>
      </c>
      <c r="Z535" s="158" cm="1">
        <f t="array" ref="Z535">_xlfn.SWITCH($N535,"BDI 1",$O$6,"BDI 2",$O$7,"BDI 3",$O$8)</f>
        <v>0.20699999999999999</v>
      </c>
      <c r="AA535" s="158" cm="1">
        <f t="array" ref="AA535">_xlfn.SWITCH($N535,"BDI 1",$P$6,"BDI 2",$P$7,"BDI 3",$P$8)</f>
        <v>0.26739999999999997</v>
      </c>
      <c r="AB535" s="158">
        <f ca="1">IFERROR($S535/_xlfn.XLOOKUP($AE535,$B$16:$B$38,$S$16:$S$38),0)</f>
        <v>0</v>
      </c>
      <c r="AC535" s="158">
        <f ca="1">IFERROR($T535/_xlfn.XLOOKUP($AE535,$B$16:$B$38,$T$16:$T$38),0)</f>
        <v>0</v>
      </c>
      <c r="AD535" s="164"/>
      <c r="AE535" s="148">
        <f t="shared" ref="AE535:AE536" si="1368">IF(S535&gt;0,IFERROR(TRUNC(A535,0),0),0)</f>
        <v>0</v>
      </c>
      <c r="AF535" s="149"/>
      <c r="AG535" s="150"/>
      <c r="AH535" s="159" t="e">
        <f>S535/$S$494</f>
        <v>#DIV/0!</v>
      </c>
      <c r="AI535" s="166">
        <f>IF(K535=0,0,K535/F535)</f>
        <v>0</v>
      </c>
      <c r="AJ535" s="105"/>
      <c r="AK535" s="105"/>
      <c r="AM535" s="105"/>
      <c r="AN535" s="105"/>
      <c r="AO535" s="105"/>
      <c r="AP535" s="105"/>
      <c r="AQ535" s="105"/>
      <c r="AR535" s="105"/>
    </row>
    <row r="536" spans="1:44" s="49" customFormat="1" ht="40.15" hidden="1" customHeight="1">
      <c r="A536" s="152">
        <f t="shared" ca="1" si="1297"/>
        <v>0</v>
      </c>
      <c r="B536" s="153">
        <v>93593</v>
      </c>
      <c r="C536" s="154" t="str">
        <f>TEXT(B536,"0")</f>
        <v>93593</v>
      </c>
      <c r="D536" s="154" t="s">
        <v>1416</v>
      </c>
      <c r="E536" s="155" t="s">
        <v>3545</v>
      </c>
      <c r="F536" s="154">
        <f>Dados_DMT!$B$34-F535</f>
        <v>80</v>
      </c>
      <c r="G536" s="154" t="s">
        <v>3538</v>
      </c>
      <c r="H536" s="152">
        <v>0.84</v>
      </c>
      <c r="I536" s="152">
        <v>0.85</v>
      </c>
      <c r="J536" s="156"/>
      <c r="K536" s="156">
        <f>ROUND(Dre_Fecha_Vala!U73*F536,2)</f>
        <v>0</v>
      </c>
      <c r="L536" s="156">
        <f>IF($K536&gt;$J536,$K536-$J536,0)</f>
        <v>0</v>
      </c>
      <c r="M536" s="156">
        <f>IF($K536&lt;$J536,$J536-$K536,0)</f>
        <v>0</v>
      </c>
      <c r="N536" s="156" t="s">
        <v>83</v>
      </c>
      <c r="O536" s="157" cm="1">
        <f t="array" ref="O536">TRUNC($H536*(1+_xlfn.SWITCH($N536,"BDI 1",$O$6,"BDI 2",$O$7,"BDI 3",$O$8)),2)</f>
        <v>1.01</v>
      </c>
      <c r="P536" s="157" cm="1">
        <f t="array" ref="P536">TRUNC($I536*(1+_xlfn.SWITCH($N536,"BDI 1",$P$6,"BDI 2",$P$7,"BDI 3",$P$8)),2)</f>
        <v>1.07</v>
      </c>
      <c r="Q536" s="157">
        <v>0</v>
      </c>
      <c r="R536" s="157">
        <v>0</v>
      </c>
      <c r="S536" s="156">
        <f>TRUNC($K536*$O536,2)</f>
        <v>0</v>
      </c>
      <c r="T536" s="156">
        <f>TRUNC($K536*$P536,2)</f>
        <v>0</v>
      </c>
      <c r="U536" s="156">
        <f>TRUNC($J536*$R536,2)</f>
        <v>0</v>
      </c>
      <c r="V536" s="156">
        <f>TRUNC($K536*$Q536,2)</f>
        <v>0</v>
      </c>
      <c r="W536" s="156">
        <f>TRUNC(V536-U536,2)</f>
        <v>0</v>
      </c>
      <c r="X536" s="158">
        <f>$S536/ORCAMENTO_VALOR_TOTAL_ND</f>
        <v>0</v>
      </c>
      <c r="Y536" s="158">
        <f>$T536/ORCAMENTO_VALOR_TOTAL_DE</f>
        <v>0</v>
      </c>
      <c r="Z536" s="158" cm="1">
        <f t="array" ref="Z536">_xlfn.SWITCH($N536,"BDI 1",$O$6,"BDI 2",$O$7,"BDI 3",$O$8)</f>
        <v>0.20699999999999999</v>
      </c>
      <c r="AA536" s="158" cm="1">
        <f t="array" ref="AA536">_xlfn.SWITCH($N536,"BDI 1",$P$6,"BDI 2",$P$7,"BDI 3",$P$8)</f>
        <v>0.26739999999999997</v>
      </c>
      <c r="AB536" s="158">
        <f ca="1">IFERROR($S536/_xlfn.XLOOKUP($AE536,$B$16:$B$38,$S$16:$S$38),0)</f>
        <v>0</v>
      </c>
      <c r="AC536" s="158">
        <f ca="1">IFERROR($T536/_xlfn.XLOOKUP($AE536,$B$16:$B$38,$T$16:$T$38),0)</f>
        <v>0</v>
      </c>
      <c r="AD536" s="164"/>
      <c r="AE536" s="148">
        <f t="shared" si="1368"/>
        <v>0</v>
      </c>
      <c r="AF536" s="149"/>
      <c r="AG536" s="150"/>
      <c r="AH536" s="159" t="e">
        <f>S536/$S$494</f>
        <v>#DIV/0!</v>
      </c>
      <c r="AI536" s="166">
        <f>IF(K536=0,0,K536/F536)</f>
        <v>0</v>
      </c>
      <c r="AJ536" s="105"/>
      <c r="AK536" s="105"/>
      <c r="AM536" s="105"/>
      <c r="AN536" s="105"/>
      <c r="AO536" s="105"/>
      <c r="AP536" s="105"/>
      <c r="AQ536" s="105"/>
      <c r="AR536" s="105"/>
    </row>
    <row r="537" spans="1:44" s="49" customFormat="1" ht="40.15" hidden="1" customHeight="1">
      <c r="A537" s="10">
        <f t="shared" ca="1" si="1297"/>
        <v>0</v>
      </c>
      <c r="B537" s="153"/>
      <c r="C537" s="154"/>
      <c r="D537" s="154"/>
      <c r="E537" s="161" t="s">
        <v>264</v>
      </c>
      <c r="F537" s="154"/>
      <c r="G537" s="154"/>
      <c r="H537" s="152"/>
      <c r="I537" s="152"/>
      <c r="J537" s="154"/>
      <c r="K537" s="154"/>
      <c r="L537" s="154"/>
      <c r="M537" s="154"/>
      <c r="N537" s="154"/>
      <c r="O537" s="154"/>
      <c r="P537" s="154"/>
      <c r="Q537" s="154"/>
      <c r="R537" s="154"/>
      <c r="S537" s="162"/>
      <c r="T537" s="162"/>
      <c r="U537" s="162"/>
      <c r="V537" s="162"/>
      <c r="W537" s="162"/>
      <c r="X537" s="163"/>
      <c r="Y537" s="163"/>
      <c r="Z537" s="163"/>
      <c r="AA537" s="163"/>
      <c r="AB537" s="163"/>
      <c r="AC537" s="163"/>
      <c r="AD537" s="164"/>
      <c r="AE537" s="148">
        <f>IF(SUM(S538:S539)&gt;0,IFERROR(TRUNC(A537,0),0),0)</f>
        <v>0</v>
      </c>
      <c r="AF537" s="149"/>
      <c r="AG537" s="150"/>
      <c r="AH537" s="159"/>
      <c r="AI537" s="160"/>
      <c r="AJ537" s="105"/>
      <c r="AK537" s="105"/>
      <c r="AM537" s="105"/>
      <c r="AN537" s="105"/>
      <c r="AO537" s="105"/>
      <c r="AP537" s="105"/>
      <c r="AQ537" s="105"/>
      <c r="AR537" s="105"/>
    </row>
    <row r="538" spans="1:44" s="49" customFormat="1" ht="40.15" hidden="1" customHeight="1">
      <c r="A538" s="152">
        <f t="shared" ca="1" si="1297"/>
        <v>0</v>
      </c>
      <c r="B538" s="153">
        <v>95876</v>
      </c>
      <c r="C538" s="154" t="str">
        <f>TEXT(B538,"0")</f>
        <v>95876</v>
      </c>
      <c r="D538" s="154" t="s">
        <v>1416</v>
      </c>
      <c r="E538" s="155" t="s">
        <v>3537</v>
      </c>
      <c r="F538" s="154">
        <f>+Dados_DMT!$B$33</f>
        <v>0</v>
      </c>
      <c r="G538" s="154" t="s">
        <v>3538</v>
      </c>
      <c r="H538" s="152">
        <v>2.09</v>
      </c>
      <c r="I538" s="152">
        <v>2.1</v>
      </c>
      <c r="J538" s="156"/>
      <c r="K538" s="156">
        <f>ROUND(Dre_Fecha_Vala!U76*F538,2)</f>
        <v>0</v>
      </c>
      <c r="L538" s="156">
        <f>IF($K538&gt;$J538,$K538-$J538,0)</f>
        <v>0</v>
      </c>
      <c r="M538" s="156">
        <f>IF($K538&lt;$J538,$J538-$K538,0)</f>
        <v>0</v>
      </c>
      <c r="N538" s="156" t="s">
        <v>83</v>
      </c>
      <c r="O538" s="157" cm="1">
        <f t="array" ref="O538">TRUNC($H538*(1+_xlfn.SWITCH($N538,"BDI 1",$O$6,"BDI 2",$O$7,"BDI 3",$O$8)),2)</f>
        <v>2.52</v>
      </c>
      <c r="P538" s="157" cm="1">
        <f t="array" ref="P538">TRUNC($I538*(1+_xlfn.SWITCH($N538,"BDI 1",$P$6,"BDI 2",$P$7,"BDI 3",$P$8)),2)</f>
        <v>2.66</v>
      </c>
      <c r="Q538" s="157">
        <v>0</v>
      </c>
      <c r="R538" s="157">
        <v>0</v>
      </c>
      <c r="S538" s="156">
        <f>TRUNC($K538*$O538,2)</f>
        <v>0</v>
      </c>
      <c r="T538" s="156">
        <f>TRUNC($K538*$P538,2)</f>
        <v>0</v>
      </c>
      <c r="U538" s="156">
        <f>TRUNC($J538*$R538,2)</f>
        <v>0</v>
      </c>
      <c r="V538" s="156">
        <f>TRUNC($K538*$Q538,2)</f>
        <v>0</v>
      </c>
      <c r="W538" s="156">
        <f>TRUNC(V538-U538,2)</f>
        <v>0</v>
      </c>
      <c r="X538" s="158">
        <f>$S538/ORCAMENTO_VALOR_TOTAL_ND</f>
        <v>0</v>
      </c>
      <c r="Y538" s="158">
        <f>$T538/ORCAMENTO_VALOR_TOTAL_DE</f>
        <v>0</v>
      </c>
      <c r="Z538" s="158" cm="1">
        <f t="array" ref="Z538">_xlfn.SWITCH($N538,"BDI 1",$O$6,"BDI 2",$O$7,"BDI 3",$O$8)</f>
        <v>0.20699999999999999</v>
      </c>
      <c r="AA538" s="158" cm="1">
        <f t="array" ref="AA538">_xlfn.SWITCH($N538,"BDI 1",$P$6,"BDI 2",$P$7,"BDI 3",$P$8)</f>
        <v>0.26739999999999997</v>
      </c>
      <c r="AB538" s="158">
        <f ca="1">IFERROR($S538/_xlfn.XLOOKUP($AE538,$B$16:$B$38,$S$16:$S$38),0)</f>
        <v>0</v>
      </c>
      <c r="AC538" s="158">
        <f ca="1">IFERROR($T538/_xlfn.XLOOKUP($AE538,$B$16:$B$38,$T$16:$T$38),0)</f>
        <v>0</v>
      </c>
      <c r="AD538" s="164"/>
      <c r="AE538" s="148">
        <f t="shared" ref="AE538:AE539" si="1369">IF(S538&gt;0,IFERROR(TRUNC(A538,0),0),0)</f>
        <v>0</v>
      </c>
      <c r="AF538" s="149"/>
      <c r="AG538" s="150"/>
      <c r="AH538" s="159" t="e">
        <f>S538/$S$494</f>
        <v>#DIV/0!</v>
      </c>
      <c r="AI538" s="166">
        <f>IF(K538=0,0,K538/F538)</f>
        <v>0</v>
      </c>
      <c r="AJ538" s="105"/>
      <c r="AK538" s="105"/>
      <c r="AM538" s="105"/>
      <c r="AN538" s="105"/>
      <c r="AO538" s="105"/>
      <c r="AP538" s="105"/>
      <c r="AQ538" s="105"/>
      <c r="AR538" s="105"/>
    </row>
    <row r="539" spans="1:44" s="49" customFormat="1" ht="40.15" hidden="1" customHeight="1">
      <c r="A539" s="152">
        <f t="shared" ca="1" si="1297"/>
        <v>0</v>
      </c>
      <c r="B539" s="153">
        <v>93593</v>
      </c>
      <c r="C539" s="154" t="str">
        <f>TEXT(B539,"0")</f>
        <v>93593</v>
      </c>
      <c r="D539" s="154" t="s">
        <v>1416</v>
      </c>
      <c r="E539" s="155" t="s">
        <v>3545</v>
      </c>
      <c r="F539" s="154">
        <f>+Dados_DMT!$B$33</f>
        <v>0</v>
      </c>
      <c r="G539" s="154" t="s">
        <v>3538</v>
      </c>
      <c r="H539" s="152">
        <v>0.84</v>
      </c>
      <c r="I539" s="152">
        <v>0.85</v>
      </c>
      <c r="J539" s="156"/>
      <c r="K539" s="156">
        <f>ROUND(Dre_Fecha_Vala!U76*F539,2)</f>
        <v>0</v>
      </c>
      <c r="L539" s="156">
        <f>IF($K539&gt;$J539,$K539-$J539,0)</f>
        <v>0</v>
      </c>
      <c r="M539" s="156">
        <f>IF($K539&lt;$J539,$J539-$K539,0)</f>
        <v>0</v>
      </c>
      <c r="N539" s="156" t="s">
        <v>83</v>
      </c>
      <c r="O539" s="157" cm="1">
        <f t="array" ref="O539">TRUNC($H539*(1+_xlfn.SWITCH($N539,"BDI 1",$O$6,"BDI 2",$O$7,"BDI 3",$O$8)),2)</f>
        <v>1.01</v>
      </c>
      <c r="P539" s="157" cm="1">
        <f t="array" ref="P539">TRUNC($I539*(1+_xlfn.SWITCH($N539,"BDI 1",$P$6,"BDI 2",$P$7,"BDI 3",$P$8)),2)</f>
        <v>1.07</v>
      </c>
      <c r="Q539" s="157">
        <v>0</v>
      </c>
      <c r="R539" s="157">
        <v>0</v>
      </c>
      <c r="S539" s="156">
        <f>TRUNC($K539*$O539,2)</f>
        <v>0</v>
      </c>
      <c r="T539" s="156">
        <f>TRUNC($K539*$P539,2)</f>
        <v>0</v>
      </c>
      <c r="U539" s="156">
        <f>TRUNC($J539*$R539,2)</f>
        <v>0</v>
      </c>
      <c r="V539" s="156">
        <f>TRUNC($K539*$Q539,2)</f>
        <v>0</v>
      </c>
      <c r="W539" s="156">
        <f>TRUNC(V539-U539,2)</f>
        <v>0</v>
      </c>
      <c r="X539" s="158">
        <f>$S539/ORCAMENTO_VALOR_TOTAL_ND</f>
        <v>0</v>
      </c>
      <c r="Y539" s="158">
        <f>$T539/ORCAMENTO_VALOR_TOTAL_DE</f>
        <v>0</v>
      </c>
      <c r="Z539" s="158" cm="1">
        <f t="array" ref="Z539">_xlfn.SWITCH($N539,"BDI 1",$O$6,"BDI 2",$O$7,"BDI 3",$O$8)</f>
        <v>0.20699999999999999</v>
      </c>
      <c r="AA539" s="158" cm="1">
        <f t="array" ref="AA539">_xlfn.SWITCH($N539,"BDI 1",$P$6,"BDI 2",$P$7,"BDI 3",$P$8)</f>
        <v>0.26739999999999997</v>
      </c>
      <c r="AB539" s="158">
        <f ca="1">IFERROR($S539/_xlfn.XLOOKUP($AE539,$B$16:$B$38,$S$16:$S$38),0)</f>
        <v>0</v>
      </c>
      <c r="AC539" s="158">
        <f ca="1">IFERROR($T539/_xlfn.XLOOKUP($AE539,$B$16:$B$38,$T$16:$T$38),0)</f>
        <v>0</v>
      </c>
      <c r="AD539" s="164"/>
      <c r="AE539" s="148">
        <f t="shared" si="1369"/>
        <v>0</v>
      </c>
      <c r="AF539" s="149"/>
      <c r="AG539" s="150"/>
      <c r="AH539" s="159" t="e">
        <f>S539/$S$494</f>
        <v>#DIV/0!</v>
      </c>
      <c r="AI539" s="166">
        <f>IF(K539=0,0,K539/F539)</f>
        <v>0</v>
      </c>
      <c r="AJ539" s="105"/>
      <c r="AK539" s="105"/>
      <c r="AM539" s="105"/>
      <c r="AN539" s="105"/>
      <c r="AO539" s="105"/>
      <c r="AP539" s="105"/>
      <c r="AQ539" s="105"/>
      <c r="AR539" s="105"/>
    </row>
    <row r="540" spans="1:44" s="49" customFormat="1" ht="40.15" hidden="1" customHeight="1">
      <c r="A540" s="10">
        <f t="shared" ca="1" si="1297"/>
        <v>0</v>
      </c>
      <c r="B540" s="153"/>
      <c r="C540" s="154"/>
      <c r="D540" s="154"/>
      <c r="E540" s="161" t="s">
        <v>265</v>
      </c>
      <c r="F540" s="154"/>
      <c r="G540" s="154"/>
      <c r="H540" s="152"/>
      <c r="I540" s="152"/>
      <c r="J540" s="154"/>
      <c r="K540" s="154"/>
      <c r="L540" s="154"/>
      <c r="M540" s="154"/>
      <c r="N540" s="154"/>
      <c r="O540" s="154"/>
      <c r="P540" s="154"/>
      <c r="Q540" s="154"/>
      <c r="R540" s="154"/>
      <c r="S540" s="162"/>
      <c r="T540" s="162"/>
      <c r="U540" s="162"/>
      <c r="V540" s="162"/>
      <c r="W540" s="162"/>
      <c r="X540" s="163"/>
      <c r="Y540" s="163"/>
      <c r="Z540" s="163"/>
      <c r="AA540" s="163"/>
      <c r="AB540" s="163"/>
      <c r="AC540" s="163"/>
      <c r="AD540" s="164"/>
      <c r="AE540" s="148">
        <f>IF(SUM(S541:S542)&gt;0,IFERROR(TRUNC(A540,0),0),0)</f>
        <v>0</v>
      </c>
      <c r="AF540" s="149"/>
      <c r="AG540" s="150"/>
      <c r="AH540" s="159"/>
      <c r="AI540" s="160"/>
      <c r="AJ540" s="105"/>
      <c r="AK540" s="105"/>
      <c r="AM540" s="105"/>
      <c r="AN540" s="105"/>
      <c r="AO540" s="105"/>
      <c r="AP540" s="105"/>
      <c r="AQ540" s="105"/>
      <c r="AR540" s="105"/>
    </row>
    <row r="541" spans="1:44" s="49" customFormat="1" ht="40.15" hidden="1" customHeight="1">
      <c r="A541" s="152">
        <f t="shared" ca="1" si="1297"/>
        <v>0</v>
      </c>
      <c r="B541" s="153">
        <v>95876</v>
      </c>
      <c r="C541" s="154" t="str">
        <f>TEXT(B541,"0")</f>
        <v>95876</v>
      </c>
      <c r="D541" s="154" t="s">
        <v>1416</v>
      </c>
      <c r="E541" s="155" t="s">
        <v>3537</v>
      </c>
      <c r="F541" s="154">
        <f>+Dados_DMT!$B$32</f>
        <v>0</v>
      </c>
      <c r="G541" s="154" t="s">
        <v>3538</v>
      </c>
      <c r="H541" s="152">
        <v>2.09</v>
      </c>
      <c r="I541" s="152">
        <v>2.1</v>
      </c>
      <c r="J541" s="156"/>
      <c r="K541" s="156">
        <f>ROUND(Dre_Fecha_Vala!U75*F541,2)</f>
        <v>0</v>
      </c>
      <c r="L541" s="156">
        <f>IF($K541&gt;$J541,$K541-$J541,0)</f>
        <v>0</v>
      </c>
      <c r="M541" s="156">
        <f>IF($K541&lt;$J541,$J541-$K541,0)</f>
        <v>0</v>
      </c>
      <c r="N541" s="156" t="s">
        <v>83</v>
      </c>
      <c r="O541" s="157" cm="1">
        <f t="array" ref="O541">TRUNC($H541*(1+_xlfn.SWITCH($N541,"BDI 1",$O$6,"BDI 2",$O$7,"BDI 3",$O$8)),2)</f>
        <v>2.52</v>
      </c>
      <c r="P541" s="157" cm="1">
        <f t="array" ref="P541">TRUNC($I541*(1+_xlfn.SWITCH($N541,"BDI 1",$P$6,"BDI 2",$P$7,"BDI 3",$P$8)),2)</f>
        <v>2.66</v>
      </c>
      <c r="Q541" s="157">
        <v>0</v>
      </c>
      <c r="R541" s="157">
        <v>0</v>
      </c>
      <c r="S541" s="156">
        <f>TRUNC($K541*$O541,2)</f>
        <v>0</v>
      </c>
      <c r="T541" s="156">
        <f>TRUNC($K541*$P541,2)</f>
        <v>0</v>
      </c>
      <c r="U541" s="156">
        <f>TRUNC($J541*$R541,2)</f>
        <v>0</v>
      </c>
      <c r="V541" s="156">
        <f>TRUNC($K541*$Q541,2)</f>
        <v>0</v>
      </c>
      <c r="W541" s="156">
        <f>TRUNC(V541-U541,2)</f>
        <v>0</v>
      </c>
      <c r="X541" s="158">
        <f>$S541/ORCAMENTO_VALOR_TOTAL_ND</f>
        <v>0</v>
      </c>
      <c r="Y541" s="158">
        <f>$T541/ORCAMENTO_VALOR_TOTAL_DE</f>
        <v>0</v>
      </c>
      <c r="Z541" s="158" cm="1">
        <f t="array" ref="Z541">_xlfn.SWITCH($N541,"BDI 1",$O$6,"BDI 2",$O$7,"BDI 3",$O$8)</f>
        <v>0.20699999999999999</v>
      </c>
      <c r="AA541" s="158" cm="1">
        <f t="array" ref="AA541">_xlfn.SWITCH($N541,"BDI 1",$P$6,"BDI 2",$P$7,"BDI 3",$P$8)</f>
        <v>0.26739999999999997</v>
      </c>
      <c r="AB541" s="158">
        <f ca="1">IFERROR($S541/_xlfn.XLOOKUP($AE541,$B$16:$B$38,$S$16:$S$38),0)</f>
        <v>0</v>
      </c>
      <c r="AC541" s="158">
        <f ca="1">IFERROR($T541/_xlfn.XLOOKUP($AE541,$B$16:$B$38,$T$16:$T$38),0)</f>
        <v>0</v>
      </c>
      <c r="AD541" s="164"/>
      <c r="AE541" s="148">
        <f t="shared" ref="AE541:AE542" si="1370">IF(S541&gt;0,IFERROR(TRUNC(A541,0),0),0)</f>
        <v>0</v>
      </c>
      <c r="AF541" s="149"/>
      <c r="AG541" s="150"/>
      <c r="AH541" s="159" t="e">
        <f>S541/$S$494</f>
        <v>#DIV/0!</v>
      </c>
      <c r="AI541" s="166">
        <f>IF(K541=0,0,K541/F541)</f>
        <v>0</v>
      </c>
      <c r="AJ541" s="105"/>
      <c r="AK541" s="105"/>
      <c r="AM541" s="105"/>
      <c r="AN541" s="105"/>
      <c r="AO541" s="105"/>
      <c r="AP541" s="105"/>
      <c r="AQ541" s="105"/>
      <c r="AR541" s="105"/>
    </row>
    <row r="542" spans="1:44" s="49" customFormat="1" ht="40.15" hidden="1" customHeight="1">
      <c r="A542" s="152">
        <f t="shared" ca="1" si="1297"/>
        <v>0</v>
      </c>
      <c r="B542" s="153">
        <v>93593</v>
      </c>
      <c r="C542" s="154" t="str">
        <f>TEXT(B542,"0")</f>
        <v>93593</v>
      </c>
      <c r="D542" s="154" t="s">
        <v>1416</v>
      </c>
      <c r="E542" s="155" t="s">
        <v>3545</v>
      </c>
      <c r="F542" s="154">
        <f>+Dados_DMT!$B$32</f>
        <v>0</v>
      </c>
      <c r="G542" s="154" t="s">
        <v>3538</v>
      </c>
      <c r="H542" s="152">
        <v>0.84</v>
      </c>
      <c r="I542" s="152">
        <v>0.85</v>
      </c>
      <c r="J542" s="156"/>
      <c r="K542" s="156">
        <f>ROUND(Dre_Fecha_Vala!U75*F542,2)</f>
        <v>0</v>
      </c>
      <c r="L542" s="156">
        <f>IF($K542&gt;$J542,$K542-$J542,0)</f>
        <v>0</v>
      </c>
      <c r="M542" s="156">
        <f>IF($K542&lt;$J542,$J542-$K542,0)</f>
        <v>0</v>
      </c>
      <c r="N542" s="156" t="s">
        <v>83</v>
      </c>
      <c r="O542" s="157" cm="1">
        <f t="array" ref="O542">TRUNC($H542*(1+_xlfn.SWITCH($N542,"BDI 1",$O$6,"BDI 2",$O$7,"BDI 3",$O$8)),2)</f>
        <v>1.01</v>
      </c>
      <c r="P542" s="157" cm="1">
        <f t="array" ref="P542">TRUNC($I542*(1+_xlfn.SWITCH($N542,"BDI 1",$P$6,"BDI 2",$P$7,"BDI 3",$P$8)),2)</f>
        <v>1.07</v>
      </c>
      <c r="Q542" s="157">
        <v>0</v>
      </c>
      <c r="R542" s="157">
        <v>0</v>
      </c>
      <c r="S542" s="156">
        <f>TRUNC($K542*$O542,2)</f>
        <v>0</v>
      </c>
      <c r="T542" s="156">
        <f>TRUNC($K542*$P542,2)</f>
        <v>0</v>
      </c>
      <c r="U542" s="156">
        <f>TRUNC($J542*$R542,2)</f>
        <v>0</v>
      </c>
      <c r="V542" s="156">
        <f>TRUNC($K542*$Q542,2)</f>
        <v>0</v>
      </c>
      <c r="W542" s="156">
        <f>TRUNC(V542-U542,2)</f>
        <v>0</v>
      </c>
      <c r="X542" s="158">
        <f>$S542/ORCAMENTO_VALOR_TOTAL_ND</f>
        <v>0</v>
      </c>
      <c r="Y542" s="158">
        <f>$T542/ORCAMENTO_VALOR_TOTAL_DE</f>
        <v>0</v>
      </c>
      <c r="Z542" s="158" cm="1">
        <f t="array" ref="Z542">_xlfn.SWITCH($N542,"BDI 1",$O$6,"BDI 2",$O$7,"BDI 3",$O$8)</f>
        <v>0.20699999999999999</v>
      </c>
      <c r="AA542" s="158" cm="1">
        <f t="array" ref="AA542">_xlfn.SWITCH($N542,"BDI 1",$P$6,"BDI 2",$P$7,"BDI 3",$P$8)</f>
        <v>0.26739999999999997</v>
      </c>
      <c r="AB542" s="158">
        <f ca="1">IFERROR($S542/_xlfn.XLOOKUP($AE542,$B$16:$B$38,$S$16:$S$38),0)</f>
        <v>0</v>
      </c>
      <c r="AC542" s="158">
        <f ca="1">IFERROR($T542/_xlfn.XLOOKUP($AE542,$B$16:$B$38,$T$16:$T$38),0)</f>
        <v>0</v>
      </c>
      <c r="AD542" s="164"/>
      <c r="AE542" s="148">
        <f t="shared" si="1370"/>
        <v>0</v>
      </c>
      <c r="AF542" s="149"/>
      <c r="AG542" s="150"/>
      <c r="AH542" s="159" t="e">
        <f>S542/$S$494</f>
        <v>#DIV/0!</v>
      </c>
      <c r="AI542" s="166">
        <f>IF(K542=0,0,K542/F542)</f>
        <v>0</v>
      </c>
      <c r="AJ542" s="105"/>
      <c r="AK542" s="105"/>
      <c r="AM542" s="105"/>
      <c r="AN542" s="105"/>
      <c r="AO542" s="105"/>
      <c r="AP542" s="105"/>
      <c r="AQ542" s="105"/>
      <c r="AR542" s="105"/>
    </row>
    <row r="543" spans="1:44" s="49" customFormat="1" ht="40.15" hidden="1" customHeight="1">
      <c r="A543" s="10">
        <f t="shared" ca="1" si="1297"/>
        <v>0</v>
      </c>
      <c r="B543" s="153"/>
      <c r="C543" s="154"/>
      <c r="D543" s="154"/>
      <c r="E543" s="161" t="s">
        <v>266</v>
      </c>
      <c r="F543" s="154"/>
      <c r="G543" s="154"/>
      <c r="H543" s="152"/>
      <c r="I543" s="152"/>
      <c r="J543" s="154"/>
      <c r="K543" s="154"/>
      <c r="L543" s="154"/>
      <c r="M543" s="154"/>
      <c r="N543" s="154"/>
      <c r="O543" s="154"/>
      <c r="P543" s="154"/>
      <c r="Q543" s="154"/>
      <c r="R543" s="154"/>
      <c r="S543" s="162"/>
      <c r="T543" s="162"/>
      <c r="U543" s="162"/>
      <c r="V543" s="162"/>
      <c r="W543" s="162"/>
      <c r="X543" s="163"/>
      <c r="Y543" s="163"/>
      <c r="Z543" s="163"/>
      <c r="AA543" s="163"/>
      <c r="AB543" s="163"/>
      <c r="AC543" s="163"/>
      <c r="AD543" s="164"/>
      <c r="AE543" s="148">
        <f>IF(SUM(S544:S545)&gt;0,IFERROR(TRUNC(A543,0),0),0)</f>
        <v>0</v>
      </c>
      <c r="AF543" s="149"/>
      <c r="AG543" s="150"/>
      <c r="AH543" s="159"/>
      <c r="AI543" s="160"/>
      <c r="AJ543" s="105"/>
      <c r="AK543" s="105"/>
      <c r="AM543" s="105"/>
      <c r="AN543" s="105"/>
      <c r="AO543" s="105"/>
      <c r="AP543" s="105"/>
      <c r="AQ543" s="105"/>
      <c r="AR543" s="105"/>
    </row>
    <row r="544" spans="1:44" s="49" customFormat="1" ht="40.15" hidden="1" customHeight="1">
      <c r="A544" s="152">
        <f t="shared" ca="1" si="1297"/>
        <v>0</v>
      </c>
      <c r="B544" s="153">
        <v>95876</v>
      </c>
      <c r="C544" s="154" t="str">
        <f>TEXT(B544,"0")</f>
        <v>95876</v>
      </c>
      <c r="D544" s="154" t="s">
        <v>1416</v>
      </c>
      <c r="E544" s="155" t="s">
        <v>3537</v>
      </c>
      <c r="F544" s="154">
        <f>IF(Dados_DMT!$B$21&lt;30,Dados_DMT!$B$21,30)</f>
        <v>0</v>
      </c>
      <c r="G544" s="154" t="s">
        <v>3538</v>
      </c>
      <c r="H544" s="152">
        <v>2.09</v>
      </c>
      <c r="I544" s="152">
        <v>2.1</v>
      </c>
      <c r="J544" s="156"/>
      <c r="K544" s="156">
        <f>ROUND(Dre_Fecha_Vala!U66*F544,2)</f>
        <v>0</v>
      </c>
      <c r="L544" s="156">
        <f>IF($K544&gt;$J544,$K544-$J544,0)</f>
        <v>0</v>
      </c>
      <c r="M544" s="156">
        <f>IF($K544&lt;$J544,$J544-$K544,0)</f>
        <v>0</v>
      </c>
      <c r="N544" s="156" t="s">
        <v>83</v>
      </c>
      <c r="O544" s="157" cm="1">
        <f t="array" ref="O544">TRUNC($H544*(1+_xlfn.SWITCH($N544,"BDI 1",$O$6,"BDI 2",$O$7,"BDI 3",$O$8)),2)</f>
        <v>2.52</v>
      </c>
      <c r="P544" s="157" cm="1">
        <f t="array" ref="P544">TRUNC($I544*(1+_xlfn.SWITCH($N544,"BDI 1",$P$6,"BDI 2",$P$7,"BDI 3",$P$8)),2)</f>
        <v>2.66</v>
      </c>
      <c r="Q544" s="157">
        <v>0</v>
      </c>
      <c r="R544" s="157">
        <v>0</v>
      </c>
      <c r="S544" s="156">
        <f>TRUNC($K544*$O544,2)</f>
        <v>0</v>
      </c>
      <c r="T544" s="156">
        <f>TRUNC($K544*$P544,2)</f>
        <v>0</v>
      </c>
      <c r="U544" s="156">
        <f>TRUNC($J544*$R544,2)</f>
        <v>0</v>
      </c>
      <c r="V544" s="156">
        <f>TRUNC($K544*$Q544,2)</f>
        <v>0</v>
      </c>
      <c r="W544" s="156">
        <f>TRUNC(V544-U544,2)</f>
        <v>0</v>
      </c>
      <c r="X544" s="158">
        <f>$S544/ORCAMENTO_VALOR_TOTAL_ND</f>
        <v>0</v>
      </c>
      <c r="Y544" s="158">
        <f>$T544/ORCAMENTO_VALOR_TOTAL_DE</f>
        <v>0</v>
      </c>
      <c r="Z544" s="158" cm="1">
        <f t="array" ref="Z544">_xlfn.SWITCH($N544,"BDI 1",$O$6,"BDI 2",$O$7,"BDI 3",$O$8)</f>
        <v>0.20699999999999999</v>
      </c>
      <c r="AA544" s="158" cm="1">
        <f t="array" ref="AA544">_xlfn.SWITCH($N544,"BDI 1",$P$6,"BDI 2",$P$7,"BDI 3",$P$8)</f>
        <v>0.26739999999999997</v>
      </c>
      <c r="AB544" s="158">
        <f ca="1">IFERROR($S544/_xlfn.XLOOKUP($AE544,$B$16:$B$38,$S$16:$S$38),0)</f>
        <v>0</v>
      </c>
      <c r="AC544" s="158">
        <f ca="1">IFERROR($T544/_xlfn.XLOOKUP($AE544,$B$16:$B$38,$T$16:$T$38),0)</f>
        <v>0</v>
      </c>
      <c r="AD544" s="164"/>
      <c r="AE544" s="148">
        <f t="shared" ref="AE544:AE545" si="1371">IF(S544&gt;0,IFERROR(TRUNC(A544,0),0),0)</f>
        <v>0</v>
      </c>
      <c r="AF544" s="149"/>
      <c r="AG544" s="150"/>
      <c r="AH544" s="159" t="e">
        <f>S544/$S$494</f>
        <v>#DIV/0!</v>
      </c>
      <c r="AI544" s="166">
        <f>IF(K544=0,0,K544/F544)</f>
        <v>0</v>
      </c>
      <c r="AJ544" s="105"/>
      <c r="AK544" s="105"/>
      <c r="AM544" s="105"/>
      <c r="AN544" s="105"/>
      <c r="AO544" s="105"/>
      <c r="AP544" s="105"/>
      <c r="AQ544" s="105"/>
      <c r="AR544" s="105"/>
    </row>
    <row r="545" spans="1:44" s="49" customFormat="1" ht="40.15" hidden="1" customHeight="1">
      <c r="A545" s="152">
        <f t="shared" ca="1" si="1297"/>
        <v>0</v>
      </c>
      <c r="B545" s="153">
        <v>93593</v>
      </c>
      <c r="C545" s="154" t="str">
        <f>TEXT(B545,"0")</f>
        <v>93593</v>
      </c>
      <c r="D545" s="154" t="s">
        <v>1416</v>
      </c>
      <c r="E545" s="155" t="s">
        <v>3545</v>
      </c>
      <c r="F545" s="154">
        <f>+Dados_DMT!$B$21-F544</f>
        <v>0</v>
      </c>
      <c r="G545" s="154" t="s">
        <v>3538</v>
      </c>
      <c r="H545" s="152">
        <v>0.84</v>
      </c>
      <c r="I545" s="152">
        <v>0.85</v>
      </c>
      <c r="J545" s="156"/>
      <c r="K545" s="156">
        <f>ROUND(Dre_Fecha_Vala!U66*F545,2)</f>
        <v>0</v>
      </c>
      <c r="L545" s="156">
        <f>IF($K545&gt;$J545,$K545-$J545,0)</f>
        <v>0</v>
      </c>
      <c r="M545" s="156">
        <f>IF($K545&lt;$J545,$J545-$K545,0)</f>
        <v>0</v>
      </c>
      <c r="N545" s="156" t="s">
        <v>83</v>
      </c>
      <c r="O545" s="157" cm="1">
        <f t="array" ref="O545">TRUNC($H545*(1+_xlfn.SWITCH($N545,"BDI 1",$O$6,"BDI 2",$O$7,"BDI 3",$O$8)),2)</f>
        <v>1.01</v>
      </c>
      <c r="P545" s="157" cm="1">
        <f t="array" ref="P545">TRUNC($I545*(1+_xlfn.SWITCH($N545,"BDI 1",$P$6,"BDI 2",$P$7,"BDI 3",$P$8)),2)</f>
        <v>1.07</v>
      </c>
      <c r="Q545" s="157">
        <v>0</v>
      </c>
      <c r="R545" s="157">
        <v>0</v>
      </c>
      <c r="S545" s="156">
        <f>TRUNC($K545*$O545,2)</f>
        <v>0</v>
      </c>
      <c r="T545" s="156">
        <f>TRUNC($K545*$P545,2)</f>
        <v>0</v>
      </c>
      <c r="U545" s="156">
        <f>TRUNC($J545*$R545,2)</f>
        <v>0</v>
      </c>
      <c r="V545" s="156">
        <f>TRUNC($K545*$Q545,2)</f>
        <v>0</v>
      </c>
      <c r="W545" s="156">
        <f>TRUNC(V545-U545,2)</f>
        <v>0</v>
      </c>
      <c r="X545" s="158">
        <f>$S545/ORCAMENTO_VALOR_TOTAL_ND</f>
        <v>0</v>
      </c>
      <c r="Y545" s="158">
        <f>$T545/ORCAMENTO_VALOR_TOTAL_DE</f>
        <v>0</v>
      </c>
      <c r="Z545" s="158" cm="1">
        <f t="array" ref="Z545">_xlfn.SWITCH($N545,"BDI 1",$O$6,"BDI 2",$O$7,"BDI 3",$O$8)</f>
        <v>0.20699999999999999</v>
      </c>
      <c r="AA545" s="158" cm="1">
        <f t="array" ref="AA545">_xlfn.SWITCH($N545,"BDI 1",$P$6,"BDI 2",$P$7,"BDI 3",$P$8)</f>
        <v>0.26739999999999997</v>
      </c>
      <c r="AB545" s="158">
        <f ca="1">IFERROR($S545/_xlfn.XLOOKUP($AE545,$B$16:$B$38,$S$16:$S$38),0)</f>
        <v>0</v>
      </c>
      <c r="AC545" s="158">
        <f ca="1">IFERROR($T545/_xlfn.XLOOKUP($AE545,$B$16:$B$38,$T$16:$T$38),0)</f>
        <v>0</v>
      </c>
      <c r="AD545" s="164"/>
      <c r="AE545" s="148">
        <f t="shared" si="1371"/>
        <v>0</v>
      </c>
      <c r="AF545" s="149"/>
      <c r="AG545" s="150"/>
      <c r="AH545" s="159" t="e">
        <f>S545/$S$494</f>
        <v>#DIV/0!</v>
      </c>
      <c r="AI545" s="166">
        <f>IF(K545=0,0,K545/F545)</f>
        <v>0</v>
      </c>
      <c r="AJ545" s="105"/>
      <c r="AK545" s="105"/>
      <c r="AM545" s="105"/>
      <c r="AN545" s="105"/>
      <c r="AO545" s="105"/>
      <c r="AP545" s="105"/>
      <c r="AQ545" s="105"/>
      <c r="AR545" s="105"/>
    </row>
    <row r="546" spans="1:44" s="49" customFormat="1" ht="40.15" hidden="1" customHeight="1">
      <c r="A546" s="10">
        <f t="shared" ca="1" si="1297"/>
        <v>0</v>
      </c>
      <c r="B546" s="153"/>
      <c r="C546" s="154"/>
      <c r="D546" s="154"/>
      <c r="E546" s="161" t="s">
        <v>267</v>
      </c>
      <c r="F546" s="154"/>
      <c r="G546" s="154"/>
      <c r="H546" s="152"/>
      <c r="I546" s="152"/>
      <c r="J546" s="154"/>
      <c r="K546" s="154"/>
      <c r="L546" s="154"/>
      <c r="M546" s="154"/>
      <c r="N546" s="154"/>
      <c r="O546" s="154"/>
      <c r="P546" s="154"/>
      <c r="Q546" s="154"/>
      <c r="R546" s="154"/>
      <c r="S546" s="162"/>
      <c r="T546" s="162"/>
      <c r="U546" s="162"/>
      <c r="V546" s="162"/>
      <c r="W546" s="162"/>
      <c r="X546" s="163"/>
      <c r="Y546" s="163"/>
      <c r="Z546" s="163"/>
      <c r="AA546" s="163"/>
      <c r="AB546" s="163"/>
      <c r="AC546" s="163"/>
      <c r="AD546" s="164"/>
      <c r="AE546" s="148">
        <f>IF(SUM(S547:S548)&gt;0,IFERROR(TRUNC(A546,0),0),0)</f>
        <v>0</v>
      </c>
      <c r="AF546" s="149"/>
      <c r="AG546" s="150"/>
      <c r="AH546" s="159"/>
      <c r="AI546" s="160"/>
      <c r="AJ546" s="105"/>
      <c r="AK546" s="105"/>
      <c r="AM546" s="105"/>
      <c r="AN546" s="105"/>
      <c r="AO546" s="105"/>
      <c r="AP546" s="105"/>
      <c r="AQ546" s="105"/>
      <c r="AR546" s="105"/>
    </row>
    <row r="547" spans="1:44" s="49" customFormat="1" ht="40.15" hidden="1" customHeight="1">
      <c r="A547" s="152">
        <f t="shared" ca="1" si="1297"/>
        <v>0</v>
      </c>
      <c r="B547" s="153">
        <v>95876</v>
      </c>
      <c r="C547" s="154" t="str">
        <f>TEXT(B547,"0")</f>
        <v>95876</v>
      </c>
      <c r="D547" s="154" t="s">
        <v>1416</v>
      </c>
      <c r="E547" s="155" t="s">
        <v>3537</v>
      </c>
      <c r="F547" s="154">
        <f>IF(Dados_DMT!$B$23&lt;30,Dados_DMT!$B$23,30)</f>
        <v>0</v>
      </c>
      <c r="G547" s="154" t="s">
        <v>3538</v>
      </c>
      <c r="H547" s="152">
        <v>2.09</v>
      </c>
      <c r="I547" s="152">
        <v>2.1</v>
      </c>
      <c r="J547" s="156"/>
      <c r="K547" s="156">
        <f>ROUND(Dre_Fecha_Vala!U68*F547,2)</f>
        <v>0</v>
      </c>
      <c r="L547" s="156">
        <f>IF($K547&gt;$J547,$K547-$J547,0)</f>
        <v>0</v>
      </c>
      <c r="M547" s="156">
        <f>IF($K547&lt;$J547,$J547-$K547,0)</f>
        <v>0</v>
      </c>
      <c r="N547" s="156" t="s">
        <v>83</v>
      </c>
      <c r="O547" s="157" cm="1">
        <f t="array" ref="O547">TRUNC($H547*(1+_xlfn.SWITCH($N547,"BDI 1",$O$6,"BDI 2",$O$7,"BDI 3",$O$8)),2)</f>
        <v>2.52</v>
      </c>
      <c r="P547" s="157" cm="1">
        <f t="array" ref="P547">TRUNC($I547*(1+_xlfn.SWITCH($N547,"BDI 1",$P$6,"BDI 2",$P$7,"BDI 3",$P$8)),2)</f>
        <v>2.66</v>
      </c>
      <c r="Q547" s="157">
        <v>0</v>
      </c>
      <c r="R547" s="157">
        <v>0</v>
      </c>
      <c r="S547" s="156">
        <f>TRUNC($K547*$O547,2)</f>
        <v>0</v>
      </c>
      <c r="T547" s="156">
        <f>TRUNC($K547*$P547,2)</f>
        <v>0</v>
      </c>
      <c r="U547" s="156">
        <f>TRUNC($J547*$R547,2)</f>
        <v>0</v>
      </c>
      <c r="V547" s="156">
        <f>TRUNC($K547*$Q547,2)</f>
        <v>0</v>
      </c>
      <c r="W547" s="156">
        <f>TRUNC(V547-U547,2)</f>
        <v>0</v>
      </c>
      <c r="X547" s="158">
        <f>$S547/ORCAMENTO_VALOR_TOTAL_ND</f>
        <v>0</v>
      </c>
      <c r="Y547" s="158">
        <f>$T547/ORCAMENTO_VALOR_TOTAL_DE</f>
        <v>0</v>
      </c>
      <c r="Z547" s="158" cm="1">
        <f t="array" ref="Z547">_xlfn.SWITCH($N547,"BDI 1",$O$6,"BDI 2",$O$7,"BDI 3",$O$8)</f>
        <v>0.20699999999999999</v>
      </c>
      <c r="AA547" s="158" cm="1">
        <f t="array" ref="AA547">_xlfn.SWITCH($N547,"BDI 1",$P$6,"BDI 2",$P$7,"BDI 3",$P$8)</f>
        <v>0.26739999999999997</v>
      </c>
      <c r="AB547" s="158">
        <f ca="1">IFERROR($S547/_xlfn.XLOOKUP($AE547,$B$16:$B$38,$S$16:$S$38),0)</f>
        <v>0</v>
      </c>
      <c r="AC547" s="158">
        <f ca="1">IFERROR($T547/_xlfn.XLOOKUP($AE547,$B$16:$B$38,$T$16:$T$38),0)</f>
        <v>0</v>
      </c>
      <c r="AD547" s="164"/>
      <c r="AE547" s="148">
        <f t="shared" ref="AE547:AE548" si="1372">IF(S547&gt;0,IFERROR(TRUNC(A547,0),0),0)</f>
        <v>0</v>
      </c>
      <c r="AF547" s="149"/>
      <c r="AG547" s="150"/>
      <c r="AH547" s="159" t="e">
        <f>S547/$S$494</f>
        <v>#DIV/0!</v>
      </c>
      <c r="AI547" s="166">
        <f>IF(K547=0,0,K547/F547)</f>
        <v>0</v>
      </c>
      <c r="AJ547" s="105"/>
      <c r="AK547" s="105"/>
      <c r="AM547" s="105"/>
      <c r="AN547" s="105"/>
      <c r="AO547" s="105"/>
      <c r="AP547" s="105"/>
      <c r="AQ547" s="105"/>
      <c r="AR547" s="105"/>
    </row>
    <row r="548" spans="1:44" s="49" customFormat="1" ht="40.15" hidden="1" customHeight="1">
      <c r="A548" s="152">
        <f t="shared" ca="1" si="1297"/>
        <v>0</v>
      </c>
      <c r="B548" s="153">
        <v>93593</v>
      </c>
      <c r="C548" s="154" t="str">
        <f>TEXT(B548,"0")</f>
        <v>93593</v>
      </c>
      <c r="D548" s="154" t="s">
        <v>1416</v>
      </c>
      <c r="E548" s="155" t="s">
        <v>3545</v>
      </c>
      <c r="F548" s="154">
        <f>+Dados_DMT!$B$23-F547</f>
        <v>0</v>
      </c>
      <c r="G548" s="154" t="s">
        <v>3538</v>
      </c>
      <c r="H548" s="152">
        <v>0.84</v>
      </c>
      <c r="I548" s="152">
        <v>0.85</v>
      </c>
      <c r="J548" s="156"/>
      <c r="K548" s="156">
        <f>ROUND(Dre_Fecha_Vala!U68*F548,2)</f>
        <v>0</v>
      </c>
      <c r="L548" s="156">
        <f>IF($K548&gt;$J548,$K548-$J548,0)</f>
        <v>0</v>
      </c>
      <c r="M548" s="156">
        <f>IF($K548&lt;$J548,$J548-$K548,0)</f>
        <v>0</v>
      </c>
      <c r="N548" s="156" t="s">
        <v>83</v>
      </c>
      <c r="O548" s="157" cm="1">
        <f t="array" ref="O548">TRUNC($H548*(1+_xlfn.SWITCH($N548,"BDI 1",$O$6,"BDI 2",$O$7,"BDI 3",$O$8)),2)</f>
        <v>1.01</v>
      </c>
      <c r="P548" s="157" cm="1">
        <f t="array" ref="P548">TRUNC($I548*(1+_xlfn.SWITCH($N548,"BDI 1",$P$6,"BDI 2",$P$7,"BDI 3",$P$8)),2)</f>
        <v>1.07</v>
      </c>
      <c r="Q548" s="157">
        <v>0</v>
      </c>
      <c r="R548" s="157">
        <v>0</v>
      </c>
      <c r="S548" s="156">
        <f>TRUNC($K548*$O548,2)</f>
        <v>0</v>
      </c>
      <c r="T548" s="156">
        <f>TRUNC($K548*$P548,2)</f>
        <v>0</v>
      </c>
      <c r="U548" s="156">
        <f>TRUNC($J548*$R548,2)</f>
        <v>0</v>
      </c>
      <c r="V548" s="156">
        <f>TRUNC($K548*$Q548,2)</f>
        <v>0</v>
      </c>
      <c r="W548" s="156">
        <f>TRUNC(V548-U548,2)</f>
        <v>0</v>
      </c>
      <c r="X548" s="158">
        <f>$S548/ORCAMENTO_VALOR_TOTAL_ND</f>
        <v>0</v>
      </c>
      <c r="Y548" s="158">
        <f>$T548/ORCAMENTO_VALOR_TOTAL_DE</f>
        <v>0</v>
      </c>
      <c r="Z548" s="158" cm="1">
        <f t="array" ref="Z548">_xlfn.SWITCH($N548,"BDI 1",$O$6,"BDI 2",$O$7,"BDI 3",$O$8)</f>
        <v>0.20699999999999999</v>
      </c>
      <c r="AA548" s="158" cm="1">
        <f t="array" ref="AA548">_xlfn.SWITCH($N548,"BDI 1",$P$6,"BDI 2",$P$7,"BDI 3",$P$8)</f>
        <v>0.26739999999999997</v>
      </c>
      <c r="AB548" s="158">
        <f ca="1">IFERROR($S548/_xlfn.XLOOKUP($AE548,$B$16:$B$38,$S$16:$S$38),0)</f>
        <v>0</v>
      </c>
      <c r="AC548" s="158">
        <f ca="1">IFERROR($T548/_xlfn.XLOOKUP($AE548,$B$16:$B$38,$T$16:$T$38),0)</f>
        <v>0</v>
      </c>
      <c r="AD548" s="164"/>
      <c r="AE548" s="148">
        <f t="shared" si="1372"/>
        <v>0</v>
      </c>
      <c r="AF548" s="149"/>
      <c r="AG548" s="150"/>
      <c r="AH548" s="159" t="e">
        <f>S548/$S$494</f>
        <v>#DIV/0!</v>
      </c>
      <c r="AI548" s="166">
        <f>IF(K548=0,0,K548/F548)</f>
        <v>0</v>
      </c>
      <c r="AJ548" s="105"/>
      <c r="AK548" s="105"/>
      <c r="AM548" s="105"/>
      <c r="AN548" s="105"/>
      <c r="AO548" s="105"/>
      <c r="AP548" s="105"/>
      <c r="AQ548" s="105"/>
      <c r="AR548" s="105"/>
    </row>
    <row r="549" spans="1:44" s="49" customFormat="1" ht="40.15" hidden="1" customHeight="1">
      <c r="A549" s="10">
        <f t="shared" ca="1" si="1297"/>
        <v>0</v>
      </c>
      <c r="B549" s="153"/>
      <c r="C549" s="154"/>
      <c r="D549" s="154"/>
      <c r="E549" s="161" t="s">
        <v>268</v>
      </c>
      <c r="F549" s="154"/>
      <c r="G549" s="154"/>
      <c r="H549" s="152"/>
      <c r="I549" s="152"/>
      <c r="J549" s="154"/>
      <c r="K549" s="154"/>
      <c r="L549" s="154"/>
      <c r="M549" s="154"/>
      <c r="N549" s="154"/>
      <c r="O549" s="154"/>
      <c r="P549" s="154"/>
      <c r="Q549" s="154"/>
      <c r="R549" s="154"/>
      <c r="S549" s="162"/>
      <c r="T549" s="162"/>
      <c r="U549" s="162"/>
      <c r="V549" s="162"/>
      <c r="W549" s="162"/>
      <c r="X549" s="163"/>
      <c r="Y549" s="163"/>
      <c r="Z549" s="163"/>
      <c r="AA549" s="163"/>
      <c r="AB549" s="163"/>
      <c r="AC549" s="163"/>
      <c r="AD549" s="164"/>
      <c r="AE549" s="148">
        <f>IF(SUM(S550:S551)&gt;0,IFERROR(TRUNC(A549,0),0),0)</f>
        <v>0</v>
      </c>
      <c r="AF549" s="149"/>
      <c r="AG549" s="150"/>
      <c r="AH549" s="159"/>
      <c r="AI549" s="160"/>
      <c r="AJ549" s="105"/>
      <c r="AK549" s="105"/>
      <c r="AM549" s="105"/>
      <c r="AN549" s="105"/>
      <c r="AO549" s="105"/>
      <c r="AP549" s="105"/>
      <c r="AQ549" s="105"/>
      <c r="AR549" s="105"/>
    </row>
    <row r="550" spans="1:44" s="49" customFormat="1" ht="40.15" hidden="1" customHeight="1">
      <c r="A550" s="152">
        <f t="shared" ca="1" si="1297"/>
        <v>0</v>
      </c>
      <c r="B550" s="153">
        <v>95876</v>
      </c>
      <c r="C550" s="154" t="str">
        <f>TEXT(B550,"0")</f>
        <v>95876</v>
      </c>
      <c r="D550" s="154" t="s">
        <v>1416</v>
      </c>
      <c r="E550" s="155" t="s">
        <v>3537</v>
      </c>
      <c r="F550" s="154">
        <f>IF(Dados_DMT!$B$22&lt;30,Dados_DMT!$B$22,30)</f>
        <v>0</v>
      </c>
      <c r="G550" s="154" t="s">
        <v>3538</v>
      </c>
      <c r="H550" s="152">
        <v>2.09</v>
      </c>
      <c r="I550" s="152">
        <v>2.1</v>
      </c>
      <c r="J550" s="156"/>
      <c r="K550" s="156">
        <f>ROUND(Dre_Fecha_Vala!U67*F550,2)</f>
        <v>0</v>
      </c>
      <c r="L550" s="156">
        <f>IF($K550&gt;$J550,$K550-$J550,0)</f>
        <v>0</v>
      </c>
      <c r="M550" s="156">
        <f>IF($K550&lt;$J550,$J550-$K550,0)</f>
        <v>0</v>
      </c>
      <c r="N550" s="156" t="s">
        <v>83</v>
      </c>
      <c r="O550" s="157" cm="1">
        <f t="array" ref="O550">TRUNC($H550*(1+_xlfn.SWITCH($N550,"BDI 1",$O$6,"BDI 2",$O$7,"BDI 3",$O$8)),2)</f>
        <v>2.52</v>
      </c>
      <c r="P550" s="157" cm="1">
        <f t="array" ref="P550">TRUNC($I550*(1+_xlfn.SWITCH($N550,"BDI 1",$P$6,"BDI 2",$P$7,"BDI 3",$P$8)),2)</f>
        <v>2.66</v>
      </c>
      <c r="Q550" s="157">
        <v>0</v>
      </c>
      <c r="R550" s="157">
        <v>0</v>
      </c>
      <c r="S550" s="156">
        <f>TRUNC($K550*$O550,2)</f>
        <v>0</v>
      </c>
      <c r="T550" s="156">
        <f>TRUNC($K550*$P550,2)</f>
        <v>0</v>
      </c>
      <c r="U550" s="156">
        <f>TRUNC($J550*$R550,2)</f>
        <v>0</v>
      </c>
      <c r="V550" s="156">
        <f>TRUNC($K550*$Q550,2)</f>
        <v>0</v>
      </c>
      <c r="W550" s="156">
        <f>TRUNC(V550-U550,2)</f>
        <v>0</v>
      </c>
      <c r="X550" s="158">
        <f>$S550/ORCAMENTO_VALOR_TOTAL_ND</f>
        <v>0</v>
      </c>
      <c r="Y550" s="158">
        <f>$T550/ORCAMENTO_VALOR_TOTAL_DE</f>
        <v>0</v>
      </c>
      <c r="Z550" s="158" cm="1">
        <f t="array" ref="Z550">_xlfn.SWITCH($N550,"BDI 1",$O$6,"BDI 2",$O$7,"BDI 3",$O$8)</f>
        <v>0.20699999999999999</v>
      </c>
      <c r="AA550" s="158" cm="1">
        <f t="array" ref="AA550">_xlfn.SWITCH($N550,"BDI 1",$P$6,"BDI 2",$P$7,"BDI 3",$P$8)</f>
        <v>0.26739999999999997</v>
      </c>
      <c r="AB550" s="158">
        <f ca="1">IFERROR($S550/_xlfn.XLOOKUP($AE550,$B$16:$B$38,$S$16:$S$38),0)</f>
        <v>0</v>
      </c>
      <c r="AC550" s="158">
        <f ca="1">IFERROR($T550/_xlfn.XLOOKUP($AE550,$B$16:$B$38,$T$16:$T$38),0)</f>
        <v>0</v>
      </c>
      <c r="AD550" s="164"/>
      <c r="AE550" s="148">
        <f t="shared" ref="AE550:AE551" si="1373">IF(S550&gt;0,IFERROR(TRUNC(A550,0),0),0)</f>
        <v>0</v>
      </c>
      <c r="AF550" s="149"/>
      <c r="AG550" s="150"/>
      <c r="AH550" s="159" t="e">
        <f>S550/$S$494</f>
        <v>#DIV/0!</v>
      </c>
      <c r="AI550" s="166">
        <f>IF(K550=0,0,K550/F550)</f>
        <v>0</v>
      </c>
      <c r="AJ550" s="105"/>
      <c r="AK550" s="105"/>
      <c r="AM550" s="105"/>
      <c r="AN550" s="105"/>
      <c r="AO550" s="105"/>
      <c r="AP550" s="105"/>
      <c r="AQ550" s="105"/>
      <c r="AR550" s="105"/>
    </row>
    <row r="551" spans="1:44" s="49" customFormat="1" ht="40.15" hidden="1" customHeight="1">
      <c r="A551" s="152">
        <f t="shared" ca="1" si="1297"/>
        <v>0</v>
      </c>
      <c r="B551" s="153">
        <v>93593</v>
      </c>
      <c r="C551" s="154" t="str">
        <f>TEXT(B551,"0")</f>
        <v>93593</v>
      </c>
      <c r="D551" s="154" t="s">
        <v>1416</v>
      </c>
      <c r="E551" s="155" t="s">
        <v>3545</v>
      </c>
      <c r="F551" s="154">
        <f>+Dados_DMT!$B$22-F550</f>
        <v>0</v>
      </c>
      <c r="G551" s="154" t="s">
        <v>3538</v>
      </c>
      <c r="H551" s="152">
        <v>0.84</v>
      </c>
      <c r="I551" s="152">
        <v>0.85</v>
      </c>
      <c r="J551" s="156"/>
      <c r="K551" s="156">
        <f>ROUND(Dre_Fecha_Vala!U67*F551,2)</f>
        <v>0</v>
      </c>
      <c r="L551" s="156">
        <f>IF($K551&gt;$J551,$K551-$J551,0)</f>
        <v>0</v>
      </c>
      <c r="M551" s="156">
        <f>IF($K551&lt;$J551,$J551-$K551,0)</f>
        <v>0</v>
      </c>
      <c r="N551" s="156" t="s">
        <v>83</v>
      </c>
      <c r="O551" s="157" cm="1">
        <f t="array" ref="O551">TRUNC($H551*(1+_xlfn.SWITCH($N551,"BDI 1",$O$6,"BDI 2",$O$7,"BDI 3",$O$8)),2)</f>
        <v>1.01</v>
      </c>
      <c r="P551" s="157" cm="1">
        <f t="array" ref="P551">TRUNC($I551*(1+_xlfn.SWITCH($N551,"BDI 1",$P$6,"BDI 2",$P$7,"BDI 3",$P$8)),2)</f>
        <v>1.07</v>
      </c>
      <c r="Q551" s="157">
        <v>0</v>
      </c>
      <c r="R551" s="157">
        <v>0</v>
      </c>
      <c r="S551" s="156">
        <f>TRUNC($K551*$O551,2)</f>
        <v>0</v>
      </c>
      <c r="T551" s="156">
        <f>TRUNC($K551*$P551,2)</f>
        <v>0</v>
      </c>
      <c r="U551" s="156">
        <f>TRUNC($J551*$R551,2)</f>
        <v>0</v>
      </c>
      <c r="V551" s="156">
        <f>TRUNC($K551*$Q551,2)</f>
        <v>0</v>
      </c>
      <c r="W551" s="156">
        <f>TRUNC(V551-U551,2)</f>
        <v>0</v>
      </c>
      <c r="X551" s="158">
        <f>$S551/ORCAMENTO_VALOR_TOTAL_ND</f>
        <v>0</v>
      </c>
      <c r="Y551" s="158">
        <f>$T551/ORCAMENTO_VALOR_TOTAL_DE</f>
        <v>0</v>
      </c>
      <c r="Z551" s="158" cm="1">
        <f t="array" ref="Z551">_xlfn.SWITCH($N551,"BDI 1",$O$6,"BDI 2",$O$7,"BDI 3",$O$8)</f>
        <v>0.20699999999999999</v>
      </c>
      <c r="AA551" s="158" cm="1">
        <f t="array" ref="AA551">_xlfn.SWITCH($N551,"BDI 1",$P$6,"BDI 2",$P$7,"BDI 3",$P$8)</f>
        <v>0.26739999999999997</v>
      </c>
      <c r="AB551" s="158">
        <f ca="1">IFERROR($S551/_xlfn.XLOOKUP($AE551,$B$16:$B$38,$S$16:$S$38),0)</f>
        <v>0</v>
      </c>
      <c r="AC551" s="158">
        <f ca="1">IFERROR($T551/_xlfn.XLOOKUP($AE551,$B$16:$B$38,$T$16:$T$38),0)</f>
        <v>0</v>
      </c>
      <c r="AD551" s="164"/>
      <c r="AE551" s="148">
        <f t="shared" si="1373"/>
        <v>0</v>
      </c>
      <c r="AF551" s="149"/>
      <c r="AG551" s="150"/>
      <c r="AH551" s="159" t="e">
        <f>S551/$S$494</f>
        <v>#DIV/0!</v>
      </c>
      <c r="AI551" s="166">
        <f>IF(K551=0,0,K551/F551)</f>
        <v>0</v>
      </c>
      <c r="AJ551" s="105"/>
      <c r="AK551" s="105"/>
      <c r="AM551" s="105"/>
      <c r="AN551" s="105"/>
      <c r="AO551" s="105"/>
      <c r="AP551" s="105"/>
      <c r="AQ551" s="105"/>
      <c r="AR551" s="105"/>
    </row>
    <row r="552" spans="1:44" s="49" customFormat="1" ht="40.15" hidden="1" customHeight="1">
      <c r="A552" s="10">
        <f t="shared" ca="1" si="1297"/>
        <v>0</v>
      </c>
      <c r="B552" s="153"/>
      <c r="C552" s="154"/>
      <c r="D552" s="154"/>
      <c r="E552" s="161" t="s">
        <v>269</v>
      </c>
      <c r="F552" s="154"/>
      <c r="G552" s="154"/>
      <c r="H552" s="152"/>
      <c r="I552" s="152"/>
      <c r="J552" s="154"/>
      <c r="K552" s="154"/>
      <c r="L552" s="154"/>
      <c r="M552" s="154"/>
      <c r="N552" s="154"/>
      <c r="O552" s="154"/>
      <c r="P552" s="154"/>
      <c r="Q552" s="154"/>
      <c r="R552" s="154"/>
      <c r="S552" s="162"/>
      <c r="T552" s="162"/>
      <c r="U552" s="162"/>
      <c r="V552" s="162"/>
      <c r="W552" s="162"/>
      <c r="X552" s="163"/>
      <c r="Y552" s="163"/>
      <c r="Z552" s="163"/>
      <c r="AA552" s="163"/>
      <c r="AB552" s="163"/>
      <c r="AC552" s="163"/>
      <c r="AD552" s="164"/>
      <c r="AE552" s="148">
        <f>IF(SUM(S553:S554)&gt;0,IFERROR(TRUNC(A552,0),0),0)</f>
        <v>0</v>
      </c>
      <c r="AF552" s="149"/>
      <c r="AG552" s="150"/>
      <c r="AH552" s="159"/>
      <c r="AI552" s="160"/>
      <c r="AJ552" s="105"/>
      <c r="AK552" s="105"/>
      <c r="AM552" s="105"/>
      <c r="AN552" s="105"/>
      <c r="AO552" s="105"/>
      <c r="AP552" s="105"/>
      <c r="AQ552" s="105"/>
      <c r="AR552" s="105"/>
    </row>
    <row r="553" spans="1:44" s="49" customFormat="1" ht="40.15" hidden="1" customHeight="1">
      <c r="A553" s="152">
        <f t="shared" ca="1" si="1297"/>
        <v>0</v>
      </c>
      <c r="B553" s="153">
        <v>95879</v>
      </c>
      <c r="C553" s="154" t="str">
        <f>TEXT(B553,"0")</f>
        <v>95879</v>
      </c>
      <c r="D553" s="154" t="s">
        <v>1416</v>
      </c>
      <c r="E553" s="155" t="s">
        <v>3535</v>
      </c>
      <c r="F553" s="154">
        <f>IF(Dados_DMT!$B$31&lt;30,Dados_DMT!$B$31,30)</f>
        <v>0</v>
      </c>
      <c r="G553" s="154" t="s">
        <v>3534</v>
      </c>
      <c r="H553" s="152">
        <v>1.41</v>
      </c>
      <c r="I553" s="152">
        <v>1.42</v>
      </c>
      <c r="J553" s="156"/>
      <c r="K553" s="156">
        <f>ROUND(Dre_Fecha_Vala!U83*F553,2)</f>
        <v>0</v>
      </c>
      <c r="L553" s="156">
        <f>IF($K553&gt;$J553,$K553-$J553,0)</f>
        <v>0</v>
      </c>
      <c r="M553" s="156">
        <f>IF($K553&lt;$J553,$J553-$K553,0)</f>
        <v>0</v>
      </c>
      <c r="N553" s="156" t="s">
        <v>83</v>
      </c>
      <c r="O553" s="157" cm="1">
        <f t="array" ref="O553">TRUNC($H553*(1+_xlfn.SWITCH($N553,"BDI 1",$O$6,"BDI 2",$O$7,"BDI 3",$O$8)),2)</f>
        <v>1.7</v>
      </c>
      <c r="P553" s="157" cm="1">
        <f t="array" ref="P553">TRUNC($I553*(1+_xlfn.SWITCH($N553,"BDI 1",$P$6,"BDI 2",$P$7,"BDI 3",$P$8)),2)</f>
        <v>1.79</v>
      </c>
      <c r="Q553" s="157">
        <v>0</v>
      </c>
      <c r="R553" s="157">
        <v>0</v>
      </c>
      <c r="S553" s="156">
        <f>TRUNC($K553*$O553,2)</f>
        <v>0</v>
      </c>
      <c r="T553" s="156">
        <f>TRUNC($K553*$P553,2)</f>
        <v>0</v>
      </c>
      <c r="U553" s="156">
        <f>TRUNC($J553*$R553,2)</f>
        <v>0</v>
      </c>
      <c r="V553" s="156">
        <f>TRUNC($K553*$Q553,2)</f>
        <v>0</v>
      </c>
      <c r="W553" s="156">
        <f>TRUNC(V553-U553,2)</f>
        <v>0</v>
      </c>
      <c r="X553" s="158">
        <f>$S553/ORCAMENTO_VALOR_TOTAL_ND</f>
        <v>0</v>
      </c>
      <c r="Y553" s="158">
        <f>$T553/ORCAMENTO_VALOR_TOTAL_DE</f>
        <v>0</v>
      </c>
      <c r="Z553" s="158" cm="1">
        <f t="array" ref="Z553">_xlfn.SWITCH($N553,"BDI 1",$O$6,"BDI 2",$O$7,"BDI 3",$O$8)</f>
        <v>0.20699999999999999</v>
      </c>
      <c r="AA553" s="158" cm="1">
        <f t="array" ref="AA553">_xlfn.SWITCH($N553,"BDI 1",$P$6,"BDI 2",$P$7,"BDI 3",$P$8)</f>
        <v>0.26739999999999997</v>
      </c>
      <c r="AB553" s="158">
        <f ca="1">IFERROR($S553/_xlfn.XLOOKUP($AE553,$B$16:$B$38,$S$16:$S$38),0)</f>
        <v>0</v>
      </c>
      <c r="AC553" s="158">
        <f ca="1">IFERROR($T553/_xlfn.XLOOKUP($AE553,$B$16:$B$38,$T$16:$T$38),0)</f>
        <v>0</v>
      </c>
      <c r="AD553" s="164"/>
      <c r="AE553" s="148">
        <f t="shared" ref="AE553:AE554" si="1374">IF(S553&gt;0,IFERROR(TRUNC(A553,0),0),0)</f>
        <v>0</v>
      </c>
      <c r="AF553" s="149"/>
      <c r="AG553" s="150"/>
      <c r="AH553" s="159" t="e">
        <f>S553/$S$494</f>
        <v>#DIV/0!</v>
      </c>
      <c r="AI553" s="166">
        <f>IF(K553=0,0,K553/F553)</f>
        <v>0</v>
      </c>
      <c r="AJ553" s="105"/>
      <c r="AK553" s="105"/>
      <c r="AM553" s="105"/>
      <c r="AN553" s="105"/>
      <c r="AO553" s="105"/>
      <c r="AP553" s="105"/>
      <c r="AQ553" s="105"/>
      <c r="AR553" s="105"/>
    </row>
    <row r="554" spans="1:44" s="49" customFormat="1" ht="40.15" hidden="1" customHeight="1">
      <c r="A554" s="152">
        <f t="shared" ca="1" si="1297"/>
        <v>0</v>
      </c>
      <c r="B554" s="153">
        <v>93599</v>
      </c>
      <c r="C554" s="154" t="str">
        <f>TEXT(B554,"0")</f>
        <v>93599</v>
      </c>
      <c r="D554" s="154" t="s">
        <v>1416</v>
      </c>
      <c r="E554" s="155" t="s">
        <v>3533</v>
      </c>
      <c r="F554" s="154">
        <f>+Dados_DMT!$B$31-F553</f>
        <v>0</v>
      </c>
      <c r="G554" s="154" t="s">
        <v>3534</v>
      </c>
      <c r="H554" s="152">
        <v>0.56000000000000005</v>
      </c>
      <c r="I554" s="152">
        <v>0.56000000000000005</v>
      </c>
      <c r="J554" s="156"/>
      <c r="K554" s="156">
        <f>ROUND(Dre_Fecha_Vala!U83*F554,2)</f>
        <v>0</v>
      </c>
      <c r="L554" s="156">
        <f>IF($K554&gt;$J554,$K554-$J554,0)</f>
        <v>0</v>
      </c>
      <c r="M554" s="156">
        <f>IF($K554&lt;$J554,$J554-$K554,0)</f>
        <v>0</v>
      </c>
      <c r="N554" s="156" t="s">
        <v>83</v>
      </c>
      <c r="O554" s="157" cm="1">
        <f t="array" ref="O554">TRUNC($H554*(1+_xlfn.SWITCH($N554,"BDI 1",$O$6,"BDI 2",$O$7,"BDI 3",$O$8)),2)</f>
        <v>0.67</v>
      </c>
      <c r="P554" s="157" cm="1">
        <f t="array" ref="P554">TRUNC($I554*(1+_xlfn.SWITCH($N554,"BDI 1",$P$6,"BDI 2",$P$7,"BDI 3",$P$8)),2)</f>
        <v>0.7</v>
      </c>
      <c r="Q554" s="157">
        <v>0</v>
      </c>
      <c r="R554" s="157">
        <v>0</v>
      </c>
      <c r="S554" s="156">
        <f>TRUNC($K554*$O554,2)</f>
        <v>0</v>
      </c>
      <c r="T554" s="156">
        <f>TRUNC($K554*$P554,2)</f>
        <v>0</v>
      </c>
      <c r="U554" s="156">
        <f>TRUNC($J554*$R554,2)</f>
        <v>0</v>
      </c>
      <c r="V554" s="156">
        <f>TRUNC($K554*$Q554,2)</f>
        <v>0</v>
      </c>
      <c r="W554" s="156">
        <f>TRUNC(V554-U554,2)</f>
        <v>0</v>
      </c>
      <c r="X554" s="158">
        <f>$S554/ORCAMENTO_VALOR_TOTAL_ND</f>
        <v>0</v>
      </c>
      <c r="Y554" s="158">
        <f>$T554/ORCAMENTO_VALOR_TOTAL_DE</f>
        <v>0</v>
      </c>
      <c r="Z554" s="158" cm="1">
        <f t="array" ref="Z554">_xlfn.SWITCH($N554,"BDI 1",$O$6,"BDI 2",$O$7,"BDI 3",$O$8)</f>
        <v>0.20699999999999999</v>
      </c>
      <c r="AA554" s="158" cm="1">
        <f t="array" ref="AA554">_xlfn.SWITCH($N554,"BDI 1",$P$6,"BDI 2",$P$7,"BDI 3",$P$8)</f>
        <v>0.26739999999999997</v>
      </c>
      <c r="AB554" s="158">
        <f ca="1">IFERROR($S554/_xlfn.XLOOKUP($AE554,$B$16:$B$38,$S$16:$S$38),0)</f>
        <v>0</v>
      </c>
      <c r="AC554" s="158">
        <f ca="1">IFERROR($T554/_xlfn.XLOOKUP($AE554,$B$16:$B$38,$T$16:$T$38),0)</f>
        <v>0</v>
      </c>
      <c r="AD554" s="164"/>
      <c r="AE554" s="148">
        <f t="shared" si="1374"/>
        <v>0</v>
      </c>
      <c r="AF554" s="149"/>
      <c r="AG554" s="150"/>
      <c r="AH554" s="159" t="e">
        <f>S554/$S$494</f>
        <v>#DIV/0!</v>
      </c>
      <c r="AI554" s="166">
        <f>IF(K554=0,0,K554/F554)</f>
        <v>0</v>
      </c>
      <c r="AJ554" s="105"/>
      <c r="AK554" s="105"/>
      <c r="AM554" s="105"/>
      <c r="AN554" s="105"/>
      <c r="AO554" s="105"/>
      <c r="AP554" s="105"/>
      <c r="AQ554" s="105"/>
      <c r="AR554" s="105"/>
    </row>
    <row r="555" spans="1:44" s="49" customFormat="1" ht="40.15" hidden="1" customHeight="1">
      <c r="A555" s="10">
        <f t="shared" ca="1" si="1297"/>
        <v>0</v>
      </c>
      <c r="B555" s="153"/>
      <c r="C555" s="154"/>
      <c r="D555" s="154"/>
      <c r="E555" s="161" t="s">
        <v>270</v>
      </c>
      <c r="F555" s="154"/>
      <c r="G555" s="154"/>
      <c r="H555" s="152"/>
      <c r="I555" s="152"/>
      <c r="J555" s="154"/>
      <c r="K555" s="154"/>
      <c r="L555" s="154"/>
      <c r="M555" s="154"/>
      <c r="N555" s="154"/>
      <c r="O555" s="154"/>
      <c r="P555" s="154"/>
      <c r="Q555" s="154"/>
      <c r="R555" s="154"/>
      <c r="S555" s="162"/>
      <c r="T555" s="162"/>
      <c r="U555" s="162"/>
      <c r="V555" s="162"/>
      <c r="W555" s="162"/>
      <c r="X555" s="163"/>
      <c r="Y555" s="163"/>
      <c r="Z555" s="163"/>
      <c r="AA555" s="163"/>
      <c r="AB555" s="163"/>
      <c r="AC555" s="163"/>
      <c r="AD555" s="164"/>
      <c r="AE555" s="148">
        <f>IF(SUM(S556:S557)&gt;0,IFERROR(TRUNC(A555,0),0),0)</f>
        <v>0</v>
      </c>
      <c r="AF555" s="149"/>
      <c r="AG555" s="150"/>
      <c r="AH555" s="159"/>
      <c r="AI555" s="160"/>
      <c r="AJ555" s="105"/>
      <c r="AK555" s="105"/>
      <c r="AM555" s="105"/>
      <c r="AN555" s="105"/>
      <c r="AO555" s="105"/>
      <c r="AP555" s="105"/>
      <c r="AQ555" s="105"/>
      <c r="AR555" s="105"/>
    </row>
    <row r="556" spans="1:44" s="49" customFormat="1" ht="40.15" hidden="1" customHeight="1">
      <c r="A556" s="152">
        <f t="shared" ca="1" si="1297"/>
        <v>0</v>
      </c>
      <c r="B556" s="153">
        <v>95879</v>
      </c>
      <c r="C556" s="154" t="str">
        <f>TEXT(B556,"0")</f>
        <v>95879</v>
      </c>
      <c r="D556" s="154" t="s">
        <v>1416</v>
      </c>
      <c r="E556" s="155" t="s">
        <v>3535</v>
      </c>
      <c r="F556" s="154">
        <f>IF(Dados_DMT!$B$30&lt;30,Dados_DMT!$B$30,30)</f>
        <v>30</v>
      </c>
      <c r="G556" s="154" t="s">
        <v>3534</v>
      </c>
      <c r="H556" s="152">
        <v>1.41</v>
      </c>
      <c r="I556" s="152">
        <v>1.42</v>
      </c>
      <c r="J556" s="156"/>
      <c r="K556" s="156">
        <f>ROUND(Dre_Fecha_Vala!U82*F556,2)</f>
        <v>0</v>
      </c>
      <c r="L556" s="156">
        <f>IF($K556&gt;$J556,$K556-$J556,0)</f>
        <v>0</v>
      </c>
      <c r="M556" s="156">
        <f>IF($K556&lt;$J556,$J556-$K556,0)</f>
        <v>0</v>
      </c>
      <c r="N556" s="156" t="s">
        <v>83</v>
      </c>
      <c r="O556" s="157" cm="1">
        <f t="array" ref="O556">TRUNC($H556*(1+_xlfn.SWITCH($N556,"BDI 1",$O$6,"BDI 2",$O$7,"BDI 3",$O$8)),2)</f>
        <v>1.7</v>
      </c>
      <c r="P556" s="157" cm="1">
        <f t="array" ref="P556">TRUNC($I556*(1+_xlfn.SWITCH($N556,"BDI 1",$P$6,"BDI 2",$P$7,"BDI 3",$P$8)),2)</f>
        <v>1.79</v>
      </c>
      <c r="Q556" s="157">
        <v>0</v>
      </c>
      <c r="R556" s="157">
        <v>0</v>
      </c>
      <c r="S556" s="156">
        <f>TRUNC($K556*$O556,2)</f>
        <v>0</v>
      </c>
      <c r="T556" s="156">
        <f>TRUNC($K556*$P556,2)</f>
        <v>0</v>
      </c>
      <c r="U556" s="156">
        <f>TRUNC($J556*$R556,2)</f>
        <v>0</v>
      </c>
      <c r="V556" s="156">
        <f>TRUNC($K556*$Q556,2)</f>
        <v>0</v>
      </c>
      <c r="W556" s="156">
        <f>TRUNC(V556-U556,2)</f>
        <v>0</v>
      </c>
      <c r="X556" s="158">
        <f>$S556/ORCAMENTO_VALOR_TOTAL_ND</f>
        <v>0</v>
      </c>
      <c r="Y556" s="158">
        <f>$T556/ORCAMENTO_VALOR_TOTAL_DE</f>
        <v>0</v>
      </c>
      <c r="Z556" s="158" cm="1">
        <f t="array" ref="Z556">_xlfn.SWITCH($N556,"BDI 1",$O$6,"BDI 2",$O$7,"BDI 3",$O$8)</f>
        <v>0.20699999999999999</v>
      </c>
      <c r="AA556" s="158" cm="1">
        <f t="array" ref="AA556">_xlfn.SWITCH($N556,"BDI 1",$P$6,"BDI 2",$P$7,"BDI 3",$P$8)</f>
        <v>0.26739999999999997</v>
      </c>
      <c r="AB556" s="158">
        <f ca="1">IFERROR($S556/_xlfn.XLOOKUP($AE556,$B$16:$B$38,$S$16:$S$38),0)</f>
        <v>0</v>
      </c>
      <c r="AC556" s="158">
        <f ca="1">IFERROR($T556/_xlfn.XLOOKUP($AE556,$B$16:$B$38,$T$16:$T$38),0)</f>
        <v>0</v>
      </c>
      <c r="AD556" s="164"/>
      <c r="AE556" s="148">
        <f t="shared" ref="AE556:AE557" si="1375">IF(S556&gt;0,IFERROR(TRUNC(A556,0),0),0)</f>
        <v>0</v>
      </c>
      <c r="AF556" s="149"/>
      <c r="AG556" s="150"/>
      <c r="AH556" s="159" t="e">
        <f>S556/$S$494</f>
        <v>#DIV/0!</v>
      </c>
      <c r="AI556" s="209">
        <f>IF(K556=0,0,K556/F556)</f>
        <v>0</v>
      </c>
      <c r="AJ556" s="105"/>
      <c r="AK556" s="105"/>
      <c r="AM556" s="105"/>
      <c r="AN556" s="105"/>
      <c r="AO556" s="105"/>
      <c r="AP556" s="105"/>
      <c r="AQ556" s="105"/>
      <c r="AR556" s="105"/>
    </row>
    <row r="557" spans="1:44" s="49" customFormat="1" ht="40.15" hidden="1" customHeight="1">
      <c r="A557" s="152">
        <f t="shared" ca="1" si="1297"/>
        <v>0</v>
      </c>
      <c r="B557" s="153">
        <v>93599</v>
      </c>
      <c r="C557" s="154" t="str">
        <f>TEXT(B557,"0")</f>
        <v>93599</v>
      </c>
      <c r="D557" s="154" t="s">
        <v>1416</v>
      </c>
      <c r="E557" s="155" t="s">
        <v>3533</v>
      </c>
      <c r="F557" s="154">
        <f>+Dados_DMT!$B$30-F556</f>
        <v>80</v>
      </c>
      <c r="G557" s="154" t="s">
        <v>3534</v>
      </c>
      <c r="H557" s="152">
        <v>0.56000000000000005</v>
      </c>
      <c r="I557" s="152">
        <v>0.56000000000000005</v>
      </c>
      <c r="J557" s="156"/>
      <c r="K557" s="156">
        <f>ROUND(Dre_Fecha_Vala!U82*F557,2)</f>
        <v>0</v>
      </c>
      <c r="L557" s="156">
        <f>IF($K557&gt;$J557,$K557-$J557,0)</f>
        <v>0</v>
      </c>
      <c r="M557" s="156">
        <f>IF($K557&lt;$J557,$J557-$K557,0)</f>
        <v>0</v>
      </c>
      <c r="N557" s="156" t="s">
        <v>83</v>
      </c>
      <c r="O557" s="157" cm="1">
        <f t="array" ref="O557">TRUNC($H557*(1+_xlfn.SWITCH($N557,"BDI 1",$O$6,"BDI 2",$O$7,"BDI 3",$O$8)),2)</f>
        <v>0.67</v>
      </c>
      <c r="P557" s="157" cm="1">
        <f t="array" ref="P557">TRUNC($I557*(1+_xlfn.SWITCH($N557,"BDI 1",$P$6,"BDI 2",$P$7,"BDI 3",$P$8)),2)</f>
        <v>0.7</v>
      </c>
      <c r="Q557" s="157">
        <v>0</v>
      </c>
      <c r="R557" s="157">
        <v>0</v>
      </c>
      <c r="S557" s="156">
        <f>TRUNC($K557*$O557,2)</f>
        <v>0</v>
      </c>
      <c r="T557" s="156">
        <f>TRUNC($K557*$P557,2)</f>
        <v>0</v>
      </c>
      <c r="U557" s="156">
        <f>TRUNC($J557*$R557,2)</f>
        <v>0</v>
      </c>
      <c r="V557" s="156">
        <f>TRUNC($K557*$Q557,2)</f>
        <v>0</v>
      </c>
      <c r="W557" s="156">
        <f>TRUNC(V557-U557,2)</f>
        <v>0</v>
      </c>
      <c r="X557" s="158">
        <f>$S557/ORCAMENTO_VALOR_TOTAL_ND</f>
        <v>0</v>
      </c>
      <c r="Y557" s="158">
        <f>$T557/ORCAMENTO_VALOR_TOTAL_DE</f>
        <v>0</v>
      </c>
      <c r="Z557" s="158" cm="1">
        <f t="array" ref="Z557">_xlfn.SWITCH($N557,"BDI 1",$O$6,"BDI 2",$O$7,"BDI 3",$O$8)</f>
        <v>0.20699999999999999</v>
      </c>
      <c r="AA557" s="158" cm="1">
        <f t="array" ref="AA557">_xlfn.SWITCH($N557,"BDI 1",$P$6,"BDI 2",$P$7,"BDI 3",$P$8)</f>
        <v>0.26739999999999997</v>
      </c>
      <c r="AB557" s="158">
        <f ca="1">IFERROR($S557/_xlfn.XLOOKUP($AE557,$B$16:$B$38,$S$16:$S$38),0)</f>
        <v>0</v>
      </c>
      <c r="AC557" s="158">
        <f ca="1">IFERROR($T557/_xlfn.XLOOKUP($AE557,$B$16:$B$38,$T$16:$T$38),0)</f>
        <v>0</v>
      </c>
      <c r="AD557" s="164"/>
      <c r="AE557" s="148">
        <f t="shared" si="1375"/>
        <v>0</v>
      </c>
      <c r="AF557" s="149"/>
      <c r="AG557" s="150"/>
      <c r="AH557" s="159" t="e">
        <f>S557/$S$494</f>
        <v>#DIV/0!</v>
      </c>
      <c r="AI557" s="209">
        <f>IF(K557=0,0,K557/F557)</f>
        <v>0</v>
      </c>
      <c r="AJ557" s="105"/>
      <c r="AK557" s="105"/>
      <c r="AM557" s="105"/>
      <c r="AN557" s="105"/>
      <c r="AO557" s="105"/>
      <c r="AP557" s="105"/>
      <c r="AQ557" s="105"/>
      <c r="AR557" s="105"/>
    </row>
    <row r="558" spans="1:44" s="49" customFormat="1" ht="40.15" hidden="1" customHeight="1">
      <c r="A558" s="10">
        <f t="shared" ca="1" si="1297"/>
        <v>0</v>
      </c>
      <c r="B558" s="153"/>
      <c r="C558" s="154"/>
      <c r="D558" s="154"/>
      <c r="E558" s="161" t="s">
        <v>271</v>
      </c>
      <c r="F558" s="154"/>
      <c r="G558" s="154"/>
      <c r="H558" s="152"/>
      <c r="I558" s="152"/>
      <c r="J558" s="154"/>
      <c r="K558" s="154"/>
      <c r="L558" s="154"/>
      <c r="M558" s="154"/>
      <c r="N558" s="154"/>
      <c r="O558" s="154"/>
      <c r="P558" s="154"/>
      <c r="Q558" s="154"/>
      <c r="R558" s="154"/>
      <c r="S558" s="162"/>
      <c r="T558" s="162"/>
      <c r="U558" s="162"/>
      <c r="V558" s="162"/>
      <c r="W558" s="162"/>
      <c r="X558" s="163"/>
      <c r="Y558" s="163"/>
      <c r="Z558" s="163"/>
      <c r="AA558" s="163"/>
      <c r="AB558" s="163"/>
      <c r="AC558" s="163"/>
      <c r="AD558" s="164"/>
      <c r="AE558" s="148">
        <f>IF(SUM(S559:S560)&gt;0,IFERROR(TRUNC(A558,0),0),0)</f>
        <v>0</v>
      </c>
      <c r="AF558" s="149"/>
      <c r="AG558" s="150"/>
      <c r="AH558" s="159"/>
      <c r="AI558" s="160"/>
      <c r="AJ558" s="105"/>
      <c r="AK558" s="105"/>
      <c r="AM558" s="105"/>
      <c r="AN558" s="105"/>
      <c r="AO558" s="105"/>
      <c r="AP558" s="105"/>
      <c r="AQ558" s="105"/>
      <c r="AR558" s="105"/>
    </row>
    <row r="559" spans="1:44" s="49" customFormat="1" ht="40.15" hidden="1" customHeight="1">
      <c r="A559" s="152">
        <f t="shared" ref="A559:A570" ca="1" si="1376">IF(K559&gt;0,A558+0.01,A558)</f>
        <v>0</v>
      </c>
      <c r="B559" s="153">
        <v>102332</v>
      </c>
      <c r="C559" s="154" t="str">
        <f>TEXT(B559,"0")</f>
        <v>102332</v>
      </c>
      <c r="D559" s="154" t="s">
        <v>1416</v>
      </c>
      <c r="E559" s="155" t="s">
        <v>3547</v>
      </c>
      <c r="F559" s="154">
        <f>IF(Dados_DMT!$B$25&lt;30,Dados_DMT!$B$25,30)</f>
        <v>30</v>
      </c>
      <c r="G559" s="154" t="s">
        <v>3534</v>
      </c>
      <c r="H559" s="152">
        <v>1.79</v>
      </c>
      <c r="I559" s="152">
        <v>1.81</v>
      </c>
      <c r="J559" s="156"/>
      <c r="K559" s="156">
        <f>IF(B506="PA/0025",0,ROUND(Dre_Fecha_Vala!U79*F559,2))</f>
        <v>0</v>
      </c>
      <c r="L559" s="156">
        <f>IF($K559&gt;$J559,$K559-$J559,0)</f>
        <v>0</v>
      </c>
      <c r="M559" s="156">
        <f>IF($K559&lt;$J559,$J559-$K559,0)</f>
        <v>0</v>
      </c>
      <c r="N559" s="156" t="s">
        <v>83</v>
      </c>
      <c r="O559" s="157" cm="1">
        <f t="array" ref="O559">TRUNC($H559*(1+_xlfn.SWITCH($N559,"BDI 1",$O$6,"BDI 2",$O$7,"BDI 3",$O$8)),2)</f>
        <v>2.16</v>
      </c>
      <c r="P559" s="157" cm="1">
        <f t="array" ref="P559">TRUNC($I559*(1+_xlfn.SWITCH($N559,"BDI 1",$P$6,"BDI 2",$P$7,"BDI 3",$P$8)),2)</f>
        <v>2.29</v>
      </c>
      <c r="Q559" s="157">
        <v>0</v>
      </c>
      <c r="R559" s="157">
        <v>0</v>
      </c>
      <c r="S559" s="156">
        <f>TRUNC($K559*$O559,2)</f>
        <v>0</v>
      </c>
      <c r="T559" s="156">
        <f>TRUNC($K559*$P559,2)</f>
        <v>0</v>
      </c>
      <c r="U559" s="156">
        <f>TRUNC($J559*$R559,2)</f>
        <v>0</v>
      </c>
      <c r="V559" s="156">
        <f>TRUNC($K559*$Q559,2)</f>
        <v>0</v>
      </c>
      <c r="W559" s="156">
        <f>TRUNC(V559-U559,2)</f>
        <v>0</v>
      </c>
      <c r="X559" s="158">
        <f>$S559/ORCAMENTO_VALOR_TOTAL_ND</f>
        <v>0</v>
      </c>
      <c r="Y559" s="158">
        <f>$T559/ORCAMENTO_VALOR_TOTAL_DE</f>
        <v>0</v>
      </c>
      <c r="Z559" s="158" cm="1">
        <f t="array" ref="Z559">_xlfn.SWITCH($N559,"BDI 1",$O$6,"BDI 2",$O$7,"BDI 3",$O$8)</f>
        <v>0.20699999999999999</v>
      </c>
      <c r="AA559" s="158" cm="1">
        <f t="array" ref="AA559">_xlfn.SWITCH($N559,"BDI 1",$P$6,"BDI 2",$P$7,"BDI 3",$P$8)</f>
        <v>0.26739999999999997</v>
      </c>
      <c r="AB559" s="158">
        <f ca="1">IFERROR($S559/_xlfn.XLOOKUP($AE559,$B$16:$B$38,$S$16:$S$38),0)</f>
        <v>0</v>
      </c>
      <c r="AC559" s="158">
        <f ca="1">IFERROR($T559/_xlfn.XLOOKUP($AE559,$B$16:$B$38,$T$16:$T$38),0)</f>
        <v>0</v>
      </c>
      <c r="AD559" s="164"/>
      <c r="AE559" s="148">
        <f t="shared" ref="AE559:AE560" si="1377">IF(S559&gt;0,IFERROR(TRUNC(A559,0),0),0)</f>
        <v>0</v>
      </c>
      <c r="AF559" s="149"/>
      <c r="AG559" s="150"/>
      <c r="AH559" s="159" t="e">
        <f>S559/$S$494</f>
        <v>#DIV/0!</v>
      </c>
      <c r="AI559" s="209">
        <f>IF(K559=0,0,K559/F559)</f>
        <v>0</v>
      </c>
      <c r="AJ559" s="105"/>
      <c r="AK559" s="105"/>
      <c r="AM559" s="105"/>
      <c r="AN559" s="105"/>
      <c r="AO559" s="105"/>
      <c r="AP559" s="105"/>
      <c r="AQ559" s="105"/>
      <c r="AR559" s="105"/>
    </row>
    <row r="560" spans="1:44" s="49" customFormat="1" ht="40.15" hidden="1" customHeight="1">
      <c r="A560" s="152">
        <f t="shared" ca="1" si="1376"/>
        <v>0</v>
      </c>
      <c r="B560" s="153">
        <v>102333</v>
      </c>
      <c r="C560" s="154" t="str">
        <f>TEXT(B560,"0")</f>
        <v>102333</v>
      </c>
      <c r="D560" s="154" t="s">
        <v>1416</v>
      </c>
      <c r="E560" s="155" t="s">
        <v>3546</v>
      </c>
      <c r="F560" s="154">
        <f>+Dados_DMT!$B$25-F559</f>
        <v>80</v>
      </c>
      <c r="G560" s="154" t="s">
        <v>3534</v>
      </c>
      <c r="H560" s="152">
        <v>0.72</v>
      </c>
      <c r="I560" s="152">
        <v>0.73</v>
      </c>
      <c r="J560" s="156"/>
      <c r="K560" s="156">
        <f>IF(B506="PA/0025",0,ROUND(Dre_Fecha_Vala!U79*F560,2))</f>
        <v>0</v>
      </c>
      <c r="L560" s="156">
        <f>IF($K560&gt;$J560,$K560-$J560,0)</f>
        <v>0</v>
      </c>
      <c r="M560" s="156">
        <f>IF($K560&lt;$J560,$J560-$K560,0)</f>
        <v>0</v>
      </c>
      <c r="N560" s="156" t="s">
        <v>83</v>
      </c>
      <c r="O560" s="157" cm="1">
        <f t="array" ref="O560">TRUNC($H560*(1+_xlfn.SWITCH($N560,"BDI 1",$O$6,"BDI 2",$O$7,"BDI 3",$O$8)),2)</f>
        <v>0.86</v>
      </c>
      <c r="P560" s="157" cm="1">
        <f t="array" ref="P560">TRUNC($I560*(1+_xlfn.SWITCH($N560,"BDI 1",$P$6,"BDI 2",$P$7,"BDI 3",$P$8)),2)</f>
        <v>0.92</v>
      </c>
      <c r="Q560" s="157">
        <v>0</v>
      </c>
      <c r="R560" s="157">
        <v>0</v>
      </c>
      <c r="S560" s="156">
        <f>TRUNC($K560*$O560,2)</f>
        <v>0</v>
      </c>
      <c r="T560" s="156">
        <f>TRUNC($K560*$P560,2)</f>
        <v>0</v>
      </c>
      <c r="U560" s="156">
        <f>TRUNC($J560*$R560,2)</f>
        <v>0</v>
      </c>
      <c r="V560" s="156">
        <f>TRUNC($K560*$Q560,2)</f>
        <v>0</v>
      </c>
      <c r="W560" s="156">
        <f>TRUNC(V560-U560,2)</f>
        <v>0</v>
      </c>
      <c r="X560" s="158">
        <f>$S560/ORCAMENTO_VALOR_TOTAL_ND</f>
        <v>0</v>
      </c>
      <c r="Y560" s="158">
        <f>$T560/ORCAMENTO_VALOR_TOTAL_DE</f>
        <v>0</v>
      </c>
      <c r="Z560" s="158" cm="1">
        <f t="array" ref="Z560">_xlfn.SWITCH($N560,"BDI 1",$O$6,"BDI 2",$O$7,"BDI 3",$O$8)</f>
        <v>0.20699999999999999</v>
      </c>
      <c r="AA560" s="158" cm="1">
        <f t="array" ref="AA560">_xlfn.SWITCH($N560,"BDI 1",$P$6,"BDI 2",$P$7,"BDI 3",$P$8)</f>
        <v>0.26739999999999997</v>
      </c>
      <c r="AB560" s="158">
        <f ca="1">IFERROR($S560/_xlfn.XLOOKUP($AE560,$B$16:$B$38,$S$16:$S$38),0)</f>
        <v>0</v>
      </c>
      <c r="AC560" s="158">
        <f ca="1">IFERROR($T560/_xlfn.XLOOKUP($AE560,$B$16:$B$38,$T$16:$T$38),0)</f>
        <v>0</v>
      </c>
      <c r="AD560" s="164"/>
      <c r="AE560" s="148">
        <f t="shared" si="1377"/>
        <v>0</v>
      </c>
      <c r="AF560" s="149"/>
      <c r="AG560" s="150"/>
      <c r="AH560" s="159" t="e">
        <f>S560/$S$494</f>
        <v>#DIV/0!</v>
      </c>
      <c r="AI560" s="209">
        <f>IF(K560=0,0,K560/F560)</f>
        <v>0</v>
      </c>
      <c r="AJ560" s="105"/>
      <c r="AK560" s="105"/>
      <c r="AM560" s="105"/>
      <c r="AN560" s="105"/>
      <c r="AO560" s="105"/>
      <c r="AP560" s="105"/>
      <c r="AQ560" s="105"/>
      <c r="AR560" s="105"/>
    </row>
    <row r="561" spans="1:44" s="49" customFormat="1" ht="40.15" hidden="1" customHeight="1">
      <c r="A561" s="10">
        <f t="shared" ca="1" si="1376"/>
        <v>0</v>
      </c>
      <c r="B561" s="153"/>
      <c r="C561" s="154"/>
      <c r="D561" s="154"/>
      <c r="E561" s="161" t="s">
        <v>272</v>
      </c>
      <c r="F561" s="154"/>
      <c r="G561" s="154"/>
      <c r="H561" s="152"/>
      <c r="I561" s="152"/>
      <c r="J561" s="154"/>
      <c r="K561" s="154"/>
      <c r="L561" s="154"/>
      <c r="M561" s="154"/>
      <c r="N561" s="154"/>
      <c r="O561" s="154"/>
      <c r="P561" s="154"/>
      <c r="Q561" s="154"/>
      <c r="R561" s="154"/>
      <c r="S561" s="162"/>
      <c r="T561" s="162"/>
      <c r="U561" s="162"/>
      <c r="V561" s="162"/>
      <c r="W561" s="162"/>
      <c r="X561" s="163"/>
      <c r="Y561" s="163"/>
      <c r="Z561" s="163"/>
      <c r="AA561" s="163"/>
      <c r="AB561" s="163"/>
      <c r="AC561" s="163"/>
      <c r="AD561" s="164"/>
      <c r="AE561" s="148">
        <f>IF(SUM(S562:S563)&gt;0,IFERROR(TRUNC(A561,0),0),0)</f>
        <v>0</v>
      </c>
      <c r="AF561" s="149"/>
      <c r="AG561" s="150"/>
      <c r="AH561" s="159"/>
      <c r="AI561" s="160"/>
      <c r="AJ561" s="105"/>
      <c r="AK561" s="105"/>
      <c r="AM561" s="105"/>
      <c r="AN561" s="105"/>
      <c r="AO561" s="105"/>
      <c r="AP561" s="105"/>
      <c r="AQ561" s="105"/>
      <c r="AR561" s="105"/>
    </row>
    <row r="562" spans="1:44" s="49" customFormat="1" ht="40.15" hidden="1" customHeight="1">
      <c r="A562" s="152">
        <f t="shared" ca="1" si="1376"/>
        <v>0</v>
      </c>
      <c r="B562" s="153">
        <v>102332</v>
      </c>
      <c r="C562" s="154" t="str">
        <f>TEXT(B562,"0")</f>
        <v>102332</v>
      </c>
      <c r="D562" s="154" t="s">
        <v>1416</v>
      </c>
      <c r="E562" s="155" t="s">
        <v>3547</v>
      </c>
      <c r="F562" s="154">
        <f>IF(Dados_DMT!$B$25&lt;30,Dados_DMT!$B$25,30)</f>
        <v>30</v>
      </c>
      <c r="G562" s="154" t="s">
        <v>3534</v>
      </c>
      <c r="H562" s="152">
        <v>1.79</v>
      </c>
      <c r="I562" s="152">
        <v>1.81</v>
      </c>
      <c r="J562" s="156"/>
      <c r="K562" s="156">
        <f>IF(B506="PA/0025",ROUND(Dre_Fecha_Vala!U79*F562,2),0)+ROUND(Dre_Fecha_Vala!U80*F562,2)</f>
        <v>0</v>
      </c>
      <c r="L562" s="156">
        <f>IF($K562&gt;$J562,$K562-$J562,0)</f>
        <v>0</v>
      </c>
      <c r="M562" s="156">
        <f>IF($K562&lt;$J562,$J562-$K562,0)</f>
        <v>0</v>
      </c>
      <c r="N562" s="156" t="s">
        <v>83</v>
      </c>
      <c r="O562" s="157" cm="1">
        <f t="array" ref="O562">TRUNC($H562*(1+_xlfn.SWITCH($N562,"BDI 1",$O$6,"BDI 2",$O$7,"BDI 3",$O$8)),2)</f>
        <v>2.16</v>
      </c>
      <c r="P562" s="157" cm="1">
        <f t="array" ref="P562">TRUNC($I562*(1+_xlfn.SWITCH($N562,"BDI 1",$P$6,"BDI 2",$P$7,"BDI 3",$P$8)),2)</f>
        <v>2.29</v>
      </c>
      <c r="Q562" s="157">
        <v>0</v>
      </c>
      <c r="R562" s="157">
        <v>0</v>
      </c>
      <c r="S562" s="156">
        <f>TRUNC($K562*$O562,2)</f>
        <v>0</v>
      </c>
      <c r="T562" s="156">
        <f>TRUNC($K562*$P562,2)</f>
        <v>0</v>
      </c>
      <c r="U562" s="156">
        <f>TRUNC($J562*$R562,2)</f>
        <v>0</v>
      </c>
      <c r="V562" s="156">
        <f>TRUNC($K562*$Q562,2)</f>
        <v>0</v>
      </c>
      <c r="W562" s="156">
        <f>TRUNC(V562-U562,2)</f>
        <v>0</v>
      </c>
      <c r="X562" s="158">
        <f>$S562/ORCAMENTO_VALOR_TOTAL_ND</f>
        <v>0</v>
      </c>
      <c r="Y562" s="158">
        <f>$T562/ORCAMENTO_VALOR_TOTAL_DE</f>
        <v>0</v>
      </c>
      <c r="Z562" s="158" cm="1">
        <f t="array" ref="Z562">_xlfn.SWITCH($N562,"BDI 1",$O$6,"BDI 2",$O$7,"BDI 3",$O$8)</f>
        <v>0.20699999999999999</v>
      </c>
      <c r="AA562" s="158" cm="1">
        <f t="array" ref="AA562">_xlfn.SWITCH($N562,"BDI 1",$P$6,"BDI 2",$P$7,"BDI 3",$P$8)</f>
        <v>0.26739999999999997</v>
      </c>
      <c r="AB562" s="158">
        <f ca="1">IFERROR($S562/_xlfn.XLOOKUP($AE562,$B$16:$B$38,$S$16:$S$38),0)</f>
        <v>0</v>
      </c>
      <c r="AC562" s="158">
        <f ca="1">IFERROR($T562/_xlfn.XLOOKUP($AE562,$B$16:$B$38,$T$16:$T$38),0)</f>
        <v>0</v>
      </c>
      <c r="AD562" s="164"/>
      <c r="AE562" s="148">
        <f t="shared" ref="AE562:AE563" si="1378">IF(S562&gt;0,IFERROR(TRUNC(A562,0),0),0)</f>
        <v>0</v>
      </c>
      <c r="AF562" s="149"/>
      <c r="AG562" s="150"/>
      <c r="AH562" s="159" t="e">
        <f>S562/$S$494</f>
        <v>#DIV/0!</v>
      </c>
      <c r="AI562" s="209">
        <f>IF(K562=0,0,K562/F562)</f>
        <v>0</v>
      </c>
      <c r="AJ562" s="105"/>
      <c r="AK562" s="105"/>
      <c r="AM562" s="105"/>
      <c r="AN562" s="105"/>
      <c r="AO562" s="105"/>
      <c r="AP562" s="105"/>
      <c r="AQ562" s="105"/>
      <c r="AR562" s="105"/>
    </row>
    <row r="563" spans="1:44" s="49" customFormat="1" ht="40.15" hidden="1" customHeight="1">
      <c r="A563" s="152">
        <f t="shared" ca="1" si="1376"/>
        <v>0</v>
      </c>
      <c r="B563" s="153">
        <v>102333</v>
      </c>
      <c r="C563" s="154" t="str">
        <f>TEXT(B563,"0")</f>
        <v>102333</v>
      </c>
      <c r="D563" s="154" t="s">
        <v>1416</v>
      </c>
      <c r="E563" s="155" t="s">
        <v>3546</v>
      </c>
      <c r="F563" s="154">
        <f>+Dados_DMT!$B$25-F562</f>
        <v>80</v>
      </c>
      <c r="G563" s="154" t="s">
        <v>3534</v>
      </c>
      <c r="H563" s="152">
        <v>0.72</v>
      </c>
      <c r="I563" s="152">
        <v>0.73</v>
      </c>
      <c r="J563" s="156"/>
      <c r="K563" s="156">
        <f>IF(B506="PA/0025",ROUND(Dre_Fecha_Vala!U79*F563,2),0)+ROUND(Dre_Fecha_Vala!U80*F563,2)</f>
        <v>0</v>
      </c>
      <c r="L563" s="156">
        <f>IF($K563&gt;$J563,$K563-$J563,0)</f>
        <v>0</v>
      </c>
      <c r="M563" s="156">
        <f>IF($K563&lt;$J563,$J563-$K563,0)</f>
        <v>0</v>
      </c>
      <c r="N563" s="156" t="s">
        <v>83</v>
      </c>
      <c r="O563" s="157" cm="1">
        <f t="array" ref="O563">TRUNC($H563*(1+_xlfn.SWITCH($N563,"BDI 1",$O$6,"BDI 2",$O$7,"BDI 3",$O$8)),2)</f>
        <v>0.86</v>
      </c>
      <c r="P563" s="157" cm="1">
        <f t="array" ref="P563">TRUNC($I563*(1+_xlfn.SWITCH($N563,"BDI 1",$P$6,"BDI 2",$P$7,"BDI 3",$P$8)),2)</f>
        <v>0.92</v>
      </c>
      <c r="Q563" s="157">
        <v>0</v>
      </c>
      <c r="R563" s="157">
        <v>0</v>
      </c>
      <c r="S563" s="156">
        <f>TRUNC($K563*$O563,2)</f>
        <v>0</v>
      </c>
      <c r="T563" s="156">
        <f>TRUNC($K563*$P563,2)</f>
        <v>0</v>
      </c>
      <c r="U563" s="156">
        <f>TRUNC($J563*$R563,2)</f>
        <v>0</v>
      </c>
      <c r="V563" s="156">
        <f>TRUNC($K563*$Q563,2)</f>
        <v>0</v>
      </c>
      <c r="W563" s="156">
        <f>TRUNC(V563-U563,2)</f>
        <v>0</v>
      </c>
      <c r="X563" s="158">
        <f>$S563/ORCAMENTO_VALOR_TOTAL_ND</f>
        <v>0</v>
      </c>
      <c r="Y563" s="158">
        <f>$T563/ORCAMENTO_VALOR_TOTAL_DE</f>
        <v>0</v>
      </c>
      <c r="Z563" s="158" cm="1">
        <f t="array" ref="Z563">_xlfn.SWITCH($N563,"BDI 1",$O$6,"BDI 2",$O$7,"BDI 3",$O$8)</f>
        <v>0.20699999999999999</v>
      </c>
      <c r="AA563" s="158" cm="1">
        <f t="array" ref="AA563">_xlfn.SWITCH($N563,"BDI 1",$P$6,"BDI 2",$P$7,"BDI 3",$P$8)</f>
        <v>0.26739999999999997</v>
      </c>
      <c r="AB563" s="158">
        <f ca="1">IFERROR($S563/_xlfn.XLOOKUP($AE563,$B$16:$B$38,$S$16:$S$38),0)</f>
        <v>0</v>
      </c>
      <c r="AC563" s="158">
        <f ca="1">IFERROR($T563/_xlfn.XLOOKUP($AE563,$B$16:$B$38,$T$16:$T$38),0)</f>
        <v>0</v>
      </c>
      <c r="AD563" s="164"/>
      <c r="AE563" s="148">
        <f t="shared" si="1378"/>
        <v>0</v>
      </c>
      <c r="AF563" s="149"/>
      <c r="AG563" s="150"/>
      <c r="AH563" s="159" t="e">
        <f>S563/$S$494</f>
        <v>#DIV/0!</v>
      </c>
      <c r="AI563" s="209">
        <f>IF(K563=0,0,K563/F563)</f>
        <v>0</v>
      </c>
      <c r="AJ563" s="105"/>
      <c r="AK563" s="105"/>
      <c r="AM563" s="105"/>
      <c r="AN563" s="105"/>
      <c r="AO563" s="105"/>
      <c r="AP563" s="105"/>
      <c r="AQ563" s="105"/>
      <c r="AR563" s="105"/>
    </row>
    <row r="564" spans="1:44" s="49" customFormat="1" ht="40.15" hidden="1" customHeight="1">
      <c r="A564" s="10">
        <f t="shared" ca="1" si="1376"/>
        <v>0</v>
      </c>
      <c r="B564" s="153"/>
      <c r="C564" s="154"/>
      <c r="D564" s="154"/>
      <c r="E564" s="161" t="s">
        <v>273</v>
      </c>
      <c r="F564" s="154"/>
      <c r="G564" s="154"/>
      <c r="H564" s="152"/>
      <c r="I564" s="152"/>
      <c r="J564" s="154"/>
      <c r="K564" s="154"/>
      <c r="L564" s="154"/>
      <c r="M564" s="154"/>
      <c r="N564" s="154"/>
      <c r="O564" s="154"/>
      <c r="P564" s="154"/>
      <c r="Q564" s="154"/>
      <c r="R564" s="154"/>
      <c r="S564" s="162"/>
      <c r="T564" s="162"/>
      <c r="U564" s="162"/>
      <c r="V564" s="162"/>
      <c r="W564" s="162"/>
      <c r="X564" s="163"/>
      <c r="Y564" s="163"/>
      <c r="Z564" s="163"/>
      <c r="AA564" s="163"/>
      <c r="AB564" s="163"/>
      <c r="AC564" s="163"/>
      <c r="AD564" s="164"/>
      <c r="AE564" s="148">
        <f>IF(SUM(S565:S566)&gt;0,IFERROR(TRUNC(A564,0),0),0)</f>
        <v>0</v>
      </c>
      <c r="AF564" s="149"/>
      <c r="AG564" s="150"/>
      <c r="AH564" s="159"/>
      <c r="AI564" s="160"/>
      <c r="AJ564" s="105"/>
      <c r="AK564" s="105"/>
      <c r="AM564" s="105"/>
      <c r="AN564" s="105"/>
      <c r="AO564" s="105"/>
      <c r="AP564" s="105"/>
      <c r="AQ564" s="105"/>
      <c r="AR564" s="105"/>
    </row>
    <row r="565" spans="1:44" s="49" customFormat="1" ht="40.15" hidden="1" customHeight="1">
      <c r="A565" s="152">
        <f t="shared" ca="1" si="1376"/>
        <v>0</v>
      </c>
      <c r="B565" s="153">
        <v>102332</v>
      </c>
      <c r="C565" s="154" t="str">
        <f>TEXT(B565,"0")</f>
        <v>102332</v>
      </c>
      <c r="D565" s="154" t="s">
        <v>1416</v>
      </c>
      <c r="E565" s="155" t="s">
        <v>3547</v>
      </c>
      <c r="F565" s="154">
        <f>IF(Dados_DMT!$B$26&lt;30,Dados_DMT!$B$26,30)</f>
        <v>0</v>
      </c>
      <c r="G565" s="154" t="s">
        <v>3534</v>
      </c>
      <c r="H565" s="152">
        <v>1.79</v>
      </c>
      <c r="I565" s="152">
        <v>1.81</v>
      </c>
      <c r="J565" s="156"/>
      <c r="K565" s="156">
        <f>ROUND(Dre_Fecha_Vala!U81*F565,2)</f>
        <v>0</v>
      </c>
      <c r="L565" s="156">
        <f>IF($K565&gt;$J565,$K565-$J565,0)</f>
        <v>0</v>
      </c>
      <c r="M565" s="156">
        <f>IF($K565&lt;$J565,$J565-$K565,0)</f>
        <v>0</v>
      </c>
      <c r="N565" s="156" t="s">
        <v>83</v>
      </c>
      <c r="O565" s="157" cm="1">
        <f t="array" ref="O565">TRUNC($H565*(1+_xlfn.SWITCH($N565,"BDI 1",$O$6,"BDI 2",$O$7,"BDI 3",$O$8)),2)</f>
        <v>2.16</v>
      </c>
      <c r="P565" s="157" cm="1">
        <f t="array" ref="P565">TRUNC($I565*(1+_xlfn.SWITCH($N565,"BDI 1",$P$6,"BDI 2",$P$7,"BDI 3",$P$8)),2)</f>
        <v>2.29</v>
      </c>
      <c r="Q565" s="157">
        <v>0</v>
      </c>
      <c r="R565" s="157">
        <v>0</v>
      </c>
      <c r="S565" s="156">
        <f>TRUNC($K565*$O565,2)</f>
        <v>0</v>
      </c>
      <c r="T565" s="156">
        <f>TRUNC($K565*$P565,2)</f>
        <v>0</v>
      </c>
      <c r="U565" s="156">
        <f>TRUNC($J565*$R565,2)</f>
        <v>0</v>
      </c>
      <c r="V565" s="156">
        <f>TRUNC($K565*$Q565,2)</f>
        <v>0</v>
      </c>
      <c r="W565" s="156">
        <f>TRUNC(V565-U565,2)</f>
        <v>0</v>
      </c>
      <c r="X565" s="158">
        <f>$S565/ORCAMENTO_VALOR_TOTAL_ND</f>
        <v>0</v>
      </c>
      <c r="Y565" s="158">
        <f>$T565/ORCAMENTO_VALOR_TOTAL_DE</f>
        <v>0</v>
      </c>
      <c r="Z565" s="158" cm="1">
        <f t="array" ref="Z565">_xlfn.SWITCH($N565,"BDI 1",$O$6,"BDI 2",$O$7,"BDI 3",$O$8)</f>
        <v>0.20699999999999999</v>
      </c>
      <c r="AA565" s="158" cm="1">
        <f t="array" ref="AA565">_xlfn.SWITCH($N565,"BDI 1",$P$6,"BDI 2",$P$7,"BDI 3",$P$8)</f>
        <v>0.26739999999999997</v>
      </c>
      <c r="AB565" s="158">
        <f ca="1">IFERROR($S565/_xlfn.XLOOKUP($AE565,$B$16:$B$38,$S$16:$S$38),0)</f>
        <v>0</v>
      </c>
      <c r="AC565" s="158">
        <f ca="1">IFERROR($T565/_xlfn.XLOOKUP($AE565,$B$16:$B$38,$T$16:$T$38),0)</f>
        <v>0</v>
      </c>
      <c r="AD565" s="164"/>
      <c r="AE565" s="148">
        <f t="shared" ref="AE565:AE566" si="1379">IF(S565&gt;0,IFERROR(TRUNC(A565,0),0),0)</f>
        <v>0</v>
      </c>
      <c r="AF565" s="149"/>
      <c r="AG565" s="150"/>
      <c r="AH565" s="159" t="e">
        <f>S565/$S$494</f>
        <v>#DIV/0!</v>
      </c>
      <c r="AI565" s="209">
        <f>IF(K565=0,0,K565/F565)</f>
        <v>0</v>
      </c>
      <c r="AJ565" s="105"/>
      <c r="AK565" s="105"/>
      <c r="AM565" s="105"/>
      <c r="AN565" s="105"/>
      <c r="AO565" s="105"/>
      <c r="AP565" s="105"/>
      <c r="AQ565" s="105"/>
      <c r="AR565" s="105"/>
    </row>
    <row r="566" spans="1:44" s="49" customFormat="1" ht="40.15" hidden="1" customHeight="1">
      <c r="A566" s="152">
        <f t="shared" ca="1" si="1376"/>
        <v>0</v>
      </c>
      <c r="B566" s="153">
        <v>102333</v>
      </c>
      <c r="C566" s="154" t="str">
        <f>TEXT(B566,"0")</f>
        <v>102333</v>
      </c>
      <c r="D566" s="154" t="s">
        <v>1416</v>
      </c>
      <c r="E566" s="155" t="s">
        <v>3546</v>
      </c>
      <c r="F566" s="154">
        <f>+Dados_DMT!$B$26-F565</f>
        <v>0</v>
      </c>
      <c r="G566" s="154" t="s">
        <v>3534</v>
      </c>
      <c r="H566" s="152">
        <v>0.72</v>
      </c>
      <c r="I566" s="152">
        <v>0.73</v>
      </c>
      <c r="J566" s="156"/>
      <c r="K566" s="156">
        <f>ROUND(Dre_Fecha_Vala!U81*F566,2)</f>
        <v>0</v>
      </c>
      <c r="L566" s="156">
        <f>IF($K566&gt;$J566,$K566-$J566,0)</f>
        <v>0</v>
      </c>
      <c r="M566" s="156">
        <f>IF($K566&lt;$J566,$J566-$K566,0)</f>
        <v>0</v>
      </c>
      <c r="N566" s="156" t="s">
        <v>83</v>
      </c>
      <c r="O566" s="157" cm="1">
        <f t="array" ref="O566">TRUNC($H566*(1+_xlfn.SWITCH($N566,"BDI 1",$O$6,"BDI 2",$O$7,"BDI 3",$O$8)),2)</f>
        <v>0.86</v>
      </c>
      <c r="P566" s="157" cm="1">
        <f t="array" ref="P566">TRUNC($I566*(1+_xlfn.SWITCH($N566,"BDI 1",$P$6,"BDI 2",$P$7,"BDI 3",$P$8)),2)</f>
        <v>0.92</v>
      </c>
      <c r="Q566" s="157">
        <v>0</v>
      </c>
      <c r="R566" s="157">
        <v>0</v>
      </c>
      <c r="S566" s="156">
        <f>TRUNC($K566*$O566,2)</f>
        <v>0</v>
      </c>
      <c r="T566" s="156">
        <f>TRUNC($K566*$P566,2)</f>
        <v>0</v>
      </c>
      <c r="U566" s="156">
        <f>TRUNC($J566*$R566,2)</f>
        <v>0</v>
      </c>
      <c r="V566" s="156">
        <f>TRUNC($K566*$Q566,2)</f>
        <v>0</v>
      </c>
      <c r="W566" s="156">
        <f>TRUNC(V566-U566,2)</f>
        <v>0</v>
      </c>
      <c r="X566" s="158">
        <f>$S566/ORCAMENTO_VALOR_TOTAL_ND</f>
        <v>0</v>
      </c>
      <c r="Y566" s="158">
        <f>$T566/ORCAMENTO_VALOR_TOTAL_DE</f>
        <v>0</v>
      </c>
      <c r="Z566" s="158" cm="1">
        <f t="array" ref="Z566">_xlfn.SWITCH($N566,"BDI 1",$O$6,"BDI 2",$O$7,"BDI 3",$O$8)</f>
        <v>0.20699999999999999</v>
      </c>
      <c r="AA566" s="158" cm="1">
        <f t="array" ref="AA566">_xlfn.SWITCH($N566,"BDI 1",$P$6,"BDI 2",$P$7,"BDI 3",$P$8)</f>
        <v>0.26739999999999997</v>
      </c>
      <c r="AB566" s="158">
        <f ca="1">IFERROR($S566/_xlfn.XLOOKUP($AE566,$B$16:$B$38,$S$16:$S$38),0)</f>
        <v>0</v>
      </c>
      <c r="AC566" s="158">
        <f ca="1">IFERROR($T566/_xlfn.XLOOKUP($AE566,$B$16:$B$38,$T$16:$T$38),0)</f>
        <v>0</v>
      </c>
      <c r="AD566" s="164"/>
      <c r="AE566" s="148">
        <f t="shared" si="1379"/>
        <v>0</v>
      </c>
      <c r="AF566" s="149"/>
      <c r="AG566" s="150"/>
      <c r="AH566" s="159" t="e">
        <f>S566/$S$494</f>
        <v>#DIV/0!</v>
      </c>
      <c r="AI566" s="209">
        <f>IF(K566=0,0,K566/F566)</f>
        <v>0</v>
      </c>
      <c r="AJ566" s="105"/>
      <c r="AK566" s="105"/>
      <c r="AM566" s="105"/>
      <c r="AN566" s="105"/>
      <c r="AO566" s="105"/>
      <c r="AP566" s="105"/>
      <c r="AQ566" s="105"/>
      <c r="AR566" s="105"/>
    </row>
    <row r="567" spans="1:44" s="49" customFormat="1" ht="40.15" hidden="1" customHeight="1">
      <c r="A567" s="10">
        <f t="shared" ca="1" si="1376"/>
        <v>0</v>
      </c>
      <c r="B567" s="153"/>
      <c r="C567" s="154"/>
      <c r="D567" s="154"/>
      <c r="E567" s="161" t="s">
        <v>274</v>
      </c>
      <c r="F567" s="154"/>
      <c r="G567" s="154"/>
      <c r="H567" s="152"/>
      <c r="I567" s="152"/>
      <c r="J567" s="154"/>
      <c r="K567" s="154"/>
      <c r="L567" s="154"/>
      <c r="M567" s="154"/>
      <c r="N567" s="154"/>
      <c r="O567" s="154"/>
      <c r="P567" s="154"/>
      <c r="Q567" s="154"/>
      <c r="R567" s="154"/>
      <c r="S567" s="162"/>
      <c r="T567" s="162"/>
      <c r="U567" s="162"/>
      <c r="V567" s="162"/>
      <c r="W567" s="162"/>
      <c r="X567" s="163"/>
      <c r="Y567" s="163"/>
      <c r="Z567" s="163"/>
      <c r="AA567" s="163"/>
      <c r="AB567" s="163"/>
      <c r="AC567" s="163"/>
      <c r="AD567" s="164"/>
      <c r="AE567" s="148">
        <f>IF(SUM(S568:S569)&gt;0,IFERROR(TRUNC(A567,0),0),0)</f>
        <v>0</v>
      </c>
      <c r="AF567" s="149"/>
      <c r="AG567" s="150"/>
      <c r="AH567" s="159"/>
      <c r="AI567" s="160"/>
      <c r="AJ567" s="105"/>
      <c r="AK567" s="105"/>
      <c r="AM567" s="105"/>
      <c r="AN567" s="105"/>
      <c r="AO567" s="105"/>
      <c r="AP567" s="105"/>
      <c r="AQ567" s="105"/>
      <c r="AR567" s="105"/>
    </row>
    <row r="568" spans="1:44" s="49" customFormat="1" ht="40.15" hidden="1" customHeight="1">
      <c r="A568" s="152">
        <f t="shared" ca="1" si="1376"/>
        <v>0</v>
      </c>
      <c r="B568" s="153">
        <v>102332</v>
      </c>
      <c r="C568" s="154" t="str">
        <f>TEXT(B568,"0")</f>
        <v>102332</v>
      </c>
      <c r="D568" s="154" t="s">
        <v>1416</v>
      </c>
      <c r="E568" s="155" t="s">
        <v>3547</v>
      </c>
      <c r="F568" s="154">
        <f>IF(Dados_DMT!$B$27&lt;30,Dados_DMT!$B$27,30)</f>
        <v>0</v>
      </c>
      <c r="G568" s="154" t="s">
        <v>3534</v>
      </c>
      <c r="H568" s="152">
        <v>1.79</v>
      </c>
      <c r="I568" s="152">
        <v>1.81</v>
      </c>
      <c r="J568" s="156"/>
      <c r="K568" s="156">
        <f>ROUND(Dre_Fecha_Vala!U78*F568,2)</f>
        <v>0</v>
      </c>
      <c r="L568" s="156">
        <f>IF($K568&gt;$J568,$K568-$J568,0)</f>
        <v>0</v>
      </c>
      <c r="M568" s="156">
        <f>IF($K568&lt;$J568,$J568-$K568,0)</f>
        <v>0</v>
      </c>
      <c r="N568" s="156" t="s">
        <v>83</v>
      </c>
      <c r="O568" s="157" cm="1">
        <f t="array" ref="O568">TRUNC($H568*(1+_xlfn.SWITCH($N568,"BDI 1",$O$6,"BDI 2",$O$7,"BDI 3",$O$8)),2)</f>
        <v>2.16</v>
      </c>
      <c r="P568" s="157" cm="1">
        <f t="array" ref="P568">TRUNC($I568*(1+_xlfn.SWITCH($N568,"BDI 1",$P$6,"BDI 2",$P$7,"BDI 3",$P$8)),2)</f>
        <v>2.29</v>
      </c>
      <c r="Q568" s="157">
        <v>0</v>
      </c>
      <c r="R568" s="157">
        <v>0</v>
      </c>
      <c r="S568" s="156">
        <f>TRUNC($K568*$O568,2)</f>
        <v>0</v>
      </c>
      <c r="T568" s="156">
        <f>TRUNC($K568*$P568,2)</f>
        <v>0</v>
      </c>
      <c r="U568" s="156">
        <f>TRUNC($J568*$R568,2)</f>
        <v>0</v>
      </c>
      <c r="V568" s="156">
        <f>TRUNC($K568*$Q568,2)</f>
        <v>0</v>
      </c>
      <c r="W568" s="156">
        <f>TRUNC(V568-U568,2)</f>
        <v>0</v>
      </c>
      <c r="X568" s="158">
        <f>$S568/ORCAMENTO_VALOR_TOTAL_ND</f>
        <v>0</v>
      </c>
      <c r="Y568" s="158">
        <f>$T568/ORCAMENTO_VALOR_TOTAL_DE</f>
        <v>0</v>
      </c>
      <c r="Z568" s="158" cm="1">
        <f t="array" ref="Z568">_xlfn.SWITCH($N568,"BDI 1",$O$6,"BDI 2",$O$7,"BDI 3",$O$8)</f>
        <v>0.20699999999999999</v>
      </c>
      <c r="AA568" s="158" cm="1">
        <f t="array" ref="AA568">_xlfn.SWITCH($N568,"BDI 1",$P$6,"BDI 2",$P$7,"BDI 3",$P$8)</f>
        <v>0.26739999999999997</v>
      </c>
      <c r="AB568" s="158">
        <f ca="1">IFERROR($S568/_xlfn.XLOOKUP($AE568,$B$16:$B$38,$S$16:$S$38),0)</f>
        <v>0</v>
      </c>
      <c r="AC568" s="158">
        <f ca="1">IFERROR($T568/_xlfn.XLOOKUP($AE568,$B$16:$B$38,$T$16:$T$38),0)</f>
        <v>0</v>
      </c>
      <c r="AD568" s="164"/>
      <c r="AE568" s="148">
        <f t="shared" ref="AE568:AE569" si="1380">IF(S568&gt;0,IFERROR(TRUNC(A568,0),0),0)</f>
        <v>0</v>
      </c>
      <c r="AF568" s="149"/>
      <c r="AG568" s="150"/>
      <c r="AH568" s="159" t="e">
        <f>S568/$S$494</f>
        <v>#DIV/0!</v>
      </c>
      <c r="AI568" s="209">
        <f>IF(K568=0,0,K568/F568)</f>
        <v>0</v>
      </c>
      <c r="AJ568" s="105"/>
      <c r="AK568" s="105"/>
      <c r="AM568" s="105"/>
      <c r="AN568" s="105"/>
      <c r="AO568" s="105"/>
      <c r="AP568" s="105"/>
      <c r="AQ568" s="105"/>
      <c r="AR568" s="105"/>
    </row>
    <row r="569" spans="1:44" s="49" customFormat="1" ht="40.15" hidden="1" customHeight="1">
      <c r="A569" s="152">
        <f t="shared" ca="1" si="1376"/>
        <v>0</v>
      </c>
      <c r="B569" s="153">
        <v>102333</v>
      </c>
      <c r="C569" s="154" t="str">
        <f>TEXT(B569,"0")</f>
        <v>102333</v>
      </c>
      <c r="D569" s="154" t="s">
        <v>1416</v>
      </c>
      <c r="E569" s="155" t="s">
        <v>3546</v>
      </c>
      <c r="F569" s="154">
        <f>+Dados_DMT!$B$27-F568</f>
        <v>0</v>
      </c>
      <c r="G569" s="154" t="s">
        <v>3534</v>
      </c>
      <c r="H569" s="152">
        <v>0.72</v>
      </c>
      <c r="I569" s="152">
        <v>0.73</v>
      </c>
      <c r="J569" s="156"/>
      <c r="K569" s="156">
        <f>ROUND(Dre_Fecha_Vala!U78*F569,2)</f>
        <v>0</v>
      </c>
      <c r="L569" s="156">
        <f>IF($K569&gt;$J569,$K569-$J569,0)</f>
        <v>0</v>
      </c>
      <c r="M569" s="156">
        <f>IF($K569&lt;$J569,$J569-$K569,0)</f>
        <v>0</v>
      </c>
      <c r="N569" s="156" t="s">
        <v>83</v>
      </c>
      <c r="O569" s="157" cm="1">
        <f t="array" ref="O569">TRUNC($H569*(1+_xlfn.SWITCH($N569,"BDI 1",$O$6,"BDI 2",$O$7,"BDI 3",$O$8)),2)</f>
        <v>0.86</v>
      </c>
      <c r="P569" s="157" cm="1">
        <f t="array" ref="P569">TRUNC($I569*(1+_xlfn.SWITCH($N569,"BDI 1",$P$6,"BDI 2",$P$7,"BDI 3",$P$8)),2)</f>
        <v>0.92</v>
      </c>
      <c r="Q569" s="157">
        <v>0</v>
      </c>
      <c r="R569" s="157">
        <v>0</v>
      </c>
      <c r="S569" s="156">
        <f>TRUNC($K569*$O569,2)</f>
        <v>0</v>
      </c>
      <c r="T569" s="156">
        <f>TRUNC($K569*$P569,2)</f>
        <v>0</v>
      </c>
      <c r="U569" s="156">
        <f>TRUNC($J569*$R569,2)</f>
        <v>0</v>
      </c>
      <c r="V569" s="156">
        <f>TRUNC($K569*$Q569,2)</f>
        <v>0</v>
      </c>
      <c r="W569" s="156">
        <f>TRUNC(V569-U569,2)</f>
        <v>0</v>
      </c>
      <c r="X569" s="158">
        <f>$S569/ORCAMENTO_VALOR_TOTAL_ND</f>
        <v>0</v>
      </c>
      <c r="Y569" s="158">
        <f>$T569/ORCAMENTO_VALOR_TOTAL_DE</f>
        <v>0</v>
      </c>
      <c r="Z569" s="158" cm="1">
        <f t="array" ref="Z569">_xlfn.SWITCH($N569,"BDI 1",$O$6,"BDI 2",$O$7,"BDI 3",$O$8)</f>
        <v>0.20699999999999999</v>
      </c>
      <c r="AA569" s="158" cm="1">
        <f t="array" ref="AA569">_xlfn.SWITCH($N569,"BDI 1",$P$6,"BDI 2",$P$7,"BDI 3",$P$8)</f>
        <v>0.26739999999999997</v>
      </c>
      <c r="AB569" s="158">
        <f ca="1">IFERROR($S569/_xlfn.XLOOKUP($AE569,$B$16:$B$38,$S$16:$S$38),0)</f>
        <v>0</v>
      </c>
      <c r="AC569" s="158">
        <f ca="1">IFERROR($T569/_xlfn.XLOOKUP($AE569,$B$16:$B$38,$T$16:$T$38),0)</f>
        <v>0</v>
      </c>
      <c r="AD569" s="164"/>
      <c r="AE569" s="148">
        <f t="shared" si="1380"/>
        <v>0</v>
      </c>
      <c r="AF569" s="149"/>
      <c r="AG569" s="150"/>
      <c r="AH569" s="159" t="e">
        <f>S569/$S$494</f>
        <v>#DIV/0!</v>
      </c>
      <c r="AI569" s="209">
        <f>IF(K569=0,0,K569/F569)</f>
        <v>0</v>
      </c>
      <c r="AJ569" s="105"/>
      <c r="AK569" s="105"/>
      <c r="AM569" s="105"/>
      <c r="AN569" s="105"/>
      <c r="AO569" s="105"/>
      <c r="AP569" s="105"/>
      <c r="AQ569" s="105"/>
      <c r="AR569" s="105"/>
    </row>
    <row r="570" spans="1:44" s="49" customFormat="1" ht="24.95" customHeight="1">
      <c r="A570" s="10">
        <f t="shared" ca="1" si="1376"/>
        <v>0</v>
      </c>
      <c r="B570" s="153"/>
      <c r="C570" s="154"/>
      <c r="D570" s="154"/>
      <c r="E570" s="155"/>
      <c r="F570" s="154"/>
      <c r="G570" s="154"/>
      <c r="H570" s="154"/>
      <c r="I570" s="154"/>
      <c r="J570" s="168"/>
      <c r="K570" s="168"/>
      <c r="L570" s="168"/>
      <c r="M570" s="168"/>
      <c r="N570" s="168"/>
      <c r="O570" s="157"/>
      <c r="P570" s="157"/>
      <c r="Q570" s="157"/>
      <c r="R570" s="157"/>
      <c r="S570" s="162"/>
      <c r="T570" s="162"/>
      <c r="U570" s="162"/>
      <c r="V570" s="162"/>
      <c r="W570" s="162"/>
      <c r="X570" s="163"/>
      <c r="Y570" s="163"/>
      <c r="Z570" s="163"/>
      <c r="AA570" s="163"/>
      <c r="AB570" s="163"/>
      <c r="AC570" s="163"/>
      <c r="AD570" s="164"/>
      <c r="AE570" s="148">
        <f ca="1">IF(S571&gt;0,IFERROR(TRUNC(A571,0),0),0)</f>
        <v>2</v>
      </c>
      <c r="AF570" s="149"/>
      <c r="AG570" s="150"/>
      <c r="AH570" s="159"/>
      <c r="AI570" s="160"/>
      <c r="AJ570" s="105"/>
      <c r="AK570" s="105"/>
      <c r="AM570" s="105"/>
      <c r="AN570" s="105"/>
      <c r="AO570" s="105"/>
      <c r="AP570" s="105"/>
      <c r="AQ570" s="105"/>
      <c r="AR570" s="105"/>
    </row>
    <row r="571" spans="1:44" s="105" customFormat="1" ht="24.95" customHeight="1">
      <c r="A571" s="169">
        <f ca="1">$B$26</f>
        <v>2</v>
      </c>
      <c r="B571" s="170"/>
      <c r="C571" s="171"/>
      <c r="D571" s="172"/>
      <c r="E571" s="173" t="str">
        <f>$D$26</f>
        <v>RESTAURAÇÃO DO PAVIMENTO - RECUPERAÇÃO PRÉVIA DO PAVIMENTO</v>
      </c>
      <c r="F571" s="174">
        <v>0</v>
      </c>
      <c r="G571" s="175"/>
      <c r="H571" s="176" t="s">
        <v>275</v>
      </c>
      <c r="I571" s="176" t="s">
        <v>275</v>
      </c>
      <c r="J571" s="177"/>
      <c r="K571" s="177"/>
      <c r="L571" s="177"/>
      <c r="M571" s="177"/>
      <c r="N571" s="177"/>
      <c r="O571" s="178" t="str">
        <f ca="1">CONCATENATE("SUB-TOTAL ",$A571)</f>
        <v>SUB-TOTAL 2</v>
      </c>
      <c r="P571" s="178" t="e" cm="1">
        <f t="array" ref="P571">TRUNC($I571*(1+_xlfn.SWITCH($N571,"BDI 1",$P$6,"BDI 2",$P$7,"BDI 3",$P$8)),2)</f>
        <v>#VALUE!</v>
      </c>
      <c r="Q571" s="178" t="str">
        <f ca="1">CONCATENATE("SUB-TOTAL ",$A571)</f>
        <v>SUB-TOTAL 2</v>
      </c>
      <c r="R571" s="178"/>
      <c r="S571" s="179">
        <f>SUM(S572:S664)</f>
        <v>2889957.2299999995</v>
      </c>
      <c r="T571" s="179">
        <f>SUM(T572:T664)</f>
        <v>2959263.83</v>
      </c>
      <c r="U571" s="179">
        <f>SUM(U572:U664)</f>
        <v>0</v>
      </c>
      <c r="V571" s="179">
        <f>SUM(V572:V664)</f>
        <v>0</v>
      </c>
      <c r="W571" s="179">
        <f t="shared" ref="W571:W607" si="1381">TRUNC(V571-U571,2)</f>
        <v>0</v>
      </c>
      <c r="X571" s="180">
        <f t="shared" ref="X571" si="1382">$S571/ORCAMENTO_VALOR_TOTAL_ND</f>
        <v>0.93452037350531758</v>
      </c>
      <c r="Y571" s="180">
        <f t="shared" ref="Y571" si="1383">$T571/ORCAMENTO_VALOR_TOTAL_DE</f>
        <v>0.87006503213614328</v>
      </c>
      <c r="Z571" s="180"/>
      <c r="AA571" s="180"/>
      <c r="AB571" s="180">
        <f>IFERROR($S571/$S571,0)</f>
        <v>1</v>
      </c>
      <c r="AC571" s="180">
        <f>IFERROR($T571/$T571,0)</f>
        <v>1</v>
      </c>
      <c r="AD571" s="147"/>
      <c r="AE571" s="148">
        <f t="shared" ref="AE571:AE607" ca="1" si="1384">IF(S571&gt;0,IFERROR(TRUNC(A571,0),0),0)</f>
        <v>2</v>
      </c>
      <c r="AF571" s="149"/>
      <c r="AG571" s="150"/>
      <c r="AH571" s="151">
        <f t="shared" ref="AH571:AH607" si="1385">S571/$S$571</f>
        <v>1</v>
      </c>
    </row>
    <row r="572" spans="1:44" s="49" customFormat="1" ht="40.15" hidden="1" customHeight="1">
      <c r="A572" s="152">
        <f t="shared" ref="A572:A635" ca="1" si="1386">IF(K572&gt;0,A571+0.01,A571)</f>
        <v>2</v>
      </c>
      <c r="B572" s="153" t="s">
        <v>276</v>
      </c>
      <c r="C572" s="154" t="str">
        <f t="shared" ref="C572:C607" si="1387">TEXT(B572,"0")</f>
        <v>RE/0010</v>
      </c>
      <c r="D572" s="154" t="s">
        <v>3549</v>
      </c>
      <c r="E572" s="155" t="s">
        <v>3877</v>
      </c>
      <c r="F572" s="154"/>
      <c r="G572" s="154" t="s">
        <v>464</v>
      </c>
      <c r="H572" s="152">
        <v>89.96</v>
      </c>
      <c r="I572" s="152">
        <v>88.66</v>
      </c>
      <c r="J572" s="156"/>
      <c r="K572" s="156">
        <f>+Recap_Previo!H11</f>
        <v>0</v>
      </c>
      <c r="L572" s="156">
        <f t="shared" ref="L572:L607" si="1388">IF($K572&gt;$J572,$K572-$J572,0)</f>
        <v>0</v>
      </c>
      <c r="M572" s="156">
        <f t="shared" ref="M572:M607" si="1389">IF($K572&lt;$J572,$J572-$K572,0)</f>
        <v>0</v>
      </c>
      <c r="N572" s="156" t="s">
        <v>83</v>
      </c>
      <c r="O572" s="157" cm="1">
        <f t="array" ref="O572">TRUNC($H572*(1+_xlfn.SWITCH($N572,"BDI 1",$O$6,"BDI 2",$O$7,"BDI 3",$O$8)),2)</f>
        <v>108.58</v>
      </c>
      <c r="P572" s="157" cm="1">
        <f t="array" ref="P572">TRUNC($I572*(1+_xlfn.SWITCH($N572,"BDI 1",$P$6,"BDI 2",$P$7,"BDI 3",$P$8)),2)</f>
        <v>112.36</v>
      </c>
      <c r="Q572" s="157">
        <v>0</v>
      </c>
      <c r="R572" s="157">
        <f t="shared" ref="R572" si="1390">$Q572-($Q572*LICITACAO_DESCONTO)</f>
        <v>0</v>
      </c>
      <c r="S572" s="156">
        <f t="shared" ref="S572:S607" si="1391">TRUNC($K572*$O572,2)</f>
        <v>0</v>
      </c>
      <c r="T572" s="156">
        <f t="shared" ref="T572:T607" si="1392">TRUNC($K572*$P572,2)</f>
        <v>0</v>
      </c>
      <c r="U572" s="156">
        <f t="shared" ref="U572:U607" si="1393">TRUNC($J572*$R572,2)</f>
        <v>0</v>
      </c>
      <c r="V572" s="156">
        <f t="shared" ref="V572:V607" si="1394">TRUNC($K572*$Q572,2)</f>
        <v>0</v>
      </c>
      <c r="W572" s="156">
        <f t="shared" si="1381"/>
        <v>0</v>
      </c>
      <c r="X572" s="158">
        <f t="shared" ref="X572" si="1395">$S572/ORCAMENTO_VALOR_TOTAL_ND</f>
        <v>0</v>
      </c>
      <c r="Y572" s="158">
        <f t="shared" ref="Y572" si="1396">$T572/ORCAMENTO_VALOR_TOTAL_DE</f>
        <v>0</v>
      </c>
      <c r="Z572" s="158" cm="1">
        <f t="array" ref="Z572">_xlfn.SWITCH($N572,"BDI 1",$O$6,"BDI 2",$O$7,"BDI 3",$O$8)</f>
        <v>0.20699999999999999</v>
      </c>
      <c r="AA572" s="158" cm="1">
        <f t="array" ref="AA572">_xlfn.SWITCH($N572,"BDI 1",$P$6,"BDI 2",$P$7,"BDI 3",$P$8)</f>
        <v>0.26739999999999997</v>
      </c>
      <c r="AB572" s="158">
        <f t="shared" ref="AB572:AB607" ca="1" si="1397">IFERROR($S572/_xlfn.XLOOKUP($AE572,$B$16:$B$38,$S$16:$S$38),0)</f>
        <v>0</v>
      </c>
      <c r="AC572" s="158">
        <f t="shared" ref="AC572:AC607" ca="1" si="1398">IFERROR($T572/_xlfn.XLOOKUP($AE572,$B$16:$B$38,$T$16:$T$38),0)</f>
        <v>0</v>
      </c>
      <c r="AD572" s="164"/>
      <c r="AE572" s="148">
        <f t="shared" si="1384"/>
        <v>0</v>
      </c>
      <c r="AF572" s="149"/>
      <c r="AG572" s="150"/>
      <c r="AH572" s="159">
        <f t="shared" si="1385"/>
        <v>0</v>
      </c>
      <c r="AI572" s="160"/>
      <c r="AJ572" s="105"/>
      <c r="AK572" s="105"/>
      <c r="AM572" s="105"/>
      <c r="AN572" s="105"/>
      <c r="AO572" s="105"/>
      <c r="AP572" s="105"/>
      <c r="AQ572" s="105"/>
      <c r="AR572" s="105"/>
    </row>
    <row r="573" spans="1:44" s="49" customFormat="1" ht="39.950000000000003" customHeight="1">
      <c r="A573" s="152">
        <f t="shared" ca="1" si="1386"/>
        <v>2.0099999999999998</v>
      </c>
      <c r="B573" s="153" t="s">
        <v>277</v>
      </c>
      <c r="C573" s="154" t="str">
        <f t="shared" si="1387"/>
        <v>RE/0015</v>
      </c>
      <c r="D573" s="154" t="s">
        <v>3549</v>
      </c>
      <c r="E573" s="155" t="s">
        <v>3536</v>
      </c>
      <c r="F573" s="154"/>
      <c r="G573" s="154" t="s">
        <v>464</v>
      </c>
      <c r="H573" s="152">
        <v>318.05</v>
      </c>
      <c r="I573" s="152">
        <v>298.38</v>
      </c>
      <c r="J573" s="156"/>
      <c r="K573" s="156">
        <f>+Recap_Previo!H15</f>
        <v>258.60000000000002</v>
      </c>
      <c r="L573" s="156">
        <f t="shared" si="1388"/>
        <v>258.60000000000002</v>
      </c>
      <c r="M573" s="156">
        <f t="shared" si="1389"/>
        <v>0</v>
      </c>
      <c r="N573" s="156" t="s">
        <v>83</v>
      </c>
      <c r="O573" s="157" cm="1">
        <f t="array" ref="O573">TRUNC($H573*(1+_xlfn.SWITCH($N573,"BDI 1",$O$6,"BDI 2",$O$7,"BDI 3",$O$8)),2)</f>
        <v>383.88</v>
      </c>
      <c r="P573" s="157" cm="1">
        <f t="array" ref="P573">TRUNC($I573*(1+_xlfn.SWITCH($N573,"BDI 1",$P$6,"BDI 2",$P$7,"BDI 3",$P$8)),2)</f>
        <v>378.16</v>
      </c>
      <c r="Q573" s="157">
        <v>0</v>
      </c>
      <c r="R573" s="157">
        <f t="shared" ref="R573" si="1399">$Q573-($Q573*LICITACAO_DESCONTO)</f>
        <v>0</v>
      </c>
      <c r="S573" s="156">
        <f t="shared" si="1391"/>
        <v>99271.360000000001</v>
      </c>
      <c r="T573" s="156">
        <f t="shared" si="1392"/>
        <v>97792.17</v>
      </c>
      <c r="U573" s="156">
        <f t="shared" si="1393"/>
        <v>0</v>
      </c>
      <c r="V573" s="156">
        <f t="shared" si="1394"/>
        <v>0</v>
      </c>
      <c r="W573" s="156">
        <f t="shared" si="1381"/>
        <v>0</v>
      </c>
      <c r="X573" s="158">
        <f t="shared" ref="X573" si="1400">$S573/ORCAMENTO_VALOR_TOTAL_ND</f>
        <v>3.2101204634637746E-2</v>
      </c>
      <c r="Y573" s="158">
        <f t="shared" ref="Y573" si="1401">$T573/ORCAMENTO_VALOR_TOTAL_DE</f>
        <v>2.875226827400286E-2</v>
      </c>
      <c r="Z573" s="158" cm="1">
        <f t="array" ref="Z573">_xlfn.SWITCH($N573,"BDI 1",$O$6,"BDI 2",$O$7,"BDI 3",$O$8)</f>
        <v>0.20699999999999999</v>
      </c>
      <c r="AA573" s="158" cm="1">
        <f t="array" ref="AA573">_xlfn.SWITCH($N573,"BDI 1",$P$6,"BDI 2",$P$7,"BDI 3",$P$8)</f>
        <v>0.26739999999999997</v>
      </c>
      <c r="AB573" s="158">
        <f t="shared" ca="1" si="1397"/>
        <v>0</v>
      </c>
      <c r="AC573" s="158">
        <f t="shared" ca="1" si="1398"/>
        <v>0</v>
      </c>
      <c r="AD573" s="164"/>
      <c r="AE573" s="148">
        <f t="shared" ca="1" si="1384"/>
        <v>2</v>
      </c>
      <c r="AF573" s="149"/>
      <c r="AG573" s="150"/>
      <c r="AH573" s="159">
        <f t="shared" si="1385"/>
        <v>3.4350459920128307E-2</v>
      </c>
      <c r="AI573" s="160"/>
      <c r="AJ573" s="105"/>
      <c r="AK573" s="105"/>
      <c r="AM573" s="105"/>
      <c r="AN573" s="105"/>
      <c r="AO573" s="105"/>
      <c r="AP573" s="105"/>
      <c r="AQ573" s="105"/>
      <c r="AR573" s="105"/>
    </row>
    <row r="574" spans="1:44" s="49" customFormat="1" ht="39.950000000000003" customHeight="1">
      <c r="A574" s="152">
        <f t="shared" ca="1" si="1386"/>
        <v>2.0199999999999996</v>
      </c>
      <c r="B574" s="153" t="s">
        <v>278</v>
      </c>
      <c r="C574" s="154" t="str">
        <f t="shared" si="1387"/>
        <v>RE/0021</v>
      </c>
      <c r="D574" s="154" t="s">
        <v>3549</v>
      </c>
      <c r="E574" s="155" t="s">
        <v>3531</v>
      </c>
      <c r="F574" s="154"/>
      <c r="G574" s="154" t="s">
        <v>464</v>
      </c>
      <c r="H574" s="152">
        <v>197.76</v>
      </c>
      <c r="I574" s="152">
        <v>184.26</v>
      </c>
      <c r="J574" s="156"/>
      <c r="K574" s="156">
        <f>+Recap_Previo!H19</f>
        <v>3620.4</v>
      </c>
      <c r="L574" s="156">
        <f t="shared" si="1388"/>
        <v>3620.4</v>
      </c>
      <c r="M574" s="156">
        <f t="shared" si="1389"/>
        <v>0</v>
      </c>
      <c r="N574" s="156" t="s">
        <v>83</v>
      </c>
      <c r="O574" s="157" cm="1">
        <f t="array" ref="O574">TRUNC($H574*(1+_xlfn.SWITCH($N574,"BDI 1",$O$6,"BDI 2",$O$7,"BDI 3",$O$8)),2)</f>
        <v>238.69</v>
      </c>
      <c r="P574" s="157" cm="1">
        <f t="array" ref="P574">TRUNC($I574*(1+_xlfn.SWITCH($N574,"BDI 1",$P$6,"BDI 2",$P$7,"BDI 3",$P$8)),2)</f>
        <v>233.53</v>
      </c>
      <c r="Q574" s="157">
        <v>0</v>
      </c>
      <c r="R574" s="157">
        <f t="shared" ref="R574" si="1402">$Q574-($Q574*LICITACAO_DESCONTO)</f>
        <v>0</v>
      </c>
      <c r="S574" s="156">
        <f t="shared" si="1391"/>
        <v>864153.27</v>
      </c>
      <c r="T574" s="156">
        <f t="shared" si="1392"/>
        <v>845472.01</v>
      </c>
      <c r="U574" s="156">
        <f t="shared" si="1393"/>
        <v>0</v>
      </c>
      <c r="V574" s="156">
        <f t="shared" si="1394"/>
        <v>0</v>
      </c>
      <c r="W574" s="156">
        <f t="shared" si="1381"/>
        <v>0</v>
      </c>
      <c r="X574" s="158">
        <f t="shared" ref="X574" si="1403">$S574/ORCAMENTO_VALOR_TOTAL_ND</f>
        <v>0.27943971912907573</v>
      </c>
      <c r="Y574" s="158">
        <f t="shared" ref="Y574" si="1404">$T574/ORCAMENTO_VALOR_TOTAL_DE</f>
        <v>0.2485806179541821</v>
      </c>
      <c r="Z574" s="158" cm="1">
        <f t="array" ref="Z574">_xlfn.SWITCH($N574,"BDI 1",$O$6,"BDI 2",$O$7,"BDI 3",$O$8)</f>
        <v>0.20699999999999999</v>
      </c>
      <c r="AA574" s="158" cm="1">
        <f t="array" ref="AA574">_xlfn.SWITCH($N574,"BDI 1",$P$6,"BDI 2",$P$7,"BDI 3",$P$8)</f>
        <v>0.26739999999999997</v>
      </c>
      <c r="AB574" s="158">
        <f t="shared" ca="1" si="1397"/>
        <v>0</v>
      </c>
      <c r="AC574" s="158">
        <f t="shared" ca="1" si="1398"/>
        <v>0</v>
      </c>
      <c r="AD574" s="164"/>
      <c r="AE574" s="148">
        <f t="shared" ca="1" si="1384"/>
        <v>2</v>
      </c>
      <c r="AF574" s="149"/>
      <c r="AG574" s="150"/>
      <c r="AH574" s="159">
        <f t="shared" si="1385"/>
        <v>0.29901939759848978</v>
      </c>
      <c r="AI574" s="160"/>
      <c r="AJ574" s="105"/>
      <c r="AK574" s="105"/>
      <c r="AM574" s="105"/>
      <c r="AN574" s="105"/>
      <c r="AO574" s="105"/>
      <c r="AP574" s="105"/>
      <c r="AQ574" s="105"/>
      <c r="AR574" s="105"/>
    </row>
    <row r="575" spans="1:44" s="49" customFormat="1" ht="49.9" hidden="1" customHeight="1">
      <c r="A575" s="152">
        <f t="shared" ca="1" si="1386"/>
        <v>2.0199999999999996</v>
      </c>
      <c r="B575" s="153">
        <v>90105</v>
      </c>
      <c r="C575" s="154" t="str">
        <f t="shared" si="1387"/>
        <v>90105</v>
      </c>
      <c r="D575" s="154" t="s">
        <v>1416</v>
      </c>
      <c r="E575" s="155" t="s">
        <v>3630</v>
      </c>
      <c r="F575" s="154"/>
      <c r="G575" s="154" t="s">
        <v>464</v>
      </c>
      <c r="H575" s="152">
        <v>8.68</v>
      </c>
      <c r="I575" s="152">
        <v>8.3800000000000008</v>
      </c>
      <c r="J575" s="156"/>
      <c r="K575" s="156">
        <f>+Recap_Previo!H28</f>
        <v>0</v>
      </c>
      <c r="L575" s="156">
        <f t="shared" si="1388"/>
        <v>0</v>
      </c>
      <c r="M575" s="156">
        <f t="shared" si="1389"/>
        <v>0</v>
      </c>
      <c r="N575" s="156" t="s">
        <v>83</v>
      </c>
      <c r="O575" s="157" cm="1">
        <f t="array" ref="O575">TRUNC($H575*(1+_xlfn.SWITCH($N575,"BDI 1",$O$6,"BDI 2",$O$7,"BDI 3",$O$8)),2)</f>
        <v>10.47</v>
      </c>
      <c r="P575" s="157" cm="1">
        <f t="array" ref="P575">TRUNC($I575*(1+_xlfn.SWITCH($N575,"BDI 1",$P$6,"BDI 2",$P$7,"BDI 3",$P$8)),2)</f>
        <v>10.62</v>
      </c>
      <c r="Q575" s="157">
        <v>0</v>
      </c>
      <c r="R575" s="157">
        <f t="shared" ref="R575" si="1405">$Q575-($Q575*LICITACAO_DESCONTO)</f>
        <v>0</v>
      </c>
      <c r="S575" s="156">
        <f t="shared" si="1391"/>
        <v>0</v>
      </c>
      <c r="T575" s="156">
        <f t="shared" si="1392"/>
        <v>0</v>
      </c>
      <c r="U575" s="156">
        <f t="shared" si="1393"/>
        <v>0</v>
      </c>
      <c r="V575" s="156">
        <f t="shared" si="1394"/>
        <v>0</v>
      </c>
      <c r="W575" s="156">
        <f t="shared" si="1381"/>
        <v>0</v>
      </c>
      <c r="X575" s="158">
        <f t="shared" ref="X575" si="1406">$S575/ORCAMENTO_VALOR_TOTAL_ND</f>
        <v>0</v>
      </c>
      <c r="Y575" s="158">
        <f t="shared" ref="Y575" si="1407">$T575/ORCAMENTO_VALOR_TOTAL_DE</f>
        <v>0</v>
      </c>
      <c r="Z575" s="158" cm="1">
        <f t="array" ref="Z575">_xlfn.SWITCH($N575,"BDI 1",$O$6,"BDI 2",$O$7,"BDI 3",$O$8)</f>
        <v>0.20699999999999999</v>
      </c>
      <c r="AA575" s="158" cm="1">
        <f t="array" ref="AA575">_xlfn.SWITCH($N575,"BDI 1",$P$6,"BDI 2",$P$7,"BDI 3",$P$8)</f>
        <v>0.26739999999999997</v>
      </c>
      <c r="AB575" s="158">
        <f t="shared" ca="1" si="1397"/>
        <v>0</v>
      </c>
      <c r="AC575" s="158">
        <f t="shared" ca="1" si="1398"/>
        <v>0</v>
      </c>
      <c r="AD575" s="164"/>
      <c r="AE575" s="148">
        <f t="shared" si="1384"/>
        <v>0</v>
      </c>
      <c r="AF575" s="149"/>
      <c r="AG575" s="150"/>
      <c r="AH575" s="159">
        <f t="shared" si="1385"/>
        <v>0</v>
      </c>
      <c r="AI575" s="160"/>
      <c r="AJ575" s="105"/>
      <c r="AK575" s="105"/>
      <c r="AM575" s="105"/>
      <c r="AN575" s="105"/>
      <c r="AO575" s="105"/>
      <c r="AP575" s="105"/>
      <c r="AQ575" s="105"/>
      <c r="AR575" s="105"/>
    </row>
    <row r="576" spans="1:44" s="49" customFormat="1" ht="40.15" hidden="1" customHeight="1">
      <c r="A576" s="152">
        <f t="shared" ca="1" si="1386"/>
        <v>2.0199999999999996</v>
      </c>
      <c r="B576" s="153" t="s">
        <v>279</v>
      </c>
      <c r="C576" s="154" t="str">
        <f t="shared" si="1387"/>
        <v>PA/0010</v>
      </c>
      <c r="D576" s="154" t="s">
        <v>3549</v>
      </c>
      <c r="E576" s="155" t="s">
        <v>3878</v>
      </c>
      <c r="F576" s="154"/>
      <c r="G576" s="154" t="s">
        <v>464</v>
      </c>
      <c r="H576" s="152">
        <v>136.76</v>
      </c>
      <c r="I576" s="152">
        <v>136.53</v>
      </c>
      <c r="J576" s="156"/>
      <c r="K576" s="156">
        <f>+Recap_Previo!H32</f>
        <v>0</v>
      </c>
      <c r="L576" s="156">
        <f t="shared" si="1388"/>
        <v>0</v>
      </c>
      <c r="M576" s="156">
        <f t="shared" si="1389"/>
        <v>0</v>
      </c>
      <c r="N576" s="156" t="s">
        <v>83</v>
      </c>
      <c r="O576" s="157" cm="1">
        <f t="array" ref="O576">TRUNC($H576*(1+_xlfn.SWITCH($N576,"BDI 1",$O$6,"BDI 2",$O$7,"BDI 3",$O$8)),2)</f>
        <v>165.06</v>
      </c>
      <c r="P576" s="157" cm="1">
        <f t="array" ref="P576">TRUNC($I576*(1+_xlfn.SWITCH($N576,"BDI 1",$P$6,"BDI 2",$P$7,"BDI 3",$P$8)),2)</f>
        <v>173.03</v>
      </c>
      <c r="Q576" s="157">
        <v>0</v>
      </c>
      <c r="R576" s="157">
        <f t="shared" ref="R576" si="1408">$Q576-($Q576*LICITACAO_DESCONTO)</f>
        <v>0</v>
      </c>
      <c r="S576" s="156">
        <f t="shared" si="1391"/>
        <v>0</v>
      </c>
      <c r="T576" s="156">
        <f t="shared" si="1392"/>
        <v>0</v>
      </c>
      <c r="U576" s="156">
        <f t="shared" si="1393"/>
        <v>0</v>
      </c>
      <c r="V576" s="156">
        <f t="shared" si="1394"/>
        <v>0</v>
      </c>
      <c r="W576" s="156">
        <f t="shared" si="1381"/>
        <v>0</v>
      </c>
      <c r="X576" s="158">
        <f t="shared" ref="X576" si="1409">$S576/ORCAMENTO_VALOR_TOTAL_ND</f>
        <v>0</v>
      </c>
      <c r="Y576" s="158">
        <f t="shared" ref="Y576" si="1410">$T576/ORCAMENTO_VALOR_TOTAL_DE</f>
        <v>0</v>
      </c>
      <c r="Z576" s="158" cm="1">
        <f t="array" ref="Z576">_xlfn.SWITCH($N576,"BDI 1",$O$6,"BDI 2",$O$7,"BDI 3",$O$8)</f>
        <v>0.20699999999999999</v>
      </c>
      <c r="AA576" s="158" cm="1">
        <f t="array" ref="AA576">_xlfn.SWITCH($N576,"BDI 1",$P$6,"BDI 2",$P$7,"BDI 3",$P$8)</f>
        <v>0.26739999999999997</v>
      </c>
      <c r="AB576" s="158">
        <f t="shared" ca="1" si="1397"/>
        <v>0</v>
      </c>
      <c r="AC576" s="158">
        <f t="shared" ca="1" si="1398"/>
        <v>0</v>
      </c>
      <c r="AD576" s="164"/>
      <c r="AE576" s="148">
        <f t="shared" si="1384"/>
        <v>0</v>
      </c>
      <c r="AF576" s="149"/>
      <c r="AG576" s="150"/>
      <c r="AH576" s="159">
        <f t="shared" si="1385"/>
        <v>0</v>
      </c>
      <c r="AI576" s="160"/>
      <c r="AJ576" s="105"/>
      <c r="AK576" s="105"/>
      <c r="AM576" s="105"/>
      <c r="AN576" s="105"/>
      <c r="AO576" s="105"/>
      <c r="AP576" s="105"/>
      <c r="AQ576" s="105"/>
      <c r="AR576" s="105"/>
    </row>
    <row r="577" spans="1:44" s="49" customFormat="1" ht="40.15" hidden="1" customHeight="1">
      <c r="A577" s="152">
        <f t="shared" ca="1" si="1386"/>
        <v>2.0199999999999996</v>
      </c>
      <c r="B577" s="153" t="s">
        <v>133</v>
      </c>
      <c r="C577" s="154" t="str">
        <f t="shared" si="1387"/>
        <v>DR/0032</v>
      </c>
      <c r="D577" s="154" t="s">
        <v>3549</v>
      </c>
      <c r="E577" s="155" t="s">
        <v>3659</v>
      </c>
      <c r="F577" s="154"/>
      <c r="G577" s="154" t="s">
        <v>464</v>
      </c>
      <c r="H577" s="152">
        <v>258.72000000000003</v>
      </c>
      <c r="I577" s="152">
        <v>246.98</v>
      </c>
      <c r="J577" s="156"/>
      <c r="K577" s="156">
        <f>+Recap_Previo!H33</f>
        <v>0</v>
      </c>
      <c r="L577" s="156">
        <f t="shared" si="1388"/>
        <v>0</v>
      </c>
      <c r="M577" s="156">
        <f t="shared" si="1389"/>
        <v>0</v>
      </c>
      <c r="N577" s="156" t="s">
        <v>83</v>
      </c>
      <c r="O577" s="157" cm="1">
        <f t="array" ref="O577">TRUNC($H577*(1+_xlfn.SWITCH($N577,"BDI 1",$O$6,"BDI 2",$O$7,"BDI 3",$O$8)),2)</f>
        <v>312.27</v>
      </c>
      <c r="P577" s="157" cm="1">
        <f t="array" ref="P577">TRUNC($I577*(1+_xlfn.SWITCH($N577,"BDI 1",$P$6,"BDI 2",$P$7,"BDI 3",$P$8)),2)</f>
        <v>313.02</v>
      </c>
      <c r="Q577" s="157">
        <v>0</v>
      </c>
      <c r="R577" s="157">
        <f t="shared" ref="R577" si="1411">$Q577-($Q577*LICITACAO_DESCONTO)</f>
        <v>0</v>
      </c>
      <c r="S577" s="156">
        <f t="shared" si="1391"/>
        <v>0</v>
      </c>
      <c r="T577" s="156">
        <f t="shared" si="1392"/>
        <v>0</v>
      </c>
      <c r="U577" s="156">
        <f t="shared" si="1393"/>
        <v>0</v>
      </c>
      <c r="V577" s="156">
        <f t="shared" si="1394"/>
        <v>0</v>
      </c>
      <c r="W577" s="156">
        <f t="shared" si="1381"/>
        <v>0</v>
      </c>
      <c r="X577" s="158">
        <f t="shared" ref="X577" si="1412">$S577/ORCAMENTO_VALOR_TOTAL_ND</f>
        <v>0</v>
      </c>
      <c r="Y577" s="158">
        <f t="shared" ref="Y577" si="1413">$T577/ORCAMENTO_VALOR_TOTAL_DE</f>
        <v>0</v>
      </c>
      <c r="Z577" s="158" cm="1">
        <f t="array" ref="Z577">_xlfn.SWITCH($N577,"BDI 1",$O$6,"BDI 2",$O$7,"BDI 3",$O$8)</f>
        <v>0.20699999999999999</v>
      </c>
      <c r="AA577" s="158" cm="1">
        <f t="array" ref="AA577">_xlfn.SWITCH($N577,"BDI 1",$P$6,"BDI 2",$P$7,"BDI 3",$P$8)</f>
        <v>0.26739999999999997</v>
      </c>
      <c r="AB577" s="158">
        <f t="shared" ca="1" si="1397"/>
        <v>0</v>
      </c>
      <c r="AC577" s="158">
        <f t="shared" ca="1" si="1398"/>
        <v>0</v>
      </c>
      <c r="AD577" s="164"/>
      <c r="AE577" s="148">
        <f t="shared" si="1384"/>
        <v>0</v>
      </c>
      <c r="AF577" s="149"/>
      <c r="AG577" s="150"/>
      <c r="AH577" s="159">
        <f t="shared" si="1385"/>
        <v>0</v>
      </c>
      <c r="AI577" s="160"/>
      <c r="AJ577" s="105"/>
      <c r="AK577" s="105"/>
      <c r="AM577" s="105"/>
      <c r="AN577" s="105"/>
      <c r="AO577" s="105"/>
      <c r="AP577" s="105"/>
      <c r="AQ577" s="105"/>
      <c r="AR577" s="105"/>
    </row>
    <row r="578" spans="1:44" s="49" customFormat="1" ht="49.9" hidden="1" customHeight="1">
      <c r="A578" s="152">
        <f t="shared" ca="1" si="1386"/>
        <v>2.0199999999999996</v>
      </c>
      <c r="B578" s="153">
        <v>101230</v>
      </c>
      <c r="C578" s="154" t="str">
        <f t="shared" si="1387"/>
        <v>101230</v>
      </c>
      <c r="D578" s="154" t="s">
        <v>1416</v>
      </c>
      <c r="E578" s="155" t="s">
        <v>3677</v>
      </c>
      <c r="F578" s="154"/>
      <c r="G578" s="154" t="s">
        <v>464</v>
      </c>
      <c r="H578" s="152">
        <v>10.7</v>
      </c>
      <c r="I578" s="152">
        <v>10.73</v>
      </c>
      <c r="J578" s="156"/>
      <c r="K578" s="156">
        <f>IF(K579=0,Recap_Previo!H127,0)</f>
        <v>0</v>
      </c>
      <c r="L578" s="156">
        <f t="shared" si="1388"/>
        <v>0</v>
      </c>
      <c r="M578" s="156">
        <f t="shared" si="1389"/>
        <v>0</v>
      </c>
      <c r="N578" s="156" t="s">
        <v>83</v>
      </c>
      <c r="O578" s="157" cm="1">
        <f t="array" ref="O578">TRUNC($H578*(1+_xlfn.SWITCH($N578,"BDI 1",$O$6,"BDI 2",$O$7,"BDI 3",$O$8)),2)</f>
        <v>12.91</v>
      </c>
      <c r="P578" s="157" cm="1">
        <f t="array" ref="P578">TRUNC($I578*(1+_xlfn.SWITCH($N578,"BDI 1",$P$6,"BDI 2",$P$7,"BDI 3",$P$8)),2)</f>
        <v>13.59</v>
      </c>
      <c r="Q578" s="157">
        <v>0</v>
      </c>
      <c r="R578" s="157">
        <f t="shared" ref="R578" si="1414">$Q578-($Q578*LICITACAO_DESCONTO)</f>
        <v>0</v>
      </c>
      <c r="S578" s="156">
        <f t="shared" si="1391"/>
        <v>0</v>
      </c>
      <c r="T578" s="156">
        <f t="shared" si="1392"/>
        <v>0</v>
      </c>
      <c r="U578" s="156">
        <f t="shared" si="1393"/>
        <v>0</v>
      </c>
      <c r="V578" s="156">
        <f t="shared" si="1394"/>
        <v>0</v>
      </c>
      <c r="W578" s="156">
        <f t="shared" si="1381"/>
        <v>0</v>
      </c>
      <c r="X578" s="158">
        <f t="shared" ref="X578" si="1415">$S578/ORCAMENTO_VALOR_TOTAL_ND</f>
        <v>0</v>
      </c>
      <c r="Y578" s="158">
        <f t="shared" ref="Y578" si="1416">$T578/ORCAMENTO_VALOR_TOTAL_DE</f>
        <v>0</v>
      </c>
      <c r="Z578" s="158" cm="1">
        <f t="array" ref="Z578">_xlfn.SWITCH($N578,"BDI 1",$O$6,"BDI 2",$O$7,"BDI 3",$O$8)</f>
        <v>0.20699999999999999</v>
      </c>
      <c r="AA578" s="158" cm="1">
        <f t="array" ref="AA578">_xlfn.SWITCH($N578,"BDI 1",$P$6,"BDI 2",$P$7,"BDI 3",$P$8)</f>
        <v>0.26739999999999997</v>
      </c>
      <c r="AB578" s="158">
        <f t="shared" ca="1" si="1397"/>
        <v>0</v>
      </c>
      <c r="AC578" s="158">
        <f t="shared" ca="1" si="1398"/>
        <v>0</v>
      </c>
      <c r="AD578" s="164"/>
      <c r="AE578" s="148">
        <f t="shared" si="1384"/>
        <v>0</v>
      </c>
      <c r="AF578" s="149"/>
      <c r="AG578" s="150"/>
      <c r="AH578" s="159">
        <f t="shared" si="1385"/>
        <v>0</v>
      </c>
      <c r="AI578" s="160"/>
      <c r="AJ578" s="105"/>
      <c r="AK578" s="105"/>
      <c r="AM578" s="105"/>
      <c r="AN578" s="105"/>
      <c r="AO578" s="105"/>
      <c r="AP578" s="105"/>
      <c r="AQ578" s="105"/>
      <c r="AR578" s="105"/>
    </row>
    <row r="579" spans="1:44" s="49" customFormat="1" ht="40.15" hidden="1" customHeight="1">
      <c r="A579" s="152">
        <f t="shared" ca="1" si="1386"/>
        <v>2.0199999999999996</v>
      </c>
      <c r="B579" s="153">
        <v>6079</v>
      </c>
      <c r="C579" s="154" t="str">
        <f t="shared" si="1387"/>
        <v>6079</v>
      </c>
      <c r="D579" s="154" t="s">
        <v>3579</v>
      </c>
      <c r="E579" s="155" t="s">
        <v>3679</v>
      </c>
      <c r="F579" s="154"/>
      <c r="G579" s="154" t="s">
        <v>464</v>
      </c>
      <c r="H579" s="152">
        <v>37.35</v>
      </c>
      <c r="I579" s="152">
        <v>37.35</v>
      </c>
      <c r="J579" s="156"/>
      <c r="K579" s="156">
        <f>IF(AI579="COMERCIAL",Recap_Previo!H127,0)</f>
        <v>0</v>
      </c>
      <c r="L579" s="156">
        <f t="shared" si="1388"/>
        <v>0</v>
      </c>
      <c r="M579" s="156">
        <f t="shared" si="1389"/>
        <v>0</v>
      </c>
      <c r="N579" s="156" t="s">
        <v>92</v>
      </c>
      <c r="O579" s="157" cm="1">
        <f t="array" ref="O579">TRUNC($H579*(1+_xlfn.SWITCH($N579,"BDI 1",$O$6,"BDI 2",$O$7,"BDI 3",$O$8)),2)</f>
        <v>43.05</v>
      </c>
      <c r="P579" s="157" cm="1">
        <f t="array" ref="P579">TRUNC($I579*(1+_xlfn.SWITCH($N579,"BDI 1",$P$6,"BDI 2",$P$7,"BDI 3",$P$8)),2)</f>
        <v>43.05</v>
      </c>
      <c r="Q579" s="157">
        <v>0</v>
      </c>
      <c r="R579" s="157">
        <f t="shared" ref="R579" si="1417">$Q579-($Q579*LICITACAO_DESCONTO)</f>
        <v>0</v>
      </c>
      <c r="S579" s="156">
        <f t="shared" si="1391"/>
        <v>0</v>
      </c>
      <c r="T579" s="156">
        <f t="shared" si="1392"/>
        <v>0</v>
      </c>
      <c r="U579" s="156">
        <f t="shared" si="1393"/>
        <v>0</v>
      </c>
      <c r="V579" s="156">
        <f t="shared" si="1394"/>
        <v>0</v>
      </c>
      <c r="W579" s="156">
        <f t="shared" si="1381"/>
        <v>0</v>
      </c>
      <c r="X579" s="158">
        <f t="shared" ref="X579" si="1418">$S579/ORCAMENTO_VALOR_TOTAL_ND</f>
        <v>0</v>
      </c>
      <c r="Y579" s="158">
        <f t="shared" ref="Y579" si="1419">$T579/ORCAMENTO_VALOR_TOTAL_DE</f>
        <v>0</v>
      </c>
      <c r="Z579" s="158" cm="1">
        <f t="array" ref="Z579">_xlfn.SWITCH($N579,"BDI 1",$O$6,"BDI 2",$O$7,"BDI 3",$O$8)</f>
        <v>0.1527</v>
      </c>
      <c r="AA579" s="158" cm="1">
        <f t="array" ref="AA579">_xlfn.SWITCH($N579,"BDI 1",$P$6,"BDI 2",$P$7,"BDI 3",$P$8)</f>
        <v>0.1527</v>
      </c>
      <c r="AB579" s="158">
        <f t="shared" ca="1" si="1397"/>
        <v>0</v>
      </c>
      <c r="AC579" s="158">
        <f t="shared" ca="1" si="1398"/>
        <v>0</v>
      </c>
      <c r="AD579" s="164"/>
      <c r="AE579" s="148">
        <f t="shared" si="1384"/>
        <v>0</v>
      </c>
      <c r="AF579" s="149"/>
      <c r="AG579" s="150"/>
      <c r="AH579" s="159">
        <f t="shared" si="1385"/>
        <v>0</v>
      </c>
      <c r="AI579" s="165" t="s">
        <v>243</v>
      </c>
      <c r="AJ579" s="105"/>
      <c r="AK579" s="105"/>
      <c r="AM579" s="105"/>
      <c r="AN579" s="105"/>
      <c r="AO579" s="105"/>
      <c r="AP579" s="105"/>
      <c r="AQ579" s="105"/>
      <c r="AR579" s="105"/>
    </row>
    <row r="580" spans="1:44" s="49" customFormat="1" ht="40.15" hidden="1" customHeight="1">
      <c r="A580" s="152">
        <f t="shared" ca="1" si="1386"/>
        <v>2.0199999999999996</v>
      </c>
      <c r="B580" s="153">
        <v>96386</v>
      </c>
      <c r="C580" s="154" t="str">
        <f t="shared" si="1387"/>
        <v>96386</v>
      </c>
      <c r="D580" s="154" t="s">
        <v>1416</v>
      </c>
      <c r="E580" s="155" t="s">
        <v>3879</v>
      </c>
      <c r="F580" s="154"/>
      <c r="G580" s="154" t="s">
        <v>464</v>
      </c>
      <c r="H580" s="152">
        <v>8.4600000000000009</v>
      </c>
      <c r="I580" s="152">
        <v>8.3699999999999992</v>
      </c>
      <c r="J580" s="156"/>
      <c r="K580" s="156">
        <f>+Recap_Previo!H36</f>
        <v>0</v>
      </c>
      <c r="L580" s="156">
        <f t="shared" si="1388"/>
        <v>0</v>
      </c>
      <c r="M580" s="156">
        <f t="shared" si="1389"/>
        <v>0</v>
      </c>
      <c r="N580" s="156" t="s">
        <v>83</v>
      </c>
      <c r="O580" s="157" cm="1">
        <f t="array" ref="O580">TRUNC($H580*(1+_xlfn.SWITCH($N580,"BDI 1",$O$6,"BDI 2",$O$7,"BDI 3",$O$8)),2)</f>
        <v>10.210000000000001</v>
      </c>
      <c r="P580" s="157" cm="1">
        <f t="array" ref="P580">TRUNC($I580*(1+_xlfn.SWITCH($N580,"BDI 1",$P$6,"BDI 2",$P$7,"BDI 3",$P$8)),2)</f>
        <v>10.6</v>
      </c>
      <c r="Q580" s="157">
        <v>0</v>
      </c>
      <c r="R580" s="157">
        <f t="shared" ref="R580" si="1420">$Q580-($Q580*LICITACAO_DESCONTO)</f>
        <v>0</v>
      </c>
      <c r="S580" s="156">
        <f t="shared" si="1391"/>
        <v>0</v>
      </c>
      <c r="T580" s="156">
        <f t="shared" si="1392"/>
        <v>0</v>
      </c>
      <c r="U580" s="156">
        <f t="shared" si="1393"/>
        <v>0</v>
      </c>
      <c r="V580" s="156">
        <f t="shared" si="1394"/>
        <v>0</v>
      </c>
      <c r="W580" s="156">
        <f t="shared" si="1381"/>
        <v>0</v>
      </c>
      <c r="X580" s="158">
        <f t="shared" ref="X580" si="1421">$S580/ORCAMENTO_VALOR_TOTAL_ND</f>
        <v>0</v>
      </c>
      <c r="Y580" s="158">
        <f t="shared" ref="Y580" si="1422">$T580/ORCAMENTO_VALOR_TOTAL_DE</f>
        <v>0</v>
      </c>
      <c r="Z580" s="158" cm="1">
        <f t="array" ref="Z580">_xlfn.SWITCH($N580,"BDI 1",$O$6,"BDI 2",$O$7,"BDI 3",$O$8)</f>
        <v>0.20699999999999999</v>
      </c>
      <c r="AA580" s="158" cm="1">
        <f t="array" ref="AA580">_xlfn.SWITCH($N580,"BDI 1",$P$6,"BDI 2",$P$7,"BDI 3",$P$8)</f>
        <v>0.26739999999999997</v>
      </c>
      <c r="AB580" s="158">
        <f t="shared" ca="1" si="1397"/>
        <v>0</v>
      </c>
      <c r="AC580" s="158">
        <f t="shared" ca="1" si="1398"/>
        <v>0</v>
      </c>
      <c r="AD580" s="164"/>
      <c r="AE580" s="148">
        <f t="shared" si="1384"/>
        <v>0</v>
      </c>
      <c r="AF580" s="149"/>
      <c r="AG580" s="150"/>
      <c r="AH580" s="159">
        <f t="shared" si="1385"/>
        <v>0</v>
      </c>
      <c r="AI580" s="165" t="s">
        <v>280</v>
      </c>
      <c r="AJ580" s="105"/>
      <c r="AK580" s="105"/>
      <c r="AM580" s="105"/>
      <c r="AN580" s="105"/>
      <c r="AO580" s="105"/>
      <c r="AP580" s="105"/>
      <c r="AQ580" s="105"/>
      <c r="AR580" s="105"/>
    </row>
    <row r="581" spans="1:44" s="49" customFormat="1" ht="40.15" hidden="1" customHeight="1">
      <c r="A581" s="152">
        <f t="shared" ca="1" si="1386"/>
        <v>2.0199999999999996</v>
      </c>
      <c r="B581" s="153">
        <v>94319</v>
      </c>
      <c r="C581" s="154" t="str">
        <f t="shared" si="1387"/>
        <v>94319</v>
      </c>
      <c r="D581" s="154" t="s">
        <v>1416</v>
      </c>
      <c r="E581" s="155" t="s">
        <v>3880</v>
      </c>
      <c r="F581" s="154"/>
      <c r="G581" s="154" t="s">
        <v>464</v>
      </c>
      <c r="H581" s="152">
        <v>76.33</v>
      </c>
      <c r="I581" s="152">
        <v>77.02</v>
      </c>
      <c r="J581" s="156"/>
      <c r="K581" s="156">
        <f>+Recap_Previo!H37</f>
        <v>0</v>
      </c>
      <c r="L581" s="156">
        <f t="shared" si="1388"/>
        <v>0</v>
      </c>
      <c r="M581" s="156">
        <f t="shared" si="1389"/>
        <v>0</v>
      </c>
      <c r="N581" s="156" t="s">
        <v>83</v>
      </c>
      <c r="O581" s="157" cm="1">
        <f t="array" ref="O581">TRUNC($H581*(1+_xlfn.SWITCH($N581,"BDI 1",$O$6,"BDI 2",$O$7,"BDI 3",$O$8)),2)</f>
        <v>92.13</v>
      </c>
      <c r="P581" s="157" cm="1">
        <f t="array" ref="P581">TRUNC($I581*(1+_xlfn.SWITCH($N581,"BDI 1",$P$6,"BDI 2",$P$7,"BDI 3",$P$8)),2)</f>
        <v>97.61</v>
      </c>
      <c r="Q581" s="157">
        <v>0</v>
      </c>
      <c r="R581" s="157">
        <f t="shared" ref="R581" si="1423">$Q581-($Q581*LICITACAO_DESCONTO)</f>
        <v>0</v>
      </c>
      <c r="S581" s="156">
        <f t="shared" si="1391"/>
        <v>0</v>
      </c>
      <c r="T581" s="156">
        <f t="shared" si="1392"/>
        <v>0</v>
      </c>
      <c r="U581" s="156">
        <f t="shared" si="1393"/>
        <v>0</v>
      </c>
      <c r="V581" s="156">
        <f t="shared" si="1394"/>
        <v>0</v>
      </c>
      <c r="W581" s="156">
        <f t="shared" si="1381"/>
        <v>0</v>
      </c>
      <c r="X581" s="158">
        <f t="shared" ref="X581" si="1424">$S581/ORCAMENTO_VALOR_TOTAL_ND</f>
        <v>0</v>
      </c>
      <c r="Y581" s="158">
        <f t="shared" ref="Y581" si="1425">$T581/ORCAMENTO_VALOR_TOTAL_DE</f>
        <v>0</v>
      </c>
      <c r="Z581" s="158" cm="1">
        <f t="array" ref="Z581">_xlfn.SWITCH($N581,"BDI 1",$O$6,"BDI 2",$O$7,"BDI 3",$O$8)</f>
        <v>0.20699999999999999</v>
      </c>
      <c r="AA581" s="158" cm="1">
        <f t="array" ref="AA581">_xlfn.SWITCH($N581,"BDI 1",$P$6,"BDI 2",$P$7,"BDI 3",$P$8)</f>
        <v>0.26739999999999997</v>
      </c>
      <c r="AB581" s="158">
        <f t="shared" ca="1" si="1397"/>
        <v>0</v>
      </c>
      <c r="AC581" s="158">
        <f t="shared" ca="1" si="1398"/>
        <v>0</v>
      </c>
      <c r="AD581" s="164"/>
      <c r="AE581" s="148">
        <f t="shared" si="1384"/>
        <v>0</v>
      </c>
      <c r="AF581" s="149"/>
      <c r="AG581" s="150"/>
      <c r="AH581" s="159">
        <f t="shared" si="1385"/>
        <v>0</v>
      </c>
      <c r="AI581" s="160"/>
      <c r="AJ581" s="105"/>
      <c r="AK581" s="105"/>
      <c r="AM581" s="105"/>
      <c r="AN581" s="105"/>
      <c r="AO581" s="105"/>
      <c r="AP581" s="105"/>
      <c r="AQ581" s="105"/>
      <c r="AR581" s="105"/>
    </row>
    <row r="582" spans="1:44" s="49" customFormat="1" ht="40.15" hidden="1" customHeight="1">
      <c r="A582" s="152">
        <f t="shared" ca="1" si="1386"/>
        <v>2.0199999999999996</v>
      </c>
      <c r="B582" s="153" t="s">
        <v>281</v>
      </c>
      <c r="C582" s="154" t="str">
        <f t="shared" si="1387"/>
        <v>RE/0025</v>
      </c>
      <c r="D582" s="154" t="s">
        <v>3549</v>
      </c>
      <c r="E582" s="155" t="s">
        <v>3881</v>
      </c>
      <c r="F582" s="154"/>
      <c r="G582" s="154" t="s">
        <v>464</v>
      </c>
      <c r="H582" s="152">
        <v>4.3899999999999997</v>
      </c>
      <c r="I582" s="152">
        <v>4.32</v>
      </c>
      <c r="J582" s="156"/>
      <c r="K582" s="156">
        <f>+Recap_Previo!H48</f>
        <v>0</v>
      </c>
      <c r="L582" s="156">
        <f t="shared" si="1388"/>
        <v>0</v>
      </c>
      <c r="M582" s="156">
        <f t="shared" si="1389"/>
        <v>0</v>
      </c>
      <c r="N582" s="156" t="s">
        <v>83</v>
      </c>
      <c r="O582" s="157" cm="1">
        <f t="array" ref="O582">TRUNC($H582*(1+_xlfn.SWITCH($N582,"BDI 1",$O$6,"BDI 2",$O$7,"BDI 3",$O$8)),2)</f>
        <v>5.29</v>
      </c>
      <c r="P582" s="157" cm="1">
        <f t="array" ref="P582">TRUNC($I582*(1+_xlfn.SWITCH($N582,"BDI 1",$P$6,"BDI 2",$P$7,"BDI 3",$P$8)),2)</f>
        <v>5.47</v>
      </c>
      <c r="Q582" s="157">
        <v>0</v>
      </c>
      <c r="R582" s="157">
        <f t="shared" ref="R582" si="1426">$Q582-($Q582*LICITACAO_DESCONTO)</f>
        <v>0</v>
      </c>
      <c r="S582" s="156">
        <f t="shared" si="1391"/>
        <v>0</v>
      </c>
      <c r="T582" s="156">
        <f t="shared" si="1392"/>
        <v>0</v>
      </c>
      <c r="U582" s="156">
        <f t="shared" si="1393"/>
        <v>0</v>
      </c>
      <c r="V582" s="156">
        <f t="shared" si="1394"/>
        <v>0</v>
      </c>
      <c r="W582" s="156">
        <f t="shared" si="1381"/>
        <v>0</v>
      </c>
      <c r="X582" s="158">
        <f t="shared" ref="X582" si="1427">$S582/ORCAMENTO_VALOR_TOTAL_ND</f>
        <v>0</v>
      </c>
      <c r="Y582" s="158">
        <f t="shared" ref="Y582" si="1428">$T582/ORCAMENTO_VALOR_TOTAL_DE</f>
        <v>0</v>
      </c>
      <c r="Z582" s="158" cm="1">
        <f t="array" ref="Z582">_xlfn.SWITCH($N582,"BDI 1",$O$6,"BDI 2",$O$7,"BDI 3",$O$8)</f>
        <v>0.20699999999999999</v>
      </c>
      <c r="AA582" s="158" cm="1">
        <f t="array" ref="AA582">_xlfn.SWITCH($N582,"BDI 1",$P$6,"BDI 2",$P$7,"BDI 3",$P$8)</f>
        <v>0.26739999999999997</v>
      </c>
      <c r="AB582" s="158">
        <f t="shared" ca="1" si="1397"/>
        <v>0</v>
      </c>
      <c r="AC582" s="158">
        <f t="shared" ca="1" si="1398"/>
        <v>0</v>
      </c>
      <c r="AD582" s="164"/>
      <c r="AE582" s="148">
        <f t="shared" si="1384"/>
        <v>0</v>
      </c>
      <c r="AF582" s="149"/>
      <c r="AG582" s="150"/>
      <c r="AH582" s="159">
        <f t="shared" si="1385"/>
        <v>0</v>
      </c>
      <c r="AI582" s="160"/>
      <c r="AJ582" s="105"/>
      <c r="AK582" s="105"/>
      <c r="AM582" s="105"/>
      <c r="AN582" s="105"/>
      <c r="AO582" s="105"/>
      <c r="AP582" s="105"/>
      <c r="AQ582" s="105"/>
      <c r="AR582" s="105"/>
    </row>
    <row r="583" spans="1:44" s="49" customFormat="1" ht="40.15" hidden="1" customHeight="1">
      <c r="A583" s="152">
        <f t="shared" ca="1" si="1386"/>
        <v>2.0199999999999996</v>
      </c>
      <c r="B583" s="153" t="s">
        <v>282</v>
      </c>
      <c r="C583" s="154" t="str">
        <f t="shared" si="1387"/>
        <v>RE/0030</v>
      </c>
      <c r="D583" s="154" t="s">
        <v>3549</v>
      </c>
      <c r="E583" s="155" t="s">
        <v>3882</v>
      </c>
      <c r="F583" s="154"/>
      <c r="G583" s="154" t="s">
        <v>464</v>
      </c>
      <c r="H583" s="152">
        <v>1.47</v>
      </c>
      <c r="I583" s="152">
        <v>1.44</v>
      </c>
      <c r="J583" s="156"/>
      <c r="K583" s="156">
        <f>+Recap_Previo!H54</f>
        <v>0</v>
      </c>
      <c r="L583" s="156">
        <f t="shared" si="1388"/>
        <v>0</v>
      </c>
      <c r="M583" s="156">
        <f t="shared" si="1389"/>
        <v>0</v>
      </c>
      <c r="N583" s="156" t="s">
        <v>83</v>
      </c>
      <c r="O583" s="157" cm="1">
        <f t="array" ref="O583">TRUNC($H583*(1+_xlfn.SWITCH($N583,"BDI 1",$O$6,"BDI 2",$O$7,"BDI 3",$O$8)),2)</f>
        <v>1.77</v>
      </c>
      <c r="P583" s="157" cm="1">
        <f t="array" ref="P583">TRUNC($I583*(1+_xlfn.SWITCH($N583,"BDI 1",$P$6,"BDI 2",$P$7,"BDI 3",$P$8)),2)</f>
        <v>1.82</v>
      </c>
      <c r="Q583" s="157">
        <v>0</v>
      </c>
      <c r="R583" s="157">
        <f t="shared" ref="R583" si="1429">$Q583-($Q583*LICITACAO_DESCONTO)</f>
        <v>0</v>
      </c>
      <c r="S583" s="156">
        <f t="shared" si="1391"/>
        <v>0</v>
      </c>
      <c r="T583" s="156">
        <f t="shared" si="1392"/>
        <v>0</v>
      </c>
      <c r="U583" s="156">
        <f t="shared" si="1393"/>
        <v>0</v>
      </c>
      <c r="V583" s="156">
        <f t="shared" si="1394"/>
        <v>0</v>
      </c>
      <c r="W583" s="156">
        <f t="shared" si="1381"/>
        <v>0</v>
      </c>
      <c r="X583" s="158">
        <f t="shared" ref="X583" si="1430">$S583/ORCAMENTO_VALOR_TOTAL_ND</f>
        <v>0</v>
      </c>
      <c r="Y583" s="158">
        <f t="shared" ref="Y583" si="1431">$T583/ORCAMENTO_VALOR_TOTAL_DE</f>
        <v>0</v>
      </c>
      <c r="Z583" s="158" cm="1">
        <f t="array" ref="Z583">_xlfn.SWITCH($N583,"BDI 1",$O$6,"BDI 2",$O$7,"BDI 3",$O$8)</f>
        <v>0.20699999999999999</v>
      </c>
      <c r="AA583" s="158" cm="1">
        <f t="array" ref="AA583">_xlfn.SWITCH($N583,"BDI 1",$P$6,"BDI 2",$P$7,"BDI 3",$P$8)</f>
        <v>0.26739999999999997</v>
      </c>
      <c r="AB583" s="158">
        <f t="shared" ca="1" si="1397"/>
        <v>0</v>
      </c>
      <c r="AC583" s="158">
        <f t="shared" ca="1" si="1398"/>
        <v>0</v>
      </c>
      <c r="AD583" s="164"/>
      <c r="AE583" s="148">
        <f t="shared" si="1384"/>
        <v>0</v>
      </c>
      <c r="AF583" s="149"/>
      <c r="AG583" s="150"/>
      <c r="AH583" s="159">
        <f t="shared" si="1385"/>
        <v>0</v>
      </c>
      <c r="AI583" s="160"/>
      <c r="AJ583" s="105"/>
      <c r="AK583" s="105"/>
      <c r="AM583" s="105"/>
      <c r="AN583" s="105"/>
      <c r="AO583" s="105"/>
      <c r="AP583" s="105"/>
      <c r="AQ583" s="105"/>
      <c r="AR583" s="105"/>
    </row>
    <row r="584" spans="1:44" s="49" customFormat="1" ht="49.9" hidden="1" customHeight="1">
      <c r="A584" s="152">
        <f t="shared" ca="1" si="1386"/>
        <v>2.0199999999999996</v>
      </c>
      <c r="B584" s="153" t="s">
        <v>283</v>
      </c>
      <c r="C584" s="154" t="str">
        <f t="shared" si="1387"/>
        <v>RE/0035</v>
      </c>
      <c r="D584" s="154" t="s">
        <v>3549</v>
      </c>
      <c r="E584" s="155" t="s">
        <v>3883</v>
      </c>
      <c r="F584" s="154"/>
      <c r="G584" s="154" t="s">
        <v>464</v>
      </c>
      <c r="H584" s="152">
        <v>86.43</v>
      </c>
      <c r="I584" s="152">
        <v>78.77</v>
      </c>
      <c r="J584" s="156"/>
      <c r="K584" s="156">
        <f>+Recap_Previo!H41</f>
        <v>0</v>
      </c>
      <c r="L584" s="156">
        <f t="shared" si="1388"/>
        <v>0</v>
      </c>
      <c r="M584" s="156">
        <f t="shared" si="1389"/>
        <v>0</v>
      </c>
      <c r="N584" s="156" t="s">
        <v>83</v>
      </c>
      <c r="O584" s="157" cm="1">
        <f t="array" ref="O584">TRUNC($H584*(1+_xlfn.SWITCH($N584,"BDI 1",$O$6,"BDI 2",$O$7,"BDI 3",$O$8)),2)</f>
        <v>104.32</v>
      </c>
      <c r="P584" s="157" cm="1">
        <f t="array" ref="P584">TRUNC($I584*(1+_xlfn.SWITCH($N584,"BDI 1",$P$6,"BDI 2",$P$7,"BDI 3",$P$8)),2)</f>
        <v>99.83</v>
      </c>
      <c r="Q584" s="157">
        <v>0</v>
      </c>
      <c r="R584" s="157">
        <f t="shared" ref="R584" si="1432">$Q584-($Q584*LICITACAO_DESCONTO)</f>
        <v>0</v>
      </c>
      <c r="S584" s="156">
        <f t="shared" si="1391"/>
        <v>0</v>
      </c>
      <c r="T584" s="156">
        <f t="shared" si="1392"/>
        <v>0</v>
      </c>
      <c r="U584" s="156">
        <f t="shared" si="1393"/>
        <v>0</v>
      </c>
      <c r="V584" s="156">
        <f t="shared" si="1394"/>
        <v>0</v>
      </c>
      <c r="W584" s="156">
        <f t="shared" si="1381"/>
        <v>0</v>
      </c>
      <c r="X584" s="158">
        <f t="shared" ref="X584" si="1433">$S584/ORCAMENTO_VALOR_TOTAL_ND</f>
        <v>0</v>
      </c>
      <c r="Y584" s="158">
        <f t="shared" ref="Y584" si="1434">$T584/ORCAMENTO_VALOR_TOTAL_DE</f>
        <v>0</v>
      </c>
      <c r="Z584" s="158" cm="1">
        <f t="array" ref="Z584">_xlfn.SWITCH($N584,"BDI 1",$O$6,"BDI 2",$O$7,"BDI 3",$O$8)</f>
        <v>0.20699999999999999</v>
      </c>
      <c r="AA584" s="158" cm="1">
        <f t="array" ref="AA584">_xlfn.SWITCH($N584,"BDI 1",$P$6,"BDI 2",$P$7,"BDI 3",$P$8)</f>
        <v>0.26739999999999997</v>
      </c>
      <c r="AB584" s="158">
        <f t="shared" ca="1" si="1397"/>
        <v>0</v>
      </c>
      <c r="AC584" s="158">
        <f t="shared" ca="1" si="1398"/>
        <v>0</v>
      </c>
      <c r="AD584" s="164"/>
      <c r="AE584" s="148">
        <f t="shared" si="1384"/>
        <v>0</v>
      </c>
      <c r="AF584" s="149"/>
      <c r="AG584" s="150"/>
      <c r="AH584" s="159">
        <f t="shared" si="1385"/>
        <v>0</v>
      </c>
      <c r="AI584" s="160"/>
      <c r="AJ584" s="105"/>
      <c r="AK584" s="105"/>
      <c r="AM584" s="105"/>
      <c r="AN584" s="105"/>
      <c r="AO584" s="105"/>
      <c r="AP584" s="105"/>
      <c r="AQ584" s="105"/>
      <c r="AR584" s="105"/>
    </row>
    <row r="585" spans="1:44" s="49" customFormat="1" ht="49.9" hidden="1" customHeight="1">
      <c r="A585" s="152">
        <f t="shared" ca="1" si="1386"/>
        <v>2.0199999999999996</v>
      </c>
      <c r="B585" s="153">
        <v>100565</v>
      </c>
      <c r="C585" s="154" t="str">
        <f t="shared" si="1387"/>
        <v>100565</v>
      </c>
      <c r="D585" s="154" t="s">
        <v>1416</v>
      </c>
      <c r="E585" s="155" t="s">
        <v>3884</v>
      </c>
      <c r="F585" s="154"/>
      <c r="G585" s="154" t="s">
        <v>464</v>
      </c>
      <c r="H585" s="152">
        <v>88.59</v>
      </c>
      <c r="I585" s="152">
        <v>91.01</v>
      </c>
      <c r="J585" s="156"/>
      <c r="K585" s="156">
        <f>+Recap_Previo!H74</f>
        <v>0</v>
      </c>
      <c r="L585" s="156">
        <f t="shared" si="1388"/>
        <v>0</v>
      </c>
      <c r="M585" s="156">
        <f t="shared" si="1389"/>
        <v>0</v>
      </c>
      <c r="N585" s="156" t="s">
        <v>83</v>
      </c>
      <c r="O585" s="157" cm="1">
        <f t="array" ref="O585">TRUNC($H585*(1+_xlfn.SWITCH($N585,"BDI 1",$O$6,"BDI 2",$O$7,"BDI 3",$O$8)),2)</f>
        <v>106.92</v>
      </c>
      <c r="P585" s="157" cm="1">
        <f t="array" ref="P585">TRUNC($I585*(1+_xlfn.SWITCH($N585,"BDI 1",$P$6,"BDI 2",$P$7,"BDI 3",$P$8)),2)</f>
        <v>115.34</v>
      </c>
      <c r="Q585" s="157">
        <v>0</v>
      </c>
      <c r="R585" s="157">
        <f t="shared" ref="R585" si="1435">$Q585-($Q585*LICITACAO_DESCONTO)</f>
        <v>0</v>
      </c>
      <c r="S585" s="156">
        <f t="shared" si="1391"/>
        <v>0</v>
      </c>
      <c r="T585" s="156">
        <f t="shared" si="1392"/>
        <v>0</v>
      </c>
      <c r="U585" s="156">
        <f t="shared" si="1393"/>
        <v>0</v>
      </c>
      <c r="V585" s="156">
        <f t="shared" si="1394"/>
        <v>0</v>
      </c>
      <c r="W585" s="156">
        <f t="shared" si="1381"/>
        <v>0</v>
      </c>
      <c r="X585" s="158">
        <f t="shared" ref="X585" si="1436">$S585/ORCAMENTO_VALOR_TOTAL_ND</f>
        <v>0</v>
      </c>
      <c r="Y585" s="158">
        <f t="shared" ref="Y585" si="1437">$T585/ORCAMENTO_VALOR_TOTAL_DE</f>
        <v>0</v>
      </c>
      <c r="Z585" s="158" cm="1">
        <f t="array" ref="Z585">_xlfn.SWITCH($N585,"BDI 1",$O$6,"BDI 2",$O$7,"BDI 3",$O$8)</f>
        <v>0.20699999999999999</v>
      </c>
      <c r="AA585" s="158" cm="1">
        <f t="array" ref="AA585">_xlfn.SWITCH($N585,"BDI 1",$P$6,"BDI 2",$P$7,"BDI 3",$P$8)</f>
        <v>0.26739999999999997</v>
      </c>
      <c r="AB585" s="158">
        <f t="shared" ca="1" si="1397"/>
        <v>0</v>
      </c>
      <c r="AC585" s="158">
        <f t="shared" ca="1" si="1398"/>
        <v>0</v>
      </c>
      <c r="AD585" s="164"/>
      <c r="AE585" s="148">
        <f t="shared" si="1384"/>
        <v>0</v>
      </c>
      <c r="AF585" s="149"/>
      <c r="AG585" s="150"/>
      <c r="AH585" s="159">
        <f t="shared" si="1385"/>
        <v>0</v>
      </c>
      <c r="AI585" s="160"/>
      <c r="AJ585" s="105"/>
      <c r="AK585" s="105"/>
      <c r="AM585" s="105"/>
      <c r="AN585" s="105"/>
      <c r="AO585" s="105"/>
      <c r="AP585" s="105"/>
      <c r="AQ585" s="105"/>
      <c r="AR585" s="105"/>
    </row>
    <row r="586" spans="1:44" s="49" customFormat="1" ht="49.9" hidden="1" customHeight="1">
      <c r="A586" s="152">
        <f t="shared" ca="1" si="1386"/>
        <v>2.0199999999999996</v>
      </c>
      <c r="B586" s="153">
        <v>101768</v>
      </c>
      <c r="C586" s="154" t="str">
        <f t="shared" si="1387"/>
        <v>101768</v>
      </c>
      <c r="D586" s="154" t="s">
        <v>1416</v>
      </c>
      <c r="E586" s="155" t="s">
        <v>3871</v>
      </c>
      <c r="F586" s="154"/>
      <c r="G586" s="154" t="s">
        <v>464</v>
      </c>
      <c r="H586" s="152">
        <v>23.65</v>
      </c>
      <c r="I586" s="152">
        <v>23.25</v>
      </c>
      <c r="J586" s="156"/>
      <c r="K586" s="156">
        <f>+Recap_Previo!H75</f>
        <v>0</v>
      </c>
      <c r="L586" s="156">
        <f t="shared" si="1388"/>
        <v>0</v>
      </c>
      <c r="M586" s="156">
        <f t="shared" si="1389"/>
        <v>0</v>
      </c>
      <c r="N586" s="156" t="s">
        <v>83</v>
      </c>
      <c r="O586" s="157" cm="1">
        <f t="array" ref="O586">TRUNC($H586*(1+_xlfn.SWITCH($N586,"BDI 1",$O$6,"BDI 2",$O$7,"BDI 3",$O$8)),2)</f>
        <v>28.54</v>
      </c>
      <c r="P586" s="157" cm="1">
        <f t="array" ref="P586">TRUNC($I586*(1+_xlfn.SWITCH($N586,"BDI 1",$P$6,"BDI 2",$P$7,"BDI 3",$P$8)),2)</f>
        <v>29.46</v>
      </c>
      <c r="Q586" s="157">
        <v>0</v>
      </c>
      <c r="R586" s="157">
        <f t="shared" ref="R586" si="1438">$Q586-($Q586*LICITACAO_DESCONTO)</f>
        <v>0</v>
      </c>
      <c r="S586" s="156">
        <f t="shared" si="1391"/>
        <v>0</v>
      </c>
      <c r="T586" s="156">
        <f t="shared" si="1392"/>
        <v>0</v>
      </c>
      <c r="U586" s="156">
        <f t="shared" si="1393"/>
        <v>0</v>
      </c>
      <c r="V586" s="156">
        <f t="shared" si="1394"/>
        <v>0</v>
      </c>
      <c r="W586" s="156">
        <f t="shared" si="1381"/>
        <v>0</v>
      </c>
      <c r="X586" s="158">
        <f t="shared" ref="X586" si="1439">$S586/ORCAMENTO_VALOR_TOTAL_ND</f>
        <v>0</v>
      </c>
      <c r="Y586" s="158">
        <f t="shared" ref="Y586" si="1440">$T586/ORCAMENTO_VALOR_TOTAL_DE</f>
        <v>0</v>
      </c>
      <c r="Z586" s="158" cm="1">
        <f t="array" ref="Z586">_xlfn.SWITCH($N586,"BDI 1",$O$6,"BDI 2",$O$7,"BDI 3",$O$8)</f>
        <v>0.20699999999999999</v>
      </c>
      <c r="AA586" s="158" cm="1">
        <f t="array" ref="AA586">_xlfn.SWITCH($N586,"BDI 1",$P$6,"BDI 2",$P$7,"BDI 3",$P$8)</f>
        <v>0.26739999999999997</v>
      </c>
      <c r="AB586" s="158">
        <f t="shared" ca="1" si="1397"/>
        <v>0</v>
      </c>
      <c r="AC586" s="158">
        <f t="shared" ca="1" si="1398"/>
        <v>0</v>
      </c>
      <c r="AD586" s="164"/>
      <c r="AE586" s="148">
        <f t="shared" si="1384"/>
        <v>0</v>
      </c>
      <c r="AF586" s="149"/>
      <c r="AG586" s="150"/>
      <c r="AH586" s="159">
        <f t="shared" si="1385"/>
        <v>0</v>
      </c>
      <c r="AI586" s="160"/>
      <c r="AJ586" s="105"/>
      <c r="AK586" s="105"/>
      <c r="AM586" s="105"/>
      <c r="AN586" s="105"/>
      <c r="AO586" s="105"/>
      <c r="AP586" s="105"/>
      <c r="AQ586" s="105"/>
      <c r="AR586" s="105"/>
    </row>
    <row r="587" spans="1:44" s="49" customFormat="1" ht="40.15" hidden="1" customHeight="1">
      <c r="A587" s="152">
        <f t="shared" ca="1" si="1386"/>
        <v>2.0199999999999996</v>
      </c>
      <c r="B587" s="153" t="s">
        <v>248</v>
      </c>
      <c r="C587" s="154" t="str">
        <f t="shared" si="1387"/>
        <v>PA/0020</v>
      </c>
      <c r="D587" s="154" t="s">
        <v>3549</v>
      </c>
      <c r="E587" s="155" t="s">
        <v>3873</v>
      </c>
      <c r="F587" s="154"/>
      <c r="G587" s="154" t="s">
        <v>464</v>
      </c>
      <c r="H587" s="152">
        <v>13.37</v>
      </c>
      <c r="I587" s="152">
        <v>13.23</v>
      </c>
      <c r="J587" s="156"/>
      <c r="K587" s="156">
        <f>+Recap_Previo!H76+Recap_Previo!H77</f>
        <v>0</v>
      </c>
      <c r="L587" s="156">
        <f t="shared" si="1388"/>
        <v>0</v>
      </c>
      <c r="M587" s="156">
        <f t="shared" si="1389"/>
        <v>0</v>
      </c>
      <c r="N587" s="156" t="s">
        <v>83</v>
      </c>
      <c r="O587" s="157" cm="1">
        <f t="array" ref="O587">TRUNC($H587*(1+_xlfn.SWITCH($N587,"BDI 1",$O$6,"BDI 2",$O$7,"BDI 3",$O$8)),2)</f>
        <v>16.13</v>
      </c>
      <c r="P587" s="157" cm="1">
        <f t="array" ref="P587">TRUNC($I587*(1+_xlfn.SWITCH($N587,"BDI 1",$P$6,"BDI 2",$P$7,"BDI 3",$P$8)),2)</f>
        <v>16.760000000000002</v>
      </c>
      <c r="Q587" s="157">
        <v>0</v>
      </c>
      <c r="R587" s="157">
        <f t="shared" ref="R587" si="1441">$Q587-($Q587*LICITACAO_DESCONTO)</f>
        <v>0</v>
      </c>
      <c r="S587" s="156">
        <f t="shared" si="1391"/>
        <v>0</v>
      </c>
      <c r="T587" s="156">
        <f t="shared" si="1392"/>
        <v>0</v>
      </c>
      <c r="U587" s="156">
        <f t="shared" si="1393"/>
        <v>0</v>
      </c>
      <c r="V587" s="156">
        <f t="shared" si="1394"/>
        <v>0</v>
      </c>
      <c r="W587" s="156">
        <f t="shared" si="1381"/>
        <v>0</v>
      </c>
      <c r="X587" s="158">
        <f t="shared" ref="X587" si="1442">$S587/ORCAMENTO_VALOR_TOTAL_ND</f>
        <v>0</v>
      </c>
      <c r="Y587" s="158">
        <f t="shared" ref="Y587" si="1443">$T587/ORCAMENTO_VALOR_TOTAL_DE</f>
        <v>0</v>
      </c>
      <c r="Z587" s="158" cm="1">
        <f t="array" ref="Z587">_xlfn.SWITCH($N587,"BDI 1",$O$6,"BDI 2",$O$7,"BDI 3",$O$8)</f>
        <v>0.20699999999999999</v>
      </c>
      <c r="AA587" s="158" cm="1">
        <f t="array" ref="AA587">_xlfn.SWITCH($N587,"BDI 1",$P$6,"BDI 2",$P$7,"BDI 3",$P$8)</f>
        <v>0.26739999999999997</v>
      </c>
      <c r="AB587" s="158">
        <f t="shared" ca="1" si="1397"/>
        <v>0</v>
      </c>
      <c r="AC587" s="158">
        <f t="shared" ca="1" si="1398"/>
        <v>0</v>
      </c>
      <c r="AD587" s="164"/>
      <c r="AE587" s="148">
        <f t="shared" si="1384"/>
        <v>0</v>
      </c>
      <c r="AF587" s="149"/>
      <c r="AG587" s="150"/>
      <c r="AH587" s="159">
        <f t="shared" si="1385"/>
        <v>0</v>
      </c>
      <c r="AI587" s="160"/>
      <c r="AJ587" s="105"/>
      <c r="AK587" s="105"/>
      <c r="AM587" s="105"/>
      <c r="AN587" s="105"/>
      <c r="AO587" s="105"/>
      <c r="AP587" s="105"/>
      <c r="AQ587" s="105"/>
      <c r="AR587" s="105"/>
    </row>
    <row r="588" spans="1:44" s="49" customFormat="1" ht="40.15" hidden="1" customHeight="1">
      <c r="A588" s="152">
        <f t="shared" ca="1" si="1386"/>
        <v>2.0199999999999996</v>
      </c>
      <c r="B588" s="153" t="s">
        <v>284</v>
      </c>
      <c r="C588" s="154" t="str">
        <f t="shared" si="1387"/>
        <v>RE/0060</v>
      </c>
      <c r="D588" s="154" t="s">
        <v>3549</v>
      </c>
      <c r="E588" s="155" t="s">
        <v>3885</v>
      </c>
      <c r="F588" s="154"/>
      <c r="G588" s="154" t="s">
        <v>464</v>
      </c>
      <c r="H588" s="152">
        <v>39.46</v>
      </c>
      <c r="I588" s="152">
        <v>39.24</v>
      </c>
      <c r="J588" s="156"/>
      <c r="K588" s="156">
        <f>+Recap_Previo!H84</f>
        <v>0</v>
      </c>
      <c r="L588" s="156">
        <f t="shared" si="1388"/>
        <v>0</v>
      </c>
      <c r="M588" s="156">
        <f t="shared" si="1389"/>
        <v>0</v>
      </c>
      <c r="N588" s="156" t="s">
        <v>83</v>
      </c>
      <c r="O588" s="157" cm="1">
        <f t="array" ref="O588">TRUNC($H588*(1+_xlfn.SWITCH($N588,"BDI 1",$O$6,"BDI 2",$O$7,"BDI 3",$O$8)),2)</f>
        <v>47.62</v>
      </c>
      <c r="P588" s="157" cm="1">
        <f t="array" ref="P588">TRUNC($I588*(1+_xlfn.SWITCH($N588,"BDI 1",$P$6,"BDI 2",$P$7,"BDI 3",$P$8)),2)</f>
        <v>49.73</v>
      </c>
      <c r="Q588" s="157">
        <v>0</v>
      </c>
      <c r="R588" s="157">
        <f t="shared" ref="R588" si="1444">$Q588-($Q588*LICITACAO_DESCONTO)</f>
        <v>0</v>
      </c>
      <c r="S588" s="156">
        <f t="shared" si="1391"/>
        <v>0</v>
      </c>
      <c r="T588" s="156">
        <f t="shared" si="1392"/>
        <v>0</v>
      </c>
      <c r="U588" s="156">
        <f t="shared" si="1393"/>
        <v>0</v>
      </c>
      <c r="V588" s="156">
        <f t="shared" si="1394"/>
        <v>0</v>
      </c>
      <c r="W588" s="156">
        <f t="shared" si="1381"/>
        <v>0</v>
      </c>
      <c r="X588" s="158">
        <f t="shared" ref="X588" si="1445">$S588/ORCAMENTO_VALOR_TOTAL_ND</f>
        <v>0</v>
      </c>
      <c r="Y588" s="158">
        <f t="shared" ref="Y588" si="1446">$T588/ORCAMENTO_VALOR_TOTAL_DE</f>
        <v>0</v>
      </c>
      <c r="Z588" s="158" cm="1">
        <f t="array" ref="Z588">_xlfn.SWITCH($N588,"BDI 1",$O$6,"BDI 2",$O$7,"BDI 3",$O$8)</f>
        <v>0.20699999999999999</v>
      </c>
      <c r="AA588" s="158" cm="1">
        <f t="array" ref="AA588">_xlfn.SWITCH($N588,"BDI 1",$P$6,"BDI 2",$P$7,"BDI 3",$P$8)</f>
        <v>0.26739999999999997</v>
      </c>
      <c r="AB588" s="158">
        <f t="shared" ca="1" si="1397"/>
        <v>0</v>
      </c>
      <c r="AC588" s="158">
        <f t="shared" ca="1" si="1398"/>
        <v>0</v>
      </c>
      <c r="AD588" s="164"/>
      <c r="AE588" s="148">
        <f t="shared" si="1384"/>
        <v>0</v>
      </c>
      <c r="AF588" s="149"/>
      <c r="AG588" s="150"/>
      <c r="AH588" s="159">
        <f t="shared" si="1385"/>
        <v>0</v>
      </c>
      <c r="AI588" s="160"/>
      <c r="AJ588" s="105"/>
      <c r="AK588" s="105"/>
      <c r="AM588" s="105"/>
      <c r="AN588" s="105"/>
      <c r="AO588" s="105"/>
      <c r="AP588" s="105"/>
      <c r="AQ588" s="105"/>
      <c r="AR588" s="105"/>
    </row>
    <row r="589" spans="1:44" s="49" customFormat="1" ht="40.15" hidden="1" customHeight="1">
      <c r="A589" s="152">
        <f t="shared" ca="1" si="1386"/>
        <v>2.0199999999999996</v>
      </c>
      <c r="B589" s="153" t="s">
        <v>285</v>
      </c>
      <c r="C589" s="154" t="str">
        <f t="shared" si="1387"/>
        <v>RE/0065</v>
      </c>
      <c r="D589" s="154" t="s">
        <v>3549</v>
      </c>
      <c r="E589" s="155" t="s">
        <v>3886</v>
      </c>
      <c r="F589" s="154"/>
      <c r="G589" s="154" t="s">
        <v>464</v>
      </c>
      <c r="H589" s="152">
        <v>41.1</v>
      </c>
      <c r="I589" s="152">
        <v>40.909999999999997</v>
      </c>
      <c r="J589" s="156"/>
      <c r="K589" s="156">
        <f>+Recap_Previo!H85</f>
        <v>0</v>
      </c>
      <c r="L589" s="156">
        <f t="shared" si="1388"/>
        <v>0</v>
      </c>
      <c r="M589" s="156">
        <f t="shared" si="1389"/>
        <v>0</v>
      </c>
      <c r="N589" s="156" t="s">
        <v>83</v>
      </c>
      <c r="O589" s="157" cm="1">
        <f t="array" ref="O589">TRUNC($H589*(1+_xlfn.SWITCH($N589,"BDI 1",$O$6,"BDI 2",$O$7,"BDI 3",$O$8)),2)</f>
        <v>49.6</v>
      </c>
      <c r="P589" s="157" cm="1">
        <f t="array" ref="P589">TRUNC($I589*(1+_xlfn.SWITCH($N589,"BDI 1",$P$6,"BDI 2",$P$7,"BDI 3",$P$8)),2)</f>
        <v>51.84</v>
      </c>
      <c r="Q589" s="157">
        <v>0</v>
      </c>
      <c r="R589" s="157">
        <f t="shared" ref="R589" si="1447">$Q589-($Q589*LICITACAO_DESCONTO)</f>
        <v>0</v>
      </c>
      <c r="S589" s="156">
        <f t="shared" si="1391"/>
        <v>0</v>
      </c>
      <c r="T589" s="156">
        <f t="shared" si="1392"/>
        <v>0</v>
      </c>
      <c r="U589" s="156">
        <f t="shared" si="1393"/>
        <v>0</v>
      </c>
      <c r="V589" s="156">
        <f t="shared" si="1394"/>
        <v>0</v>
      </c>
      <c r="W589" s="156">
        <f t="shared" si="1381"/>
        <v>0</v>
      </c>
      <c r="X589" s="158">
        <f t="shared" ref="X589" si="1448">$S589/ORCAMENTO_VALOR_TOTAL_ND</f>
        <v>0</v>
      </c>
      <c r="Y589" s="158">
        <f t="shared" ref="Y589" si="1449">$T589/ORCAMENTO_VALOR_TOTAL_DE</f>
        <v>0</v>
      </c>
      <c r="Z589" s="158" cm="1">
        <f t="array" ref="Z589">_xlfn.SWITCH($N589,"BDI 1",$O$6,"BDI 2",$O$7,"BDI 3",$O$8)</f>
        <v>0.20699999999999999</v>
      </c>
      <c r="AA589" s="158" cm="1">
        <f t="array" ref="AA589">_xlfn.SWITCH($N589,"BDI 1",$P$6,"BDI 2",$P$7,"BDI 3",$P$8)</f>
        <v>0.26739999999999997</v>
      </c>
      <c r="AB589" s="158">
        <f t="shared" ca="1" si="1397"/>
        <v>0</v>
      </c>
      <c r="AC589" s="158">
        <f t="shared" ca="1" si="1398"/>
        <v>0</v>
      </c>
      <c r="AD589" s="164"/>
      <c r="AE589" s="148">
        <f t="shared" si="1384"/>
        <v>0</v>
      </c>
      <c r="AF589" s="149"/>
      <c r="AG589" s="150"/>
      <c r="AH589" s="159">
        <f t="shared" si="1385"/>
        <v>0</v>
      </c>
      <c r="AI589" s="160"/>
      <c r="AJ589" s="105"/>
      <c r="AK589" s="105"/>
      <c r="AM589" s="105"/>
      <c r="AN589" s="105"/>
      <c r="AO589" s="105"/>
      <c r="AP589" s="105"/>
      <c r="AQ589" s="105"/>
      <c r="AR589" s="105"/>
    </row>
    <row r="590" spans="1:44" s="49" customFormat="1" ht="40.15" hidden="1" customHeight="1">
      <c r="A590" s="152">
        <f t="shared" ca="1" si="1386"/>
        <v>2.0199999999999996</v>
      </c>
      <c r="B590" s="153" t="s">
        <v>286</v>
      </c>
      <c r="C590" s="154" t="str">
        <f t="shared" si="1387"/>
        <v>RE/0070</v>
      </c>
      <c r="D590" s="154" t="s">
        <v>3549</v>
      </c>
      <c r="E590" s="155" t="s">
        <v>3887</v>
      </c>
      <c r="F590" s="154"/>
      <c r="G590" s="154" t="s">
        <v>464</v>
      </c>
      <c r="H590" s="152">
        <v>42.34</v>
      </c>
      <c r="I590" s="152">
        <v>42.16</v>
      </c>
      <c r="J590" s="156"/>
      <c r="K590" s="156">
        <f>+Recap_Previo!H86</f>
        <v>0</v>
      </c>
      <c r="L590" s="156">
        <f t="shared" si="1388"/>
        <v>0</v>
      </c>
      <c r="M590" s="156">
        <f t="shared" si="1389"/>
        <v>0</v>
      </c>
      <c r="N590" s="156" t="s">
        <v>83</v>
      </c>
      <c r="O590" s="157" cm="1">
        <f t="array" ref="O590">TRUNC($H590*(1+_xlfn.SWITCH($N590,"BDI 1",$O$6,"BDI 2",$O$7,"BDI 3",$O$8)),2)</f>
        <v>51.1</v>
      </c>
      <c r="P590" s="157" cm="1">
        <f t="array" ref="P590">TRUNC($I590*(1+_xlfn.SWITCH($N590,"BDI 1",$P$6,"BDI 2",$P$7,"BDI 3",$P$8)),2)</f>
        <v>53.43</v>
      </c>
      <c r="Q590" s="157">
        <v>0</v>
      </c>
      <c r="R590" s="157">
        <f t="shared" ref="R590" si="1450">$Q590-($Q590*LICITACAO_DESCONTO)</f>
        <v>0</v>
      </c>
      <c r="S590" s="156">
        <f t="shared" si="1391"/>
        <v>0</v>
      </c>
      <c r="T590" s="156">
        <f t="shared" si="1392"/>
        <v>0</v>
      </c>
      <c r="U590" s="156">
        <f t="shared" si="1393"/>
        <v>0</v>
      </c>
      <c r="V590" s="156">
        <f t="shared" si="1394"/>
        <v>0</v>
      </c>
      <c r="W590" s="156">
        <f t="shared" si="1381"/>
        <v>0</v>
      </c>
      <c r="X590" s="158">
        <f t="shared" ref="X590" si="1451">$S590/ORCAMENTO_VALOR_TOTAL_ND</f>
        <v>0</v>
      </c>
      <c r="Y590" s="158">
        <f t="shared" ref="Y590" si="1452">$T590/ORCAMENTO_VALOR_TOTAL_DE</f>
        <v>0</v>
      </c>
      <c r="Z590" s="158" cm="1">
        <f t="array" ref="Z590">_xlfn.SWITCH($N590,"BDI 1",$O$6,"BDI 2",$O$7,"BDI 3",$O$8)</f>
        <v>0.20699999999999999</v>
      </c>
      <c r="AA590" s="158" cm="1">
        <f t="array" ref="AA590">_xlfn.SWITCH($N590,"BDI 1",$P$6,"BDI 2",$P$7,"BDI 3",$P$8)</f>
        <v>0.26739999999999997</v>
      </c>
      <c r="AB590" s="158">
        <f t="shared" ca="1" si="1397"/>
        <v>0</v>
      </c>
      <c r="AC590" s="158">
        <f t="shared" ca="1" si="1398"/>
        <v>0</v>
      </c>
      <c r="AD590" s="164"/>
      <c r="AE590" s="148">
        <f t="shared" si="1384"/>
        <v>0</v>
      </c>
      <c r="AF590" s="149"/>
      <c r="AG590" s="150"/>
      <c r="AH590" s="159">
        <f t="shared" si="1385"/>
        <v>0</v>
      </c>
      <c r="AI590" s="160"/>
      <c r="AJ590" s="105"/>
      <c r="AK590" s="105"/>
      <c r="AM590" s="105"/>
      <c r="AN590" s="105"/>
      <c r="AO590" s="105"/>
      <c r="AP590" s="105"/>
      <c r="AQ590" s="105"/>
      <c r="AR590" s="105"/>
    </row>
    <row r="591" spans="1:44" s="49" customFormat="1" ht="40.15" hidden="1" customHeight="1">
      <c r="A591" s="152">
        <f t="shared" ca="1" si="1386"/>
        <v>2.0199999999999996</v>
      </c>
      <c r="B591" s="153">
        <v>96001</v>
      </c>
      <c r="C591" s="154" t="str">
        <f t="shared" si="1387"/>
        <v>96001</v>
      </c>
      <c r="D591" s="154" t="s">
        <v>1416</v>
      </c>
      <c r="E591" s="155" t="s">
        <v>3888</v>
      </c>
      <c r="F591" s="154"/>
      <c r="G591" s="154" t="s">
        <v>1418</v>
      </c>
      <c r="H591" s="152">
        <v>6.92</v>
      </c>
      <c r="I591" s="152">
        <v>6.75</v>
      </c>
      <c r="J591" s="156"/>
      <c r="K591" s="156">
        <f>+Recap_Previo!H91</f>
        <v>0</v>
      </c>
      <c r="L591" s="156">
        <f t="shared" si="1388"/>
        <v>0</v>
      </c>
      <c r="M591" s="156">
        <f t="shared" si="1389"/>
        <v>0</v>
      </c>
      <c r="N591" s="156" t="s">
        <v>83</v>
      </c>
      <c r="O591" s="157" cm="1">
        <f t="array" ref="O591">TRUNC($H591*(1+_xlfn.SWITCH($N591,"BDI 1",$O$6,"BDI 2",$O$7,"BDI 3",$O$8)),2)</f>
        <v>8.35</v>
      </c>
      <c r="P591" s="157" cm="1">
        <f t="array" ref="P591">TRUNC($I591*(1+_xlfn.SWITCH($N591,"BDI 1",$P$6,"BDI 2",$P$7,"BDI 3",$P$8)),2)</f>
        <v>8.5500000000000007</v>
      </c>
      <c r="Q591" s="157">
        <v>0</v>
      </c>
      <c r="R591" s="157">
        <f t="shared" ref="R591" si="1453">$Q591-($Q591*LICITACAO_DESCONTO)</f>
        <v>0</v>
      </c>
      <c r="S591" s="156">
        <f t="shared" si="1391"/>
        <v>0</v>
      </c>
      <c r="T591" s="156">
        <f t="shared" si="1392"/>
        <v>0</v>
      </c>
      <c r="U591" s="156">
        <f t="shared" si="1393"/>
        <v>0</v>
      </c>
      <c r="V591" s="156">
        <f t="shared" si="1394"/>
        <v>0</v>
      </c>
      <c r="W591" s="156">
        <f t="shared" si="1381"/>
        <v>0</v>
      </c>
      <c r="X591" s="158">
        <f t="shared" ref="X591" si="1454">$S591/ORCAMENTO_VALOR_TOTAL_ND</f>
        <v>0</v>
      </c>
      <c r="Y591" s="158">
        <f t="shared" ref="Y591" si="1455">$T591/ORCAMENTO_VALOR_TOTAL_DE</f>
        <v>0</v>
      </c>
      <c r="Z591" s="158" cm="1">
        <f t="array" ref="Z591">_xlfn.SWITCH($N591,"BDI 1",$O$6,"BDI 2",$O$7,"BDI 3",$O$8)</f>
        <v>0.20699999999999999</v>
      </c>
      <c r="AA591" s="158" cm="1">
        <f t="array" ref="AA591">_xlfn.SWITCH($N591,"BDI 1",$P$6,"BDI 2",$P$7,"BDI 3",$P$8)</f>
        <v>0.26739999999999997</v>
      </c>
      <c r="AB591" s="158">
        <f t="shared" ca="1" si="1397"/>
        <v>0</v>
      </c>
      <c r="AC591" s="158">
        <f t="shared" ca="1" si="1398"/>
        <v>0</v>
      </c>
      <c r="AD591" s="164"/>
      <c r="AE591" s="148">
        <f t="shared" si="1384"/>
        <v>0</v>
      </c>
      <c r="AF591" s="149"/>
      <c r="AG591" s="150"/>
      <c r="AH591" s="159">
        <f t="shared" si="1385"/>
        <v>0</v>
      </c>
      <c r="AI591" s="160"/>
      <c r="AJ591" s="105"/>
      <c r="AK591" s="105"/>
      <c r="AM591" s="105"/>
      <c r="AN591" s="105"/>
      <c r="AO591" s="105"/>
      <c r="AP591" s="105"/>
      <c r="AQ591" s="105"/>
      <c r="AR591" s="105"/>
    </row>
    <row r="592" spans="1:44" s="49" customFormat="1" ht="40.15" hidden="1" customHeight="1">
      <c r="A592" s="152">
        <f t="shared" ca="1" si="1386"/>
        <v>2.0199999999999996</v>
      </c>
      <c r="B592" s="153">
        <v>4743</v>
      </c>
      <c r="C592" s="154" t="str">
        <f t="shared" si="1387"/>
        <v>4743</v>
      </c>
      <c r="D592" s="154" t="s">
        <v>3579</v>
      </c>
      <c r="E592" s="155" t="s">
        <v>3867</v>
      </c>
      <c r="F592" s="154"/>
      <c r="G592" s="154" t="s">
        <v>464</v>
      </c>
      <c r="H592" s="152">
        <v>55.95</v>
      </c>
      <c r="I592" s="152">
        <v>55.95</v>
      </c>
      <c r="J592" s="156"/>
      <c r="K592" s="156">
        <f>+Recap_Previo!H71</f>
        <v>0</v>
      </c>
      <c r="L592" s="156">
        <f t="shared" si="1388"/>
        <v>0</v>
      </c>
      <c r="M592" s="156">
        <f t="shared" si="1389"/>
        <v>0</v>
      </c>
      <c r="N592" s="156" t="s">
        <v>92</v>
      </c>
      <c r="O592" s="157" cm="1">
        <f t="array" ref="O592">TRUNC($H592*(1+_xlfn.SWITCH($N592,"BDI 1",$O$6,"BDI 2",$O$7,"BDI 3",$O$8)),2)</f>
        <v>64.489999999999995</v>
      </c>
      <c r="P592" s="157" cm="1">
        <f t="array" ref="P592">TRUNC($I592*(1+_xlfn.SWITCH($N592,"BDI 1",$P$6,"BDI 2",$P$7,"BDI 3",$P$8)),2)</f>
        <v>64.489999999999995</v>
      </c>
      <c r="Q592" s="157">
        <v>0</v>
      </c>
      <c r="R592" s="157">
        <f t="shared" ref="R592" si="1456">$Q592-($Q592*LICITACAO_DESCONTO)</f>
        <v>0</v>
      </c>
      <c r="S592" s="156">
        <f t="shared" si="1391"/>
        <v>0</v>
      </c>
      <c r="T592" s="156">
        <f t="shared" si="1392"/>
        <v>0</v>
      </c>
      <c r="U592" s="156">
        <f t="shared" si="1393"/>
        <v>0</v>
      </c>
      <c r="V592" s="156">
        <f t="shared" si="1394"/>
        <v>0</v>
      </c>
      <c r="W592" s="156">
        <f t="shared" si="1381"/>
        <v>0</v>
      </c>
      <c r="X592" s="158">
        <f t="shared" ref="X592" si="1457">$S592/ORCAMENTO_VALOR_TOTAL_ND</f>
        <v>0</v>
      </c>
      <c r="Y592" s="158">
        <f t="shared" ref="Y592" si="1458">$T592/ORCAMENTO_VALOR_TOTAL_DE</f>
        <v>0</v>
      </c>
      <c r="Z592" s="158" cm="1">
        <f t="array" ref="Z592">_xlfn.SWITCH($N592,"BDI 1",$O$6,"BDI 2",$O$7,"BDI 3",$O$8)</f>
        <v>0.1527</v>
      </c>
      <c r="AA592" s="158" cm="1">
        <f t="array" ref="AA592">_xlfn.SWITCH($N592,"BDI 1",$P$6,"BDI 2",$P$7,"BDI 3",$P$8)</f>
        <v>0.1527</v>
      </c>
      <c r="AB592" s="158">
        <f t="shared" ca="1" si="1397"/>
        <v>0</v>
      </c>
      <c r="AC592" s="158">
        <f t="shared" ca="1" si="1398"/>
        <v>0</v>
      </c>
      <c r="AD592" s="164"/>
      <c r="AE592" s="148">
        <f t="shared" si="1384"/>
        <v>0</v>
      </c>
      <c r="AF592" s="149"/>
      <c r="AG592" s="150"/>
      <c r="AH592" s="159">
        <f t="shared" si="1385"/>
        <v>0</v>
      </c>
      <c r="AI592" s="160"/>
      <c r="AJ592" s="105"/>
      <c r="AK592" s="105"/>
      <c r="AM592" s="105"/>
      <c r="AN592" s="105"/>
      <c r="AO592" s="105"/>
      <c r="AP592" s="105"/>
      <c r="AQ592" s="105"/>
      <c r="AR592" s="105"/>
    </row>
    <row r="593" spans="1:44" s="49" customFormat="1" ht="40.15" hidden="1" customHeight="1">
      <c r="A593" s="152">
        <f t="shared" ca="1" si="1386"/>
        <v>2.0199999999999996</v>
      </c>
      <c r="B593" s="153">
        <v>4748</v>
      </c>
      <c r="C593" s="154" t="str">
        <f t="shared" si="1387"/>
        <v>4748</v>
      </c>
      <c r="D593" s="154" t="s">
        <v>3579</v>
      </c>
      <c r="E593" s="155" t="s">
        <v>3868</v>
      </c>
      <c r="F593" s="154"/>
      <c r="G593" s="154" t="s">
        <v>464</v>
      </c>
      <c r="H593" s="152">
        <v>88.63</v>
      </c>
      <c r="I593" s="152">
        <v>88.63</v>
      </c>
      <c r="J593" s="156"/>
      <c r="K593" s="156">
        <f>+Recap_Previo!H72</f>
        <v>0</v>
      </c>
      <c r="L593" s="156">
        <f t="shared" si="1388"/>
        <v>0</v>
      </c>
      <c r="M593" s="156">
        <f t="shared" si="1389"/>
        <v>0</v>
      </c>
      <c r="N593" s="156" t="s">
        <v>92</v>
      </c>
      <c r="O593" s="157" cm="1">
        <f t="array" ref="O593">TRUNC($H593*(1+_xlfn.SWITCH($N593,"BDI 1",$O$6,"BDI 2",$O$7,"BDI 3",$O$8)),2)</f>
        <v>102.16</v>
      </c>
      <c r="P593" s="157" cm="1">
        <f t="array" ref="P593">TRUNC($I593*(1+_xlfn.SWITCH($N593,"BDI 1",$P$6,"BDI 2",$P$7,"BDI 3",$P$8)),2)</f>
        <v>102.16</v>
      </c>
      <c r="Q593" s="157">
        <v>0</v>
      </c>
      <c r="R593" s="157">
        <f t="shared" ref="R593" si="1459">$Q593-($Q593*LICITACAO_DESCONTO)</f>
        <v>0</v>
      </c>
      <c r="S593" s="156">
        <f t="shared" si="1391"/>
        <v>0</v>
      </c>
      <c r="T593" s="156">
        <f t="shared" si="1392"/>
        <v>0</v>
      </c>
      <c r="U593" s="156">
        <f t="shared" si="1393"/>
        <v>0</v>
      </c>
      <c r="V593" s="156">
        <f t="shared" si="1394"/>
        <v>0</v>
      </c>
      <c r="W593" s="156">
        <f t="shared" si="1381"/>
        <v>0</v>
      </c>
      <c r="X593" s="158">
        <f t="shared" ref="X593" si="1460">$S593/ORCAMENTO_VALOR_TOTAL_ND</f>
        <v>0</v>
      </c>
      <c r="Y593" s="158">
        <f t="shared" ref="Y593" si="1461">$T593/ORCAMENTO_VALOR_TOTAL_DE</f>
        <v>0</v>
      </c>
      <c r="Z593" s="158" cm="1">
        <f t="array" ref="Z593">_xlfn.SWITCH($N593,"BDI 1",$O$6,"BDI 2",$O$7,"BDI 3",$O$8)</f>
        <v>0.1527</v>
      </c>
      <c r="AA593" s="158" cm="1">
        <f t="array" ref="AA593">_xlfn.SWITCH($N593,"BDI 1",$P$6,"BDI 2",$P$7,"BDI 3",$P$8)</f>
        <v>0.1527</v>
      </c>
      <c r="AB593" s="158">
        <f t="shared" ca="1" si="1397"/>
        <v>0</v>
      </c>
      <c r="AC593" s="158">
        <f t="shared" ca="1" si="1398"/>
        <v>0</v>
      </c>
      <c r="AD593" s="164"/>
      <c r="AE593" s="148">
        <f t="shared" si="1384"/>
        <v>0</v>
      </c>
      <c r="AF593" s="149"/>
      <c r="AG593" s="150"/>
      <c r="AH593" s="159">
        <f t="shared" si="1385"/>
        <v>0</v>
      </c>
      <c r="AI593" s="160"/>
      <c r="AJ593" s="105"/>
      <c r="AK593" s="105"/>
      <c r="AM593" s="105"/>
      <c r="AN593" s="105"/>
      <c r="AO593" s="105"/>
      <c r="AP593" s="105"/>
      <c r="AQ593" s="105"/>
      <c r="AR593" s="105"/>
    </row>
    <row r="594" spans="1:44" s="49" customFormat="1" ht="40.15" hidden="1" customHeight="1">
      <c r="A594" s="152">
        <f t="shared" ca="1" si="1386"/>
        <v>2.0199999999999996</v>
      </c>
      <c r="B594" s="153">
        <v>4729</v>
      </c>
      <c r="C594" s="154" t="str">
        <f t="shared" si="1387"/>
        <v>4729</v>
      </c>
      <c r="D594" s="154" t="s">
        <v>3579</v>
      </c>
      <c r="E594" s="155" t="s">
        <v>3869</v>
      </c>
      <c r="F594" s="154"/>
      <c r="G594" s="154" t="s">
        <v>464</v>
      </c>
      <c r="H594" s="152">
        <v>96.69</v>
      </c>
      <c r="I594" s="152">
        <v>96.69</v>
      </c>
      <c r="J594" s="156"/>
      <c r="K594" s="156">
        <f>+Recap_Previo!H73</f>
        <v>0</v>
      </c>
      <c r="L594" s="156">
        <f t="shared" si="1388"/>
        <v>0</v>
      </c>
      <c r="M594" s="156">
        <f t="shared" si="1389"/>
        <v>0</v>
      </c>
      <c r="N594" s="156" t="s">
        <v>92</v>
      </c>
      <c r="O594" s="157" cm="1">
        <f t="array" ref="O594">TRUNC($H594*(1+_xlfn.SWITCH($N594,"BDI 1",$O$6,"BDI 2",$O$7,"BDI 3",$O$8)),2)</f>
        <v>111.45</v>
      </c>
      <c r="P594" s="157" cm="1">
        <f t="array" ref="P594">TRUNC($I594*(1+_xlfn.SWITCH($N594,"BDI 1",$P$6,"BDI 2",$P$7,"BDI 3",$P$8)),2)</f>
        <v>111.45</v>
      </c>
      <c r="Q594" s="157">
        <v>0</v>
      </c>
      <c r="R594" s="157">
        <f t="shared" ref="R594" si="1462">$Q594-($Q594*LICITACAO_DESCONTO)</f>
        <v>0</v>
      </c>
      <c r="S594" s="156">
        <f t="shared" si="1391"/>
        <v>0</v>
      </c>
      <c r="T594" s="156">
        <f t="shared" si="1392"/>
        <v>0</v>
      </c>
      <c r="U594" s="156">
        <f t="shared" si="1393"/>
        <v>0</v>
      </c>
      <c r="V594" s="156">
        <f t="shared" si="1394"/>
        <v>0</v>
      </c>
      <c r="W594" s="156">
        <f t="shared" si="1381"/>
        <v>0</v>
      </c>
      <c r="X594" s="158">
        <f t="shared" ref="X594" si="1463">$S594/ORCAMENTO_VALOR_TOTAL_ND</f>
        <v>0</v>
      </c>
      <c r="Y594" s="158">
        <f t="shared" ref="Y594" si="1464">$T594/ORCAMENTO_VALOR_TOTAL_DE</f>
        <v>0</v>
      </c>
      <c r="Z594" s="158" cm="1">
        <f t="array" ref="Z594">_xlfn.SWITCH($N594,"BDI 1",$O$6,"BDI 2",$O$7,"BDI 3",$O$8)</f>
        <v>0.1527</v>
      </c>
      <c r="AA594" s="158" cm="1">
        <f t="array" ref="AA594">_xlfn.SWITCH($N594,"BDI 1",$P$6,"BDI 2",$P$7,"BDI 3",$P$8)</f>
        <v>0.1527</v>
      </c>
      <c r="AB594" s="158">
        <f t="shared" ca="1" si="1397"/>
        <v>0</v>
      </c>
      <c r="AC594" s="158">
        <f t="shared" ca="1" si="1398"/>
        <v>0</v>
      </c>
      <c r="AD594" s="164"/>
      <c r="AE594" s="148">
        <f t="shared" si="1384"/>
        <v>0</v>
      </c>
      <c r="AF594" s="149"/>
      <c r="AG594" s="150"/>
      <c r="AH594" s="159">
        <f t="shared" si="1385"/>
        <v>0</v>
      </c>
      <c r="AI594" s="160"/>
      <c r="AJ594" s="105"/>
      <c r="AK594" s="105"/>
      <c r="AM594" s="105"/>
      <c r="AN594" s="105"/>
      <c r="AO594" s="105"/>
      <c r="AP594" s="105"/>
      <c r="AQ594" s="105"/>
      <c r="AR594" s="105"/>
    </row>
    <row r="595" spans="1:44" s="49" customFormat="1" ht="40.15" hidden="1" customHeight="1">
      <c r="A595" s="152">
        <f t="shared" ca="1" si="1386"/>
        <v>2.0199999999999996</v>
      </c>
      <c r="B595" s="153">
        <v>4721</v>
      </c>
      <c r="C595" s="154" t="str">
        <f t="shared" si="1387"/>
        <v>4721</v>
      </c>
      <c r="D595" s="154" t="s">
        <v>3579</v>
      </c>
      <c r="E595" s="155" t="s">
        <v>3866</v>
      </c>
      <c r="F595" s="154"/>
      <c r="G595" s="154" t="s">
        <v>464</v>
      </c>
      <c r="H595" s="152">
        <v>95.96</v>
      </c>
      <c r="I595" s="152">
        <v>95.96</v>
      </c>
      <c r="J595" s="156"/>
      <c r="K595" s="156">
        <f>+Recap_Previo!H88</f>
        <v>0</v>
      </c>
      <c r="L595" s="156">
        <f t="shared" si="1388"/>
        <v>0</v>
      </c>
      <c r="M595" s="156">
        <f t="shared" si="1389"/>
        <v>0</v>
      </c>
      <c r="N595" s="156" t="s">
        <v>92</v>
      </c>
      <c r="O595" s="157" cm="1">
        <f t="array" ref="O595">TRUNC($H595*(1+_xlfn.SWITCH($N595,"BDI 1",$O$6,"BDI 2",$O$7,"BDI 3",$O$8)),2)</f>
        <v>110.61</v>
      </c>
      <c r="P595" s="157" cm="1">
        <f t="array" ref="P595">TRUNC($I595*(1+_xlfn.SWITCH($N595,"BDI 1",$P$6,"BDI 2",$P$7,"BDI 3",$P$8)),2)</f>
        <v>110.61</v>
      </c>
      <c r="Q595" s="157">
        <v>0</v>
      </c>
      <c r="R595" s="157">
        <f t="shared" ref="R595" si="1465">$Q595-($Q595*LICITACAO_DESCONTO)</f>
        <v>0</v>
      </c>
      <c r="S595" s="156">
        <f t="shared" si="1391"/>
        <v>0</v>
      </c>
      <c r="T595" s="156">
        <f t="shared" si="1392"/>
        <v>0</v>
      </c>
      <c r="U595" s="156">
        <f t="shared" si="1393"/>
        <v>0</v>
      </c>
      <c r="V595" s="156">
        <f t="shared" si="1394"/>
        <v>0</v>
      </c>
      <c r="W595" s="156">
        <f t="shared" si="1381"/>
        <v>0</v>
      </c>
      <c r="X595" s="158">
        <f t="shared" ref="X595" si="1466">$S595/ORCAMENTO_VALOR_TOTAL_ND</f>
        <v>0</v>
      </c>
      <c r="Y595" s="158">
        <f t="shared" ref="Y595" si="1467">$T595/ORCAMENTO_VALOR_TOTAL_DE</f>
        <v>0</v>
      </c>
      <c r="Z595" s="158" cm="1">
        <f t="array" ref="Z595">_xlfn.SWITCH($N595,"BDI 1",$O$6,"BDI 2",$O$7,"BDI 3",$O$8)</f>
        <v>0.1527</v>
      </c>
      <c r="AA595" s="158" cm="1">
        <f t="array" ref="AA595">_xlfn.SWITCH($N595,"BDI 1",$P$6,"BDI 2",$P$7,"BDI 3",$P$8)</f>
        <v>0.1527</v>
      </c>
      <c r="AB595" s="158">
        <f t="shared" ca="1" si="1397"/>
        <v>0</v>
      </c>
      <c r="AC595" s="158">
        <f t="shared" ca="1" si="1398"/>
        <v>0</v>
      </c>
      <c r="AD595" s="164"/>
      <c r="AE595" s="148">
        <f t="shared" si="1384"/>
        <v>0</v>
      </c>
      <c r="AF595" s="149"/>
      <c r="AG595" s="150"/>
      <c r="AH595" s="159">
        <f t="shared" si="1385"/>
        <v>0</v>
      </c>
      <c r="AI595" s="160"/>
      <c r="AJ595" s="105"/>
      <c r="AK595" s="105"/>
      <c r="AM595" s="105"/>
      <c r="AN595" s="105"/>
      <c r="AO595" s="105"/>
      <c r="AP595" s="105"/>
      <c r="AQ595" s="105"/>
      <c r="AR595" s="105"/>
    </row>
    <row r="596" spans="1:44" s="49" customFormat="1" ht="40.15" hidden="1" customHeight="1">
      <c r="A596" s="152">
        <f t="shared" ca="1" si="1386"/>
        <v>2.0199999999999996</v>
      </c>
      <c r="B596" s="153">
        <v>1379</v>
      </c>
      <c r="C596" s="154" t="str">
        <f t="shared" si="1387"/>
        <v>1379</v>
      </c>
      <c r="D596" s="154" t="s">
        <v>3579</v>
      </c>
      <c r="E596" s="155" t="s">
        <v>3889</v>
      </c>
      <c r="F596" s="154"/>
      <c r="G596" s="154" t="s">
        <v>3802</v>
      </c>
      <c r="H596" s="152">
        <v>0.76</v>
      </c>
      <c r="I596" s="152">
        <v>0.76</v>
      </c>
      <c r="J596" s="156"/>
      <c r="K596" s="156">
        <f>+Recap_Previo!H87</f>
        <v>0</v>
      </c>
      <c r="L596" s="156">
        <f t="shared" si="1388"/>
        <v>0</v>
      </c>
      <c r="M596" s="156">
        <f t="shared" si="1389"/>
        <v>0</v>
      </c>
      <c r="N596" s="156" t="s">
        <v>92</v>
      </c>
      <c r="O596" s="157" cm="1">
        <f t="array" ref="O596">TRUNC($H596*(1+_xlfn.SWITCH($N596,"BDI 1",$O$6,"BDI 2",$O$7,"BDI 3",$O$8)),2)</f>
        <v>0.87</v>
      </c>
      <c r="P596" s="157" cm="1">
        <f t="array" ref="P596">TRUNC($I596*(1+_xlfn.SWITCH($N596,"BDI 1",$P$6,"BDI 2",$P$7,"BDI 3",$P$8)),2)</f>
        <v>0.87</v>
      </c>
      <c r="Q596" s="157">
        <v>0</v>
      </c>
      <c r="R596" s="157">
        <f t="shared" ref="R596" si="1468">$Q596-($Q596*LICITACAO_DESCONTO)</f>
        <v>0</v>
      </c>
      <c r="S596" s="156">
        <f t="shared" si="1391"/>
        <v>0</v>
      </c>
      <c r="T596" s="156">
        <f t="shared" si="1392"/>
        <v>0</v>
      </c>
      <c r="U596" s="156">
        <f t="shared" si="1393"/>
        <v>0</v>
      </c>
      <c r="V596" s="156">
        <f t="shared" si="1394"/>
        <v>0</v>
      </c>
      <c r="W596" s="156">
        <f t="shared" si="1381"/>
        <v>0</v>
      </c>
      <c r="X596" s="158">
        <f t="shared" ref="X596" si="1469">$S596/ORCAMENTO_VALOR_TOTAL_ND</f>
        <v>0</v>
      </c>
      <c r="Y596" s="158">
        <f t="shared" ref="Y596" si="1470">$T596/ORCAMENTO_VALOR_TOTAL_DE</f>
        <v>0</v>
      </c>
      <c r="Z596" s="158" cm="1">
        <f t="array" ref="Z596">_xlfn.SWITCH($N596,"BDI 1",$O$6,"BDI 2",$O$7,"BDI 3",$O$8)</f>
        <v>0.1527</v>
      </c>
      <c r="AA596" s="158" cm="1">
        <f t="array" ref="AA596">_xlfn.SWITCH($N596,"BDI 1",$P$6,"BDI 2",$P$7,"BDI 3",$P$8)</f>
        <v>0.1527</v>
      </c>
      <c r="AB596" s="158">
        <f t="shared" ca="1" si="1397"/>
        <v>0</v>
      </c>
      <c r="AC596" s="158">
        <f t="shared" ca="1" si="1398"/>
        <v>0</v>
      </c>
      <c r="AD596" s="164"/>
      <c r="AE596" s="148">
        <f t="shared" si="1384"/>
        <v>0</v>
      </c>
      <c r="AF596" s="149"/>
      <c r="AG596" s="150"/>
      <c r="AH596" s="159">
        <f t="shared" si="1385"/>
        <v>0</v>
      </c>
      <c r="AI596" s="160"/>
      <c r="AJ596" s="105"/>
      <c r="AK596" s="105"/>
      <c r="AM596" s="105"/>
      <c r="AN596" s="105"/>
      <c r="AO596" s="105"/>
      <c r="AP596" s="105"/>
      <c r="AQ596" s="105"/>
      <c r="AR596" s="105"/>
    </row>
    <row r="597" spans="1:44" s="49" customFormat="1" ht="30" customHeight="1">
      <c r="A597" s="152">
        <f t="shared" ca="1" si="1386"/>
        <v>2.0299999999999994</v>
      </c>
      <c r="B597" s="153" t="s">
        <v>249</v>
      </c>
      <c r="C597" s="154" t="str">
        <f t="shared" si="1387"/>
        <v>PA/0025</v>
      </c>
      <c r="D597" s="154" t="s">
        <v>3549</v>
      </c>
      <c r="E597" s="155" t="s">
        <v>3532</v>
      </c>
      <c r="F597" s="154"/>
      <c r="G597" s="154" t="s">
        <v>1418</v>
      </c>
      <c r="H597" s="152">
        <v>5.28</v>
      </c>
      <c r="I597" s="152">
        <v>5.24</v>
      </c>
      <c r="J597" s="156"/>
      <c r="K597" s="156">
        <f>+Recap_Previo!H97</f>
        <v>17240</v>
      </c>
      <c r="L597" s="156">
        <f t="shared" si="1388"/>
        <v>17240</v>
      </c>
      <c r="M597" s="156">
        <f t="shared" si="1389"/>
        <v>0</v>
      </c>
      <c r="N597" s="156" t="s">
        <v>83</v>
      </c>
      <c r="O597" s="157" cm="1">
        <f t="array" ref="O597">TRUNC($H597*(1+_xlfn.SWITCH($N597,"BDI 1",$O$6,"BDI 2",$O$7,"BDI 3",$O$8)),2)</f>
        <v>6.37</v>
      </c>
      <c r="P597" s="157" cm="1">
        <f t="array" ref="P597">TRUNC($I597*(1+_xlfn.SWITCH($N597,"BDI 1",$P$6,"BDI 2",$P$7,"BDI 3",$P$8)),2)</f>
        <v>6.64</v>
      </c>
      <c r="Q597" s="157">
        <v>0</v>
      </c>
      <c r="R597" s="157">
        <f t="shared" ref="R597" si="1471">$Q597-($Q597*LICITACAO_DESCONTO)</f>
        <v>0</v>
      </c>
      <c r="S597" s="156">
        <f t="shared" si="1391"/>
        <v>109818.8</v>
      </c>
      <c r="T597" s="156">
        <f t="shared" si="1392"/>
        <v>114473.60000000001</v>
      </c>
      <c r="U597" s="156">
        <f t="shared" si="1393"/>
        <v>0</v>
      </c>
      <c r="V597" s="156">
        <f t="shared" si="1394"/>
        <v>0</v>
      </c>
      <c r="W597" s="156">
        <f t="shared" si="1381"/>
        <v>0</v>
      </c>
      <c r="X597" s="158">
        <f t="shared" ref="X597" si="1472">$S597/ORCAMENTO_VALOR_TOTAL_ND</f>
        <v>3.5511911708778397E-2</v>
      </c>
      <c r="Y597" s="158">
        <f t="shared" ref="Y597" si="1473">$T597/ORCAMENTO_VALOR_TOTAL_DE</f>
        <v>3.3656842439337357E-2</v>
      </c>
      <c r="Z597" s="158" cm="1">
        <f t="array" ref="Z597">_xlfn.SWITCH($N597,"BDI 1",$O$6,"BDI 2",$O$7,"BDI 3",$O$8)</f>
        <v>0.20699999999999999</v>
      </c>
      <c r="AA597" s="158" cm="1">
        <f t="array" ref="AA597">_xlfn.SWITCH($N597,"BDI 1",$P$6,"BDI 2",$P$7,"BDI 3",$P$8)</f>
        <v>0.26739999999999997</v>
      </c>
      <c r="AB597" s="158">
        <f t="shared" ca="1" si="1397"/>
        <v>0</v>
      </c>
      <c r="AC597" s="158">
        <f t="shared" ca="1" si="1398"/>
        <v>0</v>
      </c>
      <c r="AD597" s="164"/>
      <c r="AE597" s="148">
        <f t="shared" ca="1" si="1384"/>
        <v>2</v>
      </c>
      <c r="AF597" s="149"/>
      <c r="AG597" s="150"/>
      <c r="AH597" s="159">
        <f t="shared" si="1385"/>
        <v>3.8000147150966668E-2</v>
      </c>
      <c r="AI597" s="165" t="s">
        <v>250</v>
      </c>
      <c r="AJ597" s="105"/>
      <c r="AK597" s="105"/>
      <c r="AM597" s="105"/>
      <c r="AN597" s="105"/>
      <c r="AO597" s="105"/>
      <c r="AP597" s="105"/>
      <c r="AQ597" s="105"/>
      <c r="AR597" s="105"/>
    </row>
    <row r="598" spans="1:44" s="49" customFormat="1" ht="30" customHeight="1">
      <c r="A598" s="152">
        <f t="shared" ca="1" si="1386"/>
        <v>2.0399999999999991</v>
      </c>
      <c r="B598" s="153" t="s">
        <v>287</v>
      </c>
      <c r="C598" s="154" t="str">
        <f t="shared" si="1387"/>
        <v>PA/0023</v>
      </c>
      <c r="D598" s="154" t="s">
        <v>3549</v>
      </c>
      <c r="E598" s="155" t="s">
        <v>3539</v>
      </c>
      <c r="F598" s="154"/>
      <c r="G598" s="154" t="s">
        <v>1418</v>
      </c>
      <c r="H598" s="152">
        <v>2.37</v>
      </c>
      <c r="I598" s="152">
        <v>2.33</v>
      </c>
      <c r="J598" s="156"/>
      <c r="K598" s="156">
        <f>+Recap_Previo!H101</f>
        <v>8620</v>
      </c>
      <c r="L598" s="156">
        <f t="shared" si="1388"/>
        <v>8620</v>
      </c>
      <c r="M598" s="156">
        <f t="shared" si="1389"/>
        <v>0</v>
      </c>
      <c r="N598" s="156" t="s">
        <v>83</v>
      </c>
      <c r="O598" s="157" cm="1">
        <f t="array" ref="O598">TRUNC($H598*(1+_xlfn.SWITCH($N598,"BDI 1",$O$6,"BDI 2",$O$7,"BDI 3",$O$8)),2)</f>
        <v>2.86</v>
      </c>
      <c r="P598" s="157" cm="1">
        <f t="array" ref="P598">TRUNC($I598*(1+_xlfn.SWITCH($N598,"BDI 1",$P$6,"BDI 2",$P$7,"BDI 3",$P$8)),2)</f>
        <v>2.95</v>
      </c>
      <c r="Q598" s="157">
        <v>0</v>
      </c>
      <c r="R598" s="157">
        <f t="shared" ref="R598" si="1474">$Q598-($Q598*LICITACAO_DESCONTO)</f>
        <v>0</v>
      </c>
      <c r="S598" s="156">
        <f t="shared" si="1391"/>
        <v>24653.200000000001</v>
      </c>
      <c r="T598" s="156">
        <f t="shared" si="1392"/>
        <v>25429</v>
      </c>
      <c r="U598" s="156">
        <f t="shared" si="1393"/>
        <v>0</v>
      </c>
      <c r="V598" s="156">
        <f t="shared" si="1394"/>
        <v>0</v>
      </c>
      <c r="W598" s="156">
        <f t="shared" si="1381"/>
        <v>0</v>
      </c>
      <c r="X598" s="158">
        <f t="shared" ref="X598" si="1475">$S598/ORCAMENTO_VALOR_TOTAL_ND</f>
        <v>7.9720618121747432E-3</v>
      </c>
      <c r="Y598" s="158">
        <f t="shared" ref="Y598" si="1476">$T598/ORCAMENTO_VALOR_TOTAL_DE</f>
        <v>7.4764823189793078E-3</v>
      </c>
      <c r="Z598" s="158" cm="1">
        <f t="array" ref="Z598">_xlfn.SWITCH($N598,"BDI 1",$O$6,"BDI 2",$O$7,"BDI 3",$O$8)</f>
        <v>0.20699999999999999</v>
      </c>
      <c r="AA598" s="158" cm="1">
        <f t="array" ref="AA598">_xlfn.SWITCH($N598,"BDI 1",$P$6,"BDI 2",$P$7,"BDI 3",$P$8)</f>
        <v>0.26739999999999997</v>
      </c>
      <c r="AB598" s="158">
        <f t="shared" ca="1" si="1397"/>
        <v>0</v>
      </c>
      <c r="AC598" s="158">
        <f t="shared" ca="1" si="1398"/>
        <v>0</v>
      </c>
      <c r="AD598" s="164"/>
      <c r="AE598" s="148">
        <f t="shared" ca="1" si="1384"/>
        <v>2</v>
      </c>
      <c r="AF598" s="149"/>
      <c r="AG598" s="150"/>
      <c r="AH598" s="159">
        <f t="shared" si="1385"/>
        <v>8.5306452787884349E-3</v>
      </c>
      <c r="AI598" s="160"/>
      <c r="AJ598" s="105"/>
      <c r="AK598" s="105"/>
      <c r="AM598" s="105"/>
      <c r="AN598" s="105"/>
      <c r="AO598" s="105"/>
      <c r="AP598" s="105"/>
      <c r="AQ598" s="105"/>
      <c r="AR598" s="105"/>
    </row>
    <row r="599" spans="1:44" s="49" customFormat="1" ht="50.1" customHeight="1">
      <c r="A599" s="152">
        <f t="shared" ca="1" si="1386"/>
        <v>2.0499999999999989</v>
      </c>
      <c r="B599" s="153" t="s">
        <v>288</v>
      </c>
      <c r="C599" s="154" t="str">
        <f t="shared" si="1387"/>
        <v>RE/0052</v>
      </c>
      <c r="D599" s="154" t="s">
        <v>3549</v>
      </c>
      <c r="E599" s="155" t="s">
        <v>3530</v>
      </c>
      <c r="F599" s="154"/>
      <c r="G599" s="154" t="s">
        <v>464</v>
      </c>
      <c r="H599" s="152">
        <v>1643.16</v>
      </c>
      <c r="I599" s="152">
        <v>1637.4</v>
      </c>
      <c r="J599" s="156"/>
      <c r="K599" s="156">
        <f>+Recap_Previo!H109</f>
        <v>775.8</v>
      </c>
      <c r="L599" s="156">
        <f t="shared" si="1388"/>
        <v>775.8</v>
      </c>
      <c r="M599" s="156">
        <f t="shared" si="1389"/>
        <v>0</v>
      </c>
      <c r="N599" s="156" t="s">
        <v>83</v>
      </c>
      <c r="O599" s="157" cm="1">
        <f t="array" ref="O599">TRUNC($H599*(1+_xlfn.SWITCH($N599,"BDI 1",$O$6,"BDI 2",$O$7,"BDI 3",$O$8)),2)</f>
        <v>1983.29</v>
      </c>
      <c r="P599" s="157" cm="1">
        <f t="array" ref="P599">TRUNC($I599*(1+_xlfn.SWITCH($N599,"BDI 1",$P$6,"BDI 2",$P$7,"BDI 3",$P$8)),2)</f>
        <v>2075.2399999999998</v>
      </c>
      <c r="Q599" s="157">
        <v>0</v>
      </c>
      <c r="R599" s="157">
        <f t="shared" ref="R599" si="1477">$Q599-($Q599*LICITACAO_DESCONTO)</f>
        <v>0</v>
      </c>
      <c r="S599" s="156">
        <f t="shared" si="1391"/>
        <v>1538636.38</v>
      </c>
      <c r="T599" s="156">
        <f t="shared" si="1392"/>
        <v>1609971.19</v>
      </c>
      <c r="U599" s="156">
        <f t="shared" si="1393"/>
        <v>0</v>
      </c>
      <c r="V599" s="156">
        <f t="shared" si="1394"/>
        <v>0</v>
      </c>
      <c r="W599" s="156">
        <f t="shared" si="1381"/>
        <v>0</v>
      </c>
      <c r="X599" s="158">
        <f t="shared" ref="X599" si="1478">$S599/ORCAMENTO_VALOR_TOTAL_ND</f>
        <v>0.49754613307078938</v>
      </c>
      <c r="Y599" s="158">
        <f t="shared" ref="Y599" si="1479">$T599/ORCAMENTO_VALOR_TOTAL_DE</f>
        <v>0.47335408927213318</v>
      </c>
      <c r="Z599" s="158" cm="1">
        <f t="array" ref="Z599">_xlfn.SWITCH($N599,"BDI 1",$O$6,"BDI 2",$O$7,"BDI 3",$O$8)</f>
        <v>0.20699999999999999</v>
      </c>
      <c r="AA599" s="158" cm="1">
        <f t="array" ref="AA599">_xlfn.SWITCH($N599,"BDI 1",$P$6,"BDI 2",$P$7,"BDI 3",$P$8)</f>
        <v>0.26739999999999997</v>
      </c>
      <c r="AB599" s="158">
        <f t="shared" ca="1" si="1397"/>
        <v>0</v>
      </c>
      <c r="AC599" s="158">
        <f t="shared" ca="1" si="1398"/>
        <v>0</v>
      </c>
      <c r="AD599" s="164"/>
      <c r="AE599" s="148">
        <f t="shared" ca="1" si="1384"/>
        <v>2</v>
      </c>
      <c r="AF599" s="149"/>
      <c r="AG599" s="150"/>
      <c r="AH599" s="159">
        <f t="shared" si="1385"/>
        <v>0.53240801075800004</v>
      </c>
      <c r="AI599" s="165" t="s">
        <v>243</v>
      </c>
      <c r="AJ599" s="105"/>
      <c r="AK599" s="105"/>
      <c r="AM599" s="105"/>
      <c r="AN599" s="105"/>
      <c r="AO599" s="105"/>
      <c r="AP599" s="105"/>
      <c r="AQ599" s="105"/>
      <c r="AR599" s="105"/>
    </row>
    <row r="600" spans="1:44" s="49" customFormat="1" ht="40.15" hidden="1" customHeight="1">
      <c r="A600" s="152">
        <f t="shared" ca="1" si="1386"/>
        <v>2.0499999999999989</v>
      </c>
      <c r="B600" s="153" t="s">
        <v>253</v>
      </c>
      <c r="C600" s="154" t="str">
        <f t="shared" si="1387"/>
        <v>RE/0055</v>
      </c>
      <c r="D600" s="154" t="s">
        <v>3549</v>
      </c>
      <c r="E600" s="155" t="s">
        <v>3876</v>
      </c>
      <c r="F600" s="154"/>
      <c r="G600" s="154" t="s">
        <v>464</v>
      </c>
      <c r="H600" s="152">
        <v>1580.75</v>
      </c>
      <c r="I600" s="152">
        <v>1580.01</v>
      </c>
      <c r="J600" s="156"/>
      <c r="K600" s="156">
        <f>+Recap_Previo!H110</f>
        <v>0</v>
      </c>
      <c r="L600" s="156">
        <f t="shared" si="1388"/>
        <v>0</v>
      </c>
      <c r="M600" s="156">
        <f t="shared" si="1389"/>
        <v>0</v>
      </c>
      <c r="N600" s="156" t="s">
        <v>83</v>
      </c>
      <c r="O600" s="157" cm="1">
        <f t="array" ref="O600">TRUNC($H600*(1+_xlfn.SWITCH($N600,"BDI 1",$O$6,"BDI 2",$O$7,"BDI 3",$O$8)),2)</f>
        <v>1907.96</v>
      </c>
      <c r="P600" s="157" cm="1">
        <f t="array" ref="P600">TRUNC($I600*(1+_xlfn.SWITCH($N600,"BDI 1",$P$6,"BDI 2",$P$7,"BDI 3",$P$8)),2)</f>
        <v>2002.5</v>
      </c>
      <c r="Q600" s="157">
        <v>0</v>
      </c>
      <c r="R600" s="157">
        <f t="shared" ref="R600" si="1480">$Q600-($Q600*LICITACAO_DESCONTO)</f>
        <v>0</v>
      </c>
      <c r="S600" s="156">
        <f t="shared" si="1391"/>
        <v>0</v>
      </c>
      <c r="T600" s="156">
        <f t="shared" si="1392"/>
        <v>0</v>
      </c>
      <c r="U600" s="156">
        <f t="shared" si="1393"/>
        <v>0</v>
      </c>
      <c r="V600" s="156">
        <f t="shared" si="1394"/>
        <v>0</v>
      </c>
      <c r="W600" s="156">
        <f t="shared" si="1381"/>
        <v>0</v>
      </c>
      <c r="X600" s="158">
        <f t="shared" ref="X600" si="1481">$S600/ORCAMENTO_VALOR_TOTAL_ND</f>
        <v>0</v>
      </c>
      <c r="Y600" s="158">
        <f t="shared" ref="Y600" si="1482">$T600/ORCAMENTO_VALOR_TOTAL_DE</f>
        <v>0</v>
      </c>
      <c r="Z600" s="158" cm="1">
        <f t="array" ref="Z600">_xlfn.SWITCH($N600,"BDI 1",$O$6,"BDI 2",$O$7,"BDI 3",$O$8)</f>
        <v>0.20699999999999999</v>
      </c>
      <c r="AA600" s="158" cm="1">
        <f t="array" ref="AA600">_xlfn.SWITCH($N600,"BDI 1",$P$6,"BDI 2",$P$7,"BDI 3",$P$8)</f>
        <v>0.26739999999999997</v>
      </c>
      <c r="AB600" s="158">
        <f t="shared" ca="1" si="1397"/>
        <v>0</v>
      </c>
      <c r="AC600" s="158">
        <f t="shared" ca="1" si="1398"/>
        <v>0</v>
      </c>
      <c r="AD600" s="164"/>
      <c r="AE600" s="148">
        <f t="shared" si="1384"/>
        <v>0</v>
      </c>
      <c r="AF600" s="149"/>
      <c r="AG600" s="150"/>
      <c r="AH600" s="159">
        <f t="shared" si="1385"/>
        <v>0</v>
      </c>
      <c r="AI600" s="165" t="s">
        <v>243</v>
      </c>
      <c r="AJ600" s="105"/>
      <c r="AK600" s="105"/>
      <c r="AM600" s="105"/>
      <c r="AN600" s="105"/>
      <c r="AO600" s="105"/>
      <c r="AP600" s="105"/>
      <c r="AQ600" s="105"/>
      <c r="AR600" s="105"/>
    </row>
    <row r="601" spans="1:44" s="49" customFormat="1" ht="49.9" hidden="1" customHeight="1">
      <c r="A601" s="152">
        <f t="shared" ca="1" si="1386"/>
        <v>2.0499999999999989</v>
      </c>
      <c r="B601" s="153" t="s">
        <v>252</v>
      </c>
      <c r="C601" s="154" t="str">
        <f t="shared" si="1387"/>
        <v>PA/0040</v>
      </c>
      <c r="D601" s="154" t="s">
        <v>3549</v>
      </c>
      <c r="E601" s="155" t="s">
        <v>3875</v>
      </c>
      <c r="F601" s="154"/>
      <c r="G601" s="154" t="s">
        <v>464</v>
      </c>
      <c r="H601" s="152">
        <v>1628.68</v>
      </c>
      <c r="I601" s="152">
        <v>1625.69</v>
      </c>
      <c r="J601" s="156"/>
      <c r="K601" s="156">
        <f>+Recap_Previo!H111</f>
        <v>0</v>
      </c>
      <c r="L601" s="156">
        <f t="shared" si="1388"/>
        <v>0</v>
      </c>
      <c r="M601" s="156">
        <f t="shared" si="1389"/>
        <v>0</v>
      </c>
      <c r="N601" s="156" t="s">
        <v>83</v>
      </c>
      <c r="O601" s="157" cm="1">
        <f t="array" ref="O601">TRUNC($H601*(1+_xlfn.SWITCH($N601,"BDI 1",$O$6,"BDI 2",$O$7,"BDI 3",$O$8)),2)</f>
        <v>1965.81</v>
      </c>
      <c r="P601" s="157" cm="1">
        <f t="array" ref="P601">TRUNC($I601*(1+_xlfn.SWITCH($N601,"BDI 1",$P$6,"BDI 2",$P$7,"BDI 3",$P$8)),2)</f>
        <v>2060.39</v>
      </c>
      <c r="Q601" s="157">
        <v>0</v>
      </c>
      <c r="R601" s="157">
        <f t="shared" ref="R601" si="1483">$Q601-($Q601*LICITACAO_DESCONTO)</f>
        <v>0</v>
      </c>
      <c r="S601" s="156">
        <f t="shared" si="1391"/>
        <v>0</v>
      </c>
      <c r="T601" s="156">
        <f t="shared" si="1392"/>
        <v>0</v>
      </c>
      <c r="U601" s="156">
        <f t="shared" si="1393"/>
        <v>0</v>
      </c>
      <c r="V601" s="156">
        <f t="shared" si="1394"/>
        <v>0</v>
      </c>
      <c r="W601" s="156">
        <f t="shared" si="1381"/>
        <v>0</v>
      </c>
      <c r="X601" s="158">
        <f t="shared" ref="X601" si="1484">$S601/ORCAMENTO_VALOR_TOTAL_ND</f>
        <v>0</v>
      </c>
      <c r="Y601" s="158">
        <f t="shared" ref="Y601" si="1485">$T601/ORCAMENTO_VALOR_TOTAL_DE</f>
        <v>0</v>
      </c>
      <c r="Z601" s="158" cm="1">
        <f t="array" ref="Z601">_xlfn.SWITCH($N601,"BDI 1",$O$6,"BDI 2",$O$7,"BDI 3",$O$8)</f>
        <v>0.20699999999999999</v>
      </c>
      <c r="AA601" s="158" cm="1">
        <f t="array" ref="AA601">_xlfn.SWITCH($N601,"BDI 1",$P$6,"BDI 2",$P$7,"BDI 3",$P$8)</f>
        <v>0.26739999999999997</v>
      </c>
      <c r="AB601" s="158">
        <f t="shared" ca="1" si="1397"/>
        <v>0</v>
      </c>
      <c r="AC601" s="158">
        <f t="shared" ca="1" si="1398"/>
        <v>0</v>
      </c>
      <c r="AD601" s="164"/>
      <c r="AE601" s="148">
        <f t="shared" si="1384"/>
        <v>0</v>
      </c>
      <c r="AF601" s="149"/>
      <c r="AG601" s="150"/>
      <c r="AH601" s="159">
        <f t="shared" si="1385"/>
        <v>0</v>
      </c>
      <c r="AI601" s="165" t="s">
        <v>289</v>
      </c>
      <c r="AJ601" s="105"/>
      <c r="AK601" s="105"/>
      <c r="AM601" s="105"/>
      <c r="AN601" s="105"/>
      <c r="AO601" s="105"/>
      <c r="AP601" s="105"/>
      <c r="AQ601" s="105"/>
      <c r="AR601" s="105"/>
    </row>
    <row r="602" spans="1:44" s="49" customFormat="1" ht="40.15" hidden="1" customHeight="1">
      <c r="A602" s="152">
        <f t="shared" ca="1" si="1386"/>
        <v>2.0499999999999989</v>
      </c>
      <c r="B602" s="153" t="s">
        <v>254</v>
      </c>
      <c r="C602" s="154" t="str">
        <f t="shared" si="1387"/>
        <v>RE/0040</v>
      </c>
      <c r="D602" s="154">
        <v>0</v>
      </c>
      <c r="E602" s="155" t="s">
        <v>3766</v>
      </c>
      <c r="F602" s="154"/>
      <c r="G602" s="154">
        <v>0</v>
      </c>
      <c r="H602" s="152">
        <v>0</v>
      </c>
      <c r="I602" s="152">
        <v>0</v>
      </c>
      <c r="J602" s="156"/>
      <c r="K602" s="156">
        <f>+Recap_Previo!H116</f>
        <v>0</v>
      </c>
      <c r="L602" s="156">
        <f t="shared" si="1388"/>
        <v>0</v>
      </c>
      <c r="M602" s="156">
        <f t="shared" si="1389"/>
        <v>0</v>
      </c>
      <c r="N602" s="156" t="s">
        <v>83</v>
      </c>
      <c r="O602" s="157" cm="1">
        <f t="array" ref="O602">TRUNC($H602*(1+_xlfn.SWITCH($N602,"BDI 1",$O$6,"BDI 2",$O$7,"BDI 3",$O$8)),2)</f>
        <v>0</v>
      </c>
      <c r="P602" s="157" cm="1">
        <f t="array" ref="P602">TRUNC($I602*(1+_xlfn.SWITCH($N602,"BDI 1",$P$6,"BDI 2",$P$7,"BDI 3",$P$8)),2)</f>
        <v>0</v>
      </c>
      <c r="Q602" s="157">
        <v>0</v>
      </c>
      <c r="R602" s="157">
        <f t="shared" ref="R602" si="1486">$Q602-($Q602*LICITACAO_DESCONTO)</f>
        <v>0</v>
      </c>
      <c r="S602" s="156">
        <f t="shared" si="1391"/>
        <v>0</v>
      </c>
      <c r="T602" s="156">
        <f t="shared" si="1392"/>
        <v>0</v>
      </c>
      <c r="U602" s="156">
        <f t="shared" si="1393"/>
        <v>0</v>
      </c>
      <c r="V602" s="156">
        <f t="shared" si="1394"/>
        <v>0</v>
      </c>
      <c r="W602" s="156">
        <f t="shared" si="1381"/>
        <v>0</v>
      </c>
      <c r="X602" s="158">
        <f t="shared" ref="X602" si="1487">$S602/ORCAMENTO_VALOR_TOTAL_ND</f>
        <v>0</v>
      </c>
      <c r="Y602" s="158">
        <f t="shared" ref="Y602" si="1488">$T602/ORCAMENTO_VALOR_TOTAL_DE</f>
        <v>0</v>
      </c>
      <c r="Z602" s="158" cm="1">
        <f t="array" ref="Z602">_xlfn.SWITCH($N602,"BDI 1",$O$6,"BDI 2",$O$7,"BDI 3",$O$8)</f>
        <v>0.20699999999999999</v>
      </c>
      <c r="AA602" s="158" cm="1">
        <f t="array" ref="AA602">_xlfn.SWITCH($N602,"BDI 1",$P$6,"BDI 2",$P$7,"BDI 3",$P$8)</f>
        <v>0.26739999999999997</v>
      </c>
      <c r="AB602" s="158">
        <f t="shared" ca="1" si="1397"/>
        <v>0</v>
      </c>
      <c r="AC602" s="158">
        <f t="shared" ca="1" si="1398"/>
        <v>0</v>
      </c>
      <c r="AD602" s="210"/>
      <c r="AE602" s="148">
        <f t="shared" si="1384"/>
        <v>0</v>
      </c>
      <c r="AF602" s="149"/>
      <c r="AG602" s="150"/>
      <c r="AH602" s="211">
        <f t="shared" si="1385"/>
        <v>0</v>
      </c>
      <c r="AI602" s="212"/>
      <c r="AJ602" s="105"/>
      <c r="AK602" s="105"/>
      <c r="AM602" s="105"/>
      <c r="AN602" s="105"/>
      <c r="AO602" s="105"/>
      <c r="AP602" s="105"/>
      <c r="AQ602" s="105"/>
      <c r="AR602" s="105"/>
    </row>
    <row r="603" spans="1:44" s="49" customFormat="1" ht="40.15" hidden="1" customHeight="1">
      <c r="A603" s="152">
        <f t="shared" ca="1" si="1386"/>
        <v>2.0499999999999989</v>
      </c>
      <c r="B603" s="153" t="s">
        <v>255</v>
      </c>
      <c r="C603" s="154" t="str">
        <f t="shared" si="1387"/>
        <v>RE/0045</v>
      </c>
      <c r="D603" s="154">
        <v>0</v>
      </c>
      <c r="E603" s="155" t="s">
        <v>3766</v>
      </c>
      <c r="F603" s="154"/>
      <c r="G603" s="154">
        <v>0</v>
      </c>
      <c r="H603" s="152">
        <v>0</v>
      </c>
      <c r="I603" s="152">
        <v>0</v>
      </c>
      <c r="J603" s="156"/>
      <c r="K603" s="156">
        <f>+Recap_Previo!H117</f>
        <v>0</v>
      </c>
      <c r="L603" s="156">
        <f t="shared" si="1388"/>
        <v>0</v>
      </c>
      <c r="M603" s="156">
        <f t="shared" si="1389"/>
        <v>0</v>
      </c>
      <c r="N603" s="156" t="s">
        <v>83</v>
      </c>
      <c r="O603" s="157" cm="1">
        <f t="array" ref="O603">TRUNC($H603*(1+_xlfn.SWITCH($N603,"BDI 1",$O$6,"BDI 2",$O$7,"BDI 3",$O$8)),2)</f>
        <v>0</v>
      </c>
      <c r="P603" s="157" cm="1">
        <f t="array" ref="P603">TRUNC($I603*(1+_xlfn.SWITCH($N603,"BDI 1",$P$6,"BDI 2",$P$7,"BDI 3",$P$8)),2)</f>
        <v>0</v>
      </c>
      <c r="Q603" s="157">
        <v>0</v>
      </c>
      <c r="R603" s="157">
        <f t="shared" ref="R603" si="1489">$Q603-($Q603*LICITACAO_DESCONTO)</f>
        <v>0</v>
      </c>
      <c r="S603" s="156">
        <f t="shared" si="1391"/>
        <v>0</v>
      </c>
      <c r="T603" s="156">
        <f t="shared" si="1392"/>
        <v>0</v>
      </c>
      <c r="U603" s="156">
        <f t="shared" si="1393"/>
        <v>0</v>
      </c>
      <c r="V603" s="156">
        <f t="shared" si="1394"/>
        <v>0</v>
      </c>
      <c r="W603" s="156">
        <f t="shared" si="1381"/>
        <v>0</v>
      </c>
      <c r="X603" s="158">
        <f t="shared" ref="X603" si="1490">$S603/ORCAMENTO_VALOR_TOTAL_ND</f>
        <v>0</v>
      </c>
      <c r="Y603" s="158">
        <f t="shared" ref="Y603" si="1491">$T603/ORCAMENTO_VALOR_TOTAL_DE</f>
        <v>0</v>
      </c>
      <c r="Z603" s="158" cm="1">
        <f t="array" ref="Z603">_xlfn.SWITCH($N603,"BDI 1",$O$6,"BDI 2",$O$7,"BDI 3",$O$8)</f>
        <v>0.20699999999999999</v>
      </c>
      <c r="AA603" s="158" cm="1">
        <f t="array" ref="AA603">_xlfn.SWITCH($N603,"BDI 1",$P$6,"BDI 2",$P$7,"BDI 3",$P$8)</f>
        <v>0.26739999999999997</v>
      </c>
      <c r="AB603" s="158">
        <f t="shared" ca="1" si="1397"/>
        <v>0</v>
      </c>
      <c r="AC603" s="158">
        <f t="shared" ca="1" si="1398"/>
        <v>0</v>
      </c>
      <c r="AD603" s="164"/>
      <c r="AE603" s="148">
        <f t="shared" si="1384"/>
        <v>0</v>
      </c>
      <c r="AF603" s="149"/>
      <c r="AG603" s="150"/>
      <c r="AH603" s="159">
        <f t="shared" si="1385"/>
        <v>0</v>
      </c>
      <c r="AI603" s="160"/>
      <c r="AJ603" s="105"/>
      <c r="AK603" s="105"/>
      <c r="AM603" s="105"/>
      <c r="AN603" s="105"/>
      <c r="AO603" s="105"/>
      <c r="AP603" s="105"/>
      <c r="AQ603" s="105"/>
      <c r="AR603" s="105"/>
    </row>
    <row r="604" spans="1:44" s="49" customFormat="1" ht="40.15" hidden="1" customHeight="1">
      <c r="A604" s="152">
        <f t="shared" ca="1" si="1386"/>
        <v>2.0499999999999989</v>
      </c>
      <c r="B604" s="153" t="s">
        <v>290</v>
      </c>
      <c r="C604" s="154" t="str">
        <f t="shared" si="1387"/>
        <v>PA/0055</v>
      </c>
      <c r="D604" s="154">
        <v>0</v>
      </c>
      <c r="E604" s="155" t="s">
        <v>3766</v>
      </c>
      <c r="F604" s="154"/>
      <c r="G604" s="154">
        <v>0</v>
      </c>
      <c r="H604" s="152">
        <v>0</v>
      </c>
      <c r="I604" s="152">
        <v>0</v>
      </c>
      <c r="J604" s="156"/>
      <c r="K604" s="156">
        <f>+Recap_Previo!H118</f>
        <v>0</v>
      </c>
      <c r="L604" s="156">
        <f t="shared" si="1388"/>
        <v>0</v>
      </c>
      <c r="M604" s="156">
        <f t="shared" si="1389"/>
        <v>0</v>
      </c>
      <c r="N604" s="156" t="s">
        <v>83</v>
      </c>
      <c r="O604" s="157" cm="1">
        <f t="array" ref="O604">TRUNC($H604*(1+_xlfn.SWITCH($N604,"BDI 1",$O$6,"BDI 2",$O$7,"BDI 3",$O$8)),2)</f>
        <v>0</v>
      </c>
      <c r="P604" s="157" cm="1">
        <f t="array" ref="P604">TRUNC($I604*(1+_xlfn.SWITCH($N604,"BDI 1",$P$6,"BDI 2",$P$7,"BDI 3",$P$8)),2)</f>
        <v>0</v>
      </c>
      <c r="Q604" s="157">
        <v>0</v>
      </c>
      <c r="R604" s="157">
        <f t="shared" ref="R604" si="1492">$Q604-($Q604*LICITACAO_DESCONTO)</f>
        <v>0</v>
      </c>
      <c r="S604" s="156">
        <f t="shared" si="1391"/>
        <v>0</v>
      </c>
      <c r="T604" s="156">
        <f t="shared" si="1392"/>
        <v>0</v>
      </c>
      <c r="U604" s="156">
        <f t="shared" si="1393"/>
        <v>0</v>
      </c>
      <c r="V604" s="156">
        <f t="shared" si="1394"/>
        <v>0</v>
      </c>
      <c r="W604" s="156">
        <f t="shared" si="1381"/>
        <v>0</v>
      </c>
      <c r="X604" s="158">
        <f t="shared" ref="X604" si="1493">$S604/ORCAMENTO_VALOR_TOTAL_ND</f>
        <v>0</v>
      </c>
      <c r="Y604" s="158">
        <f t="shared" ref="Y604" si="1494">$T604/ORCAMENTO_VALOR_TOTAL_DE</f>
        <v>0</v>
      </c>
      <c r="Z604" s="158" cm="1">
        <f t="array" ref="Z604">_xlfn.SWITCH($N604,"BDI 1",$O$6,"BDI 2",$O$7,"BDI 3",$O$8)</f>
        <v>0.20699999999999999</v>
      </c>
      <c r="AA604" s="158" cm="1">
        <f t="array" ref="AA604">_xlfn.SWITCH($N604,"BDI 1",$P$6,"BDI 2",$P$7,"BDI 3",$P$8)</f>
        <v>0.26739999999999997</v>
      </c>
      <c r="AB604" s="158">
        <f t="shared" ca="1" si="1397"/>
        <v>0</v>
      </c>
      <c r="AC604" s="158">
        <f t="shared" ca="1" si="1398"/>
        <v>0</v>
      </c>
      <c r="AD604" s="164"/>
      <c r="AE604" s="148">
        <f t="shared" si="1384"/>
        <v>0</v>
      </c>
      <c r="AF604" s="149"/>
      <c r="AG604" s="150"/>
      <c r="AH604" s="213">
        <f t="shared" si="1385"/>
        <v>0</v>
      </c>
      <c r="AI604" s="160"/>
      <c r="AJ604" s="105"/>
      <c r="AK604" s="105"/>
      <c r="AM604" s="105"/>
      <c r="AN604" s="105"/>
      <c r="AO604" s="105"/>
      <c r="AP604" s="105"/>
      <c r="AQ604" s="105"/>
      <c r="AR604" s="105"/>
    </row>
    <row r="605" spans="1:44" s="49" customFormat="1" ht="49.9" hidden="1" customHeight="1">
      <c r="A605" s="152">
        <f t="shared" ca="1" si="1386"/>
        <v>2.0499999999999989</v>
      </c>
      <c r="B605" s="153">
        <v>100978</v>
      </c>
      <c r="C605" s="154" t="str">
        <f t="shared" si="1387"/>
        <v>100978</v>
      </c>
      <c r="D605" s="154" t="s">
        <v>1416</v>
      </c>
      <c r="E605" s="155" t="s">
        <v>3810</v>
      </c>
      <c r="F605" s="154"/>
      <c r="G605" s="154" t="s">
        <v>464</v>
      </c>
      <c r="H605" s="152">
        <v>6.64</v>
      </c>
      <c r="I605" s="152">
        <v>6.55</v>
      </c>
      <c r="J605" s="156"/>
      <c r="K605" s="156">
        <f>IF(Recap_Previo!H122&lt;=50,Recap_Previo!H122,0)+IF(Recap_Previo!H124&lt;=50,Recap_Previo!H124,0)</f>
        <v>0</v>
      </c>
      <c r="L605" s="156">
        <f t="shared" si="1388"/>
        <v>0</v>
      </c>
      <c r="M605" s="156">
        <f t="shared" si="1389"/>
        <v>0</v>
      </c>
      <c r="N605" s="156" t="s">
        <v>83</v>
      </c>
      <c r="O605" s="157" cm="1">
        <f t="array" ref="O605">TRUNC($H605*(1+_xlfn.SWITCH($N605,"BDI 1",$O$6,"BDI 2",$O$7,"BDI 3",$O$8)),2)</f>
        <v>8.01</v>
      </c>
      <c r="P605" s="157" cm="1">
        <f t="array" ref="P605">TRUNC($I605*(1+_xlfn.SWITCH($N605,"BDI 1",$P$6,"BDI 2",$P$7,"BDI 3",$P$8)),2)</f>
        <v>8.3000000000000007</v>
      </c>
      <c r="Q605" s="157">
        <v>0</v>
      </c>
      <c r="R605" s="157">
        <f t="shared" ref="R605" si="1495">$Q605-($Q605*LICITACAO_DESCONTO)</f>
        <v>0</v>
      </c>
      <c r="S605" s="156">
        <f t="shared" si="1391"/>
        <v>0</v>
      </c>
      <c r="T605" s="156">
        <f t="shared" si="1392"/>
        <v>0</v>
      </c>
      <c r="U605" s="156">
        <f t="shared" si="1393"/>
        <v>0</v>
      </c>
      <c r="V605" s="156">
        <f t="shared" si="1394"/>
        <v>0</v>
      </c>
      <c r="W605" s="156">
        <f t="shared" si="1381"/>
        <v>0</v>
      </c>
      <c r="X605" s="158">
        <f t="shared" ref="X605" si="1496">$S605/ORCAMENTO_VALOR_TOTAL_ND</f>
        <v>0</v>
      </c>
      <c r="Y605" s="158">
        <f t="shared" ref="Y605" si="1497">$T605/ORCAMENTO_VALOR_TOTAL_DE</f>
        <v>0</v>
      </c>
      <c r="Z605" s="158" cm="1">
        <f t="array" ref="Z605">_xlfn.SWITCH($N605,"BDI 1",$O$6,"BDI 2",$O$7,"BDI 3",$O$8)</f>
        <v>0.20699999999999999</v>
      </c>
      <c r="AA605" s="158" cm="1">
        <f t="array" ref="AA605">_xlfn.SWITCH($N605,"BDI 1",$P$6,"BDI 2",$P$7,"BDI 3",$P$8)</f>
        <v>0.26739999999999997</v>
      </c>
      <c r="AB605" s="158">
        <f t="shared" ca="1" si="1397"/>
        <v>0</v>
      </c>
      <c r="AC605" s="158">
        <f t="shared" ca="1" si="1398"/>
        <v>0</v>
      </c>
      <c r="AD605" s="164"/>
      <c r="AE605" s="148">
        <f t="shared" si="1384"/>
        <v>0</v>
      </c>
      <c r="AF605" s="149"/>
      <c r="AG605" s="150"/>
      <c r="AH605" s="159">
        <f t="shared" si="1385"/>
        <v>0</v>
      </c>
      <c r="AI605" s="165" t="s">
        <v>101</v>
      </c>
      <c r="AJ605" s="105"/>
      <c r="AK605" s="105"/>
      <c r="AM605" s="105"/>
      <c r="AN605" s="105"/>
      <c r="AO605" s="105"/>
      <c r="AP605" s="105"/>
      <c r="AQ605" s="105"/>
      <c r="AR605" s="105"/>
    </row>
    <row r="606" spans="1:44" s="49" customFormat="1" ht="49.9" hidden="1" customHeight="1">
      <c r="A606" s="152">
        <f t="shared" ca="1" si="1386"/>
        <v>2.0499999999999989</v>
      </c>
      <c r="B606" s="153">
        <v>100979</v>
      </c>
      <c r="C606" s="154" t="str">
        <f t="shared" si="1387"/>
        <v>100979</v>
      </c>
      <c r="D606" s="154" t="s">
        <v>1416</v>
      </c>
      <c r="E606" s="155" t="s">
        <v>1420</v>
      </c>
      <c r="F606" s="154"/>
      <c r="G606" s="154" t="s">
        <v>464</v>
      </c>
      <c r="H606" s="152">
        <v>6.4</v>
      </c>
      <c r="I606" s="152">
        <v>6.4</v>
      </c>
      <c r="J606" s="156"/>
      <c r="K606" s="156">
        <f>IF(Recap_Previo!H122&gt;50,Recap_Previo!H122,0)+IF(Recap_Previo!H124&gt;50,Recap_Previo!H124,0)</f>
        <v>0</v>
      </c>
      <c r="L606" s="156">
        <f t="shared" si="1388"/>
        <v>0</v>
      </c>
      <c r="M606" s="156">
        <f t="shared" si="1389"/>
        <v>0</v>
      </c>
      <c r="N606" s="156" t="s">
        <v>83</v>
      </c>
      <c r="O606" s="157" cm="1">
        <f t="array" ref="O606">TRUNC($H606*(1+_xlfn.SWITCH($N606,"BDI 1",$O$6,"BDI 2",$O$7,"BDI 3",$O$8)),2)</f>
        <v>7.72</v>
      </c>
      <c r="P606" s="157" cm="1">
        <f t="array" ref="P606">TRUNC($I606*(1+_xlfn.SWITCH($N606,"BDI 1",$P$6,"BDI 2",$P$7,"BDI 3",$P$8)),2)</f>
        <v>8.11</v>
      </c>
      <c r="Q606" s="157">
        <v>0</v>
      </c>
      <c r="R606" s="157">
        <f t="shared" ref="R606" si="1498">$Q606-($Q606*LICITACAO_DESCONTO)</f>
        <v>0</v>
      </c>
      <c r="S606" s="156">
        <f t="shared" si="1391"/>
        <v>0</v>
      </c>
      <c r="T606" s="156">
        <f t="shared" si="1392"/>
        <v>0</v>
      </c>
      <c r="U606" s="156">
        <f t="shared" si="1393"/>
        <v>0</v>
      </c>
      <c r="V606" s="156">
        <f t="shared" si="1394"/>
        <v>0</v>
      </c>
      <c r="W606" s="156">
        <f t="shared" si="1381"/>
        <v>0</v>
      </c>
      <c r="X606" s="158">
        <f t="shared" ref="X606" si="1499">$S606/ORCAMENTO_VALOR_TOTAL_ND</f>
        <v>0</v>
      </c>
      <c r="Y606" s="158">
        <f t="shared" ref="Y606" si="1500">$T606/ORCAMENTO_VALOR_TOTAL_DE</f>
        <v>0</v>
      </c>
      <c r="Z606" s="158" cm="1">
        <f t="array" ref="Z606">_xlfn.SWITCH($N606,"BDI 1",$O$6,"BDI 2",$O$7,"BDI 3",$O$8)</f>
        <v>0.20699999999999999</v>
      </c>
      <c r="AA606" s="158" cm="1">
        <f t="array" ref="AA606">_xlfn.SWITCH($N606,"BDI 1",$P$6,"BDI 2",$P$7,"BDI 3",$P$8)</f>
        <v>0.26739999999999997</v>
      </c>
      <c r="AB606" s="158">
        <f t="shared" ca="1" si="1397"/>
        <v>0</v>
      </c>
      <c r="AC606" s="158">
        <f t="shared" ca="1" si="1398"/>
        <v>0</v>
      </c>
      <c r="AD606" s="164"/>
      <c r="AE606" s="148">
        <f t="shared" si="1384"/>
        <v>0</v>
      </c>
      <c r="AF606" s="149"/>
      <c r="AG606" s="150"/>
      <c r="AH606" s="159">
        <f t="shared" si="1385"/>
        <v>0</v>
      </c>
      <c r="AI606" s="165" t="s">
        <v>101</v>
      </c>
      <c r="AJ606" s="105"/>
      <c r="AK606" s="105"/>
      <c r="AM606" s="105"/>
      <c r="AN606" s="105"/>
      <c r="AO606" s="105"/>
      <c r="AP606" s="105"/>
      <c r="AQ606" s="105"/>
      <c r="AR606" s="105"/>
    </row>
    <row r="607" spans="1:44" s="49" customFormat="1" ht="40.15" hidden="1" customHeight="1">
      <c r="A607" s="152">
        <f t="shared" ca="1" si="1386"/>
        <v>2.0499999999999989</v>
      </c>
      <c r="B607" s="153" t="s">
        <v>118</v>
      </c>
      <c r="C607" s="154" t="str">
        <f t="shared" si="1387"/>
        <v>ST/0070</v>
      </c>
      <c r="D607" s="154" t="s">
        <v>3549</v>
      </c>
      <c r="E607" s="155" t="s">
        <v>3613</v>
      </c>
      <c r="F607" s="154"/>
      <c r="G607" s="154" t="s">
        <v>3614</v>
      </c>
      <c r="H607" s="152">
        <v>30.97</v>
      </c>
      <c r="I607" s="152">
        <v>30.02</v>
      </c>
      <c r="J607" s="156"/>
      <c r="K607" s="156">
        <f>+Recap_Previo!H123</f>
        <v>0</v>
      </c>
      <c r="L607" s="156">
        <f t="shared" si="1388"/>
        <v>0</v>
      </c>
      <c r="M607" s="156">
        <f t="shared" si="1389"/>
        <v>0</v>
      </c>
      <c r="N607" s="156" t="s">
        <v>83</v>
      </c>
      <c r="O607" s="157" cm="1">
        <f t="array" ref="O607">TRUNC($H607*(1+_xlfn.SWITCH($N607,"BDI 1",$O$6,"BDI 2",$O$7,"BDI 3",$O$8)),2)</f>
        <v>37.380000000000003</v>
      </c>
      <c r="P607" s="157" cm="1">
        <f t="array" ref="P607">TRUNC($I607*(1+_xlfn.SWITCH($N607,"BDI 1",$P$6,"BDI 2",$P$7,"BDI 3",$P$8)),2)</f>
        <v>38.04</v>
      </c>
      <c r="Q607" s="157">
        <v>0</v>
      </c>
      <c r="R607" s="157">
        <f t="shared" ref="R607" si="1501">$Q607-($Q607*LICITACAO_DESCONTO)</f>
        <v>0</v>
      </c>
      <c r="S607" s="156">
        <f t="shared" si="1391"/>
        <v>0</v>
      </c>
      <c r="T607" s="156">
        <f t="shared" si="1392"/>
        <v>0</v>
      </c>
      <c r="U607" s="156">
        <f t="shared" si="1393"/>
        <v>0</v>
      </c>
      <c r="V607" s="156">
        <f t="shared" si="1394"/>
        <v>0</v>
      </c>
      <c r="W607" s="156">
        <f t="shared" si="1381"/>
        <v>0</v>
      </c>
      <c r="X607" s="158">
        <f t="shared" ref="X607" si="1502">$S607/ORCAMENTO_VALOR_TOTAL_ND</f>
        <v>0</v>
      </c>
      <c r="Y607" s="158">
        <f t="shared" ref="Y607" si="1503">$T607/ORCAMENTO_VALOR_TOTAL_DE</f>
        <v>0</v>
      </c>
      <c r="Z607" s="158" cm="1">
        <f t="array" ref="Z607">_xlfn.SWITCH($N607,"BDI 1",$O$6,"BDI 2",$O$7,"BDI 3",$O$8)</f>
        <v>0.20699999999999999</v>
      </c>
      <c r="AA607" s="158" cm="1">
        <f t="array" ref="AA607">_xlfn.SWITCH($N607,"BDI 1",$P$6,"BDI 2",$P$7,"BDI 3",$P$8)</f>
        <v>0.26739999999999997</v>
      </c>
      <c r="AB607" s="158">
        <f t="shared" ca="1" si="1397"/>
        <v>0</v>
      </c>
      <c r="AC607" s="158">
        <f t="shared" ca="1" si="1398"/>
        <v>0</v>
      </c>
      <c r="AD607" s="164"/>
      <c r="AE607" s="148">
        <f t="shared" si="1384"/>
        <v>0</v>
      </c>
      <c r="AF607" s="149"/>
      <c r="AG607" s="150"/>
      <c r="AH607" s="159">
        <f t="shared" si="1385"/>
        <v>0</v>
      </c>
      <c r="AI607" s="160" t="s">
        <v>291</v>
      </c>
      <c r="AJ607" s="105"/>
      <c r="AK607" s="105"/>
      <c r="AM607" s="105"/>
      <c r="AN607" s="105"/>
      <c r="AO607" s="105"/>
      <c r="AP607" s="105"/>
      <c r="AQ607" s="105"/>
      <c r="AR607" s="105"/>
    </row>
    <row r="608" spans="1:44" s="49" customFormat="1" ht="24.95" customHeight="1">
      <c r="A608" s="10">
        <f t="shared" ca="1" si="1386"/>
        <v>2.0499999999999989</v>
      </c>
      <c r="B608" s="153"/>
      <c r="C608" s="154"/>
      <c r="D608" s="154"/>
      <c r="E608" s="161" t="s">
        <v>256</v>
      </c>
      <c r="F608" s="154"/>
      <c r="G608" s="154"/>
      <c r="H608" s="152"/>
      <c r="I608" s="152"/>
      <c r="J608" s="154"/>
      <c r="K608" s="154"/>
      <c r="L608" s="154"/>
      <c r="M608" s="154"/>
      <c r="N608" s="154"/>
      <c r="O608" s="154"/>
      <c r="P608" s="154"/>
      <c r="Q608" s="154"/>
      <c r="R608" s="154"/>
      <c r="S608" s="162"/>
      <c r="T608" s="162"/>
      <c r="U608" s="162"/>
      <c r="V608" s="162"/>
      <c r="W608" s="162"/>
      <c r="X608" s="163"/>
      <c r="Y608" s="163"/>
      <c r="Z608" s="163"/>
      <c r="AA608" s="163"/>
      <c r="AB608" s="163"/>
      <c r="AC608" s="163"/>
      <c r="AD608" s="164"/>
      <c r="AE608" s="148">
        <f ca="1">IF(SUM(S609:S610)&gt;0,IFERROR(TRUNC(A608,0),0),0)</f>
        <v>2</v>
      </c>
      <c r="AF608" s="149"/>
      <c r="AG608" s="150"/>
      <c r="AH608" s="159"/>
      <c r="AI608" s="160"/>
      <c r="AJ608" s="105"/>
      <c r="AK608" s="105"/>
      <c r="AM608" s="105"/>
      <c r="AN608" s="105"/>
      <c r="AO608" s="105"/>
      <c r="AP608" s="105"/>
      <c r="AQ608" s="105"/>
      <c r="AR608" s="105"/>
    </row>
    <row r="609" spans="1:44" s="49" customFormat="1" ht="40.15" customHeight="1">
      <c r="A609" s="152">
        <f t="shared" ca="1" si="1386"/>
        <v>2.0599999999999987</v>
      </c>
      <c r="B609" s="153">
        <v>95876</v>
      </c>
      <c r="C609" s="154" t="str">
        <f>TEXT(B609,"0")</f>
        <v>95876</v>
      </c>
      <c r="D609" s="154" t="s">
        <v>1416</v>
      </c>
      <c r="E609" s="155" t="s">
        <v>3537</v>
      </c>
      <c r="F609" s="154">
        <f>IF(Dados_DMT!$B$17&lt;30,Dados_DMT!$B$17,30)</f>
        <v>3.5</v>
      </c>
      <c r="G609" s="154" t="s">
        <v>3538</v>
      </c>
      <c r="H609" s="152">
        <v>2.09</v>
      </c>
      <c r="I609" s="152">
        <v>2.1</v>
      </c>
      <c r="J609" s="156"/>
      <c r="K609" s="156">
        <f>ROUND(Recap_Previo!H125*F609,2)</f>
        <v>16970.63</v>
      </c>
      <c r="L609" s="156">
        <f>IF($K609&gt;$J609,$K609-$J609,0)</f>
        <v>16970.63</v>
      </c>
      <c r="M609" s="156">
        <f>IF($K609&lt;$J609,$J609-$K609,0)</f>
        <v>0</v>
      </c>
      <c r="N609" s="156" t="s">
        <v>83</v>
      </c>
      <c r="O609" s="157" cm="1">
        <f t="array" ref="O609">TRUNC($H609*(1+_xlfn.SWITCH($N609,"BDI 1",$O$6,"BDI 2",$O$7,"BDI 3",$O$8)),2)</f>
        <v>2.52</v>
      </c>
      <c r="P609" s="157" cm="1">
        <f t="array" ref="P609">TRUNC($I609*(1+_xlfn.SWITCH($N609,"BDI 1",$P$6,"BDI 2",$P$7,"BDI 3",$P$8)),2)</f>
        <v>2.66</v>
      </c>
      <c r="Q609" s="157">
        <v>0</v>
      </c>
      <c r="R609" s="157">
        <v>0</v>
      </c>
      <c r="S609" s="156">
        <f>TRUNC($K609*$O609,2)</f>
        <v>42765.98</v>
      </c>
      <c r="T609" s="156">
        <f>TRUNC($K609*$P609,2)</f>
        <v>45141.87</v>
      </c>
      <c r="U609" s="156">
        <f>TRUNC($J609*$R609,2)</f>
        <v>0</v>
      </c>
      <c r="V609" s="156">
        <f>TRUNC($K609*$Q609,2)</f>
        <v>0</v>
      </c>
      <c r="W609" s="156">
        <f>TRUNC(V609-U609,2)</f>
        <v>0</v>
      </c>
      <c r="X609" s="158">
        <f>$S609/ORCAMENTO_VALOR_TOTAL_ND</f>
        <v>1.3829159541894311E-2</v>
      </c>
      <c r="Y609" s="158">
        <f>$T609/ORCAMENTO_VALOR_TOTAL_DE</f>
        <v>1.3272342321784673E-2</v>
      </c>
      <c r="Z609" s="158" cm="1">
        <f t="array" ref="Z609">_xlfn.SWITCH($N609,"BDI 1",$O$6,"BDI 2",$O$7,"BDI 3",$O$8)</f>
        <v>0.20699999999999999</v>
      </c>
      <c r="AA609" s="158" cm="1">
        <f t="array" ref="AA609">_xlfn.SWITCH($N609,"BDI 1",$P$6,"BDI 2",$P$7,"BDI 3",$P$8)</f>
        <v>0.26739999999999997</v>
      </c>
      <c r="AB609" s="158">
        <f ca="1">IFERROR($S609/_xlfn.XLOOKUP($AE609,$B$16:$B$38,$S$16:$S$38),0)</f>
        <v>0</v>
      </c>
      <c r="AC609" s="158">
        <f ca="1">IFERROR($T609/_xlfn.XLOOKUP($AE609,$B$16:$B$38,$T$16:$T$38),0)</f>
        <v>0</v>
      </c>
      <c r="AD609" s="164"/>
      <c r="AE609" s="148">
        <f t="shared" ref="AE609:AE610" ca="1" si="1504">IF(S609&gt;0,IFERROR(TRUNC(A609,0),0),0)</f>
        <v>2</v>
      </c>
      <c r="AF609" s="149"/>
      <c r="AG609" s="150"/>
      <c r="AH609" s="159">
        <f>S609/$S$571</f>
        <v>1.4798135957188546E-2</v>
      </c>
      <c r="AI609" s="166">
        <f>IF(K609=0,0,K609/F609)</f>
        <v>4848.7514285714287</v>
      </c>
      <c r="AJ609" s="105"/>
      <c r="AK609" s="105"/>
      <c r="AM609" s="105"/>
      <c r="AN609" s="105"/>
      <c r="AO609" s="105"/>
      <c r="AP609" s="105"/>
      <c r="AQ609" s="105"/>
      <c r="AR609" s="105"/>
    </row>
    <row r="610" spans="1:44" s="49" customFormat="1" ht="40.15" hidden="1" customHeight="1">
      <c r="A610" s="152">
        <f t="shared" ca="1" si="1386"/>
        <v>2.0599999999999987</v>
      </c>
      <c r="B610" s="153">
        <v>93593</v>
      </c>
      <c r="C610" s="154" t="str">
        <f>TEXT(B610,"0")</f>
        <v>93593</v>
      </c>
      <c r="D610" s="154" t="s">
        <v>1416</v>
      </c>
      <c r="E610" s="155" t="s">
        <v>3545</v>
      </c>
      <c r="F610" s="154">
        <f>+Dados_DMT!$B$17-F609</f>
        <v>0</v>
      </c>
      <c r="G610" s="154" t="s">
        <v>3538</v>
      </c>
      <c r="H610" s="152">
        <v>0.84</v>
      </c>
      <c r="I610" s="152">
        <v>0.85</v>
      </c>
      <c r="J610" s="156"/>
      <c r="K610" s="156">
        <f>ROUND(Recap_Previo!H125*F610,2)</f>
        <v>0</v>
      </c>
      <c r="L610" s="156">
        <f>IF($K610&gt;$J610,$K610-$J610,0)</f>
        <v>0</v>
      </c>
      <c r="M610" s="156">
        <f>IF($K610&lt;$J610,$J610-$K610,0)</f>
        <v>0</v>
      </c>
      <c r="N610" s="156" t="s">
        <v>83</v>
      </c>
      <c r="O610" s="157" cm="1">
        <f t="array" ref="O610">TRUNC($H610*(1+_xlfn.SWITCH($N610,"BDI 1",$O$6,"BDI 2",$O$7,"BDI 3",$O$8)),2)</f>
        <v>1.01</v>
      </c>
      <c r="P610" s="157" cm="1">
        <f t="array" ref="P610">TRUNC($I610*(1+_xlfn.SWITCH($N610,"BDI 1",$P$6,"BDI 2",$P$7,"BDI 3",$P$8)),2)</f>
        <v>1.07</v>
      </c>
      <c r="Q610" s="157">
        <v>0</v>
      </c>
      <c r="R610" s="157">
        <v>0</v>
      </c>
      <c r="S610" s="156">
        <f>TRUNC($K610*$O610,2)</f>
        <v>0</v>
      </c>
      <c r="T610" s="156">
        <f>TRUNC($K610*$P610,2)</f>
        <v>0</v>
      </c>
      <c r="U610" s="156">
        <f>TRUNC($J610*$R610,2)</f>
        <v>0</v>
      </c>
      <c r="V610" s="156">
        <f>TRUNC($K610*$Q610,2)</f>
        <v>0</v>
      </c>
      <c r="W610" s="156">
        <f>TRUNC(V610-U610,2)</f>
        <v>0</v>
      </c>
      <c r="X610" s="158">
        <f>$S610/ORCAMENTO_VALOR_TOTAL_ND</f>
        <v>0</v>
      </c>
      <c r="Y610" s="158">
        <f>$T610/ORCAMENTO_VALOR_TOTAL_DE</f>
        <v>0</v>
      </c>
      <c r="Z610" s="158" cm="1">
        <f t="array" ref="Z610">_xlfn.SWITCH($N610,"BDI 1",$O$6,"BDI 2",$O$7,"BDI 3",$O$8)</f>
        <v>0.20699999999999999</v>
      </c>
      <c r="AA610" s="158" cm="1">
        <f t="array" ref="AA610">_xlfn.SWITCH($N610,"BDI 1",$P$6,"BDI 2",$P$7,"BDI 3",$P$8)</f>
        <v>0.26739999999999997</v>
      </c>
      <c r="AB610" s="158">
        <f ca="1">IFERROR($S610/_xlfn.XLOOKUP($AE610,$B$16:$B$38,$S$16:$S$38),0)</f>
        <v>0</v>
      </c>
      <c r="AC610" s="158">
        <f ca="1">IFERROR($T610/_xlfn.XLOOKUP($AE610,$B$16:$B$38,$T$16:$T$38),0)</f>
        <v>0</v>
      </c>
      <c r="AD610" s="164"/>
      <c r="AE610" s="148">
        <f t="shared" si="1504"/>
        <v>0</v>
      </c>
      <c r="AF610" s="149"/>
      <c r="AG610" s="150"/>
      <c r="AH610" s="159">
        <f>S610/$S$571</f>
        <v>0</v>
      </c>
      <c r="AI610" s="166">
        <f>IF(K610=0,0,K610/F610)</f>
        <v>0</v>
      </c>
      <c r="AJ610" s="105"/>
      <c r="AK610" s="105"/>
      <c r="AM610" s="105"/>
      <c r="AN610" s="105"/>
      <c r="AO610" s="105"/>
      <c r="AP610" s="105"/>
      <c r="AQ610" s="105"/>
      <c r="AR610" s="105"/>
    </row>
    <row r="611" spans="1:44" s="49" customFormat="1" ht="40.15" hidden="1" customHeight="1">
      <c r="A611" s="10">
        <f t="shared" ca="1" si="1386"/>
        <v>2.0599999999999987</v>
      </c>
      <c r="B611" s="153"/>
      <c r="C611" s="154"/>
      <c r="D611" s="154"/>
      <c r="E611" s="161" t="s">
        <v>292</v>
      </c>
      <c r="F611" s="154"/>
      <c r="G611" s="154"/>
      <c r="H611" s="152"/>
      <c r="I611" s="152"/>
      <c r="J611" s="154"/>
      <c r="K611" s="154"/>
      <c r="L611" s="154"/>
      <c r="M611" s="154"/>
      <c r="N611" s="154"/>
      <c r="O611" s="154"/>
      <c r="P611" s="154"/>
      <c r="Q611" s="154"/>
      <c r="R611" s="154"/>
      <c r="S611" s="162"/>
      <c r="T611" s="162"/>
      <c r="U611" s="162"/>
      <c r="V611" s="162"/>
      <c r="W611" s="162"/>
      <c r="X611" s="163"/>
      <c r="Y611" s="163"/>
      <c r="Z611" s="163"/>
      <c r="AA611" s="163"/>
      <c r="AB611" s="163"/>
      <c r="AC611" s="163"/>
      <c r="AD611" s="164"/>
      <c r="AE611" s="148">
        <f>IF(SUM(S612:S613)&gt;0,IFERROR(TRUNC(A611,0),0),0)</f>
        <v>0</v>
      </c>
      <c r="AF611" s="149"/>
      <c r="AG611" s="150"/>
      <c r="AH611" s="159"/>
      <c r="AI611" s="160" t="s">
        <v>123</v>
      </c>
      <c r="AJ611" s="105"/>
      <c r="AK611" s="105"/>
      <c r="AM611" s="105"/>
      <c r="AN611" s="105"/>
      <c r="AO611" s="105"/>
      <c r="AP611" s="105"/>
      <c r="AQ611" s="105"/>
      <c r="AR611" s="105"/>
    </row>
    <row r="612" spans="1:44" s="49" customFormat="1" ht="40.15" hidden="1" customHeight="1">
      <c r="A612" s="152">
        <f t="shared" ca="1" si="1386"/>
        <v>2.0599999999999987</v>
      </c>
      <c r="B612" s="153">
        <v>95879</v>
      </c>
      <c r="C612" s="154" t="str">
        <f>TEXT(B612,"0")</f>
        <v>95879</v>
      </c>
      <c r="D612" s="154" t="s">
        <v>1416</v>
      </c>
      <c r="E612" s="155" t="s">
        <v>3535</v>
      </c>
      <c r="F612" s="154">
        <f>IF(Dados_DMT!$B$19&lt;30,Dados_DMT!$B$19,30)</f>
        <v>0</v>
      </c>
      <c r="G612" s="154" t="s">
        <v>3534</v>
      </c>
      <c r="H612" s="152">
        <v>1.41</v>
      </c>
      <c r="I612" s="152">
        <v>1.42</v>
      </c>
      <c r="J612" s="156"/>
      <c r="K612" s="156">
        <f>ROUND(Recap_Previo!H126*F612,2)</f>
        <v>0</v>
      </c>
      <c r="L612" s="156">
        <f>IF($K612&gt;$J612,$K612-$J612,0)</f>
        <v>0</v>
      </c>
      <c r="M612" s="156">
        <f>IF($K612&lt;$J612,$J612-$K612,0)</f>
        <v>0</v>
      </c>
      <c r="N612" s="156" t="s">
        <v>83</v>
      </c>
      <c r="O612" s="157" cm="1">
        <f t="array" ref="O612">TRUNC($H612*(1+_xlfn.SWITCH($N612,"BDI 1",$O$6,"BDI 2",$O$7,"BDI 3",$O$8)),2)</f>
        <v>1.7</v>
      </c>
      <c r="P612" s="157" cm="1">
        <f t="array" ref="P612">TRUNC($I612*(1+_xlfn.SWITCH($N612,"BDI 1",$P$6,"BDI 2",$P$7,"BDI 3",$P$8)),2)</f>
        <v>1.79</v>
      </c>
      <c r="Q612" s="157">
        <v>0</v>
      </c>
      <c r="R612" s="157">
        <v>0</v>
      </c>
      <c r="S612" s="156">
        <f>TRUNC($K612*$O612,2)</f>
        <v>0</v>
      </c>
      <c r="T612" s="156">
        <f>TRUNC($K612*$P612,2)</f>
        <v>0</v>
      </c>
      <c r="U612" s="156">
        <f>TRUNC($J612*$R612,2)</f>
        <v>0</v>
      </c>
      <c r="V612" s="156">
        <f>TRUNC($K612*$Q612,2)</f>
        <v>0</v>
      </c>
      <c r="W612" s="156">
        <f>TRUNC(V612-U612,2)</f>
        <v>0</v>
      </c>
      <c r="X612" s="158">
        <f>$S612/ORCAMENTO_VALOR_TOTAL_ND</f>
        <v>0</v>
      </c>
      <c r="Y612" s="158">
        <f>$T612/ORCAMENTO_VALOR_TOTAL_DE</f>
        <v>0</v>
      </c>
      <c r="Z612" s="158" cm="1">
        <f t="array" ref="Z612">_xlfn.SWITCH($N612,"BDI 1",$O$6,"BDI 2",$O$7,"BDI 3",$O$8)</f>
        <v>0.20699999999999999</v>
      </c>
      <c r="AA612" s="158" cm="1">
        <f t="array" ref="AA612">_xlfn.SWITCH($N612,"BDI 1",$P$6,"BDI 2",$P$7,"BDI 3",$P$8)</f>
        <v>0.26739999999999997</v>
      </c>
      <c r="AB612" s="158">
        <f ca="1">IFERROR($S612/_xlfn.XLOOKUP($AE612,$B$16:$B$38,$S$16:$S$38),0)</f>
        <v>0</v>
      </c>
      <c r="AC612" s="158">
        <f ca="1">IFERROR($T612/_xlfn.XLOOKUP($AE612,$B$16:$B$38,$T$16:$T$38),0)</f>
        <v>0</v>
      </c>
      <c r="AD612" s="164"/>
      <c r="AE612" s="148">
        <f t="shared" ref="AE612:AE613" si="1505">IF(S612&gt;0,IFERROR(TRUNC(A612,0),0),0)</f>
        <v>0</v>
      </c>
      <c r="AF612" s="149"/>
      <c r="AG612" s="150"/>
      <c r="AH612" s="159">
        <f>S612/$S$571</f>
        <v>0</v>
      </c>
      <c r="AI612" s="209">
        <f>IF(K612=0,0,K612/F612)</f>
        <v>0</v>
      </c>
      <c r="AJ612" s="105"/>
      <c r="AK612" s="105"/>
      <c r="AM612" s="105"/>
      <c r="AN612" s="105"/>
      <c r="AO612" s="105"/>
      <c r="AP612" s="105"/>
      <c r="AQ612" s="105"/>
      <c r="AR612" s="105"/>
    </row>
    <row r="613" spans="1:44" s="49" customFormat="1" ht="40.15" hidden="1" customHeight="1">
      <c r="A613" s="152">
        <f t="shared" ca="1" si="1386"/>
        <v>2.0599999999999987</v>
      </c>
      <c r="B613" s="153">
        <v>93599</v>
      </c>
      <c r="C613" s="154" t="str">
        <f>TEXT(B613,"0")</f>
        <v>93599</v>
      </c>
      <c r="D613" s="154" t="s">
        <v>1416</v>
      </c>
      <c r="E613" s="155" t="s">
        <v>3533</v>
      </c>
      <c r="F613" s="154">
        <f>+Dados_DMT!$B$19-F612</f>
        <v>0</v>
      </c>
      <c r="G613" s="154" t="s">
        <v>3534</v>
      </c>
      <c r="H613" s="152">
        <v>0.56000000000000005</v>
      </c>
      <c r="I613" s="152">
        <v>0.56000000000000005</v>
      </c>
      <c r="J613" s="156"/>
      <c r="K613" s="156">
        <f>ROUND(Recap_Previo!H126*F613,2)</f>
        <v>0</v>
      </c>
      <c r="L613" s="156">
        <f>IF($K613&gt;$J613,$K613-$J613,0)</f>
        <v>0</v>
      </c>
      <c r="M613" s="156">
        <f>IF($K613&lt;$J613,$J613-$K613,0)</f>
        <v>0</v>
      </c>
      <c r="N613" s="156" t="s">
        <v>83</v>
      </c>
      <c r="O613" s="157" cm="1">
        <f t="array" ref="O613">TRUNC($H613*(1+_xlfn.SWITCH($N613,"BDI 1",$O$6,"BDI 2",$O$7,"BDI 3",$O$8)),2)</f>
        <v>0.67</v>
      </c>
      <c r="P613" s="157" cm="1">
        <f t="array" ref="P613">TRUNC($I613*(1+_xlfn.SWITCH($N613,"BDI 1",$P$6,"BDI 2",$P$7,"BDI 3",$P$8)),2)</f>
        <v>0.7</v>
      </c>
      <c r="Q613" s="157">
        <v>0</v>
      </c>
      <c r="R613" s="157">
        <v>0</v>
      </c>
      <c r="S613" s="156">
        <f>TRUNC($K613*$O613,2)</f>
        <v>0</v>
      </c>
      <c r="T613" s="156">
        <f>TRUNC($K613*$P613,2)</f>
        <v>0</v>
      </c>
      <c r="U613" s="156">
        <f>TRUNC($J613*$R613,2)</f>
        <v>0</v>
      </c>
      <c r="V613" s="156">
        <f>TRUNC($K613*$Q613,2)</f>
        <v>0</v>
      </c>
      <c r="W613" s="156">
        <f>TRUNC(V613-U613,2)</f>
        <v>0</v>
      </c>
      <c r="X613" s="158">
        <f>$S613/ORCAMENTO_VALOR_TOTAL_ND</f>
        <v>0</v>
      </c>
      <c r="Y613" s="158">
        <f>$T613/ORCAMENTO_VALOR_TOTAL_DE</f>
        <v>0</v>
      </c>
      <c r="Z613" s="158" cm="1">
        <f t="array" ref="Z613">_xlfn.SWITCH($N613,"BDI 1",$O$6,"BDI 2",$O$7,"BDI 3",$O$8)</f>
        <v>0.20699999999999999</v>
      </c>
      <c r="AA613" s="158" cm="1">
        <f t="array" ref="AA613">_xlfn.SWITCH($N613,"BDI 1",$P$6,"BDI 2",$P$7,"BDI 3",$P$8)</f>
        <v>0.26739999999999997</v>
      </c>
      <c r="AB613" s="158">
        <f ca="1">IFERROR($S613/_xlfn.XLOOKUP($AE613,$B$16:$B$38,$S$16:$S$38),0)</f>
        <v>0</v>
      </c>
      <c r="AC613" s="158">
        <f ca="1">IFERROR($T613/_xlfn.XLOOKUP($AE613,$B$16:$B$38,$T$16:$T$38),0)</f>
        <v>0</v>
      </c>
      <c r="AD613" s="164"/>
      <c r="AE613" s="148">
        <f t="shared" si="1505"/>
        <v>0</v>
      </c>
      <c r="AF613" s="149"/>
      <c r="AG613" s="150"/>
      <c r="AH613" s="159">
        <f>S613/$S$571</f>
        <v>0</v>
      </c>
      <c r="AI613" s="209">
        <f>IF(K613=0,0,K613/F613)</f>
        <v>0</v>
      </c>
      <c r="AJ613" s="105"/>
      <c r="AK613" s="105"/>
      <c r="AM613" s="105"/>
      <c r="AN613" s="105"/>
      <c r="AO613" s="105"/>
      <c r="AP613" s="105"/>
      <c r="AQ613" s="105"/>
      <c r="AR613" s="105"/>
    </row>
    <row r="614" spans="1:44" s="49" customFormat="1" ht="40.15" hidden="1" customHeight="1">
      <c r="A614" s="10">
        <f t="shared" ca="1" si="1386"/>
        <v>2.0599999999999987</v>
      </c>
      <c r="B614" s="153"/>
      <c r="C614" s="154"/>
      <c r="D614" s="154"/>
      <c r="E614" s="161" t="s">
        <v>139</v>
      </c>
      <c r="F614" s="154"/>
      <c r="G614" s="154"/>
      <c r="H614" s="152"/>
      <c r="I614" s="152"/>
      <c r="J614" s="154"/>
      <c r="K614" s="154"/>
      <c r="L614" s="154"/>
      <c r="M614" s="154"/>
      <c r="N614" s="154"/>
      <c r="O614" s="154"/>
      <c r="P614" s="154"/>
      <c r="Q614" s="154"/>
      <c r="R614" s="154"/>
      <c r="S614" s="162"/>
      <c r="T614" s="162"/>
      <c r="U614" s="162"/>
      <c r="V614" s="162"/>
      <c r="W614" s="162"/>
      <c r="X614" s="163"/>
      <c r="Y614" s="163"/>
      <c r="Z614" s="163"/>
      <c r="AA614" s="163"/>
      <c r="AB614" s="163"/>
      <c r="AC614" s="163"/>
      <c r="AD614" s="164"/>
      <c r="AE614" s="148">
        <f>IF(SUM(S615:S616)&gt;0,IFERROR(TRUNC(A614,0),0),0)</f>
        <v>0</v>
      </c>
      <c r="AF614" s="149"/>
      <c r="AG614" s="150"/>
      <c r="AH614" s="159"/>
      <c r="AI614" s="160"/>
      <c r="AJ614" s="105"/>
      <c r="AK614" s="105"/>
      <c r="AM614" s="105"/>
      <c r="AN614" s="105"/>
      <c r="AO614" s="105"/>
      <c r="AP614" s="105"/>
      <c r="AQ614" s="105"/>
      <c r="AR614" s="105"/>
    </row>
    <row r="615" spans="1:44" s="49" customFormat="1" ht="40.15" hidden="1" customHeight="1">
      <c r="A615" s="152">
        <f t="shared" ca="1" si="1386"/>
        <v>2.0599999999999987</v>
      </c>
      <c r="B615" s="153">
        <v>95876</v>
      </c>
      <c r="C615" s="154" t="str">
        <f>TEXT(B615,"0")</f>
        <v>95876</v>
      </c>
      <c r="D615" s="154" t="s">
        <v>1416</v>
      </c>
      <c r="E615" s="155" t="s">
        <v>3537</v>
      </c>
      <c r="F615" s="154">
        <f>IF(Dados_DMT!$B$14&lt;30,Dados_DMT!$B$14,30)</f>
        <v>3.5</v>
      </c>
      <c r="G615" s="154" t="s">
        <v>3538</v>
      </c>
      <c r="H615" s="152">
        <v>2.09</v>
      </c>
      <c r="I615" s="152">
        <v>2.1</v>
      </c>
      <c r="J615" s="156"/>
      <c r="K615" s="156">
        <f>ROUND(Recap_Previo!H127*F615,2)</f>
        <v>0</v>
      </c>
      <c r="L615" s="156">
        <f>IF($K615&gt;$J615,$K615-$J615,0)</f>
        <v>0</v>
      </c>
      <c r="M615" s="156">
        <f>IF($K615&lt;$J615,$J615-$K615,0)</f>
        <v>0</v>
      </c>
      <c r="N615" s="156" t="s">
        <v>83</v>
      </c>
      <c r="O615" s="157" cm="1">
        <f t="array" ref="O615">TRUNC($H615*(1+_xlfn.SWITCH($N615,"BDI 1",$O$6,"BDI 2",$O$7,"BDI 3",$O$8)),2)</f>
        <v>2.52</v>
      </c>
      <c r="P615" s="157" cm="1">
        <f t="array" ref="P615">TRUNC($I615*(1+_xlfn.SWITCH($N615,"BDI 1",$P$6,"BDI 2",$P$7,"BDI 3",$P$8)),2)</f>
        <v>2.66</v>
      </c>
      <c r="Q615" s="157">
        <v>0</v>
      </c>
      <c r="R615" s="157">
        <v>0</v>
      </c>
      <c r="S615" s="156">
        <f>TRUNC($K615*$O615,2)</f>
        <v>0</v>
      </c>
      <c r="T615" s="156">
        <f>TRUNC($K615*$P615,2)</f>
        <v>0</v>
      </c>
      <c r="U615" s="156">
        <f>TRUNC($J615*$R615,2)</f>
        <v>0</v>
      </c>
      <c r="V615" s="156">
        <f>TRUNC($K615*$Q615,2)</f>
        <v>0</v>
      </c>
      <c r="W615" s="156">
        <f>TRUNC(V615-U615,2)</f>
        <v>0</v>
      </c>
      <c r="X615" s="158">
        <f>$S615/ORCAMENTO_VALOR_TOTAL_ND</f>
        <v>0</v>
      </c>
      <c r="Y615" s="158">
        <f>$T615/ORCAMENTO_VALOR_TOTAL_DE</f>
        <v>0</v>
      </c>
      <c r="Z615" s="158" cm="1">
        <f t="array" ref="Z615">_xlfn.SWITCH($N615,"BDI 1",$O$6,"BDI 2",$O$7,"BDI 3",$O$8)</f>
        <v>0.20699999999999999</v>
      </c>
      <c r="AA615" s="158" cm="1">
        <f t="array" ref="AA615">_xlfn.SWITCH($N615,"BDI 1",$P$6,"BDI 2",$P$7,"BDI 3",$P$8)</f>
        <v>0.26739999999999997</v>
      </c>
      <c r="AB615" s="158">
        <f ca="1">IFERROR($S615/_xlfn.XLOOKUP($AE615,$B$16:$B$38,$S$16:$S$38),0)</f>
        <v>0</v>
      </c>
      <c r="AC615" s="158">
        <f ca="1">IFERROR($T615/_xlfn.XLOOKUP($AE615,$B$16:$B$38,$T$16:$T$38),0)</f>
        <v>0</v>
      </c>
      <c r="AD615" s="164"/>
      <c r="AE615" s="148">
        <f t="shared" ref="AE615:AE616" si="1506">IF(S615&gt;0,IFERROR(TRUNC(A615,0),0),0)</f>
        <v>0</v>
      </c>
      <c r="AF615" s="149"/>
      <c r="AG615" s="150"/>
      <c r="AH615" s="159">
        <f>S615/$S$571</f>
        <v>0</v>
      </c>
      <c r="AI615" s="160"/>
      <c r="AJ615" s="105"/>
      <c r="AK615" s="105"/>
      <c r="AM615" s="105"/>
      <c r="AN615" s="105"/>
      <c r="AO615" s="105"/>
      <c r="AP615" s="105"/>
      <c r="AQ615" s="105"/>
      <c r="AR615" s="105"/>
    </row>
    <row r="616" spans="1:44" s="49" customFormat="1" ht="40.15" hidden="1" customHeight="1">
      <c r="A616" s="152">
        <f t="shared" ca="1" si="1386"/>
        <v>2.0599999999999987</v>
      </c>
      <c r="B616" s="153">
        <v>93593</v>
      </c>
      <c r="C616" s="154" t="str">
        <f>TEXT(B616,"0")</f>
        <v>93593</v>
      </c>
      <c r="D616" s="154" t="s">
        <v>1416</v>
      </c>
      <c r="E616" s="155" t="s">
        <v>3545</v>
      </c>
      <c r="F616" s="154">
        <f>Dados_DMT!$B$14-F615</f>
        <v>0</v>
      </c>
      <c r="G616" s="154" t="s">
        <v>3538</v>
      </c>
      <c r="H616" s="152">
        <v>0.84</v>
      </c>
      <c r="I616" s="152">
        <v>0.85</v>
      </c>
      <c r="J616" s="156"/>
      <c r="K616" s="156">
        <f>ROUND(Recap_Previo!H127*F616,2)</f>
        <v>0</v>
      </c>
      <c r="L616" s="156">
        <f>IF($K616&gt;$J616,$K616-$J616,0)</f>
        <v>0</v>
      </c>
      <c r="M616" s="156">
        <f>IF($K616&lt;$J616,$J616-$K616,0)</f>
        <v>0</v>
      </c>
      <c r="N616" s="156" t="s">
        <v>83</v>
      </c>
      <c r="O616" s="157" cm="1">
        <f t="array" ref="O616">TRUNC($H616*(1+_xlfn.SWITCH($N616,"BDI 1",$O$6,"BDI 2",$O$7,"BDI 3",$O$8)),2)</f>
        <v>1.01</v>
      </c>
      <c r="P616" s="157" cm="1">
        <f t="array" ref="P616">TRUNC($I616*(1+_xlfn.SWITCH($N616,"BDI 1",$P$6,"BDI 2",$P$7,"BDI 3",$P$8)),2)</f>
        <v>1.07</v>
      </c>
      <c r="Q616" s="157">
        <v>0</v>
      </c>
      <c r="R616" s="157">
        <v>0</v>
      </c>
      <c r="S616" s="156">
        <f>TRUNC($K616*$O616,2)</f>
        <v>0</v>
      </c>
      <c r="T616" s="156">
        <f>TRUNC($K616*$P616,2)</f>
        <v>0</v>
      </c>
      <c r="U616" s="156">
        <f>TRUNC($J616*$R616,2)</f>
        <v>0</v>
      </c>
      <c r="V616" s="156">
        <f>TRUNC($K616*$Q616,2)</f>
        <v>0</v>
      </c>
      <c r="W616" s="156">
        <f>TRUNC(V616-U616,2)</f>
        <v>0</v>
      </c>
      <c r="X616" s="158">
        <f>$S616/ORCAMENTO_VALOR_TOTAL_ND</f>
        <v>0</v>
      </c>
      <c r="Y616" s="158">
        <f>$T616/ORCAMENTO_VALOR_TOTAL_DE</f>
        <v>0</v>
      </c>
      <c r="Z616" s="158" cm="1">
        <f t="array" ref="Z616">_xlfn.SWITCH($N616,"BDI 1",$O$6,"BDI 2",$O$7,"BDI 3",$O$8)</f>
        <v>0.20699999999999999</v>
      </c>
      <c r="AA616" s="158" cm="1">
        <f t="array" ref="AA616">_xlfn.SWITCH($N616,"BDI 1",$P$6,"BDI 2",$P$7,"BDI 3",$P$8)</f>
        <v>0.26739999999999997</v>
      </c>
      <c r="AB616" s="158">
        <f ca="1">IFERROR($S616/_xlfn.XLOOKUP($AE616,$B$16:$B$38,$S$16:$S$38),0)</f>
        <v>0</v>
      </c>
      <c r="AC616" s="158">
        <f ca="1">IFERROR($T616/_xlfn.XLOOKUP($AE616,$B$16:$B$38,$T$16:$T$38),0)</f>
        <v>0</v>
      </c>
      <c r="AD616" s="164"/>
      <c r="AE616" s="148">
        <f t="shared" si="1506"/>
        <v>0</v>
      </c>
      <c r="AF616" s="149"/>
      <c r="AG616" s="150"/>
      <c r="AH616" s="159">
        <f>S616/$S$571</f>
        <v>0</v>
      </c>
      <c r="AI616" s="160"/>
      <c r="AJ616" s="105"/>
      <c r="AK616" s="105"/>
      <c r="AM616" s="105"/>
      <c r="AN616" s="105"/>
      <c r="AO616" s="105"/>
      <c r="AP616" s="105"/>
      <c r="AQ616" s="105"/>
      <c r="AR616" s="105"/>
    </row>
    <row r="617" spans="1:44" s="49" customFormat="1" ht="40.15" hidden="1" customHeight="1">
      <c r="A617" s="10">
        <f t="shared" ca="1" si="1386"/>
        <v>2.0599999999999987</v>
      </c>
      <c r="B617" s="153"/>
      <c r="C617" s="154"/>
      <c r="D617" s="154"/>
      <c r="E617" s="161" t="s">
        <v>259</v>
      </c>
      <c r="F617" s="154"/>
      <c r="G617" s="154"/>
      <c r="H617" s="152"/>
      <c r="I617" s="152"/>
      <c r="J617" s="154"/>
      <c r="K617" s="154"/>
      <c r="L617" s="154"/>
      <c r="M617" s="154"/>
      <c r="N617" s="154"/>
      <c r="O617" s="154"/>
      <c r="P617" s="154"/>
      <c r="Q617" s="154"/>
      <c r="R617" s="154"/>
      <c r="S617" s="162"/>
      <c r="T617" s="162"/>
      <c r="U617" s="162"/>
      <c r="V617" s="162"/>
      <c r="W617" s="162"/>
      <c r="X617" s="163"/>
      <c r="Y617" s="163"/>
      <c r="Z617" s="163"/>
      <c r="AA617" s="163"/>
      <c r="AB617" s="163"/>
      <c r="AC617" s="163"/>
      <c r="AD617" s="164"/>
      <c r="AE617" s="148">
        <f>IF(SUM(S618:S619)&gt;0,IFERROR(TRUNC(A617,0),0),0)</f>
        <v>0</v>
      </c>
      <c r="AF617" s="149"/>
      <c r="AG617" s="150"/>
      <c r="AH617" s="159"/>
      <c r="AI617" s="160"/>
      <c r="AJ617" s="105"/>
      <c r="AK617" s="105"/>
      <c r="AM617" s="105"/>
      <c r="AN617" s="105"/>
      <c r="AO617" s="105"/>
      <c r="AP617" s="105"/>
      <c r="AQ617" s="105"/>
      <c r="AR617" s="105"/>
    </row>
    <row r="618" spans="1:44" s="49" customFormat="1" ht="40.15" hidden="1" customHeight="1">
      <c r="A618" s="152">
        <f t="shared" ca="1" si="1386"/>
        <v>2.0599999999999987</v>
      </c>
      <c r="B618" s="153">
        <v>95876</v>
      </c>
      <c r="C618" s="154" t="str">
        <f>TEXT(B618,"0")</f>
        <v>95876</v>
      </c>
      <c r="D618" s="154" t="s">
        <v>1416</v>
      </c>
      <c r="E618" s="155" t="s">
        <v>3537</v>
      </c>
      <c r="F618" s="154">
        <f>IF(Dados_DMT!$B$24&lt;30,Dados_DMT!$B$24,30)</f>
        <v>0</v>
      </c>
      <c r="G618" s="154" t="s">
        <v>3538</v>
      </c>
      <c r="H618" s="152">
        <v>2.09</v>
      </c>
      <c r="I618" s="152">
        <v>2.1</v>
      </c>
      <c r="J618" s="156"/>
      <c r="K618" s="156">
        <f>ROUND(Recap_Previo!H131*F618,2)</f>
        <v>0</v>
      </c>
      <c r="L618" s="156">
        <f>IF($K618&gt;$J618,$K618-$J618,0)</f>
        <v>0</v>
      </c>
      <c r="M618" s="156">
        <f>IF($K618&lt;$J618,$J618-$K618,0)</f>
        <v>0</v>
      </c>
      <c r="N618" s="156" t="s">
        <v>83</v>
      </c>
      <c r="O618" s="157" cm="1">
        <f t="array" ref="O618">TRUNC($H618*(1+_xlfn.SWITCH($N618,"BDI 1",$O$6,"BDI 2",$O$7,"BDI 3",$O$8)),2)</f>
        <v>2.52</v>
      </c>
      <c r="P618" s="157" cm="1">
        <f t="array" ref="P618">TRUNC($I618*(1+_xlfn.SWITCH($N618,"BDI 1",$P$6,"BDI 2",$P$7,"BDI 3",$P$8)),2)</f>
        <v>2.66</v>
      </c>
      <c r="Q618" s="157">
        <v>0</v>
      </c>
      <c r="R618" s="157">
        <v>0</v>
      </c>
      <c r="S618" s="156">
        <f>TRUNC($K618*$O618,2)</f>
        <v>0</v>
      </c>
      <c r="T618" s="156">
        <f>TRUNC($K618*$P618,2)</f>
        <v>0</v>
      </c>
      <c r="U618" s="156">
        <f>TRUNC($J618*$R618,2)</f>
        <v>0</v>
      </c>
      <c r="V618" s="156">
        <f>TRUNC($K618*$Q618,2)</f>
        <v>0</v>
      </c>
      <c r="W618" s="156">
        <f>TRUNC(V618-U618,2)</f>
        <v>0</v>
      </c>
      <c r="X618" s="158">
        <f>$S618/ORCAMENTO_VALOR_TOTAL_ND</f>
        <v>0</v>
      </c>
      <c r="Y618" s="158">
        <f>$T618/ORCAMENTO_VALOR_TOTAL_DE</f>
        <v>0</v>
      </c>
      <c r="Z618" s="158" cm="1">
        <f t="array" ref="Z618">_xlfn.SWITCH($N618,"BDI 1",$O$6,"BDI 2",$O$7,"BDI 3",$O$8)</f>
        <v>0.20699999999999999</v>
      </c>
      <c r="AA618" s="158" cm="1">
        <f t="array" ref="AA618">_xlfn.SWITCH($N618,"BDI 1",$P$6,"BDI 2",$P$7,"BDI 3",$P$8)</f>
        <v>0.26739999999999997</v>
      </c>
      <c r="AB618" s="158">
        <f ca="1">IFERROR($S618/_xlfn.XLOOKUP($AE618,$B$16:$B$38,$S$16:$S$38),0)</f>
        <v>0</v>
      </c>
      <c r="AC618" s="158">
        <f ca="1">IFERROR($T618/_xlfn.XLOOKUP($AE618,$B$16:$B$38,$T$16:$T$38),0)</f>
        <v>0</v>
      </c>
      <c r="AD618" s="164"/>
      <c r="AE618" s="148">
        <f t="shared" ref="AE618:AE619" si="1507">IF(S618&gt;0,IFERROR(TRUNC(A618,0),0),0)</f>
        <v>0</v>
      </c>
      <c r="AF618" s="149"/>
      <c r="AG618" s="150"/>
      <c r="AH618" s="159">
        <f>S618/$S$571</f>
        <v>0</v>
      </c>
      <c r="AI618" s="166">
        <f>IF(K618=0,0,K618/F618)</f>
        <v>0</v>
      </c>
      <c r="AJ618" s="105"/>
      <c r="AK618" s="105"/>
      <c r="AM618" s="105"/>
      <c r="AN618" s="105"/>
      <c r="AO618" s="105"/>
      <c r="AP618" s="105"/>
      <c r="AQ618" s="105"/>
      <c r="AR618" s="105"/>
    </row>
    <row r="619" spans="1:44" s="49" customFormat="1" ht="40.15" hidden="1" customHeight="1">
      <c r="A619" s="152">
        <f t="shared" ca="1" si="1386"/>
        <v>2.0599999999999987</v>
      </c>
      <c r="B619" s="153">
        <v>93593</v>
      </c>
      <c r="C619" s="154" t="str">
        <f>TEXT(B619,"0")</f>
        <v>93593</v>
      </c>
      <c r="D619" s="154" t="s">
        <v>1416</v>
      </c>
      <c r="E619" s="155" t="s">
        <v>3545</v>
      </c>
      <c r="F619" s="154">
        <f>+Dados_DMT!$B$24-F618</f>
        <v>0</v>
      </c>
      <c r="G619" s="154" t="s">
        <v>3538</v>
      </c>
      <c r="H619" s="152">
        <v>0.84</v>
      </c>
      <c r="I619" s="152">
        <v>0.85</v>
      </c>
      <c r="J619" s="156"/>
      <c r="K619" s="156">
        <f>ROUND(Recap_Previo!H131*F619,2)</f>
        <v>0</v>
      </c>
      <c r="L619" s="156">
        <f>IF($K619&gt;$J619,$K619-$J619,0)</f>
        <v>0</v>
      </c>
      <c r="M619" s="156">
        <f>IF($K619&lt;$J619,$J619-$K619,0)</f>
        <v>0</v>
      </c>
      <c r="N619" s="156" t="s">
        <v>83</v>
      </c>
      <c r="O619" s="157" cm="1">
        <f t="array" ref="O619">TRUNC($H619*(1+_xlfn.SWITCH($N619,"BDI 1",$O$6,"BDI 2",$O$7,"BDI 3",$O$8)),2)</f>
        <v>1.01</v>
      </c>
      <c r="P619" s="157" cm="1">
        <f t="array" ref="P619">TRUNC($I619*(1+_xlfn.SWITCH($N619,"BDI 1",$P$6,"BDI 2",$P$7,"BDI 3",$P$8)),2)</f>
        <v>1.07</v>
      </c>
      <c r="Q619" s="157">
        <v>0</v>
      </c>
      <c r="R619" s="157">
        <v>0</v>
      </c>
      <c r="S619" s="156">
        <f>TRUNC($K619*$O619,2)</f>
        <v>0</v>
      </c>
      <c r="T619" s="156">
        <f>TRUNC($K619*$P619,2)</f>
        <v>0</v>
      </c>
      <c r="U619" s="156">
        <f>TRUNC($J619*$R619,2)</f>
        <v>0</v>
      </c>
      <c r="V619" s="156">
        <f>TRUNC($K619*$Q619,2)</f>
        <v>0</v>
      </c>
      <c r="W619" s="156">
        <f>TRUNC(V619-U619,2)</f>
        <v>0</v>
      </c>
      <c r="X619" s="158">
        <f>$S619/ORCAMENTO_VALOR_TOTAL_ND</f>
        <v>0</v>
      </c>
      <c r="Y619" s="158">
        <f>$T619/ORCAMENTO_VALOR_TOTAL_DE</f>
        <v>0</v>
      </c>
      <c r="Z619" s="158" cm="1">
        <f t="array" ref="Z619">_xlfn.SWITCH($N619,"BDI 1",$O$6,"BDI 2",$O$7,"BDI 3",$O$8)</f>
        <v>0.20699999999999999</v>
      </c>
      <c r="AA619" s="158" cm="1">
        <f t="array" ref="AA619">_xlfn.SWITCH($N619,"BDI 1",$P$6,"BDI 2",$P$7,"BDI 3",$P$8)</f>
        <v>0.26739999999999997</v>
      </c>
      <c r="AB619" s="158">
        <f ca="1">IFERROR($S619/_xlfn.XLOOKUP($AE619,$B$16:$B$38,$S$16:$S$38),0)</f>
        <v>0</v>
      </c>
      <c r="AC619" s="158">
        <f ca="1">IFERROR($T619/_xlfn.XLOOKUP($AE619,$B$16:$B$38,$T$16:$T$38),0)</f>
        <v>0</v>
      </c>
      <c r="AD619" s="164"/>
      <c r="AE619" s="148">
        <f t="shared" si="1507"/>
        <v>0</v>
      </c>
      <c r="AF619" s="149"/>
      <c r="AG619" s="150"/>
      <c r="AH619" s="159">
        <f>S619/$S$571</f>
        <v>0</v>
      </c>
      <c r="AI619" s="166">
        <f>IF(K619=0,0,K619/F619)</f>
        <v>0</v>
      </c>
      <c r="AJ619" s="105"/>
      <c r="AK619" s="105"/>
      <c r="AM619" s="105"/>
      <c r="AN619" s="105"/>
      <c r="AO619" s="105"/>
      <c r="AP619" s="105"/>
      <c r="AQ619" s="105"/>
      <c r="AR619" s="105"/>
    </row>
    <row r="620" spans="1:44" s="49" customFormat="1" ht="40.15" hidden="1" customHeight="1">
      <c r="A620" s="10">
        <f t="shared" ca="1" si="1386"/>
        <v>2.0599999999999987</v>
      </c>
      <c r="B620" s="153"/>
      <c r="C620" s="154"/>
      <c r="D620" s="154"/>
      <c r="E620" s="161" t="s">
        <v>103</v>
      </c>
      <c r="F620" s="154"/>
      <c r="G620" s="154"/>
      <c r="H620" s="152"/>
      <c r="I620" s="152"/>
      <c r="J620" s="154"/>
      <c r="K620" s="154"/>
      <c r="L620" s="154"/>
      <c r="M620" s="154"/>
      <c r="N620" s="154"/>
      <c r="O620" s="154"/>
      <c r="P620" s="154"/>
      <c r="Q620" s="154"/>
      <c r="R620" s="154"/>
      <c r="S620" s="162"/>
      <c r="T620" s="162"/>
      <c r="U620" s="162"/>
      <c r="V620" s="162"/>
      <c r="W620" s="162"/>
      <c r="X620" s="163"/>
      <c r="Y620" s="163"/>
      <c r="Z620" s="163"/>
      <c r="AA620" s="163"/>
      <c r="AB620" s="163"/>
      <c r="AC620" s="163"/>
      <c r="AD620" s="164"/>
      <c r="AE620" s="148">
        <f>IF(SUM(S621:S622)&gt;0,IFERROR(TRUNC(A620,0),0),0)</f>
        <v>0</v>
      </c>
      <c r="AF620" s="149"/>
      <c r="AG620" s="150"/>
      <c r="AH620" s="159"/>
      <c r="AI620" s="160"/>
      <c r="AJ620" s="105"/>
      <c r="AK620" s="105"/>
      <c r="AM620" s="105"/>
      <c r="AN620" s="105"/>
      <c r="AO620" s="105"/>
      <c r="AP620" s="105"/>
      <c r="AQ620" s="105"/>
      <c r="AR620" s="105"/>
    </row>
    <row r="621" spans="1:44" s="49" customFormat="1" ht="40.15" hidden="1" customHeight="1">
      <c r="A621" s="152">
        <f t="shared" ca="1" si="1386"/>
        <v>2.0599999999999987</v>
      </c>
      <c r="B621" s="153">
        <v>95876</v>
      </c>
      <c r="C621" s="154" t="str">
        <f>TEXT(B621,"0")</f>
        <v>95876</v>
      </c>
      <c r="D621" s="154" t="s">
        <v>1416</v>
      </c>
      <c r="E621" s="155" t="s">
        <v>3537</v>
      </c>
      <c r="F621" s="154">
        <f>IF(Dados_DMT!$B$34&lt;30,Dados_DMT!$B$34,30)</f>
        <v>30</v>
      </c>
      <c r="G621" s="154" t="s">
        <v>3538</v>
      </c>
      <c r="H621" s="152">
        <v>2.09</v>
      </c>
      <c r="I621" s="152">
        <v>2.1</v>
      </c>
      <c r="J621" s="156"/>
      <c r="K621" s="156">
        <f>ROUND(Recap_Previo!H132*F621,2)</f>
        <v>0</v>
      </c>
      <c r="L621" s="156">
        <f>IF($K621&gt;$J621,$K621-$J621,0)</f>
        <v>0</v>
      </c>
      <c r="M621" s="156">
        <f>IF($K621&lt;$J621,$J621-$K621,0)</f>
        <v>0</v>
      </c>
      <c r="N621" s="156" t="s">
        <v>83</v>
      </c>
      <c r="O621" s="157" cm="1">
        <f t="array" ref="O621">TRUNC($H621*(1+_xlfn.SWITCH($N621,"BDI 1",$O$6,"BDI 2",$O$7,"BDI 3",$O$8)),2)</f>
        <v>2.52</v>
      </c>
      <c r="P621" s="157" cm="1">
        <f t="array" ref="P621">TRUNC($I621*(1+_xlfn.SWITCH($N621,"BDI 1",$P$6,"BDI 2",$P$7,"BDI 3",$P$8)),2)</f>
        <v>2.66</v>
      </c>
      <c r="Q621" s="157">
        <v>0</v>
      </c>
      <c r="R621" s="157">
        <v>0</v>
      </c>
      <c r="S621" s="156">
        <f>TRUNC($K621*$O621,2)</f>
        <v>0</v>
      </c>
      <c r="T621" s="156">
        <f>TRUNC($K621*$P621,2)</f>
        <v>0</v>
      </c>
      <c r="U621" s="156">
        <f>TRUNC($J621*$R621,2)</f>
        <v>0</v>
      </c>
      <c r="V621" s="156">
        <f>TRUNC($K621*$Q621,2)</f>
        <v>0</v>
      </c>
      <c r="W621" s="156">
        <f>TRUNC(V621-U621,2)</f>
        <v>0</v>
      </c>
      <c r="X621" s="158">
        <f>$S621/ORCAMENTO_VALOR_TOTAL_ND</f>
        <v>0</v>
      </c>
      <c r="Y621" s="158">
        <f>$T621/ORCAMENTO_VALOR_TOTAL_DE</f>
        <v>0</v>
      </c>
      <c r="Z621" s="158" cm="1">
        <f t="array" ref="Z621">_xlfn.SWITCH($N621,"BDI 1",$O$6,"BDI 2",$O$7,"BDI 3",$O$8)</f>
        <v>0.20699999999999999</v>
      </c>
      <c r="AA621" s="158" cm="1">
        <f t="array" ref="AA621">_xlfn.SWITCH($N621,"BDI 1",$P$6,"BDI 2",$P$7,"BDI 3",$P$8)</f>
        <v>0.26739999999999997</v>
      </c>
      <c r="AB621" s="158">
        <f ca="1">IFERROR($S621/_xlfn.XLOOKUP($AE621,$B$16:$B$38,$S$16:$S$38),0)</f>
        <v>0</v>
      </c>
      <c r="AC621" s="158">
        <f ca="1">IFERROR($T621/_xlfn.XLOOKUP($AE621,$B$16:$B$38,$T$16:$T$38),0)</f>
        <v>0</v>
      </c>
      <c r="AD621" s="164"/>
      <c r="AE621" s="148">
        <f t="shared" ref="AE621:AE622" si="1508">IF(S621&gt;0,IFERROR(TRUNC(A621,0),0),0)</f>
        <v>0</v>
      </c>
      <c r="AF621" s="149"/>
      <c r="AG621" s="150"/>
      <c r="AH621" s="159">
        <f>S621/$S$571</f>
        <v>0</v>
      </c>
      <c r="AI621" s="160"/>
      <c r="AJ621" s="105"/>
      <c r="AK621" s="105"/>
      <c r="AM621" s="105"/>
      <c r="AN621" s="105"/>
      <c r="AO621" s="105"/>
      <c r="AP621" s="105"/>
      <c r="AQ621" s="105"/>
      <c r="AR621" s="105"/>
    </row>
    <row r="622" spans="1:44" s="49" customFormat="1" ht="40.15" hidden="1" customHeight="1">
      <c r="A622" s="152">
        <f t="shared" ca="1" si="1386"/>
        <v>2.0599999999999987</v>
      </c>
      <c r="B622" s="153">
        <v>93593</v>
      </c>
      <c r="C622" s="154" t="str">
        <f>TEXT(B622,"0")</f>
        <v>93593</v>
      </c>
      <c r="D622" s="154" t="s">
        <v>1416</v>
      </c>
      <c r="E622" s="155" t="s">
        <v>3545</v>
      </c>
      <c r="F622" s="154">
        <f>+Dados_DMT!$B$34-F621</f>
        <v>80</v>
      </c>
      <c r="G622" s="154" t="s">
        <v>3538</v>
      </c>
      <c r="H622" s="152">
        <v>0.84</v>
      </c>
      <c r="I622" s="152">
        <v>0.85</v>
      </c>
      <c r="J622" s="156"/>
      <c r="K622" s="156">
        <f>ROUND(Recap_Previo!H132*F622,2)</f>
        <v>0</v>
      </c>
      <c r="L622" s="156">
        <f>IF($K622&gt;$J622,$K622-$J622,0)</f>
        <v>0</v>
      </c>
      <c r="M622" s="156">
        <f>IF($K622&lt;$J622,$J622-$K622,0)</f>
        <v>0</v>
      </c>
      <c r="N622" s="156" t="s">
        <v>83</v>
      </c>
      <c r="O622" s="157" cm="1">
        <f t="array" ref="O622">TRUNC($H622*(1+_xlfn.SWITCH($N622,"BDI 1",$O$6,"BDI 2",$O$7,"BDI 3",$O$8)),2)</f>
        <v>1.01</v>
      </c>
      <c r="P622" s="157" cm="1">
        <f t="array" ref="P622">TRUNC($I622*(1+_xlfn.SWITCH($N622,"BDI 1",$P$6,"BDI 2",$P$7,"BDI 3",$P$8)),2)</f>
        <v>1.07</v>
      </c>
      <c r="Q622" s="157">
        <v>0</v>
      </c>
      <c r="R622" s="157">
        <v>0</v>
      </c>
      <c r="S622" s="156">
        <f>TRUNC($K622*$O622,2)</f>
        <v>0</v>
      </c>
      <c r="T622" s="156">
        <f>TRUNC($K622*$P622,2)</f>
        <v>0</v>
      </c>
      <c r="U622" s="156">
        <f>TRUNC($J622*$R622,2)</f>
        <v>0</v>
      </c>
      <c r="V622" s="156">
        <f>TRUNC($K622*$Q622,2)</f>
        <v>0</v>
      </c>
      <c r="W622" s="156">
        <f>TRUNC(V622-U622,2)</f>
        <v>0</v>
      </c>
      <c r="X622" s="158">
        <f>$S622/ORCAMENTO_VALOR_TOTAL_ND</f>
        <v>0</v>
      </c>
      <c r="Y622" s="158">
        <f>$T622/ORCAMENTO_VALOR_TOTAL_DE</f>
        <v>0</v>
      </c>
      <c r="Z622" s="158" cm="1">
        <f t="array" ref="Z622">_xlfn.SWITCH($N622,"BDI 1",$O$6,"BDI 2",$O$7,"BDI 3",$O$8)</f>
        <v>0.20699999999999999</v>
      </c>
      <c r="AA622" s="158" cm="1">
        <f t="array" ref="AA622">_xlfn.SWITCH($N622,"BDI 1",$P$6,"BDI 2",$P$7,"BDI 3",$P$8)</f>
        <v>0.26739999999999997</v>
      </c>
      <c r="AB622" s="158">
        <f ca="1">IFERROR($S622/_xlfn.XLOOKUP($AE622,$B$16:$B$38,$S$16:$S$38),0)</f>
        <v>0</v>
      </c>
      <c r="AC622" s="158">
        <f ca="1">IFERROR($T622/_xlfn.XLOOKUP($AE622,$B$16:$B$38,$T$16:$T$38),0)</f>
        <v>0</v>
      </c>
      <c r="AD622" s="164"/>
      <c r="AE622" s="148">
        <f t="shared" si="1508"/>
        <v>0</v>
      </c>
      <c r="AF622" s="149"/>
      <c r="AG622" s="150"/>
      <c r="AH622" s="159">
        <f>S622/$S$571</f>
        <v>0</v>
      </c>
      <c r="AI622" s="160"/>
      <c r="AJ622" s="105"/>
      <c r="AK622" s="105"/>
      <c r="AM622" s="105"/>
      <c r="AN622" s="105"/>
      <c r="AO622" s="105"/>
      <c r="AP622" s="105"/>
      <c r="AQ622" s="105"/>
      <c r="AR622" s="105"/>
    </row>
    <row r="623" spans="1:44" s="49" customFormat="1" ht="40.15" hidden="1" customHeight="1">
      <c r="A623" s="10">
        <f t="shared" ca="1" si="1386"/>
        <v>2.0599999999999987</v>
      </c>
      <c r="B623" s="153"/>
      <c r="C623" s="154"/>
      <c r="D623" s="154"/>
      <c r="E623" s="161" t="s">
        <v>261</v>
      </c>
      <c r="F623" s="154"/>
      <c r="G623" s="154"/>
      <c r="H623" s="152"/>
      <c r="I623" s="152"/>
      <c r="J623" s="154"/>
      <c r="K623" s="154"/>
      <c r="L623" s="154"/>
      <c r="M623" s="154"/>
      <c r="N623" s="154"/>
      <c r="O623" s="154"/>
      <c r="P623" s="154"/>
      <c r="Q623" s="154"/>
      <c r="R623" s="154"/>
      <c r="S623" s="162"/>
      <c r="T623" s="162"/>
      <c r="U623" s="162"/>
      <c r="V623" s="162"/>
      <c r="W623" s="162"/>
      <c r="X623" s="163"/>
      <c r="Y623" s="163"/>
      <c r="Z623" s="163"/>
      <c r="AA623" s="163"/>
      <c r="AB623" s="163"/>
      <c r="AC623" s="163"/>
      <c r="AD623" s="164"/>
      <c r="AE623" s="148">
        <f>IF(SUM(S624:S625)&gt;0,IFERROR(TRUNC(A623,0),0),0)</f>
        <v>0</v>
      </c>
      <c r="AF623" s="149"/>
      <c r="AG623" s="150"/>
      <c r="AH623" s="159"/>
      <c r="AI623" s="160"/>
      <c r="AJ623" s="105"/>
      <c r="AK623" s="105"/>
      <c r="AM623" s="105"/>
      <c r="AN623" s="105"/>
      <c r="AO623" s="105"/>
      <c r="AP623" s="105"/>
      <c r="AQ623" s="105"/>
      <c r="AR623" s="105"/>
    </row>
    <row r="624" spans="1:44" s="49" customFormat="1" ht="40.15" hidden="1" customHeight="1">
      <c r="A624" s="152">
        <f t="shared" ca="1" si="1386"/>
        <v>2.0599999999999987</v>
      </c>
      <c r="B624" s="153">
        <v>95876</v>
      </c>
      <c r="C624" s="154" t="str">
        <f>TEXT(B624,"0")</f>
        <v>95876</v>
      </c>
      <c r="D624" s="154" t="s">
        <v>1416</v>
      </c>
      <c r="E624" s="155" t="s">
        <v>3537</v>
      </c>
      <c r="F624" s="154">
        <f>IF(Dados_DMT!$B$34&lt;30,Dados_DMT!$B$34,30)</f>
        <v>30</v>
      </c>
      <c r="G624" s="154" t="s">
        <v>3538</v>
      </c>
      <c r="H624" s="152">
        <v>2.09</v>
      </c>
      <c r="I624" s="152">
        <v>2.1</v>
      </c>
      <c r="J624" s="156"/>
      <c r="K624" s="156">
        <f>ROUND(Recap_Previo!H133*F624,2)</f>
        <v>0</v>
      </c>
      <c r="L624" s="156">
        <f>IF($K624&gt;$J624,$K624-$J624,0)</f>
        <v>0</v>
      </c>
      <c r="M624" s="156">
        <f>IF($K624&lt;$J624,$J624-$K624,0)</f>
        <v>0</v>
      </c>
      <c r="N624" s="156" t="s">
        <v>83</v>
      </c>
      <c r="O624" s="157" cm="1">
        <f t="array" ref="O624">TRUNC($H624*(1+_xlfn.SWITCH($N624,"BDI 1",$O$6,"BDI 2",$O$7,"BDI 3",$O$8)),2)</f>
        <v>2.52</v>
      </c>
      <c r="P624" s="157" cm="1">
        <f t="array" ref="P624">TRUNC($I624*(1+_xlfn.SWITCH($N624,"BDI 1",$P$6,"BDI 2",$P$7,"BDI 3",$P$8)),2)</f>
        <v>2.66</v>
      </c>
      <c r="Q624" s="157">
        <v>0</v>
      </c>
      <c r="R624" s="157">
        <v>0</v>
      </c>
      <c r="S624" s="156">
        <f>TRUNC($K624*$O624,2)</f>
        <v>0</v>
      </c>
      <c r="T624" s="156">
        <f>TRUNC($K624*$P624,2)</f>
        <v>0</v>
      </c>
      <c r="U624" s="156">
        <f>TRUNC($J624*$R624,2)</f>
        <v>0</v>
      </c>
      <c r="V624" s="156">
        <f>TRUNC($K624*$Q624,2)</f>
        <v>0</v>
      </c>
      <c r="W624" s="156">
        <f>TRUNC(V624-U624,2)</f>
        <v>0</v>
      </c>
      <c r="X624" s="158">
        <f>$S624/ORCAMENTO_VALOR_TOTAL_ND</f>
        <v>0</v>
      </c>
      <c r="Y624" s="158">
        <f>$T624/ORCAMENTO_VALOR_TOTAL_DE</f>
        <v>0</v>
      </c>
      <c r="Z624" s="158" cm="1">
        <f t="array" ref="Z624">_xlfn.SWITCH($N624,"BDI 1",$O$6,"BDI 2",$O$7,"BDI 3",$O$8)</f>
        <v>0.20699999999999999</v>
      </c>
      <c r="AA624" s="158" cm="1">
        <f t="array" ref="AA624">_xlfn.SWITCH($N624,"BDI 1",$P$6,"BDI 2",$P$7,"BDI 3",$P$8)</f>
        <v>0.26739999999999997</v>
      </c>
      <c r="AB624" s="158">
        <f ca="1">IFERROR($S624/_xlfn.XLOOKUP($AE624,$B$16:$B$38,$S$16:$S$38),0)</f>
        <v>0</v>
      </c>
      <c r="AC624" s="158">
        <f ca="1">IFERROR($T624/_xlfn.XLOOKUP($AE624,$B$16:$B$38,$T$16:$T$38),0)</f>
        <v>0</v>
      </c>
      <c r="AD624" s="164"/>
      <c r="AE624" s="148">
        <f t="shared" ref="AE624:AE625" si="1509">IF(S624&gt;0,IFERROR(TRUNC(A624,0),0),0)</f>
        <v>0</v>
      </c>
      <c r="AF624" s="149"/>
      <c r="AG624" s="150"/>
      <c r="AH624" s="159">
        <f>S624/$S$571</f>
        <v>0</v>
      </c>
      <c r="AI624" s="166">
        <f>IF(K624=0,0,K624/F624)</f>
        <v>0</v>
      </c>
      <c r="AJ624" s="105"/>
      <c r="AK624" s="105"/>
      <c r="AM624" s="105"/>
      <c r="AN624" s="105"/>
      <c r="AO624" s="105"/>
      <c r="AP624" s="105"/>
      <c r="AQ624" s="105"/>
      <c r="AR624" s="105"/>
    </row>
    <row r="625" spans="1:44" s="49" customFormat="1" ht="40.15" hidden="1" customHeight="1">
      <c r="A625" s="152">
        <f t="shared" ca="1" si="1386"/>
        <v>2.0599999999999987</v>
      </c>
      <c r="B625" s="153">
        <v>93593</v>
      </c>
      <c r="C625" s="154" t="str">
        <f>TEXT(B625,"0")</f>
        <v>93593</v>
      </c>
      <c r="D625" s="154" t="s">
        <v>1416</v>
      </c>
      <c r="E625" s="155" t="s">
        <v>3545</v>
      </c>
      <c r="F625" s="154">
        <f>+Dados_DMT!$B$34-F624</f>
        <v>80</v>
      </c>
      <c r="G625" s="154" t="s">
        <v>3538</v>
      </c>
      <c r="H625" s="152">
        <v>0.84</v>
      </c>
      <c r="I625" s="152">
        <v>0.85</v>
      </c>
      <c r="J625" s="156"/>
      <c r="K625" s="156">
        <f>ROUND(Recap_Previo!H133*F625,2)</f>
        <v>0</v>
      </c>
      <c r="L625" s="156">
        <f>IF($K625&gt;$J625,$K625-$J625,0)</f>
        <v>0</v>
      </c>
      <c r="M625" s="156">
        <f>IF($K625&lt;$J625,$J625-$K625,0)</f>
        <v>0</v>
      </c>
      <c r="N625" s="156" t="s">
        <v>83</v>
      </c>
      <c r="O625" s="157" cm="1">
        <f t="array" ref="O625">TRUNC($H625*(1+_xlfn.SWITCH($N625,"BDI 1",$O$6,"BDI 2",$O$7,"BDI 3",$O$8)),2)</f>
        <v>1.01</v>
      </c>
      <c r="P625" s="157" cm="1">
        <f t="array" ref="P625">TRUNC($I625*(1+_xlfn.SWITCH($N625,"BDI 1",$P$6,"BDI 2",$P$7,"BDI 3",$P$8)),2)</f>
        <v>1.07</v>
      </c>
      <c r="Q625" s="157">
        <v>0</v>
      </c>
      <c r="R625" s="157">
        <v>0</v>
      </c>
      <c r="S625" s="156">
        <f>TRUNC($K625*$O625,2)</f>
        <v>0</v>
      </c>
      <c r="T625" s="156">
        <f>TRUNC($K625*$P625,2)</f>
        <v>0</v>
      </c>
      <c r="U625" s="156">
        <f>TRUNC($J625*$R625,2)</f>
        <v>0</v>
      </c>
      <c r="V625" s="156">
        <f>TRUNC($K625*$Q625,2)</f>
        <v>0</v>
      </c>
      <c r="W625" s="156">
        <f>TRUNC(V625-U625,2)</f>
        <v>0</v>
      </c>
      <c r="X625" s="158">
        <f>$S625/ORCAMENTO_VALOR_TOTAL_ND</f>
        <v>0</v>
      </c>
      <c r="Y625" s="158">
        <f>$T625/ORCAMENTO_VALOR_TOTAL_DE</f>
        <v>0</v>
      </c>
      <c r="Z625" s="158" cm="1">
        <f t="array" ref="Z625">_xlfn.SWITCH($N625,"BDI 1",$O$6,"BDI 2",$O$7,"BDI 3",$O$8)</f>
        <v>0.20699999999999999</v>
      </c>
      <c r="AA625" s="158" cm="1">
        <f t="array" ref="AA625">_xlfn.SWITCH($N625,"BDI 1",$P$6,"BDI 2",$P$7,"BDI 3",$P$8)</f>
        <v>0.26739999999999997</v>
      </c>
      <c r="AB625" s="158">
        <f ca="1">IFERROR($S625/_xlfn.XLOOKUP($AE625,$B$16:$B$38,$S$16:$S$38),0)</f>
        <v>0</v>
      </c>
      <c r="AC625" s="158">
        <f ca="1">IFERROR($T625/_xlfn.XLOOKUP($AE625,$B$16:$B$38,$T$16:$T$38),0)</f>
        <v>0</v>
      </c>
      <c r="AD625" s="164"/>
      <c r="AE625" s="148">
        <f t="shared" si="1509"/>
        <v>0</v>
      </c>
      <c r="AF625" s="149"/>
      <c r="AG625" s="150"/>
      <c r="AH625" s="159">
        <f>S625/$S$571</f>
        <v>0</v>
      </c>
      <c r="AI625" s="166">
        <f>IF(K625=0,0,K625/F625)</f>
        <v>0</v>
      </c>
      <c r="AJ625" s="105"/>
      <c r="AK625" s="105"/>
      <c r="AM625" s="105"/>
      <c r="AN625" s="105"/>
      <c r="AO625" s="105"/>
      <c r="AP625" s="105"/>
      <c r="AQ625" s="105"/>
      <c r="AR625" s="105"/>
    </row>
    <row r="626" spans="1:44" s="49" customFormat="1" ht="40.15" hidden="1" customHeight="1">
      <c r="A626" s="10">
        <f t="shared" ca="1" si="1386"/>
        <v>2.0599999999999987</v>
      </c>
      <c r="B626" s="153"/>
      <c r="C626" s="154"/>
      <c r="D626" s="154"/>
      <c r="E626" s="161" t="s">
        <v>262</v>
      </c>
      <c r="F626" s="154"/>
      <c r="G626" s="154"/>
      <c r="H626" s="152"/>
      <c r="I626" s="152"/>
      <c r="J626" s="154"/>
      <c r="K626" s="154"/>
      <c r="L626" s="154"/>
      <c r="M626" s="154"/>
      <c r="N626" s="154"/>
      <c r="O626" s="154"/>
      <c r="P626" s="154"/>
      <c r="Q626" s="154"/>
      <c r="R626" s="154"/>
      <c r="S626" s="162"/>
      <c r="T626" s="162"/>
      <c r="U626" s="162"/>
      <c r="V626" s="162"/>
      <c r="W626" s="162"/>
      <c r="X626" s="163"/>
      <c r="Y626" s="163"/>
      <c r="Z626" s="163"/>
      <c r="AA626" s="163"/>
      <c r="AB626" s="163"/>
      <c r="AC626" s="163"/>
      <c r="AD626" s="164"/>
      <c r="AE626" s="148">
        <f>IF(SUM(S627:S628)&gt;0,IFERROR(TRUNC(A626,0),0),0)</f>
        <v>0</v>
      </c>
      <c r="AF626" s="149"/>
      <c r="AG626" s="150"/>
      <c r="AH626" s="159"/>
      <c r="AI626" s="160"/>
      <c r="AJ626" s="105"/>
      <c r="AK626" s="105"/>
      <c r="AM626" s="105"/>
      <c r="AN626" s="105"/>
      <c r="AO626" s="105"/>
      <c r="AP626" s="105"/>
      <c r="AQ626" s="105"/>
      <c r="AR626" s="105"/>
    </row>
    <row r="627" spans="1:44" s="49" customFormat="1" ht="40.15" hidden="1" customHeight="1">
      <c r="A627" s="152">
        <f t="shared" ca="1" si="1386"/>
        <v>2.0599999999999987</v>
      </c>
      <c r="B627" s="153">
        <v>95876</v>
      </c>
      <c r="C627" s="154" t="str">
        <f>TEXT(B627,"0")</f>
        <v>95876</v>
      </c>
      <c r="D627" s="154" t="s">
        <v>1416</v>
      </c>
      <c r="E627" s="155" t="s">
        <v>3537</v>
      </c>
      <c r="F627" s="154">
        <f>IF(Dados_DMT!$B$34&lt;30,Dados_DMT!$B$34,30)</f>
        <v>30</v>
      </c>
      <c r="G627" s="154" t="s">
        <v>3538</v>
      </c>
      <c r="H627" s="152">
        <v>2.09</v>
      </c>
      <c r="I627" s="152">
        <v>2.1</v>
      </c>
      <c r="J627" s="156"/>
      <c r="K627" s="156">
        <f>ROUND(Recap_Previo!H134*F627,2)</f>
        <v>0</v>
      </c>
      <c r="L627" s="156">
        <f>IF($K627&gt;$J627,$K627-$J627,0)</f>
        <v>0</v>
      </c>
      <c r="M627" s="156">
        <f>IF($K627&lt;$J627,$J627-$K627,0)</f>
        <v>0</v>
      </c>
      <c r="N627" s="156" t="s">
        <v>83</v>
      </c>
      <c r="O627" s="157" cm="1">
        <f t="array" ref="O627">TRUNC($H627*(1+_xlfn.SWITCH($N627,"BDI 1",$O$6,"BDI 2",$O$7,"BDI 3",$O$8)),2)</f>
        <v>2.52</v>
      </c>
      <c r="P627" s="157" cm="1">
        <f t="array" ref="P627">TRUNC($I627*(1+_xlfn.SWITCH($N627,"BDI 1",$P$6,"BDI 2",$P$7,"BDI 3",$P$8)),2)</f>
        <v>2.66</v>
      </c>
      <c r="Q627" s="157">
        <v>0</v>
      </c>
      <c r="R627" s="157">
        <v>0</v>
      </c>
      <c r="S627" s="156">
        <f>TRUNC($K627*$O627,2)</f>
        <v>0</v>
      </c>
      <c r="T627" s="156">
        <f>TRUNC($K627*$P627,2)</f>
        <v>0</v>
      </c>
      <c r="U627" s="156">
        <f>TRUNC($J627*$R627,2)</f>
        <v>0</v>
      </c>
      <c r="V627" s="156">
        <f>TRUNC($K627*$Q627,2)</f>
        <v>0</v>
      </c>
      <c r="W627" s="156">
        <f>TRUNC(V627-U627,2)</f>
        <v>0</v>
      </c>
      <c r="X627" s="158">
        <f>$S627/ORCAMENTO_VALOR_TOTAL_ND</f>
        <v>0</v>
      </c>
      <c r="Y627" s="158">
        <f>$T627/ORCAMENTO_VALOR_TOTAL_DE</f>
        <v>0</v>
      </c>
      <c r="Z627" s="158" cm="1">
        <f t="array" ref="Z627">_xlfn.SWITCH($N627,"BDI 1",$O$6,"BDI 2",$O$7,"BDI 3",$O$8)</f>
        <v>0.20699999999999999</v>
      </c>
      <c r="AA627" s="158" cm="1">
        <f t="array" ref="AA627">_xlfn.SWITCH($N627,"BDI 1",$P$6,"BDI 2",$P$7,"BDI 3",$P$8)</f>
        <v>0.26739999999999997</v>
      </c>
      <c r="AB627" s="158">
        <f ca="1">IFERROR($S627/_xlfn.XLOOKUP($AE627,$B$16:$B$38,$S$16:$S$38),0)</f>
        <v>0</v>
      </c>
      <c r="AC627" s="158">
        <f ca="1">IFERROR($T627/_xlfn.XLOOKUP($AE627,$B$16:$B$38,$T$16:$T$38),0)</f>
        <v>0</v>
      </c>
      <c r="AD627" s="164"/>
      <c r="AE627" s="148">
        <f t="shared" ref="AE627:AE628" si="1510">IF(S627&gt;0,IFERROR(TRUNC(A627,0),0),0)</f>
        <v>0</v>
      </c>
      <c r="AF627" s="149"/>
      <c r="AG627" s="150"/>
      <c r="AH627" s="159">
        <f>S627/$S$571</f>
        <v>0</v>
      </c>
      <c r="AI627" s="166">
        <f>IF(K627=0,0,K627/F627)</f>
        <v>0</v>
      </c>
      <c r="AJ627" s="105"/>
      <c r="AK627" s="105"/>
      <c r="AM627" s="105"/>
      <c r="AN627" s="105"/>
      <c r="AO627" s="105"/>
      <c r="AP627" s="105"/>
      <c r="AQ627" s="105"/>
      <c r="AR627" s="105"/>
    </row>
    <row r="628" spans="1:44" s="49" customFormat="1" ht="40.15" hidden="1" customHeight="1">
      <c r="A628" s="152">
        <f t="shared" ca="1" si="1386"/>
        <v>2.0599999999999987</v>
      </c>
      <c r="B628" s="153">
        <v>93593</v>
      </c>
      <c r="C628" s="154" t="str">
        <f>TEXT(B628,"0")</f>
        <v>93593</v>
      </c>
      <c r="D628" s="154" t="s">
        <v>1416</v>
      </c>
      <c r="E628" s="155" t="s">
        <v>3545</v>
      </c>
      <c r="F628" s="154">
        <f>+Dados_DMT!$B$34-F627</f>
        <v>80</v>
      </c>
      <c r="G628" s="154" t="s">
        <v>3538</v>
      </c>
      <c r="H628" s="152">
        <v>0.84</v>
      </c>
      <c r="I628" s="152">
        <v>0.85</v>
      </c>
      <c r="J628" s="156"/>
      <c r="K628" s="156">
        <f>ROUND(Recap_Previo!H134*F628,2)</f>
        <v>0</v>
      </c>
      <c r="L628" s="156">
        <f>IF($K628&gt;$J628,$K628-$J628,0)</f>
        <v>0</v>
      </c>
      <c r="M628" s="156">
        <f>IF($K628&lt;$J628,$J628-$K628,0)</f>
        <v>0</v>
      </c>
      <c r="N628" s="156" t="s">
        <v>83</v>
      </c>
      <c r="O628" s="157" cm="1">
        <f t="array" ref="O628">TRUNC($H628*(1+_xlfn.SWITCH($N628,"BDI 1",$O$6,"BDI 2",$O$7,"BDI 3",$O$8)),2)</f>
        <v>1.01</v>
      </c>
      <c r="P628" s="157" cm="1">
        <f t="array" ref="P628">TRUNC($I628*(1+_xlfn.SWITCH($N628,"BDI 1",$P$6,"BDI 2",$P$7,"BDI 3",$P$8)),2)</f>
        <v>1.07</v>
      </c>
      <c r="Q628" s="157">
        <v>0</v>
      </c>
      <c r="R628" s="157">
        <v>0</v>
      </c>
      <c r="S628" s="156">
        <f>TRUNC($K628*$O628,2)</f>
        <v>0</v>
      </c>
      <c r="T628" s="156">
        <f>TRUNC($K628*$P628,2)</f>
        <v>0</v>
      </c>
      <c r="U628" s="156">
        <f>TRUNC($J628*$R628,2)</f>
        <v>0</v>
      </c>
      <c r="V628" s="156">
        <f>TRUNC($K628*$Q628,2)</f>
        <v>0</v>
      </c>
      <c r="W628" s="156">
        <f>TRUNC(V628-U628,2)</f>
        <v>0</v>
      </c>
      <c r="X628" s="158">
        <f>$S628/ORCAMENTO_VALOR_TOTAL_ND</f>
        <v>0</v>
      </c>
      <c r="Y628" s="158">
        <f>$T628/ORCAMENTO_VALOR_TOTAL_DE</f>
        <v>0</v>
      </c>
      <c r="Z628" s="158" cm="1">
        <f t="array" ref="Z628">_xlfn.SWITCH($N628,"BDI 1",$O$6,"BDI 2",$O$7,"BDI 3",$O$8)</f>
        <v>0.20699999999999999</v>
      </c>
      <c r="AA628" s="158" cm="1">
        <f t="array" ref="AA628">_xlfn.SWITCH($N628,"BDI 1",$P$6,"BDI 2",$P$7,"BDI 3",$P$8)</f>
        <v>0.26739999999999997</v>
      </c>
      <c r="AB628" s="158">
        <f ca="1">IFERROR($S628/_xlfn.XLOOKUP($AE628,$B$16:$B$38,$S$16:$S$38),0)</f>
        <v>0</v>
      </c>
      <c r="AC628" s="158">
        <f ca="1">IFERROR($T628/_xlfn.XLOOKUP($AE628,$B$16:$B$38,$T$16:$T$38),0)</f>
        <v>0</v>
      </c>
      <c r="AD628" s="164"/>
      <c r="AE628" s="148">
        <f t="shared" si="1510"/>
        <v>0</v>
      </c>
      <c r="AF628" s="149"/>
      <c r="AG628" s="150"/>
      <c r="AH628" s="159">
        <f>S628/$S$571</f>
        <v>0</v>
      </c>
      <c r="AI628" s="166">
        <f>IF(K628=0,0,K628/F628)</f>
        <v>0</v>
      </c>
      <c r="AJ628" s="105"/>
      <c r="AK628" s="105"/>
      <c r="AM628" s="105"/>
      <c r="AN628" s="105"/>
      <c r="AO628" s="105"/>
      <c r="AP628" s="105"/>
      <c r="AQ628" s="105"/>
      <c r="AR628" s="105"/>
    </row>
    <row r="629" spans="1:44" s="49" customFormat="1" ht="40.15" hidden="1" customHeight="1">
      <c r="A629" s="10">
        <f t="shared" ca="1" si="1386"/>
        <v>2.0599999999999987</v>
      </c>
      <c r="B629" s="153"/>
      <c r="C629" s="154"/>
      <c r="D629" s="154"/>
      <c r="E629" s="161" t="s">
        <v>264</v>
      </c>
      <c r="F629" s="154"/>
      <c r="G629" s="154"/>
      <c r="H629" s="152"/>
      <c r="I629" s="152"/>
      <c r="J629" s="154"/>
      <c r="K629" s="154"/>
      <c r="L629" s="154"/>
      <c r="M629" s="154"/>
      <c r="N629" s="154"/>
      <c r="O629" s="154"/>
      <c r="P629" s="154"/>
      <c r="Q629" s="154"/>
      <c r="R629" s="154"/>
      <c r="S629" s="162"/>
      <c r="T629" s="162"/>
      <c r="U629" s="162"/>
      <c r="V629" s="162"/>
      <c r="W629" s="162"/>
      <c r="X629" s="163"/>
      <c r="Y629" s="163"/>
      <c r="Z629" s="163"/>
      <c r="AA629" s="163"/>
      <c r="AB629" s="163"/>
      <c r="AC629" s="163"/>
      <c r="AD629" s="164"/>
      <c r="AE629" s="148">
        <f>IF(SUM(S630:S631)&gt;0,IFERROR(TRUNC(A629,0),0),0)</f>
        <v>0</v>
      </c>
      <c r="AF629" s="149"/>
      <c r="AG629" s="150"/>
      <c r="AH629" s="159"/>
      <c r="AI629" s="160"/>
      <c r="AJ629" s="105"/>
      <c r="AK629" s="105"/>
      <c r="AM629" s="105"/>
      <c r="AN629" s="105"/>
      <c r="AO629" s="105"/>
      <c r="AP629" s="105"/>
      <c r="AQ629" s="105"/>
      <c r="AR629" s="105"/>
    </row>
    <row r="630" spans="1:44" s="49" customFormat="1" ht="40.15" hidden="1" customHeight="1">
      <c r="A630" s="152">
        <f t="shared" ca="1" si="1386"/>
        <v>2.0599999999999987</v>
      </c>
      <c r="B630" s="153">
        <v>95876</v>
      </c>
      <c r="C630" s="154" t="str">
        <f>TEXT(B630,"0")</f>
        <v>95876</v>
      </c>
      <c r="D630" s="154" t="s">
        <v>1416</v>
      </c>
      <c r="E630" s="155" t="s">
        <v>3537</v>
      </c>
      <c r="F630" s="154">
        <f>IF(Dados_DMT!$B$33&lt;30,Dados_DMT!$B$33,30)</f>
        <v>0</v>
      </c>
      <c r="G630" s="154" t="s">
        <v>3538</v>
      </c>
      <c r="H630" s="152">
        <v>2.09</v>
      </c>
      <c r="I630" s="152">
        <v>2.1</v>
      </c>
      <c r="J630" s="156"/>
      <c r="K630" s="156">
        <f>ROUND(Recap_Previo!H136*F630,2)</f>
        <v>0</v>
      </c>
      <c r="L630" s="156">
        <f>IF($K630&gt;$J630,$K630-$J630,0)</f>
        <v>0</v>
      </c>
      <c r="M630" s="156">
        <f>IF($K630&lt;$J630,$J630-$K630,0)</f>
        <v>0</v>
      </c>
      <c r="N630" s="156" t="s">
        <v>83</v>
      </c>
      <c r="O630" s="157" cm="1">
        <f t="array" ref="O630">TRUNC($H630*(1+_xlfn.SWITCH($N630,"BDI 1",$O$6,"BDI 2",$O$7,"BDI 3",$O$8)),2)</f>
        <v>2.52</v>
      </c>
      <c r="P630" s="157" cm="1">
        <f t="array" ref="P630">TRUNC($I630*(1+_xlfn.SWITCH($N630,"BDI 1",$P$6,"BDI 2",$P$7,"BDI 3",$P$8)),2)</f>
        <v>2.66</v>
      </c>
      <c r="Q630" s="157">
        <v>0</v>
      </c>
      <c r="R630" s="157">
        <v>0</v>
      </c>
      <c r="S630" s="156">
        <f>TRUNC($K630*$O630,2)</f>
        <v>0</v>
      </c>
      <c r="T630" s="156">
        <f>TRUNC($K630*$P630,2)</f>
        <v>0</v>
      </c>
      <c r="U630" s="156">
        <f>TRUNC($J630*$R630,2)</f>
        <v>0</v>
      </c>
      <c r="V630" s="156">
        <f>TRUNC($K630*$Q630,2)</f>
        <v>0</v>
      </c>
      <c r="W630" s="156">
        <f>TRUNC(V630-U630,2)</f>
        <v>0</v>
      </c>
      <c r="X630" s="158">
        <f>$S630/ORCAMENTO_VALOR_TOTAL_ND</f>
        <v>0</v>
      </c>
      <c r="Y630" s="158">
        <f>$T630/ORCAMENTO_VALOR_TOTAL_DE</f>
        <v>0</v>
      </c>
      <c r="Z630" s="158" cm="1">
        <f t="array" ref="Z630">_xlfn.SWITCH($N630,"BDI 1",$O$6,"BDI 2",$O$7,"BDI 3",$O$8)</f>
        <v>0.20699999999999999</v>
      </c>
      <c r="AA630" s="158" cm="1">
        <f t="array" ref="AA630">_xlfn.SWITCH($N630,"BDI 1",$P$6,"BDI 2",$P$7,"BDI 3",$P$8)</f>
        <v>0.26739999999999997</v>
      </c>
      <c r="AB630" s="158">
        <f ca="1">IFERROR($S630/_xlfn.XLOOKUP($AE630,$B$16:$B$38,$S$16:$S$38),0)</f>
        <v>0</v>
      </c>
      <c r="AC630" s="158">
        <f ca="1">IFERROR($T630/_xlfn.XLOOKUP($AE630,$B$16:$B$38,$T$16:$T$38),0)</f>
        <v>0</v>
      </c>
      <c r="AD630" s="164"/>
      <c r="AE630" s="148">
        <f t="shared" ref="AE630:AE631" si="1511">IF(S630&gt;0,IFERROR(TRUNC(A630,0),0),0)</f>
        <v>0</v>
      </c>
      <c r="AF630" s="149"/>
      <c r="AG630" s="150"/>
      <c r="AH630" s="159">
        <f>S630/$S$571</f>
        <v>0</v>
      </c>
      <c r="AI630" s="166">
        <f>IF(K630=0,0,K630/F630)</f>
        <v>0</v>
      </c>
      <c r="AJ630" s="105"/>
      <c r="AK630" s="105"/>
      <c r="AM630" s="105"/>
      <c r="AN630" s="105"/>
      <c r="AO630" s="105"/>
      <c r="AP630" s="105"/>
      <c r="AQ630" s="105"/>
      <c r="AR630" s="105"/>
    </row>
    <row r="631" spans="1:44" s="49" customFormat="1" ht="40.15" hidden="1" customHeight="1">
      <c r="A631" s="152">
        <f t="shared" ca="1" si="1386"/>
        <v>2.0599999999999987</v>
      </c>
      <c r="B631" s="153">
        <v>93593</v>
      </c>
      <c r="C631" s="154" t="str">
        <f>TEXT(B631,"0")</f>
        <v>93593</v>
      </c>
      <c r="D631" s="154" t="s">
        <v>1416</v>
      </c>
      <c r="E631" s="155" t="s">
        <v>3545</v>
      </c>
      <c r="F631" s="154">
        <f>+Dados_DMT!$B$33-F630</f>
        <v>0</v>
      </c>
      <c r="G631" s="154" t="s">
        <v>3538</v>
      </c>
      <c r="H631" s="152">
        <v>0.84</v>
      </c>
      <c r="I631" s="152">
        <v>0.85</v>
      </c>
      <c r="J631" s="156"/>
      <c r="K631" s="156">
        <f>ROUND(Recap_Previo!H136*F631,2)</f>
        <v>0</v>
      </c>
      <c r="L631" s="156">
        <f>IF($K631&gt;$J631,$K631-$J631,0)</f>
        <v>0</v>
      </c>
      <c r="M631" s="156">
        <f>IF($K631&lt;$J631,$J631-$K631,0)</f>
        <v>0</v>
      </c>
      <c r="N631" s="156" t="s">
        <v>83</v>
      </c>
      <c r="O631" s="157" cm="1">
        <f t="array" ref="O631">TRUNC($H631*(1+_xlfn.SWITCH($N631,"BDI 1",$O$6,"BDI 2",$O$7,"BDI 3",$O$8)),2)</f>
        <v>1.01</v>
      </c>
      <c r="P631" s="157" cm="1">
        <f t="array" ref="P631">TRUNC($I631*(1+_xlfn.SWITCH($N631,"BDI 1",$P$6,"BDI 2",$P$7,"BDI 3",$P$8)),2)</f>
        <v>1.07</v>
      </c>
      <c r="Q631" s="157">
        <v>0</v>
      </c>
      <c r="R631" s="157">
        <v>0</v>
      </c>
      <c r="S631" s="156">
        <f>TRUNC($K631*$O631,2)</f>
        <v>0</v>
      </c>
      <c r="T631" s="156">
        <f>TRUNC($K631*$P631,2)</f>
        <v>0</v>
      </c>
      <c r="U631" s="156">
        <f>TRUNC($J631*$R631,2)</f>
        <v>0</v>
      </c>
      <c r="V631" s="156">
        <f>TRUNC($K631*$Q631,2)</f>
        <v>0</v>
      </c>
      <c r="W631" s="156">
        <f>TRUNC(V631-U631,2)</f>
        <v>0</v>
      </c>
      <c r="X631" s="158">
        <f>$S631/ORCAMENTO_VALOR_TOTAL_ND</f>
        <v>0</v>
      </c>
      <c r="Y631" s="158">
        <f>$T631/ORCAMENTO_VALOR_TOTAL_DE</f>
        <v>0</v>
      </c>
      <c r="Z631" s="158" cm="1">
        <f t="array" ref="Z631">_xlfn.SWITCH($N631,"BDI 1",$O$6,"BDI 2",$O$7,"BDI 3",$O$8)</f>
        <v>0.20699999999999999</v>
      </c>
      <c r="AA631" s="158" cm="1">
        <f t="array" ref="AA631">_xlfn.SWITCH($N631,"BDI 1",$P$6,"BDI 2",$P$7,"BDI 3",$P$8)</f>
        <v>0.26739999999999997</v>
      </c>
      <c r="AB631" s="158">
        <f ca="1">IFERROR($S631/_xlfn.XLOOKUP($AE631,$B$16:$B$38,$S$16:$S$38),0)</f>
        <v>0</v>
      </c>
      <c r="AC631" s="158">
        <f ca="1">IFERROR($T631/_xlfn.XLOOKUP($AE631,$B$16:$B$38,$T$16:$T$38),0)</f>
        <v>0</v>
      </c>
      <c r="AD631" s="164"/>
      <c r="AE631" s="148">
        <f t="shared" si="1511"/>
        <v>0</v>
      </c>
      <c r="AF631" s="149"/>
      <c r="AG631" s="150"/>
      <c r="AH631" s="159">
        <f>S631/$S$571</f>
        <v>0</v>
      </c>
      <c r="AI631" s="166">
        <f>IF(K631=0,0,K631/F631)</f>
        <v>0</v>
      </c>
      <c r="AJ631" s="105"/>
      <c r="AK631" s="105"/>
      <c r="AM631" s="105"/>
      <c r="AN631" s="105"/>
      <c r="AO631" s="105"/>
      <c r="AP631" s="105"/>
      <c r="AQ631" s="105"/>
      <c r="AR631" s="105"/>
    </row>
    <row r="632" spans="1:44" s="49" customFormat="1" ht="40.15" hidden="1" customHeight="1">
      <c r="A632" s="10">
        <f t="shared" ca="1" si="1386"/>
        <v>2.0599999999999987</v>
      </c>
      <c r="B632" s="153"/>
      <c r="C632" s="154"/>
      <c r="D632" s="154"/>
      <c r="E632" s="161" t="s">
        <v>265</v>
      </c>
      <c r="F632" s="154"/>
      <c r="G632" s="154"/>
      <c r="H632" s="152"/>
      <c r="I632" s="152"/>
      <c r="J632" s="154"/>
      <c r="K632" s="154"/>
      <c r="L632" s="154"/>
      <c r="M632" s="154"/>
      <c r="N632" s="154"/>
      <c r="O632" s="154"/>
      <c r="P632" s="154"/>
      <c r="Q632" s="154"/>
      <c r="R632" s="154"/>
      <c r="S632" s="162"/>
      <c r="T632" s="162"/>
      <c r="U632" s="162"/>
      <c r="V632" s="162"/>
      <c r="W632" s="162"/>
      <c r="X632" s="163"/>
      <c r="Y632" s="163"/>
      <c r="Z632" s="163"/>
      <c r="AA632" s="163"/>
      <c r="AB632" s="163"/>
      <c r="AC632" s="163"/>
      <c r="AD632" s="164"/>
      <c r="AE632" s="148">
        <f>IF(SUM(S633:S634)&gt;0,IFERROR(TRUNC(A632,0),0),0)</f>
        <v>0</v>
      </c>
      <c r="AF632" s="149"/>
      <c r="AG632" s="150"/>
      <c r="AH632" s="159"/>
      <c r="AI632" s="160"/>
      <c r="AJ632" s="105"/>
      <c r="AK632" s="105"/>
      <c r="AM632" s="105"/>
      <c r="AN632" s="105"/>
      <c r="AO632" s="105"/>
      <c r="AP632" s="105"/>
      <c r="AQ632" s="105"/>
      <c r="AR632" s="105"/>
    </row>
    <row r="633" spans="1:44" s="49" customFormat="1" ht="40.15" hidden="1" customHeight="1">
      <c r="A633" s="152">
        <f t="shared" ca="1" si="1386"/>
        <v>2.0599999999999987</v>
      </c>
      <c r="B633" s="153">
        <v>95876</v>
      </c>
      <c r="C633" s="154" t="str">
        <f>TEXT(B633,"0")</f>
        <v>95876</v>
      </c>
      <c r="D633" s="154" t="s">
        <v>1416</v>
      </c>
      <c r="E633" s="155" t="s">
        <v>3537</v>
      </c>
      <c r="F633" s="154">
        <f>IF(Dados_DMT!$B$32&lt;30,Dados_DMT!$B$32,30)</f>
        <v>0</v>
      </c>
      <c r="G633" s="154" t="s">
        <v>3538</v>
      </c>
      <c r="H633" s="152">
        <v>2.09</v>
      </c>
      <c r="I633" s="152">
        <v>2.1</v>
      </c>
      <c r="J633" s="156"/>
      <c r="K633" s="156">
        <f>ROUND(Recap_Previo!H135*F633,2)</f>
        <v>0</v>
      </c>
      <c r="L633" s="156">
        <f>IF($K633&gt;$J633,$K633-$J633,0)</f>
        <v>0</v>
      </c>
      <c r="M633" s="156">
        <f>IF($K633&lt;$J633,$J633-$K633,0)</f>
        <v>0</v>
      </c>
      <c r="N633" s="156" t="s">
        <v>83</v>
      </c>
      <c r="O633" s="157" cm="1">
        <f t="array" ref="O633">TRUNC($H633*(1+_xlfn.SWITCH($N633,"BDI 1",$O$6,"BDI 2",$O$7,"BDI 3",$O$8)),2)</f>
        <v>2.52</v>
      </c>
      <c r="P633" s="157" cm="1">
        <f t="array" ref="P633">TRUNC($I633*(1+_xlfn.SWITCH($N633,"BDI 1",$P$6,"BDI 2",$P$7,"BDI 3",$P$8)),2)</f>
        <v>2.66</v>
      </c>
      <c r="Q633" s="157">
        <v>0</v>
      </c>
      <c r="R633" s="157">
        <v>0</v>
      </c>
      <c r="S633" s="156">
        <f>TRUNC($K633*$O633,2)</f>
        <v>0</v>
      </c>
      <c r="T633" s="156">
        <f>TRUNC($K633*$P633,2)</f>
        <v>0</v>
      </c>
      <c r="U633" s="156">
        <f>TRUNC($J633*$R633,2)</f>
        <v>0</v>
      </c>
      <c r="V633" s="156">
        <f>TRUNC($K633*$Q633,2)</f>
        <v>0</v>
      </c>
      <c r="W633" s="156">
        <f>TRUNC(V633-U633,2)</f>
        <v>0</v>
      </c>
      <c r="X633" s="158">
        <f>$S633/ORCAMENTO_VALOR_TOTAL_ND</f>
        <v>0</v>
      </c>
      <c r="Y633" s="158">
        <f>$T633/ORCAMENTO_VALOR_TOTAL_DE</f>
        <v>0</v>
      </c>
      <c r="Z633" s="158" cm="1">
        <f t="array" ref="Z633">_xlfn.SWITCH($N633,"BDI 1",$O$6,"BDI 2",$O$7,"BDI 3",$O$8)</f>
        <v>0.20699999999999999</v>
      </c>
      <c r="AA633" s="158" cm="1">
        <f t="array" ref="AA633">_xlfn.SWITCH($N633,"BDI 1",$P$6,"BDI 2",$P$7,"BDI 3",$P$8)</f>
        <v>0.26739999999999997</v>
      </c>
      <c r="AB633" s="158">
        <f ca="1">IFERROR($S633/_xlfn.XLOOKUP($AE633,$B$16:$B$38,$S$16:$S$38),0)</f>
        <v>0</v>
      </c>
      <c r="AC633" s="158">
        <f ca="1">IFERROR($T633/_xlfn.XLOOKUP($AE633,$B$16:$B$38,$T$16:$T$38),0)</f>
        <v>0</v>
      </c>
      <c r="AD633" s="164"/>
      <c r="AE633" s="148">
        <f t="shared" ref="AE633:AE634" si="1512">IF(S633&gt;0,IFERROR(TRUNC(A633,0),0),0)</f>
        <v>0</v>
      </c>
      <c r="AF633" s="149"/>
      <c r="AG633" s="150"/>
      <c r="AH633" s="159">
        <f>S633/$S$571</f>
        <v>0</v>
      </c>
      <c r="AI633" s="166">
        <f>IF(K633=0,0,K633/F633)</f>
        <v>0</v>
      </c>
      <c r="AJ633" s="105"/>
      <c r="AK633" s="105"/>
      <c r="AM633" s="105"/>
      <c r="AN633" s="105"/>
      <c r="AO633" s="105"/>
      <c r="AP633" s="105"/>
      <c r="AQ633" s="105"/>
      <c r="AR633" s="105"/>
    </row>
    <row r="634" spans="1:44" s="49" customFormat="1" ht="40.15" hidden="1" customHeight="1">
      <c r="A634" s="152">
        <f t="shared" ca="1" si="1386"/>
        <v>2.0599999999999987</v>
      </c>
      <c r="B634" s="153">
        <v>93593</v>
      </c>
      <c r="C634" s="154" t="str">
        <f>TEXT(B634,"0")</f>
        <v>93593</v>
      </c>
      <c r="D634" s="154" t="s">
        <v>1416</v>
      </c>
      <c r="E634" s="155" t="s">
        <v>3545</v>
      </c>
      <c r="F634" s="154">
        <f>+Dados_DMT!$B$32</f>
        <v>0</v>
      </c>
      <c r="G634" s="154" t="s">
        <v>3538</v>
      </c>
      <c r="H634" s="152">
        <v>0.84</v>
      </c>
      <c r="I634" s="152">
        <v>0.85</v>
      </c>
      <c r="J634" s="156"/>
      <c r="K634" s="156">
        <f>ROUND(Recap_Previo!H135*F634,2)</f>
        <v>0</v>
      </c>
      <c r="L634" s="156">
        <f>IF($K634&gt;$J634,$K634-$J634,0)</f>
        <v>0</v>
      </c>
      <c r="M634" s="156">
        <f>IF($K634&lt;$J634,$J634-$K634,0)</f>
        <v>0</v>
      </c>
      <c r="N634" s="156" t="s">
        <v>83</v>
      </c>
      <c r="O634" s="157" cm="1">
        <f t="array" ref="O634">TRUNC($H634*(1+_xlfn.SWITCH($N634,"BDI 1",$O$6,"BDI 2",$O$7,"BDI 3",$O$8)),2)</f>
        <v>1.01</v>
      </c>
      <c r="P634" s="157" cm="1">
        <f t="array" ref="P634">TRUNC($I634*(1+_xlfn.SWITCH($N634,"BDI 1",$P$6,"BDI 2",$P$7,"BDI 3",$P$8)),2)</f>
        <v>1.07</v>
      </c>
      <c r="Q634" s="157">
        <v>0</v>
      </c>
      <c r="R634" s="157">
        <v>0</v>
      </c>
      <c r="S634" s="156">
        <f>TRUNC($K634*$O634,2)</f>
        <v>0</v>
      </c>
      <c r="T634" s="156">
        <f>TRUNC($K634*$P634,2)</f>
        <v>0</v>
      </c>
      <c r="U634" s="156">
        <f>TRUNC($J634*$R634,2)</f>
        <v>0</v>
      </c>
      <c r="V634" s="156">
        <f>TRUNC($K634*$Q634,2)</f>
        <v>0</v>
      </c>
      <c r="W634" s="156">
        <f>TRUNC(V634-U634,2)</f>
        <v>0</v>
      </c>
      <c r="X634" s="158">
        <f>$S634/ORCAMENTO_VALOR_TOTAL_ND</f>
        <v>0</v>
      </c>
      <c r="Y634" s="158">
        <f>$T634/ORCAMENTO_VALOR_TOTAL_DE</f>
        <v>0</v>
      </c>
      <c r="Z634" s="158" cm="1">
        <f t="array" ref="Z634">_xlfn.SWITCH($N634,"BDI 1",$O$6,"BDI 2",$O$7,"BDI 3",$O$8)</f>
        <v>0.20699999999999999</v>
      </c>
      <c r="AA634" s="158" cm="1">
        <f t="array" ref="AA634">_xlfn.SWITCH($N634,"BDI 1",$P$6,"BDI 2",$P$7,"BDI 3",$P$8)</f>
        <v>0.26739999999999997</v>
      </c>
      <c r="AB634" s="158">
        <f ca="1">IFERROR($S634/_xlfn.XLOOKUP($AE634,$B$16:$B$38,$S$16:$S$38),0)</f>
        <v>0</v>
      </c>
      <c r="AC634" s="158">
        <f ca="1">IFERROR($T634/_xlfn.XLOOKUP($AE634,$B$16:$B$38,$T$16:$T$38),0)</f>
        <v>0</v>
      </c>
      <c r="AD634" s="164"/>
      <c r="AE634" s="148">
        <f t="shared" si="1512"/>
        <v>0</v>
      </c>
      <c r="AF634" s="149"/>
      <c r="AG634" s="150"/>
      <c r="AH634" s="159">
        <f>S634/$S$571</f>
        <v>0</v>
      </c>
      <c r="AI634" s="166">
        <f>IF(K634=0,0,K634/F634)</f>
        <v>0</v>
      </c>
      <c r="AJ634" s="105"/>
      <c r="AK634" s="105"/>
      <c r="AM634" s="105"/>
      <c r="AN634" s="105"/>
      <c r="AO634" s="105"/>
      <c r="AP634" s="105"/>
      <c r="AQ634" s="105"/>
      <c r="AR634" s="105"/>
    </row>
    <row r="635" spans="1:44" s="49" customFormat="1" ht="40.15" hidden="1" customHeight="1">
      <c r="A635" s="10">
        <f t="shared" ca="1" si="1386"/>
        <v>2.0599999999999987</v>
      </c>
      <c r="B635" s="153"/>
      <c r="C635" s="154"/>
      <c r="D635" s="154"/>
      <c r="E635" s="161" t="s">
        <v>293</v>
      </c>
      <c r="F635" s="154"/>
      <c r="G635" s="154"/>
      <c r="H635" s="152"/>
      <c r="I635" s="152"/>
      <c r="J635" s="154"/>
      <c r="K635" s="154"/>
      <c r="L635" s="154"/>
      <c r="M635" s="154"/>
      <c r="N635" s="154"/>
      <c r="O635" s="154"/>
      <c r="P635" s="154"/>
      <c r="Q635" s="154"/>
      <c r="R635" s="154"/>
      <c r="S635" s="162"/>
      <c r="T635" s="162"/>
      <c r="U635" s="162"/>
      <c r="V635" s="162"/>
      <c r="W635" s="162"/>
      <c r="X635" s="163"/>
      <c r="Y635" s="163"/>
      <c r="Z635" s="163"/>
      <c r="AA635" s="163"/>
      <c r="AB635" s="163"/>
      <c r="AC635" s="163"/>
      <c r="AD635" s="164"/>
      <c r="AE635" s="148">
        <f>IF(SUM(S636:S637)&gt;0,IFERROR(TRUNC(A635,0),0),0)</f>
        <v>0</v>
      </c>
      <c r="AF635" s="149"/>
      <c r="AG635" s="150"/>
      <c r="AH635" s="159"/>
      <c r="AI635" s="160"/>
      <c r="AJ635" s="105"/>
      <c r="AK635" s="105"/>
      <c r="AM635" s="105"/>
      <c r="AN635" s="105"/>
      <c r="AO635" s="105"/>
      <c r="AP635" s="105"/>
      <c r="AQ635" s="105"/>
      <c r="AR635" s="105"/>
    </row>
    <row r="636" spans="1:44" s="49" customFormat="1" ht="40.15" hidden="1" customHeight="1">
      <c r="A636" s="152">
        <f t="shared" ref="A636:A665" ca="1" si="1513">IF(K636&gt;0,A635+0.01,A635)</f>
        <v>2.0599999999999987</v>
      </c>
      <c r="B636" s="153">
        <v>95876</v>
      </c>
      <c r="C636" s="154" t="str">
        <f>TEXT(B636,"0")</f>
        <v>95876</v>
      </c>
      <c r="D636" s="154" t="s">
        <v>1416</v>
      </c>
      <c r="E636" s="155" t="s">
        <v>3537</v>
      </c>
      <c r="F636" s="154">
        <f>IF(Dados_DMT!$B$34&lt;30,Dados_DMT!$B$34,30)</f>
        <v>30</v>
      </c>
      <c r="G636" s="154" t="s">
        <v>3538</v>
      </c>
      <c r="H636" s="152">
        <v>2.09</v>
      </c>
      <c r="I636" s="152">
        <v>2.1</v>
      </c>
      <c r="J636" s="156"/>
      <c r="K636" s="156">
        <f>ROUND(Recap_Previo!H137*F636,2)</f>
        <v>0</v>
      </c>
      <c r="L636" s="156">
        <f>IF($K636&gt;$J636,$K636-$J636,0)</f>
        <v>0</v>
      </c>
      <c r="M636" s="156">
        <f>IF($K636&lt;$J636,$J636-$K636,0)</f>
        <v>0</v>
      </c>
      <c r="N636" s="156" t="s">
        <v>83</v>
      </c>
      <c r="O636" s="157" cm="1">
        <f t="array" ref="O636">TRUNC($H636*(1+_xlfn.SWITCH($N636,"BDI 1",$O$6,"BDI 2",$O$7,"BDI 3",$O$8)),2)</f>
        <v>2.52</v>
      </c>
      <c r="P636" s="157" cm="1">
        <f t="array" ref="P636">TRUNC($I636*(1+_xlfn.SWITCH($N636,"BDI 1",$P$6,"BDI 2",$P$7,"BDI 3",$P$8)),2)</f>
        <v>2.66</v>
      </c>
      <c r="Q636" s="157">
        <v>0</v>
      </c>
      <c r="R636" s="157">
        <v>0</v>
      </c>
      <c r="S636" s="156">
        <f>TRUNC($K636*$O636,2)</f>
        <v>0</v>
      </c>
      <c r="T636" s="156">
        <f>TRUNC($K636*$P636,2)</f>
        <v>0</v>
      </c>
      <c r="U636" s="156">
        <f>TRUNC($J636*$R636,2)</f>
        <v>0</v>
      </c>
      <c r="V636" s="156">
        <f>TRUNC($K636*$Q636,2)</f>
        <v>0</v>
      </c>
      <c r="W636" s="156">
        <f>TRUNC(V636-U636,2)</f>
        <v>0</v>
      </c>
      <c r="X636" s="158">
        <f>$S636/ORCAMENTO_VALOR_TOTAL_ND</f>
        <v>0</v>
      </c>
      <c r="Y636" s="158">
        <f>$T636/ORCAMENTO_VALOR_TOTAL_DE</f>
        <v>0</v>
      </c>
      <c r="Z636" s="158" cm="1">
        <f t="array" ref="Z636">_xlfn.SWITCH($N636,"BDI 1",$O$6,"BDI 2",$O$7,"BDI 3",$O$8)</f>
        <v>0.20699999999999999</v>
      </c>
      <c r="AA636" s="158" cm="1">
        <f t="array" ref="AA636">_xlfn.SWITCH($N636,"BDI 1",$P$6,"BDI 2",$P$7,"BDI 3",$P$8)</f>
        <v>0.26739999999999997</v>
      </c>
      <c r="AB636" s="158">
        <f ca="1">IFERROR($S636/_xlfn.XLOOKUP($AE636,$B$16:$B$38,$S$16:$S$38),0)</f>
        <v>0</v>
      </c>
      <c r="AC636" s="158">
        <f ca="1">IFERROR($T636/_xlfn.XLOOKUP($AE636,$B$16:$B$38,$T$16:$T$38),0)</f>
        <v>0</v>
      </c>
      <c r="AD636" s="164"/>
      <c r="AE636" s="148">
        <f t="shared" ref="AE636:AE637" si="1514">IF(S636&gt;0,IFERROR(TRUNC(A636,0),0),0)</f>
        <v>0</v>
      </c>
      <c r="AF636" s="149"/>
      <c r="AG636" s="150"/>
      <c r="AH636" s="159">
        <f>S636/$S$571</f>
        <v>0</v>
      </c>
      <c r="AI636" s="166">
        <f>IF(K636=0,0,K636/F636)</f>
        <v>0</v>
      </c>
      <c r="AJ636" s="105"/>
      <c r="AK636" s="105"/>
      <c r="AM636" s="105"/>
      <c r="AN636" s="105"/>
      <c r="AO636" s="105"/>
      <c r="AP636" s="105"/>
      <c r="AQ636" s="105"/>
      <c r="AR636" s="105"/>
    </row>
    <row r="637" spans="1:44" s="49" customFormat="1" ht="40.15" hidden="1" customHeight="1">
      <c r="A637" s="152">
        <f t="shared" ca="1" si="1513"/>
        <v>2.0599999999999987</v>
      </c>
      <c r="B637" s="153">
        <v>93593</v>
      </c>
      <c r="C637" s="154" t="str">
        <f>TEXT(B637,"0")</f>
        <v>93593</v>
      </c>
      <c r="D637" s="154" t="s">
        <v>1416</v>
      </c>
      <c r="E637" s="155" t="s">
        <v>3545</v>
      </c>
      <c r="F637" s="154">
        <f>+Dados_DMT!$B$34-F636</f>
        <v>80</v>
      </c>
      <c r="G637" s="154" t="s">
        <v>3538</v>
      </c>
      <c r="H637" s="152">
        <v>0.84</v>
      </c>
      <c r="I637" s="152">
        <v>0.85</v>
      </c>
      <c r="J637" s="156"/>
      <c r="K637" s="156">
        <f>ROUND(Recap_Previo!H137*F637,2)</f>
        <v>0</v>
      </c>
      <c r="L637" s="156">
        <f>IF($K637&gt;$J637,$K637-$J637,0)</f>
        <v>0</v>
      </c>
      <c r="M637" s="156">
        <f>IF($K637&lt;$J637,$J637-$K637,0)</f>
        <v>0</v>
      </c>
      <c r="N637" s="156" t="s">
        <v>83</v>
      </c>
      <c r="O637" s="157" cm="1">
        <f t="array" ref="O637">TRUNC($H637*(1+_xlfn.SWITCH($N637,"BDI 1",$O$6,"BDI 2",$O$7,"BDI 3",$O$8)),2)</f>
        <v>1.01</v>
      </c>
      <c r="P637" s="157" cm="1">
        <f t="array" ref="P637">TRUNC($I637*(1+_xlfn.SWITCH($N637,"BDI 1",$P$6,"BDI 2",$P$7,"BDI 3",$P$8)),2)</f>
        <v>1.07</v>
      </c>
      <c r="Q637" s="157">
        <v>0</v>
      </c>
      <c r="R637" s="157">
        <v>0</v>
      </c>
      <c r="S637" s="156">
        <f>TRUNC($K637*$O637,2)</f>
        <v>0</v>
      </c>
      <c r="T637" s="156">
        <f>TRUNC($K637*$P637,2)</f>
        <v>0</v>
      </c>
      <c r="U637" s="156">
        <f>TRUNC($J637*$R637,2)</f>
        <v>0</v>
      </c>
      <c r="V637" s="156">
        <f>TRUNC($K637*$Q637,2)</f>
        <v>0</v>
      </c>
      <c r="W637" s="156">
        <f>TRUNC(V637-U637,2)</f>
        <v>0</v>
      </c>
      <c r="X637" s="158">
        <f>$S637/ORCAMENTO_VALOR_TOTAL_ND</f>
        <v>0</v>
      </c>
      <c r="Y637" s="158">
        <f>$T637/ORCAMENTO_VALOR_TOTAL_DE</f>
        <v>0</v>
      </c>
      <c r="Z637" s="158" cm="1">
        <f t="array" ref="Z637">_xlfn.SWITCH($N637,"BDI 1",$O$6,"BDI 2",$O$7,"BDI 3",$O$8)</f>
        <v>0.20699999999999999</v>
      </c>
      <c r="AA637" s="158" cm="1">
        <f t="array" ref="AA637">_xlfn.SWITCH($N637,"BDI 1",$P$6,"BDI 2",$P$7,"BDI 3",$P$8)</f>
        <v>0.26739999999999997</v>
      </c>
      <c r="AB637" s="158">
        <f ca="1">IFERROR($S637/_xlfn.XLOOKUP($AE637,$B$16:$B$38,$S$16:$S$38),0)</f>
        <v>0</v>
      </c>
      <c r="AC637" s="158">
        <f ca="1">IFERROR($T637/_xlfn.XLOOKUP($AE637,$B$16:$B$38,$T$16:$T$38),0)</f>
        <v>0</v>
      </c>
      <c r="AD637" s="164"/>
      <c r="AE637" s="148">
        <f t="shared" si="1514"/>
        <v>0</v>
      </c>
      <c r="AF637" s="149"/>
      <c r="AG637" s="150"/>
      <c r="AH637" s="159">
        <f>S637/$S$571</f>
        <v>0</v>
      </c>
      <c r="AI637" s="166">
        <f>IF(K637=0,0,K637/F637)</f>
        <v>0</v>
      </c>
      <c r="AJ637" s="105"/>
      <c r="AK637" s="105"/>
      <c r="AM637" s="105"/>
      <c r="AN637" s="105"/>
      <c r="AO637" s="105"/>
      <c r="AP637" s="105"/>
      <c r="AQ637" s="105"/>
      <c r="AR637" s="105"/>
    </row>
    <row r="638" spans="1:44" s="49" customFormat="1" ht="40.15" hidden="1" customHeight="1">
      <c r="A638" s="10">
        <f t="shared" ca="1" si="1513"/>
        <v>2.0599999999999987</v>
      </c>
      <c r="B638" s="153"/>
      <c r="C638" s="154"/>
      <c r="D638" s="154"/>
      <c r="E638" s="161" t="s">
        <v>267</v>
      </c>
      <c r="F638" s="154"/>
      <c r="G638" s="154"/>
      <c r="H638" s="152"/>
      <c r="I638" s="152"/>
      <c r="J638" s="154"/>
      <c r="K638" s="154"/>
      <c r="L638" s="154"/>
      <c r="M638" s="154"/>
      <c r="N638" s="154"/>
      <c r="O638" s="154"/>
      <c r="P638" s="154"/>
      <c r="Q638" s="154"/>
      <c r="R638" s="154"/>
      <c r="S638" s="162"/>
      <c r="T638" s="162"/>
      <c r="U638" s="162"/>
      <c r="V638" s="162"/>
      <c r="W638" s="162"/>
      <c r="X638" s="163"/>
      <c r="Y638" s="163"/>
      <c r="Z638" s="163"/>
      <c r="AA638" s="163"/>
      <c r="AB638" s="163"/>
      <c r="AC638" s="163"/>
      <c r="AD638" s="164"/>
      <c r="AE638" s="148">
        <f>IF(SUM(S639:S640)&gt;0,IFERROR(TRUNC(A638,0),0),0)</f>
        <v>0</v>
      </c>
      <c r="AF638" s="149"/>
      <c r="AG638" s="150"/>
      <c r="AH638" s="159"/>
      <c r="AI638" s="160"/>
      <c r="AJ638" s="105"/>
      <c r="AK638" s="105"/>
      <c r="AM638" s="105"/>
      <c r="AN638" s="105"/>
      <c r="AO638" s="105"/>
      <c r="AP638" s="105"/>
      <c r="AQ638" s="105"/>
      <c r="AR638" s="105"/>
    </row>
    <row r="639" spans="1:44" s="49" customFormat="1" ht="40.15" hidden="1" customHeight="1">
      <c r="A639" s="152">
        <f t="shared" ca="1" si="1513"/>
        <v>2.0599999999999987</v>
      </c>
      <c r="B639" s="153">
        <v>95876</v>
      </c>
      <c r="C639" s="154" t="str">
        <f>TEXT(B639,"0")</f>
        <v>95876</v>
      </c>
      <c r="D639" s="154" t="s">
        <v>1416</v>
      </c>
      <c r="E639" s="155" t="s">
        <v>3537</v>
      </c>
      <c r="F639" s="154">
        <f>IF(Dados_DMT!$B$23&lt;30,Dados_DMT!$B$23,30)</f>
        <v>0</v>
      </c>
      <c r="G639" s="154" t="s">
        <v>3538</v>
      </c>
      <c r="H639" s="152">
        <v>2.09</v>
      </c>
      <c r="I639" s="152">
        <v>2.1</v>
      </c>
      <c r="J639" s="156"/>
      <c r="K639" s="156">
        <f>ROUND(Recap_Previo!H130*F639,2)</f>
        <v>0</v>
      </c>
      <c r="L639" s="156">
        <f>IF($K639&gt;$J639,$K639-$J639,0)</f>
        <v>0</v>
      </c>
      <c r="M639" s="156">
        <f>IF($K639&lt;$J639,$J639-$K639,0)</f>
        <v>0</v>
      </c>
      <c r="N639" s="156" t="s">
        <v>83</v>
      </c>
      <c r="O639" s="157" cm="1">
        <f t="array" ref="O639">TRUNC($H639*(1+_xlfn.SWITCH($N639,"BDI 1",$O$6,"BDI 2",$O$7,"BDI 3",$O$8)),2)</f>
        <v>2.52</v>
      </c>
      <c r="P639" s="157" cm="1">
        <f t="array" ref="P639">TRUNC($I639*(1+_xlfn.SWITCH($N639,"BDI 1",$P$6,"BDI 2",$P$7,"BDI 3",$P$8)),2)</f>
        <v>2.66</v>
      </c>
      <c r="Q639" s="157">
        <v>0</v>
      </c>
      <c r="R639" s="157">
        <v>0</v>
      </c>
      <c r="S639" s="156">
        <f>TRUNC($K639*$O639,2)</f>
        <v>0</v>
      </c>
      <c r="T639" s="156">
        <f>TRUNC($K639*$P639,2)</f>
        <v>0</v>
      </c>
      <c r="U639" s="156">
        <f>TRUNC($J639*$R639,2)</f>
        <v>0</v>
      </c>
      <c r="V639" s="156">
        <f>TRUNC($K639*$Q639,2)</f>
        <v>0</v>
      </c>
      <c r="W639" s="156">
        <f>TRUNC(V639-U639,2)</f>
        <v>0</v>
      </c>
      <c r="X639" s="158">
        <f>$S639/ORCAMENTO_VALOR_TOTAL_ND</f>
        <v>0</v>
      </c>
      <c r="Y639" s="158">
        <f>$T639/ORCAMENTO_VALOR_TOTAL_DE</f>
        <v>0</v>
      </c>
      <c r="Z639" s="158" cm="1">
        <f t="array" ref="Z639">_xlfn.SWITCH($N639,"BDI 1",$O$6,"BDI 2",$O$7,"BDI 3",$O$8)</f>
        <v>0.20699999999999999</v>
      </c>
      <c r="AA639" s="158" cm="1">
        <f t="array" ref="AA639">_xlfn.SWITCH($N639,"BDI 1",$P$6,"BDI 2",$P$7,"BDI 3",$P$8)</f>
        <v>0.26739999999999997</v>
      </c>
      <c r="AB639" s="158">
        <f ca="1">IFERROR($S639/_xlfn.XLOOKUP($AE639,$B$16:$B$38,$S$16:$S$38),0)</f>
        <v>0</v>
      </c>
      <c r="AC639" s="158">
        <f ca="1">IFERROR($T639/_xlfn.XLOOKUP($AE639,$B$16:$B$38,$T$16:$T$38),0)</f>
        <v>0</v>
      </c>
      <c r="AD639" s="164"/>
      <c r="AE639" s="148">
        <f t="shared" ref="AE639:AE640" si="1515">IF(S639&gt;0,IFERROR(TRUNC(A639,0),0),0)</f>
        <v>0</v>
      </c>
      <c r="AF639" s="149"/>
      <c r="AG639" s="150"/>
      <c r="AH639" s="159">
        <f>S639/$S$571</f>
        <v>0</v>
      </c>
      <c r="AI639" s="166">
        <f>IF(K639=0,0,K639/F639)</f>
        <v>0</v>
      </c>
      <c r="AJ639" s="105"/>
      <c r="AK639" s="105"/>
      <c r="AM639" s="105"/>
      <c r="AN639" s="105"/>
      <c r="AO639" s="105"/>
      <c r="AP639" s="105"/>
      <c r="AQ639" s="105"/>
      <c r="AR639" s="105"/>
    </row>
    <row r="640" spans="1:44" s="49" customFormat="1" ht="40.15" hidden="1" customHeight="1">
      <c r="A640" s="152">
        <f t="shared" ca="1" si="1513"/>
        <v>2.0599999999999987</v>
      </c>
      <c r="B640" s="153">
        <v>93593</v>
      </c>
      <c r="C640" s="154" t="str">
        <f>TEXT(B640,"0")</f>
        <v>93593</v>
      </c>
      <c r="D640" s="154" t="s">
        <v>1416</v>
      </c>
      <c r="E640" s="155" t="s">
        <v>3545</v>
      </c>
      <c r="F640" s="154">
        <f>Dados_DMT!$B$23-F639</f>
        <v>0</v>
      </c>
      <c r="G640" s="154" t="s">
        <v>3538</v>
      </c>
      <c r="H640" s="152">
        <v>0.84</v>
      </c>
      <c r="I640" s="152">
        <v>0.85</v>
      </c>
      <c r="J640" s="156"/>
      <c r="K640" s="156">
        <f>ROUND(Recap_Previo!H130*F640,2)</f>
        <v>0</v>
      </c>
      <c r="L640" s="156">
        <f>IF($K640&gt;$J640,$K640-$J640,0)</f>
        <v>0</v>
      </c>
      <c r="M640" s="156">
        <f>IF($K640&lt;$J640,$J640-$K640,0)</f>
        <v>0</v>
      </c>
      <c r="N640" s="156" t="s">
        <v>83</v>
      </c>
      <c r="O640" s="157" cm="1">
        <f t="array" ref="O640">TRUNC($H640*(1+_xlfn.SWITCH($N640,"BDI 1",$O$6,"BDI 2",$O$7,"BDI 3",$O$8)),2)</f>
        <v>1.01</v>
      </c>
      <c r="P640" s="157" cm="1">
        <f t="array" ref="P640">TRUNC($I640*(1+_xlfn.SWITCH($N640,"BDI 1",$P$6,"BDI 2",$P$7,"BDI 3",$P$8)),2)</f>
        <v>1.07</v>
      </c>
      <c r="Q640" s="157">
        <v>0</v>
      </c>
      <c r="R640" s="157">
        <v>0</v>
      </c>
      <c r="S640" s="156">
        <f>TRUNC($K640*$O640,2)</f>
        <v>0</v>
      </c>
      <c r="T640" s="156">
        <f>TRUNC($K640*$P640,2)</f>
        <v>0</v>
      </c>
      <c r="U640" s="156">
        <f>TRUNC($J640*$R640,2)</f>
        <v>0</v>
      </c>
      <c r="V640" s="156">
        <f>TRUNC($K640*$Q640,2)</f>
        <v>0</v>
      </c>
      <c r="W640" s="156">
        <f>TRUNC(V640-U640,2)</f>
        <v>0</v>
      </c>
      <c r="X640" s="158">
        <f>$S640/ORCAMENTO_VALOR_TOTAL_ND</f>
        <v>0</v>
      </c>
      <c r="Y640" s="158">
        <f>$T640/ORCAMENTO_VALOR_TOTAL_DE</f>
        <v>0</v>
      </c>
      <c r="Z640" s="158" cm="1">
        <f t="array" ref="Z640">_xlfn.SWITCH($N640,"BDI 1",$O$6,"BDI 2",$O$7,"BDI 3",$O$8)</f>
        <v>0.20699999999999999</v>
      </c>
      <c r="AA640" s="158" cm="1">
        <f t="array" ref="AA640">_xlfn.SWITCH($N640,"BDI 1",$P$6,"BDI 2",$P$7,"BDI 3",$P$8)</f>
        <v>0.26739999999999997</v>
      </c>
      <c r="AB640" s="158">
        <f ca="1">IFERROR($S640/_xlfn.XLOOKUP($AE640,$B$16:$B$38,$S$16:$S$38),0)</f>
        <v>0</v>
      </c>
      <c r="AC640" s="158">
        <f ca="1">IFERROR($T640/_xlfn.XLOOKUP($AE640,$B$16:$B$38,$T$16:$T$38),0)</f>
        <v>0</v>
      </c>
      <c r="AD640" s="164"/>
      <c r="AE640" s="148">
        <f t="shared" si="1515"/>
        <v>0</v>
      </c>
      <c r="AF640" s="149"/>
      <c r="AG640" s="150"/>
      <c r="AH640" s="159">
        <f>S640/$S$571</f>
        <v>0</v>
      </c>
      <c r="AI640" s="166">
        <f>IF(K640=0,0,K640/F640)</f>
        <v>0</v>
      </c>
      <c r="AJ640" s="105"/>
      <c r="AK640" s="105"/>
      <c r="AM640" s="105"/>
      <c r="AN640" s="105"/>
      <c r="AO640" s="105"/>
      <c r="AP640" s="105"/>
      <c r="AQ640" s="105"/>
      <c r="AR640" s="105"/>
    </row>
    <row r="641" spans="1:44" s="49" customFormat="1" ht="40.15" hidden="1" customHeight="1">
      <c r="A641" s="10">
        <f t="shared" ca="1" si="1513"/>
        <v>2.0599999999999987</v>
      </c>
      <c r="B641" s="153"/>
      <c r="C641" s="154"/>
      <c r="D641" s="154"/>
      <c r="E641" s="161" t="s">
        <v>268</v>
      </c>
      <c r="F641" s="154"/>
      <c r="G641" s="154"/>
      <c r="H641" s="152"/>
      <c r="I641" s="152"/>
      <c r="J641" s="154"/>
      <c r="K641" s="154"/>
      <c r="L641" s="154"/>
      <c r="M641" s="154"/>
      <c r="N641" s="154"/>
      <c r="O641" s="154"/>
      <c r="P641" s="154"/>
      <c r="Q641" s="154"/>
      <c r="R641" s="154"/>
      <c r="S641" s="162"/>
      <c r="T641" s="162"/>
      <c r="U641" s="162"/>
      <c r="V641" s="162"/>
      <c r="W641" s="162"/>
      <c r="X641" s="163"/>
      <c r="Y641" s="163"/>
      <c r="Z641" s="163"/>
      <c r="AA641" s="163"/>
      <c r="AB641" s="163"/>
      <c r="AC641" s="163"/>
      <c r="AD641" s="164"/>
      <c r="AE641" s="148">
        <f>IF(SUM(S642:S643)&gt;0,IFERROR(TRUNC(A641,0),0),0)</f>
        <v>0</v>
      </c>
      <c r="AF641" s="149"/>
      <c r="AG641" s="150"/>
      <c r="AH641" s="159"/>
      <c r="AI641" s="160"/>
      <c r="AJ641" s="105"/>
      <c r="AK641" s="105"/>
      <c r="AM641" s="105"/>
      <c r="AN641" s="105"/>
      <c r="AO641" s="105"/>
      <c r="AP641" s="105"/>
      <c r="AQ641" s="105"/>
      <c r="AR641" s="105"/>
    </row>
    <row r="642" spans="1:44" s="49" customFormat="1" ht="40.15" hidden="1" customHeight="1">
      <c r="A642" s="152">
        <f t="shared" ca="1" si="1513"/>
        <v>2.0599999999999987</v>
      </c>
      <c r="B642" s="153">
        <v>95876</v>
      </c>
      <c r="C642" s="154" t="str">
        <f>TEXT(B642,"0")</f>
        <v>95876</v>
      </c>
      <c r="D642" s="154" t="s">
        <v>1416</v>
      </c>
      <c r="E642" s="155" t="s">
        <v>3537</v>
      </c>
      <c r="F642" s="154">
        <f>IF(Dados_DMT!$B$22&lt;30,Dados_DMT!$B$22,30)</f>
        <v>0</v>
      </c>
      <c r="G642" s="154" t="s">
        <v>3538</v>
      </c>
      <c r="H642" s="152">
        <v>2.09</v>
      </c>
      <c r="I642" s="152">
        <v>2.1</v>
      </c>
      <c r="J642" s="156"/>
      <c r="K642" s="156">
        <f>ROUND(Recap_Previo!H129*F642,2)</f>
        <v>0</v>
      </c>
      <c r="L642" s="156">
        <f>IF($K642&gt;$J642,$K642-$J642,0)</f>
        <v>0</v>
      </c>
      <c r="M642" s="156">
        <f>IF($K642&lt;$J642,$J642-$K642,0)</f>
        <v>0</v>
      </c>
      <c r="N642" s="156" t="s">
        <v>83</v>
      </c>
      <c r="O642" s="157" cm="1">
        <f t="array" ref="O642">TRUNC($H642*(1+_xlfn.SWITCH($N642,"BDI 1",$O$6,"BDI 2",$O$7,"BDI 3",$O$8)),2)</f>
        <v>2.52</v>
      </c>
      <c r="P642" s="157" cm="1">
        <f t="array" ref="P642">TRUNC($I642*(1+_xlfn.SWITCH($N642,"BDI 1",$P$6,"BDI 2",$P$7,"BDI 3",$P$8)),2)</f>
        <v>2.66</v>
      </c>
      <c r="Q642" s="157">
        <v>0</v>
      </c>
      <c r="R642" s="157">
        <v>0</v>
      </c>
      <c r="S642" s="156">
        <f>TRUNC($K642*$O642,2)</f>
        <v>0</v>
      </c>
      <c r="T642" s="156">
        <f>TRUNC($K642*$P642,2)</f>
        <v>0</v>
      </c>
      <c r="U642" s="156">
        <f>TRUNC($J642*$R642,2)</f>
        <v>0</v>
      </c>
      <c r="V642" s="156">
        <f>TRUNC($K642*$Q642,2)</f>
        <v>0</v>
      </c>
      <c r="W642" s="156">
        <f>TRUNC(V642-U642,2)</f>
        <v>0</v>
      </c>
      <c r="X642" s="158">
        <f>$S642/ORCAMENTO_VALOR_TOTAL_ND</f>
        <v>0</v>
      </c>
      <c r="Y642" s="158">
        <f>$T642/ORCAMENTO_VALOR_TOTAL_DE</f>
        <v>0</v>
      </c>
      <c r="Z642" s="158" cm="1">
        <f t="array" ref="Z642">_xlfn.SWITCH($N642,"BDI 1",$O$6,"BDI 2",$O$7,"BDI 3",$O$8)</f>
        <v>0.20699999999999999</v>
      </c>
      <c r="AA642" s="158" cm="1">
        <f t="array" ref="AA642">_xlfn.SWITCH($N642,"BDI 1",$P$6,"BDI 2",$P$7,"BDI 3",$P$8)</f>
        <v>0.26739999999999997</v>
      </c>
      <c r="AB642" s="158">
        <f ca="1">IFERROR($S642/_xlfn.XLOOKUP($AE642,$B$16:$B$38,$S$16:$S$38),0)</f>
        <v>0</v>
      </c>
      <c r="AC642" s="158">
        <f ca="1">IFERROR($T642/_xlfn.XLOOKUP($AE642,$B$16:$B$38,$T$16:$T$38),0)</f>
        <v>0</v>
      </c>
      <c r="AD642" s="164"/>
      <c r="AE642" s="148">
        <f t="shared" ref="AE642:AE643" si="1516">IF(S642&gt;0,IFERROR(TRUNC(A642,0),0),0)</f>
        <v>0</v>
      </c>
      <c r="AF642" s="149"/>
      <c r="AG642" s="150"/>
      <c r="AH642" s="159">
        <f>S642/$S$571</f>
        <v>0</v>
      </c>
      <c r="AI642" s="166">
        <f>IF(K642=0,0,K642/F642)</f>
        <v>0</v>
      </c>
      <c r="AJ642" s="105"/>
      <c r="AK642" s="105"/>
      <c r="AM642" s="105"/>
      <c r="AN642" s="105"/>
      <c r="AO642" s="105"/>
      <c r="AP642" s="105"/>
      <c r="AQ642" s="105"/>
      <c r="AR642" s="105"/>
    </row>
    <row r="643" spans="1:44" s="49" customFormat="1" ht="40.15" hidden="1" customHeight="1">
      <c r="A643" s="152">
        <f t="shared" ca="1" si="1513"/>
        <v>2.0599999999999987</v>
      </c>
      <c r="B643" s="153">
        <v>93593</v>
      </c>
      <c r="C643" s="154" t="str">
        <f>TEXT(B643,"0")</f>
        <v>93593</v>
      </c>
      <c r="D643" s="154" t="s">
        <v>1416</v>
      </c>
      <c r="E643" s="155" t="s">
        <v>3545</v>
      </c>
      <c r="F643" s="154">
        <f>+Dados_DMT!$B$22-F642</f>
        <v>0</v>
      </c>
      <c r="G643" s="154" t="s">
        <v>3538</v>
      </c>
      <c r="H643" s="152">
        <v>0.84</v>
      </c>
      <c r="I643" s="152">
        <v>0.85</v>
      </c>
      <c r="J643" s="156"/>
      <c r="K643" s="156">
        <f>ROUND(Recap_Previo!H129*F643,2)</f>
        <v>0</v>
      </c>
      <c r="L643" s="156">
        <f>IF($K643&gt;$J643,$K643-$J643,0)</f>
        <v>0</v>
      </c>
      <c r="M643" s="156">
        <f>IF($K643&lt;$J643,$J643-$K643,0)</f>
        <v>0</v>
      </c>
      <c r="N643" s="156" t="s">
        <v>83</v>
      </c>
      <c r="O643" s="157" cm="1">
        <f t="array" ref="O643">TRUNC($H643*(1+_xlfn.SWITCH($N643,"BDI 1",$O$6,"BDI 2",$O$7,"BDI 3",$O$8)),2)</f>
        <v>1.01</v>
      </c>
      <c r="P643" s="157" cm="1">
        <f t="array" ref="P643">TRUNC($I643*(1+_xlfn.SWITCH($N643,"BDI 1",$P$6,"BDI 2",$P$7,"BDI 3",$P$8)),2)</f>
        <v>1.07</v>
      </c>
      <c r="Q643" s="157">
        <v>0</v>
      </c>
      <c r="R643" s="157">
        <v>0</v>
      </c>
      <c r="S643" s="156">
        <f>TRUNC($K643*$O643,2)</f>
        <v>0</v>
      </c>
      <c r="T643" s="156">
        <f>TRUNC($K643*$P643,2)</f>
        <v>0</v>
      </c>
      <c r="U643" s="156">
        <f>TRUNC($J643*$R643,2)</f>
        <v>0</v>
      </c>
      <c r="V643" s="156">
        <f>TRUNC($K643*$Q643,2)</f>
        <v>0</v>
      </c>
      <c r="W643" s="156">
        <f>TRUNC(V643-U643,2)</f>
        <v>0</v>
      </c>
      <c r="X643" s="158">
        <f>$S643/ORCAMENTO_VALOR_TOTAL_ND</f>
        <v>0</v>
      </c>
      <c r="Y643" s="158">
        <f>$T643/ORCAMENTO_VALOR_TOTAL_DE</f>
        <v>0</v>
      </c>
      <c r="Z643" s="158" cm="1">
        <f t="array" ref="Z643">_xlfn.SWITCH($N643,"BDI 1",$O$6,"BDI 2",$O$7,"BDI 3",$O$8)</f>
        <v>0.20699999999999999</v>
      </c>
      <c r="AA643" s="158" cm="1">
        <f t="array" ref="AA643">_xlfn.SWITCH($N643,"BDI 1",$P$6,"BDI 2",$P$7,"BDI 3",$P$8)</f>
        <v>0.26739999999999997</v>
      </c>
      <c r="AB643" s="158">
        <f ca="1">IFERROR($S643/_xlfn.XLOOKUP($AE643,$B$16:$B$38,$S$16:$S$38),0)</f>
        <v>0</v>
      </c>
      <c r="AC643" s="158">
        <f ca="1">IFERROR($T643/_xlfn.XLOOKUP($AE643,$B$16:$B$38,$T$16:$T$38),0)</f>
        <v>0</v>
      </c>
      <c r="AD643" s="164"/>
      <c r="AE643" s="148">
        <f t="shared" si="1516"/>
        <v>0</v>
      </c>
      <c r="AF643" s="149"/>
      <c r="AG643" s="150"/>
      <c r="AH643" s="159">
        <f>S643/$S$571</f>
        <v>0</v>
      </c>
      <c r="AI643" s="166">
        <f>IF(K643=0,0,K643/F643)</f>
        <v>0</v>
      </c>
      <c r="AJ643" s="105"/>
      <c r="AK643" s="105"/>
      <c r="AM643" s="105"/>
      <c r="AN643" s="105"/>
      <c r="AO643" s="105"/>
      <c r="AP643" s="105"/>
      <c r="AQ643" s="105"/>
      <c r="AR643" s="105"/>
    </row>
    <row r="644" spans="1:44" s="49" customFormat="1" ht="40.15" hidden="1" customHeight="1">
      <c r="A644" s="10">
        <f t="shared" ca="1" si="1513"/>
        <v>2.0599999999999987</v>
      </c>
      <c r="B644" s="153"/>
      <c r="C644" s="154"/>
      <c r="D644" s="154"/>
      <c r="E644" s="161" t="s">
        <v>294</v>
      </c>
      <c r="F644" s="154"/>
      <c r="G644" s="154"/>
      <c r="H644" s="152"/>
      <c r="I644" s="152"/>
      <c r="J644" s="154"/>
      <c r="K644" s="154"/>
      <c r="L644" s="154"/>
      <c r="M644" s="154"/>
      <c r="N644" s="154"/>
      <c r="O644" s="154"/>
      <c r="P644" s="154"/>
      <c r="Q644" s="154"/>
      <c r="R644" s="154"/>
      <c r="S644" s="162"/>
      <c r="T644" s="162"/>
      <c r="U644" s="162"/>
      <c r="V644" s="162"/>
      <c r="W644" s="162"/>
      <c r="X644" s="163"/>
      <c r="Y644" s="163"/>
      <c r="Z644" s="163"/>
      <c r="AA644" s="163"/>
      <c r="AB644" s="163"/>
      <c r="AC644" s="163"/>
      <c r="AD644" s="164"/>
      <c r="AE644" s="148">
        <f>IF(SUM(S645:S646)&gt;0,IFERROR(TRUNC(A644,0),0),0)</f>
        <v>0</v>
      </c>
      <c r="AF644" s="149"/>
      <c r="AG644" s="150"/>
      <c r="AH644" s="159"/>
      <c r="AI644" s="160"/>
      <c r="AJ644" s="105"/>
      <c r="AK644" s="105"/>
      <c r="AM644" s="105"/>
      <c r="AN644" s="105"/>
      <c r="AO644" s="105"/>
      <c r="AP644" s="105"/>
      <c r="AQ644" s="105"/>
      <c r="AR644" s="105"/>
    </row>
    <row r="645" spans="1:44" s="49" customFormat="1" ht="40.15" hidden="1" customHeight="1">
      <c r="A645" s="152">
        <f t="shared" ca="1" si="1513"/>
        <v>2.0599999999999987</v>
      </c>
      <c r="B645" s="153">
        <v>100947</v>
      </c>
      <c r="C645" s="154" t="str">
        <f>TEXT(B645,"0")</f>
        <v>100947</v>
      </c>
      <c r="D645" s="154" t="s">
        <v>1416</v>
      </c>
      <c r="E645" s="155" t="s">
        <v>385</v>
      </c>
      <c r="F645" s="154">
        <f>IF(Dados_DMT!$B$35&lt;30,Dados_DMT!$B$35,30)</f>
        <v>0</v>
      </c>
      <c r="G645" s="154" t="s">
        <v>3534</v>
      </c>
      <c r="H645" s="152">
        <v>2.15</v>
      </c>
      <c r="I645" s="152">
        <v>2.13</v>
      </c>
      <c r="J645" s="156"/>
      <c r="K645" s="156">
        <f>ROUND(Recap_Previo!H128*F645,2)</f>
        <v>0</v>
      </c>
      <c r="L645" s="156">
        <f>IF($K645&gt;$J645,$K645-$J645,0)</f>
        <v>0</v>
      </c>
      <c r="M645" s="156">
        <f>IF($K645&lt;$J645,$J645-$K645,0)</f>
        <v>0</v>
      </c>
      <c r="N645" s="156" t="s">
        <v>83</v>
      </c>
      <c r="O645" s="157" cm="1">
        <f t="array" ref="O645">TRUNC($H645*(1+_xlfn.SWITCH($N645,"BDI 1",$O$6,"BDI 2",$O$7,"BDI 3",$O$8)),2)</f>
        <v>2.59</v>
      </c>
      <c r="P645" s="157" cm="1">
        <f t="array" ref="P645">TRUNC($I645*(1+_xlfn.SWITCH($N645,"BDI 1",$P$6,"BDI 2",$P$7,"BDI 3",$P$8)),2)</f>
        <v>2.69</v>
      </c>
      <c r="Q645" s="157">
        <v>0</v>
      </c>
      <c r="R645" s="157">
        <v>0</v>
      </c>
      <c r="S645" s="156">
        <f>TRUNC($K645*$O645,2)</f>
        <v>0</v>
      </c>
      <c r="T645" s="156">
        <f>TRUNC($K645*$P645,2)</f>
        <v>0</v>
      </c>
      <c r="U645" s="156">
        <f>TRUNC($J645*$R645,2)</f>
        <v>0</v>
      </c>
      <c r="V645" s="156">
        <f>TRUNC($K645*$Q645,2)</f>
        <v>0</v>
      </c>
      <c r="W645" s="156">
        <f>TRUNC(V645-U645,2)</f>
        <v>0</v>
      </c>
      <c r="X645" s="158">
        <f>$S645/ORCAMENTO_VALOR_TOTAL_ND</f>
        <v>0</v>
      </c>
      <c r="Y645" s="158">
        <f>$T645/ORCAMENTO_VALOR_TOTAL_DE</f>
        <v>0</v>
      </c>
      <c r="Z645" s="158" cm="1">
        <f t="array" ref="Z645">_xlfn.SWITCH($N645,"BDI 1",$O$6,"BDI 2",$O$7,"BDI 3",$O$8)</f>
        <v>0.20699999999999999</v>
      </c>
      <c r="AA645" s="158" cm="1">
        <f t="array" ref="AA645">_xlfn.SWITCH($N645,"BDI 1",$P$6,"BDI 2",$P$7,"BDI 3",$P$8)</f>
        <v>0.26739999999999997</v>
      </c>
      <c r="AB645" s="158">
        <f ca="1">IFERROR($S645/_xlfn.XLOOKUP($AE645,$B$16:$B$38,$S$16:$S$38),0)</f>
        <v>0</v>
      </c>
      <c r="AC645" s="158">
        <f ca="1">IFERROR($T645/_xlfn.XLOOKUP($AE645,$B$16:$B$38,$T$16:$T$38),0)</f>
        <v>0</v>
      </c>
      <c r="AD645" s="164"/>
      <c r="AE645" s="148">
        <f t="shared" ref="AE645:AE646" si="1517">IF(S645&gt;0,IFERROR(TRUNC(A645,0),0),0)</f>
        <v>0</v>
      </c>
      <c r="AF645" s="149"/>
      <c r="AG645" s="150"/>
      <c r="AH645" s="159">
        <f>S645/$S$571</f>
        <v>0</v>
      </c>
      <c r="AI645" s="160"/>
      <c r="AJ645" s="105"/>
      <c r="AK645" s="105"/>
      <c r="AM645" s="105"/>
      <c r="AN645" s="105"/>
      <c r="AO645" s="105"/>
      <c r="AP645" s="105"/>
      <c r="AQ645" s="105"/>
      <c r="AR645" s="105"/>
    </row>
    <row r="646" spans="1:44" s="49" customFormat="1" ht="40.15" hidden="1" customHeight="1">
      <c r="A646" s="152">
        <f t="shared" ca="1" si="1513"/>
        <v>2.0599999999999987</v>
      </c>
      <c r="B646" s="153">
        <v>100948</v>
      </c>
      <c r="C646" s="154" t="str">
        <f>TEXT(B646,"0")</f>
        <v>100948</v>
      </c>
      <c r="D646" s="154" t="s">
        <v>1416</v>
      </c>
      <c r="E646" s="155" t="s">
        <v>3615</v>
      </c>
      <c r="F646" s="154">
        <f>+Dados_DMT!$B$35-F645</f>
        <v>0</v>
      </c>
      <c r="G646" s="154" t="s">
        <v>3534</v>
      </c>
      <c r="H646" s="152">
        <v>0.85</v>
      </c>
      <c r="I646" s="152">
        <v>0.84</v>
      </c>
      <c r="J646" s="156"/>
      <c r="K646" s="156">
        <f>ROUND(Recap_Previo!H128*F646,2)</f>
        <v>0</v>
      </c>
      <c r="L646" s="156">
        <f>IF($K646&gt;$J646,$K646-$J646,0)</f>
        <v>0</v>
      </c>
      <c r="M646" s="156">
        <f>IF($K646&lt;$J646,$J646-$K646,0)</f>
        <v>0</v>
      </c>
      <c r="N646" s="156" t="s">
        <v>83</v>
      </c>
      <c r="O646" s="157" cm="1">
        <f t="array" ref="O646">TRUNC($H646*(1+_xlfn.SWITCH($N646,"BDI 1",$O$6,"BDI 2",$O$7,"BDI 3",$O$8)),2)</f>
        <v>1.02</v>
      </c>
      <c r="P646" s="157" cm="1">
        <f t="array" ref="P646">TRUNC($I646*(1+_xlfn.SWITCH($N646,"BDI 1",$P$6,"BDI 2",$P$7,"BDI 3",$P$8)),2)</f>
        <v>1.06</v>
      </c>
      <c r="Q646" s="157">
        <v>0</v>
      </c>
      <c r="R646" s="157">
        <v>0</v>
      </c>
      <c r="S646" s="156">
        <f>TRUNC($K646*$O646,2)</f>
        <v>0</v>
      </c>
      <c r="T646" s="156">
        <f>TRUNC($K646*$P646,2)</f>
        <v>0</v>
      </c>
      <c r="U646" s="156">
        <f>TRUNC($J646*$R646,2)</f>
        <v>0</v>
      </c>
      <c r="V646" s="156">
        <f>TRUNC($K646*$Q646,2)</f>
        <v>0</v>
      </c>
      <c r="W646" s="156">
        <f>TRUNC(V646-U646,2)</f>
        <v>0</v>
      </c>
      <c r="X646" s="158">
        <f>$S646/ORCAMENTO_VALOR_TOTAL_ND</f>
        <v>0</v>
      </c>
      <c r="Y646" s="158">
        <f>$T646/ORCAMENTO_VALOR_TOTAL_DE</f>
        <v>0</v>
      </c>
      <c r="Z646" s="158" cm="1">
        <f t="array" ref="Z646">_xlfn.SWITCH($N646,"BDI 1",$O$6,"BDI 2",$O$7,"BDI 3",$O$8)</f>
        <v>0.20699999999999999</v>
      </c>
      <c r="AA646" s="158" cm="1">
        <f t="array" ref="AA646">_xlfn.SWITCH($N646,"BDI 1",$P$6,"BDI 2",$P$7,"BDI 3",$P$8)</f>
        <v>0.26739999999999997</v>
      </c>
      <c r="AB646" s="158">
        <f ca="1">IFERROR($S646/_xlfn.XLOOKUP($AE646,$B$16:$B$38,$S$16:$S$38),0)</f>
        <v>0</v>
      </c>
      <c r="AC646" s="158">
        <f ca="1">IFERROR($T646/_xlfn.XLOOKUP($AE646,$B$16:$B$38,$T$16:$T$38),0)</f>
        <v>0</v>
      </c>
      <c r="AD646" s="164"/>
      <c r="AE646" s="148">
        <f t="shared" si="1517"/>
        <v>0</v>
      </c>
      <c r="AF646" s="149"/>
      <c r="AG646" s="150"/>
      <c r="AH646" s="159">
        <f>S646/$S$571</f>
        <v>0</v>
      </c>
      <c r="AI646" s="160"/>
      <c r="AJ646" s="105"/>
      <c r="AK646" s="105"/>
      <c r="AM646" s="105"/>
      <c r="AN646" s="105"/>
      <c r="AO646" s="105"/>
      <c r="AP646" s="105"/>
      <c r="AQ646" s="105"/>
      <c r="AR646" s="105"/>
    </row>
    <row r="647" spans="1:44" s="49" customFormat="1" ht="40.15" hidden="1" customHeight="1">
      <c r="A647" s="10">
        <f t="shared" ca="1" si="1513"/>
        <v>2.0599999999999987</v>
      </c>
      <c r="B647" s="153"/>
      <c r="C647" s="154"/>
      <c r="D647" s="154"/>
      <c r="E647" s="161" t="s">
        <v>269</v>
      </c>
      <c r="F647" s="154"/>
      <c r="G647" s="154"/>
      <c r="H647" s="152"/>
      <c r="I647" s="152"/>
      <c r="J647" s="154"/>
      <c r="K647" s="154"/>
      <c r="L647" s="154"/>
      <c r="M647" s="154"/>
      <c r="N647" s="154"/>
      <c r="O647" s="154"/>
      <c r="P647" s="154"/>
      <c r="Q647" s="154"/>
      <c r="R647" s="154"/>
      <c r="S647" s="162"/>
      <c r="T647" s="162"/>
      <c r="U647" s="162"/>
      <c r="V647" s="162"/>
      <c r="W647" s="162"/>
      <c r="X647" s="163"/>
      <c r="Y647" s="163"/>
      <c r="Z647" s="163"/>
      <c r="AA647" s="163"/>
      <c r="AB647" s="163"/>
      <c r="AC647" s="163"/>
      <c r="AD647" s="164"/>
      <c r="AE647" s="148">
        <f>IF(SUM(S648:S649)&gt;0,IFERROR(TRUNC(A647,0),0),0)</f>
        <v>0</v>
      </c>
      <c r="AF647" s="149"/>
      <c r="AG647" s="150"/>
      <c r="AH647" s="159"/>
      <c r="AI647" s="160"/>
      <c r="AJ647" s="105"/>
      <c r="AK647" s="105"/>
      <c r="AM647" s="105"/>
      <c r="AN647" s="105"/>
      <c r="AO647" s="105"/>
      <c r="AP647" s="105"/>
      <c r="AQ647" s="105"/>
      <c r="AR647" s="105"/>
    </row>
    <row r="648" spans="1:44" s="49" customFormat="1" ht="40.15" hidden="1" customHeight="1">
      <c r="A648" s="152">
        <f t="shared" ca="1" si="1513"/>
        <v>2.0599999999999987</v>
      </c>
      <c r="B648" s="153">
        <v>95879</v>
      </c>
      <c r="C648" s="154" t="str">
        <f>TEXT(B648,"0")</f>
        <v>95879</v>
      </c>
      <c r="D648" s="154" t="s">
        <v>1416</v>
      </c>
      <c r="E648" s="155" t="s">
        <v>3535</v>
      </c>
      <c r="F648" s="154">
        <f>IF(Dados_DMT!$B$31&lt;30,Dados_DMT!$B$31,30)</f>
        <v>0</v>
      </c>
      <c r="G648" s="154" t="s">
        <v>3534</v>
      </c>
      <c r="H648" s="152">
        <v>1.41</v>
      </c>
      <c r="I648" s="152">
        <v>1.42</v>
      </c>
      <c r="J648" s="156"/>
      <c r="K648" s="156">
        <f>ROUND(Recap_Previo!H143*F648,2)</f>
        <v>0</v>
      </c>
      <c r="L648" s="156">
        <f>IF($K648&gt;$J648,$K648-$J648,0)</f>
        <v>0</v>
      </c>
      <c r="M648" s="156">
        <f>IF($K648&lt;$J648,$J648-$K648,0)</f>
        <v>0</v>
      </c>
      <c r="N648" s="156" t="s">
        <v>83</v>
      </c>
      <c r="O648" s="157" cm="1">
        <f t="array" ref="O648">TRUNC($H648*(1+_xlfn.SWITCH($N648,"BDI 1",$O$6,"BDI 2",$O$7,"BDI 3",$O$8)),2)</f>
        <v>1.7</v>
      </c>
      <c r="P648" s="157" cm="1">
        <f t="array" ref="P648">TRUNC($I648*(1+_xlfn.SWITCH($N648,"BDI 1",$P$6,"BDI 2",$P$7,"BDI 3",$P$8)),2)</f>
        <v>1.79</v>
      </c>
      <c r="Q648" s="157">
        <v>0</v>
      </c>
      <c r="R648" s="157">
        <v>0</v>
      </c>
      <c r="S648" s="156">
        <f>TRUNC($K648*$O648,2)</f>
        <v>0</v>
      </c>
      <c r="T648" s="156">
        <f>TRUNC($K648*$P648,2)</f>
        <v>0</v>
      </c>
      <c r="U648" s="156">
        <f>TRUNC($J648*$R648,2)</f>
        <v>0</v>
      </c>
      <c r="V648" s="156">
        <f>TRUNC($K648*$Q648,2)</f>
        <v>0</v>
      </c>
      <c r="W648" s="156">
        <f>TRUNC(V648-U648,2)</f>
        <v>0</v>
      </c>
      <c r="X648" s="158">
        <f>$S648/ORCAMENTO_VALOR_TOTAL_ND</f>
        <v>0</v>
      </c>
      <c r="Y648" s="158">
        <f>$T648/ORCAMENTO_VALOR_TOTAL_DE</f>
        <v>0</v>
      </c>
      <c r="Z648" s="158" cm="1">
        <f t="array" ref="Z648">_xlfn.SWITCH($N648,"BDI 1",$O$6,"BDI 2",$O$7,"BDI 3",$O$8)</f>
        <v>0.20699999999999999</v>
      </c>
      <c r="AA648" s="158" cm="1">
        <f t="array" ref="AA648">_xlfn.SWITCH($N648,"BDI 1",$P$6,"BDI 2",$P$7,"BDI 3",$P$8)</f>
        <v>0.26739999999999997</v>
      </c>
      <c r="AB648" s="158">
        <f ca="1">IFERROR($S648/_xlfn.XLOOKUP($AE648,$B$16:$B$38,$S$16:$S$38),0)</f>
        <v>0</v>
      </c>
      <c r="AC648" s="158">
        <f ca="1">IFERROR($T648/_xlfn.XLOOKUP($AE648,$B$16:$B$38,$T$16:$T$38),0)</f>
        <v>0</v>
      </c>
      <c r="AD648" s="164"/>
      <c r="AE648" s="148">
        <f t="shared" ref="AE648:AE649" si="1518">IF(S648&gt;0,IFERROR(TRUNC(A648,0),0),0)</f>
        <v>0</v>
      </c>
      <c r="AF648" s="149"/>
      <c r="AG648" s="150"/>
      <c r="AH648" s="159">
        <f>S648/$S$571</f>
        <v>0</v>
      </c>
      <c r="AI648" s="166">
        <f>IF(K648=0,0,K648/F648)</f>
        <v>0</v>
      </c>
      <c r="AJ648" s="105"/>
      <c r="AK648" s="105"/>
      <c r="AM648" s="105"/>
      <c r="AN648" s="105"/>
      <c r="AO648" s="105"/>
      <c r="AP648" s="105"/>
      <c r="AQ648" s="105"/>
      <c r="AR648" s="105"/>
    </row>
    <row r="649" spans="1:44" s="49" customFormat="1" ht="40.15" hidden="1" customHeight="1">
      <c r="A649" s="152">
        <f t="shared" ca="1" si="1513"/>
        <v>2.0599999999999987</v>
      </c>
      <c r="B649" s="153">
        <v>93599</v>
      </c>
      <c r="C649" s="154" t="str">
        <f>TEXT(B649,"0")</f>
        <v>93599</v>
      </c>
      <c r="D649" s="154" t="s">
        <v>1416</v>
      </c>
      <c r="E649" s="155" t="s">
        <v>3533</v>
      </c>
      <c r="F649" s="154">
        <f>+Dados_DMT!$B$31-F648</f>
        <v>0</v>
      </c>
      <c r="G649" s="154" t="s">
        <v>3534</v>
      </c>
      <c r="H649" s="152">
        <v>0.56000000000000005</v>
      </c>
      <c r="I649" s="152">
        <v>0.56000000000000005</v>
      </c>
      <c r="J649" s="156"/>
      <c r="K649" s="156">
        <f>ROUND(Recap_Previo!H143*F649,2)</f>
        <v>0</v>
      </c>
      <c r="L649" s="156">
        <f>IF($K649&gt;$J649,$K649-$J649,0)</f>
        <v>0</v>
      </c>
      <c r="M649" s="156">
        <f>IF($K649&lt;$J649,$J649-$K649,0)</f>
        <v>0</v>
      </c>
      <c r="N649" s="156" t="s">
        <v>83</v>
      </c>
      <c r="O649" s="157" cm="1">
        <f t="array" ref="O649">TRUNC($H649*(1+_xlfn.SWITCH($N649,"BDI 1",$O$6,"BDI 2",$O$7,"BDI 3",$O$8)),2)</f>
        <v>0.67</v>
      </c>
      <c r="P649" s="157" cm="1">
        <f t="array" ref="P649">TRUNC($I649*(1+_xlfn.SWITCH($N649,"BDI 1",$P$6,"BDI 2",$P$7,"BDI 3",$P$8)),2)</f>
        <v>0.7</v>
      </c>
      <c r="Q649" s="157">
        <v>0</v>
      </c>
      <c r="R649" s="157">
        <v>0</v>
      </c>
      <c r="S649" s="156">
        <f>TRUNC($K649*$O649,2)</f>
        <v>0</v>
      </c>
      <c r="T649" s="156">
        <f>TRUNC($K649*$P649,2)</f>
        <v>0</v>
      </c>
      <c r="U649" s="156">
        <f>TRUNC($J649*$R649,2)</f>
        <v>0</v>
      </c>
      <c r="V649" s="156">
        <f>TRUNC($K649*$Q649,2)</f>
        <v>0</v>
      </c>
      <c r="W649" s="156">
        <f>TRUNC(V649-U649,2)</f>
        <v>0</v>
      </c>
      <c r="X649" s="158">
        <f>$S649/ORCAMENTO_VALOR_TOTAL_ND</f>
        <v>0</v>
      </c>
      <c r="Y649" s="158">
        <f>$T649/ORCAMENTO_VALOR_TOTAL_DE</f>
        <v>0</v>
      </c>
      <c r="Z649" s="158" cm="1">
        <f t="array" ref="Z649">_xlfn.SWITCH($N649,"BDI 1",$O$6,"BDI 2",$O$7,"BDI 3",$O$8)</f>
        <v>0.20699999999999999</v>
      </c>
      <c r="AA649" s="158" cm="1">
        <f t="array" ref="AA649">_xlfn.SWITCH($N649,"BDI 1",$P$6,"BDI 2",$P$7,"BDI 3",$P$8)</f>
        <v>0.26739999999999997</v>
      </c>
      <c r="AB649" s="158">
        <f ca="1">IFERROR($S649/_xlfn.XLOOKUP($AE649,$B$16:$B$38,$S$16:$S$38),0)</f>
        <v>0</v>
      </c>
      <c r="AC649" s="158">
        <f ca="1">IFERROR($T649/_xlfn.XLOOKUP($AE649,$B$16:$B$38,$T$16:$T$38),0)</f>
        <v>0</v>
      </c>
      <c r="AD649" s="164"/>
      <c r="AE649" s="148">
        <f t="shared" si="1518"/>
        <v>0</v>
      </c>
      <c r="AF649" s="149"/>
      <c r="AG649" s="150"/>
      <c r="AH649" s="159">
        <f>S649/$S$571</f>
        <v>0</v>
      </c>
      <c r="AI649" s="166">
        <f>IF(K649=0,0,K649/F649)</f>
        <v>0</v>
      </c>
      <c r="AJ649" s="105"/>
      <c r="AK649" s="105"/>
      <c r="AM649" s="105"/>
      <c r="AN649" s="105"/>
      <c r="AO649" s="105"/>
      <c r="AP649" s="105"/>
      <c r="AQ649" s="105"/>
      <c r="AR649" s="105"/>
    </row>
    <row r="650" spans="1:44" s="49" customFormat="1" ht="24.95" customHeight="1">
      <c r="A650" s="10">
        <f t="shared" ca="1" si="1513"/>
        <v>2.0599999999999987</v>
      </c>
      <c r="B650" s="153"/>
      <c r="C650" s="154"/>
      <c r="D650" s="154"/>
      <c r="E650" s="161" t="s">
        <v>270</v>
      </c>
      <c r="F650" s="154"/>
      <c r="G650" s="154"/>
      <c r="H650" s="152"/>
      <c r="I650" s="152"/>
      <c r="J650" s="154"/>
      <c r="K650" s="154"/>
      <c r="L650" s="154"/>
      <c r="M650" s="154"/>
      <c r="N650" s="154"/>
      <c r="O650" s="154"/>
      <c r="P650" s="154"/>
      <c r="Q650" s="154"/>
      <c r="R650" s="154"/>
      <c r="S650" s="162"/>
      <c r="T650" s="162"/>
      <c r="U650" s="162"/>
      <c r="V650" s="162"/>
      <c r="W650" s="162"/>
      <c r="X650" s="163"/>
      <c r="Y650" s="163"/>
      <c r="Z650" s="163"/>
      <c r="AA650" s="163"/>
      <c r="AB650" s="163"/>
      <c r="AC650" s="163"/>
      <c r="AD650" s="164"/>
      <c r="AE650" s="148">
        <f ca="1">IF(SUM(S651:S652)&gt;0,IFERROR(TRUNC(A650,0),0),0)</f>
        <v>2</v>
      </c>
      <c r="AF650" s="149"/>
      <c r="AG650" s="150"/>
      <c r="AH650" s="159"/>
      <c r="AI650" s="160"/>
      <c r="AJ650" s="105"/>
      <c r="AK650" s="105"/>
      <c r="AM650" s="105"/>
      <c r="AN650" s="105"/>
      <c r="AO650" s="105"/>
      <c r="AP650" s="105"/>
      <c r="AQ650" s="105"/>
      <c r="AR650" s="105"/>
    </row>
    <row r="651" spans="1:44" s="49" customFormat="1" ht="40.15" customHeight="1">
      <c r="A651" s="152">
        <f t="shared" ca="1" si="1513"/>
        <v>2.0699999999999985</v>
      </c>
      <c r="B651" s="153">
        <v>95879</v>
      </c>
      <c r="C651" s="154" t="str">
        <f>TEXT(B651,"0")</f>
        <v>95879</v>
      </c>
      <c r="D651" s="154" t="s">
        <v>1416</v>
      </c>
      <c r="E651" s="155" t="s">
        <v>3535</v>
      </c>
      <c r="F651" s="154">
        <f>IF(Dados_DMT!$B$30&lt;30,Dados_DMT!$B$30,30)</f>
        <v>30</v>
      </c>
      <c r="G651" s="154" t="s">
        <v>3534</v>
      </c>
      <c r="H651" s="152">
        <v>1.41</v>
      </c>
      <c r="I651" s="152">
        <v>1.42</v>
      </c>
      <c r="J651" s="156"/>
      <c r="K651" s="156">
        <f>ROUND(Recap_Previo!H142*F651,2)</f>
        <v>59460.3</v>
      </c>
      <c r="L651" s="156">
        <f>IF($K651&gt;$J651,$K651-$J651,0)</f>
        <v>59460.3</v>
      </c>
      <c r="M651" s="156">
        <f>IF($K651&lt;$J651,$J651-$K651,0)</f>
        <v>0</v>
      </c>
      <c r="N651" s="156" t="s">
        <v>83</v>
      </c>
      <c r="O651" s="157" cm="1">
        <f t="array" ref="O651">TRUNC($H651*(1+_xlfn.SWITCH($N651,"BDI 1",$O$6,"BDI 2",$O$7,"BDI 3",$O$8)),2)</f>
        <v>1.7</v>
      </c>
      <c r="P651" s="157" cm="1">
        <f t="array" ref="P651">TRUNC($I651*(1+_xlfn.SWITCH($N651,"BDI 1",$P$6,"BDI 2",$P$7,"BDI 3",$P$8)),2)</f>
        <v>1.79</v>
      </c>
      <c r="Q651" s="157">
        <v>0</v>
      </c>
      <c r="R651" s="157">
        <v>0</v>
      </c>
      <c r="S651" s="156">
        <f>TRUNC($K651*$O651,2)</f>
        <v>101082.51</v>
      </c>
      <c r="T651" s="156">
        <f>TRUNC($K651*$P651,2)</f>
        <v>106433.93</v>
      </c>
      <c r="U651" s="156">
        <f>TRUNC($J651*$R651,2)</f>
        <v>0</v>
      </c>
      <c r="V651" s="156">
        <f>TRUNC($K651*$Q651,2)</f>
        <v>0</v>
      </c>
      <c r="W651" s="156">
        <f>TRUNC(V651-U651,2)</f>
        <v>0</v>
      </c>
      <c r="X651" s="158">
        <f>$S651/ORCAMENTO_VALOR_TOTAL_ND</f>
        <v>3.268687301647541E-2</v>
      </c>
      <c r="Y651" s="158">
        <f>$T651/ORCAMENTO_VALOR_TOTAL_DE</f>
        <v>3.1293066805005355E-2</v>
      </c>
      <c r="Z651" s="158" cm="1">
        <f t="array" ref="Z651">_xlfn.SWITCH($N651,"BDI 1",$O$6,"BDI 2",$O$7,"BDI 3",$O$8)</f>
        <v>0.20699999999999999</v>
      </c>
      <c r="AA651" s="158" cm="1">
        <f t="array" ref="AA651">_xlfn.SWITCH($N651,"BDI 1",$P$6,"BDI 2",$P$7,"BDI 3",$P$8)</f>
        <v>0.26739999999999997</v>
      </c>
      <c r="AB651" s="158">
        <f ca="1">IFERROR($S651/_xlfn.XLOOKUP($AE651,$B$16:$B$38,$S$16:$S$38),0)</f>
        <v>0</v>
      </c>
      <c r="AC651" s="158">
        <f ca="1">IFERROR($T651/_xlfn.XLOOKUP($AE651,$B$16:$B$38,$T$16:$T$38),0)</f>
        <v>0</v>
      </c>
      <c r="AD651" s="164"/>
      <c r="AE651" s="148">
        <f t="shared" ref="AE651:AE652" ca="1" si="1519">IF(S651&gt;0,IFERROR(TRUNC(A651,0),0),0)</f>
        <v>2</v>
      </c>
      <c r="AF651" s="149"/>
      <c r="AG651" s="150"/>
      <c r="AH651" s="159">
        <f>S651/$S$571</f>
        <v>3.4977164696655391E-2</v>
      </c>
      <c r="AI651" s="209">
        <f>IF(K651=0,0,K651/F651)</f>
        <v>1982.01</v>
      </c>
      <c r="AJ651" s="105"/>
      <c r="AK651" s="105"/>
      <c r="AM651" s="105"/>
      <c r="AN651" s="105"/>
      <c r="AO651" s="105"/>
      <c r="AP651" s="105"/>
      <c r="AQ651" s="105"/>
      <c r="AR651" s="105"/>
    </row>
    <row r="652" spans="1:44" s="49" customFormat="1" ht="40.15" customHeight="1">
      <c r="A652" s="152">
        <f t="shared" ca="1" si="1513"/>
        <v>2.0799999999999983</v>
      </c>
      <c r="B652" s="153">
        <v>93599</v>
      </c>
      <c r="C652" s="154" t="str">
        <f>TEXT(B652,"0")</f>
        <v>93599</v>
      </c>
      <c r="D652" s="154" t="s">
        <v>1416</v>
      </c>
      <c r="E652" s="155" t="s">
        <v>3533</v>
      </c>
      <c r="F652" s="154">
        <f>+Dados_DMT!$B$30-F651</f>
        <v>80</v>
      </c>
      <c r="G652" s="154" t="s">
        <v>3534</v>
      </c>
      <c r="H652" s="152">
        <v>0.56000000000000005</v>
      </c>
      <c r="I652" s="152">
        <v>0.56000000000000005</v>
      </c>
      <c r="J652" s="156"/>
      <c r="K652" s="156">
        <f>ROUND(Recap_Previo!H142*F652,2)</f>
        <v>158560.79999999999</v>
      </c>
      <c r="L652" s="156">
        <f>IF($K652&gt;$J652,$K652-$J652,0)</f>
        <v>158560.79999999999</v>
      </c>
      <c r="M652" s="156">
        <f>IF($K652&lt;$J652,$J652-$K652,0)</f>
        <v>0</v>
      </c>
      <c r="N652" s="156" t="s">
        <v>83</v>
      </c>
      <c r="O652" s="157" cm="1">
        <f t="array" ref="O652">TRUNC($H652*(1+_xlfn.SWITCH($N652,"BDI 1",$O$6,"BDI 2",$O$7,"BDI 3",$O$8)),2)</f>
        <v>0.67</v>
      </c>
      <c r="P652" s="157" cm="1">
        <f t="array" ref="P652">TRUNC($I652*(1+_xlfn.SWITCH($N652,"BDI 1",$P$6,"BDI 2",$P$7,"BDI 3",$P$8)),2)</f>
        <v>0.7</v>
      </c>
      <c r="Q652" s="157">
        <v>0</v>
      </c>
      <c r="R652" s="157">
        <v>0</v>
      </c>
      <c r="S652" s="156">
        <f>TRUNC($K652*$O652,2)</f>
        <v>106235.73</v>
      </c>
      <c r="T652" s="156">
        <f>TRUNC($K652*$P652,2)</f>
        <v>110992.56</v>
      </c>
      <c r="U652" s="156">
        <f>TRUNC($J652*$R652,2)</f>
        <v>0</v>
      </c>
      <c r="V652" s="156">
        <f>TRUNC($K652*$Q652,2)</f>
        <v>0</v>
      </c>
      <c r="W652" s="156">
        <f>TRUNC(V652-U652,2)</f>
        <v>0</v>
      </c>
      <c r="X652" s="158">
        <f>$S652/ORCAMENTO_VALOR_TOTAL_ND</f>
        <v>3.4353260681027481E-2</v>
      </c>
      <c r="Y652" s="158">
        <f>$T652/ORCAMENTO_VALOR_TOTAL_DE</f>
        <v>3.263336790193283E-2</v>
      </c>
      <c r="Z652" s="158" cm="1">
        <f t="array" ref="Z652">_xlfn.SWITCH($N652,"BDI 1",$O$6,"BDI 2",$O$7,"BDI 3",$O$8)</f>
        <v>0.20699999999999999</v>
      </c>
      <c r="AA652" s="158" cm="1">
        <f t="array" ref="AA652">_xlfn.SWITCH($N652,"BDI 1",$P$6,"BDI 2",$P$7,"BDI 3",$P$8)</f>
        <v>0.26739999999999997</v>
      </c>
      <c r="AB652" s="158">
        <f ca="1">IFERROR($S652/_xlfn.XLOOKUP($AE652,$B$16:$B$38,$S$16:$S$38),0)</f>
        <v>0</v>
      </c>
      <c r="AC652" s="158">
        <f ca="1">IFERROR($T652/_xlfn.XLOOKUP($AE652,$B$16:$B$38,$T$16:$T$38),0)</f>
        <v>0</v>
      </c>
      <c r="AD652" s="164"/>
      <c r="AE652" s="148">
        <f t="shared" ca="1" si="1519"/>
        <v>2</v>
      </c>
      <c r="AF652" s="149"/>
      <c r="AG652" s="150"/>
      <c r="AH652" s="159">
        <f>S652/$S$571</f>
        <v>3.6760312193270771E-2</v>
      </c>
      <c r="AI652" s="209">
        <f>IF(K652=0,0,K652/F652)</f>
        <v>1982.0099999999998</v>
      </c>
      <c r="AJ652" s="105"/>
      <c r="AK652" s="105"/>
      <c r="AM652" s="105"/>
      <c r="AN652" s="105"/>
      <c r="AO652" s="105"/>
      <c r="AP652" s="105"/>
      <c r="AQ652" s="105"/>
      <c r="AR652" s="105"/>
    </row>
    <row r="653" spans="1:44" s="49" customFormat="1" ht="40.15" hidden="1" customHeight="1">
      <c r="A653" s="10">
        <f t="shared" ca="1" si="1513"/>
        <v>2.0799999999999983</v>
      </c>
      <c r="B653" s="153"/>
      <c r="C653" s="154"/>
      <c r="D653" s="154"/>
      <c r="E653" s="161" t="s">
        <v>271</v>
      </c>
      <c r="F653" s="154"/>
      <c r="G653" s="154"/>
      <c r="H653" s="152"/>
      <c r="I653" s="152"/>
      <c r="J653" s="154"/>
      <c r="K653" s="154"/>
      <c r="L653" s="154"/>
      <c r="M653" s="154"/>
      <c r="N653" s="154"/>
      <c r="O653" s="154"/>
      <c r="P653" s="154"/>
      <c r="Q653" s="154"/>
      <c r="R653" s="154"/>
      <c r="S653" s="162"/>
      <c r="T653" s="162"/>
      <c r="U653" s="162"/>
      <c r="V653" s="162"/>
      <c r="W653" s="162"/>
      <c r="X653" s="163"/>
      <c r="Y653" s="163"/>
      <c r="Z653" s="163"/>
      <c r="AA653" s="163"/>
      <c r="AB653" s="163"/>
      <c r="AC653" s="163"/>
      <c r="AD653" s="164"/>
      <c r="AE653" s="148">
        <f>IF(SUM(S654:S655)&gt;0,IFERROR(TRUNC(A653,0),0),0)</f>
        <v>0</v>
      </c>
      <c r="AF653" s="149"/>
      <c r="AG653" s="150"/>
      <c r="AH653" s="159"/>
      <c r="AI653" s="160"/>
      <c r="AJ653" s="105"/>
      <c r="AK653" s="105"/>
      <c r="AM653" s="105"/>
      <c r="AN653" s="105"/>
      <c r="AO653" s="105"/>
      <c r="AP653" s="105"/>
      <c r="AQ653" s="105"/>
      <c r="AR653" s="105"/>
    </row>
    <row r="654" spans="1:44" s="49" customFormat="1" ht="40.15" hidden="1" customHeight="1">
      <c r="A654" s="152">
        <f t="shared" ca="1" si="1513"/>
        <v>2.0799999999999983</v>
      </c>
      <c r="B654" s="153">
        <v>102332</v>
      </c>
      <c r="C654" s="154" t="str">
        <f>TEXT(B654,"0")</f>
        <v>102332</v>
      </c>
      <c r="D654" s="154" t="s">
        <v>1416</v>
      </c>
      <c r="E654" s="155" t="s">
        <v>3547</v>
      </c>
      <c r="F654" s="154">
        <f>IF(Dados_DMT!$B$25&lt;30,Dados_DMT!$B$25,30)</f>
        <v>30</v>
      </c>
      <c r="G654" s="154" t="s">
        <v>3534</v>
      </c>
      <c r="H654" s="152">
        <v>1.79</v>
      </c>
      <c r="I654" s="152">
        <v>1.81</v>
      </c>
      <c r="J654" s="156"/>
      <c r="K654" s="156">
        <f>IF(B597="PA/0025",0,ROUND(Recap_Previo!H139*F654,2))</f>
        <v>0</v>
      </c>
      <c r="L654" s="156">
        <f>IF($K654&gt;$J654,$K654-$J654,0)</f>
        <v>0</v>
      </c>
      <c r="M654" s="156">
        <f>IF($K654&lt;$J654,$J654-$K654,0)</f>
        <v>0</v>
      </c>
      <c r="N654" s="156" t="s">
        <v>83</v>
      </c>
      <c r="O654" s="157" cm="1">
        <f t="array" ref="O654">TRUNC($H654*(1+_xlfn.SWITCH($N654,"BDI 1",$O$6,"BDI 2",$O$7,"BDI 3",$O$8)),2)</f>
        <v>2.16</v>
      </c>
      <c r="P654" s="157" cm="1">
        <f t="array" ref="P654">TRUNC($I654*(1+_xlfn.SWITCH($N654,"BDI 1",$P$6,"BDI 2",$P$7,"BDI 3",$P$8)),2)</f>
        <v>2.29</v>
      </c>
      <c r="Q654" s="157">
        <v>0</v>
      </c>
      <c r="R654" s="157">
        <v>0</v>
      </c>
      <c r="S654" s="156">
        <f>TRUNC($K654*$O654,2)</f>
        <v>0</v>
      </c>
      <c r="T654" s="156">
        <f>TRUNC($K654*$P654,2)</f>
        <v>0</v>
      </c>
      <c r="U654" s="156">
        <f>TRUNC($J654*$R654,2)</f>
        <v>0</v>
      </c>
      <c r="V654" s="156">
        <f>TRUNC($K654*$Q654,2)</f>
        <v>0</v>
      </c>
      <c r="W654" s="156">
        <f>TRUNC(V654-U654,2)</f>
        <v>0</v>
      </c>
      <c r="X654" s="158">
        <f>$S654/ORCAMENTO_VALOR_TOTAL_ND</f>
        <v>0</v>
      </c>
      <c r="Y654" s="158">
        <f>$T654/ORCAMENTO_VALOR_TOTAL_DE</f>
        <v>0</v>
      </c>
      <c r="Z654" s="158" cm="1">
        <f t="array" ref="Z654">_xlfn.SWITCH($N654,"BDI 1",$O$6,"BDI 2",$O$7,"BDI 3",$O$8)</f>
        <v>0.20699999999999999</v>
      </c>
      <c r="AA654" s="158" cm="1">
        <f t="array" ref="AA654">_xlfn.SWITCH($N654,"BDI 1",$P$6,"BDI 2",$P$7,"BDI 3",$P$8)</f>
        <v>0.26739999999999997</v>
      </c>
      <c r="AB654" s="158">
        <f ca="1">IFERROR($S654/_xlfn.XLOOKUP($AE654,$B$16:$B$38,$S$16:$S$38),0)</f>
        <v>0</v>
      </c>
      <c r="AC654" s="158">
        <f ca="1">IFERROR($T654/_xlfn.XLOOKUP($AE654,$B$16:$B$38,$T$16:$T$38),0)</f>
        <v>0</v>
      </c>
      <c r="AD654" s="164"/>
      <c r="AE654" s="148">
        <f t="shared" ref="AE654:AE655" si="1520">IF(S654&gt;0,IFERROR(TRUNC(A654,0),0),0)</f>
        <v>0</v>
      </c>
      <c r="AF654" s="149"/>
      <c r="AG654" s="150"/>
      <c r="AH654" s="159">
        <f>S654/$S$571</f>
        <v>0</v>
      </c>
      <c r="AI654" s="209">
        <f>IF(K654=0,0,K654/F654)</f>
        <v>0</v>
      </c>
      <c r="AJ654" s="105"/>
      <c r="AK654" s="105"/>
      <c r="AM654" s="105"/>
      <c r="AN654" s="105"/>
      <c r="AO654" s="105"/>
      <c r="AP654" s="105"/>
      <c r="AQ654" s="105"/>
      <c r="AR654" s="105"/>
    </row>
    <row r="655" spans="1:44" s="49" customFormat="1" ht="40.15" hidden="1" customHeight="1">
      <c r="A655" s="152">
        <f t="shared" ca="1" si="1513"/>
        <v>2.0799999999999983</v>
      </c>
      <c r="B655" s="153">
        <v>102333</v>
      </c>
      <c r="C655" s="154" t="str">
        <f>TEXT(B655,"0")</f>
        <v>102333</v>
      </c>
      <c r="D655" s="154" t="s">
        <v>1416</v>
      </c>
      <c r="E655" s="155" t="s">
        <v>3546</v>
      </c>
      <c r="F655" s="154">
        <f>+Dados_DMT!$B$25-F654</f>
        <v>80</v>
      </c>
      <c r="G655" s="154" t="s">
        <v>3534</v>
      </c>
      <c r="H655" s="152">
        <v>0.72</v>
      </c>
      <c r="I655" s="152">
        <v>0.73</v>
      </c>
      <c r="J655" s="156"/>
      <c r="K655" s="156">
        <f>IF(B597="PA/0025",0,ROUND(Recap_Previo!H139*F655,2))</f>
        <v>0</v>
      </c>
      <c r="L655" s="156">
        <f>IF($K655&gt;$J655,$K655-$J655,0)</f>
        <v>0</v>
      </c>
      <c r="M655" s="156">
        <f>IF($K655&lt;$J655,$J655-$K655,0)</f>
        <v>0</v>
      </c>
      <c r="N655" s="156" t="s">
        <v>83</v>
      </c>
      <c r="O655" s="157" cm="1">
        <f t="array" ref="O655">TRUNC($H655*(1+_xlfn.SWITCH($N655,"BDI 1",$O$6,"BDI 2",$O$7,"BDI 3",$O$8)),2)</f>
        <v>0.86</v>
      </c>
      <c r="P655" s="157" cm="1">
        <f t="array" ref="P655">TRUNC($I655*(1+_xlfn.SWITCH($N655,"BDI 1",$P$6,"BDI 2",$P$7,"BDI 3",$P$8)),2)</f>
        <v>0.92</v>
      </c>
      <c r="Q655" s="157">
        <v>0</v>
      </c>
      <c r="R655" s="157">
        <v>0</v>
      </c>
      <c r="S655" s="156">
        <f>TRUNC($K655*$O655,2)</f>
        <v>0</v>
      </c>
      <c r="T655" s="156">
        <f>TRUNC($K655*$P655,2)</f>
        <v>0</v>
      </c>
      <c r="U655" s="156">
        <f>TRUNC($J655*$R655,2)</f>
        <v>0</v>
      </c>
      <c r="V655" s="156">
        <f>TRUNC($K655*$Q655,2)</f>
        <v>0</v>
      </c>
      <c r="W655" s="156">
        <f>TRUNC(V655-U655,2)</f>
        <v>0</v>
      </c>
      <c r="X655" s="158">
        <f>$S655/ORCAMENTO_VALOR_TOTAL_ND</f>
        <v>0</v>
      </c>
      <c r="Y655" s="158">
        <f>$T655/ORCAMENTO_VALOR_TOTAL_DE</f>
        <v>0</v>
      </c>
      <c r="Z655" s="158" cm="1">
        <f t="array" ref="Z655">_xlfn.SWITCH($N655,"BDI 1",$O$6,"BDI 2",$O$7,"BDI 3",$O$8)</f>
        <v>0.20699999999999999</v>
      </c>
      <c r="AA655" s="158" cm="1">
        <f t="array" ref="AA655">_xlfn.SWITCH($N655,"BDI 1",$P$6,"BDI 2",$P$7,"BDI 3",$P$8)</f>
        <v>0.26739999999999997</v>
      </c>
      <c r="AB655" s="158">
        <f ca="1">IFERROR($S655/_xlfn.XLOOKUP($AE655,$B$16:$B$38,$S$16:$S$38),0)</f>
        <v>0</v>
      </c>
      <c r="AC655" s="158">
        <f ca="1">IFERROR($T655/_xlfn.XLOOKUP($AE655,$B$16:$B$38,$T$16:$T$38),0)</f>
        <v>0</v>
      </c>
      <c r="AD655" s="164"/>
      <c r="AE655" s="148">
        <f t="shared" si="1520"/>
        <v>0</v>
      </c>
      <c r="AF655" s="149"/>
      <c r="AG655" s="150"/>
      <c r="AH655" s="159">
        <f>S655/$S$571</f>
        <v>0</v>
      </c>
      <c r="AI655" s="209">
        <f>IF(K655=0,0,K655/F655)</f>
        <v>0</v>
      </c>
      <c r="AJ655" s="105"/>
      <c r="AK655" s="105"/>
      <c r="AM655" s="105"/>
      <c r="AN655" s="105"/>
      <c r="AO655" s="105"/>
      <c r="AP655" s="105"/>
      <c r="AQ655" s="105"/>
      <c r="AR655" s="105"/>
    </row>
    <row r="656" spans="1:44" s="49" customFormat="1" ht="24.95" customHeight="1">
      <c r="A656" s="10">
        <f t="shared" ca="1" si="1513"/>
        <v>2.0799999999999983</v>
      </c>
      <c r="B656" s="153"/>
      <c r="C656" s="154"/>
      <c r="D656" s="154"/>
      <c r="E656" s="161" t="s">
        <v>272</v>
      </c>
      <c r="F656" s="154"/>
      <c r="G656" s="154"/>
      <c r="H656" s="152"/>
      <c r="I656" s="152"/>
      <c r="J656" s="154"/>
      <c r="K656" s="154"/>
      <c r="L656" s="154"/>
      <c r="M656" s="154"/>
      <c r="N656" s="154"/>
      <c r="O656" s="154"/>
      <c r="P656" s="154"/>
      <c r="Q656" s="154"/>
      <c r="R656" s="154"/>
      <c r="S656" s="162"/>
      <c r="T656" s="162"/>
      <c r="U656" s="162"/>
      <c r="V656" s="162"/>
      <c r="W656" s="162"/>
      <c r="X656" s="163"/>
      <c r="Y656" s="163"/>
      <c r="Z656" s="163"/>
      <c r="AA656" s="163"/>
      <c r="AB656" s="163"/>
      <c r="AC656" s="163"/>
      <c r="AD656" s="164"/>
      <c r="AE656" s="148">
        <f ca="1">IF(SUM(S657:S658)&gt;0,IFERROR(TRUNC(A656,0),0),0)</f>
        <v>2</v>
      </c>
      <c r="AF656" s="149"/>
      <c r="AG656" s="150"/>
      <c r="AH656" s="159"/>
      <c r="AI656" s="160"/>
      <c r="AJ656" s="105"/>
      <c r="AK656" s="105"/>
      <c r="AM656" s="105"/>
      <c r="AN656" s="105"/>
      <c r="AO656" s="105"/>
      <c r="AP656" s="105"/>
      <c r="AQ656" s="105"/>
      <c r="AR656" s="105"/>
    </row>
    <row r="657" spans="1:44" s="49" customFormat="1" ht="40.15" customHeight="1">
      <c r="A657" s="152">
        <f t="shared" ca="1" si="1513"/>
        <v>2.0899999999999981</v>
      </c>
      <c r="B657" s="153">
        <v>102332</v>
      </c>
      <c r="C657" s="154" t="str">
        <f>TEXT(B657,"0")</f>
        <v>102332</v>
      </c>
      <c r="D657" s="154" t="s">
        <v>1416</v>
      </c>
      <c r="E657" s="155" t="s">
        <v>3547</v>
      </c>
      <c r="F657" s="154">
        <f>IF(Dados_DMT!$B$25&lt;30,Dados_DMT!$B$25,30)</f>
        <v>30</v>
      </c>
      <c r="G657" s="154" t="s">
        <v>3534</v>
      </c>
      <c r="H657" s="152">
        <v>1.79</v>
      </c>
      <c r="I657" s="152">
        <v>1.81</v>
      </c>
      <c r="J657" s="156"/>
      <c r="K657" s="156">
        <f>IF(B597="PA/0025",ROUND(Recap_Previo!H139*F657,2),0)+ROUND(Recap_Previo!H140*F657,2)</f>
        <v>750</v>
      </c>
      <c r="L657" s="156">
        <f>IF($K657&gt;$J657,$K657-$J657,0)</f>
        <v>750</v>
      </c>
      <c r="M657" s="156">
        <f>IF($K657&lt;$J657,$J657-$K657,0)</f>
        <v>0</v>
      </c>
      <c r="N657" s="156" t="s">
        <v>83</v>
      </c>
      <c r="O657" s="157" cm="1">
        <f t="array" ref="O657">TRUNC($H657*(1+_xlfn.SWITCH($N657,"BDI 1",$O$6,"BDI 2",$O$7,"BDI 3",$O$8)),2)</f>
        <v>2.16</v>
      </c>
      <c r="P657" s="157" cm="1">
        <f t="array" ref="P657">TRUNC($I657*(1+_xlfn.SWITCH($N657,"BDI 1",$P$6,"BDI 2",$P$7,"BDI 3",$P$8)),2)</f>
        <v>2.29</v>
      </c>
      <c r="Q657" s="157">
        <v>0</v>
      </c>
      <c r="R657" s="157">
        <v>0</v>
      </c>
      <c r="S657" s="156">
        <f>TRUNC($K657*$O657,2)</f>
        <v>1620</v>
      </c>
      <c r="T657" s="156">
        <f>TRUNC($K657*$P657,2)</f>
        <v>1717.5</v>
      </c>
      <c r="U657" s="156">
        <f>TRUNC($J657*$R657,2)</f>
        <v>0</v>
      </c>
      <c r="V657" s="156">
        <f>TRUNC($K657*$Q657,2)</f>
        <v>0</v>
      </c>
      <c r="W657" s="156">
        <f>TRUNC(V657-U657,2)</f>
        <v>0</v>
      </c>
      <c r="X657" s="158">
        <f>$S657/ORCAMENTO_VALOR_TOTAL_ND</f>
        <v>5.2385654339895361E-4</v>
      </c>
      <c r="Y657" s="158">
        <f>$T657/ORCAMENTO_VALOR_TOTAL_DE</f>
        <v>5.0496906613893436E-4</v>
      </c>
      <c r="Z657" s="158" cm="1">
        <f t="array" ref="Z657">_xlfn.SWITCH($N657,"BDI 1",$O$6,"BDI 2",$O$7,"BDI 3",$O$8)</f>
        <v>0.20699999999999999</v>
      </c>
      <c r="AA657" s="158" cm="1">
        <f t="array" ref="AA657">_xlfn.SWITCH($N657,"BDI 1",$P$6,"BDI 2",$P$7,"BDI 3",$P$8)</f>
        <v>0.26739999999999997</v>
      </c>
      <c r="AB657" s="158">
        <f ca="1">IFERROR($S657/_xlfn.XLOOKUP($AE657,$B$16:$B$38,$S$16:$S$38),0)</f>
        <v>0</v>
      </c>
      <c r="AC657" s="158">
        <f ca="1">IFERROR($T657/_xlfn.XLOOKUP($AE657,$B$16:$B$38,$T$16:$T$38),0)</f>
        <v>0</v>
      </c>
      <c r="AD657" s="164"/>
      <c r="AE657" s="148">
        <f t="shared" ref="AE657:AE658" ca="1" si="1521">IF(S657&gt;0,IFERROR(TRUNC(A657,0),0),0)</f>
        <v>2</v>
      </c>
      <c r="AF657" s="149"/>
      <c r="AG657" s="150"/>
      <c r="AH657" s="159">
        <f>S657/$S$571</f>
        <v>5.6056192914661241E-4</v>
      </c>
      <c r="AI657" s="209">
        <f>IF(K657=0,0,K657/F657)</f>
        <v>25</v>
      </c>
      <c r="AJ657" s="105"/>
      <c r="AK657" s="105"/>
      <c r="AM657" s="105"/>
      <c r="AN657" s="105"/>
      <c r="AO657" s="105"/>
      <c r="AP657" s="105"/>
      <c r="AQ657" s="105"/>
      <c r="AR657" s="105"/>
    </row>
    <row r="658" spans="1:44" s="49" customFormat="1" ht="40.15" customHeight="1">
      <c r="A658" s="152">
        <f t="shared" ca="1" si="1513"/>
        <v>2.0999999999999979</v>
      </c>
      <c r="B658" s="153">
        <v>102333</v>
      </c>
      <c r="C658" s="154" t="str">
        <f>TEXT(B658,"0")</f>
        <v>102333</v>
      </c>
      <c r="D658" s="154" t="s">
        <v>1416</v>
      </c>
      <c r="E658" s="155" t="s">
        <v>3546</v>
      </c>
      <c r="F658" s="154">
        <f>+Dados_DMT!$B$25-F657</f>
        <v>80</v>
      </c>
      <c r="G658" s="154" t="s">
        <v>3534</v>
      </c>
      <c r="H658" s="152">
        <v>0.72</v>
      </c>
      <c r="I658" s="152">
        <v>0.73</v>
      </c>
      <c r="J658" s="156"/>
      <c r="K658" s="156">
        <f>IF(B597="PA/0025",ROUND(Recap_Previo!H139*F658,2),0)+ROUND(Recap_Previo!H140*F658,2)</f>
        <v>2000</v>
      </c>
      <c r="L658" s="156">
        <f>IF($K658&gt;$J658,$K658-$J658,0)</f>
        <v>2000</v>
      </c>
      <c r="M658" s="156">
        <f>IF($K658&lt;$J658,$J658-$K658,0)</f>
        <v>0</v>
      </c>
      <c r="N658" s="156" t="s">
        <v>83</v>
      </c>
      <c r="O658" s="157" cm="1">
        <f t="array" ref="O658">TRUNC($H658*(1+_xlfn.SWITCH($N658,"BDI 1",$O$6,"BDI 2",$O$7,"BDI 3",$O$8)),2)</f>
        <v>0.86</v>
      </c>
      <c r="P658" s="157" cm="1">
        <f t="array" ref="P658">TRUNC($I658*(1+_xlfn.SWITCH($N658,"BDI 1",$P$6,"BDI 2",$P$7,"BDI 3",$P$8)),2)</f>
        <v>0.92</v>
      </c>
      <c r="Q658" s="157">
        <v>0</v>
      </c>
      <c r="R658" s="157">
        <v>0</v>
      </c>
      <c r="S658" s="156">
        <f>TRUNC($K658*$O658,2)</f>
        <v>1720</v>
      </c>
      <c r="T658" s="156">
        <f>TRUNC($K658*$P658,2)</f>
        <v>1840</v>
      </c>
      <c r="U658" s="156">
        <f>TRUNC($J658*$R658,2)</f>
        <v>0</v>
      </c>
      <c r="V658" s="156">
        <f>TRUNC($K658*$Q658,2)</f>
        <v>0</v>
      </c>
      <c r="W658" s="156">
        <f>TRUNC(V658-U658,2)</f>
        <v>0</v>
      </c>
      <c r="X658" s="158">
        <f>$S658/ORCAMENTO_VALOR_TOTAL_ND</f>
        <v>5.5619336706555565E-4</v>
      </c>
      <c r="Y658" s="158">
        <f>$T658/ORCAMENTO_VALOR_TOTAL_DE</f>
        <v>5.4098578264666038E-4</v>
      </c>
      <c r="Z658" s="158" cm="1">
        <f t="array" ref="Z658">_xlfn.SWITCH($N658,"BDI 1",$O$6,"BDI 2",$O$7,"BDI 3",$O$8)</f>
        <v>0.20699999999999999</v>
      </c>
      <c r="AA658" s="158" cm="1">
        <f t="array" ref="AA658">_xlfn.SWITCH($N658,"BDI 1",$P$6,"BDI 2",$P$7,"BDI 3",$P$8)</f>
        <v>0.26739999999999997</v>
      </c>
      <c r="AB658" s="158">
        <f ca="1">IFERROR($S658/_xlfn.XLOOKUP($AE658,$B$16:$B$38,$S$16:$S$38),0)</f>
        <v>0</v>
      </c>
      <c r="AC658" s="158">
        <f ca="1">IFERROR($T658/_xlfn.XLOOKUP($AE658,$B$16:$B$38,$T$16:$T$38),0)</f>
        <v>0</v>
      </c>
      <c r="AD658" s="164"/>
      <c r="AE658" s="148">
        <f t="shared" ca="1" si="1521"/>
        <v>2</v>
      </c>
      <c r="AF658" s="149"/>
      <c r="AG658" s="150"/>
      <c r="AH658" s="159">
        <f>S658/$S$571</f>
        <v>5.951645173655391E-4</v>
      </c>
      <c r="AI658" s="209">
        <f>IF(K658=0,0,K658/F658)</f>
        <v>25</v>
      </c>
      <c r="AJ658" s="105"/>
      <c r="AK658" s="105"/>
      <c r="AM658" s="105"/>
      <c r="AN658" s="105"/>
      <c r="AO658" s="105"/>
      <c r="AP658" s="105"/>
      <c r="AQ658" s="105"/>
      <c r="AR658" s="105"/>
    </row>
    <row r="659" spans="1:44" s="49" customFormat="1" ht="40.15" hidden="1" customHeight="1">
      <c r="A659" s="10">
        <f t="shared" ca="1" si="1513"/>
        <v>2.0999999999999979</v>
      </c>
      <c r="B659" s="153"/>
      <c r="C659" s="154"/>
      <c r="D659" s="154"/>
      <c r="E659" s="161" t="s">
        <v>273</v>
      </c>
      <c r="F659" s="154"/>
      <c r="G659" s="154"/>
      <c r="H659" s="152"/>
      <c r="I659" s="152"/>
      <c r="J659" s="154"/>
      <c r="K659" s="154"/>
      <c r="L659" s="154"/>
      <c r="M659" s="154"/>
      <c r="N659" s="154"/>
      <c r="O659" s="154"/>
      <c r="P659" s="154"/>
      <c r="Q659" s="154"/>
      <c r="R659" s="154"/>
      <c r="S659" s="162"/>
      <c r="T659" s="162"/>
      <c r="U659" s="162"/>
      <c r="V659" s="162"/>
      <c r="W659" s="162"/>
      <c r="X659" s="163"/>
      <c r="Y659" s="163"/>
      <c r="Z659" s="163"/>
      <c r="AA659" s="163"/>
      <c r="AB659" s="163"/>
      <c r="AC659" s="163"/>
      <c r="AD659" s="164"/>
      <c r="AE659" s="148">
        <f>IF(SUM(S660:S661)&gt;0,IFERROR(TRUNC(A659,0),0),0)</f>
        <v>0</v>
      </c>
      <c r="AF659" s="149"/>
      <c r="AG659" s="150"/>
      <c r="AH659" s="159"/>
      <c r="AI659" s="160"/>
      <c r="AJ659" s="105"/>
      <c r="AK659" s="105"/>
      <c r="AM659" s="105"/>
      <c r="AN659" s="105"/>
      <c r="AO659" s="105"/>
      <c r="AP659" s="105"/>
      <c r="AQ659" s="105"/>
      <c r="AR659" s="105"/>
    </row>
    <row r="660" spans="1:44" s="49" customFormat="1" ht="40.15" hidden="1" customHeight="1">
      <c r="A660" s="152">
        <f t="shared" ca="1" si="1513"/>
        <v>2.0999999999999979</v>
      </c>
      <c r="B660" s="153">
        <v>102332</v>
      </c>
      <c r="C660" s="154" t="str">
        <f>TEXT(B660,"0")</f>
        <v>102332</v>
      </c>
      <c r="D660" s="154" t="s">
        <v>1416</v>
      </c>
      <c r="E660" s="155" t="s">
        <v>3547</v>
      </c>
      <c r="F660" s="154">
        <f>IF(Dados_DMT!$B$26&lt;30,Dados_DMT!$B$26,30)</f>
        <v>0</v>
      </c>
      <c r="G660" s="154" t="s">
        <v>3534</v>
      </c>
      <c r="H660" s="152">
        <v>1.79</v>
      </c>
      <c r="I660" s="152">
        <v>1.81</v>
      </c>
      <c r="J660" s="156"/>
      <c r="K660" s="156">
        <f>ROUND(Recap_Previo!H141*F660,2)</f>
        <v>0</v>
      </c>
      <c r="L660" s="156">
        <f>IF($K660&gt;$J660,$K660-$J660,0)</f>
        <v>0</v>
      </c>
      <c r="M660" s="156">
        <f>IF($K660&lt;$J660,$J660-$K660,0)</f>
        <v>0</v>
      </c>
      <c r="N660" s="156" t="s">
        <v>83</v>
      </c>
      <c r="O660" s="157" cm="1">
        <f t="array" ref="O660">TRUNC($H660*(1+_xlfn.SWITCH($N660,"BDI 1",$O$6,"BDI 2",$O$7,"BDI 3",$O$8)),2)</f>
        <v>2.16</v>
      </c>
      <c r="P660" s="157" cm="1">
        <f t="array" ref="P660">TRUNC($I660*(1+_xlfn.SWITCH($N660,"BDI 1",$P$6,"BDI 2",$P$7,"BDI 3",$P$8)),2)</f>
        <v>2.29</v>
      </c>
      <c r="Q660" s="157">
        <v>0</v>
      </c>
      <c r="R660" s="157">
        <v>0</v>
      </c>
      <c r="S660" s="156">
        <f>TRUNC($K660*$O660,2)</f>
        <v>0</v>
      </c>
      <c r="T660" s="156">
        <f>TRUNC($K660*$P660,2)</f>
        <v>0</v>
      </c>
      <c r="U660" s="156">
        <f>TRUNC($J660*$R660,2)</f>
        <v>0</v>
      </c>
      <c r="V660" s="156">
        <f>TRUNC($K660*$Q660,2)</f>
        <v>0</v>
      </c>
      <c r="W660" s="156">
        <f>TRUNC(V660-U660,2)</f>
        <v>0</v>
      </c>
      <c r="X660" s="158">
        <f>$S660/ORCAMENTO_VALOR_TOTAL_ND</f>
        <v>0</v>
      </c>
      <c r="Y660" s="158">
        <f>$T660/ORCAMENTO_VALOR_TOTAL_DE</f>
        <v>0</v>
      </c>
      <c r="Z660" s="158" cm="1">
        <f t="array" ref="Z660">_xlfn.SWITCH($N660,"BDI 1",$O$6,"BDI 2",$O$7,"BDI 3",$O$8)</f>
        <v>0.20699999999999999</v>
      </c>
      <c r="AA660" s="158" cm="1">
        <f t="array" ref="AA660">_xlfn.SWITCH($N660,"BDI 1",$P$6,"BDI 2",$P$7,"BDI 3",$P$8)</f>
        <v>0.26739999999999997</v>
      </c>
      <c r="AB660" s="158">
        <f ca="1">IFERROR($S660/_xlfn.XLOOKUP($AE660,$B$16:$B$38,$S$16:$S$38),0)</f>
        <v>0</v>
      </c>
      <c r="AC660" s="158">
        <f ca="1">IFERROR($T660/_xlfn.XLOOKUP($AE660,$B$16:$B$38,$T$16:$T$38),0)</f>
        <v>0</v>
      </c>
      <c r="AD660" s="164"/>
      <c r="AE660" s="148">
        <f t="shared" ref="AE660:AE661" si="1522">IF(S660&gt;0,IFERROR(TRUNC(A660,0),0),0)</f>
        <v>0</v>
      </c>
      <c r="AF660" s="149"/>
      <c r="AG660" s="150"/>
      <c r="AH660" s="159">
        <f>S660/$S$571</f>
        <v>0</v>
      </c>
      <c r="AI660" s="209">
        <f>IF(K660=0,0,K660/F660)</f>
        <v>0</v>
      </c>
      <c r="AJ660" s="105"/>
      <c r="AK660" s="105"/>
      <c r="AM660" s="105"/>
      <c r="AN660" s="105"/>
      <c r="AO660" s="105"/>
      <c r="AP660" s="105"/>
      <c r="AQ660" s="105"/>
      <c r="AR660" s="105"/>
    </row>
    <row r="661" spans="1:44" s="49" customFormat="1" ht="40.15" hidden="1" customHeight="1">
      <c r="A661" s="152">
        <f t="shared" ca="1" si="1513"/>
        <v>2.0999999999999979</v>
      </c>
      <c r="B661" s="153">
        <v>102333</v>
      </c>
      <c r="C661" s="154" t="str">
        <f>TEXT(B661,"0")</f>
        <v>102333</v>
      </c>
      <c r="D661" s="154" t="s">
        <v>1416</v>
      </c>
      <c r="E661" s="155" t="s">
        <v>3546</v>
      </c>
      <c r="F661" s="154">
        <f>Dados_DMT!$B$26-F660</f>
        <v>0</v>
      </c>
      <c r="G661" s="154" t="s">
        <v>3534</v>
      </c>
      <c r="H661" s="152">
        <v>0.72</v>
      </c>
      <c r="I661" s="152">
        <v>0.73</v>
      </c>
      <c r="J661" s="156"/>
      <c r="K661" s="156">
        <f>ROUND(Recap_Previo!H141*F661,2)</f>
        <v>0</v>
      </c>
      <c r="L661" s="156">
        <f>IF($K661&gt;$J661,$K661-$J661,0)</f>
        <v>0</v>
      </c>
      <c r="M661" s="156">
        <f>IF($K661&lt;$J661,$J661-$K661,0)</f>
        <v>0</v>
      </c>
      <c r="N661" s="156" t="s">
        <v>83</v>
      </c>
      <c r="O661" s="157" cm="1">
        <f t="array" ref="O661">TRUNC($H661*(1+_xlfn.SWITCH($N661,"BDI 1",$O$6,"BDI 2",$O$7,"BDI 3",$O$8)),2)</f>
        <v>0.86</v>
      </c>
      <c r="P661" s="157" cm="1">
        <f t="array" ref="P661">TRUNC($I661*(1+_xlfn.SWITCH($N661,"BDI 1",$P$6,"BDI 2",$P$7,"BDI 3",$P$8)),2)</f>
        <v>0.92</v>
      </c>
      <c r="Q661" s="157">
        <v>0</v>
      </c>
      <c r="R661" s="157">
        <v>0</v>
      </c>
      <c r="S661" s="156">
        <f>TRUNC($K661*$O661,2)</f>
        <v>0</v>
      </c>
      <c r="T661" s="156">
        <f>TRUNC($K661*$P661,2)</f>
        <v>0</v>
      </c>
      <c r="U661" s="156">
        <f>TRUNC($J661*$R661,2)</f>
        <v>0</v>
      </c>
      <c r="V661" s="156">
        <f>TRUNC($K661*$Q661,2)</f>
        <v>0</v>
      </c>
      <c r="W661" s="156">
        <f>TRUNC(V661-U661,2)</f>
        <v>0</v>
      </c>
      <c r="X661" s="158">
        <f>$S661/ORCAMENTO_VALOR_TOTAL_ND</f>
        <v>0</v>
      </c>
      <c r="Y661" s="158">
        <f>$T661/ORCAMENTO_VALOR_TOTAL_DE</f>
        <v>0</v>
      </c>
      <c r="Z661" s="158" cm="1">
        <f t="array" ref="Z661">_xlfn.SWITCH($N661,"BDI 1",$O$6,"BDI 2",$O$7,"BDI 3",$O$8)</f>
        <v>0.20699999999999999</v>
      </c>
      <c r="AA661" s="158" cm="1">
        <f t="array" ref="AA661">_xlfn.SWITCH($N661,"BDI 1",$P$6,"BDI 2",$P$7,"BDI 3",$P$8)</f>
        <v>0.26739999999999997</v>
      </c>
      <c r="AB661" s="158">
        <f ca="1">IFERROR($S661/_xlfn.XLOOKUP($AE661,$B$16:$B$38,$S$16:$S$38),0)</f>
        <v>0</v>
      </c>
      <c r="AC661" s="158">
        <f ca="1">IFERROR($T661/_xlfn.XLOOKUP($AE661,$B$16:$B$38,$T$16:$T$38),0)</f>
        <v>0</v>
      </c>
      <c r="AD661" s="164"/>
      <c r="AE661" s="148">
        <f t="shared" si="1522"/>
        <v>0</v>
      </c>
      <c r="AF661" s="149"/>
      <c r="AG661" s="150"/>
      <c r="AH661" s="159">
        <f>S661/$S$571</f>
        <v>0</v>
      </c>
      <c r="AI661" s="209">
        <f>IF(K661=0,0,K661/F661)</f>
        <v>0</v>
      </c>
      <c r="AJ661" s="105"/>
      <c r="AK661" s="105"/>
      <c r="AM661" s="105"/>
      <c r="AN661" s="105"/>
      <c r="AO661" s="105"/>
      <c r="AP661" s="105"/>
      <c r="AQ661" s="105"/>
      <c r="AR661" s="105"/>
    </row>
    <row r="662" spans="1:44" s="49" customFormat="1" ht="40.15" hidden="1" customHeight="1">
      <c r="A662" s="10">
        <f t="shared" ca="1" si="1513"/>
        <v>2.0999999999999979</v>
      </c>
      <c r="B662" s="153"/>
      <c r="C662" s="154"/>
      <c r="D662" s="154"/>
      <c r="E662" s="161" t="s">
        <v>274</v>
      </c>
      <c r="F662" s="154"/>
      <c r="G662" s="154"/>
      <c r="H662" s="152"/>
      <c r="I662" s="152"/>
      <c r="J662" s="154"/>
      <c r="K662" s="154"/>
      <c r="L662" s="154"/>
      <c r="M662" s="154"/>
      <c r="N662" s="154"/>
      <c r="O662" s="154"/>
      <c r="P662" s="154"/>
      <c r="Q662" s="154"/>
      <c r="R662" s="154"/>
      <c r="S662" s="162"/>
      <c r="T662" s="162"/>
      <c r="U662" s="162"/>
      <c r="V662" s="162"/>
      <c r="W662" s="162"/>
      <c r="X662" s="163"/>
      <c r="Y662" s="163"/>
      <c r="Z662" s="163"/>
      <c r="AA662" s="163"/>
      <c r="AB662" s="163"/>
      <c r="AC662" s="163"/>
      <c r="AD662" s="164"/>
      <c r="AE662" s="148">
        <f>IF(SUM(S663:S664)&gt;0,IFERROR(TRUNC(A662,0),0),0)</f>
        <v>0</v>
      </c>
      <c r="AF662" s="149"/>
      <c r="AG662" s="150"/>
      <c r="AH662" s="159"/>
      <c r="AI662" s="160"/>
      <c r="AJ662" s="105"/>
      <c r="AK662" s="105"/>
      <c r="AM662" s="105"/>
      <c r="AN662" s="105"/>
      <c r="AO662" s="105"/>
      <c r="AP662" s="105"/>
      <c r="AQ662" s="105"/>
      <c r="AR662" s="105"/>
    </row>
    <row r="663" spans="1:44" s="49" customFormat="1" ht="40.15" hidden="1" customHeight="1">
      <c r="A663" s="152">
        <f t="shared" ca="1" si="1513"/>
        <v>2.0999999999999979</v>
      </c>
      <c r="B663" s="153">
        <v>102332</v>
      </c>
      <c r="C663" s="154" t="str">
        <f>TEXT(B663,"0")</f>
        <v>102332</v>
      </c>
      <c r="D663" s="154" t="s">
        <v>1416</v>
      </c>
      <c r="E663" s="155" t="s">
        <v>3547</v>
      </c>
      <c r="F663" s="154">
        <f>IF(Dados_DMT!$B$27&lt;30,Dados_DMT!$B$27,30)</f>
        <v>0</v>
      </c>
      <c r="G663" s="154" t="s">
        <v>3534</v>
      </c>
      <c r="H663" s="152">
        <v>1.79</v>
      </c>
      <c r="I663" s="152">
        <v>1.81</v>
      </c>
      <c r="J663" s="156"/>
      <c r="K663" s="156">
        <f>ROUND(Recap_Previo!H138*F663,2)</f>
        <v>0</v>
      </c>
      <c r="L663" s="156">
        <f>IF($K663&gt;$J663,$K663-$J663,0)</f>
        <v>0</v>
      </c>
      <c r="M663" s="156">
        <f>IF($K663&lt;$J663,$J663-$K663,0)</f>
        <v>0</v>
      </c>
      <c r="N663" s="156" t="s">
        <v>83</v>
      </c>
      <c r="O663" s="157" cm="1">
        <f t="array" ref="O663">TRUNC($H663*(1+_xlfn.SWITCH($N663,"BDI 1",$O$6,"BDI 2",$O$7,"BDI 3",$O$8)),2)</f>
        <v>2.16</v>
      </c>
      <c r="P663" s="157" cm="1">
        <f t="array" ref="P663">TRUNC($I663*(1+_xlfn.SWITCH($N663,"BDI 1",$P$6,"BDI 2",$P$7,"BDI 3",$P$8)),2)</f>
        <v>2.29</v>
      </c>
      <c r="Q663" s="157">
        <v>0</v>
      </c>
      <c r="R663" s="157">
        <v>0</v>
      </c>
      <c r="S663" s="156">
        <f>TRUNC($K663*$O663,2)</f>
        <v>0</v>
      </c>
      <c r="T663" s="156">
        <f>TRUNC($K663*$P663,2)</f>
        <v>0</v>
      </c>
      <c r="U663" s="156">
        <f>TRUNC($J663*$R663,2)</f>
        <v>0</v>
      </c>
      <c r="V663" s="156">
        <f>TRUNC($K663*$Q663,2)</f>
        <v>0</v>
      </c>
      <c r="W663" s="156">
        <f>TRUNC(V663-U663,2)</f>
        <v>0</v>
      </c>
      <c r="X663" s="158">
        <f>$S663/ORCAMENTO_VALOR_TOTAL_ND</f>
        <v>0</v>
      </c>
      <c r="Y663" s="158">
        <f>$T663/ORCAMENTO_VALOR_TOTAL_DE</f>
        <v>0</v>
      </c>
      <c r="Z663" s="158" cm="1">
        <f t="array" ref="Z663">_xlfn.SWITCH($N663,"BDI 1",$O$6,"BDI 2",$O$7,"BDI 3",$O$8)</f>
        <v>0.20699999999999999</v>
      </c>
      <c r="AA663" s="158" cm="1">
        <f t="array" ref="AA663">_xlfn.SWITCH($N663,"BDI 1",$P$6,"BDI 2",$P$7,"BDI 3",$P$8)</f>
        <v>0.26739999999999997</v>
      </c>
      <c r="AB663" s="158">
        <f ca="1">IFERROR($S663/_xlfn.XLOOKUP($AE663,$B$16:$B$38,$S$16:$S$38),0)</f>
        <v>0</v>
      </c>
      <c r="AC663" s="158">
        <f ca="1">IFERROR($T663/_xlfn.XLOOKUP($AE663,$B$16:$B$38,$T$16:$T$38),0)</f>
        <v>0</v>
      </c>
      <c r="AD663" s="164"/>
      <c r="AE663" s="148">
        <f t="shared" ref="AE663:AE664" si="1523">IF(S663&gt;0,IFERROR(TRUNC(A663,0),0),0)</f>
        <v>0</v>
      </c>
      <c r="AF663" s="149"/>
      <c r="AG663" s="150"/>
      <c r="AH663" s="159">
        <f>S663/$S$571</f>
        <v>0</v>
      </c>
      <c r="AI663" s="209">
        <f>IF(K663=0,0,K663/F663)</f>
        <v>0</v>
      </c>
      <c r="AJ663" s="105"/>
      <c r="AK663" s="105"/>
      <c r="AM663" s="105"/>
      <c r="AN663" s="105"/>
      <c r="AO663" s="105"/>
      <c r="AP663" s="105"/>
      <c r="AQ663" s="105"/>
      <c r="AR663" s="105"/>
    </row>
    <row r="664" spans="1:44" s="49" customFormat="1" ht="40.15" hidden="1" customHeight="1">
      <c r="A664" s="152">
        <f t="shared" ca="1" si="1513"/>
        <v>2.0999999999999979</v>
      </c>
      <c r="B664" s="153">
        <v>102333</v>
      </c>
      <c r="C664" s="154" t="str">
        <f>TEXT(B664,"0")</f>
        <v>102333</v>
      </c>
      <c r="D664" s="154" t="s">
        <v>1416</v>
      </c>
      <c r="E664" s="155" t="s">
        <v>3546</v>
      </c>
      <c r="F664" s="154">
        <f>Dados_DMT!$B$27-F663</f>
        <v>0</v>
      </c>
      <c r="G664" s="154" t="s">
        <v>3534</v>
      </c>
      <c r="H664" s="152">
        <v>0.72</v>
      </c>
      <c r="I664" s="152">
        <v>0.73</v>
      </c>
      <c r="J664" s="156"/>
      <c r="K664" s="156">
        <f>ROUND(Recap_Previo!H138*F664,2)</f>
        <v>0</v>
      </c>
      <c r="L664" s="156">
        <f>IF($K664&gt;$J664,$K664-$J664,0)</f>
        <v>0</v>
      </c>
      <c r="M664" s="156">
        <f>IF($K664&lt;$J664,$J664-$K664,0)</f>
        <v>0</v>
      </c>
      <c r="N664" s="156" t="s">
        <v>83</v>
      </c>
      <c r="O664" s="157" cm="1">
        <f t="array" ref="O664">TRUNC($H664*(1+_xlfn.SWITCH($N664,"BDI 1",$O$6,"BDI 2",$O$7,"BDI 3",$O$8)),2)</f>
        <v>0.86</v>
      </c>
      <c r="P664" s="157" cm="1">
        <f t="array" ref="P664">TRUNC($I664*(1+_xlfn.SWITCH($N664,"BDI 1",$P$6,"BDI 2",$P$7,"BDI 3",$P$8)),2)</f>
        <v>0.92</v>
      </c>
      <c r="Q664" s="157">
        <v>0</v>
      </c>
      <c r="R664" s="157">
        <v>0</v>
      </c>
      <c r="S664" s="156">
        <f>TRUNC($K664*$O664,2)</f>
        <v>0</v>
      </c>
      <c r="T664" s="156">
        <f>TRUNC($K664*$P664,2)</f>
        <v>0</v>
      </c>
      <c r="U664" s="156">
        <f>TRUNC($J664*$R664,2)</f>
        <v>0</v>
      </c>
      <c r="V664" s="156">
        <f>TRUNC($K664*$Q664,2)</f>
        <v>0</v>
      </c>
      <c r="W664" s="156">
        <f>TRUNC(V664-U664,2)</f>
        <v>0</v>
      </c>
      <c r="X664" s="158">
        <f>$S664/ORCAMENTO_VALOR_TOTAL_ND</f>
        <v>0</v>
      </c>
      <c r="Y664" s="158">
        <f>$T664/ORCAMENTO_VALOR_TOTAL_DE</f>
        <v>0</v>
      </c>
      <c r="Z664" s="158" cm="1">
        <f t="array" ref="Z664">_xlfn.SWITCH($N664,"BDI 1",$O$6,"BDI 2",$O$7,"BDI 3",$O$8)</f>
        <v>0.20699999999999999</v>
      </c>
      <c r="AA664" s="158" cm="1">
        <f t="array" ref="AA664">_xlfn.SWITCH($N664,"BDI 1",$P$6,"BDI 2",$P$7,"BDI 3",$P$8)</f>
        <v>0.26739999999999997</v>
      </c>
      <c r="AB664" s="158">
        <f ca="1">IFERROR($S664/_xlfn.XLOOKUP($AE664,$B$16:$B$38,$S$16:$S$38),0)</f>
        <v>0</v>
      </c>
      <c r="AC664" s="158">
        <f ca="1">IFERROR($T664/_xlfn.XLOOKUP($AE664,$B$16:$B$38,$T$16:$T$38),0)</f>
        <v>0</v>
      </c>
      <c r="AD664" s="164"/>
      <c r="AE664" s="148">
        <f t="shared" si="1523"/>
        <v>0</v>
      </c>
      <c r="AF664" s="149"/>
      <c r="AG664" s="150"/>
      <c r="AH664" s="159">
        <f>S664/$S$571</f>
        <v>0</v>
      </c>
      <c r="AI664" s="209">
        <f>IF(K664=0,0,K664/F664)</f>
        <v>0</v>
      </c>
      <c r="AJ664" s="105"/>
      <c r="AK664" s="105"/>
      <c r="AM664" s="105"/>
      <c r="AN664" s="105"/>
      <c r="AO664" s="105"/>
      <c r="AP664" s="105"/>
      <c r="AQ664" s="105"/>
      <c r="AR664" s="105"/>
    </row>
    <row r="665" spans="1:44" s="49" customFormat="1" ht="40.15" hidden="1" customHeight="1">
      <c r="A665" s="10">
        <f t="shared" ca="1" si="1513"/>
        <v>2.0999999999999979</v>
      </c>
      <c r="B665" s="153"/>
      <c r="C665" s="154"/>
      <c r="D665" s="154"/>
      <c r="E665" s="155"/>
      <c r="F665" s="154"/>
      <c r="G665" s="154"/>
      <c r="H665" s="154"/>
      <c r="I665" s="154"/>
      <c r="J665" s="168"/>
      <c r="K665" s="168"/>
      <c r="L665" s="168"/>
      <c r="M665" s="168"/>
      <c r="N665" s="168"/>
      <c r="O665" s="157"/>
      <c r="P665" s="157"/>
      <c r="Q665" s="157"/>
      <c r="R665" s="157"/>
      <c r="S665" s="162"/>
      <c r="T665" s="162"/>
      <c r="U665" s="162"/>
      <c r="V665" s="162"/>
      <c r="W665" s="162"/>
      <c r="X665" s="163"/>
      <c r="Y665" s="163"/>
      <c r="Z665" s="163"/>
      <c r="AA665" s="163"/>
      <c r="AB665" s="163"/>
      <c r="AC665" s="163"/>
      <c r="AD665" s="164"/>
      <c r="AE665" s="148">
        <f>IF(S666&gt;0,IFERROR(TRUNC(A666,0),0),0)</f>
        <v>0</v>
      </c>
      <c r="AF665" s="149"/>
      <c r="AG665" s="150"/>
      <c r="AH665" s="159"/>
      <c r="AI665" s="160"/>
      <c r="AJ665" s="105"/>
      <c r="AK665" s="105"/>
      <c r="AM665" s="105"/>
      <c r="AN665" s="105"/>
      <c r="AO665" s="105"/>
      <c r="AP665" s="105"/>
      <c r="AQ665" s="105"/>
      <c r="AR665" s="105"/>
    </row>
    <row r="666" spans="1:44" s="105" customFormat="1" ht="40.15" hidden="1" customHeight="1">
      <c r="A666" s="169">
        <f ca="1">$B$27</f>
        <v>0</v>
      </c>
      <c r="B666" s="170"/>
      <c r="C666" s="171"/>
      <c r="D666" s="172"/>
      <c r="E666" s="173" t="str">
        <f>$D$27</f>
        <v>RESTAURAÇÃO DO PAVIMENTO - RECAPEAMENTO ASFÁLTICO</v>
      </c>
      <c r="F666" s="174"/>
      <c r="G666" s="175"/>
      <c r="H666" s="176" t="s">
        <v>295</v>
      </c>
      <c r="I666" s="176" t="s">
        <v>295</v>
      </c>
      <c r="J666" s="177"/>
      <c r="K666" s="177"/>
      <c r="L666" s="177"/>
      <c r="M666" s="177"/>
      <c r="N666" s="177"/>
      <c r="O666" s="178" t="str">
        <f ca="1">CONCATENATE("SUB-TOTAL ",$A666)</f>
        <v>SUB-TOTAL 0</v>
      </c>
      <c r="P666" s="178" t="e" cm="1">
        <f t="array" ref="P666">TRUNC($I666*(1+_xlfn.SWITCH($N666,"BDI 1",$P$6,"BDI 2",$P$7,"BDI 3",$P$8)),2)</f>
        <v>#VALUE!</v>
      </c>
      <c r="Q666" s="178" t="str">
        <f ca="1">CONCATENATE("SUB-TOTAL ",$A666)</f>
        <v>SUB-TOTAL 0</v>
      </c>
      <c r="R666" s="178"/>
      <c r="S666" s="179">
        <f>SUM(S667:S718)</f>
        <v>0</v>
      </c>
      <c r="T666" s="179">
        <f>SUM(T667:T718)</f>
        <v>0</v>
      </c>
      <c r="U666" s="179">
        <f>SUM(U667:U718)</f>
        <v>0</v>
      </c>
      <c r="V666" s="179">
        <f>SUM(V667:V718)</f>
        <v>0</v>
      </c>
      <c r="W666" s="179">
        <f t="shared" ref="W666:W682" si="1524">TRUNC(V666-U666,2)</f>
        <v>0</v>
      </c>
      <c r="X666" s="180">
        <f t="shared" ref="X666" si="1525">$S666/ORCAMENTO_VALOR_TOTAL_ND</f>
        <v>0</v>
      </c>
      <c r="Y666" s="180">
        <f t="shared" ref="Y666" si="1526">$T666/ORCAMENTO_VALOR_TOTAL_DE</f>
        <v>0</v>
      </c>
      <c r="Z666" s="180"/>
      <c r="AA666" s="180"/>
      <c r="AB666" s="180">
        <f>IFERROR($S666/$S666,0)</f>
        <v>0</v>
      </c>
      <c r="AC666" s="180">
        <f>IFERROR($T666/$T666,0)</f>
        <v>0</v>
      </c>
      <c r="AD666" s="147"/>
      <c r="AE666" s="148">
        <f t="shared" ref="AE666:AE682" si="1527">IF(S666&gt;0,IFERROR(TRUNC(A666,0),0),0)</f>
        <v>0</v>
      </c>
      <c r="AF666" s="149"/>
      <c r="AG666" s="150"/>
      <c r="AH666" s="151" t="e">
        <f t="shared" ref="AH666:AH682" si="1528">S666/$S$666</f>
        <v>#DIV/0!</v>
      </c>
    </row>
    <row r="667" spans="1:44" s="49" customFormat="1" ht="49.9" hidden="1" customHeight="1">
      <c r="A667" s="152">
        <f t="shared" ref="A667:A719" ca="1" si="1529">+IF(K667&gt;0,A666+0.01,A666)</f>
        <v>0</v>
      </c>
      <c r="B667" s="153" t="s">
        <v>296</v>
      </c>
      <c r="C667" s="154" t="str">
        <f t="shared" ref="C667:C682" si="1530">TEXT(B667,"0")</f>
        <v>RE/0075</v>
      </c>
      <c r="D667" s="154" t="s">
        <v>3549</v>
      </c>
      <c r="E667" s="155" t="s">
        <v>3890</v>
      </c>
      <c r="F667" s="154"/>
      <c r="G667" s="154" t="s">
        <v>1418</v>
      </c>
      <c r="H667" s="152">
        <v>10.9</v>
      </c>
      <c r="I667" s="152">
        <v>10.86</v>
      </c>
      <c r="J667" s="156"/>
      <c r="K667" s="156">
        <f>+Recap_Final!I40</f>
        <v>0</v>
      </c>
      <c r="L667" s="156">
        <f t="shared" ref="L667:L682" si="1531">IF($K667&gt;$J667,$K667-$J667,0)</f>
        <v>0</v>
      </c>
      <c r="M667" s="156">
        <f t="shared" ref="M667:M682" si="1532">IF($K667&lt;$J667,$J667-$K667,0)</f>
        <v>0</v>
      </c>
      <c r="N667" s="156" t="s">
        <v>83</v>
      </c>
      <c r="O667" s="157" cm="1">
        <f t="array" ref="O667">TRUNC($H667*(1+_xlfn.SWITCH($N667,"BDI 1",$O$6,"BDI 2",$O$7,"BDI 3",$O$8)),2)</f>
        <v>13.15</v>
      </c>
      <c r="P667" s="157" cm="1">
        <f t="array" ref="P667">TRUNC($I667*(1+_xlfn.SWITCH($N667,"BDI 1",$P$6,"BDI 2",$P$7,"BDI 3",$P$8)),2)</f>
        <v>13.76</v>
      </c>
      <c r="Q667" s="157">
        <v>0</v>
      </c>
      <c r="R667" s="157">
        <f t="shared" ref="R667" si="1533">$Q667-($Q667*LICITACAO_DESCONTO)</f>
        <v>0</v>
      </c>
      <c r="S667" s="156">
        <f t="shared" ref="S667:S682" si="1534">TRUNC($K667*$O667,2)</f>
        <v>0</v>
      </c>
      <c r="T667" s="156">
        <f t="shared" ref="T667:T682" si="1535">TRUNC($K667*$P667,2)</f>
        <v>0</v>
      </c>
      <c r="U667" s="156">
        <f t="shared" ref="U667:U682" si="1536">TRUNC($J667*$R667,2)</f>
        <v>0</v>
      </c>
      <c r="V667" s="156">
        <f t="shared" ref="V667:V682" si="1537">TRUNC($K667*$Q667,2)</f>
        <v>0</v>
      </c>
      <c r="W667" s="156">
        <f t="shared" si="1524"/>
        <v>0</v>
      </c>
      <c r="X667" s="158">
        <f t="shared" ref="X667" si="1538">$S667/ORCAMENTO_VALOR_TOTAL_ND</f>
        <v>0</v>
      </c>
      <c r="Y667" s="158">
        <f t="shared" ref="Y667" si="1539">$T667/ORCAMENTO_VALOR_TOTAL_DE</f>
        <v>0</v>
      </c>
      <c r="Z667" s="158" cm="1">
        <f t="array" ref="Z667">_xlfn.SWITCH($N667,"BDI 1",$O$6,"BDI 2",$O$7,"BDI 3",$O$8)</f>
        <v>0.20699999999999999</v>
      </c>
      <c r="AA667" s="158" cm="1">
        <f t="array" ref="AA667">_xlfn.SWITCH($N667,"BDI 1",$P$6,"BDI 2",$P$7,"BDI 3",$P$8)</f>
        <v>0.26739999999999997</v>
      </c>
      <c r="AB667" s="158">
        <f t="shared" ref="AB667:AB682" ca="1" si="1540">IFERROR($S667/_xlfn.XLOOKUP($AE667,$B$16:$B$38,$S$16:$S$38),0)</f>
        <v>0</v>
      </c>
      <c r="AC667" s="158">
        <f t="shared" ref="AC667:AC682" ca="1" si="1541">IFERROR($T667/_xlfn.XLOOKUP($AE667,$B$16:$B$38,$T$16:$T$38),0)</f>
        <v>0</v>
      </c>
      <c r="AD667" s="164"/>
      <c r="AE667" s="148">
        <f t="shared" si="1527"/>
        <v>0</v>
      </c>
      <c r="AF667" s="149"/>
      <c r="AG667" s="150"/>
      <c r="AH667" s="159" t="e">
        <f t="shared" si="1528"/>
        <v>#DIV/0!</v>
      </c>
      <c r="AI667" s="160"/>
      <c r="AJ667" s="105"/>
      <c r="AK667" s="105"/>
      <c r="AM667" s="105"/>
      <c r="AN667" s="105"/>
      <c r="AO667" s="105"/>
      <c r="AP667" s="105"/>
      <c r="AQ667" s="105"/>
      <c r="AR667" s="105"/>
    </row>
    <row r="668" spans="1:44" s="49" customFormat="1" ht="49.9" hidden="1" customHeight="1">
      <c r="A668" s="152">
        <f t="shared" ca="1" si="1529"/>
        <v>0</v>
      </c>
      <c r="B668" s="153" t="s">
        <v>297</v>
      </c>
      <c r="C668" s="154" t="str">
        <f t="shared" si="1530"/>
        <v>RE/0080</v>
      </c>
      <c r="D668" s="154" t="s">
        <v>3549</v>
      </c>
      <c r="E668" s="155" t="s">
        <v>3891</v>
      </c>
      <c r="F668" s="154"/>
      <c r="G668" s="154" t="s">
        <v>1418</v>
      </c>
      <c r="H668" s="152">
        <v>18.2</v>
      </c>
      <c r="I668" s="152">
        <v>18.14</v>
      </c>
      <c r="J668" s="156"/>
      <c r="K668" s="156">
        <f>+Recap_Final!I43</f>
        <v>0</v>
      </c>
      <c r="L668" s="156">
        <f t="shared" si="1531"/>
        <v>0</v>
      </c>
      <c r="M668" s="156">
        <f t="shared" si="1532"/>
        <v>0</v>
      </c>
      <c r="N668" s="156" t="s">
        <v>83</v>
      </c>
      <c r="O668" s="157" cm="1">
        <f t="array" ref="O668">TRUNC($H668*(1+_xlfn.SWITCH($N668,"BDI 1",$O$6,"BDI 2",$O$7,"BDI 3",$O$8)),2)</f>
        <v>21.96</v>
      </c>
      <c r="P668" s="157" cm="1">
        <f t="array" ref="P668">TRUNC($I668*(1+_xlfn.SWITCH($N668,"BDI 1",$P$6,"BDI 2",$P$7,"BDI 3",$P$8)),2)</f>
        <v>22.99</v>
      </c>
      <c r="Q668" s="157">
        <v>0</v>
      </c>
      <c r="R668" s="157">
        <f t="shared" ref="R668" si="1542">$Q668-($Q668*LICITACAO_DESCONTO)</f>
        <v>0</v>
      </c>
      <c r="S668" s="156">
        <f t="shared" si="1534"/>
        <v>0</v>
      </c>
      <c r="T668" s="156">
        <f t="shared" si="1535"/>
        <v>0</v>
      </c>
      <c r="U668" s="156">
        <f t="shared" si="1536"/>
        <v>0</v>
      </c>
      <c r="V668" s="156">
        <f t="shared" si="1537"/>
        <v>0</v>
      </c>
      <c r="W668" s="156">
        <f t="shared" si="1524"/>
        <v>0</v>
      </c>
      <c r="X668" s="158">
        <f t="shared" ref="X668" si="1543">$S668/ORCAMENTO_VALOR_TOTAL_ND</f>
        <v>0</v>
      </c>
      <c r="Y668" s="158">
        <f t="shared" ref="Y668" si="1544">$T668/ORCAMENTO_VALOR_TOTAL_DE</f>
        <v>0</v>
      </c>
      <c r="Z668" s="158" cm="1">
        <f t="array" ref="Z668">_xlfn.SWITCH($N668,"BDI 1",$O$6,"BDI 2",$O$7,"BDI 3",$O$8)</f>
        <v>0.20699999999999999</v>
      </c>
      <c r="AA668" s="158" cm="1">
        <f t="array" ref="AA668">_xlfn.SWITCH($N668,"BDI 1",$P$6,"BDI 2",$P$7,"BDI 3",$P$8)</f>
        <v>0.26739999999999997</v>
      </c>
      <c r="AB668" s="158">
        <f t="shared" ca="1" si="1540"/>
        <v>0</v>
      </c>
      <c r="AC668" s="158">
        <f t="shared" ca="1" si="1541"/>
        <v>0</v>
      </c>
      <c r="AD668" s="164"/>
      <c r="AE668" s="148">
        <f t="shared" si="1527"/>
        <v>0</v>
      </c>
      <c r="AF668" s="149"/>
      <c r="AG668" s="150"/>
      <c r="AH668" s="159" t="e">
        <f t="shared" si="1528"/>
        <v>#DIV/0!</v>
      </c>
      <c r="AI668" s="160"/>
      <c r="AJ668" s="105"/>
      <c r="AK668" s="105"/>
      <c r="AM668" s="105"/>
      <c r="AN668" s="105"/>
      <c r="AO668" s="105"/>
      <c r="AP668" s="105"/>
      <c r="AQ668" s="105"/>
      <c r="AR668" s="105"/>
    </row>
    <row r="669" spans="1:44" s="49" customFormat="1" ht="49.9" hidden="1" customHeight="1">
      <c r="A669" s="152">
        <f t="shared" ca="1" si="1529"/>
        <v>0</v>
      </c>
      <c r="B669" s="153" t="s">
        <v>298</v>
      </c>
      <c r="C669" s="154" t="str">
        <f t="shared" si="1530"/>
        <v>RE/0085</v>
      </c>
      <c r="D669" s="154" t="s">
        <v>3549</v>
      </c>
      <c r="E669" s="155" t="s">
        <v>3892</v>
      </c>
      <c r="F669" s="154"/>
      <c r="G669" s="154" t="s">
        <v>1418</v>
      </c>
      <c r="H669" s="152">
        <v>22.63</v>
      </c>
      <c r="I669" s="152">
        <v>22.55</v>
      </c>
      <c r="J669" s="156"/>
      <c r="K669" s="156">
        <f>+Recap_Final!I46</f>
        <v>0</v>
      </c>
      <c r="L669" s="156">
        <f t="shared" si="1531"/>
        <v>0</v>
      </c>
      <c r="M669" s="156">
        <f t="shared" si="1532"/>
        <v>0</v>
      </c>
      <c r="N669" s="156" t="s">
        <v>83</v>
      </c>
      <c r="O669" s="157" cm="1">
        <f t="array" ref="O669">TRUNC($H669*(1+_xlfn.SWITCH($N669,"BDI 1",$O$6,"BDI 2",$O$7,"BDI 3",$O$8)),2)</f>
        <v>27.31</v>
      </c>
      <c r="P669" s="157" cm="1">
        <f t="array" ref="P669">TRUNC($I669*(1+_xlfn.SWITCH($N669,"BDI 1",$P$6,"BDI 2",$P$7,"BDI 3",$P$8)),2)</f>
        <v>28.57</v>
      </c>
      <c r="Q669" s="157">
        <v>0</v>
      </c>
      <c r="R669" s="157">
        <f t="shared" ref="R669" si="1545">$Q669-($Q669*LICITACAO_DESCONTO)</f>
        <v>0</v>
      </c>
      <c r="S669" s="156">
        <f t="shared" si="1534"/>
        <v>0</v>
      </c>
      <c r="T669" s="156">
        <f t="shared" si="1535"/>
        <v>0</v>
      </c>
      <c r="U669" s="156">
        <f t="shared" si="1536"/>
        <v>0</v>
      </c>
      <c r="V669" s="156">
        <f t="shared" si="1537"/>
        <v>0</v>
      </c>
      <c r="W669" s="156">
        <f t="shared" si="1524"/>
        <v>0</v>
      </c>
      <c r="X669" s="158">
        <f t="shared" ref="X669" si="1546">$S669/ORCAMENTO_VALOR_TOTAL_ND</f>
        <v>0</v>
      </c>
      <c r="Y669" s="158">
        <f t="shared" ref="Y669" si="1547">$T669/ORCAMENTO_VALOR_TOTAL_DE</f>
        <v>0</v>
      </c>
      <c r="Z669" s="158" cm="1">
        <f t="array" ref="Z669">_xlfn.SWITCH($N669,"BDI 1",$O$6,"BDI 2",$O$7,"BDI 3",$O$8)</f>
        <v>0.20699999999999999</v>
      </c>
      <c r="AA669" s="158" cm="1">
        <f t="array" ref="AA669">_xlfn.SWITCH($N669,"BDI 1",$P$6,"BDI 2",$P$7,"BDI 3",$P$8)</f>
        <v>0.26739999999999997</v>
      </c>
      <c r="AB669" s="158">
        <f t="shared" ca="1" si="1540"/>
        <v>0</v>
      </c>
      <c r="AC669" s="158">
        <f t="shared" ca="1" si="1541"/>
        <v>0</v>
      </c>
      <c r="AD669" s="164"/>
      <c r="AE669" s="148">
        <f t="shared" si="1527"/>
        <v>0</v>
      </c>
      <c r="AF669" s="149"/>
      <c r="AG669" s="150"/>
      <c r="AH669" s="159" t="e">
        <f t="shared" si="1528"/>
        <v>#DIV/0!</v>
      </c>
      <c r="AI669" s="160"/>
      <c r="AJ669" s="105"/>
      <c r="AK669" s="105"/>
      <c r="AM669" s="105"/>
      <c r="AN669" s="105"/>
      <c r="AO669" s="105"/>
      <c r="AP669" s="105"/>
      <c r="AQ669" s="105"/>
      <c r="AR669" s="105"/>
    </row>
    <row r="670" spans="1:44" s="49" customFormat="1" ht="40.15" hidden="1" customHeight="1">
      <c r="A670" s="152">
        <f t="shared" ca="1" si="1529"/>
        <v>0</v>
      </c>
      <c r="B670" s="153" t="s">
        <v>251</v>
      </c>
      <c r="C670" s="154" t="str">
        <f t="shared" si="1530"/>
        <v>PA/0150</v>
      </c>
      <c r="D670" s="154" t="s">
        <v>3549</v>
      </c>
      <c r="E670" s="155" t="s">
        <v>3874</v>
      </c>
      <c r="F670" s="154"/>
      <c r="G670" s="154" t="s">
        <v>1418</v>
      </c>
      <c r="H670" s="152">
        <v>17.59</v>
      </c>
      <c r="I670" s="152">
        <v>17.55</v>
      </c>
      <c r="J670" s="156"/>
      <c r="K670" s="156">
        <f>+Recap_Final!I49</f>
        <v>0</v>
      </c>
      <c r="L670" s="156">
        <f t="shared" si="1531"/>
        <v>0</v>
      </c>
      <c r="M670" s="156">
        <f t="shared" si="1532"/>
        <v>0</v>
      </c>
      <c r="N670" s="156" t="s">
        <v>83</v>
      </c>
      <c r="O670" s="157" cm="1">
        <f t="array" ref="O670">TRUNC($H670*(1+_xlfn.SWITCH($N670,"BDI 1",$O$6,"BDI 2",$O$7,"BDI 3",$O$8)),2)</f>
        <v>21.23</v>
      </c>
      <c r="P670" s="157" cm="1">
        <f t="array" ref="P670">TRUNC($I670*(1+_xlfn.SWITCH($N670,"BDI 1",$P$6,"BDI 2",$P$7,"BDI 3",$P$8)),2)</f>
        <v>22.24</v>
      </c>
      <c r="Q670" s="157">
        <v>0</v>
      </c>
      <c r="R670" s="157">
        <f t="shared" ref="R670" si="1548">$Q670-($Q670*LICITACAO_DESCONTO)</f>
        <v>0</v>
      </c>
      <c r="S670" s="156">
        <f t="shared" si="1534"/>
        <v>0</v>
      </c>
      <c r="T670" s="156">
        <f t="shared" si="1535"/>
        <v>0</v>
      </c>
      <c r="U670" s="156">
        <f t="shared" si="1536"/>
        <v>0</v>
      </c>
      <c r="V670" s="156">
        <f t="shared" si="1537"/>
        <v>0</v>
      </c>
      <c r="W670" s="156">
        <f t="shared" si="1524"/>
        <v>0</v>
      </c>
      <c r="X670" s="158">
        <f t="shared" ref="X670" si="1549">$S670/ORCAMENTO_VALOR_TOTAL_ND</f>
        <v>0</v>
      </c>
      <c r="Y670" s="158">
        <f t="shared" ref="Y670" si="1550">$T670/ORCAMENTO_VALOR_TOTAL_DE</f>
        <v>0</v>
      </c>
      <c r="Z670" s="158" cm="1">
        <f t="array" ref="Z670">_xlfn.SWITCH($N670,"BDI 1",$O$6,"BDI 2",$O$7,"BDI 3",$O$8)</f>
        <v>0.20699999999999999</v>
      </c>
      <c r="AA670" s="158" cm="1">
        <f t="array" ref="AA670">_xlfn.SWITCH($N670,"BDI 1",$P$6,"BDI 2",$P$7,"BDI 3",$P$8)</f>
        <v>0.26739999999999997</v>
      </c>
      <c r="AB670" s="158">
        <f t="shared" ca="1" si="1540"/>
        <v>0</v>
      </c>
      <c r="AC670" s="158">
        <f t="shared" ca="1" si="1541"/>
        <v>0</v>
      </c>
      <c r="AD670" s="164"/>
      <c r="AE670" s="148">
        <f t="shared" si="1527"/>
        <v>0</v>
      </c>
      <c r="AF670" s="149"/>
      <c r="AG670" s="150"/>
      <c r="AH670" s="159" t="e">
        <f t="shared" si="1528"/>
        <v>#DIV/0!</v>
      </c>
      <c r="AI670" s="160"/>
      <c r="AJ670" s="105"/>
      <c r="AK670" s="105"/>
      <c r="AM670" s="105"/>
      <c r="AN670" s="105"/>
      <c r="AO670" s="105"/>
      <c r="AP670" s="105"/>
      <c r="AQ670" s="105"/>
      <c r="AR670" s="105"/>
    </row>
    <row r="671" spans="1:44" s="49" customFormat="1" ht="40.15" hidden="1" customHeight="1">
      <c r="A671" s="152">
        <f t="shared" ca="1" si="1529"/>
        <v>0</v>
      </c>
      <c r="B671" s="153" t="s">
        <v>287</v>
      </c>
      <c r="C671" s="154" t="str">
        <f t="shared" si="1530"/>
        <v>PA/0023</v>
      </c>
      <c r="D671" s="154" t="s">
        <v>3549</v>
      </c>
      <c r="E671" s="155" t="s">
        <v>3539</v>
      </c>
      <c r="F671" s="154"/>
      <c r="G671" s="154" t="s">
        <v>1418</v>
      </c>
      <c r="H671" s="152">
        <v>2.37</v>
      </c>
      <c r="I671" s="152">
        <v>2.33</v>
      </c>
      <c r="J671" s="156"/>
      <c r="K671" s="156">
        <f>+Recap_Final!I53</f>
        <v>0</v>
      </c>
      <c r="L671" s="156">
        <f t="shared" si="1531"/>
        <v>0</v>
      </c>
      <c r="M671" s="156">
        <f t="shared" si="1532"/>
        <v>0</v>
      </c>
      <c r="N671" s="156" t="s">
        <v>83</v>
      </c>
      <c r="O671" s="157" cm="1">
        <f t="array" ref="O671">TRUNC($H671*(1+_xlfn.SWITCH($N671,"BDI 1",$O$6,"BDI 2",$O$7,"BDI 3",$O$8)),2)</f>
        <v>2.86</v>
      </c>
      <c r="P671" s="157" cm="1">
        <f t="array" ref="P671">TRUNC($I671*(1+_xlfn.SWITCH($N671,"BDI 1",$P$6,"BDI 2",$P$7,"BDI 3",$P$8)),2)</f>
        <v>2.95</v>
      </c>
      <c r="Q671" s="157">
        <v>0</v>
      </c>
      <c r="R671" s="157">
        <f t="shared" ref="R671" si="1551">$Q671-($Q671*LICITACAO_DESCONTO)</f>
        <v>0</v>
      </c>
      <c r="S671" s="156">
        <f t="shared" si="1534"/>
        <v>0</v>
      </c>
      <c r="T671" s="156">
        <f t="shared" si="1535"/>
        <v>0</v>
      </c>
      <c r="U671" s="156">
        <f t="shared" si="1536"/>
        <v>0</v>
      </c>
      <c r="V671" s="156">
        <f t="shared" si="1537"/>
        <v>0</v>
      </c>
      <c r="W671" s="156">
        <f t="shared" si="1524"/>
        <v>0</v>
      </c>
      <c r="X671" s="158">
        <f t="shared" ref="X671" si="1552">$S671/ORCAMENTO_VALOR_TOTAL_ND</f>
        <v>0</v>
      </c>
      <c r="Y671" s="158">
        <f t="shared" ref="Y671" si="1553">$T671/ORCAMENTO_VALOR_TOTAL_DE</f>
        <v>0</v>
      </c>
      <c r="Z671" s="158" cm="1">
        <f t="array" ref="Z671">_xlfn.SWITCH($N671,"BDI 1",$O$6,"BDI 2",$O$7,"BDI 3",$O$8)</f>
        <v>0.20699999999999999</v>
      </c>
      <c r="AA671" s="158" cm="1">
        <f t="array" ref="AA671">_xlfn.SWITCH($N671,"BDI 1",$P$6,"BDI 2",$P$7,"BDI 3",$P$8)</f>
        <v>0.26739999999999997</v>
      </c>
      <c r="AB671" s="158">
        <f t="shared" ca="1" si="1540"/>
        <v>0</v>
      </c>
      <c r="AC671" s="158">
        <f t="shared" ca="1" si="1541"/>
        <v>0</v>
      </c>
      <c r="AD671" s="164"/>
      <c r="AE671" s="148">
        <f t="shared" si="1527"/>
        <v>0</v>
      </c>
      <c r="AF671" s="149"/>
      <c r="AG671" s="150"/>
      <c r="AH671" s="159" t="e">
        <f t="shared" si="1528"/>
        <v>#DIV/0!</v>
      </c>
      <c r="AI671" s="160"/>
      <c r="AJ671" s="105"/>
      <c r="AK671" s="105"/>
      <c r="AM671" s="105"/>
      <c r="AN671" s="105"/>
      <c r="AO671" s="105"/>
      <c r="AP671" s="105"/>
      <c r="AQ671" s="105"/>
      <c r="AR671" s="105"/>
    </row>
    <row r="672" spans="1:44" s="49" customFormat="1" ht="40.15" hidden="1" customHeight="1">
      <c r="A672" s="152">
        <f t="shared" ca="1" si="1529"/>
        <v>0</v>
      </c>
      <c r="B672" s="153" t="s">
        <v>299</v>
      </c>
      <c r="C672" s="154" t="str">
        <f t="shared" si="1530"/>
        <v>PA/0035</v>
      </c>
      <c r="D672" s="154" t="s">
        <v>3549</v>
      </c>
      <c r="E672" s="155" t="s">
        <v>3893</v>
      </c>
      <c r="F672" s="154"/>
      <c r="G672" s="154" t="s">
        <v>1418</v>
      </c>
      <c r="H672" s="152">
        <v>2.83</v>
      </c>
      <c r="I672" s="152">
        <v>2.81</v>
      </c>
      <c r="J672" s="156"/>
      <c r="K672" s="156">
        <f>+Recap_Final!I55</f>
        <v>0</v>
      </c>
      <c r="L672" s="156">
        <f t="shared" si="1531"/>
        <v>0</v>
      </c>
      <c r="M672" s="156">
        <f t="shared" si="1532"/>
        <v>0</v>
      </c>
      <c r="N672" s="156" t="s">
        <v>83</v>
      </c>
      <c r="O672" s="157" cm="1">
        <f t="array" ref="O672">TRUNC($H672*(1+_xlfn.SWITCH($N672,"BDI 1",$O$6,"BDI 2",$O$7,"BDI 3",$O$8)),2)</f>
        <v>3.41</v>
      </c>
      <c r="P672" s="157" cm="1">
        <f t="array" ref="P672">TRUNC($I672*(1+_xlfn.SWITCH($N672,"BDI 1",$P$6,"BDI 2",$P$7,"BDI 3",$P$8)),2)</f>
        <v>3.56</v>
      </c>
      <c r="Q672" s="157">
        <v>0</v>
      </c>
      <c r="R672" s="157">
        <f t="shared" ref="R672" si="1554">$Q672-($Q672*LICITACAO_DESCONTO)</f>
        <v>0</v>
      </c>
      <c r="S672" s="156">
        <f t="shared" si="1534"/>
        <v>0</v>
      </c>
      <c r="T672" s="156">
        <f t="shared" si="1535"/>
        <v>0</v>
      </c>
      <c r="U672" s="156">
        <f t="shared" si="1536"/>
        <v>0</v>
      </c>
      <c r="V672" s="156">
        <f t="shared" si="1537"/>
        <v>0</v>
      </c>
      <c r="W672" s="156">
        <f t="shared" si="1524"/>
        <v>0</v>
      </c>
      <c r="X672" s="158">
        <f t="shared" ref="X672" si="1555">$S672/ORCAMENTO_VALOR_TOTAL_ND</f>
        <v>0</v>
      </c>
      <c r="Y672" s="158">
        <f t="shared" ref="Y672" si="1556">$T672/ORCAMENTO_VALOR_TOTAL_DE</f>
        <v>0</v>
      </c>
      <c r="Z672" s="158" cm="1">
        <f t="array" ref="Z672">_xlfn.SWITCH($N672,"BDI 1",$O$6,"BDI 2",$O$7,"BDI 3",$O$8)</f>
        <v>0.20699999999999999</v>
      </c>
      <c r="AA672" s="158" cm="1">
        <f t="array" ref="AA672">_xlfn.SWITCH($N672,"BDI 1",$P$6,"BDI 2",$P$7,"BDI 3",$P$8)</f>
        <v>0.26739999999999997</v>
      </c>
      <c r="AB672" s="158">
        <f t="shared" ca="1" si="1540"/>
        <v>0</v>
      </c>
      <c r="AC672" s="158">
        <f t="shared" ca="1" si="1541"/>
        <v>0</v>
      </c>
      <c r="AD672" s="164"/>
      <c r="AE672" s="148">
        <f t="shared" si="1527"/>
        <v>0</v>
      </c>
      <c r="AF672" s="149"/>
      <c r="AG672" s="150"/>
      <c r="AH672" s="159" t="e">
        <f t="shared" si="1528"/>
        <v>#DIV/0!</v>
      </c>
      <c r="AI672" s="160"/>
      <c r="AJ672" s="105"/>
      <c r="AK672" s="105"/>
      <c r="AM672" s="105"/>
      <c r="AN672" s="105"/>
      <c r="AO672" s="105"/>
      <c r="AP672" s="105"/>
      <c r="AQ672" s="105"/>
      <c r="AR672" s="105"/>
    </row>
    <row r="673" spans="1:44" s="49" customFormat="1" ht="49.9" hidden="1" customHeight="1">
      <c r="A673" s="152">
        <f t="shared" ca="1" si="1529"/>
        <v>0</v>
      </c>
      <c r="B673" s="153" t="s">
        <v>252</v>
      </c>
      <c r="C673" s="154" t="str">
        <f t="shared" si="1530"/>
        <v>PA/0040</v>
      </c>
      <c r="D673" s="154" t="s">
        <v>3549</v>
      </c>
      <c r="E673" s="155" t="s">
        <v>3875</v>
      </c>
      <c r="F673" s="154"/>
      <c r="G673" s="154" t="s">
        <v>464</v>
      </c>
      <c r="H673" s="152">
        <v>1628.68</v>
      </c>
      <c r="I673" s="152">
        <v>1625.69</v>
      </c>
      <c r="J673" s="156"/>
      <c r="K673" s="156">
        <f>+Recap_Final!I59</f>
        <v>0</v>
      </c>
      <c r="L673" s="156">
        <f t="shared" si="1531"/>
        <v>0</v>
      </c>
      <c r="M673" s="156">
        <f t="shared" si="1532"/>
        <v>0</v>
      </c>
      <c r="N673" s="156" t="s">
        <v>83</v>
      </c>
      <c r="O673" s="157" cm="1">
        <f t="array" ref="O673">TRUNC($H673*(1+_xlfn.SWITCH($N673,"BDI 1",$O$6,"BDI 2",$O$7,"BDI 3",$O$8)),2)</f>
        <v>1965.81</v>
      </c>
      <c r="P673" s="157" cm="1">
        <f t="array" ref="P673">TRUNC($I673*(1+_xlfn.SWITCH($N673,"BDI 1",$P$6,"BDI 2",$P$7,"BDI 3",$P$8)),2)</f>
        <v>2060.39</v>
      </c>
      <c r="Q673" s="157">
        <v>0</v>
      </c>
      <c r="R673" s="157">
        <f t="shared" ref="R673" si="1557">$Q673-($Q673*LICITACAO_DESCONTO)</f>
        <v>0</v>
      </c>
      <c r="S673" s="156">
        <f t="shared" si="1534"/>
        <v>0</v>
      </c>
      <c r="T673" s="156">
        <f t="shared" si="1535"/>
        <v>0</v>
      </c>
      <c r="U673" s="156">
        <f t="shared" si="1536"/>
        <v>0</v>
      </c>
      <c r="V673" s="156">
        <f t="shared" si="1537"/>
        <v>0</v>
      </c>
      <c r="W673" s="156">
        <f t="shared" si="1524"/>
        <v>0</v>
      </c>
      <c r="X673" s="158">
        <f t="shared" ref="X673" si="1558">$S673/ORCAMENTO_VALOR_TOTAL_ND</f>
        <v>0</v>
      </c>
      <c r="Y673" s="158">
        <f t="shared" ref="Y673" si="1559">$T673/ORCAMENTO_VALOR_TOTAL_DE</f>
        <v>0</v>
      </c>
      <c r="Z673" s="158" cm="1">
        <f t="array" ref="Z673">_xlfn.SWITCH($N673,"BDI 1",$O$6,"BDI 2",$O$7,"BDI 3",$O$8)</f>
        <v>0.20699999999999999</v>
      </c>
      <c r="AA673" s="158" cm="1">
        <f t="array" ref="AA673">_xlfn.SWITCH($N673,"BDI 1",$P$6,"BDI 2",$P$7,"BDI 3",$P$8)</f>
        <v>0.26739999999999997</v>
      </c>
      <c r="AB673" s="158">
        <f t="shared" ca="1" si="1540"/>
        <v>0</v>
      </c>
      <c r="AC673" s="158">
        <f t="shared" ca="1" si="1541"/>
        <v>0</v>
      </c>
      <c r="AD673" s="164"/>
      <c r="AE673" s="148">
        <f t="shared" si="1527"/>
        <v>0</v>
      </c>
      <c r="AF673" s="149"/>
      <c r="AG673" s="150"/>
      <c r="AH673" s="159" t="e">
        <f t="shared" si="1528"/>
        <v>#DIV/0!</v>
      </c>
      <c r="AI673" s="165" t="s">
        <v>243</v>
      </c>
      <c r="AJ673" s="105"/>
      <c r="AK673" s="105"/>
      <c r="AM673" s="105"/>
      <c r="AN673" s="105"/>
      <c r="AO673" s="105"/>
      <c r="AP673" s="105"/>
      <c r="AQ673" s="105"/>
      <c r="AR673" s="105"/>
    </row>
    <row r="674" spans="1:44" s="49" customFormat="1" ht="40.15" hidden="1" customHeight="1">
      <c r="A674" s="152">
        <f t="shared" ca="1" si="1529"/>
        <v>0</v>
      </c>
      <c r="B674" s="153">
        <v>95995</v>
      </c>
      <c r="C674" s="154" t="str">
        <f t="shared" si="1530"/>
        <v>95995</v>
      </c>
      <c r="D674" s="154" t="s">
        <v>1416</v>
      </c>
      <c r="E674" s="155" t="s">
        <v>3894</v>
      </c>
      <c r="F674" s="154"/>
      <c r="G674" s="154" t="s">
        <v>464</v>
      </c>
      <c r="H674" s="152">
        <v>1658.13</v>
      </c>
      <c r="I674" s="152">
        <v>1643.62</v>
      </c>
      <c r="J674" s="156"/>
      <c r="K674" s="156">
        <f>+Recap_Final!I60</f>
        <v>0</v>
      </c>
      <c r="L674" s="156">
        <f t="shared" si="1531"/>
        <v>0</v>
      </c>
      <c r="M674" s="156">
        <f t="shared" si="1532"/>
        <v>0</v>
      </c>
      <c r="N674" s="156" t="s">
        <v>83</v>
      </c>
      <c r="O674" s="157" cm="1">
        <f t="array" ref="O674">TRUNC($H674*(1+_xlfn.SWITCH($N674,"BDI 1",$O$6,"BDI 2",$O$7,"BDI 3",$O$8)),2)</f>
        <v>2001.36</v>
      </c>
      <c r="P674" s="157" cm="1">
        <f t="array" ref="P674">TRUNC($I674*(1+_xlfn.SWITCH($N674,"BDI 1",$P$6,"BDI 2",$P$7,"BDI 3",$P$8)),2)</f>
        <v>2083.12</v>
      </c>
      <c r="Q674" s="157">
        <v>0</v>
      </c>
      <c r="R674" s="157">
        <f t="shared" ref="R674" si="1560">$Q674-($Q674*LICITACAO_DESCONTO)</f>
        <v>0</v>
      </c>
      <c r="S674" s="156">
        <f t="shared" si="1534"/>
        <v>0</v>
      </c>
      <c r="T674" s="156">
        <f t="shared" si="1535"/>
        <v>0</v>
      </c>
      <c r="U674" s="156">
        <f t="shared" si="1536"/>
        <v>0</v>
      </c>
      <c r="V674" s="156">
        <f t="shared" si="1537"/>
        <v>0</v>
      </c>
      <c r="W674" s="156">
        <f t="shared" si="1524"/>
        <v>0</v>
      </c>
      <c r="X674" s="158">
        <f t="shared" ref="X674" si="1561">$S674/ORCAMENTO_VALOR_TOTAL_ND</f>
        <v>0</v>
      </c>
      <c r="Y674" s="158">
        <f t="shared" ref="Y674" si="1562">$T674/ORCAMENTO_VALOR_TOTAL_DE</f>
        <v>0</v>
      </c>
      <c r="Z674" s="158" cm="1">
        <f t="array" ref="Z674">_xlfn.SWITCH($N674,"BDI 1",$O$6,"BDI 2",$O$7,"BDI 3",$O$8)</f>
        <v>0.20699999999999999</v>
      </c>
      <c r="AA674" s="158" cm="1">
        <f t="array" ref="AA674">_xlfn.SWITCH($N674,"BDI 1",$P$6,"BDI 2",$P$7,"BDI 3",$P$8)</f>
        <v>0.26739999999999997</v>
      </c>
      <c r="AB674" s="158">
        <f t="shared" ca="1" si="1540"/>
        <v>0</v>
      </c>
      <c r="AC674" s="158">
        <f t="shared" ca="1" si="1541"/>
        <v>0</v>
      </c>
      <c r="AD674" s="164"/>
      <c r="AE674" s="148">
        <f t="shared" si="1527"/>
        <v>0</v>
      </c>
      <c r="AF674" s="149"/>
      <c r="AG674" s="150"/>
      <c r="AH674" s="159" t="e">
        <f t="shared" si="1528"/>
        <v>#DIV/0!</v>
      </c>
      <c r="AI674" s="165" t="s">
        <v>243</v>
      </c>
      <c r="AJ674" s="105"/>
      <c r="AK674" s="105"/>
      <c r="AM674" s="105"/>
      <c r="AN674" s="105"/>
      <c r="AO674" s="105"/>
      <c r="AP674" s="105"/>
      <c r="AQ674" s="105"/>
      <c r="AR674" s="105"/>
    </row>
    <row r="675" spans="1:44" s="49" customFormat="1" ht="49.9" hidden="1" customHeight="1">
      <c r="A675" s="152">
        <f t="shared" ca="1" si="1529"/>
        <v>0</v>
      </c>
      <c r="B675" s="153" t="s">
        <v>300</v>
      </c>
      <c r="C675" s="154" t="str">
        <f t="shared" si="1530"/>
        <v>PA/0045</v>
      </c>
      <c r="D675" s="154" t="s">
        <v>3549</v>
      </c>
      <c r="E675" s="155" t="s">
        <v>3895</v>
      </c>
      <c r="F675" s="154"/>
      <c r="G675" s="154" t="s">
        <v>464</v>
      </c>
      <c r="H675" s="152">
        <v>1889.24</v>
      </c>
      <c r="I675" s="152">
        <v>1886.25</v>
      </c>
      <c r="J675" s="156"/>
      <c r="K675" s="156">
        <f>+Recap_Final!I61</f>
        <v>0</v>
      </c>
      <c r="L675" s="156">
        <f t="shared" si="1531"/>
        <v>0</v>
      </c>
      <c r="M675" s="156">
        <f t="shared" si="1532"/>
        <v>0</v>
      </c>
      <c r="N675" s="156" t="s">
        <v>83</v>
      </c>
      <c r="O675" s="157" cm="1">
        <f t="array" ref="O675">TRUNC($H675*(1+_xlfn.SWITCH($N675,"BDI 1",$O$6,"BDI 2",$O$7,"BDI 3",$O$8)),2)</f>
        <v>2280.31</v>
      </c>
      <c r="P675" s="157" cm="1">
        <f t="array" ref="P675">TRUNC($I675*(1+_xlfn.SWITCH($N675,"BDI 1",$P$6,"BDI 2",$P$7,"BDI 3",$P$8)),2)</f>
        <v>2390.63</v>
      </c>
      <c r="Q675" s="157">
        <v>0</v>
      </c>
      <c r="R675" s="157">
        <f t="shared" ref="R675" si="1563">$Q675-($Q675*LICITACAO_DESCONTO)</f>
        <v>0</v>
      </c>
      <c r="S675" s="156">
        <f t="shared" si="1534"/>
        <v>0</v>
      </c>
      <c r="T675" s="156">
        <f t="shared" si="1535"/>
        <v>0</v>
      </c>
      <c r="U675" s="156">
        <f t="shared" si="1536"/>
        <v>0</v>
      </c>
      <c r="V675" s="156">
        <f t="shared" si="1537"/>
        <v>0</v>
      </c>
      <c r="W675" s="156">
        <f t="shared" si="1524"/>
        <v>0</v>
      </c>
      <c r="X675" s="158">
        <f t="shared" ref="X675" si="1564">$S675/ORCAMENTO_VALOR_TOTAL_ND</f>
        <v>0</v>
      </c>
      <c r="Y675" s="158">
        <f t="shared" ref="Y675" si="1565">$T675/ORCAMENTO_VALOR_TOTAL_DE</f>
        <v>0</v>
      </c>
      <c r="Z675" s="158" cm="1">
        <f t="array" ref="Z675">_xlfn.SWITCH($N675,"BDI 1",$O$6,"BDI 2",$O$7,"BDI 3",$O$8)</f>
        <v>0.20699999999999999</v>
      </c>
      <c r="AA675" s="158" cm="1">
        <f t="array" ref="AA675">_xlfn.SWITCH($N675,"BDI 1",$P$6,"BDI 2",$P$7,"BDI 3",$P$8)</f>
        <v>0.26739999999999997</v>
      </c>
      <c r="AB675" s="158">
        <f t="shared" ca="1" si="1540"/>
        <v>0</v>
      </c>
      <c r="AC675" s="158">
        <f t="shared" ca="1" si="1541"/>
        <v>0</v>
      </c>
      <c r="AD675" s="164"/>
      <c r="AE675" s="148">
        <f t="shared" si="1527"/>
        <v>0</v>
      </c>
      <c r="AF675" s="149"/>
      <c r="AG675" s="150"/>
      <c r="AH675" s="159" t="e">
        <f t="shared" si="1528"/>
        <v>#DIV/0!</v>
      </c>
      <c r="AI675" s="160"/>
      <c r="AJ675" s="105"/>
      <c r="AK675" s="105"/>
      <c r="AM675" s="105"/>
      <c r="AN675" s="105"/>
      <c r="AO675" s="105"/>
      <c r="AP675" s="105"/>
      <c r="AQ675" s="105"/>
      <c r="AR675" s="105"/>
    </row>
    <row r="676" spans="1:44" s="49" customFormat="1" ht="40.15" hidden="1" customHeight="1">
      <c r="A676" s="152">
        <f t="shared" ca="1" si="1529"/>
        <v>0</v>
      </c>
      <c r="B676" s="153" t="s">
        <v>290</v>
      </c>
      <c r="C676" s="154" t="str">
        <f t="shared" si="1530"/>
        <v>PA/0055</v>
      </c>
      <c r="D676" s="154">
        <v>0</v>
      </c>
      <c r="E676" s="155" t="s">
        <v>3766</v>
      </c>
      <c r="F676" s="154"/>
      <c r="G676" s="154">
        <v>0</v>
      </c>
      <c r="H676" s="152">
        <v>0</v>
      </c>
      <c r="I676" s="152">
        <v>0</v>
      </c>
      <c r="J676" s="156"/>
      <c r="K676" s="156">
        <f>+Recap_Final!I62</f>
        <v>0</v>
      </c>
      <c r="L676" s="156">
        <f t="shared" si="1531"/>
        <v>0</v>
      </c>
      <c r="M676" s="156">
        <f t="shared" si="1532"/>
        <v>0</v>
      </c>
      <c r="N676" s="156" t="s">
        <v>83</v>
      </c>
      <c r="O676" s="157" cm="1">
        <f t="array" ref="O676">TRUNC($H676*(1+_xlfn.SWITCH($N676,"BDI 1",$O$6,"BDI 2",$O$7,"BDI 3",$O$8)),2)</f>
        <v>0</v>
      </c>
      <c r="P676" s="157" cm="1">
        <f t="array" ref="P676">TRUNC($I676*(1+_xlfn.SWITCH($N676,"BDI 1",$P$6,"BDI 2",$P$7,"BDI 3",$P$8)),2)</f>
        <v>0</v>
      </c>
      <c r="Q676" s="157">
        <v>0</v>
      </c>
      <c r="R676" s="157">
        <f t="shared" ref="R676" si="1566">$Q676-($Q676*LICITACAO_DESCONTO)</f>
        <v>0</v>
      </c>
      <c r="S676" s="156">
        <f t="shared" si="1534"/>
        <v>0</v>
      </c>
      <c r="T676" s="156">
        <f t="shared" si="1535"/>
        <v>0</v>
      </c>
      <c r="U676" s="156">
        <f t="shared" si="1536"/>
        <v>0</v>
      </c>
      <c r="V676" s="156">
        <f t="shared" si="1537"/>
        <v>0</v>
      </c>
      <c r="W676" s="156">
        <f t="shared" si="1524"/>
        <v>0</v>
      </c>
      <c r="X676" s="158">
        <f t="shared" ref="X676" si="1567">$S676/ORCAMENTO_VALOR_TOTAL_ND</f>
        <v>0</v>
      </c>
      <c r="Y676" s="158">
        <f t="shared" ref="Y676" si="1568">$T676/ORCAMENTO_VALOR_TOTAL_DE</f>
        <v>0</v>
      </c>
      <c r="Z676" s="158" cm="1">
        <f t="array" ref="Z676">_xlfn.SWITCH($N676,"BDI 1",$O$6,"BDI 2",$O$7,"BDI 3",$O$8)</f>
        <v>0.20699999999999999</v>
      </c>
      <c r="AA676" s="158" cm="1">
        <f t="array" ref="AA676">_xlfn.SWITCH($N676,"BDI 1",$P$6,"BDI 2",$P$7,"BDI 3",$P$8)</f>
        <v>0.26739999999999997</v>
      </c>
      <c r="AB676" s="158">
        <f t="shared" ca="1" si="1540"/>
        <v>0</v>
      </c>
      <c r="AC676" s="158">
        <f t="shared" ca="1" si="1541"/>
        <v>0</v>
      </c>
      <c r="AD676" s="164"/>
      <c r="AE676" s="148">
        <f t="shared" si="1527"/>
        <v>0</v>
      </c>
      <c r="AF676" s="149"/>
      <c r="AG676" s="150"/>
      <c r="AH676" s="213" t="e">
        <f t="shared" si="1528"/>
        <v>#DIV/0!</v>
      </c>
      <c r="AI676" s="160"/>
      <c r="AJ676" s="105"/>
      <c r="AK676" s="105"/>
      <c r="AM676" s="105"/>
      <c r="AN676" s="105"/>
      <c r="AO676" s="105"/>
      <c r="AP676" s="105"/>
      <c r="AQ676" s="105"/>
      <c r="AR676" s="105"/>
    </row>
    <row r="677" spans="1:44" s="49" customFormat="1" ht="49.9" hidden="1" customHeight="1">
      <c r="A677" s="152">
        <f t="shared" ca="1" si="1529"/>
        <v>0</v>
      </c>
      <c r="B677" s="153" t="s">
        <v>201</v>
      </c>
      <c r="C677" s="154" t="str">
        <f t="shared" si="1530"/>
        <v>DR/0385</v>
      </c>
      <c r="D677" s="154" t="s">
        <v>3549</v>
      </c>
      <c r="E677" s="155" t="s">
        <v>3785</v>
      </c>
      <c r="F677" s="154"/>
      <c r="G677" s="154" t="s">
        <v>1412</v>
      </c>
      <c r="H677" s="152">
        <v>943.77</v>
      </c>
      <c r="I677" s="152">
        <v>926.67</v>
      </c>
      <c r="J677" s="156"/>
      <c r="K677" s="156">
        <f>+Recap_Final!I89</f>
        <v>0</v>
      </c>
      <c r="L677" s="156">
        <f t="shared" si="1531"/>
        <v>0</v>
      </c>
      <c r="M677" s="156">
        <f t="shared" si="1532"/>
        <v>0</v>
      </c>
      <c r="N677" s="156" t="s">
        <v>83</v>
      </c>
      <c r="O677" s="157" cm="1">
        <f t="array" ref="O677">TRUNC($H677*(1+_xlfn.SWITCH($N677,"BDI 1",$O$6,"BDI 2",$O$7,"BDI 3",$O$8)),2)</f>
        <v>1139.1300000000001</v>
      </c>
      <c r="P677" s="157" cm="1">
        <f t="array" ref="P677">TRUNC($I677*(1+_xlfn.SWITCH($N677,"BDI 1",$P$6,"BDI 2",$P$7,"BDI 3",$P$8)),2)</f>
        <v>1174.46</v>
      </c>
      <c r="Q677" s="157">
        <v>0</v>
      </c>
      <c r="R677" s="157">
        <f t="shared" ref="R677" si="1569">$Q677-($Q677*LICITACAO_DESCONTO)</f>
        <v>0</v>
      </c>
      <c r="S677" s="156">
        <f t="shared" si="1534"/>
        <v>0</v>
      </c>
      <c r="T677" s="156">
        <f t="shared" si="1535"/>
        <v>0</v>
      </c>
      <c r="U677" s="156">
        <f t="shared" si="1536"/>
        <v>0</v>
      </c>
      <c r="V677" s="156">
        <f t="shared" si="1537"/>
        <v>0</v>
      </c>
      <c r="W677" s="156">
        <f t="shared" si="1524"/>
        <v>0</v>
      </c>
      <c r="X677" s="158">
        <f t="shared" ref="X677" si="1570">$S677/ORCAMENTO_VALOR_TOTAL_ND</f>
        <v>0</v>
      </c>
      <c r="Y677" s="158">
        <f t="shared" ref="Y677" si="1571">$T677/ORCAMENTO_VALOR_TOTAL_DE</f>
        <v>0</v>
      </c>
      <c r="Z677" s="158" cm="1">
        <f t="array" ref="Z677">_xlfn.SWITCH($N677,"BDI 1",$O$6,"BDI 2",$O$7,"BDI 3",$O$8)</f>
        <v>0.20699999999999999</v>
      </c>
      <c r="AA677" s="158" cm="1">
        <f t="array" ref="AA677">_xlfn.SWITCH($N677,"BDI 1",$P$6,"BDI 2",$P$7,"BDI 3",$P$8)</f>
        <v>0.26739999999999997</v>
      </c>
      <c r="AB677" s="158">
        <f t="shared" ca="1" si="1540"/>
        <v>0</v>
      </c>
      <c r="AC677" s="158">
        <f t="shared" ca="1" si="1541"/>
        <v>0</v>
      </c>
      <c r="AD677" s="164"/>
      <c r="AE677" s="148">
        <f t="shared" si="1527"/>
        <v>0</v>
      </c>
      <c r="AF677" s="149"/>
      <c r="AG677" s="150"/>
      <c r="AH677" s="159" t="e">
        <f t="shared" si="1528"/>
        <v>#DIV/0!</v>
      </c>
      <c r="AI677" s="160"/>
      <c r="AJ677" s="105"/>
      <c r="AK677" s="105"/>
      <c r="AM677" s="105"/>
      <c r="AN677" s="105"/>
      <c r="AO677" s="105"/>
      <c r="AP677" s="105"/>
      <c r="AQ677" s="105"/>
      <c r="AR677" s="105"/>
    </row>
    <row r="678" spans="1:44" s="49" customFormat="1" ht="49.9" hidden="1" customHeight="1">
      <c r="A678" s="152">
        <f t="shared" ca="1" si="1529"/>
        <v>0</v>
      </c>
      <c r="B678" s="153" t="s">
        <v>202</v>
      </c>
      <c r="C678" s="154" t="str">
        <f t="shared" si="1530"/>
        <v>DR/0390</v>
      </c>
      <c r="D678" s="154" t="s">
        <v>3549</v>
      </c>
      <c r="E678" s="155" t="s">
        <v>3786</v>
      </c>
      <c r="F678" s="154"/>
      <c r="G678" s="154" t="s">
        <v>1412</v>
      </c>
      <c r="H678" s="152">
        <v>229.76</v>
      </c>
      <c r="I678" s="152">
        <v>212.73</v>
      </c>
      <c r="J678" s="156"/>
      <c r="K678" s="156">
        <f>+Recap_Final!I90</f>
        <v>0</v>
      </c>
      <c r="L678" s="156">
        <f t="shared" si="1531"/>
        <v>0</v>
      </c>
      <c r="M678" s="156">
        <f t="shared" si="1532"/>
        <v>0</v>
      </c>
      <c r="N678" s="156" t="s">
        <v>83</v>
      </c>
      <c r="O678" s="157" cm="1">
        <f t="array" ref="O678">TRUNC($H678*(1+_xlfn.SWITCH($N678,"BDI 1",$O$6,"BDI 2",$O$7,"BDI 3",$O$8)),2)</f>
        <v>277.32</v>
      </c>
      <c r="P678" s="157" cm="1">
        <f t="array" ref="P678">TRUNC($I678*(1+_xlfn.SWITCH($N678,"BDI 1",$P$6,"BDI 2",$P$7,"BDI 3",$P$8)),2)</f>
        <v>269.61</v>
      </c>
      <c r="Q678" s="157">
        <v>0</v>
      </c>
      <c r="R678" s="157">
        <f t="shared" ref="R678" si="1572">$Q678-($Q678*LICITACAO_DESCONTO)</f>
        <v>0</v>
      </c>
      <c r="S678" s="156">
        <f t="shared" si="1534"/>
        <v>0</v>
      </c>
      <c r="T678" s="156">
        <f t="shared" si="1535"/>
        <v>0</v>
      </c>
      <c r="U678" s="156">
        <f t="shared" si="1536"/>
        <v>0</v>
      </c>
      <c r="V678" s="156">
        <f t="shared" si="1537"/>
        <v>0</v>
      </c>
      <c r="W678" s="156">
        <f t="shared" si="1524"/>
        <v>0</v>
      </c>
      <c r="X678" s="158">
        <f t="shared" ref="X678" si="1573">$S678/ORCAMENTO_VALOR_TOTAL_ND</f>
        <v>0</v>
      </c>
      <c r="Y678" s="158">
        <f t="shared" ref="Y678" si="1574">$T678/ORCAMENTO_VALOR_TOTAL_DE</f>
        <v>0</v>
      </c>
      <c r="Z678" s="158" cm="1">
        <f t="array" ref="Z678">_xlfn.SWITCH($N678,"BDI 1",$O$6,"BDI 2",$O$7,"BDI 3",$O$8)</f>
        <v>0.20699999999999999</v>
      </c>
      <c r="AA678" s="158" cm="1">
        <f t="array" ref="AA678">_xlfn.SWITCH($N678,"BDI 1",$P$6,"BDI 2",$P$7,"BDI 3",$P$8)</f>
        <v>0.26739999999999997</v>
      </c>
      <c r="AB678" s="158">
        <f t="shared" ca="1" si="1540"/>
        <v>0</v>
      </c>
      <c r="AC678" s="158">
        <f t="shared" ca="1" si="1541"/>
        <v>0</v>
      </c>
      <c r="AD678" s="164"/>
      <c r="AE678" s="148">
        <f t="shared" si="1527"/>
        <v>0</v>
      </c>
      <c r="AF678" s="149"/>
      <c r="AG678" s="150"/>
      <c r="AH678" s="159" t="e">
        <f t="shared" si="1528"/>
        <v>#DIV/0!</v>
      </c>
      <c r="AI678" s="160"/>
      <c r="AJ678" s="105"/>
      <c r="AK678" s="105"/>
      <c r="AM678" s="105"/>
      <c r="AN678" s="105"/>
      <c r="AO678" s="105"/>
      <c r="AP678" s="105"/>
      <c r="AQ678" s="105"/>
      <c r="AR678" s="105"/>
    </row>
    <row r="679" spans="1:44" s="49" customFormat="1" ht="49.9" hidden="1" customHeight="1">
      <c r="A679" s="152">
        <f t="shared" ca="1" si="1529"/>
        <v>0</v>
      </c>
      <c r="B679" s="153" t="s">
        <v>203</v>
      </c>
      <c r="C679" s="154" t="str">
        <f t="shared" si="1530"/>
        <v>DR/0365</v>
      </c>
      <c r="D679" s="154" t="s">
        <v>3549</v>
      </c>
      <c r="E679" s="155" t="s">
        <v>3787</v>
      </c>
      <c r="F679" s="154"/>
      <c r="G679" s="154" t="s">
        <v>1412</v>
      </c>
      <c r="H679" s="152">
        <v>1064.93</v>
      </c>
      <c r="I679" s="152">
        <v>1049.45</v>
      </c>
      <c r="J679" s="156"/>
      <c r="K679" s="156">
        <f>+Recap_Final!I91</f>
        <v>0</v>
      </c>
      <c r="L679" s="156">
        <f t="shared" si="1531"/>
        <v>0</v>
      </c>
      <c r="M679" s="156">
        <f t="shared" si="1532"/>
        <v>0</v>
      </c>
      <c r="N679" s="156" t="s">
        <v>83</v>
      </c>
      <c r="O679" s="157" cm="1">
        <f t="array" ref="O679">TRUNC($H679*(1+_xlfn.SWITCH($N679,"BDI 1",$O$6,"BDI 2",$O$7,"BDI 3",$O$8)),2)</f>
        <v>1285.3699999999999</v>
      </c>
      <c r="P679" s="157" cm="1">
        <f t="array" ref="P679">TRUNC($I679*(1+_xlfn.SWITCH($N679,"BDI 1",$P$6,"BDI 2",$P$7,"BDI 3",$P$8)),2)</f>
        <v>1330.07</v>
      </c>
      <c r="Q679" s="157">
        <v>0</v>
      </c>
      <c r="R679" s="157">
        <f t="shared" ref="R679" si="1575">$Q679-($Q679*LICITACAO_DESCONTO)</f>
        <v>0</v>
      </c>
      <c r="S679" s="156">
        <f t="shared" si="1534"/>
        <v>0</v>
      </c>
      <c r="T679" s="156">
        <f t="shared" si="1535"/>
        <v>0</v>
      </c>
      <c r="U679" s="156">
        <f t="shared" si="1536"/>
        <v>0</v>
      </c>
      <c r="V679" s="156">
        <f t="shared" si="1537"/>
        <v>0</v>
      </c>
      <c r="W679" s="156">
        <f t="shared" si="1524"/>
        <v>0</v>
      </c>
      <c r="X679" s="158">
        <f t="shared" ref="X679" si="1576">$S679/ORCAMENTO_VALOR_TOTAL_ND</f>
        <v>0</v>
      </c>
      <c r="Y679" s="158">
        <f t="shared" ref="Y679" si="1577">$T679/ORCAMENTO_VALOR_TOTAL_DE</f>
        <v>0</v>
      </c>
      <c r="Z679" s="158" cm="1">
        <f t="array" ref="Z679">_xlfn.SWITCH($N679,"BDI 1",$O$6,"BDI 2",$O$7,"BDI 3",$O$8)</f>
        <v>0.20699999999999999</v>
      </c>
      <c r="AA679" s="158" cm="1">
        <f t="array" ref="AA679">_xlfn.SWITCH($N679,"BDI 1",$P$6,"BDI 2",$P$7,"BDI 3",$P$8)</f>
        <v>0.26739999999999997</v>
      </c>
      <c r="AB679" s="158">
        <f t="shared" ca="1" si="1540"/>
        <v>0</v>
      </c>
      <c r="AC679" s="158">
        <f t="shared" ca="1" si="1541"/>
        <v>0</v>
      </c>
      <c r="AD679" s="164"/>
      <c r="AE679" s="148">
        <f t="shared" si="1527"/>
        <v>0</v>
      </c>
      <c r="AF679" s="149"/>
      <c r="AG679" s="150"/>
      <c r="AH679" s="159" t="e">
        <f t="shared" si="1528"/>
        <v>#DIV/0!</v>
      </c>
      <c r="AI679" s="160"/>
      <c r="AJ679" s="105"/>
      <c r="AK679" s="105"/>
      <c r="AM679" s="105"/>
      <c r="AN679" s="105"/>
      <c r="AO679" s="105"/>
      <c r="AP679" s="105"/>
      <c r="AQ679" s="105"/>
      <c r="AR679" s="105"/>
    </row>
    <row r="680" spans="1:44" s="49" customFormat="1" ht="49.9" hidden="1" customHeight="1">
      <c r="A680" s="152">
        <f t="shared" ca="1" si="1529"/>
        <v>0</v>
      </c>
      <c r="B680" s="153" t="s">
        <v>204</v>
      </c>
      <c r="C680" s="154" t="str">
        <f t="shared" si="1530"/>
        <v>DR/0370</v>
      </c>
      <c r="D680" s="154" t="s">
        <v>3549</v>
      </c>
      <c r="E680" s="155" t="s">
        <v>3788</v>
      </c>
      <c r="F680" s="154"/>
      <c r="G680" s="154" t="s">
        <v>1412</v>
      </c>
      <c r="H680" s="152">
        <v>222.87</v>
      </c>
      <c r="I680" s="152">
        <v>208.64</v>
      </c>
      <c r="J680" s="156"/>
      <c r="K680" s="156">
        <f>+Recap_Final!I92</f>
        <v>0</v>
      </c>
      <c r="L680" s="156">
        <f t="shared" si="1531"/>
        <v>0</v>
      </c>
      <c r="M680" s="156">
        <f t="shared" si="1532"/>
        <v>0</v>
      </c>
      <c r="N680" s="156" t="s">
        <v>83</v>
      </c>
      <c r="O680" s="157" cm="1">
        <f t="array" ref="O680">TRUNC($H680*(1+_xlfn.SWITCH($N680,"BDI 1",$O$6,"BDI 2",$O$7,"BDI 3",$O$8)),2)</f>
        <v>269</v>
      </c>
      <c r="P680" s="157" cm="1">
        <f t="array" ref="P680">TRUNC($I680*(1+_xlfn.SWITCH($N680,"BDI 1",$P$6,"BDI 2",$P$7,"BDI 3",$P$8)),2)</f>
        <v>264.43</v>
      </c>
      <c r="Q680" s="157">
        <v>0</v>
      </c>
      <c r="R680" s="157">
        <f t="shared" ref="R680" si="1578">$Q680-($Q680*LICITACAO_DESCONTO)</f>
        <v>0</v>
      </c>
      <c r="S680" s="156">
        <f t="shared" si="1534"/>
        <v>0</v>
      </c>
      <c r="T680" s="156">
        <f t="shared" si="1535"/>
        <v>0</v>
      </c>
      <c r="U680" s="156">
        <f t="shared" si="1536"/>
        <v>0</v>
      </c>
      <c r="V680" s="156">
        <f t="shared" si="1537"/>
        <v>0</v>
      </c>
      <c r="W680" s="156">
        <f t="shared" si="1524"/>
        <v>0</v>
      </c>
      <c r="X680" s="158">
        <f t="shared" ref="X680" si="1579">$S680/ORCAMENTO_VALOR_TOTAL_ND</f>
        <v>0</v>
      </c>
      <c r="Y680" s="158">
        <f t="shared" ref="Y680" si="1580">$T680/ORCAMENTO_VALOR_TOTAL_DE</f>
        <v>0</v>
      </c>
      <c r="Z680" s="158" cm="1">
        <f t="array" ref="Z680">_xlfn.SWITCH($N680,"BDI 1",$O$6,"BDI 2",$O$7,"BDI 3",$O$8)</f>
        <v>0.20699999999999999</v>
      </c>
      <c r="AA680" s="158" cm="1">
        <f t="array" ref="AA680">_xlfn.SWITCH($N680,"BDI 1",$P$6,"BDI 2",$P$7,"BDI 3",$P$8)</f>
        <v>0.26739999999999997</v>
      </c>
      <c r="AB680" s="158">
        <f t="shared" ca="1" si="1540"/>
        <v>0</v>
      </c>
      <c r="AC680" s="158">
        <f t="shared" ca="1" si="1541"/>
        <v>0</v>
      </c>
      <c r="AD680" s="164"/>
      <c r="AE680" s="148">
        <f t="shared" si="1527"/>
        <v>0</v>
      </c>
      <c r="AF680" s="149"/>
      <c r="AG680" s="150"/>
      <c r="AH680" s="159" t="e">
        <f t="shared" si="1528"/>
        <v>#DIV/0!</v>
      </c>
      <c r="AI680" s="160"/>
      <c r="AJ680" s="105"/>
      <c r="AK680" s="105"/>
      <c r="AM680" s="105"/>
      <c r="AN680" s="105"/>
      <c r="AO680" s="105"/>
      <c r="AP680" s="105"/>
      <c r="AQ680" s="105"/>
      <c r="AR680" s="105"/>
    </row>
    <row r="681" spans="1:44" s="49" customFormat="1" ht="49.9" hidden="1" customHeight="1">
      <c r="A681" s="152">
        <f t="shared" ca="1" si="1529"/>
        <v>0</v>
      </c>
      <c r="B681" s="153" t="s">
        <v>301</v>
      </c>
      <c r="C681" s="154" t="str">
        <f t="shared" si="1530"/>
        <v>DR/0395</v>
      </c>
      <c r="D681" s="154" t="s">
        <v>3549</v>
      </c>
      <c r="E681" s="155" t="s">
        <v>3896</v>
      </c>
      <c r="F681" s="154"/>
      <c r="G681" s="154" t="s">
        <v>1412</v>
      </c>
      <c r="H681" s="152">
        <v>582.95000000000005</v>
      </c>
      <c r="I681" s="152">
        <v>565.66</v>
      </c>
      <c r="J681" s="156"/>
      <c r="K681" s="156">
        <f>+Recap_Final!I93</f>
        <v>0</v>
      </c>
      <c r="L681" s="156">
        <f t="shared" si="1531"/>
        <v>0</v>
      </c>
      <c r="M681" s="156">
        <f t="shared" si="1532"/>
        <v>0</v>
      </c>
      <c r="N681" s="156" t="s">
        <v>83</v>
      </c>
      <c r="O681" s="157" cm="1">
        <f t="array" ref="O681">TRUNC($H681*(1+_xlfn.SWITCH($N681,"BDI 1",$O$6,"BDI 2",$O$7,"BDI 3",$O$8)),2)</f>
        <v>703.62</v>
      </c>
      <c r="P681" s="157" cm="1">
        <f t="array" ref="P681">TRUNC($I681*(1+_xlfn.SWITCH($N681,"BDI 1",$P$6,"BDI 2",$P$7,"BDI 3",$P$8)),2)</f>
        <v>716.91</v>
      </c>
      <c r="Q681" s="157">
        <v>0</v>
      </c>
      <c r="R681" s="157">
        <f t="shared" ref="R681" si="1581">$Q681-($Q681*LICITACAO_DESCONTO)</f>
        <v>0</v>
      </c>
      <c r="S681" s="156">
        <f t="shared" si="1534"/>
        <v>0</v>
      </c>
      <c r="T681" s="156">
        <f t="shared" si="1535"/>
        <v>0</v>
      </c>
      <c r="U681" s="156">
        <f t="shared" si="1536"/>
        <v>0</v>
      </c>
      <c r="V681" s="156">
        <f t="shared" si="1537"/>
        <v>0</v>
      </c>
      <c r="W681" s="156">
        <f t="shared" si="1524"/>
        <v>0</v>
      </c>
      <c r="X681" s="158">
        <f t="shared" ref="X681" si="1582">$S681/ORCAMENTO_VALOR_TOTAL_ND</f>
        <v>0</v>
      </c>
      <c r="Y681" s="158">
        <f t="shared" ref="Y681" si="1583">$T681/ORCAMENTO_VALOR_TOTAL_DE</f>
        <v>0</v>
      </c>
      <c r="Z681" s="158" cm="1">
        <f t="array" ref="Z681">_xlfn.SWITCH($N681,"BDI 1",$O$6,"BDI 2",$O$7,"BDI 3",$O$8)</f>
        <v>0.20699999999999999</v>
      </c>
      <c r="AA681" s="158" cm="1">
        <f t="array" ref="AA681">_xlfn.SWITCH($N681,"BDI 1",$P$6,"BDI 2",$P$7,"BDI 3",$P$8)</f>
        <v>0.26739999999999997</v>
      </c>
      <c r="AB681" s="158">
        <f t="shared" ca="1" si="1540"/>
        <v>0</v>
      </c>
      <c r="AC681" s="158">
        <f t="shared" ca="1" si="1541"/>
        <v>0</v>
      </c>
      <c r="AD681" s="164"/>
      <c r="AE681" s="148">
        <f t="shared" si="1527"/>
        <v>0</v>
      </c>
      <c r="AF681" s="149"/>
      <c r="AG681" s="150"/>
      <c r="AH681" s="159" t="e">
        <f t="shared" si="1528"/>
        <v>#DIV/0!</v>
      </c>
      <c r="AI681" s="160"/>
      <c r="AJ681" s="105"/>
      <c r="AK681" s="105"/>
      <c r="AM681" s="105"/>
      <c r="AN681" s="105"/>
      <c r="AO681" s="105"/>
      <c r="AP681" s="105"/>
      <c r="AQ681" s="105"/>
      <c r="AR681" s="105"/>
    </row>
    <row r="682" spans="1:44" s="49" customFormat="1" ht="49.9" hidden="1" customHeight="1">
      <c r="A682" s="152">
        <f t="shared" ca="1" si="1529"/>
        <v>0</v>
      </c>
      <c r="B682" s="153" t="s">
        <v>302</v>
      </c>
      <c r="C682" s="154" t="str">
        <f t="shared" si="1530"/>
        <v>DR/0400</v>
      </c>
      <c r="D682" s="154" t="s">
        <v>3549</v>
      </c>
      <c r="E682" s="155" t="s">
        <v>3897</v>
      </c>
      <c r="F682" s="154"/>
      <c r="G682" s="154" t="s">
        <v>1412</v>
      </c>
      <c r="H682" s="152">
        <v>1211.6600000000001</v>
      </c>
      <c r="I682" s="152">
        <v>1173.0999999999999</v>
      </c>
      <c r="J682" s="156"/>
      <c r="K682" s="156">
        <f>+Recap_Final!I94</f>
        <v>0</v>
      </c>
      <c r="L682" s="156">
        <f t="shared" si="1531"/>
        <v>0</v>
      </c>
      <c r="M682" s="156">
        <f t="shared" si="1532"/>
        <v>0</v>
      </c>
      <c r="N682" s="156" t="s">
        <v>83</v>
      </c>
      <c r="O682" s="157" cm="1">
        <f t="array" ref="O682">TRUNC($H682*(1+_xlfn.SWITCH($N682,"BDI 1",$O$6,"BDI 2",$O$7,"BDI 3",$O$8)),2)</f>
        <v>1462.47</v>
      </c>
      <c r="P682" s="157" cm="1">
        <f t="array" ref="P682">TRUNC($I682*(1+_xlfn.SWITCH($N682,"BDI 1",$P$6,"BDI 2",$P$7,"BDI 3",$P$8)),2)</f>
        <v>1486.78</v>
      </c>
      <c r="Q682" s="157">
        <v>0</v>
      </c>
      <c r="R682" s="157">
        <f t="shared" ref="R682" si="1584">$Q682-($Q682*LICITACAO_DESCONTO)</f>
        <v>0</v>
      </c>
      <c r="S682" s="156">
        <f t="shared" si="1534"/>
        <v>0</v>
      </c>
      <c r="T682" s="156">
        <f t="shared" si="1535"/>
        <v>0</v>
      </c>
      <c r="U682" s="156">
        <f t="shared" si="1536"/>
        <v>0</v>
      </c>
      <c r="V682" s="156">
        <f t="shared" si="1537"/>
        <v>0</v>
      </c>
      <c r="W682" s="156">
        <f t="shared" si="1524"/>
        <v>0</v>
      </c>
      <c r="X682" s="158">
        <f t="shared" ref="X682" si="1585">$S682/ORCAMENTO_VALOR_TOTAL_ND</f>
        <v>0</v>
      </c>
      <c r="Y682" s="158">
        <f t="shared" ref="Y682" si="1586">$T682/ORCAMENTO_VALOR_TOTAL_DE</f>
        <v>0</v>
      </c>
      <c r="Z682" s="158" cm="1">
        <f t="array" ref="Z682">_xlfn.SWITCH($N682,"BDI 1",$O$6,"BDI 2",$O$7,"BDI 3",$O$8)</f>
        <v>0.20699999999999999</v>
      </c>
      <c r="AA682" s="158" cm="1">
        <f t="array" ref="AA682">_xlfn.SWITCH($N682,"BDI 1",$P$6,"BDI 2",$P$7,"BDI 3",$P$8)</f>
        <v>0.26739999999999997</v>
      </c>
      <c r="AB682" s="158">
        <f t="shared" ca="1" si="1540"/>
        <v>0</v>
      </c>
      <c r="AC682" s="158">
        <f t="shared" ca="1" si="1541"/>
        <v>0</v>
      </c>
      <c r="AD682" s="164"/>
      <c r="AE682" s="148">
        <f t="shared" si="1527"/>
        <v>0</v>
      </c>
      <c r="AF682" s="149"/>
      <c r="AG682" s="150"/>
      <c r="AH682" s="159" t="e">
        <f t="shared" si="1528"/>
        <v>#DIV/0!</v>
      </c>
      <c r="AI682" s="160"/>
      <c r="AJ682" s="105"/>
      <c r="AK682" s="105"/>
      <c r="AM682" s="105"/>
      <c r="AN682" s="105"/>
      <c r="AO682" s="105"/>
      <c r="AP682" s="105"/>
      <c r="AQ682" s="105"/>
      <c r="AR682" s="105"/>
    </row>
    <row r="683" spans="1:44" s="49" customFormat="1" ht="40.15" hidden="1" customHeight="1">
      <c r="A683" s="10">
        <f t="shared" ca="1" si="1529"/>
        <v>0</v>
      </c>
      <c r="B683" s="153"/>
      <c r="C683" s="154"/>
      <c r="D683" s="154"/>
      <c r="E683" s="161" t="s">
        <v>303</v>
      </c>
      <c r="F683" s="154"/>
      <c r="G683" s="154"/>
      <c r="H683" s="152"/>
      <c r="I683" s="152"/>
      <c r="J683" s="154"/>
      <c r="K683" s="154"/>
      <c r="L683" s="154"/>
      <c r="M683" s="154"/>
      <c r="N683" s="154"/>
      <c r="O683" s="154"/>
      <c r="P683" s="154"/>
      <c r="Q683" s="154"/>
      <c r="R683" s="154"/>
      <c r="S683" s="162"/>
      <c r="T683" s="162"/>
      <c r="U683" s="162"/>
      <c r="V683" s="162"/>
      <c r="W683" s="162"/>
      <c r="X683" s="154"/>
      <c r="Y683" s="154"/>
      <c r="Z683" s="154"/>
      <c r="AA683" s="154"/>
      <c r="AB683" s="154"/>
      <c r="AC683" s="154"/>
      <c r="AD683" s="106"/>
      <c r="AE683" s="148">
        <f>IF(SUM(S684:S685)&gt;0,IFERROR(TRUNC(A683,0),0),0)</f>
        <v>0</v>
      </c>
      <c r="AF683" s="149"/>
      <c r="AG683" s="150"/>
      <c r="AH683" s="159"/>
      <c r="AI683" s="160"/>
      <c r="AJ683" s="105"/>
      <c r="AK683" s="159"/>
      <c r="AM683" s="105"/>
      <c r="AN683" s="105"/>
      <c r="AO683" s="105"/>
      <c r="AP683" s="105"/>
      <c r="AQ683" s="105"/>
      <c r="AR683" s="105"/>
    </row>
    <row r="684" spans="1:44" s="49" customFormat="1" ht="40.15" hidden="1" customHeight="1">
      <c r="A684" s="152">
        <f t="shared" ca="1" si="1529"/>
        <v>0</v>
      </c>
      <c r="B684" s="153">
        <v>95876</v>
      </c>
      <c r="C684" s="154" t="str">
        <f>TEXT(B684,"0")</f>
        <v>95876</v>
      </c>
      <c r="D684" s="154" t="s">
        <v>1416</v>
      </c>
      <c r="E684" s="155" t="s">
        <v>3537</v>
      </c>
      <c r="F684" s="154">
        <f>IF(Dados_DMT!$B$21&lt;30,Dados_DMT!$B$21,30)</f>
        <v>0</v>
      </c>
      <c r="G684" s="154" t="s">
        <v>3538</v>
      </c>
      <c r="H684" s="152">
        <v>2.09</v>
      </c>
      <c r="I684" s="152">
        <v>2.1</v>
      </c>
      <c r="J684" s="156"/>
      <c r="K684" s="156">
        <f>ROUND(Recap_Final!I99*F684,2)</f>
        <v>0</v>
      </c>
      <c r="L684" s="156">
        <f>IF($K684&gt;$J684,$K684-$J684,0)</f>
        <v>0</v>
      </c>
      <c r="M684" s="156">
        <f>IF($K684&lt;$J684,$J684-$K684,0)</f>
        <v>0</v>
      </c>
      <c r="N684" s="156" t="s">
        <v>83</v>
      </c>
      <c r="O684" s="157" cm="1">
        <f t="array" ref="O684">TRUNC($H684*(1+_xlfn.SWITCH($N684,"BDI 1",$O$6,"BDI 2",$O$7,"BDI 3",$O$8)),2)</f>
        <v>2.52</v>
      </c>
      <c r="P684" s="157" cm="1">
        <f t="array" ref="P684">TRUNC($I684*(1+_xlfn.SWITCH($N684,"BDI 1",$P$6,"BDI 2",$P$7,"BDI 3",$P$8)),2)</f>
        <v>2.66</v>
      </c>
      <c r="Q684" s="157">
        <v>0</v>
      </c>
      <c r="R684" s="157">
        <v>0</v>
      </c>
      <c r="S684" s="156">
        <f>TRUNC($K684*$O684,2)</f>
        <v>0</v>
      </c>
      <c r="T684" s="156">
        <f>TRUNC($K684*$P684,2)</f>
        <v>0</v>
      </c>
      <c r="U684" s="156">
        <f>TRUNC($J684*$R684,2)</f>
        <v>0</v>
      </c>
      <c r="V684" s="156">
        <f>TRUNC($K684*$Q684,2)</f>
        <v>0</v>
      </c>
      <c r="W684" s="156">
        <f>TRUNC(V684-U684,2)</f>
        <v>0</v>
      </c>
      <c r="X684" s="158">
        <f>$S684/ORCAMENTO_VALOR_TOTAL_ND</f>
        <v>0</v>
      </c>
      <c r="Y684" s="158">
        <f>$T684/ORCAMENTO_VALOR_TOTAL_DE</f>
        <v>0</v>
      </c>
      <c r="Z684" s="158" cm="1">
        <f t="array" ref="Z684">_xlfn.SWITCH($N684,"BDI 1",$O$6,"BDI 2",$O$7,"BDI 3",$O$8)</f>
        <v>0.20699999999999999</v>
      </c>
      <c r="AA684" s="158" cm="1">
        <f t="array" ref="AA684">_xlfn.SWITCH($N684,"BDI 1",$P$6,"BDI 2",$P$7,"BDI 3",$P$8)</f>
        <v>0.26739999999999997</v>
      </c>
      <c r="AB684" s="158">
        <f ca="1">IFERROR($S684/_xlfn.XLOOKUP($AE684,$B$16:$B$38,$S$16:$S$38),0)</f>
        <v>0</v>
      </c>
      <c r="AC684" s="158">
        <f ca="1">IFERROR($T684/_xlfn.XLOOKUP($AE684,$B$16:$B$38,$T$16:$T$38),0)</f>
        <v>0</v>
      </c>
      <c r="AD684" s="164"/>
      <c r="AE684" s="148">
        <f t="shared" ref="AE684:AE685" si="1587">IF(S684&gt;0,IFERROR(TRUNC(A684,0),0),0)</f>
        <v>0</v>
      </c>
      <c r="AF684" s="149"/>
      <c r="AG684" s="150"/>
      <c r="AH684" s="159" t="e">
        <f>S684/$S$666</f>
        <v>#DIV/0!</v>
      </c>
      <c r="AI684" s="166">
        <f>IF(K684=0,0,K684/F684)</f>
        <v>0</v>
      </c>
      <c r="AJ684" s="105"/>
      <c r="AK684" s="105"/>
      <c r="AM684" s="105"/>
      <c r="AN684" s="105"/>
      <c r="AO684" s="105"/>
      <c r="AP684" s="105"/>
      <c r="AQ684" s="105"/>
      <c r="AR684" s="105"/>
    </row>
    <row r="685" spans="1:44" s="49" customFormat="1" ht="40.15" hidden="1" customHeight="1">
      <c r="A685" s="152">
        <f t="shared" ca="1" si="1529"/>
        <v>0</v>
      </c>
      <c r="B685" s="153">
        <v>93593</v>
      </c>
      <c r="C685" s="154" t="str">
        <f>TEXT(B685,"0")</f>
        <v>93593</v>
      </c>
      <c r="D685" s="154" t="s">
        <v>1416</v>
      </c>
      <c r="E685" s="155" t="s">
        <v>3545</v>
      </c>
      <c r="F685" s="154">
        <f>+Dados_DMT!$B$21-F684</f>
        <v>0</v>
      </c>
      <c r="G685" s="154" t="s">
        <v>3538</v>
      </c>
      <c r="H685" s="152">
        <v>0.84</v>
      </c>
      <c r="I685" s="152">
        <v>0.85</v>
      </c>
      <c r="J685" s="156"/>
      <c r="K685" s="156">
        <f>ROUND(Recap_Final!I99*F685,2)</f>
        <v>0</v>
      </c>
      <c r="L685" s="156">
        <f>IF($K685&gt;$J685,$K685-$J685,0)</f>
        <v>0</v>
      </c>
      <c r="M685" s="156">
        <f>IF($K685&lt;$J685,$J685-$K685,0)</f>
        <v>0</v>
      </c>
      <c r="N685" s="156" t="s">
        <v>83</v>
      </c>
      <c r="O685" s="157" cm="1">
        <f t="array" ref="O685">TRUNC($H685*(1+_xlfn.SWITCH($N685,"BDI 1",$O$6,"BDI 2",$O$7,"BDI 3",$O$8)),2)</f>
        <v>1.01</v>
      </c>
      <c r="P685" s="157" cm="1">
        <f t="array" ref="P685">TRUNC($I685*(1+_xlfn.SWITCH($N685,"BDI 1",$P$6,"BDI 2",$P$7,"BDI 3",$P$8)),2)</f>
        <v>1.07</v>
      </c>
      <c r="Q685" s="157">
        <v>0</v>
      </c>
      <c r="R685" s="157">
        <v>0</v>
      </c>
      <c r="S685" s="156">
        <f>TRUNC($K685*$O685,2)</f>
        <v>0</v>
      </c>
      <c r="T685" s="156">
        <f>TRUNC($K685*$P685,2)</f>
        <v>0</v>
      </c>
      <c r="U685" s="156">
        <f>TRUNC($J685*$R685,2)</f>
        <v>0</v>
      </c>
      <c r="V685" s="156">
        <f>TRUNC($K685*$Q685,2)</f>
        <v>0</v>
      </c>
      <c r="W685" s="156">
        <f>TRUNC(V685-U685,2)</f>
        <v>0</v>
      </c>
      <c r="X685" s="158">
        <f>$S685/ORCAMENTO_VALOR_TOTAL_ND</f>
        <v>0</v>
      </c>
      <c r="Y685" s="158">
        <f>$T685/ORCAMENTO_VALOR_TOTAL_DE</f>
        <v>0</v>
      </c>
      <c r="Z685" s="158" cm="1">
        <f t="array" ref="Z685">_xlfn.SWITCH($N685,"BDI 1",$O$6,"BDI 2",$O$7,"BDI 3",$O$8)</f>
        <v>0.20699999999999999</v>
      </c>
      <c r="AA685" s="158" cm="1">
        <f t="array" ref="AA685">_xlfn.SWITCH($N685,"BDI 1",$P$6,"BDI 2",$P$7,"BDI 3",$P$8)</f>
        <v>0.26739999999999997</v>
      </c>
      <c r="AB685" s="158">
        <f ca="1">IFERROR($S685/_xlfn.XLOOKUP($AE685,$B$16:$B$38,$S$16:$S$38),0)</f>
        <v>0</v>
      </c>
      <c r="AC685" s="158">
        <f ca="1">IFERROR($T685/_xlfn.XLOOKUP($AE685,$B$16:$B$38,$T$16:$T$38),0)</f>
        <v>0</v>
      </c>
      <c r="AD685" s="164"/>
      <c r="AE685" s="148">
        <f t="shared" si="1587"/>
        <v>0</v>
      </c>
      <c r="AF685" s="149"/>
      <c r="AG685" s="150"/>
      <c r="AH685" s="159" t="e">
        <f>S685/$S$666</f>
        <v>#DIV/0!</v>
      </c>
      <c r="AI685" s="166">
        <f>IF(K685=0,0,K685/F685)</f>
        <v>0</v>
      </c>
      <c r="AJ685" s="105"/>
      <c r="AK685" s="105"/>
      <c r="AM685" s="105"/>
      <c r="AN685" s="105"/>
      <c r="AO685" s="105"/>
      <c r="AP685" s="105"/>
      <c r="AQ685" s="105"/>
      <c r="AR685" s="105"/>
    </row>
    <row r="686" spans="1:44" s="49" customFormat="1" ht="40.15" hidden="1" customHeight="1">
      <c r="A686" s="10">
        <f t="shared" ca="1" si="1529"/>
        <v>0</v>
      </c>
      <c r="B686" s="153"/>
      <c r="C686" s="154"/>
      <c r="D686" s="154"/>
      <c r="E686" s="161" t="s">
        <v>304</v>
      </c>
      <c r="F686" s="154"/>
      <c r="G686" s="154"/>
      <c r="H686" s="152"/>
      <c r="I686" s="152"/>
      <c r="J686" s="154"/>
      <c r="K686" s="154"/>
      <c r="L686" s="154"/>
      <c r="M686" s="154"/>
      <c r="N686" s="154"/>
      <c r="O686" s="154"/>
      <c r="P686" s="154"/>
      <c r="Q686" s="154"/>
      <c r="R686" s="154"/>
      <c r="S686" s="162"/>
      <c r="T686" s="162"/>
      <c r="U686" s="162"/>
      <c r="V686" s="162"/>
      <c r="W686" s="162"/>
      <c r="X686" s="154"/>
      <c r="Y686" s="154"/>
      <c r="Z686" s="154"/>
      <c r="AA686" s="154"/>
      <c r="AB686" s="154"/>
      <c r="AC686" s="154"/>
      <c r="AD686" s="106"/>
      <c r="AE686" s="148">
        <f>IF(SUM(S687:S688)&gt;0,IFERROR(TRUNC(A686,0),0),0)</f>
        <v>0</v>
      </c>
      <c r="AF686" s="149"/>
      <c r="AG686" s="150"/>
      <c r="AH686" s="159"/>
      <c r="AI686" s="160"/>
      <c r="AJ686" s="105"/>
      <c r="AK686" s="159"/>
      <c r="AM686" s="105"/>
      <c r="AN686" s="105"/>
      <c r="AO686" s="105"/>
      <c r="AP686" s="105"/>
      <c r="AQ686" s="105"/>
      <c r="AR686" s="105"/>
    </row>
    <row r="687" spans="1:44" s="49" customFormat="1" ht="40.15" hidden="1" customHeight="1">
      <c r="A687" s="152">
        <f t="shared" ca="1" si="1529"/>
        <v>0</v>
      </c>
      <c r="B687" s="153">
        <v>95876</v>
      </c>
      <c r="C687" s="154" t="str">
        <f>TEXT(B687,"0")</f>
        <v>95876</v>
      </c>
      <c r="D687" s="154" t="s">
        <v>1416</v>
      </c>
      <c r="E687" s="155" t="s">
        <v>3537</v>
      </c>
      <c r="F687" s="154">
        <f>IF(Dados_DMT!$B$22&lt;30,Dados_DMT!$B$2,30)</f>
        <v>0</v>
      </c>
      <c r="G687" s="154" t="s">
        <v>3538</v>
      </c>
      <c r="H687" s="152">
        <v>2.09</v>
      </c>
      <c r="I687" s="152">
        <v>2.1</v>
      </c>
      <c r="J687" s="156"/>
      <c r="K687" s="156">
        <f>ROUND(Recap_Final!I100*F687,2)</f>
        <v>0</v>
      </c>
      <c r="L687" s="156">
        <f>IF($K687&gt;$J687,$K687-$J687,0)</f>
        <v>0</v>
      </c>
      <c r="M687" s="156">
        <f>IF($K687&lt;$J687,$J687-$K687,0)</f>
        <v>0</v>
      </c>
      <c r="N687" s="156" t="s">
        <v>83</v>
      </c>
      <c r="O687" s="157" cm="1">
        <f t="array" ref="O687">TRUNC($H687*(1+_xlfn.SWITCH($N687,"BDI 1",$O$6,"BDI 2",$O$7,"BDI 3",$O$8)),2)</f>
        <v>2.52</v>
      </c>
      <c r="P687" s="157" cm="1">
        <f t="array" ref="P687">TRUNC($I687*(1+_xlfn.SWITCH($N687,"BDI 1",$P$6,"BDI 2",$P$7,"BDI 3",$P$8)),2)</f>
        <v>2.66</v>
      </c>
      <c r="Q687" s="157">
        <v>0</v>
      </c>
      <c r="R687" s="157">
        <v>0</v>
      </c>
      <c r="S687" s="156">
        <f>TRUNC($K687*$O687,2)</f>
        <v>0</v>
      </c>
      <c r="T687" s="156">
        <f>TRUNC($K687*$P687,2)</f>
        <v>0</v>
      </c>
      <c r="U687" s="156">
        <f>TRUNC($J687*$R687,2)</f>
        <v>0</v>
      </c>
      <c r="V687" s="156">
        <f>TRUNC($K687*$Q687,2)</f>
        <v>0</v>
      </c>
      <c r="W687" s="156">
        <f>TRUNC(V687-U687,2)</f>
        <v>0</v>
      </c>
      <c r="X687" s="158">
        <f>$S687/ORCAMENTO_VALOR_TOTAL_ND</f>
        <v>0</v>
      </c>
      <c r="Y687" s="158">
        <f>$T687/ORCAMENTO_VALOR_TOTAL_DE</f>
        <v>0</v>
      </c>
      <c r="Z687" s="158" cm="1">
        <f t="array" ref="Z687">_xlfn.SWITCH($N687,"BDI 1",$O$6,"BDI 2",$O$7,"BDI 3",$O$8)</f>
        <v>0.20699999999999999</v>
      </c>
      <c r="AA687" s="158" cm="1">
        <f t="array" ref="AA687">_xlfn.SWITCH($N687,"BDI 1",$P$6,"BDI 2",$P$7,"BDI 3",$P$8)</f>
        <v>0.26739999999999997</v>
      </c>
      <c r="AB687" s="158">
        <f ca="1">IFERROR($S687/_xlfn.XLOOKUP($AE687,$B$16:$B$38,$S$16:$S$38),0)</f>
        <v>0</v>
      </c>
      <c r="AC687" s="158">
        <f ca="1">IFERROR($T687/_xlfn.XLOOKUP($AE687,$B$16:$B$38,$T$16:$T$38),0)</f>
        <v>0</v>
      </c>
      <c r="AD687" s="164"/>
      <c r="AE687" s="148">
        <f t="shared" ref="AE687:AE688" si="1588">IF(S687&gt;0,IFERROR(TRUNC(A687,0),0),0)</f>
        <v>0</v>
      </c>
      <c r="AF687" s="149"/>
      <c r="AG687" s="150"/>
      <c r="AH687" s="159" t="e">
        <f>S687/$S$666</f>
        <v>#DIV/0!</v>
      </c>
      <c r="AI687" s="166">
        <f>IF(K687=0,0,K687/F687)</f>
        <v>0</v>
      </c>
      <c r="AJ687" s="105"/>
      <c r="AK687" s="105"/>
      <c r="AM687" s="105"/>
      <c r="AN687" s="105"/>
      <c r="AO687" s="105"/>
      <c r="AP687" s="105"/>
      <c r="AQ687" s="105"/>
      <c r="AR687" s="105"/>
    </row>
    <row r="688" spans="1:44" s="49" customFormat="1" ht="40.15" hidden="1" customHeight="1">
      <c r="A688" s="152">
        <f t="shared" ca="1" si="1529"/>
        <v>0</v>
      </c>
      <c r="B688" s="153">
        <v>93593</v>
      </c>
      <c r="C688" s="154" t="str">
        <f>TEXT(B688,"0")</f>
        <v>93593</v>
      </c>
      <c r="D688" s="154" t="s">
        <v>1416</v>
      </c>
      <c r="E688" s="155" t="s">
        <v>3545</v>
      </c>
      <c r="F688" s="154">
        <f>+Dados_DMT!$B$22-F687</f>
        <v>0</v>
      </c>
      <c r="G688" s="154" t="s">
        <v>3538</v>
      </c>
      <c r="H688" s="152">
        <v>0.84</v>
      </c>
      <c r="I688" s="152">
        <v>0.85</v>
      </c>
      <c r="J688" s="156"/>
      <c r="K688" s="156">
        <f>ROUND(Recap_Final!I100*F688,2)</f>
        <v>0</v>
      </c>
      <c r="L688" s="156">
        <f>IF($K688&gt;$J688,$K688-$J688,0)</f>
        <v>0</v>
      </c>
      <c r="M688" s="156">
        <f>IF($K688&lt;$J688,$J688-$K688,0)</f>
        <v>0</v>
      </c>
      <c r="N688" s="156" t="s">
        <v>83</v>
      </c>
      <c r="O688" s="157" cm="1">
        <f t="array" ref="O688">TRUNC($H688*(1+_xlfn.SWITCH($N688,"BDI 1",$O$6,"BDI 2",$O$7,"BDI 3",$O$8)),2)</f>
        <v>1.01</v>
      </c>
      <c r="P688" s="157" cm="1">
        <f t="array" ref="P688">TRUNC($I688*(1+_xlfn.SWITCH($N688,"BDI 1",$P$6,"BDI 2",$P$7,"BDI 3",$P$8)),2)</f>
        <v>1.07</v>
      </c>
      <c r="Q688" s="157">
        <v>0</v>
      </c>
      <c r="R688" s="157">
        <v>0</v>
      </c>
      <c r="S688" s="156">
        <f>TRUNC($K688*$O688,2)</f>
        <v>0</v>
      </c>
      <c r="T688" s="156">
        <f>TRUNC($K688*$P688,2)</f>
        <v>0</v>
      </c>
      <c r="U688" s="156">
        <f>TRUNC($J688*$R688,2)</f>
        <v>0</v>
      </c>
      <c r="V688" s="156">
        <f>TRUNC($K688*$Q688,2)</f>
        <v>0</v>
      </c>
      <c r="W688" s="156">
        <f>TRUNC(V688-U688,2)</f>
        <v>0</v>
      </c>
      <c r="X688" s="158">
        <f>$S688/ORCAMENTO_VALOR_TOTAL_ND</f>
        <v>0</v>
      </c>
      <c r="Y688" s="158">
        <f>$T688/ORCAMENTO_VALOR_TOTAL_DE</f>
        <v>0</v>
      </c>
      <c r="Z688" s="158" cm="1">
        <f t="array" ref="Z688">_xlfn.SWITCH($N688,"BDI 1",$O$6,"BDI 2",$O$7,"BDI 3",$O$8)</f>
        <v>0.20699999999999999</v>
      </c>
      <c r="AA688" s="158" cm="1">
        <f t="array" ref="AA688">_xlfn.SWITCH($N688,"BDI 1",$P$6,"BDI 2",$P$7,"BDI 3",$P$8)</f>
        <v>0.26739999999999997</v>
      </c>
      <c r="AB688" s="158">
        <f ca="1">IFERROR($S688/_xlfn.XLOOKUP($AE688,$B$16:$B$38,$S$16:$S$38),0)</f>
        <v>0</v>
      </c>
      <c r="AC688" s="158">
        <f ca="1">IFERROR($T688/_xlfn.XLOOKUP($AE688,$B$16:$B$38,$T$16:$T$38),0)</f>
        <v>0</v>
      </c>
      <c r="AD688" s="164"/>
      <c r="AE688" s="148">
        <f t="shared" si="1588"/>
        <v>0</v>
      </c>
      <c r="AF688" s="149"/>
      <c r="AG688" s="150"/>
      <c r="AH688" s="159" t="e">
        <f>S688/$S$666</f>
        <v>#DIV/0!</v>
      </c>
      <c r="AI688" s="166">
        <f>IF(K688=0,0,K688/F688)</f>
        <v>0</v>
      </c>
      <c r="AJ688" s="105"/>
      <c r="AK688" s="105"/>
      <c r="AM688" s="105"/>
      <c r="AN688" s="105"/>
      <c r="AO688" s="105"/>
      <c r="AP688" s="105"/>
      <c r="AQ688" s="105"/>
      <c r="AR688" s="105"/>
    </row>
    <row r="689" spans="1:44" s="49" customFormat="1" ht="40.15" hidden="1" customHeight="1">
      <c r="A689" s="10">
        <f t="shared" ca="1" si="1529"/>
        <v>0</v>
      </c>
      <c r="B689" s="153"/>
      <c r="C689" s="154"/>
      <c r="D689" s="154"/>
      <c r="E689" s="161" t="s">
        <v>305</v>
      </c>
      <c r="F689" s="154"/>
      <c r="G689" s="154"/>
      <c r="H689" s="152"/>
      <c r="I689" s="152"/>
      <c r="J689" s="154"/>
      <c r="K689" s="154"/>
      <c r="L689" s="154"/>
      <c r="M689" s="154"/>
      <c r="N689" s="154"/>
      <c r="O689" s="154"/>
      <c r="P689" s="154"/>
      <c r="Q689" s="154"/>
      <c r="R689" s="154"/>
      <c r="S689" s="162"/>
      <c r="T689" s="162"/>
      <c r="U689" s="162"/>
      <c r="V689" s="162"/>
      <c r="W689" s="162"/>
      <c r="X689" s="154"/>
      <c r="Y689" s="154"/>
      <c r="Z689" s="154"/>
      <c r="AA689" s="154"/>
      <c r="AB689" s="154"/>
      <c r="AC689" s="154"/>
      <c r="AD689" s="106"/>
      <c r="AE689" s="148">
        <f>IF(SUM(S690:S691)&gt;0,IFERROR(TRUNC(A689,0),0),0)</f>
        <v>0</v>
      </c>
      <c r="AF689" s="149"/>
      <c r="AG689" s="150"/>
      <c r="AH689" s="159"/>
      <c r="AI689" s="160"/>
      <c r="AJ689" s="105"/>
      <c r="AK689" s="159"/>
      <c r="AM689" s="105"/>
      <c r="AN689" s="105"/>
      <c r="AO689" s="105"/>
      <c r="AP689" s="105"/>
      <c r="AQ689" s="105"/>
      <c r="AR689" s="105"/>
    </row>
    <row r="690" spans="1:44" s="49" customFormat="1" ht="40.15" hidden="1" customHeight="1">
      <c r="A690" s="152">
        <f t="shared" ca="1" si="1529"/>
        <v>0</v>
      </c>
      <c r="B690" s="153">
        <v>95876</v>
      </c>
      <c r="C690" s="154" t="str">
        <f>TEXT(B690,"0")</f>
        <v>95876</v>
      </c>
      <c r="D690" s="154" t="s">
        <v>1416</v>
      </c>
      <c r="E690" s="155" t="s">
        <v>3537</v>
      </c>
      <c r="F690" s="154">
        <f>IF(Dados_DMT!$B$23&lt;30,Dados_DMT!$B$23,30)</f>
        <v>0</v>
      </c>
      <c r="G690" s="154" t="s">
        <v>3538</v>
      </c>
      <c r="H690" s="152">
        <v>2.09</v>
      </c>
      <c r="I690" s="152">
        <v>2.1</v>
      </c>
      <c r="J690" s="156"/>
      <c r="K690" s="156">
        <f>ROUND(Recap_Final!I101*F690,2)</f>
        <v>0</v>
      </c>
      <c r="L690" s="156">
        <f>IF($K690&gt;$J690,$K690-$J690,0)</f>
        <v>0</v>
      </c>
      <c r="M690" s="156">
        <f>IF($K690&lt;$J690,$J690-$K690,0)</f>
        <v>0</v>
      </c>
      <c r="N690" s="156" t="s">
        <v>83</v>
      </c>
      <c r="O690" s="157" cm="1">
        <f t="array" ref="O690">TRUNC($H690*(1+_xlfn.SWITCH($N690,"BDI 1",$O$6,"BDI 2",$O$7,"BDI 3",$O$8)),2)</f>
        <v>2.52</v>
      </c>
      <c r="P690" s="157" cm="1">
        <f t="array" ref="P690">TRUNC($I690*(1+_xlfn.SWITCH($N690,"BDI 1",$P$6,"BDI 2",$P$7,"BDI 3",$P$8)),2)</f>
        <v>2.66</v>
      </c>
      <c r="Q690" s="157">
        <v>0</v>
      </c>
      <c r="R690" s="157">
        <v>0</v>
      </c>
      <c r="S690" s="156">
        <f>TRUNC($K690*$O690,2)</f>
        <v>0</v>
      </c>
      <c r="T690" s="156">
        <f>TRUNC($K690*$P690,2)</f>
        <v>0</v>
      </c>
      <c r="U690" s="156">
        <f>TRUNC($J690*$R690,2)</f>
        <v>0</v>
      </c>
      <c r="V690" s="156">
        <f>TRUNC($K690*$Q690,2)</f>
        <v>0</v>
      </c>
      <c r="W690" s="156">
        <f>TRUNC(V690-U690,2)</f>
        <v>0</v>
      </c>
      <c r="X690" s="158">
        <f>$S690/ORCAMENTO_VALOR_TOTAL_ND</f>
        <v>0</v>
      </c>
      <c r="Y690" s="158">
        <f>$T690/ORCAMENTO_VALOR_TOTAL_DE</f>
        <v>0</v>
      </c>
      <c r="Z690" s="158" cm="1">
        <f t="array" ref="Z690">_xlfn.SWITCH($N690,"BDI 1",$O$6,"BDI 2",$O$7,"BDI 3",$O$8)</f>
        <v>0.20699999999999999</v>
      </c>
      <c r="AA690" s="158" cm="1">
        <f t="array" ref="AA690">_xlfn.SWITCH($N690,"BDI 1",$P$6,"BDI 2",$P$7,"BDI 3",$P$8)</f>
        <v>0.26739999999999997</v>
      </c>
      <c r="AB690" s="158">
        <f ca="1">IFERROR($S690/_xlfn.XLOOKUP($AE690,$B$16:$B$38,$S$16:$S$38),0)</f>
        <v>0</v>
      </c>
      <c r="AC690" s="158">
        <f ca="1">IFERROR($T690/_xlfn.XLOOKUP($AE690,$B$16:$B$38,$T$16:$T$38),0)</f>
        <v>0</v>
      </c>
      <c r="AD690" s="164"/>
      <c r="AE690" s="148">
        <f t="shared" ref="AE690:AE691" si="1589">IF(S690&gt;0,IFERROR(TRUNC(A690,0),0),0)</f>
        <v>0</v>
      </c>
      <c r="AF690" s="149"/>
      <c r="AG690" s="150"/>
      <c r="AH690" s="159" t="e">
        <f>S690/$S$666</f>
        <v>#DIV/0!</v>
      </c>
      <c r="AI690" s="166">
        <f>IF(K690=0,0,K690/F690)</f>
        <v>0</v>
      </c>
      <c r="AJ690" s="105"/>
      <c r="AK690" s="105"/>
      <c r="AM690" s="105"/>
      <c r="AN690" s="105"/>
      <c r="AO690" s="105"/>
      <c r="AP690" s="105"/>
      <c r="AQ690" s="105"/>
      <c r="AR690" s="105"/>
    </row>
    <row r="691" spans="1:44" s="49" customFormat="1" ht="40.15" hidden="1" customHeight="1">
      <c r="A691" s="152">
        <f t="shared" ca="1" si="1529"/>
        <v>0</v>
      </c>
      <c r="B691" s="153">
        <v>93593</v>
      </c>
      <c r="C691" s="154" t="str">
        <f>TEXT(B691,"0")</f>
        <v>93593</v>
      </c>
      <c r="D691" s="154" t="s">
        <v>1416</v>
      </c>
      <c r="E691" s="155" t="s">
        <v>3545</v>
      </c>
      <c r="F691" s="154">
        <f>+Dados_DMT!$B$23-F690</f>
        <v>0</v>
      </c>
      <c r="G691" s="154" t="s">
        <v>3538</v>
      </c>
      <c r="H691" s="152">
        <v>0.84</v>
      </c>
      <c r="I691" s="152">
        <v>0.85</v>
      </c>
      <c r="J691" s="156"/>
      <c r="K691" s="156">
        <f>ROUND(Recap_Final!I101*F691,2)</f>
        <v>0</v>
      </c>
      <c r="L691" s="156">
        <f>IF($K691&gt;$J691,$K691-$J691,0)</f>
        <v>0</v>
      </c>
      <c r="M691" s="156">
        <f>IF($K691&lt;$J691,$J691-$K691,0)</f>
        <v>0</v>
      </c>
      <c r="N691" s="156" t="s">
        <v>83</v>
      </c>
      <c r="O691" s="157" cm="1">
        <f t="array" ref="O691">TRUNC($H691*(1+_xlfn.SWITCH($N691,"BDI 1",$O$6,"BDI 2",$O$7,"BDI 3",$O$8)),2)</f>
        <v>1.01</v>
      </c>
      <c r="P691" s="157" cm="1">
        <f t="array" ref="P691">TRUNC($I691*(1+_xlfn.SWITCH($N691,"BDI 1",$P$6,"BDI 2",$P$7,"BDI 3",$P$8)),2)</f>
        <v>1.07</v>
      </c>
      <c r="Q691" s="157">
        <v>0</v>
      </c>
      <c r="R691" s="157">
        <v>0</v>
      </c>
      <c r="S691" s="156">
        <f>TRUNC($K691*$O691,2)</f>
        <v>0</v>
      </c>
      <c r="T691" s="156">
        <f>TRUNC($K691*$P691,2)</f>
        <v>0</v>
      </c>
      <c r="U691" s="156">
        <f>TRUNC($J691*$R691,2)</f>
        <v>0</v>
      </c>
      <c r="V691" s="156">
        <f>TRUNC($K691*$Q691,2)</f>
        <v>0</v>
      </c>
      <c r="W691" s="156">
        <f>TRUNC(V691-U691,2)</f>
        <v>0</v>
      </c>
      <c r="X691" s="158">
        <f>$S691/ORCAMENTO_VALOR_TOTAL_ND</f>
        <v>0</v>
      </c>
      <c r="Y691" s="158">
        <f>$T691/ORCAMENTO_VALOR_TOTAL_DE</f>
        <v>0</v>
      </c>
      <c r="Z691" s="158" cm="1">
        <f t="array" ref="Z691">_xlfn.SWITCH($N691,"BDI 1",$O$6,"BDI 2",$O$7,"BDI 3",$O$8)</f>
        <v>0.20699999999999999</v>
      </c>
      <c r="AA691" s="158" cm="1">
        <f t="array" ref="AA691">_xlfn.SWITCH($N691,"BDI 1",$P$6,"BDI 2",$P$7,"BDI 3",$P$8)</f>
        <v>0.26739999999999997</v>
      </c>
      <c r="AB691" s="158">
        <f ca="1">IFERROR($S691/_xlfn.XLOOKUP($AE691,$B$16:$B$38,$S$16:$S$38),0)</f>
        <v>0</v>
      </c>
      <c r="AC691" s="158">
        <f ca="1">IFERROR($T691/_xlfn.XLOOKUP($AE691,$B$16:$B$38,$T$16:$T$38),0)</f>
        <v>0</v>
      </c>
      <c r="AD691" s="164"/>
      <c r="AE691" s="148">
        <f t="shared" si="1589"/>
        <v>0</v>
      </c>
      <c r="AF691" s="149"/>
      <c r="AG691" s="150"/>
      <c r="AH691" s="159" t="e">
        <f>S691/$S$666</f>
        <v>#DIV/0!</v>
      </c>
      <c r="AI691" s="166">
        <f>IF(K691=0,0,K691/F691)</f>
        <v>0</v>
      </c>
      <c r="AJ691" s="105"/>
      <c r="AK691" s="105"/>
      <c r="AM691" s="105"/>
      <c r="AN691" s="105"/>
      <c r="AO691" s="105"/>
      <c r="AP691" s="105"/>
      <c r="AQ691" s="105"/>
      <c r="AR691" s="105"/>
    </row>
    <row r="692" spans="1:44" s="49" customFormat="1" ht="40.15" hidden="1" customHeight="1">
      <c r="A692" s="10">
        <f t="shared" ca="1" si="1529"/>
        <v>0</v>
      </c>
      <c r="B692" s="153"/>
      <c r="C692" s="154"/>
      <c r="D692" s="154"/>
      <c r="E692" s="161" t="s">
        <v>306</v>
      </c>
      <c r="F692" s="154"/>
      <c r="G692" s="154"/>
      <c r="H692" s="152"/>
      <c r="I692" s="152"/>
      <c r="J692" s="154"/>
      <c r="K692" s="154"/>
      <c r="L692" s="154"/>
      <c r="M692" s="154"/>
      <c r="N692" s="154"/>
      <c r="O692" s="154"/>
      <c r="P692" s="154"/>
      <c r="Q692" s="154"/>
      <c r="R692" s="154"/>
      <c r="S692" s="162"/>
      <c r="T692" s="162"/>
      <c r="U692" s="162"/>
      <c r="V692" s="162"/>
      <c r="W692" s="162"/>
      <c r="X692" s="154"/>
      <c r="Y692" s="154"/>
      <c r="Z692" s="154"/>
      <c r="AA692" s="154"/>
      <c r="AB692" s="154"/>
      <c r="AC692" s="154"/>
      <c r="AD692" s="106"/>
      <c r="AE692" s="148">
        <f>IF(SUM(S693:S694)&gt;0,IFERROR(TRUNC(A692,0),0),0)</f>
        <v>0</v>
      </c>
      <c r="AF692" s="149"/>
      <c r="AG692" s="150"/>
      <c r="AH692" s="159"/>
      <c r="AI692" s="160"/>
      <c r="AJ692" s="105"/>
      <c r="AK692" s="159"/>
      <c r="AM692" s="105"/>
      <c r="AN692" s="105"/>
      <c r="AO692" s="105"/>
      <c r="AP692" s="105"/>
      <c r="AQ692" s="105"/>
      <c r="AR692" s="105"/>
    </row>
    <row r="693" spans="1:44" s="49" customFormat="1" ht="40.15" hidden="1" customHeight="1">
      <c r="A693" s="152">
        <f t="shared" ca="1" si="1529"/>
        <v>0</v>
      </c>
      <c r="B693" s="153">
        <v>95876</v>
      </c>
      <c r="C693" s="154" t="str">
        <f>TEXT(B693,"0")</f>
        <v>95876</v>
      </c>
      <c r="D693" s="154" t="s">
        <v>1416</v>
      </c>
      <c r="E693" s="155" t="s">
        <v>3537</v>
      </c>
      <c r="F693" s="154">
        <f>IF(Dados_DMT!$B$34&lt;30,Dados_DMT!$B$34,30)</f>
        <v>30</v>
      </c>
      <c r="G693" s="154" t="s">
        <v>3538</v>
      </c>
      <c r="H693" s="152">
        <v>2.09</v>
      </c>
      <c r="I693" s="152">
        <v>2.1</v>
      </c>
      <c r="J693" s="156"/>
      <c r="K693" s="156">
        <f>ROUND(Recap_Final!I103*F693,2)</f>
        <v>0</v>
      </c>
      <c r="L693" s="156">
        <f>IF($K693&gt;$J693,$K693-$J693,0)</f>
        <v>0</v>
      </c>
      <c r="M693" s="156">
        <f>IF($K693&lt;$J693,$J693-$K693,0)</f>
        <v>0</v>
      </c>
      <c r="N693" s="156" t="s">
        <v>83</v>
      </c>
      <c r="O693" s="157" cm="1">
        <f t="array" ref="O693">TRUNC($H693*(1+_xlfn.SWITCH($N693,"BDI 1",$O$6,"BDI 2",$O$7,"BDI 3",$O$8)),2)</f>
        <v>2.52</v>
      </c>
      <c r="P693" s="157" cm="1">
        <f t="array" ref="P693">TRUNC($I693*(1+_xlfn.SWITCH($N693,"BDI 1",$P$6,"BDI 2",$P$7,"BDI 3",$P$8)),2)</f>
        <v>2.66</v>
      </c>
      <c r="Q693" s="157">
        <v>0</v>
      </c>
      <c r="R693" s="157">
        <v>0</v>
      </c>
      <c r="S693" s="156">
        <f>TRUNC($K693*$O693,2)</f>
        <v>0</v>
      </c>
      <c r="T693" s="156">
        <f>TRUNC($K693*$P693,2)</f>
        <v>0</v>
      </c>
      <c r="U693" s="156">
        <f>TRUNC($J693*$R693,2)</f>
        <v>0</v>
      </c>
      <c r="V693" s="156">
        <f>TRUNC($K693*$Q693,2)</f>
        <v>0</v>
      </c>
      <c r="W693" s="156">
        <f>TRUNC(V693-U693,2)</f>
        <v>0</v>
      </c>
      <c r="X693" s="158">
        <f>$S693/ORCAMENTO_VALOR_TOTAL_ND</f>
        <v>0</v>
      </c>
      <c r="Y693" s="158">
        <f>$T693/ORCAMENTO_VALOR_TOTAL_DE</f>
        <v>0</v>
      </c>
      <c r="Z693" s="158" cm="1">
        <f t="array" ref="Z693">_xlfn.SWITCH($N693,"BDI 1",$O$6,"BDI 2",$O$7,"BDI 3",$O$8)</f>
        <v>0.20699999999999999</v>
      </c>
      <c r="AA693" s="158" cm="1">
        <f t="array" ref="AA693">_xlfn.SWITCH($N693,"BDI 1",$P$6,"BDI 2",$P$7,"BDI 3",$P$8)</f>
        <v>0.26739999999999997</v>
      </c>
      <c r="AB693" s="158">
        <f ca="1">IFERROR($S693/_xlfn.XLOOKUP($AE693,$B$16:$B$38,$S$16:$S$38),0)</f>
        <v>0</v>
      </c>
      <c r="AC693" s="158">
        <f ca="1">IFERROR($T693/_xlfn.XLOOKUP($AE693,$B$16:$B$38,$T$16:$T$38),0)</f>
        <v>0</v>
      </c>
      <c r="AD693" s="164"/>
      <c r="AE693" s="148">
        <f t="shared" ref="AE693:AE694" si="1590">IF(S693&gt;0,IFERROR(TRUNC(A693,0),0),0)</f>
        <v>0</v>
      </c>
      <c r="AF693" s="149"/>
      <c r="AG693" s="150"/>
      <c r="AH693" s="159" t="e">
        <f>S693/$S$666</f>
        <v>#DIV/0!</v>
      </c>
      <c r="AI693" s="166">
        <f>IF(K693=0,0,K693/F693)</f>
        <v>0</v>
      </c>
      <c r="AJ693" s="105"/>
      <c r="AK693" s="105"/>
      <c r="AM693" s="105"/>
      <c r="AN693" s="105"/>
      <c r="AO693" s="105"/>
      <c r="AP693" s="105"/>
      <c r="AQ693" s="105"/>
      <c r="AR693" s="105"/>
    </row>
    <row r="694" spans="1:44" s="49" customFormat="1" ht="40.15" hidden="1" customHeight="1">
      <c r="A694" s="152">
        <f t="shared" ca="1" si="1529"/>
        <v>0</v>
      </c>
      <c r="B694" s="153">
        <v>93593</v>
      </c>
      <c r="C694" s="154" t="str">
        <f>TEXT(B694,"0")</f>
        <v>93593</v>
      </c>
      <c r="D694" s="154" t="s">
        <v>1416</v>
      </c>
      <c r="E694" s="155" t="s">
        <v>3545</v>
      </c>
      <c r="F694" s="154">
        <f>+Dados_DMT!$B$34-F693</f>
        <v>80</v>
      </c>
      <c r="G694" s="154" t="s">
        <v>3538</v>
      </c>
      <c r="H694" s="152">
        <v>0.84</v>
      </c>
      <c r="I694" s="152">
        <v>0.85</v>
      </c>
      <c r="J694" s="156"/>
      <c r="K694" s="156">
        <f>ROUND(Recap_Final!I103*F694,2)</f>
        <v>0</v>
      </c>
      <c r="L694" s="156">
        <f>IF($K694&gt;$J694,$K694-$J694,0)</f>
        <v>0</v>
      </c>
      <c r="M694" s="156">
        <f>IF($K694&lt;$J694,$J694-$K694,0)</f>
        <v>0</v>
      </c>
      <c r="N694" s="156" t="s">
        <v>83</v>
      </c>
      <c r="O694" s="157" cm="1">
        <f t="array" ref="O694">TRUNC($H694*(1+_xlfn.SWITCH($N694,"BDI 1",$O$6,"BDI 2",$O$7,"BDI 3",$O$8)),2)</f>
        <v>1.01</v>
      </c>
      <c r="P694" s="157" cm="1">
        <f t="array" ref="P694">TRUNC($I694*(1+_xlfn.SWITCH($N694,"BDI 1",$P$6,"BDI 2",$P$7,"BDI 3",$P$8)),2)</f>
        <v>1.07</v>
      </c>
      <c r="Q694" s="157">
        <v>0</v>
      </c>
      <c r="R694" s="157">
        <v>0</v>
      </c>
      <c r="S694" s="156">
        <f>TRUNC($K694*$O694,2)</f>
        <v>0</v>
      </c>
      <c r="T694" s="156">
        <f>TRUNC($K694*$P694,2)</f>
        <v>0</v>
      </c>
      <c r="U694" s="156">
        <f>TRUNC($J694*$R694,2)</f>
        <v>0</v>
      </c>
      <c r="V694" s="156">
        <f>TRUNC($K694*$Q694,2)</f>
        <v>0</v>
      </c>
      <c r="W694" s="156">
        <f>TRUNC(V694-U694,2)</f>
        <v>0</v>
      </c>
      <c r="X694" s="158">
        <f>$S694/ORCAMENTO_VALOR_TOTAL_ND</f>
        <v>0</v>
      </c>
      <c r="Y694" s="158">
        <f>$T694/ORCAMENTO_VALOR_TOTAL_DE</f>
        <v>0</v>
      </c>
      <c r="Z694" s="158" cm="1">
        <f t="array" ref="Z694">_xlfn.SWITCH($N694,"BDI 1",$O$6,"BDI 2",$O$7,"BDI 3",$O$8)</f>
        <v>0.20699999999999999</v>
      </c>
      <c r="AA694" s="158" cm="1">
        <f t="array" ref="AA694">_xlfn.SWITCH($N694,"BDI 1",$P$6,"BDI 2",$P$7,"BDI 3",$P$8)</f>
        <v>0.26739999999999997</v>
      </c>
      <c r="AB694" s="158">
        <f ca="1">IFERROR($S694/_xlfn.XLOOKUP($AE694,$B$16:$B$38,$S$16:$S$38),0)</f>
        <v>0</v>
      </c>
      <c r="AC694" s="158">
        <f ca="1">IFERROR($T694/_xlfn.XLOOKUP($AE694,$B$16:$B$38,$T$16:$T$38),0)</f>
        <v>0</v>
      </c>
      <c r="AD694" s="164"/>
      <c r="AE694" s="148">
        <f t="shared" si="1590"/>
        <v>0</v>
      </c>
      <c r="AF694" s="149"/>
      <c r="AG694" s="150"/>
      <c r="AH694" s="159" t="e">
        <f>S694/$S$666</f>
        <v>#DIV/0!</v>
      </c>
      <c r="AI694" s="166">
        <f>IF(K694=0,0,K694/F694)</f>
        <v>0</v>
      </c>
      <c r="AJ694" s="105"/>
      <c r="AK694" s="105"/>
      <c r="AM694" s="105"/>
      <c r="AN694" s="105"/>
      <c r="AO694" s="105"/>
      <c r="AP694" s="105"/>
      <c r="AQ694" s="105"/>
      <c r="AR694" s="105"/>
    </row>
    <row r="695" spans="1:44" s="49" customFormat="1" ht="40.15" hidden="1" customHeight="1">
      <c r="A695" s="10">
        <f t="shared" ca="1" si="1529"/>
        <v>0</v>
      </c>
      <c r="B695" s="153"/>
      <c r="C695" s="154"/>
      <c r="D695" s="154"/>
      <c r="E695" s="161" t="s">
        <v>307</v>
      </c>
      <c r="F695" s="154"/>
      <c r="G695" s="154"/>
      <c r="H695" s="152"/>
      <c r="I695" s="152"/>
      <c r="J695" s="154"/>
      <c r="K695" s="154"/>
      <c r="L695" s="154"/>
      <c r="M695" s="154"/>
      <c r="N695" s="154"/>
      <c r="O695" s="154"/>
      <c r="P695" s="154"/>
      <c r="Q695" s="154"/>
      <c r="R695" s="154"/>
      <c r="S695" s="162"/>
      <c r="T695" s="162"/>
      <c r="U695" s="162"/>
      <c r="V695" s="162"/>
      <c r="W695" s="162"/>
      <c r="X695" s="154"/>
      <c r="Y695" s="154"/>
      <c r="Z695" s="154"/>
      <c r="AA695" s="154"/>
      <c r="AB695" s="154"/>
      <c r="AC695" s="154"/>
      <c r="AD695" s="106"/>
      <c r="AE695" s="148">
        <f>IF(SUM(S696:S697)&gt;0,IFERROR(TRUNC(A695,0),0),0)</f>
        <v>0</v>
      </c>
      <c r="AF695" s="149"/>
      <c r="AG695" s="150"/>
      <c r="AH695" s="159"/>
      <c r="AI695" s="160"/>
      <c r="AJ695" s="105"/>
      <c r="AK695" s="159"/>
      <c r="AM695" s="105"/>
      <c r="AN695" s="105"/>
      <c r="AO695" s="105"/>
      <c r="AP695" s="105"/>
      <c r="AQ695" s="105"/>
      <c r="AR695" s="105"/>
    </row>
    <row r="696" spans="1:44" s="49" customFormat="1" ht="40.15" hidden="1" customHeight="1">
      <c r="A696" s="152">
        <f t="shared" ca="1" si="1529"/>
        <v>0</v>
      </c>
      <c r="B696" s="153">
        <v>95876</v>
      </c>
      <c r="C696" s="154" t="str">
        <f>TEXT(B696,"0")</f>
        <v>95876</v>
      </c>
      <c r="D696" s="154" t="s">
        <v>1416</v>
      </c>
      <c r="E696" s="155" t="s">
        <v>3537</v>
      </c>
      <c r="F696" s="154">
        <f>IF(Dados_DMT!$B$34&lt;30,Dados_DMT!$B$34,30)</f>
        <v>30</v>
      </c>
      <c r="G696" s="154" t="s">
        <v>3538</v>
      </c>
      <c r="H696" s="152">
        <v>2.09</v>
      </c>
      <c r="I696" s="152">
        <v>2.1</v>
      </c>
      <c r="J696" s="156"/>
      <c r="K696" s="156">
        <f>ROUND(Recap_Final!I104*F696,2)</f>
        <v>0</v>
      </c>
      <c r="L696" s="156">
        <f>IF($K696&gt;$J696,$K696-$J696,0)</f>
        <v>0</v>
      </c>
      <c r="M696" s="156">
        <f>IF($K696&lt;$J696,$J696-$K696,0)</f>
        <v>0</v>
      </c>
      <c r="N696" s="156" t="s">
        <v>83</v>
      </c>
      <c r="O696" s="157" cm="1">
        <f t="array" ref="O696">TRUNC($H696*(1+_xlfn.SWITCH($N696,"BDI 1",$O$6,"BDI 2",$O$7,"BDI 3",$O$8)),2)</f>
        <v>2.52</v>
      </c>
      <c r="P696" s="157" cm="1">
        <f t="array" ref="P696">TRUNC($I696*(1+_xlfn.SWITCH($N696,"BDI 1",$P$6,"BDI 2",$P$7,"BDI 3",$P$8)),2)</f>
        <v>2.66</v>
      </c>
      <c r="Q696" s="157">
        <v>0</v>
      </c>
      <c r="R696" s="157">
        <v>0</v>
      </c>
      <c r="S696" s="156">
        <f>TRUNC($K696*$O696,2)</f>
        <v>0</v>
      </c>
      <c r="T696" s="156">
        <f>TRUNC($K696*$P696,2)</f>
        <v>0</v>
      </c>
      <c r="U696" s="156">
        <f>TRUNC($J696*$R696,2)</f>
        <v>0</v>
      </c>
      <c r="V696" s="156">
        <f>TRUNC($K696*$Q696,2)</f>
        <v>0</v>
      </c>
      <c r="W696" s="156">
        <f>TRUNC(V696-U696,2)</f>
        <v>0</v>
      </c>
      <c r="X696" s="158">
        <f>$S696/ORCAMENTO_VALOR_TOTAL_ND</f>
        <v>0</v>
      </c>
      <c r="Y696" s="158">
        <f>$T696/ORCAMENTO_VALOR_TOTAL_DE</f>
        <v>0</v>
      </c>
      <c r="Z696" s="158" cm="1">
        <f t="array" ref="Z696">_xlfn.SWITCH($N696,"BDI 1",$O$6,"BDI 2",$O$7,"BDI 3",$O$8)</f>
        <v>0.20699999999999999</v>
      </c>
      <c r="AA696" s="158" cm="1">
        <f t="array" ref="AA696">_xlfn.SWITCH($N696,"BDI 1",$P$6,"BDI 2",$P$7,"BDI 3",$P$8)</f>
        <v>0.26739999999999997</v>
      </c>
      <c r="AB696" s="158">
        <f ca="1">IFERROR($S696/_xlfn.XLOOKUP($AE696,$B$16:$B$38,$S$16:$S$38),0)</f>
        <v>0</v>
      </c>
      <c r="AC696" s="158">
        <f ca="1">IFERROR($T696/_xlfn.XLOOKUP($AE696,$B$16:$B$38,$T$16:$T$38),0)</f>
        <v>0</v>
      </c>
      <c r="AD696" s="164"/>
      <c r="AE696" s="148">
        <f t="shared" ref="AE696:AE697" si="1591">IF(S696&gt;0,IFERROR(TRUNC(A696,0),0),0)</f>
        <v>0</v>
      </c>
      <c r="AF696" s="149"/>
      <c r="AG696" s="150"/>
      <c r="AH696" s="159" t="e">
        <f>S696/$S$666</f>
        <v>#DIV/0!</v>
      </c>
      <c r="AI696" s="166">
        <f>IF(K696=0,0,K696/F696)</f>
        <v>0</v>
      </c>
      <c r="AJ696" s="105"/>
      <c r="AK696" s="105"/>
      <c r="AM696" s="105"/>
      <c r="AN696" s="105"/>
      <c r="AO696" s="105"/>
      <c r="AP696" s="105"/>
      <c r="AQ696" s="105"/>
      <c r="AR696" s="105"/>
    </row>
    <row r="697" spans="1:44" s="49" customFormat="1" ht="40.15" hidden="1" customHeight="1">
      <c r="A697" s="152">
        <f t="shared" ca="1" si="1529"/>
        <v>0</v>
      </c>
      <c r="B697" s="153">
        <v>93593</v>
      </c>
      <c r="C697" s="154" t="str">
        <f>TEXT(B697,"0")</f>
        <v>93593</v>
      </c>
      <c r="D697" s="154" t="s">
        <v>1416</v>
      </c>
      <c r="E697" s="155" t="s">
        <v>3545</v>
      </c>
      <c r="F697" s="154">
        <f>+Dados_DMT!$B$34-F696</f>
        <v>80</v>
      </c>
      <c r="G697" s="154" t="s">
        <v>3538</v>
      </c>
      <c r="H697" s="152">
        <v>0.84</v>
      </c>
      <c r="I697" s="152">
        <v>0.85</v>
      </c>
      <c r="J697" s="156"/>
      <c r="K697" s="156">
        <f>ROUND(Recap_Final!I104*F697,2)</f>
        <v>0</v>
      </c>
      <c r="L697" s="156">
        <f>IF($K697&gt;$J697,$K697-$J697,0)</f>
        <v>0</v>
      </c>
      <c r="M697" s="156">
        <f>IF($K697&lt;$J697,$J697-$K697,0)</f>
        <v>0</v>
      </c>
      <c r="N697" s="156" t="s">
        <v>83</v>
      </c>
      <c r="O697" s="157" cm="1">
        <f t="array" ref="O697">TRUNC($H697*(1+_xlfn.SWITCH($N697,"BDI 1",$O$6,"BDI 2",$O$7,"BDI 3",$O$8)),2)</f>
        <v>1.01</v>
      </c>
      <c r="P697" s="157" cm="1">
        <f t="array" ref="P697">TRUNC($I697*(1+_xlfn.SWITCH($N697,"BDI 1",$P$6,"BDI 2",$P$7,"BDI 3",$P$8)),2)</f>
        <v>1.07</v>
      </c>
      <c r="Q697" s="157">
        <v>0</v>
      </c>
      <c r="R697" s="157">
        <v>0</v>
      </c>
      <c r="S697" s="156">
        <f>TRUNC($K697*$O697,2)</f>
        <v>0</v>
      </c>
      <c r="T697" s="156">
        <f>TRUNC($K697*$P697,2)</f>
        <v>0</v>
      </c>
      <c r="U697" s="156">
        <f>TRUNC($J697*$R697,2)</f>
        <v>0</v>
      </c>
      <c r="V697" s="156">
        <f>TRUNC($K697*$Q697,2)</f>
        <v>0</v>
      </c>
      <c r="W697" s="156">
        <f>TRUNC(V697-U697,2)</f>
        <v>0</v>
      </c>
      <c r="X697" s="158">
        <f>$S697/ORCAMENTO_VALOR_TOTAL_ND</f>
        <v>0</v>
      </c>
      <c r="Y697" s="158">
        <f>$T697/ORCAMENTO_VALOR_TOTAL_DE</f>
        <v>0</v>
      </c>
      <c r="Z697" s="158" cm="1">
        <f t="array" ref="Z697">_xlfn.SWITCH($N697,"BDI 1",$O$6,"BDI 2",$O$7,"BDI 3",$O$8)</f>
        <v>0.20699999999999999</v>
      </c>
      <c r="AA697" s="158" cm="1">
        <f t="array" ref="AA697">_xlfn.SWITCH($N697,"BDI 1",$P$6,"BDI 2",$P$7,"BDI 3",$P$8)</f>
        <v>0.26739999999999997</v>
      </c>
      <c r="AB697" s="158">
        <f ca="1">IFERROR($S697/_xlfn.XLOOKUP($AE697,$B$16:$B$38,$S$16:$S$38),0)</f>
        <v>0</v>
      </c>
      <c r="AC697" s="158">
        <f ca="1">IFERROR($T697/_xlfn.XLOOKUP($AE697,$B$16:$B$38,$T$16:$T$38),0)</f>
        <v>0</v>
      </c>
      <c r="AD697" s="164"/>
      <c r="AE697" s="148">
        <f t="shared" si="1591"/>
        <v>0</v>
      </c>
      <c r="AF697" s="149"/>
      <c r="AG697" s="150"/>
      <c r="AH697" s="159" t="e">
        <f>S697/$S$666</f>
        <v>#DIV/0!</v>
      </c>
      <c r="AI697" s="166">
        <f>IF(K697=0,0,K697/F697)</f>
        <v>0</v>
      </c>
      <c r="AJ697" s="105"/>
      <c r="AK697" s="105"/>
      <c r="AM697" s="105"/>
      <c r="AN697" s="105"/>
      <c r="AO697" s="105"/>
      <c r="AP697" s="105"/>
      <c r="AQ697" s="105"/>
      <c r="AR697" s="105"/>
    </row>
    <row r="698" spans="1:44" s="49" customFormat="1" ht="40.15" hidden="1" customHeight="1">
      <c r="A698" s="10">
        <f t="shared" ca="1" si="1529"/>
        <v>0</v>
      </c>
      <c r="B698" s="153"/>
      <c r="C698" s="154"/>
      <c r="D698" s="154"/>
      <c r="E698" s="161" t="s">
        <v>265</v>
      </c>
      <c r="F698" s="154"/>
      <c r="G698" s="154"/>
      <c r="H698" s="152"/>
      <c r="I698" s="152"/>
      <c r="J698" s="154"/>
      <c r="K698" s="154"/>
      <c r="L698" s="154"/>
      <c r="M698" s="154"/>
      <c r="N698" s="154"/>
      <c r="O698" s="154"/>
      <c r="P698" s="154"/>
      <c r="Q698" s="154"/>
      <c r="R698" s="154"/>
      <c r="S698" s="162"/>
      <c r="T698" s="162"/>
      <c r="U698" s="162"/>
      <c r="V698" s="162"/>
      <c r="W698" s="162"/>
      <c r="X698" s="154"/>
      <c r="Y698" s="154"/>
      <c r="Z698" s="154"/>
      <c r="AA698" s="154"/>
      <c r="AB698" s="154"/>
      <c r="AC698" s="154"/>
      <c r="AD698" s="106"/>
      <c r="AE698" s="148">
        <f>IF(SUM(S699:S700)&gt;0,IFERROR(TRUNC(A698,0),0),0)</f>
        <v>0</v>
      </c>
      <c r="AF698" s="149"/>
      <c r="AG698" s="150"/>
      <c r="AH698" s="159"/>
      <c r="AI698" s="160"/>
      <c r="AJ698" s="105"/>
      <c r="AK698" s="159"/>
      <c r="AM698" s="105"/>
      <c r="AN698" s="105"/>
      <c r="AO698" s="105"/>
      <c r="AP698" s="105"/>
      <c r="AQ698" s="105"/>
      <c r="AR698" s="105"/>
    </row>
    <row r="699" spans="1:44" s="49" customFormat="1" ht="40.15" hidden="1" customHeight="1">
      <c r="A699" s="152">
        <f t="shared" ca="1" si="1529"/>
        <v>0</v>
      </c>
      <c r="B699" s="153">
        <v>95876</v>
      </c>
      <c r="C699" s="154" t="str">
        <f>TEXT(B699,"0")</f>
        <v>95876</v>
      </c>
      <c r="D699" s="154" t="s">
        <v>1416</v>
      </c>
      <c r="E699" s="155" t="s">
        <v>3537</v>
      </c>
      <c r="F699" s="154">
        <f>IF(Dados_DMT!$B$32&lt;30,Dados_DMT!$B$32,30)</f>
        <v>0</v>
      </c>
      <c r="G699" s="154" t="s">
        <v>3538</v>
      </c>
      <c r="H699" s="152">
        <v>2.09</v>
      </c>
      <c r="I699" s="152">
        <v>2.1</v>
      </c>
      <c r="J699" s="156"/>
      <c r="K699" s="156">
        <f>ROUND(Recap_Final!I105*F699,2)</f>
        <v>0</v>
      </c>
      <c r="L699" s="156">
        <f>IF($K699&gt;$J699,$K699-$J699,0)</f>
        <v>0</v>
      </c>
      <c r="M699" s="156">
        <f>IF($K699&lt;$J699,$J699-$K699,0)</f>
        <v>0</v>
      </c>
      <c r="N699" s="156" t="s">
        <v>83</v>
      </c>
      <c r="O699" s="157" cm="1">
        <f t="array" ref="O699">TRUNC($H699*(1+_xlfn.SWITCH($N699,"BDI 1",$O$6,"BDI 2",$O$7,"BDI 3",$O$8)),2)</f>
        <v>2.52</v>
      </c>
      <c r="P699" s="157" cm="1">
        <f t="array" ref="P699">TRUNC($I699*(1+_xlfn.SWITCH($N699,"BDI 1",$P$6,"BDI 2",$P$7,"BDI 3",$P$8)),2)</f>
        <v>2.66</v>
      </c>
      <c r="Q699" s="157">
        <v>0</v>
      </c>
      <c r="R699" s="157">
        <v>0</v>
      </c>
      <c r="S699" s="156">
        <f>TRUNC($K699*$O699,2)</f>
        <v>0</v>
      </c>
      <c r="T699" s="156">
        <f>TRUNC($K699*$P699,2)</f>
        <v>0</v>
      </c>
      <c r="U699" s="156">
        <f>TRUNC($J699*$R699,2)</f>
        <v>0</v>
      </c>
      <c r="V699" s="156">
        <f>TRUNC($K699*$Q699,2)</f>
        <v>0</v>
      </c>
      <c r="W699" s="156">
        <f>TRUNC(V699-U699,2)</f>
        <v>0</v>
      </c>
      <c r="X699" s="158">
        <f>$S699/ORCAMENTO_VALOR_TOTAL_ND</f>
        <v>0</v>
      </c>
      <c r="Y699" s="158">
        <f>$T699/ORCAMENTO_VALOR_TOTAL_DE</f>
        <v>0</v>
      </c>
      <c r="Z699" s="158" cm="1">
        <f t="array" ref="Z699">_xlfn.SWITCH($N699,"BDI 1",$O$6,"BDI 2",$O$7,"BDI 3",$O$8)</f>
        <v>0.20699999999999999</v>
      </c>
      <c r="AA699" s="158" cm="1">
        <f t="array" ref="AA699">_xlfn.SWITCH($N699,"BDI 1",$P$6,"BDI 2",$P$7,"BDI 3",$P$8)</f>
        <v>0.26739999999999997</v>
      </c>
      <c r="AB699" s="158">
        <f ca="1">IFERROR($S699/_xlfn.XLOOKUP($AE699,$B$16:$B$38,$S$16:$S$38),0)</f>
        <v>0</v>
      </c>
      <c r="AC699" s="158">
        <f ca="1">IFERROR($T699/_xlfn.XLOOKUP($AE699,$B$16:$B$38,$T$16:$T$38),0)</f>
        <v>0</v>
      </c>
      <c r="AD699" s="164"/>
      <c r="AE699" s="148">
        <f t="shared" ref="AE699:AE700" si="1592">IF(S699&gt;0,IFERROR(TRUNC(A699,0),0),0)</f>
        <v>0</v>
      </c>
      <c r="AF699" s="149"/>
      <c r="AG699" s="150"/>
      <c r="AH699" s="159" t="e">
        <f>S699/$S$666</f>
        <v>#DIV/0!</v>
      </c>
      <c r="AI699" s="166">
        <f>IF(K699=0,0,K699/F699)</f>
        <v>0</v>
      </c>
      <c r="AJ699" s="105"/>
      <c r="AK699" s="105"/>
      <c r="AM699" s="105"/>
      <c r="AN699" s="105"/>
      <c r="AO699" s="105"/>
      <c r="AP699" s="105"/>
      <c r="AQ699" s="105"/>
      <c r="AR699" s="105"/>
    </row>
    <row r="700" spans="1:44" s="49" customFormat="1" ht="40.15" hidden="1" customHeight="1">
      <c r="A700" s="152">
        <f t="shared" ca="1" si="1529"/>
        <v>0</v>
      </c>
      <c r="B700" s="153">
        <v>93593</v>
      </c>
      <c r="C700" s="154" t="str">
        <f>TEXT(B700,"0")</f>
        <v>93593</v>
      </c>
      <c r="D700" s="154" t="s">
        <v>1416</v>
      </c>
      <c r="E700" s="155" t="s">
        <v>3545</v>
      </c>
      <c r="F700" s="154">
        <f>+Dados_DMT!$B$32-F699</f>
        <v>0</v>
      </c>
      <c r="G700" s="154" t="s">
        <v>3538</v>
      </c>
      <c r="H700" s="152">
        <v>0.84</v>
      </c>
      <c r="I700" s="152">
        <v>0.85</v>
      </c>
      <c r="J700" s="156"/>
      <c r="K700" s="156">
        <f>ROUND(Recap_Final!I105*F700,2)</f>
        <v>0</v>
      </c>
      <c r="L700" s="156">
        <f>IF($K700&gt;$J700,$K700-$J700,0)</f>
        <v>0</v>
      </c>
      <c r="M700" s="156">
        <f>IF($K700&lt;$J700,$J700-$K700,0)</f>
        <v>0</v>
      </c>
      <c r="N700" s="156" t="s">
        <v>83</v>
      </c>
      <c r="O700" s="157" cm="1">
        <f t="array" ref="O700">TRUNC($H700*(1+_xlfn.SWITCH($N700,"BDI 1",$O$6,"BDI 2",$O$7,"BDI 3",$O$8)),2)</f>
        <v>1.01</v>
      </c>
      <c r="P700" s="157" cm="1">
        <f t="array" ref="P700">TRUNC($I700*(1+_xlfn.SWITCH($N700,"BDI 1",$P$6,"BDI 2",$P$7,"BDI 3",$P$8)),2)</f>
        <v>1.07</v>
      </c>
      <c r="Q700" s="157">
        <v>0</v>
      </c>
      <c r="R700" s="157">
        <v>0</v>
      </c>
      <c r="S700" s="156">
        <f>TRUNC($K700*$O700,2)</f>
        <v>0</v>
      </c>
      <c r="T700" s="156">
        <f>TRUNC($K700*$P700,2)</f>
        <v>0</v>
      </c>
      <c r="U700" s="156">
        <f>TRUNC($J700*$R700,2)</f>
        <v>0</v>
      </c>
      <c r="V700" s="156">
        <f>TRUNC($K700*$Q700,2)</f>
        <v>0</v>
      </c>
      <c r="W700" s="156">
        <f>TRUNC(V700-U700,2)</f>
        <v>0</v>
      </c>
      <c r="X700" s="158">
        <f>$S700/ORCAMENTO_VALOR_TOTAL_ND</f>
        <v>0</v>
      </c>
      <c r="Y700" s="158">
        <f>$T700/ORCAMENTO_VALOR_TOTAL_DE</f>
        <v>0</v>
      </c>
      <c r="Z700" s="158" cm="1">
        <f t="array" ref="Z700">_xlfn.SWITCH($N700,"BDI 1",$O$6,"BDI 2",$O$7,"BDI 3",$O$8)</f>
        <v>0.20699999999999999</v>
      </c>
      <c r="AA700" s="158" cm="1">
        <f t="array" ref="AA700">_xlfn.SWITCH($N700,"BDI 1",$P$6,"BDI 2",$P$7,"BDI 3",$P$8)</f>
        <v>0.26739999999999997</v>
      </c>
      <c r="AB700" s="158">
        <f ca="1">IFERROR($S700/_xlfn.XLOOKUP($AE700,$B$16:$B$38,$S$16:$S$38),0)</f>
        <v>0</v>
      </c>
      <c r="AC700" s="158">
        <f ca="1">IFERROR($T700/_xlfn.XLOOKUP($AE700,$B$16:$B$38,$T$16:$T$38),0)</f>
        <v>0</v>
      </c>
      <c r="AD700" s="164"/>
      <c r="AE700" s="148">
        <f t="shared" si="1592"/>
        <v>0</v>
      </c>
      <c r="AF700" s="149"/>
      <c r="AG700" s="150"/>
      <c r="AH700" s="159" t="e">
        <f>S700/$S$666</f>
        <v>#DIV/0!</v>
      </c>
      <c r="AI700" s="166">
        <f>IF(K700=0,0,K700/F700)</f>
        <v>0</v>
      </c>
      <c r="AJ700" s="105"/>
      <c r="AK700" s="105"/>
      <c r="AM700" s="105"/>
      <c r="AN700" s="105"/>
      <c r="AO700" s="105"/>
      <c r="AP700" s="105"/>
      <c r="AQ700" s="105"/>
      <c r="AR700" s="105"/>
    </row>
    <row r="701" spans="1:44" s="49" customFormat="1" ht="40.15" hidden="1" customHeight="1">
      <c r="A701" s="10">
        <f t="shared" ca="1" si="1529"/>
        <v>0</v>
      </c>
      <c r="B701" s="153"/>
      <c r="C701" s="154"/>
      <c r="D701" s="154"/>
      <c r="E701" s="161" t="s">
        <v>264</v>
      </c>
      <c r="F701" s="154"/>
      <c r="G701" s="154"/>
      <c r="H701" s="152"/>
      <c r="I701" s="152"/>
      <c r="J701" s="154"/>
      <c r="K701" s="154"/>
      <c r="L701" s="154"/>
      <c r="M701" s="154"/>
      <c r="N701" s="154"/>
      <c r="O701" s="154"/>
      <c r="P701" s="154"/>
      <c r="Q701" s="154"/>
      <c r="R701" s="154"/>
      <c r="S701" s="162"/>
      <c r="T701" s="162"/>
      <c r="U701" s="162"/>
      <c r="V701" s="162"/>
      <c r="W701" s="162"/>
      <c r="X701" s="154"/>
      <c r="Y701" s="154"/>
      <c r="Z701" s="154"/>
      <c r="AA701" s="154"/>
      <c r="AB701" s="154"/>
      <c r="AC701" s="154"/>
      <c r="AD701" s="106"/>
      <c r="AE701" s="148">
        <f>IF(SUM(S702:S703)&gt;0,IFERROR(TRUNC(A701,0),0),0)</f>
        <v>0</v>
      </c>
      <c r="AF701" s="149"/>
      <c r="AG701" s="150"/>
      <c r="AH701" s="159"/>
      <c r="AI701" s="160"/>
      <c r="AJ701" s="105"/>
      <c r="AK701" s="159"/>
      <c r="AM701" s="105"/>
      <c r="AN701" s="105"/>
      <c r="AO701" s="105"/>
      <c r="AP701" s="105"/>
      <c r="AQ701" s="105"/>
      <c r="AR701" s="105"/>
    </row>
    <row r="702" spans="1:44" s="49" customFormat="1" ht="40.15" hidden="1" customHeight="1">
      <c r="A702" s="152">
        <f t="shared" ca="1" si="1529"/>
        <v>0</v>
      </c>
      <c r="B702" s="153">
        <v>95876</v>
      </c>
      <c r="C702" s="154" t="str">
        <f>TEXT(B702,"0")</f>
        <v>95876</v>
      </c>
      <c r="D702" s="154" t="s">
        <v>1416</v>
      </c>
      <c r="E702" s="155" t="s">
        <v>3537</v>
      </c>
      <c r="F702" s="154">
        <f>IF(Dados_DMT!$B$33&lt;30,Dados_DMT!$B$33,30)</f>
        <v>0</v>
      </c>
      <c r="G702" s="154" t="s">
        <v>3538</v>
      </c>
      <c r="H702" s="152">
        <v>2.09</v>
      </c>
      <c r="I702" s="152">
        <v>2.1</v>
      </c>
      <c r="J702" s="156"/>
      <c r="K702" s="156">
        <f>ROUND(Recap_Final!I106*F702,2)</f>
        <v>0</v>
      </c>
      <c r="L702" s="156">
        <f>IF($K702&gt;$J702,$K702-$J702,0)</f>
        <v>0</v>
      </c>
      <c r="M702" s="156">
        <f>IF($K702&lt;$J702,$J702-$K702,0)</f>
        <v>0</v>
      </c>
      <c r="N702" s="156" t="s">
        <v>83</v>
      </c>
      <c r="O702" s="157" cm="1">
        <f t="array" ref="O702">TRUNC($H702*(1+_xlfn.SWITCH($N702,"BDI 1",$O$6,"BDI 2",$O$7,"BDI 3",$O$8)),2)</f>
        <v>2.52</v>
      </c>
      <c r="P702" s="157" cm="1">
        <f t="array" ref="P702">TRUNC($I702*(1+_xlfn.SWITCH($N702,"BDI 1",$P$6,"BDI 2",$P$7,"BDI 3",$P$8)),2)</f>
        <v>2.66</v>
      </c>
      <c r="Q702" s="157">
        <v>0</v>
      </c>
      <c r="R702" s="157">
        <v>0</v>
      </c>
      <c r="S702" s="156">
        <f>TRUNC($K702*$O702,2)</f>
        <v>0</v>
      </c>
      <c r="T702" s="156">
        <f>TRUNC($K702*$P702,2)</f>
        <v>0</v>
      </c>
      <c r="U702" s="156">
        <f>TRUNC($J702*$R702,2)</f>
        <v>0</v>
      </c>
      <c r="V702" s="156">
        <f>TRUNC($K702*$Q702,2)</f>
        <v>0</v>
      </c>
      <c r="W702" s="156">
        <f>TRUNC(V702-U702,2)</f>
        <v>0</v>
      </c>
      <c r="X702" s="158">
        <f>$S702/ORCAMENTO_VALOR_TOTAL_ND</f>
        <v>0</v>
      </c>
      <c r="Y702" s="158">
        <f>$T702/ORCAMENTO_VALOR_TOTAL_DE</f>
        <v>0</v>
      </c>
      <c r="Z702" s="158" cm="1">
        <f t="array" ref="Z702">_xlfn.SWITCH($N702,"BDI 1",$O$6,"BDI 2",$O$7,"BDI 3",$O$8)</f>
        <v>0.20699999999999999</v>
      </c>
      <c r="AA702" s="158" cm="1">
        <f t="array" ref="AA702">_xlfn.SWITCH($N702,"BDI 1",$P$6,"BDI 2",$P$7,"BDI 3",$P$8)</f>
        <v>0.26739999999999997</v>
      </c>
      <c r="AB702" s="158">
        <f ca="1">IFERROR($S702/_xlfn.XLOOKUP($AE702,$B$16:$B$38,$S$16:$S$38),0)</f>
        <v>0</v>
      </c>
      <c r="AC702" s="158">
        <f ca="1">IFERROR($T702/_xlfn.XLOOKUP($AE702,$B$16:$B$38,$T$16:$T$38),0)</f>
        <v>0</v>
      </c>
      <c r="AD702" s="164"/>
      <c r="AE702" s="148">
        <f t="shared" ref="AE702:AE703" si="1593">IF(S702&gt;0,IFERROR(TRUNC(A702,0),0),0)</f>
        <v>0</v>
      </c>
      <c r="AF702" s="149"/>
      <c r="AG702" s="150"/>
      <c r="AH702" s="159" t="e">
        <f>S702/$S$666</f>
        <v>#DIV/0!</v>
      </c>
      <c r="AI702" s="166">
        <f>IF(K702=0,0,K702/F702)</f>
        <v>0</v>
      </c>
      <c r="AJ702" s="105"/>
      <c r="AK702" s="105"/>
      <c r="AM702" s="105"/>
      <c r="AN702" s="105"/>
      <c r="AO702" s="105"/>
      <c r="AP702" s="105"/>
      <c r="AQ702" s="105"/>
      <c r="AR702" s="105"/>
    </row>
    <row r="703" spans="1:44" s="49" customFormat="1" ht="40.15" hidden="1" customHeight="1">
      <c r="A703" s="152">
        <f t="shared" ca="1" si="1529"/>
        <v>0</v>
      </c>
      <c r="B703" s="153">
        <v>93593</v>
      </c>
      <c r="C703" s="154" t="str">
        <f>TEXT(B703,"0")</f>
        <v>93593</v>
      </c>
      <c r="D703" s="154" t="s">
        <v>1416</v>
      </c>
      <c r="E703" s="155" t="s">
        <v>3545</v>
      </c>
      <c r="F703" s="154">
        <f>+Dados_DMT!$B$33-F702</f>
        <v>0</v>
      </c>
      <c r="G703" s="154" t="s">
        <v>3538</v>
      </c>
      <c r="H703" s="152">
        <v>0.84</v>
      </c>
      <c r="I703" s="152">
        <v>0.85</v>
      </c>
      <c r="J703" s="156"/>
      <c r="K703" s="156">
        <f>ROUND(Recap_Final!I106*F703,2)</f>
        <v>0</v>
      </c>
      <c r="L703" s="156">
        <f>IF($K703&gt;$J703,$K703-$J703,0)</f>
        <v>0</v>
      </c>
      <c r="M703" s="156">
        <f>IF($K703&lt;$J703,$J703-$K703,0)</f>
        <v>0</v>
      </c>
      <c r="N703" s="156" t="s">
        <v>83</v>
      </c>
      <c r="O703" s="157" cm="1">
        <f t="array" ref="O703">TRUNC($H703*(1+_xlfn.SWITCH($N703,"BDI 1",$O$6,"BDI 2",$O$7,"BDI 3",$O$8)),2)</f>
        <v>1.01</v>
      </c>
      <c r="P703" s="157" cm="1">
        <f t="array" ref="P703">TRUNC($I703*(1+_xlfn.SWITCH($N703,"BDI 1",$P$6,"BDI 2",$P$7,"BDI 3",$P$8)),2)</f>
        <v>1.07</v>
      </c>
      <c r="Q703" s="157">
        <v>0</v>
      </c>
      <c r="R703" s="157">
        <v>0</v>
      </c>
      <c r="S703" s="156">
        <f>TRUNC($K703*$O703,2)</f>
        <v>0</v>
      </c>
      <c r="T703" s="156">
        <f>TRUNC($K703*$P703,2)</f>
        <v>0</v>
      </c>
      <c r="U703" s="156">
        <f>TRUNC($J703*$R703,2)</f>
        <v>0</v>
      </c>
      <c r="V703" s="156">
        <f>TRUNC($K703*$Q703,2)</f>
        <v>0</v>
      </c>
      <c r="W703" s="156">
        <f>TRUNC(V703-U703,2)</f>
        <v>0</v>
      </c>
      <c r="X703" s="158">
        <f>$S703/ORCAMENTO_VALOR_TOTAL_ND</f>
        <v>0</v>
      </c>
      <c r="Y703" s="158">
        <f>$T703/ORCAMENTO_VALOR_TOTAL_DE</f>
        <v>0</v>
      </c>
      <c r="Z703" s="158" cm="1">
        <f t="array" ref="Z703">_xlfn.SWITCH($N703,"BDI 1",$O$6,"BDI 2",$O$7,"BDI 3",$O$8)</f>
        <v>0.20699999999999999</v>
      </c>
      <c r="AA703" s="158" cm="1">
        <f t="array" ref="AA703">_xlfn.SWITCH($N703,"BDI 1",$P$6,"BDI 2",$P$7,"BDI 3",$P$8)</f>
        <v>0.26739999999999997</v>
      </c>
      <c r="AB703" s="158">
        <f ca="1">IFERROR($S703/_xlfn.XLOOKUP($AE703,$B$16:$B$38,$S$16:$S$38),0)</f>
        <v>0</v>
      </c>
      <c r="AC703" s="158">
        <f ca="1">IFERROR($T703/_xlfn.XLOOKUP($AE703,$B$16:$B$38,$T$16:$T$38),0)</f>
        <v>0</v>
      </c>
      <c r="AD703" s="164"/>
      <c r="AE703" s="148">
        <f t="shared" si="1593"/>
        <v>0</v>
      </c>
      <c r="AF703" s="149"/>
      <c r="AG703" s="150"/>
      <c r="AH703" s="159" t="e">
        <f>S703/$S$666</f>
        <v>#DIV/0!</v>
      </c>
      <c r="AI703" s="166">
        <f>IF(K703=0,0,K703/F703)</f>
        <v>0</v>
      </c>
      <c r="AJ703" s="105"/>
      <c r="AK703" s="105"/>
      <c r="AM703" s="105"/>
      <c r="AN703" s="105"/>
      <c r="AO703" s="105"/>
      <c r="AP703" s="105"/>
      <c r="AQ703" s="105"/>
      <c r="AR703" s="105"/>
    </row>
    <row r="704" spans="1:44" s="49" customFormat="1" ht="40.15" hidden="1" customHeight="1">
      <c r="A704" s="10">
        <f t="shared" ca="1" si="1529"/>
        <v>0</v>
      </c>
      <c r="B704" s="153"/>
      <c r="C704" s="154"/>
      <c r="D704" s="154"/>
      <c r="E704" s="161" t="s">
        <v>270</v>
      </c>
      <c r="F704" s="154"/>
      <c r="G704" s="154"/>
      <c r="H704" s="152"/>
      <c r="I704" s="152"/>
      <c r="J704" s="154"/>
      <c r="K704" s="154"/>
      <c r="L704" s="154"/>
      <c r="M704" s="154"/>
      <c r="N704" s="154"/>
      <c r="O704" s="154"/>
      <c r="P704" s="154"/>
      <c r="Q704" s="154"/>
      <c r="R704" s="154"/>
      <c r="S704" s="162"/>
      <c r="T704" s="162"/>
      <c r="U704" s="162"/>
      <c r="V704" s="162"/>
      <c r="W704" s="162"/>
      <c r="X704" s="154"/>
      <c r="Y704" s="154"/>
      <c r="Z704" s="154"/>
      <c r="AA704" s="154"/>
      <c r="AB704" s="154"/>
      <c r="AC704" s="154"/>
      <c r="AD704" s="106"/>
      <c r="AE704" s="148">
        <f>IF(SUM(S705:S706)&gt;0,IFERROR(TRUNC(A704,0),0),0)</f>
        <v>0</v>
      </c>
      <c r="AF704" s="149"/>
      <c r="AG704" s="150"/>
      <c r="AH704" s="159"/>
      <c r="AI704" s="160"/>
      <c r="AJ704" s="105"/>
      <c r="AK704" s="159"/>
      <c r="AM704" s="105"/>
      <c r="AN704" s="105"/>
      <c r="AO704" s="105"/>
      <c r="AP704" s="105"/>
      <c r="AQ704" s="105"/>
      <c r="AR704" s="105"/>
    </row>
    <row r="705" spans="1:44" s="49" customFormat="1" ht="40.15" hidden="1" customHeight="1">
      <c r="A705" s="152">
        <f t="shared" ca="1" si="1529"/>
        <v>0</v>
      </c>
      <c r="B705" s="153">
        <v>95879</v>
      </c>
      <c r="C705" s="154" t="str">
        <f>TEXT(B705,"0")</f>
        <v>95879</v>
      </c>
      <c r="D705" s="154" t="s">
        <v>1416</v>
      </c>
      <c r="E705" s="155" t="s">
        <v>3535</v>
      </c>
      <c r="F705" s="154">
        <f>IF(Dados_DMT!$B$30&lt;30,Dados_DMT!$B$30,30)</f>
        <v>30</v>
      </c>
      <c r="G705" s="154" t="s">
        <v>3534</v>
      </c>
      <c r="H705" s="152">
        <v>1.41</v>
      </c>
      <c r="I705" s="152">
        <v>1.42</v>
      </c>
      <c r="J705" s="156"/>
      <c r="K705" s="156">
        <f>ROUND(Recap_Final!I114*F705,2)</f>
        <v>0</v>
      </c>
      <c r="L705" s="156">
        <f>IF($K705&gt;$J705,$K705-$J705,0)</f>
        <v>0</v>
      </c>
      <c r="M705" s="156">
        <f>IF($K705&lt;$J705,$J705-$K705,0)</f>
        <v>0</v>
      </c>
      <c r="N705" s="156" t="s">
        <v>83</v>
      </c>
      <c r="O705" s="157" cm="1">
        <f t="array" ref="O705">TRUNC($H705*(1+_xlfn.SWITCH($N705,"BDI 1",$O$6,"BDI 2",$O$7,"BDI 3",$O$8)),2)</f>
        <v>1.7</v>
      </c>
      <c r="P705" s="157" cm="1">
        <f t="array" ref="P705">TRUNC($I705*(1+_xlfn.SWITCH($N705,"BDI 1",$P$6,"BDI 2",$P$7,"BDI 3",$P$8)),2)</f>
        <v>1.79</v>
      </c>
      <c r="Q705" s="157">
        <v>0</v>
      </c>
      <c r="R705" s="157">
        <v>0</v>
      </c>
      <c r="S705" s="156">
        <f>TRUNC($K705*$O705,2)</f>
        <v>0</v>
      </c>
      <c r="T705" s="156">
        <f>TRUNC($K705*$P705,2)</f>
        <v>0</v>
      </c>
      <c r="U705" s="156">
        <f>TRUNC($J705*$R705,2)</f>
        <v>0</v>
      </c>
      <c r="V705" s="156">
        <f>TRUNC($K705*$Q705,2)</f>
        <v>0</v>
      </c>
      <c r="W705" s="156">
        <f>TRUNC(V705-U705,2)</f>
        <v>0</v>
      </c>
      <c r="X705" s="158">
        <f>$S705/ORCAMENTO_VALOR_TOTAL_ND</f>
        <v>0</v>
      </c>
      <c r="Y705" s="158">
        <f>$T705/ORCAMENTO_VALOR_TOTAL_DE</f>
        <v>0</v>
      </c>
      <c r="Z705" s="158" cm="1">
        <f t="array" ref="Z705">_xlfn.SWITCH($N705,"BDI 1",$O$6,"BDI 2",$O$7,"BDI 3",$O$8)</f>
        <v>0.20699999999999999</v>
      </c>
      <c r="AA705" s="158" cm="1">
        <f t="array" ref="AA705">_xlfn.SWITCH($N705,"BDI 1",$P$6,"BDI 2",$P$7,"BDI 3",$P$8)</f>
        <v>0.26739999999999997</v>
      </c>
      <c r="AB705" s="158">
        <f ca="1">IFERROR($S705/_xlfn.XLOOKUP($AE705,$B$16:$B$38,$S$16:$S$38),0)</f>
        <v>0</v>
      </c>
      <c r="AC705" s="158">
        <f ca="1">IFERROR($T705/_xlfn.XLOOKUP($AE705,$B$16:$B$38,$T$16:$T$38),0)</f>
        <v>0</v>
      </c>
      <c r="AD705" s="164"/>
      <c r="AE705" s="148">
        <f t="shared" ref="AE705:AE706" si="1594">IF(S705&gt;0,IFERROR(TRUNC(A705,0),0),0)</f>
        <v>0</v>
      </c>
      <c r="AF705" s="149"/>
      <c r="AG705" s="150"/>
      <c r="AH705" s="159" t="e">
        <f>S705/$S$666</f>
        <v>#DIV/0!</v>
      </c>
      <c r="AI705" s="209">
        <f>IF(K705=0,0,K705/F705)</f>
        <v>0</v>
      </c>
      <c r="AJ705" s="105"/>
      <c r="AK705" s="105"/>
      <c r="AM705" s="105"/>
      <c r="AN705" s="105"/>
      <c r="AO705" s="105"/>
      <c r="AP705" s="105"/>
      <c r="AQ705" s="105"/>
      <c r="AR705" s="105"/>
    </row>
    <row r="706" spans="1:44" s="49" customFormat="1" ht="40.15" hidden="1" customHeight="1">
      <c r="A706" s="152">
        <f t="shared" ca="1" si="1529"/>
        <v>0</v>
      </c>
      <c r="B706" s="153">
        <v>93599</v>
      </c>
      <c r="C706" s="154" t="str">
        <f>TEXT(B706,"0")</f>
        <v>93599</v>
      </c>
      <c r="D706" s="154" t="s">
        <v>1416</v>
      </c>
      <c r="E706" s="155" t="s">
        <v>3533</v>
      </c>
      <c r="F706" s="154">
        <f>+Dados_DMT!$B$30-F705</f>
        <v>80</v>
      </c>
      <c r="G706" s="154" t="s">
        <v>3534</v>
      </c>
      <c r="H706" s="152">
        <v>0.56000000000000005</v>
      </c>
      <c r="I706" s="152">
        <v>0.56000000000000005</v>
      </c>
      <c r="J706" s="156"/>
      <c r="K706" s="156">
        <f>ROUND(Recap_Final!I114*F706,2)</f>
        <v>0</v>
      </c>
      <c r="L706" s="156">
        <f>IF($K706&gt;$J706,$K706-$J706,0)</f>
        <v>0</v>
      </c>
      <c r="M706" s="156">
        <f>IF($K706&lt;$J706,$J706-$K706,0)</f>
        <v>0</v>
      </c>
      <c r="N706" s="156" t="s">
        <v>83</v>
      </c>
      <c r="O706" s="157" cm="1">
        <f t="array" ref="O706">TRUNC($H706*(1+_xlfn.SWITCH($N706,"BDI 1",$O$6,"BDI 2",$O$7,"BDI 3",$O$8)),2)</f>
        <v>0.67</v>
      </c>
      <c r="P706" s="157" cm="1">
        <f t="array" ref="P706">TRUNC($I706*(1+_xlfn.SWITCH($N706,"BDI 1",$P$6,"BDI 2",$P$7,"BDI 3",$P$8)),2)</f>
        <v>0.7</v>
      </c>
      <c r="Q706" s="157">
        <v>0</v>
      </c>
      <c r="R706" s="157">
        <v>0</v>
      </c>
      <c r="S706" s="156">
        <f>TRUNC($K706*$O706,2)</f>
        <v>0</v>
      </c>
      <c r="T706" s="156">
        <f>TRUNC($K706*$P706,2)</f>
        <v>0</v>
      </c>
      <c r="U706" s="156">
        <f>TRUNC($J706*$R706,2)</f>
        <v>0</v>
      </c>
      <c r="V706" s="156">
        <f>TRUNC($K706*$Q706,2)</f>
        <v>0</v>
      </c>
      <c r="W706" s="156">
        <f>TRUNC(V706-U706,2)</f>
        <v>0</v>
      </c>
      <c r="X706" s="158">
        <f>$S706/ORCAMENTO_VALOR_TOTAL_ND</f>
        <v>0</v>
      </c>
      <c r="Y706" s="158">
        <f>$T706/ORCAMENTO_VALOR_TOTAL_DE</f>
        <v>0</v>
      </c>
      <c r="Z706" s="158" cm="1">
        <f t="array" ref="Z706">_xlfn.SWITCH($N706,"BDI 1",$O$6,"BDI 2",$O$7,"BDI 3",$O$8)</f>
        <v>0.20699999999999999</v>
      </c>
      <c r="AA706" s="158" cm="1">
        <f t="array" ref="AA706">_xlfn.SWITCH($N706,"BDI 1",$P$6,"BDI 2",$P$7,"BDI 3",$P$8)</f>
        <v>0.26739999999999997</v>
      </c>
      <c r="AB706" s="158">
        <f ca="1">IFERROR($S706/_xlfn.XLOOKUP($AE706,$B$16:$B$38,$S$16:$S$38),0)</f>
        <v>0</v>
      </c>
      <c r="AC706" s="158">
        <f ca="1">IFERROR($T706/_xlfn.XLOOKUP($AE706,$B$16:$B$38,$T$16:$T$38),0)</f>
        <v>0</v>
      </c>
      <c r="AD706" s="164"/>
      <c r="AE706" s="148">
        <f t="shared" si="1594"/>
        <v>0</v>
      </c>
      <c r="AF706" s="149"/>
      <c r="AG706" s="150"/>
      <c r="AH706" s="159" t="e">
        <f>S706/$S$666</f>
        <v>#DIV/0!</v>
      </c>
      <c r="AI706" s="209">
        <f>IF(K706=0,0,K706/F706)</f>
        <v>0</v>
      </c>
      <c r="AJ706" s="105"/>
      <c r="AK706" s="105"/>
      <c r="AM706" s="105"/>
      <c r="AN706" s="105"/>
      <c r="AO706" s="105"/>
      <c r="AP706" s="105"/>
      <c r="AQ706" s="105"/>
      <c r="AR706" s="105"/>
    </row>
    <row r="707" spans="1:44" s="49" customFormat="1" ht="40.15" hidden="1" customHeight="1">
      <c r="A707" s="10">
        <f t="shared" ca="1" si="1529"/>
        <v>0</v>
      </c>
      <c r="B707" s="153"/>
      <c r="C707" s="154"/>
      <c r="D707" s="154"/>
      <c r="E707" s="161" t="s">
        <v>269</v>
      </c>
      <c r="F707" s="154"/>
      <c r="G707" s="154"/>
      <c r="H707" s="152"/>
      <c r="I707" s="152"/>
      <c r="J707" s="154"/>
      <c r="K707" s="154"/>
      <c r="L707" s="154"/>
      <c r="M707" s="154"/>
      <c r="N707" s="154"/>
      <c r="O707" s="154"/>
      <c r="P707" s="154"/>
      <c r="Q707" s="154"/>
      <c r="R707" s="154"/>
      <c r="S707" s="162"/>
      <c r="T707" s="162"/>
      <c r="U707" s="162"/>
      <c r="V707" s="162"/>
      <c r="W707" s="162"/>
      <c r="X707" s="154"/>
      <c r="Y707" s="154"/>
      <c r="Z707" s="154"/>
      <c r="AA707" s="154"/>
      <c r="AB707" s="154"/>
      <c r="AC707" s="154"/>
      <c r="AD707" s="106"/>
      <c r="AE707" s="148">
        <f>IF(SUM(S708:S709)&gt;0,IFERROR(TRUNC(A707,0),0),0)</f>
        <v>0</v>
      </c>
      <c r="AF707" s="149"/>
      <c r="AG707" s="150"/>
      <c r="AH707" s="159"/>
      <c r="AI707" s="160"/>
      <c r="AJ707" s="105"/>
      <c r="AK707" s="159"/>
      <c r="AM707" s="105"/>
      <c r="AN707" s="105"/>
      <c r="AO707" s="105"/>
      <c r="AP707" s="105"/>
      <c r="AQ707" s="105"/>
      <c r="AR707" s="105"/>
    </row>
    <row r="708" spans="1:44" s="49" customFormat="1" ht="40.15" hidden="1" customHeight="1">
      <c r="A708" s="152">
        <f t="shared" ca="1" si="1529"/>
        <v>0</v>
      </c>
      <c r="B708" s="153">
        <v>95879</v>
      </c>
      <c r="C708" s="154" t="str">
        <f>TEXT(B708,"0")</f>
        <v>95879</v>
      </c>
      <c r="D708" s="154" t="s">
        <v>1416</v>
      </c>
      <c r="E708" s="155" t="s">
        <v>3535</v>
      </c>
      <c r="F708" s="154">
        <f>IF(Dados_DMT!$B$31&lt;30,Dados_DMT!$B$31,30)</f>
        <v>0</v>
      </c>
      <c r="G708" s="154" t="s">
        <v>3534</v>
      </c>
      <c r="H708" s="152">
        <v>1.41</v>
      </c>
      <c r="I708" s="152">
        <v>1.42</v>
      </c>
      <c r="J708" s="156"/>
      <c r="K708" s="156">
        <f>ROUND(Recap_Final!I115*F708,2)</f>
        <v>0</v>
      </c>
      <c r="L708" s="156">
        <f>IF($K708&gt;$J708,$K708-$J708,0)</f>
        <v>0</v>
      </c>
      <c r="M708" s="156">
        <f>IF($K708&lt;$J708,$J708-$K708,0)</f>
        <v>0</v>
      </c>
      <c r="N708" s="156" t="s">
        <v>83</v>
      </c>
      <c r="O708" s="157" cm="1">
        <f t="array" ref="O708">TRUNC($H708*(1+_xlfn.SWITCH($N708,"BDI 1",$O$6,"BDI 2",$O$7,"BDI 3",$O$8)),2)</f>
        <v>1.7</v>
      </c>
      <c r="P708" s="157" cm="1">
        <f t="array" ref="P708">TRUNC($I708*(1+_xlfn.SWITCH($N708,"BDI 1",$P$6,"BDI 2",$P$7,"BDI 3",$P$8)),2)</f>
        <v>1.79</v>
      </c>
      <c r="Q708" s="157">
        <v>0</v>
      </c>
      <c r="R708" s="157">
        <v>0</v>
      </c>
      <c r="S708" s="156">
        <f>TRUNC($K708*$O708,2)</f>
        <v>0</v>
      </c>
      <c r="T708" s="156">
        <f>TRUNC($K708*$P708,2)</f>
        <v>0</v>
      </c>
      <c r="U708" s="156">
        <f>TRUNC($J708*$R708,2)</f>
        <v>0</v>
      </c>
      <c r="V708" s="156">
        <f>TRUNC($K708*$Q708,2)</f>
        <v>0</v>
      </c>
      <c r="W708" s="156">
        <f>TRUNC(V708-U708,2)</f>
        <v>0</v>
      </c>
      <c r="X708" s="158">
        <f>$S708/ORCAMENTO_VALOR_TOTAL_ND</f>
        <v>0</v>
      </c>
      <c r="Y708" s="158">
        <f>$T708/ORCAMENTO_VALOR_TOTAL_DE</f>
        <v>0</v>
      </c>
      <c r="Z708" s="158" cm="1">
        <f t="array" ref="Z708">_xlfn.SWITCH($N708,"BDI 1",$O$6,"BDI 2",$O$7,"BDI 3",$O$8)</f>
        <v>0.20699999999999999</v>
      </c>
      <c r="AA708" s="158" cm="1">
        <f t="array" ref="AA708">_xlfn.SWITCH($N708,"BDI 1",$P$6,"BDI 2",$P$7,"BDI 3",$P$8)</f>
        <v>0.26739999999999997</v>
      </c>
      <c r="AB708" s="158">
        <f ca="1">IFERROR($S708/_xlfn.XLOOKUP($AE708,$B$16:$B$38,$S$16:$S$38),0)</f>
        <v>0</v>
      </c>
      <c r="AC708" s="158">
        <f ca="1">IFERROR($T708/_xlfn.XLOOKUP($AE708,$B$16:$B$38,$T$16:$T$38),0)</f>
        <v>0</v>
      </c>
      <c r="AD708" s="164"/>
      <c r="AE708" s="148">
        <f t="shared" ref="AE708:AE709" si="1595">IF(S708&gt;0,IFERROR(TRUNC(A708,0),0),0)</f>
        <v>0</v>
      </c>
      <c r="AF708" s="149"/>
      <c r="AG708" s="150"/>
      <c r="AH708" s="159" t="e">
        <f>S708/$S$666</f>
        <v>#DIV/0!</v>
      </c>
      <c r="AI708" s="166">
        <f>IF(K708=0,0,K708/F708)</f>
        <v>0</v>
      </c>
      <c r="AJ708" s="105"/>
      <c r="AK708" s="105"/>
      <c r="AM708" s="105"/>
      <c r="AN708" s="105"/>
      <c r="AO708" s="105"/>
      <c r="AP708" s="105"/>
      <c r="AQ708" s="105"/>
      <c r="AR708" s="105"/>
    </row>
    <row r="709" spans="1:44" s="49" customFormat="1" ht="40.15" hidden="1" customHeight="1">
      <c r="A709" s="152">
        <f t="shared" ca="1" si="1529"/>
        <v>0</v>
      </c>
      <c r="B709" s="153">
        <v>93599</v>
      </c>
      <c r="C709" s="154" t="str">
        <f>TEXT(B709,"0")</f>
        <v>93599</v>
      </c>
      <c r="D709" s="154" t="s">
        <v>1416</v>
      </c>
      <c r="E709" s="155" t="s">
        <v>3533</v>
      </c>
      <c r="F709" s="154">
        <f>+Dados_DMT!$B$31-F708</f>
        <v>0</v>
      </c>
      <c r="G709" s="154" t="s">
        <v>3534</v>
      </c>
      <c r="H709" s="152">
        <v>0.56000000000000005</v>
      </c>
      <c r="I709" s="152">
        <v>0.56000000000000005</v>
      </c>
      <c r="J709" s="156"/>
      <c r="K709" s="156">
        <f>ROUND(Recap_Final!I115*F709,2)</f>
        <v>0</v>
      </c>
      <c r="L709" s="156">
        <f>IF($K709&gt;$J709,$K709-$J709,0)</f>
        <v>0</v>
      </c>
      <c r="M709" s="156">
        <f>IF($K709&lt;$J709,$J709-$K709,0)</f>
        <v>0</v>
      </c>
      <c r="N709" s="156" t="s">
        <v>83</v>
      </c>
      <c r="O709" s="157" cm="1">
        <f t="array" ref="O709">TRUNC($H709*(1+_xlfn.SWITCH($N709,"BDI 1",$O$6,"BDI 2",$O$7,"BDI 3",$O$8)),2)</f>
        <v>0.67</v>
      </c>
      <c r="P709" s="157" cm="1">
        <f t="array" ref="P709">TRUNC($I709*(1+_xlfn.SWITCH($N709,"BDI 1",$P$6,"BDI 2",$P$7,"BDI 3",$P$8)),2)</f>
        <v>0.7</v>
      </c>
      <c r="Q709" s="157">
        <v>0</v>
      </c>
      <c r="R709" s="157">
        <v>0</v>
      </c>
      <c r="S709" s="156">
        <f>TRUNC($K709*$O709,2)</f>
        <v>0</v>
      </c>
      <c r="T709" s="156">
        <f>TRUNC($K709*$P709,2)</f>
        <v>0</v>
      </c>
      <c r="U709" s="156">
        <f>TRUNC($J709*$R709,2)</f>
        <v>0</v>
      </c>
      <c r="V709" s="156">
        <f>TRUNC($K709*$Q709,2)</f>
        <v>0</v>
      </c>
      <c r="W709" s="156">
        <f>TRUNC(V709-U709,2)</f>
        <v>0</v>
      </c>
      <c r="X709" s="158">
        <f>$S709/ORCAMENTO_VALOR_TOTAL_ND</f>
        <v>0</v>
      </c>
      <c r="Y709" s="158">
        <f>$T709/ORCAMENTO_VALOR_TOTAL_DE</f>
        <v>0</v>
      </c>
      <c r="Z709" s="158" cm="1">
        <f t="array" ref="Z709">_xlfn.SWITCH($N709,"BDI 1",$O$6,"BDI 2",$O$7,"BDI 3",$O$8)</f>
        <v>0.20699999999999999</v>
      </c>
      <c r="AA709" s="158" cm="1">
        <f t="array" ref="AA709">_xlfn.SWITCH($N709,"BDI 1",$P$6,"BDI 2",$P$7,"BDI 3",$P$8)</f>
        <v>0.26739999999999997</v>
      </c>
      <c r="AB709" s="158">
        <f ca="1">IFERROR($S709/_xlfn.XLOOKUP($AE709,$B$16:$B$38,$S$16:$S$38),0)</f>
        <v>0</v>
      </c>
      <c r="AC709" s="158">
        <f ca="1">IFERROR($T709/_xlfn.XLOOKUP($AE709,$B$16:$B$38,$T$16:$T$38),0)</f>
        <v>0</v>
      </c>
      <c r="AD709" s="164"/>
      <c r="AE709" s="148">
        <f t="shared" si="1595"/>
        <v>0</v>
      </c>
      <c r="AF709" s="149"/>
      <c r="AG709" s="150"/>
      <c r="AH709" s="159" t="e">
        <f>S709/$S$666</f>
        <v>#DIV/0!</v>
      </c>
      <c r="AI709" s="166">
        <f>IF(K709=0,0,K709/F709)</f>
        <v>0</v>
      </c>
      <c r="AJ709" s="105"/>
      <c r="AK709" s="105"/>
      <c r="AM709" s="105"/>
      <c r="AN709" s="105"/>
      <c r="AO709" s="105"/>
      <c r="AP709" s="105"/>
      <c r="AQ709" s="105"/>
      <c r="AR709" s="105"/>
    </row>
    <row r="710" spans="1:44" s="49" customFormat="1" ht="40.15" hidden="1" customHeight="1">
      <c r="A710" s="10">
        <f t="shared" ca="1" si="1529"/>
        <v>0</v>
      </c>
      <c r="B710" s="153"/>
      <c r="C710" s="154"/>
      <c r="D710" s="154"/>
      <c r="E710" s="161" t="s">
        <v>272</v>
      </c>
      <c r="F710" s="154"/>
      <c r="G710" s="154"/>
      <c r="H710" s="152"/>
      <c r="I710" s="152"/>
      <c r="J710" s="154"/>
      <c r="K710" s="154"/>
      <c r="L710" s="154"/>
      <c r="M710" s="154"/>
      <c r="N710" s="154"/>
      <c r="O710" s="154"/>
      <c r="P710" s="154"/>
      <c r="Q710" s="154"/>
      <c r="R710" s="154"/>
      <c r="S710" s="162"/>
      <c r="T710" s="162"/>
      <c r="U710" s="162"/>
      <c r="V710" s="162"/>
      <c r="W710" s="162"/>
      <c r="X710" s="154"/>
      <c r="Y710" s="154"/>
      <c r="Z710" s="154"/>
      <c r="AA710" s="154"/>
      <c r="AB710" s="154"/>
      <c r="AC710" s="154"/>
      <c r="AD710" s="106"/>
      <c r="AE710" s="148">
        <f>IF(SUM(S711:S712)&gt;0,IFERROR(TRUNC(A710,0),0),0)</f>
        <v>0</v>
      </c>
      <c r="AF710" s="149"/>
      <c r="AG710" s="150"/>
      <c r="AH710" s="159"/>
      <c r="AI710" s="160"/>
      <c r="AJ710" s="105"/>
      <c r="AK710" s="159"/>
      <c r="AM710" s="105"/>
      <c r="AN710" s="105"/>
      <c r="AO710" s="105"/>
      <c r="AP710" s="105"/>
      <c r="AQ710" s="105"/>
      <c r="AR710" s="105"/>
    </row>
    <row r="711" spans="1:44" s="49" customFormat="1" ht="40.15" hidden="1" customHeight="1">
      <c r="A711" s="152">
        <f t="shared" ca="1" si="1529"/>
        <v>0</v>
      </c>
      <c r="B711" s="153">
        <v>102332</v>
      </c>
      <c r="C711" s="154" t="str">
        <f>TEXT(B711,"0")</f>
        <v>102332</v>
      </c>
      <c r="D711" s="154" t="s">
        <v>1416</v>
      </c>
      <c r="E711" s="155" t="s">
        <v>3547</v>
      </c>
      <c r="F711" s="154">
        <f>IF(Dados_DMT!$B$25&lt;30,Dados_DMT!$B$25,30)</f>
        <v>30</v>
      </c>
      <c r="G711" s="154" t="s">
        <v>3534</v>
      </c>
      <c r="H711" s="152">
        <v>1.79</v>
      </c>
      <c r="I711" s="152">
        <v>1.81</v>
      </c>
      <c r="J711" s="156"/>
      <c r="K711" s="156">
        <f>ROUND((Recap_Final!I107+Recap_Final!I108+Recap_Final!I109)*F711,2)</f>
        <v>0</v>
      </c>
      <c r="L711" s="156">
        <f>IF($K711&gt;$J711,$K711-$J711,0)</f>
        <v>0</v>
      </c>
      <c r="M711" s="156">
        <f>IF($K711&lt;$J711,$J711-$K711,0)</f>
        <v>0</v>
      </c>
      <c r="N711" s="156" t="s">
        <v>83</v>
      </c>
      <c r="O711" s="157" cm="1">
        <f t="array" ref="O711">TRUNC($H711*(1+_xlfn.SWITCH($N711,"BDI 1",$O$6,"BDI 2",$O$7,"BDI 3",$O$8)),2)</f>
        <v>2.16</v>
      </c>
      <c r="P711" s="157" cm="1">
        <f t="array" ref="P711">TRUNC($I711*(1+_xlfn.SWITCH($N711,"BDI 1",$P$6,"BDI 2",$P$7,"BDI 3",$P$8)),2)</f>
        <v>2.29</v>
      </c>
      <c r="Q711" s="157">
        <v>0</v>
      </c>
      <c r="R711" s="157">
        <v>0</v>
      </c>
      <c r="S711" s="156">
        <f>TRUNC($K711*$O711,2)</f>
        <v>0</v>
      </c>
      <c r="T711" s="156">
        <f>TRUNC($K711*$P711,2)</f>
        <v>0</v>
      </c>
      <c r="U711" s="156">
        <f>TRUNC($J711*$R711,2)</f>
        <v>0</v>
      </c>
      <c r="V711" s="156">
        <f>TRUNC($K711*$Q711,2)</f>
        <v>0</v>
      </c>
      <c r="W711" s="156">
        <f>TRUNC(V711-U711,2)</f>
        <v>0</v>
      </c>
      <c r="X711" s="158">
        <f>$S711/ORCAMENTO_VALOR_TOTAL_ND</f>
        <v>0</v>
      </c>
      <c r="Y711" s="158">
        <f>$T711/ORCAMENTO_VALOR_TOTAL_DE</f>
        <v>0</v>
      </c>
      <c r="Z711" s="158" cm="1">
        <f t="array" ref="Z711">_xlfn.SWITCH($N711,"BDI 1",$O$6,"BDI 2",$O$7,"BDI 3",$O$8)</f>
        <v>0.20699999999999999</v>
      </c>
      <c r="AA711" s="158" cm="1">
        <f t="array" ref="AA711">_xlfn.SWITCH($N711,"BDI 1",$P$6,"BDI 2",$P$7,"BDI 3",$P$8)</f>
        <v>0.26739999999999997</v>
      </c>
      <c r="AB711" s="158">
        <f ca="1">IFERROR($S711/_xlfn.XLOOKUP($AE711,$B$16:$B$38,$S$16:$S$38),0)</f>
        <v>0</v>
      </c>
      <c r="AC711" s="158">
        <f ca="1">IFERROR($T711/_xlfn.XLOOKUP($AE711,$B$16:$B$38,$T$16:$T$38),0)</f>
        <v>0</v>
      </c>
      <c r="AD711" s="164"/>
      <c r="AE711" s="148">
        <f t="shared" ref="AE711:AE712" si="1596">IF(S711&gt;0,IFERROR(TRUNC(A711,0),0),0)</f>
        <v>0</v>
      </c>
      <c r="AF711" s="149"/>
      <c r="AG711" s="150"/>
      <c r="AH711" s="159" t="e">
        <f>S711/$S$666</f>
        <v>#DIV/0!</v>
      </c>
      <c r="AI711" s="209">
        <f>IF(K711=0,0,K711/F711)</f>
        <v>0</v>
      </c>
      <c r="AJ711" s="105"/>
      <c r="AK711" s="105"/>
      <c r="AM711" s="105"/>
      <c r="AN711" s="105"/>
      <c r="AO711" s="105"/>
      <c r="AP711" s="105"/>
      <c r="AQ711" s="105"/>
      <c r="AR711" s="105"/>
    </row>
    <row r="712" spans="1:44" s="49" customFormat="1" ht="40.15" hidden="1" customHeight="1">
      <c r="A712" s="152">
        <f t="shared" ca="1" si="1529"/>
        <v>0</v>
      </c>
      <c r="B712" s="153">
        <v>102333</v>
      </c>
      <c r="C712" s="154" t="str">
        <f>TEXT(B712,"0")</f>
        <v>102333</v>
      </c>
      <c r="D712" s="154" t="s">
        <v>1416</v>
      </c>
      <c r="E712" s="155" t="s">
        <v>3546</v>
      </c>
      <c r="F712" s="154">
        <f>+Dados_DMT!$B$25-F711</f>
        <v>80</v>
      </c>
      <c r="G712" s="154" t="s">
        <v>3534</v>
      </c>
      <c r="H712" s="152">
        <v>0.72</v>
      </c>
      <c r="I712" s="152">
        <v>0.73</v>
      </c>
      <c r="J712" s="156"/>
      <c r="K712" s="156">
        <f>ROUND((Recap_Final!I107+Recap_Final!I108+Recap_Final!I109)*F712,2)</f>
        <v>0</v>
      </c>
      <c r="L712" s="156">
        <f>IF($K712&gt;$J712,$K712-$J712,0)</f>
        <v>0</v>
      </c>
      <c r="M712" s="156">
        <f>IF($K712&lt;$J712,$J712-$K712,0)</f>
        <v>0</v>
      </c>
      <c r="N712" s="156" t="s">
        <v>83</v>
      </c>
      <c r="O712" s="157" cm="1">
        <f t="array" ref="O712">TRUNC($H712*(1+_xlfn.SWITCH($N712,"BDI 1",$O$6,"BDI 2",$O$7,"BDI 3",$O$8)),2)</f>
        <v>0.86</v>
      </c>
      <c r="P712" s="157" cm="1">
        <f t="array" ref="P712">TRUNC($I712*(1+_xlfn.SWITCH($N712,"BDI 1",$P$6,"BDI 2",$P$7,"BDI 3",$P$8)),2)</f>
        <v>0.92</v>
      </c>
      <c r="Q712" s="157">
        <v>0</v>
      </c>
      <c r="R712" s="157">
        <v>0</v>
      </c>
      <c r="S712" s="156">
        <f>TRUNC($K712*$O712,2)</f>
        <v>0</v>
      </c>
      <c r="T712" s="156">
        <f>TRUNC($K712*$P712,2)</f>
        <v>0</v>
      </c>
      <c r="U712" s="156">
        <f>TRUNC($J712*$R712,2)</f>
        <v>0</v>
      </c>
      <c r="V712" s="156">
        <f>TRUNC($K712*$Q712,2)</f>
        <v>0</v>
      </c>
      <c r="W712" s="156">
        <f>TRUNC(V712-U712,2)</f>
        <v>0</v>
      </c>
      <c r="X712" s="158">
        <f>$S712/ORCAMENTO_VALOR_TOTAL_ND</f>
        <v>0</v>
      </c>
      <c r="Y712" s="158">
        <f>$T712/ORCAMENTO_VALOR_TOTAL_DE</f>
        <v>0</v>
      </c>
      <c r="Z712" s="158" cm="1">
        <f t="array" ref="Z712">_xlfn.SWITCH($N712,"BDI 1",$O$6,"BDI 2",$O$7,"BDI 3",$O$8)</f>
        <v>0.20699999999999999</v>
      </c>
      <c r="AA712" s="158" cm="1">
        <f t="array" ref="AA712">_xlfn.SWITCH($N712,"BDI 1",$P$6,"BDI 2",$P$7,"BDI 3",$P$8)</f>
        <v>0.26739999999999997</v>
      </c>
      <c r="AB712" s="158">
        <f ca="1">IFERROR($S712/_xlfn.XLOOKUP($AE712,$B$16:$B$38,$S$16:$S$38),0)</f>
        <v>0</v>
      </c>
      <c r="AC712" s="158">
        <f ca="1">IFERROR($T712/_xlfn.XLOOKUP($AE712,$B$16:$B$38,$T$16:$T$38),0)</f>
        <v>0</v>
      </c>
      <c r="AD712" s="164"/>
      <c r="AE712" s="148">
        <f t="shared" si="1596"/>
        <v>0</v>
      </c>
      <c r="AF712" s="149"/>
      <c r="AG712" s="150"/>
      <c r="AH712" s="159" t="e">
        <f>S712/$S$666</f>
        <v>#DIV/0!</v>
      </c>
      <c r="AI712" s="209">
        <f>IF(K712=0,0,K712/F712)</f>
        <v>0</v>
      </c>
      <c r="AJ712" s="105"/>
      <c r="AK712" s="105"/>
      <c r="AM712" s="105"/>
      <c r="AN712" s="105"/>
      <c r="AO712" s="105"/>
      <c r="AP712" s="105"/>
      <c r="AQ712" s="105"/>
      <c r="AR712" s="105"/>
    </row>
    <row r="713" spans="1:44" s="49" customFormat="1" ht="40.15" hidden="1" customHeight="1">
      <c r="A713" s="10">
        <f t="shared" ca="1" si="1529"/>
        <v>0</v>
      </c>
      <c r="B713" s="153"/>
      <c r="C713" s="154"/>
      <c r="D713" s="154"/>
      <c r="E713" s="161" t="s">
        <v>273</v>
      </c>
      <c r="F713" s="154"/>
      <c r="G713" s="154"/>
      <c r="H713" s="152"/>
      <c r="I713" s="152"/>
      <c r="J713" s="154"/>
      <c r="K713" s="154"/>
      <c r="L713" s="154"/>
      <c r="M713" s="154"/>
      <c r="N713" s="154"/>
      <c r="O713" s="154"/>
      <c r="P713" s="154"/>
      <c r="Q713" s="154"/>
      <c r="R713" s="154"/>
      <c r="S713" s="162"/>
      <c r="T713" s="162"/>
      <c r="U713" s="162"/>
      <c r="V713" s="162"/>
      <c r="W713" s="162"/>
      <c r="X713" s="154"/>
      <c r="Y713" s="154"/>
      <c r="Z713" s="154"/>
      <c r="AA713" s="154"/>
      <c r="AB713" s="154"/>
      <c r="AC713" s="154"/>
      <c r="AD713" s="106"/>
      <c r="AE713" s="148">
        <f>IF(SUM(S714:S715)&gt;0,IFERROR(TRUNC(A713,0),0),0)</f>
        <v>0</v>
      </c>
      <c r="AF713" s="149"/>
      <c r="AG713" s="150"/>
      <c r="AH713" s="159"/>
      <c r="AI713" s="160"/>
      <c r="AJ713" s="105"/>
      <c r="AK713" s="159"/>
      <c r="AM713" s="105"/>
      <c r="AN713" s="105"/>
      <c r="AO713" s="105"/>
      <c r="AP713" s="105"/>
      <c r="AQ713" s="105"/>
      <c r="AR713" s="105"/>
    </row>
    <row r="714" spans="1:44" s="49" customFormat="1" ht="40.15" hidden="1" customHeight="1">
      <c r="A714" s="152">
        <f t="shared" ca="1" si="1529"/>
        <v>0</v>
      </c>
      <c r="B714" s="153">
        <v>102332</v>
      </c>
      <c r="C714" s="154" t="str">
        <f>TEXT(B714,"0")</f>
        <v>102332</v>
      </c>
      <c r="D714" s="154" t="s">
        <v>1416</v>
      </c>
      <c r="E714" s="155" t="s">
        <v>3547</v>
      </c>
      <c r="F714" s="154">
        <f>IF(Dados_DMT!$B$26&lt;30,Dados_DMT!$B$26,30)</f>
        <v>0</v>
      </c>
      <c r="G714" s="154" t="s">
        <v>3534</v>
      </c>
      <c r="H714" s="152">
        <v>1.79</v>
      </c>
      <c r="I714" s="152">
        <v>1.81</v>
      </c>
      <c r="J714" s="156"/>
      <c r="K714" s="156">
        <f>ROUND(Recap_Final!I110*F714,2)</f>
        <v>0</v>
      </c>
      <c r="L714" s="156">
        <f>IF($K714&gt;$J714,$K714-$J714,0)</f>
        <v>0</v>
      </c>
      <c r="M714" s="156">
        <f>IF($K714&lt;$J714,$J714-$K714,0)</f>
        <v>0</v>
      </c>
      <c r="N714" s="156" t="s">
        <v>83</v>
      </c>
      <c r="O714" s="157" cm="1">
        <f t="array" ref="O714">TRUNC($H714*(1+_xlfn.SWITCH($N714,"BDI 1",$O$6,"BDI 2",$O$7,"BDI 3",$O$8)),2)</f>
        <v>2.16</v>
      </c>
      <c r="P714" s="157" cm="1">
        <f t="array" ref="P714">TRUNC($I714*(1+_xlfn.SWITCH($N714,"BDI 1",$P$6,"BDI 2",$P$7,"BDI 3",$P$8)),2)</f>
        <v>2.29</v>
      </c>
      <c r="Q714" s="157">
        <v>0</v>
      </c>
      <c r="R714" s="157">
        <v>0</v>
      </c>
      <c r="S714" s="156">
        <f>TRUNC($K714*$O714,2)</f>
        <v>0</v>
      </c>
      <c r="T714" s="156">
        <f>TRUNC($K714*$P714,2)</f>
        <v>0</v>
      </c>
      <c r="U714" s="156">
        <f>TRUNC($J714*$R714,2)</f>
        <v>0</v>
      </c>
      <c r="V714" s="156">
        <f>TRUNC($K714*$Q714,2)</f>
        <v>0</v>
      </c>
      <c r="W714" s="156">
        <f>TRUNC(V714-U714,2)</f>
        <v>0</v>
      </c>
      <c r="X714" s="158">
        <f>$S714/ORCAMENTO_VALOR_TOTAL_ND</f>
        <v>0</v>
      </c>
      <c r="Y714" s="158">
        <f>$T714/ORCAMENTO_VALOR_TOTAL_DE</f>
        <v>0</v>
      </c>
      <c r="Z714" s="158" cm="1">
        <f t="array" ref="Z714">_xlfn.SWITCH($N714,"BDI 1",$O$6,"BDI 2",$O$7,"BDI 3",$O$8)</f>
        <v>0.20699999999999999</v>
      </c>
      <c r="AA714" s="158" cm="1">
        <f t="array" ref="AA714">_xlfn.SWITCH($N714,"BDI 1",$P$6,"BDI 2",$P$7,"BDI 3",$P$8)</f>
        <v>0.26739999999999997</v>
      </c>
      <c r="AB714" s="158">
        <f ca="1">IFERROR($S714/_xlfn.XLOOKUP($AE714,$B$16:$B$38,$S$16:$S$38),0)</f>
        <v>0</v>
      </c>
      <c r="AC714" s="158">
        <f ca="1">IFERROR($T714/_xlfn.XLOOKUP($AE714,$B$16:$B$38,$T$16:$T$38),0)</f>
        <v>0</v>
      </c>
      <c r="AD714" s="164"/>
      <c r="AE714" s="148">
        <f t="shared" ref="AE714:AE715" si="1597">IF(S714&gt;0,IFERROR(TRUNC(A714,0),0),0)</f>
        <v>0</v>
      </c>
      <c r="AF714" s="149"/>
      <c r="AG714" s="150"/>
      <c r="AH714" s="159" t="e">
        <f>S714/$S$666</f>
        <v>#DIV/0!</v>
      </c>
      <c r="AI714" s="209">
        <f>IF(K714=0,0,K714/F714)</f>
        <v>0</v>
      </c>
      <c r="AJ714" s="105"/>
      <c r="AK714" s="105"/>
      <c r="AM714" s="105"/>
      <c r="AN714" s="105"/>
      <c r="AO714" s="105"/>
      <c r="AP714" s="105"/>
      <c r="AQ714" s="105"/>
      <c r="AR714" s="105"/>
    </row>
    <row r="715" spans="1:44" s="49" customFormat="1" ht="40.15" hidden="1" customHeight="1">
      <c r="A715" s="152">
        <f t="shared" ca="1" si="1529"/>
        <v>0</v>
      </c>
      <c r="B715" s="153">
        <v>102333</v>
      </c>
      <c r="C715" s="154" t="str">
        <f>TEXT(B715,"0")</f>
        <v>102333</v>
      </c>
      <c r="D715" s="154" t="s">
        <v>1416</v>
      </c>
      <c r="E715" s="155" t="s">
        <v>3546</v>
      </c>
      <c r="F715" s="154">
        <f>+Dados_DMT!$B$26-F714</f>
        <v>0</v>
      </c>
      <c r="G715" s="154" t="s">
        <v>3534</v>
      </c>
      <c r="H715" s="152">
        <v>0.72</v>
      </c>
      <c r="I715" s="152">
        <v>0.73</v>
      </c>
      <c r="J715" s="156"/>
      <c r="K715" s="156">
        <f>ROUND(Recap_Final!I110*F715,2)</f>
        <v>0</v>
      </c>
      <c r="L715" s="156">
        <f>IF($K715&gt;$J715,$K715-$J715,0)</f>
        <v>0</v>
      </c>
      <c r="M715" s="156">
        <f>IF($K715&lt;$J715,$J715-$K715,0)</f>
        <v>0</v>
      </c>
      <c r="N715" s="156" t="s">
        <v>83</v>
      </c>
      <c r="O715" s="157" cm="1">
        <f t="array" ref="O715">TRUNC($H715*(1+_xlfn.SWITCH($N715,"BDI 1",$O$6,"BDI 2",$O$7,"BDI 3",$O$8)),2)</f>
        <v>0.86</v>
      </c>
      <c r="P715" s="157" cm="1">
        <f t="array" ref="P715">TRUNC($I715*(1+_xlfn.SWITCH($N715,"BDI 1",$P$6,"BDI 2",$P$7,"BDI 3",$P$8)),2)</f>
        <v>0.92</v>
      </c>
      <c r="Q715" s="157">
        <v>0</v>
      </c>
      <c r="R715" s="157">
        <v>0</v>
      </c>
      <c r="S715" s="156">
        <f>TRUNC($K715*$O715,2)</f>
        <v>0</v>
      </c>
      <c r="T715" s="156">
        <f>TRUNC($K715*$P715,2)</f>
        <v>0</v>
      </c>
      <c r="U715" s="156">
        <f>TRUNC($J715*$R715,2)</f>
        <v>0</v>
      </c>
      <c r="V715" s="156">
        <f>TRUNC($K715*$Q715,2)</f>
        <v>0</v>
      </c>
      <c r="W715" s="156">
        <f>TRUNC(V715-U715,2)</f>
        <v>0</v>
      </c>
      <c r="X715" s="158">
        <f>$S715/ORCAMENTO_VALOR_TOTAL_ND</f>
        <v>0</v>
      </c>
      <c r="Y715" s="158">
        <f>$T715/ORCAMENTO_VALOR_TOTAL_DE</f>
        <v>0</v>
      </c>
      <c r="Z715" s="158" cm="1">
        <f t="array" ref="Z715">_xlfn.SWITCH($N715,"BDI 1",$O$6,"BDI 2",$O$7,"BDI 3",$O$8)</f>
        <v>0.20699999999999999</v>
      </c>
      <c r="AA715" s="158" cm="1">
        <f t="array" ref="AA715">_xlfn.SWITCH($N715,"BDI 1",$P$6,"BDI 2",$P$7,"BDI 3",$P$8)</f>
        <v>0.26739999999999997</v>
      </c>
      <c r="AB715" s="158">
        <f ca="1">IFERROR($S715/_xlfn.XLOOKUP($AE715,$B$16:$B$38,$S$16:$S$38),0)</f>
        <v>0</v>
      </c>
      <c r="AC715" s="158">
        <f ca="1">IFERROR($T715/_xlfn.XLOOKUP($AE715,$B$16:$B$38,$T$16:$T$38),0)</f>
        <v>0</v>
      </c>
      <c r="AD715" s="164"/>
      <c r="AE715" s="148">
        <f t="shared" si="1597"/>
        <v>0</v>
      </c>
      <c r="AF715" s="149"/>
      <c r="AG715" s="150"/>
      <c r="AH715" s="159" t="e">
        <f>S715/$S$666</f>
        <v>#DIV/0!</v>
      </c>
      <c r="AI715" s="209">
        <f>IF(K715=0,0,K715/F715)</f>
        <v>0</v>
      </c>
      <c r="AJ715" s="105"/>
      <c r="AK715" s="105"/>
      <c r="AM715" s="105"/>
      <c r="AN715" s="105"/>
      <c r="AO715" s="105"/>
      <c r="AP715" s="105"/>
      <c r="AQ715" s="105"/>
      <c r="AR715" s="105"/>
    </row>
    <row r="716" spans="1:44" s="49" customFormat="1" ht="40.15" hidden="1" customHeight="1">
      <c r="A716" s="10">
        <f t="shared" ca="1" si="1529"/>
        <v>0</v>
      </c>
      <c r="B716" s="153"/>
      <c r="C716" s="154"/>
      <c r="D716" s="154"/>
      <c r="E716" s="161" t="s">
        <v>274</v>
      </c>
      <c r="F716" s="154"/>
      <c r="G716" s="154"/>
      <c r="H716" s="152"/>
      <c r="I716" s="152"/>
      <c r="J716" s="154"/>
      <c r="K716" s="154"/>
      <c r="L716" s="154"/>
      <c r="M716" s="154"/>
      <c r="N716" s="154"/>
      <c r="O716" s="154"/>
      <c r="P716" s="154"/>
      <c r="Q716" s="154"/>
      <c r="R716" s="154"/>
      <c r="S716" s="162"/>
      <c r="T716" s="162"/>
      <c r="U716" s="162"/>
      <c r="V716" s="162"/>
      <c r="W716" s="162"/>
      <c r="X716" s="154"/>
      <c r="Y716" s="154"/>
      <c r="Z716" s="154"/>
      <c r="AA716" s="154"/>
      <c r="AB716" s="154"/>
      <c r="AC716" s="154"/>
      <c r="AD716" s="106"/>
      <c r="AE716" s="148">
        <f>IF(SUM(S717:S718)&gt;0,IFERROR(TRUNC(A716,0),0),0)</f>
        <v>0</v>
      </c>
      <c r="AF716" s="149"/>
      <c r="AG716" s="150"/>
      <c r="AH716" s="159"/>
      <c r="AI716" s="160"/>
      <c r="AJ716" s="105"/>
      <c r="AK716" s="159"/>
      <c r="AM716" s="105"/>
      <c r="AN716" s="105"/>
      <c r="AO716" s="105"/>
      <c r="AP716" s="105"/>
      <c r="AQ716" s="105"/>
      <c r="AR716" s="105"/>
    </row>
    <row r="717" spans="1:44" s="49" customFormat="1" ht="40.15" hidden="1" customHeight="1">
      <c r="A717" s="152">
        <f t="shared" ca="1" si="1529"/>
        <v>0</v>
      </c>
      <c r="B717" s="153">
        <v>102332</v>
      </c>
      <c r="C717" s="154" t="str">
        <f>TEXT(B717,"0")</f>
        <v>102332</v>
      </c>
      <c r="D717" s="154" t="s">
        <v>1416</v>
      </c>
      <c r="E717" s="155" t="s">
        <v>3547</v>
      </c>
      <c r="F717" s="154">
        <f>IF(Dados_DMT!B27&lt;30,Dados_DMT!B27,30)</f>
        <v>0</v>
      </c>
      <c r="G717" s="154" t="s">
        <v>3534</v>
      </c>
      <c r="H717" s="152">
        <v>1.79</v>
      </c>
      <c r="I717" s="152">
        <v>1.81</v>
      </c>
      <c r="J717" s="156"/>
      <c r="K717" s="156">
        <f>ROUND((Recap_Final!I111+Recap_Final!I112+Recap_Final!I113)*F717,2)</f>
        <v>0</v>
      </c>
      <c r="L717" s="156">
        <f>IF($K717&gt;$J717,$K717-$J717,0)</f>
        <v>0</v>
      </c>
      <c r="M717" s="156">
        <f>IF($K717&lt;$J717,$J717-$K717,0)</f>
        <v>0</v>
      </c>
      <c r="N717" s="156" t="s">
        <v>83</v>
      </c>
      <c r="O717" s="157" cm="1">
        <f t="array" ref="O717">TRUNC($H717*(1+_xlfn.SWITCH($N717,"BDI 1",$O$6,"BDI 2",$O$7,"BDI 3",$O$8)),2)</f>
        <v>2.16</v>
      </c>
      <c r="P717" s="157" cm="1">
        <f t="array" ref="P717">TRUNC($I717*(1+_xlfn.SWITCH($N717,"BDI 1",$P$6,"BDI 2",$P$7,"BDI 3",$P$8)),2)</f>
        <v>2.29</v>
      </c>
      <c r="Q717" s="157">
        <v>0</v>
      </c>
      <c r="R717" s="157">
        <v>0</v>
      </c>
      <c r="S717" s="156">
        <f>TRUNC($K717*$O717,2)</f>
        <v>0</v>
      </c>
      <c r="T717" s="156">
        <f>TRUNC($K717*$P717,2)</f>
        <v>0</v>
      </c>
      <c r="U717" s="156">
        <f>TRUNC($J717*$R717,2)</f>
        <v>0</v>
      </c>
      <c r="V717" s="156">
        <f>TRUNC($K717*$Q717,2)</f>
        <v>0</v>
      </c>
      <c r="W717" s="156">
        <f>TRUNC(V717-U717,2)</f>
        <v>0</v>
      </c>
      <c r="X717" s="158">
        <f>$S717/ORCAMENTO_VALOR_TOTAL_ND</f>
        <v>0</v>
      </c>
      <c r="Y717" s="158">
        <f>$T717/ORCAMENTO_VALOR_TOTAL_DE</f>
        <v>0</v>
      </c>
      <c r="Z717" s="158" cm="1">
        <f t="array" ref="Z717">_xlfn.SWITCH($N717,"BDI 1",$O$6,"BDI 2",$O$7,"BDI 3",$O$8)</f>
        <v>0.20699999999999999</v>
      </c>
      <c r="AA717" s="158" cm="1">
        <f t="array" ref="AA717">_xlfn.SWITCH($N717,"BDI 1",$P$6,"BDI 2",$P$7,"BDI 3",$P$8)</f>
        <v>0.26739999999999997</v>
      </c>
      <c r="AB717" s="158">
        <f ca="1">IFERROR($S717/_xlfn.XLOOKUP($AE717,$B$16:$B$38,$S$16:$S$38),0)</f>
        <v>0</v>
      </c>
      <c r="AC717" s="158">
        <f ca="1">IFERROR($T717/_xlfn.XLOOKUP($AE717,$B$16:$B$38,$T$16:$T$38),0)</f>
        <v>0</v>
      </c>
      <c r="AD717" s="164"/>
      <c r="AE717" s="148">
        <f t="shared" ref="AE717:AE718" si="1598">IF(S717&gt;0,IFERROR(TRUNC(A717,0),0),0)</f>
        <v>0</v>
      </c>
      <c r="AF717" s="149"/>
      <c r="AG717" s="150"/>
      <c r="AH717" s="159" t="e">
        <f>S717/$S$666</f>
        <v>#DIV/0!</v>
      </c>
      <c r="AI717" s="209">
        <f>IF(K717=0,0,K717/F717)</f>
        <v>0</v>
      </c>
      <c r="AJ717" s="105"/>
      <c r="AK717" s="105"/>
      <c r="AM717" s="105"/>
      <c r="AN717" s="105"/>
      <c r="AO717" s="105"/>
      <c r="AP717" s="105"/>
      <c r="AQ717" s="105"/>
      <c r="AR717" s="105"/>
    </row>
    <row r="718" spans="1:44" s="49" customFormat="1" ht="40.15" hidden="1" customHeight="1">
      <c r="A718" s="152">
        <f t="shared" ca="1" si="1529"/>
        <v>0</v>
      </c>
      <c r="B718" s="153">
        <v>102333</v>
      </c>
      <c r="C718" s="154" t="str">
        <f>TEXT(B718,"0")</f>
        <v>102333</v>
      </c>
      <c r="D718" s="154" t="s">
        <v>1416</v>
      </c>
      <c r="E718" s="155" t="s">
        <v>3546</v>
      </c>
      <c r="F718" s="154">
        <f>+Dados_DMT!B27-F717</f>
        <v>0</v>
      </c>
      <c r="G718" s="154" t="s">
        <v>3534</v>
      </c>
      <c r="H718" s="152">
        <v>0.72</v>
      </c>
      <c r="I718" s="152">
        <v>0.73</v>
      </c>
      <c r="J718" s="156"/>
      <c r="K718" s="156">
        <f>ROUND((Recap_Final!I111+Recap_Final!I112+Recap_Final!I113)*F718,2)</f>
        <v>0</v>
      </c>
      <c r="L718" s="156">
        <f>IF($K718&gt;$J718,$K718-$J718,0)</f>
        <v>0</v>
      </c>
      <c r="M718" s="156">
        <f>IF($K718&lt;$J718,$J718-$K718,0)</f>
        <v>0</v>
      </c>
      <c r="N718" s="156" t="s">
        <v>83</v>
      </c>
      <c r="O718" s="157" cm="1">
        <f t="array" ref="O718">TRUNC($H718*(1+_xlfn.SWITCH($N718,"BDI 1",$O$6,"BDI 2",$O$7,"BDI 3",$O$8)),2)</f>
        <v>0.86</v>
      </c>
      <c r="P718" s="157" cm="1">
        <f t="array" ref="P718">TRUNC($I718*(1+_xlfn.SWITCH($N718,"BDI 1",$P$6,"BDI 2",$P$7,"BDI 3",$P$8)),2)</f>
        <v>0.92</v>
      </c>
      <c r="Q718" s="157">
        <v>0</v>
      </c>
      <c r="R718" s="157">
        <v>0</v>
      </c>
      <c r="S718" s="156">
        <f>TRUNC($K718*$O718,2)</f>
        <v>0</v>
      </c>
      <c r="T718" s="156">
        <f>TRUNC($K718*$P718,2)</f>
        <v>0</v>
      </c>
      <c r="U718" s="156">
        <f>TRUNC($J718*$R718,2)</f>
        <v>0</v>
      </c>
      <c r="V718" s="156">
        <f>TRUNC($K718*$Q718,2)</f>
        <v>0</v>
      </c>
      <c r="W718" s="156">
        <f>TRUNC(V718-U718,2)</f>
        <v>0</v>
      </c>
      <c r="X718" s="158">
        <f>$S718/ORCAMENTO_VALOR_TOTAL_ND</f>
        <v>0</v>
      </c>
      <c r="Y718" s="158">
        <f>$T718/ORCAMENTO_VALOR_TOTAL_DE</f>
        <v>0</v>
      </c>
      <c r="Z718" s="158" cm="1">
        <f t="array" ref="Z718">_xlfn.SWITCH($N718,"BDI 1",$O$6,"BDI 2",$O$7,"BDI 3",$O$8)</f>
        <v>0.20699999999999999</v>
      </c>
      <c r="AA718" s="158" cm="1">
        <f t="array" ref="AA718">_xlfn.SWITCH($N718,"BDI 1",$P$6,"BDI 2",$P$7,"BDI 3",$P$8)</f>
        <v>0.26739999999999997</v>
      </c>
      <c r="AB718" s="158">
        <f ca="1">IFERROR($S718/_xlfn.XLOOKUP($AE718,$B$16:$B$38,$S$16:$S$38),0)</f>
        <v>0</v>
      </c>
      <c r="AC718" s="158">
        <f ca="1">IFERROR($T718/_xlfn.XLOOKUP($AE718,$B$16:$B$38,$T$16:$T$38),0)</f>
        <v>0</v>
      </c>
      <c r="AD718" s="164"/>
      <c r="AE718" s="148">
        <f t="shared" si="1598"/>
        <v>0</v>
      </c>
      <c r="AF718" s="149"/>
      <c r="AG718" s="150"/>
      <c r="AH718" s="159" t="e">
        <f>S718/$S$666</f>
        <v>#DIV/0!</v>
      </c>
      <c r="AI718" s="209">
        <f>IF(K718=0,0,K718/F718)</f>
        <v>0</v>
      </c>
      <c r="AJ718" s="105"/>
      <c r="AK718" s="105"/>
      <c r="AM718" s="105"/>
      <c r="AN718" s="105"/>
      <c r="AO718" s="105"/>
      <c r="AP718" s="105"/>
      <c r="AQ718" s="105"/>
      <c r="AR718" s="105"/>
    </row>
    <row r="719" spans="1:44" s="49" customFormat="1" ht="40.15" hidden="1" customHeight="1">
      <c r="A719" s="10">
        <f t="shared" ca="1" si="1529"/>
        <v>0</v>
      </c>
      <c r="B719" s="153"/>
      <c r="C719" s="154"/>
      <c r="D719" s="154"/>
      <c r="E719" s="155"/>
      <c r="F719" s="154"/>
      <c r="G719" s="154"/>
      <c r="H719" s="152"/>
      <c r="I719" s="152"/>
      <c r="J719" s="168"/>
      <c r="K719" s="168"/>
      <c r="L719" s="168"/>
      <c r="M719" s="168"/>
      <c r="N719" s="168"/>
      <c r="O719" s="157"/>
      <c r="P719" s="157"/>
      <c r="Q719" s="157"/>
      <c r="R719" s="157"/>
      <c r="S719" s="162"/>
      <c r="T719" s="162"/>
      <c r="U719" s="162"/>
      <c r="V719" s="162"/>
      <c r="W719" s="162"/>
      <c r="X719" s="163"/>
      <c r="Y719" s="163"/>
      <c r="Z719" s="163"/>
      <c r="AA719" s="163"/>
      <c r="AB719" s="163"/>
      <c r="AC719" s="163"/>
      <c r="AD719" s="164"/>
      <c r="AE719" s="148">
        <f>IF(S720&gt;0,IFERROR(TRUNC(A720,0),0),0)</f>
        <v>0</v>
      </c>
      <c r="AF719" s="149"/>
      <c r="AG719" s="150"/>
      <c r="AH719" s="159"/>
      <c r="AI719" s="160"/>
      <c r="AJ719" s="105"/>
      <c r="AK719" s="105"/>
      <c r="AM719" s="105"/>
      <c r="AN719" s="105"/>
      <c r="AO719" s="105"/>
      <c r="AP719" s="105"/>
      <c r="AQ719" s="105"/>
      <c r="AR719" s="105"/>
    </row>
    <row r="720" spans="1:44" s="105" customFormat="1" ht="40.15" hidden="1" customHeight="1">
      <c r="A720" s="169">
        <f ca="1">$B$28</f>
        <v>0</v>
      </c>
      <c r="B720" s="170"/>
      <c r="C720" s="171"/>
      <c r="D720" s="172"/>
      <c r="E720" s="173" t="str">
        <f>$D$28</f>
        <v>IMPLANTAÇÃO DE TERRAPLENAGEM</v>
      </c>
      <c r="F720" s="174"/>
      <c r="G720" s="175"/>
      <c r="H720" s="176" t="s">
        <v>308</v>
      </c>
      <c r="I720" s="176" t="s">
        <v>308</v>
      </c>
      <c r="J720" s="177"/>
      <c r="K720" s="177"/>
      <c r="L720" s="177"/>
      <c r="M720" s="177"/>
      <c r="N720" s="177"/>
      <c r="O720" s="178" t="str">
        <f ca="1">CONCATENATE("SUB-TOTAL ",$A720)</f>
        <v>SUB-TOTAL 0</v>
      </c>
      <c r="P720" s="178" t="e" cm="1">
        <f t="array" ref="P720">TRUNC($I720*(1+_xlfn.SWITCH($N720,"BDI 1",$P$6,"BDI 2",$P$7,"BDI 3",$P$8)),2)</f>
        <v>#VALUE!</v>
      </c>
      <c r="Q720" s="178" t="str">
        <f ca="1">CONCATENATE("SUB-TOTAL ",$A720)</f>
        <v>SUB-TOTAL 0</v>
      </c>
      <c r="R720" s="178"/>
      <c r="S720" s="179">
        <f>SUM(S721:S743)</f>
        <v>0</v>
      </c>
      <c r="T720" s="179">
        <f>SUM(T721:T743)</f>
        <v>0</v>
      </c>
      <c r="U720" s="179">
        <f>SUM(U721:U743)</f>
        <v>0</v>
      </c>
      <c r="V720" s="179">
        <f>SUM(V721:V743)</f>
        <v>0</v>
      </c>
      <c r="W720" s="179">
        <f t="shared" ref="W720:W729" si="1599">TRUNC(V720-U720,2)</f>
        <v>0</v>
      </c>
      <c r="X720" s="180">
        <f t="shared" ref="X720" si="1600">$S720/ORCAMENTO_VALOR_TOTAL_ND</f>
        <v>0</v>
      </c>
      <c r="Y720" s="180">
        <f t="shared" ref="Y720" si="1601">$T720/ORCAMENTO_VALOR_TOTAL_DE</f>
        <v>0</v>
      </c>
      <c r="Z720" s="180"/>
      <c r="AA720" s="180"/>
      <c r="AB720" s="180">
        <f>IFERROR($S720/$S720,0)</f>
        <v>0</v>
      </c>
      <c r="AC720" s="180">
        <f>IFERROR($T720/$T720,0)</f>
        <v>0</v>
      </c>
      <c r="AD720" s="147"/>
      <c r="AE720" s="148">
        <f t="shared" ref="AE720:AE729" si="1602">IF(S720&gt;0,IFERROR(TRUNC(A720,0),0),0)</f>
        <v>0</v>
      </c>
      <c r="AF720" s="149"/>
      <c r="AG720" s="150"/>
      <c r="AH720" s="151" t="e">
        <f t="shared" ref="AH720:AH729" si="1603">+S720/$S$720</f>
        <v>#DIV/0!</v>
      </c>
    </row>
    <row r="721" spans="1:44" s="49" customFormat="1" ht="40.15" hidden="1" customHeight="1">
      <c r="A721" s="152">
        <f t="shared" ref="A721:A729" ca="1" si="1604">+IF(K721&gt;0,A720+0.01,A720)</f>
        <v>0</v>
      </c>
      <c r="B721" s="153">
        <v>98525</v>
      </c>
      <c r="C721" s="154" t="str">
        <f t="shared" ref="C721:C729" si="1605">TEXT(B721,"0")</f>
        <v>98525</v>
      </c>
      <c r="D721" s="154" t="s">
        <v>1416</v>
      </c>
      <c r="E721" s="155" t="s">
        <v>1417</v>
      </c>
      <c r="F721" s="154"/>
      <c r="G721" s="154" t="s">
        <v>1418</v>
      </c>
      <c r="H721" s="152">
        <v>0.63</v>
      </c>
      <c r="I721" s="152">
        <v>0.37</v>
      </c>
      <c r="J721" s="156"/>
      <c r="K721" s="156">
        <f>+Pav_Terraplenagem!J10</f>
        <v>0</v>
      </c>
      <c r="L721" s="156">
        <f t="shared" ref="L721:L729" si="1606">IF($K721&gt;$J721,$K721-$J721,0)</f>
        <v>0</v>
      </c>
      <c r="M721" s="156">
        <f t="shared" ref="M721:M729" si="1607">IF($K721&lt;$J721,$J721-$K721,0)</f>
        <v>0</v>
      </c>
      <c r="N721" s="156" t="s">
        <v>83</v>
      </c>
      <c r="O721" s="157" cm="1">
        <f t="array" ref="O721">TRUNC($H721*(1+_xlfn.SWITCH($N721,"BDI 1",$O$6,"BDI 2",$O$7,"BDI 3",$O$8)),2)</f>
        <v>0.76</v>
      </c>
      <c r="P721" s="157" cm="1">
        <f t="array" ref="P721">TRUNC($I721*(1+_xlfn.SWITCH($N721,"BDI 1",$P$6,"BDI 2",$P$7,"BDI 3",$P$8)),2)</f>
        <v>0.46</v>
      </c>
      <c r="Q721" s="157">
        <v>0</v>
      </c>
      <c r="R721" s="157">
        <f t="shared" ref="R721" si="1608">$Q721-($Q721*LICITACAO_DESCONTO)</f>
        <v>0</v>
      </c>
      <c r="S721" s="156">
        <f t="shared" ref="S721:S729" si="1609">TRUNC($K721*$O721,2)</f>
        <v>0</v>
      </c>
      <c r="T721" s="156">
        <f t="shared" ref="T721:T729" si="1610">TRUNC($K721*$P721,2)</f>
        <v>0</v>
      </c>
      <c r="U721" s="156">
        <f t="shared" ref="U721:U729" si="1611">TRUNC($J721*$R721,2)</f>
        <v>0</v>
      </c>
      <c r="V721" s="156">
        <f t="shared" ref="V721:V729" si="1612">TRUNC($K721*$Q721,2)</f>
        <v>0</v>
      </c>
      <c r="W721" s="156">
        <f t="shared" si="1599"/>
        <v>0</v>
      </c>
      <c r="X721" s="158">
        <f t="shared" ref="X721" si="1613">$S721/ORCAMENTO_VALOR_TOTAL_ND</f>
        <v>0</v>
      </c>
      <c r="Y721" s="158">
        <f t="shared" ref="Y721" si="1614">$T721/ORCAMENTO_VALOR_TOTAL_DE</f>
        <v>0</v>
      </c>
      <c r="Z721" s="158" cm="1">
        <f t="array" ref="Z721">_xlfn.SWITCH($N721,"BDI 1",$O$6,"BDI 2",$O$7,"BDI 3",$O$8)</f>
        <v>0.20699999999999999</v>
      </c>
      <c r="AA721" s="158" cm="1">
        <f t="array" ref="AA721">_xlfn.SWITCH($N721,"BDI 1",$P$6,"BDI 2",$P$7,"BDI 3",$P$8)</f>
        <v>0.26739999999999997</v>
      </c>
      <c r="AB721" s="158">
        <f t="shared" ref="AB721:AB729" ca="1" si="1615">IFERROR($S721/_xlfn.XLOOKUP($AE721,$B$16:$B$38,$S$16:$S$38),0)</f>
        <v>0</v>
      </c>
      <c r="AC721" s="158">
        <f t="shared" ref="AC721:AC729" ca="1" si="1616">IFERROR($T721/_xlfn.XLOOKUP($AE721,$B$16:$B$38,$T$16:$T$38),0)</f>
        <v>0</v>
      </c>
      <c r="AD721" s="164"/>
      <c r="AE721" s="148">
        <f t="shared" si="1602"/>
        <v>0</v>
      </c>
      <c r="AF721" s="149"/>
      <c r="AG721" s="150"/>
      <c r="AH721" s="159" t="e">
        <f t="shared" si="1603"/>
        <v>#DIV/0!</v>
      </c>
      <c r="AI721" s="160"/>
      <c r="AJ721" s="181" t="s">
        <v>105</v>
      </c>
      <c r="AK721" s="181" t="s">
        <v>106</v>
      </c>
      <c r="AM721" s="105"/>
      <c r="AN721" s="105"/>
      <c r="AO721" s="105"/>
      <c r="AP721" s="105"/>
      <c r="AQ721" s="105"/>
      <c r="AR721" s="105"/>
    </row>
    <row r="722" spans="1:44" s="49" customFormat="1" ht="40.15" hidden="1" customHeight="1">
      <c r="A722" s="152">
        <f t="shared" ca="1" si="1604"/>
        <v>0</v>
      </c>
      <c r="B722" s="153" t="s">
        <v>309</v>
      </c>
      <c r="C722" s="154" t="str">
        <f t="shared" si="1605"/>
        <v>PA/0001</v>
      </c>
      <c r="D722" s="154" t="s">
        <v>3549</v>
      </c>
      <c r="E722" s="155" t="s">
        <v>3898</v>
      </c>
      <c r="F722" s="154"/>
      <c r="G722" s="154" t="s">
        <v>464</v>
      </c>
      <c r="H722" s="152">
        <v>4.2300000000000004</v>
      </c>
      <c r="I722" s="152">
        <v>4.18</v>
      </c>
      <c r="J722" s="156"/>
      <c r="K722" s="156">
        <f>+Pav_Terraplenagem!J106</f>
        <v>0</v>
      </c>
      <c r="L722" s="156">
        <f t="shared" si="1606"/>
        <v>0</v>
      </c>
      <c r="M722" s="156">
        <f t="shared" si="1607"/>
        <v>0</v>
      </c>
      <c r="N722" s="156" t="s">
        <v>83</v>
      </c>
      <c r="O722" s="157" cm="1">
        <f t="array" ref="O722">TRUNC($H722*(1+_xlfn.SWITCH($N722,"BDI 1",$O$6,"BDI 2",$O$7,"BDI 3",$O$8)),2)</f>
        <v>5.0999999999999996</v>
      </c>
      <c r="P722" s="157" cm="1">
        <f t="array" ref="P722">TRUNC($I722*(1+_xlfn.SWITCH($N722,"BDI 1",$P$6,"BDI 2",$P$7,"BDI 3",$P$8)),2)</f>
        <v>5.29</v>
      </c>
      <c r="Q722" s="157">
        <v>0</v>
      </c>
      <c r="R722" s="157">
        <f t="shared" ref="R722" si="1617">$Q722-($Q722*LICITACAO_DESCONTO)</f>
        <v>0</v>
      </c>
      <c r="S722" s="156">
        <f t="shared" si="1609"/>
        <v>0</v>
      </c>
      <c r="T722" s="156">
        <f t="shared" si="1610"/>
        <v>0</v>
      </c>
      <c r="U722" s="156">
        <f t="shared" si="1611"/>
        <v>0</v>
      </c>
      <c r="V722" s="156">
        <f t="shared" si="1612"/>
        <v>0</v>
      </c>
      <c r="W722" s="156">
        <f t="shared" si="1599"/>
        <v>0</v>
      </c>
      <c r="X722" s="158">
        <f t="shared" ref="X722" si="1618">$S722/ORCAMENTO_VALOR_TOTAL_ND</f>
        <v>0</v>
      </c>
      <c r="Y722" s="158">
        <f t="shared" ref="Y722" si="1619">$T722/ORCAMENTO_VALOR_TOTAL_DE</f>
        <v>0</v>
      </c>
      <c r="Z722" s="158" cm="1">
        <f t="array" ref="Z722">_xlfn.SWITCH($N722,"BDI 1",$O$6,"BDI 2",$O$7,"BDI 3",$O$8)</f>
        <v>0.20699999999999999</v>
      </c>
      <c r="AA722" s="158" cm="1">
        <f t="array" ref="AA722">_xlfn.SWITCH($N722,"BDI 1",$P$6,"BDI 2",$P$7,"BDI 3",$P$8)</f>
        <v>0.26739999999999997</v>
      </c>
      <c r="AB722" s="158">
        <f t="shared" ca="1" si="1615"/>
        <v>0</v>
      </c>
      <c r="AC722" s="158">
        <f t="shared" ca="1" si="1616"/>
        <v>0</v>
      </c>
      <c r="AD722" s="164"/>
      <c r="AE722" s="148">
        <f t="shared" si="1602"/>
        <v>0</v>
      </c>
      <c r="AF722" s="149"/>
      <c r="AG722" s="150"/>
      <c r="AH722" s="159" t="e">
        <f t="shared" si="1603"/>
        <v>#DIV/0!</v>
      </c>
      <c r="AI722" s="160"/>
      <c r="AJ722" s="182">
        <v>0</v>
      </c>
      <c r="AK722" s="183" t="e">
        <f>+K722/AJ722</f>
        <v>#DIV/0!</v>
      </c>
      <c r="AM722" s="105"/>
      <c r="AN722" s="105"/>
      <c r="AO722" s="105"/>
      <c r="AP722" s="105"/>
      <c r="AQ722" s="105"/>
      <c r="AR722" s="105"/>
    </row>
    <row r="723" spans="1:44" s="49" customFormat="1" ht="49.9" hidden="1" customHeight="1">
      <c r="A723" s="152">
        <f t="shared" ca="1" si="1604"/>
        <v>0</v>
      </c>
      <c r="B723" s="153">
        <v>100975</v>
      </c>
      <c r="C723" s="154" t="str">
        <f t="shared" si="1605"/>
        <v>100975</v>
      </c>
      <c r="D723" s="154" t="s">
        <v>1416</v>
      </c>
      <c r="E723" s="155" t="s">
        <v>3899</v>
      </c>
      <c r="F723" s="154"/>
      <c r="G723" s="154" t="s">
        <v>464</v>
      </c>
      <c r="H723" s="152">
        <v>8.3800000000000008</v>
      </c>
      <c r="I723" s="152">
        <v>8.35</v>
      </c>
      <c r="J723" s="156"/>
      <c r="K723" s="156">
        <f>ROUND(Pav_Terraplenagem!J106*1.25,2)</f>
        <v>0</v>
      </c>
      <c r="L723" s="156">
        <f t="shared" si="1606"/>
        <v>0</v>
      </c>
      <c r="M723" s="156">
        <f t="shared" si="1607"/>
        <v>0</v>
      </c>
      <c r="N723" s="156" t="s">
        <v>83</v>
      </c>
      <c r="O723" s="157" cm="1">
        <f t="array" ref="O723">TRUNC($H723*(1+_xlfn.SWITCH($N723,"BDI 1",$O$6,"BDI 2",$O$7,"BDI 3",$O$8)),2)</f>
        <v>10.11</v>
      </c>
      <c r="P723" s="157" cm="1">
        <f t="array" ref="P723">TRUNC($I723*(1+_xlfn.SWITCH($N723,"BDI 1",$P$6,"BDI 2",$P$7,"BDI 3",$P$8)),2)</f>
        <v>10.58</v>
      </c>
      <c r="Q723" s="157">
        <v>0</v>
      </c>
      <c r="R723" s="157">
        <f t="shared" ref="R723" si="1620">$Q723-($Q723*LICITACAO_DESCONTO)</f>
        <v>0</v>
      </c>
      <c r="S723" s="156">
        <f t="shared" si="1609"/>
        <v>0</v>
      </c>
      <c r="T723" s="156">
        <f t="shared" si="1610"/>
        <v>0</v>
      </c>
      <c r="U723" s="156">
        <f t="shared" si="1611"/>
        <v>0</v>
      </c>
      <c r="V723" s="156">
        <f t="shared" si="1612"/>
        <v>0</v>
      </c>
      <c r="W723" s="156">
        <f t="shared" si="1599"/>
        <v>0</v>
      </c>
      <c r="X723" s="158">
        <f t="shared" ref="X723" si="1621">$S723/ORCAMENTO_VALOR_TOTAL_ND</f>
        <v>0</v>
      </c>
      <c r="Y723" s="158">
        <f t="shared" ref="Y723" si="1622">$T723/ORCAMENTO_VALOR_TOTAL_DE</f>
        <v>0</v>
      </c>
      <c r="Z723" s="158" cm="1">
        <f t="array" ref="Z723">_xlfn.SWITCH($N723,"BDI 1",$O$6,"BDI 2",$O$7,"BDI 3",$O$8)</f>
        <v>0.20699999999999999</v>
      </c>
      <c r="AA723" s="158" cm="1">
        <f t="array" ref="AA723">_xlfn.SWITCH($N723,"BDI 1",$P$6,"BDI 2",$P$7,"BDI 3",$P$8)</f>
        <v>0.26739999999999997</v>
      </c>
      <c r="AB723" s="158">
        <f t="shared" ca="1" si="1615"/>
        <v>0</v>
      </c>
      <c r="AC723" s="158">
        <f t="shared" ca="1" si="1616"/>
        <v>0</v>
      </c>
      <c r="AD723" s="164"/>
      <c r="AE723" s="148">
        <f t="shared" si="1602"/>
        <v>0</v>
      </c>
      <c r="AF723" s="149"/>
      <c r="AG723" s="150"/>
      <c r="AH723" s="159" t="e">
        <f t="shared" si="1603"/>
        <v>#DIV/0!</v>
      </c>
      <c r="AI723" s="160"/>
      <c r="AJ723" s="182">
        <v>0</v>
      </c>
      <c r="AK723" s="183" t="e">
        <f>+K723/AJ723</f>
        <v>#DIV/0!</v>
      </c>
      <c r="AM723" s="105"/>
      <c r="AN723" s="105"/>
      <c r="AO723" s="105"/>
      <c r="AP723" s="105"/>
      <c r="AQ723" s="105"/>
      <c r="AR723" s="105"/>
    </row>
    <row r="724" spans="1:44" s="49" customFormat="1" ht="40.15" hidden="1" customHeight="1">
      <c r="A724" s="152">
        <f t="shared" ca="1" si="1604"/>
        <v>0</v>
      </c>
      <c r="B724" s="153" t="s">
        <v>279</v>
      </c>
      <c r="C724" s="154" t="str">
        <f t="shared" si="1605"/>
        <v>PA/0010</v>
      </c>
      <c r="D724" s="154" t="s">
        <v>3549</v>
      </c>
      <c r="E724" s="155" t="s">
        <v>3878</v>
      </c>
      <c r="F724" s="154"/>
      <c r="G724" s="154" t="s">
        <v>464</v>
      </c>
      <c r="H724" s="152">
        <v>136.76</v>
      </c>
      <c r="I724" s="152">
        <v>136.53</v>
      </c>
      <c r="J724" s="156"/>
      <c r="K724" s="156">
        <f>+Pav_Terraplenagem!J103</f>
        <v>0</v>
      </c>
      <c r="L724" s="156">
        <f t="shared" si="1606"/>
        <v>0</v>
      </c>
      <c r="M724" s="156">
        <f t="shared" si="1607"/>
        <v>0</v>
      </c>
      <c r="N724" s="156" t="s">
        <v>83</v>
      </c>
      <c r="O724" s="157" cm="1">
        <f t="array" ref="O724">TRUNC($H724*(1+_xlfn.SWITCH($N724,"BDI 1",$O$6,"BDI 2",$O$7,"BDI 3",$O$8)),2)</f>
        <v>165.06</v>
      </c>
      <c r="P724" s="157" cm="1">
        <f t="array" ref="P724">TRUNC($I724*(1+_xlfn.SWITCH($N724,"BDI 1",$P$6,"BDI 2",$P$7,"BDI 3",$P$8)),2)</f>
        <v>173.03</v>
      </c>
      <c r="Q724" s="157">
        <v>0</v>
      </c>
      <c r="R724" s="157">
        <f t="shared" ref="R724" si="1623">$Q724-($Q724*LICITACAO_DESCONTO)</f>
        <v>0</v>
      </c>
      <c r="S724" s="156">
        <f t="shared" si="1609"/>
        <v>0</v>
      </c>
      <c r="T724" s="156">
        <f t="shared" si="1610"/>
        <v>0</v>
      </c>
      <c r="U724" s="156">
        <f t="shared" si="1611"/>
        <v>0</v>
      </c>
      <c r="V724" s="156">
        <f t="shared" si="1612"/>
        <v>0</v>
      </c>
      <c r="W724" s="156">
        <f t="shared" si="1599"/>
        <v>0</v>
      </c>
      <c r="X724" s="158">
        <f t="shared" ref="X724" si="1624">$S724/ORCAMENTO_VALOR_TOTAL_ND</f>
        <v>0</v>
      </c>
      <c r="Y724" s="158">
        <f t="shared" ref="Y724" si="1625">$T724/ORCAMENTO_VALOR_TOTAL_DE</f>
        <v>0</v>
      </c>
      <c r="Z724" s="158" cm="1">
        <f t="array" ref="Z724">_xlfn.SWITCH($N724,"BDI 1",$O$6,"BDI 2",$O$7,"BDI 3",$O$8)</f>
        <v>0.20699999999999999</v>
      </c>
      <c r="AA724" s="158" cm="1">
        <f t="array" ref="AA724">_xlfn.SWITCH($N724,"BDI 1",$P$6,"BDI 2",$P$7,"BDI 3",$P$8)</f>
        <v>0.26739999999999997</v>
      </c>
      <c r="AB724" s="158">
        <f t="shared" ca="1" si="1615"/>
        <v>0</v>
      </c>
      <c r="AC724" s="158">
        <f t="shared" ca="1" si="1616"/>
        <v>0</v>
      </c>
      <c r="AD724" s="164"/>
      <c r="AE724" s="148">
        <f t="shared" si="1602"/>
        <v>0</v>
      </c>
      <c r="AF724" s="149"/>
      <c r="AG724" s="150"/>
      <c r="AH724" s="159" t="e">
        <f t="shared" si="1603"/>
        <v>#DIV/0!</v>
      </c>
      <c r="AI724" s="160"/>
      <c r="AJ724" s="105"/>
      <c r="AK724" s="105"/>
      <c r="AM724" s="105"/>
      <c r="AN724" s="105"/>
      <c r="AO724" s="105"/>
      <c r="AP724" s="105"/>
      <c r="AQ724" s="105"/>
      <c r="AR724" s="105"/>
    </row>
    <row r="725" spans="1:44" s="49" customFormat="1" ht="49.9" hidden="1" customHeight="1">
      <c r="A725" s="152">
        <f t="shared" ca="1" si="1604"/>
        <v>0</v>
      </c>
      <c r="B725" s="153">
        <v>101230</v>
      </c>
      <c r="C725" s="154" t="str">
        <f t="shared" si="1605"/>
        <v>101230</v>
      </c>
      <c r="D725" s="154" t="s">
        <v>1416</v>
      </c>
      <c r="E725" s="155" t="s">
        <v>3677</v>
      </c>
      <c r="F725" s="154"/>
      <c r="G725" s="154" t="s">
        <v>464</v>
      </c>
      <c r="H725" s="152">
        <v>10.7</v>
      </c>
      <c r="I725" s="152">
        <v>10.73</v>
      </c>
      <c r="J725" s="156"/>
      <c r="K725" s="156">
        <f>IF(AI728="COMERCIAL",0,Pav_Terraplenagem!J108)</f>
        <v>0</v>
      </c>
      <c r="L725" s="156">
        <f t="shared" si="1606"/>
        <v>0</v>
      </c>
      <c r="M725" s="156">
        <f t="shared" si="1607"/>
        <v>0</v>
      </c>
      <c r="N725" s="156" t="s">
        <v>83</v>
      </c>
      <c r="O725" s="157" cm="1">
        <f t="array" ref="O725">TRUNC($H725*(1+_xlfn.SWITCH($N725,"BDI 1",$O$6,"BDI 2",$O$7,"BDI 3",$O$8)),2)</f>
        <v>12.91</v>
      </c>
      <c r="P725" s="157" cm="1">
        <f t="array" ref="P725">TRUNC($I725*(1+_xlfn.SWITCH($N725,"BDI 1",$P$6,"BDI 2",$P$7,"BDI 3",$P$8)),2)</f>
        <v>13.59</v>
      </c>
      <c r="Q725" s="157">
        <v>0</v>
      </c>
      <c r="R725" s="157">
        <f t="shared" ref="R725" si="1626">$Q725-($Q725*LICITACAO_DESCONTO)</f>
        <v>0</v>
      </c>
      <c r="S725" s="156">
        <f t="shared" si="1609"/>
        <v>0</v>
      </c>
      <c r="T725" s="156">
        <f t="shared" si="1610"/>
        <v>0</v>
      </c>
      <c r="U725" s="156">
        <f t="shared" si="1611"/>
        <v>0</v>
      </c>
      <c r="V725" s="156">
        <f t="shared" si="1612"/>
        <v>0</v>
      </c>
      <c r="W725" s="156">
        <f t="shared" si="1599"/>
        <v>0</v>
      </c>
      <c r="X725" s="158">
        <f t="shared" ref="X725" si="1627">$S725/ORCAMENTO_VALOR_TOTAL_ND</f>
        <v>0</v>
      </c>
      <c r="Y725" s="158">
        <f t="shared" ref="Y725" si="1628">$T725/ORCAMENTO_VALOR_TOTAL_DE</f>
        <v>0</v>
      </c>
      <c r="Z725" s="158" cm="1">
        <f t="array" ref="Z725">_xlfn.SWITCH($N725,"BDI 1",$O$6,"BDI 2",$O$7,"BDI 3",$O$8)</f>
        <v>0.20699999999999999</v>
      </c>
      <c r="AA725" s="158" cm="1">
        <f t="array" ref="AA725">_xlfn.SWITCH($N725,"BDI 1",$P$6,"BDI 2",$P$7,"BDI 3",$P$8)</f>
        <v>0.26739999999999997</v>
      </c>
      <c r="AB725" s="158">
        <f t="shared" ca="1" si="1615"/>
        <v>0</v>
      </c>
      <c r="AC725" s="158">
        <f t="shared" ca="1" si="1616"/>
        <v>0</v>
      </c>
      <c r="AD725" s="164"/>
      <c r="AE725" s="148">
        <f t="shared" si="1602"/>
        <v>0</v>
      </c>
      <c r="AF725" s="149"/>
      <c r="AG725" s="150"/>
      <c r="AH725" s="159" t="e">
        <f t="shared" si="1603"/>
        <v>#DIV/0!</v>
      </c>
      <c r="AI725" s="160"/>
      <c r="AJ725" s="105"/>
      <c r="AK725" s="105"/>
      <c r="AM725" s="105"/>
      <c r="AN725" s="105"/>
      <c r="AO725" s="105"/>
      <c r="AP725" s="105"/>
      <c r="AQ725" s="105"/>
      <c r="AR725" s="105"/>
    </row>
    <row r="726" spans="1:44" s="49" customFormat="1" ht="49.9" hidden="1" customHeight="1">
      <c r="A726" s="152">
        <f t="shared" ca="1" si="1604"/>
        <v>0</v>
      </c>
      <c r="B726" s="153">
        <v>101232</v>
      </c>
      <c r="C726" s="154" t="str">
        <f t="shared" si="1605"/>
        <v>101232</v>
      </c>
      <c r="D726" s="154" t="s">
        <v>1416</v>
      </c>
      <c r="E726" s="155" t="s">
        <v>3900</v>
      </c>
      <c r="F726" s="154"/>
      <c r="G726" s="154" t="s">
        <v>464</v>
      </c>
      <c r="H726" s="152">
        <v>9.17</v>
      </c>
      <c r="I726" s="152">
        <v>9.19</v>
      </c>
      <c r="J726" s="156"/>
      <c r="K726" s="156">
        <f>+Pav_Terraplenagem!J104</f>
        <v>0</v>
      </c>
      <c r="L726" s="156">
        <f t="shared" si="1606"/>
        <v>0</v>
      </c>
      <c r="M726" s="156">
        <f t="shared" si="1607"/>
        <v>0</v>
      </c>
      <c r="N726" s="156" t="s">
        <v>83</v>
      </c>
      <c r="O726" s="157" cm="1">
        <f t="array" ref="O726">TRUNC($H726*(1+_xlfn.SWITCH($N726,"BDI 1",$O$6,"BDI 2",$O$7,"BDI 3",$O$8)),2)</f>
        <v>11.06</v>
      </c>
      <c r="P726" s="157" cm="1">
        <f t="array" ref="P726">TRUNC($I726*(1+_xlfn.SWITCH($N726,"BDI 1",$P$6,"BDI 2",$P$7,"BDI 3",$P$8)),2)</f>
        <v>11.64</v>
      </c>
      <c r="Q726" s="157">
        <v>0</v>
      </c>
      <c r="R726" s="157">
        <f t="shared" ref="R726" si="1629">$Q726-($Q726*LICITACAO_DESCONTO)</f>
        <v>0</v>
      </c>
      <c r="S726" s="156">
        <f t="shared" si="1609"/>
        <v>0</v>
      </c>
      <c r="T726" s="156">
        <f t="shared" si="1610"/>
        <v>0</v>
      </c>
      <c r="U726" s="156">
        <f t="shared" si="1611"/>
        <v>0</v>
      </c>
      <c r="V726" s="156">
        <f t="shared" si="1612"/>
        <v>0</v>
      </c>
      <c r="W726" s="156">
        <f t="shared" si="1599"/>
        <v>0</v>
      </c>
      <c r="X726" s="158">
        <f t="shared" ref="X726" si="1630">$S726/ORCAMENTO_VALOR_TOTAL_ND</f>
        <v>0</v>
      </c>
      <c r="Y726" s="158">
        <f t="shared" ref="Y726" si="1631">$T726/ORCAMENTO_VALOR_TOTAL_DE</f>
        <v>0</v>
      </c>
      <c r="Z726" s="158" cm="1">
        <f t="array" ref="Z726">_xlfn.SWITCH($N726,"BDI 1",$O$6,"BDI 2",$O$7,"BDI 3",$O$8)</f>
        <v>0.20699999999999999</v>
      </c>
      <c r="AA726" s="158" cm="1">
        <f t="array" ref="AA726">_xlfn.SWITCH($N726,"BDI 1",$P$6,"BDI 2",$P$7,"BDI 3",$P$8)</f>
        <v>0.26739999999999997</v>
      </c>
      <c r="AB726" s="158">
        <f t="shared" ca="1" si="1615"/>
        <v>0</v>
      </c>
      <c r="AC726" s="158">
        <f t="shared" ca="1" si="1616"/>
        <v>0</v>
      </c>
      <c r="AD726" s="164"/>
      <c r="AE726" s="148">
        <f t="shared" si="1602"/>
        <v>0</v>
      </c>
      <c r="AF726" s="149"/>
      <c r="AG726" s="150"/>
      <c r="AH726" s="159" t="e">
        <f t="shared" si="1603"/>
        <v>#DIV/0!</v>
      </c>
      <c r="AI726" s="160"/>
      <c r="AJ726" s="105"/>
      <c r="AK726" s="105"/>
      <c r="AM726" s="105"/>
      <c r="AN726" s="105"/>
      <c r="AO726" s="167"/>
      <c r="AP726" s="105"/>
      <c r="AQ726" s="105"/>
      <c r="AR726" s="105"/>
    </row>
    <row r="727" spans="1:44" s="49" customFormat="1" ht="40.15" hidden="1" customHeight="1">
      <c r="A727" s="152">
        <f t="shared" ca="1" si="1604"/>
        <v>0</v>
      </c>
      <c r="B727" s="153">
        <v>96385</v>
      </c>
      <c r="C727" s="154" t="str">
        <f t="shared" si="1605"/>
        <v>96385</v>
      </c>
      <c r="D727" s="154" t="s">
        <v>1416</v>
      </c>
      <c r="E727" s="155" t="s">
        <v>3813</v>
      </c>
      <c r="F727" s="154"/>
      <c r="G727" s="154" t="s">
        <v>464</v>
      </c>
      <c r="H727" s="152">
        <v>11.28</v>
      </c>
      <c r="I727" s="152">
        <v>11.08</v>
      </c>
      <c r="J727" s="156"/>
      <c r="K727" s="156">
        <f>+Pav_Terraplenagem!J107</f>
        <v>0</v>
      </c>
      <c r="L727" s="156">
        <f t="shared" si="1606"/>
        <v>0</v>
      </c>
      <c r="M727" s="156">
        <f t="shared" si="1607"/>
        <v>0</v>
      </c>
      <c r="N727" s="156" t="s">
        <v>83</v>
      </c>
      <c r="O727" s="157" cm="1">
        <f t="array" ref="O727">TRUNC($H727*(1+_xlfn.SWITCH($N727,"BDI 1",$O$6,"BDI 2",$O$7,"BDI 3",$O$8)),2)</f>
        <v>13.61</v>
      </c>
      <c r="P727" s="157" cm="1">
        <f t="array" ref="P727">TRUNC($I727*(1+_xlfn.SWITCH($N727,"BDI 1",$P$6,"BDI 2",$P$7,"BDI 3",$P$8)),2)</f>
        <v>14.04</v>
      </c>
      <c r="Q727" s="157">
        <v>0</v>
      </c>
      <c r="R727" s="157">
        <f t="shared" ref="R727" si="1632">$Q727-($Q727*LICITACAO_DESCONTO)</f>
        <v>0</v>
      </c>
      <c r="S727" s="156">
        <f t="shared" si="1609"/>
        <v>0</v>
      </c>
      <c r="T727" s="156">
        <f t="shared" si="1610"/>
        <v>0</v>
      </c>
      <c r="U727" s="156">
        <f t="shared" si="1611"/>
        <v>0</v>
      </c>
      <c r="V727" s="156">
        <f t="shared" si="1612"/>
        <v>0</v>
      </c>
      <c r="W727" s="156">
        <f t="shared" si="1599"/>
        <v>0</v>
      </c>
      <c r="X727" s="158">
        <f t="shared" ref="X727" si="1633">$S727/ORCAMENTO_VALOR_TOTAL_ND</f>
        <v>0</v>
      </c>
      <c r="Y727" s="158">
        <f t="shared" ref="Y727" si="1634">$T727/ORCAMENTO_VALOR_TOTAL_DE</f>
        <v>0</v>
      </c>
      <c r="Z727" s="158" cm="1">
        <f t="array" ref="Z727">_xlfn.SWITCH($N727,"BDI 1",$O$6,"BDI 2",$O$7,"BDI 3",$O$8)</f>
        <v>0.20699999999999999</v>
      </c>
      <c r="AA727" s="158" cm="1">
        <f t="array" ref="AA727">_xlfn.SWITCH($N727,"BDI 1",$P$6,"BDI 2",$P$7,"BDI 3",$P$8)</f>
        <v>0.26739999999999997</v>
      </c>
      <c r="AB727" s="158">
        <f t="shared" ca="1" si="1615"/>
        <v>0</v>
      </c>
      <c r="AC727" s="158">
        <f t="shared" ca="1" si="1616"/>
        <v>0</v>
      </c>
      <c r="AD727" s="164"/>
      <c r="AE727" s="148">
        <f t="shared" si="1602"/>
        <v>0</v>
      </c>
      <c r="AF727" s="149"/>
      <c r="AG727" s="150"/>
      <c r="AH727" s="159" t="e">
        <f t="shared" si="1603"/>
        <v>#DIV/0!</v>
      </c>
      <c r="AI727" s="165" t="s">
        <v>310</v>
      </c>
      <c r="AJ727" s="105"/>
      <c r="AK727" s="105"/>
      <c r="AM727" s="105"/>
      <c r="AN727" s="105"/>
      <c r="AO727" s="105"/>
      <c r="AP727" s="105"/>
      <c r="AQ727" s="105"/>
      <c r="AR727" s="105"/>
    </row>
    <row r="728" spans="1:44" s="49" customFormat="1" ht="40.15" hidden="1" customHeight="1">
      <c r="A728" s="152">
        <f t="shared" ca="1" si="1604"/>
        <v>0</v>
      </c>
      <c r="B728" s="153">
        <v>6079</v>
      </c>
      <c r="C728" s="154" t="str">
        <f t="shared" si="1605"/>
        <v>6079</v>
      </c>
      <c r="D728" s="154" t="s">
        <v>3579</v>
      </c>
      <c r="E728" s="155" t="s">
        <v>3679</v>
      </c>
      <c r="F728" s="154"/>
      <c r="G728" s="154" t="s">
        <v>464</v>
      </c>
      <c r="H728" s="152">
        <v>37.35</v>
      </c>
      <c r="I728" s="152">
        <v>37.35</v>
      </c>
      <c r="J728" s="156"/>
      <c r="K728" s="156">
        <f>IF(AI728="COMERCIAL",Pav_Terraplenagem!J108,0)</f>
        <v>0</v>
      </c>
      <c r="L728" s="156">
        <f t="shared" si="1606"/>
        <v>0</v>
      </c>
      <c r="M728" s="156">
        <f t="shared" si="1607"/>
        <v>0</v>
      </c>
      <c r="N728" s="156" t="s">
        <v>92</v>
      </c>
      <c r="O728" s="157" cm="1">
        <f t="array" ref="O728">TRUNC($H728*(1+_xlfn.SWITCH($N728,"BDI 1",$O$6,"BDI 2",$O$7,"BDI 3",$O$8)),2)</f>
        <v>43.05</v>
      </c>
      <c r="P728" s="157" cm="1">
        <f t="array" ref="P728">TRUNC($I728*(1+_xlfn.SWITCH($N728,"BDI 1",$P$6,"BDI 2",$P$7,"BDI 3",$P$8)),2)</f>
        <v>43.05</v>
      </c>
      <c r="Q728" s="157">
        <v>0</v>
      </c>
      <c r="R728" s="157">
        <f t="shared" ref="R728" si="1635">$Q728-($Q728*LICITACAO_DESCONTO)</f>
        <v>0</v>
      </c>
      <c r="S728" s="156">
        <f t="shared" si="1609"/>
        <v>0</v>
      </c>
      <c r="T728" s="156">
        <f t="shared" si="1610"/>
        <v>0</v>
      </c>
      <c r="U728" s="156">
        <f t="shared" si="1611"/>
        <v>0</v>
      </c>
      <c r="V728" s="156">
        <f t="shared" si="1612"/>
        <v>0</v>
      </c>
      <c r="W728" s="156">
        <f t="shared" si="1599"/>
        <v>0</v>
      </c>
      <c r="X728" s="158">
        <f t="shared" ref="X728" si="1636">$S728/ORCAMENTO_VALOR_TOTAL_ND</f>
        <v>0</v>
      </c>
      <c r="Y728" s="158">
        <f t="shared" ref="Y728" si="1637">$T728/ORCAMENTO_VALOR_TOTAL_DE</f>
        <v>0</v>
      </c>
      <c r="Z728" s="158" cm="1">
        <f t="array" ref="Z728">_xlfn.SWITCH($N728,"BDI 1",$O$6,"BDI 2",$O$7,"BDI 3",$O$8)</f>
        <v>0.1527</v>
      </c>
      <c r="AA728" s="158" cm="1">
        <f t="array" ref="AA728">_xlfn.SWITCH($N728,"BDI 1",$P$6,"BDI 2",$P$7,"BDI 3",$P$8)</f>
        <v>0.1527</v>
      </c>
      <c r="AB728" s="158">
        <f t="shared" ca="1" si="1615"/>
        <v>0</v>
      </c>
      <c r="AC728" s="158">
        <f t="shared" ca="1" si="1616"/>
        <v>0</v>
      </c>
      <c r="AD728" s="164"/>
      <c r="AE728" s="148">
        <f t="shared" si="1602"/>
        <v>0</v>
      </c>
      <c r="AF728" s="149"/>
      <c r="AG728" s="150"/>
      <c r="AH728" s="159" t="e">
        <f t="shared" si="1603"/>
        <v>#DIV/0!</v>
      </c>
      <c r="AI728" s="165" t="s">
        <v>243</v>
      </c>
      <c r="AJ728" s="105"/>
      <c r="AK728" s="105"/>
      <c r="AM728" s="105"/>
      <c r="AN728" s="105"/>
      <c r="AO728" s="105"/>
      <c r="AP728" s="105"/>
      <c r="AQ728" s="105"/>
      <c r="AR728" s="105"/>
    </row>
    <row r="729" spans="1:44" s="49" customFormat="1" ht="49.9" hidden="1" customHeight="1">
      <c r="A729" s="152">
        <f t="shared" ca="1" si="1604"/>
        <v>0</v>
      </c>
      <c r="B729" s="153">
        <v>100979</v>
      </c>
      <c r="C729" s="154" t="str">
        <f t="shared" si="1605"/>
        <v>100979</v>
      </c>
      <c r="D729" s="154" t="s">
        <v>1416</v>
      </c>
      <c r="E729" s="155" t="s">
        <v>1420</v>
      </c>
      <c r="F729" s="154"/>
      <c r="G729" s="154" t="s">
        <v>464</v>
      </c>
      <c r="H729" s="152">
        <v>6.4</v>
      </c>
      <c r="I729" s="152">
        <v>6.4</v>
      </c>
      <c r="J729" s="156"/>
      <c r="K729" s="156">
        <f>Pav_Terraplenagem!J111+Pav_Terraplenagem!J109</f>
        <v>0</v>
      </c>
      <c r="L729" s="156">
        <f t="shared" si="1606"/>
        <v>0</v>
      </c>
      <c r="M729" s="156">
        <f t="shared" si="1607"/>
        <v>0</v>
      </c>
      <c r="N729" s="156" t="s">
        <v>83</v>
      </c>
      <c r="O729" s="157" cm="1">
        <f t="array" ref="O729">TRUNC($H729*(1+_xlfn.SWITCH($N729,"BDI 1",$O$6,"BDI 2",$O$7,"BDI 3",$O$8)),2)</f>
        <v>7.72</v>
      </c>
      <c r="P729" s="157" cm="1">
        <f t="array" ref="P729">TRUNC($I729*(1+_xlfn.SWITCH($N729,"BDI 1",$P$6,"BDI 2",$P$7,"BDI 3",$P$8)),2)</f>
        <v>8.11</v>
      </c>
      <c r="Q729" s="157">
        <v>0</v>
      </c>
      <c r="R729" s="157">
        <f t="shared" ref="R729" si="1638">$Q729-($Q729*LICITACAO_DESCONTO)</f>
        <v>0</v>
      </c>
      <c r="S729" s="156">
        <f t="shared" si="1609"/>
        <v>0</v>
      </c>
      <c r="T729" s="156">
        <f t="shared" si="1610"/>
        <v>0</v>
      </c>
      <c r="U729" s="156">
        <f t="shared" si="1611"/>
        <v>0</v>
      </c>
      <c r="V729" s="156">
        <f t="shared" si="1612"/>
        <v>0</v>
      </c>
      <c r="W729" s="156">
        <f t="shared" si="1599"/>
        <v>0</v>
      </c>
      <c r="X729" s="158">
        <f t="shared" ref="X729" si="1639">$S729/ORCAMENTO_VALOR_TOTAL_ND</f>
        <v>0</v>
      </c>
      <c r="Y729" s="158">
        <f t="shared" ref="Y729" si="1640">$T729/ORCAMENTO_VALOR_TOTAL_DE</f>
        <v>0</v>
      </c>
      <c r="Z729" s="158" cm="1">
        <f t="array" ref="Z729">_xlfn.SWITCH($N729,"BDI 1",$O$6,"BDI 2",$O$7,"BDI 3",$O$8)</f>
        <v>0.20699999999999999</v>
      </c>
      <c r="AA729" s="158" cm="1">
        <f t="array" ref="AA729">_xlfn.SWITCH($N729,"BDI 1",$P$6,"BDI 2",$P$7,"BDI 3",$P$8)</f>
        <v>0.26739999999999997</v>
      </c>
      <c r="AB729" s="158">
        <f t="shared" ca="1" si="1615"/>
        <v>0</v>
      </c>
      <c r="AC729" s="158">
        <f t="shared" ca="1" si="1616"/>
        <v>0</v>
      </c>
      <c r="AD729" s="164"/>
      <c r="AE729" s="148">
        <f t="shared" si="1602"/>
        <v>0</v>
      </c>
      <c r="AF729" s="149"/>
      <c r="AG729" s="150"/>
      <c r="AH729" s="159" t="e">
        <f t="shared" si="1603"/>
        <v>#DIV/0!</v>
      </c>
      <c r="AI729" s="165" t="s">
        <v>101</v>
      </c>
      <c r="AJ729" s="105"/>
      <c r="AK729" s="105"/>
      <c r="AM729" s="105"/>
      <c r="AN729" s="105"/>
      <c r="AO729" s="105"/>
      <c r="AP729" s="105"/>
      <c r="AQ729" s="105"/>
      <c r="AR729" s="105"/>
    </row>
    <row r="730" spans="1:44" s="49" customFormat="1" ht="40.15" hidden="1" customHeight="1">
      <c r="A730" s="10" t="e">
        <f>+IF(K730&gt;0,#REF!+0.01,#REF!)</f>
        <v>#REF!</v>
      </c>
      <c r="B730" s="153"/>
      <c r="C730" s="154"/>
      <c r="D730" s="154"/>
      <c r="E730" s="161" t="s">
        <v>311</v>
      </c>
      <c r="F730" s="154"/>
      <c r="G730" s="154"/>
      <c r="H730" s="152"/>
      <c r="I730" s="152"/>
      <c r="J730" s="154"/>
      <c r="K730" s="154"/>
      <c r="L730" s="154"/>
      <c r="M730" s="154"/>
      <c r="N730" s="154"/>
      <c r="O730" s="154"/>
      <c r="P730" s="154"/>
      <c r="Q730" s="154"/>
      <c r="R730" s="154"/>
      <c r="S730" s="162"/>
      <c r="T730" s="162"/>
      <c r="U730" s="162"/>
      <c r="V730" s="162"/>
      <c r="W730" s="162"/>
      <c r="X730" s="154"/>
      <c r="Y730" s="154"/>
      <c r="Z730" s="154"/>
      <c r="AA730" s="154"/>
      <c r="AB730" s="154"/>
      <c r="AC730" s="154"/>
      <c r="AD730" s="106"/>
      <c r="AE730" s="148">
        <f>IF(SUM(S731)&gt;0,IFERROR(TRUNC(A730,0),0),0)</f>
        <v>0</v>
      </c>
      <c r="AF730" s="149"/>
      <c r="AG730" s="150"/>
      <c r="AH730" s="159"/>
      <c r="AI730" s="160" t="s">
        <v>120</v>
      </c>
      <c r="AJ730" s="105"/>
      <c r="AK730" s="105"/>
      <c r="AM730" s="105"/>
      <c r="AN730" s="105"/>
      <c r="AO730" s="105"/>
      <c r="AP730" s="105"/>
      <c r="AQ730" s="105"/>
      <c r="AR730" s="105"/>
    </row>
    <row r="731" spans="1:44" s="49" customFormat="1" ht="40.15" hidden="1" customHeight="1">
      <c r="A731" s="152" t="e">
        <f t="shared" ref="A731:A732" si="1641">+IF(K731&gt;0,A730+0.01,A730)</f>
        <v>#REF!</v>
      </c>
      <c r="B731" s="153">
        <v>95876</v>
      </c>
      <c r="C731" s="154" t="str">
        <f>TEXT(B731,"0")</f>
        <v>95876</v>
      </c>
      <c r="D731" s="154" t="s">
        <v>1416</v>
      </c>
      <c r="E731" s="155" t="s">
        <v>3537</v>
      </c>
      <c r="F731" s="154">
        <f>+Dados_DMT!$B$15</f>
        <v>1</v>
      </c>
      <c r="G731" s="154" t="s">
        <v>3538</v>
      </c>
      <c r="H731" s="152">
        <v>2.09</v>
      </c>
      <c r="I731" s="152">
        <v>2.1</v>
      </c>
      <c r="J731" s="156"/>
      <c r="K731" s="156">
        <f>ROUND(Pav_Terraplenagem!J116*F731,2)</f>
        <v>0</v>
      </c>
      <c r="L731" s="156">
        <f>IF($K731&gt;$J731,$K731-$J731,0)</f>
        <v>0</v>
      </c>
      <c r="M731" s="156">
        <f>IF($K731&lt;$J731,$J731-$K731,0)</f>
        <v>0</v>
      </c>
      <c r="N731" s="156" t="s">
        <v>83</v>
      </c>
      <c r="O731" s="157" cm="1">
        <f t="array" ref="O731">TRUNC($H731*(1+_xlfn.SWITCH($N731,"BDI 1",$O$6,"BDI 2",$O$7,"BDI 3",$O$8)),2)</f>
        <v>2.52</v>
      </c>
      <c r="P731" s="157" cm="1">
        <f t="array" ref="P731">TRUNC($I731*(1+_xlfn.SWITCH($N731,"BDI 1",$P$6,"BDI 2",$P$7,"BDI 3",$P$8)),2)</f>
        <v>2.66</v>
      </c>
      <c r="Q731" s="157">
        <v>0</v>
      </c>
      <c r="R731" s="157">
        <v>0</v>
      </c>
      <c r="S731" s="156">
        <f>TRUNC($K731*$O731,2)</f>
        <v>0</v>
      </c>
      <c r="T731" s="156">
        <f>TRUNC($K731*$P731,2)</f>
        <v>0</v>
      </c>
      <c r="U731" s="156">
        <f>TRUNC($J731*$R731,2)</f>
        <v>0</v>
      </c>
      <c r="V731" s="156">
        <f>TRUNC($K731*$Q731,2)</f>
        <v>0</v>
      </c>
      <c r="W731" s="156">
        <f>TRUNC(V731-U731,2)</f>
        <v>0</v>
      </c>
      <c r="X731" s="158">
        <f>$S731/ORCAMENTO_VALOR_TOTAL_ND</f>
        <v>0</v>
      </c>
      <c r="Y731" s="158">
        <f>$T731/ORCAMENTO_VALOR_TOTAL_DE</f>
        <v>0</v>
      </c>
      <c r="Z731" s="158" cm="1">
        <f t="array" ref="Z731">_xlfn.SWITCH($N731,"BDI 1",$O$6,"BDI 2",$O$7,"BDI 3",$O$8)</f>
        <v>0.20699999999999999</v>
      </c>
      <c r="AA731" s="158" cm="1">
        <f t="array" ref="AA731">_xlfn.SWITCH($N731,"BDI 1",$P$6,"BDI 2",$P$7,"BDI 3",$P$8)</f>
        <v>0.26739999999999997</v>
      </c>
      <c r="AB731" s="158">
        <f ca="1">IFERROR($S731/_xlfn.XLOOKUP($AE731,$B$16:$B$38,$S$16:$S$38),0)</f>
        <v>0</v>
      </c>
      <c r="AC731" s="158">
        <f ca="1">IFERROR($T731/_xlfn.XLOOKUP($AE731,$B$16:$B$38,$T$16:$T$38),0)</f>
        <v>0</v>
      </c>
      <c r="AD731" s="164"/>
      <c r="AE731" s="148">
        <f t="shared" ref="AE731" si="1642">IF(S731&gt;0,IFERROR(TRUNC(A731,0),0),0)</f>
        <v>0</v>
      </c>
      <c r="AF731" s="149"/>
      <c r="AG731" s="150"/>
      <c r="AH731" s="159" t="e">
        <f>+S731/$S$720</f>
        <v>#DIV/0!</v>
      </c>
      <c r="AI731" s="160"/>
      <c r="AJ731" s="105"/>
      <c r="AK731" s="105"/>
      <c r="AM731" s="105"/>
      <c r="AN731" s="105"/>
      <c r="AO731" s="105"/>
      <c r="AP731" s="105"/>
      <c r="AQ731" s="105"/>
      <c r="AR731" s="105"/>
    </row>
    <row r="732" spans="1:44" s="49" customFormat="1" ht="40.15" hidden="1" customHeight="1">
      <c r="A732" s="10" t="e">
        <f t="shared" si="1641"/>
        <v>#REF!</v>
      </c>
      <c r="B732" s="153"/>
      <c r="C732" s="154"/>
      <c r="D732" s="154"/>
      <c r="E732" s="161" t="s">
        <v>103</v>
      </c>
      <c r="F732" s="154"/>
      <c r="G732" s="154"/>
      <c r="H732" s="152"/>
      <c r="I732" s="152"/>
      <c r="J732" s="154"/>
      <c r="K732" s="154"/>
      <c r="L732" s="154"/>
      <c r="M732" s="154"/>
      <c r="N732" s="154"/>
      <c r="O732" s="154"/>
      <c r="P732" s="154"/>
      <c r="Q732" s="154"/>
      <c r="R732" s="154"/>
      <c r="S732" s="162"/>
      <c r="T732" s="162"/>
      <c r="U732" s="162"/>
      <c r="V732" s="162"/>
      <c r="W732" s="162"/>
      <c r="X732" s="154"/>
      <c r="Y732" s="154"/>
      <c r="Z732" s="154"/>
      <c r="AA732" s="154"/>
      <c r="AB732" s="154"/>
      <c r="AC732" s="154"/>
      <c r="AD732" s="106"/>
      <c r="AE732" s="148">
        <f>IF(SUM(S733:S734)&gt;0,IFERROR(TRUNC(A732,0),0),0)</f>
        <v>0</v>
      </c>
      <c r="AF732" s="149"/>
      <c r="AG732" s="150"/>
      <c r="AH732" s="159"/>
      <c r="AI732" s="160"/>
      <c r="AJ732" s="105"/>
      <c r="AK732" s="105"/>
      <c r="AM732" s="105"/>
      <c r="AN732" s="105"/>
      <c r="AO732" s="105"/>
      <c r="AP732" s="105"/>
      <c r="AQ732" s="105"/>
      <c r="AR732" s="105"/>
    </row>
    <row r="733" spans="1:44" s="49" customFormat="1" ht="40.15" hidden="1" customHeight="1">
      <c r="A733" s="152" t="e">
        <f>+IF(K733&gt;0,A732+0.01,A732)</f>
        <v>#REF!</v>
      </c>
      <c r="B733" s="153">
        <v>95876</v>
      </c>
      <c r="C733" s="154" t="str">
        <f>TEXT(B733,"0")</f>
        <v>95876</v>
      </c>
      <c r="D733" s="154" t="s">
        <v>1416</v>
      </c>
      <c r="E733" s="155" t="s">
        <v>3537</v>
      </c>
      <c r="F733" s="154">
        <f>IF(Dados_DMT!$B$34&lt;30,Dados_DMT!$B$34,30)</f>
        <v>30</v>
      </c>
      <c r="G733" s="154" t="s">
        <v>3538</v>
      </c>
      <c r="H733" s="152">
        <v>2.09</v>
      </c>
      <c r="I733" s="152">
        <v>2.1</v>
      </c>
      <c r="J733" s="156"/>
      <c r="K733" s="156">
        <f>ROUND(Pav_Terraplenagem!J112*F733,2)</f>
        <v>0</v>
      </c>
      <c r="L733" s="156">
        <f>IF($K733&gt;$J733,$K733-$J733,0)</f>
        <v>0</v>
      </c>
      <c r="M733" s="156">
        <f>IF($K733&lt;$J733,$J733-$K733,0)</f>
        <v>0</v>
      </c>
      <c r="N733" s="156" t="s">
        <v>83</v>
      </c>
      <c r="O733" s="157" cm="1">
        <f t="array" ref="O733">TRUNC($H733*(1+_xlfn.SWITCH($N733,"BDI 1",$O$6,"BDI 2",$O$7,"BDI 3",$O$8)),2)</f>
        <v>2.52</v>
      </c>
      <c r="P733" s="157" cm="1">
        <f t="array" ref="P733">TRUNC($I733*(1+_xlfn.SWITCH($N733,"BDI 1",$P$6,"BDI 2",$P$7,"BDI 3",$P$8)),2)</f>
        <v>2.66</v>
      </c>
      <c r="Q733" s="157">
        <v>0</v>
      </c>
      <c r="R733" s="157">
        <v>0</v>
      </c>
      <c r="S733" s="156">
        <f>TRUNC($K733*$O733,2)</f>
        <v>0</v>
      </c>
      <c r="T733" s="156">
        <f>TRUNC($K733*$P733,2)</f>
        <v>0</v>
      </c>
      <c r="U733" s="156">
        <f>TRUNC($J733*$R733,2)</f>
        <v>0</v>
      </c>
      <c r="V733" s="156">
        <f>TRUNC($K733*$Q733,2)</f>
        <v>0</v>
      </c>
      <c r="W733" s="156">
        <f>TRUNC(V733-U733,2)</f>
        <v>0</v>
      </c>
      <c r="X733" s="158">
        <f>$S733/ORCAMENTO_VALOR_TOTAL_ND</f>
        <v>0</v>
      </c>
      <c r="Y733" s="158">
        <f>$T733/ORCAMENTO_VALOR_TOTAL_DE</f>
        <v>0</v>
      </c>
      <c r="Z733" s="158" cm="1">
        <f t="array" ref="Z733">_xlfn.SWITCH($N733,"BDI 1",$O$6,"BDI 2",$O$7,"BDI 3",$O$8)</f>
        <v>0.20699999999999999</v>
      </c>
      <c r="AA733" s="158" cm="1">
        <f t="array" ref="AA733">_xlfn.SWITCH($N733,"BDI 1",$P$6,"BDI 2",$P$7,"BDI 3",$P$8)</f>
        <v>0.26739999999999997</v>
      </c>
      <c r="AB733" s="158">
        <f ca="1">IFERROR($S733/_xlfn.XLOOKUP($AE733,$B$16:$B$38,$S$16:$S$38),0)</f>
        <v>0</v>
      </c>
      <c r="AC733" s="158">
        <f ca="1">IFERROR($T733/_xlfn.XLOOKUP($AE733,$B$16:$B$38,$T$16:$T$38),0)</f>
        <v>0</v>
      </c>
      <c r="AD733" s="164"/>
      <c r="AE733" s="148">
        <f t="shared" ref="AE733:AE734" si="1643">IF(S733&gt;0,IFERROR(TRUNC(A733,0),0),0)</f>
        <v>0</v>
      </c>
      <c r="AF733" s="149"/>
      <c r="AG733" s="150"/>
      <c r="AH733" s="159" t="e">
        <f>+S733/$S$720</f>
        <v>#DIV/0!</v>
      </c>
      <c r="AI733" s="166">
        <f>IF(K733=0,0,K733/F733)</f>
        <v>0</v>
      </c>
      <c r="AJ733" s="105"/>
      <c r="AK733" s="105"/>
      <c r="AM733" s="105"/>
      <c r="AN733" s="105"/>
      <c r="AO733" s="105"/>
      <c r="AP733" s="105"/>
      <c r="AQ733" s="105"/>
      <c r="AR733" s="105"/>
    </row>
    <row r="734" spans="1:44" s="49" customFormat="1" ht="40.15" hidden="1" customHeight="1">
      <c r="A734" s="152" t="e">
        <f t="shared" ref="A734:A744" si="1644">+IF(K734&gt;0,A733+0.01,A733)</f>
        <v>#REF!</v>
      </c>
      <c r="B734" s="153">
        <v>93593</v>
      </c>
      <c r="C734" s="154" t="str">
        <f>TEXT(B734,"0")</f>
        <v>93593</v>
      </c>
      <c r="D734" s="154" t="s">
        <v>1416</v>
      </c>
      <c r="E734" s="155" t="s">
        <v>3545</v>
      </c>
      <c r="F734" s="154">
        <f>+Dados_DMT!$B$34-F733</f>
        <v>80</v>
      </c>
      <c r="G734" s="154" t="s">
        <v>3538</v>
      </c>
      <c r="H734" s="152">
        <v>0.84</v>
      </c>
      <c r="I734" s="152">
        <v>0.85</v>
      </c>
      <c r="J734" s="156"/>
      <c r="K734" s="156">
        <f>ROUND(Pav_Terraplenagem!J112*F734,2)</f>
        <v>0</v>
      </c>
      <c r="L734" s="156">
        <f>IF($K734&gt;$J734,$K734-$J734,0)</f>
        <v>0</v>
      </c>
      <c r="M734" s="156">
        <f>IF($K734&lt;$J734,$J734-$K734,0)</f>
        <v>0</v>
      </c>
      <c r="N734" s="156" t="s">
        <v>83</v>
      </c>
      <c r="O734" s="157" cm="1">
        <f t="array" ref="O734">TRUNC($H734*(1+_xlfn.SWITCH($N734,"BDI 1",$O$6,"BDI 2",$O$7,"BDI 3",$O$8)),2)</f>
        <v>1.01</v>
      </c>
      <c r="P734" s="157" cm="1">
        <f t="array" ref="P734">TRUNC($I734*(1+_xlfn.SWITCH($N734,"BDI 1",$P$6,"BDI 2",$P$7,"BDI 3",$P$8)),2)</f>
        <v>1.07</v>
      </c>
      <c r="Q734" s="157">
        <v>0</v>
      </c>
      <c r="R734" s="157">
        <v>0</v>
      </c>
      <c r="S734" s="156">
        <f>TRUNC($K734*$O734,2)</f>
        <v>0</v>
      </c>
      <c r="T734" s="156">
        <f>TRUNC($K734*$P734,2)</f>
        <v>0</v>
      </c>
      <c r="U734" s="156">
        <f>TRUNC($J734*$R734,2)</f>
        <v>0</v>
      </c>
      <c r="V734" s="156">
        <f>TRUNC($K734*$Q734,2)</f>
        <v>0</v>
      </c>
      <c r="W734" s="156">
        <f>TRUNC(V734-U734,2)</f>
        <v>0</v>
      </c>
      <c r="X734" s="158">
        <f>$S734/ORCAMENTO_VALOR_TOTAL_ND</f>
        <v>0</v>
      </c>
      <c r="Y734" s="158">
        <f>$T734/ORCAMENTO_VALOR_TOTAL_DE</f>
        <v>0</v>
      </c>
      <c r="Z734" s="158" cm="1">
        <f t="array" ref="Z734">_xlfn.SWITCH($N734,"BDI 1",$O$6,"BDI 2",$O$7,"BDI 3",$O$8)</f>
        <v>0.20699999999999999</v>
      </c>
      <c r="AA734" s="158" cm="1">
        <f t="array" ref="AA734">_xlfn.SWITCH($N734,"BDI 1",$P$6,"BDI 2",$P$7,"BDI 3",$P$8)</f>
        <v>0.26739999999999997</v>
      </c>
      <c r="AB734" s="158">
        <f ca="1">IFERROR($S734/_xlfn.XLOOKUP($AE734,$B$16:$B$38,$S$16:$S$38),0)</f>
        <v>0</v>
      </c>
      <c r="AC734" s="158">
        <f ca="1">IFERROR($T734/_xlfn.XLOOKUP($AE734,$B$16:$B$38,$T$16:$T$38),0)</f>
        <v>0</v>
      </c>
      <c r="AD734" s="164"/>
      <c r="AE734" s="148">
        <f t="shared" si="1643"/>
        <v>0</v>
      </c>
      <c r="AF734" s="149"/>
      <c r="AG734" s="150"/>
      <c r="AH734" s="159" t="e">
        <f>+S734/$S$720</f>
        <v>#DIV/0!</v>
      </c>
      <c r="AI734" s="166">
        <f>IF(K734=0,0,K734/F734)</f>
        <v>0</v>
      </c>
      <c r="AJ734" s="105"/>
      <c r="AK734" s="105"/>
      <c r="AM734" s="105"/>
      <c r="AN734" s="105"/>
      <c r="AO734" s="105"/>
      <c r="AP734" s="105"/>
      <c r="AQ734" s="105"/>
      <c r="AR734" s="105"/>
    </row>
    <row r="735" spans="1:44" s="49" customFormat="1" ht="40.15" hidden="1" customHeight="1">
      <c r="A735" s="10" t="e">
        <f t="shared" si="1644"/>
        <v>#REF!</v>
      </c>
      <c r="B735" s="153"/>
      <c r="C735" s="154"/>
      <c r="D735" s="154"/>
      <c r="E735" s="161" t="s">
        <v>102</v>
      </c>
      <c r="F735" s="154"/>
      <c r="G735" s="154"/>
      <c r="H735" s="152"/>
      <c r="I735" s="152"/>
      <c r="J735" s="154"/>
      <c r="K735" s="154"/>
      <c r="L735" s="154"/>
      <c r="M735" s="154"/>
      <c r="N735" s="154"/>
      <c r="O735" s="154"/>
      <c r="P735" s="154"/>
      <c r="Q735" s="154"/>
      <c r="R735" s="154"/>
      <c r="S735" s="162"/>
      <c r="T735" s="162"/>
      <c r="U735" s="162"/>
      <c r="V735" s="162"/>
      <c r="W735" s="162"/>
      <c r="X735" s="154"/>
      <c r="Y735" s="154"/>
      <c r="Z735" s="154"/>
      <c r="AA735" s="154"/>
      <c r="AB735" s="154"/>
      <c r="AC735" s="154"/>
      <c r="AD735" s="106"/>
      <c r="AE735" s="148">
        <f>IF(SUM(S736:S737)&gt;0,IFERROR(TRUNC(A735,0),0),0)</f>
        <v>0</v>
      </c>
      <c r="AF735" s="149"/>
      <c r="AG735" s="150"/>
      <c r="AH735" s="159"/>
      <c r="AI735" s="160" t="s">
        <v>85</v>
      </c>
      <c r="AJ735" s="105"/>
      <c r="AK735" s="105"/>
      <c r="AM735" s="105"/>
      <c r="AN735" s="105"/>
      <c r="AO735" s="105"/>
      <c r="AP735" s="105"/>
      <c r="AQ735" s="105"/>
      <c r="AR735" s="105"/>
    </row>
    <row r="736" spans="1:44" s="49" customFormat="1" ht="40.15" hidden="1" customHeight="1">
      <c r="A736" s="152" t="e">
        <f t="shared" si="1644"/>
        <v>#REF!</v>
      </c>
      <c r="B736" s="153">
        <v>95876</v>
      </c>
      <c r="C736" s="154" t="str">
        <f>TEXT(B736,"0")</f>
        <v>95876</v>
      </c>
      <c r="D736" s="154" t="s">
        <v>1416</v>
      </c>
      <c r="E736" s="155" t="s">
        <v>3537</v>
      </c>
      <c r="F736" s="154">
        <f>IF(Dados_DMT!$B$17&lt;30,Dados_DMT!$B$17,30)</f>
        <v>3.5</v>
      </c>
      <c r="G736" s="154" t="s">
        <v>3538</v>
      </c>
      <c r="H736" s="152">
        <v>2.09</v>
      </c>
      <c r="I736" s="152">
        <v>2.1</v>
      </c>
      <c r="J736" s="156"/>
      <c r="K736" s="156">
        <f>ROUND(Pav_Terraplenagem!J114*F736,2)</f>
        <v>0</v>
      </c>
      <c r="L736" s="156">
        <f>IF($K736&gt;$J736,$K736-$J736,0)</f>
        <v>0</v>
      </c>
      <c r="M736" s="156">
        <f>IF($K736&lt;$J736,$J736-$K736,0)</f>
        <v>0</v>
      </c>
      <c r="N736" s="156" t="s">
        <v>83</v>
      </c>
      <c r="O736" s="157" cm="1">
        <f t="array" ref="O736">TRUNC($H736*(1+_xlfn.SWITCH($N736,"BDI 1",$O$6,"BDI 2",$O$7,"BDI 3",$O$8)),2)</f>
        <v>2.52</v>
      </c>
      <c r="P736" s="157" cm="1">
        <f t="array" ref="P736">TRUNC($I736*(1+_xlfn.SWITCH($N736,"BDI 1",$P$6,"BDI 2",$P$7,"BDI 3",$P$8)),2)</f>
        <v>2.66</v>
      </c>
      <c r="Q736" s="157">
        <v>0</v>
      </c>
      <c r="R736" s="157">
        <v>0</v>
      </c>
      <c r="S736" s="156">
        <f>TRUNC($K736*$O736,2)</f>
        <v>0</v>
      </c>
      <c r="T736" s="156">
        <f>TRUNC($K736*$P736,2)</f>
        <v>0</v>
      </c>
      <c r="U736" s="156">
        <f>TRUNC($J736*$R736,2)</f>
        <v>0</v>
      </c>
      <c r="V736" s="156">
        <f>TRUNC($K736*$Q736,2)</f>
        <v>0</v>
      </c>
      <c r="W736" s="156">
        <f>TRUNC(V736-U736,2)</f>
        <v>0</v>
      </c>
      <c r="X736" s="158">
        <f>$S736/ORCAMENTO_VALOR_TOTAL_ND</f>
        <v>0</v>
      </c>
      <c r="Y736" s="158">
        <f>$T736/ORCAMENTO_VALOR_TOTAL_DE</f>
        <v>0</v>
      </c>
      <c r="Z736" s="158" cm="1">
        <f t="array" ref="Z736">_xlfn.SWITCH($N736,"BDI 1",$O$6,"BDI 2",$O$7,"BDI 3",$O$8)</f>
        <v>0.20699999999999999</v>
      </c>
      <c r="AA736" s="158" cm="1">
        <f t="array" ref="AA736">_xlfn.SWITCH($N736,"BDI 1",$P$6,"BDI 2",$P$7,"BDI 3",$P$8)</f>
        <v>0.26739999999999997</v>
      </c>
      <c r="AB736" s="158">
        <f ca="1">IFERROR($S736/_xlfn.XLOOKUP($AE736,$B$16:$B$38,$S$16:$S$38),0)</f>
        <v>0</v>
      </c>
      <c r="AC736" s="158">
        <f ca="1">IFERROR($T736/_xlfn.XLOOKUP($AE736,$B$16:$B$38,$T$16:$T$38),0)</f>
        <v>0</v>
      </c>
      <c r="AD736" s="164"/>
      <c r="AE736" s="148">
        <f t="shared" ref="AE736:AE737" si="1645">IF(S736&gt;0,IFERROR(TRUNC(A736,0),0),0)</f>
        <v>0</v>
      </c>
      <c r="AF736" s="149"/>
      <c r="AG736" s="150"/>
      <c r="AH736" s="159" t="e">
        <f>+S736/$S$720</f>
        <v>#DIV/0!</v>
      </c>
      <c r="AI736" s="166">
        <f>IF(K736=0,0,K736/F736)</f>
        <v>0</v>
      </c>
      <c r="AJ736" s="105"/>
      <c r="AK736" s="105"/>
      <c r="AM736" s="105"/>
      <c r="AN736" s="105"/>
      <c r="AO736" s="105"/>
      <c r="AP736" s="105"/>
      <c r="AQ736" s="105"/>
      <c r="AR736" s="105"/>
    </row>
    <row r="737" spans="1:44" s="49" customFormat="1" ht="40.15" hidden="1" customHeight="1">
      <c r="A737" s="152" t="e">
        <f t="shared" si="1644"/>
        <v>#REF!</v>
      </c>
      <c r="B737" s="153">
        <v>93593</v>
      </c>
      <c r="C737" s="154" t="str">
        <f>TEXT(B737,"0")</f>
        <v>93593</v>
      </c>
      <c r="D737" s="154" t="s">
        <v>1416</v>
      </c>
      <c r="E737" s="155" t="s">
        <v>3545</v>
      </c>
      <c r="F737" s="154">
        <f>Dados_DMT!$B$17-F736</f>
        <v>0</v>
      </c>
      <c r="G737" s="154" t="s">
        <v>3538</v>
      </c>
      <c r="H737" s="152">
        <v>0.84</v>
      </c>
      <c r="I737" s="152">
        <v>0.85</v>
      </c>
      <c r="J737" s="156"/>
      <c r="K737" s="156">
        <f>ROUND(Pav_Terraplenagem!J114*F737,2)</f>
        <v>0</v>
      </c>
      <c r="L737" s="156">
        <f>IF($K737&gt;$J737,$K737-$J737,0)</f>
        <v>0</v>
      </c>
      <c r="M737" s="156">
        <f>IF($K737&lt;$J737,$J737-$K737,0)</f>
        <v>0</v>
      </c>
      <c r="N737" s="156" t="s">
        <v>83</v>
      </c>
      <c r="O737" s="157" cm="1">
        <f t="array" ref="O737">TRUNC($H737*(1+_xlfn.SWITCH($N737,"BDI 1",$O$6,"BDI 2",$O$7,"BDI 3",$O$8)),2)</f>
        <v>1.01</v>
      </c>
      <c r="P737" s="157" cm="1">
        <f t="array" ref="P737">TRUNC($I737*(1+_xlfn.SWITCH($N737,"BDI 1",$P$6,"BDI 2",$P$7,"BDI 3",$P$8)),2)</f>
        <v>1.07</v>
      </c>
      <c r="Q737" s="157">
        <v>0</v>
      </c>
      <c r="R737" s="157">
        <v>0</v>
      </c>
      <c r="S737" s="156">
        <f>TRUNC($K737*$O737,2)</f>
        <v>0</v>
      </c>
      <c r="T737" s="156">
        <f>TRUNC($K737*$P737,2)</f>
        <v>0</v>
      </c>
      <c r="U737" s="156">
        <f>TRUNC($J737*$R737,2)</f>
        <v>0</v>
      </c>
      <c r="V737" s="156">
        <f>TRUNC($K737*$Q737,2)</f>
        <v>0</v>
      </c>
      <c r="W737" s="156">
        <f>TRUNC(V737-U737,2)</f>
        <v>0</v>
      </c>
      <c r="X737" s="158">
        <f>$S737/ORCAMENTO_VALOR_TOTAL_ND</f>
        <v>0</v>
      </c>
      <c r="Y737" s="158">
        <f>$T737/ORCAMENTO_VALOR_TOTAL_DE</f>
        <v>0</v>
      </c>
      <c r="Z737" s="158" cm="1">
        <f t="array" ref="Z737">_xlfn.SWITCH($N737,"BDI 1",$O$6,"BDI 2",$O$7,"BDI 3",$O$8)</f>
        <v>0.20699999999999999</v>
      </c>
      <c r="AA737" s="158" cm="1">
        <f t="array" ref="AA737">_xlfn.SWITCH($N737,"BDI 1",$P$6,"BDI 2",$P$7,"BDI 3",$P$8)</f>
        <v>0.26739999999999997</v>
      </c>
      <c r="AB737" s="158">
        <f ca="1">IFERROR($S737/_xlfn.XLOOKUP($AE737,$B$16:$B$38,$S$16:$S$38),0)</f>
        <v>0</v>
      </c>
      <c r="AC737" s="158">
        <f ca="1">IFERROR($T737/_xlfn.XLOOKUP($AE737,$B$16:$B$38,$T$16:$T$38),0)</f>
        <v>0</v>
      </c>
      <c r="AD737" s="164"/>
      <c r="AE737" s="148">
        <f t="shared" si="1645"/>
        <v>0</v>
      </c>
      <c r="AF737" s="149"/>
      <c r="AG737" s="150"/>
      <c r="AH737" s="159" t="e">
        <f>+S737/$S$720</f>
        <v>#DIV/0!</v>
      </c>
      <c r="AI737" s="166">
        <f>IF(K737=0,0,K737/F737)</f>
        <v>0</v>
      </c>
      <c r="AJ737" s="105"/>
      <c r="AK737" s="105"/>
      <c r="AM737" s="105"/>
      <c r="AN737" s="105"/>
      <c r="AO737" s="105"/>
      <c r="AP737" s="105"/>
      <c r="AQ737" s="105"/>
      <c r="AR737" s="105"/>
    </row>
    <row r="738" spans="1:44" s="49" customFormat="1" ht="40.15" hidden="1" customHeight="1">
      <c r="A738" s="10" t="e">
        <f t="shared" si="1644"/>
        <v>#REF!</v>
      </c>
      <c r="B738" s="153"/>
      <c r="C738" s="154"/>
      <c r="D738" s="154"/>
      <c r="E738" s="161" t="s">
        <v>137</v>
      </c>
      <c r="F738" s="154"/>
      <c r="G738" s="154"/>
      <c r="H738" s="152"/>
      <c r="I738" s="152"/>
      <c r="J738" s="154"/>
      <c r="K738" s="154"/>
      <c r="L738" s="154"/>
      <c r="M738" s="154"/>
      <c r="N738" s="154"/>
      <c r="O738" s="154"/>
      <c r="P738" s="154"/>
      <c r="Q738" s="154"/>
      <c r="R738" s="154"/>
      <c r="S738" s="162"/>
      <c r="T738" s="162"/>
      <c r="U738" s="162"/>
      <c r="V738" s="162"/>
      <c r="W738" s="162"/>
      <c r="X738" s="154"/>
      <c r="Y738" s="154"/>
      <c r="Z738" s="154"/>
      <c r="AA738" s="154"/>
      <c r="AB738" s="154"/>
      <c r="AC738" s="154"/>
      <c r="AD738" s="106"/>
      <c r="AE738" s="148">
        <f>IF(SUM(S739:S740)&gt;0,IFERROR(TRUNC(A738,0),0),0)</f>
        <v>0</v>
      </c>
      <c r="AF738" s="149"/>
      <c r="AG738" s="150"/>
      <c r="AH738" s="159"/>
      <c r="AI738" s="160" t="s">
        <v>138</v>
      </c>
      <c r="AJ738" s="105"/>
      <c r="AK738" s="105"/>
      <c r="AM738" s="105"/>
      <c r="AN738" s="105"/>
      <c r="AO738" s="105"/>
      <c r="AP738" s="105"/>
      <c r="AQ738" s="105"/>
      <c r="AR738" s="105"/>
    </row>
    <row r="739" spans="1:44" s="49" customFormat="1" ht="40.15" hidden="1" customHeight="1">
      <c r="A739" s="152" t="e">
        <f t="shared" si="1644"/>
        <v>#REF!</v>
      </c>
      <c r="B739" s="153">
        <v>95876</v>
      </c>
      <c r="C739" s="154" t="str">
        <f>TEXT(B739,"0")</f>
        <v>95876</v>
      </c>
      <c r="D739" s="154" t="s">
        <v>1416</v>
      </c>
      <c r="E739" s="155" t="s">
        <v>3537</v>
      </c>
      <c r="F739" s="154">
        <f>IF(Dados_DMT!$B$17&lt;30,Dados_DMT!$B$17,30)</f>
        <v>3.5</v>
      </c>
      <c r="G739" s="154" t="s">
        <v>3538</v>
      </c>
      <c r="H739" s="152">
        <v>2.09</v>
      </c>
      <c r="I739" s="152">
        <v>2.1</v>
      </c>
      <c r="J739" s="156"/>
      <c r="K739" s="156">
        <f>ROUND(Pav_Terraplenagem!J115*F739,2)</f>
        <v>0</v>
      </c>
      <c r="L739" s="156">
        <f>IF($K739&gt;$J739,$K739-$J739,0)</f>
        <v>0</v>
      </c>
      <c r="M739" s="156">
        <f>IF($K739&lt;$J739,$J739-$K739,0)</f>
        <v>0</v>
      </c>
      <c r="N739" s="156" t="s">
        <v>83</v>
      </c>
      <c r="O739" s="157" cm="1">
        <f t="array" ref="O739">TRUNC($H739*(1+_xlfn.SWITCH($N739,"BDI 1",$O$6,"BDI 2",$O$7,"BDI 3",$O$8)),2)</f>
        <v>2.52</v>
      </c>
      <c r="P739" s="157" cm="1">
        <f t="array" ref="P739">TRUNC($I739*(1+_xlfn.SWITCH($N739,"BDI 1",$P$6,"BDI 2",$P$7,"BDI 3",$P$8)),2)</f>
        <v>2.66</v>
      </c>
      <c r="Q739" s="157">
        <v>0</v>
      </c>
      <c r="R739" s="157">
        <v>0</v>
      </c>
      <c r="S739" s="156">
        <f>TRUNC($K739*$O739,2)</f>
        <v>0</v>
      </c>
      <c r="T739" s="156">
        <f>TRUNC($K739*$P739,2)</f>
        <v>0</v>
      </c>
      <c r="U739" s="156">
        <f>TRUNC($J739*$R739,2)</f>
        <v>0</v>
      </c>
      <c r="V739" s="156">
        <f>TRUNC($K739*$Q739,2)</f>
        <v>0</v>
      </c>
      <c r="W739" s="156">
        <f>TRUNC(V739-U739,2)</f>
        <v>0</v>
      </c>
      <c r="X739" s="158">
        <f>$S739/ORCAMENTO_VALOR_TOTAL_ND</f>
        <v>0</v>
      </c>
      <c r="Y739" s="158">
        <f>$T739/ORCAMENTO_VALOR_TOTAL_DE</f>
        <v>0</v>
      </c>
      <c r="Z739" s="158" cm="1">
        <f t="array" ref="Z739">_xlfn.SWITCH($N739,"BDI 1",$O$6,"BDI 2",$O$7,"BDI 3",$O$8)</f>
        <v>0.20699999999999999</v>
      </c>
      <c r="AA739" s="158" cm="1">
        <f t="array" ref="AA739">_xlfn.SWITCH($N739,"BDI 1",$P$6,"BDI 2",$P$7,"BDI 3",$P$8)</f>
        <v>0.26739999999999997</v>
      </c>
      <c r="AB739" s="158">
        <f ca="1">IFERROR($S739/_xlfn.XLOOKUP($AE739,$B$16:$B$38,$S$16:$S$38),0)</f>
        <v>0</v>
      </c>
      <c r="AC739" s="158">
        <f ca="1">IFERROR($T739/_xlfn.XLOOKUP($AE739,$B$16:$B$38,$T$16:$T$38),0)</f>
        <v>0</v>
      </c>
      <c r="AD739" s="164"/>
      <c r="AE739" s="148">
        <f t="shared" ref="AE739:AE740" si="1646">IF(S739&gt;0,IFERROR(TRUNC(A739,0),0),0)</f>
        <v>0</v>
      </c>
      <c r="AF739" s="149"/>
      <c r="AG739" s="150"/>
      <c r="AH739" s="159" t="e">
        <f>+S739/$S$720</f>
        <v>#DIV/0!</v>
      </c>
      <c r="AI739" s="166">
        <f>IF(K739=0,0,K739/F739)</f>
        <v>0</v>
      </c>
      <c r="AJ739" s="105"/>
      <c r="AK739" s="105"/>
      <c r="AM739" s="105"/>
      <c r="AN739" s="105"/>
      <c r="AO739" s="105"/>
      <c r="AP739" s="105"/>
      <c r="AQ739" s="105"/>
      <c r="AR739" s="105"/>
    </row>
    <row r="740" spans="1:44" s="49" customFormat="1" ht="40.15" hidden="1" customHeight="1">
      <c r="A740" s="152" t="e">
        <f t="shared" si="1644"/>
        <v>#REF!</v>
      </c>
      <c r="B740" s="153">
        <v>93593</v>
      </c>
      <c r="C740" s="154" t="str">
        <f>TEXT(B740,"0")</f>
        <v>93593</v>
      </c>
      <c r="D740" s="154" t="s">
        <v>1416</v>
      </c>
      <c r="E740" s="155" t="s">
        <v>3545</v>
      </c>
      <c r="F740" s="154">
        <f>+Dados_DMT!$B$17-F739</f>
        <v>0</v>
      </c>
      <c r="G740" s="154" t="s">
        <v>3538</v>
      </c>
      <c r="H740" s="152">
        <v>0.84</v>
      </c>
      <c r="I740" s="152">
        <v>0.85</v>
      </c>
      <c r="J740" s="156"/>
      <c r="K740" s="156">
        <f>ROUND(Pav_Terraplenagem!J115*F740,2)</f>
        <v>0</v>
      </c>
      <c r="L740" s="156">
        <f>IF($K740&gt;$J740,$K740-$J740,0)</f>
        <v>0</v>
      </c>
      <c r="M740" s="156">
        <f>IF($K740&lt;$J740,$J740-$K740,0)</f>
        <v>0</v>
      </c>
      <c r="N740" s="156" t="s">
        <v>83</v>
      </c>
      <c r="O740" s="157" cm="1">
        <f t="array" ref="O740">TRUNC($H740*(1+_xlfn.SWITCH($N740,"BDI 1",$O$6,"BDI 2",$O$7,"BDI 3",$O$8)),2)</f>
        <v>1.01</v>
      </c>
      <c r="P740" s="157" cm="1">
        <f t="array" ref="P740">TRUNC($I740*(1+_xlfn.SWITCH($N740,"BDI 1",$P$6,"BDI 2",$P$7,"BDI 3",$P$8)),2)</f>
        <v>1.07</v>
      </c>
      <c r="Q740" s="157">
        <v>0</v>
      </c>
      <c r="R740" s="157">
        <v>0</v>
      </c>
      <c r="S740" s="156">
        <f>TRUNC($K740*$O740,2)</f>
        <v>0</v>
      </c>
      <c r="T740" s="156">
        <f>TRUNC($K740*$P740,2)</f>
        <v>0</v>
      </c>
      <c r="U740" s="156">
        <f>TRUNC($J740*$R740,2)</f>
        <v>0</v>
      </c>
      <c r="V740" s="156">
        <f>TRUNC($K740*$Q740,2)</f>
        <v>0</v>
      </c>
      <c r="W740" s="156">
        <f>TRUNC(V740-U740,2)</f>
        <v>0</v>
      </c>
      <c r="X740" s="158">
        <f>$S740/ORCAMENTO_VALOR_TOTAL_ND</f>
        <v>0</v>
      </c>
      <c r="Y740" s="158">
        <f>$T740/ORCAMENTO_VALOR_TOTAL_DE</f>
        <v>0</v>
      </c>
      <c r="Z740" s="158" cm="1">
        <f t="array" ref="Z740">_xlfn.SWITCH($N740,"BDI 1",$O$6,"BDI 2",$O$7,"BDI 3",$O$8)</f>
        <v>0.20699999999999999</v>
      </c>
      <c r="AA740" s="158" cm="1">
        <f t="array" ref="AA740">_xlfn.SWITCH($N740,"BDI 1",$P$6,"BDI 2",$P$7,"BDI 3",$P$8)</f>
        <v>0.26739999999999997</v>
      </c>
      <c r="AB740" s="158">
        <f ca="1">IFERROR($S740/_xlfn.XLOOKUP($AE740,$B$16:$B$38,$S$16:$S$38),0)</f>
        <v>0</v>
      </c>
      <c r="AC740" s="158">
        <f ca="1">IFERROR($T740/_xlfn.XLOOKUP($AE740,$B$16:$B$38,$T$16:$T$38),0)</f>
        <v>0</v>
      </c>
      <c r="AD740" s="164"/>
      <c r="AE740" s="148">
        <f t="shared" si="1646"/>
        <v>0</v>
      </c>
      <c r="AF740" s="149"/>
      <c r="AG740" s="150"/>
      <c r="AH740" s="159" t="e">
        <f>+S740/$S$720</f>
        <v>#DIV/0!</v>
      </c>
      <c r="AI740" s="166">
        <f>IF(K740=0,0,K740/F740)</f>
        <v>0</v>
      </c>
      <c r="AJ740" s="105"/>
      <c r="AK740" s="105"/>
      <c r="AM740" s="105"/>
      <c r="AN740" s="105"/>
      <c r="AO740" s="105"/>
      <c r="AP740" s="105"/>
      <c r="AQ740" s="105"/>
      <c r="AR740" s="105"/>
    </row>
    <row r="741" spans="1:44" s="49" customFormat="1" ht="40.15" hidden="1" customHeight="1">
      <c r="A741" s="10" t="e">
        <f t="shared" si="1644"/>
        <v>#REF!</v>
      </c>
      <c r="B741" s="153"/>
      <c r="C741" s="154"/>
      <c r="D741" s="154"/>
      <c r="E741" s="161" t="s">
        <v>139</v>
      </c>
      <c r="F741" s="154"/>
      <c r="G741" s="154"/>
      <c r="H741" s="152"/>
      <c r="I741" s="152"/>
      <c r="J741" s="154"/>
      <c r="K741" s="154"/>
      <c r="L741" s="154"/>
      <c r="M741" s="154"/>
      <c r="N741" s="154"/>
      <c r="O741" s="154"/>
      <c r="P741" s="154"/>
      <c r="Q741" s="154"/>
      <c r="R741" s="154"/>
      <c r="S741" s="162"/>
      <c r="T741" s="162"/>
      <c r="U741" s="162"/>
      <c r="V741" s="162"/>
      <c r="W741" s="162"/>
      <c r="X741" s="154"/>
      <c r="Y741" s="154"/>
      <c r="Z741" s="154"/>
      <c r="AA741" s="154"/>
      <c r="AB741" s="154"/>
      <c r="AC741" s="154"/>
      <c r="AD741" s="106"/>
      <c r="AE741" s="148">
        <f>IF(SUM(S742:S743)&gt;0,IFERROR(TRUNC(A741,0),0),0)</f>
        <v>0</v>
      </c>
      <c r="AF741" s="149"/>
      <c r="AG741" s="150"/>
      <c r="AH741" s="159"/>
      <c r="AI741" s="160"/>
      <c r="AJ741" s="105"/>
      <c r="AK741" s="105"/>
      <c r="AM741" s="105"/>
      <c r="AN741" s="105"/>
      <c r="AO741" s="105"/>
      <c r="AP741" s="105"/>
      <c r="AQ741" s="105"/>
      <c r="AR741" s="105"/>
    </row>
    <row r="742" spans="1:44" s="49" customFormat="1" ht="40.15" hidden="1" customHeight="1">
      <c r="A742" s="152" t="e">
        <f t="shared" si="1644"/>
        <v>#REF!</v>
      </c>
      <c r="B742" s="153">
        <v>95876</v>
      </c>
      <c r="C742" s="154" t="str">
        <f>TEXT(B742,"0")</f>
        <v>95876</v>
      </c>
      <c r="D742" s="154" t="s">
        <v>1416</v>
      </c>
      <c r="E742" s="155" t="s">
        <v>3537</v>
      </c>
      <c r="F742" s="154">
        <f>IF(Dados_DMT!$B$14&lt;30,Dados_DMT!$B$14,30)</f>
        <v>3.5</v>
      </c>
      <c r="G742" s="154" t="s">
        <v>3538</v>
      </c>
      <c r="H742" s="152">
        <v>2.09</v>
      </c>
      <c r="I742" s="152">
        <v>2.1</v>
      </c>
      <c r="J742" s="156"/>
      <c r="K742" s="156">
        <f>ROUND(Pav_Terraplenagem!J117*F742,2)</f>
        <v>0</v>
      </c>
      <c r="L742" s="156">
        <f>IF($K742&gt;$J742,$K742-$J742,0)</f>
        <v>0</v>
      </c>
      <c r="M742" s="156">
        <f>IF($K742&lt;$J742,$J742-$K742,0)</f>
        <v>0</v>
      </c>
      <c r="N742" s="156" t="s">
        <v>83</v>
      </c>
      <c r="O742" s="157" cm="1">
        <f t="array" ref="O742">TRUNC($H742*(1+_xlfn.SWITCH($N742,"BDI 1",$O$6,"BDI 2",$O$7,"BDI 3",$O$8)),2)</f>
        <v>2.52</v>
      </c>
      <c r="P742" s="157" cm="1">
        <f t="array" ref="P742">TRUNC($I742*(1+_xlfn.SWITCH($N742,"BDI 1",$P$6,"BDI 2",$P$7,"BDI 3",$P$8)),2)</f>
        <v>2.66</v>
      </c>
      <c r="Q742" s="157">
        <v>0</v>
      </c>
      <c r="R742" s="157">
        <v>0</v>
      </c>
      <c r="S742" s="156">
        <f>TRUNC($K742*$O742,2)</f>
        <v>0</v>
      </c>
      <c r="T742" s="156">
        <f>TRUNC($K742*$P742,2)</f>
        <v>0</v>
      </c>
      <c r="U742" s="156">
        <f>TRUNC($J742*$R742,2)</f>
        <v>0</v>
      </c>
      <c r="V742" s="156">
        <f>TRUNC($K742*$Q742,2)</f>
        <v>0</v>
      </c>
      <c r="W742" s="156">
        <f>TRUNC(V742-U742,2)</f>
        <v>0</v>
      </c>
      <c r="X742" s="158">
        <f>$S742/ORCAMENTO_VALOR_TOTAL_ND</f>
        <v>0</v>
      </c>
      <c r="Y742" s="158">
        <f>$T742/ORCAMENTO_VALOR_TOTAL_DE</f>
        <v>0</v>
      </c>
      <c r="Z742" s="158" cm="1">
        <f t="array" ref="Z742">_xlfn.SWITCH($N742,"BDI 1",$O$6,"BDI 2",$O$7,"BDI 3",$O$8)</f>
        <v>0.20699999999999999</v>
      </c>
      <c r="AA742" s="158" cm="1">
        <f t="array" ref="AA742">_xlfn.SWITCH($N742,"BDI 1",$P$6,"BDI 2",$P$7,"BDI 3",$P$8)</f>
        <v>0.26739999999999997</v>
      </c>
      <c r="AB742" s="158">
        <f ca="1">IFERROR($S742/_xlfn.XLOOKUP($AE742,$B$16:$B$38,$S$16:$S$38),0)</f>
        <v>0</v>
      </c>
      <c r="AC742" s="158">
        <f ca="1">IFERROR($T742/_xlfn.XLOOKUP($AE742,$B$16:$B$38,$T$16:$T$38),0)</f>
        <v>0</v>
      </c>
      <c r="AD742" s="164"/>
      <c r="AE742" s="148">
        <f t="shared" ref="AE742:AE743" si="1647">IF(S742&gt;0,IFERROR(TRUNC(A742,0),0),0)</f>
        <v>0</v>
      </c>
      <c r="AF742" s="149"/>
      <c r="AG742" s="150"/>
      <c r="AH742" s="159" t="e">
        <f>+S742/$S$720</f>
        <v>#DIV/0!</v>
      </c>
      <c r="AI742" s="166">
        <f>IF(K742=0,0,K742/F742)</f>
        <v>0</v>
      </c>
      <c r="AJ742" s="105"/>
      <c r="AK742" s="105"/>
      <c r="AM742" s="105"/>
      <c r="AN742" s="105"/>
      <c r="AO742" s="105"/>
      <c r="AP742" s="105"/>
      <c r="AQ742" s="105"/>
      <c r="AR742" s="105"/>
    </row>
    <row r="743" spans="1:44" s="49" customFormat="1" ht="40.15" hidden="1" customHeight="1">
      <c r="A743" s="152" t="e">
        <f t="shared" si="1644"/>
        <v>#REF!</v>
      </c>
      <c r="B743" s="153">
        <v>93593</v>
      </c>
      <c r="C743" s="154" t="str">
        <f>TEXT(B743,"0")</f>
        <v>93593</v>
      </c>
      <c r="D743" s="154" t="s">
        <v>1416</v>
      </c>
      <c r="E743" s="155" t="s">
        <v>3545</v>
      </c>
      <c r="F743" s="154">
        <f>+Dados_DMT!$B$14-F742</f>
        <v>0</v>
      </c>
      <c r="G743" s="154" t="s">
        <v>3538</v>
      </c>
      <c r="H743" s="152">
        <v>0.84</v>
      </c>
      <c r="I743" s="152">
        <v>0.85</v>
      </c>
      <c r="J743" s="156"/>
      <c r="K743" s="156">
        <f>ROUND(Pav_Terraplenagem!J117*F743,2)</f>
        <v>0</v>
      </c>
      <c r="L743" s="156">
        <f>IF($K743&gt;$J743,$K743-$J743,0)</f>
        <v>0</v>
      </c>
      <c r="M743" s="156">
        <f>IF($K743&lt;$J743,$J743-$K743,0)</f>
        <v>0</v>
      </c>
      <c r="N743" s="156" t="s">
        <v>83</v>
      </c>
      <c r="O743" s="157" cm="1">
        <f t="array" ref="O743">TRUNC($H743*(1+_xlfn.SWITCH($N743,"BDI 1",$O$6,"BDI 2",$O$7,"BDI 3",$O$8)),2)</f>
        <v>1.01</v>
      </c>
      <c r="P743" s="157" cm="1">
        <f t="array" ref="P743">TRUNC($I743*(1+_xlfn.SWITCH($N743,"BDI 1",$P$6,"BDI 2",$P$7,"BDI 3",$P$8)),2)</f>
        <v>1.07</v>
      </c>
      <c r="Q743" s="157">
        <v>0</v>
      </c>
      <c r="R743" s="157">
        <v>0</v>
      </c>
      <c r="S743" s="156">
        <f>TRUNC($K743*$O743,2)</f>
        <v>0</v>
      </c>
      <c r="T743" s="156">
        <f>TRUNC($K743*$P743,2)</f>
        <v>0</v>
      </c>
      <c r="U743" s="156">
        <f>TRUNC($J743*$R743,2)</f>
        <v>0</v>
      </c>
      <c r="V743" s="156">
        <f>TRUNC($K743*$Q743,2)</f>
        <v>0</v>
      </c>
      <c r="W743" s="156">
        <f>TRUNC(V743-U743,2)</f>
        <v>0</v>
      </c>
      <c r="X743" s="158">
        <f>$S743/ORCAMENTO_VALOR_TOTAL_ND</f>
        <v>0</v>
      </c>
      <c r="Y743" s="158">
        <f>$T743/ORCAMENTO_VALOR_TOTAL_DE</f>
        <v>0</v>
      </c>
      <c r="Z743" s="158" cm="1">
        <f t="array" ref="Z743">_xlfn.SWITCH($N743,"BDI 1",$O$6,"BDI 2",$O$7,"BDI 3",$O$8)</f>
        <v>0.20699999999999999</v>
      </c>
      <c r="AA743" s="158" cm="1">
        <f t="array" ref="AA743">_xlfn.SWITCH($N743,"BDI 1",$P$6,"BDI 2",$P$7,"BDI 3",$P$8)</f>
        <v>0.26739999999999997</v>
      </c>
      <c r="AB743" s="158">
        <f ca="1">IFERROR($S743/_xlfn.XLOOKUP($AE743,$B$16:$B$38,$S$16:$S$38),0)</f>
        <v>0</v>
      </c>
      <c r="AC743" s="158">
        <f ca="1">IFERROR($T743/_xlfn.XLOOKUP($AE743,$B$16:$B$38,$T$16:$T$38),0)</f>
        <v>0</v>
      </c>
      <c r="AD743" s="164"/>
      <c r="AE743" s="148">
        <f t="shared" si="1647"/>
        <v>0</v>
      </c>
      <c r="AF743" s="149"/>
      <c r="AG743" s="150"/>
      <c r="AH743" s="159" t="e">
        <f>+S743/$S$720</f>
        <v>#DIV/0!</v>
      </c>
      <c r="AI743" s="166">
        <f>IF(K743=0,0,K743/F743)</f>
        <v>0</v>
      </c>
      <c r="AJ743" s="105"/>
      <c r="AK743" s="105"/>
      <c r="AM743" s="105"/>
      <c r="AN743" s="105"/>
      <c r="AO743" s="105"/>
      <c r="AP743" s="105"/>
      <c r="AQ743" s="105"/>
      <c r="AR743" s="105"/>
    </row>
    <row r="744" spans="1:44" s="49" customFormat="1" ht="40.15" hidden="1" customHeight="1">
      <c r="A744" s="10" t="e">
        <f t="shared" si="1644"/>
        <v>#REF!</v>
      </c>
      <c r="B744" s="153"/>
      <c r="C744" s="154"/>
      <c r="D744" s="154"/>
      <c r="E744" s="155"/>
      <c r="F744" s="154"/>
      <c r="G744" s="154"/>
      <c r="H744" s="152"/>
      <c r="I744" s="152"/>
      <c r="J744" s="168"/>
      <c r="K744" s="168"/>
      <c r="L744" s="168"/>
      <c r="M744" s="168"/>
      <c r="N744" s="168"/>
      <c r="O744" s="157"/>
      <c r="P744" s="157"/>
      <c r="Q744" s="157"/>
      <c r="R744" s="157"/>
      <c r="S744" s="162"/>
      <c r="T744" s="162"/>
      <c r="U744" s="162"/>
      <c r="V744" s="162"/>
      <c r="W744" s="162"/>
      <c r="X744" s="163"/>
      <c r="Y744" s="163"/>
      <c r="Z744" s="163"/>
      <c r="AA744" s="163"/>
      <c r="AB744" s="163"/>
      <c r="AC744" s="163"/>
      <c r="AD744" s="164"/>
      <c r="AE744" s="148">
        <f>IF(S745&gt;0,IFERROR(TRUNC(A745,0),0),0)</f>
        <v>0</v>
      </c>
      <c r="AF744" s="149"/>
      <c r="AG744" s="150"/>
      <c r="AH744" s="159"/>
      <c r="AI744" s="160"/>
      <c r="AJ744" s="105"/>
      <c r="AK744" s="105"/>
      <c r="AM744" s="105"/>
      <c r="AN744" s="105"/>
      <c r="AO744" s="105"/>
      <c r="AP744" s="105"/>
      <c r="AQ744" s="105"/>
      <c r="AR744" s="105"/>
    </row>
    <row r="745" spans="1:44" s="105" customFormat="1" ht="40.15" hidden="1" customHeight="1">
      <c r="A745" s="169">
        <f ca="1">$B$29</f>
        <v>0</v>
      </c>
      <c r="B745" s="170"/>
      <c r="C745" s="171"/>
      <c r="D745" s="172"/>
      <c r="E745" s="173" t="str">
        <f>$D$29</f>
        <v>IMPLANTAÇÃO DE PAVIMENTAÇÃO</v>
      </c>
      <c r="F745" s="174"/>
      <c r="G745" s="175"/>
      <c r="H745" s="176" t="s">
        <v>312</v>
      </c>
      <c r="I745" s="176" t="s">
        <v>312</v>
      </c>
      <c r="J745" s="177"/>
      <c r="K745" s="177"/>
      <c r="L745" s="177"/>
      <c r="M745" s="177"/>
      <c r="N745" s="177"/>
      <c r="O745" s="178" t="str">
        <f ca="1">CONCATENATE("SUB-TOTAL ",$A745)</f>
        <v>SUB-TOTAL 0</v>
      </c>
      <c r="P745" s="178" t="e" cm="1">
        <f t="array" ref="P745">TRUNC($I745*(1+_xlfn.SWITCH($N745,"BDI 1",$P$6,"BDI 2",$P$7,"BDI 3",$P$8)),2)</f>
        <v>#VALUE!</v>
      </c>
      <c r="Q745" s="178" t="str">
        <f ca="1">CONCATENATE("SUB-TOTAL ",$A745)</f>
        <v>SUB-TOTAL 0</v>
      </c>
      <c r="R745" s="178"/>
      <c r="S745" s="179">
        <f>SUM(S746:S833)</f>
        <v>0</v>
      </c>
      <c r="T745" s="179">
        <f>SUM(T746:T833)</f>
        <v>0</v>
      </c>
      <c r="U745" s="179">
        <f>SUM(U746:U833)</f>
        <v>0</v>
      </c>
      <c r="V745" s="179">
        <f>SUM(V746:V833)</f>
        <v>0</v>
      </c>
      <c r="W745" s="179">
        <f t="shared" ref="W745:W771" si="1648">TRUNC(V745-U745,2)</f>
        <v>0</v>
      </c>
      <c r="X745" s="180">
        <f t="shared" ref="X745" si="1649">$S745/ORCAMENTO_VALOR_TOTAL_ND</f>
        <v>0</v>
      </c>
      <c r="Y745" s="180">
        <f t="shared" ref="Y745" si="1650">$T745/ORCAMENTO_VALOR_TOTAL_DE</f>
        <v>0</v>
      </c>
      <c r="Z745" s="180"/>
      <c r="AA745" s="180"/>
      <c r="AB745" s="180">
        <f>IFERROR($S745/$S745,0)</f>
        <v>0</v>
      </c>
      <c r="AC745" s="180">
        <f>IFERROR($T745/$T745,0)</f>
        <v>0</v>
      </c>
      <c r="AD745" s="147"/>
      <c r="AE745" s="148">
        <f t="shared" ref="AE745:AE771" si="1651">IF(S745&gt;0,IFERROR(TRUNC(A745,0),0),0)</f>
        <v>0</v>
      </c>
      <c r="AF745" s="149"/>
      <c r="AG745" s="150"/>
      <c r="AH745" s="151" t="e">
        <f t="shared" ref="AH745:AH771" si="1652">S745/$S$745</f>
        <v>#DIV/0!</v>
      </c>
      <c r="AJ745" s="181" t="s">
        <v>105</v>
      </c>
      <c r="AK745" s="181" t="s">
        <v>106</v>
      </c>
    </row>
    <row r="746" spans="1:44" s="49" customFormat="1" ht="40.15" hidden="1" customHeight="1">
      <c r="A746" s="152">
        <f t="shared" ref="A746:A809" ca="1" si="1653">+IF(K746&gt;0,A745+0.01,A745)</f>
        <v>0</v>
      </c>
      <c r="B746" s="153">
        <v>100576</v>
      </c>
      <c r="C746" s="154" t="str">
        <f t="shared" ref="C746:C771" si="1654">TEXT(B746,"0")</f>
        <v>100576</v>
      </c>
      <c r="D746" s="154" t="s">
        <v>1416</v>
      </c>
      <c r="E746" s="155" t="s">
        <v>3901</v>
      </c>
      <c r="F746" s="154"/>
      <c r="G746" s="154" t="s">
        <v>1418</v>
      </c>
      <c r="H746" s="152">
        <v>2.46</v>
      </c>
      <c r="I746" s="152">
        <v>2.39</v>
      </c>
      <c r="J746" s="156"/>
      <c r="K746" s="156">
        <f>+Pav_Estrutura!K11</f>
        <v>0</v>
      </c>
      <c r="L746" s="156">
        <f t="shared" ref="L746:L771" si="1655">IF($K746&gt;$J746,$K746-$J746,0)</f>
        <v>0</v>
      </c>
      <c r="M746" s="156">
        <f t="shared" ref="M746:M771" si="1656">IF($K746&lt;$J746,$J746-$K746,0)</f>
        <v>0</v>
      </c>
      <c r="N746" s="156" t="s">
        <v>83</v>
      </c>
      <c r="O746" s="157" cm="1">
        <f t="array" ref="O746">TRUNC($H746*(1+_xlfn.SWITCH($N746,"BDI 1",$O$6,"BDI 2",$O$7,"BDI 3",$O$8)),2)</f>
        <v>2.96</v>
      </c>
      <c r="P746" s="157" cm="1">
        <f t="array" ref="P746">TRUNC($I746*(1+_xlfn.SWITCH($N746,"BDI 1",$P$6,"BDI 2",$P$7,"BDI 3",$P$8)),2)</f>
        <v>3.02</v>
      </c>
      <c r="Q746" s="157">
        <v>0</v>
      </c>
      <c r="R746" s="157">
        <f t="shared" ref="R746" si="1657">$Q746-($Q746*LICITACAO_DESCONTO)</f>
        <v>0</v>
      </c>
      <c r="S746" s="156">
        <f t="shared" ref="S746:S771" si="1658">TRUNC($K746*$O746,2)</f>
        <v>0</v>
      </c>
      <c r="T746" s="156">
        <f t="shared" ref="T746:T771" si="1659">TRUNC($K746*$P746,2)</f>
        <v>0</v>
      </c>
      <c r="U746" s="156">
        <f t="shared" ref="U746:U771" si="1660">TRUNC($J746*$R746,2)</f>
        <v>0</v>
      </c>
      <c r="V746" s="156">
        <f t="shared" ref="V746:V771" si="1661">TRUNC($K746*$Q746,2)</f>
        <v>0</v>
      </c>
      <c r="W746" s="156">
        <f t="shared" si="1648"/>
        <v>0</v>
      </c>
      <c r="X746" s="158">
        <f t="shared" ref="X746" si="1662">$S746/ORCAMENTO_VALOR_TOTAL_ND</f>
        <v>0</v>
      </c>
      <c r="Y746" s="158">
        <f t="shared" ref="Y746" si="1663">$T746/ORCAMENTO_VALOR_TOTAL_DE</f>
        <v>0</v>
      </c>
      <c r="Z746" s="158" cm="1">
        <f t="array" ref="Z746">_xlfn.SWITCH($N746,"BDI 1",$O$6,"BDI 2",$O$7,"BDI 3",$O$8)</f>
        <v>0.20699999999999999</v>
      </c>
      <c r="AA746" s="158" cm="1">
        <f t="array" ref="AA746">_xlfn.SWITCH($N746,"BDI 1",$P$6,"BDI 2",$P$7,"BDI 3",$P$8)</f>
        <v>0.26739999999999997</v>
      </c>
      <c r="AB746" s="158">
        <f t="shared" ref="AB746:AB771" ca="1" si="1664">IFERROR($S746/_xlfn.XLOOKUP($AE746,$B$16:$B$38,$S$16:$S$38),0)</f>
        <v>0</v>
      </c>
      <c r="AC746" s="158">
        <f t="shared" ref="AC746:AC771" ca="1" si="1665">IFERROR($T746/_xlfn.XLOOKUP($AE746,$B$16:$B$38,$T$16:$T$38),0)</f>
        <v>0</v>
      </c>
      <c r="AD746" s="164"/>
      <c r="AE746" s="148">
        <f t="shared" si="1651"/>
        <v>0</v>
      </c>
      <c r="AF746" s="149"/>
      <c r="AG746" s="150"/>
      <c r="AH746" s="159" t="e">
        <f t="shared" si="1652"/>
        <v>#DIV/0!</v>
      </c>
      <c r="AI746" s="165" t="s">
        <v>310</v>
      </c>
      <c r="AJ746" s="182">
        <v>0</v>
      </c>
      <c r="AK746" s="183" t="e">
        <f t="shared" ref="AK746:AK754" si="1666">+K746/AJ746</f>
        <v>#DIV/0!</v>
      </c>
      <c r="AM746" s="105"/>
      <c r="AN746" s="105"/>
      <c r="AO746" s="214"/>
      <c r="AP746" s="214"/>
      <c r="AQ746" s="214"/>
      <c r="AR746" s="214"/>
    </row>
    <row r="747" spans="1:44" s="49" customFormat="1" ht="49.9" hidden="1" customHeight="1">
      <c r="A747" s="152">
        <f t="shared" ca="1" si="1653"/>
        <v>0</v>
      </c>
      <c r="B747" s="153">
        <v>101767</v>
      </c>
      <c r="C747" s="154" t="str">
        <f t="shared" si="1654"/>
        <v>101767</v>
      </c>
      <c r="D747" s="154" t="s">
        <v>1416</v>
      </c>
      <c r="E747" s="155" t="s">
        <v>3870</v>
      </c>
      <c r="F747" s="154"/>
      <c r="G747" s="154" t="s">
        <v>464</v>
      </c>
      <c r="H747" s="152">
        <v>27.3</v>
      </c>
      <c r="I747" s="152">
        <v>26.65</v>
      </c>
      <c r="J747" s="156"/>
      <c r="K747" s="156">
        <f>+Pav_Estrutura!K28+Pav_Estrutura!K54</f>
        <v>0</v>
      </c>
      <c r="L747" s="156">
        <f t="shared" si="1655"/>
        <v>0</v>
      </c>
      <c r="M747" s="156">
        <f t="shared" si="1656"/>
        <v>0</v>
      </c>
      <c r="N747" s="156" t="s">
        <v>83</v>
      </c>
      <c r="O747" s="157" cm="1">
        <f t="array" ref="O747">TRUNC($H747*(1+_xlfn.SWITCH($N747,"BDI 1",$O$6,"BDI 2",$O$7,"BDI 3",$O$8)),2)</f>
        <v>32.950000000000003</v>
      </c>
      <c r="P747" s="157" cm="1">
        <f t="array" ref="P747">TRUNC($I747*(1+_xlfn.SWITCH($N747,"BDI 1",$P$6,"BDI 2",$P$7,"BDI 3",$P$8)),2)</f>
        <v>33.770000000000003</v>
      </c>
      <c r="Q747" s="157">
        <v>0</v>
      </c>
      <c r="R747" s="157">
        <f t="shared" ref="R747" si="1667">$Q747-($Q747*LICITACAO_DESCONTO)</f>
        <v>0</v>
      </c>
      <c r="S747" s="156">
        <f t="shared" si="1658"/>
        <v>0</v>
      </c>
      <c r="T747" s="156">
        <f t="shared" si="1659"/>
        <v>0</v>
      </c>
      <c r="U747" s="156">
        <f t="shared" si="1660"/>
        <v>0</v>
      </c>
      <c r="V747" s="156">
        <f t="shared" si="1661"/>
        <v>0</v>
      </c>
      <c r="W747" s="156">
        <f t="shared" si="1648"/>
        <v>0</v>
      </c>
      <c r="X747" s="158">
        <f t="shared" ref="X747" si="1668">$S747/ORCAMENTO_VALOR_TOTAL_ND</f>
        <v>0</v>
      </c>
      <c r="Y747" s="158">
        <f t="shared" ref="Y747" si="1669">$T747/ORCAMENTO_VALOR_TOTAL_DE</f>
        <v>0</v>
      </c>
      <c r="Z747" s="158" cm="1">
        <f t="array" ref="Z747">_xlfn.SWITCH($N747,"BDI 1",$O$6,"BDI 2",$O$7,"BDI 3",$O$8)</f>
        <v>0.20699999999999999</v>
      </c>
      <c r="AA747" s="158" cm="1">
        <f t="array" ref="AA747">_xlfn.SWITCH($N747,"BDI 1",$P$6,"BDI 2",$P$7,"BDI 3",$P$8)</f>
        <v>0.26739999999999997</v>
      </c>
      <c r="AB747" s="158">
        <f t="shared" ca="1" si="1664"/>
        <v>0</v>
      </c>
      <c r="AC747" s="158">
        <f t="shared" ca="1" si="1665"/>
        <v>0</v>
      </c>
      <c r="AD747" s="164"/>
      <c r="AE747" s="148">
        <f t="shared" si="1651"/>
        <v>0</v>
      </c>
      <c r="AF747" s="149"/>
      <c r="AG747" s="150"/>
      <c r="AH747" s="159" t="e">
        <f t="shared" si="1652"/>
        <v>#DIV/0!</v>
      </c>
      <c r="AI747" s="160"/>
      <c r="AJ747" s="182">
        <v>20</v>
      </c>
      <c r="AK747" s="183">
        <f t="shared" si="1666"/>
        <v>0</v>
      </c>
      <c r="AM747" s="105"/>
      <c r="AN747" s="105"/>
      <c r="AO747" s="105"/>
      <c r="AP747" s="105"/>
      <c r="AQ747" s="105"/>
      <c r="AR747" s="105"/>
    </row>
    <row r="748" spans="1:44" s="49" customFormat="1" ht="49.9" hidden="1" customHeight="1">
      <c r="A748" s="152">
        <f t="shared" ca="1" si="1653"/>
        <v>0</v>
      </c>
      <c r="B748" s="153">
        <v>101768</v>
      </c>
      <c r="C748" s="154" t="str">
        <f t="shared" si="1654"/>
        <v>101768</v>
      </c>
      <c r="D748" s="154" t="s">
        <v>1416</v>
      </c>
      <c r="E748" s="155" t="s">
        <v>3871</v>
      </c>
      <c r="F748" s="154"/>
      <c r="G748" s="154" t="s">
        <v>464</v>
      </c>
      <c r="H748" s="152">
        <v>23.65</v>
      </c>
      <c r="I748" s="152">
        <v>23.25</v>
      </c>
      <c r="J748" s="156"/>
      <c r="K748" s="156">
        <f>+Pav_Estrutura!K29+Pav_Estrutura!K55</f>
        <v>0</v>
      </c>
      <c r="L748" s="156">
        <f t="shared" si="1655"/>
        <v>0</v>
      </c>
      <c r="M748" s="156">
        <f t="shared" si="1656"/>
        <v>0</v>
      </c>
      <c r="N748" s="156" t="s">
        <v>83</v>
      </c>
      <c r="O748" s="157" cm="1">
        <f t="array" ref="O748">TRUNC($H748*(1+_xlfn.SWITCH($N748,"BDI 1",$O$6,"BDI 2",$O$7,"BDI 3",$O$8)),2)</f>
        <v>28.54</v>
      </c>
      <c r="P748" s="157" cm="1">
        <f t="array" ref="P748">TRUNC($I748*(1+_xlfn.SWITCH($N748,"BDI 1",$P$6,"BDI 2",$P$7,"BDI 3",$P$8)),2)</f>
        <v>29.46</v>
      </c>
      <c r="Q748" s="157">
        <v>0</v>
      </c>
      <c r="R748" s="157">
        <f t="shared" ref="R748" si="1670">$Q748-($Q748*LICITACAO_DESCONTO)</f>
        <v>0</v>
      </c>
      <c r="S748" s="156">
        <f t="shared" si="1658"/>
        <v>0</v>
      </c>
      <c r="T748" s="156">
        <f t="shared" si="1659"/>
        <v>0</v>
      </c>
      <c r="U748" s="156">
        <f t="shared" si="1660"/>
        <v>0</v>
      </c>
      <c r="V748" s="156">
        <f t="shared" si="1661"/>
        <v>0</v>
      </c>
      <c r="W748" s="156">
        <f t="shared" si="1648"/>
        <v>0</v>
      </c>
      <c r="X748" s="158">
        <f t="shared" ref="X748" si="1671">$S748/ORCAMENTO_VALOR_TOTAL_ND</f>
        <v>0</v>
      </c>
      <c r="Y748" s="158">
        <f t="shared" ref="Y748" si="1672">$T748/ORCAMENTO_VALOR_TOTAL_DE</f>
        <v>0</v>
      </c>
      <c r="Z748" s="158" cm="1">
        <f t="array" ref="Z748">_xlfn.SWITCH($N748,"BDI 1",$O$6,"BDI 2",$O$7,"BDI 3",$O$8)</f>
        <v>0.20699999999999999</v>
      </c>
      <c r="AA748" s="158" cm="1">
        <f t="array" ref="AA748">_xlfn.SWITCH($N748,"BDI 1",$P$6,"BDI 2",$P$7,"BDI 3",$P$8)</f>
        <v>0.26739999999999997</v>
      </c>
      <c r="AB748" s="158">
        <f t="shared" ca="1" si="1664"/>
        <v>0</v>
      </c>
      <c r="AC748" s="158">
        <f t="shared" ca="1" si="1665"/>
        <v>0</v>
      </c>
      <c r="AD748" s="164"/>
      <c r="AE748" s="148">
        <f t="shared" si="1651"/>
        <v>0</v>
      </c>
      <c r="AF748" s="149"/>
      <c r="AG748" s="150"/>
      <c r="AH748" s="159" t="e">
        <f t="shared" si="1652"/>
        <v>#DIV/0!</v>
      </c>
      <c r="AI748" s="160"/>
      <c r="AJ748" s="182">
        <v>0</v>
      </c>
      <c r="AK748" s="183" t="e">
        <f t="shared" si="1666"/>
        <v>#DIV/0!</v>
      </c>
      <c r="AM748" s="105"/>
      <c r="AN748" s="105"/>
      <c r="AO748" s="105"/>
      <c r="AP748" s="105"/>
      <c r="AQ748" s="105"/>
      <c r="AR748" s="105"/>
    </row>
    <row r="749" spans="1:44" s="49" customFormat="1" ht="40.15" hidden="1" customHeight="1">
      <c r="A749" s="152">
        <f t="shared" ca="1" si="1653"/>
        <v>0</v>
      </c>
      <c r="B749" s="153" t="s">
        <v>248</v>
      </c>
      <c r="C749" s="154" t="str">
        <f t="shared" si="1654"/>
        <v>PA/0020</v>
      </c>
      <c r="D749" s="154" t="s">
        <v>3549</v>
      </c>
      <c r="E749" s="155" t="s">
        <v>3873</v>
      </c>
      <c r="F749" s="154"/>
      <c r="G749" s="154" t="s">
        <v>464</v>
      </c>
      <c r="H749" s="152">
        <v>13.37</v>
      </c>
      <c r="I749" s="152">
        <v>13.23</v>
      </c>
      <c r="J749" s="156"/>
      <c r="K749" s="156">
        <f>+Pav_Estrutura!K30+Pav_Estrutura!K31+Pav_Estrutura!K56+Pav_Estrutura!K57</f>
        <v>0</v>
      </c>
      <c r="L749" s="156">
        <f t="shared" si="1655"/>
        <v>0</v>
      </c>
      <c r="M749" s="156">
        <f t="shared" si="1656"/>
        <v>0</v>
      </c>
      <c r="N749" s="156" t="s">
        <v>83</v>
      </c>
      <c r="O749" s="157" cm="1">
        <f t="array" ref="O749">TRUNC($H749*(1+_xlfn.SWITCH($N749,"BDI 1",$O$6,"BDI 2",$O$7,"BDI 3",$O$8)),2)</f>
        <v>16.13</v>
      </c>
      <c r="P749" s="157" cm="1">
        <f t="array" ref="P749">TRUNC($I749*(1+_xlfn.SWITCH($N749,"BDI 1",$P$6,"BDI 2",$P$7,"BDI 3",$P$8)),2)</f>
        <v>16.760000000000002</v>
      </c>
      <c r="Q749" s="157">
        <v>0</v>
      </c>
      <c r="R749" s="157">
        <f t="shared" ref="R749" si="1673">$Q749-($Q749*LICITACAO_DESCONTO)</f>
        <v>0</v>
      </c>
      <c r="S749" s="156">
        <f t="shared" si="1658"/>
        <v>0</v>
      </c>
      <c r="T749" s="156">
        <f t="shared" si="1659"/>
        <v>0</v>
      </c>
      <c r="U749" s="156">
        <f t="shared" si="1660"/>
        <v>0</v>
      </c>
      <c r="V749" s="156">
        <f t="shared" si="1661"/>
        <v>0</v>
      </c>
      <c r="W749" s="156">
        <f t="shared" si="1648"/>
        <v>0</v>
      </c>
      <c r="X749" s="158">
        <f t="shared" ref="X749" si="1674">$S749/ORCAMENTO_VALOR_TOTAL_ND</f>
        <v>0</v>
      </c>
      <c r="Y749" s="158">
        <f t="shared" ref="Y749" si="1675">$T749/ORCAMENTO_VALOR_TOTAL_DE</f>
        <v>0</v>
      </c>
      <c r="Z749" s="158" cm="1">
        <f t="array" ref="Z749">_xlfn.SWITCH($N749,"BDI 1",$O$6,"BDI 2",$O$7,"BDI 3",$O$8)</f>
        <v>0.20699999999999999</v>
      </c>
      <c r="AA749" s="158" cm="1">
        <f t="array" ref="AA749">_xlfn.SWITCH($N749,"BDI 1",$P$6,"BDI 2",$P$7,"BDI 3",$P$8)</f>
        <v>0.26739999999999997</v>
      </c>
      <c r="AB749" s="158">
        <f t="shared" ca="1" si="1664"/>
        <v>0</v>
      </c>
      <c r="AC749" s="158">
        <f t="shared" ca="1" si="1665"/>
        <v>0</v>
      </c>
      <c r="AD749" s="164"/>
      <c r="AE749" s="148">
        <f t="shared" si="1651"/>
        <v>0</v>
      </c>
      <c r="AF749" s="149"/>
      <c r="AG749" s="150"/>
      <c r="AH749" s="159" t="e">
        <f t="shared" si="1652"/>
        <v>#DIV/0!</v>
      </c>
      <c r="AI749" s="160"/>
      <c r="AJ749" s="182">
        <v>33.33</v>
      </c>
      <c r="AK749" s="183">
        <f t="shared" si="1666"/>
        <v>0</v>
      </c>
      <c r="AM749" s="105"/>
      <c r="AN749" s="105"/>
      <c r="AO749" s="214"/>
      <c r="AP749" s="214"/>
      <c r="AQ749" s="214"/>
      <c r="AR749" s="214"/>
    </row>
    <row r="750" spans="1:44" s="49" customFormat="1" ht="40.15" hidden="1" customHeight="1">
      <c r="A750" s="152">
        <f t="shared" ca="1" si="1653"/>
        <v>0</v>
      </c>
      <c r="B750" s="153" t="s">
        <v>247</v>
      </c>
      <c r="C750" s="154" t="str">
        <f t="shared" si="1654"/>
        <v>PA/0018</v>
      </c>
      <c r="D750" s="154" t="s">
        <v>3549</v>
      </c>
      <c r="E750" s="155" t="s">
        <v>3872</v>
      </c>
      <c r="F750" s="154"/>
      <c r="G750" s="154" t="s">
        <v>464</v>
      </c>
      <c r="H750" s="152">
        <v>6.89</v>
      </c>
      <c r="I750" s="152">
        <v>6.5</v>
      </c>
      <c r="J750" s="156"/>
      <c r="K750" s="156">
        <f>+Pav_Estrutura!K31+Pav_Estrutura!K57</f>
        <v>0</v>
      </c>
      <c r="L750" s="156">
        <f t="shared" si="1655"/>
        <v>0</v>
      </c>
      <c r="M750" s="156">
        <f t="shared" si="1656"/>
        <v>0</v>
      </c>
      <c r="N750" s="156" t="s">
        <v>83</v>
      </c>
      <c r="O750" s="157" cm="1">
        <f t="array" ref="O750">TRUNC($H750*(1+_xlfn.SWITCH($N750,"BDI 1",$O$6,"BDI 2",$O$7,"BDI 3",$O$8)),2)</f>
        <v>8.31</v>
      </c>
      <c r="P750" s="157" cm="1">
        <f t="array" ref="P750">TRUNC($I750*(1+_xlfn.SWITCH($N750,"BDI 1",$P$6,"BDI 2",$P$7,"BDI 3",$P$8)),2)</f>
        <v>8.23</v>
      </c>
      <c r="Q750" s="157">
        <v>0</v>
      </c>
      <c r="R750" s="157">
        <f t="shared" ref="R750" si="1676">$Q750-($Q750*LICITACAO_DESCONTO)</f>
        <v>0</v>
      </c>
      <c r="S750" s="156">
        <f t="shared" si="1658"/>
        <v>0</v>
      </c>
      <c r="T750" s="156">
        <f t="shared" si="1659"/>
        <v>0</v>
      </c>
      <c r="U750" s="156">
        <f t="shared" si="1660"/>
        <v>0</v>
      </c>
      <c r="V750" s="156">
        <f t="shared" si="1661"/>
        <v>0</v>
      </c>
      <c r="W750" s="156">
        <f t="shared" si="1648"/>
        <v>0</v>
      </c>
      <c r="X750" s="158">
        <f t="shared" ref="X750" si="1677">$S750/ORCAMENTO_VALOR_TOTAL_ND</f>
        <v>0</v>
      </c>
      <c r="Y750" s="158">
        <f t="shared" ref="Y750" si="1678">$T750/ORCAMENTO_VALOR_TOTAL_DE</f>
        <v>0</v>
      </c>
      <c r="Z750" s="158" cm="1">
        <f t="array" ref="Z750">_xlfn.SWITCH($N750,"BDI 1",$O$6,"BDI 2",$O$7,"BDI 3",$O$8)</f>
        <v>0.20699999999999999</v>
      </c>
      <c r="AA750" s="158" cm="1">
        <f t="array" ref="AA750">_xlfn.SWITCH($N750,"BDI 1",$P$6,"BDI 2",$P$7,"BDI 3",$P$8)</f>
        <v>0.26739999999999997</v>
      </c>
      <c r="AB750" s="158">
        <f t="shared" ca="1" si="1664"/>
        <v>0</v>
      </c>
      <c r="AC750" s="158">
        <f t="shared" ca="1" si="1665"/>
        <v>0</v>
      </c>
      <c r="AD750" s="164"/>
      <c r="AE750" s="148">
        <f t="shared" si="1651"/>
        <v>0</v>
      </c>
      <c r="AF750" s="149"/>
      <c r="AG750" s="150"/>
      <c r="AH750" s="159" t="e">
        <f t="shared" si="1652"/>
        <v>#DIV/0!</v>
      </c>
      <c r="AI750" s="160"/>
      <c r="AJ750" s="182">
        <v>33.33</v>
      </c>
      <c r="AK750" s="183">
        <f t="shared" si="1666"/>
        <v>0</v>
      </c>
      <c r="AM750" s="105"/>
      <c r="AN750" s="105"/>
      <c r="AO750" s="105"/>
      <c r="AP750" s="105"/>
      <c r="AQ750" s="105"/>
      <c r="AR750" s="105"/>
    </row>
    <row r="751" spans="1:44" s="49" customFormat="1" ht="49.9" hidden="1" customHeight="1">
      <c r="A751" s="152">
        <f t="shared" ca="1" si="1653"/>
        <v>0</v>
      </c>
      <c r="B751" s="153">
        <v>96389</v>
      </c>
      <c r="C751" s="154" t="str">
        <f t="shared" si="1654"/>
        <v>96389</v>
      </c>
      <c r="D751" s="154" t="s">
        <v>1416</v>
      </c>
      <c r="E751" s="155" t="s">
        <v>3902</v>
      </c>
      <c r="F751" s="154"/>
      <c r="G751" s="154" t="s">
        <v>464</v>
      </c>
      <c r="H751" s="152">
        <v>53.2</v>
      </c>
      <c r="I751" s="152">
        <v>52.93</v>
      </c>
      <c r="J751" s="156"/>
      <c r="K751" s="156">
        <f>+Pav_Estrutura!K50</f>
        <v>0</v>
      </c>
      <c r="L751" s="156">
        <f t="shared" si="1655"/>
        <v>0</v>
      </c>
      <c r="M751" s="156">
        <f t="shared" si="1656"/>
        <v>0</v>
      </c>
      <c r="N751" s="156" t="s">
        <v>83</v>
      </c>
      <c r="O751" s="157" cm="1">
        <f t="array" ref="O751">TRUNC($H751*(1+_xlfn.SWITCH($N751,"BDI 1",$O$6,"BDI 2",$O$7,"BDI 3",$O$8)),2)</f>
        <v>64.209999999999994</v>
      </c>
      <c r="P751" s="157" cm="1">
        <f t="array" ref="P751">TRUNC($I751*(1+_xlfn.SWITCH($N751,"BDI 1",$P$6,"BDI 2",$P$7,"BDI 3",$P$8)),2)</f>
        <v>67.08</v>
      </c>
      <c r="Q751" s="157">
        <v>0</v>
      </c>
      <c r="R751" s="157">
        <f t="shared" ref="R751" si="1679">$Q751-($Q751*LICITACAO_DESCONTO)</f>
        <v>0</v>
      </c>
      <c r="S751" s="156">
        <f t="shared" si="1658"/>
        <v>0</v>
      </c>
      <c r="T751" s="156">
        <f t="shared" si="1659"/>
        <v>0</v>
      </c>
      <c r="U751" s="156">
        <f t="shared" si="1660"/>
        <v>0</v>
      </c>
      <c r="V751" s="156">
        <f t="shared" si="1661"/>
        <v>0</v>
      </c>
      <c r="W751" s="156">
        <f t="shared" si="1648"/>
        <v>0</v>
      </c>
      <c r="X751" s="158">
        <f t="shared" ref="X751" si="1680">$S751/ORCAMENTO_VALOR_TOTAL_ND</f>
        <v>0</v>
      </c>
      <c r="Y751" s="158">
        <f t="shared" ref="Y751" si="1681">$T751/ORCAMENTO_VALOR_TOTAL_DE</f>
        <v>0</v>
      </c>
      <c r="Z751" s="158" cm="1">
        <f t="array" ref="Z751">_xlfn.SWITCH($N751,"BDI 1",$O$6,"BDI 2",$O$7,"BDI 3",$O$8)</f>
        <v>0.20699999999999999</v>
      </c>
      <c r="AA751" s="158" cm="1">
        <f t="array" ref="AA751">_xlfn.SWITCH($N751,"BDI 1",$P$6,"BDI 2",$P$7,"BDI 3",$P$8)</f>
        <v>0.26739999999999997</v>
      </c>
      <c r="AB751" s="158">
        <f t="shared" ca="1" si="1664"/>
        <v>0</v>
      </c>
      <c r="AC751" s="158">
        <f t="shared" ca="1" si="1665"/>
        <v>0</v>
      </c>
      <c r="AD751" s="164"/>
      <c r="AE751" s="148">
        <f t="shared" si="1651"/>
        <v>0</v>
      </c>
      <c r="AF751" s="149"/>
      <c r="AG751" s="150"/>
      <c r="AH751" s="159" t="e">
        <f t="shared" si="1652"/>
        <v>#DIV/0!</v>
      </c>
      <c r="AI751" s="160"/>
      <c r="AJ751" s="182">
        <v>0</v>
      </c>
      <c r="AK751" s="183" t="e">
        <f t="shared" si="1666"/>
        <v>#DIV/0!</v>
      </c>
      <c r="AM751" s="105"/>
      <c r="AN751" s="105"/>
      <c r="AO751" s="105"/>
      <c r="AP751" s="105"/>
      <c r="AQ751" s="105"/>
      <c r="AR751" s="105"/>
    </row>
    <row r="752" spans="1:44" s="49" customFormat="1" ht="49.9" hidden="1" customHeight="1">
      <c r="A752" s="152">
        <f t="shared" ca="1" si="1653"/>
        <v>0</v>
      </c>
      <c r="B752" s="153">
        <v>96390</v>
      </c>
      <c r="C752" s="154" t="str">
        <f t="shared" si="1654"/>
        <v>96390</v>
      </c>
      <c r="D752" s="154" t="s">
        <v>1416</v>
      </c>
      <c r="E752" s="155" t="s">
        <v>3903</v>
      </c>
      <c r="F752" s="154"/>
      <c r="G752" s="154" t="s">
        <v>464</v>
      </c>
      <c r="H752" s="152">
        <v>85.56</v>
      </c>
      <c r="I752" s="152">
        <v>85.29</v>
      </c>
      <c r="J752" s="156"/>
      <c r="K752" s="156">
        <f>+Pav_Estrutura!K51</f>
        <v>0</v>
      </c>
      <c r="L752" s="156">
        <f t="shared" si="1655"/>
        <v>0</v>
      </c>
      <c r="M752" s="156">
        <f t="shared" si="1656"/>
        <v>0</v>
      </c>
      <c r="N752" s="156" t="s">
        <v>83</v>
      </c>
      <c r="O752" s="157" cm="1">
        <f t="array" ref="O752">TRUNC($H752*(1+_xlfn.SWITCH($N752,"BDI 1",$O$6,"BDI 2",$O$7,"BDI 3",$O$8)),2)</f>
        <v>103.27</v>
      </c>
      <c r="P752" s="157" cm="1">
        <f t="array" ref="P752">TRUNC($I752*(1+_xlfn.SWITCH($N752,"BDI 1",$P$6,"BDI 2",$P$7,"BDI 3",$P$8)),2)</f>
        <v>108.09</v>
      </c>
      <c r="Q752" s="157">
        <v>0</v>
      </c>
      <c r="R752" s="157">
        <f t="shared" ref="R752" si="1682">$Q752-($Q752*LICITACAO_DESCONTO)</f>
        <v>0</v>
      </c>
      <c r="S752" s="156">
        <f t="shared" si="1658"/>
        <v>0</v>
      </c>
      <c r="T752" s="156">
        <f t="shared" si="1659"/>
        <v>0</v>
      </c>
      <c r="U752" s="156">
        <f t="shared" si="1660"/>
        <v>0</v>
      </c>
      <c r="V752" s="156">
        <f t="shared" si="1661"/>
        <v>0</v>
      </c>
      <c r="W752" s="156">
        <f t="shared" si="1648"/>
        <v>0</v>
      </c>
      <c r="X752" s="158">
        <f t="shared" ref="X752" si="1683">$S752/ORCAMENTO_VALOR_TOTAL_ND</f>
        <v>0</v>
      </c>
      <c r="Y752" s="158">
        <f t="shared" ref="Y752" si="1684">$T752/ORCAMENTO_VALOR_TOTAL_DE</f>
        <v>0</v>
      </c>
      <c r="Z752" s="158" cm="1">
        <f t="array" ref="Z752">_xlfn.SWITCH($N752,"BDI 1",$O$6,"BDI 2",$O$7,"BDI 3",$O$8)</f>
        <v>0.20699999999999999</v>
      </c>
      <c r="AA752" s="158" cm="1">
        <f t="array" ref="AA752">_xlfn.SWITCH($N752,"BDI 1",$P$6,"BDI 2",$P$7,"BDI 3",$P$8)</f>
        <v>0.26739999999999997</v>
      </c>
      <c r="AB752" s="158">
        <f t="shared" ca="1" si="1664"/>
        <v>0</v>
      </c>
      <c r="AC752" s="158">
        <f t="shared" ca="1" si="1665"/>
        <v>0</v>
      </c>
      <c r="AD752" s="164"/>
      <c r="AE752" s="148">
        <f t="shared" si="1651"/>
        <v>0</v>
      </c>
      <c r="AF752" s="149"/>
      <c r="AG752" s="150"/>
      <c r="AH752" s="159" t="e">
        <f t="shared" si="1652"/>
        <v>#DIV/0!</v>
      </c>
      <c r="AI752" s="160"/>
      <c r="AJ752" s="182">
        <v>0</v>
      </c>
      <c r="AK752" s="183" t="e">
        <f t="shared" si="1666"/>
        <v>#DIV/0!</v>
      </c>
      <c r="AM752" s="105"/>
      <c r="AN752" s="105"/>
      <c r="AO752" s="105"/>
      <c r="AP752" s="105"/>
      <c r="AQ752" s="105"/>
      <c r="AR752" s="105"/>
    </row>
    <row r="753" spans="1:44" s="49" customFormat="1" ht="49.9" hidden="1" customHeight="1">
      <c r="A753" s="152">
        <f t="shared" ca="1" si="1653"/>
        <v>0</v>
      </c>
      <c r="B753" s="153">
        <v>96391</v>
      </c>
      <c r="C753" s="154" t="str">
        <f t="shared" si="1654"/>
        <v>96391</v>
      </c>
      <c r="D753" s="154" t="s">
        <v>1416</v>
      </c>
      <c r="E753" s="155" t="s">
        <v>3904</v>
      </c>
      <c r="F753" s="154"/>
      <c r="G753" s="154" t="s">
        <v>464</v>
      </c>
      <c r="H753" s="152">
        <v>119.51</v>
      </c>
      <c r="I753" s="152">
        <v>119.2</v>
      </c>
      <c r="J753" s="156"/>
      <c r="K753" s="156">
        <f>+Pav_Estrutura!K52</f>
        <v>0</v>
      </c>
      <c r="L753" s="156">
        <f t="shared" si="1655"/>
        <v>0</v>
      </c>
      <c r="M753" s="156">
        <f t="shared" si="1656"/>
        <v>0</v>
      </c>
      <c r="N753" s="156" t="s">
        <v>83</v>
      </c>
      <c r="O753" s="157" cm="1">
        <f t="array" ref="O753">TRUNC($H753*(1+_xlfn.SWITCH($N753,"BDI 1",$O$6,"BDI 2",$O$7,"BDI 3",$O$8)),2)</f>
        <v>144.24</v>
      </c>
      <c r="P753" s="157" cm="1">
        <f t="array" ref="P753">TRUNC($I753*(1+_xlfn.SWITCH($N753,"BDI 1",$P$6,"BDI 2",$P$7,"BDI 3",$P$8)),2)</f>
        <v>151.07</v>
      </c>
      <c r="Q753" s="157">
        <v>0</v>
      </c>
      <c r="R753" s="157">
        <f t="shared" ref="R753" si="1685">$Q753-($Q753*LICITACAO_DESCONTO)</f>
        <v>0</v>
      </c>
      <c r="S753" s="156">
        <f t="shared" si="1658"/>
        <v>0</v>
      </c>
      <c r="T753" s="156">
        <f t="shared" si="1659"/>
        <v>0</v>
      </c>
      <c r="U753" s="156">
        <f t="shared" si="1660"/>
        <v>0</v>
      </c>
      <c r="V753" s="156">
        <f t="shared" si="1661"/>
        <v>0</v>
      </c>
      <c r="W753" s="156">
        <f t="shared" si="1648"/>
        <v>0</v>
      </c>
      <c r="X753" s="158">
        <f t="shared" ref="X753" si="1686">$S753/ORCAMENTO_VALOR_TOTAL_ND</f>
        <v>0</v>
      </c>
      <c r="Y753" s="158">
        <f t="shared" ref="Y753" si="1687">$T753/ORCAMENTO_VALOR_TOTAL_DE</f>
        <v>0</v>
      </c>
      <c r="Z753" s="158" cm="1">
        <f t="array" ref="Z753">_xlfn.SWITCH($N753,"BDI 1",$O$6,"BDI 2",$O$7,"BDI 3",$O$8)</f>
        <v>0.20699999999999999</v>
      </c>
      <c r="AA753" s="158" cm="1">
        <f t="array" ref="AA753">_xlfn.SWITCH($N753,"BDI 1",$P$6,"BDI 2",$P$7,"BDI 3",$P$8)</f>
        <v>0.26739999999999997</v>
      </c>
      <c r="AB753" s="158">
        <f t="shared" ca="1" si="1664"/>
        <v>0</v>
      </c>
      <c r="AC753" s="158">
        <f t="shared" ca="1" si="1665"/>
        <v>0</v>
      </c>
      <c r="AD753" s="164"/>
      <c r="AE753" s="148">
        <f t="shared" si="1651"/>
        <v>0</v>
      </c>
      <c r="AF753" s="149"/>
      <c r="AG753" s="150"/>
      <c r="AH753" s="159" t="e">
        <f t="shared" si="1652"/>
        <v>#DIV/0!</v>
      </c>
      <c r="AI753" s="160"/>
      <c r="AJ753" s="182">
        <v>0</v>
      </c>
      <c r="AK753" s="183" t="e">
        <f t="shared" si="1666"/>
        <v>#DIV/0!</v>
      </c>
      <c r="AM753" s="105"/>
      <c r="AN753" s="105"/>
      <c r="AO753" s="105"/>
      <c r="AP753" s="105"/>
      <c r="AQ753" s="105"/>
      <c r="AR753" s="105"/>
    </row>
    <row r="754" spans="1:44" s="49" customFormat="1" ht="49.9" hidden="1" customHeight="1">
      <c r="A754" s="152">
        <f t="shared" ca="1" si="1653"/>
        <v>0</v>
      </c>
      <c r="B754" s="153">
        <v>96392</v>
      </c>
      <c r="C754" s="154" t="str">
        <f t="shared" si="1654"/>
        <v>96392</v>
      </c>
      <c r="D754" s="154" t="s">
        <v>1416</v>
      </c>
      <c r="E754" s="155" t="s">
        <v>3905</v>
      </c>
      <c r="F754" s="154"/>
      <c r="G754" s="154" t="s">
        <v>464</v>
      </c>
      <c r="H754" s="152">
        <v>152.24</v>
      </c>
      <c r="I754" s="152">
        <v>151.93</v>
      </c>
      <c r="J754" s="156"/>
      <c r="K754" s="156">
        <f>+Pav_Estrutura!K53</f>
        <v>0</v>
      </c>
      <c r="L754" s="156">
        <f t="shared" si="1655"/>
        <v>0</v>
      </c>
      <c r="M754" s="156">
        <f t="shared" si="1656"/>
        <v>0</v>
      </c>
      <c r="N754" s="156" t="s">
        <v>83</v>
      </c>
      <c r="O754" s="157" cm="1">
        <f t="array" ref="O754">TRUNC($H754*(1+_xlfn.SWITCH($N754,"BDI 1",$O$6,"BDI 2",$O$7,"BDI 3",$O$8)),2)</f>
        <v>183.75</v>
      </c>
      <c r="P754" s="157" cm="1">
        <f t="array" ref="P754">TRUNC($I754*(1+_xlfn.SWITCH($N754,"BDI 1",$P$6,"BDI 2",$P$7,"BDI 3",$P$8)),2)</f>
        <v>192.55</v>
      </c>
      <c r="Q754" s="157">
        <v>0</v>
      </c>
      <c r="R754" s="157">
        <f t="shared" ref="R754" si="1688">$Q754-($Q754*LICITACAO_DESCONTO)</f>
        <v>0</v>
      </c>
      <c r="S754" s="156">
        <f t="shared" si="1658"/>
        <v>0</v>
      </c>
      <c r="T754" s="156">
        <f t="shared" si="1659"/>
        <v>0</v>
      </c>
      <c r="U754" s="156">
        <f t="shared" si="1660"/>
        <v>0</v>
      </c>
      <c r="V754" s="156">
        <f t="shared" si="1661"/>
        <v>0</v>
      </c>
      <c r="W754" s="156">
        <f t="shared" si="1648"/>
        <v>0</v>
      </c>
      <c r="X754" s="158">
        <f t="shared" ref="X754" si="1689">$S754/ORCAMENTO_VALOR_TOTAL_ND</f>
        <v>0</v>
      </c>
      <c r="Y754" s="158">
        <f t="shared" ref="Y754" si="1690">$T754/ORCAMENTO_VALOR_TOTAL_DE</f>
        <v>0</v>
      </c>
      <c r="Z754" s="158" cm="1">
        <f t="array" ref="Z754">_xlfn.SWITCH($N754,"BDI 1",$O$6,"BDI 2",$O$7,"BDI 3",$O$8)</f>
        <v>0.20699999999999999</v>
      </c>
      <c r="AA754" s="158" cm="1">
        <f t="array" ref="AA754">_xlfn.SWITCH($N754,"BDI 1",$P$6,"BDI 2",$P$7,"BDI 3",$P$8)</f>
        <v>0.26739999999999997</v>
      </c>
      <c r="AB754" s="158">
        <f t="shared" ca="1" si="1664"/>
        <v>0</v>
      </c>
      <c r="AC754" s="158">
        <f t="shared" ca="1" si="1665"/>
        <v>0</v>
      </c>
      <c r="AD754" s="164"/>
      <c r="AE754" s="148">
        <f t="shared" si="1651"/>
        <v>0</v>
      </c>
      <c r="AF754" s="149"/>
      <c r="AG754" s="150"/>
      <c r="AH754" s="159" t="e">
        <f t="shared" si="1652"/>
        <v>#DIV/0!</v>
      </c>
      <c r="AI754" s="160"/>
      <c r="AJ754" s="182">
        <v>0</v>
      </c>
      <c r="AK754" s="183" t="e">
        <f t="shared" si="1666"/>
        <v>#DIV/0!</v>
      </c>
      <c r="AM754" s="105"/>
      <c r="AN754" s="105"/>
      <c r="AO754" s="105"/>
      <c r="AP754" s="105"/>
      <c r="AQ754" s="105"/>
      <c r="AR754" s="105"/>
    </row>
    <row r="755" spans="1:44" s="49" customFormat="1" ht="40.15" hidden="1" customHeight="1">
      <c r="A755" s="152">
        <f t="shared" ca="1" si="1653"/>
        <v>0</v>
      </c>
      <c r="B755" s="153" t="s">
        <v>249</v>
      </c>
      <c r="C755" s="154" t="str">
        <f t="shared" si="1654"/>
        <v>PA/0025</v>
      </c>
      <c r="D755" s="154" t="s">
        <v>3549</v>
      </c>
      <c r="E755" s="155" t="s">
        <v>3532</v>
      </c>
      <c r="F755" s="154"/>
      <c r="G755" s="154" t="s">
        <v>1418</v>
      </c>
      <c r="H755" s="152">
        <v>5.28</v>
      </c>
      <c r="I755" s="152">
        <v>5.24</v>
      </c>
      <c r="J755" s="156"/>
      <c r="K755" s="156">
        <f>+Pav_Estrutura!K64</f>
        <v>0</v>
      </c>
      <c r="L755" s="156">
        <f t="shared" si="1655"/>
        <v>0</v>
      </c>
      <c r="M755" s="156">
        <f t="shared" si="1656"/>
        <v>0</v>
      </c>
      <c r="N755" s="156" t="s">
        <v>83</v>
      </c>
      <c r="O755" s="157" cm="1">
        <f t="array" ref="O755">TRUNC($H755*(1+_xlfn.SWITCH($N755,"BDI 1",$O$6,"BDI 2",$O$7,"BDI 3",$O$8)),2)</f>
        <v>6.37</v>
      </c>
      <c r="P755" s="157" cm="1">
        <f t="array" ref="P755">TRUNC($I755*(1+_xlfn.SWITCH($N755,"BDI 1",$P$6,"BDI 2",$P$7,"BDI 3",$P$8)),2)</f>
        <v>6.64</v>
      </c>
      <c r="Q755" s="157">
        <v>0</v>
      </c>
      <c r="R755" s="157">
        <f t="shared" ref="R755" si="1691">$Q755-($Q755*LICITACAO_DESCONTO)</f>
        <v>0</v>
      </c>
      <c r="S755" s="156">
        <f t="shared" si="1658"/>
        <v>0</v>
      </c>
      <c r="T755" s="156">
        <f t="shared" si="1659"/>
        <v>0</v>
      </c>
      <c r="U755" s="156">
        <f t="shared" si="1660"/>
        <v>0</v>
      </c>
      <c r="V755" s="156">
        <f t="shared" si="1661"/>
        <v>0</v>
      </c>
      <c r="W755" s="156">
        <f t="shared" si="1648"/>
        <v>0</v>
      </c>
      <c r="X755" s="158">
        <f t="shared" ref="X755" si="1692">$S755/ORCAMENTO_VALOR_TOTAL_ND</f>
        <v>0</v>
      </c>
      <c r="Y755" s="158">
        <f t="shared" ref="Y755" si="1693">$T755/ORCAMENTO_VALOR_TOTAL_DE</f>
        <v>0</v>
      </c>
      <c r="Z755" s="158" cm="1">
        <f t="array" ref="Z755">_xlfn.SWITCH($N755,"BDI 1",$O$6,"BDI 2",$O$7,"BDI 3",$O$8)</f>
        <v>0.20699999999999999</v>
      </c>
      <c r="AA755" s="158" cm="1">
        <f t="array" ref="AA755">_xlfn.SWITCH($N755,"BDI 1",$P$6,"BDI 2",$P$7,"BDI 3",$P$8)</f>
        <v>0.26739999999999997</v>
      </c>
      <c r="AB755" s="158">
        <f t="shared" ca="1" si="1664"/>
        <v>0</v>
      </c>
      <c r="AC755" s="158">
        <f t="shared" ca="1" si="1665"/>
        <v>0</v>
      </c>
      <c r="AD755" s="164"/>
      <c r="AE755" s="148">
        <f t="shared" si="1651"/>
        <v>0</v>
      </c>
      <c r="AF755" s="149"/>
      <c r="AG755" s="150"/>
      <c r="AH755" s="159" t="e">
        <f t="shared" si="1652"/>
        <v>#DIV/0!</v>
      </c>
      <c r="AI755" s="165" t="s">
        <v>250</v>
      </c>
      <c r="AJ755" s="182"/>
      <c r="AK755" s="183"/>
      <c r="AM755" s="105"/>
      <c r="AN755" s="105"/>
      <c r="AO755" s="214"/>
      <c r="AP755" s="214"/>
      <c r="AQ755" s="214"/>
      <c r="AR755" s="214"/>
    </row>
    <row r="756" spans="1:44" s="49" customFormat="1" ht="40.15" hidden="1" customHeight="1">
      <c r="A756" s="152">
        <f t="shared" ca="1" si="1653"/>
        <v>0</v>
      </c>
      <c r="B756" s="153" t="s">
        <v>287</v>
      </c>
      <c r="C756" s="154" t="str">
        <f t="shared" si="1654"/>
        <v>PA/0023</v>
      </c>
      <c r="D756" s="154" t="s">
        <v>3549</v>
      </c>
      <c r="E756" s="155" t="s">
        <v>3539</v>
      </c>
      <c r="F756" s="154"/>
      <c r="G756" s="154" t="s">
        <v>1418</v>
      </c>
      <c r="H756" s="152">
        <v>2.37</v>
      </c>
      <c r="I756" s="152">
        <v>2.33</v>
      </c>
      <c r="J756" s="156"/>
      <c r="K756" s="156">
        <f>+Pav_Estrutura!K66</f>
        <v>0</v>
      </c>
      <c r="L756" s="156">
        <f t="shared" si="1655"/>
        <v>0</v>
      </c>
      <c r="M756" s="156">
        <f t="shared" si="1656"/>
        <v>0</v>
      </c>
      <c r="N756" s="156" t="s">
        <v>83</v>
      </c>
      <c r="O756" s="157" cm="1">
        <f t="array" ref="O756">TRUNC($H756*(1+_xlfn.SWITCH($N756,"BDI 1",$O$6,"BDI 2",$O$7,"BDI 3",$O$8)),2)</f>
        <v>2.86</v>
      </c>
      <c r="P756" s="157" cm="1">
        <f t="array" ref="P756">TRUNC($I756*(1+_xlfn.SWITCH($N756,"BDI 1",$P$6,"BDI 2",$P$7,"BDI 3",$P$8)),2)</f>
        <v>2.95</v>
      </c>
      <c r="Q756" s="157">
        <v>0</v>
      </c>
      <c r="R756" s="157">
        <f t="shared" ref="R756" si="1694">$Q756-($Q756*LICITACAO_DESCONTO)</f>
        <v>0</v>
      </c>
      <c r="S756" s="156">
        <f t="shared" si="1658"/>
        <v>0</v>
      </c>
      <c r="T756" s="156">
        <f t="shared" si="1659"/>
        <v>0</v>
      </c>
      <c r="U756" s="156">
        <f t="shared" si="1660"/>
        <v>0</v>
      </c>
      <c r="V756" s="156">
        <f t="shared" si="1661"/>
        <v>0</v>
      </c>
      <c r="W756" s="156">
        <f t="shared" si="1648"/>
        <v>0</v>
      </c>
      <c r="X756" s="158">
        <f t="shared" ref="X756" si="1695">$S756/ORCAMENTO_VALOR_TOTAL_ND</f>
        <v>0</v>
      </c>
      <c r="Y756" s="158">
        <f t="shared" ref="Y756" si="1696">$T756/ORCAMENTO_VALOR_TOTAL_DE</f>
        <v>0</v>
      </c>
      <c r="Z756" s="158" cm="1">
        <f t="array" ref="Z756">_xlfn.SWITCH($N756,"BDI 1",$O$6,"BDI 2",$O$7,"BDI 3",$O$8)</f>
        <v>0.20699999999999999</v>
      </c>
      <c r="AA756" s="158" cm="1">
        <f t="array" ref="AA756">_xlfn.SWITCH($N756,"BDI 1",$P$6,"BDI 2",$P$7,"BDI 3",$P$8)</f>
        <v>0.26739999999999997</v>
      </c>
      <c r="AB756" s="158">
        <f t="shared" ca="1" si="1664"/>
        <v>0</v>
      </c>
      <c r="AC756" s="158">
        <f t="shared" ca="1" si="1665"/>
        <v>0</v>
      </c>
      <c r="AD756" s="164"/>
      <c r="AE756" s="148">
        <f t="shared" si="1651"/>
        <v>0</v>
      </c>
      <c r="AF756" s="149"/>
      <c r="AG756" s="150"/>
      <c r="AH756" s="159" t="e">
        <f t="shared" si="1652"/>
        <v>#DIV/0!</v>
      </c>
      <c r="AI756" s="160"/>
      <c r="AJ756" s="182"/>
      <c r="AK756" s="183"/>
      <c r="AM756" s="105"/>
      <c r="AN756" s="105"/>
      <c r="AO756" s="214"/>
      <c r="AP756" s="214"/>
      <c r="AQ756" s="214"/>
      <c r="AR756" s="214"/>
    </row>
    <row r="757" spans="1:44" s="49" customFormat="1" ht="40.15" hidden="1" customHeight="1">
      <c r="A757" s="152">
        <f t="shared" ca="1" si="1653"/>
        <v>0</v>
      </c>
      <c r="B757" s="153" t="s">
        <v>251</v>
      </c>
      <c r="C757" s="154" t="str">
        <f t="shared" si="1654"/>
        <v>PA/0150</v>
      </c>
      <c r="D757" s="154" t="s">
        <v>3549</v>
      </c>
      <c r="E757" s="155" t="s">
        <v>3874</v>
      </c>
      <c r="F757" s="154"/>
      <c r="G757" s="154" t="s">
        <v>1418</v>
      </c>
      <c r="H757" s="152">
        <v>17.59</v>
      </c>
      <c r="I757" s="152">
        <v>17.55</v>
      </c>
      <c r="J757" s="156"/>
      <c r="K757" s="156">
        <f>+Pav_Estrutura!K68</f>
        <v>0</v>
      </c>
      <c r="L757" s="156">
        <f t="shared" si="1655"/>
        <v>0</v>
      </c>
      <c r="M757" s="156">
        <f t="shared" si="1656"/>
        <v>0</v>
      </c>
      <c r="N757" s="156" t="s">
        <v>83</v>
      </c>
      <c r="O757" s="157" cm="1">
        <f t="array" ref="O757">TRUNC($H757*(1+_xlfn.SWITCH($N757,"BDI 1",$O$6,"BDI 2",$O$7,"BDI 3",$O$8)),2)</f>
        <v>21.23</v>
      </c>
      <c r="P757" s="157" cm="1">
        <f t="array" ref="P757">TRUNC($I757*(1+_xlfn.SWITCH($N757,"BDI 1",$P$6,"BDI 2",$P$7,"BDI 3",$P$8)),2)</f>
        <v>22.24</v>
      </c>
      <c r="Q757" s="157">
        <v>0</v>
      </c>
      <c r="R757" s="157">
        <f t="shared" ref="R757" si="1697">$Q757-($Q757*LICITACAO_DESCONTO)</f>
        <v>0</v>
      </c>
      <c r="S757" s="156">
        <f t="shared" si="1658"/>
        <v>0</v>
      </c>
      <c r="T757" s="156">
        <f t="shared" si="1659"/>
        <v>0</v>
      </c>
      <c r="U757" s="156">
        <f t="shared" si="1660"/>
        <v>0</v>
      </c>
      <c r="V757" s="156">
        <f t="shared" si="1661"/>
        <v>0</v>
      </c>
      <c r="W757" s="156">
        <f t="shared" si="1648"/>
        <v>0</v>
      </c>
      <c r="X757" s="158">
        <f t="shared" ref="X757" si="1698">$S757/ORCAMENTO_VALOR_TOTAL_ND</f>
        <v>0</v>
      </c>
      <c r="Y757" s="158">
        <f t="shared" ref="Y757" si="1699">$T757/ORCAMENTO_VALOR_TOTAL_DE</f>
        <v>0</v>
      </c>
      <c r="Z757" s="158" cm="1">
        <f t="array" ref="Z757">_xlfn.SWITCH($N757,"BDI 1",$O$6,"BDI 2",$O$7,"BDI 3",$O$8)</f>
        <v>0.20699999999999999</v>
      </c>
      <c r="AA757" s="158" cm="1">
        <f t="array" ref="AA757">_xlfn.SWITCH($N757,"BDI 1",$P$6,"BDI 2",$P$7,"BDI 3",$P$8)</f>
        <v>0.26739999999999997</v>
      </c>
      <c r="AB757" s="158">
        <f t="shared" ca="1" si="1664"/>
        <v>0</v>
      </c>
      <c r="AC757" s="158">
        <f t="shared" ca="1" si="1665"/>
        <v>0</v>
      </c>
      <c r="AD757" s="164"/>
      <c r="AE757" s="148">
        <f t="shared" si="1651"/>
        <v>0</v>
      </c>
      <c r="AF757" s="149"/>
      <c r="AG757" s="150"/>
      <c r="AH757" s="159" t="e">
        <f t="shared" si="1652"/>
        <v>#DIV/0!</v>
      </c>
      <c r="AI757" s="160"/>
      <c r="AJ757" s="182">
        <v>0</v>
      </c>
      <c r="AK757" s="183" t="e">
        <f>+K757/AJ757</f>
        <v>#DIV/0!</v>
      </c>
      <c r="AM757" s="105"/>
      <c r="AN757" s="105"/>
      <c r="AO757" s="105"/>
      <c r="AP757" s="105"/>
      <c r="AQ757" s="105"/>
      <c r="AR757" s="105"/>
    </row>
    <row r="758" spans="1:44" s="49" customFormat="1" ht="40.15" hidden="1" customHeight="1">
      <c r="A758" s="152">
        <f t="shared" ca="1" si="1653"/>
        <v>0</v>
      </c>
      <c r="B758" s="153" t="s">
        <v>299</v>
      </c>
      <c r="C758" s="154" t="str">
        <f t="shared" si="1654"/>
        <v>PA/0035</v>
      </c>
      <c r="D758" s="154" t="s">
        <v>3549</v>
      </c>
      <c r="E758" s="155" t="s">
        <v>3893</v>
      </c>
      <c r="F758" s="154"/>
      <c r="G758" s="154" t="s">
        <v>1418</v>
      </c>
      <c r="H758" s="152">
        <v>2.83</v>
      </c>
      <c r="I758" s="152">
        <v>2.81</v>
      </c>
      <c r="J758" s="156"/>
      <c r="K758" s="156">
        <f>+Pav_Estrutura!K72</f>
        <v>0</v>
      </c>
      <c r="L758" s="156">
        <f t="shared" si="1655"/>
        <v>0</v>
      </c>
      <c r="M758" s="156">
        <f t="shared" si="1656"/>
        <v>0</v>
      </c>
      <c r="N758" s="156" t="s">
        <v>83</v>
      </c>
      <c r="O758" s="157" cm="1">
        <f t="array" ref="O758">TRUNC($H758*(1+_xlfn.SWITCH($N758,"BDI 1",$O$6,"BDI 2",$O$7,"BDI 3",$O$8)),2)</f>
        <v>3.41</v>
      </c>
      <c r="P758" s="157" cm="1">
        <f t="array" ref="P758">TRUNC($I758*(1+_xlfn.SWITCH($N758,"BDI 1",$P$6,"BDI 2",$P$7,"BDI 3",$P$8)),2)</f>
        <v>3.56</v>
      </c>
      <c r="Q758" s="157">
        <v>0</v>
      </c>
      <c r="R758" s="157">
        <f t="shared" ref="R758" si="1700">$Q758-($Q758*LICITACAO_DESCONTO)</f>
        <v>0</v>
      </c>
      <c r="S758" s="156">
        <f t="shared" si="1658"/>
        <v>0</v>
      </c>
      <c r="T758" s="156">
        <f t="shared" si="1659"/>
        <v>0</v>
      </c>
      <c r="U758" s="156">
        <f t="shared" si="1660"/>
        <v>0</v>
      </c>
      <c r="V758" s="156">
        <f t="shared" si="1661"/>
        <v>0</v>
      </c>
      <c r="W758" s="156">
        <f t="shared" si="1648"/>
        <v>0</v>
      </c>
      <c r="X758" s="158">
        <f t="shared" ref="X758" si="1701">$S758/ORCAMENTO_VALOR_TOTAL_ND</f>
        <v>0</v>
      </c>
      <c r="Y758" s="158">
        <f t="shared" ref="Y758" si="1702">$T758/ORCAMENTO_VALOR_TOTAL_DE</f>
        <v>0</v>
      </c>
      <c r="Z758" s="158" cm="1">
        <f t="array" ref="Z758">_xlfn.SWITCH($N758,"BDI 1",$O$6,"BDI 2",$O$7,"BDI 3",$O$8)</f>
        <v>0.20699999999999999</v>
      </c>
      <c r="AA758" s="158" cm="1">
        <f t="array" ref="AA758">_xlfn.SWITCH($N758,"BDI 1",$P$6,"BDI 2",$P$7,"BDI 3",$P$8)</f>
        <v>0.26739999999999997</v>
      </c>
      <c r="AB758" s="158">
        <f t="shared" ca="1" si="1664"/>
        <v>0</v>
      </c>
      <c r="AC758" s="158">
        <f t="shared" ca="1" si="1665"/>
        <v>0</v>
      </c>
      <c r="AD758" s="164"/>
      <c r="AE758" s="148">
        <f t="shared" si="1651"/>
        <v>0</v>
      </c>
      <c r="AF758" s="149"/>
      <c r="AG758" s="150"/>
      <c r="AH758" s="159" t="e">
        <f t="shared" si="1652"/>
        <v>#DIV/0!</v>
      </c>
      <c r="AI758" s="160"/>
      <c r="AJ758" s="182">
        <v>0</v>
      </c>
      <c r="AK758" s="183" t="e">
        <f>+K758/AJ758</f>
        <v>#DIV/0!</v>
      </c>
      <c r="AM758" s="105"/>
      <c r="AN758" s="105"/>
      <c r="AO758" s="105"/>
      <c r="AP758" s="105"/>
      <c r="AQ758" s="105"/>
      <c r="AR758" s="105"/>
    </row>
    <row r="759" spans="1:44" s="49" customFormat="1" ht="49.9" hidden="1" customHeight="1">
      <c r="A759" s="152">
        <f t="shared" ca="1" si="1653"/>
        <v>0</v>
      </c>
      <c r="B759" s="153" t="s">
        <v>252</v>
      </c>
      <c r="C759" s="154" t="str">
        <f t="shared" si="1654"/>
        <v>PA/0040</v>
      </c>
      <c r="D759" s="154" t="s">
        <v>3549</v>
      </c>
      <c r="E759" s="155" t="s">
        <v>3875</v>
      </c>
      <c r="F759" s="154"/>
      <c r="G759" s="154" t="s">
        <v>464</v>
      </c>
      <c r="H759" s="152">
        <v>1628.68</v>
      </c>
      <c r="I759" s="152">
        <v>1625.69</v>
      </c>
      <c r="J759" s="156"/>
      <c r="K759" s="156">
        <f>Pav_Estrutura!K82</f>
        <v>0</v>
      </c>
      <c r="L759" s="156">
        <f t="shared" si="1655"/>
        <v>0</v>
      </c>
      <c r="M759" s="156">
        <f t="shared" si="1656"/>
        <v>0</v>
      </c>
      <c r="N759" s="156" t="s">
        <v>83</v>
      </c>
      <c r="O759" s="157" cm="1">
        <f t="array" ref="O759">TRUNC($H759*(1+_xlfn.SWITCH($N759,"BDI 1",$O$6,"BDI 2",$O$7,"BDI 3",$O$8)),2)</f>
        <v>1965.81</v>
      </c>
      <c r="P759" s="157" cm="1">
        <f t="array" ref="P759">TRUNC($I759*(1+_xlfn.SWITCH($N759,"BDI 1",$P$6,"BDI 2",$P$7,"BDI 3",$P$8)),2)</f>
        <v>2060.39</v>
      </c>
      <c r="Q759" s="157">
        <v>0</v>
      </c>
      <c r="R759" s="157">
        <f t="shared" ref="R759" si="1703">$Q759-($Q759*LICITACAO_DESCONTO)</f>
        <v>0</v>
      </c>
      <c r="S759" s="156">
        <f t="shared" si="1658"/>
        <v>0</v>
      </c>
      <c r="T759" s="156">
        <f t="shared" si="1659"/>
        <v>0</v>
      </c>
      <c r="U759" s="156">
        <f t="shared" si="1660"/>
        <v>0</v>
      </c>
      <c r="V759" s="156">
        <f t="shared" si="1661"/>
        <v>0</v>
      </c>
      <c r="W759" s="156">
        <f t="shared" si="1648"/>
        <v>0</v>
      </c>
      <c r="X759" s="158">
        <f t="shared" ref="X759" si="1704">$S759/ORCAMENTO_VALOR_TOTAL_ND</f>
        <v>0</v>
      </c>
      <c r="Y759" s="158">
        <f t="shared" ref="Y759" si="1705">$T759/ORCAMENTO_VALOR_TOTAL_DE</f>
        <v>0</v>
      </c>
      <c r="Z759" s="158" cm="1">
        <f t="array" ref="Z759">_xlfn.SWITCH($N759,"BDI 1",$O$6,"BDI 2",$O$7,"BDI 3",$O$8)</f>
        <v>0.20699999999999999</v>
      </c>
      <c r="AA759" s="158" cm="1">
        <f t="array" ref="AA759">_xlfn.SWITCH($N759,"BDI 1",$P$6,"BDI 2",$P$7,"BDI 3",$P$8)</f>
        <v>0.26739999999999997</v>
      </c>
      <c r="AB759" s="158">
        <f t="shared" ca="1" si="1664"/>
        <v>0</v>
      </c>
      <c r="AC759" s="158">
        <f t="shared" ca="1" si="1665"/>
        <v>0</v>
      </c>
      <c r="AD759" s="164"/>
      <c r="AE759" s="148">
        <f t="shared" si="1651"/>
        <v>0</v>
      </c>
      <c r="AF759" s="149"/>
      <c r="AG759" s="150"/>
      <c r="AH759" s="159" t="e">
        <f t="shared" si="1652"/>
        <v>#DIV/0!</v>
      </c>
      <c r="AI759" s="165" t="s">
        <v>243</v>
      </c>
      <c r="AJ759" s="182">
        <v>0</v>
      </c>
      <c r="AK759" s="183"/>
      <c r="AM759" s="105"/>
      <c r="AN759" s="105"/>
      <c r="AO759" s="214"/>
      <c r="AP759" s="214"/>
      <c r="AQ759" s="214"/>
      <c r="AR759" s="214"/>
    </row>
    <row r="760" spans="1:44" s="49" customFormat="1" ht="40.15" hidden="1" customHeight="1">
      <c r="A760" s="152">
        <f t="shared" ca="1" si="1653"/>
        <v>0</v>
      </c>
      <c r="B760" s="153">
        <v>95995</v>
      </c>
      <c r="C760" s="154" t="str">
        <f t="shared" si="1654"/>
        <v>95995</v>
      </c>
      <c r="D760" s="154" t="s">
        <v>1416</v>
      </c>
      <c r="E760" s="155" t="s">
        <v>3894</v>
      </c>
      <c r="F760" s="154"/>
      <c r="G760" s="154" t="s">
        <v>464</v>
      </c>
      <c r="H760" s="152">
        <v>1658.13</v>
      </c>
      <c r="I760" s="152">
        <v>1643.62</v>
      </c>
      <c r="J760" s="156"/>
      <c r="K760" s="156">
        <f>Pav_Estrutura!K83</f>
        <v>0</v>
      </c>
      <c r="L760" s="156">
        <f t="shared" si="1655"/>
        <v>0</v>
      </c>
      <c r="M760" s="156">
        <f t="shared" si="1656"/>
        <v>0</v>
      </c>
      <c r="N760" s="156" t="s">
        <v>83</v>
      </c>
      <c r="O760" s="157" cm="1">
        <f t="array" ref="O760">TRUNC($H760*(1+_xlfn.SWITCH($N760,"BDI 1",$O$6,"BDI 2",$O$7,"BDI 3",$O$8)),2)</f>
        <v>2001.36</v>
      </c>
      <c r="P760" s="157" cm="1">
        <f t="array" ref="P760">TRUNC($I760*(1+_xlfn.SWITCH($N760,"BDI 1",$P$6,"BDI 2",$P$7,"BDI 3",$P$8)),2)</f>
        <v>2083.12</v>
      </c>
      <c r="Q760" s="157">
        <v>0</v>
      </c>
      <c r="R760" s="157">
        <f t="shared" ref="R760" si="1706">$Q760-($Q760*LICITACAO_DESCONTO)</f>
        <v>0</v>
      </c>
      <c r="S760" s="156">
        <f t="shared" si="1658"/>
        <v>0</v>
      </c>
      <c r="T760" s="156">
        <f t="shared" si="1659"/>
        <v>0</v>
      </c>
      <c r="U760" s="156">
        <f t="shared" si="1660"/>
        <v>0</v>
      </c>
      <c r="V760" s="156">
        <f t="shared" si="1661"/>
        <v>0</v>
      </c>
      <c r="W760" s="156">
        <f t="shared" si="1648"/>
        <v>0</v>
      </c>
      <c r="X760" s="158">
        <f t="shared" ref="X760" si="1707">$S760/ORCAMENTO_VALOR_TOTAL_ND</f>
        <v>0</v>
      </c>
      <c r="Y760" s="158">
        <f t="shared" ref="Y760" si="1708">$T760/ORCAMENTO_VALOR_TOTAL_DE</f>
        <v>0</v>
      </c>
      <c r="Z760" s="158" cm="1">
        <f t="array" ref="Z760">_xlfn.SWITCH($N760,"BDI 1",$O$6,"BDI 2",$O$7,"BDI 3",$O$8)</f>
        <v>0.20699999999999999</v>
      </c>
      <c r="AA760" s="158" cm="1">
        <f t="array" ref="AA760">_xlfn.SWITCH($N760,"BDI 1",$P$6,"BDI 2",$P$7,"BDI 3",$P$8)</f>
        <v>0.26739999999999997</v>
      </c>
      <c r="AB760" s="158">
        <f t="shared" ca="1" si="1664"/>
        <v>0</v>
      </c>
      <c r="AC760" s="158">
        <f t="shared" ca="1" si="1665"/>
        <v>0</v>
      </c>
      <c r="AD760" s="164"/>
      <c r="AE760" s="148">
        <f t="shared" si="1651"/>
        <v>0</v>
      </c>
      <c r="AF760" s="149"/>
      <c r="AG760" s="150"/>
      <c r="AH760" s="159" t="e">
        <f t="shared" si="1652"/>
        <v>#DIV/0!</v>
      </c>
      <c r="AI760" s="165" t="s">
        <v>243</v>
      </c>
      <c r="AJ760" s="182">
        <v>0</v>
      </c>
      <c r="AK760" s="183" t="e">
        <f>+K760/AJ760</f>
        <v>#DIV/0!</v>
      </c>
      <c r="AM760" s="105"/>
      <c r="AN760" s="105"/>
      <c r="AO760" s="105"/>
      <c r="AP760" s="105"/>
      <c r="AQ760" s="105"/>
      <c r="AR760" s="105"/>
    </row>
    <row r="761" spans="1:44" s="49" customFormat="1" ht="49.9" hidden="1" customHeight="1">
      <c r="A761" s="152">
        <f t="shared" ca="1" si="1653"/>
        <v>0</v>
      </c>
      <c r="B761" s="153" t="s">
        <v>300</v>
      </c>
      <c r="C761" s="154" t="str">
        <f t="shared" si="1654"/>
        <v>PA/0045</v>
      </c>
      <c r="D761" s="154" t="s">
        <v>3549</v>
      </c>
      <c r="E761" s="155" t="s">
        <v>3895</v>
      </c>
      <c r="F761" s="154"/>
      <c r="G761" s="154" t="s">
        <v>464</v>
      </c>
      <c r="H761" s="152">
        <v>1889.24</v>
      </c>
      <c r="I761" s="152">
        <v>1886.25</v>
      </c>
      <c r="J761" s="156"/>
      <c r="K761" s="156">
        <f>Pav_Estrutura!K84</f>
        <v>0</v>
      </c>
      <c r="L761" s="156">
        <f t="shared" si="1655"/>
        <v>0</v>
      </c>
      <c r="M761" s="156">
        <f t="shared" si="1656"/>
        <v>0</v>
      </c>
      <c r="N761" s="156" t="s">
        <v>83</v>
      </c>
      <c r="O761" s="157" cm="1">
        <f t="array" ref="O761">TRUNC($H761*(1+_xlfn.SWITCH($N761,"BDI 1",$O$6,"BDI 2",$O$7,"BDI 3",$O$8)),2)</f>
        <v>2280.31</v>
      </c>
      <c r="P761" s="157" cm="1">
        <f t="array" ref="P761">TRUNC($I761*(1+_xlfn.SWITCH($N761,"BDI 1",$P$6,"BDI 2",$P$7,"BDI 3",$P$8)),2)</f>
        <v>2390.63</v>
      </c>
      <c r="Q761" s="157">
        <v>0</v>
      </c>
      <c r="R761" s="157">
        <f t="shared" ref="R761" si="1709">$Q761-($Q761*LICITACAO_DESCONTO)</f>
        <v>0</v>
      </c>
      <c r="S761" s="156">
        <f t="shared" si="1658"/>
        <v>0</v>
      </c>
      <c r="T761" s="156">
        <f t="shared" si="1659"/>
        <v>0</v>
      </c>
      <c r="U761" s="156">
        <f t="shared" si="1660"/>
        <v>0</v>
      </c>
      <c r="V761" s="156">
        <f t="shared" si="1661"/>
        <v>0</v>
      </c>
      <c r="W761" s="156">
        <f t="shared" si="1648"/>
        <v>0</v>
      </c>
      <c r="X761" s="158">
        <f t="shared" ref="X761" si="1710">$S761/ORCAMENTO_VALOR_TOTAL_ND</f>
        <v>0</v>
      </c>
      <c r="Y761" s="158">
        <f t="shared" ref="Y761" si="1711">$T761/ORCAMENTO_VALOR_TOTAL_DE</f>
        <v>0</v>
      </c>
      <c r="Z761" s="158" cm="1">
        <f t="array" ref="Z761">_xlfn.SWITCH($N761,"BDI 1",$O$6,"BDI 2",$O$7,"BDI 3",$O$8)</f>
        <v>0.20699999999999999</v>
      </c>
      <c r="AA761" s="158" cm="1">
        <f t="array" ref="AA761">_xlfn.SWITCH($N761,"BDI 1",$P$6,"BDI 2",$P$7,"BDI 3",$P$8)</f>
        <v>0.26739999999999997</v>
      </c>
      <c r="AB761" s="158">
        <f t="shared" ca="1" si="1664"/>
        <v>0</v>
      </c>
      <c r="AC761" s="158">
        <f t="shared" ca="1" si="1665"/>
        <v>0</v>
      </c>
      <c r="AD761" s="164"/>
      <c r="AE761" s="148">
        <f t="shared" si="1651"/>
        <v>0</v>
      </c>
      <c r="AF761" s="149"/>
      <c r="AG761" s="150"/>
      <c r="AH761" s="159" t="e">
        <f t="shared" si="1652"/>
        <v>#DIV/0!</v>
      </c>
      <c r="AI761" s="160"/>
      <c r="AJ761" s="182">
        <v>0</v>
      </c>
      <c r="AK761" s="183" t="e">
        <f>+K761/AJ761</f>
        <v>#DIV/0!</v>
      </c>
      <c r="AM761" s="105"/>
      <c r="AN761" s="105"/>
      <c r="AO761" s="105"/>
      <c r="AP761" s="105"/>
      <c r="AQ761" s="105"/>
      <c r="AR761" s="105"/>
    </row>
    <row r="762" spans="1:44" s="49" customFormat="1" ht="40.15" hidden="1" customHeight="1">
      <c r="A762" s="152">
        <f t="shared" ca="1" si="1653"/>
        <v>0</v>
      </c>
      <c r="B762" s="153" t="s">
        <v>290</v>
      </c>
      <c r="C762" s="154" t="str">
        <f t="shared" si="1654"/>
        <v>PA/0055</v>
      </c>
      <c r="D762" s="154">
        <v>0</v>
      </c>
      <c r="E762" s="155" t="s">
        <v>3766</v>
      </c>
      <c r="F762" s="154"/>
      <c r="G762" s="154">
        <v>0</v>
      </c>
      <c r="H762" s="152">
        <v>0</v>
      </c>
      <c r="I762" s="152">
        <v>0</v>
      </c>
      <c r="J762" s="156"/>
      <c r="K762" s="156">
        <f>+Pav_Estrutura!K91</f>
        <v>0</v>
      </c>
      <c r="L762" s="156">
        <f t="shared" si="1655"/>
        <v>0</v>
      </c>
      <c r="M762" s="156">
        <f t="shared" si="1656"/>
        <v>0</v>
      </c>
      <c r="N762" s="156" t="s">
        <v>83</v>
      </c>
      <c r="O762" s="157" cm="1">
        <f t="array" ref="O762">TRUNC($H762*(1+_xlfn.SWITCH($N762,"BDI 1",$O$6,"BDI 2",$O$7,"BDI 3",$O$8)),2)</f>
        <v>0</v>
      </c>
      <c r="P762" s="157" cm="1">
        <f t="array" ref="P762">TRUNC($I762*(1+_xlfn.SWITCH($N762,"BDI 1",$P$6,"BDI 2",$P$7,"BDI 3",$P$8)),2)</f>
        <v>0</v>
      </c>
      <c r="Q762" s="157">
        <v>0</v>
      </c>
      <c r="R762" s="157">
        <f t="shared" ref="R762" si="1712">$Q762-($Q762*LICITACAO_DESCONTO)</f>
        <v>0</v>
      </c>
      <c r="S762" s="156">
        <f t="shared" si="1658"/>
        <v>0</v>
      </c>
      <c r="T762" s="156">
        <f t="shared" si="1659"/>
        <v>0</v>
      </c>
      <c r="U762" s="156">
        <f t="shared" si="1660"/>
        <v>0</v>
      </c>
      <c r="V762" s="156">
        <f t="shared" si="1661"/>
        <v>0</v>
      </c>
      <c r="W762" s="156">
        <f t="shared" si="1648"/>
        <v>0</v>
      </c>
      <c r="X762" s="158">
        <f t="shared" ref="X762" si="1713">$S762/ORCAMENTO_VALOR_TOTAL_ND</f>
        <v>0</v>
      </c>
      <c r="Y762" s="158">
        <f t="shared" ref="Y762" si="1714">$T762/ORCAMENTO_VALOR_TOTAL_DE</f>
        <v>0</v>
      </c>
      <c r="Z762" s="158" cm="1">
        <f t="array" ref="Z762">_xlfn.SWITCH($N762,"BDI 1",$O$6,"BDI 2",$O$7,"BDI 3",$O$8)</f>
        <v>0.20699999999999999</v>
      </c>
      <c r="AA762" s="158" cm="1">
        <f t="array" ref="AA762">_xlfn.SWITCH($N762,"BDI 1",$P$6,"BDI 2",$P$7,"BDI 3",$P$8)</f>
        <v>0.26739999999999997</v>
      </c>
      <c r="AB762" s="158">
        <f t="shared" ca="1" si="1664"/>
        <v>0</v>
      </c>
      <c r="AC762" s="158">
        <f t="shared" ca="1" si="1665"/>
        <v>0</v>
      </c>
      <c r="AD762" s="164"/>
      <c r="AE762" s="148">
        <f t="shared" si="1651"/>
        <v>0</v>
      </c>
      <c r="AF762" s="149"/>
      <c r="AG762" s="150"/>
      <c r="AH762" s="213" t="e">
        <f t="shared" si="1652"/>
        <v>#DIV/0!</v>
      </c>
      <c r="AI762" s="160"/>
      <c r="AJ762" s="182" t="e">
        <v>#N/A</v>
      </c>
      <c r="AK762" s="183" t="e">
        <f>+K762/AJ762</f>
        <v>#N/A</v>
      </c>
      <c r="AM762" s="105"/>
      <c r="AN762" s="105"/>
      <c r="AO762" s="105"/>
      <c r="AP762" s="105"/>
      <c r="AQ762" s="105"/>
      <c r="AR762" s="105"/>
    </row>
    <row r="763" spans="1:44" s="49" customFormat="1" ht="40.15" hidden="1" customHeight="1">
      <c r="A763" s="152">
        <f t="shared" ca="1" si="1653"/>
        <v>0</v>
      </c>
      <c r="B763" s="153">
        <v>92404</v>
      </c>
      <c r="C763" s="154" t="str">
        <f t="shared" si="1654"/>
        <v>92404</v>
      </c>
      <c r="D763" s="154" t="s">
        <v>1416</v>
      </c>
      <c r="E763" s="155" t="s">
        <v>3906</v>
      </c>
      <c r="F763" s="154"/>
      <c r="G763" s="154" t="s">
        <v>1418</v>
      </c>
      <c r="H763" s="152">
        <v>90.06</v>
      </c>
      <c r="I763" s="152">
        <v>80.67</v>
      </c>
      <c r="J763" s="156"/>
      <c r="K763" s="156">
        <f>+Pav_Estrutura!K75+Pav_Estrutura!K77</f>
        <v>0</v>
      </c>
      <c r="L763" s="156">
        <f t="shared" si="1655"/>
        <v>0</v>
      </c>
      <c r="M763" s="156">
        <f t="shared" si="1656"/>
        <v>0</v>
      </c>
      <c r="N763" s="156" t="s">
        <v>83</v>
      </c>
      <c r="O763" s="157" cm="1">
        <f t="array" ref="O763">TRUNC($H763*(1+_xlfn.SWITCH($N763,"BDI 1",$O$6,"BDI 2",$O$7,"BDI 3",$O$8)),2)</f>
        <v>108.7</v>
      </c>
      <c r="P763" s="157" cm="1">
        <f t="array" ref="P763">TRUNC($I763*(1+_xlfn.SWITCH($N763,"BDI 1",$P$6,"BDI 2",$P$7,"BDI 3",$P$8)),2)</f>
        <v>102.24</v>
      </c>
      <c r="Q763" s="157">
        <v>0</v>
      </c>
      <c r="R763" s="157">
        <f t="shared" ref="R763" si="1715">$Q763-($Q763*LICITACAO_DESCONTO)</f>
        <v>0</v>
      </c>
      <c r="S763" s="156">
        <f t="shared" si="1658"/>
        <v>0</v>
      </c>
      <c r="T763" s="156">
        <f t="shared" si="1659"/>
        <v>0</v>
      </c>
      <c r="U763" s="156">
        <f t="shared" si="1660"/>
        <v>0</v>
      </c>
      <c r="V763" s="156">
        <f t="shared" si="1661"/>
        <v>0</v>
      </c>
      <c r="W763" s="156">
        <f t="shared" si="1648"/>
        <v>0</v>
      </c>
      <c r="X763" s="158">
        <f t="shared" ref="X763" si="1716">$S763/ORCAMENTO_VALOR_TOTAL_ND</f>
        <v>0</v>
      </c>
      <c r="Y763" s="158">
        <f t="shared" ref="Y763" si="1717">$T763/ORCAMENTO_VALOR_TOTAL_DE</f>
        <v>0</v>
      </c>
      <c r="Z763" s="158" cm="1">
        <f t="array" ref="Z763">_xlfn.SWITCH($N763,"BDI 1",$O$6,"BDI 2",$O$7,"BDI 3",$O$8)</f>
        <v>0.20699999999999999</v>
      </c>
      <c r="AA763" s="158" cm="1">
        <f t="array" ref="AA763">_xlfn.SWITCH($N763,"BDI 1",$P$6,"BDI 2",$P$7,"BDI 3",$P$8)</f>
        <v>0.26739999999999997</v>
      </c>
      <c r="AB763" s="158">
        <f t="shared" ca="1" si="1664"/>
        <v>0</v>
      </c>
      <c r="AC763" s="158">
        <f t="shared" ca="1" si="1665"/>
        <v>0</v>
      </c>
      <c r="AD763" s="164"/>
      <c r="AE763" s="148">
        <f t="shared" si="1651"/>
        <v>0</v>
      </c>
      <c r="AF763" s="149"/>
      <c r="AG763" s="150"/>
      <c r="AH763" s="159" t="e">
        <f t="shared" si="1652"/>
        <v>#DIV/0!</v>
      </c>
      <c r="AI763" s="160"/>
      <c r="AJ763" s="182">
        <v>0</v>
      </c>
      <c r="AK763" s="183" t="e">
        <f>+K763/AJ763</f>
        <v>#DIV/0!</v>
      </c>
      <c r="AM763" s="105"/>
      <c r="AN763" s="105"/>
      <c r="AO763" s="105"/>
      <c r="AP763" s="105"/>
      <c r="AQ763" s="105"/>
      <c r="AR763" s="105"/>
    </row>
    <row r="764" spans="1:44" s="49" customFormat="1" ht="40.15" hidden="1" customHeight="1">
      <c r="A764" s="152">
        <f t="shared" ca="1" si="1653"/>
        <v>0</v>
      </c>
      <c r="B764" s="153">
        <v>92406</v>
      </c>
      <c r="C764" s="154" t="str">
        <f t="shared" si="1654"/>
        <v>92406</v>
      </c>
      <c r="D764" s="154" t="s">
        <v>1416</v>
      </c>
      <c r="E764" s="155" t="s">
        <v>3907</v>
      </c>
      <c r="F764" s="154"/>
      <c r="G764" s="154" t="s">
        <v>1418</v>
      </c>
      <c r="H764" s="152">
        <v>107.99</v>
      </c>
      <c r="I764" s="152">
        <v>96.54</v>
      </c>
      <c r="J764" s="156"/>
      <c r="K764" s="156">
        <f>+Pav_Estrutura!K76+Pav_Estrutura!K78</f>
        <v>0</v>
      </c>
      <c r="L764" s="156">
        <f t="shared" si="1655"/>
        <v>0</v>
      </c>
      <c r="M764" s="156">
        <f t="shared" si="1656"/>
        <v>0</v>
      </c>
      <c r="N764" s="156" t="s">
        <v>83</v>
      </c>
      <c r="O764" s="157" cm="1">
        <f t="array" ref="O764">TRUNC($H764*(1+_xlfn.SWITCH($N764,"BDI 1",$O$6,"BDI 2",$O$7,"BDI 3",$O$8)),2)</f>
        <v>130.34</v>
      </c>
      <c r="P764" s="157" cm="1">
        <f t="array" ref="P764">TRUNC($I764*(1+_xlfn.SWITCH($N764,"BDI 1",$P$6,"BDI 2",$P$7,"BDI 3",$P$8)),2)</f>
        <v>122.35</v>
      </c>
      <c r="Q764" s="157">
        <v>0</v>
      </c>
      <c r="R764" s="157">
        <f t="shared" ref="R764" si="1718">$Q764-($Q764*LICITACAO_DESCONTO)</f>
        <v>0</v>
      </c>
      <c r="S764" s="156">
        <f t="shared" si="1658"/>
        <v>0</v>
      </c>
      <c r="T764" s="156">
        <f t="shared" si="1659"/>
        <v>0</v>
      </c>
      <c r="U764" s="156">
        <f t="shared" si="1660"/>
        <v>0</v>
      </c>
      <c r="V764" s="156">
        <f t="shared" si="1661"/>
        <v>0</v>
      </c>
      <c r="W764" s="156">
        <f t="shared" si="1648"/>
        <v>0</v>
      </c>
      <c r="X764" s="158">
        <f t="shared" ref="X764" si="1719">$S764/ORCAMENTO_VALOR_TOTAL_ND</f>
        <v>0</v>
      </c>
      <c r="Y764" s="158">
        <f t="shared" ref="Y764" si="1720">$T764/ORCAMENTO_VALOR_TOTAL_DE</f>
        <v>0</v>
      </c>
      <c r="Z764" s="158" cm="1">
        <f t="array" ref="Z764">_xlfn.SWITCH($N764,"BDI 1",$O$6,"BDI 2",$O$7,"BDI 3",$O$8)</f>
        <v>0.20699999999999999</v>
      </c>
      <c r="AA764" s="158" cm="1">
        <f t="array" ref="AA764">_xlfn.SWITCH($N764,"BDI 1",$P$6,"BDI 2",$P$7,"BDI 3",$P$8)</f>
        <v>0.26739999999999997</v>
      </c>
      <c r="AB764" s="158">
        <f t="shared" ca="1" si="1664"/>
        <v>0</v>
      </c>
      <c r="AC764" s="158">
        <f t="shared" ca="1" si="1665"/>
        <v>0</v>
      </c>
      <c r="AD764" s="164"/>
      <c r="AE764" s="148">
        <f t="shared" si="1651"/>
        <v>0</v>
      </c>
      <c r="AF764" s="149"/>
      <c r="AG764" s="150"/>
      <c r="AH764" s="159" t="e">
        <f t="shared" si="1652"/>
        <v>#DIV/0!</v>
      </c>
      <c r="AI764" s="160"/>
      <c r="AJ764" s="182">
        <v>0</v>
      </c>
      <c r="AK764" s="183" t="e">
        <f>+K764/AJ764</f>
        <v>#DIV/0!</v>
      </c>
      <c r="AM764" s="105"/>
      <c r="AN764" s="105"/>
      <c r="AO764" s="105"/>
      <c r="AP764" s="105"/>
      <c r="AQ764" s="105"/>
      <c r="AR764" s="105"/>
    </row>
    <row r="765" spans="1:44" s="49" customFormat="1" ht="49.9" hidden="1" customHeight="1">
      <c r="A765" s="152">
        <f t="shared" ca="1" si="1653"/>
        <v>0</v>
      </c>
      <c r="B765" s="153">
        <v>101230</v>
      </c>
      <c r="C765" s="154" t="str">
        <f t="shared" si="1654"/>
        <v>101230</v>
      </c>
      <c r="D765" s="154" t="s">
        <v>1416</v>
      </c>
      <c r="E765" s="155" t="s">
        <v>3677</v>
      </c>
      <c r="F765" s="154"/>
      <c r="G765" s="154" t="s">
        <v>464</v>
      </c>
      <c r="H765" s="152">
        <v>10.7</v>
      </c>
      <c r="I765" s="152">
        <v>10.73</v>
      </c>
      <c r="J765" s="156"/>
      <c r="K765" s="156">
        <f>IF(K766=0,Pav_Estrutura!K33+Pav_Estrutura!K59,0)+IF(K767=0,Pav_Estrutura!K35+Pav_Estrutura!K61,0)</f>
        <v>0</v>
      </c>
      <c r="L765" s="156">
        <f t="shared" si="1655"/>
        <v>0</v>
      </c>
      <c r="M765" s="156">
        <f t="shared" si="1656"/>
        <v>0</v>
      </c>
      <c r="N765" s="156" t="s">
        <v>83</v>
      </c>
      <c r="O765" s="157" cm="1">
        <f t="array" ref="O765">TRUNC($H765*(1+_xlfn.SWITCH($N765,"BDI 1",$O$6,"BDI 2",$O$7,"BDI 3",$O$8)),2)</f>
        <v>12.91</v>
      </c>
      <c r="P765" s="157" cm="1">
        <f t="array" ref="P765">TRUNC($I765*(1+_xlfn.SWITCH($N765,"BDI 1",$P$6,"BDI 2",$P$7,"BDI 3",$P$8)),2)</f>
        <v>13.59</v>
      </c>
      <c r="Q765" s="157">
        <v>0</v>
      </c>
      <c r="R765" s="157">
        <f t="shared" ref="R765" si="1721">$Q765-($Q765*LICITACAO_DESCONTO)</f>
        <v>0</v>
      </c>
      <c r="S765" s="156">
        <f t="shared" si="1658"/>
        <v>0</v>
      </c>
      <c r="T765" s="156">
        <f t="shared" si="1659"/>
        <v>0</v>
      </c>
      <c r="U765" s="156">
        <f t="shared" si="1660"/>
        <v>0</v>
      </c>
      <c r="V765" s="156">
        <f t="shared" si="1661"/>
        <v>0</v>
      </c>
      <c r="W765" s="156">
        <f t="shared" si="1648"/>
        <v>0</v>
      </c>
      <c r="X765" s="158">
        <f t="shared" ref="X765" si="1722">$S765/ORCAMENTO_VALOR_TOTAL_ND</f>
        <v>0</v>
      </c>
      <c r="Y765" s="158">
        <f t="shared" ref="Y765" si="1723">$T765/ORCAMENTO_VALOR_TOTAL_DE</f>
        <v>0</v>
      </c>
      <c r="Z765" s="158" cm="1">
        <f t="array" ref="Z765">_xlfn.SWITCH($N765,"BDI 1",$O$6,"BDI 2",$O$7,"BDI 3",$O$8)</f>
        <v>0.20699999999999999</v>
      </c>
      <c r="AA765" s="158" cm="1">
        <f t="array" ref="AA765">_xlfn.SWITCH($N765,"BDI 1",$P$6,"BDI 2",$P$7,"BDI 3",$P$8)</f>
        <v>0.26739999999999997</v>
      </c>
      <c r="AB765" s="158">
        <f t="shared" ca="1" si="1664"/>
        <v>0</v>
      </c>
      <c r="AC765" s="158">
        <f t="shared" ca="1" si="1665"/>
        <v>0</v>
      </c>
      <c r="AD765" s="164"/>
      <c r="AE765" s="148">
        <f t="shared" si="1651"/>
        <v>0</v>
      </c>
      <c r="AF765" s="149"/>
      <c r="AG765" s="150"/>
      <c r="AH765" s="159" t="e">
        <f t="shared" si="1652"/>
        <v>#DIV/0!</v>
      </c>
      <c r="AI765" s="160"/>
      <c r="AJ765" s="105"/>
      <c r="AK765" s="105"/>
      <c r="AM765" s="105"/>
      <c r="AN765" s="105"/>
      <c r="AO765" s="105"/>
      <c r="AP765" s="105"/>
      <c r="AQ765" s="105"/>
      <c r="AR765" s="105"/>
    </row>
    <row r="766" spans="1:44" s="49" customFormat="1" ht="40.15" hidden="1" customHeight="1">
      <c r="A766" s="152">
        <f t="shared" ca="1" si="1653"/>
        <v>0</v>
      </c>
      <c r="B766" s="153">
        <v>6079</v>
      </c>
      <c r="C766" s="154" t="str">
        <f t="shared" si="1654"/>
        <v>6079</v>
      </c>
      <c r="D766" s="154" t="s">
        <v>3579</v>
      </c>
      <c r="E766" s="155" t="s">
        <v>3679</v>
      </c>
      <c r="F766" s="154"/>
      <c r="G766" s="154" t="s">
        <v>464</v>
      </c>
      <c r="H766" s="152">
        <v>37.35</v>
      </c>
      <c r="I766" s="152">
        <v>37.35</v>
      </c>
      <c r="J766" s="156"/>
      <c r="K766" s="156">
        <f>IF(AI766="COMERCIAL",Pav_Estrutura!K33+Pav_Estrutura!K59,0)</f>
        <v>0</v>
      </c>
      <c r="L766" s="156">
        <f t="shared" si="1655"/>
        <v>0</v>
      </c>
      <c r="M766" s="156">
        <f t="shared" si="1656"/>
        <v>0</v>
      </c>
      <c r="N766" s="156" t="s">
        <v>92</v>
      </c>
      <c r="O766" s="157" cm="1">
        <f t="array" ref="O766">TRUNC($H766*(1+_xlfn.SWITCH($N766,"BDI 1",$O$6,"BDI 2",$O$7,"BDI 3",$O$8)),2)</f>
        <v>43.05</v>
      </c>
      <c r="P766" s="157" cm="1">
        <f t="array" ref="P766">TRUNC($I766*(1+_xlfn.SWITCH($N766,"BDI 1",$P$6,"BDI 2",$P$7,"BDI 3",$P$8)),2)</f>
        <v>43.05</v>
      </c>
      <c r="Q766" s="157">
        <v>0</v>
      </c>
      <c r="R766" s="157">
        <f t="shared" ref="R766" si="1724">$Q766-($Q766*LICITACAO_DESCONTO)</f>
        <v>0</v>
      </c>
      <c r="S766" s="156">
        <f t="shared" si="1658"/>
        <v>0</v>
      </c>
      <c r="T766" s="156">
        <f t="shared" si="1659"/>
        <v>0</v>
      </c>
      <c r="U766" s="156">
        <f t="shared" si="1660"/>
        <v>0</v>
      </c>
      <c r="V766" s="156">
        <f t="shared" si="1661"/>
        <v>0</v>
      </c>
      <c r="W766" s="156">
        <f t="shared" si="1648"/>
        <v>0</v>
      </c>
      <c r="X766" s="158">
        <f t="shared" ref="X766" si="1725">$S766/ORCAMENTO_VALOR_TOTAL_ND</f>
        <v>0</v>
      </c>
      <c r="Y766" s="158">
        <f t="shared" ref="Y766" si="1726">$T766/ORCAMENTO_VALOR_TOTAL_DE</f>
        <v>0</v>
      </c>
      <c r="Z766" s="158" cm="1">
        <f t="array" ref="Z766">_xlfn.SWITCH($N766,"BDI 1",$O$6,"BDI 2",$O$7,"BDI 3",$O$8)</f>
        <v>0.1527</v>
      </c>
      <c r="AA766" s="158" cm="1">
        <f t="array" ref="AA766">_xlfn.SWITCH($N766,"BDI 1",$P$6,"BDI 2",$P$7,"BDI 3",$P$8)</f>
        <v>0.1527</v>
      </c>
      <c r="AB766" s="158">
        <f t="shared" ca="1" si="1664"/>
        <v>0</v>
      </c>
      <c r="AC766" s="158">
        <f t="shared" ca="1" si="1665"/>
        <v>0</v>
      </c>
      <c r="AD766" s="164"/>
      <c r="AE766" s="148">
        <f t="shared" si="1651"/>
        <v>0</v>
      </c>
      <c r="AF766" s="149"/>
      <c r="AG766" s="150"/>
      <c r="AH766" s="159" t="e">
        <f t="shared" si="1652"/>
        <v>#DIV/0!</v>
      </c>
      <c r="AI766" s="165" t="s">
        <v>243</v>
      </c>
      <c r="AJ766" s="105"/>
      <c r="AK766" s="105"/>
      <c r="AM766" s="105"/>
      <c r="AN766" s="105"/>
      <c r="AO766" s="105"/>
      <c r="AP766" s="105"/>
      <c r="AQ766" s="105"/>
      <c r="AR766" s="105"/>
    </row>
    <row r="767" spans="1:44" s="49" customFormat="1" ht="40.15" hidden="1" customHeight="1">
      <c r="A767" s="152">
        <f t="shared" ca="1" si="1653"/>
        <v>0</v>
      </c>
      <c r="B767" s="153">
        <v>4743</v>
      </c>
      <c r="C767" s="154" t="str">
        <f t="shared" si="1654"/>
        <v>4743</v>
      </c>
      <c r="D767" s="154" t="s">
        <v>3579</v>
      </c>
      <c r="E767" s="155" t="s">
        <v>3867</v>
      </c>
      <c r="F767" s="154"/>
      <c r="G767" s="154" t="s">
        <v>464</v>
      </c>
      <c r="H767" s="152">
        <v>55.95</v>
      </c>
      <c r="I767" s="152">
        <v>55.95</v>
      </c>
      <c r="J767" s="156"/>
      <c r="K767" s="156">
        <f>IF(AI767="COMERCIAL",Pav_Estrutura!K35+Pav_Estrutura!K61,0)</f>
        <v>0</v>
      </c>
      <c r="L767" s="156">
        <f t="shared" si="1655"/>
        <v>0</v>
      </c>
      <c r="M767" s="156">
        <f t="shared" si="1656"/>
        <v>0</v>
      </c>
      <c r="N767" s="156" t="s">
        <v>92</v>
      </c>
      <c r="O767" s="157" cm="1">
        <f t="array" ref="O767">TRUNC($H767*(1+_xlfn.SWITCH($N767,"BDI 1",$O$6,"BDI 2",$O$7,"BDI 3",$O$8)),2)</f>
        <v>64.489999999999995</v>
      </c>
      <c r="P767" s="157" cm="1">
        <f t="array" ref="P767">TRUNC($I767*(1+_xlfn.SWITCH($N767,"BDI 1",$P$6,"BDI 2",$P$7,"BDI 3",$P$8)),2)</f>
        <v>64.489999999999995</v>
      </c>
      <c r="Q767" s="157">
        <v>0</v>
      </c>
      <c r="R767" s="157">
        <f t="shared" ref="R767" si="1727">$Q767-($Q767*LICITACAO_DESCONTO)</f>
        <v>0</v>
      </c>
      <c r="S767" s="156">
        <f t="shared" si="1658"/>
        <v>0</v>
      </c>
      <c r="T767" s="156">
        <f t="shared" si="1659"/>
        <v>0</v>
      </c>
      <c r="U767" s="156">
        <f t="shared" si="1660"/>
        <v>0</v>
      </c>
      <c r="V767" s="156">
        <f t="shared" si="1661"/>
        <v>0</v>
      </c>
      <c r="W767" s="156">
        <f t="shared" si="1648"/>
        <v>0</v>
      </c>
      <c r="X767" s="158">
        <f t="shared" ref="X767" si="1728">$S767/ORCAMENTO_VALOR_TOTAL_ND</f>
        <v>0</v>
      </c>
      <c r="Y767" s="158">
        <f t="shared" ref="Y767" si="1729">$T767/ORCAMENTO_VALOR_TOTAL_DE</f>
        <v>0</v>
      </c>
      <c r="Z767" s="158" cm="1">
        <f t="array" ref="Z767">_xlfn.SWITCH($N767,"BDI 1",$O$6,"BDI 2",$O$7,"BDI 3",$O$8)</f>
        <v>0.1527</v>
      </c>
      <c r="AA767" s="158" cm="1">
        <f t="array" ref="AA767">_xlfn.SWITCH($N767,"BDI 1",$P$6,"BDI 2",$P$7,"BDI 3",$P$8)</f>
        <v>0.1527</v>
      </c>
      <c r="AB767" s="158">
        <f t="shared" ca="1" si="1664"/>
        <v>0</v>
      </c>
      <c r="AC767" s="158">
        <f t="shared" ca="1" si="1665"/>
        <v>0</v>
      </c>
      <c r="AD767" s="164"/>
      <c r="AE767" s="148">
        <f t="shared" si="1651"/>
        <v>0</v>
      </c>
      <c r="AF767" s="149"/>
      <c r="AG767" s="150"/>
      <c r="AH767" s="159" t="e">
        <f t="shared" si="1652"/>
        <v>#DIV/0!</v>
      </c>
      <c r="AI767" s="165" t="s">
        <v>134</v>
      </c>
      <c r="AJ767" s="105"/>
      <c r="AK767" s="105"/>
      <c r="AM767" s="105"/>
      <c r="AN767" s="105"/>
      <c r="AO767" s="105"/>
      <c r="AP767" s="105"/>
      <c r="AQ767" s="105"/>
      <c r="AR767" s="105"/>
    </row>
    <row r="768" spans="1:44" s="49" customFormat="1" ht="40.15" hidden="1" customHeight="1">
      <c r="A768" s="152">
        <f t="shared" ca="1" si="1653"/>
        <v>0</v>
      </c>
      <c r="B768" s="153">
        <v>4721</v>
      </c>
      <c r="C768" s="154" t="str">
        <f t="shared" si="1654"/>
        <v>4721</v>
      </c>
      <c r="D768" s="154" t="s">
        <v>3579</v>
      </c>
      <c r="E768" s="155" t="s">
        <v>3866</v>
      </c>
      <c r="F768" s="154"/>
      <c r="G768" s="154" t="s">
        <v>464</v>
      </c>
      <c r="H768" s="152">
        <v>95.96</v>
      </c>
      <c r="I768" s="152">
        <v>95.96</v>
      </c>
      <c r="J768" s="156"/>
      <c r="K768" s="156">
        <f>+Pav_Estrutura!K34+Pav_Estrutura!K60</f>
        <v>0</v>
      </c>
      <c r="L768" s="156">
        <f t="shared" si="1655"/>
        <v>0</v>
      </c>
      <c r="M768" s="156">
        <f t="shared" si="1656"/>
        <v>0</v>
      </c>
      <c r="N768" s="156" t="s">
        <v>92</v>
      </c>
      <c r="O768" s="157" cm="1">
        <f t="array" ref="O768">TRUNC($H768*(1+_xlfn.SWITCH($N768,"BDI 1",$O$6,"BDI 2",$O$7,"BDI 3",$O$8)),2)</f>
        <v>110.61</v>
      </c>
      <c r="P768" s="157" cm="1">
        <f t="array" ref="P768">TRUNC($I768*(1+_xlfn.SWITCH($N768,"BDI 1",$P$6,"BDI 2",$P$7,"BDI 3",$P$8)),2)</f>
        <v>110.61</v>
      </c>
      <c r="Q768" s="157">
        <v>0</v>
      </c>
      <c r="R768" s="157">
        <f t="shared" ref="R768" si="1730">$Q768-($Q768*LICITACAO_DESCONTO)</f>
        <v>0</v>
      </c>
      <c r="S768" s="156">
        <f t="shared" si="1658"/>
        <v>0</v>
      </c>
      <c r="T768" s="156">
        <f t="shared" si="1659"/>
        <v>0</v>
      </c>
      <c r="U768" s="156">
        <f t="shared" si="1660"/>
        <v>0</v>
      </c>
      <c r="V768" s="156">
        <f t="shared" si="1661"/>
        <v>0</v>
      </c>
      <c r="W768" s="156">
        <f t="shared" si="1648"/>
        <v>0</v>
      </c>
      <c r="X768" s="158">
        <f t="shared" ref="X768" si="1731">$S768/ORCAMENTO_VALOR_TOTAL_ND</f>
        <v>0</v>
      </c>
      <c r="Y768" s="158">
        <f t="shared" ref="Y768" si="1732">$T768/ORCAMENTO_VALOR_TOTAL_DE</f>
        <v>0</v>
      </c>
      <c r="Z768" s="158" cm="1">
        <f t="array" ref="Z768">_xlfn.SWITCH($N768,"BDI 1",$O$6,"BDI 2",$O$7,"BDI 3",$O$8)</f>
        <v>0.1527</v>
      </c>
      <c r="AA768" s="158" cm="1">
        <f t="array" ref="AA768">_xlfn.SWITCH($N768,"BDI 1",$P$6,"BDI 2",$P$7,"BDI 3",$P$8)</f>
        <v>0.1527</v>
      </c>
      <c r="AB768" s="158">
        <f t="shared" ca="1" si="1664"/>
        <v>0</v>
      </c>
      <c r="AC768" s="158">
        <f t="shared" ca="1" si="1665"/>
        <v>0</v>
      </c>
      <c r="AD768" s="164"/>
      <c r="AE768" s="148">
        <f t="shared" si="1651"/>
        <v>0</v>
      </c>
      <c r="AF768" s="149"/>
      <c r="AG768" s="150"/>
      <c r="AH768" s="159" t="e">
        <f t="shared" si="1652"/>
        <v>#DIV/0!</v>
      </c>
      <c r="AI768" s="160"/>
      <c r="AJ768" s="105"/>
      <c r="AK768" s="105"/>
      <c r="AM768" s="105"/>
      <c r="AN768" s="105"/>
      <c r="AO768" s="105"/>
      <c r="AP768" s="105"/>
      <c r="AQ768" s="105"/>
      <c r="AR768" s="105"/>
    </row>
    <row r="769" spans="1:44" s="49" customFormat="1" ht="40.15" hidden="1" customHeight="1">
      <c r="A769" s="152">
        <f t="shared" ca="1" si="1653"/>
        <v>0</v>
      </c>
      <c r="B769" s="153">
        <v>4748</v>
      </c>
      <c r="C769" s="154" t="str">
        <f t="shared" si="1654"/>
        <v>4748</v>
      </c>
      <c r="D769" s="154" t="s">
        <v>3579</v>
      </c>
      <c r="E769" s="155" t="s">
        <v>3868</v>
      </c>
      <c r="F769" s="154"/>
      <c r="G769" s="154" t="s">
        <v>464</v>
      </c>
      <c r="H769" s="152">
        <v>88.63</v>
      </c>
      <c r="I769" s="152">
        <v>88.63</v>
      </c>
      <c r="J769" s="156"/>
      <c r="K769" s="156">
        <f>+Pav_Estrutura!K36+Pav_Estrutura!K62</f>
        <v>0</v>
      </c>
      <c r="L769" s="156">
        <f t="shared" si="1655"/>
        <v>0</v>
      </c>
      <c r="M769" s="156">
        <f t="shared" si="1656"/>
        <v>0</v>
      </c>
      <c r="N769" s="156" t="s">
        <v>92</v>
      </c>
      <c r="O769" s="157" cm="1">
        <f t="array" ref="O769">TRUNC($H769*(1+_xlfn.SWITCH($N769,"BDI 1",$O$6,"BDI 2",$O$7,"BDI 3",$O$8)),2)</f>
        <v>102.16</v>
      </c>
      <c r="P769" s="157" cm="1">
        <f t="array" ref="P769">TRUNC($I769*(1+_xlfn.SWITCH($N769,"BDI 1",$P$6,"BDI 2",$P$7,"BDI 3",$P$8)),2)</f>
        <v>102.16</v>
      </c>
      <c r="Q769" s="157">
        <v>0</v>
      </c>
      <c r="R769" s="157">
        <f t="shared" ref="R769" si="1733">$Q769-($Q769*LICITACAO_DESCONTO)</f>
        <v>0</v>
      </c>
      <c r="S769" s="156">
        <f t="shared" si="1658"/>
        <v>0</v>
      </c>
      <c r="T769" s="156">
        <f t="shared" si="1659"/>
        <v>0</v>
      </c>
      <c r="U769" s="156">
        <f t="shared" si="1660"/>
        <v>0</v>
      </c>
      <c r="V769" s="156">
        <f t="shared" si="1661"/>
        <v>0</v>
      </c>
      <c r="W769" s="156">
        <f t="shared" si="1648"/>
        <v>0</v>
      </c>
      <c r="X769" s="158">
        <f t="shared" ref="X769" si="1734">$S769/ORCAMENTO_VALOR_TOTAL_ND</f>
        <v>0</v>
      </c>
      <c r="Y769" s="158">
        <f t="shared" ref="Y769" si="1735">$T769/ORCAMENTO_VALOR_TOTAL_DE</f>
        <v>0</v>
      </c>
      <c r="Z769" s="158" cm="1">
        <f t="array" ref="Z769">_xlfn.SWITCH($N769,"BDI 1",$O$6,"BDI 2",$O$7,"BDI 3",$O$8)</f>
        <v>0.1527</v>
      </c>
      <c r="AA769" s="158" cm="1">
        <f t="array" ref="AA769">_xlfn.SWITCH($N769,"BDI 1",$P$6,"BDI 2",$P$7,"BDI 3",$P$8)</f>
        <v>0.1527</v>
      </c>
      <c r="AB769" s="158">
        <f t="shared" ca="1" si="1664"/>
        <v>0</v>
      </c>
      <c r="AC769" s="158">
        <f t="shared" ca="1" si="1665"/>
        <v>0</v>
      </c>
      <c r="AD769" s="164"/>
      <c r="AE769" s="148">
        <f t="shared" si="1651"/>
        <v>0</v>
      </c>
      <c r="AF769" s="149"/>
      <c r="AG769" s="150"/>
      <c r="AH769" s="159" t="e">
        <f t="shared" si="1652"/>
        <v>#DIV/0!</v>
      </c>
      <c r="AI769" s="160"/>
      <c r="AJ769" s="105"/>
      <c r="AK769" s="105"/>
      <c r="AM769" s="105"/>
      <c r="AN769" s="105"/>
      <c r="AO769" s="214"/>
      <c r="AP769" s="214"/>
      <c r="AQ769" s="214"/>
      <c r="AR769" s="214"/>
    </row>
    <row r="770" spans="1:44" s="49" customFormat="1" ht="40.15" hidden="1" customHeight="1">
      <c r="A770" s="152">
        <f t="shared" ca="1" si="1653"/>
        <v>0</v>
      </c>
      <c r="B770" s="153">
        <v>4729</v>
      </c>
      <c r="C770" s="154" t="str">
        <f t="shared" si="1654"/>
        <v>4729</v>
      </c>
      <c r="D770" s="154" t="s">
        <v>3579</v>
      </c>
      <c r="E770" s="155" t="s">
        <v>3869</v>
      </c>
      <c r="F770" s="154"/>
      <c r="G770" s="154" t="s">
        <v>464</v>
      </c>
      <c r="H770" s="152">
        <v>96.69</v>
      </c>
      <c r="I770" s="152">
        <v>96.69</v>
      </c>
      <c r="J770" s="156"/>
      <c r="K770" s="156">
        <f>Pav_Estrutura!K37+Pav_Estrutura!K63</f>
        <v>0</v>
      </c>
      <c r="L770" s="156">
        <f t="shared" si="1655"/>
        <v>0</v>
      </c>
      <c r="M770" s="156">
        <f t="shared" si="1656"/>
        <v>0</v>
      </c>
      <c r="N770" s="156" t="s">
        <v>92</v>
      </c>
      <c r="O770" s="157" cm="1">
        <f t="array" ref="O770">TRUNC($H770*(1+_xlfn.SWITCH($N770,"BDI 1",$O$6,"BDI 2",$O$7,"BDI 3",$O$8)),2)</f>
        <v>111.45</v>
      </c>
      <c r="P770" s="157" cm="1">
        <f t="array" ref="P770">TRUNC($I770*(1+_xlfn.SWITCH($N770,"BDI 1",$P$6,"BDI 2",$P$7,"BDI 3",$P$8)),2)</f>
        <v>111.45</v>
      </c>
      <c r="Q770" s="157">
        <v>0</v>
      </c>
      <c r="R770" s="157">
        <f t="shared" ref="R770" si="1736">$Q770-($Q770*LICITACAO_DESCONTO)</f>
        <v>0</v>
      </c>
      <c r="S770" s="156">
        <f t="shared" si="1658"/>
        <v>0</v>
      </c>
      <c r="T770" s="156">
        <f t="shared" si="1659"/>
        <v>0</v>
      </c>
      <c r="U770" s="156">
        <f t="shared" si="1660"/>
        <v>0</v>
      </c>
      <c r="V770" s="156">
        <f t="shared" si="1661"/>
        <v>0</v>
      </c>
      <c r="W770" s="156">
        <f t="shared" si="1648"/>
        <v>0</v>
      </c>
      <c r="X770" s="158">
        <f t="shared" ref="X770" si="1737">$S770/ORCAMENTO_VALOR_TOTAL_ND</f>
        <v>0</v>
      </c>
      <c r="Y770" s="158">
        <f t="shared" ref="Y770" si="1738">$T770/ORCAMENTO_VALOR_TOTAL_DE</f>
        <v>0</v>
      </c>
      <c r="Z770" s="158" cm="1">
        <f t="array" ref="Z770">_xlfn.SWITCH($N770,"BDI 1",$O$6,"BDI 2",$O$7,"BDI 3",$O$8)</f>
        <v>0.1527</v>
      </c>
      <c r="AA770" s="158" cm="1">
        <f t="array" ref="AA770">_xlfn.SWITCH($N770,"BDI 1",$P$6,"BDI 2",$P$7,"BDI 3",$P$8)</f>
        <v>0.1527</v>
      </c>
      <c r="AB770" s="158">
        <f t="shared" ca="1" si="1664"/>
        <v>0</v>
      </c>
      <c r="AC770" s="158">
        <f t="shared" ca="1" si="1665"/>
        <v>0</v>
      </c>
      <c r="AD770" s="164"/>
      <c r="AE770" s="148">
        <f t="shared" si="1651"/>
        <v>0</v>
      </c>
      <c r="AF770" s="149"/>
      <c r="AG770" s="150"/>
      <c r="AH770" s="159" t="e">
        <f t="shared" si="1652"/>
        <v>#DIV/0!</v>
      </c>
      <c r="AI770" s="160"/>
      <c r="AJ770" s="105"/>
      <c r="AK770" s="105"/>
      <c r="AM770" s="105"/>
      <c r="AN770" s="105"/>
      <c r="AO770" s="105"/>
      <c r="AP770" s="105"/>
      <c r="AQ770" s="105"/>
      <c r="AR770" s="105"/>
    </row>
    <row r="771" spans="1:44" s="49" customFormat="1" ht="49.9" hidden="1" customHeight="1">
      <c r="A771" s="152">
        <f t="shared" ca="1" si="1653"/>
        <v>0</v>
      </c>
      <c r="B771" s="153" t="s">
        <v>313</v>
      </c>
      <c r="C771" s="154" t="str">
        <f t="shared" si="1654"/>
        <v>100979</v>
      </c>
      <c r="D771" s="154" t="s">
        <v>1416</v>
      </c>
      <c r="E771" s="155" t="s">
        <v>1420</v>
      </c>
      <c r="F771" s="154"/>
      <c r="G771" s="154" t="s">
        <v>464</v>
      </c>
      <c r="H771" s="152">
        <v>6.4</v>
      </c>
      <c r="I771" s="152">
        <v>6.4</v>
      </c>
      <c r="J771" s="156"/>
      <c r="K771" s="156">
        <f>Pav_Estrutura!K110+Pav_Estrutura!K106</f>
        <v>0</v>
      </c>
      <c r="L771" s="156">
        <f t="shared" si="1655"/>
        <v>0</v>
      </c>
      <c r="M771" s="156">
        <f t="shared" si="1656"/>
        <v>0</v>
      </c>
      <c r="N771" s="156" t="s">
        <v>83</v>
      </c>
      <c r="O771" s="157" cm="1">
        <f t="array" ref="O771">TRUNC($H771*(1+_xlfn.SWITCH($N771,"BDI 1",$O$6,"BDI 2",$O$7,"BDI 3",$O$8)),2)</f>
        <v>7.72</v>
      </c>
      <c r="P771" s="157" cm="1">
        <f t="array" ref="P771">TRUNC($I771*(1+_xlfn.SWITCH($N771,"BDI 1",$P$6,"BDI 2",$P$7,"BDI 3",$P$8)),2)</f>
        <v>8.11</v>
      </c>
      <c r="Q771" s="157">
        <v>0</v>
      </c>
      <c r="R771" s="157">
        <f t="shared" ref="R771" si="1739">$Q771-($Q771*LICITACAO_DESCONTO)</f>
        <v>0</v>
      </c>
      <c r="S771" s="156">
        <f t="shared" si="1658"/>
        <v>0</v>
      </c>
      <c r="T771" s="156">
        <f t="shared" si="1659"/>
        <v>0</v>
      </c>
      <c r="U771" s="156">
        <f t="shared" si="1660"/>
        <v>0</v>
      </c>
      <c r="V771" s="156">
        <f t="shared" si="1661"/>
        <v>0</v>
      </c>
      <c r="W771" s="156">
        <f t="shared" si="1648"/>
        <v>0</v>
      </c>
      <c r="X771" s="158">
        <f t="shared" ref="X771" si="1740">$S771/ORCAMENTO_VALOR_TOTAL_ND</f>
        <v>0</v>
      </c>
      <c r="Y771" s="158">
        <f t="shared" ref="Y771" si="1741">$T771/ORCAMENTO_VALOR_TOTAL_DE</f>
        <v>0</v>
      </c>
      <c r="Z771" s="158" cm="1">
        <f t="array" ref="Z771">_xlfn.SWITCH($N771,"BDI 1",$O$6,"BDI 2",$O$7,"BDI 3",$O$8)</f>
        <v>0.20699999999999999</v>
      </c>
      <c r="AA771" s="158" cm="1">
        <f t="array" ref="AA771">_xlfn.SWITCH($N771,"BDI 1",$P$6,"BDI 2",$P$7,"BDI 3",$P$8)</f>
        <v>0.26739999999999997</v>
      </c>
      <c r="AB771" s="158">
        <f t="shared" ca="1" si="1664"/>
        <v>0</v>
      </c>
      <c r="AC771" s="158">
        <f t="shared" ca="1" si="1665"/>
        <v>0</v>
      </c>
      <c r="AD771" s="164"/>
      <c r="AE771" s="148">
        <f t="shared" si="1651"/>
        <v>0</v>
      </c>
      <c r="AF771" s="149"/>
      <c r="AG771" s="150"/>
      <c r="AH771" s="159" t="e">
        <f t="shared" si="1652"/>
        <v>#DIV/0!</v>
      </c>
      <c r="AI771" s="165" t="s">
        <v>101</v>
      </c>
      <c r="AJ771" s="105"/>
      <c r="AK771" s="105"/>
      <c r="AM771" s="105"/>
      <c r="AN771" s="105"/>
      <c r="AO771" s="105"/>
      <c r="AP771" s="105"/>
      <c r="AQ771" s="105"/>
      <c r="AR771" s="105"/>
    </row>
    <row r="772" spans="1:44" s="49" customFormat="1" ht="40.15" hidden="1" customHeight="1">
      <c r="A772" s="10">
        <f t="shared" ca="1" si="1653"/>
        <v>0</v>
      </c>
      <c r="B772" s="153"/>
      <c r="C772" s="154"/>
      <c r="D772" s="154"/>
      <c r="E772" s="161" t="s">
        <v>314</v>
      </c>
      <c r="F772" s="154"/>
      <c r="G772" s="154"/>
      <c r="H772" s="152"/>
      <c r="I772" s="152"/>
      <c r="J772" s="154"/>
      <c r="K772" s="154"/>
      <c r="L772" s="154"/>
      <c r="M772" s="154"/>
      <c r="N772" s="154"/>
      <c r="O772" s="154"/>
      <c r="P772" s="154"/>
      <c r="Q772" s="154"/>
      <c r="R772" s="154"/>
      <c r="S772" s="162"/>
      <c r="T772" s="162"/>
      <c r="U772" s="162"/>
      <c r="V772" s="162"/>
      <c r="W772" s="162"/>
      <c r="X772" s="163"/>
      <c r="Y772" s="163"/>
      <c r="Z772" s="163"/>
      <c r="AA772" s="163"/>
      <c r="AB772" s="163"/>
      <c r="AC772" s="163"/>
      <c r="AD772" s="164"/>
      <c r="AE772" s="148">
        <f>IF(SUM(S773:S774)&gt;0,IFERROR(TRUNC(A772,0),0),0)</f>
        <v>0</v>
      </c>
      <c r="AF772" s="149"/>
      <c r="AG772" s="150"/>
      <c r="AH772" s="159"/>
      <c r="AI772" s="160"/>
      <c r="AJ772" s="105"/>
      <c r="AK772" s="105"/>
      <c r="AM772" s="105"/>
      <c r="AN772" s="105"/>
      <c r="AO772" s="105"/>
      <c r="AP772" s="105"/>
      <c r="AQ772" s="105"/>
      <c r="AR772" s="105"/>
    </row>
    <row r="773" spans="1:44" s="49" customFormat="1" ht="40.15" hidden="1" customHeight="1">
      <c r="A773" s="152">
        <f t="shared" ca="1" si="1653"/>
        <v>0</v>
      </c>
      <c r="B773" s="153">
        <v>95876</v>
      </c>
      <c r="C773" s="154" t="str">
        <f>TEXT(B773,"0")</f>
        <v>95876</v>
      </c>
      <c r="D773" s="154" t="s">
        <v>1416</v>
      </c>
      <c r="E773" s="155" t="s">
        <v>3537</v>
      </c>
      <c r="F773" s="154">
        <f>IF(Dados_DMT!$B$14&lt;30,Dados_DMT!$B$14,30)</f>
        <v>3.5</v>
      </c>
      <c r="G773" s="154" t="s">
        <v>3538</v>
      </c>
      <c r="H773" s="152">
        <v>2.09</v>
      </c>
      <c r="I773" s="152">
        <v>2.1</v>
      </c>
      <c r="J773" s="156"/>
      <c r="K773" s="156">
        <f>ROUND(Pav_Estrutura!K97*F773,2)</f>
        <v>0</v>
      </c>
      <c r="L773" s="156">
        <f>IF($K773&gt;$J773,$K773-$J773,0)</f>
        <v>0</v>
      </c>
      <c r="M773" s="156">
        <f>IF($K773&lt;$J773,$J773-$K773,0)</f>
        <v>0</v>
      </c>
      <c r="N773" s="156" t="s">
        <v>83</v>
      </c>
      <c r="O773" s="157" cm="1">
        <f t="array" ref="O773">TRUNC($H773*(1+_xlfn.SWITCH($N773,"BDI 1",$O$6,"BDI 2",$O$7,"BDI 3",$O$8)),2)</f>
        <v>2.52</v>
      </c>
      <c r="P773" s="157" cm="1">
        <f t="array" ref="P773">TRUNC($I773*(1+_xlfn.SWITCH($N773,"BDI 1",$P$6,"BDI 2",$P$7,"BDI 3",$P$8)),2)</f>
        <v>2.66</v>
      </c>
      <c r="Q773" s="157">
        <v>0</v>
      </c>
      <c r="R773" s="157">
        <v>0</v>
      </c>
      <c r="S773" s="156">
        <f>TRUNC($K773*$O773,2)</f>
        <v>0</v>
      </c>
      <c r="T773" s="156">
        <f>TRUNC($K773*$P773,2)</f>
        <v>0</v>
      </c>
      <c r="U773" s="156">
        <f>TRUNC($J773*$R773,2)</f>
        <v>0</v>
      </c>
      <c r="V773" s="156">
        <f>TRUNC($K773*$Q773,2)</f>
        <v>0</v>
      </c>
      <c r="W773" s="156">
        <f>TRUNC(V773-U773,2)</f>
        <v>0</v>
      </c>
      <c r="X773" s="158">
        <f>$S773/ORCAMENTO_VALOR_TOTAL_ND</f>
        <v>0</v>
      </c>
      <c r="Y773" s="158">
        <f>$T773/ORCAMENTO_VALOR_TOTAL_DE</f>
        <v>0</v>
      </c>
      <c r="Z773" s="158" cm="1">
        <f t="array" ref="Z773">_xlfn.SWITCH($N773,"BDI 1",$O$6,"BDI 2",$O$7,"BDI 3",$O$8)</f>
        <v>0.20699999999999999</v>
      </c>
      <c r="AA773" s="158" cm="1">
        <f t="array" ref="AA773">_xlfn.SWITCH($N773,"BDI 1",$P$6,"BDI 2",$P$7,"BDI 3",$P$8)</f>
        <v>0.26739999999999997</v>
      </c>
      <c r="AB773" s="158">
        <f ca="1">IFERROR($S773/_xlfn.XLOOKUP($AE773,$B$16:$B$38,$S$16:$S$38),0)</f>
        <v>0</v>
      </c>
      <c r="AC773" s="158">
        <f ca="1">IFERROR($T773/_xlfn.XLOOKUP($AE773,$B$16:$B$38,$T$16:$T$38),0)</f>
        <v>0</v>
      </c>
      <c r="AD773" s="164"/>
      <c r="AE773" s="148">
        <f t="shared" ref="AE773:AE774" si="1742">IF(S773&gt;0,IFERROR(TRUNC(A773,0),0),0)</f>
        <v>0</v>
      </c>
      <c r="AF773" s="149"/>
      <c r="AG773" s="150"/>
      <c r="AH773" s="159" t="e">
        <f>S773/$S$745</f>
        <v>#DIV/0!</v>
      </c>
      <c r="AI773" s="166">
        <f>IF(K773=0,0,K773/F773)</f>
        <v>0</v>
      </c>
      <c r="AJ773" s="105"/>
      <c r="AK773" s="105"/>
      <c r="AM773" s="105"/>
      <c r="AN773" s="105"/>
      <c r="AO773" s="105"/>
      <c r="AP773" s="105"/>
      <c r="AQ773" s="105"/>
      <c r="AR773" s="105"/>
    </row>
    <row r="774" spans="1:44" s="49" customFormat="1" ht="40.15" hidden="1" customHeight="1">
      <c r="A774" s="152">
        <f t="shared" ca="1" si="1653"/>
        <v>0</v>
      </c>
      <c r="B774" s="153">
        <v>93593</v>
      </c>
      <c r="C774" s="154" t="str">
        <f>TEXT(B774,"0")</f>
        <v>93593</v>
      </c>
      <c r="D774" s="154" t="s">
        <v>1416</v>
      </c>
      <c r="E774" s="155" t="s">
        <v>3545</v>
      </c>
      <c r="F774" s="154">
        <f>+Dados_DMT!$B$14-F773</f>
        <v>0</v>
      </c>
      <c r="G774" s="154" t="s">
        <v>3538</v>
      </c>
      <c r="H774" s="152">
        <v>0.84</v>
      </c>
      <c r="I774" s="152">
        <v>0.85</v>
      </c>
      <c r="J774" s="156"/>
      <c r="K774" s="156">
        <f>ROUND(Pav_Estrutura!K97*F774,2)</f>
        <v>0</v>
      </c>
      <c r="L774" s="156">
        <f>IF($K774&gt;$J774,$K774-$J774,0)</f>
        <v>0</v>
      </c>
      <c r="M774" s="156">
        <f>IF($K774&lt;$J774,$J774-$K774,0)</f>
        <v>0</v>
      </c>
      <c r="N774" s="156" t="s">
        <v>83</v>
      </c>
      <c r="O774" s="157" cm="1">
        <f t="array" ref="O774">TRUNC($H774*(1+_xlfn.SWITCH($N774,"BDI 1",$O$6,"BDI 2",$O$7,"BDI 3",$O$8)),2)</f>
        <v>1.01</v>
      </c>
      <c r="P774" s="157" cm="1">
        <f t="array" ref="P774">TRUNC($I774*(1+_xlfn.SWITCH($N774,"BDI 1",$P$6,"BDI 2",$P$7,"BDI 3",$P$8)),2)</f>
        <v>1.07</v>
      </c>
      <c r="Q774" s="157">
        <v>0</v>
      </c>
      <c r="R774" s="157">
        <v>0</v>
      </c>
      <c r="S774" s="156">
        <f>TRUNC($K774*$O774,2)</f>
        <v>0</v>
      </c>
      <c r="T774" s="156">
        <f>TRUNC($K774*$P774,2)</f>
        <v>0</v>
      </c>
      <c r="U774" s="156">
        <f>TRUNC($J774*$R774,2)</f>
        <v>0</v>
      </c>
      <c r="V774" s="156">
        <f>TRUNC($K774*$Q774,2)</f>
        <v>0</v>
      </c>
      <c r="W774" s="156">
        <f>TRUNC(V774-U774,2)</f>
        <v>0</v>
      </c>
      <c r="X774" s="158">
        <f>$S774/ORCAMENTO_VALOR_TOTAL_ND</f>
        <v>0</v>
      </c>
      <c r="Y774" s="158">
        <f>$T774/ORCAMENTO_VALOR_TOTAL_DE</f>
        <v>0</v>
      </c>
      <c r="Z774" s="158" cm="1">
        <f t="array" ref="Z774">_xlfn.SWITCH($N774,"BDI 1",$O$6,"BDI 2",$O$7,"BDI 3",$O$8)</f>
        <v>0.20699999999999999</v>
      </c>
      <c r="AA774" s="158" cm="1">
        <f t="array" ref="AA774">_xlfn.SWITCH($N774,"BDI 1",$P$6,"BDI 2",$P$7,"BDI 3",$P$8)</f>
        <v>0.26739999999999997</v>
      </c>
      <c r="AB774" s="158">
        <f ca="1">IFERROR($S774/_xlfn.XLOOKUP($AE774,$B$16:$B$38,$S$16:$S$38),0)</f>
        <v>0</v>
      </c>
      <c r="AC774" s="158">
        <f ca="1">IFERROR($T774/_xlfn.XLOOKUP($AE774,$B$16:$B$38,$T$16:$T$38),0)</f>
        <v>0</v>
      </c>
      <c r="AD774" s="164"/>
      <c r="AE774" s="148">
        <f t="shared" si="1742"/>
        <v>0</v>
      </c>
      <c r="AF774" s="149"/>
      <c r="AG774" s="150"/>
      <c r="AH774" s="159" t="e">
        <f>S774/$S$745</f>
        <v>#DIV/0!</v>
      </c>
      <c r="AI774" s="166">
        <f>IF(K774=0,0,K774/F774)</f>
        <v>0</v>
      </c>
      <c r="AJ774" s="105"/>
      <c r="AK774" s="105"/>
      <c r="AM774" s="105"/>
      <c r="AN774" s="105"/>
      <c r="AO774" s="105"/>
      <c r="AP774" s="105"/>
      <c r="AQ774" s="105"/>
      <c r="AR774" s="105"/>
    </row>
    <row r="775" spans="1:44" s="49" customFormat="1" ht="40.15" hidden="1" customHeight="1">
      <c r="A775" s="10">
        <f t="shared" ca="1" si="1653"/>
        <v>0</v>
      </c>
      <c r="B775" s="153"/>
      <c r="C775" s="154"/>
      <c r="D775" s="154"/>
      <c r="E775" s="161" t="s">
        <v>258</v>
      </c>
      <c r="F775" s="154"/>
      <c r="G775" s="154"/>
      <c r="H775" s="152"/>
      <c r="I775" s="152"/>
      <c r="J775" s="154"/>
      <c r="K775" s="154"/>
      <c r="L775" s="154"/>
      <c r="M775" s="154"/>
      <c r="N775" s="154"/>
      <c r="O775" s="154"/>
      <c r="P775" s="154"/>
      <c r="Q775" s="154"/>
      <c r="R775" s="154"/>
      <c r="S775" s="162"/>
      <c r="T775" s="162"/>
      <c r="U775" s="162"/>
      <c r="V775" s="162"/>
      <c r="W775" s="162"/>
      <c r="X775" s="163"/>
      <c r="Y775" s="163"/>
      <c r="Z775" s="163"/>
      <c r="AA775" s="163"/>
      <c r="AB775" s="163"/>
      <c r="AC775" s="163"/>
      <c r="AD775" s="164"/>
      <c r="AE775" s="148">
        <f>IF(SUM(S776)&gt;0,IFERROR(TRUNC(A775,0),0),0)</f>
        <v>0</v>
      </c>
      <c r="AF775" s="149"/>
      <c r="AG775" s="150"/>
      <c r="AH775" s="159"/>
      <c r="AI775" s="160" t="s">
        <v>120</v>
      </c>
      <c r="AJ775" s="105"/>
      <c r="AK775" s="105"/>
      <c r="AM775" s="105"/>
      <c r="AN775" s="105"/>
      <c r="AO775" s="105"/>
      <c r="AP775" s="105"/>
      <c r="AQ775" s="105"/>
      <c r="AR775" s="105"/>
    </row>
    <row r="776" spans="1:44" s="49" customFormat="1" ht="40.15" hidden="1" customHeight="1">
      <c r="A776" s="152">
        <f t="shared" ca="1" si="1653"/>
        <v>0</v>
      </c>
      <c r="B776" s="153">
        <v>95876</v>
      </c>
      <c r="C776" s="154" t="str">
        <f>TEXT(B776,"0")</f>
        <v>95876</v>
      </c>
      <c r="D776" s="154" t="s">
        <v>1416</v>
      </c>
      <c r="E776" s="155" t="s">
        <v>3537</v>
      </c>
      <c r="F776" s="154">
        <f>+Dados_DMT!$B$15</f>
        <v>1</v>
      </c>
      <c r="G776" s="154" t="s">
        <v>3538</v>
      </c>
      <c r="H776" s="152">
        <v>2.09</v>
      </c>
      <c r="I776" s="152">
        <v>2.1</v>
      </c>
      <c r="J776" s="156"/>
      <c r="K776" s="156">
        <f>ROUND(Pav_Estrutura!K110*F776,2)</f>
        <v>0</v>
      </c>
      <c r="L776" s="156">
        <f>IF($K776&gt;$J776,$K776-$J776,0)</f>
        <v>0</v>
      </c>
      <c r="M776" s="156">
        <f>IF($K776&lt;$J776,$J776-$K776,0)</f>
        <v>0</v>
      </c>
      <c r="N776" s="156" t="s">
        <v>83</v>
      </c>
      <c r="O776" s="157" cm="1">
        <f t="array" ref="O776">TRUNC($H776*(1+_xlfn.SWITCH($N776,"BDI 1",$O$6,"BDI 2",$O$7,"BDI 3",$O$8)),2)</f>
        <v>2.52</v>
      </c>
      <c r="P776" s="157" cm="1">
        <f t="array" ref="P776">TRUNC($I776*(1+_xlfn.SWITCH($N776,"BDI 1",$P$6,"BDI 2",$P$7,"BDI 3",$P$8)),2)</f>
        <v>2.66</v>
      </c>
      <c r="Q776" s="157">
        <v>0</v>
      </c>
      <c r="R776" s="157">
        <v>0</v>
      </c>
      <c r="S776" s="156">
        <f>TRUNC($K776*$O776,2)</f>
        <v>0</v>
      </c>
      <c r="T776" s="156">
        <f>TRUNC($K776*$P776,2)</f>
        <v>0</v>
      </c>
      <c r="U776" s="156">
        <f>TRUNC($J776*$R776,2)</f>
        <v>0</v>
      </c>
      <c r="V776" s="156">
        <f>TRUNC($K776*$Q776,2)</f>
        <v>0</v>
      </c>
      <c r="W776" s="156">
        <f>TRUNC(V776-U776,2)</f>
        <v>0</v>
      </c>
      <c r="X776" s="158">
        <f>$S776/ORCAMENTO_VALOR_TOTAL_ND</f>
        <v>0</v>
      </c>
      <c r="Y776" s="158">
        <f>$T776/ORCAMENTO_VALOR_TOTAL_DE</f>
        <v>0</v>
      </c>
      <c r="Z776" s="158" cm="1">
        <f t="array" ref="Z776">_xlfn.SWITCH($N776,"BDI 1",$O$6,"BDI 2",$O$7,"BDI 3",$O$8)</f>
        <v>0.20699999999999999</v>
      </c>
      <c r="AA776" s="158" cm="1">
        <f t="array" ref="AA776">_xlfn.SWITCH($N776,"BDI 1",$P$6,"BDI 2",$P$7,"BDI 3",$P$8)</f>
        <v>0.26739999999999997</v>
      </c>
      <c r="AB776" s="158">
        <f ca="1">IFERROR($S776/_xlfn.XLOOKUP($AE776,$B$16:$B$38,$S$16:$S$38),0)</f>
        <v>0</v>
      </c>
      <c r="AC776" s="158">
        <f ca="1">IFERROR($T776/_xlfn.XLOOKUP($AE776,$B$16:$B$38,$T$16:$T$38),0)</f>
        <v>0</v>
      </c>
      <c r="AD776" s="164"/>
      <c r="AE776" s="148">
        <f t="shared" ref="AE776" si="1743">IF(S776&gt;0,IFERROR(TRUNC(A776,0),0),0)</f>
        <v>0</v>
      </c>
      <c r="AF776" s="149"/>
      <c r="AG776" s="150"/>
      <c r="AH776" s="159" t="e">
        <f>S776/$S$745</f>
        <v>#DIV/0!</v>
      </c>
      <c r="AI776" s="160"/>
      <c r="AJ776" s="105"/>
      <c r="AK776" s="105"/>
      <c r="AM776" s="105"/>
      <c r="AN776" s="105"/>
      <c r="AO776" s="105"/>
      <c r="AP776" s="105"/>
      <c r="AQ776" s="105"/>
      <c r="AR776" s="105"/>
    </row>
    <row r="777" spans="1:44" s="49" customFormat="1" ht="40.15" hidden="1" customHeight="1">
      <c r="A777" s="10">
        <f t="shared" ca="1" si="1653"/>
        <v>0</v>
      </c>
      <c r="B777" s="153"/>
      <c r="C777" s="154"/>
      <c r="D777" s="154"/>
      <c r="E777" s="161" t="s">
        <v>259</v>
      </c>
      <c r="F777" s="154"/>
      <c r="G777" s="154"/>
      <c r="H777" s="152"/>
      <c r="I777" s="152"/>
      <c r="J777" s="154"/>
      <c r="K777" s="154"/>
      <c r="L777" s="154"/>
      <c r="M777" s="154"/>
      <c r="N777" s="154"/>
      <c r="O777" s="154"/>
      <c r="P777" s="154"/>
      <c r="Q777" s="154"/>
      <c r="R777" s="154"/>
      <c r="S777" s="162"/>
      <c r="T777" s="162"/>
      <c r="U777" s="162"/>
      <c r="V777" s="162"/>
      <c r="W777" s="162"/>
      <c r="X777" s="163"/>
      <c r="Y777" s="163"/>
      <c r="Z777" s="163"/>
      <c r="AA777" s="163"/>
      <c r="AB777" s="163"/>
      <c r="AC777" s="163"/>
      <c r="AD777" s="164"/>
      <c r="AE777" s="148">
        <f>IF(SUM(S778:S779)&gt;0,IFERROR(TRUNC(A777,0),0),0)</f>
        <v>0</v>
      </c>
      <c r="AF777" s="149"/>
      <c r="AG777" s="150"/>
      <c r="AH777" s="159"/>
      <c r="AI777" s="160"/>
      <c r="AJ777" s="105"/>
      <c r="AK777" s="105"/>
      <c r="AM777" s="105"/>
      <c r="AN777" s="105"/>
      <c r="AO777" s="105"/>
      <c r="AP777" s="105"/>
      <c r="AQ777" s="105"/>
      <c r="AR777" s="105"/>
    </row>
    <row r="778" spans="1:44" s="49" customFormat="1" ht="40.15" hidden="1" customHeight="1">
      <c r="A778" s="152">
        <f t="shared" ca="1" si="1653"/>
        <v>0</v>
      </c>
      <c r="B778" s="153">
        <v>95876</v>
      </c>
      <c r="C778" s="154" t="str">
        <f>TEXT(B778,"0")</f>
        <v>95876</v>
      </c>
      <c r="D778" s="154" t="s">
        <v>1416</v>
      </c>
      <c r="E778" s="155" t="s">
        <v>3537</v>
      </c>
      <c r="F778" s="154">
        <f>IF(Dados_DMT!$B$24&lt;30,Dados_DMT!$B$24,30)</f>
        <v>0</v>
      </c>
      <c r="G778" s="154" t="s">
        <v>3538</v>
      </c>
      <c r="H778" s="152">
        <v>2.09</v>
      </c>
      <c r="I778" s="152">
        <v>2.1</v>
      </c>
      <c r="J778" s="156"/>
      <c r="K778" s="156">
        <f>ROUND(Pav_Estrutura!K103*F778,2)</f>
        <v>0</v>
      </c>
      <c r="L778" s="156">
        <f>IF($K778&gt;$J778,$K778-$J778,0)</f>
        <v>0</v>
      </c>
      <c r="M778" s="156">
        <f>IF($K778&lt;$J778,$J778-$K778,0)</f>
        <v>0</v>
      </c>
      <c r="N778" s="156" t="s">
        <v>83</v>
      </c>
      <c r="O778" s="157" cm="1">
        <f t="array" ref="O778">TRUNC($H778*(1+_xlfn.SWITCH($N778,"BDI 1",$O$6,"BDI 2",$O$7,"BDI 3",$O$8)),2)</f>
        <v>2.52</v>
      </c>
      <c r="P778" s="157" cm="1">
        <f t="array" ref="P778">TRUNC($I778*(1+_xlfn.SWITCH($N778,"BDI 1",$P$6,"BDI 2",$P$7,"BDI 3",$P$8)),2)</f>
        <v>2.66</v>
      </c>
      <c r="Q778" s="157">
        <v>0</v>
      </c>
      <c r="R778" s="157">
        <v>0</v>
      </c>
      <c r="S778" s="156">
        <f>TRUNC($K778*$O778,2)</f>
        <v>0</v>
      </c>
      <c r="T778" s="156">
        <f>TRUNC($K778*$P778,2)</f>
        <v>0</v>
      </c>
      <c r="U778" s="156">
        <f>TRUNC($J778*$R778,2)</f>
        <v>0</v>
      </c>
      <c r="V778" s="156">
        <f>TRUNC($K778*$Q778,2)</f>
        <v>0</v>
      </c>
      <c r="W778" s="156">
        <f>TRUNC(V778-U778,2)</f>
        <v>0</v>
      </c>
      <c r="X778" s="158">
        <f>$S778/ORCAMENTO_VALOR_TOTAL_ND</f>
        <v>0</v>
      </c>
      <c r="Y778" s="158">
        <f>$T778/ORCAMENTO_VALOR_TOTAL_DE</f>
        <v>0</v>
      </c>
      <c r="Z778" s="158" cm="1">
        <f t="array" ref="Z778">_xlfn.SWITCH($N778,"BDI 1",$O$6,"BDI 2",$O$7,"BDI 3",$O$8)</f>
        <v>0.20699999999999999</v>
      </c>
      <c r="AA778" s="158" cm="1">
        <f t="array" ref="AA778">_xlfn.SWITCH($N778,"BDI 1",$P$6,"BDI 2",$P$7,"BDI 3",$P$8)</f>
        <v>0.26739999999999997</v>
      </c>
      <c r="AB778" s="158">
        <f ca="1">IFERROR($S778/_xlfn.XLOOKUP($AE778,$B$16:$B$38,$S$16:$S$38),0)</f>
        <v>0</v>
      </c>
      <c r="AC778" s="158">
        <f ca="1">IFERROR($T778/_xlfn.XLOOKUP($AE778,$B$16:$B$38,$T$16:$T$38),0)</f>
        <v>0</v>
      </c>
      <c r="AD778" s="164"/>
      <c r="AE778" s="148">
        <f t="shared" ref="AE778:AE779" si="1744">IF(S778&gt;0,IFERROR(TRUNC(A778,0),0),0)</f>
        <v>0</v>
      </c>
      <c r="AF778" s="149"/>
      <c r="AG778" s="150"/>
      <c r="AH778" s="159" t="e">
        <f>S778/$S$745</f>
        <v>#DIV/0!</v>
      </c>
      <c r="AI778" s="166">
        <f>IF(K778=0,0,K778/F778)</f>
        <v>0</v>
      </c>
      <c r="AJ778" s="105"/>
      <c r="AK778" s="105"/>
      <c r="AM778" s="105"/>
      <c r="AN778" s="105"/>
      <c r="AO778" s="105"/>
      <c r="AP778" s="105"/>
      <c r="AQ778" s="105"/>
      <c r="AR778" s="105"/>
    </row>
    <row r="779" spans="1:44" s="49" customFormat="1" ht="40.15" hidden="1" customHeight="1">
      <c r="A779" s="152">
        <f t="shared" ca="1" si="1653"/>
        <v>0</v>
      </c>
      <c r="B779" s="153">
        <v>93593</v>
      </c>
      <c r="C779" s="154" t="str">
        <f>TEXT(B779,"0")</f>
        <v>93593</v>
      </c>
      <c r="D779" s="154" t="s">
        <v>1416</v>
      </c>
      <c r="E779" s="155" t="s">
        <v>3545</v>
      </c>
      <c r="F779" s="154">
        <f>+Dados_DMT!$B$24-F778</f>
        <v>0</v>
      </c>
      <c r="G779" s="154" t="s">
        <v>3538</v>
      </c>
      <c r="H779" s="152">
        <v>0.84</v>
      </c>
      <c r="I779" s="152">
        <v>0.85</v>
      </c>
      <c r="J779" s="156"/>
      <c r="K779" s="156">
        <f>ROUND(Pav_Estrutura!K103*F779,2)</f>
        <v>0</v>
      </c>
      <c r="L779" s="156">
        <f>IF($K779&gt;$J779,$K779-$J779,0)</f>
        <v>0</v>
      </c>
      <c r="M779" s="156">
        <f>IF($K779&lt;$J779,$J779-$K779,0)</f>
        <v>0</v>
      </c>
      <c r="N779" s="156" t="s">
        <v>83</v>
      </c>
      <c r="O779" s="157" cm="1">
        <f t="array" ref="O779">TRUNC($H779*(1+_xlfn.SWITCH($N779,"BDI 1",$O$6,"BDI 2",$O$7,"BDI 3",$O$8)),2)</f>
        <v>1.01</v>
      </c>
      <c r="P779" s="157" cm="1">
        <f t="array" ref="P779">TRUNC($I779*(1+_xlfn.SWITCH($N779,"BDI 1",$P$6,"BDI 2",$P$7,"BDI 3",$P$8)),2)</f>
        <v>1.07</v>
      </c>
      <c r="Q779" s="157">
        <v>0</v>
      </c>
      <c r="R779" s="157">
        <v>0</v>
      </c>
      <c r="S779" s="156">
        <f>TRUNC($K779*$O779,2)</f>
        <v>0</v>
      </c>
      <c r="T779" s="156">
        <f>TRUNC($K779*$P779,2)</f>
        <v>0</v>
      </c>
      <c r="U779" s="156">
        <f>TRUNC($J779*$R779,2)</f>
        <v>0</v>
      </c>
      <c r="V779" s="156">
        <f>TRUNC($K779*$Q779,2)</f>
        <v>0</v>
      </c>
      <c r="W779" s="156">
        <f>TRUNC(V779-U779,2)</f>
        <v>0</v>
      </c>
      <c r="X779" s="158">
        <f>$S779/ORCAMENTO_VALOR_TOTAL_ND</f>
        <v>0</v>
      </c>
      <c r="Y779" s="158">
        <f>$T779/ORCAMENTO_VALOR_TOTAL_DE</f>
        <v>0</v>
      </c>
      <c r="Z779" s="158" cm="1">
        <f t="array" ref="Z779">_xlfn.SWITCH($N779,"BDI 1",$O$6,"BDI 2",$O$7,"BDI 3",$O$8)</f>
        <v>0.20699999999999999</v>
      </c>
      <c r="AA779" s="158" cm="1">
        <f t="array" ref="AA779">_xlfn.SWITCH($N779,"BDI 1",$P$6,"BDI 2",$P$7,"BDI 3",$P$8)</f>
        <v>0.26739999999999997</v>
      </c>
      <c r="AB779" s="158">
        <f ca="1">IFERROR($S779/_xlfn.XLOOKUP($AE779,$B$16:$B$38,$S$16:$S$38),0)</f>
        <v>0</v>
      </c>
      <c r="AC779" s="158">
        <f ca="1">IFERROR($T779/_xlfn.XLOOKUP($AE779,$B$16:$B$38,$T$16:$T$38),0)</f>
        <v>0</v>
      </c>
      <c r="AD779" s="164"/>
      <c r="AE779" s="148">
        <f t="shared" si="1744"/>
        <v>0</v>
      </c>
      <c r="AF779" s="149"/>
      <c r="AG779" s="150"/>
      <c r="AH779" s="159" t="e">
        <f>S779/$S$745</f>
        <v>#DIV/0!</v>
      </c>
      <c r="AI779" s="166">
        <f>IF(K779=0,0,K779/F779)</f>
        <v>0</v>
      </c>
      <c r="AJ779" s="105"/>
      <c r="AK779" s="105"/>
      <c r="AM779" s="105"/>
      <c r="AN779" s="105"/>
      <c r="AO779" s="105"/>
      <c r="AP779" s="105"/>
      <c r="AQ779" s="105"/>
      <c r="AR779" s="105"/>
    </row>
    <row r="780" spans="1:44" s="49" customFormat="1" ht="40.15" hidden="1" customHeight="1">
      <c r="A780" s="10">
        <f t="shared" ca="1" si="1653"/>
        <v>0</v>
      </c>
      <c r="B780" s="153"/>
      <c r="C780" s="154"/>
      <c r="D780" s="154"/>
      <c r="E780" s="161" t="s">
        <v>260</v>
      </c>
      <c r="F780" s="154"/>
      <c r="G780" s="154"/>
      <c r="H780" s="152"/>
      <c r="I780" s="152"/>
      <c r="J780" s="154"/>
      <c r="K780" s="154"/>
      <c r="L780" s="154"/>
      <c r="M780" s="154"/>
      <c r="N780" s="154"/>
      <c r="O780" s="154"/>
      <c r="P780" s="154"/>
      <c r="Q780" s="154"/>
      <c r="R780" s="154"/>
      <c r="S780" s="162"/>
      <c r="T780" s="162"/>
      <c r="U780" s="162"/>
      <c r="V780" s="162"/>
      <c r="W780" s="162"/>
      <c r="X780" s="163"/>
      <c r="Y780" s="163"/>
      <c r="Z780" s="163"/>
      <c r="AA780" s="163"/>
      <c r="AB780" s="163"/>
      <c r="AC780" s="163"/>
      <c r="AD780" s="164"/>
      <c r="AE780" s="148">
        <f>IF(SUM(S781:S782)&gt;0,IFERROR(TRUNC(A780,0),0),0)</f>
        <v>0</v>
      </c>
      <c r="AF780" s="149"/>
      <c r="AG780" s="150"/>
      <c r="AH780" s="159"/>
      <c r="AI780" s="160"/>
      <c r="AJ780" s="105"/>
      <c r="AK780" s="105"/>
      <c r="AM780" s="105"/>
      <c r="AN780" s="105"/>
      <c r="AO780" s="105"/>
      <c r="AP780" s="105"/>
      <c r="AQ780" s="105"/>
      <c r="AR780" s="105"/>
    </row>
    <row r="781" spans="1:44" s="49" customFormat="1" ht="40.15" hidden="1" customHeight="1">
      <c r="A781" s="152">
        <f t="shared" ca="1" si="1653"/>
        <v>0</v>
      </c>
      <c r="B781" s="153">
        <v>95876</v>
      </c>
      <c r="C781" s="154" t="str">
        <f>TEXT(B781,"0")</f>
        <v>95876</v>
      </c>
      <c r="D781" s="154" t="s">
        <v>1416</v>
      </c>
      <c r="E781" s="155" t="s">
        <v>3537</v>
      </c>
      <c r="F781" s="154">
        <f>IF(Dados_DMT!$B$34&lt;30,Dados_DMT!$B$34,30)</f>
        <v>30</v>
      </c>
      <c r="G781" s="154" t="s">
        <v>3538</v>
      </c>
      <c r="H781" s="152">
        <v>2.09</v>
      </c>
      <c r="I781" s="152">
        <v>2.1</v>
      </c>
      <c r="J781" s="156"/>
      <c r="K781" s="156">
        <f>ROUND(Pav_Estrutura!K104*F781,2)</f>
        <v>0</v>
      </c>
      <c r="L781" s="156">
        <f>IF($K781&gt;$J781,$K781-$J781,0)</f>
        <v>0</v>
      </c>
      <c r="M781" s="156">
        <f>IF($K781&lt;$J781,$J781-$K781,0)</f>
        <v>0</v>
      </c>
      <c r="N781" s="156" t="s">
        <v>83</v>
      </c>
      <c r="O781" s="157" cm="1">
        <f t="array" ref="O781">TRUNC($H781*(1+_xlfn.SWITCH($N781,"BDI 1",$O$6,"BDI 2",$O$7,"BDI 3",$O$8)),2)</f>
        <v>2.52</v>
      </c>
      <c r="P781" s="157" cm="1">
        <f t="array" ref="P781">TRUNC($I781*(1+_xlfn.SWITCH($N781,"BDI 1",$P$6,"BDI 2",$P$7,"BDI 3",$P$8)),2)</f>
        <v>2.66</v>
      </c>
      <c r="Q781" s="157">
        <v>0</v>
      </c>
      <c r="R781" s="157">
        <v>0</v>
      </c>
      <c r="S781" s="156">
        <f>TRUNC($K781*$O781,2)</f>
        <v>0</v>
      </c>
      <c r="T781" s="156">
        <f>TRUNC($K781*$P781,2)</f>
        <v>0</v>
      </c>
      <c r="U781" s="156">
        <f>TRUNC($J781*$R781,2)</f>
        <v>0</v>
      </c>
      <c r="V781" s="156">
        <f>TRUNC($K781*$Q781,2)</f>
        <v>0</v>
      </c>
      <c r="W781" s="156">
        <f>TRUNC(V781-U781,2)</f>
        <v>0</v>
      </c>
      <c r="X781" s="158">
        <f>$S781/ORCAMENTO_VALOR_TOTAL_ND</f>
        <v>0</v>
      </c>
      <c r="Y781" s="158">
        <f>$T781/ORCAMENTO_VALOR_TOTAL_DE</f>
        <v>0</v>
      </c>
      <c r="Z781" s="158" cm="1">
        <f t="array" ref="Z781">_xlfn.SWITCH($N781,"BDI 1",$O$6,"BDI 2",$O$7,"BDI 3",$O$8)</f>
        <v>0.20699999999999999</v>
      </c>
      <c r="AA781" s="158" cm="1">
        <f t="array" ref="AA781">_xlfn.SWITCH($N781,"BDI 1",$P$6,"BDI 2",$P$7,"BDI 3",$P$8)</f>
        <v>0.26739999999999997</v>
      </c>
      <c r="AB781" s="158">
        <f ca="1">IFERROR($S781/_xlfn.XLOOKUP($AE781,$B$16:$B$38,$S$16:$S$38),0)</f>
        <v>0</v>
      </c>
      <c r="AC781" s="158">
        <f ca="1">IFERROR($T781/_xlfn.XLOOKUP($AE781,$B$16:$B$38,$T$16:$T$38),0)</f>
        <v>0</v>
      </c>
      <c r="AD781" s="164"/>
      <c r="AE781" s="148">
        <f t="shared" ref="AE781:AE782" si="1745">IF(S781&gt;0,IFERROR(TRUNC(A781,0),0),0)</f>
        <v>0</v>
      </c>
      <c r="AF781" s="149"/>
      <c r="AG781" s="150"/>
      <c r="AH781" s="159" t="e">
        <f>S781/$S$745</f>
        <v>#DIV/0!</v>
      </c>
      <c r="AI781" s="166">
        <f>IF(K781=0,0,K781/F781)</f>
        <v>0</v>
      </c>
      <c r="AJ781" s="105"/>
      <c r="AK781" s="105"/>
      <c r="AM781" s="105"/>
      <c r="AN781" s="105"/>
      <c r="AO781" s="105"/>
      <c r="AP781" s="105"/>
      <c r="AQ781" s="105"/>
      <c r="AR781" s="105"/>
    </row>
    <row r="782" spans="1:44" s="49" customFormat="1" ht="40.15" hidden="1" customHeight="1">
      <c r="A782" s="152">
        <f t="shared" ca="1" si="1653"/>
        <v>0</v>
      </c>
      <c r="B782" s="153">
        <v>93593</v>
      </c>
      <c r="C782" s="154" t="str">
        <f>TEXT(B782,"0")</f>
        <v>93593</v>
      </c>
      <c r="D782" s="154" t="s">
        <v>1416</v>
      </c>
      <c r="E782" s="155" t="s">
        <v>3545</v>
      </c>
      <c r="F782" s="154">
        <f>+Dados_DMT!$B$34-F781</f>
        <v>80</v>
      </c>
      <c r="G782" s="154" t="s">
        <v>3538</v>
      </c>
      <c r="H782" s="152">
        <v>0.84</v>
      </c>
      <c r="I782" s="152">
        <v>0.85</v>
      </c>
      <c r="J782" s="156"/>
      <c r="K782" s="156">
        <f>ROUND(Pav_Estrutura!K104*F782,2)</f>
        <v>0</v>
      </c>
      <c r="L782" s="156">
        <f>IF($K782&gt;$J782,$K782-$J782,0)</f>
        <v>0</v>
      </c>
      <c r="M782" s="156">
        <f>IF($K782&lt;$J782,$J782-$K782,0)</f>
        <v>0</v>
      </c>
      <c r="N782" s="156" t="s">
        <v>83</v>
      </c>
      <c r="O782" s="157" cm="1">
        <f t="array" ref="O782">TRUNC($H782*(1+_xlfn.SWITCH($N782,"BDI 1",$O$6,"BDI 2",$O$7,"BDI 3",$O$8)),2)</f>
        <v>1.01</v>
      </c>
      <c r="P782" s="157" cm="1">
        <f t="array" ref="P782">TRUNC($I782*(1+_xlfn.SWITCH($N782,"BDI 1",$P$6,"BDI 2",$P$7,"BDI 3",$P$8)),2)</f>
        <v>1.07</v>
      </c>
      <c r="Q782" s="157">
        <v>0</v>
      </c>
      <c r="R782" s="157">
        <v>0</v>
      </c>
      <c r="S782" s="156">
        <f>TRUNC($K782*$O782,2)</f>
        <v>0</v>
      </c>
      <c r="T782" s="156">
        <f>TRUNC($K782*$P782,2)</f>
        <v>0</v>
      </c>
      <c r="U782" s="156">
        <f>TRUNC($J782*$R782,2)</f>
        <v>0</v>
      </c>
      <c r="V782" s="156">
        <f>TRUNC($K782*$Q782,2)</f>
        <v>0</v>
      </c>
      <c r="W782" s="156">
        <f>TRUNC(V782-U782,2)</f>
        <v>0</v>
      </c>
      <c r="X782" s="158">
        <f>$S782/ORCAMENTO_VALOR_TOTAL_ND</f>
        <v>0</v>
      </c>
      <c r="Y782" s="158">
        <f>$T782/ORCAMENTO_VALOR_TOTAL_DE</f>
        <v>0</v>
      </c>
      <c r="Z782" s="158" cm="1">
        <f t="array" ref="Z782">_xlfn.SWITCH($N782,"BDI 1",$O$6,"BDI 2",$O$7,"BDI 3",$O$8)</f>
        <v>0.20699999999999999</v>
      </c>
      <c r="AA782" s="158" cm="1">
        <f t="array" ref="AA782">_xlfn.SWITCH($N782,"BDI 1",$P$6,"BDI 2",$P$7,"BDI 3",$P$8)</f>
        <v>0.26739999999999997</v>
      </c>
      <c r="AB782" s="158">
        <f ca="1">IFERROR($S782/_xlfn.XLOOKUP($AE782,$B$16:$B$38,$S$16:$S$38),0)</f>
        <v>0</v>
      </c>
      <c r="AC782" s="158">
        <f ca="1">IFERROR($T782/_xlfn.XLOOKUP($AE782,$B$16:$B$38,$T$16:$T$38),0)</f>
        <v>0</v>
      </c>
      <c r="AD782" s="164"/>
      <c r="AE782" s="148">
        <f t="shared" si="1745"/>
        <v>0</v>
      </c>
      <c r="AF782" s="149"/>
      <c r="AG782" s="150"/>
      <c r="AH782" s="159" t="e">
        <f>S782/$S$745</f>
        <v>#DIV/0!</v>
      </c>
      <c r="AI782" s="166">
        <f>IF(K782=0,0,K782/F782)</f>
        <v>0</v>
      </c>
      <c r="AJ782" s="105"/>
      <c r="AK782" s="105"/>
      <c r="AM782" s="105"/>
      <c r="AN782" s="105"/>
      <c r="AO782" s="105"/>
      <c r="AP782" s="105"/>
      <c r="AQ782" s="105"/>
      <c r="AR782" s="105"/>
    </row>
    <row r="783" spans="1:44" s="49" customFormat="1" ht="40.15" hidden="1" customHeight="1">
      <c r="A783" s="10">
        <f t="shared" ca="1" si="1653"/>
        <v>0</v>
      </c>
      <c r="B783" s="153"/>
      <c r="C783" s="154"/>
      <c r="D783" s="154"/>
      <c r="E783" s="161" t="s">
        <v>261</v>
      </c>
      <c r="F783" s="154"/>
      <c r="G783" s="154"/>
      <c r="H783" s="152"/>
      <c r="I783" s="152"/>
      <c r="J783" s="154"/>
      <c r="K783" s="154"/>
      <c r="L783" s="154"/>
      <c r="M783" s="154"/>
      <c r="N783" s="154"/>
      <c r="O783" s="154"/>
      <c r="P783" s="154"/>
      <c r="Q783" s="154"/>
      <c r="R783" s="154"/>
      <c r="S783" s="162"/>
      <c r="T783" s="162"/>
      <c r="U783" s="162"/>
      <c r="V783" s="162"/>
      <c r="W783" s="162"/>
      <c r="X783" s="163"/>
      <c r="Y783" s="163"/>
      <c r="Z783" s="163"/>
      <c r="AA783" s="163"/>
      <c r="AB783" s="163"/>
      <c r="AC783" s="163"/>
      <c r="AD783" s="164"/>
      <c r="AE783" s="148">
        <f>IF(SUM(S784:S785)&gt;0,IFERROR(TRUNC(A783,0),0),0)</f>
        <v>0</v>
      </c>
      <c r="AF783" s="149"/>
      <c r="AG783" s="150"/>
      <c r="AH783" s="159"/>
      <c r="AI783" s="160"/>
      <c r="AJ783" s="105"/>
      <c r="AK783" s="105"/>
      <c r="AM783" s="105"/>
      <c r="AN783" s="105"/>
      <c r="AO783" s="214"/>
      <c r="AP783" s="214"/>
      <c r="AQ783" s="214"/>
      <c r="AR783" s="214"/>
    </row>
    <row r="784" spans="1:44" s="49" customFormat="1" ht="40.15" hidden="1" customHeight="1">
      <c r="A784" s="152">
        <f t="shared" ca="1" si="1653"/>
        <v>0</v>
      </c>
      <c r="B784" s="153">
        <v>95876</v>
      </c>
      <c r="C784" s="154" t="str">
        <f>TEXT(B784,"0")</f>
        <v>95876</v>
      </c>
      <c r="D784" s="154" t="s">
        <v>1416</v>
      </c>
      <c r="E784" s="155" t="s">
        <v>3537</v>
      </c>
      <c r="F784" s="154">
        <f>IF(Dados_DMT!$B$34&lt;30,Dados_DMT!$B$34,30)</f>
        <v>30</v>
      </c>
      <c r="G784" s="154" t="s">
        <v>3538</v>
      </c>
      <c r="H784" s="152">
        <v>2.09</v>
      </c>
      <c r="I784" s="152">
        <v>2.1</v>
      </c>
      <c r="J784" s="156"/>
      <c r="K784" s="156">
        <f>ROUND(Pav_Estrutura!K105*F784,2)</f>
        <v>0</v>
      </c>
      <c r="L784" s="156">
        <f>IF($K784&gt;$J784,$K784-$J784,0)</f>
        <v>0</v>
      </c>
      <c r="M784" s="156">
        <f>IF($K784&lt;$J784,$J784-$K784,0)</f>
        <v>0</v>
      </c>
      <c r="N784" s="156" t="s">
        <v>83</v>
      </c>
      <c r="O784" s="157" cm="1">
        <f t="array" ref="O784">TRUNC($H784*(1+_xlfn.SWITCH($N784,"BDI 1",$O$6,"BDI 2",$O$7,"BDI 3",$O$8)),2)</f>
        <v>2.52</v>
      </c>
      <c r="P784" s="157" cm="1">
        <f t="array" ref="P784">TRUNC($I784*(1+_xlfn.SWITCH($N784,"BDI 1",$P$6,"BDI 2",$P$7,"BDI 3",$P$8)),2)</f>
        <v>2.66</v>
      </c>
      <c r="Q784" s="157">
        <v>0</v>
      </c>
      <c r="R784" s="157">
        <v>0</v>
      </c>
      <c r="S784" s="156">
        <f>TRUNC($K784*$O784,2)</f>
        <v>0</v>
      </c>
      <c r="T784" s="156">
        <f>TRUNC($K784*$P784,2)</f>
        <v>0</v>
      </c>
      <c r="U784" s="156">
        <f>TRUNC($J784*$R784,2)</f>
        <v>0</v>
      </c>
      <c r="V784" s="156">
        <f>TRUNC($K784*$Q784,2)</f>
        <v>0</v>
      </c>
      <c r="W784" s="156">
        <f>TRUNC(V784-U784,2)</f>
        <v>0</v>
      </c>
      <c r="X784" s="158">
        <f>$S784/ORCAMENTO_VALOR_TOTAL_ND</f>
        <v>0</v>
      </c>
      <c r="Y784" s="158">
        <f>$T784/ORCAMENTO_VALOR_TOTAL_DE</f>
        <v>0</v>
      </c>
      <c r="Z784" s="158" cm="1">
        <f t="array" ref="Z784">_xlfn.SWITCH($N784,"BDI 1",$O$6,"BDI 2",$O$7,"BDI 3",$O$8)</f>
        <v>0.20699999999999999</v>
      </c>
      <c r="AA784" s="158" cm="1">
        <f t="array" ref="AA784">_xlfn.SWITCH($N784,"BDI 1",$P$6,"BDI 2",$P$7,"BDI 3",$P$8)</f>
        <v>0.26739999999999997</v>
      </c>
      <c r="AB784" s="158">
        <f ca="1">IFERROR($S784/_xlfn.XLOOKUP($AE784,$B$16:$B$38,$S$16:$S$38),0)</f>
        <v>0</v>
      </c>
      <c r="AC784" s="158">
        <f ca="1">IFERROR($T784/_xlfn.XLOOKUP($AE784,$B$16:$B$38,$T$16:$T$38),0)</f>
        <v>0</v>
      </c>
      <c r="AD784" s="164"/>
      <c r="AE784" s="148">
        <f t="shared" ref="AE784:AE785" si="1746">IF(S784&gt;0,IFERROR(TRUNC(A784,0),0),0)</f>
        <v>0</v>
      </c>
      <c r="AF784" s="149"/>
      <c r="AG784" s="150"/>
      <c r="AH784" s="159" t="e">
        <f>S784/$S$745</f>
        <v>#DIV/0!</v>
      </c>
      <c r="AI784" s="166">
        <f>IF(K784=0,0,K784/F784)</f>
        <v>0</v>
      </c>
      <c r="AJ784" s="105"/>
      <c r="AK784" s="105"/>
      <c r="AM784" s="105"/>
      <c r="AN784" s="105"/>
      <c r="AO784" s="214"/>
      <c r="AP784" s="214"/>
      <c r="AQ784" s="214"/>
      <c r="AR784" s="214"/>
    </row>
    <row r="785" spans="1:44" s="49" customFormat="1" ht="40.15" hidden="1" customHeight="1">
      <c r="A785" s="152">
        <f t="shared" ca="1" si="1653"/>
        <v>0</v>
      </c>
      <c r="B785" s="153">
        <v>93593</v>
      </c>
      <c r="C785" s="154" t="str">
        <f>TEXT(B785,"0")</f>
        <v>93593</v>
      </c>
      <c r="D785" s="154" t="s">
        <v>1416</v>
      </c>
      <c r="E785" s="155" t="s">
        <v>3545</v>
      </c>
      <c r="F785" s="154">
        <f>+Dados_DMT!$B$34-F784</f>
        <v>80</v>
      </c>
      <c r="G785" s="154" t="s">
        <v>3538</v>
      </c>
      <c r="H785" s="152">
        <v>0.84</v>
      </c>
      <c r="I785" s="152">
        <v>0.85</v>
      </c>
      <c r="J785" s="156"/>
      <c r="K785" s="156">
        <f>ROUND(Pav_Estrutura!K105*F785,2)</f>
        <v>0</v>
      </c>
      <c r="L785" s="156">
        <f>IF($K785&gt;$J785,$K785-$J785,0)</f>
        <v>0</v>
      </c>
      <c r="M785" s="156">
        <f>IF($K785&lt;$J785,$J785-$K785,0)</f>
        <v>0</v>
      </c>
      <c r="N785" s="156" t="s">
        <v>83</v>
      </c>
      <c r="O785" s="157" cm="1">
        <f t="array" ref="O785">TRUNC($H785*(1+_xlfn.SWITCH($N785,"BDI 1",$O$6,"BDI 2",$O$7,"BDI 3",$O$8)),2)</f>
        <v>1.01</v>
      </c>
      <c r="P785" s="157" cm="1">
        <f t="array" ref="P785">TRUNC($I785*(1+_xlfn.SWITCH($N785,"BDI 1",$P$6,"BDI 2",$P$7,"BDI 3",$P$8)),2)</f>
        <v>1.07</v>
      </c>
      <c r="Q785" s="157">
        <v>0</v>
      </c>
      <c r="R785" s="157">
        <v>0</v>
      </c>
      <c r="S785" s="156">
        <f>TRUNC($K785*$O785,2)</f>
        <v>0</v>
      </c>
      <c r="T785" s="156">
        <f>TRUNC($K785*$P785,2)</f>
        <v>0</v>
      </c>
      <c r="U785" s="156">
        <f>TRUNC($J785*$R785,2)</f>
        <v>0</v>
      </c>
      <c r="V785" s="156">
        <f>TRUNC($K785*$Q785,2)</f>
        <v>0</v>
      </c>
      <c r="W785" s="156">
        <f>TRUNC(V785-U785,2)</f>
        <v>0</v>
      </c>
      <c r="X785" s="158">
        <f>$S785/ORCAMENTO_VALOR_TOTAL_ND</f>
        <v>0</v>
      </c>
      <c r="Y785" s="158">
        <f>$T785/ORCAMENTO_VALOR_TOTAL_DE</f>
        <v>0</v>
      </c>
      <c r="Z785" s="158" cm="1">
        <f t="array" ref="Z785">_xlfn.SWITCH($N785,"BDI 1",$O$6,"BDI 2",$O$7,"BDI 3",$O$8)</f>
        <v>0.20699999999999999</v>
      </c>
      <c r="AA785" s="158" cm="1">
        <f t="array" ref="AA785">_xlfn.SWITCH($N785,"BDI 1",$P$6,"BDI 2",$P$7,"BDI 3",$P$8)</f>
        <v>0.26739999999999997</v>
      </c>
      <c r="AB785" s="158">
        <f ca="1">IFERROR($S785/_xlfn.XLOOKUP($AE785,$B$16:$B$38,$S$16:$S$38),0)</f>
        <v>0</v>
      </c>
      <c r="AC785" s="158">
        <f ca="1">IFERROR($T785/_xlfn.XLOOKUP($AE785,$B$16:$B$38,$T$16:$T$38),0)</f>
        <v>0</v>
      </c>
      <c r="AD785" s="164"/>
      <c r="AE785" s="148">
        <f t="shared" si="1746"/>
        <v>0</v>
      </c>
      <c r="AF785" s="149"/>
      <c r="AG785" s="150"/>
      <c r="AH785" s="159" t="e">
        <f>S785/$S$745</f>
        <v>#DIV/0!</v>
      </c>
      <c r="AI785" s="166">
        <f>IF(K785=0,0,K785/F785)</f>
        <v>0</v>
      </c>
      <c r="AJ785" s="105"/>
      <c r="AK785" s="105"/>
      <c r="AM785" s="105"/>
      <c r="AN785" s="105"/>
      <c r="AO785" s="214"/>
      <c r="AP785" s="214"/>
      <c r="AQ785" s="214"/>
      <c r="AR785" s="214"/>
    </row>
    <row r="786" spans="1:44" s="49" customFormat="1" ht="40.15" hidden="1" customHeight="1">
      <c r="A786" s="10">
        <f t="shared" ca="1" si="1653"/>
        <v>0</v>
      </c>
      <c r="B786" s="153"/>
      <c r="C786" s="154"/>
      <c r="D786" s="154"/>
      <c r="E786" s="161" t="s">
        <v>262</v>
      </c>
      <c r="F786" s="154"/>
      <c r="G786" s="154"/>
      <c r="H786" s="152"/>
      <c r="I786" s="152"/>
      <c r="J786" s="154"/>
      <c r="K786" s="154"/>
      <c r="L786" s="154"/>
      <c r="M786" s="154"/>
      <c r="N786" s="154"/>
      <c r="O786" s="154"/>
      <c r="P786" s="154"/>
      <c r="Q786" s="154"/>
      <c r="R786" s="154"/>
      <c r="S786" s="162"/>
      <c r="T786" s="162"/>
      <c r="U786" s="162"/>
      <c r="V786" s="162"/>
      <c r="W786" s="162"/>
      <c r="X786" s="163"/>
      <c r="Y786" s="163"/>
      <c r="Z786" s="163"/>
      <c r="AA786" s="163"/>
      <c r="AB786" s="163"/>
      <c r="AC786" s="163"/>
      <c r="AD786" s="164"/>
      <c r="AE786" s="148">
        <f>IF(SUM(S787:S788)&gt;0,IFERROR(TRUNC(A786,0),0),0)</f>
        <v>0</v>
      </c>
      <c r="AF786" s="149"/>
      <c r="AG786" s="150"/>
      <c r="AH786" s="159"/>
      <c r="AI786" s="160"/>
      <c r="AJ786" s="105"/>
      <c r="AK786" s="105"/>
      <c r="AM786" s="105"/>
      <c r="AN786" s="105"/>
      <c r="AO786" s="105"/>
      <c r="AP786" s="105"/>
      <c r="AQ786" s="105"/>
      <c r="AR786" s="105"/>
    </row>
    <row r="787" spans="1:44" s="49" customFormat="1" ht="40.15" hidden="1" customHeight="1">
      <c r="A787" s="152">
        <f t="shared" ca="1" si="1653"/>
        <v>0</v>
      </c>
      <c r="B787" s="153">
        <v>95876</v>
      </c>
      <c r="C787" s="154" t="str">
        <f>TEXT(B787,"0")</f>
        <v>95876</v>
      </c>
      <c r="D787" s="154" t="s">
        <v>1416</v>
      </c>
      <c r="E787" s="155" t="s">
        <v>3537</v>
      </c>
      <c r="F787" s="154">
        <f>IF(Dados_DMT!$B$34&lt;30,Dados_DMT!$B$34,30)</f>
        <v>30</v>
      </c>
      <c r="G787" s="154" t="s">
        <v>3538</v>
      </c>
      <c r="H787" s="152">
        <v>2.09</v>
      </c>
      <c r="I787" s="152">
        <v>2.1</v>
      </c>
      <c r="J787" s="156"/>
      <c r="K787" s="156">
        <f>ROUND(Pav_Estrutura!K106*F787,2)</f>
        <v>0</v>
      </c>
      <c r="L787" s="156">
        <f>IF($K787&gt;$J787,$K787-$J787,0)</f>
        <v>0</v>
      </c>
      <c r="M787" s="156">
        <f>IF($K787&lt;$J787,$J787-$K787,0)</f>
        <v>0</v>
      </c>
      <c r="N787" s="156" t="s">
        <v>83</v>
      </c>
      <c r="O787" s="157" cm="1">
        <f t="array" ref="O787">TRUNC($H787*(1+_xlfn.SWITCH($N787,"BDI 1",$O$6,"BDI 2",$O$7,"BDI 3",$O$8)),2)</f>
        <v>2.52</v>
      </c>
      <c r="P787" s="157" cm="1">
        <f t="array" ref="P787">TRUNC($I787*(1+_xlfn.SWITCH($N787,"BDI 1",$P$6,"BDI 2",$P$7,"BDI 3",$P$8)),2)</f>
        <v>2.66</v>
      </c>
      <c r="Q787" s="157">
        <v>0</v>
      </c>
      <c r="R787" s="157">
        <v>0</v>
      </c>
      <c r="S787" s="156">
        <f>TRUNC($K787*$O787,2)</f>
        <v>0</v>
      </c>
      <c r="T787" s="156">
        <f>TRUNC($K787*$P787,2)</f>
        <v>0</v>
      </c>
      <c r="U787" s="156">
        <f>TRUNC($J787*$R787,2)</f>
        <v>0</v>
      </c>
      <c r="V787" s="156">
        <f>TRUNC($K787*$Q787,2)</f>
        <v>0</v>
      </c>
      <c r="W787" s="156">
        <f>TRUNC(V787-U787,2)</f>
        <v>0</v>
      </c>
      <c r="X787" s="158">
        <f>$S787/ORCAMENTO_VALOR_TOTAL_ND</f>
        <v>0</v>
      </c>
      <c r="Y787" s="158">
        <f>$T787/ORCAMENTO_VALOR_TOTAL_DE</f>
        <v>0</v>
      </c>
      <c r="Z787" s="158" cm="1">
        <f t="array" ref="Z787">_xlfn.SWITCH($N787,"BDI 1",$O$6,"BDI 2",$O$7,"BDI 3",$O$8)</f>
        <v>0.20699999999999999</v>
      </c>
      <c r="AA787" s="158" cm="1">
        <f t="array" ref="AA787">_xlfn.SWITCH($N787,"BDI 1",$P$6,"BDI 2",$P$7,"BDI 3",$P$8)</f>
        <v>0.26739999999999997</v>
      </c>
      <c r="AB787" s="158">
        <f ca="1">IFERROR($S787/_xlfn.XLOOKUP($AE787,$B$16:$B$38,$S$16:$S$38),0)</f>
        <v>0</v>
      </c>
      <c r="AC787" s="158">
        <f ca="1">IFERROR($T787/_xlfn.XLOOKUP($AE787,$B$16:$B$38,$T$16:$T$38),0)</f>
        <v>0</v>
      </c>
      <c r="AD787" s="164"/>
      <c r="AE787" s="148">
        <f t="shared" ref="AE787:AE788" si="1747">IF(S787&gt;0,IFERROR(TRUNC(A787,0),0),0)</f>
        <v>0</v>
      </c>
      <c r="AF787" s="149"/>
      <c r="AG787" s="150"/>
      <c r="AH787" s="159" t="e">
        <f>S787/$S$745</f>
        <v>#DIV/0!</v>
      </c>
      <c r="AI787" s="166">
        <f>IF(K787=0,0,K787/F787)</f>
        <v>0</v>
      </c>
      <c r="AJ787" s="105"/>
      <c r="AK787" s="105"/>
      <c r="AM787" s="105"/>
      <c r="AN787" s="105"/>
      <c r="AO787" s="105"/>
      <c r="AP787" s="105"/>
      <c r="AQ787" s="105"/>
      <c r="AR787" s="105"/>
    </row>
    <row r="788" spans="1:44" s="49" customFormat="1" ht="40.15" hidden="1" customHeight="1">
      <c r="A788" s="152">
        <f t="shared" ca="1" si="1653"/>
        <v>0</v>
      </c>
      <c r="B788" s="153">
        <v>93593</v>
      </c>
      <c r="C788" s="154" t="str">
        <f>TEXT(B788,"0")</f>
        <v>93593</v>
      </c>
      <c r="D788" s="154" t="s">
        <v>1416</v>
      </c>
      <c r="E788" s="155" t="s">
        <v>3545</v>
      </c>
      <c r="F788" s="154">
        <f>+Dados_DMT!$B$34-F787</f>
        <v>80</v>
      </c>
      <c r="G788" s="154" t="s">
        <v>3538</v>
      </c>
      <c r="H788" s="152">
        <v>0.84</v>
      </c>
      <c r="I788" s="152">
        <v>0.85</v>
      </c>
      <c r="J788" s="156"/>
      <c r="K788" s="156">
        <f>ROUND(Pav_Estrutura!K106*F788,2)</f>
        <v>0</v>
      </c>
      <c r="L788" s="156">
        <f>IF($K788&gt;$J788,$K788-$J788,0)</f>
        <v>0</v>
      </c>
      <c r="M788" s="156">
        <f>IF($K788&lt;$J788,$J788-$K788,0)</f>
        <v>0</v>
      </c>
      <c r="N788" s="156" t="s">
        <v>83</v>
      </c>
      <c r="O788" s="157" cm="1">
        <f t="array" ref="O788">TRUNC($H788*(1+_xlfn.SWITCH($N788,"BDI 1",$O$6,"BDI 2",$O$7,"BDI 3",$O$8)),2)</f>
        <v>1.01</v>
      </c>
      <c r="P788" s="157" cm="1">
        <f t="array" ref="P788">TRUNC($I788*(1+_xlfn.SWITCH($N788,"BDI 1",$P$6,"BDI 2",$P$7,"BDI 3",$P$8)),2)</f>
        <v>1.07</v>
      </c>
      <c r="Q788" s="157">
        <v>0</v>
      </c>
      <c r="R788" s="157">
        <v>0</v>
      </c>
      <c r="S788" s="156">
        <f>TRUNC($K788*$O788,2)</f>
        <v>0</v>
      </c>
      <c r="T788" s="156">
        <f>TRUNC($K788*$P788,2)</f>
        <v>0</v>
      </c>
      <c r="U788" s="156">
        <f>TRUNC($J788*$R788,2)</f>
        <v>0</v>
      </c>
      <c r="V788" s="156">
        <f>TRUNC($K788*$Q788,2)</f>
        <v>0</v>
      </c>
      <c r="W788" s="156">
        <f>TRUNC(V788-U788,2)</f>
        <v>0</v>
      </c>
      <c r="X788" s="158">
        <f>$S788/ORCAMENTO_VALOR_TOTAL_ND</f>
        <v>0</v>
      </c>
      <c r="Y788" s="158">
        <f>$T788/ORCAMENTO_VALOR_TOTAL_DE</f>
        <v>0</v>
      </c>
      <c r="Z788" s="158" cm="1">
        <f t="array" ref="Z788">_xlfn.SWITCH($N788,"BDI 1",$O$6,"BDI 2",$O$7,"BDI 3",$O$8)</f>
        <v>0.20699999999999999</v>
      </c>
      <c r="AA788" s="158" cm="1">
        <f t="array" ref="AA788">_xlfn.SWITCH($N788,"BDI 1",$P$6,"BDI 2",$P$7,"BDI 3",$P$8)</f>
        <v>0.26739999999999997</v>
      </c>
      <c r="AB788" s="158">
        <f ca="1">IFERROR($S788/_xlfn.XLOOKUP($AE788,$B$16:$B$38,$S$16:$S$38),0)</f>
        <v>0</v>
      </c>
      <c r="AC788" s="158">
        <f ca="1">IFERROR($T788/_xlfn.XLOOKUP($AE788,$B$16:$B$38,$T$16:$T$38),0)</f>
        <v>0</v>
      </c>
      <c r="AD788" s="164"/>
      <c r="AE788" s="148">
        <f t="shared" si="1747"/>
        <v>0</v>
      </c>
      <c r="AF788" s="149"/>
      <c r="AG788" s="150"/>
      <c r="AH788" s="159" t="e">
        <f>S788/$S$745</f>
        <v>#DIV/0!</v>
      </c>
      <c r="AI788" s="166">
        <f>IF(K788=0,0,K788/F788)</f>
        <v>0</v>
      </c>
      <c r="AJ788" s="105"/>
      <c r="AK788" s="105"/>
      <c r="AM788" s="105"/>
      <c r="AN788" s="105"/>
      <c r="AO788" s="105"/>
      <c r="AP788" s="105"/>
      <c r="AQ788" s="105"/>
      <c r="AR788" s="105"/>
    </row>
    <row r="789" spans="1:44" s="49" customFormat="1" ht="40.15" hidden="1" customHeight="1">
      <c r="A789" s="10">
        <f t="shared" ca="1" si="1653"/>
        <v>0</v>
      </c>
      <c r="B789" s="153"/>
      <c r="C789" s="154"/>
      <c r="D789" s="154"/>
      <c r="E789" s="161" t="s">
        <v>263</v>
      </c>
      <c r="F789" s="154"/>
      <c r="G789" s="154"/>
      <c r="H789" s="152"/>
      <c r="I789" s="152"/>
      <c r="J789" s="154"/>
      <c r="K789" s="154"/>
      <c r="L789" s="154"/>
      <c r="M789" s="154"/>
      <c r="N789" s="154"/>
      <c r="O789" s="154"/>
      <c r="P789" s="154"/>
      <c r="Q789" s="154"/>
      <c r="R789" s="154"/>
      <c r="S789" s="162"/>
      <c r="T789" s="162"/>
      <c r="U789" s="162"/>
      <c r="V789" s="162"/>
      <c r="W789" s="162"/>
      <c r="X789" s="163"/>
      <c r="Y789" s="163"/>
      <c r="Z789" s="163"/>
      <c r="AA789" s="163"/>
      <c r="AB789" s="163"/>
      <c r="AC789" s="163"/>
      <c r="AD789" s="164"/>
      <c r="AE789" s="148">
        <f>IF(SUM(S790:S791)&gt;0,IFERROR(TRUNC(A789,0),0),0)</f>
        <v>0</v>
      </c>
      <c r="AF789" s="149"/>
      <c r="AG789" s="150"/>
      <c r="AH789" s="159"/>
      <c r="AI789" s="160"/>
      <c r="AJ789" s="105"/>
      <c r="AK789" s="105"/>
      <c r="AM789" s="105"/>
      <c r="AN789" s="105"/>
      <c r="AO789" s="105"/>
      <c r="AP789" s="105"/>
      <c r="AQ789" s="105"/>
      <c r="AR789" s="105"/>
    </row>
    <row r="790" spans="1:44" s="49" customFormat="1" ht="40.15" hidden="1" customHeight="1">
      <c r="A790" s="152">
        <f t="shared" ca="1" si="1653"/>
        <v>0</v>
      </c>
      <c r="B790" s="153">
        <v>95876</v>
      </c>
      <c r="C790" s="154" t="str">
        <f>TEXT(B790,"0")</f>
        <v>95876</v>
      </c>
      <c r="D790" s="154" t="s">
        <v>1416</v>
      </c>
      <c r="E790" s="155" t="s">
        <v>3537</v>
      </c>
      <c r="F790" s="154">
        <f>IF(Dados_DMT!$B$34&lt;30,Dados_DMT!$B$34,30)</f>
        <v>30</v>
      </c>
      <c r="G790" s="154" t="s">
        <v>3538</v>
      </c>
      <c r="H790" s="152">
        <v>2.09</v>
      </c>
      <c r="I790" s="152">
        <v>2.1</v>
      </c>
      <c r="J790" s="156"/>
      <c r="K790" s="156">
        <f>ROUND(Pav_Estrutura!K107*F790,2)</f>
        <v>0</v>
      </c>
      <c r="L790" s="156">
        <f>IF($K790&gt;$J790,$K790-$J790,0)</f>
        <v>0</v>
      </c>
      <c r="M790" s="156">
        <f>IF($K790&lt;$J790,$J790-$K790,0)</f>
        <v>0</v>
      </c>
      <c r="N790" s="156" t="s">
        <v>83</v>
      </c>
      <c r="O790" s="157" cm="1">
        <f t="array" ref="O790">TRUNC($H790*(1+_xlfn.SWITCH($N790,"BDI 1",$O$6,"BDI 2",$O$7,"BDI 3",$O$8)),2)</f>
        <v>2.52</v>
      </c>
      <c r="P790" s="157" cm="1">
        <f t="array" ref="P790">TRUNC($I790*(1+_xlfn.SWITCH($N790,"BDI 1",$P$6,"BDI 2",$P$7,"BDI 3",$P$8)),2)</f>
        <v>2.66</v>
      </c>
      <c r="Q790" s="157">
        <v>0</v>
      </c>
      <c r="R790" s="157">
        <v>0</v>
      </c>
      <c r="S790" s="156">
        <f>TRUNC($K790*$O790,2)</f>
        <v>0</v>
      </c>
      <c r="T790" s="156">
        <f>TRUNC($K790*$P790,2)</f>
        <v>0</v>
      </c>
      <c r="U790" s="156">
        <f>TRUNC($J790*$R790,2)</f>
        <v>0</v>
      </c>
      <c r="V790" s="156">
        <f>TRUNC($K790*$Q790,2)</f>
        <v>0</v>
      </c>
      <c r="W790" s="156">
        <f>TRUNC(V790-U790,2)</f>
        <v>0</v>
      </c>
      <c r="X790" s="158">
        <f>$S790/ORCAMENTO_VALOR_TOTAL_ND</f>
        <v>0</v>
      </c>
      <c r="Y790" s="158">
        <f>$T790/ORCAMENTO_VALOR_TOTAL_DE</f>
        <v>0</v>
      </c>
      <c r="Z790" s="158" cm="1">
        <f t="array" ref="Z790">_xlfn.SWITCH($N790,"BDI 1",$O$6,"BDI 2",$O$7,"BDI 3",$O$8)</f>
        <v>0.20699999999999999</v>
      </c>
      <c r="AA790" s="158" cm="1">
        <f t="array" ref="AA790">_xlfn.SWITCH($N790,"BDI 1",$P$6,"BDI 2",$P$7,"BDI 3",$P$8)</f>
        <v>0.26739999999999997</v>
      </c>
      <c r="AB790" s="158">
        <f ca="1">IFERROR($S790/_xlfn.XLOOKUP($AE790,$B$16:$B$38,$S$16:$S$38),0)</f>
        <v>0</v>
      </c>
      <c r="AC790" s="158">
        <f ca="1">IFERROR($T790/_xlfn.XLOOKUP($AE790,$B$16:$B$38,$T$16:$T$38),0)</f>
        <v>0</v>
      </c>
      <c r="AD790" s="164"/>
      <c r="AE790" s="148">
        <f t="shared" ref="AE790:AE791" si="1748">IF(S790&gt;0,IFERROR(TRUNC(A790,0),0),0)</f>
        <v>0</v>
      </c>
      <c r="AF790" s="149"/>
      <c r="AG790" s="150"/>
      <c r="AH790" s="159" t="e">
        <f>S790/$S$745</f>
        <v>#DIV/0!</v>
      </c>
      <c r="AI790" s="166">
        <f>IF(K790=0,0,K790/F790)</f>
        <v>0</v>
      </c>
      <c r="AJ790" s="105"/>
      <c r="AK790" s="105"/>
      <c r="AM790" s="105"/>
      <c r="AN790" s="105"/>
      <c r="AO790" s="105"/>
      <c r="AP790" s="105"/>
      <c r="AQ790" s="105"/>
      <c r="AR790" s="105"/>
    </row>
    <row r="791" spans="1:44" s="49" customFormat="1" ht="40.15" hidden="1" customHeight="1">
      <c r="A791" s="152">
        <f t="shared" ca="1" si="1653"/>
        <v>0</v>
      </c>
      <c r="B791" s="153">
        <v>93593</v>
      </c>
      <c r="C791" s="154" t="str">
        <f>TEXT(B791,"0")</f>
        <v>93593</v>
      </c>
      <c r="D791" s="154" t="s">
        <v>1416</v>
      </c>
      <c r="E791" s="155" t="s">
        <v>3545</v>
      </c>
      <c r="F791" s="154">
        <f>+Dados_DMT!$B$34-F790</f>
        <v>80</v>
      </c>
      <c r="G791" s="154" t="s">
        <v>3538</v>
      </c>
      <c r="H791" s="152">
        <v>0.84</v>
      </c>
      <c r="I791" s="152">
        <v>0.85</v>
      </c>
      <c r="J791" s="156"/>
      <c r="K791" s="156">
        <f>ROUND(Pav_Estrutura!K107*F791,2)</f>
        <v>0</v>
      </c>
      <c r="L791" s="156">
        <f>IF($K791&gt;$J791,$K791-$J791,0)</f>
        <v>0</v>
      </c>
      <c r="M791" s="156">
        <f>IF($K791&lt;$J791,$J791-$K791,0)</f>
        <v>0</v>
      </c>
      <c r="N791" s="156" t="s">
        <v>83</v>
      </c>
      <c r="O791" s="157" cm="1">
        <f t="array" ref="O791">TRUNC($H791*(1+_xlfn.SWITCH($N791,"BDI 1",$O$6,"BDI 2",$O$7,"BDI 3",$O$8)),2)</f>
        <v>1.01</v>
      </c>
      <c r="P791" s="157" cm="1">
        <f t="array" ref="P791">TRUNC($I791*(1+_xlfn.SWITCH($N791,"BDI 1",$P$6,"BDI 2",$P$7,"BDI 3",$P$8)),2)</f>
        <v>1.07</v>
      </c>
      <c r="Q791" s="157">
        <v>0</v>
      </c>
      <c r="R791" s="157">
        <v>0</v>
      </c>
      <c r="S791" s="156">
        <f>TRUNC($K791*$O791,2)</f>
        <v>0</v>
      </c>
      <c r="T791" s="156">
        <f>TRUNC($K791*$P791,2)</f>
        <v>0</v>
      </c>
      <c r="U791" s="156">
        <f>TRUNC($J791*$R791,2)</f>
        <v>0</v>
      </c>
      <c r="V791" s="156">
        <f>TRUNC($K791*$Q791,2)</f>
        <v>0</v>
      </c>
      <c r="W791" s="156">
        <f>TRUNC(V791-U791,2)</f>
        <v>0</v>
      </c>
      <c r="X791" s="158">
        <f>$S791/ORCAMENTO_VALOR_TOTAL_ND</f>
        <v>0</v>
      </c>
      <c r="Y791" s="158">
        <f>$T791/ORCAMENTO_VALOR_TOTAL_DE</f>
        <v>0</v>
      </c>
      <c r="Z791" s="158" cm="1">
        <f t="array" ref="Z791">_xlfn.SWITCH($N791,"BDI 1",$O$6,"BDI 2",$O$7,"BDI 3",$O$8)</f>
        <v>0.20699999999999999</v>
      </c>
      <c r="AA791" s="158" cm="1">
        <f t="array" ref="AA791">_xlfn.SWITCH($N791,"BDI 1",$P$6,"BDI 2",$P$7,"BDI 3",$P$8)</f>
        <v>0.26739999999999997</v>
      </c>
      <c r="AB791" s="158">
        <f ca="1">IFERROR($S791/_xlfn.XLOOKUP($AE791,$B$16:$B$38,$S$16:$S$38),0)</f>
        <v>0</v>
      </c>
      <c r="AC791" s="158">
        <f ca="1">IFERROR($T791/_xlfn.XLOOKUP($AE791,$B$16:$B$38,$T$16:$T$38),0)</f>
        <v>0</v>
      </c>
      <c r="AD791" s="164"/>
      <c r="AE791" s="148">
        <f t="shared" si="1748"/>
        <v>0</v>
      </c>
      <c r="AF791" s="149"/>
      <c r="AG791" s="150"/>
      <c r="AH791" s="159" t="e">
        <f>S791/$S$745</f>
        <v>#DIV/0!</v>
      </c>
      <c r="AI791" s="166">
        <f>IF(K791=0,0,K791/F791)</f>
        <v>0</v>
      </c>
      <c r="AJ791" s="105"/>
      <c r="AK791" s="105"/>
      <c r="AM791" s="105"/>
      <c r="AN791" s="105"/>
      <c r="AO791" s="105"/>
      <c r="AP791" s="105"/>
      <c r="AQ791" s="105"/>
      <c r="AR791" s="105"/>
    </row>
    <row r="792" spans="1:44" s="49" customFormat="1" ht="40.15" hidden="1" customHeight="1">
      <c r="A792" s="10">
        <f t="shared" ca="1" si="1653"/>
        <v>0</v>
      </c>
      <c r="B792" s="153"/>
      <c r="C792" s="154"/>
      <c r="D792" s="154"/>
      <c r="E792" s="161" t="s">
        <v>264</v>
      </c>
      <c r="F792" s="154"/>
      <c r="G792" s="154"/>
      <c r="H792" s="152"/>
      <c r="I792" s="152"/>
      <c r="J792" s="154"/>
      <c r="K792" s="154"/>
      <c r="L792" s="154"/>
      <c r="M792" s="154"/>
      <c r="N792" s="154"/>
      <c r="O792" s="154"/>
      <c r="P792" s="154"/>
      <c r="Q792" s="154"/>
      <c r="R792" s="154"/>
      <c r="S792" s="162"/>
      <c r="T792" s="162"/>
      <c r="U792" s="162"/>
      <c r="V792" s="162"/>
      <c r="W792" s="162"/>
      <c r="X792" s="163"/>
      <c r="Y792" s="163"/>
      <c r="Z792" s="163"/>
      <c r="AA792" s="163"/>
      <c r="AB792" s="163"/>
      <c r="AC792" s="163"/>
      <c r="AD792" s="164"/>
      <c r="AE792" s="148">
        <f>IF(SUM(S793:S794)&gt;0,IFERROR(TRUNC(A792,0),0),0)</f>
        <v>0</v>
      </c>
      <c r="AF792" s="149"/>
      <c r="AG792" s="150"/>
      <c r="AH792" s="159"/>
      <c r="AI792" s="160"/>
      <c r="AJ792" s="105"/>
      <c r="AK792" s="105"/>
      <c r="AM792" s="105"/>
      <c r="AN792" s="105"/>
      <c r="AO792" s="105"/>
      <c r="AP792" s="105"/>
      <c r="AQ792" s="105"/>
      <c r="AR792" s="105"/>
    </row>
    <row r="793" spans="1:44" s="49" customFormat="1" ht="40.15" hidden="1" customHeight="1">
      <c r="A793" s="152">
        <f t="shared" ca="1" si="1653"/>
        <v>0</v>
      </c>
      <c r="B793" s="153">
        <v>95876</v>
      </c>
      <c r="C793" s="154" t="str">
        <f>TEXT(B793,"0")</f>
        <v>95876</v>
      </c>
      <c r="D793" s="154" t="s">
        <v>1416</v>
      </c>
      <c r="E793" s="155" t="s">
        <v>3537</v>
      </c>
      <c r="F793" s="154">
        <f>IF(Dados_DMT!$B$33&lt;30,Dados_DMT!$B$33,30)</f>
        <v>0</v>
      </c>
      <c r="G793" s="154" t="s">
        <v>3538</v>
      </c>
      <c r="H793" s="152">
        <v>2.09</v>
      </c>
      <c r="I793" s="152">
        <v>2.1</v>
      </c>
      <c r="J793" s="156"/>
      <c r="K793" s="156">
        <f>ROUND(Pav_Estrutura!K109*F793,2)</f>
        <v>0</v>
      </c>
      <c r="L793" s="156">
        <f>IF($K793&gt;$J793,$K793-$J793,0)</f>
        <v>0</v>
      </c>
      <c r="M793" s="156">
        <f>IF($K793&lt;$J793,$J793-$K793,0)</f>
        <v>0</v>
      </c>
      <c r="N793" s="156" t="s">
        <v>83</v>
      </c>
      <c r="O793" s="157" cm="1">
        <f t="array" ref="O793">TRUNC($H793*(1+_xlfn.SWITCH($N793,"BDI 1",$O$6,"BDI 2",$O$7,"BDI 3",$O$8)),2)</f>
        <v>2.52</v>
      </c>
      <c r="P793" s="157" cm="1">
        <f t="array" ref="P793">TRUNC($I793*(1+_xlfn.SWITCH($N793,"BDI 1",$P$6,"BDI 2",$P$7,"BDI 3",$P$8)),2)</f>
        <v>2.66</v>
      </c>
      <c r="Q793" s="157">
        <v>0</v>
      </c>
      <c r="R793" s="157">
        <v>0</v>
      </c>
      <c r="S793" s="156">
        <f>TRUNC($K793*$O793,2)</f>
        <v>0</v>
      </c>
      <c r="T793" s="156">
        <f>TRUNC($K793*$P793,2)</f>
        <v>0</v>
      </c>
      <c r="U793" s="156">
        <f>TRUNC($J793*$R793,2)</f>
        <v>0</v>
      </c>
      <c r="V793" s="156">
        <f>TRUNC($K793*$Q793,2)</f>
        <v>0</v>
      </c>
      <c r="W793" s="156">
        <f>TRUNC(V793-U793,2)</f>
        <v>0</v>
      </c>
      <c r="X793" s="158">
        <f>$S793/ORCAMENTO_VALOR_TOTAL_ND</f>
        <v>0</v>
      </c>
      <c r="Y793" s="158">
        <f>$T793/ORCAMENTO_VALOR_TOTAL_DE</f>
        <v>0</v>
      </c>
      <c r="Z793" s="158" cm="1">
        <f t="array" ref="Z793">_xlfn.SWITCH($N793,"BDI 1",$O$6,"BDI 2",$O$7,"BDI 3",$O$8)</f>
        <v>0.20699999999999999</v>
      </c>
      <c r="AA793" s="158" cm="1">
        <f t="array" ref="AA793">_xlfn.SWITCH($N793,"BDI 1",$P$6,"BDI 2",$P$7,"BDI 3",$P$8)</f>
        <v>0.26739999999999997</v>
      </c>
      <c r="AB793" s="158">
        <f ca="1">IFERROR($S793/_xlfn.XLOOKUP($AE793,$B$16:$B$38,$S$16:$S$38),0)</f>
        <v>0</v>
      </c>
      <c r="AC793" s="158">
        <f ca="1">IFERROR($T793/_xlfn.XLOOKUP($AE793,$B$16:$B$38,$T$16:$T$38),0)</f>
        <v>0</v>
      </c>
      <c r="AD793" s="164"/>
      <c r="AE793" s="148">
        <f t="shared" ref="AE793:AE794" si="1749">IF(S793&gt;0,IFERROR(TRUNC(A793,0),0),0)</f>
        <v>0</v>
      </c>
      <c r="AF793" s="149"/>
      <c r="AG793" s="150"/>
      <c r="AH793" s="159" t="e">
        <f>S793/$S$745</f>
        <v>#DIV/0!</v>
      </c>
      <c r="AI793" s="166">
        <f>IF(K793=0,0,K793/F793)</f>
        <v>0</v>
      </c>
      <c r="AJ793" s="105"/>
      <c r="AK793" s="105"/>
      <c r="AM793" s="105"/>
      <c r="AN793" s="105"/>
      <c r="AO793" s="105"/>
      <c r="AP793" s="105"/>
      <c r="AQ793" s="105"/>
      <c r="AR793" s="105"/>
    </row>
    <row r="794" spans="1:44" s="49" customFormat="1" ht="40.15" hidden="1" customHeight="1">
      <c r="A794" s="152">
        <f t="shared" ca="1" si="1653"/>
        <v>0</v>
      </c>
      <c r="B794" s="153">
        <v>93593</v>
      </c>
      <c r="C794" s="154" t="str">
        <f>TEXT(B794,"0")</f>
        <v>93593</v>
      </c>
      <c r="D794" s="154" t="s">
        <v>1416</v>
      </c>
      <c r="E794" s="155" t="s">
        <v>3545</v>
      </c>
      <c r="F794" s="154">
        <f>+Dados_DMT!$B$33-F793</f>
        <v>0</v>
      </c>
      <c r="G794" s="154" t="s">
        <v>3538</v>
      </c>
      <c r="H794" s="152">
        <v>0.84</v>
      </c>
      <c r="I794" s="152">
        <v>0.85</v>
      </c>
      <c r="J794" s="156"/>
      <c r="K794" s="156">
        <f>ROUND(Pav_Estrutura!K109*F794,2)</f>
        <v>0</v>
      </c>
      <c r="L794" s="156">
        <f>IF($K794&gt;$J794,$K794-$J794,0)</f>
        <v>0</v>
      </c>
      <c r="M794" s="156">
        <f>IF($K794&lt;$J794,$J794-$K794,0)</f>
        <v>0</v>
      </c>
      <c r="N794" s="156" t="s">
        <v>83</v>
      </c>
      <c r="O794" s="157" cm="1">
        <f t="array" ref="O794">TRUNC($H794*(1+_xlfn.SWITCH($N794,"BDI 1",$O$6,"BDI 2",$O$7,"BDI 3",$O$8)),2)</f>
        <v>1.01</v>
      </c>
      <c r="P794" s="157" cm="1">
        <f t="array" ref="P794">TRUNC($I794*(1+_xlfn.SWITCH($N794,"BDI 1",$P$6,"BDI 2",$P$7,"BDI 3",$P$8)),2)</f>
        <v>1.07</v>
      </c>
      <c r="Q794" s="157">
        <v>0</v>
      </c>
      <c r="R794" s="157">
        <v>0</v>
      </c>
      <c r="S794" s="156">
        <f>TRUNC($K794*$O794,2)</f>
        <v>0</v>
      </c>
      <c r="T794" s="156">
        <f>TRUNC($K794*$P794,2)</f>
        <v>0</v>
      </c>
      <c r="U794" s="156">
        <f>TRUNC($J794*$R794,2)</f>
        <v>0</v>
      </c>
      <c r="V794" s="156">
        <f>TRUNC($K794*$Q794,2)</f>
        <v>0</v>
      </c>
      <c r="W794" s="156">
        <f>TRUNC(V794-U794,2)</f>
        <v>0</v>
      </c>
      <c r="X794" s="158">
        <f>$S794/ORCAMENTO_VALOR_TOTAL_ND</f>
        <v>0</v>
      </c>
      <c r="Y794" s="158">
        <f>$T794/ORCAMENTO_VALOR_TOTAL_DE</f>
        <v>0</v>
      </c>
      <c r="Z794" s="158" cm="1">
        <f t="array" ref="Z794">_xlfn.SWITCH($N794,"BDI 1",$O$6,"BDI 2",$O$7,"BDI 3",$O$8)</f>
        <v>0.20699999999999999</v>
      </c>
      <c r="AA794" s="158" cm="1">
        <f t="array" ref="AA794">_xlfn.SWITCH($N794,"BDI 1",$P$6,"BDI 2",$P$7,"BDI 3",$P$8)</f>
        <v>0.26739999999999997</v>
      </c>
      <c r="AB794" s="158">
        <f ca="1">IFERROR($S794/_xlfn.XLOOKUP($AE794,$B$16:$B$38,$S$16:$S$38),0)</f>
        <v>0</v>
      </c>
      <c r="AC794" s="158">
        <f ca="1">IFERROR($T794/_xlfn.XLOOKUP($AE794,$B$16:$B$38,$T$16:$T$38),0)</f>
        <v>0</v>
      </c>
      <c r="AD794" s="164"/>
      <c r="AE794" s="148">
        <f t="shared" si="1749"/>
        <v>0</v>
      </c>
      <c r="AF794" s="149"/>
      <c r="AG794" s="150"/>
      <c r="AH794" s="159" t="e">
        <f>S794/$S$745</f>
        <v>#DIV/0!</v>
      </c>
      <c r="AI794" s="166">
        <f>IF(K794=0,0,K794/F794)</f>
        <v>0</v>
      </c>
      <c r="AJ794" s="105"/>
      <c r="AK794" s="105"/>
      <c r="AM794" s="105"/>
      <c r="AN794" s="105"/>
      <c r="AO794" s="105"/>
      <c r="AP794" s="105"/>
      <c r="AQ794" s="105"/>
      <c r="AR794" s="105"/>
    </row>
    <row r="795" spans="1:44" s="49" customFormat="1" ht="40.15" hidden="1" customHeight="1">
      <c r="A795" s="10">
        <f t="shared" ca="1" si="1653"/>
        <v>0</v>
      </c>
      <c r="B795" s="153"/>
      <c r="C795" s="154"/>
      <c r="D795" s="154"/>
      <c r="E795" s="161" t="s">
        <v>265</v>
      </c>
      <c r="F795" s="154"/>
      <c r="G795" s="154"/>
      <c r="H795" s="152"/>
      <c r="I795" s="152"/>
      <c r="J795" s="154"/>
      <c r="K795" s="154"/>
      <c r="L795" s="154"/>
      <c r="M795" s="154"/>
      <c r="N795" s="154"/>
      <c r="O795" s="154"/>
      <c r="P795" s="154"/>
      <c r="Q795" s="154"/>
      <c r="R795" s="154"/>
      <c r="S795" s="162"/>
      <c r="T795" s="162"/>
      <c r="U795" s="162"/>
      <c r="V795" s="162"/>
      <c r="W795" s="162"/>
      <c r="X795" s="163"/>
      <c r="Y795" s="163"/>
      <c r="Z795" s="163"/>
      <c r="AA795" s="163"/>
      <c r="AB795" s="163"/>
      <c r="AC795" s="163"/>
      <c r="AD795" s="164"/>
      <c r="AE795" s="148">
        <f>IF(SUM(S796:S797)&gt;0,IFERROR(TRUNC(A795,0),0),0)</f>
        <v>0</v>
      </c>
      <c r="AF795" s="149"/>
      <c r="AG795" s="150"/>
      <c r="AH795" s="159"/>
      <c r="AI795" s="160"/>
      <c r="AJ795" s="105"/>
      <c r="AK795" s="105"/>
      <c r="AM795" s="105"/>
      <c r="AN795" s="105"/>
      <c r="AO795" s="105"/>
      <c r="AP795" s="105"/>
      <c r="AQ795" s="105"/>
      <c r="AR795" s="105"/>
    </row>
    <row r="796" spans="1:44" s="49" customFormat="1" ht="40.15" hidden="1" customHeight="1">
      <c r="A796" s="152">
        <f t="shared" ca="1" si="1653"/>
        <v>0</v>
      </c>
      <c r="B796" s="153">
        <v>95876</v>
      </c>
      <c r="C796" s="154" t="str">
        <f>TEXT(B796,"0")</f>
        <v>95876</v>
      </c>
      <c r="D796" s="154" t="s">
        <v>1416</v>
      </c>
      <c r="E796" s="155" t="s">
        <v>3537</v>
      </c>
      <c r="F796" s="154">
        <f>IF(Dados_DMT!$B$32&lt;30,Dados_DMT!$B$32,30)</f>
        <v>0</v>
      </c>
      <c r="G796" s="154" t="s">
        <v>3538</v>
      </c>
      <c r="H796" s="152">
        <v>2.09</v>
      </c>
      <c r="I796" s="152">
        <v>2.1</v>
      </c>
      <c r="J796" s="156"/>
      <c r="K796" s="156">
        <f>ROUND(Pav_Estrutura!K108*F796,2)</f>
        <v>0</v>
      </c>
      <c r="L796" s="156">
        <f>IF($K796&gt;$J796,$K796-$J796,0)</f>
        <v>0</v>
      </c>
      <c r="M796" s="156">
        <f>IF($K796&lt;$J796,$J796-$K796,0)</f>
        <v>0</v>
      </c>
      <c r="N796" s="156" t="s">
        <v>83</v>
      </c>
      <c r="O796" s="157" cm="1">
        <f t="array" ref="O796">TRUNC($H796*(1+_xlfn.SWITCH($N796,"BDI 1",$O$6,"BDI 2",$O$7,"BDI 3",$O$8)),2)</f>
        <v>2.52</v>
      </c>
      <c r="P796" s="157" cm="1">
        <f t="array" ref="P796">TRUNC($I796*(1+_xlfn.SWITCH($N796,"BDI 1",$P$6,"BDI 2",$P$7,"BDI 3",$P$8)),2)</f>
        <v>2.66</v>
      </c>
      <c r="Q796" s="157">
        <v>0</v>
      </c>
      <c r="R796" s="157">
        <v>0</v>
      </c>
      <c r="S796" s="156">
        <f>TRUNC($K796*$O796,2)</f>
        <v>0</v>
      </c>
      <c r="T796" s="156">
        <f>TRUNC($K796*$P796,2)</f>
        <v>0</v>
      </c>
      <c r="U796" s="156">
        <f>TRUNC($J796*$R796,2)</f>
        <v>0</v>
      </c>
      <c r="V796" s="156">
        <f>TRUNC($K796*$Q796,2)</f>
        <v>0</v>
      </c>
      <c r="W796" s="156">
        <f>TRUNC(V796-U796,2)</f>
        <v>0</v>
      </c>
      <c r="X796" s="158">
        <f>$S796/ORCAMENTO_VALOR_TOTAL_ND</f>
        <v>0</v>
      </c>
      <c r="Y796" s="158">
        <f>$T796/ORCAMENTO_VALOR_TOTAL_DE</f>
        <v>0</v>
      </c>
      <c r="Z796" s="158" cm="1">
        <f t="array" ref="Z796">_xlfn.SWITCH($N796,"BDI 1",$O$6,"BDI 2",$O$7,"BDI 3",$O$8)</f>
        <v>0.20699999999999999</v>
      </c>
      <c r="AA796" s="158" cm="1">
        <f t="array" ref="AA796">_xlfn.SWITCH($N796,"BDI 1",$P$6,"BDI 2",$P$7,"BDI 3",$P$8)</f>
        <v>0.26739999999999997</v>
      </c>
      <c r="AB796" s="158">
        <f ca="1">IFERROR($S796/_xlfn.XLOOKUP($AE796,$B$16:$B$38,$S$16:$S$38),0)</f>
        <v>0</v>
      </c>
      <c r="AC796" s="158">
        <f ca="1">IFERROR($T796/_xlfn.XLOOKUP($AE796,$B$16:$B$38,$T$16:$T$38),0)</f>
        <v>0</v>
      </c>
      <c r="AD796" s="164"/>
      <c r="AE796" s="148">
        <f t="shared" ref="AE796:AE797" si="1750">IF(S796&gt;0,IFERROR(TRUNC(A796,0),0),0)</f>
        <v>0</v>
      </c>
      <c r="AF796" s="149"/>
      <c r="AG796" s="150"/>
      <c r="AH796" s="159" t="e">
        <f>S796/$S$745</f>
        <v>#DIV/0!</v>
      </c>
      <c r="AI796" s="166">
        <f>IF(K796=0,0,K796/F796)</f>
        <v>0</v>
      </c>
      <c r="AJ796" s="105"/>
      <c r="AK796" s="105"/>
      <c r="AM796" s="105"/>
      <c r="AN796" s="105"/>
      <c r="AO796" s="105"/>
      <c r="AP796" s="105"/>
      <c r="AQ796" s="105"/>
      <c r="AR796" s="105"/>
    </row>
    <row r="797" spans="1:44" s="49" customFormat="1" ht="40.15" hidden="1" customHeight="1">
      <c r="A797" s="152">
        <f t="shared" ca="1" si="1653"/>
        <v>0</v>
      </c>
      <c r="B797" s="153">
        <v>93593</v>
      </c>
      <c r="C797" s="154" t="str">
        <f>TEXT(B797,"0")</f>
        <v>93593</v>
      </c>
      <c r="D797" s="154" t="s">
        <v>1416</v>
      </c>
      <c r="E797" s="155" t="s">
        <v>3545</v>
      </c>
      <c r="F797" s="154">
        <f>+Dados_DMT!$B$32-F796</f>
        <v>0</v>
      </c>
      <c r="G797" s="154" t="s">
        <v>3538</v>
      </c>
      <c r="H797" s="152">
        <v>0.84</v>
      </c>
      <c r="I797" s="152">
        <v>0.85</v>
      </c>
      <c r="J797" s="156"/>
      <c r="K797" s="156">
        <f>ROUND(Pav_Estrutura!K108*F797,2)</f>
        <v>0</v>
      </c>
      <c r="L797" s="156">
        <f>IF($K797&gt;$J797,$K797-$J797,0)</f>
        <v>0</v>
      </c>
      <c r="M797" s="156">
        <f>IF($K797&lt;$J797,$J797-$K797,0)</f>
        <v>0</v>
      </c>
      <c r="N797" s="156" t="s">
        <v>83</v>
      </c>
      <c r="O797" s="157" cm="1">
        <f t="array" ref="O797">TRUNC($H797*(1+_xlfn.SWITCH($N797,"BDI 1",$O$6,"BDI 2",$O$7,"BDI 3",$O$8)),2)</f>
        <v>1.01</v>
      </c>
      <c r="P797" s="157" cm="1">
        <f t="array" ref="P797">TRUNC($I797*(1+_xlfn.SWITCH($N797,"BDI 1",$P$6,"BDI 2",$P$7,"BDI 3",$P$8)),2)</f>
        <v>1.07</v>
      </c>
      <c r="Q797" s="157">
        <v>0</v>
      </c>
      <c r="R797" s="157">
        <v>0</v>
      </c>
      <c r="S797" s="156">
        <f>TRUNC($K797*$O797,2)</f>
        <v>0</v>
      </c>
      <c r="T797" s="156">
        <f>TRUNC($K797*$P797,2)</f>
        <v>0</v>
      </c>
      <c r="U797" s="156">
        <f>TRUNC($J797*$R797,2)</f>
        <v>0</v>
      </c>
      <c r="V797" s="156">
        <f>TRUNC($K797*$Q797,2)</f>
        <v>0</v>
      </c>
      <c r="W797" s="156">
        <f>TRUNC(V797-U797,2)</f>
        <v>0</v>
      </c>
      <c r="X797" s="158">
        <f>$S797/ORCAMENTO_VALOR_TOTAL_ND</f>
        <v>0</v>
      </c>
      <c r="Y797" s="158">
        <f>$T797/ORCAMENTO_VALOR_TOTAL_DE</f>
        <v>0</v>
      </c>
      <c r="Z797" s="158" cm="1">
        <f t="array" ref="Z797">_xlfn.SWITCH($N797,"BDI 1",$O$6,"BDI 2",$O$7,"BDI 3",$O$8)</f>
        <v>0.20699999999999999</v>
      </c>
      <c r="AA797" s="158" cm="1">
        <f t="array" ref="AA797">_xlfn.SWITCH($N797,"BDI 1",$P$6,"BDI 2",$P$7,"BDI 3",$P$8)</f>
        <v>0.26739999999999997</v>
      </c>
      <c r="AB797" s="158">
        <f ca="1">IFERROR($S797/_xlfn.XLOOKUP($AE797,$B$16:$B$38,$S$16:$S$38),0)</f>
        <v>0</v>
      </c>
      <c r="AC797" s="158">
        <f ca="1">IFERROR($T797/_xlfn.XLOOKUP($AE797,$B$16:$B$38,$T$16:$T$38),0)</f>
        <v>0</v>
      </c>
      <c r="AD797" s="164"/>
      <c r="AE797" s="148">
        <f t="shared" si="1750"/>
        <v>0</v>
      </c>
      <c r="AF797" s="149"/>
      <c r="AG797" s="150"/>
      <c r="AH797" s="159" t="e">
        <f>S797/$S$745</f>
        <v>#DIV/0!</v>
      </c>
      <c r="AI797" s="166">
        <f>IF(K797=0,0,K797/F797)</f>
        <v>0</v>
      </c>
      <c r="AJ797" s="105"/>
      <c r="AK797" s="105"/>
      <c r="AM797" s="105"/>
      <c r="AN797" s="105"/>
      <c r="AO797" s="105"/>
      <c r="AP797" s="105"/>
      <c r="AQ797" s="105"/>
      <c r="AR797" s="105"/>
    </row>
    <row r="798" spans="1:44" s="49" customFormat="1" ht="40.15" hidden="1" customHeight="1">
      <c r="A798" s="10">
        <f t="shared" ca="1" si="1653"/>
        <v>0</v>
      </c>
      <c r="B798" s="153"/>
      <c r="C798" s="154"/>
      <c r="D798" s="154"/>
      <c r="E798" s="161" t="s">
        <v>267</v>
      </c>
      <c r="F798" s="154"/>
      <c r="G798" s="154"/>
      <c r="H798" s="152"/>
      <c r="I798" s="152"/>
      <c r="J798" s="154"/>
      <c r="K798" s="154"/>
      <c r="L798" s="154"/>
      <c r="M798" s="154"/>
      <c r="N798" s="154"/>
      <c r="O798" s="154"/>
      <c r="P798" s="154"/>
      <c r="Q798" s="154"/>
      <c r="R798" s="154"/>
      <c r="S798" s="162"/>
      <c r="T798" s="162"/>
      <c r="U798" s="162"/>
      <c r="V798" s="162"/>
      <c r="W798" s="162"/>
      <c r="X798" s="163"/>
      <c r="Y798" s="163"/>
      <c r="Z798" s="163"/>
      <c r="AA798" s="163"/>
      <c r="AB798" s="163"/>
      <c r="AC798" s="163"/>
      <c r="AD798" s="164"/>
      <c r="AE798" s="148">
        <f>IF(SUM(S799:S800)&gt;0,IFERROR(TRUNC(A798,0),0),0)</f>
        <v>0</v>
      </c>
      <c r="AF798" s="149"/>
      <c r="AG798" s="150"/>
      <c r="AH798" s="159"/>
      <c r="AI798" s="160"/>
      <c r="AJ798" s="105"/>
      <c r="AK798" s="105"/>
      <c r="AM798" s="105"/>
      <c r="AN798" s="105"/>
      <c r="AO798" s="105"/>
      <c r="AP798" s="105"/>
      <c r="AQ798" s="105"/>
      <c r="AR798" s="105"/>
    </row>
    <row r="799" spans="1:44" s="49" customFormat="1" ht="40.15" hidden="1" customHeight="1">
      <c r="A799" s="152">
        <f t="shared" ca="1" si="1653"/>
        <v>0</v>
      </c>
      <c r="B799" s="153">
        <v>95876</v>
      </c>
      <c r="C799" s="154" t="str">
        <f>TEXT(B799,"0")</f>
        <v>95876</v>
      </c>
      <c r="D799" s="154" t="s">
        <v>1416</v>
      </c>
      <c r="E799" s="155" t="s">
        <v>3537</v>
      </c>
      <c r="F799" s="154">
        <f>IF(Dados_DMT!$B$23&lt;30,Dados_DMT!$B$23,30)</f>
        <v>0</v>
      </c>
      <c r="G799" s="154" t="s">
        <v>3538</v>
      </c>
      <c r="H799" s="152">
        <v>2.09</v>
      </c>
      <c r="I799" s="152">
        <v>2.1</v>
      </c>
      <c r="J799" s="156"/>
      <c r="K799" s="156">
        <f>ROUND(Pav_Estrutura!K102*F799,2)</f>
        <v>0</v>
      </c>
      <c r="L799" s="156">
        <f>IF($K799&gt;$J799,$K799-$J799,0)</f>
        <v>0</v>
      </c>
      <c r="M799" s="156">
        <f>IF($K799&lt;$J799,$J799-$K799,0)</f>
        <v>0</v>
      </c>
      <c r="N799" s="156" t="s">
        <v>83</v>
      </c>
      <c r="O799" s="157" cm="1">
        <f t="array" ref="O799">TRUNC($H799*(1+_xlfn.SWITCH($N799,"BDI 1",$O$6,"BDI 2",$O$7,"BDI 3",$O$8)),2)</f>
        <v>2.52</v>
      </c>
      <c r="P799" s="157" cm="1">
        <f t="array" ref="P799">TRUNC($I799*(1+_xlfn.SWITCH($N799,"BDI 1",$P$6,"BDI 2",$P$7,"BDI 3",$P$8)),2)</f>
        <v>2.66</v>
      </c>
      <c r="Q799" s="157">
        <v>0</v>
      </c>
      <c r="R799" s="157">
        <v>0</v>
      </c>
      <c r="S799" s="156">
        <f>TRUNC($K799*$O799,2)</f>
        <v>0</v>
      </c>
      <c r="T799" s="156">
        <f>TRUNC($K799*$P799,2)</f>
        <v>0</v>
      </c>
      <c r="U799" s="156">
        <f>TRUNC($J799*$R799,2)</f>
        <v>0</v>
      </c>
      <c r="V799" s="156">
        <f>TRUNC($K799*$Q799,2)</f>
        <v>0</v>
      </c>
      <c r="W799" s="156">
        <f>TRUNC(V799-U799,2)</f>
        <v>0</v>
      </c>
      <c r="X799" s="158">
        <f>$S799/ORCAMENTO_VALOR_TOTAL_ND</f>
        <v>0</v>
      </c>
      <c r="Y799" s="158">
        <f>$T799/ORCAMENTO_VALOR_TOTAL_DE</f>
        <v>0</v>
      </c>
      <c r="Z799" s="158" cm="1">
        <f t="array" ref="Z799">_xlfn.SWITCH($N799,"BDI 1",$O$6,"BDI 2",$O$7,"BDI 3",$O$8)</f>
        <v>0.20699999999999999</v>
      </c>
      <c r="AA799" s="158" cm="1">
        <f t="array" ref="AA799">_xlfn.SWITCH($N799,"BDI 1",$P$6,"BDI 2",$P$7,"BDI 3",$P$8)</f>
        <v>0.26739999999999997</v>
      </c>
      <c r="AB799" s="158">
        <f ca="1">IFERROR($S799/_xlfn.XLOOKUP($AE799,$B$16:$B$38,$S$16:$S$38),0)</f>
        <v>0</v>
      </c>
      <c r="AC799" s="158">
        <f ca="1">IFERROR($T799/_xlfn.XLOOKUP($AE799,$B$16:$B$38,$T$16:$T$38),0)</f>
        <v>0</v>
      </c>
      <c r="AD799" s="164"/>
      <c r="AE799" s="148">
        <f t="shared" ref="AE799:AE800" si="1751">IF(S799&gt;0,IFERROR(TRUNC(A799,0),0),0)</f>
        <v>0</v>
      </c>
      <c r="AF799" s="149"/>
      <c r="AG799" s="150"/>
      <c r="AH799" s="159" t="e">
        <f>S799/$S$745</f>
        <v>#DIV/0!</v>
      </c>
      <c r="AI799" s="166">
        <f>IF(K799=0,0,K799/F799)</f>
        <v>0</v>
      </c>
      <c r="AJ799" s="105"/>
      <c r="AK799" s="105"/>
      <c r="AM799" s="105"/>
      <c r="AN799" s="105"/>
      <c r="AO799" s="105"/>
      <c r="AP799" s="105"/>
      <c r="AQ799" s="105"/>
      <c r="AR799" s="105"/>
    </row>
    <row r="800" spans="1:44" s="49" customFormat="1" ht="40.15" hidden="1" customHeight="1">
      <c r="A800" s="152">
        <f t="shared" ca="1" si="1653"/>
        <v>0</v>
      </c>
      <c r="B800" s="153">
        <v>93593</v>
      </c>
      <c r="C800" s="154" t="str">
        <f>TEXT(B800,"0")</f>
        <v>93593</v>
      </c>
      <c r="D800" s="154" t="s">
        <v>1416</v>
      </c>
      <c r="E800" s="155" t="s">
        <v>3545</v>
      </c>
      <c r="F800" s="154">
        <f>+Dados_DMT!$B$23-F799</f>
        <v>0</v>
      </c>
      <c r="G800" s="154" t="s">
        <v>3538</v>
      </c>
      <c r="H800" s="152">
        <v>0.84</v>
      </c>
      <c r="I800" s="152">
        <v>0.85</v>
      </c>
      <c r="J800" s="156"/>
      <c r="K800" s="156">
        <f>ROUND(Pav_Estrutura!K102*F800,2)</f>
        <v>0</v>
      </c>
      <c r="L800" s="156">
        <f>IF($K800&gt;$J800,$K800-$J800,0)</f>
        <v>0</v>
      </c>
      <c r="M800" s="156">
        <f>IF($K800&lt;$J800,$J800-$K800,0)</f>
        <v>0</v>
      </c>
      <c r="N800" s="156" t="s">
        <v>83</v>
      </c>
      <c r="O800" s="157" cm="1">
        <f t="array" ref="O800">TRUNC($H800*(1+_xlfn.SWITCH($N800,"BDI 1",$O$6,"BDI 2",$O$7,"BDI 3",$O$8)),2)</f>
        <v>1.01</v>
      </c>
      <c r="P800" s="157" cm="1">
        <f t="array" ref="P800">TRUNC($I800*(1+_xlfn.SWITCH($N800,"BDI 1",$P$6,"BDI 2",$P$7,"BDI 3",$P$8)),2)</f>
        <v>1.07</v>
      </c>
      <c r="Q800" s="157">
        <v>0</v>
      </c>
      <c r="R800" s="157">
        <v>0</v>
      </c>
      <c r="S800" s="156">
        <f>TRUNC($K800*$O800,2)</f>
        <v>0</v>
      </c>
      <c r="T800" s="156">
        <f>TRUNC($K800*$P800,2)</f>
        <v>0</v>
      </c>
      <c r="U800" s="156">
        <f>TRUNC($J800*$R800,2)</f>
        <v>0</v>
      </c>
      <c r="V800" s="156">
        <f>TRUNC($K800*$Q800,2)</f>
        <v>0</v>
      </c>
      <c r="W800" s="156">
        <f>TRUNC(V800-U800,2)</f>
        <v>0</v>
      </c>
      <c r="X800" s="158">
        <f>$S800/ORCAMENTO_VALOR_TOTAL_ND</f>
        <v>0</v>
      </c>
      <c r="Y800" s="158">
        <f>$T800/ORCAMENTO_VALOR_TOTAL_DE</f>
        <v>0</v>
      </c>
      <c r="Z800" s="158" cm="1">
        <f t="array" ref="Z800">_xlfn.SWITCH($N800,"BDI 1",$O$6,"BDI 2",$O$7,"BDI 3",$O$8)</f>
        <v>0.20699999999999999</v>
      </c>
      <c r="AA800" s="158" cm="1">
        <f t="array" ref="AA800">_xlfn.SWITCH($N800,"BDI 1",$P$6,"BDI 2",$P$7,"BDI 3",$P$8)</f>
        <v>0.26739999999999997</v>
      </c>
      <c r="AB800" s="158">
        <f ca="1">IFERROR($S800/_xlfn.XLOOKUP($AE800,$B$16:$B$38,$S$16:$S$38),0)</f>
        <v>0</v>
      </c>
      <c r="AC800" s="158">
        <f ca="1">IFERROR($T800/_xlfn.XLOOKUP($AE800,$B$16:$B$38,$T$16:$T$38),0)</f>
        <v>0</v>
      </c>
      <c r="AD800" s="164"/>
      <c r="AE800" s="148">
        <f t="shared" si="1751"/>
        <v>0</v>
      </c>
      <c r="AF800" s="149"/>
      <c r="AG800" s="150"/>
      <c r="AH800" s="159" t="e">
        <f>S800/$S$745</f>
        <v>#DIV/0!</v>
      </c>
      <c r="AI800" s="166">
        <f>IF(K800=0,0,K800/F800)</f>
        <v>0</v>
      </c>
      <c r="AJ800" s="105"/>
      <c r="AK800" s="105"/>
      <c r="AM800" s="105"/>
      <c r="AN800" s="105"/>
      <c r="AO800" s="105"/>
      <c r="AP800" s="105"/>
      <c r="AQ800" s="105"/>
      <c r="AR800" s="105"/>
    </row>
    <row r="801" spans="1:44" s="49" customFormat="1" ht="40.15" hidden="1" customHeight="1">
      <c r="A801" s="10">
        <f t="shared" ca="1" si="1653"/>
        <v>0</v>
      </c>
      <c r="B801" s="153"/>
      <c r="C801" s="154"/>
      <c r="D801" s="154"/>
      <c r="E801" s="161" t="s">
        <v>268</v>
      </c>
      <c r="F801" s="154"/>
      <c r="G801" s="154"/>
      <c r="H801" s="152"/>
      <c r="I801" s="152"/>
      <c r="J801" s="154"/>
      <c r="K801" s="154"/>
      <c r="L801" s="154"/>
      <c r="M801" s="154"/>
      <c r="N801" s="154"/>
      <c r="O801" s="154"/>
      <c r="P801" s="154"/>
      <c r="Q801" s="154"/>
      <c r="R801" s="154"/>
      <c r="S801" s="162"/>
      <c r="T801" s="162"/>
      <c r="U801" s="162"/>
      <c r="V801" s="162"/>
      <c r="W801" s="162"/>
      <c r="X801" s="163"/>
      <c r="Y801" s="163"/>
      <c r="Z801" s="163"/>
      <c r="AA801" s="163"/>
      <c r="AB801" s="163"/>
      <c r="AC801" s="163"/>
      <c r="AD801" s="164"/>
      <c r="AE801" s="148">
        <f>IF(SUM(S802:S803)&gt;0,IFERROR(TRUNC(A801,0),0),0)</f>
        <v>0</v>
      </c>
      <c r="AF801" s="149"/>
      <c r="AG801" s="150"/>
      <c r="AH801" s="159"/>
      <c r="AI801" s="160"/>
      <c r="AJ801" s="105"/>
      <c r="AK801" s="105"/>
      <c r="AM801" s="105"/>
      <c r="AN801" s="105"/>
      <c r="AO801" s="105"/>
      <c r="AP801" s="105"/>
      <c r="AQ801" s="105"/>
      <c r="AR801" s="105"/>
    </row>
    <row r="802" spans="1:44" s="49" customFormat="1" ht="40.15" hidden="1" customHeight="1">
      <c r="A802" s="152">
        <f t="shared" ca="1" si="1653"/>
        <v>0</v>
      </c>
      <c r="B802" s="153">
        <v>95876</v>
      </c>
      <c r="C802" s="154" t="str">
        <f>TEXT(B802,"0")</f>
        <v>95876</v>
      </c>
      <c r="D802" s="154" t="s">
        <v>1416</v>
      </c>
      <c r="E802" s="155" t="s">
        <v>3537</v>
      </c>
      <c r="F802" s="154">
        <f>IF(Dados_DMT!$B$22&lt;30,Dados_DMT!$B$22,30)</f>
        <v>0</v>
      </c>
      <c r="G802" s="154" t="s">
        <v>3538</v>
      </c>
      <c r="H802" s="152">
        <v>2.09</v>
      </c>
      <c r="I802" s="152">
        <v>2.1</v>
      </c>
      <c r="J802" s="156"/>
      <c r="K802" s="156">
        <f>ROUND(Pav_Estrutura!K101*F802,2)</f>
        <v>0</v>
      </c>
      <c r="L802" s="156">
        <f>IF($K802&gt;$J802,$K802-$J802,0)</f>
        <v>0</v>
      </c>
      <c r="M802" s="156">
        <f>IF($K802&lt;$J802,$J802-$K802,0)</f>
        <v>0</v>
      </c>
      <c r="N802" s="156" t="s">
        <v>83</v>
      </c>
      <c r="O802" s="157" cm="1">
        <f t="array" ref="O802">TRUNC($H802*(1+_xlfn.SWITCH($N802,"BDI 1",$O$6,"BDI 2",$O$7,"BDI 3",$O$8)),2)</f>
        <v>2.52</v>
      </c>
      <c r="P802" s="157" cm="1">
        <f t="array" ref="P802">TRUNC($I802*(1+_xlfn.SWITCH($N802,"BDI 1",$P$6,"BDI 2",$P$7,"BDI 3",$P$8)),2)</f>
        <v>2.66</v>
      </c>
      <c r="Q802" s="157">
        <v>0</v>
      </c>
      <c r="R802" s="157">
        <v>0</v>
      </c>
      <c r="S802" s="156">
        <f>TRUNC($K802*$O802,2)</f>
        <v>0</v>
      </c>
      <c r="T802" s="156">
        <f>TRUNC($K802*$P802,2)</f>
        <v>0</v>
      </c>
      <c r="U802" s="156">
        <f>TRUNC($J802*$R802,2)</f>
        <v>0</v>
      </c>
      <c r="V802" s="156">
        <f>TRUNC($K802*$Q802,2)</f>
        <v>0</v>
      </c>
      <c r="W802" s="156">
        <f>TRUNC(V802-U802,2)</f>
        <v>0</v>
      </c>
      <c r="X802" s="158">
        <f>$S802/ORCAMENTO_VALOR_TOTAL_ND</f>
        <v>0</v>
      </c>
      <c r="Y802" s="158">
        <f>$T802/ORCAMENTO_VALOR_TOTAL_DE</f>
        <v>0</v>
      </c>
      <c r="Z802" s="158" cm="1">
        <f t="array" ref="Z802">_xlfn.SWITCH($N802,"BDI 1",$O$6,"BDI 2",$O$7,"BDI 3",$O$8)</f>
        <v>0.20699999999999999</v>
      </c>
      <c r="AA802" s="158" cm="1">
        <f t="array" ref="AA802">_xlfn.SWITCH($N802,"BDI 1",$P$6,"BDI 2",$P$7,"BDI 3",$P$8)</f>
        <v>0.26739999999999997</v>
      </c>
      <c r="AB802" s="158">
        <f ca="1">IFERROR($S802/_xlfn.XLOOKUP($AE802,$B$16:$B$38,$S$16:$S$38),0)</f>
        <v>0</v>
      </c>
      <c r="AC802" s="158">
        <f ca="1">IFERROR($T802/_xlfn.XLOOKUP($AE802,$B$16:$B$38,$T$16:$T$38),0)</f>
        <v>0</v>
      </c>
      <c r="AD802" s="164"/>
      <c r="AE802" s="148">
        <f t="shared" ref="AE802:AE803" si="1752">IF(S802&gt;0,IFERROR(TRUNC(A802,0),0),0)</f>
        <v>0</v>
      </c>
      <c r="AF802" s="149"/>
      <c r="AG802" s="150"/>
      <c r="AH802" s="159" t="e">
        <f>S802/$S$745</f>
        <v>#DIV/0!</v>
      </c>
      <c r="AI802" s="166">
        <f>IF(K802=0,0,K802/F802)</f>
        <v>0</v>
      </c>
      <c r="AJ802" s="105"/>
      <c r="AK802" s="105"/>
      <c r="AM802" s="105"/>
      <c r="AN802" s="105"/>
      <c r="AO802" s="105"/>
      <c r="AP802" s="105"/>
      <c r="AQ802" s="105"/>
      <c r="AR802" s="105"/>
    </row>
    <row r="803" spans="1:44" s="49" customFormat="1" ht="40.15" hidden="1" customHeight="1">
      <c r="A803" s="152">
        <f t="shared" ca="1" si="1653"/>
        <v>0</v>
      </c>
      <c r="B803" s="153">
        <v>93593</v>
      </c>
      <c r="C803" s="154" t="str">
        <f>TEXT(B803,"0")</f>
        <v>93593</v>
      </c>
      <c r="D803" s="154" t="s">
        <v>1416</v>
      </c>
      <c r="E803" s="155" t="s">
        <v>3545</v>
      </c>
      <c r="F803" s="154">
        <f>+Dados_DMT!$B$22-F802</f>
        <v>0</v>
      </c>
      <c r="G803" s="154" t="s">
        <v>3538</v>
      </c>
      <c r="H803" s="152">
        <v>0.84</v>
      </c>
      <c r="I803" s="152">
        <v>0.85</v>
      </c>
      <c r="J803" s="156"/>
      <c r="K803" s="156">
        <f>ROUND(Pav_Estrutura!K101*F803,2)</f>
        <v>0</v>
      </c>
      <c r="L803" s="156">
        <f>IF($K803&gt;$J803,$K803-$J803,0)</f>
        <v>0</v>
      </c>
      <c r="M803" s="156">
        <f>IF($K803&lt;$J803,$J803-$K803,0)</f>
        <v>0</v>
      </c>
      <c r="N803" s="156" t="s">
        <v>83</v>
      </c>
      <c r="O803" s="157" cm="1">
        <f t="array" ref="O803">TRUNC($H803*(1+_xlfn.SWITCH($N803,"BDI 1",$O$6,"BDI 2",$O$7,"BDI 3",$O$8)),2)</f>
        <v>1.01</v>
      </c>
      <c r="P803" s="157" cm="1">
        <f t="array" ref="P803">TRUNC($I803*(1+_xlfn.SWITCH($N803,"BDI 1",$P$6,"BDI 2",$P$7,"BDI 3",$P$8)),2)</f>
        <v>1.07</v>
      </c>
      <c r="Q803" s="157">
        <v>0</v>
      </c>
      <c r="R803" s="157">
        <v>0</v>
      </c>
      <c r="S803" s="156">
        <f>TRUNC($K803*$O803,2)</f>
        <v>0</v>
      </c>
      <c r="T803" s="156">
        <f>TRUNC($K803*$P803,2)</f>
        <v>0</v>
      </c>
      <c r="U803" s="156">
        <f>TRUNC($J803*$R803,2)</f>
        <v>0</v>
      </c>
      <c r="V803" s="156">
        <f>TRUNC($K803*$Q803,2)</f>
        <v>0</v>
      </c>
      <c r="W803" s="156">
        <f>TRUNC(V803-U803,2)</f>
        <v>0</v>
      </c>
      <c r="X803" s="158">
        <f>$S803/ORCAMENTO_VALOR_TOTAL_ND</f>
        <v>0</v>
      </c>
      <c r="Y803" s="158">
        <f>$T803/ORCAMENTO_VALOR_TOTAL_DE</f>
        <v>0</v>
      </c>
      <c r="Z803" s="158" cm="1">
        <f t="array" ref="Z803">_xlfn.SWITCH($N803,"BDI 1",$O$6,"BDI 2",$O$7,"BDI 3",$O$8)</f>
        <v>0.20699999999999999</v>
      </c>
      <c r="AA803" s="158" cm="1">
        <f t="array" ref="AA803">_xlfn.SWITCH($N803,"BDI 1",$P$6,"BDI 2",$P$7,"BDI 3",$P$8)</f>
        <v>0.26739999999999997</v>
      </c>
      <c r="AB803" s="158">
        <f ca="1">IFERROR($S803/_xlfn.XLOOKUP($AE803,$B$16:$B$38,$S$16:$S$38),0)</f>
        <v>0</v>
      </c>
      <c r="AC803" s="158">
        <f ca="1">IFERROR($T803/_xlfn.XLOOKUP($AE803,$B$16:$B$38,$T$16:$T$38),0)</f>
        <v>0</v>
      </c>
      <c r="AD803" s="164"/>
      <c r="AE803" s="148">
        <f t="shared" si="1752"/>
        <v>0</v>
      </c>
      <c r="AF803" s="149"/>
      <c r="AG803" s="150"/>
      <c r="AH803" s="159" t="e">
        <f>S803/$S$745</f>
        <v>#DIV/0!</v>
      </c>
      <c r="AI803" s="166">
        <f>IF(K803=0,0,K803/F803)</f>
        <v>0</v>
      </c>
      <c r="AJ803" s="105"/>
      <c r="AK803" s="105"/>
      <c r="AM803" s="105"/>
      <c r="AN803" s="105"/>
      <c r="AO803" s="105"/>
      <c r="AP803" s="105"/>
      <c r="AQ803" s="105"/>
      <c r="AR803" s="105"/>
    </row>
    <row r="804" spans="1:44" s="49" customFormat="1" ht="40.15" hidden="1" customHeight="1">
      <c r="A804" s="10">
        <f t="shared" ca="1" si="1653"/>
        <v>0</v>
      </c>
      <c r="B804" s="153"/>
      <c r="C804" s="154"/>
      <c r="D804" s="154"/>
      <c r="E804" s="161" t="s">
        <v>266</v>
      </c>
      <c r="F804" s="154"/>
      <c r="G804" s="154"/>
      <c r="H804" s="152"/>
      <c r="I804" s="152"/>
      <c r="J804" s="154"/>
      <c r="K804" s="154"/>
      <c r="L804" s="154"/>
      <c r="M804" s="154"/>
      <c r="N804" s="154"/>
      <c r="O804" s="154"/>
      <c r="P804" s="154"/>
      <c r="Q804" s="154"/>
      <c r="R804" s="154"/>
      <c r="S804" s="162"/>
      <c r="T804" s="162"/>
      <c r="U804" s="162"/>
      <c r="V804" s="162"/>
      <c r="W804" s="162"/>
      <c r="X804" s="163"/>
      <c r="Y804" s="163"/>
      <c r="Z804" s="163"/>
      <c r="AA804" s="163"/>
      <c r="AB804" s="163"/>
      <c r="AC804" s="163"/>
      <c r="AD804" s="164"/>
      <c r="AE804" s="148">
        <f>IF(SUM(S805:S806)&gt;0,IFERROR(TRUNC(A804,0),0),0)</f>
        <v>0</v>
      </c>
      <c r="AF804" s="149"/>
      <c r="AG804" s="150"/>
      <c r="AH804" s="159"/>
      <c r="AI804" s="160"/>
      <c r="AJ804" s="105"/>
      <c r="AK804" s="105"/>
      <c r="AM804" s="105"/>
      <c r="AN804" s="105"/>
      <c r="AO804" s="105"/>
      <c r="AP804" s="105"/>
      <c r="AQ804" s="105"/>
      <c r="AR804" s="105"/>
    </row>
    <row r="805" spans="1:44" s="49" customFormat="1" ht="40.15" hidden="1" customHeight="1">
      <c r="A805" s="152">
        <f t="shared" ca="1" si="1653"/>
        <v>0</v>
      </c>
      <c r="B805" s="153">
        <v>95876</v>
      </c>
      <c r="C805" s="154" t="str">
        <f>TEXT(B805,"0")</f>
        <v>95876</v>
      </c>
      <c r="D805" s="154" t="s">
        <v>1416</v>
      </c>
      <c r="E805" s="155" t="s">
        <v>3537</v>
      </c>
      <c r="F805" s="154">
        <f>IF(Dados_DMT!$B$21&lt;30,Dados_DMT!$B$21,30)</f>
        <v>0</v>
      </c>
      <c r="G805" s="154" t="s">
        <v>3538</v>
      </c>
      <c r="H805" s="152">
        <v>2.09</v>
      </c>
      <c r="I805" s="152">
        <v>2.1</v>
      </c>
      <c r="J805" s="156"/>
      <c r="K805" s="156">
        <f>ROUND(Pav_Estrutura!K100*F805,2)</f>
        <v>0</v>
      </c>
      <c r="L805" s="156">
        <f>IF($K805&gt;$J805,$K805-$J805,0)</f>
        <v>0</v>
      </c>
      <c r="M805" s="156">
        <f>IF($K805&lt;$J805,$J805-$K805,0)</f>
        <v>0</v>
      </c>
      <c r="N805" s="156" t="s">
        <v>83</v>
      </c>
      <c r="O805" s="157" cm="1">
        <f t="array" ref="O805">TRUNC($H805*(1+_xlfn.SWITCH($N805,"BDI 1",$O$6,"BDI 2",$O$7,"BDI 3",$O$8)),2)</f>
        <v>2.52</v>
      </c>
      <c r="P805" s="157" cm="1">
        <f t="array" ref="P805">TRUNC($I805*(1+_xlfn.SWITCH($N805,"BDI 1",$P$6,"BDI 2",$P$7,"BDI 3",$P$8)),2)</f>
        <v>2.66</v>
      </c>
      <c r="Q805" s="157">
        <v>0</v>
      </c>
      <c r="R805" s="157">
        <v>0</v>
      </c>
      <c r="S805" s="156">
        <f>TRUNC($K805*$O805,2)</f>
        <v>0</v>
      </c>
      <c r="T805" s="156">
        <f>TRUNC($K805*$P805,2)</f>
        <v>0</v>
      </c>
      <c r="U805" s="156">
        <f>TRUNC($J805*$R805,2)</f>
        <v>0</v>
      </c>
      <c r="V805" s="156">
        <f>TRUNC($K805*$Q805,2)</f>
        <v>0</v>
      </c>
      <c r="W805" s="156">
        <f>TRUNC(V805-U805,2)</f>
        <v>0</v>
      </c>
      <c r="X805" s="158">
        <f>$S805/ORCAMENTO_VALOR_TOTAL_ND</f>
        <v>0</v>
      </c>
      <c r="Y805" s="158">
        <f>$T805/ORCAMENTO_VALOR_TOTAL_DE</f>
        <v>0</v>
      </c>
      <c r="Z805" s="158" cm="1">
        <f t="array" ref="Z805">_xlfn.SWITCH($N805,"BDI 1",$O$6,"BDI 2",$O$7,"BDI 3",$O$8)</f>
        <v>0.20699999999999999</v>
      </c>
      <c r="AA805" s="158" cm="1">
        <f t="array" ref="AA805">_xlfn.SWITCH($N805,"BDI 1",$P$6,"BDI 2",$P$7,"BDI 3",$P$8)</f>
        <v>0.26739999999999997</v>
      </c>
      <c r="AB805" s="158">
        <f ca="1">IFERROR($S805/_xlfn.XLOOKUP($AE805,$B$16:$B$38,$S$16:$S$38),0)</f>
        <v>0</v>
      </c>
      <c r="AC805" s="158">
        <f ca="1">IFERROR($T805/_xlfn.XLOOKUP($AE805,$B$16:$B$38,$T$16:$T$38),0)</f>
        <v>0</v>
      </c>
      <c r="AD805" s="164"/>
      <c r="AE805" s="148">
        <f t="shared" ref="AE805:AE806" si="1753">IF(S805&gt;0,IFERROR(TRUNC(A805,0),0),0)</f>
        <v>0</v>
      </c>
      <c r="AF805" s="149"/>
      <c r="AG805" s="150"/>
      <c r="AH805" s="159" t="e">
        <f>S805/$S$745</f>
        <v>#DIV/0!</v>
      </c>
      <c r="AI805" s="166">
        <f>IF(K805=0,0,K805/F805)</f>
        <v>0</v>
      </c>
      <c r="AJ805" s="105"/>
      <c r="AK805" s="105"/>
      <c r="AM805" s="105"/>
      <c r="AN805" s="105"/>
      <c r="AO805" s="105"/>
      <c r="AP805" s="105"/>
      <c r="AQ805" s="105"/>
      <c r="AR805" s="105"/>
    </row>
    <row r="806" spans="1:44" s="49" customFormat="1" ht="40.15" hidden="1" customHeight="1">
      <c r="A806" s="152">
        <f t="shared" ca="1" si="1653"/>
        <v>0</v>
      </c>
      <c r="B806" s="153">
        <v>93593</v>
      </c>
      <c r="C806" s="154" t="str">
        <f>TEXT(B806,"0")</f>
        <v>93593</v>
      </c>
      <c r="D806" s="154" t="s">
        <v>1416</v>
      </c>
      <c r="E806" s="155" t="s">
        <v>3545</v>
      </c>
      <c r="F806" s="154">
        <f>+Dados_DMT!$B$21-F805</f>
        <v>0</v>
      </c>
      <c r="G806" s="154" t="s">
        <v>3538</v>
      </c>
      <c r="H806" s="152">
        <v>0.84</v>
      </c>
      <c r="I806" s="152">
        <v>0.85</v>
      </c>
      <c r="J806" s="156"/>
      <c r="K806" s="156">
        <f>ROUND(Pav_Estrutura!K100*F806,2)</f>
        <v>0</v>
      </c>
      <c r="L806" s="156">
        <f>IF($K806&gt;$J806,$K806-$J806,0)</f>
        <v>0</v>
      </c>
      <c r="M806" s="156">
        <f>IF($K806&lt;$J806,$J806-$K806,0)</f>
        <v>0</v>
      </c>
      <c r="N806" s="156" t="s">
        <v>83</v>
      </c>
      <c r="O806" s="157" cm="1">
        <f t="array" ref="O806">TRUNC($H806*(1+_xlfn.SWITCH($N806,"BDI 1",$O$6,"BDI 2",$O$7,"BDI 3",$O$8)),2)</f>
        <v>1.01</v>
      </c>
      <c r="P806" s="157" cm="1">
        <f t="array" ref="P806">TRUNC($I806*(1+_xlfn.SWITCH($N806,"BDI 1",$P$6,"BDI 2",$P$7,"BDI 3",$P$8)),2)</f>
        <v>1.07</v>
      </c>
      <c r="Q806" s="157">
        <v>0</v>
      </c>
      <c r="R806" s="157">
        <v>0</v>
      </c>
      <c r="S806" s="156">
        <f>TRUNC($K806*$O806,2)</f>
        <v>0</v>
      </c>
      <c r="T806" s="156">
        <f>TRUNC($K806*$P806,2)</f>
        <v>0</v>
      </c>
      <c r="U806" s="156">
        <f>TRUNC($J806*$R806,2)</f>
        <v>0</v>
      </c>
      <c r="V806" s="156">
        <f>TRUNC($K806*$Q806,2)</f>
        <v>0</v>
      </c>
      <c r="W806" s="156">
        <f>TRUNC(V806-U806,2)</f>
        <v>0</v>
      </c>
      <c r="X806" s="158">
        <f>$S806/ORCAMENTO_VALOR_TOTAL_ND</f>
        <v>0</v>
      </c>
      <c r="Y806" s="158">
        <f>$T806/ORCAMENTO_VALOR_TOTAL_DE</f>
        <v>0</v>
      </c>
      <c r="Z806" s="158" cm="1">
        <f t="array" ref="Z806">_xlfn.SWITCH($N806,"BDI 1",$O$6,"BDI 2",$O$7,"BDI 3",$O$8)</f>
        <v>0.20699999999999999</v>
      </c>
      <c r="AA806" s="158" cm="1">
        <f t="array" ref="AA806">_xlfn.SWITCH($N806,"BDI 1",$P$6,"BDI 2",$P$7,"BDI 3",$P$8)</f>
        <v>0.26739999999999997</v>
      </c>
      <c r="AB806" s="158">
        <f ca="1">IFERROR($S806/_xlfn.XLOOKUP($AE806,$B$16:$B$38,$S$16:$S$38),0)</f>
        <v>0</v>
      </c>
      <c r="AC806" s="158">
        <f ca="1">IFERROR($T806/_xlfn.XLOOKUP($AE806,$B$16:$B$38,$T$16:$T$38),0)</f>
        <v>0</v>
      </c>
      <c r="AD806" s="164"/>
      <c r="AE806" s="148">
        <f t="shared" si="1753"/>
        <v>0</v>
      </c>
      <c r="AF806" s="149"/>
      <c r="AG806" s="150"/>
      <c r="AH806" s="159" t="e">
        <f>S806/$S$745</f>
        <v>#DIV/0!</v>
      </c>
      <c r="AI806" s="166">
        <f>IF(K806=0,0,K806/F806)</f>
        <v>0</v>
      </c>
      <c r="AJ806" s="105"/>
      <c r="AK806" s="105"/>
      <c r="AM806" s="105"/>
      <c r="AN806" s="105"/>
      <c r="AO806" s="105"/>
      <c r="AP806" s="105"/>
      <c r="AQ806" s="105"/>
      <c r="AR806" s="105"/>
    </row>
    <row r="807" spans="1:44" s="49" customFormat="1" ht="40.15" hidden="1" customHeight="1">
      <c r="A807" s="10">
        <f t="shared" ca="1" si="1653"/>
        <v>0</v>
      </c>
      <c r="B807" s="153"/>
      <c r="C807" s="154"/>
      <c r="D807" s="154"/>
      <c r="E807" s="161" t="s">
        <v>315</v>
      </c>
      <c r="F807" s="154"/>
      <c r="G807" s="154"/>
      <c r="H807" s="152"/>
      <c r="I807" s="152"/>
      <c r="J807" s="154"/>
      <c r="K807" s="154"/>
      <c r="L807" s="154"/>
      <c r="M807" s="154"/>
      <c r="N807" s="154"/>
      <c r="O807" s="154"/>
      <c r="P807" s="154"/>
      <c r="Q807" s="154"/>
      <c r="R807" s="154"/>
      <c r="S807" s="162"/>
      <c r="T807" s="162"/>
      <c r="U807" s="162"/>
      <c r="V807" s="162"/>
      <c r="W807" s="162"/>
      <c r="X807" s="163"/>
      <c r="Y807" s="163"/>
      <c r="Z807" s="163"/>
      <c r="AA807" s="163"/>
      <c r="AB807" s="163"/>
      <c r="AC807" s="163"/>
      <c r="AD807" s="164"/>
      <c r="AE807" s="148">
        <f>IF(SUM(S808:S809)&gt;0,IFERROR(TRUNC(A807,0),0),0)</f>
        <v>0</v>
      </c>
      <c r="AF807" s="149"/>
      <c r="AG807" s="150"/>
      <c r="AH807" s="159"/>
      <c r="AI807" s="160"/>
      <c r="AJ807" s="105"/>
      <c r="AK807" s="105"/>
      <c r="AM807" s="105"/>
      <c r="AN807" s="105"/>
      <c r="AO807" s="105"/>
      <c r="AP807" s="105"/>
      <c r="AQ807" s="105"/>
      <c r="AR807" s="105"/>
    </row>
    <row r="808" spans="1:44" s="49" customFormat="1" ht="40.15" hidden="1" customHeight="1">
      <c r="A808" s="152">
        <f t="shared" ca="1" si="1653"/>
        <v>0</v>
      </c>
      <c r="B808" s="153">
        <v>95876</v>
      </c>
      <c r="C808" s="154" t="str">
        <f>TEXT(B808,"0")</f>
        <v>95876</v>
      </c>
      <c r="D808" s="154" t="s">
        <v>1416</v>
      </c>
      <c r="E808" s="155" t="s">
        <v>3537</v>
      </c>
      <c r="F808" s="154">
        <f>IF(Dados_DMT!$B$21&lt;30,Dados_DMT!$B$21,30)</f>
        <v>0</v>
      </c>
      <c r="G808" s="154" t="s">
        <v>3538</v>
      </c>
      <c r="H808" s="152">
        <v>2.09</v>
      </c>
      <c r="I808" s="152">
        <v>2.1</v>
      </c>
      <c r="J808" s="156"/>
      <c r="K808" s="156">
        <f>ROUND(Pav_Estrutura!K99*F808,2)</f>
        <v>0</v>
      </c>
      <c r="L808" s="156">
        <f>IF($K808&gt;$J808,$K808-$J808,0)</f>
        <v>0</v>
      </c>
      <c r="M808" s="156">
        <f>IF($K808&lt;$J808,$J808-$K808,0)</f>
        <v>0</v>
      </c>
      <c r="N808" s="156" t="s">
        <v>83</v>
      </c>
      <c r="O808" s="157" cm="1">
        <f t="array" ref="O808">TRUNC($H808*(1+_xlfn.SWITCH($N808,"BDI 1",$O$6,"BDI 2",$O$7,"BDI 3",$O$8)),2)</f>
        <v>2.52</v>
      </c>
      <c r="P808" s="157" cm="1">
        <f t="array" ref="P808">TRUNC($I808*(1+_xlfn.SWITCH($N808,"BDI 1",$P$6,"BDI 2",$P$7,"BDI 3",$P$8)),2)</f>
        <v>2.66</v>
      </c>
      <c r="Q808" s="157">
        <v>0</v>
      </c>
      <c r="R808" s="157">
        <v>0</v>
      </c>
      <c r="S808" s="156">
        <f>TRUNC($K808*$O808,2)</f>
        <v>0</v>
      </c>
      <c r="T808" s="156">
        <f>TRUNC($K808*$P808,2)</f>
        <v>0</v>
      </c>
      <c r="U808" s="156">
        <f>TRUNC($J808*$R808,2)</f>
        <v>0</v>
      </c>
      <c r="V808" s="156">
        <f>TRUNC($K808*$Q808,2)</f>
        <v>0</v>
      </c>
      <c r="W808" s="156">
        <f>TRUNC(V808-U808,2)</f>
        <v>0</v>
      </c>
      <c r="X808" s="158">
        <f>$S808/ORCAMENTO_VALOR_TOTAL_ND</f>
        <v>0</v>
      </c>
      <c r="Y808" s="158">
        <f>$T808/ORCAMENTO_VALOR_TOTAL_DE</f>
        <v>0</v>
      </c>
      <c r="Z808" s="158" cm="1">
        <f t="array" ref="Z808">_xlfn.SWITCH($N808,"BDI 1",$O$6,"BDI 2",$O$7,"BDI 3",$O$8)</f>
        <v>0.20699999999999999</v>
      </c>
      <c r="AA808" s="158" cm="1">
        <f t="array" ref="AA808">_xlfn.SWITCH($N808,"BDI 1",$P$6,"BDI 2",$P$7,"BDI 3",$P$8)</f>
        <v>0.26739999999999997</v>
      </c>
      <c r="AB808" s="158">
        <f ca="1">IFERROR($S808/_xlfn.XLOOKUP($AE808,$B$16:$B$38,$S$16:$S$38),0)</f>
        <v>0</v>
      </c>
      <c r="AC808" s="158">
        <f ca="1">IFERROR($T808/_xlfn.XLOOKUP($AE808,$B$16:$B$38,$T$16:$T$38),0)</f>
        <v>0</v>
      </c>
      <c r="AD808" s="164"/>
      <c r="AE808" s="148">
        <f t="shared" ref="AE808:AE809" si="1754">IF(S808&gt;0,IFERROR(TRUNC(A808,0),0),0)</f>
        <v>0</v>
      </c>
      <c r="AF808" s="149"/>
      <c r="AG808" s="150"/>
      <c r="AH808" s="159" t="e">
        <f>S808/$S$745</f>
        <v>#DIV/0!</v>
      </c>
      <c r="AI808" s="166">
        <f>IF(K808=0,0,K808/F808)</f>
        <v>0</v>
      </c>
      <c r="AJ808" s="105"/>
      <c r="AK808" s="105"/>
      <c r="AM808" s="105"/>
      <c r="AN808" s="105"/>
      <c r="AO808" s="105"/>
      <c r="AP808" s="105"/>
      <c r="AQ808" s="105"/>
      <c r="AR808" s="105"/>
    </row>
    <row r="809" spans="1:44" s="49" customFormat="1" ht="40.15" hidden="1" customHeight="1">
      <c r="A809" s="152">
        <f t="shared" ca="1" si="1653"/>
        <v>0</v>
      </c>
      <c r="B809" s="153">
        <v>93593</v>
      </c>
      <c r="C809" s="154" t="str">
        <f>TEXT(B809,"0")</f>
        <v>93593</v>
      </c>
      <c r="D809" s="154" t="s">
        <v>1416</v>
      </c>
      <c r="E809" s="155" t="s">
        <v>3545</v>
      </c>
      <c r="F809" s="154">
        <f>Dados_DMT!$B$21-F808</f>
        <v>0</v>
      </c>
      <c r="G809" s="154" t="s">
        <v>3538</v>
      </c>
      <c r="H809" s="152">
        <v>0.84</v>
      </c>
      <c r="I809" s="152">
        <v>0.85</v>
      </c>
      <c r="J809" s="156"/>
      <c r="K809" s="156">
        <f>ROUND(Pav_Estrutura!K99*F809,2)</f>
        <v>0</v>
      </c>
      <c r="L809" s="156">
        <f>IF($K809&gt;$J809,$K809-$J809,0)</f>
        <v>0</v>
      </c>
      <c r="M809" s="156">
        <f>IF($K809&lt;$J809,$J809-$K809,0)</f>
        <v>0</v>
      </c>
      <c r="N809" s="156" t="s">
        <v>83</v>
      </c>
      <c r="O809" s="157" cm="1">
        <f t="array" ref="O809">TRUNC($H809*(1+_xlfn.SWITCH($N809,"BDI 1",$O$6,"BDI 2",$O$7,"BDI 3",$O$8)),2)</f>
        <v>1.01</v>
      </c>
      <c r="P809" s="157" cm="1">
        <f t="array" ref="P809">TRUNC($I809*(1+_xlfn.SWITCH($N809,"BDI 1",$P$6,"BDI 2",$P$7,"BDI 3",$P$8)),2)</f>
        <v>1.07</v>
      </c>
      <c r="Q809" s="157">
        <v>0</v>
      </c>
      <c r="R809" s="157">
        <v>0</v>
      </c>
      <c r="S809" s="156">
        <f>TRUNC($K809*$O809,2)</f>
        <v>0</v>
      </c>
      <c r="T809" s="156">
        <f>TRUNC($K809*$P809,2)</f>
        <v>0</v>
      </c>
      <c r="U809" s="156">
        <f>TRUNC($J809*$R809,2)</f>
        <v>0</v>
      </c>
      <c r="V809" s="156">
        <f>TRUNC($K809*$Q809,2)</f>
        <v>0</v>
      </c>
      <c r="W809" s="156">
        <f>TRUNC(V809-U809,2)</f>
        <v>0</v>
      </c>
      <c r="X809" s="158">
        <f>$S809/ORCAMENTO_VALOR_TOTAL_ND</f>
        <v>0</v>
      </c>
      <c r="Y809" s="158">
        <f>$T809/ORCAMENTO_VALOR_TOTAL_DE</f>
        <v>0</v>
      </c>
      <c r="Z809" s="158" cm="1">
        <f t="array" ref="Z809">_xlfn.SWITCH($N809,"BDI 1",$O$6,"BDI 2",$O$7,"BDI 3",$O$8)</f>
        <v>0.20699999999999999</v>
      </c>
      <c r="AA809" s="158" cm="1">
        <f t="array" ref="AA809">_xlfn.SWITCH($N809,"BDI 1",$P$6,"BDI 2",$P$7,"BDI 3",$P$8)</f>
        <v>0.26739999999999997</v>
      </c>
      <c r="AB809" s="158">
        <f ca="1">IFERROR($S809/_xlfn.XLOOKUP($AE809,$B$16:$B$38,$S$16:$S$38),0)</f>
        <v>0</v>
      </c>
      <c r="AC809" s="158">
        <f ca="1">IFERROR($T809/_xlfn.XLOOKUP($AE809,$B$16:$B$38,$T$16:$T$38),0)</f>
        <v>0</v>
      </c>
      <c r="AD809" s="164"/>
      <c r="AE809" s="148">
        <f t="shared" si="1754"/>
        <v>0</v>
      </c>
      <c r="AF809" s="149"/>
      <c r="AG809" s="150"/>
      <c r="AH809" s="159" t="e">
        <f>S809/$S$745</f>
        <v>#DIV/0!</v>
      </c>
      <c r="AI809" s="166">
        <f>IF(K809=0,0,K809/F809)</f>
        <v>0</v>
      </c>
      <c r="AJ809" s="105"/>
      <c r="AK809" s="105"/>
      <c r="AM809" s="105"/>
      <c r="AN809" s="105"/>
      <c r="AO809" s="105"/>
      <c r="AP809" s="105"/>
      <c r="AQ809" s="105"/>
      <c r="AR809" s="105"/>
    </row>
    <row r="810" spans="1:44" s="49" customFormat="1" ht="40.15" hidden="1" customHeight="1">
      <c r="A810" s="10">
        <f t="shared" ref="A810:A834" ca="1" si="1755">+IF(K810&gt;0,A809+0.01,A809)</f>
        <v>0</v>
      </c>
      <c r="B810" s="153"/>
      <c r="C810" s="154"/>
      <c r="D810" s="154"/>
      <c r="E810" s="161" t="s">
        <v>269</v>
      </c>
      <c r="F810" s="154"/>
      <c r="G810" s="154"/>
      <c r="H810" s="152"/>
      <c r="I810" s="152"/>
      <c r="J810" s="154"/>
      <c r="K810" s="154"/>
      <c r="L810" s="154"/>
      <c r="M810" s="154"/>
      <c r="N810" s="154"/>
      <c r="O810" s="154"/>
      <c r="P810" s="154"/>
      <c r="Q810" s="154"/>
      <c r="R810" s="154"/>
      <c r="S810" s="162"/>
      <c r="T810" s="162"/>
      <c r="U810" s="162"/>
      <c r="V810" s="162"/>
      <c r="W810" s="162"/>
      <c r="X810" s="163"/>
      <c r="Y810" s="163"/>
      <c r="Z810" s="163"/>
      <c r="AA810" s="163"/>
      <c r="AB810" s="163"/>
      <c r="AC810" s="163"/>
      <c r="AD810" s="164"/>
      <c r="AE810" s="148">
        <f>IF(SUM(S811:S812)&gt;0,IFERROR(TRUNC(A810,0),0),0)</f>
        <v>0</v>
      </c>
      <c r="AF810" s="149"/>
      <c r="AG810" s="150"/>
      <c r="AH810" s="159"/>
      <c r="AI810" s="160"/>
      <c r="AJ810" s="105"/>
      <c r="AK810" s="105"/>
      <c r="AM810" s="105"/>
      <c r="AN810" s="105"/>
      <c r="AO810" s="105"/>
      <c r="AP810" s="105"/>
      <c r="AQ810" s="105"/>
      <c r="AR810" s="105"/>
    </row>
    <row r="811" spans="1:44" s="49" customFormat="1" ht="40.15" hidden="1" customHeight="1">
      <c r="A811" s="152">
        <f t="shared" ca="1" si="1755"/>
        <v>0</v>
      </c>
      <c r="B811" s="153">
        <v>95879</v>
      </c>
      <c r="C811" s="154" t="str">
        <f>TEXT(B811,"0")</f>
        <v>95879</v>
      </c>
      <c r="D811" s="154" t="s">
        <v>1416</v>
      </c>
      <c r="E811" s="155" t="s">
        <v>3535</v>
      </c>
      <c r="F811" s="154">
        <f>IF(Dados_DMT!$B$31&lt;30,Dados_DMT!$B$31,30)</f>
        <v>0</v>
      </c>
      <c r="G811" s="154" t="s">
        <v>3534</v>
      </c>
      <c r="H811" s="152">
        <v>1.41</v>
      </c>
      <c r="I811" s="152">
        <v>1.42</v>
      </c>
      <c r="J811" s="156"/>
      <c r="K811" s="215">
        <f>ROUND(Pav_Estrutura!K120*F811,2)</f>
        <v>0</v>
      </c>
      <c r="L811" s="156">
        <f>IF($K811&gt;$J811,$K811-$J811,0)</f>
        <v>0</v>
      </c>
      <c r="M811" s="156">
        <f>IF($K811&lt;$J811,$J811-$K811,0)</f>
        <v>0</v>
      </c>
      <c r="N811" s="156" t="s">
        <v>83</v>
      </c>
      <c r="O811" s="157" cm="1">
        <f t="array" ref="O811">TRUNC($H811*(1+_xlfn.SWITCH($N811,"BDI 1",$O$6,"BDI 2",$O$7,"BDI 3",$O$8)),2)</f>
        <v>1.7</v>
      </c>
      <c r="P811" s="157" cm="1">
        <f t="array" ref="P811">TRUNC($I811*(1+_xlfn.SWITCH($N811,"BDI 1",$P$6,"BDI 2",$P$7,"BDI 3",$P$8)),2)</f>
        <v>1.79</v>
      </c>
      <c r="Q811" s="157">
        <v>0</v>
      </c>
      <c r="R811" s="157">
        <v>0</v>
      </c>
      <c r="S811" s="156">
        <f>TRUNC($K811*$O811,2)</f>
        <v>0</v>
      </c>
      <c r="T811" s="156">
        <f>TRUNC($K811*$P811,2)</f>
        <v>0</v>
      </c>
      <c r="U811" s="156">
        <f>TRUNC($J811*$R811,2)</f>
        <v>0</v>
      </c>
      <c r="V811" s="156">
        <f>TRUNC($K811*$Q811,2)</f>
        <v>0</v>
      </c>
      <c r="W811" s="156">
        <f>TRUNC(V811-U811,2)</f>
        <v>0</v>
      </c>
      <c r="X811" s="158">
        <f>$S811/ORCAMENTO_VALOR_TOTAL_ND</f>
        <v>0</v>
      </c>
      <c r="Y811" s="158">
        <f>$T811/ORCAMENTO_VALOR_TOTAL_DE</f>
        <v>0</v>
      </c>
      <c r="Z811" s="158" cm="1">
        <f t="array" ref="Z811">_xlfn.SWITCH($N811,"BDI 1",$O$6,"BDI 2",$O$7,"BDI 3",$O$8)</f>
        <v>0.20699999999999999</v>
      </c>
      <c r="AA811" s="158" cm="1">
        <f t="array" ref="AA811">_xlfn.SWITCH($N811,"BDI 1",$P$6,"BDI 2",$P$7,"BDI 3",$P$8)</f>
        <v>0.26739999999999997</v>
      </c>
      <c r="AB811" s="158">
        <f ca="1">IFERROR($S811/_xlfn.XLOOKUP($AE811,$B$16:$B$38,$S$16:$S$38),0)</f>
        <v>0</v>
      </c>
      <c r="AC811" s="158">
        <f ca="1">IFERROR($T811/_xlfn.XLOOKUP($AE811,$B$16:$B$38,$T$16:$T$38),0)</f>
        <v>0</v>
      </c>
      <c r="AD811" s="164"/>
      <c r="AE811" s="148">
        <f t="shared" ref="AE811:AE812" si="1756">IF(S811&gt;0,IFERROR(TRUNC(A811,0),0),0)</f>
        <v>0</v>
      </c>
      <c r="AF811" s="149"/>
      <c r="AG811" s="150"/>
      <c r="AH811" s="159" t="e">
        <f>S811/$S$745</f>
        <v>#DIV/0!</v>
      </c>
      <c r="AI811" s="166">
        <f>IF(K811=0,0,K811/F811)</f>
        <v>0</v>
      </c>
      <c r="AJ811" s="105"/>
      <c r="AK811" s="105"/>
      <c r="AM811" s="105"/>
      <c r="AN811" s="105"/>
      <c r="AO811" s="105"/>
      <c r="AP811" s="105"/>
      <c r="AQ811" s="105"/>
      <c r="AR811" s="105"/>
    </row>
    <row r="812" spans="1:44" s="49" customFormat="1" ht="40.15" hidden="1" customHeight="1">
      <c r="A812" s="152">
        <f t="shared" ca="1" si="1755"/>
        <v>0</v>
      </c>
      <c r="B812" s="153">
        <v>93599</v>
      </c>
      <c r="C812" s="154" t="str">
        <f>TEXT(B812,"0")</f>
        <v>93599</v>
      </c>
      <c r="D812" s="154" t="s">
        <v>1416</v>
      </c>
      <c r="E812" s="155" t="s">
        <v>3533</v>
      </c>
      <c r="F812" s="154">
        <f>+Dados_DMT!$B$31-F811</f>
        <v>0</v>
      </c>
      <c r="G812" s="154" t="s">
        <v>3534</v>
      </c>
      <c r="H812" s="152">
        <v>0.56000000000000005</v>
      </c>
      <c r="I812" s="152">
        <v>0.56000000000000005</v>
      </c>
      <c r="J812" s="156"/>
      <c r="K812" s="156">
        <f>ROUND(Pav_Estrutura!K120*F812,2)</f>
        <v>0</v>
      </c>
      <c r="L812" s="156">
        <f>IF($K812&gt;$J812,$K812-$J812,0)</f>
        <v>0</v>
      </c>
      <c r="M812" s="156">
        <f>IF($K812&lt;$J812,$J812-$K812,0)</f>
        <v>0</v>
      </c>
      <c r="N812" s="156" t="s">
        <v>83</v>
      </c>
      <c r="O812" s="157" cm="1">
        <f t="array" ref="O812">TRUNC($H812*(1+_xlfn.SWITCH($N812,"BDI 1",$O$6,"BDI 2",$O$7,"BDI 3",$O$8)),2)</f>
        <v>0.67</v>
      </c>
      <c r="P812" s="157" cm="1">
        <f t="array" ref="P812">TRUNC($I812*(1+_xlfn.SWITCH($N812,"BDI 1",$P$6,"BDI 2",$P$7,"BDI 3",$P$8)),2)</f>
        <v>0.7</v>
      </c>
      <c r="Q812" s="157">
        <v>0</v>
      </c>
      <c r="R812" s="157">
        <v>0</v>
      </c>
      <c r="S812" s="156">
        <f>TRUNC($K812*$O812,2)</f>
        <v>0</v>
      </c>
      <c r="T812" s="156">
        <f>TRUNC($K812*$P812,2)</f>
        <v>0</v>
      </c>
      <c r="U812" s="156">
        <f>TRUNC($J812*$R812,2)</f>
        <v>0</v>
      </c>
      <c r="V812" s="156">
        <f>TRUNC($K812*$Q812,2)</f>
        <v>0</v>
      </c>
      <c r="W812" s="156">
        <f>TRUNC(V812-U812,2)</f>
        <v>0</v>
      </c>
      <c r="X812" s="158">
        <f>$S812/ORCAMENTO_VALOR_TOTAL_ND</f>
        <v>0</v>
      </c>
      <c r="Y812" s="158">
        <f>$T812/ORCAMENTO_VALOR_TOTAL_DE</f>
        <v>0</v>
      </c>
      <c r="Z812" s="158" cm="1">
        <f t="array" ref="Z812">_xlfn.SWITCH($N812,"BDI 1",$O$6,"BDI 2",$O$7,"BDI 3",$O$8)</f>
        <v>0.20699999999999999</v>
      </c>
      <c r="AA812" s="158" cm="1">
        <f t="array" ref="AA812">_xlfn.SWITCH($N812,"BDI 1",$P$6,"BDI 2",$P$7,"BDI 3",$P$8)</f>
        <v>0.26739999999999997</v>
      </c>
      <c r="AB812" s="158">
        <f ca="1">IFERROR($S812/_xlfn.XLOOKUP($AE812,$B$16:$B$38,$S$16:$S$38),0)</f>
        <v>0</v>
      </c>
      <c r="AC812" s="158">
        <f ca="1">IFERROR($T812/_xlfn.XLOOKUP($AE812,$B$16:$B$38,$T$16:$T$38),0)</f>
        <v>0</v>
      </c>
      <c r="AD812" s="164"/>
      <c r="AE812" s="148">
        <f t="shared" si="1756"/>
        <v>0</v>
      </c>
      <c r="AF812" s="149"/>
      <c r="AG812" s="150"/>
      <c r="AH812" s="159" t="e">
        <f>S812/$S$745</f>
        <v>#DIV/0!</v>
      </c>
      <c r="AI812" s="166">
        <f>IF(K812=0,0,K812/F812)</f>
        <v>0</v>
      </c>
      <c r="AJ812" s="105"/>
      <c r="AK812" s="105"/>
      <c r="AM812" s="105"/>
      <c r="AN812" s="105"/>
      <c r="AO812" s="105"/>
      <c r="AP812" s="105"/>
      <c r="AQ812" s="105"/>
      <c r="AR812" s="105"/>
    </row>
    <row r="813" spans="1:44" s="49" customFormat="1" ht="40.15" hidden="1" customHeight="1">
      <c r="A813" s="10">
        <f t="shared" ca="1" si="1755"/>
        <v>0</v>
      </c>
      <c r="B813" s="153"/>
      <c r="C813" s="154"/>
      <c r="D813" s="154"/>
      <c r="E813" s="161" t="s">
        <v>270</v>
      </c>
      <c r="F813" s="154"/>
      <c r="G813" s="154"/>
      <c r="H813" s="152"/>
      <c r="I813" s="152"/>
      <c r="J813" s="154"/>
      <c r="K813" s="154"/>
      <c r="L813" s="154"/>
      <c r="M813" s="154"/>
      <c r="N813" s="154"/>
      <c r="O813" s="154"/>
      <c r="P813" s="154"/>
      <c r="Q813" s="154"/>
      <c r="R813" s="154"/>
      <c r="S813" s="162"/>
      <c r="T813" s="162"/>
      <c r="U813" s="162"/>
      <c r="V813" s="162"/>
      <c r="W813" s="162"/>
      <c r="X813" s="163"/>
      <c r="Y813" s="163"/>
      <c r="Z813" s="163"/>
      <c r="AA813" s="163"/>
      <c r="AB813" s="163"/>
      <c r="AC813" s="163"/>
      <c r="AD813" s="164"/>
      <c r="AE813" s="148">
        <f>IF(SUM(S814:S815)&gt;0,IFERROR(TRUNC(A813,0),0),0)</f>
        <v>0</v>
      </c>
      <c r="AF813" s="149"/>
      <c r="AG813" s="150"/>
      <c r="AH813" s="159"/>
      <c r="AI813" s="160"/>
      <c r="AJ813" s="105"/>
      <c r="AK813" s="105"/>
      <c r="AM813" s="105"/>
      <c r="AN813" s="105"/>
      <c r="AO813" s="214"/>
      <c r="AP813" s="214"/>
      <c r="AQ813" s="214"/>
      <c r="AR813" s="214"/>
    </row>
    <row r="814" spans="1:44" s="49" customFormat="1" ht="40.15" hidden="1" customHeight="1">
      <c r="A814" s="152">
        <f t="shared" ca="1" si="1755"/>
        <v>0</v>
      </c>
      <c r="B814" s="153">
        <v>95879</v>
      </c>
      <c r="C814" s="154" t="str">
        <f>TEXT(B814,"0")</f>
        <v>95879</v>
      </c>
      <c r="D814" s="154" t="s">
        <v>1416</v>
      </c>
      <c r="E814" s="155" t="s">
        <v>3535</v>
      </c>
      <c r="F814" s="154">
        <f>IF(Dados_DMT!$B$30&lt;30,Dados_DMT!$B$30,30)</f>
        <v>30</v>
      </c>
      <c r="G814" s="154" t="s">
        <v>3534</v>
      </c>
      <c r="H814" s="152">
        <v>1.41</v>
      </c>
      <c r="I814" s="152">
        <v>1.42</v>
      </c>
      <c r="J814" s="156"/>
      <c r="K814" s="156">
        <f>ROUND(Pav_Estrutura!K119*F814,2)</f>
        <v>0</v>
      </c>
      <c r="L814" s="156">
        <f>IF($K814&gt;$J814,$K814-$J814,0)</f>
        <v>0</v>
      </c>
      <c r="M814" s="156">
        <f>IF($K814&lt;$J814,$J814-$K814,0)</f>
        <v>0</v>
      </c>
      <c r="N814" s="156" t="s">
        <v>83</v>
      </c>
      <c r="O814" s="157" cm="1">
        <f t="array" ref="O814">TRUNC($H814*(1+_xlfn.SWITCH($N814,"BDI 1",$O$6,"BDI 2",$O$7,"BDI 3",$O$8)),2)</f>
        <v>1.7</v>
      </c>
      <c r="P814" s="157" cm="1">
        <f t="array" ref="P814">TRUNC($I814*(1+_xlfn.SWITCH($N814,"BDI 1",$P$6,"BDI 2",$P$7,"BDI 3",$P$8)),2)</f>
        <v>1.79</v>
      </c>
      <c r="Q814" s="157">
        <v>0</v>
      </c>
      <c r="R814" s="157">
        <v>0</v>
      </c>
      <c r="S814" s="156">
        <f>TRUNC($K814*$O814,2)</f>
        <v>0</v>
      </c>
      <c r="T814" s="156">
        <f>TRUNC($K814*$P814,2)</f>
        <v>0</v>
      </c>
      <c r="U814" s="156">
        <f>TRUNC($J814*$R814,2)</f>
        <v>0</v>
      </c>
      <c r="V814" s="156">
        <f>TRUNC($K814*$Q814,2)</f>
        <v>0</v>
      </c>
      <c r="W814" s="156">
        <f>TRUNC(V814-U814,2)</f>
        <v>0</v>
      </c>
      <c r="X814" s="158">
        <f>$S814/ORCAMENTO_VALOR_TOTAL_ND</f>
        <v>0</v>
      </c>
      <c r="Y814" s="158">
        <f>$T814/ORCAMENTO_VALOR_TOTAL_DE</f>
        <v>0</v>
      </c>
      <c r="Z814" s="158" cm="1">
        <f t="array" ref="Z814">_xlfn.SWITCH($N814,"BDI 1",$O$6,"BDI 2",$O$7,"BDI 3",$O$8)</f>
        <v>0.20699999999999999</v>
      </c>
      <c r="AA814" s="158" cm="1">
        <f t="array" ref="AA814">_xlfn.SWITCH($N814,"BDI 1",$P$6,"BDI 2",$P$7,"BDI 3",$P$8)</f>
        <v>0.26739999999999997</v>
      </c>
      <c r="AB814" s="158">
        <f ca="1">IFERROR($S814/_xlfn.XLOOKUP($AE814,$B$16:$B$38,$S$16:$S$38),0)</f>
        <v>0</v>
      </c>
      <c r="AC814" s="158">
        <f ca="1">IFERROR($T814/_xlfn.XLOOKUP($AE814,$B$16:$B$38,$T$16:$T$38),0)</f>
        <v>0</v>
      </c>
      <c r="AD814" s="164"/>
      <c r="AE814" s="148">
        <f t="shared" ref="AE814:AE815" si="1757">IF(S814&gt;0,IFERROR(TRUNC(A814,0),0),0)</f>
        <v>0</v>
      </c>
      <c r="AF814" s="149"/>
      <c r="AG814" s="150"/>
      <c r="AH814" s="159" t="e">
        <f>S814/$S$745</f>
        <v>#DIV/0!</v>
      </c>
      <c r="AI814" s="209">
        <f>IF(K814=0,0,K814/F814)</f>
        <v>0</v>
      </c>
      <c r="AJ814" s="105"/>
      <c r="AK814" s="105"/>
      <c r="AM814" s="105"/>
      <c r="AN814" s="105"/>
      <c r="AO814" s="214"/>
      <c r="AP814" s="214"/>
      <c r="AQ814" s="214"/>
      <c r="AR814" s="214"/>
    </row>
    <row r="815" spans="1:44" s="49" customFormat="1" ht="40.15" hidden="1" customHeight="1">
      <c r="A815" s="152">
        <f t="shared" ca="1" si="1755"/>
        <v>0</v>
      </c>
      <c r="B815" s="153">
        <v>93599</v>
      </c>
      <c r="C815" s="154" t="str">
        <f>TEXT(B815,"0")</f>
        <v>93599</v>
      </c>
      <c r="D815" s="154" t="s">
        <v>1416</v>
      </c>
      <c r="E815" s="155" t="s">
        <v>3533</v>
      </c>
      <c r="F815" s="154">
        <f>+Dados_DMT!$B$30-F814</f>
        <v>80</v>
      </c>
      <c r="G815" s="154" t="s">
        <v>3534</v>
      </c>
      <c r="H815" s="152">
        <v>0.56000000000000005</v>
      </c>
      <c r="I815" s="152">
        <v>0.56000000000000005</v>
      </c>
      <c r="J815" s="156"/>
      <c r="K815" s="156">
        <f>ROUND(Pav_Estrutura!K119*F815,2)</f>
        <v>0</v>
      </c>
      <c r="L815" s="156">
        <f>IF($K815&gt;$J815,$K815-$J815,0)</f>
        <v>0</v>
      </c>
      <c r="M815" s="156">
        <f>IF($K815&lt;$J815,$J815-$K815,0)</f>
        <v>0</v>
      </c>
      <c r="N815" s="156" t="s">
        <v>83</v>
      </c>
      <c r="O815" s="157" cm="1">
        <f t="array" ref="O815">TRUNC($H815*(1+_xlfn.SWITCH($N815,"BDI 1",$O$6,"BDI 2",$O$7,"BDI 3",$O$8)),2)</f>
        <v>0.67</v>
      </c>
      <c r="P815" s="157" cm="1">
        <f t="array" ref="P815">TRUNC($I815*(1+_xlfn.SWITCH($N815,"BDI 1",$P$6,"BDI 2",$P$7,"BDI 3",$P$8)),2)</f>
        <v>0.7</v>
      </c>
      <c r="Q815" s="157">
        <v>0</v>
      </c>
      <c r="R815" s="157">
        <v>0</v>
      </c>
      <c r="S815" s="156">
        <f>TRUNC($K815*$O815,2)</f>
        <v>0</v>
      </c>
      <c r="T815" s="156">
        <f>TRUNC($K815*$P815,2)</f>
        <v>0</v>
      </c>
      <c r="U815" s="156">
        <f>TRUNC($J815*$R815,2)</f>
        <v>0</v>
      </c>
      <c r="V815" s="156">
        <f>TRUNC($K815*$Q815,2)</f>
        <v>0</v>
      </c>
      <c r="W815" s="156">
        <f>TRUNC(V815-U815,2)</f>
        <v>0</v>
      </c>
      <c r="X815" s="158">
        <f>$S815/ORCAMENTO_VALOR_TOTAL_ND</f>
        <v>0</v>
      </c>
      <c r="Y815" s="158">
        <f>$T815/ORCAMENTO_VALOR_TOTAL_DE</f>
        <v>0</v>
      </c>
      <c r="Z815" s="158" cm="1">
        <f t="array" ref="Z815">_xlfn.SWITCH($N815,"BDI 1",$O$6,"BDI 2",$O$7,"BDI 3",$O$8)</f>
        <v>0.20699999999999999</v>
      </c>
      <c r="AA815" s="158" cm="1">
        <f t="array" ref="AA815">_xlfn.SWITCH($N815,"BDI 1",$P$6,"BDI 2",$P$7,"BDI 3",$P$8)</f>
        <v>0.26739999999999997</v>
      </c>
      <c r="AB815" s="158">
        <f ca="1">IFERROR($S815/_xlfn.XLOOKUP($AE815,$B$16:$B$38,$S$16:$S$38),0)</f>
        <v>0</v>
      </c>
      <c r="AC815" s="158">
        <f ca="1">IFERROR($T815/_xlfn.XLOOKUP($AE815,$B$16:$B$38,$T$16:$T$38),0)</f>
        <v>0</v>
      </c>
      <c r="AD815" s="164"/>
      <c r="AE815" s="148">
        <f t="shared" si="1757"/>
        <v>0</v>
      </c>
      <c r="AF815" s="149"/>
      <c r="AG815" s="150"/>
      <c r="AH815" s="159" t="e">
        <f>S815/$S$745</f>
        <v>#DIV/0!</v>
      </c>
      <c r="AI815" s="209">
        <f>IF(K815=0,0,K815/F815)</f>
        <v>0</v>
      </c>
      <c r="AJ815" s="105"/>
      <c r="AK815" s="105"/>
      <c r="AM815" s="105"/>
      <c r="AN815" s="105"/>
      <c r="AO815" s="214"/>
      <c r="AP815" s="214"/>
      <c r="AQ815" s="214"/>
      <c r="AR815" s="214"/>
    </row>
    <row r="816" spans="1:44" s="49" customFormat="1" ht="40.15" hidden="1" customHeight="1">
      <c r="A816" s="10">
        <f t="shared" ca="1" si="1755"/>
        <v>0</v>
      </c>
      <c r="B816" s="153"/>
      <c r="C816" s="154"/>
      <c r="D816" s="154"/>
      <c r="E816" s="161" t="s">
        <v>271</v>
      </c>
      <c r="F816" s="154"/>
      <c r="G816" s="154"/>
      <c r="H816" s="152"/>
      <c r="I816" s="152"/>
      <c r="J816" s="154"/>
      <c r="K816" s="154"/>
      <c r="L816" s="154"/>
      <c r="M816" s="154"/>
      <c r="N816" s="154"/>
      <c r="O816" s="154"/>
      <c r="P816" s="154"/>
      <c r="Q816" s="154"/>
      <c r="R816" s="154"/>
      <c r="S816" s="162"/>
      <c r="T816" s="162"/>
      <c r="U816" s="162"/>
      <c r="V816" s="162"/>
      <c r="W816" s="162"/>
      <c r="X816" s="163"/>
      <c r="Y816" s="163"/>
      <c r="Z816" s="163"/>
      <c r="AA816" s="163"/>
      <c r="AB816" s="163"/>
      <c r="AC816" s="163"/>
      <c r="AD816" s="164"/>
      <c r="AE816" s="148">
        <f>IF(SUM(S817:S818)&gt;0,IFERROR(TRUNC(A816,0),0),0)</f>
        <v>0</v>
      </c>
      <c r="AF816" s="149"/>
      <c r="AG816" s="150"/>
      <c r="AH816" s="159"/>
      <c r="AI816" s="160"/>
      <c r="AJ816" s="105"/>
      <c r="AK816" s="105"/>
      <c r="AM816" s="105"/>
      <c r="AN816" s="105"/>
      <c r="AO816" s="105"/>
      <c r="AP816" s="105"/>
      <c r="AQ816" s="105"/>
      <c r="AR816" s="105"/>
    </row>
    <row r="817" spans="1:44" s="49" customFormat="1" ht="40.15" hidden="1" customHeight="1">
      <c r="A817" s="152">
        <f t="shared" ca="1" si="1755"/>
        <v>0</v>
      </c>
      <c r="B817" s="153">
        <v>102332</v>
      </c>
      <c r="C817" s="154" t="str">
        <f>TEXT(B817,"0")</f>
        <v>102332</v>
      </c>
      <c r="D817" s="154" t="s">
        <v>1416</v>
      </c>
      <c r="E817" s="155" t="s">
        <v>3547</v>
      </c>
      <c r="F817" s="154">
        <f>IF(Dados_DMT!$B$25&lt;30,Dados_DMT!$B$25,30)</f>
        <v>30</v>
      </c>
      <c r="G817" s="154" t="s">
        <v>3534</v>
      </c>
      <c r="H817" s="152">
        <v>1.79</v>
      </c>
      <c r="I817" s="152">
        <v>1.81</v>
      </c>
      <c r="J817" s="156"/>
      <c r="K817" s="156">
        <f>IF(B755="PA/0025",0,ROUND(Pav_Estrutura!K112*F817,2))</f>
        <v>0</v>
      </c>
      <c r="L817" s="156">
        <f>IF($K817&gt;$J817,$K817-$J817,0)</f>
        <v>0</v>
      </c>
      <c r="M817" s="156">
        <f>IF($K817&lt;$J817,$J817-$K817,0)</f>
        <v>0</v>
      </c>
      <c r="N817" s="156" t="s">
        <v>83</v>
      </c>
      <c r="O817" s="157" cm="1">
        <f t="array" ref="O817">TRUNC($H817*(1+_xlfn.SWITCH($N817,"BDI 1",$O$6,"BDI 2",$O$7,"BDI 3",$O$8)),2)</f>
        <v>2.16</v>
      </c>
      <c r="P817" s="157" cm="1">
        <f t="array" ref="P817">TRUNC($I817*(1+_xlfn.SWITCH($N817,"BDI 1",$P$6,"BDI 2",$P$7,"BDI 3",$P$8)),2)</f>
        <v>2.29</v>
      </c>
      <c r="Q817" s="157">
        <v>0</v>
      </c>
      <c r="R817" s="157">
        <v>0</v>
      </c>
      <c r="S817" s="156">
        <f>TRUNC($K817*$O817,2)</f>
        <v>0</v>
      </c>
      <c r="T817" s="156">
        <f>TRUNC($K817*$P817,2)</f>
        <v>0</v>
      </c>
      <c r="U817" s="156">
        <f>TRUNC($J817*$R817,2)</f>
        <v>0</v>
      </c>
      <c r="V817" s="156">
        <f>TRUNC($K817*$Q817,2)</f>
        <v>0</v>
      </c>
      <c r="W817" s="156">
        <f>TRUNC(V817-U817,2)</f>
        <v>0</v>
      </c>
      <c r="X817" s="158">
        <f>$S817/ORCAMENTO_VALOR_TOTAL_ND</f>
        <v>0</v>
      </c>
      <c r="Y817" s="158">
        <f>$T817/ORCAMENTO_VALOR_TOTAL_DE</f>
        <v>0</v>
      </c>
      <c r="Z817" s="158" cm="1">
        <f t="array" ref="Z817">_xlfn.SWITCH($N817,"BDI 1",$O$6,"BDI 2",$O$7,"BDI 3",$O$8)</f>
        <v>0.20699999999999999</v>
      </c>
      <c r="AA817" s="158" cm="1">
        <f t="array" ref="AA817">_xlfn.SWITCH($N817,"BDI 1",$P$6,"BDI 2",$P$7,"BDI 3",$P$8)</f>
        <v>0.26739999999999997</v>
      </c>
      <c r="AB817" s="158">
        <f ca="1">IFERROR($S817/_xlfn.XLOOKUP($AE817,$B$16:$B$38,$S$16:$S$38),0)</f>
        <v>0</v>
      </c>
      <c r="AC817" s="158">
        <f ca="1">IFERROR($T817/_xlfn.XLOOKUP($AE817,$B$16:$B$38,$T$16:$T$38),0)</f>
        <v>0</v>
      </c>
      <c r="AD817" s="164"/>
      <c r="AE817" s="148">
        <f t="shared" ref="AE817:AE818" si="1758">IF(S817&gt;0,IFERROR(TRUNC(A817,0),0),0)</f>
        <v>0</v>
      </c>
      <c r="AF817" s="149"/>
      <c r="AG817" s="150"/>
      <c r="AH817" s="159" t="e">
        <f>S817/$S$745</f>
        <v>#DIV/0!</v>
      </c>
      <c r="AI817" s="209">
        <f>IF(K817=0,0,K817/F817)</f>
        <v>0</v>
      </c>
      <c r="AJ817" s="105"/>
      <c r="AK817" s="105"/>
      <c r="AM817" s="105"/>
      <c r="AN817" s="105"/>
      <c r="AO817" s="105"/>
      <c r="AP817" s="105"/>
      <c r="AQ817" s="105"/>
      <c r="AR817" s="105"/>
    </row>
    <row r="818" spans="1:44" s="49" customFormat="1" ht="40.15" hidden="1" customHeight="1">
      <c r="A818" s="152">
        <f t="shared" ca="1" si="1755"/>
        <v>0</v>
      </c>
      <c r="B818" s="153">
        <v>102333</v>
      </c>
      <c r="C818" s="154" t="str">
        <f>TEXT(B818,"0")</f>
        <v>102333</v>
      </c>
      <c r="D818" s="154" t="s">
        <v>1416</v>
      </c>
      <c r="E818" s="155" t="s">
        <v>3546</v>
      </c>
      <c r="F818" s="154">
        <f>+Dados_DMT!$B$25-F817</f>
        <v>80</v>
      </c>
      <c r="G818" s="154" t="s">
        <v>3534</v>
      </c>
      <c r="H818" s="152">
        <v>0.72</v>
      </c>
      <c r="I818" s="152">
        <v>0.73</v>
      </c>
      <c r="J818" s="156"/>
      <c r="K818" s="156">
        <f>IF(B755="PA/0025",0,ROUND(Pav_Estrutura!K112*F818,2))</f>
        <v>0</v>
      </c>
      <c r="L818" s="156">
        <f>IF($K818&gt;$J818,$K818-$J818,0)</f>
        <v>0</v>
      </c>
      <c r="M818" s="156">
        <f>IF($K818&lt;$J818,$J818-$K818,0)</f>
        <v>0</v>
      </c>
      <c r="N818" s="156" t="s">
        <v>83</v>
      </c>
      <c r="O818" s="157" cm="1">
        <f t="array" ref="O818">TRUNC($H818*(1+_xlfn.SWITCH($N818,"BDI 1",$O$6,"BDI 2",$O$7,"BDI 3",$O$8)),2)</f>
        <v>0.86</v>
      </c>
      <c r="P818" s="157" cm="1">
        <f t="array" ref="P818">TRUNC($I818*(1+_xlfn.SWITCH($N818,"BDI 1",$P$6,"BDI 2",$P$7,"BDI 3",$P$8)),2)</f>
        <v>0.92</v>
      </c>
      <c r="Q818" s="157">
        <v>0</v>
      </c>
      <c r="R818" s="157">
        <v>0</v>
      </c>
      <c r="S818" s="156">
        <f>TRUNC($K818*$O818,2)</f>
        <v>0</v>
      </c>
      <c r="T818" s="156">
        <f>TRUNC($K818*$P818,2)</f>
        <v>0</v>
      </c>
      <c r="U818" s="156">
        <f>TRUNC($J818*$R818,2)</f>
        <v>0</v>
      </c>
      <c r="V818" s="156">
        <f>TRUNC($K818*$Q818,2)</f>
        <v>0</v>
      </c>
      <c r="W818" s="156">
        <f>TRUNC(V818-U818,2)</f>
        <v>0</v>
      </c>
      <c r="X818" s="158">
        <f>$S818/ORCAMENTO_VALOR_TOTAL_ND</f>
        <v>0</v>
      </c>
      <c r="Y818" s="158">
        <f>$T818/ORCAMENTO_VALOR_TOTAL_DE</f>
        <v>0</v>
      </c>
      <c r="Z818" s="158" cm="1">
        <f t="array" ref="Z818">_xlfn.SWITCH($N818,"BDI 1",$O$6,"BDI 2",$O$7,"BDI 3",$O$8)</f>
        <v>0.20699999999999999</v>
      </c>
      <c r="AA818" s="158" cm="1">
        <f t="array" ref="AA818">_xlfn.SWITCH($N818,"BDI 1",$P$6,"BDI 2",$P$7,"BDI 3",$P$8)</f>
        <v>0.26739999999999997</v>
      </c>
      <c r="AB818" s="158">
        <f ca="1">IFERROR($S818/_xlfn.XLOOKUP($AE818,$B$16:$B$38,$S$16:$S$38),0)</f>
        <v>0</v>
      </c>
      <c r="AC818" s="158">
        <f ca="1">IFERROR($T818/_xlfn.XLOOKUP($AE818,$B$16:$B$38,$T$16:$T$38),0)</f>
        <v>0</v>
      </c>
      <c r="AD818" s="164"/>
      <c r="AE818" s="148">
        <f t="shared" si="1758"/>
        <v>0</v>
      </c>
      <c r="AF818" s="149"/>
      <c r="AG818" s="150"/>
      <c r="AH818" s="159" t="e">
        <f>S818/$S$745</f>
        <v>#DIV/0!</v>
      </c>
      <c r="AI818" s="209">
        <f>IF(K818=0,0,K818/F818)</f>
        <v>0</v>
      </c>
      <c r="AJ818" s="105"/>
      <c r="AK818" s="105"/>
      <c r="AM818" s="105"/>
      <c r="AN818" s="105"/>
      <c r="AO818" s="105"/>
      <c r="AP818" s="105"/>
      <c r="AQ818" s="105"/>
      <c r="AR818" s="105"/>
    </row>
    <row r="819" spans="1:44" s="49" customFormat="1" ht="40.15" hidden="1" customHeight="1">
      <c r="A819" s="10">
        <f t="shared" ca="1" si="1755"/>
        <v>0</v>
      </c>
      <c r="B819" s="153"/>
      <c r="C819" s="154"/>
      <c r="D819" s="154"/>
      <c r="E819" s="161" t="s">
        <v>272</v>
      </c>
      <c r="F819" s="154"/>
      <c r="G819" s="154"/>
      <c r="H819" s="152"/>
      <c r="I819" s="152"/>
      <c r="J819" s="154"/>
      <c r="K819" s="154"/>
      <c r="L819" s="154"/>
      <c r="M819" s="154"/>
      <c r="N819" s="154"/>
      <c r="O819" s="154"/>
      <c r="P819" s="154"/>
      <c r="Q819" s="154"/>
      <c r="R819" s="154"/>
      <c r="S819" s="162"/>
      <c r="T819" s="162"/>
      <c r="U819" s="162"/>
      <c r="V819" s="162"/>
      <c r="W819" s="162"/>
      <c r="X819" s="163"/>
      <c r="Y819" s="163"/>
      <c r="Z819" s="163"/>
      <c r="AA819" s="163"/>
      <c r="AB819" s="163"/>
      <c r="AC819" s="163"/>
      <c r="AD819" s="164"/>
      <c r="AE819" s="148">
        <f>IF(SUM(S820:S821)&gt;0,IFERROR(TRUNC(A819,0),0),0)</f>
        <v>0</v>
      </c>
      <c r="AF819" s="149"/>
      <c r="AG819" s="150"/>
      <c r="AH819" s="159"/>
      <c r="AI819" s="160"/>
      <c r="AJ819" s="105"/>
      <c r="AK819" s="105"/>
      <c r="AM819" s="105"/>
      <c r="AN819" s="105"/>
      <c r="AO819" s="105"/>
      <c r="AP819" s="105"/>
      <c r="AQ819" s="105"/>
      <c r="AR819" s="105"/>
    </row>
    <row r="820" spans="1:44" s="49" customFormat="1" ht="40.15" hidden="1" customHeight="1">
      <c r="A820" s="152">
        <f t="shared" ca="1" si="1755"/>
        <v>0</v>
      </c>
      <c r="B820" s="153">
        <v>102332</v>
      </c>
      <c r="C820" s="154" t="str">
        <f>TEXT(B820,"0")</f>
        <v>102332</v>
      </c>
      <c r="D820" s="154" t="s">
        <v>1416</v>
      </c>
      <c r="E820" s="155" t="s">
        <v>3547</v>
      </c>
      <c r="F820" s="154">
        <f>IF(Dados_DMT!$B$25&lt;30,Dados_DMT!$B$25,30)</f>
        <v>30</v>
      </c>
      <c r="G820" s="154" t="s">
        <v>3534</v>
      </c>
      <c r="H820" s="152">
        <v>1.79</v>
      </c>
      <c r="I820" s="152">
        <v>1.81</v>
      </c>
      <c r="J820" s="156"/>
      <c r="K820" s="156">
        <f>IF(B755="PA/0025",ROUND(Pav_Estrutura!K112,2)*F820,0)+ROUND(SUM(Pav_Estrutura!K113:K114)*F820,2)</f>
        <v>0</v>
      </c>
      <c r="L820" s="156">
        <f>IF($K820&gt;$J820,$K820-$J820,0)</f>
        <v>0</v>
      </c>
      <c r="M820" s="156">
        <f>IF($K820&lt;$J820,$J820-$K820,0)</f>
        <v>0</v>
      </c>
      <c r="N820" s="156" t="s">
        <v>83</v>
      </c>
      <c r="O820" s="157" cm="1">
        <f t="array" ref="O820">TRUNC($H820*(1+_xlfn.SWITCH($N820,"BDI 1",$O$6,"BDI 2",$O$7,"BDI 3",$O$8)),2)</f>
        <v>2.16</v>
      </c>
      <c r="P820" s="157" cm="1">
        <f t="array" ref="P820">TRUNC($I820*(1+_xlfn.SWITCH($N820,"BDI 1",$P$6,"BDI 2",$P$7,"BDI 3",$P$8)),2)</f>
        <v>2.29</v>
      </c>
      <c r="Q820" s="157">
        <v>0</v>
      </c>
      <c r="R820" s="157">
        <v>0</v>
      </c>
      <c r="S820" s="156">
        <f>TRUNC($K820*$O820,2)</f>
        <v>0</v>
      </c>
      <c r="T820" s="156">
        <f>TRUNC($K820*$P820,2)</f>
        <v>0</v>
      </c>
      <c r="U820" s="156">
        <f>TRUNC($J820*$R820,2)</f>
        <v>0</v>
      </c>
      <c r="V820" s="156">
        <f>TRUNC($K820*$Q820,2)</f>
        <v>0</v>
      </c>
      <c r="W820" s="156">
        <f>TRUNC(V820-U820,2)</f>
        <v>0</v>
      </c>
      <c r="X820" s="158">
        <f>$S820/ORCAMENTO_VALOR_TOTAL_ND</f>
        <v>0</v>
      </c>
      <c r="Y820" s="158">
        <f>$T820/ORCAMENTO_VALOR_TOTAL_DE</f>
        <v>0</v>
      </c>
      <c r="Z820" s="158" cm="1">
        <f t="array" ref="Z820">_xlfn.SWITCH($N820,"BDI 1",$O$6,"BDI 2",$O$7,"BDI 3",$O$8)</f>
        <v>0.20699999999999999</v>
      </c>
      <c r="AA820" s="158" cm="1">
        <f t="array" ref="AA820">_xlfn.SWITCH($N820,"BDI 1",$P$6,"BDI 2",$P$7,"BDI 3",$P$8)</f>
        <v>0.26739999999999997</v>
      </c>
      <c r="AB820" s="158">
        <f ca="1">IFERROR($S820/_xlfn.XLOOKUP($AE820,$B$16:$B$38,$S$16:$S$38),0)</f>
        <v>0</v>
      </c>
      <c r="AC820" s="158">
        <f ca="1">IFERROR($T820/_xlfn.XLOOKUP($AE820,$B$16:$B$38,$T$16:$T$38),0)</f>
        <v>0</v>
      </c>
      <c r="AD820" s="164"/>
      <c r="AE820" s="148">
        <f t="shared" ref="AE820:AE821" si="1759">IF(S820&gt;0,IFERROR(TRUNC(A820,0),0),0)</f>
        <v>0</v>
      </c>
      <c r="AF820" s="149"/>
      <c r="AG820" s="150"/>
      <c r="AH820" s="159" t="e">
        <f>S820/$S$745</f>
        <v>#DIV/0!</v>
      </c>
      <c r="AI820" s="209">
        <f>IF(K820=0,0,K820/F820)</f>
        <v>0</v>
      </c>
      <c r="AJ820" s="105"/>
      <c r="AK820" s="105"/>
      <c r="AM820" s="105"/>
      <c r="AN820" s="105"/>
      <c r="AO820" s="105"/>
      <c r="AP820" s="105"/>
      <c r="AQ820" s="105"/>
      <c r="AR820" s="105"/>
    </row>
    <row r="821" spans="1:44" s="49" customFormat="1" ht="40.15" hidden="1" customHeight="1">
      <c r="A821" s="152">
        <f t="shared" ca="1" si="1755"/>
        <v>0</v>
      </c>
      <c r="B821" s="153">
        <v>102333</v>
      </c>
      <c r="C821" s="154" t="str">
        <f>TEXT(B821,"0")</f>
        <v>102333</v>
      </c>
      <c r="D821" s="154" t="s">
        <v>1416</v>
      </c>
      <c r="E821" s="155" t="s">
        <v>3546</v>
      </c>
      <c r="F821" s="154">
        <f>+Dados_DMT!$B$25-F820</f>
        <v>80</v>
      </c>
      <c r="G821" s="154" t="s">
        <v>3534</v>
      </c>
      <c r="H821" s="152">
        <v>0.72</v>
      </c>
      <c r="I821" s="152">
        <v>0.73</v>
      </c>
      <c r="J821" s="156"/>
      <c r="K821" s="156">
        <f>IF(B755="PA/0025",ROUND(Pav_Estrutura!K112,2)*F821,0)+ROUND(SUM(Pav_Estrutura!K113:K114)*F821,2)</f>
        <v>0</v>
      </c>
      <c r="L821" s="156">
        <f>IF($K821&gt;$J821,$K821-$J821,0)</f>
        <v>0</v>
      </c>
      <c r="M821" s="156">
        <f>IF($K821&lt;$J821,$J821-$K821,0)</f>
        <v>0</v>
      </c>
      <c r="N821" s="156" t="s">
        <v>83</v>
      </c>
      <c r="O821" s="157" cm="1">
        <f t="array" ref="O821">TRUNC($H821*(1+_xlfn.SWITCH($N821,"BDI 1",$O$6,"BDI 2",$O$7,"BDI 3",$O$8)),2)</f>
        <v>0.86</v>
      </c>
      <c r="P821" s="157" cm="1">
        <f t="array" ref="P821">TRUNC($I821*(1+_xlfn.SWITCH($N821,"BDI 1",$P$6,"BDI 2",$P$7,"BDI 3",$P$8)),2)</f>
        <v>0.92</v>
      </c>
      <c r="Q821" s="157">
        <v>0</v>
      </c>
      <c r="R821" s="157">
        <v>0</v>
      </c>
      <c r="S821" s="156">
        <f>TRUNC($K821*$O821,2)</f>
        <v>0</v>
      </c>
      <c r="T821" s="156">
        <f>TRUNC($K821*$P821,2)</f>
        <v>0</v>
      </c>
      <c r="U821" s="156">
        <f>TRUNC($J821*$R821,2)</f>
        <v>0</v>
      </c>
      <c r="V821" s="156">
        <f>TRUNC($K821*$Q821,2)</f>
        <v>0</v>
      </c>
      <c r="W821" s="156">
        <f>TRUNC(V821-U821,2)</f>
        <v>0</v>
      </c>
      <c r="X821" s="158">
        <f>$S821/ORCAMENTO_VALOR_TOTAL_ND</f>
        <v>0</v>
      </c>
      <c r="Y821" s="158">
        <f>$T821/ORCAMENTO_VALOR_TOTAL_DE</f>
        <v>0</v>
      </c>
      <c r="Z821" s="158" cm="1">
        <f t="array" ref="Z821">_xlfn.SWITCH($N821,"BDI 1",$O$6,"BDI 2",$O$7,"BDI 3",$O$8)</f>
        <v>0.20699999999999999</v>
      </c>
      <c r="AA821" s="158" cm="1">
        <f t="array" ref="AA821">_xlfn.SWITCH($N821,"BDI 1",$P$6,"BDI 2",$P$7,"BDI 3",$P$8)</f>
        <v>0.26739999999999997</v>
      </c>
      <c r="AB821" s="158">
        <f ca="1">IFERROR($S821/_xlfn.XLOOKUP($AE821,$B$16:$B$38,$S$16:$S$38),0)</f>
        <v>0</v>
      </c>
      <c r="AC821" s="158">
        <f ca="1">IFERROR($T821/_xlfn.XLOOKUP($AE821,$B$16:$B$38,$T$16:$T$38),0)</f>
        <v>0</v>
      </c>
      <c r="AD821" s="164"/>
      <c r="AE821" s="148">
        <f t="shared" si="1759"/>
        <v>0</v>
      </c>
      <c r="AF821" s="149"/>
      <c r="AG821" s="150"/>
      <c r="AH821" s="159" t="e">
        <f>S821/$S$745</f>
        <v>#DIV/0!</v>
      </c>
      <c r="AI821" s="209">
        <f>IF(K821=0,0,K821/F821)</f>
        <v>0</v>
      </c>
      <c r="AJ821" s="105"/>
      <c r="AK821" s="105"/>
      <c r="AM821" s="105"/>
      <c r="AN821" s="105"/>
      <c r="AO821" s="105"/>
      <c r="AP821" s="105"/>
      <c r="AQ821" s="105"/>
      <c r="AR821" s="105"/>
    </row>
    <row r="822" spans="1:44" s="49" customFormat="1" ht="40.15" hidden="1" customHeight="1">
      <c r="A822" s="10">
        <f t="shared" ca="1" si="1755"/>
        <v>0</v>
      </c>
      <c r="B822" s="153"/>
      <c r="C822" s="154"/>
      <c r="D822" s="154"/>
      <c r="E822" s="161" t="s">
        <v>273</v>
      </c>
      <c r="F822" s="154"/>
      <c r="G822" s="154"/>
      <c r="H822" s="152"/>
      <c r="I822" s="152"/>
      <c r="J822" s="154"/>
      <c r="K822" s="154"/>
      <c r="L822" s="154"/>
      <c r="M822" s="154"/>
      <c r="N822" s="154"/>
      <c r="O822" s="154"/>
      <c r="P822" s="154"/>
      <c r="Q822" s="154"/>
      <c r="R822" s="154"/>
      <c r="S822" s="162"/>
      <c r="T822" s="162"/>
      <c r="U822" s="162"/>
      <c r="V822" s="162"/>
      <c r="W822" s="162"/>
      <c r="X822" s="163"/>
      <c r="Y822" s="163"/>
      <c r="Z822" s="163"/>
      <c r="AA822" s="163"/>
      <c r="AB822" s="163"/>
      <c r="AC822" s="163"/>
      <c r="AD822" s="164"/>
      <c r="AE822" s="148">
        <f>IF(SUM(S823:S824)&gt;0,IFERROR(TRUNC(A822,0),0),0)</f>
        <v>0</v>
      </c>
      <c r="AF822" s="149"/>
      <c r="AG822" s="150"/>
      <c r="AH822" s="159"/>
      <c r="AI822" s="160"/>
      <c r="AJ822" s="105"/>
      <c r="AK822" s="105"/>
      <c r="AM822" s="105"/>
      <c r="AN822" s="105"/>
      <c r="AO822" s="105"/>
      <c r="AP822" s="105"/>
      <c r="AQ822" s="105"/>
      <c r="AR822" s="105"/>
    </row>
    <row r="823" spans="1:44" s="49" customFormat="1" ht="40.15" hidden="1" customHeight="1">
      <c r="A823" s="152">
        <f t="shared" ca="1" si="1755"/>
        <v>0</v>
      </c>
      <c r="B823" s="153">
        <v>102332</v>
      </c>
      <c r="C823" s="154" t="str">
        <f>TEXT(B823,"0")</f>
        <v>102332</v>
      </c>
      <c r="D823" s="154" t="s">
        <v>1416</v>
      </c>
      <c r="E823" s="155" t="s">
        <v>3547</v>
      </c>
      <c r="F823" s="154">
        <f>IF(Dados_DMT!$B$26&lt;30,Dados_DMT!$B$26,30)</f>
        <v>0</v>
      </c>
      <c r="G823" s="154" t="s">
        <v>3534</v>
      </c>
      <c r="H823" s="152">
        <v>1.79</v>
      </c>
      <c r="I823" s="152">
        <v>1.81</v>
      </c>
      <c r="J823" s="156"/>
      <c r="K823" s="156">
        <f>ROUND(Pav_Estrutura!K115*F823,2)</f>
        <v>0</v>
      </c>
      <c r="L823" s="156">
        <f>IF($K823&gt;$J823,$K823-$J823,0)</f>
        <v>0</v>
      </c>
      <c r="M823" s="156">
        <f>IF($K823&lt;$J823,$J823-$K823,0)</f>
        <v>0</v>
      </c>
      <c r="N823" s="156" t="s">
        <v>83</v>
      </c>
      <c r="O823" s="157" cm="1">
        <f t="array" ref="O823">TRUNC($H823*(1+_xlfn.SWITCH($N823,"BDI 1",$O$6,"BDI 2",$O$7,"BDI 3",$O$8)),2)</f>
        <v>2.16</v>
      </c>
      <c r="P823" s="157" cm="1">
        <f t="array" ref="P823">TRUNC($I823*(1+_xlfn.SWITCH($N823,"BDI 1",$P$6,"BDI 2",$P$7,"BDI 3",$P$8)),2)</f>
        <v>2.29</v>
      </c>
      <c r="Q823" s="157">
        <v>0</v>
      </c>
      <c r="R823" s="157">
        <v>0</v>
      </c>
      <c r="S823" s="156">
        <f>TRUNC($K823*$O823,2)</f>
        <v>0</v>
      </c>
      <c r="T823" s="156">
        <f>TRUNC($K823*$P823,2)</f>
        <v>0</v>
      </c>
      <c r="U823" s="156">
        <f>TRUNC($J823*$R823,2)</f>
        <v>0</v>
      </c>
      <c r="V823" s="156">
        <f>TRUNC($K823*$Q823,2)</f>
        <v>0</v>
      </c>
      <c r="W823" s="156">
        <f>TRUNC(V823-U823,2)</f>
        <v>0</v>
      </c>
      <c r="X823" s="158">
        <f>$S823/ORCAMENTO_VALOR_TOTAL_ND</f>
        <v>0</v>
      </c>
      <c r="Y823" s="158">
        <f>$T823/ORCAMENTO_VALOR_TOTAL_DE</f>
        <v>0</v>
      </c>
      <c r="Z823" s="158" cm="1">
        <f t="array" ref="Z823">_xlfn.SWITCH($N823,"BDI 1",$O$6,"BDI 2",$O$7,"BDI 3",$O$8)</f>
        <v>0.20699999999999999</v>
      </c>
      <c r="AA823" s="158" cm="1">
        <f t="array" ref="AA823">_xlfn.SWITCH($N823,"BDI 1",$P$6,"BDI 2",$P$7,"BDI 3",$P$8)</f>
        <v>0.26739999999999997</v>
      </c>
      <c r="AB823" s="158">
        <f ca="1">IFERROR($S823/_xlfn.XLOOKUP($AE823,$B$16:$B$38,$S$16:$S$38),0)</f>
        <v>0</v>
      </c>
      <c r="AC823" s="158">
        <f ca="1">IFERROR($T823/_xlfn.XLOOKUP($AE823,$B$16:$B$38,$T$16:$T$38),0)</f>
        <v>0</v>
      </c>
      <c r="AD823" s="164"/>
      <c r="AE823" s="148">
        <f t="shared" ref="AE823:AE824" si="1760">IF(S823&gt;0,IFERROR(TRUNC(A823,0),0),0)</f>
        <v>0</v>
      </c>
      <c r="AF823" s="149"/>
      <c r="AG823" s="150"/>
      <c r="AH823" s="159" t="e">
        <f>S823/$S$745</f>
        <v>#DIV/0!</v>
      </c>
      <c r="AI823" s="209">
        <f>IF(K823=0,0,K823/F823)</f>
        <v>0</v>
      </c>
      <c r="AJ823" s="105"/>
      <c r="AK823" s="105"/>
      <c r="AM823" s="105"/>
      <c r="AN823" s="105"/>
      <c r="AO823" s="105"/>
      <c r="AP823" s="105"/>
      <c r="AQ823" s="105"/>
      <c r="AR823" s="105"/>
    </row>
    <row r="824" spans="1:44" s="49" customFormat="1" ht="40.15" hidden="1" customHeight="1">
      <c r="A824" s="152">
        <f t="shared" ca="1" si="1755"/>
        <v>0</v>
      </c>
      <c r="B824" s="153">
        <v>102333</v>
      </c>
      <c r="C824" s="154" t="str">
        <f>TEXT(B824,"0")</f>
        <v>102333</v>
      </c>
      <c r="D824" s="154" t="s">
        <v>1416</v>
      </c>
      <c r="E824" s="155" t="s">
        <v>3546</v>
      </c>
      <c r="F824" s="154">
        <f>Dados_DMT!$B$26-F823</f>
        <v>0</v>
      </c>
      <c r="G824" s="154" t="s">
        <v>3534</v>
      </c>
      <c r="H824" s="152">
        <v>0.72</v>
      </c>
      <c r="I824" s="152">
        <v>0.73</v>
      </c>
      <c r="J824" s="156"/>
      <c r="K824" s="156">
        <f>ROUND(Pav_Estrutura!K115*F824,2)</f>
        <v>0</v>
      </c>
      <c r="L824" s="156">
        <f>IF($K824&gt;$J824,$K824-$J824,0)</f>
        <v>0</v>
      </c>
      <c r="M824" s="156">
        <f>IF($K824&lt;$J824,$J824-$K824,0)</f>
        <v>0</v>
      </c>
      <c r="N824" s="156" t="s">
        <v>83</v>
      </c>
      <c r="O824" s="157" cm="1">
        <f t="array" ref="O824">TRUNC($H824*(1+_xlfn.SWITCH($N824,"BDI 1",$O$6,"BDI 2",$O$7,"BDI 3",$O$8)),2)</f>
        <v>0.86</v>
      </c>
      <c r="P824" s="157" cm="1">
        <f t="array" ref="P824">TRUNC($I824*(1+_xlfn.SWITCH($N824,"BDI 1",$P$6,"BDI 2",$P$7,"BDI 3",$P$8)),2)</f>
        <v>0.92</v>
      </c>
      <c r="Q824" s="157">
        <v>0</v>
      </c>
      <c r="R824" s="157">
        <v>0</v>
      </c>
      <c r="S824" s="156">
        <f>TRUNC($K824*$O824,2)</f>
        <v>0</v>
      </c>
      <c r="T824" s="156">
        <f>TRUNC($K824*$P824,2)</f>
        <v>0</v>
      </c>
      <c r="U824" s="156">
        <f>TRUNC($J824*$R824,2)</f>
        <v>0</v>
      </c>
      <c r="V824" s="156">
        <f>TRUNC($K824*$Q824,2)</f>
        <v>0</v>
      </c>
      <c r="W824" s="156">
        <f>TRUNC(V824-U824,2)</f>
        <v>0</v>
      </c>
      <c r="X824" s="158">
        <f>$S824/ORCAMENTO_VALOR_TOTAL_ND</f>
        <v>0</v>
      </c>
      <c r="Y824" s="158">
        <f>$T824/ORCAMENTO_VALOR_TOTAL_DE</f>
        <v>0</v>
      </c>
      <c r="Z824" s="158" cm="1">
        <f t="array" ref="Z824">_xlfn.SWITCH($N824,"BDI 1",$O$6,"BDI 2",$O$7,"BDI 3",$O$8)</f>
        <v>0.20699999999999999</v>
      </c>
      <c r="AA824" s="158" cm="1">
        <f t="array" ref="AA824">_xlfn.SWITCH($N824,"BDI 1",$P$6,"BDI 2",$P$7,"BDI 3",$P$8)</f>
        <v>0.26739999999999997</v>
      </c>
      <c r="AB824" s="158">
        <f ca="1">IFERROR($S824/_xlfn.XLOOKUP($AE824,$B$16:$B$38,$S$16:$S$38),0)</f>
        <v>0</v>
      </c>
      <c r="AC824" s="158">
        <f ca="1">IFERROR($T824/_xlfn.XLOOKUP($AE824,$B$16:$B$38,$T$16:$T$38),0)</f>
        <v>0</v>
      </c>
      <c r="AD824" s="164"/>
      <c r="AE824" s="148">
        <f t="shared" si="1760"/>
        <v>0</v>
      </c>
      <c r="AF824" s="149"/>
      <c r="AG824" s="150"/>
      <c r="AH824" s="159" t="e">
        <f>S824/$S$745</f>
        <v>#DIV/0!</v>
      </c>
      <c r="AI824" s="209">
        <f>IF(K824=0,0,K824/F824)</f>
        <v>0</v>
      </c>
      <c r="AJ824" s="105"/>
      <c r="AK824" s="105"/>
      <c r="AM824" s="105"/>
      <c r="AN824" s="105"/>
      <c r="AO824" s="105"/>
      <c r="AP824" s="105"/>
      <c r="AQ824" s="105"/>
      <c r="AR824" s="105"/>
    </row>
    <row r="825" spans="1:44" s="49" customFormat="1" ht="40.15" hidden="1" customHeight="1">
      <c r="A825" s="10">
        <f t="shared" ca="1" si="1755"/>
        <v>0</v>
      </c>
      <c r="B825" s="153"/>
      <c r="C825" s="154"/>
      <c r="D825" s="154"/>
      <c r="E825" s="161" t="s">
        <v>274</v>
      </c>
      <c r="F825" s="154"/>
      <c r="G825" s="154"/>
      <c r="H825" s="152"/>
      <c r="I825" s="152"/>
      <c r="J825" s="154"/>
      <c r="K825" s="154"/>
      <c r="L825" s="154"/>
      <c r="M825" s="154"/>
      <c r="N825" s="154"/>
      <c r="O825" s="154"/>
      <c r="P825" s="154"/>
      <c r="Q825" s="154"/>
      <c r="R825" s="154"/>
      <c r="S825" s="162"/>
      <c r="T825" s="162"/>
      <c r="U825" s="162"/>
      <c r="V825" s="162"/>
      <c r="W825" s="162"/>
      <c r="X825" s="163"/>
      <c r="Y825" s="163"/>
      <c r="Z825" s="163"/>
      <c r="AA825" s="163"/>
      <c r="AB825" s="163"/>
      <c r="AC825" s="163"/>
      <c r="AD825" s="164"/>
      <c r="AE825" s="148">
        <f>IF(SUM(S826:S827)&gt;0,IFERROR(TRUNC(A825,0),0),0)</f>
        <v>0</v>
      </c>
      <c r="AF825" s="149"/>
      <c r="AG825" s="150"/>
      <c r="AH825" s="159"/>
      <c r="AI825" s="160"/>
      <c r="AJ825" s="105"/>
      <c r="AK825" s="105"/>
      <c r="AM825" s="105"/>
      <c r="AN825" s="105"/>
      <c r="AO825" s="105"/>
      <c r="AP825" s="105"/>
      <c r="AQ825" s="105"/>
      <c r="AR825" s="105"/>
    </row>
    <row r="826" spans="1:44" s="49" customFormat="1" ht="40.15" hidden="1" customHeight="1">
      <c r="A826" s="152">
        <f t="shared" ca="1" si="1755"/>
        <v>0</v>
      </c>
      <c r="B826" s="153">
        <v>102332</v>
      </c>
      <c r="C826" s="154" t="str">
        <f>TEXT(B826,"0")</f>
        <v>102332</v>
      </c>
      <c r="D826" s="154" t="s">
        <v>1416</v>
      </c>
      <c r="E826" s="155" t="s">
        <v>3547</v>
      </c>
      <c r="F826" s="154">
        <f>IF(Dados_DMT!$B$27&lt;30,Dados_DMT!$B$27,30)</f>
        <v>0</v>
      </c>
      <c r="G826" s="154" t="s">
        <v>3534</v>
      </c>
      <c r="H826" s="152">
        <v>1.79</v>
      </c>
      <c r="I826" s="152">
        <v>1.81</v>
      </c>
      <c r="J826" s="156"/>
      <c r="K826" s="156">
        <f>ROUND(SUM(Pav_Estrutura!K116:K118)*F826,2)</f>
        <v>0</v>
      </c>
      <c r="L826" s="156">
        <f>IF($K826&gt;$J826,$K826-$J826,0)</f>
        <v>0</v>
      </c>
      <c r="M826" s="156">
        <f>IF($K826&lt;$J826,$J826-$K826,0)</f>
        <v>0</v>
      </c>
      <c r="N826" s="156" t="s">
        <v>83</v>
      </c>
      <c r="O826" s="157" cm="1">
        <f t="array" ref="O826">TRUNC($H826*(1+_xlfn.SWITCH($N826,"BDI 1",$O$6,"BDI 2",$O$7,"BDI 3",$O$8)),2)</f>
        <v>2.16</v>
      </c>
      <c r="P826" s="157" cm="1">
        <f t="array" ref="P826">TRUNC($I826*(1+_xlfn.SWITCH($N826,"BDI 1",$P$6,"BDI 2",$P$7,"BDI 3",$P$8)),2)</f>
        <v>2.29</v>
      </c>
      <c r="Q826" s="157">
        <v>0</v>
      </c>
      <c r="R826" s="157">
        <v>0</v>
      </c>
      <c r="S826" s="156">
        <f>TRUNC($K826*$O826,2)</f>
        <v>0</v>
      </c>
      <c r="T826" s="156">
        <f>TRUNC($K826*$P826,2)</f>
        <v>0</v>
      </c>
      <c r="U826" s="156">
        <f>TRUNC($J826*$R826,2)</f>
        <v>0</v>
      </c>
      <c r="V826" s="156">
        <f>TRUNC($K826*$Q826,2)</f>
        <v>0</v>
      </c>
      <c r="W826" s="156">
        <f>TRUNC(V826-U826,2)</f>
        <v>0</v>
      </c>
      <c r="X826" s="158">
        <f>$S826/ORCAMENTO_VALOR_TOTAL_ND</f>
        <v>0</v>
      </c>
      <c r="Y826" s="158">
        <f>$T826/ORCAMENTO_VALOR_TOTAL_DE</f>
        <v>0</v>
      </c>
      <c r="Z826" s="158" cm="1">
        <f t="array" ref="Z826">_xlfn.SWITCH($N826,"BDI 1",$O$6,"BDI 2",$O$7,"BDI 3",$O$8)</f>
        <v>0.20699999999999999</v>
      </c>
      <c r="AA826" s="158" cm="1">
        <f t="array" ref="AA826">_xlfn.SWITCH($N826,"BDI 1",$P$6,"BDI 2",$P$7,"BDI 3",$P$8)</f>
        <v>0.26739999999999997</v>
      </c>
      <c r="AB826" s="158">
        <f ca="1">IFERROR($S826/_xlfn.XLOOKUP($AE826,$B$16:$B$38,$S$16:$S$38),0)</f>
        <v>0</v>
      </c>
      <c r="AC826" s="158">
        <f ca="1">IFERROR($T826/_xlfn.XLOOKUP($AE826,$B$16:$B$38,$T$16:$T$38),0)</f>
        <v>0</v>
      </c>
      <c r="AD826" s="164"/>
      <c r="AE826" s="148">
        <f t="shared" ref="AE826:AE827" si="1761">IF(S826&gt;0,IFERROR(TRUNC(A826,0),0),0)</f>
        <v>0</v>
      </c>
      <c r="AF826" s="149"/>
      <c r="AG826" s="150"/>
      <c r="AH826" s="159" t="e">
        <f>S826/$S$745</f>
        <v>#DIV/0!</v>
      </c>
      <c r="AI826" s="209">
        <f>IF(K826=0,0,K826/F826)</f>
        <v>0</v>
      </c>
      <c r="AJ826" s="105"/>
      <c r="AK826" s="105"/>
      <c r="AM826" s="105"/>
      <c r="AN826" s="105"/>
      <c r="AO826" s="105"/>
      <c r="AP826" s="105"/>
      <c r="AQ826" s="105"/>
      <c r="AR826" s="105"/>
    </row>
    <row r="827" spans="1:44" s="49" customFormat="1" ht="40.15" hidden="1" customHeight="1">
      <c r="A827" s="152">
        <f t="shared" ca="1" si="1755"/>
        <v>0</v>
      </c>
      <c r="B827" s="153">
        <v>102333</v>
      </c>
      <c r="C827" s="154" t="str">
        <f>TEXT(B827,"0")</f>
        <v>102333</v>
      </c>
      <c r="D827" s="154" t="s">
        <v>1416</v>
      </c>
      <c r="E827" s="155" t="s">
        <v>3546</v>
      </c>
      <c r="F827" s="154">
        <f>+Dados_DMT!$B$27-F826</f>
        <v>0</v>
      </c>
      <c r="G827" s="154" t="s">
        <v>3534</v>
      </c>
      <c r="H827" s="152">
        <v>0.72</v>
      </c>
      <c r="I827" s="152">
        <v>0.73</v>
      </c>
      <c r="J827" s="156"/>
      <c r="K827" s="156">
        <f>ROUND(SUM(Pav_Estrutura!K116:K118)*F827,2)</f>
        <v>0</v>
      </c>
      <c r="L827" s="156">
        <f>IF($K827&gt;$J827,$K827-$J827,0)</f>
        <v>0</v>
      </c>
      <c r="M827" s="156">
        <f>IF($K827&lt;$J827,$J827-$K827,0)</f>
        <v>0</v>
      </c>
      <c r="N827" s="156" t="s">
        <v>83</v>
      </c>
      <c r="O827" s="157" cm="1">
        <f t="array" ref="O827">TRUNC($H827*(1+_xlfn.SWITCH($N827,"BDI 1",$O$6,"BDI 2",$O$7,"BDI 3",$O$8)),2)</f>
        <v>0.86</v>
      </c>
      <c r="P827" s="157" cm="1">
        <f t="array" ref="P827">TRUNC($I827*(1+_xlfn.SWITCH($N827,"BDI 1",$P$6,"BDI 2",$P$7,"BDI 3",$P$8)),2)</f>
        <v>0.92</v>
      </c>
      <c r="Q827" s="157">
        <v>0</v>
      </c>
      <c r="R827" s="157">
        <v>0</v>
      </c>
      <c r="S827" s="156">
        <f>TRUNC($K827*$O827,2)</f>
        <v>0</v>
      </c>
      <c r="T827" s="156">
        <f>TRUNC($K827*$P827,2)</f>
        <v>0</v>
      </c>
      <c r="U827" s="156">
        <f>TRUNC($J827*$R827,2)</f>
        <v>0</v>
      </c>
      <c r="V827" s="156">
        <f>TRUNC($K827*$Q827,2)</f>
        <v>0</v>
      </c>
      <c r="W827" s="156">
        <f>TRUNC(V827-U827,2)</f>
        <v>0</v>
      </c>
      <c r="X827" s="158">
        <f>$S827/ORCAMENTO_VALOR_TOTAL_ND</f>
        <v>0</v>
      </c>
      <c r="Y827" s="158">
        <f>$T827/ORCAMENTO_VALOR_TOTAL_DE</f>
        <v>0</v>
      </c>
      <c r="Z827" s="158" cm="1">
        <f t="array" ref="Z827">_xlfn.SWITCH($N827,"BDI 1",$O$6,"BDI 2",$O$7,"BDI 3",$O$8)</f>
        <v>0.20699999999999999</v>
      </c>
      <c r="AA827" s="158" cm="1">
        <f t="array" ref="AA827">_xlfn.SWITCH($N827,"BDI 1",$P$6,"BDI 2",$P$7,"BDI 3",$P$8)</f>
        <v>0.26739999999999997</v>
      </c>
      <c r="AB827" s="158">
        <f ca="1">IFERROR($S827/_xlfn.XLOOKUP($AE827,$B$16:$B$38,$S$16:$S$38),0)</f>
        <v>0</v>
      </c>
      <c r="AC827" s="158">
        <f ca="1">IFERROR($T827/_xlfn.XLOOKUP($AE827,$B$16:$B$38,$T$16:$T$38),0)</f>
        <v>0</v>
      </c>
      <c r="AD827" s="164"/>
      <c r="AE827" s="148">
        <f t="shared" si="1761"/>
        <v>0</v>
      </c>
      <c r="AF827" s="149"/>
      <c r="AG827" s="150"/>
      <c r="AH827" s="159" t="e">
        <f>S827/$S$745</f>
        <v>#DIV/0!</v>
      </c>
      <c r="AI827" s="209">
        <f>IF(K827=0,0,K827/F827)</f>
        <v>0</v>
      </c>
      <c r="AJ827" s="105"/>
      <c r="AK827" s="105"/>
      <c r="AM827" s="105"/>
      <c r="AN827" s="105"/>
      <c r="AO827" s="105"/>
      <c r="AP827" s="105"/>
      <c r="AQ827" s="105"/>
      <c r="AR827" s="105"/>
    </row>
    <row r="828" spans="1:44" s="49" customFormat="1" ht="40.15" hidden="1" customHeight="1">
      <c r="A828" s="10">
        <f t="shared" ca="1" si="1755"/>
        <v>0</v>
      </c>
      <c r="B828" s="153"/>
      <c r="C828" s="154"/>
      <c r="D828" s="154"/>
      <c r="E828" s="161" t="s">
        <v>316</v>
      </c>
      <c r="F828" s="154"/>
      <c r="G828" s="154"/>
      <c r="H828" s="152"/>
      <c r="I828" s="152"/>
      <c r="J828" s="154"/>
      <c r="K828" s="154"/>
      <c r="L828" s="154"/>
      <c r="M828" s="154"/>
      <c r="N828" s="154"/>
      <c r="O828" s="154"/>
      <c r="P828" s="154"/>
      <c r="Q828" s="154"/>
      <c r="R828" s="154"/>
      <c r="S828" s="162"/>
      <c r="T828" s="162"/>
      <c r="U828" s="162"/>
      <c r="V828" s="162"/>
      <c r="W828" s="162"/>
      <c r="X828" s="163"/>
      <c r="Y828" s="163"/>
      <c r="Z828" s="163"/>
      <c r="AA828" s="163"/>
      <c r="AB828" s="163"/>
      <c r="AC828" s="163"/>
      <c r="AD828" s="164"/>
      <c r="AE828" s="148">
        <f>IF(SUM(S829:S830)&gt;0,IFERROR(TRUNC(A828,0),0),0)</f>
        <v>0</v>
      </c>
      <c r="AF828" s="149"/>
      <c r="AG828" s="150"/>
      <c r="AH828" s="159"/>
      <c r="AI828" s="160"/>
      <c r="AJ828" s="105"/>
      <c r="AK828" s="105"/>
      <c r="AM828" s="105"/>
      <c r="AN828" s="105"/>
      <c r="AO828" s="105"/>
      <c r="AP828" s="105"/>
      <c r="AQ828" s="105"/>
      <c r="AR828" s="105"/>
    </row>
    <row r="829" spans="1:44" s="49" customFormat="1" ht="40.15" hidden="1" customHeight="1">
      <c r="A829" s="152">
        <f t="shared" ca="1" si="1755"/>
        <v>0</v>
      </c>
      <c r="B829" s="153">
        <v>100947</v>
      </c>
      <c r="C829" s="154" t="str">
        <f>TEXT(B829,"0")</f>
        <v>100947</v>
      </c>
      <c r="D829" s="154" t="s">
        <v>1416</v>
      </c>
      <c r="E829" s="155" t="s">
        <v>385</v>
      </c>
      <c r="F829" s="154">
        <f>IF(Dados_DMT!$B$35&lt;30,Dados_DMT!$B$35,30)</f>
        <v>0</v>
      </c>
      <c r="G829" s="154" t="s">
        <v>3534</v>
      </c>
      <c r="H829" s="152">
        <v>2.15</v>
      </c>
      <c r="I829" s="152">
        <v>2.13</v>
      </c>
      <c r="J829" s="156"/>
      <c r="K829" s="156">
        <f>ROUND(Pav_Estrutura!K98*F829,2)</f>
        <v>0</v>
      </c>
      <c r="L829" s="156">
        <f>IF($K829&gt;$J829,$K829-$J829,0)</f>
        <v>0</v>
      </c>
      <c r="M829" s="156">
        <f>IF($K829&lt;$J829,$J829-$K829,0)</f>
        <v>0</v>
      </c>
      <c r="N829" s="156" t="s">
        <v>83</v>
      </c>
      <c r="O829" s="157" cm="1">
        <f t="array" ref="O829">TRUNC($H829*(1+_xlfn.SWITCH($N829,"BDI 1",$O$6,"BDI 2",$O$7,"BDI 3",$O$8)),2)</f>
        <v>2.59</v>
      </c>
      <c r="P829" s="157" cm="1">
        <f t="array" ref="P829">TRUNC($I829*(1+_xlfn.SWITCH($N829,"BDI 1",$P$6,"BDI 2",$P$7,"BDI 3",$P$8)),2)</f>
        <v>2.69</v>
      </c>
      <c r="Q829" s="157">
        <v>0</v>
      </c>
      <c r="R829" s="157">
        <v>0</v>
      </c>
      <c r="S829" s="156">
        <f>TRUNC($K829*$O829,2)</f>
        <v>0</v>
      </c>
      <c r="T829" s="156">
        <f>TRUNC($K829*$P829,2)</f>
        <v>0</v>
      </c>
      <c r="U829" s="156">
        <f>TRUNC($J829*$R829,2)</f>
        <v>0</v>
      </c>
      <c r="V829" s="156">
        <f>TRUNC($K829*$Q829,2)</f>
        <v>0</v>
      </c>
      <c r="W829" s="156">
        <f>TRUNC(V829-U829,2)</f>
        <v>0</v>
      </c>
      <c r="X829" s="158">
        <f>$S829/ORCAMENTO_VALOR_TOTAL_ND</f>
        <v>0</v>
      </c>
      <c r="Y829" s="158">
        <f>$T829/ORCAMENTO_VALOR_TOTAL_DE</f>
        <v>0</v>
      </c>
      <c r="Z829" s="158" cm="1">
        <f t="array" ref="Z829">_xlfn.SWITCH($N829,"BDI 1",$O$6,"BDI 2",$O$7,"BDI 3",$O$8)</f>
        <v>0.20699999999999999</v>
      </c>
      <c r="AA829" s="158" cm="1">
        <f t="array" ref="AA829">_xlfn.SWITCH($N829,"BDI 1",$P$6,"BDI 2",$P$7,"BDI 3",$P$8)</f>
        <v>0.26739999999999997</v>
      </c>
      <c r="AB829" s="158">
        <f ca="1">IFERROR($S829/_xlfn.XLOOKUP($AE829,$B$16:$B$38,$S$16:$S$38),0)</f>
        <v>0</v>
      </c>
      <c r="AC829" s="158">
        <f ca="1">IFERROR($T829/_xlfn.XLOOKUP($AE829,$B$16:$B$38,$T$16:$T$38),0)</f>
        <v>0</v>
      </c>
      <c r="AD829" s="164"/>
      <c r="AE829" s="148">
        <f t="shared" ref="AE829:AE830" si="1762">IF(S829&gt;0,IFERROR(TRUNC(A829,0),0),0)</f>
        <v>0</v>
      </c>
      <c r="AF829" s="149"/>
      <c r="AG829" s="150"/>
      <c r="AH829" s="159" t="e">
        <f>S829/$S$745</f>
        <v>#DIV/0!</v>
      </c>
      <c r="AI829" s="160"/>
      <c r="AJ829" s="105"/>
      <c r="AK829" s="105"/>
      <c r="AM829" s="105"/>
      <c r="AN829" s="105"/>
      <c r="AO829" s="105"/>
      <c r="AP829" s="105"/>
      <c r="AQ829" s="105"/>
      <c r="AR829" s="105"/>
    </row>
    <row r="830" spans="1:44" s="49" customFormat="1" ht="40.15" hidden="1" customHeight="1">
      <c r="A830" s="152">
        <f t="shared" ca="1" si="1755"/>
        <v>0</v>
      </c>
      <c r="B830" s="153">
        <v>100948</v>
      </c>
      <c r="C830" s="154" t="str">
        <f>TEXT(B830,"0")</f>
        <v>100948</v>
      </c>
      <c r="D830" s="154" t="s">
        <v>1416</v>
      </c>
      <c r="E830" s="155" t="s">
        <v>3615</v>
      </c>
      <c r="F830" s="154">
        <f>+Dados_DMT!$B$35-F829</f>
        <v>0</v>
      </c>
      <c r="G830" s="154" t="s">
        <v>3534</v>
      </c>
      <c r="H830" s="152">
        <v>0.85</v>
      </c>
      <c r="I830" s="152">
        <v>0.84</v>
      </c>
      <c r="J830" s="156"/>
      <c r="K830" s="156">
        <f>ROUND(Pav_Estrutura!K98*F830,2)</f>
        <v>0</v>
      </c>
      <c r="L830" s="156">
        <f>IF($K830&gt;$J830,$K830-$J830,0)</f>
        <v>0</v>
      </c>
      <c r="M830" s="156">
        <f>IF($K830&lt;$J830,$J830-$K830,0)</f>
        <v>0</v>
      </c>
      <c r="N830" s="156" t="s">
        <v>83</v>
      </c>
      <c r="O830" s="157" cm="1">
        <f t="array" ref="O830">TRUNC($H830*(1+_xlfn.SWITCH($N830,"BDI 1",$O$6,"BDI 2",$O$7,"BDI 3",$O$8)),2)</f>
        <v>1.02</v>
      </c>
      <c r="P830" s="157" cm="1">
        <f t="array" ref="P830">TRUNC($I830*(1+_xlfn.SWITCH($N830,"BDI 1",$P$6,"BDI 2",$P$7,"BDI 3",$P$8)),2)</f>
        <v>1.06</v>
      </c>
      <c r="Q830" s="157">
        <v>0</v>
      </c>
      <c r="R830" s="157">
        <v>0</v>
      </c>
      <c r="S830" s="156">
        <f>TRUNC($K830*$O830,2)</f>
        <v>0</v>
      </c>
      <c r="T830" s="156">
        <f>TRUNC($K830*$P830,2)</f>
        <v>0</v>
      </c>
      <c r="U830" s="156">
        <f>TRUNC($J830*$R830,2)</f>
        <v>0</v>
      </c>
      <c r="V830" s="156">
        <f>TRUNC($K830*$Q830,2)</f>
        <v>0</v>
      </c>
      <c r="W830" s="156">
        <f>TRUNC(V830-U830,2)</f>
        <v>0</v>
      </c>
      <c r="X830" s="158">
        <f>$S830/ORCAMENTO_VALOR_TOTAL_ND</f>
        <v>0</v>
      </c>
      <c r="Y830" s="158">
        <f>$T830/ORCAMENTO_VALOR_TOTAL_DE</f>
        <v>0</v>
      </c>
      <c r="Z830" s="158" cm="1">
        <f t="array" ref="Z830">_xlfn.SWITCH($N830,"BDI 1",$O$6,"BDI 2",$O$7,"BDI 3",$O$8)</f>
        <v>0.20699999999999999</v>
      </c>
      <c r="AA830" s="158" cm="1">
        <f t="array" ref="AA830">_xlfn.SWITCH($N830,"BDI 1",$P$6,"BDI 2",$P$7,"BDI 3",$P$8)</f>
        <v>0.26739999999999997</v>
      </c>
      <c r="AB830" s="158">
        <f ca="1">IFERROR($S830/_xlfn.XLOOKUP($AE830,$B$16:$B$38,$S$16:$S$38),0)</f>
        <v>0</v>
      </c>
      <c r="AC830" s="158">
        <f ca="1">IFERROR($T830/_xlfn.XLOOKUP($AE830,$B$16:$B$38,$T$16:$T$38),0)</f>
        <v>0</v>
      </c>
      <c r="AD830" s="164"/>
      <c r="AE830" s="148">
        <f t="shared" si="1762"/>
        <v>0</v>
      </c>
      <c r="AF830" s="149"/>
      <c r="AG830" s="150"/>
      <c r="AH830" s="159" t="e">
        <f>S830/$S$745</f>
        <v>#DIV/0!</v>
      </c>
      <c r="AI830" s="160"/>
      <c r="AJ830" s="105"/>
      <c r="AK830" s="105"/>
      <c r="AM830" s="105"/>
      <c r="AN830" s="105"/>
      <c r="AO830" s="105"/>
      <c r="AP830" s="105"/>
      <c r="AQ830" s="105"/>
      <c r="AR830" s="105"/>
    </row>
    <row r="831" spans="1:44" s="49" customFormat="1" ht="40.15" hidden="1" customHeight="1">
      <c r="A831" s="10">
        <f t="shared" ca="1" si="1755"/>
        <v>0</v>
      </c>
      <c r="B831" s="153"/>
      <c r="C831" s="154"/>
      <c r="D831" s="154"/>
      <c r="E831" s="161" t="s">
        <v>317</v>
      </c>
      <c r="F831" s="154"/>
      <c r="G831" s="154"/>
      <c r="H831" s="152"/>
      <c r="I831" s="152"/>
      <c r="J831" s="154"/>
      <c r="K831" s="154"/>
      <c r="L831" s="154"/>
      <c r="M831" s="154"/>
      <c r="N831" s="154"/>
      <c r="O831" s="154"/>
      <c r="P831" s="154"/>
      <c r="Q831" s="154"/>
      <c r="R831" s="154"/>
      <c r="S831" s="162"/>
      <c r="T831" s="162"/>
      <c r="U831" s="162"/>
      <c r="V831" s="162"/>
      <c r="W831" s="162"/>
      <c r="X831" s="163"/>
      <c r="Y831" s="163"/>
      <c r="Z831" s="163"/>
      <c r="AA831" s="163"/>
      <c r="AB831" s="163"/>
      <c r="AC831" s="163"/>
      <c r="AD831" s="164"/>
      <c r="AE831" s="148">
        <f>IF(SUM(S832:S833)&gt;0,IFERROR(TRUNC(A831,0),0),0)</f>
        <v>0</v>
      </c>
      <c r="AF831" s="149"/>
      <c r="AG831" s="150"/>
      <c r="AH831" s="159"/>
      <c r="AI831" s="160"/>
      <c r="AJ831" s="105"/>
      <c r="AK831" s="105"/>
      <c r="AM831" s="105"/>
      <c r="AN831" s="105"/>
      <c r="AO831" s="105"/>
      <c r="AP831" s="105"/>
      <c r="AQ831" s="105"/>
      <c r="AR831" s="105"/>
    </row>
    <row r="832" spans="1:44" s="49" customFormat="1" ht="40.15" hidden="1" customHeight="1">
      <c r="A832" s="152">
        <f t="shared" ca="1" si="1755"/>
        <v>0</v>
      </c>
      <c r="B832" s="153">
        <v>100947</v>
      </c>
      <c r="C832" s="154" t="str">
        <f>TEXT(B832,"0")</f>
        <v>100947</v>
      </c>
      <c r="D832" s="154" t="s">
        <v>1416</v>
      </c>
      <c r="E832" s="155" t="s">
        <v>385</v>
      </c>
      <c r="F832" s="154">
        <f>IF(Dados_DMT!$B$13&lt;30,Dados_DMT!$B$13,30)</f>
        <v>30</v>
      </c>
      <c r="G832" s="154" t="s">
        <v>3534</v>
      </c>
      <c r="H832" s="152">
        <v>2.15</v>
      </c>
      <c r="I832" s="152">
        <v>2.13</v>
      </c>
      <c r="J832" s="156"/>
      <c r="K832" s="156">
        <f>ROUND(Pav_Estrutura!K111*F832,2)</f>
        <v>0</v>
      </c>
      <c r="L832" s="156">
        <f>IF($K832&gt;$J832,$K832-$J832,0)</f>
        <v>0</v>
      </c>
      <c r="M832" s="156">
        <f>IF($K832&lt;$J832,$J832-$K832,0)</f>
        <v>0</v>
      </c>
      <c r="N832" s="156" t="s">
        <v>83</v>
      </c>
      <c r="O832" s="157" cm="1">
        <f t="array" ref="O832">TRUNC($H832*(1+_xlfn.SWITCH($N832,"BDI 1",$O$6,"BDI 2",$O$7,"BDI 3",$O$8)),2)</f>
        <v>2.59</v>
      </c>
      <c r="P832" s="157" cm="1">
        <f t="array" ref="P832">TRUNC($I832*(1+_xlfn.SWITCH($N832,"BDI 1",$P$6,"BDI 2",$P$7,"BDI 3",$P$8)),2)</f>
        <v>2.69</v>
      </c>
      <c r="Q832" s="157">
        <v>0</v>
      </c>
      <c r="R832" s="157">
        <v>0</v>
      </c>
      <c r="S832" s="156">
        <f>TRUNC($K832*$O832,2)</f>
        <v>0</v>
      </c>
      <c r="T832" s="156">
        <f>TRUNC($K832*$P832,2)</f>
        <v>0</v>
      </c>
      <c r="U832" s="156">
        <f>TRUNC($J832*$R832,2)</f>
        <v>0</v>
      </c>
      <c r="V832" s="156">
        <f>TRUNC($K832*$Q832,2)</f>
        <v>0</v>
      </c>
      <c r="W832" s="156">
        <f>TRUNC(V832-U832,2)</f>
        <v>0</v>
      </c>
      <c r="X832" s="158">
        <f>$S832/ORCAMENTO_VALOR_TOTAL_ND</f>
        <v>0</v>
      </c>
      <c r="Y832" s="158">
        <f>$T832/ORCAMENTO_VALOR_TOTAL_DE</f>
        <v>0</v>
      </c>
      <c r="Z832" s="158" cm="1">
        <f t="array" ref="Z832">_xlfn.SWITCH($N832,"BDI 1",$O$6,"BDI 2",$O$7,"BDI 3",$O$8)</f>
        <v>0.20699999999999999</v>
      </c>
      <c r="AA832" s="158" cm="1">
        <f t="array" ref="AA832">_xlfn.SWITCH($N832,"BDI 1",$P$6,"BDI 2",$P$7,"BDI 3",$P$8)</f>
        <v>0.26739999999999997</v>
      </c>
      <c r="AB832" s="158">
        <f ca="1">IFERROR($S832/_xlfn.XLOOKUP($AE832,$B$16:$B$38,$S$16:$S$38),0)</f>
        <v>0</v>
      </c>
      <c r="AC832" s="158">
        <f ca="1">IFERROR($T832/_xlfn.XLOOKUP($AE832,$B$16:$B$38,$T$16:$T$38),0)</f>
        <v>0</v>
      </c>
      <c r="AD832" s="164"/>
      <c r="AE832" s="148">
        <f t="shared" ref="AE832:AE833" si="1763">IF(S832&gt;0,IFERROR(TRUNC(A832,0),0),0)</f>
        <v>0</v>
      </c>
      <c r="AF832" s="149"/>
      <c r="AG832" s="150"/>
      <c r="AH832" s="159" t="e">
        <f>S832/$S$745</f>
        <v>#DIV/0!</v>
      </c>
      <c r="AI832" s="160"/>
      <c r="AJ832" s="105"/>
      <c r="AK832" s="105"/>
      <c r="AM832" s="105"/>
      <c r="AN832" s="105"/>
      <c r="AO832" s="105"/>
      <c r="AP832" s="105"/>
      <c r="AQ832" s="105"/>
      <c r="AR832" s="105"/>
    </row>
    <row r="833" spans="1:44" s="49" customFormat="1" ht="40.15" hidden="1" customHeight="1">
      <c r="A833" s="152">
        <f t="shared" ca="1" si="1755"/>
        <v>0</v>
      </c>
      <c r="B833" s="153">
        <v>100948</v>
      </c>
      <c r="C833" s="154" t="str">
        <f>TEXT(B833,"0")</f>
        <v>100948</v>
      </c>
      <c r="D833" s="154" t="s">
        <v>1416</v>
      </c>
      <c r="E833" s="155" t="s">
        <v>3615</v>
      </c>
      <c r="F833" s="154">
        <f>+Dados_DMT!$B$13-F832</f>
        <v>70</v>
      </c>
      <c r="G833" s="154" t="s">
        <v>3534</v>
      </c>
      <c r="H833" s="152">
        <v>0.85</v>
      </c>
      <c r="I833" s="152">
        <v>0.84</v>
      </c>
      <c r="J833" s="156"/>
      <c r="K833" s="156">
        <f>ROUND(Pav_Estrutura!K111*F833,2)</f>
        <v>0</v>
      </c>
      <c r="L833" s="156">
        <f>IF($K833&gt;$J833,$K833-$J833,0)</f>
        <v>0</v>
      </c>
      <c r="M833" s="156">
        <f>IF($K833&lt;$J833,$J833-$K833,0)</f>
        <v>0</v>
      </c>
      <c r="N833" s="156" t="s">
        <v>83</v>
      </c>
      <c r="O833" s="157" cm="1">
        <f t="array" ref="O833">TRUNC($H833*(1+_xlfn.SWITCH($N833,"BDI 1",$O$6,"BDI 2",$O$7,"BDI 3",$O$8)),2)</f>
        <v>1.02</v>
      </c>
      <c r="P833" s="157" cm="1">
        <f t="array" ref="P833">TRUNC($I833*(1+_xlfn.SWITCH($N833,"BDI 1",$P$6,"BDI 2",$P$7,"BDI 3",$P$8)),2)</f>
        <v>1.06</v>
      </c>
      <c r="Q833" s="157">
        <v>0</v>
      </c>
      <c r="R833" s="157">
        <v>0</v>
      </c>
      <c r="S833" s="156">
        <f>TRUNC($K833*$O833,2)</f>
        <v>0</v>
      </c>
      <c r="T833" s="156">
        <f>TRUNC($K833*$P833,2)</f>
        <v>0</v>
      </c>
      <c r="U833" s="156">
        <f>TRUNC($J833*$R833,2)</f>
        <v>0</v>
      </c>
      <c r="V833" s="156">
        <f>TRUNC($K833*$Q833,2)</f>
        <v>0</v>
      </c>
      <c r="W833" s="156">
        <f>TRUNC(V833-U833,2)</f>
        <v>0</v>
      </c>
      <c r="X833" s="158">
        <f>$S833/ORCAMENTO_VALOR_TOTAL_ND</f>
        <v>0</v>
      </c>
      <c r="Y833" s="158">
        <f>$T833/ORCAMENTO_VALOR_TOTAL_DE</f>
        <v>0</v>
      </c>
      <c r="Z833" s="158" cm="1">
        <f t="array" ref="Z833">_xlfn.SWITCH($N833,"BDI 1",$O$6,"BDI 2",$O$7,"BDI 3",$O$8)</f>
        <v>0.20699999999999999</v>
      </c>
      <c r="AA833" s="158" cm="1">
        <f t="array" ref="AA833">_xlfn.SWITCH($N833,"BDI 1",$P$6,"BDI 2",$P$7,"BDI 3",$P$8)</f>
        <v>0.26739999999999997</v>
      </c>
      <c r="AB833" s="158">
        <f ca="1">IFERROR($S833/_xlfn.XLOOKUP($AE833,$B$16:$B$38,$S$16:$S$38),0)</f>
        <v>0</v>
      </c>
      <c r="AC833" s="158">
        <f ca="1">IFERROR($T833/_xlfn.XLOOKUP($AE833,$B$16:$B$38,$T$16:$T$38),0)</f>
        <v>0</v>
      </c>
      <c r="AD833" s="164"/>
      <c r="AE833" s="148">
        <f t="shared" si="1763"/>
        <v>0</v>
      </c>
      <c r="AF833" s="149"/>
      <c r="AG833" s="150"/>
      <c r="AH833" s="159" t="e">
        <f>S833/$S$745</f>
        <v>#DIV/0!</v>
      </c>
      <c r="AI833" s="160"/>
      <c r="AJ833" s="105"/>
      <c r="AK833" s="105"/>
      <c r="AM833" s="105"/>
      <c r="AN833" s="105"/>
      <c r="AO833" s="105"/>
      <c r="AP833" s="105"/>
      <c r="AQ833" s="105"/>
      <c r="AR833" s="105"/>
    </row>
    <row r="834" spans="1:44" s="49" customFormat="1" ht="40.15" hidden="1" customHeight="1">
      <c r="A834" s="10">
        <f t="shared" ca="1" si="1755"/>
        <v>0</v>
      </c>
      <c r="B834" s="153"/>
      <c r="C834" s="154"/>
      <c r="D834" s="154"/>
      <c r="E834" s="155"/>
      <c r="F834" s="154"/>
      <c r="G834" s="154"/>
      <c r="H834" s="152"/>
      <c r="I834" s="152"/>
      <c r="J834" s="168"/>
      <c r="K834" s="168"/>
      <c r="L834" s="168"/>
      <c r="M834" s="168"/>
      <c r="N834" s="168"/>
      <c r="O834" s="157"/>
      <c r="P834" s="157"/>
      <c r="Q834" s="157"/>
      <c r="R834" s="157"/>
      <c r="S834" s="162"/>
      <c r="T834" s="162"/>
      <c r="U834" s="162"/>
      <c r="V834" s="162"/>
      <c r="W834" s="162"/>
      <c r="X834" s="163"/>
      <c r="Y834" s="163"/>
      <c r="Z834" s="163"/>
      <c r="AA834" s="163"/>
      <c r="AB834" s="163"/>
      <c r="AC834" s="163"/>
      <c r="AD834" s="164"/>
      <c r="AE834" s="148">
        <f>IF(S835&gt;0,IFERROR(TRUNC(A835,0),0),0)</f>
        <v>0</v>
      </c>
      <c r="AF834" s="149"/>
      <c r="AG834" s="150"/>
      <c r="AH834" s="159"/>
      <c r="AI834" s="160"/>
      <c r="AJ834" s="105"/>
      <c r="AK834" s="105"/>
      <c r="AM834" s="105"/>
      <c r="AN834" s="105"/>
      <c r="AO834" s="105"/>
      <c r="AP834" s="105"/>
      <c r="AQ834" s="105"/>
      <c r="AR834" s="105"/>
    </row>
    <row r="835" spans="1:44" s="105" customFormat="1" ht="30" hidden="1" customHeight="1">
      <c r="A835" s="169">
        <f ca="1">$B$30</f>
        <v>0</v>
      </c>
      <c r="B835" s="170"/>
      <c r="C835" s="171"/>
      <c r="D835" s="172"/>
      <c r="E835" s="173" t="str">
        <f>$D$30</f>
        <v>SERVIÇOS COMPLEMENTARES</v>
      </c>
      <c r="F835" s="174">
        <v>0</v>
      </c>
      <c r="G835" s="175"/>
      <c r="H835" s="176" t="s">
        <v>312</v>
      </c>
      <c r="I835" s="176" t="s">
        <v>312</v>
      </c>
      <c r="J835" s="177"/>
      <c r="K835" s="177"/>
      <c r="L835" s="177"/>
      <c r="M835" s="177"/>
      <c r="N835" s="177"/>
      <c r="O835" s="178" t="str">
        <f ca="1">CONCATENATE("SUB-TOTAL ",$A835)</f>
        <v>SUB-TOTAL 0</v>
      </c>
      <c r="P835" s="178" t="e" cm="1">
        <f t="array" ref="P835">TRUNC($I835*(1+_xlfn.SWITCH($N835,"BDI 1",$P$6,"BDI 2",$P$7,"BDI 3",$P$8)),2)</f>
        <v>#VALUE!</v>
      </c>
      <c r="Q835" s="178" t="str">
        <f ca="1">CONCATENATE("SUB-TOTAL ",$A835)</f>
        <v>SUB-TOTAL 0</v>
      </c>
      <c r="R835" s="178"/>
      <c r="S835" s="179">
        <f>SUM(S836:S867)</f>
        <v>0</v>
      </c>
      <c r="T835" s="179">
        <f>SUM(T836:T867)</f>
        <v>0</v>
      </c>
      <c r="U835" s="179">
        <f>SUM(U836:U867)</f>
        <v>0</v>
      </c>
      <c r="V835" s="179">
        <f>SUM(V836:V867)</f>
        <v>0</v>
      </c>
      <c r="W835" s="179">
        <f t="shared" ref="W835:W864" si="1764">TRUNC(V835-U835,2)</f>
        <v>0</v>
      </c>
      <c r="X835" s="180">
        <f t="shared" ref="X835" si="1765">$S835/ORCAMENTO_VALOR_TOTAL_ND</f>
        <v>0</v>
      </c>
      <c r="Y835" s="180">
        <f t="shared" ref="Y835" si="1766">$T835/ORCAMENTO_VALOR_TOTAL_DE</f>
        <v>0</v>
      </c>
      <c r="Z835" s="180"/>
      <c r="AA835" s="180"/>
      <c r="AB835" s="180">
        <f>IFERROR($S835/$S835,0)</f>
        <v>0</v>
      </c>
      <c r="AC835" s="180">
        <f>IFERROR($T835/$T835,0)</f>
        <v>0</v>
      </c>
      <c r="AD835" s="147"/>
      <c r="AE835" s="148">
        <f t="shared" ref="AE835:AE864" si="1767">IF(S835&gt;0,IFERROR(TRUNC(A835,0),0),0)</f>
        <v>0</v>
      </c>
      <c r="AF835" s="149"/>
      <c r="AG835" s="150"/>
      <c r="AH835" s="151" t="e">
        <f t="shared" ref="AH835:AH864" si="1768">S835/$S$835</f>
        <v>#DIV/0!</v>
      </c>
      <c r="AJ835" s="181" t="s">
        <v>105</v>
      </c>
      <c r="AK835" s="181" t="s">
        <v>106</v>
      </c>
    </row>
    <row r="836" spans="1:44" s="49" customFormat="1" ht="49.9" hidden="1" customHeight="1">
      <c r="A836" s="152">
        <f t="shared" ref="A836:A868" ca="1" si="1769">+IF(K836&gt;0,A835+0.01,A835)</f>
        <v>0</v>
      </c>
      <c r="B836" s="153" t="s">
        <v>318</v>
      </c>
      <c r="C836" s="154" t="str">
        <f t="shared" ref="C836:C864" si="1770">TEXT(B836,"0")</f>
        <v>SC/0005</v>
      </c>
      <c r="D836" s="154" t="s">
        <v>3549</v>
      </c>
      <c r="E836" s="155" t="s">
        <v>3908</v>
      </c>
      <c r="F836" s="154"/>
      <c r="G836" s="154" t="s">
        <v>58</v>
      </c>
      <c r="H836" s="152">
        <v>82.15</v>
      </c>
      <c r="I836" s="152">
        <v>78.459999999999994</v>
      </c>
      <c r="J836" s="156"/>
      <c r="K836" s="156">
        <f>+S_Complementares!M5</f>
        <v>0</v>
      </c>
      <c r="L836" s="156">
        <f t="shared" ref="L836:L864" si="1771">IF($K836&gt;$J836,$K836-$J836,0)</f>
        <v>0</v>
      </c>
      <c r="M836" s="156">
        <f t="shared" ref="M836:M864" si="1772">IF($K836&lt;$J836,$J836-$K836,0)</f>
        <v>0</v>
      </c>
      <c r="N836" s="156" t="s">
        <v>83</v>
      </c>
      <c r="O836" s="157" cm="1">
        <f t="array" ref="O836">TRUNC($H836*(1+_xlfn.SWITCH($N836,"BDI 1",$O$6,"BDI 2",$O$7,"BDI 3",$O$8)),2)</f>
        <v>99.15</v>
      </c>
      <c r="P836" s="157" cm="1">
        <f t="array" ref="P836">TRUNC($I836*(1+_xlfn.SWITCH($N836,"BDI 1",$P$6,"BDI 2",$P$7,"BDI 3",$P$8)),2)</f>
        <v>99.44</v>
      </c>
      <c r="Q836" s="157">
        <v>0</v>
      </c>
      <c r="R836" s="157">
        <f t="shared" ref="R836" si="1773">$Q836-($Q836*LICITACAO_DESCONTO)</f>
        <v>0</v>
      </c>
      <c r="S836" s="156">
        <f t="shared" ref="S836:S864" si="1774">TRUNC($K836*$O836,2)</f>
        <v>0</v>
      </c>
      <c r="T836" s="156">
        <f t="shared" ref="T836:T864" si="1775">TRUNC($K836*$P836,2)</f>
        <v>0</v>
      </c>
      <c r="U836" s="156">
        <f t="shared" ref="U836:U864" si="1776">TRUNC($J836*$R836,2)</f>
        <v>0</v>
      </c>
      <c r="V836" s="156">
        <f t="shared" ref="V836:V864" si="1777">TRUNC($K836*$Q836,2)</f>
        <v>0</v>
      </c>
      <c r="W836" s="156">
        <f t="shared" si="1764"/>
        <v>0</v>
      </c>
      <c r="X836" s="158">
        <f t="shared" ref="X836" si="1778">$S836/ORCAMENTO_VALOR_TOTAL_ND</f>
        <v>0</v>
      </c>
      <c r="Y836" s="158">
        <f t="shared" ref="Y836" si="1779">$T836/ORCAMENTO_VALOR_TOTAL_DE</f>
        <v>0</v>
      </c>
      <c r="Z836" s="158" cm="1">
        <f t="array" ref="Z836">_xlfn.SWITCH($N836,"BDI 1",$O$6,"BDI 2",$O$7,"BDI 3",$O$8)</f>
        <v>0.20699999999999999</v>
      </c>
      <c r="AA836" s="158" cm="1">
        <f t="array" ref="AA836">_xlfn.SWITCH($N836,"BDI 1",$P$6,"BDI 2",$P$7,"BDI 3",$P$8)</f>
        <v>0.26739999999999997</v>
      </c>
      <c r="AB836" s="158">
        <f t="shared" ref="AB836:AB864" ca="1" si="1780">IFERROR($S836/_xlfn.XLOOKUP($AE836,$B$16:$B$38,$S$16:$S$38),0)</f>
        <v>0</v>
      </c>
      <c r="AC836" s="158">
        <f t="shared" ref="AC836:AC864" ca="1" si="1781">IFERROR($T836/_xlfn.XLOOKUP($AE836,$B$16:$B$38,$T$16:$T$38),0)</f>
        <v>0</v>
      </c>
      <c r="AD836" s="164"/>
      <c r="AE836" s="148">
        <f t="shared" si="1767"/>
        <v>0</v>
      </c>
      <c r="AF836" s="149"/>
      <c r="AG836" s="150"/>
      <c r="AH836" s="159" t="e">
        <f t="shared" si="1768"/>
        <v>#DIV/0!</v>
      </c>
      <c r="AI836" s="165" t="s">
        <v>319</v>
      </c>
      <c r="AJ836" s="182">
        <v>11.06</v>
      </c>
      <c r="AK836" s="183">
        <f t="shared" ref="AK836:AK842" si="1782">+K836/AJ836</f>
        <v>0</v>
      </c>
      <c r="AM836" s="105"/>
      <c r="AN836" s="105"/>
      <c r="AO836" s="105"/>
      <c r="AP836" s="105"/>
      <c r="AQ836" s="105"/>
      <c r="AR836" s="105"/>
    </row>
    <row r="837" spans="1:44" s="49" customFormat="1" ht="40.15" hidden="1" customHeight="1">
      <c r="A837" s="152">
        <f t="shared" ca="1" si="1769"/>
        <v>0</v>
      </c>
      <c r="B837" s="153" t="s">
        <v>320</v>
      </c>
      <c r="C837" s="154" t="str">
        <f t="shared" si="1770"/>
        <v>SC/0010</v>
      </c>
      <c r="D837" s="154" t="s">
        <v>3549</v>
      </c>
      <c r="E837" s="155" t="s">
        <v>3909</v>
      </c>
      <c r="F837" s="154"/>
      <c r="G837" s="154" t="s">
        <v>58</v>
      </c>
      <c r="H837" s="152">
        <v>26.85</v>
      </c>
      <c r="I837" s="152">
        <v>25.83</v>
      </c>
      <c r="J837" s="156"/>
      <c r="K837" s="156">
        <f>+S_Complementares!M6</f>
        <v>0</v>
      </c>
      <c r="L837" s="156">
        <f t="shared" si="1771"/>
        <v>0</v>
      </c>
      <c r="M837" s="156">
        <f t="shared" si="1772"/>
        <v>0</v>
      </c>
      <c r="N837" s="156" t="s">
        <v>83</v>
      </c>
      <c r="O837" s="157" cm="1">
        <f t="array" ref="O837">TRUNC($H837*(1+_xlfn.SWITCH($N837,"BDI 1",$O$6,"BDI 2",$O$7,"BDI 3",$O$8)),2)</f>
        <v>32.4</v>
      </c>
      <c r="P837" s="157" cm="1">
        <f t="array" ref="P837">TRUNC($I837*(1+_xlfn.SWITCH($N837,"BDI 1",$P$6,"BDI 2",$P$7,"BDI 3",$P$8)),2)</f>
        <v>32.729999999999997</v>
      </c>
      <c r="Q837" s="157">
        <v>0</v>
      </c>
      <c r="R837" s="157">
        <f t="shared" ref="R837" si="1783">$Q837-($Q837*LICITACAO_DESCONTO)</f>
        <v>0</v>
      </c>
      <c r="S837" s="156">
        <f t="shared" si="1774"/>
        <v>0</v>
      </c>
      <c r="T837" s="156">
        <f t="shared" si="1775"/>
        <v>0</v>
      </c>
      <c r="U837" s="156">
        <f t="shared" si="1776"/>
        <v>0</v>
      </c>
      <c r="V837" s="156">
        <f t="shared" si="1777"/>
        <v>0</v>
      </c>
      <c r="W837" s="156">
        <f t="shared" si="1764"/>
        <v>0</v>
      </c>
      <c r="X837" s="158">
        <f t="shared" ref="X837" si="1784">$S837/ORCAMENTO_VALOR_TOTAL_ND</f>
        <v>0</v>
      </c>
      <c r="Y837" s="158">
        <f t="shared" ref="Y837" si="1785">$T837/ORCAMENTO_VALOR_TOTAL_DE</f>
        <v>0</v>
      </c>
      <c r="Z837" s="158" cm="1">
        <f t="array" ref="Z837">_xlfn.SWITCH($N837,"BDI 1",$O$6,"BDI 2",$O$7,"BDI 3",$O$8)</f>
        <v>0.20699999999999999</v>
      </c>
      <c r="AA837" s="158" cm="1">
        <f t="array" ref="AA837">_xlfn.SWITCH($N837,"BDI 1",$P$6,"BDI 2",$P$7,"BDI 3",$P$8)</f>
        <v>0.26739999999999997</v>
      </c>
      <c r="AB837" s="158">
        <f t="shared" ca="1" si="1780"/>
        <v>0</v>
      </c>
      <c r="AC837" s="158">
        <f t="shared" ca="1" si="1781"/>
        <v>0</v>
      </c>
      <c r="AD837" s="164"/>
      <c r="AE837" s="148">
        <f t="shared" si="1767"/>
        <v>0</v>
      </c>
      <c r="AF837" s="149"/>
      <c r="AG837" s="150"/>
      <c r="AH837" s="159" t="e">
        <f t="shared" si="1768"/>
        <v>#DIV/0!</v>
      </c>
      <c r="AI837" s="165" t="s">
        <v>319</v>
      </c>
      <c r="AJ837" s="182">
        <v>23.86</v>
      </c>
      <c r="AK837" s="183">
        <f t="shared" si="1782"/>
        <v>0</v>
      </c>
      <c r="AM837" s="105"/>
      <c r="AN837" s="105"/>
      <c r="AO837" s="105"/>
      <c r="AP837" s="105"/>
      <c r="AQ837" s="105"/>
      <c r="AR837" s="105"/>
    </row>
    <row r="838" spans="1:44" s="49" customFormat="1" ht="40.15" hidden="1" customHeight="1">
      <c r="A838" s="152">
        <f t="shared" ca="1" si="1769"/>
        <v>0</v>
      </c>
      <c r="B838" s="153" t="s">
        <v>321</v>
      </c>
      <c r="C838" s="154" t="str">
        <f t="shared" si="1770"/>
        <v>SC/0065</v>
      </c>
      <c r="D838" s="154" t="s">
        <v>3549</v>
      </c>
      <c r="E838" s="155" t="s">
        <v>3910</v>
      </c>
      <c r="F838" s="154"/>
      <c r="G838" s="154" t="s">
        <v>58</v>
      </c>
      <c r="H838" s="152">
        <v>16.91</v>
      </c>
      <c r="I838" s="152">
        <v>16.23</v>
      </c>
      <c r="J838" s="156"/>
      <c r="K838" s="156">
        <f>+S_Complementares!M7</f>
        <v>0</v>
      </c>
      <c r="L838" s="156">
        <f t="shared" si="1771"/>
        <v>0</v>
      </c>
      <c r="M838" s="156">
        <f t="shared" si="1772"/>
        <v>0</v>
      </c>
      <c r="N838" s="156" t="s">
        <v>83</v>
      </c>
      <c r="O838" s="157" cm="1">
        <f t="array" ref="O838">TRUNC($H838*(1+_xlfn.SWITCH($N838,"BDI 1",$O$6,"BDI 2",$O$7,"BDI 3",$O$8)),2)</f>
        <v>20.41</v>
      </c>
      <c r="P838" s="157" cm="1">
        <f t="array" ref="P838">TRUNC($I838*(1+_xlfn.SWITCH($N838,"BDI 1",$P$6,"BDI 2",$P$7,"BDI 3",$P$8)),2)</f>
        <v>20.56</v>
      </c>
      <c r="Q838" s="157">
        <v>0</v>
      </c>
      <c r="R838" s="157">
        <f t="shared" ref="R838" si="1786">$Q838-($Q838*LICITACAO_DESCONTO)</f>
        <v>0</v>
      </c>
      <c r="S838" s="156">
        <f t="shared" si="1774"/>
        <v>0</v>
      </c>
      <c r="T838" s="156">
        <f t="shared" si="1775"/>
        <v>0</v>
      </c>
      <c r="U838" s="156">
        <f t="shared" si="1776"/>
        <v>0</v>
      </c>
      <c r="V838" s="156">
        <f t="shared" si="1777"/>
        <v>0</v>
      </c>
      <c r="W838" s="156">
        <f t="shared" si="1764"/>
        <v>0</v>
      </c>
      <c r="X838" s="158">
        <f t="shared" ref="X838" si="1787">$S838/ORCAMENTO_VALOR_TOTAL_ND</f>
        <v>0</v>
      </c>
      <c r="Y838" s="158">
        <f t="shared" ref="Y838" si="1788">$T838/ORCAMENTO_VALOR_TOTAL_DE</f>
        <v>0</v>
      </c>
      <c r="Z838" s="158" cm="1">
        <f t="array" ref="Z838">_xlfn.SWITCH($N838,"BDI 1",$O$6,"BDI 2",$O$7,"BDI 3",$O$8)</f>
        <v>0.20699999999999999</v>
      </c>
      <c r="AA838" s="158" cm="1">
        <f t="array" ref="AA838">_xlfn.SWITCH($N838,"BDI 1",$P$6,"BDI 2",$P$7,"BDI 3",$P$8)</f>
        <v>0.26739999999999997</v>
      </c>
      <c r="AB838" s="158">
        <f t="shared" ca="1" si="1780"/>
        <v>0</v>
      </c>
      <c r="AC838" s="158">
        <f t="shared" ca="1" si="1781"/>
        <v>0</v>
      </c>
      <c r="AD838" s="164"/>
      <c r="AE838" s="148">
        <f t="shared" si="1767"/>
        <v>0</v>
      </c>
      <c r="AF838" s="149"/>
      <c r="AG838" s="150"/>
      <c r="AH838" s="159" t="e">
        <f t="shared" si="1768"/>
        <v>#DIV/0!</v>
      </c>
      <c r="AI838" s="165" t="s">
        <v>319</v>
      </c>
      <c r="AJ838" s="182">
        <v>26.88</v>
      </c>
      <c r="AK838" s="183">
        <f t="shared" si="1782"/>
        <v>0</v>
      </c>
      <c r="AM838" s="105"/>
      <c r="AN838" s="105"/>
      <c r="AO838" s="105"/>
      <c r="AP838" s="105"/>
      <c r="AQ838" s="105"/>
      <c r="AR838" s="105"/>
    </row>
    <row r="839" spans="1:44" s="49" customFormat="1" ht="40.15" hidden="1" customHeight="1">
      <c r="A839" s="152">
        <f t="shared" ca="1" si="1769"/>
        <v>0</v>
      </c>
      <c r="B839" s="153" t="s">
        <v>322</v>
      </c>
      <c r="C839" s="154" t="str">
        <f t="shared" si="1770"/>
        <v>SC/0020</v>
      </c>
      <c r="D839" s="154" t="s">
        <v>3549</v>
      </c>
      <c r="E839" s="155" t="s">
        <v>3911</v>
      </c>
      <c r="F839" s="154"/>
      <c r="G839" s="154" t="s">
        <v>58</v>
      </c>
      <c r="H839" s="152">
        <v>79.540000000000006</v>
      </c>
      <c r="I839" s="152">
        <v>76.23</v>
      </c>
      <c r="J839" s="156"/>
      <c r="K839" s="156">
        <f>+S_Complementares!M8</f>
        <v>0</v>
      </c>
      <c r="L839" s="156">
        <f t="shared" si="1771"/>
        <v>0</v>
      </c>
      <c r="M839" s="156">
        <f t="shared" si="1772"/>
        <v>0</v>
      </c>
      <c r="N839" s="156" t="s">
        <v>83</v>
      </c>
      <c r="O839" s="157" cm="1">
        <f t="array" ref="O839">TRUNC($H839*(1+_xlfn.SWITCH($N839,"BDI 1",$O$6,"BDI 2",$O$7,"BDI 3",$O$8)),2)</f>
        <v>96</v>
      </c>
      <c r="P839" s="157" cm="1">
        <f t="array" ref="P839">TRUNC($I839*(1+_xlfn.SWITCH($N839,"BDI 1",$P$6,"BDI 2",$P$7,"BDI 3",$P$8)),2)</f>
        <v>96.61</v>
      </c>
      <c r="Q839" s="157">
        <v>0</v>
      </c>
      <c r="R839" s="157">
        <f t="shared" ref="R839" si="1789">$Q839-($Q839*LICITACAO_DESCONTO)</f>
        <v>0</v>
      </c>
      <c r="S839" s="156">
        <f t="shared" si="1774"/>
        <v>0</v>
      </c>
      <c r="T839" s="156">
        <f t="shared" si="1775"/>
        <v>0</v>
      </c>
      <c r="U839" s="156">
        <f t="shared" si="1776"/>
        <v>0</v>
      </c>
      <c r="V839" s="156">
        <f t="shared" si="1777"/>
        <v>0</v>
      </c>
      <c r="W839" s="156">
        <f t="shared" si="1764"/>
        <v>0</v>
      </c>
      <c r="X839" s="158">
        <f t="shared" ref="X839" si="1790">$S839/ORCAMENTO_VALOR_TOTAL_ND</f>
        <v>0</v>
      </c>
      <c r="Y839" s="158">
        <f t="shared" ref="Y839" si="1791">$T839/ORCAMENTO_VALOR_TOTAL_DE</f>
        <v>0</v>
      </c>
      <c r="Z839" s="158" cm="1">
        <f t="array" ref="Z839">_xlfn.SWITCH($N839,"BDI 1",$O$6,"BDI 2",$O$7,"BDI 3",$O$8)</f>
        <v>0.20699999999999999</v>
      </c>
      <c r="AA839" s="158" cm="1">
        <f t="array" ref="AA839">_xlfn.SWITCH($N839,"BDI 1",$P$6,"BDI 2",$P$7,"BDI 3",$P$8)</f>
        <v>0.26739999999999997</v>
      </c>
      <c r="AB839" s="158">
        <f t="shared" ca="1" si="1780"/>
        <v>0</v>
      </c>
      <c r="AC839" s="158">
        <f t="shared" ca="1" si="1781"/>
        <v>0</v>
      </c>
      <c r="AD839" s="164"/>
      <c r="AE839" s="148">
        <f t="shared" si="1767"/>
        <v>0</v>
      </c>
      <c r="AF839" s="149"/>
      <c r="AG839" s="150"/>
      <c r="AH839" s="159" t="e">
        <f t="shared" si="1768"/>
        <v>#DIV/0!</v>
      </c>
      <c r="AI839" s="160"/>
      <c r="AJ839" s="182">
        <v>7.77</v>
      </c>
      <c r="AK839" s="183">
        <f t="shared" si="1782"/>
        <v>0</v>
      </c>
      <c r="AM839" s="105"/>
      <c r="AN839" s="105"/>
      <c r="AO839" s="105"/>
      <c r="AP839" s="105"/>
      <c r="AQ839" s="105"/>
      <c r="AR839" s="105"/>
    </row>
    <row r="840" spans="1:44" s="49" customFormat="1" ht="40.15" hidden="1" customHeight="1">
      <c r="A840" s="152">
        <f t="shared" ca="1" si="1769"/>
        <v>0</v>
      </c>
      <c r="B840" s="153" t="s">
        <v>323</v>
      </c>
      <c r="C840" s="154" t="str">
        <f t="shared" si="1770"/>
        <v>SC/0030</v>
      </c>
      <c r="D840" s="154" t="s">
        <v>3549</v>
      </c>
      <c r="E840" s="155" t="s">
        <v>3912</v>
      </c>
      <c r="F840" s="154"/>
      <c r="G840" s="154" t="s">
        <v>58</v>
      </c>
      <c r="H840" s="152">
        <v>29.92</v>
      </c>
      <c r="I840" s="152">
        <v>28.71</v>
      </c>
      <c r="J840" s="156"/>
      <c r="K840" s="156">
        <f>+S_Complementares!M9</f>
        <v>0</v>
      </c>
      <c r="L840" s="156">
        <f t="shared" si="1771"/>
        <v>0</v>
      </c>
      <c r="M840" s="156">
        <f t="shared" si="1772"/>
        <v>0</v>
      </c>
      <c r="N840" s="156" t="s">
        <v>83</v>
      </c>
      <c r="O840" s="157" cm="1">
        <f t="array" ref="O840">TRUNC($H840*(1+_xlfn.SWITCH($N840,"BDI 1",$O$6,"BDI 2",$O$7,"BDI 3",$O$8)),2)</f>
        <v>36.11</v>
      </c>
      <c r="P840" s="157" cm="1">
        <f t="array" ref="P840">TRUNC($I840*(1+_xlfn.SWITCH($N840,"BDI 1",$P$6,"BDI 2",$P$7,"BDI 3",$P$8)),2)</f>
        <v>36.380000000000003</v>
      </c>
      <c r="Q840" s="157">
        <v>0</v>
      </c>
      <c r="R840" s="157">
        <f t="shared" ref="R840" si="1792">$Q840-($Q840*LICITACAO_DESCONTO)</f>
        <v>0</v>
      </c>
      <c r="S840" s="156">
        <f t="shared" si="1774"/>
        <v>0</v>
      </c>
      <c r="T840" s="156">
        <f t="shared" si="1775"/>
        <v>0</v>
      </c>
      <c r="U840" s="156">
        <f t="shared" si="1776"/>
        <v>0</v>
      </c>
      <c r="V840" s="156">
        <f t="shared" si="1777"/>
        <v>0</v>
      </c>
      <c r="W840" s="156">
        <f t="shared" si="1764"/>
        <v>0</v>
      </c>
      <c r="X840" s="158">
        <f t="shared" ref="X840" si="1793">$S840/ORCAMENTO_VALOR_TOTAL_ND</f>
        <v>0</v>
      </c>
      <c r="Y840" s="158">
        <f t="shared" ref="Y840" si="1794">$T840/ORCAMENTO_VALOR_TOTAL_DE</f>
        <v>0</v>
      </c>
      <c r="Z840" s="158" cm="1">
        <f t="array" ref="Z840">_xlfn.SWITCH($N840,"BDI 1",$O$6,"BDI 2",$O$7,"BDI 3",$O$8)</f>
        <v>0.20699999999999999</v>
      </c>
      <c r="AA840" s="158" cm="1">
        <f t="array" ref="AA840">_xlfn.SWITCH($N840,"BDI 1",$P$6,"BDI 2",$P$7,"BDI 3",$P$8)</f>
        <v>0.26739999999999997</v>
      </c>
      <c r="AB840" s="158">
        <f t="shared" ca="1" si="1780"/>
        <v>0</v>
      </c>
      <c r="AC840" s="158">
        <f t="shared" ca="1" si="1781"/>
        <v>0</v>
      </c>
      <c r="AD840" s="164"/>
      <c r="AE840" s="148">
        <f t="shared" si="1767"/>
        <v>0</v>
      </c>
      <c r="AF840" s="149"/>
      <c r="AG840" s="150"/>
      <c r="AH840" s="159" t="e">
        <f t="shared" si="1768"/>
        <v>#DIV/0!</v>
      </c>
      <c r="AI840" s="160"/>
      <c r="AJ840" s="182">
        <v>20.61</v>
      </c>
      <c r="AK840" s="183">
        <f t="shared" si="1782"/>
        <v>0</v>
      </c>
      <c r="AM840" s="105"/>
      <c r="AN840" s="105"/>
      <c r="AO840" s="105"/>
      <c r="AP840" s="105"/>
      <c r="AQ840" s="105"/>
      <c r="AR840" s="105"/>
    </row>
    <row r="841" spans="1:44" s="49" customFormat="1" ht="40.15" hidden="1" customHeight="1">
      <c r="A841" s="152">
        <f t="shared" ca="1" si="1769"/>
        <v>0</v>
      </c>
      <c r="B841" s="153" t="s">
        <v>324</v>
      </c>
      <c r="C841" s="154" t="str">
        <f t="shared" si="1770"/>
        <v>SC/0035</v>
      </c>
      <c r="D841" s="154" t="s">
        <v>3549</v>
      </c>
      <c r="E841" s="155" t="s">
        <v>3913</v>
      </c>
      <c r="F841" s="154"/>
      <c r="G841" s="154" t="s">
        <v>58</v>
      </c>
      <c r="H841" s="152">
        <v>32.25</v>
      </c>
      <c r="I841" s="152">
        <v>30.97</v>
      </c>
      <c r="J841" s="156"/>
      <c r="K841" s="156">
        <f>+S_Complementares!M10</f>
        <v>0</v>
      </c>
      <c r="L841" s="156">
        <f t="shared" si="1771"/>
        <v>0</v>
      </c>
      <c r="M841" s="156">
        <f t="shared" si="1772"/>
        <v>0</v>
      </c>
      <c r="N841" s="156" t="s">
        <v>83</v>
      </c>
      <c r="O841" s="157" cm="1">
        <f t="array" ref="O841">TRUNC($H841*(1+_xlfn.SWITCH($N841,"BDI 1",$O$6,"BDI 2",$O$7,"BDI 3",$O$8)),2)</f>
        <v>38.92</v>
      </c>
      <c r="P841" s="157" cm="1">
        <f t="array" ref="P841">TRUNC($I841*(1+_xlfn.SWITCH($N841,"BDI 1",$P$6,"BDI 2",$P$7,"BDI 3",$P$8)),2)</f>
        <v>39.25</v>
      </c>
      <c r="Q841" s="157">
        <v>0</v>
      </c>
      <c r="R841" s="157">
        <f t="shared" ref="R841" si="1795">$Q841-($Q841*LICITACAO_DESCONTO)</f>
        <v>0</v>
      </c>
      <c r="S841" s="156">
        <f t="shared" si="1774"/>
        <v>0</v>
      </c>
      <c r="T841" s="156">
        <f t="shared" si="1775"/>
        <v>0</v>
      </c>
      <c r="U841" s="156">
        <f t="shared" si="1776"/>
        <v>0</v>
      </c>
      <c r="V841" s="156">
        <f t="shared" si="1777"/>
        <v>0</v>
      </c>
      <c r="W841" s="156">
        <f t="shared" si="1764"/>
        <v>0</v>
      </c>
      <c r="X841" s="158">
        <f t="shared" ref="X841" si="1796">$S841/ORCAMENTO_VALOR_TOTAL_ND</f>
        <v>0</v>
      </c>
      <c r="Y841" s="158">
        <f t="shared" ref="Y841" si="1797">$T841/ORCAMENTO_VALOR_TOTAL_DE</f>
        <v>0</v>
      </c>
      <c r="Z841" s="158" cm="1">
        <f t="array" ref="Z841">_xlfn.SWITCH($N841,"BDI 1",$O$6,"BDI 2",$O$7,"BDI 3",$O$8)</f>
        <v>0.20699999999999999</v>
      </c>
      <c r="AA841" s="158" cm="1">
        <f t="array" ref="AA841">_xlfn.SWITCH($N841,"BDI 1",$P$6,"BDI 2",$P$7,"BDI 3",$P$8)</f>
        <v>0.26739999999999997</v>
      </c>
      <c r="AB841" s="158">
        <f t="shared" ca="1" si="1780"/>
        <v>0</v>
      </c>
      <c r="AC841" s="158">
        <f t="shared" ca="1" si="1781"/>
        <v>0</v>
      </c>
      <c r="AD841" s="164"/>
      <c r="AE841" s="148">
        <f t="shared" si="1767"/>
        <v>0</v>
      </c>
      <c r="AF841" s="149"/>
      <c r="AG841" s="150"/>
      <c r="AH841" s="159" t="e">
        <f t="shared" si="1768"/>
        <v>#DIV/0!</v>
      </c>
      <c r="AI841" s="160"/>
      <c r="AJ841" s="182">
        <v>20.61</v>
      </c>
      <c r="AK841" s="183">
        <f t="shared" si="1782"/>
        <v>0</v>
      </c>
      <c r="AM841" s="105"/>
      <c r="AN841" s="105"/>
      <c r="AO841" s="105"/>
      <c r="AP841" s="105"/>
      <c r="AQ841" s="105"/>
      <c r="AR841" s="105"/>
    </row>
    <row r="842" spans="1:44" s="49" customFormat="1" ht="40.15" hidden="1" customHeight="1">
      <c r="A842" s="152">
        <f t="shared" ca="1" si="1769"/>
        <v>0</v>
      </c>
      <c r="B842" s="153" t="s">
        <v>325</v>
      </c>
      <c r="C842" s="154" t="str">
        <f t="shared" si="1770"/>
        <v>SC/0040</v>
      </c>
      <c r="D842" s="154" t="s">
        <v>3549</v>
      </c>
      <c r="E842" s="155" t="s">
        <v>3914</v>
      </c>
      <c r="F842" s="154"/>
      <c r="G842" s="154" t="s">
        <v>58</v>
      </c>
      <c r="H842" s="152">
        <v>42.4</v>
      </c>
      <c r="I842" s="152">
        <v>40.68</v>
      </c>
      <c r="J842" s="156"/>
      <c r="K842" s="156">
        <f>+S_Complementares!M11</f>
        <v>0</v>
      </c>
      <c r="L842" s="156">
        <f t="shared" si="1771"/>
        <v>0</v>
      </c>
      <c r="M842" s="156">
        <f t="shared" si="1772"/>
        <v>0</v>
      </c>
      <c r="N842" s="156" t="s">
        <v>83</v>
      </c>
      <c r="O842" s="157" cm="1">
        <f t="array" ref="O842">TRUNC($H842*(1+_xlfn.SWITCH($N842,"BDI 1",$O$6,"BDI 2",$O$7,"BDI 3",$O$8)),2)</f>
        <v>51.17</v>
      </c>
      <c r="P842" s="157" cm="1">
        <f t="array" ref="P842">TRUNC($I842*(1+_xlfn.SWITCH($N842,"BDI 1",$P$6,"BDI 2",$P$7,"BDI 3",$P$8)),2)</f>
        <v>51.55</v>
      </c>
      <c r="Q842" s="157">
        <v>0</v>
      </c>
      <c r="R842" s="157">
        <f t="shared" ref="R842" si="1798">$Q842-($Q842*LICITACAO_DESCONTO)</f>
        <v>0</v>
      </c>
      <c r="S842" s="156">
        <f t="shared" si="1774"/>
        <v>0</v>
      </c>
      <c r="T842" s="156">
        <f t="shared" si="1775"/>
        <v>0</v>
      </c>
      <c r="U842" s="156">
        <f t="shared" si="1776"/>
        <v>0</v>
      </c>
      <c r="V842" s="156">
        <f t="shared" si="1777"/>
        <v>0</v>
      </c>
      <c r="W842" s="156">
        <f t="shared" si="1764"/>
        <v>0</v>
      </c>
      <c r="X842" s="158">
        <f t="shared" ref="X842" si="1799">$S842/ORCAMENTO_VALOR_TOTAL_ND</f>
        <v>0</v>
      </c>
      <c r="Y842" s="158">
        <f t="shared" ref="Y842" si="1800">$T842/ORCAMENTO_VALOR_TOTAL_DE</f>
        <v>0</v>
      </c>
      <c r="Z842" s="158" cm="1">
        <f t="array" ref="Z842">_xlfn.SWITCH($N842,"BDI 1",$O$6,"BDI 2",$O$7,"BDI 3",$O$8)</f>
        <v>0.20699999999999999</v>
      </c>
      <c r="AA842" s="158" cm="1">
        <f t="array" ref="AA842">_xlfn.SWITCH($N842,"BDI 1",$P$6,"BDI 2",$P$7,"BDI 3",$P$8)</f>
        <v>0.26739999999999997</v>
      </c>
      <c r="AB842" s="158">
        <f t="shared" ca="1" si="1780"/>
        <v>0</v>
      </c>
      <c r="AC842" s="158">
        <f t="shared" ca="1" si="1781"/>
        <v>0</v>
      </c>
      <c r="AD842" s="164"/>
      <c r="AE842" s="148">
        <f t="shared" si="1767"/>
        <v>0</v>
      </c>
      <c r="AF842" s="149"/>
      <c r="AG842" s="150"/>
      <c r="AH842" s="159" t="e">
        <f t="shared" si="1768"/>
        <v>#DIV/0!</v>
      </c>
      <c r="AI842" s="160"/>
      <c r="AJ842" s="182">
        <v>15.11</v>
      </c>
      <c r="AK842" s="183">
        <f t="shared" si="1782"/>
        <v>0</v>
      </c>
      <c r="AM842" s="105"/>
      <c r="AN842" s="105"/>
      <c r="AO842" s="105"/>
      <c r="AP842" s="105"/>
      <c r="AQ842" s="105"/>
      <c r="AR842" s="105"/>
    </row>
    <row r="843" spans="1:44" s="49" customFormat="1" ht="40.15" hidden="1" customHeight="1">
      <c r="A843" s="152">
        <f t="shared" ca="1" si="1769"/>
        <v>0</v>
      </c>
      <c r="B843" s="153">
        <v>97084</v>
      </c>
      <c r="C843" s="154" t="str">
        <f t="shared" si="1770"/>
        <v>97084</v>
      </c>
      <c r="D843" s="154" t="s">
        <v>1416</v>
      </c>
      <c r="E843" s="155" t="s">
        <v>3915</v>
      </c>
      <c r="F843" s="154"/>
      <c r="G843" s="154" t="s">
        <v>1418</v>
      </c>
      <c r="H843" s="152">
        <v>0.64</v>
      </c>
      <c r="I843" s="152">
        <v>0.57999999999999996</v>
      </c>
      <c r="J843" s="156"/>
      <c r="K843" s="156">
        <f>+S_Complementares!M33</f>
        <v>0</v>
      </c>
      <c r="L843" s="156">
        <f t="shared" si="1771"/>
        <v>0</v>
      </c>
      <c r="M843" s="156">
        <f t="shared" si="1772"/>
        <v>0</v>
      </c>
      <c r="N843" s="156" t="s">
        <v>83</v>
      </c>
      <c r="O843" s="157" cm="1">
        <f t="array" ref="O843">TRUNC($H843*(1+_xlfn.SWITCH($N843,"BDI 1",$O$6,"BDI 2",$O$7,"BDI 3",$O$8)),2)</f>
        <v>0.77</v>
      </c>
      <c r="P843" s="157" cm="1">
        <f t="array" ref="P843">TRUNC($I843*(1+_xlfn.SWITCH($N843,"BDI 1",$P$6,"BDI 2",$P$7,"BDI 3",$P$8)),2)</f>
        <v>0.73</v>
      </c>
      <c r="Q843" s="157">
        <v>0</v>
      </c>
      <c r="R843" s="157">
        <f t="shared" ref="R843" si="1801">$Q843-($Q843*LICITACAO_DESCONTO)</f>
        <v>0</v>
      </c>
      <c r="S843" s="156">
        <f t="shared" si="1774"/>
        <v>0</v>
      </c>
      <c r="T843" s="156">
        <f t="shared" si="1775"/>
        <v>0</v>
      </c>
      <c r="U843" s="156">
        <f t="shared" si="1776"/>
        <v>0</v>
      </c>
      <c r="V843" s="156">
        <f t="shared" si="1777"/>
        <v>0</v>
      </c>
      <c r="W843" s="156">
        <f t="shared" si="1764"/>
        <v>0</v>
      </c>
      <c r="X843" s="158">
        <f t="shared" ref="X843" si="1802">$S843/ORCAMENTO_VALOR_TOTAL_ND</f>
        <v>0</v>
      </c>
      <c r="Y843" s="158">
        <f t="shared" ref="Y843" si="1803">$T843/ORCAMENTO_VALOR_TOTAL_DE</f>
        <v>0</v>
      </c>
      <c r="Z843" s="158" cm="1">
        <f t="array" ref="Z843">_xlfn.SWITCH($N843,"BDI 1",$O$6,"BDI 2",$O$7,"BDI 3",$O$8)</f>
        <v>0.20699999999999999</v>
      </c>
      <c r="AA843" s="158" cm="1">
        <f t="array" ref="AA843">_xlfn.SWITCH($N843,"BDI 1",$P$6,"BDI 2",$P$7,"BDI 3",$P$8)</f>
        <v>0.26739999999999997</v>
      </c>
      <c r="AB843" s="158">
        <f t="shared" ca="1" si="1780"/>
        <v>0</v>
      </c>
      <c r="AC843" s="158">
        <f t="shared" ca="1" si="1781"/>
        <v>0</v>
      </c>
      <c r="AD843" s="164"/>
      <c r="AE843" s="148">
        <f t="shared" si="1767"/>
        <v>0</v>
      </c>
      <c r="AF843" s="149"/>
      <c r="AG843" s="150"/>
      <c r="AH843" s="159" t="e">
        <f t="shared" si="1768"/>
        <v>#DIV/0!</v>
      </c>
      <c r="AI843" s="160"/>
      <c r="AJ843" s="105"/>
      <c r="AK843" s="105"/>
      <c r="AM843" s="105"/>
      <c r="AN843" s="105"/>
      <c r="AO843" s="105"/>
      <c r="AP843" s="105"/>
      <c r="AQ843" s="105"/>
      <c r="AR843" s="105"/>
    </row>
    <row r="844" spans="1:44" s="49" customFormat="1" ht="40.15" hidden="1" customHeight="1">
      <c r="A844" s="152">
        <f t="shared" ca="1" si="1769"/>
        <v>0</v>
      </c>
      <c r="B844" s="153">
        <v>100575</v>
      </c>
      <c r="C844" s="154" t="str">
        <f t="shared" si="1770"/>
        <v>100575</v>
      </c>
      <c r="D844" s="154" t="s">
        <v>1416</v>
      </c>
      <c r="E844" s="155" t="s">
        <v>3588</v>
      </c>
      <c r="F844" s="154"/>
      <c r="G844" s="154" t="s">
        <v>1418</v>
      </c>
      <c r="H844" s="152">
        <v>0.14000000000000001</v>
      </c>
      <c r="I844" s="152">
        <v>0.12</v>
      </c>
      <c r="J844" s="156"/>
      <c r="K844" s="156">
        <f>+S_Complementares!M37</f>
        <v>0</v>
      </c>
      <c r="L844" s="156">
        <f t="shared" si="1771"/>
        <v>0</v>
      </c>
      <c r="M844" s="156">
        <f t="shared" si="1772"/>
        <v>0</v>
      </c>
      <c r="N844" s="156" t="s">
        <v>83</v>
      </c>
      <c r="O844" s="157" cm="1">
        <f t="array" ref="O844">TRUNC($H844*(1+_xlfn.SWITCH($N844,"BDI 1",$O$6,"BDI 2",$O$7,"BDI 3",$O$8)),2)</f>
        <v>0.16</v>
      </c>
      <c r="P844" s="157" cm="1">
        <f t="array" ref="P844">TRUNC($I844*(1+_xlfn.SWITCH($N844,"BDI 1",$P$6,"BDI 2",$P$7,"BDI 3",$P$8)),2)</f>
        <v>0.15</v>
      </c>
      <c r="Q844" s="157">
        <v>0</v>
      </c>
      <c r="R844" s="157">
        <f t="shared" ref="R844" si="1804">$Q844-($Q844*LICITACAO_DESCONTO)</f>
        <v>0</v>
      </c>
      <c r="S844" s="156">
        <f t="shared" si="1774"/>
        <v>0</v>
      </c>
      <c r="T844" s="156">
        <f t="shared" si="1775"/>
        <v>0</v>
      </c>
      <c r="U844" s="156">
        <f t="shared" si="1776"/>
        <v>0</v>
      </c>
      <c r="V844" s="156">
        <f t="shared" si="1777"/>
        <v>0</v>
      </c>
      <c r="W844" s="156">
        <f t="shared" si="1764"/>
        <v>0</v>
      </c>
      <c r="X844" s="158">
        <f t="shared" ref="X844" si="1805">$S844/ORCAMENTO_VALOR_TOTAL_ND</f>
        <v>0</v>
      </c>
      <c r="Y844" s="158">
        <f t="shared" ref="Y844" si="1806">$T844/ORCAMENTO_VALOR_TOTAL_DE</f>
        <v>0</v>
      </c>
      <c r="Z844" s="158" cm="1">
        <f t="array" ref="Z844">_xlfn.SWITCH($N844,"BDI 1",$O$6,"BDI 2",$O$7,"BDI 3",$O$8)</f>
        <v>0.20699999999999999</v>
      </c>
      <c r="AA844" s="158" cm="1">
        <f t="array" ref="AA844">_xlfn.SWITCH($N844,"BDI 1",$P$6,"BDI 2",$P$7,"BDI 3",$P$8)</f>
        <v>0.26739999999999997</v>
      </c>
      <c r="AB844" s="158">
        <f t="shared" ca="1" si="1780"/>
        <v>0</v>
      </c>
      <c r="AC844" s="158">
        <f t="shared" ca="1" si="1781"/>
        <v>0</v>
      </c>
      <c r="AD844" s="164"/>
      <c r="AE844" s="148">
        <f t="shared" si="1767"/>
        <v>0</v>
      </c>
      <c r="AF844" s="149"/>
      <c r="AG844" s="150"/>
      <c r="AH844" s="159" t="e">
        <f t="shared" si="1768"/>
        <v>#DIV/0!</v>
      </c>
      <c r="AI844" s="160"/>
      <c r="AJ844" s="105"/>
      <c r="AK844" s="105"/>
      <c r="AM844" s="105"/>
      <c r="AN844" s="105"/>
      <c r="AO844" s="105"/>
      <c r="AP844" s="105"/>
      <c r="AQ844" s="105"/>
      <c r="AR844" s="105"/>
    </row>
    <row r="845" spans="1:44" s="49" customFormat="1" ht="40.15" hidden="1" customHeight="1">
      <c r="A845" s="152">
        <f t="shared" ca="1" si="1769"/>
        <v>0</v>
      </c>
      <c r="B845" s="153" t="s">
        <v>228</v>
      </c>
      <c r="C845" s="154" t="str">
        <f t="shared" si="1770"/>
        <v>SC/0250</v>
      </c>
      <c r="D845" s="154" t="s">
        <v>3549</v>
      </c>
      <c r="E845" s="155" t="s">
        <v>3847</v>
      </c>
      <c r="F845" s="154"/>
      <c r="G845" s="154" t="s">
        <v>1418</v>
      </c>
      <c r="H845" s="152">
        <v>6.57</v>
      </c>
      <c r="I845" s="152">
        <v>6.52</v>
      </c>
      <c r="J845" s="156"/>
      <c r="K845" s="156">
        <f>+S_Complementares!M15</f>
        <v>0</v>
      </c>
      <c r="L845" s="156">
        <f t="shared" si="1771"/>
        <v>0</v>
      </c>
      <c r="M845" s="156">
        <f t="shared" si="1772"/>
        <v>0</v>
      </c>
      <c r="N845" s="156" t="s">
        <v>83</v>
      </c>
      <c r="O845" s="157" cm="1">
        <f t="array" ref="O845">TRUNC($H845*(1+_xlfn.SWITCH($N845,"BDI 1",$O$6,"BDI 2",$O$7,"BDI 3",$O$8)),2)</f>
        <v>7.92</v>
      </c>
      <c r="P845" s="157" cm="1">
        <f t="array" ref="P845">TRUNC($I845*(1+_xlfn.SWITCH($N845,"BDI 1",$P$6,"BDI 2",$P$7,"BDI 3",$P$8)),2)</f>
        <v>8.26</v>
      </c>
      <c r="Q845" s="157">
        <v>0</v>
      </c>
      <c r="R845" s="157">
        <f t="shared" ref="R845" si="1807">$Q845-($Q845*LICITACAO_DESCONTO)</f>
        <v>0</v>
      </c>
      <c r="S845" s="156">
        <f t="shared" si="1774"/>
        <v>0</v>
      </c>
      <c r="T845" s="156">
        <f t="shared" si="1775"/>
        <v>0</v>
      </c>
      <c r="U845" s="156">
        <f t="shared" si="1776"/>
        <v>0</v>
      </c>
      <c r="V845" s="156">
        <f t="shared" si="1777"/>
        <v>0</v>
      </c>
      <c r="W845" s="156">
        <f t="shared" si="1764"/>
        <v>0</v>
      </c>
      <c r="X845" s="158">
        <f t="shared" ref="X845" si="1808">$S845/ORCAMENTO_VALOR_TOTAL_ND</f>
        <v>0</v>
      </c>
      <c r="Y845" s="158">
        <f t="shared" ref="Y845" si="1809">$T845/ORCAMENTO_VALOR_TOTAL_DE</f>
        <v>0</v>
      </c>
      <c r="Z845" s="158" cm="1">
        <f t="array" ref="Z845">_xlfn.SWITCH($N845,"BDI 1",$O$6,"BDI 2",$O$7,"BDI 3",$O$8)</f>
        <v>0.20699999999999999</v>
      </c>
      <c r="AA845" s="158" cm="1">
        <f t="array" ref="AA845">_xlfn.SWITCH($N845,"BDI 1",$P$6,"BDI 2",$P$7,"BDI 3",$P$8)</f>
        <v>0.26739999999999997</v>
      </c>
      <c r="AB845" s="158">
        <f t="shared" ca="1" si="1780"/>
        <v>0</v>
      </c>
      <c r="AC845" s="158">
        <f t="shared" ca="1" si="1781"/>
        <v>0</v>
      </c>
      <c r="AD845" s="164"/>
      <c r="AE845" s="148">
        <f t="shared" si="1767"/>
        <v>0</v>
      </c>
      <c r="AF845" s="149"/>
      <c r="AG845" s="150"/>
      <c r="AH845" s="159" t="e">
        <f t="shared" si="1768"/>
        <v>#DIV/0!</v>
      </c>
      <c r="AI845" s="160"/>
      <c r="AJ845" s="105"/>
      <c r="AK845" s="105"/>
      <c r="AM845" s="105"/>
      <c r="AN845" s="105"/>
      <c r="AO845" s="105"/>
      <c r="AP845" s="105"/>
      <c r="AQ845" s="105"/>
      <c r="AR845" s="105"/>
    </row>
    <row r="846" spans="1:44" s="49" customFormat="1" ht="40.15" hidden="1" customHeight="1">
      <c r="A846" s="152">
        <f t="shared" ca="1" si="1769"/>
        <v>0</v>
      </c>
      <c r="B846" s="153">
        <v>98503</v>
      </c>
      <c r="C846" s="154" t="str">
        <f t="shared" si="1770"/>
        <v>98503</v>
      </c>
      <c r="D846" s="154" t="s">
        <v>1416</v>
      </c>
      <c r="E846" s="155" t="s">
        <v>3916</v>
      </c>
      <c r="F846" s="154"/>
      <c r="G846" s="154" t="s">
        <v>1418</v>
      </c>
      <c r="H846" s="152">
        <v>22.49</v>
      </c>
      <c r="I846" s="152">
        <v>23.3</v>
      </c>
      <c r="J846" s="156"/>
      <c r="K846" s="156"/>
      <c r="L846" s="156">
        <f t="shared" si="1771"/>
        <v>0</v>
      </c>
      <c r="M846" s="156">
        <f t="shared" si="1772"/>
        <v>0</v>
      </c>
      <c r="N846" s="156" t="s">
        <v>83</v>
      </c>
      <c r="O846" s="157" cm="1">
        <f t="array" ref="O846">TRUNC($H846*(1+_xlfn.SWITCH($N846,"BDI 1",$O$6,"BDI 2",$O$7,"BDI 3",$O$8)),2)</f>
        <v>27.14</v>
      </c>
      <c r="P846" s="157" cm="1">
        <f t="array" ref="P846">TRUNC($I846*(1+_xlfn.SWITCH($N846,"BDI 1",$P$6,"BDI 2",$P$7,"BDI 3",$P$8)),2)</f>
        <v>29.53</v>
      </c>
      <c r="Q846" s="157">
        <v>0</v>
      </c>
      <c r="R846" s="157">
        <f t="shared" ref="R846" si="1810">$Q846-($Q846*LICITACAO_DESCONTO)</f>
        <v>0</v>
      </c>
      <c r="S846" s="156">
        <f t="shared" si="1774"/>
        <v>0</v>
      </c>
      <c r="T846" s="156">
        <f t="shared" si="1775"/>
        <v>0</v>
      </c>
      <c r="U846" s="156">
        <f t="shared" si="1776"/>
        <v>0</v>
      </c>
      <c r="V846" s="156">
        <f t="shared" si="1777"/>
        <v>0</v>
      </c>
      <c r="W846" s="156">
        <f t="shared" si="1764"/>
        <v>0</v>
      </c>
      <c r="X846" s="158">
        <f t="shared" ref="X846" si="1811">$S846/ORCAMENTO_VALOR_TOTAL_ND</f>
        <v>0</v>
      </c>
      <c r="Y846" s="158">
        <f t="shared" ref="Y846" si="1812">$T846/ORCAMENTO_VALOR_TOTAL_DE</f>
        <v>0</v>
      </c>
      <c r="Z846" s="158" cm="1">
        <f t="array" ref="Z846">_xlfn.SWITCH($N846,"BDI 1",$O$6,"BDI 2",$O$7,"BDI 3",$O$8)</f>
        <v>0.20699999999999999</v>
      </c>
      <c r="AA846" s="158" cm="1">
        <f t="array" ref="AA846">_xlfn.SWITCH($N846,"BDI 1",$P$6,"BDI 2",$P$7,"BDI 3",$P$8)</f>
        <v>0.26739999999999997</v>
      </c>
      <c r="AB846" s="158">
        <f t="shared" ca="1" si="1780"/>
        <v>0</v>
      </c>
      <c r="AC846" s="158">
        <f t="shared" ca="1" si="1781"/>
        <v>0</v>
      </c>
      <c r="AD846" s="164"/>
      <c r="AE846" s="148">
        <f t="shared" si="1767"/>
        <v>0</v>
      </c>
      <c r="AF846" s="149"/>
      <c r="AG846" s="150"/>
      <c r="AH846" s="159" t="e">
        <f t="shared" si="1768"/>
        <v>#DIV/0!</v>
      </c>
      <c r="AI846" s="154"/>
      <c r="AJ846" s="105"/>
      <c r="AK846" s="105"/>
      <c r="AM846" s="105"/>
      <c r="AN846" s="105"/>
      <c r="AO846" s="105"/>
      <c r="AP846" s="105"/>
      <c r="AQ846" s="105"/>
      <c r="AR846" s="105"/>
    </row>
    <row r="847" spans="1:44" s="49" customFormat="1" ht="40.15" hidden="1" customHeight="1">
      <c r="A847" s="152">
        <f t="shared" ca="1" si="1769"/>
        <v>0</v>
      </c>
      <c r="B847" s="153">
        <v>103946</v>
      </c>
      <c r="C847" s="154" t="str">
        <f t="shared" si="1770"/>
        <v>103946</v>
      </c>
      <c r="D847" s="154" t="s">
        <v>1416</v>
      </c>
      <c r="E847" s="155" t="s">
        <v>3680</v>
      </c>
      <c r="F847" s="154"/>
      <c r="G847" s="154" t="s">
        <v>1418</v>
      </c>
      <c r="H847" s="152">
        <v>13.06</v>
      </c>
      <c r="I847" s="152">
        <v>12.44</v>
      </c>
      <c r="J847" s="156"/>
      <c r="K847" s="156">
        <f>+S_Complementares!M20</f>
        <v>0</v>
      </c>
      <c r="L847" s="156">
        <f t="shared" si="1771"/>
        <v>0</v>
      </c>
      <c r="M847" s="156">
        <f t="shared" si="1772"/>
        <v>0</v>
      </c>
      <c r="N847" s="156" t="s">
        <v>83</v>
      </c>
      <c r="O847" s="157" cm="1">
        <f t="array" ref="O847">TRUNC($H847*(1+_xlfn.SWITCH($N847,"BDI 1",$O$6,"BDI 2",$O$7,"BDI 3",$O$8)),2)</f>
        <v>15.76</v>
      </c>
      <c r="P847" s="157" cm="1">
        <f t="array" ref="P847">TRUNC($I847*(1+_xlfn.SWITCH($N847,"BDI 1",$P$6,"BDI 2",$P$7,"BDI 3",$P$8)),2)</f>
        <v>15.76</v>
      </c>
      <c r="Q847" s="157">
        <v>0</v>
      </c>
      <c r="R847" s="157">
        <f t="shared" ref="R847" si="1813">$Q847-($Q847*LICITACAO_DESCONTO)</f>
        <v>0</v>
      </c>
      <c r="S847" s="156">
        <f t="shared" si="1774"/>
        <v>0</v>
      </c>
      <c r="T847" s="156">
        <f t="shared" si="1775"/>
        <v>0</v>
      </c>
      <c r="U847" s="156">
        <f t="shared" si="1776"/>
        <v>0</v>
      </c>
      <c r="V847" s="156">
        <f t="shared" si="1777"/>
        <v>0</v>
      </c>
      <c r="W847" s="156">
        <f t="shared" si="1764"/>
        <v>0</v>
      </c>
      <c r="X847" s="158">
        <f t="shared" ref="X847" si="1814">$S847/ORCAMENTO_VALOR_TOTAL_ND</f>
        <v>0</v>
      </c>
      <c r="Y847" s="158">
        <f t="shared" ref="Y847" si="1815">$T847/ORCAMENTO_VALOR_TOTAL_DE</f>
        <v>0</v>
      </c>
      <c r="Z847" s="158" cm="1">
        <f t="array" ref="Z847">_xlfn.SWITCH($N847,"BDI 1",$O$6,"BDI 2",$O$7,"BDI 3",$O$8)</f>
        <v>0.20699999999999999</v>
      </c>
      <c r="AA847" s="158" cm="1">
        <f t="array" ref="AA847">_xlfn.SWITCH($N847,"BDI 1",$P$6,"BDI 2",$P$7,"BDI 3",$P$8)</f>
        <v>0.26739999999999997</v>
      </c>
      <c r="AB847" s="158">
        <f t="shared" ca="1" si="1780"/>
        <v>0</v>
      </c>
      <c r="AC847" s="158">
        <f t="shared" ca="1" si="1781"/>
        <v>0</v>
      </c>
      <c r="AD847" s="164"/>
      <c r="AE847" s="148">
        <f t="shared" si="1767"/>
        <v>0</v>
      </c>
      <c r="AF847" s="149"/>
      <c r="AG847" s="150"/>
      <c r="AH847" s="159" t="e">
        <f t="shared" si="1768"/>
        <v>#DIV/0!</v>
      </c>
      <c r="AI847" s="165" t="s">
        <v>135</v>
      </c>
      <c r="AJ847" s="105"/>
      <c r="AK847" s="105"/>
      <c r="AM847" s="105"/>
      <c r="AN847" s="105"/>
      <c r="AO847" s="105"/>
      <c r="AP847" s="105"/>
      <c r="AQ847" s="105"/>
      <c r="AR847" s="105"/>
    </row>
    <row r="848" spans="1:44" s="49" customFormat="1" ht="49.9" hidden="1" customHeight="1">
      <c r="A848" s="152">
        <f t="shared" ca="1" si="1769"/>
        <v>0</v>
      </c>
      <c r="B848" s="153">
        <v>101203</v>
      </c>
      <c r="C848" s="154" t="str">
        <f t="shared" si="1770"/>
        <v>101203</v>
      </c>
      <c r="D848" s="154" t="s">
        <v>1416</v>
      </c>
      <c r="E848" s="155" t="s">
        <v>1432</v>
      </c>
      <c r="F848" s="154"/>
      <c r="G848" s="154" t="s">
        <v>58</v>
      </c>
      <c r="H848" s="152">
        <v>40.98</v>
      </c>
      <c r="I848" s="152">
        <v>38.450000000000003</v>
      </c>
      <c r="J848" s="156"/>
      <c r="K848" s="156">
        <f>+S_Complementares!M21</f>
        <v>0</v>
      </c>
      <c r="L848" s="156">
        <f t="shared" si="1771"/>
        <v>0</v>
      </c>
      <c r="M848" s="156">
        <f t="shared" si="1772"/>
        <v>0</v>
      </c>
      <c r="N848" s="156" t="s">
        <v>83</v>
      </c>
      <c r="O848" s="157" cm="1">
        <f t="array" ref="O848">TRUNC($H848*(1+_xlfn.SWITCH($N848,"BDI 1",$O$6,"BDI 2",$O$7,"BDI 3",$O$8)),2)</f>
        <v>49.46</v>
      </c>
      <c r="P848" s="157" cm="1">
        <f t="array" ref="P848">TRUNC($I848*(1+_xlfn.SWITCH($N848,"BDI 1",$P$6,"BDI 2",$P$7,"BDI 3",$P$8)),2)</f>
        <v>48.73</v>
      </c>
      <c r="Q848" s="157">
        <v>0</v>
      </c>
      <c r="R848" s="157">
        <f t="shared" ref="R848" si="1816">$Q848-($Q848*LICITACAO_DESCONTO)</f>
        <v>0</v>
      </c>
      <c r="S848" s="156">
        <f t="shared" si="1774"/>
        <v>0</v>
      </c>
      <c r="T848" s="156">
        <f t="shared" si="1775"/>
        <v>0</v>
      </c>
      <c r="U848" s="156">
        <f t="shared" si="1776"/>
        <v>0</v>
      </c>
      <c r="V848" s="156">
        <f t="shared" si="1777"/>
        <v>0</v>
      </c>
      <c r="W848" s="156">
        <f t="shared" si="1764"/>
        <v>0</v>
      </c>
      <c r="X848" s="158">
        <f t="shared" ref="X848" si="1817">$S848/ORCAMENTO_VALOR_TOTAL_ND</f>
        <v>0</v>
      </c>
      <c r="Y848" s="158">
        <f t="shared" ref="Y848" si="1818">$T848/ORCAMENTO_VALOR_TOTAL_DE</f>
        <v>0</v>
      </c>
      <c r="Z848" s="158" cm="1">
        <f t="array" ref="Z848">_xlfn.SWITCH($N848,"BDI 1",$O$6,"BDI 2",$O$7,"BDI 3",$O$8)</f>
        <v>0.20699999999999999</v>
      </c>
      <c r="AA848" s="158" cm="1">
        <f t="array" ref="AA848">_xlfn.SWITCH($N848,"BDI 1",$P$6,"BDI 2",$P$7,"BDI 3",$P$8)</f>
        <v>0.26739999999999997</v>
      </c>
      <c r="AB848" s="158">
        <f t="shared" ca="1" si="1780"/>
        <v>0</v>
      </c>
      <c r="AC848" s="158">
        <f t="shared" ca="1" si="1781"/>
        <v>0</v>
      </c>
      <c r="AD848" s="164"/>
      <c r="AE848" s="148">
        <f t="shared" si="1767"/>
        <v>0</v>
      </c>
      <c r="AF848" s="149"/>
      <c r="AG848" s="150"/>
      <c r="AH848" s="159" t="e">
        <f t="shared" si="1768"/>
        <v>#DIV/0!</v>
      </c>
      <c r="AI848" s="154"/>
      <c r="AJ848" s="105"/>
      <c r="AK848" s="105"/>
      <c r="AM848" s="105"/>
      <c r="AN848" s="105"/>
      <c r="AO848" s="105"/>
      <c r="AP848" s="105"/>
      <c r="AQ848" s="105"/>
      <c r="AR848" s="105"/>
    </row>
    <row r="849" spans="1:44" s="49" customFormat="1" ht="40.15" hidden="1" customHeight="1">
      <c r="A849" s="152">
        <f t="shared" ca="1" si="1769"/>
        <v>0</v>
      </c>
      <c r="B849" s="153">
        <v>101193</v>
      </c>
      <c r="C849" s="154" t="str">
        <f t="shared" si="1770"/>
        <v>101193</v>
      </c>
      <c r="D849" s="154" t="s">
        <v>1416</v>
      </c>
      <c r="E849" s="155" t="s">
        <v>3917</v>
      </c>
      <c r="F849" s="154"/>
      <c r="G849" s="154" t="s">
        <v>58</v>
      </c>
      <c r="H849" s="152">
        <v>55.82</v>
      </c>
      <c r="I849" s="152">
        <v>53.44</v>
      </c>
      <c r="J849" s="156"/>
      <c r="K849" s="156">
        <f>+S_Complementares!M22</f>
        <v>0</v>
      </c>
      <c r="L849" s="156">
        <f t="shared" si="1771"/>
        <v>0</v>
      </c>
      <c r="M849" s="156">
        <f t="shared" si="1772"/>
        <v>0</v>
      </c>
      <c r="N849" s="156" t="s">
        <v>83</v>
      </c>
      <c r="O849" s="157" cm="1">
        <f t="array" ref="O849">TRUNC($H849*(1+_xlfn.SWITCH($N849,"BDI 1",$O$6,"BDI 2",$O$7,"BDI 3",$O$8)),2)</f>
        <v>67.37</v>
      </c>
      <c r="P849" s="157" cm="1">
        <f t="array" ref="P849">TRUNC($I849*(1+_xlfn.SWITCH($N849,"BDI 1",$P$6,"BDI 2",$P$7,"BDI 3",$P$8)),2)</f>
        <v>67.72</v>
      </c>
      <c r="Q849" s="157">
        <v>0</v>
      </c>
      <c r="R849" s="157">
        <f t="shared" ref="R849" si="1819">$Q849-($Q849*LICITACAO_DESCONTO)</f>
        <v>0</v>
      </c>
      <c r="S849" s="156">
        <f t="shared" si="1774"/>
        <v>0</v>
      </c>
      <c r="T849" s="156">
        <f t="shared" si="1775"/>
        <v>0</v>
      </c>
      <c r="U849" s="156">
        <f t="shared" si="1776"/>
        <v>0</v>
      </c>
      <c r="V849" s="156">
        <f t="shared" si="1777"/>
        <v>0</v>
      </c>
      <c r="W849" s="156">
        <f t="shared" si="1764"/>
        <v>0</v>
      </c>
      <c r="X849" s="158">
        <f t="shared" ref="X849" si="1820">$S849/ORCAMENTO_VALOR_TOTAL_ND</f>
        <v>0</v>
      </c>
      <c r="Y849" s="158">
        <f t="shared" ref="Y849" si="1821">$T849/ORCAMENTO_VALOR_TOTAL_DE</f>
        <v>0</v>
      </c>
      <c r="Z849" s="158" cm="1">
        <f t="array" ref="Z849">_xlfn.SWITCH($N849,"BDI 1",$O$6,"BDI 2",$O$7,"BDI 3",$O$8)</f>
        <v>0.20699999999999999</v>
      </c>
      <c r="AA849" s="158" cm="1">
        <f t="array" ref="AA849">_xlfn.SWITCH($N849,"BDI 1",$P$6,"BDI 2",$P$7,"BDI 3",$P$8)</f>
        <v>0.26739999999999997</v>
      </c>
      <c r="AB849" s="158">
        <f t="shared" ca="1" si="1780"/>
        <v>0</v>
      </c>
      <c r="AC849" s="158">
        <f t="shared" ca="1" si="1781"/>
        <v>0</v>
      </c>
      <c r="AD849" s="164"/>
      <c r="AE849" s="148">
        <f t="shared" si="1767"/>
        <v>0</v>
      </c>
      <c r="AF849" s="149"/>
      <c r="AG849" s="150"/>
      <c r="AH849" s="159" t="e">
        <f t="shared" si="1768"/>
        <v>#DIV/0!</v>
      </c>
      <c r="AI849" s="154"/>
      <c r="AJ849" s="105"/>
      <c r="AK849" s="105"/>
      <c r="AM849" s="105"/>
      <c r="AN849" s="105"/>
      <c r="AO849" s="105"/>
      <c r="AP849" s="105"/>
      <c r="AQ849" s="105"/>
      <c r="AR849" s="105"/>
    </row>
    <row r="850" spans="1:44" s="49" customFormat="1" ht="49.9" hidden="1" customHeight="1">
      <c r="A850" s="152">
        <f t="shared" ca="1" si="1769"/>
        <v>0</v>
      </c>
      <c r="B850" s="153" t="s">
        <v>226</v>
      </c>
      <c r="C850" s="154" t="str">
        <f t="shared" si="1770"/>
        <v>SC/0115</v>
      </c>
      <c r="D850" s="154" t="s">
        <v>3549</v>
      </c>
      <c r="E850" s="155" t="s">
        <v>3844</v>
      </c>
      <c r="F850" s="154"/>
      <c r="G850" s="154" t="s">
        <v>58</v>
      </c>
      <c r="H850" s="152">
        <v>233.38</v>
      </c>
      <c r="I850" s="152">
        <v>223.03</v>
      </c>
      <c r="J850" s="156"/>
      <c r="K850" s="156">
        <f>+S_Complementares!M23</f>
        <v>0</v>
      </c>
      <c r="L850" s="156">
        <f t="shared" si="1771"/>
        <v>0</v>
      </c>
      <c r="M850" s="156">
        <f t="shared" si="1772"/>
        <v>0</v>
      </c>
      <c r="N850" s="156" t="s">
        <v>83</v>
      </c>
      <c r="O850" s="157" cm="1">
        <f t="array" ref="O850">TRUNC($H850*(1+_xlfn.SWITCH($N850,"BDI 1",$O$6,"BDI 2",$O$7,"BDI 3",$O$8)),2)</f>
        <v>281.68</v>
      </c>
      <c r="P850" s="157" cm="1">
        <f t="array" ref="P850">TRUNC($I850*(1+_xlfn.SWITCH($N850,"BDI 1",$P$6,"BDI 2",$P$7,"BDI 3",$P$8)),2)</f>
        <v>282.66000000000003</v>
      </c>
      <c r="Q850" s="157">
        <v>0</v>
      </c>
      <c r="R850" s="157">
        <f t="shared" ref="R850" si="1822">$Q850-($Q850*LICITACAO_DESCONTO)</f>
        <v>0</v>
      </c>
      <c r="S850" s="156">
        <f t="shared" si="1774"/>
        <v>0</v>
      </c>
      <c r="T850" s="156">
        <f t="shared" si="1775"/>
        <v>0</v>
      </c>
      <c r="U850" s="156">
        <f t="shared" si="1776"/>
        <v>0</v>
      </c>
      <c r="V850" s="156">
        <f t="shared" si="1777"/>
        <v>0</v>
      </c>
      <c r="W850" s="156">
        <f t="shared" si="1764"/>
        <v>0</v>
      </c>
      <c r="X850" s="158">
        <f t="shared" ref="X850" si="1823">$S850/ORCAMENTO_VALOR_TOTAL_ND</f>
        <v>0</v>
      </c>
      <c r="Y850" s="158">
        <f t="shared" ref="Y850" si="1824">$T850/ORCAMENTO_VALOR_TOTAL_DE</f>
        <v>0</v>
      </c>
      <c r="Z850" s="158" cm="1">
        <f t="array" ref="Z850">_xlfn.SWITCH($N850,"BDI 1",$O$6,"BDI 2",$O$7,"BDI 3",$O$8)</f>
        <v>0.20699999999999999</v>
      </c>
      <c r="AA850" s="158" cm="1">
        <f t="array" ref="AA850">_xlfn.SWITCH($N850,"BDI 1",$P$6,"BDI 2",$P$7,"BDI 3",$P$8)</f>
        <v>0.26739999999999997</v>
      </c>
      <c r="AB850" s="158">
        <f t="shared" ca="1" si="1780"/>
        <v>0</v>
      </c>
      <c r="AC850" s="158">
        <f t="shared" ca="1" si="1781"/>
        <v>0</v>
      </c>
      <c r="AD850" s="164"/>
      <c r="AE850" s="148">
        <f t="shared" si="1767"/>
        <v>0</v>
      </c>
      <c r="AF850" s="149"/>
      <c r="AG850" s="150"/>
      <c r="AH850" s="159" t="e">
        <f t="shared" si="1768"/>
        <v>#DIV/0!</v>
      </c>
      <c r="AI850" s="154"/>
      <c r="AJ850" s="105"/>
      <c r="AK850" s="105"/>
      <c r="AM850" s="105"/>
      <c r="AN850" s="105"/>
      <c r="AO850" s="105"/>
      <c r="AP850" s="105"/>
      <c r="AQ850" s="105"/>
      <c r="AR850" s="105"/>
    </row>
    <row r="851" spans="1:44" s="49" customFormat="1" ht="40.15" hidden="1" customHeight="1">
      <c r="A851" s="152">
        <f t="shared" ca="1" si="1769"/>
        <v>0</v>
      </c>
      <c r="B851" s="153" t="s">
        <v>94</v>
      </c>
      <c r="C851" s="154" t="str">
        <f t="shared" si="1770"/>
        <v>SC/0120</v>
      </c>
      <c r="D851" s="154" t="s">
        <v>3549</v>
      </c>
      <c r="E851" s="155" t="s">
        <v>3543</v>
      </c>
      <c r="F851" s="154"/>
      <c r="G851" s="154" t="s">
        <v>1418</v>
      </c>
      <c r="H851" s="152">
        <v>989.46</v>
      </c>
      <c r="I851" s="152">
        <v>939.81</v>
      </c>
      <c r="J851" s="156"/>
      <c r="K851" s="156">
        <f>+S_Complementares!M27</f>
        <v>0</v>
      </c>
      <c r="L851" s="156">
        <f t="shared" si="1771"/>
        <v>0</v>
      </c>
      <c r="M851" s="156">
        <f t="shared" si="1772"/>
        <v>0</v>
      </c>
      <c r="N851" s="156" t="s">
        <v>83</v>
      </c>
      <c r="O851" s="157" cm="1">
        <f t="array" ref="O851">TRUNC($H851*(1+_xlfn.SWITCH($N851,"BDI 1",$O$6,"BDI 2",$O$7,"BDI 3",$O$8)),2)</f>
        <v>1194.27</v>
      </c>
      <c r="P851" s="157" cm="1">
        <f t="array" ref="P851">TRUNC($I851*(1+_xlfn.SWITCH($N851,"BDI 1",$P$6,"BDI 2",$P$7,"BDI 3",$P$8)),2)</f>
        <v>1191.1099999999999</v>
      </c>
      <c r="Q851" s="157">
        <v>0</v>
      </c>
      <c r="R851" s="157">
        <f t="shared" ref="R851" si="1825">$Q851-($Q851*LICITACAO_DESCONTO)</f>
        <v>0</v>
      </c>
      <c r="S851" s="156">
        <f t="shared" si="1774"/>
        <v>0</v>
      </c>
      <c r="T851" s="156">
        <f t="shared" si="1775"/>
        <v>0</v>
      </c>
      <c r="U851" s="156">
        <f t="shared" si="1776"/>
        <v>0</v>
      </c>
      <c r="V851" s="156">
        <f t="shared" si="1777"/>
        <v>0</v>
      </c>
      <c r="W851" s="156">
        <f t="shared" si="1764"/>
        <v>0</v>
      </c>
      <c r="X851" s="158">
        <f t="shared" ref="X851" si="1826">$S851/ORCAMENTO_VALOR_TOTAL_ND</f>
        <v>0</v>
      </c>
      <c r="Y851" s="158">
        <f t="shared" ref="Y851" si="1827">$T851/ORCAMENTO_VALOR_TOTAL_DE</f>
        <v>0</v>
      </c>
      <c r="Z851" s="158" cm="1">
        <f t="array" ref="Z851">_xlfn.SWITCH($N851,"BDI 1",$O$6,"BDI 2",$O$7,"BDI 3",$O$8)</f>
        <v>0.20699999999999999</v>
      </c>
      <c r="AA851" s="158" cm="1">
        <f t="array" ref="AA851">_xlfn.SWITCH($N851,"BDI 1",$P$6,"BDI 2",$P$7,"BDI 3",$P$8)</f>
        <v>0.26739999999999997</v>
      </c>
      <c r="AB851" s="158">
        <f t="shared" ca="1" si="1780"/>
        <v>0</v>
      </c>
      <c r="AC851" s="158">
        <f t="shared" ca="1" si="1781"/>
        <v>0</v>
      </c>
      <c r="AD851" s="164"/>
      <c r="AE851" s="148">
        <f t="shared" si="1767"/>
        <v>0</v>
      </c>
      <c r="AF851" s="149"/>
      <c r="AG851" s="150"/>
      <c r="AH851" s="159" t="e">
        <f t="shared" si="1768"/>
        <v>#DIV/0!</v>
      </c>
      <c r="AI851" s="154"/>
      <c r="AJ851" s="105"/>
      <c r="AK851" s="105"/>
      <c r="AM851" s="105"/>
      <c r="AN851" s="105"/>
      <c r="AO851" s="105"/>
      <c r="AP851" s="105"/>
      <c r="AQ851" s="105"/>
      <c r="AR851" s="105"/>
    </row>
    <row r="852" spans="1:44" s="49" customFormat="1" ht="40.15" hidden="1" customHeight="1">
      <c r="A852" s="152">
        <f t="shared" ca="1" si="1769"/>
        <v>0</v>
      </c>
      <c r="B852" s="153">
        <v>98510</v>
      </c>
      <c r="C852" s="154" t="str">
        <f t="shared" si="1770"/>
        <v>98510</v>
      </c>
      <c r="D852" s="154" t="s">
        <v>1416</v>
      </c>
      <c r="E852" s="155" t="s">
        <v>1429</v>
      </c>
      <c r="F852" s="154"/>
      <c r="G852" s="154" t="s">
        <v>1412</v>
      </c>
      <c r="H852" s="152">
        <v>68.48</v>
      </c>
      <c r="I852" s="152">
        <v>66.75</v>
      </c>
      <c r="J852" s="156"/>
      <c r="K852" s="156">
        <f>+S_Complementares!M41</f>
        <v>0</v>
      </c>
      <c r="L852" s="156">
        <f t="shared" si="1771"/>
        <v>0</v>
      </c>
      <c r="M852" s="156">
        <f t="shared" si="1772"/>
        <v>0</v>
      </c>
      <c r="N852" s="156" t="s">
        <v>83</v>
      </c>
      <c r="O852" s="157" cm="1">
        <f t="array" ref="O852">TRUNC($H852*(1+_xlfn.SWITCH($N852,"BDI 1",$O$6,"BDI 2",$O$7,"BDI 3",$O$8)),2)</f>
        <v>82.65</v>
      </c>
      <c r="P852" s="157" cm="1">
        <f t="array" ref="P852">TRUNC($I852*(1+_xlfn.SWITCH($N852,"BDI 1",$P$6,"BDI 2",$P$7,"BDI 3",$P$8)),2)</f>
        <v>84.59</v>
      </c>
      <c r="Q852" s="157">
        <v>0</v>
      </c>
      <c r="R852" s="157">
        <f t="shared" ref="R852" si="1828">$Q852-($Q852*LICITACAO_DESCONTO)</f>
        <v>0</v>
      </c>
      <c r="S852" s="156">
        <f t="shared" si="1774"/>
        <v>0</v>
      </c>
      <c r="T852" s="156">
        <f t="shared" si="1775"/>
        <v>0</v>
      </c>
      <c r="U852" s="156">
        <f t="shared" si="1776"/>
        <v>0</v>
      </c>
      <c r="V852" s="156">
        <f t="shared" si="1777"/>
        <v>0</v>
      </c>
      <c r="W852" s="156">
        <f t="shared" si="1764"/>
        <v>0</v>
      </c>
      <c r="X852" s="158">
        <f t="shared" ref="X852" si="1829">$S852/ORCAMENTO_VALOR_TOTAL_ND</f>
        <v>0</v>
      </c>
      <c r="Y852" s="158">
        <f t="shared" ref="Y852" si="1830">$T852/ORCAMENTO_VALOR_TOTAL_DE</f>
        <v>0</v>
      </c>
      <c r="Z852" s="158" cm="1">
        <f t="array" ref="Z852">_xlfn.SWITCH($N852,"BDI 1",$O$6,"BDI 2",$O$7,"BDI 3",$O$8)</f>
        <v>0.20699999999999999</v>
      </c>
      <c r="AA852" s="158" cm="1">
        <f t="array" ref="AA852">_xlfn.SWITCH($N852,"BDI 1",$P$6,"BDI 2",$P$7,"BDI 3",$P$8)</f>
        <v>0.26739999999999997</v>
      </c>
      <c r="AB852" s="158">
        <f t="shared" ca="1" si="1780"/>
        <v>0</v>
      </c>
      <c r="AC852" s="158">
        <f t="shared" ca="1" si="1781"/>
        <v>0</v>
      </c>
      <c r="AD852" s="164"/>
      <c r="AE852" s="148">
        <f t="shared" si="1767"/>
        <v>0</v>
      </c>
      <c r="AF852" s="149"/>
      <c r="AG852" s="150"/>
      <c r="AH852" s="159" t="e">
        <f t="shared" si="1768"/>
        <v>#DIV/0!</v>
      </c>
      <c r="AI852" s="165" t="s">
        <v>229</v>
      </c>
      <c r="AJ852" s="105"/>
      <c r="AK852" s="105"/>
      <c r="AM852" s="105"/>
      <c r="AN852" s="105"/>
      <c r="AO852" s="105"/>
      <c r="AP852" s="105"/>
      <c r="AQ852" s="105"/>
      <c r="AR852" s="105"/>
    </row>
    <row r="853" spans="1:44" s="49" customFormat="1" ht="40.15" hidden="1" customHeight="1">
      <c r="A853" s="152">
        <f t="shared" ca="1" si="1769"/>
        <v>0</v>
      </c>
      <c r="B853" s="153">
        <v>98516</v>
      </c>
      <c r="C853" s="154" t="str">
        <f t="shared" si="1770"/>
        <v>98516</v>
      </c>
      <c r="D853" s="154" t="s">
        <v>1416</v>
      </c>
      <c r="E853" s="155" t="s">
        <v>3848</v>
      </c>
      <c r="F853" s="154"/>
      <c r="G853" s="154" t="s">
        <v>1412</v>
      </c>
      <c r="H853" s="152">
        <v>352.12</v>
      </c>
      <c r="I853" s="152">
        <v>337.78</v>
      </c>
      <c r="J853" s="156"/>
      <c r="K853" s="156">
        <f>+S_Complementares!M42</f>
        <v>0</v>
      </c>
      <c r="L853" s="156">
        <f t="shared" si="1771"/>
        <v>0</v>
      </c>
      <c r="M853" s="156">
        <f t="shared" si="1772"/>
        <v>0</v>
      </c>
      <c r="N853" s="156" t="s">
        <v>83</v>
      </c>
      <c r="O853" s="157" cm="1">
        <f t="array" ref="O853">TRUNC($H853*(1+_xlfn.SWITCH($N853,"BDI 1",$O$6,"BDI 2",$O$7,"BDI 3",$O$8)),2)</f>
        <v>425</v>
      </c>
      <c r="P853" s="157" cm="1">
        <f t="array" ref="P853">TRUNC($I853*(1+_xlfn.SWITCH($N853,"BDI 1",$P$6,"BDI 2",$P$7,"BDI 3",$P$8)),2)</f>
        <v>428.1</v>
      </c>
      <c r="Q853" s="157">
        <v>0</v>
      </c>
      <c r="R853" s="157">
        <f t="shared" ref="R853" si="1831">$Q853-($Q853*LICITACAO_DESCONTO)</f>
        <v>0</v>
      </c>
      <c r="S853" s="156">
        <f t="shared" si="1774"/>
        <v>0</v>
      </c>
      <c r="T853" s="156">
        <f t="shared" si="1775"/>
        <v>0</v>
      </c>
      <c r="U853" s="156">
        <f t="shared" si="1776"/>
        <v>0</v>
      </c>
      <c r="V853" s="156">
        <f t="shared" si="1777"/>
        <v>0</v>
      </c>
      <c r="W853" s="156">
        <f t="shared" si="1764"/>
        <v>0</v>
      </c>
      <c r="X853" s="158">
        <f t="shared" ref="X853" si="1832">$S853/ORCAMENTO_VALOR_TOTAL_ND</f>
        <v>0</v>
      </c>
      <c r="Y853" s="158">
        <f t="shared" ref="Y853" si="1833">$T853/ORCAMENTO_VALOR_TOTAL_DE</f>
        <v>0</v>
      </c>
      <c r="Z853" s="158" cm="1">
        <f t="array" ref="Z853">_xlfn.SWITCH($N853,"BDI 1",$O$6,"BDI 2",$O$7,"BDI 3",$O$8)</f>
        <v>0.20699999999999999</v>
      </c>
      <c r="AA853" s="158" cm="1">
        <f t="array" ref="AA853">_xlfn.SWITCH($N853,"BDI 1",$P$6,"BDI 2",$P$7,"BDI 3",$P$8)</f>
        <v>0.26739999999999997</v>
      </c>
      <c r="AB853" s="158">
        <f t="shared" ca="1" si="1780"/>
        <v>0</v>
      </c>
      <c r="AC853" s="158">
        <f t="shared" ca="1" si="1781"/>
        <v>0</v>
      </c>
      <c r="AD853" s="164"/>
      <c r="AE853" s="148">
        <f t="shared" si="1767"/>
        <v>0</v>
      </c>
      <c r="AF853" s="149"/>
      <c r="AG853" s="150"/>
      <c r="AH853" s="159" t="e">
        <f t="shared" si="1768"/>
        <v>#DIV/0!</v>
      </c>
      <c r="AI853" s="160"/>
      <c r="AJ853" s="105"/>
      <c r="AK853" s="105"/>
      <c r="AM853" s="105"/>
      <c r="AN853" s="105"/>
      <c r="AO853" s="105"/>
      <c r="AP853" s="105"/>
      <c r="AQ853" s="105"/>
      <c r="AR853" s="105"/>
    </row>
    <row r="854" spans="1:44" s="49" customFormat="1" ht="40.15" hidden="1" customHeight="1">
      <c r="A854" s="152">
        <f t="shared" ca="1" si="1769"/>
        <v>0</v>
      </c>
      <c r="B854" s="153">
        <v>94963</v>
      </c>
      <c r="C854" s="154" t="str">
        <f t="shared" si="1770"/>
        <v>94963</v>
      </c>
      <c r="D854" s="154" t="s">
        <v>1416</v>
      </c>
      <c r="E854" s="155" t="s">
        <v>3862</v>
      </c>
      <c r="F854" s="154"/>
      <c r="G854" s="154" t="s">
        <v>464</v>
      </c>
      <c r="H854" s="152">
        <v>428.94</v>
      </c>
      <c r="I854" s="152">
        <v>426.98</v>
      </c>
      <c r="J854" s="156"/>
      <c r="K854" s="156">
        <f>+S_Complementares!M41</f>
        <v>0</v>
      </c>
      <c r="L854" s="156">
        <f t="shared" si="1771"/>
        <v>0</v>
      </c>
      <c r="M854" s="156">
        <f t="shared" si="1772"/>
        <v>0</v>
      </c>
      <c r="N854" s="156" t="s">
        <v>83</v>
      </c>
      <c r="O854" s="157" cm="1">
        <f t="array" ref="O854">TRUNC($H854*(1+_xlfn.SWITCH($N854,"BDI 1",$O$6,"BDI 2",$O$7,"BDI 3",$O$8)),2)</f>
        <v>517.73</v>
      </c>
      <c r="P854" s="157" cm="1">
        <f t="array" ref="P854">TRUNC($I854*(1+_xlfn.SWITCH($N854,"BDI 1",$P$6,"BDI 2",$P$7,"BDI 3",$P$8)),2)</f>
        <v>541.15</v>
      </c>
      <c r="Q854" s="157">
        <v>0</v>
      </c>
      <c r="R854" s="157">
        <f t="shared" ref="R854" si="1834">$Q854-($Q854*LICITACAO_DESCONTO)</f>
        <v>0</v>
      </c>
      <c r="S854" s="156">
        <f t="shared" si="1774"/>
        <v>0</v>
      </c>
      <c r="T854" s="156">
        <f t="shared" si="1775"/>
        <v>0</v>
      </c>
      <c r="U854" s="156">
        <f t="shared" si="1776"/>
        <v>0</v>
      </c>
      <c r="V854" s="156">
        <f t="shared" si="1777"/>
        <v>0</v>
      </c>
      <c r="W854" s="156">
        <f t="shared" si="1764"/>
        <v>0</v>
      </c>
      <c r="X854" s="158">
        <f t="shared" ref="X854" si="1835">$S854/ORCAMENTO_VALOR_TOTAL_ND</f>
        <v>0</v>
      </c>
      <c r="Y854" s="158">
        <f t="shared" ref="Y854" si="1836">$T854/ORCAMENTO_VALOR_TOTAL_DE</f>
        <v>0</v>
      </c>
      <c r="Z854" s="158" cm="1">
        <f t="array" ref="Z854">_xlfn.SWITCH($N854,"BDI 1",$O$6,"BDI 2",$O$7,"BDI 3",$O$8)</f>
        <v>0.20699999999999999</v>
      </c>
      <c r="AA854" s="158" cm="1">
        <f t="array" ref="AA854">_xlfn.SWITCH($N854,"BDI 1",$P$6,"BDI 2",$P$7,"BDI 3",$P$8)</f>
        <v>0.26739999999999997</v>
      </c>
      <c r="AB854" s="158">
        <f t="shared" ca="1" si="1780"/>
        <v>0</v>
      </c>
      <c r="AC854" s="158">
        <f t="shared" ca="1" si="1781"/>
        <v>0</v>
      </c>
      <c r="AD854" s="164"/>
      <c r="AE854" s="148">
        <f t="shared" si="1767"/>
        <v>0</v>
      </c>
      <c r="AF854" s="149"/>
      <c r="AG854" s="150"/>
      <c r="AH854" s="159" t="e">
        <f t="shared" si="1768"/>
        <v>#DIV/0!</v>
      </c>
      <c r="AI854" s="160"/>
      <c r="AJ854" s="105"/>
      <c r="AK854" s="105"/>
      <c r="AM854" s="105"/>
      <c r="AN854" s="105"/>
      <c r="AO854" s="105"/>
      <c r="AP854" s="105"/>
      <c r="AQ854" s="105"/>
      <c r="AR854" s="105"/>
    </row>
    <row r="855" spans="1:44" s="49" customFormat="1" ht="40.15" hidden="1" customHeight="1">
      <c r="A855" s="152">
        <f t="shared" ca="1" si="1769"/>
        <v>0</v>
      </c>
      <c r="B855" s="153">
        <v>94965</v>
      </c>
      <c r="C855" s="154" t="str">
        <f t="shared" si="1770"/>
        <v>94965</v>
      </c>
      <c r="D855" s="154" t="s">
        <v>1416</v>
      </c>
      <c r="E855" s="155" t="s">
        <v>3820</v>
      </c>
      <c r="F855" s="154"/>
      <c r="G855" s="154" t="s">
        <v>464</v>
      </c>
      <c r="H855" s="152">
        <v>489.71</v>
      </c>
      <c r="I855" s="152">
        <v>487.51</v>
      </c>
      <c r="J855" s="156"/>
      <c r="K855" s="156">
        <f>+S_Complementares!M45</f>
        <v>0</v>
      </c>
      <c r="L855" s="156">
        <f t="shared" si="1771"/>
        <v>0</v>
      </c>
      <c r="M855" s="156">
        <f t="shared" si="1772"/>
        <v>0</v>
      </c>
      <c r="N855" s="156" t="s">
        <v>83</v>
      </c>
      <c r="O855" s="157" cm="1">
        <f t="array" ref="O855">TRUNC($H855*(1+_xlfn.SWITCH($N855,"BDI 1",$O$6,"BDI 2",$O$7,"BDI 3",$O$8)),2)</f>
        <v>591.07000000000005</v>
      </c>
      <c r="P855" s="157" cm="1">
        <f t="array" ref="P855">TRUNC($I855*(1+_xlfn.SWITCH($N855,"BDI 1",$P$6,"BDI 2",$P$7,"BDI 3",$P$8)),2)</f>
        <v>617.87</v>
      </c>
      <c r="Q855" s="157">
        <v>0</v>
      </c>
      <c r="R855" s="157">
        <f t="shared" ref="R855" si="1837">$Q855-($Q855*LICITACAO_DESCONTO)</f>
        <v>0</v>
      </c>
      <c r="S855" s="156">
        <f t="shared" si="1774"/>
        <v>0</v>
      </c>
      <c r="T855" s="156">
        <f t="shared" si="1775"/>
        <v>0</v>
      </c>
      <c r="U855" s="156">
        <f t="shared" si="1776"/>
        <v>0</v>
      </c>
      <c r="V855" s="156">
        <f t="shared" si="1777"/>
        <v>0</v>
      </c>
      <c r="W855" s="156">
        <f t="shared" si="1764"/>
        <v>0</v>
      </c>
      <c r="X855" s="158">
        <f t="shared" ref="X855" si="1838">$S855/ORCAMENTO_VALOR_TOTAL_ND</f>
        <v>0</v>
      </c>
      <c r="Y855" s="158">
        <f t="shared" ref="Y855" si="1839">$T855/ORCAMENTO_VALOR_TOTAL_DE</f>
        <v>0</v>
      </c>
      <c r="Z855" s="158" cm="1">
        <f t="array" ref="Z855">_xlfn.SWITCH($N855,"BDI 1",$O$6,"BDI 2",$O$7,"BDI 3",$O$8)</f>
        <v>0.20699999999999999</v>
      </c>
      <c r="AA855" s="158" cm="1">
        <f t="array" ref="AA855">_xlfn.SWITCH($N855,"BDI 1",$P$6,"BDI 2",$P$7,"BDI 3",$P$8)</f>
        <v>0.26739999999999997</v>
      </c>
      <c r="AB855" s="158">
        <f t="shared" ca="1" si="1780"/>
        <v>0</v>
      </c>
      <c r="AC855" s="158">
        <f t="shared" ca="1" si="1781"/>
        <v>0</v>
      </c>
      <c r="AD855" s="164"/>
      <c r="AE855" s="148">
        <f t="shared" si="1767"/>
        <v>0</v>
      </c>
      <c r="AF855" s="149"/>
      <c r="AG855" s="150"/>
      <c r="AH855" s="159" t="e">
        <f t="shared" si="1768"/>
        <v>#DIV/0!</v>
      </c>
      <c r="AI855" s="160"/>
      <c r="AJ855" s="105"/>
      <c r="AK855" s="105"/>
      <c r="AM855" s="105"/>
      <c r="AN855" s="105"/>
      <c r="AO855" s="105"/>
      <c r="AP855" s="105"/>
      <c r="AQ855" s="105"/>
      <c r="AR855" s="105"/>
    </row>
    <row r="856" spans="1:44" s="49" customFormat="1" ht="40.15" hidden="1" customHeight="1">
      <c r="A856" s="152">
        <f t="shared" ca="1" si="1769"/>
        <v>0</v>
      </c>
      <c r="B856" s="153">
        <v>92413</v>
      </c>
      <c r="C856" s="154" t="str">
        <f t="shared" si="1770"/>
        <v>92413</v>
      </c>
      <c r="D856" s="154" t="s">
        <v>1416</v>
      </c>
      <c r="E856" s="155" t="s">
        <v>3800</v>
      </c>
      <c r="F856" s="154"/>
      <c r="G856" s="154" t="s">
        <v>1418</v>
      </c>
      <c r="H856" s="152">
        <v>93.28</v>
      </c>
      <c r="I856" s="152">
        <v>87.04</v>
      </c>
      <c r="J856" s="156"/>
      <c r="K856" s="156">
        <f>+S_Complementares!M48</f>
        <v>0</v>
      </c>
      <c r="L856" s="156">
        <f t="shared" si="1771"/>
        <v>0</v>
      </c>
      <c r="M856" s="156">
        <f t="shared" si="1772"/>
        <v>0</v>
      </c>
      <c r="N856" s="156" t="s">
        <v>83</v>
      </c>
      <c r="O856" s="157" cm="1">
        <f t="array" ref="O856">TRUNC($H856*(1+_xlfn.SWITCH($N856,"BDI 1",$O$6,"BDI 2",$O$7,"BDI 3",$O$8)),2)</f>
        <v>112.58</v>
      </c>
      <c r="P856" s="157" cm="1">
        <f t="array" ref="P856">TRUNC($I856*(1+_xlfn.SWITCH($N856,"BDI 1",$P$6,"BDI 2",$P$7,"BDI 3",$P$8)),2)</f>
        <v>110.31</v>
      </c>
      <c r="Q856" s="157">
        <v>0</v>
      </c>
      <c r="R856" s="157">
        <f t="shared" ref="R856" si="1840">$Q856-($Q856*LICITACAO_DESCONTO)</f>
        <v>0</v>
      </c>
      <c r="S856" s="156">
        <f t="shared" si="1774"/>
        <v>0</v>
      </c>
      <c r="T856" s="156">
        <f t="shared" si="1775"/>
        <v>0</v>
      </c>
      <c r="U856" s="156">
        <f t="shared" si="1776"/>
        <v>0</v>
      </c>
      <c r="V856" s="156">
        <f t="shared" si="1777"/>
        <v>0</v>
      </c>
      <c r="W856" s="156">
        <f t="shared" si="1764"/>
        <v>0</v>
      </c>
      <c r="X856" s="158">
        <f t="shared" ref="X856" si="1841">$S856/ORCAMENTO_VALOR_TOTAL_ND</f>
        <v>0</v>
      </c>
      <c r="Y856" s="158">
        <f t="shared" ref="Y856" si="1842">$T856/ORCAMENTO_VALOR_TOTAL_DE</f>
        <v>0</v>
      </c>
      <c r="Z856" s="158" cm="1">
        <f t="array" ref="Z856">_xlfn.SWITCH($N856,"BDI 1",$O$6,"BDI 2",$O$7,"BDI 3",$O$8)</f>
        <v>0.20699999999999999</v>
      </c>
      <c r="AA856" s="158" cm="1">
        <f t="array" ref="AA856">_xlfn.SWITCH($N856,"BDI 1",$P$6,"BDI 2",$P$7,"BDI 3",$P$8)</f>
        <v>0.26739999999999997</v>
      </c>
      <c r="AB856" s="158">
        <f t="shared" ca="1" si="1780"/>
        <v>0</v>
      </c>
      <c r="AC856" s="158">
        <f t="shared" ca="1" si="1781"/>
        <v>0</v>
      </c>
      <c r="AD856" s="164"/>
      <c r="AE856" s="148">
        <f t="shared" si="1767"/>
        <v>0</v>
      </c>
      <c r="AF856" s="149"/>
      <c r="AG856" s="150"/>
      <c r="AH856" s="159" t="e">
        <f t="shared" si="1768"/>
        <v>#DIV/0!</v>
      </c>
      <c r="AI856" s="160"/>
      <c r="AJ856" s="105"/>
      <c r="AK856" s="105"/>
      <c r="AM856" s="105"/>
      <c r="AN856" s="105"/>
      <c r="AO856" s="105"/>
      <c r="AP856" s="105"/>
      <c r="AQ856" s="105"/>
      <c r="AR856" s="105"/>
    </row>
    <row r="857" spans="1:44" s="49" customFormat="1" ht="40.15" hidden="1" customHeight="1">
      <c r="A857" s="152">
        <f t="shared" ca="1" si="1769"/>
        <v>0</v>
      </c>
      <c r="B857" s="153">
        <v>96543</v>
      </c>
      <c r="C857" s="154" t="str">
        <f t="shared" si="1770"/>
        <v>96543</v>
      </c>
      <c r="D857" s="154" t="s">
        <v>1416</v>
      </c>
      <c r="E857" s="155" t="s">
        <v>3801</v>
      </c>
      <c r="F857" s="154"/>
      <c r="G857" s="154" t="s">
        <v>3802</v>
      </c>
      <c r="H857" s="152">
        <v>19.41</v>
      </c>
      <c r="I857" s="152">
        <v>18.38</v>
      </c>
      <c r="J857" s="156"/>
      <c r="K857" s="156">
        <f>+S_Complementares!M49</f>
        <v>0</v>
      </c>
      <c r="L857" s="156">
        <f t="shared" si="1771"/>
        <v>0</v>
      </c>
      <c r="M857" s="156">
        <f t="shared" si="1772"/>
        <v>0</v>
      </c>
      <c r="N857" s="156" t="s">
        <v>83</v>
      </c>
      <c r="O857" s="157" cm="1">
        <f t="array" ref="O857">TRUNC($H857*(1+_xlfn.SWITCH($N857,"BDI 1",$O$6,"BDI 2",$O$7,"BDI 3",$O$8)),2)</f>
        <v>23.42</v>
      </c>
      <c r="P857" s="157" cm="1">
        <f t="array" ref="P857">TRUNC($I857*(1+_xlfn.SWITCH($N857,"BDI 1",$P$6,"BDI 2",$P$7,"BDI 3",$P$8)),2)</f>
        <v>23.29</v>
      </c>
      <c r="Q857" s="157">
        <v>0</v>
      </c>
      <c r="R857" s="157">
        <f t="shared" ref="R857" si="1843">$Q857-($Q857*LICITACAO_DESCONTO)</f>
        <v>0</v>
      </c>
      <c r="S857" s="156">
        <f t="shared" si="1774"/>
        <v>0</v>
      </c>
      <c r="T857" s="156">
        <f t="shared" si="1775"/>
        <v>0</v>
      </c>
      <c r="U857" s="156">
        <f t="shared" si="1776"/>
        <v>0</v>
      </c>
      <c r="V857" s="156">
        <f t="shared" si="1777"/>
        <v>0</v>
      </c>
      <c r="W857" s="156">
        <f t="shared" si="1764"/>
        <v>0</v>
      </c>
      <c r="X857" s="158">
        <f t="shared" ref="X857" si="1844">$S857/ORCAMENTO_VALOR_TOTAL_ND</f>
        <v>0</v>
      </c>
      <c r="Y857" s="158">
        <f t="shared" ref="Y857" si="1845">$T857/ORCAMENTO_VALOR_TOTAL_DE</f>
        <v>0</v>
      </c>
      <c r="Z857" s="158" cm="1">
        <f t="array" ref="Z857">_xlfn.SWITCH($N857,"BDI 1",$O$6,"BDI 2",$O$7,"BDI 3",$O$8)</f>
        <v>0.20699999999999999</v>
      </c>
      <c r="AA857" s="158" cm="1">
        <f t="array" ref="AA857">_xlfn.SWITCH($N857,"BDI 1",$P$6,"BDI 2",$P$7,"BDI 3",$P$8)</f>
        <v>0.26739999999999997</v>
      </c>
      <c r="AB857" s="158">
        <f t="shared" ca="1" si="1780"/>
        <v>0</v>
      </c>
      <c r="AC857" s="158">
        <f t="shared" ca="1" si="1781"/>
        <v>0</v>
      </c>
      <c r="AD857" s="164"/>
      <c r="AE857" s="148">
        <f t="shared" si="1767"/>
        <v>0</v>
      </c>
      <c r="AF857" s="149"/>
      <c r="AG857" s="150"/>
      <c r="AH857" s="159" t="e">
        <f t="shared" si="1768"/>
        <v>#DIV/0!</v>
      </c>
      <c r="AI857" s="160"/>
      <c r="AJ857" s="105"/>
      <c r="AK857" s="105"/>
      <c r="AM857" s="105"/>
      <c r="AN857" s="105"/>
      <c r="AO857" s="105"/>
      <c r="AP857" s="105"/>
      <c r="AQ857" s="105"/>
      <c r="AR857" s="105"/>
    </row>
    <row r="858" spans="1:44" s="49" customFormat="1" ht="40.15" hidden="1" customHeight="1">
      <c r="A858" s="152">
        <f t="shared" ca="1" si="1769"/>
        <v>0</v>
      </c>
      <c r="B858" s="153">
        <v>100342</v>
      </c>
      <c r="C858" s="154" t="str">
        <f t="shared" si="1770"/>
        <v>100342</v>
      </c>
      <c r="D858" s="154" t="s">
        <v>1416</v>
      </c>
      <c r="E858" s="155" t="s">
        <v>3803</v>
      </c>
      <c r="F858" s="154"/>
      <c r="G858" s="154" t="s">
        <v>3802</v>
      </c>
      <c r="H858" s="152">
        <v>14.4</v>
      </c>
      <c r="I858" s="152">
        <v>13.93</v>
      </c>
      <c r="J858" s="156"/>
      <c r="K858" s="156">
        <f>+S_Complementares!M50</f>
        <v>0</v>
      </c>
      <c r="L858" s="156">
        <f t="shared" si="1771"/>
        <v>0</v>
      </c>
      <c r="M858" s="156">
        <f t="shared" si="1772"/>
        <v>0</v>
      </c>
      <c r="N858" s="156" t="s">
        <v>83</v>
      </c>
      <c r="O858" s="157" cm="1">
        <f t="array" ref="O858">TRUNC($H858*(1+_xlfn.SWITCH($N858,"BDI 1",$O$6,"BDI 2",$O$7,"BDI 3",$O$8)),2)</f>
        <v>17.38</v>
      </c>
      <c r="P858" s="157" cm="1">
        <f t="array" ref="P858">TRUNC($I858*(1+_xlfn.SWITCH($N858,"BDI 1",$P$6,"BDI 2",$P$7,"BDI 3",$P$8)),2)</f>
        <v>17.649999999999999</v>
      </c>
      <c r="Q858" s="157">
        <v>0</v>
      </c>
      <c r="R858" s="157">
        <f t="shared" ref="R858" si="1846">$Q858-($Q858*LICITACAO_DESCONTO)</f>
        <v>0</v>
      </c>
      <c r="S858" s="156">
        <f t="shared" si="1774"/>
        <v>0</v>
      </c>
      <c r="T858" s="156">
        <f t="shared" si="1775"/>
        <v>0</v>
      </c>
      <c r="U858" s="156">
        <f t="shared" si="1776"/>
        <v>0</v>
      </c>
      <c r="V858" s="156">
        <f t="shared" si="1777"/>
        <v>0</v>
      </c>
      <c r="W858" s="156">
        <f t="shared" si="1764"/>
        <v>0</v>
      </c>
      <c r="X858" s="158">
        <f t="shared" ref="X858" si="1847">$S858/ORCAMENTO_VALOR_TOTAL_ND</f>
        <v>0</v>
      </c>
      <c r="Y858" s="158">
        <f t="shared" ref="Y858" si="1848">$T858/ORCAMENTO_VALOR_TOTAL_DE</f>
        <v>0</v>
      </c>
      <c r="Z858" s="158" cm="1">
        <f t="array" ref="Z858">_xlfn.SWITCH($N858,"BDI 1",$O$6,"BDI 2",$O$7,"BDI 3",$O$8)</f>
        <v>0.20699999999999999</v>
      </c>
      <c r="AA858" s="158" cm="1">
        <f t="array" ref="AA858">_xlfn.SWITCH($N858,"BDI 1",$P$6,"BDI 2",$P$7,"BDI 3",$P$8)</f>
        <v>0.26739999999999997</v>
      </c>
      <c r="AB858" s="158">
        <f t="shared" ca="1" si="1780"/>
        <v>0</v>
      </c>
      <c r="AC858" s="158">
        <f t="shared" ca="1" si="1781"/>
        <v>0</v>
      </c>
      <c r="AD858" s="164"/>
      <c r="AE858" s="148">
        <f t="shared" si="1767"/>
        <v>0</v>
      </c>
      <c r="AF858" s="149"/>
      <c r="AG858" s="150"/>
      <c r="AH858" s="159" t="e">
        <f t="shared" si="1768"/>
        <v>#DIV/0!</v>
      </c>
      <c r="AI858" s="160"/>
      <c r="AJ858" s="105"/>
      <c r="AK858" s="105"/>
      <c r="AM858" s="105"/>
      <c r="AN858" s="105"/>
      <c r="AO858" s="105"/>
      <c r="AP858" s="105"/>
      <c r="AQ858" s="105"/>
      <c r="AR858" s="105"/>
    </row>
    <row r="859" spans="1:44" s="49" customFormat="1" ht="40.15" hidden="1" customHeight="1">
      <c r="A859" s="152">
        <f t="shared" ca="1" si="1769"/>
        <v>0</v>
      </c>
      <c r="B859" s="153">
        <v>100343</v>
      </c>
      <c r="C859" s="154" t="str">
        <f t="shared" si="1770"/>
        <v>100343</v>
      </c>
      <c r="D859" s="154" t="s">
        <v>1416</v>
      </c>
      <c r="E859" s="155" t="s">
        <v>3804</v>
      </c>
      <c r="F859" s="154"/>
      <c r="G859" s="154" t="s">
        <v>3802</v>
      </c>
      <c r="H859" s="152">
        <v>13.61</v>
      </c>
      <c r="I859" s="152">
        <v>13.26</v>
      </c>
      <c r="J859" s="156"/>
      <c r="K859" s="156">
        <f>+S_Complementares!M51</f>
        <v>0</v>
      </c>
      <c r="L859" s="156">
        <f t="shared" si="1771"/>
        <v>0</v>
      </c>
      <c r="M859" s="156">
        <f t="shared" si="1772"/>
        <v>0</v>
      </c>
      <c r="N859" s="156" t="s">
        <v>83</v>
      </c>
      <c r="O859" s="157" cm="1">
        <f t="array" ref="O859">TRUNC($H859*(1+_xlfn.SWITCH($N859,"BDI 1",$O$6,"BDI 2",$O$7,"BDI 3",$O$8)),2)</f>
        <v>16.420000000000002</v>
      </c>
      <c r="P859" s="157" cm="1">
        <f t="array" ref="P859">TRUNC($I859*(1+_xlfn.SWITCH($N859,"BDI 1",$P$6,"BDI 2",$P$7,"BDI 3",$P$8)),2)</f>
        <v>16.8</v>
      </c>
      <c r="Q859" s="157">
        <v>0</v>
      </c>
      <c r="R859" s="157">
        <f t="shared" ref="R859" si="1849">$Q859-($Q859*LICITACAO_DESCONTO)</f>
        <v>0</v>
      </c>
      <c r="S859" s="156">
        <f t="shared" si="1774"/>
        <v>0</v>
      </c>
      <c r="T859" s="156">
        <f t="shared" si="1775"/>
        <v>0</v>
      </c>
      <c r="U859" s="156">
        <f t="shared" si="1776"/>
        <v>0</v>
      </c>
      <c r="V859" s="156">
        <f t="shared" si="1777"/>
        <v>0</v>
      </c>
      <c r="W859" s="156">
        <f t="shared" si="1764"/>
        <v>0</v>
      </c>
      <c r="X859" s="158">
        <f t="shared" ref="X859" si="1850">$S859/ORCAMENTO_VALOR_TOTAL_ND</f>
        <v>0</v>
      </c>
      <c r="Y859" s="158">
        <f t="shared" ref="Y859" si="1851">$T859/ORCAMENTO_VALOR_TOTAL_DE</f>
        <v>0</v>
      </c>
      <c r="Z859" s="158" cm="1">
        <f t="array" ref="Z859">_xlfn.SWITCH($N859,"BDI 1",$O$6,"BDI 2",$O$7,"BDI 3",$O$8)</f>
        <v>0.20699999999999999</v>
      </c>
      <c r="AA859" s="158" cm="1">
        <f t="array" ref="AA859">_xlfn.SWITCH($N859,"BDI 1",$P$6,"BDI 2",$P$7,"BDI 3",$P$8)</f>
        <v>0.26739999999999997</v>
      </c>
      <c r="AB859" s="158">
        <f t="shared" ca="1" si="1780"/>
        <v>0</v>
      </c>
      <c r="AC859" s="158">
        <f t="shared" ca="1" si="1781"/>
        <v>0</v>
      </c>
      <c r="AD859" s="164"/>
      <c r="AE859" s="148">
        <f t="shared" si="1767"/>
        <v>0</v>
      </c>
      <c r="AF859" s="149"/>
      <c r="AG859" s="150"/>
      <c r="AH859" s="159" t="e">
        <f t="shared" si="1768"/>
        <v>#DIV/0!</v>
      </c>
      <c r="AI859" s="160"/>
      <c r="AJ859" s="105"/>
      <c r="AK859" s="105"/>
      <c r="AM859" s="105"/>
      <c r="AN859" s="105"/>
      <c r="AO859" s="105"/>
      <c r="AP859" s="105"/>
      <c r="AQ859" s="105"/>
      <c r="AR859" s="105"/>
    </row>
    <row r="860" spans="1:44" s="49" customFormat="1" ht="40.15" hidden="1" customHeight="1">
      <c r="A860" s="152">
        <f t="shared" ca="1" si="1769"/>
        <v>0</v>
      </c>
      <c r="B860" s="153">
        <v>100344</v>
      </c>
      <c r="C860" s="154" t="str">
        <f t="shared" si="1770"/>
        <v>100344</v>
      </c>
      <c r="D860" s="154" t="s">
        <v>1416</v>
      </c>
      <c r="E860" s="155" t="s">
        <v>3805</v>
      </c>
      <c r="F860" s="154"/>
      <c r="G860" s="154" t="s">
        <v>3802</v>
      </c>
      <c r="H860" s="152">
        <v>12.17</v>
      </c>
      <c r="I860" s="152">
        <v>11.92</v>
      </c>
      <c r="J860" s="156"/>
      <c r="K860" s="156">
        <f>+S_Complementares!M52</f>
        <v>0</v>
      </c>
      <c r="L860" s="156">
        <f t="shared" si="1771"/>
        <v>0</v>
      </c>
      <c r="M860" s="156">
        <f t="shared" si="1772"/>
        <v>0</v>
      </c>
      <c r="N860" s="156" t="s">
        <v>83</v>
      </c>
      <c r="O860" s="157" cm="1">
        <f t="array" ref="O860">TRUNC($H860*(1+_xlfn.SWITCH($N860,"BDI 1",$O$6,"BDI 2",$O$7,"BDI 3",$O$8)),2)</f>
        <v>14.68</v>
      </c>
      <c r="P860" s="157" cm="1">
        <f t="array" ref="P860">TRUNC($I860*(1+_xlfn.SWITCH($N860,"BDI 1",$P$6,"BDI 2",$P$7,"BDI 3",$P$8)),2)</f>
        <v>15.1</v>
      </c>
      <c r="Q860" s="157">
        <v>0</v>
      </c>
      <c r="R860" s="157">
        <f t="shared" ref="R860" si="1852">$Q860-($Q860*LICITACAO_DESCONTO)</f>
        <v>0</v>
      </c>
      <c r="S860" s="156">
        <f t="shared" si="1774"/>
        <v>0</v>
      </c>
      <c r="T860" s="156">
        <f t="shared" si="1775"/>
        <v>0</v>
      </c>
      <c r="U860" s="156">
        <f t="shared" si="1776"/>
        <v>0</v>
      </c>
      <c r="V860" s="156">
        <f t="shared" si="1777"/>
        <v>0</v>
      </c>
      <c r="W860" s="156">
        <f t="shared" si="1764"/>
        <v>0</v>
      </c>
      <c r="X860" s="158">
        <f t="shared" ref="X860" si="1853">$S860/ORCAMENTO_VALOR_TOTAL_ND</f>
        <v>0</v>
      </c>
      <c r="Y860" s="158">
        <f t="shared" ref="Y860" si="1854">$T860/ORCAMENTO_VALOR_TOTAL_DE</f>
        <v>0</v>
      </c>
      <c r="Z860" s="158" cm="1">
        <f t="array" ref="Z860">_xlfn.SWITCH($N860,"BDI 1",$O$6,"BDI 2",$O$7,"BDI 3",$O$8)</f>
        <v>0.20699999999999999</v>
      </c>
      <c r="AA860" s="158" cm="1">
        <f t="array" ref="AA860">_xlfn.SWITCH($N860,"BDI 1",$P$6,"BDI 2",$P$7,"BDI 3",$P$8)</f>
        <v>0.26739999999999997</v>
      </c>
      <c r="AB860" s="158">
        <f t="shared" ca="1" si="1780"/>
        <v>0</v>
      </c>
      <c r="AC860" s="158">
        <f t="shared" ca="1" si="1781"/>
        <v>0</v>
      </c>
      <c r="AD860" s="164"/>
      <c r="AE860" s="148">
        <f t="shared" si="1767"/>
        <v>0</v>
      </c>
      <c r="AF860" s="149"/>
      <c r="AG860" s="150"/>
      <c r="AH860" s="159" t="e">
        <f t="shared" si="1768"/>
        <v>#DIV/0!</v>
      </c>
      <c r="AI860" s="160"/>
      <c r="AJ860" s="105"/>
      <c r="AK860" s="105"/>
      <c r="AM860" s="105"/>
      <c r="AN860" s="105"/>
      <c r="AO860" s="105"/>
      <c r="AP860" s="105"/>
      <c r="AQ860" s="105"/>
      <c r="AR860" s="105"/>
    </row>
    <row r="861" spans="1:44" s="49" customFormat="1" ht="40.15" hidden="1" customHeight="1">
      <c r="A861" s="152">
        <f t="shared" ca="1" si="1769"/>
        <v>0</v>
      </c>
      <c r="B861" s="153" t="s">
        <v>223</v>
      </c>
      <c r="C861" s="154" t="str">
        <f t="shared" si="1770"/>
        <v>SC/0100</v>
      </c>
      <c r="D861" s="154" t="s">
        <v>3549</v>
      </c>
      <c r="E861" s="155" t="s">
        <v>3842</v>
      </c>
      <c r="F861" s="154"/>
      <c r="G861" s="154" t="s">
        <v>58</v>
      </c>
      <c r="H861" s="152">
        <v>58.41</v>
      </c>
      <c r="I861" s="152">
        <v>58.28</v>
      </c>
      <c r="J861" s="156"/>
      <c r="K861" s="156">
        <f>+S_Complementares!M53</f>
        <v>0</v>
      </c>
      <c r="L861" s="156">
        <f t="shared" si="1771"/>
        <v>0</v>
      </c>
      <c r="M861" s="156">
        <f t="shared" si="1772"/>
        <v>0</v>
      </c>
      <c r="N861" s="156" t="s">
        <v>83</v>
      </c>
      <c r="O861" s="157" cm="1">
        <f t="array" ref="O861">TRUNC($H861*(1+_xlfn.SWITCH($N861,"BDI 1",$O$6,"BDI 2",$O$7,"BDI 3",$O$8)),2)</f>
        <v>70.5</v>
      </c>
      <c r="P861" s="157" cm="1">
        <f t="array" ref="P861">TRUNC($I861*(1+_xlfn.SWITCH($N861,"BDI 1",$P$6,"BDI 2",$P$7,"BDI 3",$P$8)),2)</f>
        <v>73.86</v>
      </c>
      <c r="Q861" s="157">
        <v>0</v>
      </c>
      <c r="R861" s="157">
        <f t="shared" ref="R861" si="1855">$Q861-($Q861*LICITACAO_DESCONTO)</f>
        <v>0</v>
      </c>
      <c r="S861" s="156">
        <f t="shared" si="1774"/>
        <v>0</v>
      </c>
      <c r="T861" s="156">
        <f t="shared" si="1775"/>
        <v>0</v>
      </c>
      <c r="U861" s="156">
        <f t="shared" si="1776"/>
        <v>0</v>
      </c>
      <c r="V861" s="156">
        <f t="shared" si="1777"/>
        <v>0</v>
      </c>
      <c r="W861" s="156">
        <f t="shared" si="1764"/>
        <v>0</v>
      </c>
      <c r="X861" s="158">
        <f t="shared" ref="X861" si="1856">$S861/ORCAMENTO_VALOR_TOTAL_ND</f>
        <v>0</v>
      </c>
      <c r="Y861" s="158">
        <f t="shared" ref="Y861" si="1857">$T861/ORCAMENTO_VALOR_TOTAL_DE</f>
        <v>0</v>
      </c>
      <c r="Z861" s="158" cm="1">
        <f t="array" ref="Z861">_xlfn.SWITCH($N861,"BDI 1",$O$6,"BDI 2",$O$7,"BDI 3",$O$8)</f>
        <v>0.20699999999999999</v>
      </c>
      <c r="AA861" s="158" cm="1">
        <f t="array" ref="AA861">_xlfn.SWITCH($N861,"BDI 1",$P$6,"BDI 2",$P$7,"BDI 3",$P$8)</f>
        <v>0.26739999999999997</v>
      </c>
      <c r="AB861" s="158">
        <f t="shared" ca="1" si="1780"/>
        <v>0</v>
      </c>
      <c r="AC861" s="158">
        <f t="shared" ca="1" si="1781"/>
        <v>0</v>
      </c>
      <c r="AD861" s="164"/>
      <c r="AE861" s="148">
        <f t="shared" si="1767"/>
        <v>0</v>
      </c>
      <c r="AF861" s="149"/>
      <c r="AG861" s="150"/>
      <c r="AH861" s="159" t="e">
        <f t="shared" si="1768"/>
        <v>#DIV/0!</v>
      </c>
      <c r="AI861" s="160"/>
      <c r="AJ861" s="105"/>
      <c r="AK861" s="105"/>
      <c r="AM861" s="105"/>
      <c r="AN861" s="105"/>
      <c r="AO861" s="105"/>
      <c r="AP861" s="105"/>
      <c r="AQ861" s="105"/>
      <c r="AR861" s="105"/>
    </row>
    <row r="862" spans="1:44" s="49" customFormat="1" ht="40.15" hidden="1" customHeight="1">
      <c r="A862" s="152">
        <f t="shared" ca="1" si="1769"/>
        <v>0</v>
      </c>
      <c r="B862" s="153" t="s">
        <v>224</v>
      </c>
      <c r="C862" s="154" t="str">
        <f t="shared" si="1770"/>
        <v>SC/0105</v>
      </c>
      <c r="D862" s="154" t="s">
        <v>3549</v>
      </c>
      <c r="E862" s="155" t="s">
        <v>3843</v>
      </c>
      <c r="F862" s="154"/>
      <c r="G862" s="154" t="s">
        <v>58</v>
      </c>
      <c r="H862" s="152">
        <v>76.19</v>
      </c>
      <c r="I862" s="152">
        <v>76.06</v>
      </c>
      <c r="J862" s="156"/>
      <c r="K862" s="156">
        <f>+S_Complementares!M54</f>
        <v>0</v>
      </c>
      <c r="L862" s="156">
        <f t="shared" si="1771"/>
        <v>0</v>
      </c>
      <c r="M862" s="156">
        <f t="shared" si="1772"/>
        <v>0</v>
      </c>
      <c r="N862" s="156" t="s">
        <v>83</v>
      </c>
      <c r="O862" s="157" cm="1">
        <f t="array" ref="O862">TRUNC($H862*(1+_xlfn.SWITCH($N862,"BDI 1",$O$6,"BDI 2",$O$7,"BDI 3",$O$8)),2)</f>
        <v>91.96</v>
      </c>
      <c r="P862" s="157" cm="1">
        <f t="array" ref="P862">TRUNC($I862*(1+_xlfn.SWITCH($N862,"BDI 1",$P$6,"BDI 2",$P$7,"BDI 3",$P$8)),2)</f>
        <v>96.39</v>
      </c>
      <c r="Q862" s="157">
        <v>0</v>
      </c>
      <c r="R862" s="157">
        <f t="shared" ref="R862" si="1858">$Q862-($Q862*LICITACAO_DESCONTO)</f>
        <v>0</v>
      </c>
      <c r="S862" s="156">
        <f t="shared" si="1774"/>
        <v>0</v>
      </c>
      <c r="T862" s="156">
        <f t="shared" si="1775"/>
        <v>0</v>
      </c>
      <c r="U862" s="156">
        <f t="shared" si="1776"/>
        <v>0</v>
      </c>
      <c r="V862" s="156">
        <f t="shared" si="1777"/>
        <v>0</v>
      </c>
      <c r="W862" s="156">
        <f t="shared" si="1764"/>
        <v>0</v>
      </c>
      <c r="X862" s="158">
        <f t="shared" ref="X862" si="1859">$S862/ORCAMENTO_VALOR_TOTAL_ND</f>
        <v>0</v>
      </c>
      <c r="Y862" s="158">
        <f t="shared" ref="Y862" si="1860">$T862/ORCAMENTO_VALOR_TOTAL_DE</f>
        <v>0</v>
      </c>
      <c r="Z862" s="158" cm="1">
        <f t="array" ref="Z862">_xlfn.SWITCH($N862,"BDI 1",$O$6,"BDI 2",$O$7,"BDI 3",$O$8)</f>
        <v>0.20699999999999999</v>
      </c>
      <c r="AA862" s="158" cm="1">
        <f t="array" ref="AA862">_xlfn.SWITCH($N862,"BDI 1",$P$6,"BDI 2",$P$7,"BDI 3",$P$8)</f>
        <v>0.26739999999999997</v>
      </c>
      <c r="AB862" s="158">
        <f t="shared" ca="1" si="1780"/>
        <v>0</v>
      </c>
      <c r="AC862" s="158">
        <f t="shared" ca="1" si="1781"/>
        <v>0</v>
      </c>
      <c r="AD862" s="164"/>
      <c r="AE862" s="148">
        <f t="shared" si="1767"/>
        <v>0</v>
      </c>
      <c r="AF862" s="149"/>
      <c r="AG862" s="150"/>
      <c r="AH862" s="159" t="e">
        <f t="shared" si="1768"/>
        <v>#DIV/0!</v>
      </c>
      <c r="AI862" s="160"/>
      <c r="AJ862" s="105"/>
      <c r="AK862" s="105"/>
      <c r="AM862" s="105"/>
      <c r="AN862" s="105"/>
      <c r="AO862" s="105"/>
      <c r="AP862" s="105"/>
      <c r="AQ862" s="105"/>
      <c r="AR862" s="105"/>
    </row>
    <row r="863" spans="1:44" s="49" customFormat="1" ht="40.15" hidden="1" customHeight="1">
      <c r="A863" s="152">
        <f t="shared" ca="1" si="1769"/>
        <v>0</v>
      </c>
      <c r="B863" s="153" t="s">
        <v>326</v>
      </c>
      <c r="C863" s="154" t="str">
        <f t="shared" si="1770"/>
        <v>SC/0090</v>
      </c>
      <c r="D863" s="154" t="s">
        <v>3549</v>
      </c>
      <c r="E863" s="155" t="s">
        <v>3918</v>
      </c>
      <c r="F863" s="154"/>
      <c r="G863" s="154" t="s">
        <v>58</v>
      </c>
      <c r="H863" s="152">
        <v>502.34</v>
      </c>
      <c r="I863" s="152">
        <v>502.13</v>
      </c>
      <c r="J863" s="156"/>
      <c r="K863" s="156">
        <f>+S_Complementares!M55</f>
        <v>0</v>
      </c>
      <c r="L863" s="156">
        <f t="shared" si="1771"/>
        <v>0</v>
      </c>
      <c r="M863" s="156">
        <f t="shared" si="1772"/>
        <v>0</v>
      </c>
      <c r="N863" s="156" t="s">
        <v>83</v>
      </c>
      <c r="O863" s="157" cm="1">
        <f t="array" ref="O863">TRUNC($H863*(1+_xlfn.SWITCH($N863,"BDI 1",$O$6,"BDI 2",$O$7,"BDI 3",$O$8)),2)</f>
        <v>606.32000000000005</v>
      </c>
      <c r="P863" s="157" cm="1">
        <f t="array" ref="P863">TRUNC($I863*(1+_xlfn.SWITCH($N863,"BDI 1",$P$6,"BDI 2",$P$7,"BDI 3",$P$8)),2)</f>
        <v>636.39</v>
      </c>
      <c r="Q863" s="157">
        <v>0</v>
      </c>
      <c r="R863" s="157">
        <f t="shared" ref="R863" si="1861">$Q863-($Q863*LICITACAO_DESCONTO)</f>
        <v>0</v>
      </c>
      <c r="S863" s="156">
        <f t="shared" si="1774"/>
        <v>0</v>
      </c>
      <c r="T863" s="156">
        <f t="shared" si="1775"/>
        <v>0</v>
      </c>
      <c r="U863" s="156">
        <f t="shared" si="1776"/>
        <v>0</v>
      </c>
      <c r="V863" s="156">
        <f t="shared" si="1777"/>
        <v>0</v>
      </c>
      <c r="W863" s="156">
        <f t="shared" si="1764"/>
        <v>0</v>
      </c>
      <c r="X863" s="158">
        <f t="shared" ref="X863" si="1862">$S863/ORCAMENTO_VALOR_TOTAL_ND</f>
        <v>0</v>
      </c>
      <c r="Y863" s="158">
        <f t="shared" ref="Y863" si="1863">$T863/ORCAMENTO_VALOR_TOTAL_DE</f>
        <v>0</v>
      </c>
      <c r="Z863" s="158" cm="1">
        <f t="array" ref="Z863">_xlfn.SWITCH($N863,"BDI 1",$O$6,"BDI 2",$O$7,"BDI 3",$O$8)</f>
        <v>0.20699999999999999</v>
      </c>
      <c r="AA863" s="158" cm="1">
        <f t="array" ref="AA863">_xlfn.SWITCH($N863,"BDI 1",$P$6,"BDI 2",$P$7,"BDI 3",$P$8)</f>
        <v>0.26739999999999997</v>
      </c>
      <c r="AB863" s="158">
        <f t="shared" ca="1" si="1780"/>
        <v>0</v>
      </c>
      <c r="AC863" s="158">
        <f t="shared" ca="1" si="1781"/>
        <v>0</v>
      </c>
      <c r="AD863" s="164"/>
      <c r="AE863" s="148">
        <f t="shared" si="1767"/>
        <v>0</v>
      </c>
      <c r="AF863" s="149"/>
      <c r="AG863" s="150"/>
      <c r="AH863" s="159" t="e">
        <f t="shared" si="1768"/>
        <v>#DIV/0!</v>
      </c>
      <c r="AI863" s="160"/>
      <c r="AJ863" s="105"/>
      <c r="AK863" s="105"/>
      <c r="AM863" s="105"/>
      <c r="AN863" s="105"/>
      <c r="AO863" s="105"/>
      <c r="AP863" s="105"/>
      <c r="AQ863" s="105"/>
      <c r="AR863" s="105"/>
    </row>
    <row r="864" spans="1:44" s="49" customFormat="1" ht="40.15" hidden="1" customHeight="1">
      <c r="A864" s="152">
        <f t="shared" ca="1" si="1769"/>
        <v>0</v>
      </c>
      <c r="B864" s="153" t="s">
        <v>327</v>
      </c>
      <c r="C864" s="154" t="str">
        <f t="shared" si="1770"/>
        <v>SC/0095</v>
      </c>
      <c r="D864" s="154" t="s">
        <v>3549</v>
      </c>
      <c r="E864" s="155" t="s">
        <v>3919</v>
      </c>
      <c r="F864" s="154"/>
      <c r="G864" s="154" t="s">
        <v>58</v>
      </c>
      <c r="H864" s="152">
        <v>702.44</v>
      </c>
      <c r="I864" s="152">
        <v>701.94</v>
      </c>
      <c r="J864" s="156"/>
      <c r="K864" s="156">
        <f>+S_Complementares!M56</f>
        <v>0</v>
      </c>
      <c r="L864" s="156">
        <f t="shared" si="1771"/>
        <v>0</v>
      </c>
      <c r="M864" s="156">
        <f t="shared" si="1772"/>
        <v>0</v>
      </c>
      <c r="N864" s="156" t="s">
        <v>83</v>
      </c>
      <c r="O864" s="157" cm="1">
        <f t="array" ref="O864">TRUNC($H864*(1+_xlfn.SWITCH($N864,"BDI 1",$O$6,"BDI 2",$O$7,"BDI 3",$O$8)),2)</f>
        <v>847.84</v>
      </c>
      <c r="P864" s="157" cm="1">
        <f t="array" ref="P864">TRUNC($I864*(1+_xlfn.SWITCH($N864,"BDI 1",$P$6,"BDI 2",$P$7,"BDI 3",$P$8)),2)</f>
        <v>889.63</v>
      </c>
      <c r="Q864" s="157">
        <v>0</v>
      </c>
      <c r="R864" s="157">
        <f t="shared" ref="R864" si="1864">$Q864-($Q864*LICITACAO_DESCONTO)</f>
        <v>0</v>
      </c>
      <c r="S864" s="156">
        <f t="shared" si="1774"/>
        <v>0</v>
      </c>
      <c r="T864" s="156">
        <f t="shared" si="1775"/>
        <v>0</v>
      </c>
      <c r="U864" s="156">
        <f t="shared" si="1776"/>
        <v>0</v>
      </c>
      <c r="V864" s="156">
        <f t="shared" si="1777"/>
        <v>0</v>
      </c>
      <c r="W864" s="156">
        <f t="shared" si="1764"/>
        <v>0</v>
      </c>
      <c r="X864" s="158">
        <f t="shared" ref="X864" si="1865">$S864/ORCAMENTO_VALOR_TOTAL_ND</f>
        <v>0</v>
      </c>
      <c r="Y864" s="158">
        <f t="shared" ref="Y864" si="1866">$T864/ORCAMENTO_VALOR_TOTAL_DE</f>
        <v>0</v>
      </c>
      <c r="Z864" s="158" cm="1">
        <f t="array" ref="Z864">_xlfn.SWITCH($N864,"BDI 1",$O$6,"BDI 2",$O$7,"BDI 3",$O$8)</f>
        <v>0.20699999999999999</v>
      </c>
      <c r="AA864" s="158" cm="1">
        <f t="array" ref="AA864">_xlfn.SWITCH($N864,"BDI 1",$P$6,"BDI 2",$P$7,"BDI 3",$P$8)</f>
        <v>0.26739999999999997</v>
      </c>
      <c r="AB864" s="158">
        <f t="shared" ca="1" si="1780"/>
        <v>0</v>
      </c>
      <c r="AC864" s="158">
        <f t="shared" ca="1" si="1781"/>
        <v>0</v>
      </c>
      <c r="AD864" s="164"/>
      <c r="AE864" s="148">
        <f t="shared" si="1767"/>
        <v>0</v>
      </c>
      <c r="AF864" s="149"/>
      <c r="AG864" s="150"/>
      <c r="AH864" s="159" t="e">
        <f t="shared" si="1768"/>
        <v>#DIV/0!</v>
      </c>
      <c r="AI864" s="160"/>
      <c r="AJ864" s="105"/>
      <c r="AK864" s="105"/>
      <c r="AM864" s="105"/>
      <c r="AN864" s="105"/>
      <c r="AO864" s="105"/>
      <c r="AP864" s="105"/>
      <c r="AQ864" s="105"/>
      <c r="AR864" s="105"/>
    </row>
    <row r="865" spans="1:44" s="49" customFormat="1" ht="40.15" hidden="1" customHeight="1">
      <c r="A865" s="10">
        <f t="shared" ca="1" si="1769"/>
        <v>0</v>
      </c>
      <c r="B865" s="153"/>
      <c r="C865" s="154"/>
      <c r="D865" s="154"/>
      <c r="E865" s="161" t="s">
        <v>328</v>
      </c>
      <c r="F865" s="154"/>
      <c r="G865" s="154"/>
      <c r="H865" s="152"/>
      <c r="I865" s="152"/>
      <c r="J865" s="154"/>
      <c r="K865" s="154"/>
      <c r="L865" s="154"/>
      <c r="M865" s="154"/>
      <c r="N865" s="154"/>
      <c r="O865" s="154"/>
      <c r="P865" s="154"/>
      <c r="Q865" s="154"/>
      <c r="R865" s="154"/>
      <c r="S865" s="162"/>
      <c r="T865" s="162"/>
      <c r="U865" s="162"/>
      <c r="V865" s="162"/>
      <c r="W865" s="162"/>
      <c r="X865" s="163"/>
      <c r="Y865" s="163"/>
      <c r="Z865" s="163"/>
      <c r="AA865" s="163"/>
      <c r="AB865" s="163"/>
      <c r="AC865" s="163"/>
      <c r="AD865" s="164"/>
      <c r="AE865" s="148">
        <f>IF(SUM(S866:S867)&gt;0,IFERROR(TRUNC(A865,0),0),0)</f>
        <v>0</v>
      </c>
      <c r="AF865" s="149"/>
      <c r="AG865" s="150"/>
      <c r="AH865" s="159"/>
      <c r="AI865" s="160"/>
      <c r="AJ865" s="105"/>
      <c r="AK865" s="105"/>
      <c r="AM865" s="105"/>
      <c r="AN865" s="105"/>
      <c r="AO865" s="105"/>
      <c r="AP865" s="105"/>
      <c r="AQ865" s="105"/>
      <c r="AR865" s="105"/>
    </row>
    <row r="866" spans="1:44" s="49" customFormat="1" ht="40.15" hidden="1" customHeight="1">
      <c r="A866" s="152">
        <f t="shared" ca="1" si="1769"/>
        <v>0</v>
      </c>
      <c r="B866" s="153">
        <v>100947</v>
      </c>
      <c r="C866" s="154" t="str">
        <f>TEXT(B866,"0")</f>
        <v>100947</v>
      </c>
      <c r="D866" s="154" t="s">
        <v>1416</v>
      </c>
      <c r="E866" s="155" t="s">
        <v>385</v>
      </c>
      <c r="F866" s="154">
        <f>IF(Dados_DMT!$B$13&lt;30,Dados_DMT!$B$13,30)</f>
        <v>30</v>
      </c>
      <c r="G866" s="154" t="s">
        <v>3534</v>
      </c>
      <c r="H866" s="152">
        <v>2.15</v>
      </c>
      <c r="I866" s="152">
        <v>2.13</v>
      </c>
      <c r="J866" s="156"/>
      <c r="K866" s="156">
        <f>ROUND(S_Complementares!M62*F866,2)</f>
        <v>0</v>
      </c>
      <c r="L866" s="156">
        <f>IF($K866&gt;$J866,$K866-$J866,0)</f>
        <v>0</v>
      </c>
      <c r="M866" s="156">
        <f>IF($K866&lt;$J866,$J866-$K866,0)</f>
        <v>0</v>
      </c>
      <c r="N866" s="156" t="s">
        <v>83</v>
      </c>
      <c r="O866" s="157" cm="1">
        <f t="array" ref="O866">TRUNC($H866*(1+_xlfn.SWITCH($N866,"BDI 1",$O$6,"BDI 2",$O$7,"BDI 3",$O$8)),2)</f>
        <v>2.59</v>
      </c>
      <c r="P866" s="157" cm="1">
        <f t="array" ref="P866">TRUNC($I866*(1+_xlfn.SWITCH($N866,"BDI 1",$P$6,"BDI 2",$P$7,"BDI 3",$P$8)),2)</f>
        <v>2.69</v>
      </c>
      <c r="Q866" s="157">
        <v>0</v>
      </c>
      <c r="R866" s="157">
        <v>0</v>
      </c>
      <c r="S866" s="156">
        <f>TRUNC($K866*$O866,2)</f>
        <v>0</v>
      </c>
      <c r="T866" s="156">
        <f>TRUNC($K866*$P866,2)</f>
        <v>0</v>
      </c>
      <c r="U866" s="156">
        <f>TRUNC($J866*$R866,2)</f>
        <v>0</v>
      </c>
      <c r="V866" s="156">
        <f>TRUNC($K866*$Q866,2)</f>
        <v>0</v>
      </c>
      <c r="W866" s="156">
        <f>TRUNC(V866-U866,2)</f>
        <v>0</v>
      </c>
      <c r="X866" s="158">
        <f>$S866/ORCAMENTO_VALOR_TOTAL_ND</f>
        <v>0</v>
      </c>
      <c r="Y866" s="158">
        <f>$T866/ORCAMENTO_VALOR_TOTAL_DE</f>
        <v>0</v>
      </c>
      <c r="Z866" s="158" cm="1">
        <f t="array" ref="Z866">_xlfn.SWITCH($N866,"BDI 1",$O$6,"BDI 2",$O$7,"BDI 3",$O$8)</f>
        <v>0.20699999999999999</v>
      </c>
      <c r="AA866" s="158" cm="1">
        <f t="array" ref="AA866">_xlfn.SWITCH($N866,"BDI 1",$P$6,"BDI 2",$P$7,"BDI 3",$P$8)</f>
        <v>0.26739999999999997</v>
      </c>
      <c r="AB866" s="158">
        <f ca="1">IFERROR($S866/_xlfn.XLOOKUP($AE866,$B$16:$B$38,$S$16:$S$38),0)</f>
        <v>0</v>
      </c>
      <c r="AC866" s="158">
        <f ca="1">IFERROR($T866/_xlfn.XLOOKUP($AE866,$B$16:$B$38,$T$16:$T$38),0)</f>
        <v>0</v>
      </c>
      <c r="AD866" s="164"/>
      <c r="AE866" s="148">
        <f t="shared" ref="AE866:AE867" si="1867">IF(S866&gt;0,IFERROR(TRUNC(A866,0),0),0)</f>
        <v>0</v>
      </c>
      <c r="AF866" s="149"/>
      <c r="AG866" s="150"/>
      <c r="AH866" s="159" t="e">
        <f>S866/$S$835</f>
        <v>#DIV/0!</v>
      </c>
      <c r="AI866" s="160"/>
      <c r="AJ866" s="105"/>
      <c r="AK866" s="105"/>
      <c r="AM866" s="105"/>
      <c r="AN866" s="105"/>
      <c r="AO866" s="105"/>
      <c r="AP866" s="105"/>
      <c r="AQ866" s="105"/>
      <c r="AR866" s="105"/>
    </row>
    <row r="867" spans="1:44" s="49" customFormat="1" ht="40.15" hidden="1" customHeight="1">
      <c r="A867" s="152">
        <f t="shared" ca="1" si="1769"/>
        <v>0</v>
      </c>
      <c r="B867" s="153">
        <v>100948</v>
      </c>
      <c r="C867" s="154" t="str">
        <f>TEXT(B867,"0")</f>
        <v>100948</v>
      </c>
      <c r="D867" s="154" t="s">
        <v>1416</v>
      </c>
      <c r="E867" s="155" t="s">
        <v>3615</v>
      </c>
      <c r="F867" s="154">
        <f>+Dados_DMT!$B$13-F866</f>
        <v>70</v>
      </c>
      <c r="G867" s="154" t="s">
        <v>3534</v>
      </c>
      <c r="H867" s="152">
        <v>0.85</v>
      </c>
      <c r="I867" s="152">
        <v>0.84</v>
      </c>
      <c r="J867" s="156"/>
      <c r="K867" s="156">
        <f>ROUND(S_Complementares!M62*F867,2)</f>
        <v>0</v>
      </c>
      <c r="L867" s="156">
        <f>IF($K867&gt;$J867,$K867-$J867,0)</f>
        <v>0</v>
      </c>
      <c r="M867" s="156">
        <f>IF($K867&lt;$J867,$J867-$K867,0)</f>
        <v>0</v>
      </c>
      <c r="N867" s="156" t="s">
        <v>83</v>
      </c>
      <c r="O867" s="157" cm="1">
        <f t="array" ref="O867">TRUNC($H867*(1+_xlfn.SWITCH($N867,"BDI 1",$O$6,"BDI 2",$O$7,"BDI 3",$O$8)),2)</f>
        <v>1.02</v>
      </c>
      <c r="P867" s="157" cm="1">
        <f t="array" ref="P867">TRUNC($I867*(1+_xlfn.SWITCH($N867,"BDI 1",$P$6,"BDI 2",$P$7,"BDI 3",$P$8)),2)</f>
        <v>1.06</v>
      </c>
      <c r="Q867" s="157">
        <v>0</v>
      </c>
      <c r="R867" s="157">
        <v>0</v>
      </c>
      <c r="S867" s="156">
        <f>TRUNC($K867*$O867,2)</f>
        <v>0</v>
      </c>
      <c r="T867" s="156">
        <f>TRUNC($K867*$P867,2)</f>
        <v>0</v>
      </c>
      <c r="U867" s="156">
        <f>TRUNC($J867*$R867,2)</f>
        <v>0</v>
      </c>
      <c r="V867" s="156">
        <f>TRUNC($K867*$Q867,2)</f>
        <v>0</v>
      </c>
      <c r="W867" s="156">
        <f>TRUNC(V867-U867,2)</f>
        <v>0</v>
      </c>
      <c r="X867" s="158">
        <f>$S867/ORCAMENTO_VALOR_TOTAL_ND</f>
        <v>0</v>
      </c>
      <c r="Y867" s="158">
        <f>$T867/ORCAMENTO_VALOR_TOTAL_DE</f>
        <v>0</v>
      </c>
      <c r="Z867" s="158" cm="1">
        <f t="array" ref="Z867">_xlfn.SWITCH($N867,"BDI 1",$O$6,"BDI 2",$O$7,"BDI 3",$O$8)</f>
        <v>0.20699999999999999</v>
      </c>
      <c r="AA867" s="158" cm="1">
        <f t="array" ref="AA867">_xlfn.SWITCH($N867,"BDI 1",$P$6,"BDI 2",$P$7,"BDI 3",$P$8)</f>
        <v>0.26739999999999997</v>
      </c>
      <c r="AB867" s="158">
        <f ca="1">IFERROR($S867/_xlfn.XLOOKUP($AE867,$B$16:$B$38,$S$16:$S$38),0)</f>
        <v>0</v>
      </c>
      <c r="AC867" s="158">
        <f ca="1">IFERROR($T867/_xlfn.XLOOKUP($AE867,$B$16:$B$38,$T$16:$T$38),0)</f>
        <v>0</v>
      </c>
      <c r="AD867" s="164"/>
      <c r="AE867" s="148">
        <f t="shared" si="1867"/>
        <v>0</v>
      </c>
      <c r="AF867" s="149"/>
      <c r="AG867" s="150"/>
      <c r="AH867" s="159" t="e">
        <f>S867/$S$835</f>
        <v>#DIV/0!</v>
      </c>
      <c r="AI867" s="160"/>
      <c r="AJ867" s="105"/>
      <c r="AK867" s="105"/>
      <c r="AM867" s="105"/>
      <c r="AN867" s="105"/>
      <c r="AO867" s="105"/>
      <c r="AP867" s="105"/>
      <c r="AQ867" s="105"/>
      <c r="AR867" s="105"/>
    </row>
    <row r="868" spans="1:44" s="49" customFormat="1" ht="40.15" hidden="1" customHeight="1">
      <c r="A868" s="10">
        <f t="shared" ca="1" si="1769"/>
        <v>0</v>
      </c>
      <c r="B868" s="153"/>
      <c r="C868" s="154"/>
      <c r="D868" s="154"/>
      <c r="E868" s="155"/>
      <c r="F868" s="154"/>
      <c r="G868" s="154"/>
      <c r="H868" s="154"/>
      <c r="I868" s="154"/>
      <c r="J868" s="168"/>
      <c r="K868" s="168"/>
      <c r="L868" s="168"/>
      <c r="M868" s="168"/>
      <c r="N868" s="168"/>
      <c r="O868" s="157"/>
      <c r="P868" s="157"/>
      <c r="Q868" s="157"/>
      <c r="R868" s="157"/>
      <c r="S868" s="162"/>
      <c r="T868" s="162"/>
      <c r="U868" s="162"/>
      <c r="V868" s="162"/>
      <c r="W868" s="162"/>
      <c r="X868" s="163"/>
      <c r="Y868" s="163"/>
      <c r="Z868" s="163"/>
      <c r="AA868" s="163"/>
      <c r="AB868" s="163"/>
      <c r="AC868" s="163"/>
      <c r="AD868" s="164"/>
      <c r="AE868" s="148">
        <f>IF(S869&gt;0,IFERROR(TRUNC(A869,0),0),0)</f>
        <v>0</v>
      </c>
      <c r="AF868" s="149"/>
      <c r="AG868" s="150"/>
      <c r="AH868" s="159"/>
      <c r="AI868" s="160"/>
      <c r="AJ868" s="105"/>
      <c r="AK868" s="105"/>
      <c r="AM868" s="105"/>
      <c r="AN868" s="105"/>
      <c r="AO868" s="105"/>
      <c r="AP868" s="105"/>
      <c r="AQ868" s="105"/>
      <c r="AR868" s="105"/>
    </row>
    <row r="869" spans="1:44" s="105" customFormat="1" ht="40.15" hidden="1" customHeight="1">
      <c r="A869" s="169">
        <f ca="1">$B$31</f>
        <v>0</v>
      </c>
      <c r="B869" s="170"/>
      <c r="C869" s="171"/>
      <c r="D869" s="172"/>
      <c r="E869" s="187" t="str">
        <f>$D$31</f>
        <v>PASSEIO COM ACESSIBILIDADE</v>
      </c>
      <c r="F869" s="174">
        <v>0</v>
      </c>
      <c r="G869" s="175"/>
      <c r="H869" s="176" t="s">
        <v>329</v>
      </c>
      <c r="I869" s="176" t="s">
        <v>329</v>
      </c>
      <c r="J869" s="177"/>
      <c r="K869" s="177"/>
      <c r="L869" s="177"/>
      <c r="M869" s="177"/>
      <c r="N869" s="177"/>
      <c r="O869" s="178" t="str">
        <f ca="1">CONCATENATE("SUB-TOTAL ",$A869)</f>
        <v>SUB-TOTAL 0</v>
      </c>
      <c r="P869" s="178" t="e" cm="1">
        <f t="array" ref="P869">TRUNC($I869*(1+_xlfn.SWITCH($N869,"BDI 1",$P$6,"BDI 2",$P$7,"BDI 3",$P$8)),2)</f>
        <v>#VALUE!</v>
      </c>
      <c r="Q869" s="178" t="str">
        <f ca="1">CONCATENATE("SUB-TOTAL ",$A869)</f>
        <v>SUB-TOTAL 0</v>
      </c>
      <c r="R869" s="178"/>
      <c r="S869" s="179">
        <f>SUM(S870:S915)</f>
        <v>0</v>
      </c>
      <c r="T869" s="179">
        <f>SUM(T870:T915)</f>
        <v>0</v>
      </c>
      <c r="U869" s="179">
        <f>SUM(U870:U915)</f>
        <v>0</v>
      </c>
      <c r="V869" s="179">
        <f>SUM(V870:V915)</f>
        <v>0</v>
      </c>
      <c r="W869" s="179">
        <f t="shared" ref="W869:W900" si="1868">TRUNC(V869-U869,2)</f>
        <v>0</v>
      </c>
      <c r="X869" s="180">
        <f t="shared" ref="X869" si="1869">$S869/ORCAMENTO_VALOR_TOTAL_ND</f>
        <v>0</v>
      </c>
      <c r="Y869" s="180">
        <f t="shared" ref="Y869" si="1870">$T869/ORCAMENTO_VALOR_TOTAL_DE</f>
        <v>0</v>
      </c>
      <c r="Z869" s="180"/>
      <c r="AA869" s="180"/>
      <c r="AB869" s="180">
        <f>IFERROR($S869/$S869,0)</f>
        <v>0</v>
      </c>
      <c r="AC869" s="180">
        <f>IFERROR($T869/$T869,0)</f>
        <v>0</v>
      </c>
      <c r="AD869" s="147"/>
      <c r="AE869" s="148">
        <f t="shared" ref="AE869:AE900" si="1871">IF(S869&gt;0,IFERROR(TRUNC(A869,0),0),0)</f>
        <v>0</v>
      </c>
      <c r="AF869" s="149"/>
      <c r="AG869" s="150"/>
      <c r="AH869" s="151" t="e">
        <f t="shared" ref="AH869:AH900" si="1872">+S869/$S$869</f>
        <v>#DIV/0!</v>
      </c>
    </row>
    <row r="870" spans="1:44" s="49" customFormat="1" ht="49.9" hidden="1" customHeight="1">
      <c r="A870" s="152">
        <f t="shared" ref="A870:A916" ca="1" si="1873">+IF(K870&gt;0,A869+0.01,A869)</f>
        <v>0</v>
      </c>
      <c r="B870" s="153">
        <v>90099</v>
      </c>
      <c r="C870" s="154" t="str">
        <f t="shared" ref="C870:C900" si="1874">TEXT(B870,"0")</f>
        <v>90099</v>
      </c>
      <c r="D870" s="154" t="s">
        <v>1416</v>
      </c>
      <c r="E870" s="155" t="s">
        <v>3620</v>
      </c>
      <c r="F870" s="154"/>
      <c r="G870" s="154" t="s">
        <v>464</v>
      </c>
      <c r="H870" s="152">
        <v>15.75</v>
      </c>
      <c r="I870" s="152">
        <v>15.19</v>
      </c>
      <c r="J870" s="156"/>
      <c r="K870" s="156">
        <f>+Passeio!L230</f>
        <v>0</v>
      </c>
      <c r="L870" s="156">
        <f t="shared" ref="L870:L900" si="1875">IF($K870&gt;$J870,$K870-$J870,0)</f>
        <v>0</v>
      </c>
      <c r="M870" s="156">
        <f t="shared" ref="M870:M900" si="1876">IF($K870&lt;$J870,$J870-$K870,0)</f>
        <v>0</v>
      </c>
      <c r="N870" s="156" t="s">
        <v>83</v>
      </c>
      <c r="O870" s="157" cm="1">
        <f t="array" ref="O870">TRUNC($H870*(1+_xlfn.SWITCH($N870,"BDI 1",$O$6,"BDI 2",$O$7,"BDI 3",$O$8)),2)</f>
        <v>19.010000000000002</v>
      </c>
      <c r="P870" s="157" cm="1">
        <f t="array" ref="P870">TRUNC($I870*(1+_xlfn.SWITCH($N870,"BDI 1",$P$6,"BDI 2",$P$7,"BDI 3",$P$8)),2)</f>
        <v>19.25</v>
      </c>
      <c r="Q870" s="157">
        <v>0</v>
      </c>
      <c r="R870" s="157">
        <f t="shared" ref="R870" si="1877">$Q870-($Q870*LICITACAO_DESCONTO)</f>
        <v>0</v>
      </c>
      <c r="S870" s="156">
        <f t="shared" ref="S870:S900" si="1878">TRUNC($K870*$O870,2)</f>
        <v>0</v>
      </c>
      <c r="T870" s="156">
        <f t="shared" ref="T870:T900" si="1879">TRUNC($K870*$P870,2)</f>
        <v>0</v>
      </c>
      <c r="U870" s="156">
        <f t="shared" ref="U870:U900" si="1880">TRUNC($J870*$R870,2)</f>
        <v>0</v>
      </c>
      <c r="V870" s="156">
        <f t="shared" ref="V870:V900" si="1881">TRUNC($K870*$Q870,2)</f>
        <v>0</v>
      </c>
      <c r="W870" s="156">
        <f t="shared" si="1868"/>
        <v>0</v>
      </c>
      <c r="X870" s="158">
        <f t="shared" ref="X870" si="1882">$S870/ORCAMENTO_VALOR_TOTAL_ND</f>
        <v>0</v>
      </c>
      <c r="Y870" s="158">
        <f t="shared" ref="Y870" si="1883">$T870/ORCAMENTO_VALOR_TOTAL_DE</f>
        <v>0</v>
      </c>
      <c r="Z870" s="158" cm="1">
        <f t="array" ref="Z870">_xlfn.SWITCH($N870,"BDI 1",$O$6,"BDI 2",$O$7,"BDI 3",$O$8)</f>
        <v>0.20699999999999999</v>
      </c>
      <c r="AA870" s="158" cm="1">
        <f t="array" ref="AA870">_xlfn.SWITCH($N870,"BDI 1",$P$6,"BDI 2",$P$7,"BDI 3",$P$8)</f>
        <v>0.26739999999999997</v>
      </c>
      <c r="AB870" s="158">
        <f t="shared" ref="AB870:AB900" ca="1" si="1884">IFERROR($S870/_xlfn.XLOOKUP($AE870,$B$16:$B$38,$S$16:$S$38),0)</f>
        <v>0</v>
      </c>
      <c r="AC870" s="158">
        <f t="shared" ref="AC870:AC900" ca="1" si="1885">IFERROR($T870/_xlfn.XLOOKUP($AE870,$B$16:$B$38,$T$16:$T$38),0)</f>
        <v>0</v>
      </c>
      <c r="AD870" s="164"/>
      <c r="AE870" s="148">
        <f t="shared" si="1871"/>
        <v>0</v>
      </c>
      <c r="AF870" s="149"/>
      <c r="AG870" s="150"/>
      <c r="AH870" s="159" t="e">
        <f t="shared" si="1872"/>
        <v>#DIV/0!</v>
      </c>
      <c r="AI870" s="160">
        <v>0</v>
      </c>
      <c r="AJ870" s="105"/>
      <c r="AK870" s="105"/>
      <c r="AM870" s="105"/>
      <c r="AN870" s="105"/>
      <c r="AO870" s="105"/>
      <c r="AP870" s="105"/>
      <c r="AQ870" s="105"/>
      <c r="AR870" s="105"/>
    </row>
    <row r="871" spans="1:44" s="49" customFormat="1" ht="49.9" hidden="1" customHeight="1">
      <c r="A871" s="152">
        <f t="shared" ca="1" si="1873"/>
        <v>0</v>
      </c>
      <c r="B871" s="153">
        <v>101230</v>
      </c>
      <c r="C871" s="154" t="str">
        <f t="shared" si="1874"/>
        <v>101230</v>
      </c>
      <c r="D871" s="154" t="s">
        <v>1416</v>
      </c>
      <c r="E871" s="155" t="s">
        <v>3677</v>
      </c>
      <c r="F871" s="154"/>
      <c r="G871" s="154" t="s">
        <v>464</v>
      </c>
      <c r="H871" s="152">
        <v>10.7</v>
      </c>
      <c r="I871" s="152">
        <v>10.73</v>
      </c>
      <c r="J871" s="156"/>
      <c r="K871" s="156">
        <f>IF(K872=0,Passeio!L176,0)</f>
        <v>0</v>
      </c>
      <c r="L871" s="156">
        <f t="shared" si="1875"/>
        <v>0</v>
      </c>
      <c r="M871" s="156">
        <f t="shared" si="1876"/>
        <v>0</v>
      </c>
      <c r="N871" s="156" t="s">
        <v>83</v>
      </c>
      <c r="O871" s="157" cm="1">
        <f t="array" ref="O871">TRUNC($H871*(1+_xlfn.SWITCH($N871,"BDI 1",$O$6,"BDI 2",$O$7,"BDI 3",$O$8)),2)</f>
        <v>12.91</v>
      </c>
      <c r="P871" s="157" cm="1">
        <f t="array" ref="P871">TRUNC($I871*(1+_xlfn.SWITCH($N871,"BDI 1",$P$6,"BDI 2",$P$7,"BDI 3",$P$8)),2)</f>
        <v>13.59</v>
      </c>
      <c r="Q871" s="157">
        <v>0</v>
      </c>
      <c r="R871" s="157">
        <f t="shared" ref="R871" si="1886">$Q871-($Q871*LICITACAO_DESCONTO)</f>
        <v>0</v>
      </c>
      <c r="S871" s="156">
        <f t="shared" si="1878"/>
        <v>0</v>
      </c>
      <c r="T871" s="156">
        <f t="shared" si="1879"/>
        <v>0</v>
      </c>
      <c r="U871" s="156">
        <f t="shared" si="1880"/>
        <v>0</v>
      </c>
      <c r="V871" s="156">
        <f t="shared" si="1881"/>
        <v>0</v>
      </c>
      <c r="W871" s="156">
        <f t="shared" si="1868"/>
        <v>0</v>
      </c>
      <c r="X871" s="158">
        <f t="shared" ref="X871" si="1887">$S871/ORCAMENTO_VALOR_TOTAL_ND</f>
        <v>0</v>
      </c>
      <c r="Y871" s="158">
        <f t="shared" ref="Y871" si="1888">$T871/ORCAMENTO_VALOR_TOTAL_DE</f>
        <v>0</v>
      </c>
      <c r="Z871" s="158" cm="1">
        <f t="array" ref="Z871">_xlfn.SWITCH($N871,"BDI 1",$O$6,"BDI 2",$O$7,"BDI 3",$O$8)</f>
        <v>0.20699999999999999</v>
      </c>
      <c r="AA871" s="158" cm="1">
        <f t="array" ref="AA871">_xlfn.SWITCH($N871,"BDI 1",$P$6,"BDI 2",$P$7,"BDI 3",$P$8)</f>
        <v>0.26739999999999997</v>
      </c>
      <c r="AB871" s="158">
        <f t="shared" ca="1" si="1884"/>
        <v>0</v>
      </c>
      <c r="AC871" s="158">
        <f t="shared" ca="1" si="1885"/>
        <v>0</v>
      </c>
      <c r="AD871" s="164"/>
      <c r="AE871" s="148">
        <f t="shared" si="1871"/>
        <v>0</v>
      </c>
      <c r="AF871" s="149"/>
      <c r="AG871" s="150"/>
      <c r="AH871" s="159" t="e">
        <f t="shared" si="1872"/>
        <v>#DIV/0!</v>
      </c>
      <c r="AI871" s="160"/>
      <c r="AJ871" s="105"/>
      <c r="AK871" s="105"/>
      <c r="AM871" s="105"/>
      <c r="AN871" s="105"/>
      <c r="AO871" s="105"/>
      <c r="AP871" s="105"/>
      <c r="AQ871" s="105"/>
      <c r="AR871" s="105"/>
    </row>
    <row r="872" spans="1:44" s="49" customFormat="1" ht="40.15" hidden="1" customHeight="1">
      <c r="A872" s="152">
        <f t="shared" ca="1" si="1873"/>
        <v>0</v>
      </c>
      <c r="B872" s="153">
        <v>6079</v>
      </c>
      <c r="C872" s="154" t="str">
        <f t="shared" si="1874"/>
        <v>6079</v>
      </c>
      <c r="D872" s="154" t="s">
        <v>3579</v>
      </c>
      <c r="E872" s="155" t="s">
        <v>3679</v>
      </c>
      <c r="F872" s="154"/>
      <c r="G872" s="154" t="s">
        <v>464</v>
      </c>
      <c r="H872" s="152">
        <v>37.35</v>
      </c>
      <c r="I872" s="152">
        <v>37.35</v>
      </c>
      <c r="J872" s="156"/>
      <c r="K872" s="156">
        <f>IF(AI872="COMERCIAL",Passeio!L176,0)</f>
        <v>0</v>
      </c>
      <c r="L872" s="156">
        <f t="shared" si="1875"/>
        <v>0</v>
      </c>
      <c r="M872" s="156">
        <f t="shared" si="1876"/>
        <v>0</v>
      </c>
      <c r="N872" s="156" t="s">
        <v>92</v>
      </c>
      <c r="O872" s="157" cm="1">
        <f t="array" ref="O872">TRUNC($H872*(1+_xlfn.SWITCH($N872,"BDI 1",$O$6,"BDI 2",$O$7,"BDI 3",$O$8)),2)</f>
        <v>43.05</v>
      </c>
      <c r="P872" s="157" cm="1">
        <f t="array" ref="P872">TRUNC($I872*(1+_xlfn.SWITCH($N872,"BDI 1",$P$6,"BDI 2",$P$7,"BDI 3",$P$8)),2)</f>
        <v>43.05</v>
      </c>
      <c r="Q872" s="157">
        <v>0</v>
      </c>
      <c r="R872" s="157">
        <f t="shared" ref="R872" si="1889">$Q872-($Q872*LICITACAO_DESCONTO)</f>
        <v>0</v>
      </c>
      <c r="S872" s="156">
        <f t="shared" si="1878"/>
        <v>0</v>
      </c>
      <c r="T872" s="156">
        <f t="shared" si="1879"/>
        <v>0</v>
      </c>
      <c r="U872" s="156">
        <f t="shared" si="1880"/>
        <v>0</v>
      </c>
      <c r="V872" s="156">
        <f t="shared" si="1881"/>
        <v>0</v>
      </c>
      <c r="W872" s="156">
        <f t="shared" si="1868"/>
        <v>0</v>
      </c>
      <c r="X872" s="158">
        <f t="shared" ref="X872" si="1890">$S872/ORCAMENTO_VALOR_TOTAL_ND</f>
        <v>0</v>
      </c>
      <c r="Y872" s="158">
        <f t="shared" ref="Y872" si="1891">$T872/ORCAMENTO_VALOR_TOTAL_DE</f>
        <v>0</v>
      </c>
      <c r="Z872" s="158" cm="1">
        <f t="array" ref="Z872">_xlfn.SWITCH($N872,"BDI 1",$O$6,"BDI 2",$O$7,"BDI 3",$O$8)</f>
        <v>0.1527</v>
      </c>
      <c r="AA872" s="158" cm="1">
        <f t="array" ref="AA872">_xlfn.SWITCH($N872,"BDI 1",$P$6,"BDI 2",$P$7,"BDI 3",$P$8)</f>
        <v>0.1527</v>
      </c>
      <c r="AB872" s="158">
        <f t="shared" ca="1" si="1884"/>
        <v>0</v>
      </c>
      <c r="AC872" s="158">
        <f t="shared" ca="1" si="1885"/>
        <v>0</v>
      </c>
      <c r="AD872" s="164"/>
      <c r="AE872" s="148">
        <f t="shared" si="1871"/>
        <v>0</v>
      </c>
      <c r="AF872" s="149"/>
      <c r="AG872" s="150"/>
      <c r="AH872" s="159" t="e">
        <f t="shared" si="1872"/>
        <v>#DIV/0!</v>
      </c>
      <c r="AI872" s="165" t="s">
        <v>243</v>
      </c>
      <c r="AJ872" s="105"/>
      <c r="AK872" s="105"/>
      <c r="AM872" s="105"/>
      <c r="AN872" s="105"/>
      <c r="AO872" s="105"/>
      <c r="AP872" s="105"/>
      <c r="AQ872" s="105"/>
      <c r="AR872" s="105"/>
    </row>
    <row r="873" spans="1:44" s="49" customFormat="1" ht="40.15" hidden="1" customHeight="1">
      <c r="A873" s="152">
        <f t="shared" ca="1" si="1873"/>
        <v>0</v>
      </c>
      <c r="B873" s="153">
        <v>100324</v>
      </c>
      <c r="C873" s="154" t="str">
        <f t="shared" si="1874"/>
        <v>100324</v>
      </c>
      <c r="D873" s="154" t="s">
        <v>1416</v>
      </c>
      <c r="E873" s="155" t="s">
        <v>3852</v>
      </c>
      <c r="F873" s="154"/>
      <c r="G873" s="154" t="s">
        <v>464</v>
      </c>
      <c r="H873" s="152">
        <v>166.91</v>
      </c>
      <c r="I873" s="152">
        <v>166.99</v>
      </c>
      <c r="J873" s="156"/>
      <c r="K873" s="156">
        <f>Passeio!L166+Passeio!L232</f>
        <v>0</v>
      </c>
      <c r="L873" s="156">
        <f t="shared" si="1875"/>
        <v>0</v>
      </c>
      <c r="M873" s="156">
        <f t="shared" si="1876"/>
        <v>0</v>
      </c>
      <c r="N873" s="156" t="s">
        <v>83</v>
      </c>
      <c r="O873" s="157" cm="1">
        <f t="array" ref="O873">TRUNC($H873*(1+_xlfn.SWITCH($N873,"BDI 1",$O$6,"BDI 2",$O$7,"BDI 3",$O$8)),2)</f>
        <v>201.46</v>
      </c>
      <c r="P873" s="157" cm="1">
        <f t="array" ref="P873">TRUNC($I873*(1+_xlfn.SWITCH($N873,"BDI 1",$P$6,"BDI 2",$P$7,"BDI 3",$P$8)),2)</f>
        <v>211.64</v>
      </c>
      <c r="Q873" s="157">
        <v>0</v>
      </c>
      <c r="R873" s="157">
        <f t="shared" ref="R873" si="1892">$Q873-($Q873*LICITACAO_DESCONTO)</f>
        <v>0</v>
      </c>
      <c r="S873" s="156">
        <f t="shared" si="1878"/>
        <v>0</v>
      </c>
      <c r="T873" s="156">
        <f t="shared" si="1879"/>
        <v>0</v>
      </c>
      <c r="U873" s="156">
        <f t="shared" si="1880"/>
        <v>0</v>
      </c>
      <c r="V873" s="156">
        <f t="shared" si="1881"/>
        <v>0</v>
      </c>
      <c r="W873" s="156">
        <f t="shared" si="1868"/>
        <v>0</v>
      </c>
      <c r="X873" s="158">
        <f t="shared" ref="X873" si="1893">$S873/ORCAMENTO_VALOR_TOTAL_ND</f>
        <v>0</v>
      </c>
      <c r="Y873" s="158">
        <f t="shared" ref="Y873" si="1894">$T873/ORCAMENTO_VALOR_TOTAL_DE</f>
        <v>0</v>
      </c>
      <c r="Z873" s="158" cm="1">
        <f t="array" ref="Z873">_xlfn.SWITCH($N873,"BDI 1",$O$6,"BDI 2",$O$7,"BDI 3",$O$8)</f>
        <v>0.20699999999999999</v>
      </c>
      <c r="AA873" s="158" cm="1">
        <f t="array" ref="AA873">_xlfn.SWITCH($N873,"BDI 1",$P$6,"BDI 2",$P$7,"BDI 3",$P$8)</f>
        <v>0.26739999999999997</v>
      </c>
      <c r="AB873" s="158">
        <f t="shared" ca="1" si="1884"/>
        <v>0</v>
      </c>
      <c r="AC873" s="158">
        <f t="shared" ca="1" si="1885"/>
        <v>0</v>
      </c>
      <c r="AD873" s="164"/>
      <c r="AE873" s="148">
        <f t="shared" si="1871"/>
        <v>0</v>
      </c>
      <c r="AF873" s="149"/>
      <c r="AG873" s="150"/>
      <c r="AH873" s="159" t="e">
        <f t="shared" si="1872"/>
        <v>#DIV/0!</v>
      </c>
      <c r="AI873" s="160"/>
      <c r="AJ873" s="181" t="s">
        <v>105</v>
      </c>
      <c r="AK873" s="181" t="s">
        <v>106</v>
      </c>
      <c r="AM873" s="105"/>
      <c r="AN873" s="105"/>
      <c r="AO873" s="105"/>
      <c r="AP873" s="105"/>
      <c r="AQ873" s="105"/>
      <c r="AR873" s="105"/>
    </row>
    <row r="874" spans="1:44" s="49" customFormat="1" ht="40.15" hidden="1" customHeight="1">
      <c r="A874" s="152">
        <f t="shared" ca="1" si="1873"/>
        <v>0</v>
      </c>
      <c r="B874" s="153">
        <v>98524</v>
      </c>
      <c r="C874" s="154" t="str">
        <f t="shared" si="1874"/>
        <v>98524</v>
      </c>
      <c r="D874" s="154" t="s">
        <v>1416</v>
      </c>
      <c r="E874" s="155" t="s">
        <v>3920</v>
      </c>
      <c r="F874" s="154"/>
      <c r="G874" s="154" t="s">
        <v>1418</v>
      </c>
      <c r="H874" s="152">
        <v>4.29</v>
      </c>
      <c r="I874" s="152">
        <v>2.85</v>
      </c>
      <c r="J874" s="156"/>
      <c r="K874" s="156">
        <f>+Passeio!L24</f>
        <v>0</v>
      </c>
      <c r="L874" s="156">
        <f t="shared" si="1875"/>
        <v>0</v>
      </c>
      <c r="M874" s="156">
        <f t="shared" si="1876"/>
        <v>0</v>
      </c>
      <c r="N874" s="156" t="s">
        <v>83</v>
      </c>
      <c r="O874" s="157" cm="1">
        <f t="array" ref="O874">TRUNC($H874*(1+_xlfn.SWITCH($N874,"BDI 1",$O$6,"BDI 2",$O$7,"BDI 3",$O$8)),2)</f>
        <v>5.17</v>
      </c>
      <c r="P874" s="157" cm="1">
        <f t="array" ref="P874">TRUNC($I874*(1+_xlfn.SWITCH($N874,"BDI 1",$P$6,"BDI 2",$P$7,"BDI 3",$P$8)),2)</f>
        <v>3.61</v>
      </c>
      <c r="Q874" s="157">
        <v>0</v>
      </c>
      <c r="R874" s="157">
        <f t="shared" ref="R874" si="1895">$Q874-($Q874*LICITACAO_DESCONTO)</f>
        <v>0</v>
      </c>
      <c r="S874" s="156">
        <f t="shared" si="1878"/>
        <v>0</v>
      </c>
      <c r="T874" s="156">
        <f t="shared" si="1879"/>
        <v>0</v>
      </c>
      <c r="U874" s="156">
        <f t="shared" si="1880"/>
        <v>0</v>
      </c>
      <c r="V874" s="156">
        <f t="shared" si="1881"/>
        <v>0</v>
      </c>
      <c r="W874" s="156">
        <f t="shared" si="1868"/>
        <v>0</v>
      </c>
      <c r="X874" s="158">
        <f t="shared" ref="X874" si="1896">$S874/ORCAMENTO_VALOR_TOTAL_ND</f>
        <v>0</v>
      </c>
      <c r="Y874" s="158">
        <f t="shared" ref="Y874" si="1897">$T874/ORCAMENTO_VALOR_TOTAL_DE</f>
        <v>0</v>
      </c>
      <c r="Z874" s="158" cm="1">
        <f t="array" ref="Z874">_xlfn.SWITCH($N874,"BDI 1",$O$6,"BDI 2",$O$7,"BDI 3",$O$8)</f>
        <v>0.20699999999999999</v>
      </c>
      <c r="AA874" s="158" cm="1">
        <f t="array" ref="AA874">_xlfn.SWITCH($N874,"BDI 1",$P$6,"BDI 2",$P$7,"BDI 3",$P$8)</f>
        <v>0.26739999999999997</v>
      </c>
      <c r="AB874" s="158">
        <f t="shared" ca="1" si="1884"/>
        <v>0</v>
      </c>
      <c r="AC874" s="158">
        <f t="shared" ca="1" si="1885"/>
        <v>0</v>
      </c>
      <c r="AD874" s="164"/>
      <c r="AE874" s="148">
        <f t="shared" si="1871"/>
        <v>0</v>
      </c>
      <c r="AF874" s="149"/>
      <c r="AG874" s="150"/>
      <c r="AH874" s="159" t="e">
        <f t="shared" si="1872"/>
        <v>#DIV/0!</v>
      </c>
      <c r="AI874" s="160"/>
      <c r="AJ874" s="181" t="s">
        <v>105</v>
      </c>
      <c r="AK874" s="181" t="s">
        <v>106</v>
      </c>
      <c r="AM874" s="105"/>
      <c r="AN874" s="105"/>
      <c r="AO874" s="105"/>
      <c r="AP874" s="105"/>
      <c r="AQ874" s="105"/>
      <c r="AR874" s="105"/>
    </row>
    <row r="875" spans="1:44" s="49" customFormat="1" ht="49.9" hidden="1" customHeight="1">
      <c r="A875" s="152">
        <f t="shared" ca="1" si="1873"/>
        <v>0</v>
      </c>
      <c r="B875" s="153">
        <v>100975</v>
      </c>
      <c r="C875" s="154" t="str">
        <f t="shared" si="1874"/>
        <v>100975</v>
      </c>
      <c r="D875" s="154" t="s">
        <v>1416</v>
      </c>
      <c r="E875" s="155" t="s">
        <v>3899</v>
      </c>
      <c r="F875" s="154"/>
      <c r="G875" s="154" t="s">
        <v>464</v>
      </c>
      <c r="H875" s="152">
        <v>8.3800000000000008</v>
      </c>
      <c r="I875" s="152">
        <v>8.35</v>
      </c>
      <c r="J875" s="156"/>
      <c r="K875" s="156">
        <f>+Passeio!L25</f>
        <v>0</v>
      </c>
      <c r="L875" s="156">
        <f t="shared" si="1875"/>
        <v>0</v>
      </c>
      <c r="M875" s="156">
        <f t="shared" si="1876"/>
        <v>0</v>
      </c>
      <c r="N875" s="156" t="s">
        <v>83</v>
      </c>
      <c r="O875" s="157" cm="1">
        <f t="array" ref="O875">TRUNC($H875*(1+_xlfn.SWITCH($N875,"BDI 1",$O$6,"BDI 2",$O$7,"BDI 3",$O$8)),2)</f>
        <v>10.11</v>
      </c>
      <c r="P875" s="157" cm="1">
        <f t="array" ref="P875">TRUNC($I875*(1+_xlfn.SWITCH($N875,"BDI 1",$P$6,"BDI 2",$P$7,"BDI 3",$P$8)),2)</f>
        <v>10.58</v>
      </c>
      <c r="Q875" s="157">
        <v>0</v>
      </c>
      <c r="R875" s="157">
        <f t="shared" ref="R875" si="1898">$Q875-($Q875*LICITACAO_DESCONTO)</f>
        <v>0</v>
      </c>
      <c r="S875" s="156">
        <f t="shared" si="1878"/>
        <v>0</v>
      </c>
      <c r="T875" s="156">
        <f t="shared" si="1879"/>
        <v>0</v>
      </c>
      <c r="U875" s="156">
        <f t="shared" si="1880"/>
        <v>0</v>
      </c>
      <c r="V875" s="156">
        <f t="shared" si="1881"/>
        <v>0</v>
      </c>
      <c r="W875" s="156">
        <f t="shared" si="1868"/>
        <v>0</v>
      </c>
      <c r="X875" s="158">
        <f t="shared" ref="X875" si="1899">$S875/ORCAMENTO_VALOR_TOTAL_ND</f>
        <v>0</v>
      </c>
      <c r="Y875" s="158">
        <f t="shared" ref="Y875" si="1900">$T875/ORCAMENTO_VALOR_TOTAL_DE</f>
        <v>0</v>
      </c>
      <c r="Z875" s="158" cm="1">
        <f t="array" ref="Z875">_xlfn.SWITCH($N875,"BDI 1",$O$6,"BDI 2",$O$7,"BDI 3",$O$8)</f>
        <v>0.20699999999999999</v>
      </c>
      <c r="AA875" s="158" cm="1">
        <f t="array" ref="AA875">_xlfn.SWITCH($N875,"BDI 1",$P$6,"BDI 2",$P$7,"BDI 3",$P$8)</f>
        <v>0.26739999999999997</v>
      </c>
      <c r="AB875" s="158">
        <f t="shared" ca="1" si="1884"/>
        <v>0</v>
      </c>
      <c r="AC875" s="158">
        <f t="shared" ca="1" si="1885"/>
        <v>0</v>
      </c>
      <c r="AD875" s="164"/>
      <c r="AE875" s="148">
        <f t="shared" si="1871"/>
        <v>0</v>
      </c>
      <c r="AF875" s="149"/>
      <c r="AG875" s="150"/>
      <c r="AH875" s="159" t="e">
        <f t="shared" si="1872"/>
        <v>#DIV/0!</v>
      </c>
      <c r="AI875" s="160"/>
      <c r="AJ875" s="181" t="s">
        <v>105</v>
      </c>
      <c r="AK875" s="181" t="s">
        <v>106</v>
      </c>
      <c r="AM875" s="105"/>
      <c r="AN875" s="105"/>
      <c r="AO875" s="105"/>
      <c r="AP875" s="105"/>
      <c r="AQ875" s="105"/>
      <c r="AR875" s="105"/>
    </row>
    <row r="876" spans="1:44" s="49" customFormat="1" ht="40.15" hidden="1" customHeight="1">
      <c r="A876" s="152">
        <f t="shared" ca="1" si="1873"/>
        <v>0</v>
      </c>
      <c r="B876" s="153">
        <v>97084</v>
      </c>
      <c r="C876" s="154" t="str">
        <f t="shared" si="1874"/>
        <v>97084</v>
      </c>
      <c r="D876" s="154" t="s">
        <v>1416</v>
      </c>
      <c r="E876" s="155" t="s">
        <v>3915</v>
      </c>
      <c r="F876" s="154"/>
      <c r="G876" s="154" t="s">
        <v>1418</v>
      </c>
      <c r="H876" s="152">
        <v>0.64</v>
      </c>
      <c r="I876" s="152">
        <v>0.57999999999999996</v>
      </c>
      <c r="J876" s="156"/>
      <c r="K876" s="156">
        <f>+Passeio!L170+Passeio!L231</f>
        <v>0</v>
      </c>
      <c r="L876" s="156">
        <f t="shared" si="1875"/>
        <v>0</v>
      </c>
      <c r="M876" s="156">
        <f t="shared" si="1876"/>
        <v>0</v>
      </c>
      <c r="N876" s="156" t="s">
        <v>83</v>
      </c>
      <c r="O876" s="157" cm="1">
        <f t="array" ref="O876">TRUNC($H876*(1+_xlfn.SWITCH($N876,"BDI 1",$O$6,"BDI 2",$O$7,"BDI 3",$O$8)),2)</f>
        <v>0.77</v>
      </c>
      <c r="P876" s="157" cm="1">
        <f t="array" ref="P876">TRUNC($I876*(1+_xlfn.SWITCH($N876,"BDI 1",$P$6,"BDI 2",$P$7,"BDI 3",$P$8)),2)</f>
        <v>0.73</v>
      </c>
      <c r="Q876" s="157">
        <v>0</v>
      </c>
      <c r="R876" s="157">
        <f t="shared" ref="R876" si="1901">$Q876-($Q876*LICITACAO_DESCONTO)</f>
        <v>0</v>
      </c>
      <c r="S876" s="156">
        <f t="shared" si="1878"/>
        <v>0</v>
      </c>
      <c r="T876" s="156">
        <f t="shared" si="1879"/>
        <v>0</v>
      </c>
      <c r="U876" s="156">
        <f t="shared" si="1880"/>
        <v>0</v>
      </c>
      <c r="V876" s="156">
        <f t="shared" si="1881"/>
        <v>0</v>
      </c>
      <c r="W876" s="156">
        <f t="shared" si="1868"/>
        <v>0</v>
      </c>
      <c r="X876" s="158">
        <f t="shared" ref="X876" si="1902">$S876/ORCAMENTO_VALOR_TOTAL_ND</f>
        <v>0</v>
      </c>
      <c r="Y876" s="158">
        <f t="shared" ref="Y876" si="1903">$T876/ORCAMENTO_VALOR_TOTAL_DE</f>
        <v>0</v>
      </c>
      <c r="Z876" s="158" cm="1">
        <f t="array" ref="Z876">_xlfn.SWITCH($N876,"BDI 1",$O$6,"BDI 2",$O$7,"BDI 3",$O$8)</f>
        <v>0.20699999999999999</v>
      </c>
      <c r="AA876" s="158" cm="1">
        <f t="array" ref="AA876">_xlfn.SWITCH($N876,"BDI 1",$P$6,"BDI 2",$P$7,"BDI 3",$P$8)</f>
        <v>0.26739999999999997</v>
      </c>
      <c r="AB876" s="158">
        <f t="shared" ca="1" si="1884"/>
        <v>0</v>
      </c>
      <c r="AC876" s="158">
        <f t="shared" ca="1" si="1885"/>
        <v>0</v>
      </c>
      <c r="AD876" s="164"/>
      <c r="AE876" s="148">
        <f t="shared" si="1871"/>
        <v>0</v>
      </c>
      <c r="AF876" s="149"/>
      <c r="AG876" s="150"/>
      <c r="AH876" s="159" t="e">
        <f t="shared" si="1872"/>
        <v>#DIV/0!</v>
      </c>
      <c r="AI876" s="160"/>
      <c r="AJ876" s="184">
        <v>0</v>
      </c>
      <c r="AK876" s="183" t="e">
        <f>+K876/AJ876</f>
        <v>#DIV/0!</v>
      </c>
      <c r="AM876" s="105"/>
      <c r="AN876" s="105"/>
      <c r="AO876" s="105"/>
      <c r="AP876" s="105"/>
      <c r="AQ876" s="105"/>
      <c r="AR876" s="105"/>
    </row>
    <row r="877" spans="1:44" s="49" customFormat="1" ht="49.9" hidden="1" customHeight="1">
      <c r="A877" s="152">
        <f t="shared" ca="1" si="1873"/>
        <v>0</v>
      </c>
      <c r="B877" s="153" t="s">
        <v>230</v>
      </c>
      <c r="C877" s="154" t="str">
        <f t="shared" si="1874"/>
        <v>SC/0080</v>
      </c>
      <c r="D877" s="154" t="s">
        <v>3549</v>
      </c>
      <c r="E877" s="155" t="s">
        <v>3849</v>
      </c>
      <c r="F877" s="154"/>
      <c r="G877" s="154" t="s">
        <v>58</v>
      </c>
      <c r="H877" s="152">
        <v>59.35</v>
      </c>
      <c r="I877" s="152">
        <v>57.76</v>
      </c>
      <c r="J877" s="156"/>
      <c r="K877" s="156">
        <f>+Passeio!L156+Passeio!L157</f>
        <v>0</v>
      </c>
      <c r="L877" s="156">
        <f t="shared" si="1875"/>
        <v>0</v>
      </c>
      <c r="M877" s="156">
        <f t="shared" si="1876"/>
        <v>0</v>
      </c>
      <c r="N877" s="156" t="s">
        <v>83</v>
      </c>
      <c r="O877" s="157" cm="1">
        <f t="array" ref="O877">TRUNC($H877*(1+_xlfn.SWITCH($N877,"BDI 1",$O$6,"BDI 2",$O$7,"BDI 3",$O$8)),2)</f>
        <v>71.63</v>
      </c>
      <c r="P877" s="157" cm="1">
        <f t="array" ref="P877">TRUNC($I877*(1+_xlfn.SWITCH($N877,"BDI 1",$P$6,"BDI 2",$P$7,"BDI 3",$P$8)),2)</f>
        <v>73.2</v>
      </c>
      <c r="Q877" s="157">
        <v>0</v>
      </c>
      <c r="R877" s="157">
        <f t="shared" ref="R877" si="1904">$Q877-($Q877*LICITACAO_DESCONTO)</f>
        <v>0</v>
      </c>
      <c r="S877" s="156">
        <f t="shared" si="1878"/>
        <v>0</v>
      </c>
      <c r="T877" s="156">
        <f t="shared" si="1879"/>
        <v>0</v>
      </c>
      <c r="U877" s="156">
        <f t="shared" si="1880"/>
        <v>0</v>
      </c>
      <c r="V877" s="156">
        <f t="shared" si="1881"/>
        <v>0</v>
      </c>
      <c r="W877" s="156">
        <f t="shared" si="1868"/>
        <v>0</v>
      </c>
      <c r="X877" s="158">
        <f t="shared" ref="X877" si="1905">$S877/ORCAMENTO_VALOR_TOTAL_ND</f>
        <v>0</v>
      </c>
      <c r="Y877" s="158">
        <f t="shared" ref="Y877" si="1906">$T877/ORCAMENTO_VALOR_TOTAL_DE</f>
        <v>0</v>
      </c>
      <c r="Z877" s="158" cm="1">
        <f t="array" ref="Z877">_xlfn.SWITCH($N877,"BDI 1",$O$6,"BDI 2",$O$7,"BDI 3",$O$8)</f>
        <v>0.20699999999999999</v>
      </c>
      <c r="AA877" s="158" cm="1">
        <f t="array" ref="AA877">_xlfn.SWITCH($N877,"BDI 1",$P$6,"BDI 2",$P$7,"BDI 3",$P$8)</f>
        <v>0.26739999999999997</v>
      </c>
      <c r="AB877" s="158">
        <f t="shared" ca="1" si="1884"/>
        <v>0</v>
      </c>
      <c r="AC877" s="158">
        <f t="shared" ca="1" si="1885"/>
        <v>0</v>
      </c>
      <c r="AD877" s="164"/>
      <c r="AE877" s="148">
        <f t="shared" si="1871"/>
        <v>0</v>
      </c>
      <c r="AF877" s="149"/>
      <c r="AG877" s="150"/>
      <c r="AH877" s="159" t="e">
        <f t="shared" si="1872"/>
        <v>#DIV/0!</v>
      </c>
      <c r="AI877" s="160"/>
      <c r="AJ877" s="184"/>
      <c r="AK877" s="183"/>
      <c r="AM877" s="105"/>
      <c r="AN877" s="105"/>
      <c r="AO877" s="105"/>
      <c r="AP877" s="105"/>
      <c r="AQ877" s="105"/>
      <c r="AR877" s="105"/>
    </row>
    <row r="878" spans="1:44" s="49" customFormat="1" ht="40.15" hidden="1" customHeight="1">
      <c r="A878" s="152">
        <f t="shared" ca="1" si="1873"/>
        <v>0</v>
      </c>
      <c r="B878" s="153">
        <v>94962</v>
      </c>
      <c r="C878" s="154" t="str">
        <f t="shared" si="1874"/>
        <v>94962</v>
      </c>
      <c r="D878" s="154" t="s">
        <v>1416</v>
      </c>
      <c r="E878" s="155" t="s">
        <v>3791</v>
      </c>
      <c r="F878" s="154"/>
      <c r="G878" s="154" t="s">
        <v>464</v>
      </c>
      <c r="H878" s="152">
        <v>385.31</v>
      </c>
      <c r="I878" s="152">
        <v>383.4</v>
      </c>
      <c r="J878" s="156"/>
      <c r="K878" s="156">
        <f>+Passeio!L155</f>
        <v>0</v>
      </c>
      <c r="L878" s="156">
        <f t="shared" si="1875"/>
        <v>0</v>
      </c>
      <c r="M878" s="156">
        <f t="shared" si="1876"/>
        <v>0</v>
      </c>
      <c r="N878" s="156" t="s">
        <v>83</v>
      </c>
      <c r="O878" s="157" cm="1">
        <f t="array" ref="O878">TRUNC($H878*(1+_xlfn.SWITCH($N878,"BDI 1",$O$6,"BDI 2",$O$7,"BDI 3",$O$8)),2)</f>
        <v>465.06</v>
      </c>
      <c r="P878" s="157" cm="1">
        <f t="array" ref="P878">TRUNC($I878*(1+_xlfn.SWITCH($N878,"BDI 1",$P$6,"BDI 2",$P$7,"BDI 3",$P$8)),2)</f>
        <v>485.92</v>
      </c>
      <c r="Q878" s="157">
        <v>0</v>
      </c>
      <c r="R878" s="157">
        <f t="shared" ref="R878" si="1907">$Q878-($Q878*LICITACAO_DESCONTO)</f>
        <v>0</v>
      </c>
      <c r="S878" s="156">
        <f t="shared" si="1878"/>
        <v>0</v>
      </c>
      <c r="T878" s="156">
        <f t="shared" si="1879"/>
        <v>0</v>
      </c>
      <c r="U878" s="156">
        <f t="shared" si="1880"/>
        <v>0</v>
      </c>
      <c r="V878" s="156">
        <f t="shared" si="1881"/>
        <v>0</v>
      </c>
      <c r="W878" s="156">
        <f t="shared" si="1868"/>
        <v>0</v>
      </c>
      <c r="X878" s="158">
        <f t="shared" ref="X878" si="1908">$S878/ORCAMENTO_VALOR_TOTAL_ND</f>
        <v>0</v>
      </c>
      <c r="Y878" s="158">
        <f t="shared" ref="Y878" si="1909">$T878/ORCAMENTO_VALOR_TOTAL_DE</f>
        <v>0</v>
      </c>
      <c r="Z878" s="158" cm="1">
        <f t="array" ref="Z878">_xlfn.SWITCH($N878,"BDI 1",$O$6,"BDI 2",$O$7,"BDI 3",$O$8)</f>
        <v>0.20699999999999999</v>
      </c>
      <c r="AA878" s="158" cm="1">
        <f t="array" ref="AA878">_xlfn.SWITCH($N878,"BDI 1",$P$6,"BDI 2",$P$7,"BDI 3",$P$8)</f>
        <v>0.26739999999999997</v>
      </c>
      <c r="AB878" s="158">
        <f t="shared" ca="1" si="1884"/>
        <v>0</v>
      </c>
      <c r="AC878" s="158">
        <f t="shared" ca="1" si="1885"/>
        <v>0</v>
      </c>
      <c r="AD878" s="164"/>
      <c r="AE878" s="148">
        <f t="shared" si="1871"/>
        <v>0</v>
      </c>
      <c r="AF878" s="149"/>
      <c r="AG878" s="150"/>
      <c r="AH878" s="159" t="e">
        <f t="shared" si="1872"/>
        <v>#DIV/0!</v>
      </c>
      <c r="AI878" s="160"/>
      <c r="AJ878" s="184"/>
      <c r="AK878" s="183"/>
      <c r="AM878" s="105"/>
      <c r="AN878" s="105"/>
      <c r="AO878" s="105"/>
      <c r="AP878" s="105"/>
      <c r="AQ878" s="105"/>
      <c r="AR878" s="105"/>
    </row>
    <row r="879" spans="1:44" s="49" customFormat="1" ht="40.15" hidden="1" customHeight="1">
      <c r="A879" s="152">
        <f t="shared" ca="1" si="1873"/>
        <v>0</v>
      </c>
      <c r="B879" s="153">
        <v>94991</v>
      </c>
      <c r="C879" s="154" t="str">
        <f t="shared" si="1874"/>
        <v>94991</v>
      </c>
      <c r="D879" s="154" t="s">
        <v>1416</v>
      </c>
      <c r="E879" s="155" t="s">
        <v>3850</v>
      </c>
      <c r="F879" s="154"/>
      <c r="G879" s="154" t="s">
        <v>464</v>
      </c>
      <c r="H879" s="152">
        <v>801</v>
      </c>
      <c r="I879" s="152">
        <v>784.57</v>
      </c>
      <c r="J879" s="156"/>
      <c r="K879" s="156">
        <f>+Passeio!L164</f>
        <v>0</v>
      </c>
      <c r="L879" s="156">
        <f t="shared" si="1875"/>
        <v>0</v>
      </c>
      <c r="M879" s="156">
        <f t="shared" si="1876"/>
        <v>0</v>
      </c>
      <c r="N879" s="156" t="s">
        <v>83</v>
      </c>
      <c r="O879" s="157" cm="1">
        <f t="array" ref="O879">TRUNC($H879*(1+_xlfn.SWITCH($N879,"BDI 1",$O$6,"BDI 2",$O$7,"BDI 3",$O$8)),2)</f>
        <v>966.8</v>
      </c>
      <c r="P879" s="157" cm="1">
        <f t="array" ref="P879">TRUNC($I879*(1+_xlfn.SWITCH($N879,"BDI 1",$P$6,"BDI 2",$P$7,"BDI 3",$P$8)),2)</f>
        <v>994.36</v>
      </c>
      <c r="Q879" s="157">
        <v>0</v>
      </c>
      <c r="R879" s="157">
        <f t="shared" ref="R879" si="1910">$Q879-($Q879*LICITACAO_DESCONTO)</f>
        <v>0</v>
      </c>
      <c r="S879" s="156">
        <f t="shared" si="1878"/>
        <v>0</v>
      </c>
      <c r="T879" s="156">
        <f t="shared" si="1879"/>
        <v>0</v>
      </c>
      <c r="U879" s="156">
        <f t="shared" si="1880"/>
        <v>0</v>
      </c>
      <c r="V879" s="156">
        <f t="shared" si="1881"/>
        <v>0</v>
      </c>
      <c r="W879" s="156">
        <f t="shared" si="1868"/>
        <v>0</v>
      </c>
      <c r="X879" s="158">
        <f t="shared" ref="X879" si="1911">$S879/ORCAMENTO_VALOR_TOTAL_ND</f>
        <v>0</v>
      </c>
      <c r="Y879" s="158">
        <f t="shared" ref="Y879" si="1912">$T879/ORCAMENTO_VALOR_TOTAL_DE</f>
        <v>0</v>
      </c>
      <c r="Z879" s="158" cm="1">
        <f t="array" ref="Z879">_xlfn.SWITCH($N879,"BDI 1",$O$6,"BDI 2",$O$7,"BDI 3",$O$8)</f>
        <v>0.20699999999999999</v>
      </c>
      <c r="AA879" s="158" cm="1">
        <f t="array" ref="AA879">_xlfn.SWITCH($N879,"BDI 1",$P$6,"BDI 2",$P$7,"BDI 3",$P$8)</f>
        <v>0.26739999999999997</v>
      </c>
      <c r="AB879" s="158">
        <f t="shared" ca="1" si="1884"/>
        <v>0</v>
      </c>
      <c r="AC879" s="158">
        <f t="shared" ca="1" si="1885"/>
        <v>0</v>
      </c>
      <c r="AD879" s="164"/>
      <c r="AE879" s="148">
        <f t="shared" si="1871"/>
        <v>0</v>
      </c>
      <c r="AF879" s="149"/>
      <c r="AG879" s="150"/>
      <c r="AH879" s="159" t="e">
        <f t="shared" si="1872"/>
        <v>#DIV/0!</v>
      </c>
      <c r="AI879" s="165" t="s">
        <v>216</v>
      </c>
      <c r="AJ879" s="184"/>
      <c r="AK879" s="183"/>
      <c r="AM879" s="167"/>
      <c r="AN879" s="167"/>
      <c r="AO879" s="167"/>
      <c r="AP879" s="167"/>
      <c r="AQ879" s="167"/>
      <c r="AR879" s="167"/>
    </row>
    <row r="880" spans="1:44" s="49" customFormat="1" ht="40.15" hidden="1" customHeight="1">
      <c r="A880" s="152">
        <f t="shared" ca="1" si="1873"/>
        <v>0</v>
      </c>
      <c r="B880" s="153">
        <v>94994</v>
      </c>
      <c r="C880" s="154" t="str">
        <f t="shared" si="1874"/>
        <v>94994</v>
      </c>
      <c r="D880" s="154" t="s">
        <v>1416</v>
      </c>
      <c r="E880" s="155" t="s">
        <v>3851</v>
      </c>
      <c r="F880" s="154"/>
      <c r="G880" s="154" t="s">
        <v>1418</v>
      </c>
      <c r="H880" s="152">
        <v>93.23</v>
      </c>
      <c r="I880" s="152">
        <v>90.7</v>
      </c>
      <c r="J880" s="156"/>
      <c r="K880" s="156">
        <f>+Passeio!L168</f>
        <v>0</v>
      </c>
      <c r="L880" s="156">
        <f t="shared" si="1875"/>
        <v>0</v>
      </c>
      <c r="M880" s="156">
        <f t="shared" si="1876"/>
        <v>0</v>
      </c>
      <c r="N880" s="156" t="s">
        <v>83</v>
      </c>
      <c r="O880" s="157" cm="1">
        <f t="array" ref="O880">TRUNC($H880*(1+_xlfn.SWITCH($N880,"BDI 1",$O$6,"BDI 2",$O$7,"BDI 3",$O$8)),2)</f>
        <v>112.52</v>
      </c>
      <c r="P880" s="157" cm="1">
        <f t="array" ref="P880">TRUNC($I880*(1+_xlfn.SWITCH($N880,"BDI 1",$P$6,"BDI 2",$P$7,"BDI 3",$P$8)),2)</f>
        <v>114.95</v>
      </c>
      <c r="Q880" s="157">
        <v>0</v>
      </c>
      <c r="R880" s="157">
        <f t="shared" ref="R880" si="1913">$Q880-($Q880*LICITACAO_DESCONTO)</f>
        <v>0</v>
      </c>
      <c r="S880" s="156">
        <f t="shared" si="1878"/>
        <v>0</v>
      </c>
      <c r="T880" s="156">
        <f t="shared" si="1879"/>
        <v>0</v>
      </c>
      <c r="U880" s="156">
        <f t="shared" si="1880"/>
        <v>0</v>
      </c>
      <c r="V880" s="156">
        <f t="shared" si="1881"/>
        <v>0</v>
      </c>
      <c r="W880" s="156">
        <f t="shared" si="1868"/>
        <v>0</v>
      </c>
      <c r="X880" s="158">
        <f t="shared" ref="X880" si="1914">$S880/ORCAMENTO_VALOR_TOTAL_ND</f>
        <v>0</v>
      </c>
      <c r="Y880" s="158">
        <f t="shared" ref="Y880" si="1915">$T880/ORCAMENTO_VALOR_TOTAL_DE</f>
        <v>0</v>
      </c>
      <c r="Z880" s="158" cm="1">
        <f t="array" ref="Z880">_xlfn.SWITCH($N880,"BDI 1",$O$6,"BDI 2",$O$7,"BDI 3",$O$8)</f>
        <v>0.20699999999999999</v>
      </c>
      <c r="AA880" s="158" cm="1">
        <f t="array" ref="AA880">_xlfn.SWITCH($N880,"BDI 1",$P$6,"BDI 2",$P$7,"BDI 3",$P$8)</f>
        <v>0.26739999999999997</v>
      </c>
      <c r="AB880" s="158">
        <f t="shared" ca="1" si="1884"/>
        <v>0</v>
      </c>
      <c r="AC880" s="158">
        <f t="shared" ca="1" si="1885"/>
        <v>0</v>
      </c>
      <c r="AD880" s="164"/>
      <c r="AE880" s="148">
        <f t="shared" si="1871"/>
        <v>0</v>
      </c>
      <c r="AF880" s="149"/>
      <c r="AG880" s="150"/>
      <c r="AH880" s="159" t="e">
        <f t="shared" si="1872"/>
        <v>#DIV/0!</v>
      </c>
      <c r="AI880" s="165" t="s">
        <v>231</v>
      </c>
      <c r="AJ880" s="184">
        <v>0</v>
      </c>
      <c r="AK880" s="183"/>
      <c r="AM880" s="167"/>
      <c r="AN880" s="167"/>
      <c r="AO880" s="167"/>
      <c r="AP880" s="167"/>
      <c r="AQ880" s="167"/>
      <c r="AR880" s="167"/>
    </row>
    <row r="881" spans="1:44" s="49" customFormat="1" ht="40.15" hidden="1" customHeight="1">
      <c r="A881" s="152">
        <f t="shared" ca="1" si="1873"/>
        <v>0</v>
      </c>
      <c r="B881" s="153">
        <v>92396</v>
      </c>
      <c r="C881" s="154" t="str">
        <f t="shared" si="1874"/>
        <v>92396</v>
      </c>
      <c r="D881" s="154" t="s">
        <v>1416</v>
      </c>
      <c r="E881" s="155" t="s">
        <v>3853</v>
      </c>
      <c r="F881" s="154"/>
      <c r="G881" s="154" t="s">
        <v>1418</v>
      </c>
      <c r="H881" s="152">
        <v>83.59</v>
      </c>
      <c r="I881" s="152">
        <v>75.23</v>
      </c>
      <c r="J881" s="156"/>
      <c r="K881" s="156">
        <f>+Passeio!L30</f>
        <v>0</v>
      </c>
      <c r="L881" s="156">
        <f t="shared" si="1875"/>
        <v>0</v>
      </c>
      <c r="M881" s="156">
        <f t="shared" si="1876"/>
        <v>0</v>
      </c>
      <c r="N881" s="156" t="s">
        <v>83</v>
      </c>
      <c r="O881" s="157" cm="1">
        <f t="array" ref="O881">TRUNC($H881*(1+_xlfn.SWITCH($N881,"BDI 1",$O$6,"BDI 2",$O$7,"BDI 3",$O$8)),2)</f>
        <v>100.89</v>
      </c>
      <c r="P881" s="157" cm="1">
        <f t="array" ref="P881">TRUNC($I881*(1+_xlfn.SWITCH($N881,"BDI 1",$P$6,"BDI 2",$P$7,"BDI 3",$P$8)),2)</f>
        <v>95.34</v>
      </c>
      <c r="Q881" s="157">
        <v>0</v>
      </c>
      <c r="R881" s="157">
        <f t="shared" ref="R881" si="1916">$Q881-($Q881*LICITACAO_DESCONTO)</f>
        <v>0</v>
      </c>
      <c r="S881" s="156">
        <f t="shared" si="1878"/>
        <v>0</v>
      </c>
      <c r="T881" s="156">
        <f t="shared" si="1879"/>
        <v>0</v>
      </c>
      <c r="U881" s="156">
        <f t="shared" si="1880"/>
        <v>0</v>
      </c>
      <c r="V881" s="156">
        <f t="shared" si="1881"/>
        <v>0</v>
      </c>
      <c r="W881" s="156">
        <f t="shared" si="1868"/>
        <v>0</v>
      </c>
      <c r="X881" s="158">
        <f t="shared" ref="X881" si="1917">$S881/ORCAMENTO_VALOR_TOTAL_ND</f>
        <v>0</v>
      </c>
      <c r="Y881" s="158">
        <f t="shared" ref="Y881" si="1918">$T881/ORCAMENTO_VALOR_TOTAL_DE</f>
        <v>0</v>
      </c>
      <c r="Z881" s="158" cm="1">
        <f t="array" ref="Z881">_xlfn.SWITCH($N881,"BDI 1",$O$6,"BDI 2",$O$7,"BDI 3",$O$8)</f>
        <v>0.20699999999999999</v>
      </c>
      <c r="AA881" s="158" cm="1">
        <f t="array" ref="AA881">_xlfn.SWITCH($N881,"BDI 1",$P$6,"BDI 2",$P$7,"BDI 3",$P$8)</f>
        <v>0.26739999999999997</v>
      </c>
      <c r="AB881" s="158">
        <f t="shared" ca="1" si="1884"/>
        <v>0</v>
      </c>
      <c r="AC881" s="158">
        <f t="shared" ca="1" si="1885"/>
        <v>0</v>
      </c>
      <c r="AD881" s="164"/>
      <c r="AE881" s="148">
        <f t="shared" si="1871"/>
        <v>0</v>
      </c>
      <c r="AF881" s="149"/>
      <c r="AG881" s="150"/>
      <c r="AH881" s="159" t="e">
        <f t="shared" si="1872"/>
        <v>#DIV/0!</v>
      </c>
      <c r="AI881" s="165" t="s">
        <v>232</v>
      </c>
      <c r="AJ881" s="105"/>
      <c r="AK881" s="167"/>
      <c r="AM881" s="167"/>
      <c r="AN881" s="167"/>
      <c r="AO881" s="167"/>
      <c r="AP881" s="167"/>
      <c r="AQ881" s="167"/>
      <c r="AR881" s="167"/>
    </row>
    <row r="882" spans="1:44" s="49" customFormat="1" ht="40.15" hidden="1" customHeight="1">
      <c r="A882" s="152">
        <f t="shared" ca="1" si="1873"/>
        <v>0</v>
      </c>
      <c r="B882" s="153" t="s">
        <v>330</v>
      </c>
      <c r="C882" s="154" t="str">
        <f t="shared" si="1874"/>
        <v>SC/0130</v>
      </c>
      <c r="D882" s="154" t="s">
        <v>3549</v>
      </c>
      <c r="E882" s="155" t="s">
        <v>3921</v>
      </c>
      <c r="F882" s="154"/>
      <c r="G882" s="154" t="s">
        <v>1412</v>
      </c>
      <c r="H882" s="152">
        <v>134.16</v>
      </c>
      <c r="I882" s="152">
        <v>131.59</v>
      </c>
      <c r="J882" s="156"/>
      <c r="K882" s="156">
        <f>+Passeio!L200</f>
        <v>0</v>
      </c>
      <c r="L882" s="156">
        <f t="shared" si="1875"/>
        <v>0</v>
      </c>
      <c r="M882" s="156">
        <f t="shared" si="1876"/>
        <v>0</v>
      </c>
      <c r="N882" s="156" t="s">
        <v>83</v>
      </c>
      <c r="O882" s="157" cm="1">
        <f t="array" ref="O882">TRUNC($H882*(1+_xlfn.SWITCH($N882,"BDI 1",$O$6,"BDI 2",$O$7,"BDI 3",$O$8)),2)</f>
        <v>161.93</v>
      </c>
      <c r="P882" s="157" cm="1">
        <f t="array" ref="P882">TRUNC($I882*(1+_xlfn.SWITCH($N882,"BDI 1",$P$6,"BDI 2",$P$7,"BDI 3",$P$8)),2)</f>
        <v>166.77</v>
      </c>
      <c r="Q882" s="157">
        <v>0</v>
      </c>
      <c r="R882" s="157">
        <f t="shared" ref="R882" si="1919">$Q882-($Q882*LICITACAO_DESCONTO)</f>
        <v>0</v>
      </c>
      <c r="S882" s="156">
        <f t="shared" si="1878"/>
        <v>0</v>
      </c>
      <c r="T882" s="156">
        <f t="shared" si="1879"/>
        <v>0</v>
      </c>
      <c r="U882" s="156">
        <f t="shared" si="1880"/>
        <v>0</v>
      </c>
      <c r="V882" s="156">
        <f t="shared" si="1881"/>
        <v>0</v>
      </c>
      <c r="W882" s="156">
        <f t="shared" si="1868"/>
        <v>0</v>
      </c>
      <c r="X882" s="158">
        <f t="shared" ref="X882" si="1920">$S882/ORCAMENTO_VALOR_TOTAL_ND</f>
        <v>0</v>
      </c>
      <c r="Y882" s="158">
        <f t="shared" ref="Y882" si="1921">$T882/ORCAMENTO_VALOR_TOTAL_DE</f>
        <v>0</v>
      </c>
      <c r="Z882" s="158" cm="1">
        <f t="array" ref="Z882">_xlfn.SWITCH($N882,"BDI 1",$O$6,"BDI 2",$O$7,"BDI 3",$O$8)</f>
        <v>0.20699999999999999</v>
      </c>
      <c r="AA882" s="158" cm="1">
        <f t="array" ref="AA882">_xlfn.SWITCH($N882,"BDI 1",$P$6,"BDI 2",$P$7,"BDI 3",$P$8)</f>
        <v>0.26739999999999997</v>
      </c>
      <c r="AB882" s="158">
        <f t="shared" ca="1" si="1884"/>
        <v>0</v>
      </c>
      <c r="AC882" s="158">
        <f t="shared" ca="1" si="1885"/>
        <v>0</v>
      </c>
      <c r="AD882" s="164"/>
      <c r="AE882" s="148">
        <f t="shared" si="1871"/>
        <v>0</v>
      </c>
      <c r="AF882" s="149"/>
      <c r="AG882" s="150"/>
      <c r="AH882" s="159" t="e">
        <f t="shared" si="1872"/>
        <v>#DIV/0!</v>
      </c>
      <c r="AI882" s="160"/>
      <c r="AJ882" s="105"/>
      <c r="AK882" s="105"/>
      <c r="AM882" s="105"/>
      <c r="AN882" s="105"/>
      <c r="AO882" s="105"/>
      <c r="AP882" s="105"/>
      <c r="AQ882" s="105"/>
      <c r="AR882" s="105"/>
    </row>
    <row r="883" spans="1:44" s="49" customFormat="1" ht="40.15" hidden="1" customHeight="1">
      <c r="A883" s="152">
        <f t="shared" ca="1" si="1873"/>
        <v>0</v>
      </c>
      <c r="B883" s="153" t="s">
        <v>331</v>
      </c>
      <c r="C883" s="154" t="str">
        <f t="shared" si="1874"/>
        <v>SC/0135</v>
      </c>
      <c r="D883" s="154" t="s">
        <v>3549</v>
      </c>
      <c r="E883" s="155" t="s">
        <v>3922</v>
      </c>
      <c r="F883" s="154"/>
      <c r="G883" s="154" t="s">
        <v>1412</v>
      </c>
      <c r="H883" s="152">
        <v>202.6</v>
      </c>
      <c r="I883" s="152">
        <v>198.74</v>
      </c>
      <c r="J883" s="156"/>
      <c r="K883" s="156">
        <f>+Passeio!L201</f>
        <v>0</v>
      </c>
      <c r="L883" s="156">
        <f t="shared" si="1875"/>
        <v>0</v>
      </c>
      <c r="M883" s="156">
        <f t="shared" si="1876"/>
        <v>0</v>
      </c>
      <c r="N883" s="156" t="s">
        <v>83</v>
      </c>
      <c r="O883" s="157" cm="1">
        <f t="array" ref="O883">TRUNC($H883*(1+_xlfn.SWITCH($N883,"BDI 1",$O$6,"BDI 2",$O$7,"BDI 3",$O$8)),2)</f>
        <v>244.53</v>
      </c>
      <c r="P883" s="157" cm="1">
        <f t="array" ref="P883">TRUNC($I883*(1+_xlfn.SWITCH($N883,"BDI 1",$P$6,"BDI 2",$P$7,"BDI 3",$P$8)),2)</f>
        <v>251.88</v>
      </c>
      <c r="Q883" s="157">
        <v>0</v>
      </c>
      <c r="R883" s="157">
        <f t="shared" ref="R883" si="1922">$Q883-($Q883*LICITACAO_DESCONTO)</f>
        <v>0</v>
      </c>
      <c r="S883" s="156">
        <f t="shared" si="1878"/>
        <v>0</v>
      </c>
      <c r="T883" s="156">
        <f t="shared" si="1879"/>
        <v>0</v>
      </c>
      <c r="U883" s="156">
        <f t="shared" si="1880"/>
        <v>0</v>
      </c>
      <c r="V883" s="156">
        <f t="shared" si="1881"/>
        <v>0</v>
      </c>
      <c r="W883" s="156">
        <f t="shared" si="1868"/>
        <v>0</v>
      </c>
      <c r="X883" s="158">
        <f t="shared" ref="X883" si="1923">$S883/ORCAMENTO_VALOR_TOTAL_ND</f>
        <v>0</v>
      </c>
      <c r="Y883" s="158">
        <f t="shared" ref="Y883" si="1924">$T883/ORCAMENTO_VALOR_TOTAL_DE</f>
        <v>0</v>
      </c>
      <c r="Z883" s="158" cm="1">
        <f t="array" ref="Z883">_xlfn.SWITCH($N883,"BDI 1",$O$6,"BDI 2",$O$7,"BDI 3",$O$8)</f>
        <v>0.20699999999999999</v>
      </c>
      <c r="AA883" s="158" cm="1">
        <f t="array" ref="AA883">_xlfn.SWITCH($N883,"BDI 1",$P$6,"BDI 2",$P$7,"BDI 3",$P$8)</f>
        <v>0.26739999999999997</v>
      </c>
      <c r="AB883" s="158">
        <f t="shared" ca="1" si="1884"/>
        <v>0</v>
      </c>
      <c r="AC883" s="158">
        <f t="shared" ca="1" si="1885"/>
        <v>0</v>
      </c>
      <c r="AD883" s="164"/>
      <c r="AE883" s="148">
        <f t="shared" si="1871"/>
        <v>0</v>
      </c>
      <c r="AF883" s="149"/>
      <c r="AG883" s="150"/>
      <c r="AH883" s="159" t="e">
        <f t="shared" si="1872"/>
        <v>#DIV/0!</v>
      </c>
      <c r="AI883" s="160"/>
      <c r="AJ883" s="105"/>
      <c r="AK883" s="105"/>
      <c r="AM883" s="105"/>
      <c r="AN883" s="105"/>
      <c r="AO883" s="105"/>
      <c r="AP883" s="105"/>
      <c r="AQ883" s="105"/>
      <c r="AR883" s="105"/>
    </row>
    <row r="884" spans="1:44" s="49" customFormat="1" ht="40.15" hidden="1" customHeight="1">
      <c r="A884" s="152">
        <f t="shared" ca="1" si="1873"/>
        <v>0</v>
      </c>
      <c r="B884" s="153" t="s">
        <v>332</v>
      </c>
      <c r="C884" s="154" t="str">
        <f t="shared" si="1874"/>
        <v>SC/0140</v>
      </c>
      <c r="D884" s="154" t="s">
        <v>3549</v>
      </c>
      <c r="E884" s="155" t="s">
        <v>3923</v>
      </c>
      <c r="F884" s="154"/>
      <c r="G884" s="154" t="s">
        <v>1412</v>
      </c>
      <c r="H884" s="152">
        <v>294.04000000000002</v>
      </c>
      <c r="I884" s="152">
        <v>289.54000000000002</v>
      </c>
      <c r="J884" s="156"/>
      <c r="K884" s="156">
        <f>+Passeio!L202</f>
        <v>0</v>
      </c>
      <c r="L884" s="156">
        <f t="shared" si="1875"/>
        <v>0</v>
      </c>
      <c r="M884" s="156">
        <f t="shared" si="1876"/>
        <v>0</v>
      </c>
      <c r="N884" s="156" t="s">
        <v>83</v>
      </c>
      <c r="O884" s="157" cm="1">
        <f t="array" ref="O884">TRUNC($H884*(1+_xlfn.SWITCH($N884,"BDI 1",$O$6,"BDI 2",$O$7,"BDI 3",$O$8)),2)</f>
        <v>354.9</v>
      </c>
      <c r="P884" s="157" cm="1">
        <f t="array" ref="P884">TRUNC($I884*(1+_xlfn.SWITCH($N884,"BDI 1",$P$6,"BDI 2",$P$7,"BDI 3",$P$8)),2)</f>
        <v>366.96</v>
      </c>
      <c r="Q884" s="157">
        <v>0</v>
      </c>
      <c r="R884" s="157">
        <f t="shared" ref="R884" si="1925">$Q884-($Q884*LICITACAO_DESCONTO)</f>
        <v>0</v>
      </c>
      <c r="S884" s="156">
        <f t="shared" si="1878"/>
        <v>0</v>
      </c>
      <c r="T884" s="156">
        <f t="shared" si="1879"/>
        <v>0</v>
      </c>
      <c r="U884" s="156">
        <f t="shared" si="1880"/>
        <v>0</v>
      </c>
      <c r="V884" s="156">
        <f t="shared" si="1881"/>
        <v>0</v>
      </c>
      <c r="W884" s="156">
        <f t="shared" si="1868"/>
        <v>0</v>
      </c>
      <c r="X884" s="158">
        <f t="shared" ref="X884" si="1926">$S884/ORCAMENTO_VALOR_TOTAL_ND</f>
        <v>0</v>
      </c>
      <c r="Y884" s="158">
        <f t="shared" ref="Y884" si="1927">$T884/ORCAMENTO_VALOR_TOTAL_DE</f>
        <v>0</v>
      </c>
      <c r="Z884" s="158" cm="1">
        <f t="array" ref="Z884">_xlfn.SWITCH($N884,"BDI 1",$O$6,"BDI 2",$O$7,"BDI 3",$O$8)</f>
        <v>0.20699999999999999</v>
      </c>
      <c r="AA884" s="158" cm="1">
        <f t="array" ref="AA884">_xlfn.SWITCH($N884,"BDI 1",$P$6,"BDI 2",$P$7,"BDI 3",$P$8)</f>
        <v>0.26739999999999997</v>
      </c>
      <c r="AB884" s="158">
        <f t="shared" ca="1" si="1884"/>
        <v>0</v>
      </c>
      <c r="AC884" s="158">
        <f t="shared" ca="1" si="1885"/>
        <v>0</v>
      </c>
      <c r="AD884" s="164"/>
      <c r="AE884" s="148">
        <f t="shared" si="1871"/>
        <v>0</v>
      </c>
      <c r="AF884" s="149"/>
      <c r="AG884" s="150"/>
      <c r="AH884" s="159" t="e">
        <f t="shared" si="1872"/>
        <v>#DIV/0!</v>
      </c>
      <c r="AI884" s="160"/>
      <c r="AJ884" s="105"/>
      <c r="AK884" s="105"/>
      <c r="AM884" s="105"/>
      <c r="AN884" s="105"/>
      <c r="AO884" s="105"/>
      <c r="AP884" s="105"/>
      <c r="AQ884" s="105"/>
      <c r="AR884" s="105"/>
    </row>
    <row r="885" spans="1:44" s="49" customFormat="1" ht="40.15" hidden="1" customHeight="1">
      <c r="A885" s="152">
        <f t="shared" ca="1" si="1873"/>
        <v>0</v>
      </c>
      <c r="B885" s="153" t="s">
        <v>333</v>
      </c>
      <c r="C885" s="154" t="str">
        <f t="shared" si="1874"/>
        <v>SC/0145</v>
      </c>
      <c r="D885" s="154" t="s">
        <v>3549</v>
      </c>
      <c r="E885" s="155" t="s">
        <v>3923</v>
      </c>
      <c r="F885" s="154"/>
      <c r="G885" s="154" t="s">
        <v>1412</v>
      </c>
      <c r="H885" s="152">
        <v>301.06</v>
      </c>
      <c r="I885" s="152">
        <v>295.92</v>
      </c>
      <c r="J885" s="156"/>
      <c r="K885" s="156">
        <f>+Passeio!L203</f>
        <v>0</v>
      </c>
      <c r="L885" s="156">
        <f t="shared" si="1875"/>
        <v>0</v>
      </c>
      <c r="M885" s="156">
        <f t="shared" si="1876"/>
        <v>0</v>
      </c>
      <c r="N885" s="156" t="s">
        <v>83</v>
      </c>
      <c r="O885" s="157" cm="1">
        <f t="array" ref="O885">TRUNC($H885*(1+_xlfn.SWITCH($N885,"BDI 1",$O$6,"BDI 2",$O$7,"BDI 3",$O$8)),2)</f>
        <v>363.37</v>
      </c>
      <c r="P885" s="157" cm="1">
        <f t="array" ref="P885">TRUNC($I885*(1+_xlfn.SWITCH($N885,"BDI 1",$P$6,"BDI 2",$P$7,"BDI 3",$P$8)),2)</f>
        <v>375.04</v>
      </c>
      <c r="Q885" s="157">
        <v>0</v>
      </c>
      <c r="R885" s="157">
        <f t="shared" ref="R885" si="1928">$Q885-($Q885*LICITACAO_DESCONTO)</f>
        <v>0</v>
      </c>
      <c r="S885" s="156">
        <f t="shared" si="1878"/>
        <v>0</v>
      </c>
      <c r="T885" s="156">
        <f t="shared" si="1879"/>
        <v>0</v>
      </c>
      <c r="U885" s="156">
        <f t="shared" si="1880"/>
        <v>0</v>
      </c>
      <c r="V885" s="156">
        <f t="shared" si="1881"/>
        <v>0</v>
      </c>
      <c r="W885" s="156">
        <f t="shared" si="1868"/>
        <v>0</v>
      </c>
      <c r="X885" s="158">
        <f t="shared" ref="X885" si="1929">$S885/ORCAMENTO_VALOR_TOTAL_ND</f>
        <v>0</v>
      </c>
      <c r="Y885" s="158">
        <f t="shared" ref="Y885" si="1930">$T885/ORCAMENTO_VALOR_TOTAL_DE</f>
        <v>0</v>
      </c>
      <c r="Z885" s="158" cm="1">
        <f t="array" ref="Z885">_xlfn.SWITCH($N885,"BDI 1",$O$6,"BDI 2",$O$7,"BDI 3",$O$8)</f>
        <v>0.20699999999999999</v>
      </c>
      <c r="AA885" s="158" cm="1">
        <f t="array" ref="AA885">_xlfn.SWITCH($N885,"BDI 1",$P$6,"BDI 2",$P$7,"BDI 3",$P$8)</f>
        <v>0.26739999999999997</v>
      </c>
      <c r="AB885" s="158">
        <f t="shared" ca="1" si="1884"/>
        <v>0</v>
      </c>
      <c r="AC885" s="158">
        <f t="shared" ca="1" si="1885"/>
        <v>0</v>
      </c>
      <c r="AD885" s="164"/>
      <c r="AE885" s="148">
        <f t="shared" si="1871"/>
        <v>0</v>
      </c>
      <c r="AF885" s="149"/>
      <c r="AG885" s="150"/>
      <c r="AH885" s="159" t="e">
        <f t="shared" si="1872"/>
        <v>#DIV/0!</v>
      </c>
      <c r="AI885" s="160"/>
      <c r="AJ885" s="105"/>
      <c r="AK885" s="105"/>
      <c r="AM885" s="105"/>
      <c r="AN885" s="105"/>
      <c r="AO885" s="105"/>
      <c r="AP885" s="105"/>
      <c r="AQ885" s="105"/>
      <c r="AR885" s="105"/>
    </row>
    <row r="886" spans="1:44" s="49" customFormat="1" ht="40.15" hidden="1" customHeight="1">
      <c r="A886" s="152">
        <f t="shared" ca="1" si="1873"/>
        <v>0</v>
      </c>
      <c r="B886" s="153" t="s">
        <v>334</v>
      </c>
      <c r="C886" s="154" t="str">
        <f t="shared" si="1874"/>
        <v>SC/0150</v>
      </c>
      <c r="D886" s="154" t="s">
        <v>3549</v>
      </c>
      <c r="E886" s="155" t="s">
        <v>3924</v>
      </c>
      <c r="F886" s="154"/>
      <c r="G886" s="154" t="s">
        <v>1412</v>
      </c>
      <c r="H886" s="152">
        <v>404.69</v>
      </c>
      <c r="I886" s="152">
        <v>398.91</v>
      </c>
      <c r="J886" s="156"/>
      <c r="K886" s="156">
        <f>+Passeio!L204</f>
        <v>0</v>
      </c>
      <c r="L886" s="156">
        <f t="shared" si="1875"/>
        <v>0</v>
      </c>
      <c r="M886" s="156">
        <f t="shared" si="1876"/>
        <v>0</v>
      </c>
      <c r="N886" s="156" t="s">
        <v>83</v>
      </c>
      <c r="O886" s="157" cm="1">
        <f t="array" ref="O886">TRUNC($H886*(1+_xlfn.SWITCH($N886,"BDI 1",$O$6,"BDI 2",$O$7,"BDI 3",$O$8)),2)</f>
        <v>488.46</v>
      </c>
      <c r="P886" s="157" cm="1">
        <f t="array" ref="P886">TRUNC($I886*(1+_xlfn.SWITCH($N886,"BDI 1",$P$6,"BDI 2",$P$7,"BDI 3",$P$8)),2)</f>
        <v>505.57</v>
      </c>
      <c r="Q886" s="157">
        <v>0</v>
      </c>
      <c r="R886" s="157">
        <f t="shared" ref="R886" si="1931">$Q886-($Q886*LICITACAO_DESCONTO)</f>
        <v>0</v>
      </c>
      <c r="S886" s="156">
        <f t="shared" si="1878"/>
        <v>0</v>
      </c>
      <c r="T886" s="156">
        <f t="shared" si="1879"/>
        <v>0</v>
      </c>
      <c r="U886" s="156">
        <f t="shared" si="1880"/>
        <v>0</v>
      </c>
      <c r="V886" s="156">
        <f t="shared" si="1881"/>
        <v>0</v>
      </c>
      <c r="W886" s="156">
        <f t="shared" si="1868"/>
        <v>0</v>
      </c>
      <c r="X886" s="158">
        <f t="shared" ref="X886" si="1932">$S886/ORCAMENTO_VALOR_TOTAL_ND</f>
        <v>0</v>
      </c>
      <c r="Y886" s="158">
        <f t="shared" ref="Y886" si="1933">$T886/ORCAMENTO_VALOR_TOTAL_DE</f>
        <v>0</v>
      </c>
      <c r="Z886" s="158" cm="1">
        <f t="array" ref="Z886">_xlfn.SWITCH($N886,"BDI 1",$O$6,"BDI 2",$O$7,"BDI 3",$O$8)</f>
        <v>0.20699999999999999</v>
      </c>
      <c r="AA886" s="158" cm="1">
        <f t="array" ref="AA886">_xlfn.SWITCH($N886,"BDI 1",$P$6,"BDI 2",$P$7,"BDI 3",$P$8)</f>
        <v>0.26739999999999997</v>
      </c>
      <c r="AB886" s="158">
        <f t="shared" ca="1" si="1884"/>
        <v>0</v>
      </c>
      <c r="AC886" s="158">
        <f t="shared" ca="1" si="1885"/>
        <v>0</v>
      </c>
      <c r="AD886" s="164"/>
      <c r="AE886" s="148">
        <f t="shared" si="1871"/>
        <v>0</v>
      </c>
      <c r="AF886" s="149"/>
      <c r="AG886" s="150"/>
      <c r="AH886" s="159" t="e">
        <f t="shared" si="1872"/>
        <v>#DIV/0!</v>
      </c>
      <c r="AI886" s="160"/>
      <c r="AJ886" s="105"/>
      <c r="AK886" s="105"/>
      <c r="AM886" s="105"/>
      <c r="AN886" s="105"/>
      <c r="AO886" s="105"/>
      <c r="AP886" s="105"/>
      <c r="AQ886" s="105"/>
      <c r="AR886" s="105"/>
    </row>
    <row r="887" spans="1:44" s="49" customFormat="1" ht="40.15" hidden="1" customHeight="1">
      <c r="A887" s="152">
        <f t="shared" ca="1" si="1873"/>
        <v>0</v>
      </c>
      <c r="B887" s="153">
        <v>101798</v>
      </c>
      <c r="C887" s="154" t="str">
        <f t="shared" si="1874"/>
        <v>101798</v>
      </c>
      <c r="D887" s="154" t="s">
        <v>1416</v>
      </c>
      <c r="E887" s="155" t="s">
        <v>3925</v>
      </c>
      <c r="F887" s="154"/>
      <c r="G887" s="154" t="s">
        <v>1412</v>
      </c>
      <c r="H887" s="152">
        <v>384.05</v>
      </c>
      <c r="I887" s="152">
        <v>368.89</v>
      </c>
      <c r="J887" s="156"/>
      <c r="K887" s="156">
        <f>+Passeio!L205</f>
        <v>0</v>
      </c>
      <c r="L887" s="156">
        <f t="shared" si="1875"/>
        <v>0</v>
      </c>
      <c r="M887" s="156">
        <f t="shared" si="1876"/>
        <v>0</v>
      </c>
      <c r="N887" s="156" t="s">
        <v>83</v>
      </c>
      <c r="O887" s="157" cm="1">
        <f t="array" ref="O887">TRUNC($H887*(1+_xlfn.SWITCH($N887,"BDI 1",$O$6,"BDI 2",$O$7,"BDI 3",$O$8)),2)</f>
        <v>463.54</v>
      </c>
      <c r="P887" s="157" cm="1">
        <f t="array" ref="P887">TRUNC($I887*(1+_xlfn.SWITCH($N887,"BDI 1",$P$6,"BDI 2",$P$7,"BDI 3",$P$8)),2)</f>
        <v>467.53</v>
      </c>
      <c r="Q887" s="157">
        <v>0</v>
      </c>
      <c r="R887" s="157">
        <f t="shared" ref="R887" si="1934">$Q887-($Q887*LICITACAO_DESCONTO)</f>
        <v>0</v>
      </c>
      <c r="S887" s="156">
        <f t="shared" si="1878"/>
        <v>0</v>
      </c>
      <c r="T887" s="156">
        <f t="shared" si="1879"/>
        <v>0</v>
      </c>
      <c r="U887" s="156">
        <f t="shared" si="1880"/>
        <v>0</v>
      </c>
      <c r="V887" s="156">
        <f t="shared" si="1881"/>
        <v>0</v>
      </c>
      <c r="W887" s="156">
        <f t="shared" si="1868"/>
        <v>0</v>
      </c>
      <c r="X887" s="158">
        <f t="shared" ref="X887" si="1935">$S887/ORCAMENTO_VALOR_TOTAL_ND</f>
        <v>0</v>
      </c>
      <c r="Y887" s="158">
        <f t="shared" ref="Y887" si="1936">$T887/ORCAMENTO_VALOR_TOTAL_DE</f>
        <v>0</v>
      </c>
      <c r="Z887" s="158" cm="1">
        <f t="array" ref="Z887">_xlfn.SWITCH($N887,"BDI 1",$O$6,"BDI 2",$O$7,"BDI 3",$O$8)</f>
        <v>0.20699999999999999</v>
      </c>
      <c r="AA887" s="158" cm="1">
        <f t="array" ref="AA887">_xlfn.SWITCH($N887,"BDI 1",$P$6,"BDI 2",$P$7,"BDI 3",$P$8)</f>
        <v>0.26739999999999997</v>
      </c>
      <c r="AB887" s="158">
        <f t="shared" ca="1" si="1884"/>
        <v>0</v>
      </c>
      <c r="AC887" s="158">
        <f t="shared" ca="1" si="1885"/>
        <v>0</v>
      </c>
      <c r="AD887" s="164"/>
      <c r="AE887" s="148">
        <f t="shared" si="1871"/>
        <v>0</v>
      </c>
      <c r="AF887" s="149"/>
      <c r="AG887" s="150"/>
      <c r="AH887" s="159" t="e">
        <f t="shared" si="1872"/>
        <v>#DIV/0!</v>
      </c>
      <c r="AI887" s="160"/>
      <c r="AJ887" s="105"/>
      <c r="AK887" s="105"/>
      <c r="AM887" s="105"/>
      <c r="AN887" s="105"/>
      <c r="AO887" s="105"/>
      <c r="AP887" s="105"/>
      <c r="AQ887" s="105"/>
      <c r="AR887" s="105"/>
    </row>
    <row r="888" spans="1:44" s="49" customFormat="1" ht="40.15" hidden="1" customHeight="1">
      <c r="A888" s="152">
        <f t="shared" ca="1" si="1873"/>
        <v>0</v>
      </c>
      <c r="B888" s="153">
        <v>101799</v>
      </c>
      <c r="C888" s="154" t="str">
        <f t="shared" si="1874"/>
        <v>101799</v>
      </c>
      <c r="D888" s="154" t="s">
        <v>1416</v>
      </c>
      <c r="E888" s="155" t="s">
        <v>3926</v>
      </c>
      <c r="F888" s="154"/>
      <c r="G888" s="154" t="s">
        <v>1412</v>
      </c>
      <c r="H888" s="152">
        <v>935.75</v>
      </c>
      <c r="I888" s="152">
        <v>900.72</v>
      </c>
      <c r="J888" s="156"/>
      <c r="K888" s="156">
        <f>+Passeio!L206</f>
        <v>0</v>
      </c>
      <c r="L888" s="156">
        <f t="shared" si="1875"/>
        <v>0</v>
      </c>
      <c r="M888" s="156">
        <f t="shared" si="1876"/>
        <v>0</v>
      </c>
      <c r="N888" s="156" t="s">
        <v>83</v>
      </c>
      <c r="O888" s="157" cm="1">
        <f t="array" ref="O888">TRUNC($H888*(1+_xlfn.SWITCH($N888,"BDI 1",$O$6,"BDI 2",$O$7,"BDI 3",$O$8)),2)</f>
        <v>1129.45</v>
      </c>
      <c r="P888" s="157" cm="1">
        <f t="array" ref="P888">TRUNC($I888*(1+_xlfn.SWITCH($N888,"BDI 1",$P$6,"BDI 2",$P$7,"BDI 3",$P$8)),2)</f>
        <v>1141.57</v>
      </c>
      <c r="Q888" s="157">
        <v>0</v>
      </c>
      <c r="R888" s="157">
        <f t="shared" ref="R888" si="1937">$Q888-($Q888*LICITACAO_DESCONTO)</f>
        <v>0</v>
      </c>
      <c r="S888" s="156">
        <f t="shared" si="1878"/>
        <v>0</v>
      </c>
      <c r="T888" s="156">
        <f t="shared" si="1879"/>
        <v>0</v>
      </c>
      <c r="U888" s="156">
        <f t="shared" si="1880"/>
        <v>0</v>
      </c>
      <c r="V888" s="156">
        <f t="shared" si="1881"/>
        <v>0</v>
      </c>
      <c r="W888" s="156">
        <f t="shared" si="1868"/>
        <v>0</v>
      </c>
      <c r="X888" s="158">
        <f t="shared" ref="X888" si="1938">$S888/ORCAMENTO_VALOR_TOTAL_ND</f>
        <v>0</v>
      </c>
      <c r="Y888" s="158">
        <f t="shared" ref="Y888" si="1939">$T888/ORCAMENTO_VALOR_TOTAL_DE</f>
        <v>0</v>
      </c>
      <c r="Z888" s="158" cm="1">
        <f t="array" ref="Z888">_xlfn.SWITCH($N888,"BDI 1",$O$6,"BDI 2",$O$7,"BDI 3",$O$8)</f>
        <v>0.20699999999999999</v>
      </c>
      <c r="AA888" s="158" cm="1">
        <f t="array" ref="AA888">_xlfn.SWITCH($N888,"BDI 1",$P$6,"BDI 2",$P$7,"BDI 3",$P$8)</f>
        <v>0.26739999999999997</v>
      </c>
      <c r="AB888" s="158">
        <f t="shared" ca="1" si="1884"/>
        <v>0</v>
      </c>
      <c r="AC888" s="158">
        <f t="shared" ca="1" si="1885"/>
        <v>0</v>
      </c>
      <c r="AD888" s="164"/>
      <c r="AE888" s="148">
        <f t="shared" si="1871"/>
        <v>0</v>
      </c>
      <c r="AF888" s="149"/>
      <c r="AG888" s="150"/>
      <c r="AH888" s="159" t="e">
        <f t="shared" si="1872"/>
        <v>#DIV/0!</v>
      </c>
      <c r="AI888" s="160"/>
      <c r="AJ888" s="105"/>
      <c r="AK888" s="105"/>
      <c r="AM888" s="105"/>
      <c r="AN888" s="105"/>
      <c r="AO888" s="105"/>
      <c r="AP888" s="105"/>
      <c r="AQ888" s="105"/>
      <c r="AR888" s="105"/>
    </row>
    <row r="889" spans="1:44" s="49" customFormat="1" ht="40.15" hidden="1" customHeight="1">
      <c r="A889" s="152">
        <f t="shared" ca="1" si="1873"/>
        <v>0</v>
      </c>
      <c r="B889" s="153" t="s">
        <v>335</v>
      </c>
      <c r="C889" s="154" t="str">
        <f t="shared" si="1874"/>
        <v>SC/0155</v>
      </c>
      <c r="D889" s="154">
        <v>0</v>
      </c>
      <c r="E889" s="155" t="s">
        <v>3766</v>
      </c>
      <c r="F889" s="154"/>
      <c r="G889" s="154">
        <v>0</v>
      </c>
      <c r="H889" s="152">
        <v>0</v>
      </c>
      <c r="I889" s="152">
        <v>0</v>
      </c>
      <c r="J889" s="156"/>
      <c r="K889" s="156">
        <f>+Passeio!L207</f>
        <v>0</v>
      </c>
      <c r="L889" s="156">
        <f t="shared" si="1875"/>
        <v>0</v>
      </c>
      <c r="M889" s="156">
        <f t="shared" si="1876"/>
        <v>0</v>
      </c>
      <c r="N889" s="156" t="s">
        <v>83</v>
      </c>
      <c r="O889" s="157" cm="1">
        <f t="array" ref="O889">TRUNC($H889*(1+_xlfn.SWITCH($N889,"BDI 1",$O$6,"BDI 2",$O$7,"BDI 3",$O$8)),2)</f>
        <v>0</v>
      </c>
      <c r="P889" s="157" cm="1">
        <f t="array" ref="P889">TRUNC($I889*(1+_xlfn.SWITCH($N889,"BDI 1",$P$6,"BDI 2",$P$7,"BDI 3",$P$8)),2)</f>
        <v>0</v>
      </c>
      <c r="Q889" s="157">
        <v>0</v>
      </c>
      <c r="R889" s="157">
        <f t="shared" ref="R889" si="1940">$Q889-($Q889*LICITACAO_DESCONTO)</f>
        <v>0</v>
      </c>
      <c r="S889" s="156">
        <f t="shared" si="1878"/>
        <v>0</v>
      </c>
      <c r="T889" s="156">
        <f t="shared" si="1879"/>
        <v>0</v>
      </c>
      <c r="U889" s="156">
        <f t="shared" si="1880"/>
        <v>0</v>
      </c>
      <c r="V889" s="156">
        <f t="shared" si="1881"/>
        <v>0</v>
      </c>
      <c r="W889" s="156">
        <f t="shared" si="1868"/>
        <v>0</v>
      </c>
      <c r="X889" s="158">
        <f t="shared" ref="X889" si="1941">$S889/ORCAMENTO_VALOR_TOTAL_ND</f>
        <v>0</v>
      </c>
      <c r="Y889" s="158">
        <f t="shared" ref="Y889" si="1942">$T889/ORCAMENTO_VALOR_TOTAL_DE</f>
        <v>0</v>
      </c>
      <c r="Z889" s="158" cm="1">
        <f t="array" ref="Z889">_xlfn.SWITCH($N889,"BDI 1",$O$6,"BDI 2",$O$7,"BDI 3",$O$8)</f>
        <v>0.20699999999999999</v>
      </c>
      <c r="AA889" s="158" cm="1">
        <f t="array" ref="AA889">_xlfn.SWITCH($N889,"BDI 1",$P$6,"BDI 2",$P$7,"BDI 3",$P$8)</f>
        <v>0.26739999999999997</v>
      </c>
      <c r="AB889" s="158">
        <f t="shared" ca="1" si="1884"/>
        <v>0</v>
      </c>
      <c r="AC889" s="158">
        <f t="shared" ca="1" si="1885"/>
        <v>0</v>
      </c>
      <c r="AD889" s="164"/>
      <c r="AE889" s="148">
        <f t="shared" si="1871"/>
        <v>0</v>
      </c>
      <c r="AF889" s="149"/>
      <c r="AG889" s="150"/>
      <c r="AH889" s="159" t="e">
        <f t="shared" si="1872"/>
        <v>#DIV/0!</v>
      </c>
      <c r="AI889" s="160"/>
      <c r="AJ889" s="105"/>
      <c r="AK889" s="105"/>
      <c r="AM889" s="105"/>
      <c r="AN889" s="105"/>
      <c r="AO889" s="105"/>
      <c r="AP889" s="105"/>
      <c r="AQ889" s="105"/>
      <c r="AR889" s="105"/>
    </row>
    <row r="890" spans="1:44" s="49" customFormat="1" ht="40.15" hidden="1" customHeight="1">
      <c r="A890" s="152">
        <f t="shared" ca="1" si="1873"/>
        <v>0</v>
      </c>
      <c r="B890" s="153" t="s">
        <v>336</v>
      </c>
      <c r="C890" s="154" t="str">
        <f t="shared" si="1874"/>
        <v>SC/0160</v>
      </c>
      <c r="D890" s="154" t="s">
        <v>3549</v>
      </c>
      <c r="E890" s="155" t="s">
        <v>3927</v>
      </c>
      <c r="F890" s="154"/>
      <c r="G890" s="154" t="s">
        <v>1418</v>
      </c>
      <c r="H890" s="152">
        <v>108.12</v>
      </c>
      <c r="I890" s="152">
        <v>105.98</v>
      </c>
      <c r="J890" s="156"/>
      <c r="K890" s="156">
        <f>+Passeio!L199</f>
        <v>0</v>
      </c>
      <c r="L890" s="156">
        <f t="shared" si="1875"/>
        <v>0</v>
      </c>
      <c r="M890" s="156">
        <f t="shared" si="1876"/>
        <v>0</v>
      </c>
      <c r="N890" s="156" t="s">
        <v>83</v>
      </c>
      <c r="O890" s="157" cm="1">
        <f t="array" ref="O890">TRUNC($H890*(1+_xlfn.SWITCH($N890,"BDI 1",$O$6,"BDI 2",$O$7,"BDI 3",$O$8)),2)</f>
        <v>130.5</v>
      </c>
      <c r="P890" s="157" cm="1">
        <f t="array" ref="P890">TRUNC($I890*(1+_xlfn.SWITCH($N890,"BDI 1",$P$6,"BDI 2",$P$7,"BDI 3",$P$8)),2)</f>
        <v>134.31</v>
      </c>
      <c r="Q890" s="157">
        <v>0</v>
      </c>
      <c r="R890" s="157">
        <f t="shared" ref="R890" si="1943">$Q890-($Q890*LICITACAO_DESCONTO)</f>
        <v>0</v>
      </c>
      <c r="S890" s="156">
        <f t="shared" si="1878"/>
        <v>0</v>
      </c>
      <c r="T890" s="156">
        <f t="shared" si="1879"/>
        <v>0</v>
      </c>
      <c r="U890" s="156">
        <f t="shared" si="1880"/>
        <v>0</v>
      </c>
      <c r="V890" s="156">
        <f t="shared" si="1881"/>
        <v>0</v>
      </c>
      <c r="W890" s="156">
        <f t="shared" si="1868"/>
        <v>0</v>
      </c>
      <c r="X890" s="158">
        <f t="shared" ref="X890" si="1944">$S890/ORCAMENTO_VALOR_TOTAL_ND</f>
        <v>0</v>
      </c>
      <c r="Y890" s="158">
        <f t="shared" ref="Y890" si="1945">$T890/ORCAMENTO_VALOR_TOTAL_DE</f>
        <v>0</v>
      </c>
      <c r="Z890" s="158" cm="1">
        <f t="array" ref="Z890">_xlfn.SWITCH($N890,"BDI 1",$O$6,"BDI 2",$O$7,"BDI 3",$O$8)</f>
        <v>0.20699999999999999</v>
      </c>
      <c r="AA890" s="158" cm="1">
        <f t="array" ref="AA890">_xlfn.SWITCH($N890,"BDI 1",$P$6,"BDI 2",$P$7,"BDI 3",$P$8)</f>
        <v>0.26739999999999997</v>
      </c>
      <c r="AB890" s="158">
        <f t="shared" ca="1" si="1884"/>
        <v>0</v>
      </c>
      <c r="AC890" s="158">
        <f t="shared" ca="1" si="1885"/>
        <v>0</v>
      </c>
      <c r="AD890" s="164"/>
      <c r="AE890" s="148">
        <f t="shared" si="1871"/>
        <v>0</v>
      </c>
      <c r="AF890" s="149"/>
      <c r="AG890" s="150"/>
      <c r="AH890" s="159" t="e">
        <f t="shared" si="1872"/>
        <v>#DIV/0!</v>
      </c>
      <c r="AI890" s="160"/>
      <c r="AJ890" s="105"/>
      <c r="AK890" s="105"/>
      <c r="AM890" s="105"/>
      <c r="AN890" s="105"/>
      <c r="AO890" s="105"/>
      <c r="AP890" s="105"/>
      <c r="AQ890" s="105"/>
      <c r="AR890" s="105"/>
    </row>
    <row r="891" spans="1:44" s="49" customFormat="1" ht="40.15" hidden="1" customHeight="1">
      <c r="A891" s="152">
        <f t="shared" ca="1" si="1873"/>
        <v>0</v>
      </c>
      <c r="B891" s="153">
        <v>89512</v>
      </c>
      <c r="C891" s="154" t="str">
        <f t="shared" si="1874"/>
        <v>89512</v>
      </c>
      <c r="D891" s="154" t="s">
        <v>1416</v>
      </c>
      <c r="E891" s="155" t="s">
        <v>3928</v>
      </c>
      <c r="F891" s="154"/>
      <c r="G891" s="154" t="s">
        <v>58</v>
      </c>
      <c r="H891" s="152">
        <v>46.86</v>
      </c>
      <c r="I891" s="152">
        <v>45.12</v>
      </c>
      <c r="J891" s="156"/>
      <c r="K891" s="156">
        <f>+Passeio!L198</f>
        <v>0</v>
      </c>
      <c r="L891" s="156">
        <f t="shared" si="1875"/>
        <v>0</v>
      </c>
      <c r="M891" s="156">
        <f t="shared" si="1876"/>
        <v>0</v>
      </c>
      <c r="N891" s="156" t="s">
        <v>83</v>
      </c>
      <c r="O891" s="157" cm="1">
        <f t="array" ref="O891">TRUNC($H891*(1+_xlfn.SWITCH($N891,"BDI 1",$O$6,"BDI 2",$O$7,"BDI 3",$O$8)),2)</f>
        <v>56.56</v>
      </c>
      <c r="P891" s="157" cm="1">
        <f t="array" ref="P891">TRUNC($I891*(1+_xlfn.SWITCH($N891,"BDI 1",$P$6,"BDI 2",$P$7,"BDI 3",$P$8)),2)</f>
        <v>57.18</v>
      </c>
      <c r="Q891" s="157">
        <v>0</v>
      </c>
      <c r="R891" s="157">
        <f t="shared" ref="R891" si="1946">$Q891-($Q891*LICITACAO_DESCONTO)</f>
        <v>0</v>
      </c>
      <c r="S891" s="156">
        <f t="shared" si="1878"/>
        <v>0</v>
      </c>
      <c r="T891" s="156">
        <f t="shared" si="1879"/>
        <v>0</v>
      </c>
      <c r="U891" s="156">
        <f t="shared" si="1880"/>
        <v>0</v>
      </c>
      <c r="V891" s="156">
        <f t="shared" si="1881"/>
        <v>0</v>
      </c>
      <c r="W891" s="156">
        <f t="shared" si="1868"/>
        <v>0</v>
      </c>
      <c r="X891" s="158">
        <f t="shared" ref="X891" si="1947">$S891/ORCAMENTO_VALOR_TOTAL_ND</f>
        <v>0</v>
      </c>
      <c r="Y891" s="158">
        <f t="shared" ref="Y891" si="1948">$T891/ORCAMENTO_VALOR_TOTAL_DE</f>
        <v>0</v>
      </c>
      <c r="Z891" s="158" cm="1">
        <f t="array" ref="Z891">_xlfn.SWITCH($N891,"BDI 1",$O$6,"BDI 2",$O$7,"BDI 3",$O$8)</f>
        <v>0.20699999999999999</v>
      </c>
      <c r="AA891" s="158" cm="1">
        <f t="array" ref="AA891">_xlfn.SWITCH($N891,"BDI 1",$P$6,"BDI 2",$P$7,"BDI 3",$P$8)</f>
        <v>0.26739999999999997</v>
      </c>
      <c r="AB891" s="158">
        <f t="shared" ca="1" si="1884"/>
        <v>0</v>
      </c>
      <c r="AC891" s="158">
        <f t="shared" ca="1" si="1885"/>
        <v>0</v>
      </c>
      <c r="AD891" s="164"/>
      <c r="AE891" s="148">
        <f t="shared" si="1871"/>
        <v>0</v>
      </c>
      <c r="AF891" s="149"/>
      <c r="AG891" s="150"/>
      <c r="AH891" s="159" t="e">
        <f t="shared" si="1872"/>
        <v>#DIV/0!</v>
      </c>
      <c r="AI891" s="160"/>
      <c r="AJ891" s="105"/>
      <c r="AK891" s="105"/>
      <c r="AM891" s="105"/>
      <c r="AN891" s="105"/>
      <c r="AO891" s="105"/>
      <c r="AP891" s="105"/>
      <c r="AQ891" s="105"/>
      <c r="AR891" s="105"/>
    </row>
    <row r="892" spans="1:44" s="49" customFormat="1" ht="40.15" hidden="1" customHeight="1">
      <c r="A892" s="152">
        <f t="shared" ca="1" si="1873"/>
        <v>0</v>
      </c>
      <c r="B892" s="153">
        <v>101166</v>
      </c>
      <c r="C892" s="154" t="str">
        <f t="shared" si="1874"/>
        <v>101166</v>
      </c>
      <c r="D892" s="154" t="s">
        <v>1416</v>
      </c>
      <c r="E892" s="155" t="s">
        <v>3929</v>
      </c>
      <c r="F892" s="154"/>
      <c r="G892" s="154" t="s">
        <v>464</v>
      </c>
      <c r="H892" s="152">
        <v>659.55</v>
      </c>
      <c r="I892" s="152">
        <v>630.85</v>
      </c>
      <c r="J892" s="156"/>
      <c r="K892" s="156">
        <f>+Passeio!L209</f>
        <v>0</v>
      </c>
      <c r="L892" s="156">
        <f t="shared" si="1875"/>
        <v>0</v>
      </c>
      <c r="M892" s="156">
        <f t="shared" si="1876"/>
        <v>0</v>
      </c>
      <c r="N892" s="156" t="s">
        <v>83</v>
      </c>
      <c r="O892" s="157" cm="1">
        <f t="array" ref="O892">TRUNC($H892*(1+_xlfn.SWITCH($N892,"BDI 1",$O$6,"BDI 2",$O$7,"BDI 3",$O$8)),2)</f>
        <v>796.07</v>
      </c>
      <c r="P892" s="157" cm="1">
        <f t="array" ref="P892">TRUNC($I892*(1+_xlfn.SWITCH($N892,"BDI 1",$P$6,"BDI 2",$P$7,"BDI 3",$P$8)),2)</f>
        <v>799.53</v>
      </c>
      <c r="Q892" s="157">
        <v>0</v>
      </c>
      <c r="R892" s="157">
        <f t="shared" ref="R892" si="1949">$Q892-($Q892*LICITACAO_DESCONTO)</f>
        <v>0</v>
      </c>
      <c r="S892" s="156">
        <f t="shared" si="1878"/>
        <v>0</v>
      </c>
      <c r="T892" s="156">
        <f t="shared" si="1879"/>
        <v>0</v>
      </c>
      <c r="U892" s="156">
        <f t="shared" si="1880"/>
        <v>0</v>
      </c>
      <c r="V892" s="156">
        <f t="shared" si="1881"/>
        <v>0</v>
      </c>
      <c r="W892" s="156">
        <f t="shared" si="1868"/>
        <v>0</v>
      </c>
      <c r="X892" s="158">
        <f t="shared" ref="X892" si="1950">$S892/ORCAMENTO_VALOR_TOTAL_ND</f>
        <v>0</v>
      </c>
      <c r="Y892" s="158">
        <f t="shared" ref="Y892" si="1951">$T892/ORCAMENTO_VALOR_TOTAL_DE</f>
        <v>0</v>
      </c>
      <c r="Z892" s="158" cm="1">
        <f t="array" ref="Z892">_xlfn.SWITCH($N892,"BDI 1",$O$6,"BDI 2",$O$7,"BDI 3",$O$8)</f>
        <v>0.20699999999999999</v>
      </c>
      <c r="AA892" s="158" cm="1">
        <f t="array" ref="AA892">_xlfn.SWITCH($N892,"BDI 1",$P$6,"BDI 2",$P$7,"BDI 3",$P$8)</f>
        <v>0.26739999999999997</v>
      </c>
      <c r="AB892" s="158">
        <f t="shared" ca="1" si="1884"/>
        <v>0</v>
      </c>
      <c r="AC892" s="158">
        <f t="shared" ca="1" si="1885"/>
        <v>0</v>
      </c>
      <c r="AD892" s="164"/>
      <c r="AE892" s="148">
        <f t="shared" si="1871"/>
        <v>0</v>
      </c>
      <c r="AF892" s="149"/>
      <c r="AG892" s="150"/>
      <c r="AH892" s="159" t="e">
        <f t="shared" si="1872"/>
        <v>#DIV/0!</v>
      </c>
      <c r="AI892" s="160"/>
      <c r="AJ892" s="105"/>
      <c r="AK892" s="105"/>
      <c r="AM892" s="105"/>
      <c r="AN892" s="105"/>
      <c r="AO892" s="105"/>
      <c r="AP892" s="105"/>
      <c r="AQ892" s="105"/>
      <c r="AR892" s="105"/>
    </row>
    <row r="893" spans="1:44" s="49" customFormat="1" ht="40.15" hidden="1" customHeight="1">
      <c r="A893" s="152">
        <f t="shared" ca="1" si="1873"/>
        <v>0</v>
      </c>
      <c r="B893" s="153">
        <v>87878</v>
      </c>
      <c r="C893" s="154" t="str">
        <f t="shared" si="1874"/>
        <v>87878</v>
      </c>
      <c r="D893" s="154" t="s">
        <v>1416</v>
      </c>
      <c r="E893" s="155" t="s">
        <v>3864</v>
      </c>
      <c r="F893" s="154"/>
      <c r="G893" s="154" t="s">
        <v>1418</v>
      </c>
      <c r="H893" s="152">
        <v>4.5599999999999996</v>
      </c>
      <c r="I893" s="152">
        <v>4.29</v>
      </c>
      <c r="J893" s="156"/>
      <c r="K893" s="156">
        <f>+Passeio!L210</f>
        <v>0</v>
      </c>
      <c r="L893" s="156">
        <f t="shared" si="1875"/>
        <v>0</v>
      </c>
      <c r="M893" s="156">
        <f t="shared" si="1876"/>
        <v>0</v>
      </c>
      <c r="N893" s="156" t="s">
        <v>83</v>
      </c>
      <c r="O893" s="157" cm="1">
        <f t="array" ref="O893">TRUNC($H893*(1+_xlfn.SWITCH($N893,"BDI 1",$O$6,"BDI 2",$O$7,"BDI 3",$O$8)),2)</f>
        <v>5.5</v>
      </c>
      <c r="P893" s="157" cm="1">
        <f t="array" ref="P893">TRUNC($I893*(1+_xlfn.SWITCH($N893,"BDI 1",$P$6,"BDI 2",$P$7,"BDI 3",$P$8)),2)</f>
        <v>5.43</v>
      </c>
      <c r="Q893" s="157">
        <v>0</v>
      </c>
      <c r="R893" s="157">
        <f t="shared" ref="R893" si="1952">$Q893-($Q893*LICITACAO_DESCONTO)</f>
        <v>0</v>
      </c>
      <c r="S893" s="156">
        <f t="shared" si="1878"/>
        <v>0</v>
      </c>
      <c r="T893" s="156">
        <f t="shared" si="1879"/>
        <v>0</v>
      </c>
      <c r="U893" s="156">
        <f t="shared" si="1880"/>
        <v>0</v>
      </c>
      <c r="V893" s="156">
        <f t="shared" si="1881"/>
        <v>0</v>
      </c>
      <c r="W893" s="156">
        <f t="shared" si="1868"/>
        <v>0</v>
      </c>
      <c r="X893" s="158">
        <f t="shared" ref="X893" si="1953">$S893/ORCAMENTO_VALOR_TOTAL_ND</f>
        <v>0</v>
      </c>
      <c r="Y893" s="158">
        <f t="shared" ref="Y893" si="1954">$T893/ORCAMENTO_VALOR_TOTAL_DE</f>
        <v>0</v>
      </c>
      <c r="Z893" s="158" cm="1">
        <f t="array" ref="Z893">_xlfn.SWITCH($N893,"BDI 1",$O$6,"BDI 2",$O$7,"BDI 3",$O$8)</f>
        <v>0.20699999999999999</v>
      </c>
      <c r="AA893" s="158" cm="1">
        <f t="array" ref="AA893">_xlfn.SWITCH($N893,"BDI 1",$P$6,"BDI 2",$P$7,"BDI 3",$P$8)</f>
        <v>0.26739999999999997</v>
      </c>
      <c r="AB893" s="158">
        <f t="shared" ca="1" si="1884"/>
        <v>0</v>
      </c>
      <c r="AC893" s="158">
        <f t="shared" ca="1" si="1885"/>
        <v>0</v>
      </c>
      <c r="AD893" s="164"/>
      <c r="AE893" s="148">
        <f t="shared" si="1871"/>
        <v>0</v>
      </c>
      <c r="AF893" s="149"/>
      <c r="AG893" s="150"/>
      <c r="AH893" s="159" t="e">
        <f t="shared" si="1872"/>
        <v>#DIV/0!</v>
      </c>
      <c r="AI893" s="160"/>
      <c r="AJ893" s="105"/>
      <c r="AK893" s="105"/>
      <c r="AM893" s="105"/>
      <c r="AN893" s="105"/>
      <c r="AO893" s="105"/>
      <c r="AP893" s="105"/>
      <c r="AQ893" s="105"/>
      <c r="AR893" s="105"/>
    </row>
    <row r="894" spans="1:44" s="49" customFormat="1" ht="40.15" hidden="1" customHeight="1">
      <c r="A894" s="152">
        <f t="shared" ca="1" si="1873"/>
        <v>0</v>
      </c>
      <c r="B894" s="153">
        <v>87313</v>
      </c>
      <c r="C894" s="154" t="str">
        <f t="shared" si="1874"/>
        <v>87313</v>
      </c>
      <c r="D894" s="154" t="s">
        <v>1416</v>
      </c>
      <c r="E894" s="155" t="s">
        <v>3865</v>
      </c>
      <c r="F894" s="154"/>
      <c r="G894" s="154" t="s">
        <v>464</v>
      </c>
      <c r="H894" s="152">
        <v>530.89</v>
      </c>
      <c r="I894" s="152">
        <v>524.08000000000004</v>
      </c>
      <c r="J894" s="156"/>
      <c r="K894" s="156">
        <f>+Passeio!L211</f>
        <v>0</v>
      </c>
      <c r="L894" s="156">
        <f t="shared" si="1875"/>
        <v>0</v>
      </c>
      <c r="M894" s="156">
        <f t="shared" si="1876"/>
        <v>0</v>
      </c>
      <c r="N894" s="156" t="s">
        <v>83</v>
      </c>
      <c r="O894" s="157" cm="1">
        <f t="array" ref="O894">TRUNC($H894*(1+_xlfn.SWITCH($N894,"BDI 1",$O$6,"BDI 2",$O$7,"BDI 3",$O$8)),2)</f>
        <v>640.78</v>
      </c>
      <c r="P894" s="157" cm="1">
        <f t="array" ref="P894">TRUNC($I894*(1+_xlfn.SWITCH($N894,"BDI 1",$P$6,"BDI 2",$P$7,"BDI 3",$P$8)),2)</f>
        <v>664.21</v>
      </c>
      <c r="Q894" s="157">
        <v>0</v>
      </c>
      <c r="R894" s="157">
        <f t="shared" ref="R894" si="1955">$Q894-($Q894*LICITACAO_DESCONTO)</f>
        <v>0</v>
      </c>
      <c r="S894" s="156">
        <f t="shared" si="1878"/>
        <v>0</v>
      </c>
      <c r="T894" s="156">
        <f t="shared" si="1879"/>
        <v>0</v>
      </c>
      <c r="U894" s="156">
        <f t="shared" si="1880"/>
        <v>0</v>
      </c>
      <c r="V894" s="156">
        <f t="shared" si="1881"/>
        <v>0</v>
      </c>
      <c r="W894" s="156">
        <f t="shared" si="1868"/>
        <v>0</v>
      </c>
      <c r="X894" s="158">
        <f t="shared" ref="X894" si="1956">$S894/ORCAMENTO_VALOR_TOTAL_ND</f>
        <v>0</v>
      </c>
      <c r="Y894" s="158">
        <f t="shared" ref="Y894" si="1957">$T894/ORCAMENTO_VALOR_TOTAL_DE</f>
        <v>0</v>
      </c>
      <c r="Z894" s="158" cm="1">
        <f t="array" ref="Z894">_xlfn.SWITCH($N894,"BDI 1",$O$6,"BDI 2",$O$7,"BDI 3",$O$8)</f>
        <v>0.20699999999999999</v>
      </c>
      <c r="AA894" s="158" cm="1">
        <f t="array" ref="AA894">_xlfn.SWITCH($N894,"BDI 1",$P$6,"BDI 2",$P$7,"BDI 3",$P$8)</f>
        <v>0.26739999999999997</v>
      </c>
      <c r="AB894" s="158">
        <f t="shared" ca="1" si="1884"/>
        <v>0</v>
      </c>
      <c r="AC894" s="158">
        <f t="shared" ca="1" si="1885"/>
        <v>0</v>
      </c>
      <c r="AD894" s="164"/>
      <c r="AE894" s="148">
        <f t="shared" si="1871"/>
        <v>0</v>
      </c>
      <c r="AF894" s="149"/>
      <c r="AG894" s="150"/>
      <c r="AH894" s="159" t="e">
        <f t="shared" si="1872"/>
        <v>#DIV/0!</v>
      </c>
      <c r="AI894" s="160"/>
      <c r="AJ894" s="105"/>
      <c r="AK894" s="105"/>
      <c r="AM894" s="105"/>
      <c r="AN894" s="105"/>
      <c r="AO894" s="105"/>
      <c r="AP894" s="105"/>
      <c r="AQ894" s="105"/>
      <c r="AR894" s="105"/>
    </row>
    <row r="895" spans="1:44" s="49" customFormat="1" ht="40.15" hidden="1" customHeight="1">
      <c r="A895" s="152">
        <f t="shared" ca="1" si="1873"/>
        <v>0</v>
      </c>
      <c r="B895" s="153">
        <v>94963</v>
      </c>
      <c r="C895" s="154" t="str">
        <f t="shared" si="1874"/>
        <v>94963</v>
      </c>
      <c r="D895" s="154" t="s">
        <v>1416</v>
      </c>
      <c r="E895" s="155" t="s">
        <v>3862</v>
      </c>
      <c r="F895" s="154"/>
      <c r="G895" s="154" t="s">
        <v>464</v>
      </c>
      <c r="H895" s="152">
        <v>428.94</v>
      </c>
      <c r="I895" s="152">
        <v>426.98</v>
      </c>
      <c r="J895" s="156"/>
      <c r="K895" s="156">
        <f>+Passeio!L208</f>
        <v>0</v>
      </c>
      <c r="L895" s="156">
        <f t="shared" si="1875"/>
        <v>0</v>
      </c>
      <c r="M895" s="156">
        <f t="shared" si="1876"/>
        <v>0</v>
      </c>
      <c r="N895" s="156" t="s">
        <v>83</v>
      </c>
      <c r="O895" s="157" cm="1">
        <f t="array" ref="O895">TRUNC($H895*(1+_xlfn.SWITCH($N895,"BDI 1",$O$6,"BDI 2",$O$7,"BDI 3",$O$8)),2)</f>
        <v>517.73</v>
      </c>
      <c r="P895" s="157" cm="1">
        <f t="array" ref="P895">TRUNC($I895*(1+_xlfn.SWITCH($N895,"BDI 1",$P$6,"BDI 2",$P$7,"BDI 3",$P$8)),2)</f>
        <v>541.15</v>
      </c>
      <c r="Q895" s="157">
        <v>0</v>
      </c>
      <c r="R895" s="157">
        <f t="shared" ref="R895" si="1958">$Q895-($Q895*LICITACAO_DESCONTO)</f>
        <v>0</v>
      </c>
      <c r="S895" s="156">
        <f t="shared" si="1878"/>
        <v>0</v>
      </c>
      <c r="T895" s="156">
        <f t="shared" si="1879"/>
        <v>0</v>
      </c>
      <c r="U895" s="156">
        <f t="shared" si="1880"/>
        <v>0</v>
      </c>
      <c r="V895" s="156">
        <f t="shared" si="1881"/>
        <v>0</v>
      </c>
      <c r="W895" s="156">
        <f t="shared" si="1868"/>
        <v>0</v>
      </c>
      <c r="X895" s="158">
        <f t="shared" ref="X895" si="1959">$S895/ORCAMENTO_VALOR_TOTAL_ND</f>
        <v>0</v>
      </c>
      <c r="Y895" s="158">
        <f t="shared" ref="Y895" si="1960">$T895/ORCAMENTO_VALOR_TOTAL_DE</f>
        <v>0</v>
      </c>
      <c r="Z895" s="158" cm="1">
        <f t="array" ref="Z895">_xlfn.SWITCH($N895,"BDI 1",$O$6,"BDI 2",$O$7,"BDI 3",$O$8)</f>
        <v>0.20699999999999999</v>
      </c>
      <c r="AA895" s="158" cm="1">
        <f t="array" ref="AA895">_xlfn.SWITCH($N895,"BDI 1",$P$6,"BDI 2",$P$7,"BDI 3",$P$8)</f>
        <v>0.26739999999999997</v>
      </c>
      <c r="AB895" s="158">
        <f t="shared" ca="1" si="1884"/>
        <v>0</v>
      </c>
      <c r="AC895" s="158">
        <f t="shared" ca="1" si="1885"/>
        <v>0</v>
      </c>
      <c r="AD895" s="164"/>
      <c r="AE895" s="148">
        <f t="shared" si="1871"/>
        <v>0</v>
      </c>
      <c r="AF895" s="149"/>
      <c r="AG895" s="150"/>
      <c r="AH895" s="159" t="e">
        <f t="shared" si="1872"/>
        <v>#DIV/0!</v>
      </c>
      <c r="AI895" s="160"/>
      <c r="AJ895" s="105"/>
      <c r="AK895" s="105"/>
      <c r="AM895" s="105"/>
      <c r="AN895" s="105"/>
      <c r="AO895" s="105"/>
      <c r="AP895" s="105"/>
      <c r="AQ895" s="105"/>
      <c r="AR895" s="105"/>
    </row>
    <row r="896" spans="1:44" s="49" customFormat="1" ht="40.15" hidden="1" customHeight="1">
      <c r="A896" s="152">
        <f t="shared" ca="1" si="1873"/>
        <v>0</v>
      </c>
      <c r="B896" s="153">
        <v>34495</v>
      </c>
      <c r="C896" s="154" t="str">
        <f t="shared" si="1874"/>
        <v>34495</v>
      </c>
      <c r="D896" s="154" t="s">
        <v>3579</v>
      </c>
      <c r="E896" s="155" t="s">
        <v>3822</v>
      </c>
      <c r="F896" s="154"/>
      <c r="G896" s="154" t="s">
        <v>464</v>
      </c>
      <c r="H896" s="152">
        <v>619.65</v>
      </c>
      <c r="I896" s="152">
        <v>619.65</v>
      </c>
      <c r="J896" s="156"/>
      <c r="K896" s="156">
        <f>+Passeio!L234</f>
        <v>0</v>
      </c>
      <c r="L896" s="156">
        <f t="shared" si="1875"/>
        <v>0</v>
      </c>
      <c r="M896" s="156">
        <f t="shared" si="1876"/>
        <v>0</v>
      </c>
      <c r="N896" s="156" t="s">
        <v>92</v>
      </c>
      <c r="O896" s="157" cm="1">
        <f t="array" ref="O896">TRUNC($H896*(1+_xlfn.SWITCH($N896,"BDI 1",$O$6,"BDI 2",$O$7,"BDI 3",$O$8)),2)</f>
        <v>714.27</v>
      </c>
      <c r="P896" s="157" cm="1">
        <f t="array" ref="P896">TRUNC($I896*(1+_xlfn.SWITCH($N896,"BDI 1",$P$6,"BDI 2",$P$7,"BDI 3",$P$8)),2)</f>
        <v>714.27</v>
      </c>
      <c r="Q896" s="157">
        <v>0</v>
      </c>
      <c r="R896" s="157">
        <f t="shared" ref="R896" si="1961">$Q896-($Q896*LICITACAO_DESCONTO)</f>
        <v>0</v>
      </c>
      <c r="S896" s="156">
        <f t="shared" si="1878"/>
        <v>0</v>
      </c>
      <c r="T896" s="156">
        <f t="shared" si="1879"/>
        <v>0</v>
      </c>
      <c r="U896" s="156">
        <f t="shared" si="1880"/>
        <v>0</v>
      </c>
      <c r="V896" s="156">
        <f t="shared" si="1881"/>
        <v>0</v>
      </c>
      <c r="W896" s="156">
        <f t="shared" si="1868"/>
        <v>0</v>
      </c>
      <c r="X896" s="158">
        <f t="shared" ref="X896" si="1962">$S896/ORCAMENTO_VALOR_TOTAL_ND</f>
        <v>0</v>
      </c>
      <c r="Y896" s="158">
        <f t="shared" ref="Y896" si="1963">$T896/ORCAMENTO_VALOR_TOTAL_DE</f>
        <v>0</v>
      </c>
      <c r="Z896" s="158" cm="1">
        <f t="array" ref="Z896">_xlfn.SWITCH($N896,"BDI 1",$O$6,"BDI 2",$O$7,"BDI 3",$O$8)</f>
        <v>0.1527</v>
      </c>
      <c r="AA896" s="158" cm="1">
        <f t="array" ref="AA896">_xlfn.SWITCH($N896,"BDI 1",$P$6,"BDI 2",$P$7,"BDI 3",$P$8)</f>
        <v>0.1527</v>
      </c>
      <c r="AB896" s="158">
        <f t="shared" ca="1" si="1884"/>
        <v>0</v>
      </c>
      <c r="AC896" s="158">
        <f t="shared" ca="1" si="1885"/>
        <v>0</v>
      </c>
      <c r="AD896" s="164"/>
      <c r="AE896" s="148">
        <f t="shared" si="1871"/>
        <v>0</v>
      </c>
      <c r="AF896" s="149"/>
      <c r="AG896" s="150"/>
      <c r="AH896" s="159" t="e">
        <f t="shared" si="1872"/>
        <v>#DIV/0!</v>
      </c>
      <c r="AI896" s="160"/>
      <c r="AJ896" s="105"/>
      <c r="AK896" s="105"/>
      <c r="AM896" s="105"/>
      <c r="AN896" s="105"/>
      <c r="AO896" s="105"/>
      <c r="AP896" s="105"/>
      <c r="AQ896" s="105"/>
      <c r="AR896" s="105"/>
    </row>
    <row r="897" spans="1:44" s="49" customFormat="1" ht="40.15" hidden="1" customHeight="1">
      <c r="A897" s="152">
        <f t="shared" ca="1" si="1873"/>
        <v>0</v>
      </c>
      <c r="B897" s="153">
        <v>103670</v>
      </c>
      <c r="C897" s="154" t="str">
        <f t="shared" si="1874"/>
        <v>103670</v>
      </c>
      <c r="D897" s="154" t="s">
        <v>1416</v>
      </c>
      <c r="E897" s="155" t="s">
        <v>3792</v>
      </c>
      <c r="F897" s="154"/>
      <c r="G897" s="154" t="s">
        <v>464</v>
      </c>
      <c r="H897" s="152">
        <v>272.37</v>
      </c>
      <c r="I897" s="152">
        <v>247.05</v>
      </c>
      <c r="J897" s="156"/>
      <c r="K897" s="156">
        <f>+K896+K895</f>
        <v>0</v>
      </c>
      <c r="L897" s="156">
        <f t="shared" si="1875"/>
        <v>0</v>
      </c>
      <c r="M897" s="156">
        <f t="shared" si="1876"/>
        <v>0</v>
      </c>
      <c r="N897" s="156" t="s">
        <v>83</v>
      </c>
      <c r="O897" s="157" cm="1">
        <f t="array" ref="O897">TRUNC($H897*(1+_xlfn.SWITCH($N897,"BDI 1",$O$6,"BDI 2",$O$7,"BDI 3",$O$8)),2)</f>
        <v>328.75</v>
      </c>
      <c r="P897" s="157" cm="1">
        <f t="array" ref="P897">TRUNC($I897*(1+_xlfn.SWITCH($N897,"BDI 1",$P$6,"BDI 2",$P$7,"BDI 3",$P$8)),2)</f>
        <v>313.11</v>
      </c>
      <c r="Q897" s="157">
        <v>0</v>
      </c>
      <c r="R897" s="157">
        <f t="shared" ref="R897" si="1964">$Q897-($Q897*LICITACAO_DESCONTO)</f>
        <v>0</v>
      </c>
      <c r="S897" s="156">
        <f t="shared" si="1878"/>
        <v>0</v>
      </c>
      <c r="T897" s="156">
        <f t="shared" si="1879"/>
        <v>0</v>
      </c>
      <c r="U897" s="156">
        <f t="shared" si="1880"/>
        <v>0</v>
      </c>
      <c r="V897" s="156">
        <f t="shared" si="1881"/>
        <v>0</v>
      </c>
      <c r="W897" s="156">
        <f t="shared" si="1868"/>
        <v>0</v>
      </c>
      <c r="X897" s="158">
        <f t="shared" ref="X897" si="1965">$S897/ORCAMENTO_VALOR_TOTAL_ND</f>
        <v>0</v>
      </c>
      <c r="Y897" s="158">
        <f t="shared" ref="Y897" si="1966">$T897/ORCAMENTO_VALOR_TOTAL_DE</f>
        <v>0</v>
      </c>
      <c r="Z897" s="158" cm="1">
        <f t="array" ref="Z897">_xlfn.SWITCH($N897,"BDI 1",$O$6,"BDI 2",$O$7,"BDI 3",$O$8)</f>
        <v>0.20699999999999999</v>
      </c>
      <c r="AA897" s="158" cm="1">
        <f t="array" ref="AA897">_xlfn.SWITCH($N897,"BDI 1",$P$6,"BDI 2",$P$7,"BDI 3",$P$8)</f>
        <v>0.26739999999999997</v>
      </c>
      <c r="AB897" s="158">
        <f t="shared" ca="1" si="1884"/>
        <v>0</v>
      </c>
      <c r="AC897" s="158">
        <f t="shared" ca="1" si="1885"/>
        <v>0</v>
      </c>
      <c r="AD897" s="164"/>
      <c r="AE897" s="148">
        <f t="shared" si="1871"/>
        <v>0</v>
      </c>
      <c r="AF897" s="149"/>
      <c r="AG897" s="150"/>
      <c r="AH897" s="159" t="e">
        <f t="shared" si="1872"/>
        <v>#DIV/0!</v>
      </c>
      <c r="AI897" s="160"/>
      <c r="AJ897" s="105"/>
      <c r="AK897" s="105"/>
      <c r="AM897" s="105"/>
      <c r="AN897" s="105"/>
      <c r="AO897" s="105"/>
      <c r="AP897" s="105"/>
      <c r="AQ897" s="105"/>
      <c r="AR897" s="105"/>
    </row>
    <row r="898" spans="1:44" s="49" customFormat="1" ht="40.15" hidden="1" customHeight="1">
      <c r="A898" s="152">
        <f t="shared" ca="1" si="1873"/>
        <v>0</v>
      </c>
      <c r="B898" s="153">
        <v>92411</v>
      </c>
      <c r="C898" s="154" t="str">
        <f t="shared" si="1874"/>
        <v>92411</v>
      </c>
      <c r="D898" s="154" t="s">
        <v>1416</v>
      </c>
      <c r="E898" s="155" t="s">
        <v>3799</v>
      </c>
      <c r="F898" s="154"/>
      <c r="G898" s="154" t="s">
        <v>1418</v>
      </c>
      <c r="H898" s="152">
        <v>142.63</v>
      </c>
      <c r="I898" s="152">
        <v>134.08000000000001</v>
      </c>
      <c r="J898" s="156"/>
      <c r="K898" s="156">
        <f>+Passeio!L233</f>
        <v>0</v>
      </c>
      <c r="L898" s="156">
        <f t="shared" si="1875"/>
        <v>0</v>
      </c>
      <c r="M898" s="156">
        <f t="shared" si="1876"/>
        <v>0</v>
      </c>
      <c r="N898" s="156" t="s">
        <v>83</v>
      </c>
      <c r="O898" s="157" cm="1">
        <f t="array" ref="O898">TRUNC($H898*(1+_xlfn.SWITCH($N898,"BDI 1",$O$6,"BDI 2",$O$7,"BDI 3",$O$8)),2)</f>
        <v>172.15</v>
      </c>
      <c r="P898" s="157" cm="1">
        <f t="array" ref="P898">TRUNC($I898*(1+_xlfn.SWITCH($N898,"BDI 1",$P$6,"BDI 2",$P$7,"BDI 3",$P$8)),2)</f>
        <v>169.93</v>
      </c>
      <c r="Q898" s="157">
        <v>0</v>
      </c>
      <c r="R898" s="157">
        <f t="shared" ref="R898" si="1967">$Q898-($Q898*LICITACAO_DESCONTO)</f>
        <v>0</v>
      </c>
      <c r="S898" s="156">
        <f t="shared" si="1878"/>
        <v>0</v>
      </c>
      <c r="T898" s="156">
        <f t="shared" si="1879"/>
        <v>0</v>
      </c>
      <c r="U898" s="156">
        <f t="shared" si="1880"/>
        <v>0</v>
      </c>
      <c r="V898" s="156">
        <f t="shared" si="1881"/>
        <v>0</v>
      </c>
      <c r="W898" s="156">
        <f t="shared" si="1868"/>
        <v>0</v>
      </c>
      <c r="X898" s="158">
        <f t="shared" ref="X898" si="1968">$S898/ORCAMENTO_VALOR_TOTAL_ND</f>
        <v>0</v>
      </c>
      <c r="Y898" s="158">
        <f t="shared" ref="Y898" si="1969">$T898/ORCAMENTO_VALOR_TOTAL_DE</f>
        <v>0</v>
      </c>
      <c r="Z898" s="158" cm="1">
        <f t="array" ref="Z898">_xlfn.SWITCH($N898,"BDI 1",$O$6,"BDI 2",$O$7,"BDI 3",$O$8)</f>
        <v>0.20699999999999999</v>
      </c>
      <c r="AA898" s="158" cm="1">
        <f t="array" ref="AA898">_xlfn.SWITCH($N898,"BDI 1",$P$6,"BDI 2",$P$7,"BDI 3",$P$8)</f>
        <v>0.26739999999999997</v>
      </c>
      <c r="AB898" s="158">
        <f t="shared" ca="1" si="1884"/>
        <v>0</v>
      </c>
      <c r="AC898" s="158">
        <f t="shared" ca="1" si="1885"/>
        <v>0</v>
      </c>
      <c r="AD898" s="164"/>
      <c r="AE898" s="148">
        <f t="shared" si="1871"/>
        <v>0</v>
      </c>
      <c r="AF898" s="149"/>
      <c r="AG898" s="150"/>
      <c r="AH898" s="159" t="e">
        <f t="shared" si="1872"/>
        <v>#DIV/0!</v>
      </c>
      <c r="AI898" s="160"/>
      <c r="AJ898" s="105"/>
      <c r="AK898" s="105"/>
      <c r="AM898" s="105"/>
      <c r="AN898" s="105"/>
      <c r="AO898" s="105"/>
      <c r="AP898" s="105"/>
      <c r="AQ898" s="105"/>
      <c r="AR898" s="105"/>
    </row>
    <row r="899" spans="1:44" s="49" customFormat="1" ht="40.15" hidden="1" customHeight="1">
      <c r="A899" s="152">
        <f t="shared" ca="1" si="1873"/>
        <v>0</v>
      </c>
      <c r="B899" s="153">
        <v>91593</v>
      </c>
      <c r="C899" s="154" t="str">
        <f t="shared" si="1874"/>
        <v>91593</v>
      </c>
      <c r="D899" s="154" t="s">
        <v>1416</v>
      </c>
      <c r="E899" s="155" t="s">
        <v>3807</v>
      </c>
      <c r="F899" s="154"/>
      <c r="G899" s="154" t="s">
        <v>3802</v>
      </c>
      <c r="H899" s="152">
        <v>10.59</v>
      </c>
      <c r="I899" s="152">
        <v>10.220000000000001</v>
      </c>
      <c r="J899" s="156"/>
      <c r="K899" s="156">
        <f>+Passeio!L235</f>
        <v>0</v>
      </c>
      <c r="L899" s="156">
        <f t="shared" si="1875"/>
        <v>0</v>
      </c>
      <c r="M899" s="156">
        <f t="shared" si="1876"/>
        <v>0</v>
      </c>
      <c r="N899" s="156" t="s">
        <v>83</v>
      </c>
      <c r="O899" s="157" cm="1">
        <f t="array" ref="O899">TRUNC($H899*(1+_xlfn.SWITCH($N899,"BDI 1",$O$6,"BDI 2",$O$7,"BDI 3",$O$8)),2)</f>
        <v>12.78</v>
      </c>
      <c r="P899" s="157" cm="1">
        <f t="array" ref="P899">TRUNC($I899*(1+_xlfn.SWITCH($N899,"BDI 1",$P$6,"BDI 2",$P$7,"BDI 3",$P$8)),2)</f>
        <v>12.95</v>
      </c>
      <c r="Q899" s="157">
        <v>0</v>
      </c>
      <c r="R899" s="157">
        <f t="shared" ref="R899" si="1970">$Q899-($Q899*LICITACAO_DESCONTO)</f>
        <v>0</v>
      </c>
      <c r="S899" s="156">
        <f t="shared" si="1878"/>
        <v>0</v>
      </c>
      <c r="T899" s="156">
        <f t="shared" si="1879"/>
        <v>0</v>
      </c>
      <c r="U899" s="156">
        <f t="shared" si="1880"/>
        <v>0</v>
      </c>
      <c r="V899" s="156">
        <f t="shared" si="1881"/>
        <v>0</v>
      </c>
      <c r="W899" s="156">
        <f t="shared" si="1868"/>
        <v>0</v>
      </c>
      <c r="X899" s="158">
        <f t="shared" ref="X899" si="1971">$S899/ORCAMENTO_VALOR_TOTAL_ND</f>
        <v>0</v>
      </c>
      <c r="Y899" s="158">
        <f t="shared" ref="Y899" si="1972">$T899/ORCAMENTO_VALOR_TOTAL_DE</f>
        <v>0</v>
      </c>
      <c r="Z899" s="158" cm="1">
        <f t="array" ref="Z899">_xlfn.SWITCH($N899,"BDI 1",$O$6,"BDI 2",$O$7,"BDI 3",$O$8)</f>
        <v>0.20699999999999999</v>
      </c>
      <c r="AA899" s="158" cm="1">
        <f t="array" ref="AA899">_xlfn.SWITCH($N899,"BDI 1",$P$6,"BDI 2",$P$7,"BDI 3",$P$8)</f>
        <v>0.26739999999999997</v>
      </c>
      <c r="AB899" s="158">
        <f t="shared" ca="1" si="1884"/>
        <v>0</v>
      </c>
      <c r="AC899" s="158">
        <f t="shared" ca="1" si="1885"/>
        <v>0</v>
      </c>
      <c r="AD899" s="164"/>
      <c r="AE899" s="148">
        <f t="shared" si="1871"/>
        <v>0</v>
      </c>
      <c r="AF899" s="149"/>
      <c r="AG899" s="150"/>
      <c r="AH899" s="159" t="e">
        <f t="shared" si="1872"/>
        <v>#DIV/0!</v>
      </c>
      <c r="AI899" s="160"/>
      <c r="AJ899" s="105"/>
      <c r="AK899" s="105"/>
      <c r="AM899" s="105"/>
      <c r="AN899" s="105"/>
      <c r="AO899" s="105"/>
      <c r="AP899" s="105"/>
      <c r="AQ899" s="105"/>
      <c r="AR899" s="105"/>
    </row>
    <row r="900" spans="1:44" s="49" customFormat="1" ht="40.15" hidden="1" customHeight="1">
      <c r="A900" s="152">
        <f t="shared" ca="1" si="1873"/>
        <v>0</v>
      </c>
      <c r="B900" s="153" t="s">
        <v>337</v>
      </c>
      <c r="C900" s="154" t="str">
        <f t="shared" si="1874"/>
        <v>SC/0085</v>
      </c>
      <c r="D900" s="154" t="s">
        <v>3549</v>
      </c>
      <c r="E900" s="155" t="s">
        <v>3930</v>
      </c>
      <c r="F900" s="154"/>
      <c r="G900" s="154" t="s">
        <v>1412</v>
      </c>
      <c r="H900" s="152">
        <v>1456.21</v>
      </c>
      <c r="I900" s="152">
        <v>1408.86</v>
      </c>
      <c r="J900" s="156"/>
      <c r="K900" s="156">
        <f>+Passeio!L236</f>
        <v>0</v>
      </c>
      <c r="L900" s="156">
        <f t="shared" si="1875"/>
        <v>0</v>
      </c>
      <c r="M900" s="156">
        <f t="shared" si="1876"/>
        <v>0</v>
      </c>
      <c r="N900" s="156" t="s">
        <v>83</v>
      </c>
      <c r="O900" s="157" cm="1">
        <f t="array" ref="O900">TRUNC($H900*(1+_xlfn.SWITCH($N900,"BDI 1",$O$6,"BDI 2",$O$7,"BDI 3",$O$8)),2)</f>
        <v>1757.64</v>
      </c>
      <c r="P900" s="157" cm="1">
        <f t="array" ref="P900">TRUNC($I900*(1+_xlfn.SWITCH($N900,"BDI 1",$P$6,"BDI 2",$P$7,"BDI 3",$P$8)),2)</f>
        <v>1785.58</v>
      </c>
      <c r="Q900" s="157">
        <v>0</v>
      </c>
      <c r="R900" s="157">
        <f t="shared" ref="R900" si="1973">$Q900-($Q900*LICITACAO_DESCONTO)</f>
        <v>0</v>
      </c>
      <c r="S900" s="156">
        <f t="shared" si="1878"/>
        <v>0</v>
      </c>
      <c r="T900" s="156">
        <f t="shared" si="1879"/>
        <v>0</v>
      </c>
      <c r="U900" s="156">
        <f t="shared" si="1880"/>
        <v>0</v>
      </c>
      <c r="V900" s="156">
        <f t="shared" si="1881"/>
        <v>0</v>
      </c>
      <c r="W900" s="156">
        <f t="shared" si="1868"/>
        <v>0</v>
      </c>
      <c r="X900" s="158">
        <f t="shared" ref="X900" si="1974">$S900/ORCAMENTO_VALOR_TOTAL_ND</f>
        <v>0</v>
      </c>
      <c r="Y900" s="158">
        <f t="shared" ref="Y900" si="1975">$T900/ORCAMENTO_VALOR_TOTAL_DE</f>
        <v>0</v>
      </c>
      <c r="Z900" s="158" cm="1">
        <f t="array" ref="Z900">_xlfn.SWITCH($N900,"BDI 1",$O$6,"BDI 2",$O$7,"BDI 3",$O$8)</f>
        <v>0.20699999999999999</v>
      </c>
      <c r="AA900" s="158" cm="1">
        <f t="array" ref="AA900">_xlfn.SWITCH($N900,"BDI 1",$P$6,"BDI 2",$P$7,"BDI 3",$P$8)</f>
        <v>0.26739999999999997</v>
      </c>
      <c r="AB900" s="158">
        <f t="shared" ca="1" si="1884"/>
        <v>0</v>
      </c>
      <c r="AC900" s="158">
        <f t="shared" ca="1" si="1885"/>
        <v>0</v>
      </c>
      <c r="AD900" s="164"/>
      <c r="AE900" s="148">
        <f t="shared" si="1871"/>
        <v>0</v>
      </c>
      <c r="AF900" s="149"/>
      <c r="AG900" s="150"/>
      <c r="AH900" s="159" t="e">
        <f t="shared" si="1872"/>
        <v>#DIV/0!</v>
      </c>
      <c r="AI900" s="160"/>
      <c r="AJ900" s="105"/>
      <c r="AK900" s="105"/>
      <c r="AM900" s="105"/>
      <c r="AN900" s="105"/>
      <c r="AO900" s="105"/>
      <c r="AP900" s="105"/>
      <c r="AQ900" s="105"/>
      <c r="AR900" s="105"/>
    </row>
    <row r="901" spans="1:44" s="49" customFormat="1" ht="40.15" hidden="1" customHeight="1">
      <c r="A901" s="10">
        <f t="shared" ca="1" si="1873"/>
        <v>0</v>
      </c>
      <c r="B901" s="153"/>
      <c r="C901" s="154"/>
      <c r="D901" s="154"/>
      <c r="E901" s="161" t="s">
        <v>137</v>
      </c>
      <c r="F901" s="154"/>
      <c r="G901" s="154"/>
      <c r="H901" s="152"/>
      <c r="I901" s="152"/>
      <c r="J901" s="154"/>
      <c r="K901" s="154"/>
      <c r="L901" s="154"/>
      <c r="M901" s="154"/>
      <c r="N901" s="154"/>
      <c r="O901" s="157"/>
      <c r="P901" s="157"/>
      <c r="Q901" s="157"/>
      <c r="R901" s="157"/>
      <c r="S901" s="162"/>
      <c r="T901" s="162"/>
      <c r="U901" s="162"/>
      <c r="V901" s="162"/>
      <c r="W901" s="162"/>
      <c r="X901" s="163"/>
      <c r="Y901" s="163"/>
      <c r="Z901" s="163"/>
      <c r="AA901" s="163"/>
      <c r="AB901" s="163"/>
      <c r="AC901" s="163"/>
      <c r="AD901" s="164"/>
      <c r="AE901" s="148">
        <f>IF(SUM(S902:S903)&gt;0,IFERROR(TRUNC(A901,0),0),0)</f>
        <v>0</v>
      </c>
      <c r="AF901" s="149"/>
      <c r="AG901" s="150"/>
      <c r="AH901" s="159"/>
      <c r="AI901" s="160" t="s">
        <v>138</v>
      </c>
      <c r="AJ901" s="105"/>
      <c r="AK901" s="105"/>
      <c r="AM901" s="105"/>
      <c r="AN901" s="105"/>
      <c r="AO901" s="105"/>
      <c r="AP901" s="105"/>
      <c r="AQ901" s="105"/>
      <c r="AR901" s="105"/>
    </row>
    <row r="902" spans="1:44" s="49" customFormat="1" ht="40.15" hidden="1" customHeight="1">
      <c r="A902" s="152">
        <f t="shared" ca="1" si="1873"/>
        <v>0</v>
      </c>
      <c r="B902" s="153">
        <v>95876</v>
      </c>
      <c r="C902" s="154" t="str">
        <f>TEXT(B902,"0")</f>
        <v>95876</v>
      </c>
      <c r="D902" s="154" t="s">
        <v>1416</v>
      </c>
      <c r="E902" s="155" t="s">
        <v>3537</v>
      </c>
      <c r="F902" s="154">
        <f>IF(Dados_DMT!$B$17&lt;30,Dados_DMT!$B$17,30)</f>
        <v>3.5</v>
      </c>
      <c r="G902" s="154" t="s">
        <v>3538</v>
      </c>
      <c r="H902" s="152">
        <v>2.09</v>
      </c>
      <c r="I902" s="152">
        <v>2.1</v>
      </c>
      <c r="J902" s="156"/>
      <c r="K902" s="156">
        <f>ROUND(Passeio!L237*F902,2)</f>
        <v>0</v>
      </c>
      <c r="L902" s="156">
        <f>IF($K902&gt;$J902,$K902-$J902,0)</f>
        <v>0</v>
      </c>
      <c r="M902" s="156">
        <f>IF($K902&lt;$J902,$J902-$K902,0)</f>
        <v>0</v>
      </c>
      <c r="N902" s="156" t="s">
        <v>83</v>
      </c>
      <c r="O902" s="157" cm="1">
        <f t="array" ref="O902">TRUNC($H902*(1+_xlfn.SWITCH($N902,"BDI 1",$O$6,"BDI 2",$O$7,"BDI 3",$O$8)),2)</f>
        <v>2.52</v>
      </c>
      <c r="P902" s="157" cm="1">
        <f t="array" ref="P902">TRUNC($I902*(1+_xlfn.SWITCH($N902,"BDI 1",$P$6,"BDI 2",$P$7,"BDI 3",$P$8)),2)</f>
        <v>2.66</v>
      </c>
      <c r="Q902" s="157">
        <v>0</v>
      </c>
      <c r="R902" s="157">
        <v>0</v>
      </c>
      <c r="S902" s="156">
        <f>TRUNC($K902*$O902,2)</f>
        <v>0</v>
      </c>
      <c r="T902" s="156">
        <f>TRUNC($K902*$P902,2)</f>
        <v>0</v>
      </c>
      <c r="U902" s="156">
        <f>TRUNC($J902*$R902,2)</f>
        <v>0</v>
      </c>
      <c r="V902" s="156">
        <f>TRUNC($K902*$Q902,2)</f>
        <v>0</v>
      </c>
      <c r="W902" s="156">
        <f>TRUNC(V902-U902,2)</f>
        <v>0</v>
      </c>
      <c r="X902" s="158">
        <f>$S902/ORCAMENTO_VALOR_TOTAL_ND</f>
        <v>0</v>
      </c>
      <c r="Y902" s="158">
        <f>$T902/ORCAMENTO_VALOR_TOTAL_DE</f>
        <v>0</v>
      </c>
      <c r="Z902" s="158" cm="1">
        <f t="array" ref="Z902">_xlfn.SWITCH($N902,"BDI 1",$O$6,"BDI 2",$O$7,"BDI 3",$O$8)</f>
        <v>0.20699999999999999</v>
      </c>
      <c r="AA902" s="158" cm="1">
        <f t="array" ref="AA902">_xlfn.SWITCH($N902,"BDI 1",$P$6,"BDI 2",$P$7,"BDI 3",$P$8)</f>
        <v>0.26739999999999997</v>
      </c>
      <c r="AB902" s="158">
        <f ca="1">IFERROR($S902/_xlfn.XLOOKUP($AE902,$B$16:$B$38,$S$16:$S$38),0)</f>
        <v>0</v>
      </c>
      <c r="AC902" s="158">
        <f ca="1">IFERROR($T902/_xlfn.XLOOKUP($AE902,$B$16:$B$38,$T$16:$T$38),0)</f>
        <v>0</v>
      </c>
      <c r="AD902" s="164"/>
      <c r="AE902" s="148">
        <f t="shared" ref="AE902:AE903" si="1976">IF(S902&gt;0,IFERROR(TRUNC(A902,0),0),0)</f>
        <v>0</v>
      </c>
      <c r="AF902" s="149"/>
      <c r="AG902" s="150"/>
      <c r="AH902" s="159" t="e">
        <f>+S902/$S$869</f>
        <v>#DIV/0!</v>
      </c>
      <c r="AI902" s="166">
        <f>IF(K902=0,0,K902/F902)</f>
        <v>0</v>
      </c>
      <c r="AJ902" s="105"/>
      <c r="AK902" s="105"/>
      <c r="AM902" s="105"/>
      <c r="AN902" s="105"/>
      <c r="AO902" s="105"/>
      <c r="AP902" s="105"/>
      <c r="AQ902" s="105"/>
      <c r="AR902" s="105"/>
    </row>
    <row r="903" spans="1:44" s="49" customFormat="1" ht="40.15" hidden="1" customHeight="1">
      <c r="A903" s="152">
        <f t="shared" ca="1" si="1873"/>
        <v>0</v>
      </c>
      <c r="B903" s="153">
        <v>93593</v>
      </c>
      <c r="C903" s="154" t="str">
        <f>TEXT(B903,"0")</f>
        <v>93593</v>
      </c>
      <c r="D903" s="154" t="s">
        <v>1416</v>
      </c>
      <c r="E903" s="155" t="s">
        <v>3545</v>
      </c>
      <c r="F903" s="154">
        <f>+Dados_DMT!$B$17-F902</f>
        <v>0</v>
      </c>
      <c r="G903" s="154" t="s">
        <v>3538</v>
      </c>
      <c r="H903" s="152">
        <v>0.84</v>
      </c>
      <c r="I903" s="152">
        <v>0.85</v>
      </c>
      <c r="J903" s="156"/>
      <c r="K903" s="156">
        <f>ROUND(Passeio!L237*F903,2)</f>
        <v>0</v>
      </c>
      <c r="L903" s="156">
        <f>IF($K903&gt;$J903,$K903-$J903,0)</f>
        <v>0</v>
      </c>
      <c r="M903" s="156">
        <f>IF($K903&lt;$J903,$J903-$K903,0)</f>
        <v>0</v>
      </c>
      <c r="N903" s="156" t="s">
        <v>83</v>
      </c>
      <c r="O903" s="157" cm="1">
        <f t="array" ref="O903">TRUNC($H903*(1+_xlfn.SWITCH($N903,"BDI 1",$O$6,"BDI 2",$O$7,"BDI 3",$O$8)),2)</f>
        <v>1.01</v>
      </c>
      <c r="P903" s="157" cm="1">
        <f t="array" ref="P903">TRUNC($I903*(1+_xlfn.SWITCH($N903,"BDI 1",$P$6,"BDI 2",$P$7,"BDI 3",$P$8)),2)</f>
        <v>1.07</v>
      </c>
      <c r="Q903" s="157">
        <v>0</v>
      </c>
      <c r="R903" s="157">
        <v>0</v>
      </c>
      <c r="S903" s="156">
        <f>TRUNC($K903*$O903,2)</f>
        <v>0</v>
      </c>
      <c r="T903" s="156">
        <f>TRUNC($K903*$P903,2)</f>
        <v>0</v>
      </c>
      <c r="U903" s="156">
        <f>TRUNC($J903*$R903,2)</f>
        <v>0</v>
      </c>
      <c r="V903" s="156">
        <f>TRUNC($K903*$Q903,2)</f>
        <v>0</v>
      </c>
      <c r="W903" s="156">
        <f>TRUNC(V903-U903,2)</f>
        <v>0</v>
      </c>
      <c r="X903" s="158">
        <f>$S903/ORCAMENTO_VALOR_TOTAL_ND</f>
        <v>0</v>
      </c>
      <c r="Y903" s="158">
        <f>$T903/ORCAMENTO_VALOR_TOTAL_DE</f>
        <v>0</v>
      </c>
      <c r="Z903" s="158" cm="1">
        <f t="array" ref="Z903">_xlfn.SWITCH($N903,"BDI 1",$O$6,"BDI 2",$O$7,"BDI 3",$O$8)</f>
        <v>0.20699999999999999</v>
      </c>
      <c r="AA903" s="158" cm="1">
        <f t="array" ref="AA903">_xlfn.SWITCH($N903,"BDI 1",$P$6,"BDI 2",$P$7,"BDI 3",$P$8)</f>
        <v>0.26739999999999997</v>
      </c>
      <c r="AB903" s="158">
        <f ca="1">IFERROR($S903/_xlfn.XLOOKUP($AE903,$B$16:$B$38,$S$16:$S$38),0)</f>
        <v>0</v>
      </c>
      <c r="AC903" s="158">
        <f ca="1">IFERROR($T903/_xlfn.XLOOKUP($AE903,$B$16:$B$38,$T$16:$T$38),0)</f>
        <v>0</v>
      </c>
      <c r="AD903" s="164"/>
      <c r="AE903" s="148">
        <f t="shared" si="1976"/>
        <v>0</v>
      </c>
      <c r="AF903" s="149"/>
      <c r="AG903" s="150"/>
      <c r="AH903" s="159" t="e">
        <f>+S903/$S$869</f>
        <v>#DIV/0!</v>
      </c>
      <c r="AI903" s="166">
        <f>IF(K903=0,0,K903/F903)</f>
        <v>0</v>
      </c>
      <c r="AJ903" s="105"/>
      <c r="AK903" s="105"/>
      <c r="AM903" s="105"/>
      <c r="AN903" s="105"/>
      <c r="AO903" s="105"/>
      <c r="AP903" s="105"/>
      <c r="AQ903" s="105"/>
      <c r="AR903" s="105"/>
    </row>
    <row r="904" spans="1:44" s="49" customFormat="1" ht="40.15" hidden="1" customHeight="1">
      <c r="A904" s="10">
        <f t="shared" ca="1" si="1873"/>
        <v>0</v>
      </c>
      <c r="B904" s="153"/>
      <c r="C904" s="154"/>
      <c r="D904" s="154"/>
      <c r="E904" s="161" t="s">
        <v>139</v>
      </c>
      <c r="F904" s="154"/>
      <c r="G904" s="154"/>
      <c r="H904" s="152"/>
      <c r="I904" s="152"/>
      <c r="J904" s="154"/>
      <c r="K904" s="154"/>
      <c r="L904" s="154"/>
      <c r="M904" s="154"/>
      <c r="N904" s="154"/>
      <c r="O904" s="157"/>
      <c r="P904" s="157"/>
      <c r="Q904" s="157"/>
      <c r="R904" s="157"/>
      <c r="S904" s="162"/>
      <c r="T904" s="162"/>
      <c r="U904" s="162"/>
      <c r="V904" s="162"/>
      <c r="W904" s="162"/>
      <c r="X904" s="163"/>
      <c r="Y904" s="163"/>
      <c r="Z904" s="163"/>
      <c r="AA904" s="163"/>
      <c r="AB904" s="163"/>
      <c r="AC904" s="163"/>
      <c r="AD904" s="164"/>
      <c r="AE904" s="148">
        <f>IF(SUM(S905:S906)&gt;0,IFERROR(TRUNC(A904,0),0),0)</f>
        <v>0</v>
      </c>
      <c r="AF904" s="149"/>
      <c r="AG904" s="150"/>
      <c r="AH904" s="159"/>
      <c r="AI904" s="160"/>
      <c r="AJ904" s="105"/>
      <c r="AK904" s="105"/>
      <c r="AM904" s="105"/>
      <c r="AN904" s="105"/>
      <c r="AO904" s="105"/>
      <c r="AP904" s="105"/>
      <c r="AQ904" s="105"/>
      <c r="AR904" s="105"/>
    </row>
    <row r="905" spans="1:44" s="49" customFormat="1" ht="40.15" hidden="1" customHeight="1">
      <c r="A905" s="152">
        <f t="shared" ca="1" si="1873"/>
        <v>0</v>
      </c>
      <c r="B905" s="153">
        <v>95876</v>
      </c>
      <c r="C905" s="154" t="str">
        <f>TEXT(B905,"0")</f>
        <v>95876</v>
      </c>
      <c r="D905" s="154" t="s">
        <v>1416</v>
      </c>
      <c r="E905" s="155" t="s">
        <v>3537</v>
      </c>
      <c r="F905" s="154">
        <f>IF(Dados_DMT!$B$14&lt;30,Dados_DMT!$B$14,30)</f>
        <v>3.5</v>
      </c>
      <c r="G905" s="154" t="s">
        <v>3538</v>
      </c>
      <c r="H905" s="152">
        <v>2.09</v>
      </c>
      <c r="I905" s="152">
        <v>2.1</v>
      </c>
      <c r="J905" s="156"/>
      <c r="K905" s="156">
        <f>ROUND(Passeio!L238*F905,2)</f>
        <v>0</v>
      </c>
      <c r="L905" s="156">
        <f>IF($K905&gt;$J905,$K905-$J905,0)</f>
        <v>0</v>
      </c>
      <c r="M905" s="156">
        <f>IF($K905&lt;$J905,$J905-$K905,0)</f>
        <v>0</v>
      </c>
      <c r="N905" s="156" t="s">
        <v>83</v>
      </c>
      <c r="O905" s="157" cm="1">
        <f t="array" ref="O905">TRUNC($H905*(1+_xlfn.SWITCH($N905,"BDI 1",$O$6,"BDI 2",$O$7,"BDI 3",$O$8)),2)</f>
        <v>2.52</v>
      </c>
      <c r="P905" s="157" cm="1">
        <f t="array" ref="P905">TRUNC($I905*(1+_xlfn.SWITCH($N905,"BDI 1",$P$6,"BDI 2",$P$7,"BDI 3",$P$8)),2)</f>
        <v>2.66</v>
      </c>
      <c r="Q905" s="157">
        <v>0</v>
      </c>
      <c r="R905" s="157">
        <v>0</v>
      </c>
      <c r="S905" s="156">
        <f>TRUNC($K905*$O905,2)</f>
        <v>0</v>
      </c>
      <c r="T905" s="156">
        <f>TRUNC($K905*$P905,2)</f>
        <v>0</v>
      </c>
      <c r="U905" s="156">
        <f>TRUNC($J905*$R905,2)</f>
        <v>0</v>
      </c>
      <c r="V905" s="156">
        <f>TRUNC($K905*$Q905,2)</f>
        <v>0</v>
      </c>
      <c r="W905" s="156">
        <f>TRUNC(V905-U905,2)</f>
        <v>0</v>
      </c>
      <c r="X905" s="158">
        <f>$S905/ORCAMENTO_VALOR_TOTAL_ND</f>
        <v>0</v>
      </c>
      <c r="Y905" s="158">
        <f>$T905/ORCAMENTO_VALOR_TOTAL_DE</f>
        <v>0</v>
      </c>
      <c r="Z905" s="158" cm="1">
        <f t="array" ref="Z905">_xlfn.SWITCH($N905,"BDI 1",$O$6,"BDI 2",$O$7,"BDI 3",$O$8)</f>
        <v>0.20699999999999999</v>
      </c>
      <c r="AA905" s="158" cm="1">
        <f t="array" ref="AA905">_xlfn.SWITCH($N905,"BDI 1",$P$6,"BDI 2",$P$7,"BDI 3",$P$8)</f>
        <v>0.26739999999999997</v>
      </c>
      <c r="AB905" s="158">
        <f ca="1">IFERROR($S905/_xlfn.XLOOKUP($AE905,$B$16:$B$38,$S$16:$S$38),0)</f>
        <v>0</v>
      </c>
      <c r="AC905" s="158">
        <f ca="1">IFERROR($T905/_xlfn.XLOOKUP($AE905,$B$16:$B$38,$T$16:$T$38),0)</f>
        <v>0</v>
      </c>
      <c r="AD905" s="164"/>
      <c r="AE905" s="148">
        <f t="shared" ref="AE905:AE906" si="1977">IF(S905&gt;0,IFERROR(TRUNC(A905,0),0),0)</f>
        <v>0</v>
      </c>
      <c r="AF905" s="149"/>
      <c r="AG905" s="150"/>
      <c r="AH905" s="159" t="e">
        <f>+S905/$S$869</f>
        <v>#DIV/0!</v>
      </c>
      <c r="AI905" s="166">
        <f>IF(K905=0,0,K905/F905)</f>
        <v>0</v>
      </c>
      <c r="AJ905" s="105"/>
      <c r="AK905" s="105"/>
      <c r="AM905" s="105"/>
      <c r="AN905" s="105"/>
      <c r="AO905" s="105"/>
      <c r="AP905" s="105"/>
      <c r="AQ905" s="105"/>
      <c r="AR905" s="105"/>
    </row>
    <row r="906" spans="1:44" s="49" customFormat="1" ht="40.15" hidden="1" customHeight="1">
      <c r="A906" s="152">
        <f t="shared" ca="1" si="1873"/>
        <v>0</v>
      </c>
      <c r="B906" s="153">
        <v>93593</v>
      </c>
      <c r="C906" s="154" t="str">
        <f>TEXT(B906,"0")</f>
        <v>93593</v>
      </c>
      <c r="D906" s="154" t="s">
        <v>1416</v>
      </c>
      <c r="E906" s="155" t="s">
        <v>3545</v>
      </c>
      <c r="F906" s="154">
        <f>+Dados_DMT!$B$14-F905</f>
        <v>0</v>
      </c>
      <c r="G906" s="154" t="s">
        <v>3538</v>
      </c>
      <c r="H906" s="152">
        <v>0.84</v>
      </c>
      <c r="I906" s="152">
        <v>0.85</v>
      </c>
      <c r="J906" s="156"/>
      <c r="K906" s="156">
        <f>ROUND(Passeio!L238*F906,2)</f>
        <v>0</v>
      </c>
      <c r="L906" s="156">
        <f>IF($K906&gt;$J906,$K906-$J906,0)</f>
        <v>0</v>
      </c>
      <c r="M906" s="156">
        <f>IF($K906&lt;$J906,$J906-$K906,0)</f>
        <v>0</v>
      </c>
      <c r="N906" s="156" t="s">
        <v>83</v>
      </c>
      <c r="O906" s="157" cm="1">
        <f t="array" ref="O906">TRUNC($H906*(1+_xlfn.SWITCH($N906,"BDI 1",$O$6,"BDI 2",$O$7,"BDI 3",$O$8)),2)</f>
        <v>1.01</v>
      </c>
      <c r="P906" s="157" cm="1">
        <f t="array" ref="P906">TRUNC($I906*(1+_xlfn.SWITCH($N906,"BDI 1",$P$6,"BDI 2",$P$7,"BDI 3",$P$8)),2)</f>
        <v>1.07</v>
      </c>
      <c r="Q906" s="157">
        <v>0</v>
      </c>
      <c r="R906" s="157">
        <v>0</v>
      </c>
      <c r="S906" s="156">
        <f>TRUNC($K906*$O906,2)</f>
        <v>0</v>
      </c>
      <c r="T906" s="156">
        <f>TRUNC($K906*$P906,2)</f>
        <v>0</v>
      </c>
      <c r="U906" s="156">
        <f>TRUNC($J906*$R906,2)</f>
        <v>0</v>
      </c>
      <c r="V906" s="156">
        <f>TRUNC($K906*$Q906,2)</f>
        <v>0</v>
      </c>
      <c r="W906" s="156">
        <f>TRUNC(V906-U906,2)</f>
        <v>0</v>
      </c>
      <c r="X906" s="158">
        <f>$S906/ORCAMENTO_VALOR_TOTAL_ND</f>
        <v>0</v>
      </c>
      <c r="Y906" s="158">
        <f>$T906/ORCAMENTO_VALOR_TOTAL_DE</f>
        <v>0</v>
      </c>
      <c r="Z906" s="158" cm="1">
        <f t="array" ref="Z906">_xlfn.SWITCH($N906,"BDI 1",$O$6,"BDI 2",$O$7,"BDI 3",$O$8)</f>
        <v>0.20699999999999999</v>
      </c>
      <c r="AA906" s="158" cm="1">
        <f t="array" ref="AA906">_xlfn.SWITCH($N906,"BDI 1",$P$6,"BDI 2",$P$7,"BDI 3",$P$8)</f>
        <v>0.26739999999999997</v>
      </c>
      <c r="AB906" s="158">
        <f ca="1">IFERROR($S906/_xlfn.XLOOKUP($AE906,$B$16:$B$38,$S$16:$S$38),0)</f>
        <v>0</v>
      </c>
      <c r="AC906" s="158">
        <f ca="1">IFERROR($T906/_xlfn.XLOOKUP($AE906,$B$16:$B$38,$T$16:$T$38),0)</f>
        <v>0</v>
      </c>
      <c r="AD906" s="164"/>
      <c r="AE906" s="148">
        <f t="shared" si="1977"/>
        <v>0</v>
      </c>
      <c r="AF906" s="149"/>
      <c r="AG906" s="150"/>
      <c r="AH906" s="159" t="e">
        <f>+S906/$S$869</f>
        <v>#DIV/0!</v>
      </c>
      <c r="AI906" s="166">
        <f>IF(K906=0,0,K906/F906)</f>
        <v>0</v>
      </c>
      <c r="AJ906" s="105"/>
      <c r="AK906" s="105"/>
      <c r="AM906" s="105"/>
      <c r="AN906" s="105"/>
      <c r="AO906" s="105"/>
      <c r="AP906" s="105"/>
      <c r="AQ906" s="105"/>
      <c r="AR906" s="105"/>
    </row>
    <row r="907" spans="1:44" s="49" customFormat="1" ht="40.15" hidden="1" customHeight="1">
      <c r="A907" s="10">
        <f t="shared" ca="1" si="1873"/>
        <v>0</v>
      </c>
      <c r="B907" s="153"/>
      <c r="C907" s="154"/>
      <c r="D907" s="154"/>
      <c r="E907" s="161" t="s">
        <v>103</v>
      </c>
      <c r="F907" s="154"/>
      <c r="G907" s="154"/>
      <c r="H907" s="152"/>
      <c r="I907" s="152"/>
      <c r="J907" s="154"/>
      <c r="K907" s="154"/>
      <c r="L907" s="154"/>
      <c r="M907" s="154"/>
      <c r="N907" s="154"/>
      <c r="O907" s="154"/>
      <c r="P907" s="154"/>
      <c r="Q907" s="154"/>
      <c r="R907" s="154"/>
      <c r="S907" s="162"/>
      <c r="T907" s="162"/>
      <c r="U907" s="162"/>
      <c r="V907" s="162"/>
      <c r="W907" s="162"/>
      <c r="X907" s="154"/>
      <c r="Y907" s="154"/>
      <c r="Z907" s="154"/>
      <c r="AA907" s="154"/>
      <c r="AB907" s="154"/>
      <c r="AC907" s="154"/>
      <c r="AD907" s="106"/>
      <c r="AE907" s="148">
        <f>IF(SUM(S908:S909)&gt;0,IFERROR(TRUNC(A907,0),0),0)</f>
        <v>0</v>
      </c>
      <c r="AF907" s="149"/>
      <c r="AG907" s="150"/>
      <c r="AH907" s="159"/>
      <c r="AI907" s="160"/>
      <c r="AJ907" s="105"/>
      <c r="AK907" s="105"/>
      <c r="AM907" s="105"/>
      <c r="AN907" s="105"/>
      <c r="AO907" s="105"/>
      <c r="AP907" s="105"/>
      <c r="AQ907" s="105"/>
      <c r="AR907" s="105"/>
    </row>
    <row r="908" spans="1:44" s="49" customFormat="1" ht="40.15" hidden="1" customHeight="1">
      <c r="A908" s="152">
        <f t="shared" ca="1" si="1873"/>
        <v>0</v>
      </c>
      <c r="B908" s="153">
        <v>95876</v>
      </c>
      <c r="C908" s="154" t="str">
        <f>TEXT(B908,"0")</f>
        <v>95876</v>
      </c>
      <c r="D908" s="154" t="s">
        <v>1416</v>
      </c>
      <c r="E908" s="155" t="s">
        <v>3537</v>
      </c>
      <c r="F908" s="154">
        <f>IF(Dados_DMT!$B$34&lt;30,Dados_DMT!$B$34,30)</f>
        <v>30</v>
      </c>
      <c r="G908" s="154" t="s">
        <v>3538</v>
      </c>
      <c r="H908" s="152">
        <v>2.09</v>
      </c>
      <c r="I908" s="152">
        <v>2.1</v>
      </c>
      <c r="J908" s="156"/>
      <c r="K908" s="156">
        <f>IF(AI879="USINADO",0,ROUND(Passeio!L243*F908,2))</f>
        <v>0</v>
      </c>
      <c r="L908" s="156">
        <f>IF($K908&gt;$J908,$K908-$J908,0)</f>
        <v>0</v>
      </c>
      <c r="M908" s="156">
        <f>IF($K908&lt;$J908,$J908-$K908,0)</f>
        <v>0</v>
      </c>
      <c r="N908" s="156" t="s">
        <v>83</v>
      </c>
      <c r="O908" s="157" cm="1">
        <f t="array" ref="O908">TRUNC($H908*(1+_xlfn.SWITCH($N908,"BDI 1",$O$6,"BDI 2",$O$7,"BDI 3",$O$8)),2)</f>
        <v>2.52</v>
      </c>
      <c r="P908" s="157" cm="1">
        <f t="array" ref="P908">TRUNC($I908*(1+_xlfn.SWITCH($N908,"BDI 1",$P$6,"BDI 2",$P$7,"BDI 3",$P$8)),2)</f>
        <v>2.66</v>
      </c>
      <c r="Q908" s="157">
        <v>0</v>
      </c>
      <c r="R908" s="157">
        <v>0</v>
      </c>
      <c r="S908" s="156">
        <f>TRUNC($K908*$O908,2)</f>
        <v>0</v>
      </c>
      <c r="T908" s="156">
        <f>TRUNC($K908*$P908,2)</f>
        <v>0</v>
      </c>
      <c r="U908" s="156">
        <f>TRUNC($J908*$R908,2)</f>
        <v>0</v>
      </c>
      <c r="V908" s="156">
        <f>TRUNC($K908*$Q908,2)</f>
        <v>0</v>
      </c>
      <c r="W908" s="156">
        <f>TRUNC(V908-U908,2)</f>
        <v>0</v>
      </c>
      <c r="X908" s="158">
        <f>$S908/ORCAMENTO_VALOR_TOTAL_ND</f>
        <v>0</v>
      </c>
      <c r="Y908" s="158">
        <f>$T908/ORCAMENTO_VALOR_TOTAL_DE</f>
        <v>0</v>
      </c>
      <c r="Z908" s="158" cm="1">
        <f t="array" ref="Z908">_xlfn.SWITCH($N908,"BDI 1",$O$6,"BDI 2",$O$7,"BDI 3",$O$8)</f>
        <v>0.20699999999999999</v>
      </c>
      <c r="AA908" s="158" cm="1">
        <f t="array" ref="AA908">_xlfn.SWITCH($N908,"BDI 1",$P$6,"BDI 2",$P$7,"BDI 3",$P$8)</f>
        <v>0.26739999999999997</v>
      </c>
      <c r="AB908" s="158">
        <f ca="1">IFERROR($S908/_xlfn.XLOOKUP($AE908,$B$16:$B$38,$S$16:$S$38),0)</f>
        <v>0</v>
      </c>
      <c r="AC908" s="158">
        <f ca="1">IFERROR($T908/_xlfn.XLOOKUP($AE908,$B$16:$B$38,$T$16:$T$38),0)</f>
        <v>0</v>
      </c>
      <c r="AD908" s="164"/>
      <c r="AE908" s="148">
        <f t="shared" ref="AE908:AE909" si="1978">IF(S908&gt;0,IFERROR(TRUNC(A908,0),0),0)</f>
        <v>0</v>
      </c>
      <c r="AF908" s="149"/>
      <c r="AG908" s="150"/>
      <c r="AH908" s="159" t="e">
        <f>+S908/$S$720</f>
        <v>#DIV/0!</v>
      </c>
      <c r="AI908" s="166">
        <f>IF(K908=0,0,K908/F908)</f>
        <v>0</v>
      </c>
      <c r="AJ908" s="105"/>
      <c r="AK908" s="105"/>
      <c r="AM908" s="105"/>
      <c r="AN908" s="105"/>
      <c r="AO908" s="105"/>
      <c r="AP908" s="105"/>
      <c r="AQ908" s="105"/>
      <c r="AR908" s="105"/>
    </row>
    <row r="909" spans="1:44" s="49" customFormat="1" ht="40.15" hidden="1" customHeight="1">
      <c r="A909" s="152">
        <f t="shared" ca="1" si="1873"/>
        <v>0</v>
      </c>
      <c r="B909" s="153">
        <v>93593</v>
      </c>
      <c r="C909" s="154" t="str">
        <f>TEXT(B909,"0")</f>
        <v>93593</v>
      </c>
      <c r="D909" s="154" t="s">
        <v>1416</v>
      </c>
      <c r="E909" s="155" t="s">
        <v>3545</v>
      </c>
      <c r="F909" s="154">
        <f>+Dados_DMT!$B$34-F908</f>
        <v>80</v>
      </c>
      <c r="G909" s="154" t="s">
        <v>3538</v>
      </c>
      <c r="H909" s="152">
        <v>0.84</v>
      </c>
      <c r="I909" s="152">
        <v>0.85</v>
      </c>
      <c r="J909" s="156"/>
      <c r="K909" s="156">
        <f>IF(AI879="USINADO",0,ROUND(Passeio!L243*F909,2))</f>
        <v>0</v>
      </c>
      <c r="L909" s="156">
        <f>IF($K909&gt;$J909,$K909-$J909,0)</f>
        <v>0</v>
      </c>
      <c r="M909" s="156">
        <f>IF($K909&lt;$J909,$J909-$K909,0)</f>
        <v>0</v>
      </c>
      <c r="N909" s="156" t="s">
        <v>83</v>
      </c>
      <c r="O909" s="157" cm="1">
        <f t="array" ref="O909">TRUNC($H909*(1+_xlfn.SWITCH($N909,"BDI 1",$O$6,"BDI 2",$O$7,"BDI 3",$O$8)),2)</f>
        <v>1.01</v>
      </c>
      <c r="P909" s="157" cm="1">
        <f t="array" ref="P909">TRUNC($I909*(1+_xlfn.SWITCH($N909,"BDI 1",$P$6,"BDI 2",$P$7,"BDI 3",$P$8)),2)</f>
        <v>1.07</v>
      </c>
      <c r="Q909" s="157">
        <v>0</v>
      </c>
      <c r="R909" s="157">
        <v>0</v>
      </c>
      <c r="S909" s="156">
        <f>TRUNC($K909*$O909,2)</f>
        <v>0</v>
      </c>
      <c r="T909" s="156">
        <f>TRUNC($K909*$P909,2)</f>
        <v>0</v>
      </c>
      <c r="U909" s="156">
        <f>TRUNC($J909*$R909,2)</f>
        <v>0</v>
      </c>
      <c r="V909" s="156">
        <f>TRUNC($K909*$Q909,2)</f>
        <v>0</v>
      </c>
      <c r="W909" s="156">
        <f>TRUNC(V909-U909,2)</f>
        <v>0</v>
      </c>
      <c r="X909" s="158">
        <f>$S909/ORCAMENTO_VALOR_TOTAL_ND</f>
        <v>0</v>
      </c>
      <c r="Y909" s="158">
        <f>$T909/ORCAMENTO_VALOR_TOTAL_DE</f>
        <v>0</v>
      </c>
      <c r="Z909" s="158" cm="1">
        <f t="array" ref="Z909">_xlfn.SWITCH($N909,"BDI 1",$O$6,"BDI 2",$O$7,"BDI 3",$O$8)</f>
        <v>0.20699999999999999</v>
      </c>
      <c r="AA909" s="158" cm="1">
        <f t="array" ref="AA909">_xlfn.SWITCH($N909,"BDI 1",$P$6,"BDI 2",$P$7,"BDI 3",$P$8)</f>
        <v>0.26739999999999997</v>
      </c>
      <c r="AB909" s="158">
        <f ca="1">IFERROR($S909/_xlfn.XLOOKUP($AE909,$B$16:$B$38,$S$16:$S$38),0)</f>
        <v>0</v>
      </c>
      <c r="AC909" s="158">
        <f ca="1">IFERROR($T909/_xlfn.XLOOKUP($AE909,$B$16:$B$38,$T$16:$T$38),0)</f>
        <v>0</v>
      </c>
      <c r="AD909" s="164"/>
      <c r="AE909" s="148">
        <f t="shared" si="1978"/>
        <v>0</v>
      </c>
      <c r="AF909" s="149"/>
      <c r="AG909" s="150"/>
      <c r="AH909" s="159" t="e">
        <f>+S909/$S$720</f>
        <v>#DIV/0!</v>
      </c>
      <c r="AI909" s="166">
        <f>IF(K909=0,0,K909/F909)</f>
        <v>0</v>
      </c>
      <c r="AJ909" s="105"/>
      <c r="AK909" s="105"/>
      <c r="AM909" s="105"/>
      <c r="AN909" s="105"/>
      <c r="AO909" s="105"/>
      <c r="AP909" s="105"/>
      <c r="AQ909" s="105"/>
      <c r="AR909" s="105"/>
    </row>
    <row r="910" spans="1:44" s="49" customFormat="1" ht="40.15" hidden="1" customHeight="1">
      <c r="A910" s="10">
        <f t="shared" ca="1" si="1873"/>
        <v>0</v>
      </c>
      <c r="B910" s="153"/>
      <c r="C910" s="154"/>
      <c r="D910" s="154"/>
      <c r="E910" s="161" t="s">
        <v>338</v>
      </c>
      <c r="F910" s="154"/>
      <c r="G910" s="154"/>
      <c r="H910" s="152"/>
      <c r="I910" s="152"/>
      <c r="J910" s="154"/>
      <c r="K910" s="154"/>
      <c r="L910" s="154"/>
      <c r="M910" s="154"/>
      <c r="N910" s="154"/>
      <c r="O910" s="157"/>
      <c r="P910" s="157"/>
      <c r="Q910" s="157"/>
      <c r="R910" s="157"/>
      <c r="S910" s="162"/>
      <c r="T910" s="162"/>
      <c r="U910" s="162"/>
      <c r="V910" s="162"/>
      <c r="W910" s="162"/>
      <c r="X910" s="163"/>
      <c r="Y910" s="163"/>
      <c r="Z910" s="163"/>
      <c r="AA910" s="163"/>
      <c r="AB910" s="163"/>
      <c r="AC910" s="163"/>
      <c r="AD910" s="164"/>
      <c r="AE910" s="148">
        <f>IF(SUM(S911:S912)&gt;0,IFERROR(TRUNC(A910,0),0),0)</f>
        <v>0</v>
      </c>
      <c r="AF910" s="149"/>
      <c r="AG910" s="150"/>
      <c r="AH910" s="159"/>
      <c r="AI910" s="160"/>
      <c r="AJ910" s="105"/>
      <c r="AK910" s="105"/>
      <c r="AM910" s="105"/>
      <c r="AN910" s="105"/>
      <c r="AO910" s="105"/>
      <c r="AP910" s="105"/>
      <c r="AQ910" s="105"/>
      <c r="AR910" s="105"/>
    </row>
    <row r="911" spans="1:44" s="49" customFormat="1" ht="40.15" hidden="1" customHeight="1">
      <c r="A911" s="152">
        <f t="shared" ca="1" si="1873"/>
        <v>0</v>
      </c>
      <c r="B911" s="153">
        <v>95876</v>
      </c>
      <c r="C911" s="154" t="str">
        <f>TEXT(B911,"0")</f>
        <v>95876</v>
      </c>
      <c r="D911" s="154" t="s">
        <v>1416</v>
      </c>
      <c r="E911" s="155" t="s">
        <v>3537</v>
      </c>
      <c r="F911" s="154">
        <f>IF(Dados_DMT!$B$17&lt;30,Dados_DMT!$B$17,30)</f>
        <v>3.5</v>
      </c>
      <c r="G911" s="154" t="s">
        <v>3538</v>
      </c>
      <c r="H911" s="152">
        <v>2.09</v>
      </c>
      <c r="I911" s="152">
        <v>2.1</v>
      </c>
      <c r="J911" s="156"/>
      <c r="K911" s="156">
        <f>ROUND(Passeio!L25*F911,2)</f>
        <v>0</v>
      </c>
      <c r="L911" s="156">
        <f>IF($K911&gt;$J911,$K911-$J911,0)</f>
        <v>0</v>
      </c>
      <c r="M911" s="156">
        <f>IF($K911&lt;$J911,$J911-$K911,0)</f>
        <v>0</v>
      </c>
      <c r="N911" s="156" t="s">
        <v>83</v>
      </c>
      <c r="O911" s="157" cm="1">
        <f t="array" ref="O911">TRUNC($H911*(1+_xlfn.SWITCH($N911,"BDI 1",$O$6,"BDI 2",$O$7,"BDI 3",$O$8)),2)</f>
        <v>2.52</v>
      </c>
      <c r="P911" s="157" cm="1">
        <f t="array" ref="P911">TRUNC($I911*(1+_xlfn.SWITCH($N911,"BDI 1",$P$6,"BDI 2",$P$7,"BDI 3",$P$8)),2)</f>
        <v>2.66</v>
      </c>
      <c r="Q911" s="157">
        <v>0</v>
      </c>
      <c r="R911" s="157">
        <v>0</v>
      </c>
      <c r="S911" s="156">
        <f>TRUNC($K911*$O911,2)</f>
        <v>0</v>
      </c>
      <c r="T911" s="156">
        <f>TRUNC($K911*$P911,2)</f>
        <v>0</v>
      </c>
      <c r="U911" s="156">
        <f>TRUNC($J911*$R911,2)</f>
        <v>0</v>
      </c>
      <c r="V911" s="156">
        <f>TRUNC($K911*$Q911,2)</f>
        <v>0</v>
      </c>
      <c r="W911" s="156">
        <f>TRUNC(V911-U911,2)</f>
        <v>0</v>
      </c>
      <c r="X911" s="158">
        <f>$S911/ORCAMENTO_VALOR_TOTAL_ND</f>
        <v>0</v>
      </c>
      <c r="Y911" s="158">
        <f>$T911/ORCAMENTO_VALOR_TOTAL_DE</f>
        <v>0</v>
      </c>
      <c r="Z911" s="158" cm="1">
        <f t="array" ref="Z911">_xlfn.SWITCH($N911,"BDI 1",$O$6,"BDI 2",$O$7,"BDI 3",$O$8)</f>
        <v>0.20699999999999999</v>
      </c>
      <c r="AA911" s="158" cm="1">
        <f t="array" ref="AA911">_xlfn.SWITCH($N911,"BDI 1",$P$6,"BDI 2",$P$7,"BDI 3",$P$8)</f>
        <v>0.26739999999999997</v>
      </c>
      <c r="AB911" s="158">
        <f ca="1">IFERROR($S911/_xlfn.XLOOKUP($AE911,$B$16:$B$38,$S$16:$S$38),0)</f>
        <v>0</v>
      </c>
      <c r="AC911" s="158">
        <f ca="1">IFERROR($T911/_xlfn.XLOOKUP($AE911,$B$16:$B$38,$T$16:$T$38),0)</f>
        <v>0</v>
      </c>
      <c r="AD911" s="164"/>
      <c r="AE911" s="148">
        <f t="shared" ref="AE911:AE912" si="1979">IF(S911&gt;0,IFERROR(TRUNC(A911,0),0),0)</f>
        <v>0</v>
      </c>
      <c r="AF911" s="149"/>
      <c r="AG911" s="150"/>
      <c r="AH911" s="159" t="e">
        <f>+S911/$S$869</f>
        <v>#DIV/0!</v>
      </c>
      <c r="AI911" s="166">
        <f>IF(K911=0,0,K911/F911)</f>
        <v>0</v>
      </c>
      <c r="AJ911" s="105"/>
      <c r="AK911" s="105"/>
      <c r="AM911" s="105"/>
      <c r="AN911" s="105"/>
      <c r="AO911" s="105"/>
      <c r="AP911" s="105"/>
      <c r="AQ911" s="105"/>
      <c r="AR911" s="105"/>
    </row>
    <row r="912" spans="1:44" s="49" customFormat="1" ht="40.15" hidden="1" customHeight="1">
      <c r="A912" s="152">
        <f t="shared" ca="1" si="1873"/>
        <v>0</v>
      </c>
      <c r="B912" s="153">
        <v>93593</v>
      </c>
      <c r="C912" s="154" t="str">
        <f>TEXT(B912,"0")</f>
        <v>93593</v>
      </c>
      <c r="D912" s="154" t="s">
        <v>1416</v>
      </c>
      <c r="E912" s="155" t="s">
        <v>3545</v>
      </c>
      <c r="F912" s="154">
        <f>+Dados_DMT!$B$17-F911</f>
        <v>0</v>
      </c>
      <c r="G912" s="154" t="s">
        <v>3538</v>
      </c>
      <c r="H912" s="152">
        <v>0.84</v>
      </c>
      <c r="I912" s="152">
        <v>0.85</v>
      </c>
      <c r="J912" s="156"/>
      <c r="K912" s="156">
        <f>ROUND(Passeio!L25*F912,2)</f>
        <v>0</v>
      </c>
      <c r="L912" s="156">
        <f>IF($K912&gt;$J912,$K912-$J912,0)</f>
        <v>0</v>
      </c>
      <c r="M912" s="156">
        <f>IF($K912&lt;$J912,$J912-$K912,0)</f>
        <v>0</v>
      </c>
      <c r="N912" s="156" t="s">
        <v>83</v>
      </c>
      <c r="O912" s="157" cm="1">
        <f t="array" ref="O912">TRUNC($H912*(1+_xlfn.SWITCH($N912,"BDI 1",$O$6,"BDI 2",$O$7,"BDI 3",$O$8)),2)</f>
        <v>1.01</v>
      </c>
      <c r="P912" s="157" cm="1">
        <f t="array" ref="P912">TRUNC($I912*(1+_xlfn.SWITCH($N912,"BDI 1",$P$6,"BDI 2",$P$7,"BDI 3",$P$8)),2)</f>
        <v>1.07</v>
      </c>
      <c r="Q912" s="157">
        <v>0</v>
      </c>
      <c r="R912" s="157">
        <v>0</v>
      </c>
      <c r="S912" s="156">
        <f>TRUNC($K912*$O912,2)</f>
        <v>0</v>
      </c>
      <c r="T912" s="156">
        <f>TRUNC($K912*$P912,2)</f>
        <v>0</v>
      </c>
      <c r="U912" s="156">
        <f>TRUNC($J912*$R912,2)</f>
        <v>0</v>
      </c>
      <c r="V912" s="156">
        <f>TRUNC($K912*$Q912,2)</f>
        <v>0</v>
      </c>
      <c r="W912" s="156">
        <f>TRUNC(V912-U912,2)</f>
        <v>0</v>
      </c>
      <c r="X912" s="158">
        <f>$S912/ORCAMENTO_VALOR_TOTAL_ND</f>
        <v>0</v>
      </c>
      <c r="Y912" s="158">
        <f>$T912/ORCAMENTO_VALOR_TOTAL_DE</f>
        <v>0</v>
      </c>
      <c r="Z912" s="158" cm="1">
        <f t="array" ref="Z912">_xlfn.SWITCH($N912,"BDI 1",$O$6,"BDI 2",$O$7,"BDI 3",$O$8)</f>
        <v>0.20699999999999999</v>
      </c>
      <c r="AA912" s="158" cm="1">
        <f t="array" ref="AA912">_xlfn.SWITCH($N912,"BDI 1",$P$6,"BDI 2",$P$7,"BDI 3",$P$8)</f>
        <v>0.26739999999999997</v>
      </c>
      <c r="AB912" s="158">
        <f ca="1">IFERROR($S912/_xlfn.XLOOKUP($AE912,$B$16:$B$38,$S$16:$S$38),0)</f>
        <v>0</v>
      </c>
      <c r="AC912" s="158">
        <f ca="1">IFERROR($T912/_xlfn.XLOOKUP($AE912,$B$16:$B$38,$T$16:$T$38),0)</f>
        <v>0</v>
      </c>
      <c r="AD912" s="164"/>
      <c r="AE912" s="148">
        <f t="shared" si="1979"/>
        <v>0</v>
      </c>
      <c r="AF912" s="149"/>
      <c r="AG912" s="150"/>
      <c r="AH912" s="159" t="e">
        <f>+S912/$S$869</f>
        <v>#DIV/0!</v>
      </c>
      <c r="AI912" s="166">
        <f>IF(K912=0,0,K912/F912)</f>
        <v>0</v>
      </c>
      <c r="AJ912" s="105"/>
      <c r="AK912" s="105"/>
      <c r="AM912" s="105"/>
      <c r="AN912" s="105"/>
      <c r="AO912" s="105"/>
      <c r="AP912" s="105"/>
      <c r="AQ912" s="105"/>
      <c r="AR912" s="105"/>
    </row>
    <row r="913" spans="1:44" s="49" customFormat="1" ht="40.15" hidden="1" customHeight="1">
      <c r="A913" s="10">
        <f t="shared" ca="1" si="1873"/>
        <v>0</v>
      </c>
      <c r="B913" s="153"/>
      <c r="C913" s="154"/>
      <c r="D913" s="154"/>
      <c r="E913" s="161" t="s">
        <v>339</v>
      </c>
      <c r="F913" s="154"/>
      <c r="G913" s="154"/>
      <c r="H913" s="152"/>
      <c r="I913" s="152"/>
      <c r="J913" s="154"/>
      <c r="K913" s="154"/>
      <c r="L913" s="154"/>
      <c r="M913" s="154"/>
      <c r="N913" s="154"/>
      <c r="O913" s="162"/>
      <c r="P913" s="162"/>
      <c r="Q913" s="162"/>
      <c r="R913" s="162"/>
      <c r="S913" s="162"/>
      <c r="T913" s="162"/>
      <c r="U913" s="162"/>
      <c r="V913" s="162"/>
      <c r="W913" s="162"/>
      <c r="X913" s="163"/>
      <c r="Y913" s="163"/>
      <c r="Z913" s="163"/>
      <c r="AA913" s="163"/>
      <c r="AB913" s="163"/>
      <c r="AC913" s="163"/>
      <c r="AD913" s="164"/>
      <c r="AE913" s="148">
        <f>IF(SUM(S914:S915)&gt;0,IFERROR(TRUNC(A913,0),0),0)</f>
        <v>0</v>
      </c>
      <c r="AF913" s="149"/>
      <c r="AG913" s="150"/>
      <c r="AH913" s="159"/>
      <c r="AI913" s="160"/>
      <c r="AJ913" s="105"/>
      <c r="AK913" s="105"/>
      <c r="AM913" s="105"/>
      <c r="AN913" s="105"/>
      <c r="AO913" s="105"/>
      <c r="AP913" s="105"/>
      <c r="AQ913" s="105"/>
      <c r="AR913" s="105"/>
    </row>
    <row r="914" spans="1:44" s="49" customFormat="1" ht="40.15" hidden="1" customHeight="1">
      <c r="A914" s="152">
        <f t="shared" ca="1" si="1873"/>
        <v>0</v>
      </c>
      <c r="B914" s="153">
        <v>100947</v>
      </c>
      <c r="C914" s="154" t="str">
        <f>TEXT(B914,"0")</f>
        <v>100947</v>
      </c>
      <c r="D914" s="154" t="s">
        <v>1416</v>
      </c>
      <c r="E914" s="155" t="s">
        <v>385</v>
      </c>
      <c r="F914" s="154">
        <f>IF(Dados_DMT!$B$13&lt;30,Dados_DMT!$B$13,30)</f>
        <v>30</v>
      </c>
      <c r="G914" s="154" t="s">
        <v>3534</v>
      </c>
      <c r="H914" s="152">
        <v>2.15</v>
      </c>
      <c r="I914" s="152">
        <v>2.13</v>
      </c>
      <c r="J914" s="156"/>
      <c r="K914" s="156">
        <f>ROUND(Passeio!L239*F914,2)</f>
        <v>0</v>
      </c>
      <c r="L914" s="156">
        <f>IF($K914&gt;$J914,$K914-$J914,0)</f>
        <v>0</v>
      </c>
      <c r="M914" s="156">
        <f>IF($K914&lt;$J914,$J914-$K914,0)</f>
        <v>0</v>
      </c>
      <c r="N914" s="156" t="s">
        <v>83</v>
      </c>
      <c r="O914" s="157" cm="1">
        <f t="array" ref="O914">TRUNC($H914*(1+_xlfn.SWITCH($N914,"BDI 1",$O$6,"BDI 2",$O$7,"BDI 3",$O$8)),2)</f>
        <v>2.59</v>
      </c>
      <c r="P914" s="157" cm="1">
        <f t="array" ref="P914">TRUNC($I914*(1+_xlfn.SWITCH($N914,"BDI 1",$P$6,"BDI 2",$P$7,"BDI 3",$P$8)),2)</f>
        <v>2.69</v>
      </c>
      <c r="Q914" s="157">
        <v>0</v>
      </c>
      <c r="R914" s="157">
        <v>0</v>
      </c>
      <c r="S914" s="156">
        <f>TRUNC($K914*$O914,2)</f>
        <v>0</v>
      </c>
      <c r="T914" s="156">
        <f>TRUNC($K914*$P914,2)</f>
        <v>0</v>
      </c>
      <c r="U914" s="156">
        <f>TRUNC($J914*$R914,2)</f>
        <v>0</v>
      </c>
      <c r="V914" s="156">
        <f>TRUNC($K914*$Q914,2)</f>
        <v>0</v>
      </c>
      <c r="W914" s="156">
        <f>TRUNC(V914-U914,2)</f>
        <v>0</v>
      </c>
      <c r="X914" s="158">
        <f>$S914/ORCAMENTO_VALOR_TOTAL_ND</f>
        <v>0</v>
      </c>
      <c r="Y914" s="158">
        <f>$T914/ORCAMENTO_VALOR_TOTAL_DE</f>
        <v>0</v>
      </c>
      <c r="Z914" s="158" cm="1">
        <f t="array" ref="Z914">_xlfn.SWITCH($N914,"BDI 1",$O$6,"BDI 2",$O$7,"BDI 3",$O$8)</f>
        <v>0.20699999999999999</v>
      </c>
      <c r="AA914" s="158" cm="1">
        <f t="array" ref="AA914">_xlfn.SWITCH($N914,"BDI 1",$P$6,"BDI 2",$P$7,"BDI 3",$P$8)</f>
        <v>0.26739999999999997</v>
      </c>
      <c r="AB914" s="158">
        <f ca="1">IFERROR($S914/_xlfn.XLOOKUP($AE914,$B$16:$B$38,$S$16:$S$38),0)</f>
        <v>0</v>
      </c>
      <c r="AC914" s="158">
        <f ca="1">IFERROR($T914/_xlfn.XLOOKUP($AE914,$B$16:$B$38,$T$16:$T$38),0)</f>
        <v>0</v>
      </c>
      <c r="AD914" s="164"/>
      <c r="AE914" s="148">
        <f t="shared" ref="AE914:AE915" si="1980">IF(S914&gt;0,IFERROR(TRUNC(A914,0),0),0)</f>
        <v>0</v>
      </c>
      <c r="AF914" s="149"/>
      <c r="AG914" s="150"/>
      <c r="AH914" s="159" t="e">
        <f>+S914/$S$869</f>
        <v>#DIV/0!</v>
      </c>
      <c r="AI914" s="160"/>
      <c r="AJ914" s="105"/>
      <c r="AK914" s="105"/>
      <c r="AM914" s="105"/>
      <c r="AN914" s="105"/>
      <c r="AO914" s="105"/>
      <c r="AP914" s="105"/>
      <c r="AQ914" s="105"/>
      <c r="AR914" s="105"/>
    </row>
    <row r="915" spans="1:44" s="49" customFormat="1" ht="40.15" hidden="1" customHeight="1">
      <c r="A915" s="152">
        <f t="shared" ca="1" si="1873"/>
        <v>0</v>
      </c>
      <c r="B915" s="153">
        <v>100948</v>
      </c>
      <c r="C915" s="154" t="str">
        <f>TEXT(B915,"0")</f>
        <v>100948</v>
      </c>
      <c r="D915" s="154" t="s">
        <v>1416</v>
      </c>
      <c r="E915" s="155" t="s">
        <v>3615</v>
      </c>
      <c r="F915" s="154">
        <f>+Dados_DMT!$B$13-F914</f>
        <v>70</v>
      </c>
      <c r="G915" s="154" t="s">
        <v>3534</v>
      </c>
      <c r="H915" s="152">
        <v>0.85</v>
      </c>
      <c r="I915" s="152">
        <v>0.84</v>
      </c>
      <c r="J915" s="156"/>
      <c r="K915" s="156">
        <f>ROUND(Passeio!L239*F915,2)</f>
        <v>0</v>
      </c>
      <c r="L915" s="156">
        <f>IF($K915&gt;$J915,$K915-$J915,0)</f>
        <v>0</v>
      </c>
      <c r="M915" s="156">
        <f>IF($K915&lt;$J915,$J915-$K915,0)</f>
        <v>0</v>
      </c>
      <c r="N915" s="156" t="s">
        <v>83</v>
      </c>
      <c r="O915" s="157" cm="1">
        <f t="array" ref="O915">TRUNC($H915*(1+_xlfn.SWITCH($N915,"BDI 1",$O$6,"BDI 2",$O$7,"BDI 3",$O$8)),2)</f>
        <v>1.02</v>
      </c>
      <c r="P915" s="157" cm="1">
        <f t="array" ref="P915">TRUNC($I915*(1+_xlfn.SWITCH($N915,"BDI 1",$P$6,"BDI 2",$P$7,"BDI 3",$P$8)),2)</f>
        <v>1.06</v>
      </c>
      <c r="Q915" s="157">
        <v>0</v>
      </c>
      <c r="R915" s="157">
        <v>0</v>
      </c>
      <c r="S915" s="156">
        <f>TRUNC($K915*$O915,2)</f>
        <v>0</v>
      </c>
      <c r="T915" s="156">
        <f>TRUNC($K915*$P915,2)</f>
        <v>0</v>
      </c>
      <c r="U915" s="156">
        <f>TRUNC($J915*$R915,2)</f>
        <v>0</v>
      </c>
      <c r="V915" s="156">
        <f>TRUNC($K915*$Q915,2)</f>
        <v>0</v>
      </c>
      <c r="W915" s="156">
        <f>TRUNC(V915-U915,2)</f>
        <v>0</v>
      </c>
      <c r="X915" s="158">
        <f>$S915/ORCAMENTO_VALOR_TOTAL_ND</f>
        <v>0</v>
      </c>
      <c r="Y915" s="158">
        <f>$T915/ORCAMENTO_VALOR_TOTAL_DE</f>
        <v>0</v>
      </c>
      <c r="Z915" s="158" cm="1">
        <f t="array" ref="Z915">_xlfn.SWITCH($N915,"BDI 1",$O$6,"BDI 2",$O$7,"BDI 3",$O$8)</f>
        <v>0.20699999999999999</v>
      </c>
      <c r="AA915" s="158" cm="1">
        <f t="array" ref="AA915">_xlfn.SWITCH($N915,"BDI 1",$P$6,"BDI 2",$P$7,"BDI 3",$P$8)</f>
        <v>0.26739999999999997</v>
      </c>
      <c r="AB915" s="158">
        <f ca="1">IFERROR($S915/_xlfn.XLOOKUP($AE915,$B$16:$B$38,$S$16:$S$38),0)</f>
        <v>0</v>
      </c>
      <c r="AC915" s="158">
        <f ca="1">IFERROR($T915/_xlfn.XLOOKUP($AE915,$B$16:$B$38,$T$16:$T$38),0)</f>
        <v>0</v>
      </c>
      <c r="AD915" s="164"/>
      <c r="AE915" s="148">
        <f t="shared" si="1980"/>
        <v>0</v>
      </c>
      <c r="AF915" s="149"/>
      <c r="AG915" s="150"/>
      <c r="AH915" s="159" t="e">
        <f>+S915/$S$869</f>
        <v>#DIV/0!</v>
      </c>
      <c r="AI915" s="160"/>
      <c r="AJ915" s="105"/>
      <c r="AK915" s="105"/>
      <c r="AM915" s="105"/>
      <c r="AN915" s="105"/>
      <c r="AO915" s="105"/>
      <c r="AP915" s="105"/>
      <c r="AQ915" s="105"/>
      <c r="AR915" s="105"/>
    </row>
    <row r="916" spans="1:44" s="49" customFormat="1" ht="40.15" hidden="1" customHeight="1">
      <c r="A916" s="10">
        <f t="shared" ca="1" si="1873"/>
        <v>0</v>
      </c>
      <c r="B916" s="153"/>
      <c r="C916" s="154"/>
      <c r="D916" s="154"/>
      <c r="E916" s="155"/>
      <c r="F916" s="154"/>
      <c r="G916" s="154"/>
      <c r="H916" s="154"/>
      <c r="I916" s="154"/>
      <c r="J916" s="168"/>
      <c r="K916" s="168"/>
      <c r="L916" s="168"/>
      <c r="M916" s="168"/>
      <c r="N916" s="168"/>
      <c r="O916" s="157"/>
      <c r="P916" s="157"/>
      <c r="Q916" s="157"/>
      <c r="R916" s="157"/>
      <c r="S916" s="162"/>
      <c r="T916" s="162"/>
      <c r="U916" s="162"/>
      <c r="V916" s="162"/>
      <c r="W916" s="162"/>
      <c r="X916" s="163"/>
      <c r="Y916" s="163"/>
      <c r="Z916" s="163"/>
      <c r="AA916" s="163"/>
      <c r="AB916" s="163"/>
      <c r="AC916" s="163"/>
      <c r="AD916" s="164"/>
      <c r="AE916" s="148">
        <f>IF(S917&gt;0,IFERROR(TRUNC(A917,0),0),0)</f>
        <v>0</v>
      </c>
      <c r="AF916" s="149"/>
      <c r="AG916" s="150"/>
      <c r="AH916" s="159"/>
      <c r="AI916" s="160"/>
      <c r="AJ916" s="105"/>
      <c r="AK916" s="105"/>
      <c r="AM916" s="105"/>
      <c r="AN916" s="105"/>
      <c r="AO916" s="105"/>
      <c r="AP916" s="105"/>
      <c r="AQ916" s="105"/>
      <c r="AR916" s="105"/>
    </row>
    <row r="917" spans="1:44" s="105" customFormat="1" ht="40.15" hidden="1" customHeight="1">
      <c r="A917" s="169">
        <f ca="1">$B$32</f>
        <v>0</v>
      </c>
      <c r="B917" s="170"/>
      <c r="C917" s="171"/>
      <c r="D917" s="172"/>
      <c r="E917" s="173" t="str">
        <f>$D$32</f>
        <v>PARADA DE ÔNIBUS - PAVIMENTO RÍGIDO E PLATAFORMA</v>
      </c>
      <c r="F917" s="174">
        <v>0</v>
      </c>
      <c r="G917" s="175"/>
      <c r="H917" s="176" t="s">
        <v>329</v>
      </c>
      <c r="I917" s="176" t="s">
        <v>329</v>
      </c>
      <c r="J917" s="177"/>
      <c r="K917" s="177"/>
      <c r="L917" s="177"/>
      <c r="M917" s="177"/>
      <c r="N917" s="177"/>
      <c r="O917" s="178" t="str">
        <f ca="1">CONCATENATE("SUB-TOTAL ",$A917)</f>
        <v>SUB-TOTAL 0</v>
      </c>
      <c r="P917" s="178" t="e" cm="1">
        <f t="array" ref="P917">TRUNC($I917*(1+_xlfn.SWITCH($N917,"BDI 1",$P$6,"BDI 2",$P$7,"BDI 3",$P$8)),2)</f>
        <v>#VALUE!</v>
      </c>
      <c r="Q917" s="178" t="str">
        <f ca="1">CONCATENATE("SUB-TOTAL ",$A917)</f>
        <v>SUB-TOTAL 0</v>
      </c>
      <c r="R917" s="178"/>
      <c r="S917" s="179">
        <f>SUM(S918:S959)</f>
        <v>0</v>
      </c>
      <c r="T917" s="179">
        <f>SUM(T918:T959)</f>
        <v>0</v>
      </c>
      <c r="U917" s="179">
        <f>SUM(U918:U959)</f>
        <v>0</v>
      </c>
      <c r="V917" s="179">
        <f>SUM(V918:V959)</f>
        <v>0</v>
      </c>
      <c r="W917" s="179">
        <f t="shared" ref="W917:W934" si="1981">TRUNC(V917-U917,2)</f>
        <v>0</v>
      </c>
      <c r="X917" s="180">
        <f t="shared" ref="X917" si="1982">$S917/ORCAMENTO_VALOR_TOTAL_ND</f>
        <v>0</v>
      </c>
      <c r="Y917" s="180">
        <f t="shared" ref="Y917" si="1983">$T917/ORCAMENTO_VALOR_TOTAL_DE</f>
        <v>0</v>
      </c>
      <c r="Z917" s="180"/>
      <c r="AA917" s="180"/>
      <c r="AB917" s="180">
        <f>IFERROR($S917/$S917,0)</f>
        <v>0</v>
      </c>
      <c r="AC917" s="180">
        <f>IFERROR($T917/$T917,0)</f>
        <v>0</v>
      </c>
      <c r="AD917" s="147"/>
      <c r="AE917" s="148">
        <f t="shared" ref="AE917:AE934" si="1984">IF(S917&gt;0,IFERROR(TRUNC(A917,0),0),0)</f>
        <v>0</v>
      </c>
      <c r="AF917" s="149"/>
      <c r="AG917" s="150"/>
      <c r="AH917" s="151" t="e">
        <f t="shared" ref="AH917:AH954" si="1985">+S917/$S$869</f>
        <v>#DIV/0!</v>
      </c>
    </row>
    <row r="918" spans="1:44" s="49" customFormat="1" ht="40.15" hidden="1" customHeight="1">
      <c r="A918" s="152">
        <f t="shared" ref="A918:A960" ca="1" si="1986">+IF(K918&gt;0,A917+0.01,A917)</f>
        <v>0</v>
      </c>
      <c r="B918" s="153">
        <v>97636</v>
      </c>
      <c r="C918" s="154" t="str">
        <f t="shared" ref="C918:C934" si="1987">TEXT(B918,"0")</f>
        <v>97636</v>
      </c>
      <c r="D918" s="154" t="s">
        <v>1416</v>
      </c>
      <c r="E918" s="155" t="s">
        <v>3596</v>
      </c>
      <c r="F918" s="154"/>
      <c r="G918" s="154" t="s">
        <v>1418</v>
      </c>
      <c r="H918" s="152">
        <v>20.57</v>
      </c>
      <c r="I918" s="152">
        <v>19.809999999999999</v>
      </c>
      <c r="J918" s="156"/>
      <c r="K918" s="156">
        <f>Ponto_Onibus!I10</f>
        <v>0</v>
      </c>
      <c r="L918" s="156">
        <f t="shared" ref="L918:L934" si="1988">IF($K918&gt;$J918,$K918-$J918,0)</f>
        <v>0</v>
      </c>
      <c r="M918" s="156">
        <f t="shared" ref="M918:M934" si="1989">IF($K918&lt;$J918,$J918-$K918,0)</f>
        <v>0</v>
      </c>
      <c r="N918" s="156" t="s">
        <v>83</v>
      </c>
      <c r="O918" s="157" cm="1">
        <f t="array" ref="O918">TRUNC($H918*(1+_xlfn.SWITCH($N918,"BDI 1",$O$6,"BDI 2",$O$7,"BDI 3",$O$8)),2)</f>
        <v>24.82</v>
      </c>
      <c r="P918" s="157" cm="1">
        <f t="array" ref="P918">TRUNC($I918*(1+_xlfn.SWITCH($N918,"BDI 1",$P$6,"BDI 2",$P$7,"BDI 3",$P$8)),2)</f>
        <v>25.1</v>
      </c>
      <c r="Q918" s="157">
        <v>0</v>
      </c>
      <c r="R918" s="157">
        <f t="shared" ref="R918" si="1990">$Q918-($Q918*LICITACAO_DESCONTO)</f>
        <v>0</v>
      </c>
      <c r="S918" s="156">
        <f t="shared" ref="S918:S934" si="1991">TRUNC($K918*$O918,2)</f>
        <v>0</v>
      </c>
      <c r="T918" s="156">
        <f t="shared" ref="T918:T934" si="1992">TRUNC($K918*$P918,2)</f>
        <v>0</v>
      </c>
      <c r="U918" s="156">
        <f t="shared" ref="U918:U934" si="1993">TRUNC($J918*$R918,2)</f>
        <v>0</v>
      </c>
      <c r="V918" s="156">
        <f t="shared" ref="V918:V934" si="1994">TRUNC($K918*$Q918,2)</f>
        <v>0</v>
      </c>
      <c r="W918" s="156">
        <f t="shared" si="1981"/>
        <v>0</v>
      </c>
      <c r="X918" s="158">
        <f t="shared" ref="X918" si="1995">$S918/ORCAMENTO_VALOR_TOTAL_ND</f>
        <v>0</v>
      </c>
      <c r="Y918" s="158">
        <f t="shared" ref="Y918" si="1996">$T918/ORCAMENTO_VALOR_TOTAL_DE</f>
        <v>0</v>
      </c>
      <c r="Z918" s="158" cm="1">
        <f t="array" ref="Z918">_xlfn.SWITCH($N918,"BDI 1",$O$6,"BDI 2",$O$7,"BDI 3",$O$8)</f>
        <v>0.20699999999999999</v>
      </c>
      <c r="AA918" s="158" cm="1">
        <f t="array" ref="AA918">_xlfn.SWITCH($N918,"BDI 1",$P$6,"BDI 2",$P$7,"BDI 3",$P$8)</f>
        <v>0.26739999999999997</v>
      </c>
      <c r="AB918" s="158">
        <f t="shared" ref="AB918:AB934" ca="1" si="1997">IFERROR($S918/_xlfn.XLOOKUP($AE918,$B$16:$B$38,$S$16:$S$38),0)</f>
        <v>0</v>
      </c>
      <c r="AC918" s="158">
        <f t="shared" ref="AC918:AC934" ca="1" si="1998">IFERROR($T918/_xlfn.XLOOKUP($AE918,$B$16:$B$38,$T$16:$T$38),0)</f>
        <v>0</v>
      </c>
      <c r="AD918" s="164"/>
      <c r="AE918" s="148">
        <f t="shared" si="1984"/>
        <v>0</v>
      </c>
      <c r="AF918" s="149"/>
      <c r="AG918" s="150"/>
      <c r="AH918" s="159" t="e">
        <f t="shared" si="1985"/>
        <v>#DIV/0!</v>
      </c>
      <c r="AI918" s="160">
        <v>0</v>
      </c>
      <c r="AJ918" s="105"/>
      <c r="AK918" s="105"/>
      <c r="AM918" s="105"/>
      <c r="AN918" s="105"/>
      <c r="AO918" s="105"/>
      <c r="AP918" s="105"/>
      <c r="AQ918" s="105"/>
      <c r="AR918" s="105"/>
    </row>
    <row r="919" spans="1:44" s="49" customFormat="1" ht="49.9" hidden="1" customHeight="1">
      <c r="A919" s="152">
        <f t="shared" ca="1" si="1986"/>
        <v>0</v>
      </c>
      <c r="B919" s="153">
        <v>101230</v>
      </c>
      <c r="C919" s="154" t="str">
        <f t="shared" si="1987"/>
        <v>101230</v>
      </c>
      <c r="D919" s="154" t="s">
        <v>1416</v>
      </c>
      <c r="E919" s="155" t="s">
        <v>3677</v>
      </c>
      <c r="F919" s="154"/>
      <c r="G919" s="154" t="s">
        <v>464</v>
      </c>
      <c r="H919" s="152">
        <v>10.7</v>
      </c>
      <c r="I919" s="152">
        <v>10.73</v>
      </c>
      <c r="J919" s="156"/>
      <c r="K919" s="156">
        <f>+Ponto_Onibus!I17+Ponto_Onibus!I11</f>
        <v>0</v>
      </c>
      <c r="L919" s="156">
        <f t="shared" si="1988"/>
        <v>0</v>
      </c>
      <c r="M919" s="156">
        <f t="shared" si="1989"/>
        <v>0</v>
      </c>
      <c r="N919" s="156" t="s">
        <v>83</v>
      </c>
      <c r="O919" s="157" cm="1">
        <f t="array" ref="O919">TRUNC($H919*(1+_xlfn.SWITCH($N919,"BDI 1",$O$6,"BDI 2",$O$7,"BDI 3",$O$8)),2)</f>
        <v>12.91</v>
      </c>
      <c r="P919" s="157" cm="1">
        <f t="array" ref="P919">TRUNC($I919*(1+_xlfn.SWITCH($N919,"BDI 1",$P$6,"BDI 2",$P$7,"BDI 3",$P$8)),2)</f>
        <v>13.59</v>
      </c>
      <c r="Q919" s="157">
        <v>0</v>
      </c>
      <c r="R919" s="157">
        <f t="shared" ref="R919" si="1999">$Q919-($Q919*LICITACAO_DESCONTO)</f>
        <v>0</v>
      </c>
      <c r="S919" s="156">
        <f t="shared" si="1991"/>
        <v>0</v>
      </c>
      <c r="T919" s="156">
        <f t="shared" si="1992"/>
        <v>0</v>
      </c>
      <c r="U919" s="156">
        <f t="shared" si="1993"/>
        <v>0</v>
      </c>
      <c r="V919" s="156">
        <f t="shared" si="1994"/>
        <v>0</v>
      </c>
      <c r="W919" s="156">
        <f t="shared" si="1981"/>
        <v>0</v>
      </c>
      <c r="X919" s="158">
        <f t="shared" ref="X919" si="2000">$S919/ORCAMENTO_VALOR_TOTAL_ND</f>
        <v>0</v>
      </c>
      <c r="Y919" s="158">
        <f t="shared" ref="Y919" si="2001">$T919/ORCAMENTO_VALOR_TOTAL_DE</f>
        <v>0</v>
      </c>
      <c r="Z919" s="158" cm="1">
        <f t="array" ref="Z919">_xlfn.SWITCH($N919,"BDI 1",$O$6,"BDI 2",$O$7,"BDI 3",$O$8)</f>
        <v>0.20699999999999999</v>
      </c>
      <c r="AA919" s="158" cm="1">
        <f t="array" ref="AA919">_xlfn.SWITCH($N919,"BDI 1",$P$6,"BDI 2",$P$7,"BDI 3",$P$8)</f>
        <v>0.26739999999999997</v>
      </c>
      <c r="AB919" s="158">
        <f t="shared" ca="1" si="1997"/>
        <v>0</v>
      </c>
      <c r="AC919" s="158">
        <f t="shared" ca="1" si="1998"/>
        <v>0</v>
      </c>
      <c r="AD919" s="164"/>
      <c r="AE919" s="148">
        <f t="shared" si="1984"/>
        <v>0</v>
      </c>
      <c r="AF919" s="149"/>
      <c r="AG919" s="150"/>
      <c r="AH919" s="159" t="e">
        <f t="shared" si="1985"/>
        <v>#DIV/0!</v>
      </c>
      <c r="AI919" s="160"/>
      <c r="AJ919" s="105"/>
      <c r="AK919" s="105"/>
      <c r="AM919" s="105"/>
      <c r="AN919" s="105"/>
      <c r="AO919" s="105"/>
      <c r="AP919" s="105"/>
      <c r="AQ919" s="105"/>
      <c r="AR919" s="105"/>
    </row>
    <row r="920" spans="1:44" s="49" customFormat="1" ht="40.15" hidden="1" customHeight="1">
      <c r="A920" s="152">
        <f t="shared" ca="1" si="1986"/>
        <v>0</v>
      </c>
      <c r="B920" s="153" t="s">
        <v>279</v>
      </c>
      <c r="C920" s="154" t="str">
        <f t="shared" si="1987"/>
        <v>PA/0010</v>
      </c>
      <c r="D920" s="154" t="s">
        <v>3549</v>
      </c>
      <c r="E920" s="155" t="s">
        <v>3878</v>
      </c>
      <c r="F920" s="154"/>
      <c r="G920" s="154" t="s">
        <v>464</v>
      </c>
      <c r="H920" s="152">
        <v>136.76</v>
      </c>
      <c r="I920" s="152">
        <v>136.53</v>
      </c>
      <c r="J920" s="156"/>
      <c r="K920" s="156">
        <f>+Ponto_Onibus!I17</f>
        <v>0</v>
      </c>
      <c r="L920" s="156">
        <f t="shared" si="1988"/>
        <v>0</v>
      </c>
      <c r="M920" s="156">
        <f t="shared" si="1989"/>
        <v>0</v>
      </c>
      <c r="N920" s="156" t="s">
        <v>83</v>
      </c>
      <c r="O920" s="157" cm="1">
        <f t="array" ref="O920">TRUNC($H920*(1+_xlfn.SWITCH($N920,"BDI 1",$O$6,"BDI 2",$O$7,"BDI 3",$O$8)),2)</f>
        <v>165.06</v>
      </c>
      <c r="P920" s="157" cm="1">
        <f t="array" ref="P920">TRUNC($I920*(1+_xlfn.SWITCH($N920,"BDI 1",$P$6,"BDI 2",$P$7,"BDI 3",$P$8)),2)</f>
        <v>173.03</v>
      </c>
      <c r="Q920" s="157">
        <v>0</v>
      </c>
      <c r="R920" s="157">
        <f t="shared" ref="R920" si="2002">$Q920-($Q920*LICITACAO_DESCONTO)</f>
        <v>0</v>
      </c>
      <c r="S920" s="156">
        <f t="shared" si="1991"/>
        <v>0</v>
      </c>
      <c r="T920" s="156">
        <f t="shared" si="1992"/>
        <v>0</v>
      </c>
      <c r="U920" s="156">
        <f t="shared" si="1993"/>
        <v>0</v>
      </c>
      <c r="V920" s="156">
        <f t="shared" si="1994"/>
        <v>0</v>
      </c>
      <c r="W920" s="156">
        <f t="shared" si="1981"/>
        <v>0</v>
      </c>
      <c r="X920" s="158">
        <f t="shared" ref="X920" si="2003">$S920/ORCAMENTO_VALOR_TOTAL_ND</f>
        <v>0</v>
      </c>
      <c r="Y920" s="158">
        <f t="shared" ref="Y920" si="2004">$T920/ORCAMENTO_VALOR_TOTAL_DE</f>
        <v>0</v>
      </c>
      <c r="Z920" s="158" cm="1">
        <f t="array" ref="Z920">_xlfn.SWITCH($N920,"BDI 1",$O$6,"BDI 2",$O$7,"BDI 3",$O$8)</f>
        <v>0.20699999999999999</v>
      </c>
      <c r="AA920" s="158" cm="1">
        <f t="array" ref="AA920">_xlfn.SWITCH($N920,"BDI 1",$P$6,"BDI 2",$P$7,"BDI 3",$P$8)</f>
        <v>0.26739999999999997</v>
      </c>
      <c r="AB920" s="158">
        <f t="shared" ca="1" si="1997"/>
        <v>0</v>
      </c>
      <c r="AC920" s="158">
        <f t="shared" ca="1" si="1998"/>
        <v>0</v>
      </c>
      <c r="AD920" s="164"/>
      <c r="AE920" s="148">
        <f t="shared" si="1984"/>
        <v>0</v>
      </c>
      <c r="AF920" s="149"/>
      <c r="AG920" s="150"/>
      <c r="AH920" s="159" t="e">
        <f t="shared" si="1985"/>
        <v>#DIV/0!</v>
      </c>
      <c r="AI920" s="165" t="s">
        <v>243</v>
      </c>
      <c r="AJ920" s="105"/>
      <c r="AK920" s="105"/>
      <c r="AM920" s="105"/>
      <c r="AN920" s="105"/>
      <c r="AO920" s="105"/>
      <c r="AP920" s="105"/>
      <c r="AQ920" s="105"/>
      <c r="AR920" s="105"/>
    </row>
    <row r="921" spans="1:44" s="49" customFormat="1" ht="40.15" hidden="1" customHeight="1">
      <c r="A921" s="152">
        <f t="shared" ca="1" si="1986"/>
        <v>0</v>
      </c>
      <c r="B921" s="153">
        <v>100576</v>
      </c>
      <c r="C921" s="154" t="str">
        <f t="shared" si="1987"/>
        <v>100576</v>
      </c>
      <c r="D921" s="154" t="s">
        <v>1416</v>
      </c>
      <c r="E921" s="155" t="s">
        <v>3901</v>
      </c>
      <c r="F921" s="154"/>
      <c r="G921" s="154" t="s">
        <v>1418</v>
      </c>
      <c r="H921" s="152">
        <v>2.46</v>
      </c>
      <c r="I921" s="152">
        <v>2.39</v>
      </c>
      <c r="J921" s="156"/>
      <c r="K921" s="156">
        <f>+Ponto_Onibus!I12</f>
        <v>0</v>
      </c>
      <c r="L921" s="156">
        <f t="shared" si="1988"/>
        <v>0</v>
      </c>
      <c r="M921" s="156">
        <f t="shared" si="1989"/>
        <v>0</v>
      </c>
      <c r="N921" s="156" t="s">
        <v>83</v>
      </c>
      <c r="O921" s="157" cm="1">
        <f t="array" ref="O921">TRUNC($H921*(1+_xlfn.SWITCH($N921,"BDI 1",$O$6,"BDI 2",$O$7,"BDI 3",$O$8)),2)</f>
        <v>2.96</v>
      </c>
      <c r="P921" s="157" cm="1">
        <f t="array" ref="P921">TRUNC($I921*(1+_xlfn.SWITCH($N921,"BDI 1",$P$6,"BDI 2",$P$7,"BDI 3",$P$8)),2)</f>
        <v>3.02</v>
      </c>
      <c r="Q921" s="157">
        <v>0</v>
      </c>
      <c r="R921" s="157">
        <f t="shared" ref="R921" si="2005">$Q921-($Q921*LICITACAO_DESCONTO)</f>
        <v>0</v>
      </c>
      <c r="S921" s="156">
        <f t="shared" si="1991"/>
        <v>0</v>
      </c>
      <c r="T921" s="156">
        <f t="shared" si="1992"/>
        <v>0</v>
      </c>
      <c r="U921" s="156">
        <f t="shared" si="1993"/>
        <v>0</v>
      </c>
      <c r="V921" s="156">
        <f t="shared" si="1994"/>
        <v>0</v>
      </c>
      <c r="W921" s="156">
        <f t="shared" si="1981"/>
        <v>0</v>
      </c>
      <c r="X921" s="158">
        <f t="shared" ref="X921" si="2006">$S921/ORCAMENTO_VALOR_TOTAL_ND</f>
        <v>0</v>
      </c>
      <c r="Y921" s="158">
        <f t="shared" ref="Y921" si="2007">$T921/ORCAMENTO_VALOR_TOTAL_DE</f>
        <v>0</v>
      </c>
      <c r="Z921" s="158" cm="1">
        <f t="array" ref="Z921">_xlfn.SWITCH($N921,"BDI 1",$O$6,"BDI 2",$O$7,"BDI 3",$O$8)</f>
        <v>0.20699999999999999</v>
      </c>
      <c r="AA921" s="158" cm="1">
        <f t="array" ref="AA921">_xlfn.SWITCH($N921,"BDI 1",$P$6,"BDI 2",$P$7,"BDI 3",$P$8)</f>
        <v>0.26739999999999997</v>
      </c>
      <c r="AB921" s="158">
        <f t="shared" ca="1" si="1997"/>
        <v>0</v>
      </c>
      <c r="AC921" s="158">
        <f t="shared" ca="1" si="1998"/>
        <v>0</v>
      </c>
      <c r="AD921" s="164"/>
      <c r="AE921" s="148">
        <f t="shared" si="1984"/>
        <v>0</v>
      </c>
      <c r="AF921" s="149"/>
      <c r="AG921" s="150"/>
      <c r="AH921" s="159" t="e">
        <f t="shared" si="1985"/>
        <v>#DIV/0!</v>
      </c>
      <c r="AI921" s="160"/>
      <c r="AJ921" s="181" t="s">
        <v>105</v>
      </c>
      <c r="AK921" s="181" t="s">
        <v>106</v>
      </c>
      <c r="AM921" s="105"/>
      <c r="AN921" s="105"/>
      <c r="AO921" s="105"/>
      <c r="AP921" s="105"/>
      <c r="AQ921" s="105"/>
      <c r="AR921" s="105"/>
    </row>
    <row r="922" spans="1:44" s="49" customFormat="1" ht="40.15" hidden="1" customHeight="1">
      <c r="A922" s="152">
        <f t="shared" ca="1" si="1986"/>
        <v>0</v>
      </c>
      <c r="B922" s="153" t="s">
        <v>248</v>
      </c>
      <c r="C922" s="154" t="str">
        <f t="shared" si="1987"/>
        <v>PA/0020</v>
      </c>
      <c r="D922" s="154" t="s">
        <v>3549</v>
      </c>
      <c r="E922" s="155" t="s">
        <v>3873</v>
      </c>
      <c r="F922" s="154"/>
      <c r="G922" s="154" t="s">
        <v>464</v>
      </c>
      <c r="H922" s="152">
        <v>13.37</v>
      </c>
      <c r="I922" s="152">
        <v>13.23</v>
      </c>
      <c r="J922" s="156"/>
      <c r="K922" s="156">
        <f>+Ponto_Onibus!I24</f>
        <v>0</v>
      </c>
      <c r="L922" s="156">
        <f t="shared" si="1988"/>
        <v>0</v>
      </c>
      <c r="M922" s="156">
        <f t="shared" si="1989"/>
        <v>0</v>
      </c>
      <c r="N922" s="156" t="s">
        <v>83</v>
      </c>
      <c r="O922" s="157" cm="1">
        <f t="array" ref="O922">TRUNC($H922*(1+_xlfn.SWITCH($N922,"BDI 1",$O$6,"BDI 2",$O$7,"BDI 3",$O$8)),2)</f>
        <v>16.13</v>
      </c>
      <c r="P922" s="157" cm="1">
        <f t="array" ref="P922">TRUNC($I922*(1+_xlfn.SWITCH($N922,"BDI 1",$P$6,"BDI 2",$P$7,"BDI 3",$P$8)),2)</f>
        <v>16.760000000000002</v>
      </c>
      <c r="Q922" s="157">
        <v>0</v>
      </c>
      <c r="R922" s="157">
        <f t="shared" ref="R922" si="2008">$Q922-($Q922*LICITACAO_DESCONTO)</f>
        <v>0</v>
      </c>
      <c r="S922" s="156">
        <f t="shared" si="1991"/>
        <v>0</v>
      </c>
      <c r="T922" s="156">
        <f t="shared" si="1992"/>
        <v>0</v>
      </c>
      <c r="U922" s="156">
        <f t="shared" si="1993"/>
        <v>0</v>
      </c>
      <c r="V922" s="156">
        <f t="shared" si="1994"/>
        <v>0</v>
      </c>
      <c r="W922" s="156">
        <f t="shared" si="1981"/>
        <v>0</v>
      </c>
      <c r="X922" s="158">
        <f t="shared" ref="X922" si="2009">$S922/ORCAMENTO_VALOR_TOTAL_ND</f>
        <v>0</v>
      </c>
      <c r="Y922" s="158">
        <f t="shared" ref="Y922" si="2010">$T922/ORCAMENTO_VALOR_TOTAL_DE</f>
        <v>0</v>
      </c>
      <c r="Z922" s="158" cm="1">
        <f t="array" ref="Z922">_xlfn.SWITCH($N922,"BDI 1",$O$6,"BDI 2",$O$7,"BDI 3",$O$8)</f>
        <v>0.20699999999999999</v>
      </c>
      <c r="AA922" s="158" cm="1">
        <f t="array" ref="AA922">_xlfn.SWITCH($N922,"BDI 1",$P$6,"BDI 2",$P$7,"BDI 3",$P$8)</f>
        <v>0.26739999999999997</v>
      </c>
      <c r="AB922" s="158">
        <f t="shared" ca="1" si="1997"/>
        <v>0</v>
      </c>
      <c r="AC922" s="158">
        <f t="shared" ca="1" si="1998"/>
        <v>0</v>
      </c>
      <c r="AD922" s="164"/>
      <c r="AE922" s="148">
        <f t="shared" si="1984"/>
        <v>0</v>
      </c>
      <c r="AF922" s="149"/>
      <c r="AG922" s="150"/>
      <c r="AH922" s="159" t="e">
        <f t="shared" si="1985"/>
        <v>#DIV/0!</v>
      </c>
      <c r="AI922" s="160"/>
      <c r="AJ922" s="181" t="s">
        <v>105</v>
      </c>
      <c r="AK922" s="181" t="s">
        <v>106</v>
      </c>
      <c r="AM922" s="105"/>
      <c r="AN922" s="105"/>
      <c r="AO922" s="105"/>
      <c r="AP922" s="105"/>
      <c r="AQ922" s="105"/>
      <c r="AR922" s="105"/>
    </row>
    <row r="923" spans="1:44" s="49" customFormat="1" ht="40.15" hidden="1" customHeight="1">
      <c r="A923" s="152">
        <f t="shared" ca="1" si="1986"/>
        <v>0</v>
      </c>
      <c r="B923" s="153" t="s">
        <v>287</v>
      </c>
      <c r="C923" s="154" t="str">
        <f t="shared" si="1987"/>
        <v>PA/0023</v>
      </c>
      <c r="D923" s="154" t="s">
        <v>3549</v>
      </c>
      <c r="E923" s="155" t="s">
        <v>3539</v>
      </c>
      <c r="F923" s="154"/>
      <c r="G923" s="154" t="s">
        <v>1418</v>
      </c>
      <c r="H923" s="152">
        <v>2.37</v>
      </c>
      <c r="I923" s="152">
        <v>2.33</v>
      </c>
      <c r="J923" s="156"/>
      <c r="K923" s="156">
        <f>+Ponto_Onibus!I29</f>
        <v>0</v>
      </c>
      <c r="L923" s="156">
        <f t="shared" si="1988"/>
        <v>0</v>
      </c>
      <c r="M923" s="156">
        <f t="shared" si="1989"/>
        <v>0</v>
      </c>
      <c r="N923" s="156" t="s">
        <v>83</v>
      </c>
      <c r="O923" s="157" cm="1">
        <f t="array" ref="O923">TRUNC($H923*(1+_xlfn.SWITCH($N923,"BDI 1",$O$6,"BDI 2",$O$7,"BDI 3",$O$8)),2)</f>
        <v>2.86</v>
      </c>
      <c r="P923" s="157" cm="1">
        <f t="array" ref="P923">TRUNC($I923*(1+_xlfn.SWITCH($N923,"BDI 1",$P$6,"BDI 2",$P$7,"BDI 3",$P$8)),2)</f>
        <v>2.95</v>
      </c>
      <c r="Q923" s="157">
        <v>0</v>
      </c>
      <c r="R923" s="157">
        <f t="shared" ref="R923" si="2011">$Q923-($Q923*LICITACAO_DESCONTO)</f>
        <v>0</v>
      </c>
      <c r="S923" s="156">
        <f t="shared" si="1991"/>
        <v>0</v>
      </c>
      <c r="T923" s="156">
        <f t="shared" si="1992"/>
        <v>0</v>
      </c>
      <c r="U923" s="156">
        <f t="shared" si="1993"/>
        <v>0</v>
      </c>
      <c r="V923" s="156">
        <f t="shared" si="1994"/>
        <v>0</v>
      </c>
      <c r="W923" s="156">
        <f t="shared" si="1981"/>
        <v>0</v>
      </c>
      <c r="X923" s="158">
        <f t="shared" ref="X923" si="2012">$S923/ORCAMENTO_VALOR_TOTAL_ND</f>
        <v>0</v>
      </c>
      <c r="Y923" s="158">
        <f t="shared" ref="Y923" si="2013">$T923/ORCAMENTO_VALOR_TOTAL_DE</f>
        <v>0</v>
      </c>
      <c r="Z923" s="158" cm="1">
        <f t="array" ref="Z923">_xlfn.SWITCH($N923,"BDI 1",$O$6,"BDI 2",$O$7,"BDI 3",$O$8)</f>
        <v>0.20699999999999999</v>
      </c>
      <c r="AA923" s="158" cm="1">
        <f t="array" ref="AA923">_xlfn.SWITCH($N923,"BDI 1",$P$6,"BDI 2",$P$7,"BDI 3",$P$8)</f>
        <v>0.26739999999999997</v>
      </c>
      <c r="AB923" s="158">
        <f t="shared" ca="1" si="1997"/>
        <v>0</v>
      </c>
      <c r="AC923" s="158">
        <f t="shared" ca="1" si="1998"/>
        <v>0</v>
      </c>
      <c r="AD923" s="164"/>
      <c r="AE923" s="148">
        <f t="shared" si="1984"/>
        <v>0</v>
      </c>
      <c r="AF923" s="149"/>
      <c r="AG923" s="150"/>
      <c r="AH923" s="159" t="e">
        <f t="shared" si="1985"/>
        <v>#DIV/0!</v>
      </c>
      <c r="AI923" s="160"/>
      <c r="AJ923" s="181" t="s">
        <v>105</v>
      </c>
      <c r="AK923" s="181" t="s">
        <v>106</v>
      </c>
      <c r="AM923" s="105"/>
      <c r="AN923" s="105"/>
      <c r="AO923" s="105"/>
      <c r="AP923" s="105"/>
      <c r="AQ923" s="105"/>
      <c r="AR923" s="105"/>
    </row>
    <row r="924" spans="1:44" s="49" customFormat="1" ht="40.15" hidden="1" customHeight="1">
      <c r="A924" s="152">
        <f t="shared" ca="1" si="1986"/>
        <v>0</v>
      </c>
      <c r="B924" s="153">
        <v>97106</v>
      </c>
      <c r="C924" s="154" t="str">
        <f t="shared" si="1987"/>
        <v>97106</v>
      </c>
      <c r="D924" s="154" t="s">
        <v>1416</v>
      </c>
      <c r="E924" s="155" t="s">
        <v>3931</v>
      </c>
      <c r="F924" s="154"/>
      <c r="G924" s="154" t="s">
        <v>1418</v>
      </c>
      <c r="H924" s="152">
        <v>182.46</v>
      </c>
      <c r="I924" s="152">
        <v>179.33</v>
      </c>
      <c r="J924" s="156"/>
      <c r="K924" s="156">
        <f>+Ponto_Onibus!I34</f>
        <v>0</v>
      </c>
      <c r="L924" s="156">
        <f t="shared" si="1988"/>
        <v>0</v>
      </c>
      <c r="M924" s="156">
        <f t="shared" si="1989"/>
        <v>0</v>
      </c>
      <c r="N924" s="156" t="s">
        <v>83</v>
      </c>
      <c r="O924" s="157" cm="1">
        <f t="array" ref="O924">TRUNC($H924*(1+_xlfn.SWITCH($N924,"BDI 1",$O$6,"BDI 2",$O$7,"BDI 3",$O$8)),2)</f>
        <v>220.22</v>
      </c>
      <c r="P924" s="157" cm="1">
        <f t="array" ref="P924">TRUNC($I924*(1+_xlfn.SWITCH($N924,"BDI 1",$P$6,"BDI 2",$P$7,"BDI 3",$P$8)),2)</f>
        <v>227.28</v>
      </c>
      <c r="Q924" s="157">
        <v>0</v>
      </c>
      <c r="R924" s="157">
        <f t="shared" ref="R924" si="2014">$Q924-($Q924*LICITACAO_DESCONTO)</f>
        <v>0</v>
      </c>
      <c r="S924" s="156">
        <f t="shared" si="1991"/>
        <v>0</v>
      </c>
      <c r="T924" s="156">
        <f t="shared" si="1992"/>
        <v>0</v>
      </c>
      <c r="U924" s="156">
        <f t="shared" si="1993"/>
        <v>0</v>
      </c>
      <c r="V924" s="156">
        <f t="shared" si="1994"/>
        <v>0</v>
      </c>
      <c r="W924" s="156">
        <f t="shared" si="1981"/>
        <v>0</v>
      </c>
      <c r="X924" s="158">
        <f t="shared" ref="X924" si="2015">$S924/ORCAMENTO_VALOR_TOTAL_ND</f>
        <v>0</v>
      </c>
      <c r="Y924" s="158">
        <f t="shared" ref="Y924" si="2016">$T924/ORCAMENTO_VALOR_TOTAL_DE</f>
        <v>0</v>
      </c>
      <c r="Z924" s="158" cm="1">
        <f t="array" ref="Z924">_xlfn.SWITCH($N924,"BDI 1",$O$6,"BDI 2",$O$7,"BDI 3",$O$8)</f>
        <v>0.20699999999999999</v>
      </c>
      <c r="AA924" s="158" cm="1">
        <f t="array" ref="AA924">_xlfn.SWITCH($N924,"BDI 1",$P$6,"BDI 2",$P$7,"BDI 3",$P$8)</f>
        <v>0.26739999999999997</v>
      </c>
      <c r="AB924" s="158">
        <f t="shared" ca="1" si="1997"/>
        <v>0</v>
      </c>
      <c r="AC924" s="158">
        <f t="shared" ca="1" si="1998"/>
        <v>0</v>
      </c>
      <c r="AD924" s="164"/>
      <c r="AE924" s="148">
        <f t="shared" si="1984"/>
        <v>0</v>
      </c>
      <c r="AF924" s="149"/>
      <c r="AG924" s="150"/>
      <c r="AH924" s="159" t="e">
        <f t="shared" si="1985"/>
        <v>#DIV/0!</v>
      </c>
      <c r="AI924" s="160"/>
      <c r="AJ924" s="184">
        <v>0</v>
      </c>
      <c r="AK924" s="183" t="e">
        <f>+K924/AJ924</f>
        <v>#DIV/0!</v>
      </c>
      <c r="AM924" s="105"/>
      <c r="AN924" s="105"/>
      <c r="AO924" s="105"/>
      <c r="AP924" s="105"/>
      <c r="AQ924" s="105"/>
      <c r="AR924" s="105"/>
    </row>
    <row r="925" spans="1:44" s="49" customFormat="1" ht="49.9" hidden="1" customHeight="1">
      <c r="A925" s="152">
        <f t="shared" ca="1" si="1986"/>
        <v>0</v>
      </c>
      <c r="B925" s="153">
        <v>101230</v>
      </c>
      <c r="C925" s="154" t="str">
        <f t="shared" si="1987"/>
        <v>101230</v>
      </c>
      <c r="D925" s="154" t="s">
        <v>1416</v>
      </c>
      <c r="E925" s="155" t="s">
        <v>3677</v>
      </c>
      <c r="F925" s="154"/>
      <c r="G925" s="154" t="s">
        <v>464</v>
      </c>
      <c r="H925" s="152">
        <v>10.7</v>
      </c>
      <c r="I925" s="152">
        <v>10.73</v>
      </c>
      <c r="J925" s="156"/>
      <c r="K925" s="156">
        <f>IF(K929=0,Ponto_Onibus!I49,0)</f>
        <v>0</v>
      </c>
      <c r="L925" s="156">
        <f t="shared" si="1988"/>
        <v>0</v>
      </c>
      <c r="M925" s="156">
        <f t="shared" si="1989"/>
        <v>0</v>
      </c>
      <c r="N925" s="156" t="s">
        <v>83</v>
      </c>
      <c r="O925" s="157" cm="1">
        <f t="array" ref="O925">TRUNC($H925*(1+_xlfn.SWITCH($N925,"BDI 1",$O$6,"BDI 2",$O$7,"BDI 3",$O$8)),2)</f>
        <v>12.91</v>
      </c>
      <c r="P925" s="157" cm="1">
        <f t="array" ref="P925">TRUNC($I925*(1+_xlfn.SWITCH($N925,"BDI 1",$P$6,"BDI 2",$P$7,"BDI 3",$P$8)),2)</f>
        <v>13.59</v>
      </c>
      <c r="Q925" s="157">
        <v>0</v>
      </c>
      <c r="R925" s="157">
        <f t="shared" ref="R925" si="2017">$Q925-($Q925*LICITACAO_DESCONTO)</f>
        <v>0</v>
      </c>
      <c r="S925" s="156">
        <f t="shared" si="1991"/>
        <v>0</v>
      </c>
      <c r="T925" s="156">
        <f t="shared" si="1992"/>
        <v>0</v>
      </c>
      <c r="U925" s="156">
        <f t="shared" si="1993"/>
        <v>0</v>
      </c>
      <c r="V925" s="156">
        <f t="shared" si="1994"/>
        <v>0</v>
      </c>
      <c r="W925" s="156">
        <f t="shared" si="1981"/>
        <v>0</v>
      </c>
      <c r="X925" s="158">
        <f t="shared" ref="X925" si="2018">$S925/ORCAMENTO_VALOR_TOTAL_ND</f>
        <v>0</v>
      </c>
      <c r="Y925" s="158">
        <f t="shared" ref="Y925" si="2019">$T925/ORCAMENTO_VALOR_TOTAL_DE</f>
        <v>0</v>
      </c>
      <c r="Z925" s="158" cm="1">
        <f t="array" ref="Z925">_xlfn.SWITCH($N925,"BDI 1",$O$6,"BDI 2",$O$7,"BDI 3",$O$8)</f>
        <v>0.20699999999999999</v>
      </c>
      <c r="AA925" s="158" cm="1">
        <f t="array" ref="AA925">_xlfn.SWITCH($N925,"BDI 1",$P$6,"BDI 2",$P$7,"BDI 3",$P$8)</f>
        <v>0.26739999999999997</v>
      </c>
      <c r="AB925" s="158">
        <f t="shared" ca="1" si="1997"/>
        <v>0</v>
      </c>
      <c r="AC925" s="158">
        <f t="shared" ca="1" si="1998"/>
        <v>0</v>
      </c>
      <c r="AD925" s="164"/>
      <c r="AE925" s="148">
        <f t="shared" si="1984"/>
        <v>0</v>
      </c>
      <c r="AF925" s="149"/>
      <c r="AG925" s="150"/>
      <c r="AH925" s="159" t="e">
        <f t="shared" si="1985"/>
        <v>#DIV/0!</v>
      </c>
      <c r="AI925" s="160"/>
      <c r="AJ925" s="184"/>
      <c r="AK925" s="183"/>
      <c r="AM925" s="105"/>
      <c r="AN925" s="105"/>
      <c r="AO925" s="105"/>
      <c r="AP925" s="105"/>
      <c r="AQ925" s="105"/>
      <c r="AR925" s="105"/>
    </row>
    <row r="926" spans="1:44" s="49" customFormat="1" ht="40.15" hidden="1" customHeight="1">
      <c r="A926" s="152">
        <f t="shared" ca="1" si="1986"/>
        <v>0</v>
      </c>
      <c r="B926" s="153">
        <v>104737</v>
      </c>
      <c r="C926" s="154" t="str">
        <f t="shared" si="1987"/>
        <v>104737</v>
      </c>
      <c r="D926" s="154" t="s">
        <v>1416</v>
      </c>
      <c r="E926" s="155" t="s">
        <v>3932</v>
      </c>
      <c r="F926" s="154"/>
      <c r="G926" s="154" t="s">
        <v>464</v>
      </c>
      <c r="H926" s="152">
        <v>20.32</v>
      </c>
      <c r="I926" s="152">
        <v>18.670000000000002</v>
      </c>
      <c r="J926" s="156"/>
      <c r="K926" s="156">
        <f>+Ponto_Onibus!I40</f>
        <v>0</v>
      </c>
      <c r="L926" s="156">
        <f t="shared" si="1988"/>
        <v>0</v>
      </c>
      <c r="M926" s="156">
        <f t="shared" si="1989"/>
        <v>0</v>
      </c>
      <c r="N926" s="156" t="s">
        <v>83</v>
      </c>
      <c r="O926" s="157" cm="1">
        <f t="array" ref="O926">TRUNC($H926*(1+_xlfn.SWITCH($N926,"BDI 1",$O$6,"BDI 2",$O$7,"BDI 3",$O$8)),2)</f>
        <v>24.52</v>
      </c>
      <c r="P926" s="157" cm="1">
        <f t="array" ref="P926">TRUNC($I926*(1+_xlfn.SWITCH($N926,"BDI 1",$P$6,"BDI 2",$P$7,"BDI 3",$P$8)),2)</f>
        <v>23.66</v>
      </c>
      <c r="Q926" s="157">
        <v>0</v>
      </c>
      <c r="R926" s="157">
        <f t="shared" ref="R926" si="2020">$Q926-($Q926*LICITACAO_DESCONTO)</f>
        <v>0</v>
      </c>
      <c r="S926" s="156">
        <f t="shared" si="1991"/>
        <v>0</v>
      </c>
      <c r="T926" s="156">
        <f t="shared" si="1992"/>
        <v>0</v>
      </c>
      <c r="U926" s="156">
        <f t="shared" si="1993"/>
        <v>0</v>
      </c>
      <c r="V926" s="156">
        <f t="shared" si="1994"/>
        <v>0</v>
      </c>
      <c r="W926" s="156">
        <f t="shared" si="1981"/>
        <v>0</v>
      </c>
      <c r="X926" s="158">
        <f t="shared" ref="X926" si="2021">$S926/ORCAMENTO_VALOR_TOTAL_ND</f>
        <v>0</v>
      </c>
      <c r="Y926" s="158">
        <f t="shared" ref="Y926" si="2022">$T926/ORCAMENTO_VALOR_TOTAL_DE</f>
        <v>0</v>
      </c>
      <c r="Z926" s="158" cm="1">
        <f t="array" ref="Z926">_xlfn.SWITCH($N926,"BDI 1",$O$6,"BDI 2",$O$7,"BDI 3",$O$8)</f>
        <v>0.20699999999999999</v>
      </c>
      <c r="AA926" s="158" cm="1">
        <f t="array" ref="AA926">_xlfn.SWITCH($N926,"BDI 1",$P$6,"BDI 2",$P$7,"BDI 3",$P$8)</f>
        <v>0.26739999999999997</v>
      </c>
      <c r="AB926" s="158">
        <f t="shared" ca="1" si="1997"/>
        <v>0</v>
      </c>
      <c r="AC926" s="158">
        <f t="shared" ca="1" si="1998"/>
        <v>0</v>
      </c>
      <c r="AD926" s="164"/>
      <c r="AE926" s="148">
        <f t="shared" si="1984"/>
        <v>0</v>
      </c>
      <c r="AF926" s="149"/>
      <c r="AG926" s="150"/>
      <c r="AH926" s="159" t="e">
        <f t="shared" si="1985"/>
        <v>#DIV/0!</v>
      </c>
      <c r="AI926" s="160"/>
      <c r="AJ926" s="184"/>
      <c r="AK926" s="183"/>
      <c r="AM926" s="105"/>
      <c r="AN926" s="105"/>
      <c r="AO926" s="105"/>
      <c r="AP926" s="105"/>
      <c r="AQ926" s="105"/>
      <c r="AR926" s="105"/>
    </row>
    <row r="927" spans="1:44" s="49" customFormat="1" ht="40.15" hidden="1" customHeight="1">
      <c r="A927" s="152">
        <f t="shared" ca="1" si="1986"/>
        <v>0</v>
      </c>
      <c r="B927" s="153">
        <v>100324</v>
      </c>
      <c r="C927" s="154" t="str">
        <f t="shared" si="1987"/>
        <v>100324</v>
      </c>
      <c r="D927" s="154" t="s">
        <v>1416</v>
      </c>
      <c r="E927" s="155" t="s">
        <v>3852</v>
      </c>
      <c r="F927" s="154"/>
      <c r="G927" s="154" t="s">
        <v>464</v>
      </c>
      <c r="H927" s="152">
        <v>166.91</v>
      </c>
      <c r="I927" s="152">
        <v>166.99</v>
      </c>
      <c r="J927" s="156"/>
      <c r="K927" s="156">
        <f>+Ponto_Onibus!I42</f>
        <v>0</v>
      </c>
      <c r="L927" s="156">
        <f t="shared" si="1988"/>
        <v>0</v>
      </c>
      <c r="M927" s="156">
        <f t="shared" si="1989"/>
        <v>0</v>
      </c>
      <c r="N927" s="156" t="s">
        <v>83</v>
      </c>
      <c r="O927" s="157" cm="1">
        <f t="array" ref="O927">TRUNC($H927*(1+_xlfn.SWITCH($N927,"BDI 1",$O$6,"BDI 2",$O$7,"BDI 3",$O$8)),2)</f>
        <v>201.46</v>
      </c>
      <c r="P927" s="157" cm="1">
        <f t="array" ref="P927">TRUNC($I927*(1+_xlfn.SWITCH($N927,"BDI 1",$P$6,"BDI 2",$P$7,"BDI 3",$P$8)),2)</f>
        <v>211.64</v>
      </c>
      <c r="Q927" s="157">
        <v>0</v>
      </c>
      <c r="R927" s="157">
        <f t="shared" ref="R927" si="2023">$Q927-($Q927*LICITACAO_DESCONTO)</f>
        <v>0</v>
      </c>
      <c r="S927" s="156">
        <f t="shared" si="1991"/>
        <v>0</v>
      </c>
      <c r="T927" s="156">
        <f t="shared" si="1992"/>
        <v>0</v>
      </c>
      <c r="U927" s="156">
        <f t="shared" si="1993"/>
        <v>0</v>
      </c>
      <c r="V927" s="156">
        <f t="shared" si="1994"/>
        <v>0</v>
      </c>
      <c r="W927" s="156">
        <f t="shared" si="1981"/>
        <v>0</v>
      </c>
      <c r="X927" s="158">
        <f t="shared" ref="X927" si="2024">$S927/ORCAMENTO_VALOR_TOTAL_ND</f>
        <v>0</v>
      </c>
      <c r="Y927" s="158">
        <f t="shared" ref="Y927" si="2025">$T927/ORCAMENTO_VALOR_TOTAL_DE</f>
        <v>0</v>
      </c>
      <c r="Z927" s="158" cm="1">
        <f t="array" ref="Z927">_xlfn.SWITCH($N927,"BDI 1",$O$6,"BDI 2",$O$7,"BDI 3",$O$8)</f>
        <v>0.20699999999999999</v>
      </c>
      <c r="AA927" s="158" cm="1">
        <f t="array" ref="AA927">_xlfn.SWITCH($N927,"BDI 1",$P$6,"BDI 2",$P$7,"BDI 3",$P$8)</f>
        <v>0.26739999999999997</v>
      </c>
      <c r="AB927" s="158">
        <f t="shared" ca="1" si="1997"/>
        <v>0</v>
      </c>
      <c r="AC927" s="158">
        <f t="shared" ca="1" si="1998"/>
        <v>0</v>
      </c>
      <c r="AD927" s="164"/>
      <c r="AE927" s="148">
        <f t="shared" si="1984"/>
        <v>0</v>
      </c>
      <c r="AF927" s="149"/>
      <c r="AG927" s="150"/>
      <c r="AH927" s="159" t="e">
        <f t="shared" si="1985"/>
        <v>#DIV/0!</v>
      </c>
      <c r="AI927" s="165" t="s">
        <v>216</v>
      </c>
      <c r="AJ927" s="184"/>
      <c r="AK927" s="183"/>
      <c r="AM927" s="167"/>
      <c r="AN927" s="167"/>
      <c r="AO927" s="167"/>
      <c r="AP927" s="167"/>
      <c r="AQ927" s="167"/>
      <c r="AR927" s="167"/>
    </row>
    <row r="928" spans="1:44" s="49" customFormat="1" ht="40.15" hidden="1" customHeight="1">
      <c r="A928" s="152">
        <f t="shared" ca="1" si="1986"/>
        <v>0</v>
      </c>
      <c r="B928" s="153">
        <v>94995</v>
      </c>
      <c r="C928" s="154" t="str">
        <f t="shared" si="1987"/>
        <v>94995</v>
      </c>
      <c r="D928" s="154" t="s">
        <v>1416</v>
      </c>
      <c r="E928" s="155" t="s">
        <v>3933</v>
      </c>
      <c r="F928" s="154"/>
      <c r="G928" s="154" t="s">
        <v>1418</v>
      </c>
      <c r="H928" s="152">
        <v>98.01</v>
      </c>
      <c r="I928" s="152">
        <v>95.45</v>
      </c>
      <c r="J928" s="156"/>
      <c r="K928" s="156">
        <f>IF(Ponto_Onibus!I44&gt;0,Ponto_Onibus!I38,0)</f>
        <v>0</v>
      </c>
      <c r="L928" s="156">
        <f t="shared" si="1988"/>
        <v>0</v>
      </c>
      <c r="M928" s="156">
        <f t="shared" si="1989"/>
        <v>0</v>
      </c>
      <c r="N928" s="156" t="s">
        <v>83</v>
      </c>
      <c r="O928" s="157" cm="1">
        <f t="array" ref="O928">TRUNC($H928*(1+_xlfn.SWITCH($N928,"BDI 1",$O$6,"BDI 2",$O$7,"BDI 3",$O$8)),2)</f>
        <v>118.29</v>
      </c>
      <c r="P928" s="157" cm="1">
        <f t="array" ref="P928">TRUNC($I928*(1+_xlfn.SWITCH($N928,"BDI 1",$P$6,"BDI 2",$P$7,"BDI 3",$P$8)),2)</f>
        <v>120.97</v>
      </c>
      <c r="Q928" s="157">
        <v>0</v>
      </c>
      <c r="R928" s="157">
        <f t="shared" ref="R928" si="2026">$Q928-($Q928*LICITACAO_DESCONTO)</f>
        <v>0</v>
      </c>
      <c r="S928" s="156">
        <f t="shared" si="1991"/>
        <v>0</v>
      </c>
      <c r="T928" s="156">
        <f t="shared" si="1992"/>
        <v>0</v>
      </c>
      <c r="U928" s="156">
        <f t="shared" si="1993"/>
        <v>0</v>
      </c>
      <c r="V928" s="156">
        <f t="shared" si="1994"/>
        <v>0</v>
      </c>
      <c r="W928" s="156">
        <f t="shared" si="1981"/>
        <v>0</v>
      </c>
      <c r="X928" s="158">
        <f t="shared" ref="X928" si="2027">$S928/ORCAMENTO_VALOR_TOTAL_ND</f>
        <v>0</v>
      </c>
      <c r="Y928" s="158">
        <f t="shared" ref="Y928" si="2028">$T928/ORCAMENTO_VALOR_TOTAL_DE</f>
        <v>0</v>
      </c>
      <c r="Z928" s="158" cm="1">
        <f t="array" ref="Z928">_xlfn.SWITCH($N928,"BDI 1",$O$6,"BDI 2",$O$7,"BDI 3",$O$8)</f>
        <v>0.20699999999999999</v>
      </c>
      <c r="AA928" s="158" cm="1">
        <f t="array" ref="AA928">_xlfn.SWITCH($N928,"BDI 1",$P$6,"BDI 2",$P$7,"BDI 3",$P$8)</f>
        <v>0.26739999999999997</v>
      </c>
      <c r="AB928" s="158">
        <f t="shared" ca="1" si="1997"/>
        <v>0</v>
      </c>
      <c r="AC928" s="158">
        <f t="shared" ca="1" si="1998"/>
        <v>0</v>
      </c>
      <c r="AD928" s="164"/>
      <c r="AE928" s="148">
        <f t="shared" si="1984"/>
        <v>0</v>
      </c>
      <c r="AF928" s="149"/>
      <c r="AG928" s="150"/>
      <c r="AH928" s="159" t="e">
        <f t="shared" si="1985"/>
        <v>#DIV/0!</v>
      </c>
      <c r="AI928" s="165" t="s">
        <v>231</v>
      </c>
      <c r="AJ928" s="184">
        <v>0</v>
      </c>
      <c r="AK928" s="183"/>
      <c r="AM928" s="167"/>
      <c r="AN928" s="167"/>
      <c r="AO928" s="167"/>
      <c r="AP928" s="167"/>
      <c r="AQ928" s="167"/>
      <c r="AR928" s="167"/>
    </row>
    <row r="929" spans="1:44" s="49" customFormat="1" ht="40.15" hidden="1" customHeight="1">
      <c r="A929" s="152">
        <f t="shared" ca="1" si="1986"/>
        <v>0</v>
      </c>
      <c r="B929" s="153" t="s">
        <v>340</v>
      </c>
      <c r="C929" s="154" t="str">
        <f t="shared" si="1987"/>
        <v>SC/0015</v>
      </c>
      <c r="D929" s="154" t="s">
        <v>3549</v>
      </c>
      <c r="E929" s="155" t="s">
        <v>3934</v>
      </c>
      <c r="F929" s="154"/>
      <c r="G929" s="154" t="s">
        <v>58</v>
      </c>
      <c r="H929" s="152">
        <v>47.65</v>
      </c>
      <c r="I929" s="152">
        <v>45.88</v>
      </c>
      <c r="J929" s="156"/>
      <c r="K929" s="156">
        <f>+Ponto_Onibus!I45</f>
        <v>0</v>
      </c>
      <c r="L929" s="156">
        <f t="shared" si="1988"/>
        <v>0</v>
      </c>
      <c r="M929" s="156">
        <f t="shared" si="1989"/>
        <v>0</v>
      </c>
      <c r="N929" s="156" t="s">
        <v>83</v>
      </c>
      <c r="O929" s="157" cm="1">
        <f t="array" ref="O929">TRUNC($H929*(1+_xlfn.SWITCH($N929,"BDI 1",$O$6,"BDI 2",$O$7,"BDI 3",$O$8)),2)</f>
        <v>57.51</v>
      </c>
      <c r="P929" s="157" cm="1">
        <f t="array" ref="P929">TRUNC($I929*(1+_xlfn.SWITCH($N929,"BDI 1",$P$6,"BDI 2",$P$7,"BDI 3",$P$8)),2)</f>
        <v>58.14</v>
      </c>
      <c r="Q929" s="157">
        <v>0</v>
      </c>
      <c r="R929" s="157">
        <f t="shared" ref="R929" si="2029">$Q929-($Q929*LICITACAO_DESCONTO)</f>
        <v>0</v>
      </c>
      <c r="S929" s="156">
        <f t="shared" si="1991"/>
        <v>0</v>
      </c>
      <c r="T929" s="156">
        <f t="shared" si="1992"/>
        <v>0</v>
      </c>
      <c r="U929" s="156">
        <f t="shared" si="1993"/>
        <v>0</v>
      </c>
      <c r="V929" s="156">
        <f t="shared" si="1994"/>
        <v>0</v>
      </c>
      <c r="W929" s="156">
        <f t="shared" si="1981"/>
        <v>0</v>
      </c>
      <c r="X929" s="158">
        <f t="shared" ref="X929" si="2030">$S929/ORCAMENTO_VALOR_TOTAL_ND</f>
        <v>0</v>
      </c>
      <c r="Y929" s="158">
        <f t="shared" ref="Y929" si="2031">$T929/ORCAMENTO_VALOR_TOTAL_DE</f>
        <v>0</v>
      </c>
      <c r="Z929" s="158" cm="1">
        <f t="array" ref="Z929">_xlfn.SWITCH($N929,"BDI 1",$O$6,"BDI 2",$O$7,"BDI 3",$O$8)</f>
        <v>0.20699999999999999</v>
      </c>
      <c r="AA929" s="158" cm="1">
        <f t="array" ref="AA929">_xlfn.SWITCH($N929,"BDI 1",$P$6,"BDI 2",$P$7,"BDI 3",$P$8)</f>
        <v>0.26739999999999997</v>
      </c>
      <c r="AB929" s="158">
        <f t="shared" ca="1" si="1997"/>
        <v>0</v>
      </c>
      <c r="AC929" s="158">
        <f t="shared" ca="1" si="1998"/>
        <v>0</v>
      </c>
      <c r="AD929" s="164"/>
      <c r="AE929" s="148">
        <f t="shared" si="1984"/>
        <v>0</v>
      </c>
      <c r="AF929" s="149"/>
      <c r="AG929" s="150"/>
      <c r="AH929" s="159" t="e">
        <f t="shared" si="1985"/>
        <v>#DIV/0!</v>
      </c>
      <c r="AI929" s="160"/>
      <c r="AJ929" s="105"/>
      <c r="AK929" s="167"/>
      <c r="AM929" s="167"/>
      <c r="AN929" s="167"/>
      <c r="AO929" s="167"/>
      <c r="AP929" s="167"/>
      <c r="AQ929" s="167"/>
      <c r="AR929" s="167"/>
    </row>
    <row r="930" spans="1:44" s="49" customFormat="1" ht="40.15" hidden="1" customHeight="1">
      <c r="A930" s="152">
        <f t="shared" ca="1" si="1986"/>
        <v>0</v>
      </c>
      <c r="B930" s="153">
        <v>6079</v>
      </c>
      <c r="C930" s="154" t="str">
        <f t="shared" si="1987"/>
        <v>6079</v>
      </c>
      <c r="D930" s="154" t="s">
        <v>3579</v>
      </c>
      <c r="E930" s="155" t="s">
        <v>3679</v>
      </c>
      <c r="F930" s="154"/>
      <c r="G930" s="154" t="s">
        <v>464</v>
      </c>
      <c r="H930" s="152">
        <v>37.35</v>
      </c>
      <c r="I930" s="152">
        <v>37.35</v>
      </c>
      <c r="J930" s="156"/>
      <c r="K930" s="156">
        <f>IF(AI929="COMERCIAL",Ponto_Onibus!I49,0)</f>
        <v>0</v>
      </c>
      <c r="L930" s="156">
        <f t="shared" si="1988"/>
        <v>0</v>
      </c>
      <c r="M930" s="156">
        <f t="shared" si="1989"/>
        <v>0</v>
      </c>
      <c r="N930" s="156" t="s">
        <v>92</v>
      </c>
      <c r="O930" s="157" cm="1">
        <f t="array" ref="O930">TRUNC($H930*(1+_xlfn.SWITCH($N930,"BDI 1",$O$6,"BDI 2",$O$7,"BDI 3",$O$8)),2)</f>
        <v>43.05</v>
      </c>
      <c r="P930" s="157" cm="1">
        <f t="array" ref="P930">TRUNC($I930*(1+_xlfn.SWITCH($N930,"BDI 1",$P$6,"BDI 2",$P$7,"BDI 3",$P$8)),2)</f>
        <v>43.05</v>
      </c>
      <c r="Q930" s="157">
        <v>0</v>
      </c>
      <c r="R930" s="157">
        <f t="shared" ref="R930" si="2032">$Q930-($Q930*LICITACAO_DESCONTO)</f>
        <v>0</v>
      </c>
      <c r="S930" s="156">
        <f t="shared" si="1991"/>
        <v>0</v>
      </c>
      <c r="T930" s="156">
        <f t="shared" si="1992"/>
        <v>0</v>
      </c>
      <c r="U930" s="156">
        <f t="shared" si="1993"/>
        <v>0</v>
      </c>
      <c r="V930" s="156">
        <f t="shared" si="1994"/>
        <v>0</v>
      </c>
      <c r="W930" s="156">
        <f t="shared" si="1981"/>
        <v>0</v>
      </c>
      <c r="X930" s="158">
        <f t="shared" ref="X930" si="2033">$S930/ORCAMENTO_VALOR_TOTAL_ND</f>
        <v>0</v>
      </c>
      <c r="Y930" s="158">
        <f t="shared" ref="Y930" si="2034">$T930/ORCAMENTO_VALOR_TOTAL_DE</f>
        <v>0</v>
      </c>
      <c r="Z930" s="158" cm="1">
        <f t="array" ref="Z930">_xlfn.SWITCH($N930,"BDI 1",$O$6,"BDI 2",$O$7,"BDI 3",$O$8)</f>
        <v>0.1527</v>
      </c>
      <c r="AA930" s="158" cm="1">
        <f t="array" ref="AA930">_xlfn.SWITCH($N930,"BDI 1",$P$6,"BDI 2",$P$7,"BDI 3",$P$8)</f>
        <v>0.1527</v>
      </c>
      <c r="AB930" s="158">
        <f t="shared" ca="1" si="1997"/>
        <v>0</v>
      </c>
      <c r="AC930" s="158">
        <f t="shared" ca="1" si="1998"/>
        <v>0</v>
      </c>
      <c r="AD930" s="164"/>
      <c r="AE930" s="148">
        <f t="shared" si="1984"/>
        <v>0</v>
      </c>
      <c r="AF930" s="149"/>
      <c r="AG930" s="150"/>
      <c r="AH930" s="159" t="e">
        <f t="shared" si="1985"/>
        <v>#DIV/0!</v>
      </c>
      <c r="AI930" s="165" t="s">
        <v>232</v>
      </c>
      <c r="AJ930" s="105"/>
      <c r="AK930" s="167"/>
      <c r="AM930" s="167"/>
      <c r="AN930" s="167"/>
      <c r="AO930" s="167"/>
      <c r="AP930" s="167"/>
      <c r="AQ930" s="167"/>
      <c r="AR930" s="167"/>
    </row>
    <row r="931" spans="1:44" s="49" customFormat="1" ht="40.15" hidden="1" customHeight="1">
      <c r="A931" s="152">
        <f t="shared" ca="1" si="1986"/>
        <v>0</v>
      </c>
      <c r="B931" s="153">
        <v>4748</v>
      </c>
      <c r="C931" s="154" t="str">
        <f t="shared" si="1987"/>
        <v>4748</v>
      </c>
      <c r="D931" s="154" t="s">
        <v>3579</v>
      </c>
      <c r="E931" s="155" t="s">
        <v>3868</v>
      </c>
      <c r="F931" s="154"/>
      <c r="G931" s="154" t="s">
        <v>464</v>
      </c>
      <c r="H931" s="152">
        <v>88.63</v>
      </c>
      <c r="I931" s="152">
        <v>88.63</v>
      </c>
      <c r="J931" s="156"/>
      <c r="K931" s="156">
        <f>+Ponto_Onibus!I27</f>
        <v>0</v>
      </c>
      <c r="L931" s="156">
        <f t="shared" si="1988"/>
        <v>0</v>
      </c>
      <c r="M931" s="156">
        <f t="shared" si="1989"/>
        <v>0</v>
      </c>
      <c r="N931" s="156" t="s">
        <v>92</v>
      </c>
      <c r="O931" s="157" cm="1">
        <f t="array" ref="O931">TRUNC($H931*(1+_xlfn.SWITCH($N931,"BDI 1",$O$6,"BDI 2",$O$7,"BDI 3",$O$8)),2)</f>
        <v>102.16</v>
      </c>
      <c r="P931" s="157" cm="1">
        <f t="array" ref="P931">TRUNC($I931*(1+_xlfn.SWITCH($N931,"BDI 1",$P$6,"BDI 2",$P$7,"BDI 3",$P$8)),2)</f>
        <v>102.16</v>
      </c>
      <c r="Q931" s="157">
        <v>0</v>
      </c>
      <c r="R931" s="157">
        <f t="shared" ref="R931" si="2035">$Q931-($Q931*LICITACAO_DESCONTO)</f>
        <v>0</v>
      </c>
      <c r="S931" s="156">
        <f t="shared" si="1991"/>
        <v>0</v>
      </c>
      <c r="T931" s="156">
        <f t="shared" si="1992"/>
        <v>0</v>
      </c>
      <c r="U931" s="156">
        <f t="shared" si="1993"/>
        <v>0</v>
      </c>
      <c r="V931" s="156">
        <f t="shared" si="1994"/>
        <v>0</v>
      </c>
      <c r="W931" s="156">
        <f t="shared" si="1981"/>
        <v>0</v>
      </c>
      <c r="X931" s="158">
        <f t="shared" ref="X931" si="2036">$S931/ORCAMENTO_VALOR_TOTAL_ND</f>
        <v>0</v>
      </c>
      <c r="Y931" s="158">
        <f t="shared" ref="Y931" si="2037">$T931/ORCAMENTO_VALOR_TOTAL_DE</f>
        <v>0</v>
      </c>
      <c r="Z931" s="158" cm="1">
        <f t="array" ref="Z931">_xlfn.SWITCH($N931,"BDI 1",$O$6,"BDI 2",$O$7,"BDI 3",$O$8)</f>
        <v>0.1527</v>
      </c>
      <c r="AA931" s="158" cm="1">
        <f t="array" ref="AA931">_xlfn.SWITCH($N931,"BDI 1",$P$6,"BDI 2",$P$7,"BDI 3",$P$8)</f>
        <v>0.1527</v>
      </c>
      <c r="AB931" s="158">
        <f t="shared" ca="1" si="1997"/>
        <v>0</v>
      </c>
      <c r="AC931" s="158">
        <f t="shared" ca="1" si="1998"/>
        <v>0</v>
      </c>
      <c r="AD931" s="164"/>
      <c r="AE931" s="148">
        <f t="shared" si="1984"/>
        <v>0</v>
      </c>
      <c r="AF931" s="149"/>
      <c r="AG931" s="150"/>
      <c r="AH931" s="159" t="e">
        <f t="shared" si="1985"/>
        <v>#DIV/0!</v>
      </c>
      <c r="AI931" s="160"/>
      <c r="AJ931" s="105"/>
      <c r="AK931" s="105"/>
      <c r="AM931" s="105"/>
      <c r="AN931" s="105"/>
      <c r="AO931" s="105"/>
      <c r="AP931" s="105"/>
      <c r="AQ931" s="105"/>
      <c r="AR931" s="105"/>
    </row>
    <row r="932" spans="1:44" s="49" customFormat="1" ht="40.15" hidden="1" customHeight="1">
      <c r="A932" s="152">
        <f t="shared" ca="1" si="1986"/>
        <v>0</v>
      </c>
      <c r="B932" s="153">
        <v>4729</v>
      </c>
      <c r="C932" s="154" t="str">
        <f t="shared" si="1987"/>
        <v>4729</v>
      </c>
      <c r="D932" s="154" t="s">
        <v>3579</v>
      </c>
      <c r="E932" s="155" t="s">
        <v>3869</v>
      </c>
      <c r="F932" s="154"/>
      <c r="G932" s="154" t="s">
        <v>464</v>
      </c>
      <c r="H932" s="152">
        <v>96.69</v>
      </c>
      <c r="I932" s="152">
        <v>96.69</v>
      </c>
      <c r="J932" s="156"/>
      <c r="K932" s="156">
        <f>+Ponto_Onibus!I28</f>
        <v>0</v>
      </c>
      <c r="L932" s="156">
        <f t="shared" si="1988"/>
        <v>0</v>
      </c>
      <c r="M932" s="156">
        <f t="shared" si="1989"/>
        <v>0</v>
      </c>
      <c r="N932" s="156" t="s">
        <v>92</v>
      </c>
      <c r="O932" s="157" cm="1">
        <f t="array" ref="O932">TRUNC($H932*(1+_xlfn.SWITCH($N932,"BDI 1",$O$6,"BDI 2",$O$7,"BDI 3",$O$8)),2)</f>
        <v>111.45</v>
      </c>
      <c r="P932" s="157" cm="1">
        <f t="array" ref="P932">TRUNC($I932*(1+_xlfn.SWITCH($N932,"BDI 1",$P$6,"BDI 2",$P$7,"BDI 3",$P$8)),2)</f>
        <v>111.45</v>
      </c>
      <c r="Q932" s="157">
        <v>0</v>
      </c>
      <c r="R932" s="157">
        <f t="shared" ref="R932" si="2038">$Q932-($Q932*LICITACAO_DESCONTO)</f>
        <v>0</v>
      </c>
      <c r="S932" s="156">
        <f t="shared" si="1991"/>
        <v>0</v>
      </c>
      <c r="T932" s="156">
        <f t="shared" si="1992"/>
        <v>0</v>
      </c>
      <c r="U932" s="156">
        <f t="shared" si="1993"/>
        <v>0</v>
      </c>
      <c r="V932" s="156">
        <f t="shared" si="1994"/>
        <v>0</v>
      </c>
      <c r="W932" s="156">
        <f t="shared" si="1981"/>
        <v>0</v>
      </c>
      <c r="X932" s="158">
        <f t="shared" ref="X932" si="2039">$S932/ORCAMENTO_VALOR_TOTAL_ND</f>
        <v>0</v>
      </c>
      <c r="Y932" s="158">
        <f t="shared" ref="Y932" si="2040">$T932/ORCAMENTO_VALOR_TOTAL_DE</f>
        <v>0</v>
      </c>
      <c r="Z932" s="158" cm="1">
        <f t="array" ref="Z932">_xlfn.SWITCH($N932,"BDI 1",$O$6,"BDI 2",$O$7,"BDI 3",$O$8)</f>
        <v>0.1527</v>
      </c>
      <c r="AA932" s="158" cm="1">
        <f t="array" ref="AA932">_xlfn.SWITCH($N932,"BDI 1",$P$6,"BDI 2",$P$7,"BDI 3",$P$8)</f>
        <v>0.1527</v>
      </c>
      <c r="AB932" s="158">
        <f t="shared" ca="1" si="1997"/>
        <v>0</v>
      </c>
      <c r="AC932" s="158">
        <f t="shared" ca="1" si="1998"/>
        <v>0</v>
      </c>
      <c r="AD932" s="164"/>
      <c r="AE932" s="148">
        <f t="shared" si="1984"/>
        <v>0</v>
      </c>
      <c r="AF932" s="149"/>
      <c r="AG932" s="150"/>
      <c r="AH932" s="159" t="e">
        <f t="shared" si="1985"/>
        <v>#DIV/0!</v>
      </c>
      <c r="AI932" s="160"/>
      <c r="AJ932" s="105"/>
      <c r="AK932" s="105"/>
      <c r="AM932" s="105"/>
      <c r="AN932" s="105"/>
      <c r="AO932" s="105"/>
      <c r="AP932" s="105"/>
      <c r="AQ932" s="105"/>
      <c r="AR932" s="105"/>
    </row>
    <row r="933" spans="1:44" s="49" customFormat="1" ht="49.9" hidden="1" customHeight="1">
      <c r="A933" s="152">
        <f t="shared" ca="1" si="1986"/>
        <v>0</v>
      </c>
      <c r="B933" s="153">
        <v>100978</v>
      </c>
      <c r="C933" s="154" t="str">
        <f t="shared" si="1987"/>
        <v>100978</v>
      </c>
      <c r="D933" s="154" t="s">
        <v>1416</v>
      </c>
      <c r="E933" s="155" t="s">
        <v>3810</v>
      </c>
      <c r="F933" s="154"/>
      <c r="G933" s="154" t="s">
        <v>464</v>
      </c>
      <c r="H933" s="152">
        <v>6.64</v>
      </c>
      <c r="I933" s="152">
        <v>6.55</v>
      </c>
      <c r="J933" s="156"/>
      <c r="K933" s="156">
        <f>Ponto_Onibus!I36+IF(Ponto_Onibus!I37&lt;=50,Ponto_Onibus!I37,0)</f>
        <v>0</v>
      </c>
      <c r="L933" s="156">
        <f t="shared" si="1988"/>
        <v>0</v>
      </c>
      <c r="M933" s="156">
        <f t="shared" si="1989"/>
        <v>0</v>
      </c>
      <c r="N933" s="156" t="s">
        <v>83</v>
      </c>
      <c r="O933" s="157" cm="1">
        <f t="array" ref="O933">TRUNC($H933*(1+_xlfn.SWITCH($N933,"BDI 1",$O$6,"BDI 2",$O$7,"BDI 3",$O$8)),2)</f>
        <v>8.01</v>
      </c>
      <c r="P933" s="157" cm="1">
        <f t="array" ref="P933">TRUNC($I933*(1+_xlfn.SWITCH($N933,"BDI 1",$P$6,"BDI 2",$P$7,"BDI 3",$P$8)),2)</f>
        <v>8.3000000000000007</v>
      </c>
      <c r="Q933" s="157">
        <v>0</v>
      </c>
      <c r="R933" s="157">
        <f t="shared" ref="R933" si="2041">$Q933-($Q933*LICITACAO_DESCONTO)</f>
        <v>0</v>
      </c>
      <c r="S933" s="156">
        <f t="shared" si="1991"/>
        <v>0</v>
      </c>
      <c r="T933" s="156">
        <f t="shared" si="1992"/>
        <v>0</v>
      </c>
      <c r="U933" s="156">
        <f t="shared" si="1993"/>
        <v>0</v>
      </c>
      <c r="V933" s="156">
        <f t="shared" si="1994"/>
        <v>0</v>
      </c>
      <c r="W933" s="156">
        <f t="shared" si="1981"/>
        <v>0</v>
      </c>
      <c r="X933" s="158">
        <f t="shared" ref="X933" si="2042">$S933/ORCAMENTO_VALOR_TOTAL_ND</f>
        <v>0</v>
      </c>
      <c r="Y933" s="158">
        <f t="shared" ref="Y933" si="2043">$T933/ORCAMENTO_VALOR_TOTAL_DE</f>
        <v>0</v>
      </c>
      <c r="Z933" s="158" cm="1">
        <f t="array" ref="Z933">_xlfn.SWITCH($N933,"BDI 1",$O$6,"BDI 2",$O$7,"BDI 3",$O$8)</f>
        <v>0.20699999999999999</v>
      </c>
      <c r="AA933" s="158" cm="1">
        <f t="array" ref="AA933">_xlfn.SWITCH($N933,"BDI 1",$P$6,"BDI 2",$P$7,"BDI 3",$P$8)</f>
        <v>0.26739999999999997</v>
      </c>
      <c r="AB933" s="158">
        <f t="shared" ca="1" si="1997"/>
        <v>0</v>
      </c>
      <c r="AC933" s="158">
        <f t="shared" ca="1" si="1998"/>
        <v>0</v>
      </c>
      <c r="AD933" s="164"/>
      <c r="AE933" s="148">
        <f t="shared" si="1984"/>
        <v>0</v>
      </c>
      <c r="AF933" s="149"/>
      <c r="AG933" s="150"/>
      <c r="AH933" s="159" t="e">
        <f t="shared" si="1985"/>
        <v>#DIV/0!</v>
      </c>
      <c r="AI933" s="160"/>
      <c r="AJ933" s="105"/>
      <c r="AK933" s="105"/>
      <c r="AM933" s="105"/>
      <c r="AN933" s="105"/>
      <c r="AO933" s="105"/>
      <c r="AP933" s="105"/>
      <c r="AQ933" s="105"/>
      <c r="AR933" s="105"/>
    </row>
    <row r="934" spans="1:44" s="49" customFormat="1" ht="49.9" hidden="1" customHeight="1">
      <c r="A934" s="152">
        <f t="shared" ca="1" si="1986"/>
        <v>0</v>
      </c>
      <c r="B934" s="153">
        <v>100979</v>
      </c>
      <c r="C934" s="154" t="str">
        <f t="shared" si="1987"/>
        <v>100979</v>
      </c>
      <c r="D934" s="154" t="s">
        <v>1416</v>
      </c>
      <c r="E934" s="155" t="s">
        <v>1420</v>
      </c>
      <c r="F934" s="154"/>
      <c r="G934" s="154" t="s">
        <v>464</v>
      </c>
      <c r="H934" s="152">
        <v>6.4</v>
      </c>
      <c r="I934" s="152">
        <v>6.4</v>
      </c>
      <c r="J934" s="156"/>
      <c r="K934" s="156">
        <f>IF(Ponto_Onibus!I37&gt;50,Ponto_Onibus!I37,0)</f>
        <v>0</v>
      </c>
      <c r="L934" s="156">
        <f t="shared" si="1988"/>
        <v>0</v>
      </c>
      <c r="M934" s="156">
        <f t="shared" si="1989"/>
        <v>0</v>
      </c>
      <c r="N934" s="156" t="s">
        <v>83</v>
      </c>
      <c r="O934" s="157" cm="1">
        <f t="array" ref="O934">TRUNC($H934*(1+_xlfn.SWITCH($N934,"BDI 1",$O$6,"BDI 2",$O$7,"BDI 3",$O$8)),2)</f>
        <v>7.72</v>
      </c>
      <c r="P934" s="157" cm="1">
        <f t="array" ref="P934">TRUNC($I934*(1+_xlfn.SWITCH($N934,"BDI 1",$P$6,"BDI 2",$P$7,"BDI 3",$P$8)),2)</f>
        <v>8.11</v>
      </c>
      <c r="Q934" s="157">
        <v>0</v>
      </c>
      <c r="R934" s="157">
        <f t="shared" ref="R934" si="2044">$Q934-($Q934*LICITACAO_DESCONTO)</f>
        <v>0</v>
      </c>
      <c r="S934" s="156">
        <f t="shared" si="1991"/>
        <v>0</v>
      </c>
      <c r="T934" s="156">
        <f t="shared" si="1992"/>
        <v>0</v>
      </c>
      <c r="U934" s="156">
        <f t="shared" si="1993"/>
        <v>0</v>
      </c>
      <c r="V934" s="156">
        <f t="shared" si="1994"/>
        <v>0</v>
      </c>
      <c r="W934" s="156">
        <f t="shared" si="1981"/>
        <v>0</v>
      </c>
      <c r="X934" s="158">
        <f t="shared" ref="X934" si="2045">$S934/ORCAMENTO_VALOR_TOTAL_ND</f>
        <v>0</v>
      </c>
      <c r="Y934" s="158">
        <f t="shared" ref="Y934" si="2046">$T934/ORCAMENTO_VALOR_TOTAL_DE</f>
        <v>0</v>
      </c>
      <c r="Z934" s="158" cm="1">
        <f t="array" ref="Z934">_xlfn.SWITCH($N934,"BDI 1",$O$6,"BDI 2",$O$7,"BDI 3",$O$8)</f>
        <v>0.20699999999999999</v>
      </c>
      <c r="AA934" s="158" cm="1">
        <f t="array" ref="AA934">_xlfn.SWITCH($N934,"BDI 1",$P$6,"BDI 2",$P$7,"BDI 3",$P$8)</f>
        <v>0.26739999999999997</v>
      </c>
      <c r="AB934" s="158">
        <f t="shared" ca="1" si="1997"/>
        <v>0</v>
      </c>
      <c r="AC934" s="158">
        <f t="shared" ca="1" si="1998"/>
        <v>0</v>
      </c>
      <c r="AD934" s="164"/>
      <c r="AE934" s="148">
        <f t="shared" si="1984"/>
        <v>0</v>
      </c>
      <c r="AF934" s="149"/>
      <c r="AG934" s="150"/>
      <c r="AH934" s="159" t="e">
        <f t="shared" si="1985"/>
        <v>#DIV/0!</v>
      </c>
      <c r="AI934" s="160"/>
      <c r="AJ934" s="105"/>
      <c r="AK934" s="105"/>
      <c r="AM934" s="105"/>
      <c r="AN934" s="105"/>
      <c r="AO934" s="105"/>
      <c r="AP934" s="105"/>
      <c r="AQ934" s="105"/>
      <c r="AR934" s="105"/>
    </row>
    <row r="935" spans="1:44" s="49" customFormat="1" ht="40.15" hidden="1" customHeight="1">
      <c r="A935" s="10">
        <f t="shared" ca="1" si="1986"/>
        <v>0</v>
      </c>
      <c r="B935" s="153"/>
      <c r="C935" s="154"/>
      <c r="D935" s="154"/>
      <c r="E935" s="161" t="s">
        <v>292</v>
      </c>
      <c r="F935" s="154"/>
      <c r="G935" s="154"/>
      <c r="H935" s="152"/>
      <c r="I935" s="152"/>
      <c r="J935" s="154"/>
      <c r="K935" s="154"/>
      <c r="L935" s="154"/>
      <c r="M935" s="154"/>
      <c r="N935" s="154"/>
      <c r="O935" s="154"/>
      <c r="P935" s="154"/>
      <c r="Q935" s="154"/>
      <c r="R935" s="154"/>
      <c r="S935" s="162"/>
      <c r="T935" s="162"/>
      <c r="U935" s="162"/>
      <c r="V935" s="162"/>
      <c r="W935" s="162"/>
      <c r="X935" s="163"/>
      <c r="Y935" s="163"/>
      <c r="Z935" s="163"/>
      <c r="AA935" s="163"/>
      <c r="AB935" s="163"/>
      <c r="AC935" s="163"/>
      <c r="AD935" s="164"/>
      <c r="AE935" s="148">
        <f>IF(SUM(S936:S937)&gt;0,IFERROR(TRUNC(A935,0),0),0)</f>
        <v>0</v>
      </c>
      <c r="AF935" s="149"/>
      <c r="AG935" s="150"/>
      <c r="AH935" s="159" t="e">
        <f t="shared" si="1985"/>
        <v>#DIV/0!</v>
      </c>
      <c r="AI935" s="160"/>
      <c r="AJ935" s="105"/>
      <c r="AK935" s="105"/>
      <c r="AM935" s="105"/>
      <c r="AN935" s="105"/>
      <c r="AO935" s="105"/>
      <c r="AP935" s="105"/>
      <c r="AQ935" s="105"/>
      <c r="AR935" s="105"/>
    </row>
    <row r="936" spans="1:44" s="49" customFormat="1" ht="40.15" hidden="1" customHeight="1">
      <c r="A936" s="152">
        <f t="shared" ca="1" si="1986"/>
        <v>0</v>
      </c>
      <c r="B936" s="153">
        <v>95879</v>
      </c>
      <c r="C936" s="154" t="str">
        <f>TEXT(B936,"0")</f>
        <v>95879</v>
      </c>
      <c r="D936" s="154" t="s">
        <v>1416</v>
      </c>
      <c r="E936" s="155" t="s">
        <v>3535</v>
      </c>
      <c r="F936" s="154">
        <f>IF(Dados_DMT!B17&lt;30,Dados_DMT!B17,30)</f>
        <v>3.5</v>
      </c>
      <c r="G936" s="154" t="s">
        <v>3534</v>
      </c>
      <c r="H936" s="152">
        <v>1.41</v>
      </c>
      <c r="I936" s="152">
        <v>1.42</v>
      </c>
      <c r="J936" s="156"/>
      <c r="K936" s="156">
        <f>ROUND(Ponto_Onibus!I46*F936,2)</f>
        <v>0</v>
      </c>
      <c r="L936" s="156">
        <f>IF($K936&gt;$J936,$K936-$J936,0)</f>
        <v>0</v>
      </c>
      <c r="M936" s="156">
        <f>IF($K936&lt;$J936,$J936-$K936,0)</f>
        <v>0</v>
      </c>
      <c r="N936" s="156" t="s">
        <v>83</v>
      </c>
      <c r="O936" s="157" cm="1">
        <f t="array" ref="O936">TRUNC($H936*(1+_xlfn.SWITCH($N936,"BDI 1",$O$6,"BDI 2",$O$7,"BDI 3",$O$8)),2)</f>
        <v>1.7</v>
      </c>
      <c r="P936" s="157" cm="1">
        <f t="array" ref="P936">TRUNC($I936*(1+_xlfn.SWITCH($N936,"BDI 1",$P$6,"BDI 2",$P$7,"BDI 3",$P$8)),2)</f>
        <v>1.79</v>
      </c>
      <c r="Q936" s="157">
        <v>0</v>
      </c>
      <c r="R936" s="157">
        <v>0</v>
      </c>
      <c r="S936" s="156">
        <f>TRUNC($K936*$O936,2)</f>
        <v>0</v>
      </c>
      <c r="T936" s="156">
        <f>TRUNC($K936*$P936,2)</f>
        <v>0</v>
      </c>
      <c r="U936" s="156">
        <f>TRUNC($J936*$R936,2)</f>
        <v>0</v>
      </c>
      <c r="V936" s="156">
        <f>TRUNC($K936*$Q936,2)</f>
        <v>0</v>
      </c>
      <c r="W936" s="156">
        <f>TRUNC(V936-U936,2)</f>
        <v>0</v>
      </c>
      <c r="X936" s="158">
        <f>$S936/ORCAMENTO_VALOR_TOTAL_ND</f>
        <v>0</v>
      </c>
      <c r="Y936" s="158">
        <f>$T936/ORCAMENTO_VALOR_TOTAL_DE</f>
        <v>0</v>
      </c>
      <c r="Z936" s="158" cm="1">
        <f t="array" ref="Z936">_xlfn.SWITCH($N936,"BDI 1",$O$6,"BDI 2",$O$7,"BDI 3",$O$8)</f>
        <v>0.20699999999999999</v>
      </c>
      <c r="AA936" s="158" cm="1">
        <f t="array" ref="AA936">_xlfn.SWITCH($N936,"BDI 1",$P$6,"BDI 2",$P$7,"BDI 3",$P$8)</f>
        <v>0.26739999999999997</v>
      </c>
      <c r="AB936" s="158">
        <f ca="1">IFERROR($S936/_xlfn.XLOOKUP($AE936,$B$16:$B$38,$S$16:$S$38),0)</f>
        <v>0</v>
      </c>
      <c r="AC936" s="158">
        <f ca="1">IFERROR($T936/_xlfn.XLOOKUP($AE936,$B$16:$B$38,$T$16:$T$38),0)</f>
        <v>0</v>
      </c>
      <c r="AD936" s="164"/>
      <c r="AE936" s="148">
        <f t="shared" ref="AE936:AE937" si="2047">IF(S936&gt;0,IFERROR(TRUNC(A936,0),0),0)</f>
        <v>0</v>
      </c>
      <c r="AF936" s="149"/>
      <c r="AG936" s="150"/>
      <c r="AH936" s="159" t="e">
        <f t="shared" si="1985"/>
        <v>#DIV/0!</v>
      </c>
      <c r="AI936" s="160"/>
      <c r="AJ936" s="105"/>
      <c r="AK936" s="105"/>
      <c r="AM936" s="105"/>
      <c r="AN936" s="105"/>
      <c r="AO936" s="105"/>
      <c r="AP936" s="105"/>
      <c r="AQ936" s="105"/>
      <c r="AR936" s="105"/>
    </row>
    <row r="937" spans="1:44" s="49" customFormat="1" ht="40.15" hidden="1" customHeight="1">
      <c r="A937" s="152">
        <f t="shared" ca="1" si="1986"/>
        <v>0</v>
      </c>
      <c r="B937" s="153">
        <v>93599</v>
      </c>
      <c r="C937" s="154" t="str">
        <f>TEXT(B937,"0")</f>
        <v>93599</v>
      </c>
      <c r="D937" s="154" t="s">
        <v>1416</v>
      </c>
      <c r="E937" s="155" t="s">
        <v>3533</v>
      </c>
      <c r="F937" s="154">
        <f>Dados_DMT!B17-F936</f>
        <v>0</v>
      </c>
      <c r="G937" s="154" t="s">
        <v>3534</v>
      </c>
      <c r="H937" s="152">
        <v>0.56000000000000005</v>
      </c>
      <c r="I937" s="152">
        <v>0.56000000000000005</v>
      </c>
      <c r="J937" s="156"/>
      <c r="K937" s="156">
        <f>ROUND(Ponto_Onibus!I46*F937,2)</f>
        <v>0</v>
      </c>
      <c r="L937" s="156">
        <f>IF($K937&gt;$J937,$K937-$J937,0)</f>
        <v>0</v>
      </c>
      <c r="M937" s="156">
        <f>IF($K937&lt;$J937,$J937-$K937,0)</f>
        <v>0</v>
      </c>
      <c r="N937" s="156" t="s">
        <v>83</v>
      </c>
      <c r="O937" s="157" cm="1">
        <f t="array" ref="O937">TRUNC($H937*(1+_xlfn.SWITCH($N937,"BDI 1",$O$6,"BDI 2",$O$7,"BDI 3",$O$8)),2)</f>
        <v>0.67</v>
      </c>
      <c r="P937" s="157" cm="1">
        <f t="array" ref="P937">TRUNC($I937*(1+_xlfn.SWITCH($N937,"BDI 1",$P$6,"BDI 2",$P$7,"BDI 3",$P$8)),2)</f>
        <v>0.7</v>
      </c>
      <c r="Q937" s="157">
        <v>0</v>
      </c>
      <c r="R937" s="157">
        <v>0</v>
      </c>
      <c r="S937" s="156">
        <f>TRUNC($K937*$O937,2)</f>
        <v>0</v>
      </c>
      <c r="T937" s="156">
        <f>TRUNC($K937*$P937,2)</f>
        <v>0</v>
      </c>
      <c r="U937" s="156">
        <f>TRUNC($J937*$R937,2)</f>
        <v>0</v>
      </c>
      <c r="V937" s="156">
        <f>TRUNC($K937*$Q937,2)</f>
        <v>0</v>
      </c>
      <c r="W937" s="156">
        <f>TRUNC(V937-U937,2)</f>
        <v>0</v>
      </c>
      <c r="X937" s="158">
        <f>$S937/ORCAMENTO_VALOR_TOTAL_ND</f>
        <v>0</v>
      </c>
      <c r="Y937" s="158">
        <f>$T937/ORCAMENTO_VALOR_TOTAL_DE</f>
        <v>0</v>
      </c>
      <c r="Z937" s="158" cm="1">
        <f t="array" ref="Z937">_xlfn.SWITCH($N937,"BDI 1",$O$6,"BDI 2",$O$7,"BDI 3",$O$8)</f>
        <v>0.20699999999999999</v>
      </c>
      <c r="AA937" s="158" cm="1">
        <f t="array" ref="AA937">_xlfn.SWITCH($N937,"BDI 1",$P$6,"BDI 2",$P$7,"BDI 3",$P$8)</f>
        <v>0.26739999999999997</v>
      </c>
      <c r="AB937" s="158">
        <f ca="1">IFERROR($S937/_xlfn.XLOOKUP($AE937,$B$16:$B$38,$S$16:$S$38),0)</f>
        <v>0</v>
      </c>
      <c r="AC937" s="158">
        <f ca="1">IFERROR($T937/_xlfn.XLOOKUP($AE937,$B$16:$B$38,$T$16:$T$38),0)</f>
        <v>0</v>
      </c>
      <c r="AD937" s="164"/>
      <c r="AE937" s="148">
        <f t="shared" si="2047"/>
        <v>0</v>
      </c>
      <c r="AF937" s="149"/>
      <c r="AG937" s="150"/>
      <c r="AH937" s="159" t="e">
        <f t="shared" si="1985"/>
        <v>#DIV/0!</v>
      </c>
      <c r="AI937" s="160"/>
      <c r="AJ937" s="105"/>
      <c r="AK937" s="105"/>
      <c r="AM937" s="105"/>
      <c r="AN937" s="105"/>
      <c r="AO937" s="105"/>
      <c r="AP937" s="105"/>
      <c r="AQ937" s="105"/>
      <c r="AR937" s="105"/>
    </row>
    <row r="938" spans="1:44" s="49" customFormat="1" ht="40.15" hidden="1" customHeight="1">
      <c r="A938" s="10">
        <f t="shared" ca="1" si="1986"/>
        <v>0</v>
      </c>
      <c r="B938" s="153"/>
      <c r="C938" s="154"/>
      <c r="D938" s="154"/>
      <c r="E938" s="161" t="s">
        <v>137</v>
      </c>
      <c r="F938" s="154"/>
      <c r="G938" s="154"/>
      <c r="H938" s="152"/>
      <c r="I938" s="152"/>
      <c r="J938" s="154"/>
      <c r="K938" s="154"/>
      <c r="L938" s="154"/>
      <c r="M938" s="154"/>
      <c r="N938" s="154"/>
      <c r="O938" s="154"/>
      <c r="P938" s="154"/>
      <c r="Q938" s="154"/>
      <c r="R938" s="154"/>
      <c r="S938" s="162"/>
      <c r="T938" s="162"/>
      <c r="U938" s="162"/>
      <c r="V938" s="162"/>
      <c r="W938" s="162"/>
      <c r="X938" s="163"/>
      <c r="Y938" s="163"/>
      <c r="Z938" s="163"/>
      <c r="AA938" s="163"/>
      <c r="AB938" s="163"/>
      <c r="AC938" s="163"/>
      <c r="AD938" s="164"/>
      <c r="AE938" s="148">
        <f>IF(SUM(S939:S940)&gt;0,IFERROR(TRUNC(A938,0),0),0)</f>
        <v>0</v>
      </c>
      <c r="AF938" s="149"/>
      <c r="AG938" s="150"/>
      <c r="AH938" s="159" t="e">
        <f t="shared" si="1985"/>
        <v>#DIV/0!</v>
      </c>
      <c r="AI938" s="160"/>
      <c r="AJ938" s="105"/>
      <c r="AK938" s="105"/>
      <c r="AM938" s="105"/>
      <c r="AN938" s="105"/>
      <c r="AO938" s="105"/>
      <c r="AP938" s="105"/>
      <c r="AQ938" s="105"/>
      <c r="AR938" s="105"/>
    </row>
    <row r="939" spans="1:44" s="49" customFormat="1" ht="40.15" hidden="1" customHeight="1">
      <c r="A939" s="152">
        <f t="shared" ca="1" si="1986"/>
        <v>0</v>
      </c>
      <c r="B939" s="153">
        <v>95876</v>
      </c>
      <c r="C939" s="154" t="str">
        <f>TEXT(B939,"0")</f>
        <v>95876</v>
      </c>
      <c r="D939" s="154" t="s">
        <v>1416</v>
      </c>
      <c r="E939" s="155" t="s">
        <v>3537</v>
      </c>
      <c r="F939" s="154">
        <f>IF(Dados_DMT!B17&lt;30,Dados_DMT!B17,30)</f>
        <v>3.5</v>
      </c>
      <c r="G939" s="154" t="s">
        <v>3538</v>
      </c>
      <c r="H939" s="152">
        <v>2.09</v>
      </c>
      <c r="I939" s="152">
        <v>2.1</v>
      </c>
      <c r="J939" s="156"/>
      <c r="K939" s="156">
        <f>ROUND(Ponto_Onibus!I47*F939,2)</f>
        <v>0</v>
      </c>
      <c r="L939" s="156">
        <f>IF($K939&gt;$J939,$K939-$J939,0)</f>
        <v>0</v>
      </c>
      <c r="M939" s="156">
        <f>IF($K939&lt;$J939,$J939-$K939,0)</f>
        <v>0</v>
      </c>
      <c r="N939" s="156" t="s">
        <v>83</v>
      </c>
      <c r="O939" s="157" cm="1">
        <f t="array" ref="O939">TRUNC($H939*(1+_xlfn.SWITCH($N939,"BDI 1",$O$6,"BDI 2",$O$7,"BDI 3",$O$8)),2)</f>
        <v>2.52</v>
      </c>
      <c r="P939" s="157" cm="1">
        <f t="array" ref="P939">TRUNC($I939*(1+_xlfn.SWITCH($N939,"BDI 1",$P$6,"BDI 2",$P$7,"BDI 3",$P$8)),2)</f>
        <v>2.66</v>
      </c>
      <c r="Q939" s="157">
        <v>0</v>
      </c>
      <c r="R939" s="157">
        <v>0</v>
      </c>
      <c r="S939" s="156">
        <f>TRUNC($K939*$O939,2)</f>
        <v>0</v>
      </c>
      <c r="T939" s="156">
        <f>TRUNC($K939*$P939,2)</f>
        <v>0</v>
      </c>
      <c r="U939" s="156">
        <f>TRUNC($J939*$R939,2)</f>
        <v>0</v>
      </c>
      <c r="V939" s="156">
        <f>TRUNC($K939*$Q939,2)</f>
        <v>0</v>
      </c>
      <c r="W939" s="156">
        <f>TRUNC(V939-U939,2)</f>
        <v>0</v>
      </c>
      <c r="X939" s="158">
        <f>$S939/ORCAMENTO_VALOR_TOTAL_ND</f>
        <v>0</v>
      </c>
      <c r="Y939" s="158">
        <f>$T939/ORCAMENTO_VALOR_TOTAL_DE</f>
        <v>0</v>
      </c>
      <c r="Z939" s="158" cm="1">
        <f t="array" ref="Z939">_xlfn.SWITCH($N939,"BDI 1",$O$6,"BDI 2",$O$7,"BDI 3",$O$8)</f>
        <v>0.20699999999999999</v>
      </c>
      <c r="AA939" s="158" cm="1">
        <f t="array" ref="AA939">_xlfn.SWITCH($N939,"BDI 1",$P$6,"BDI 2",$P$7,"BDI 3",$P$8)</f>
        <v>0.26739999999999997</v>
      </c>
      <c r="AB939" s="158">
        <f ca="1">IFERROR($S939/_xlfn.XLOOKUP($AE939,$B$16:$B$38,$S$16:$S$38),0)</f>
        <v>0</v>
      </c>
      <c r="AC939" s="158">
        <f ca="1">IFERROR($T939/_xlfn.XLOOKUP($AE939,$B$16:$B$38,$T$16:$T$38),0)</f>
        <v>0</v>
      </c>
      <c r="AD939" s="164"/>
      <c r="AE939" s="148">
        <f t="shared" ref="AE939:AE940" si="2048">IF(S939&gt;0,IFERROR(TRUNC(A939,0),0),0)</f>
        <v>0</v>
      </c>
      <c r="AF939" s="149"/>
      <c r="AG939" s="150"/>
      <c r="AH939" s="159" t="e">
        <f t="shared" si="1985"/>
        <v>#DIV/0!</v>
      </c>
      <c r="AI939" s="160"/>
      <c r="AJ939" s="105"/>
      <c r="AK939" s="105"/>
      <c r="AM939" s="105"/>
      <c r="AN939" s="105"/>
      <c r="AO939" s="105"/>
      <c r="AP939" s="105"/>
      <c r="AQ939" s="105"/>
      <c r="AR939" s="105"/>
    </row>
    <row r="940" spans="1:44" s="49" customFormat="1" ht="40.15" hidden="1" customHeight="1">
      <c r="A940" s="152">
        <f t="shared" ca="1" si="1986"/>
        <v>0</v>
      </c>
      <c r="B940" s="153">
        <v>93593</v>
      </c>
      <c r="C940" s="154" t="str">
        <f>TEXT(B940,"0")</f>
        <v>93593</v>
      </c>
      <c r="D940" s="154" t="s">
        <v>1416</v>
      </c>
      <c r="E940" s="155" t="s">
        <v>3545</v>
      </c>
      <c r="F940" s="154">
        <f>Dados_DMT!B17-F939</f>
        <v>0</v>
      </c>
      <c r="G940" s="154" t="s">
        <v>3538</v>
      </c>
      <c r="H940" s="152">
        <v>0.84</v>
      </c>
      <c r="I940" s="152">
        <v>0.85</v>
      </c>
      <c r="J940" s="156"/>
      <c r="K940" s="156">
        <f>ROUND(Ponto_Onibus!I47*F940,2)</f>
        <v>0</v>
      </c>
      <c r="L940" s="156">
        <f>IF($K940&gt;$J940,$K940-$J940,0)</f>
        <v>0</v>
      </c>
      <c r="M940" s="156">
        <f>IF($K940&lt;$J940,$J940-$K940,0)</f>
        <v>0</v>
      </c>
      <c r="N940" s="156" t="s">
        <v>83</v>
      </c>
      <c r="O940" s="157" cm="1">
        <f t="array" ref="O940">TRUNC($H940*(1+_xlfn.SWITCH($N940,"BDI 1",$O$6,"BDI 2",$O$7,"BDI 3",$O$8)),2)</f>
        <v>1.01</v>
      </c>
      <c r="P940" s="157" cm="1">
        <f t="array" ref="P940">TRUNC($I940*(1+_xlfn.SWITCH($N940,"BDI 1",$P$6,"BDI 2",$P$7,"BDI 3",$P$8)),2)</f>
        <v>1.07</v>
      </c>
      <c r="Q940" s="157">
        <v>0</v>
      </c>
      <c r="R940" s="157">
        <v>0</v>
      </c>
      <c r="S940" s="156">
        <f>TRUNC($K940*$O940,2)</f>
        <v>0</v>
      </c>
      <c r="T940" s="156">
        <f>TRUNC($K940*$P940,2)</f>
        <v>0</v>
      </c>
      <c r="U940" s="156">
        <f>TRUNC($J940*$R940,2)</f>
        <v>0</v>
      </c>
      <c r="V940" s="156">
        <f>TRUNC($K940*$Q940,2)</f>
        <v>0</v>
      </c>
      <c r="W940" s="156">
        <f>TRUNC(V940-U940,2)</f>
        <v>0</v>
      </c>
      <c r="X940" s="158">
        <f>$S940/ORCAMENTO_VALOR_TOTAL_ND</f>
        <v>0</v>
      </c>
      <c r="Y940" s="158">
        <f>$T940/ORCAMENTO_VALOR_TOTAL_DE</f>
        <v>0</v>
      </c>
      <c r="Z940" s="158" cm="1">
        <f t="array" ref="Z940">_xlfn.SWITCH($N940,"BDI 1",$O$6,"BDI 2",$O$7,"BDI 3",$O$8)</f>
        <v>0.20699999999999999</v>
      </c>
      <c r="AA940" s="158" cm="1">
        <f t="array" ref="AA940">_xlfn.SWITCH($N940,"BDI 1",$P$6,"BDI 2",$P$7,"BDI 3",$P$8)</f>
        <v>0.26739999999999997</v>
      </c>
      <c r="AB940" s="158">
        <f ca="1">IFERROR($S940/_xlfn.XLOOKUP($AE940,$B$16:$B$38,$S$16:$S$38),0)</f>
        <v>0</v>
      </c>
      <c r="AC940" s="158">
        <f ca="1">IFERROR($T940/_xlfn.XLOOKUP($AE940,$B$16:$B$38,$T$16:$T$38),0)</f>
        <v>0</v>
      </c>
      <c r="AD940" s="164"/>
      <c r="AE940" s="148">
        <f t="shared" si="2048"/>
        <v>0</v>
      </c>
      <c r="AF940" s="149"/>
      <c r="AG940" s="150"/>
      <c r="AH940" s="159" t="e">
        <f t="shared" si="1985"/>
        <v>#DIV/0!</v>
      </c>
      <c r="AI940" s="160"/>
      <c r="AJ940" s="105"/>
      <c r="AK940" s="105"/>
      <c r="AM940" s="105"/>
      <c r="AN940" s="105"/>
      <c r="AO940" s="105"/>
      <c r="AP940" s="105"/>
      <c r="AQ940" s="105"/>
      <c r="AR940" s="105"/>
    </row>
    <row r="941" spans="1:44" s="49" customFormat="1" ht="40.15" hidden="1" customHeight="1">
      <c r="A941" s="10">
        <f t="shared" ca="1" si="1986"/>
        <v>0</v>
      </c>
      <c r="B941" s="153"/>
      <c r="C941" s="154"/>
      <c r="D941" s="154"/>
      <c r="E941" s="161" t="s">
        <v>258</v>
      </c>
      <c r="F941" s="154"/>
      <c r="G941" s="154"/>
      <c r="H941" s="152"/>
      <c r="I941" s="152"/>
      <c r="J941" s="154"/>
      <c r="K941" s="154"/>
      <c r="L941" s="154"/>
      <c r="M941" s="154"/>
      <c r="N941" s="154"/>
      <c r="O941" s="154"/>
      <c r="P941" s="154"/>
      <c r="Q941" s="154"/>
      <c r="R941" s="154"/>
      <c r="S941" s="162"/>
      <c r="T941" s="162"/>
      <c r="U941" s="162"/>
      <c r="V941" s="162"/>
      <c r="W941" s="162"/>
      <c r="X941" s="163"/>
      <c r="Y941" s="163"/>
      <c r="Z941" s="163"/>
      <c r="AA941" s="163"/>
      <c r="AB941" s="163"/>
      <c r="AC941" s="163"/>
      <c r="AD941" s="164"/>
      <c r="AE941" s="148">
        <f>IF(SUM(S942)&gt;0,IFERROR(TRUNC(A941,0),0),0)</f>
        <v>0</v>
      </c>
      <c r="AF941" s="149"/>
      <c r="AG941" s="150"/>
      <c r="AH941" s="159" t="e">
        <f t="shared" si="1985"/>
        <v>#DIV/0!</v>
      </c>
      <c r="AI941" s="160"/>
      <c r="AJ941" s="105"/>
      <c r="AK941" s="105"/>
      <c r="AM941" s="105"/>
      <c r="AN941" s="105"/>
      <c r="AO941" s="105"/>
      <c r="AP941" s="105"/>
      <c r="AQ941" s="105"/>
      <c r="AR941" s="105"/>
    </row>
    <row r="942" spans="1:44" s="49" customFormat="1" ht="40.15" hidden="1" customHeight="1">
      <c r="A942" s="152">
        <f t="shared" ca="1" si="1986"/>
        <v>0</v>
      </c>
      <c r="B942" s="153">
        <v>95876</v>
      </c>
      <c r="C942" s="154" t="str">
        <f>TEXT(B942,"0")</f>
        <v>95876</v>
      </c>
      <c r="D942" s="154" t="s">
        <v>1416</v>
      </c>
      <c r="E942" s="155" t="s">
        <v>3537</v>
      </c>
      <c r="F942" s="154">
        <f>Dados_DMT!B15</f>
        <v>1</v>
      </c>
      <c r="G942" s="154" t="s">
        <v>3538</v>
      </c>
      <c r="H942" s="152">
        <v>2.09</v>
      </c>
      <c r="I942" s="152">
        <v>2.1</v>
      </c>
      <c r="J942" s="156"/>
      <c r="K942" s="156">
        <f>ROUND(Ponto_Onibus!I48*F942,2)</f>
        <v>0</v>
      </c>
      <c r="L942" s="156">
        <f>IF($K942&gt;$J942,$K942-$J942,0)</f>
        <v>0</v>
      </c>
      <c r="M942" s="156">
        <f>IF($K942&lt;$J942,$J942-$K942,0)</f>
        <v>0</v>
      </c>
      <c r="N942" s="156" t="s">
        <v>83</v>
      </c>
      <c r="O942" s="157" cm="1">
        <f t="array" ref="O942">TRUNC($H942*(1+_xlfn.SWITCH($N942,"BDI 1",$O$6,"BDI 2",$O$7,"BDI 3",$O$8)),2)</f>
        <v>2.52</v>
      </c>
      <c r="P942" s="157" cm="1">
        <f t="array" ref="P942">TRUNC($I942*(1+_xlfn.SWITCH($N942,"BDI 1",$P$6,"BDI 2",$P$7,"BDI 3",$P$8)),2)</f>
        <v>2.66</v>
      </c>
      <c r="Q942" s="157">
        <v>0</v>
      </c>
      <c r="R942" s="157">
        <v>0</v>
      </c>
      <c r="S942" s="156">
        <f>TRUNC($K942*$O942,2)</f>
        <v>0</v>
      </c>
      <c r="T942" s="156">
        <f>TRUNC($K942*$P942,2)</f>
        <v>0</v>
      </c>
      <c r="U942" s="156">
        <f>TRUNC($J942*$R942,2)</f>
        <v>0</v>
      </c>
      <c r="V942" s="156">
        <f>TRUNC($K942*$Q942,2)</f>
        <v>0</v>
      </c>
      <c r="W942" s="156">
        <f>TRUNC(V942-U942,2)</f>
        <v>0</v>
      </c>
      <c r="X942" s="158">
        <f>$S942/ORCAMENTO_VALOR_TOTAL_ND</f>
        <v>0</v>
      </c>
      <c r="Y942" s="158">
        <f>$T942/ORCAMENTO_VALOR_TOTAL_DE</f>
        <v>0</v>
      </c>
      <c r="Z942" s="158" cm="1">
        <f t="array" ref="Z942">_xlfn.SWITCH($N942,"BDI 1",$O$6,"BDI 2",$O$7,"BDI 3",$O$8)</f>
        <v>0.20699999999999999</v>
      </c>
      <c r="AA942" s="158" cm="1">
        <f t="array" ref="AA942">_xlfn.SWITCH($N942,"BDI 1",$P$6,"BDI 2",$P$7,"BDI 3",$P$8)</f>
        <v>0.26739999999999997</v>
      </c>
      <c r="AB942" s="158">
        <f ca="1">IFERROR($S942/_xlfn.XLOOKUP($AE942,$B$16:$B$38,$S$16:$S$38),0)</f>
        <v>0</v>
      </c>
      <c r="AC942" s="158">
        <f ca="1">IFERROR($T942/_xlfn.XLOOKUP($AE942,$B$16:$B$38,$T$16:$T$38),0)</f>
        <v>0</v>
      </c>
      <c r="AD942" s="164"/>
      <c r="AE942" s="148">
        <f t="shared" ref="AE942" si="2049">IF(S942&gt;0,IFERROR(TRUNC(A942,0),0),0)</f>
        <v>0</v>
      </c>
      <c r="AF942" s="149"/>
      <c r="AG942" s="150"/>
      <c r="AH942" s="159" t="e">
        <f t="shared" si="1985"/>
        <v>#DIV/0!</v>
      </c>
      <c r="AI942" s="160"/>
      <c r="AJ942" s="105"/>
      <c r="AK942" s="105"/>
      <c r="AM942" s="105"/>
      <c r="AN942" s="105"/>
      <c r="AO942" s="105"/>
      <c r="AP942" s="105"/>
      <c r="AQ942" s="105"/>
      <c r="AR942" s="105"/>
    </row>
    <row r="943" spans="1:44" s="49" customFormat="1" ht="40.15" hidden="1" customHeight="1">
      <c r="A943" s="10">
        <f t="shared" ca="1" si="1986"/>
        <v>0</v>
      </c>
      <c r="B943" s="153"/>
      <c r="C943" s="154"/>
      <c r="D943" s="154"/>
      <c r="E943" s="161" t="s">
        <v>139</v>
      </c>
      <c r="F943" s="154"/>
      <c r="G943" s="154"/>
      <c r="H943" s="152"/>
      <c r="I943" s="152"/>
      <c r="J943" s="154"/>
      <c r="K943" s="154"/>
      <c r="L943" s="154"/>
      <c r="M943" s="154"/>
      <c r="N943" s="154"/>
      <c r="O943" s="154"/>
      <c r="P943" s="154"/>
      <c r="Q943" s="154"/>
      <c r="R943" s="154"/>
      <c r="S943" s="162"/>
      <c r="T943" s="162"/>
      <c r="U943" s="162"/>
      <c r="V943" s="162"/>
      <c r="W943" s="162"/>
      <c r="X943" s="163"/>
      <c r="Y943" s="163"/>
      <c r="Z943" s="163"/>
      <c r="AA943" s="163"/>
      <c r="AB943" s="163"/>
      <c r="AC943" s="163"/>
      <c r="AD943" s="164"/>
      <c r="AE943" s="148">
        <f>IF(SUM(S944)&gt;0,IFERROR(TRUNC(A943,0),0),0)</f>
        <v>0</v>
      </c>
      <c r="AF943" s="149"/>
      <c r="AG943" s="150"/>
      <c r="AH943" s="159" t="e">
        <f t="shared" si="1985"/>
        <v>#DIV/0!</v>
      </c>
      <c r="AI943" s="160"/>
      <c r="AJ943" s="105"/>
      <c r="AK943" s="105"/>
      <c r="AM943" s="105"/>
      <c r="AN943" s="105"/>
      <c r="AO943" s="105"/>
      <c r="AP943" s="105"/>
      <c r="AQ943" s="105"/>
      <c r="AR943" s="105"/>
    </row>
    <row r="944" spans="1:44" s="49" customFormat="1" ht="40.15" hidden="1" customHeight="1">
      <c r="A944" s="152">
        <f t="shared" ca="1" si="1986"/>
        <v>0</v>
      </c>
      <c r="B944" s="153">
        <v>95876</v>
      </c>
      <c r="C944" s="154" t="str">
        <f>TEXT(B944,"0")</f>
        <v>95876</v>
      </c>
      <c r="D944" s="154" t="s">
        <v>1416</v>
      </c>
      <c r="E944" s="155" t="s">
        <v>3537</v>
      </c>
      <c r="F944" s="154">
        <f>Dados_DMT!B14</f>
        <v>3.5</v>
      </c>
      <c r="G944" s="154" t="s">
        <v>3538</v>
      </c>
      <c r="H944" s="152">
        <v>2.09</v>
      </c>
      <c r="I944" s="152">
        <v>2.1</v>
      </c>
      <c r="J944" s="156"/>
      <c r="K944" s="156">
        <f>ROUND(Ponto_Onibus!I49*F944,2)</f>
        <v>0</v>
      </c>
      <c r="L944" s="156">
        <f>IF($K944&gt;$J944,$K944-$J944,0)</f>
        <v>0</v>
      </c>
      <c r="M944" s="156">
        <f>IF($K944&lt;$J944,$J944-$K944,0)</f>
        <v>0</v>
      </c>
      <c r="N944" s="156" t="s">
        <v>83</v>
      </c>
      <c r="O944" s="157" cm="1">
        <f t="array" ref="O944">TRUNC($H944*(1+_xlfn.SWITCH($N944,"BDI 1",$O$6,"BDI 2",$O$7,"BDI 3",$O$8)),2)</f>
        <v>2.52</v>
      </c>
      <c r="P944" s="157" cm="1">
        <f t="array" ref="P944">TRUNC($I944*(1+_xlfn.SWITCH($N944,"BDI 1",$P$6,"BDI 2",$P$7,"BDI 3",$P$8)),2)</f>
        <v>2.66</v>
      </c>
      <c r="Q944" s="157">
        <v>0</v>
      </c>
      <c r="R944" s="157">
        <v>0</v>
      </c>
      <c r="S944" s="156">
        <f>TRUNC($K944*$O944,2)</f>
        <v>0</v>
      </c>
      <c r="T944" s="156">
        <f>TRUNC($K944*$P944,2)</f>
        <v>0</v>
      </c>
      <c r="U944" s="156">
        <f>TRUNC($J944*$R944,2)</f>
        <v>0</v>
      </c>
      <c r="V944" s="156">
        <f>TRUNC($K944*$Q944,2)</f>
        <v>0</v>
      </c>
      <c r="W944" s="156">
        <f>TRUNC(V944-U944,2)</f>
        <v>0</v>
      </c>
      <c r="X944" s="158">
        <f>$S944/ORCAMENTO_VALOR_TOTAL_ND</f>
        <v>0</v>
      </c>
      <c r="Y944" s="158">
        <f>$T944/ORCAMENTO_VALOR_TOTAL_DE</f>
        <v>0</v>
      </c>
      <c r="Z944" s="158" cm="1">
        <f t="array" ref="Z944">_xlfn.SWITCH($N944,"BDI 1",$O$6,"BDI 2",$O$7,"BDI 3",$O$8)</f>
        <v>0.20699999999999999</v>
      </c>
      <c r="AA944" s="158" cm="1">
        <f t="array" ref="AA944">_xlfn.SWITCH($N944,"BDI 1",$P$6,"BDI 2",$P$7,"BDI 3",$P$8)</f>
        <v>0.26739999999999997</v>
      </c>
      <c r="AB944" s="158">
        <f ca="1">IFERROR($S944/_xlfn.XLOOKUP($AE944,$B$16:$B$38,$S$16:$S$38),0)</f>
        <v>0</v>
      </c>
      <c r="AC944" s="158">
        <f ca="1">IFERROR($T944/_xlfn.XLOOKUP($AE944,$B$16:$B$38,$T$16:$T$38),0)</f>
        <v>0</v>
      </c>
      <c r="AD944" s="164"/>
      <c r="AE944" s="148">
        <f t="shared" ref="AE944" si="2050">IF(S944&gt;0,IFERROR(TRUNC(A944,0),0),0)</f>
        <v>0</v>
      </c>
      <c r="AF944" s="149"/>
      <c r="AG944" s="150"/>
      <c r="AH944" s="159" t="e">
        <f t="shared" si="1985"/>
        <v>#DIV/0!</v>
      </c>
      <c r="AI944" s="160"/>
      <c r="AJ944" s="105"/>
      <c r="AK944" s="105"/>
      <c r="AM944" s="105"/>
      <c r="AN944" s="105"/>
      <c r="AO944" s="105"/>
      <c r="AP944" s="105"/>
      <c r="AQ944" s="105"/>
      <c r="AR944" s="105"/>
    </row>
    <row r="945" spans="1:44" s="49" customFormat="1" ht="40.15" hidden="1" customHeight="1">
      <c r="A945" s="10">
        <f t="shared" ca="1" si="1986"/>
        <v>0</v>
      </c>
      <c r="B945" s="153"/>
      <c r="C945" s="154"/>
      <c r="D945" s="154"/>
      <c r="E945" s="161" t="s">
        <v>103</v>
      </c>
      <c r="F945" s="154"/>
      <c r="G945" s="154"/>
      <c r="H945" s="154"/>
      <c r="I945" s="154"/>
      <c r="J945" s="216"/>
      <c r="K945" s="216"/>
      <c r="L945" s="216"/>
      <c r="M945" s="216"/>
      <c r="N945" s="216"/>
      <c r="O945" s="154"/>
      <c r="P945" s="154"/>
      <c r="Q945" s="154"/>
      <c r="R945" s="154"/>
      <c r="S945" s="162"/>
      <c r="T945" s="162"/>
      <c r="U945" s="162"/>
      <c r="V945" s="162"/>
      <c r="W945" s="162"/>
      <c r="X945" s="162"/>
      <c r="Y945" s="162"/>
      <c r="Z945" s="162"/>
      <c r="AA945" s="162"/>
      <c r="AB945" s="162"/>
      <c r="AC945" s="162"/>
      <c r="AD945" s="217"/>
      <c r="AE945" s="148">
        <f>IF(SUM(S946:S947)&gt;0,IFERROR(TRUNC(A945,0),0),0)</f>
        <v>0</v>
      </c>
      <c r="AF945" s="149"/>
      <c r="AG945" s="150"/>
      <c r="AH945" s="159" t="e">
        <f t="shared" si="1985"/>
        <v>#DIV/0!</v>
      </c>
      <c r="AI945" s="160"/>
      <c r="AJ945" s="105"/>
      <c r="AK945" s="105"/>
      <c r="AM945" s="105"/>
      <c r="AN945" s="105"/>
      <c r="AO945" s="105"/>
      <c r="AP945" s="105"/>
      <c r="AQ945" s="105"/>
      <c r="AR945" s="105"/>
    </row>
    <row r="946" spans="1:44" s="49" customFormat="1" ht="40.15" hidden="1" customHeight="1">
      <c r="A946" s="152">
        <f t="shared" ca="1" si="1986"/>
        <v>0</v>
      </c>
      <c r="B946" s="153">
        <v>95876</v>
      </c>
      <c r="C946" s="154" t="str">
        <f>TEXT(B946,"0")</f>
        <v>95876</v>
      </c>
      <c r="D946" s="154" t="s">
        <v>1416</v>
      </c>
      <c r="E946" s="155" t="s">
        <v>3537</v>
      </c>
      <c r="F946" s="154">
        <f>IF(Dados_DMT!B34&lt;30,Dados_DMT!B34,30)</f>
        <v>30</v>
      </c>
      <c r="G946" s="154" t="s">
        <v>3538</v>
      </c>
      <c r="H946" s="152">
        <v>2.09</v>
      </c>
      <c r="I946" s="152">
        <v>2.1</v>
      </c>
      <c r="J946" s="156"/>
      <c r="K946" s="156">
        <f>ROUND((Ponto_Onibus!I50+Ponto_Onibus!I53)*F946,2)</f>
        <v>0</v>
      </c>
      <c r="L946" s="156">
        <f>IF($K946&gt;$J946,$K946-$J946,0)</f>
        <v>0</v>
      </c>
      <c r="M946" s="156">
        <f>IF($K946&lt;$J946,$J946-$K946,0)</f>
        <v>0</v>
      </c>
      <c r="N946" s="156" t="s">
        <v>83</v>
      </c>
      <c r="O946" s="157" cm="1">
        <f t="array" ref="O946">TRUNC($H946*(1+_xlfn.SWITCH($N946,"BDI 1",$O$6,"BDI 2",$O$7,"BDI 3",$O$8)),2)</f>
        <v>2.52</v>
      </c>
      <c r="P946" s="157" cm="1">
        <f t="array" ref="P946">TRUNC($I946*(1+_xlfn.SWITCH($N946,"BDI 1",$P$6,"BDI 2",$P$7,"BDI 3",$P$8)),2)</f>
        <v>2.66</v>
      </c>
      <c r="Q946" s="157">
        <v>0</v>
      </c>
      <c r="R946" s="157">
        <v>0</v>
      </c>
      <c r="S946" s="156">
        <f>TRUNC($K946*$O946,2)</f>
        <v>0</v>
      </c>
      <c r="T946" s="156">
        <f>TRUNC($K946*$P946,2)</f>
        <v>0</v>
      </c>
      <c r="U946" s="156">
        <f>TRUNC($J946*$R946,2)</f>
        <v>0</v>
      </c>
      <c r="V946" s="156">
        <f>TRUNC($K946*$Q946,2)</f>
        <v>0</v>
      </c>
      <c r="W946" s="156">
        <f>TRUNC(V946-U946,2)</f>
        <v>0</v>
      </c>
      <c r="X946" s="158">
        <f>$S946/ORCAMENTO_VALOR_TOTAL_ND</f>
        <v>0</v>
      </c>
      <c r="Y946" s="158">
        <f>$T946/ORCAMENTO_VALOR_TOTAL_DE</f>
        <v>0</v>
      </c>
      <c r="Z946" s="158" cm="1">
        <f t="array" ref="Z946">_xlfn.SWITCH($N946,"BDI 1",$O$6,"BDI 2",$O$7,"BDI 3",$O$8)</f>
        <v>0.20699999999999999</v>
      </c>
      <c r="AA946" s="158" cm="1">
        <f t="array" ref="AA946">_xlfn.SWITCH($N946,"BDI 1",$P$6,"BDI 2",$P$7,"BDI 3",$P$8)</f>
        <v>0.26739999999999997</v>
      </c>
      <c r="AB946" s="158">
        <f ca="1">IFERROR($S946/_xlfn.XLOOKUP($AE946,$B$16:$B$38,$S$16:$S$38),0)</f>
        <v>0</v>
      </c>
      <c r="AC946" s="158">
        <f ca="1">IFERROR($T946/_xlfn.XLOOKUP($AE946,$B$16:$B$38,$T$16:$T$38),0)</f>
        <v>0</v>
      </c>
      <c r="AD946" s="164"/>
      <c r="AE946" s="148">
        <f t="shared" ref="AE946:AE947" si="2051">IF(S946&gt;0,IFERROR(TRUNC(A946,0),0),0)</f>
        <v>0</v>
      </c>
      <c r="AF946" s="149"/>
      <c r="AG946" s="150"/>
      <c r="AH946" s="159" t="e">
        <f t="shared" si="1985"/>
        <v>#DIV/0!</v>
      </c>
      <c r="AI946" s="160"/>
      <c r="AJ946" s="105"/>
      <c r="AK946" s="105"/>
      <c r="AM946" s="105"/>
      <c r="AN946" s="105"/>
      <c r="AO946" s="105"/>
      <c r="AP946" s="105"/>
      <c r="AQ946" s="105"/>
      <c r="AR946" s="105"/>
    </row>
    <row r="947" spans="1:44" s="49" customFormat="1" ht="40.15" hidden="1" customHeight="1">
      <c r="A947" s="152">
        <f t="shared" ca="1" si="1986"/>
        <v>0</v>
      </c>
      <c r="B947" s="153">
        <v>93593</v>
      </c>
      <c r="C947" s="154" t="str">
        <f>TEXT(B947,"0")</f>
        <v>93593</v>
      </c>
      <c r="D947" s="154" t="s">
        <v>1416</v>
      </c>
      <c r="E947" s="155" t="s">
        <v>3545</v>
      </c>
      <c r="F947" s="154">
        <f>Dados_DMT!B34-F946</f>
        <v>80</v>
      </c>
      <c r="G947" s="154" t="s">
        <v>3538</v>
      </c>
      <c r="H947" s="152">
        <v>0.84</v>
      </c>
      <c r="I947" s="152">
        <v>0.85</v>
      </c>
      <c r="J947" s="156"/>
      <c r="K947" s="156">
        <f>ROUND((Ponto_Onibus!I50+Ponto_Onibus!I53)*F947,2)</f>
        <v>0</v>
      </c>
      <c r="L947" s="156">
        <f>IF($K947&gt;$J947,$K947-$J947,0)</f>
        <v>0</v>
      </c>
      <c r="M947" s="156">
        <f>IF($K947&lt;$J947,$J947-$K947,0)</f>
        <v>0</v>
      </c>
      <c r="N947" s="156" t="s">
        <v>83</v>
      </c>
      <c r="O947" s="157" cm="1">
        <f t="array" ref="O947">TRUNC($H947*(1+_xlfn.SWITCH($N947,"BDI 1",$O$6,"BDI 2",$O$7,"BDI 3",$O$8)),2)</f>
        <v>1.01</v>
      </c>
      <c r="P947" s="157" cm="1">
        <f t="array" ref="P947">TRUNC($I947*(1+_xlfn.SWITCH($N947,"BDI 1",$P$6,"BDI 2",$P$7,"BDI 3",$P$8)),2)</f>
        <v>1.07</v>
      </c>
      <c r="Q947" s="157">
        <v>0</v>
      </c>
      <c r="R947" s="157">
        <v>0</v>
      </c>
      <c r="S947" s="156">
        <f>TRUNC($K947*$O947,2)</f>
        <v>0</v>
      </c>
      <c r="T947" s="156">
        <f>TRUNC($K947*$P947,2)</f>
        <v>0</v>
      </c>
      <c r="U947" s="156">
        <f>TRUNC($J947*$R947,2)</f>
        <v>0</v>
      </c>
      <c r="V947" s="156">
        <f>TRUNC($K947*$Q947,2)</f>
        <v>0</v>
      </c>
      <c r="W947" s="156">
        <f>TRUNC(V947-U947,2)</f>
        <v>0</v>
      </c>
      <c r="X947" s="158">
        <f>$S947/ORCAMENTO_VALOR_TOTAL_ND</f>
        <v>0</v>
      </c>
      <c r="Y947" s="158">
        <f>$T947/ORCAMENTO_VALOR_TOTAL_DE</f>
        <v>0</v>
      </c>
      <c r="Z947" s="158" cm="1">
        <f t="array" ref="Z947">_xlfn.SWITCH($N947,"BDI 1",$O$6,"BDI 2",$O$7,"BDI 3",$O$8)</f>
        <v>0.20699999999999999</v>
      </c>
      <c r="AA947" s="158" cm="1">
        <f t="array" ref="AA947">_xlfn.SWITCH($N947,"BDI 1",$P$6,"BDI 2",$P$7,"BDI 3",$P$8)</f>
        <v>0.26739999999999997</v>
      </c>
      <c r="AB947" s="158">
        <f ca="1">IFERROR($S947/_xlfn.XLOOKUP($AE947,$B$16:$B$38,$S$16:$S$38),0)</f>
        <v>0</v>
      </c>
      <c r="AC947" s="158">
        <f ca="1">IFERROR($T947/_xlfn.XLOOKUP($AE947,$B$16:$B$38,$T$16:$T$38),0)</f>
        <v>0</v>
      </c>
      <c r="AD947" s="164"/>
      <c r="AE947" s="148">
        <f t="shared" si="2051"/>
        <v>0</v>
      </c>
      <c r="AF947" s="149"/>
      <c r="AG947" s="150"/>
      <c r="AH947" s="159" t="e">
        <f t="shared" si="1985"/>
        <v>#DIV/0!</v>
      </c>
      <c r="AI947" s="160"/>
      <c r="AJ947" s="105"/>
      <c r="AK947" s="105"/>
      <c r="AM947" s="105"/>
      <c r="AN947" s="105"/>
      <c r="AO947" s="105"/>
      <c r="AP947" s="105"/>
      <c r="AQ947" s="105"/>
      <c r="AR947" s="105"/>
    </row>
    <row r="948" spans="1:44" s="49" customFormat="1" ht="40.15" hidden="1" customHeight="1">
      <c r="A948" s="10">
        <f t="shared" ca="1" si="1986"/>
        <v>0</v>
      </c>
      <c r="B948" s="153"/>
      <c r="C948" s="154"/>
      <c r="D948" s="154"/>
      <c r="E948" s="161" t="s">
        <v>261</v>
      </c>
      <c r="F948" s="154"/>
      <c r="G948" s="154"/>
      <c r="H948" s="154"/>
      <c r="I948" s="154"/>
      <c r="J948" s="216"/>
      <c r="K948" s="216"/>
      <c r="L948" s="216"/>
      <c r="M948" s="216"/>
      <c r="N948" s="216"/>
      <c r="O948" s="154"/>
      <c r="P948" s="154"/>
      <c r="Q948" s="154"/>
      <c r="R948" s="154"/>
      <c r="S948" s="162"/>
      <c r="T948" s="162"/>
      <c r="U948" s="162"/>
      <c r="V948" s="162"/>
      <c r="W948" s="162"/>
      <c r="X948" s="162"/>
      <c r="Y948" s="162"/>
      <c r="Z948" s="162"/>
      <c r="AA948" s="162"/>
      <c r="AB948" s="162"/>
      <c r="AC948" s="162"/>
      <c r="AD948" s="217"/>
      <c r="AE948" s="148">
        <f>IF(SUM(S949:S950)&gt;0,IFERROR(TRUNC(A948,0),0),0)</f>
        <v>0</v>
      </c>
      <c r="AF948" s="149"/>
      <c r="AG948" s="150"/>
      <c r="AH948" s="159" t="e">
        <f t="shared" si="1985"/>
        <v>#DIV/0!</v>
      </c>
      <c r="AI948" s="160"/>
      <c r="AJ948" s="105"/>
      <c r="AK948" s="105"/>
      <c r="AM948" s="105"/>
      <c r="AN948" s="105"/>
      <c r="AO948" s="105"/>
      <c r="AP948" s="105"/>
      <c r="AQ948" s="105"/>
      <c r="AR948" s="105"/>
    </row>
    <row r="949" spans="1:44" s="49" customFormat="1" ht="40.15" hidden="1" customHeight="1">
      <c r="A949" s="152">
        <f t="shared" ca="1" si="1986"/>
        <v>0</v>
      </c>
      <c r="B949" s="153">
        <v>95876</v>
      </c>
      <c r="C949" s="154" t="str">
        <f>TEXT(B949,"0")</f>
        <v>95876</v>
      </c>
      <c r="D949" s="154" t="s">
        <v>1416</v>
      </c>
      <c r="E949" s="155" t="s">
        <v>3537</v>
      </c>
      <c r="F949" s="154">
        <f>Dados_DMT!B34</f>
        <v>110</v>
      </c>
      <c r="G949" s="154" t="s">
        <v>3538</v>
      </c>
      <c r="H949" s="152">
        <v>2.09</v>
      </c>
      <c r="I949" s="152">
        <v>2.1</v>
      </c>
      <c r="J949" s="156"/>
      <c r="K949" s="156">
        <f>ROUND(Ponto_Onibus!I51*F949,2)</f>
        <v>0</v>
      </c>
      <c r="L949" s="156">
        <f>IF($K949&gt;$J949,$K949-$J949,0)</f>
        <v>0</v>
      </c>
      <c r="M949" s="156">
        <f>IF($K949&lt;$J949,$J949-$K949,0)</f>
        <v>0</v>
      </c>
      <c r="N949" s="156" t="s">
        <v>83</v>
      </c>
      <c r="O949" s="157" cm="1">
        <f t="array" ref="O949">TRUNC($H949*(1+_xlfn.SWITCH($N949,"BDI 1",$O$6,"BDI 2",$O$7,"BDI 3",$O$8)),2)</f>
        <v>2.52</v>
      </c>
      <c r="P949" s="157" cm="1">
        <f t="array" ref="P949">TRUNC($I949*(1+_xlfn.SWITCH($N949,"BDI 1",$P$6,"BDI 2",$P$7,"BDI 3",$P$8)),2)</f>
        <v>2.66</v>
      </c>
      <c r="Q949" s="157">
        <v>0</v>
      </c>
      <c r="R949" s="157">
        <v>0</v>
      </c>
      <c r="S949" s="156">
        <f>TRUNC($K949*$O949,2)</f>
        <v>0</v>
      </c>
      <c r="T949" s="156">
        <f>TRUNC($K949*$P949,2)</f>
        <v>0</v>
      </c>
      <c r="U949" s="156">
        <f>TRUNC($J949*$R949,2)</f>
        <v>0</v>
      </c>
      <c r="V949" s="156">
        <f>TRUNC($K949*$Q949,2)</f>
        <v>0</v>
      </c>
      <c r="W949" s="156">
        <f>TRUNC(V949-U949,2)</f>
        <v>0</v>
      </c>
      <c r="X949" s="158">
        <f>$S949/ORCAMENTO_VALOR_TOTAL_ND</f>
        <v>0</v>
      </c>
      <c r="Y949" s="158">
        <f>$T949/ORCAMENTO_VALOR_TOTAL_DE</f>
        <v>0</v>
      </c>
      <c r="Z949" s="158" cm="1">
        <f t="array" ref="Z949">_xlfn.SWITCH($N949,"BDI 1",$O$6,"BDI 2",$O$7,"BDI 3",$O$8)</f>
        <v>0.20699999999999999</v>
      </c>
      <c r="AA949" s="158" cm="1">
        <f t="array" ref="AA949">_xlfn.SWITCH($N949,"BDI 1",$P$6,"BDI 2",$P$7,"BDI 3",$P$8)</f>
        <v>0.26739999999999997</v>
      </c>
      <c r="AB949" s="158">
        <f ca="1">IFERROR($S949/_xlfn.XLOOKUP($AE949,$B$16:$B$38,$S$16:$S$38),0)</f>
        <v>0</v>
      </c>
      <c r="AC949" s="158">
        <f ca="1">IFERROR($T949/_xlfn.XLOOKUP($AE949,$B$16:$B$38,$T$16:$T$38),0)</f>
        <v>0</v>
      </c>
      <c r="AD949" s="164"/>
      <c r="AE949" s="148">
        <f t="shared" ref="AE949:AE950" si="2052">IF(S949&gt;0,IFERROR(TRUNC(A949,0),0),0)</f>
        <v>0</v>
      </c>
      <c r="AF949" s="149"/>
      <c r="AG949" s="150"/>
      <c r="AH949" s="159" t="e">
        <f t="shared" si="1985"/>
        <v>#DIV/0!</v>
      </c>
      <c r="AI949" s="160"/>
      <c r="AJ949" s="105"/>
      <c r="AK949" s="105"/>
      <c r="AM949" s="105"/>
      <c r="AN949" s="105"/>
      <c r="AO949" s="105"/>
      <c r="AP949" s="105"/>
      <c r="AQ949" s="105"/>
      <c r="AR949" s="105"/>
    </row>
    <row r="950" spans="1:44" s="49" customFormat="1" ht="40.15" hidden="1" customHeight="1">
      <c r="A950" s="152">
        <f t="shared" ca="1" si="1986"/>
        <v>0</v>
      </c>
      <c r="B950" s="153">
        <v>93593</v>
      </c>
      <c r="C950" s="154" t="str">
        <f>TEXT(B950,"0")</f>
        <v>93593</v>
      </c>
      <c r="D950" s="154" t="s">
        <v>1416</v>
      </c>
      <c r="E950" s="155" t="s">
        <v>3545</v>
      </c>
      <c r="F950" s="154">
        <f>Dados_DMT!B34-F949</f>
        <v>0</v>
      </c>
      <c r="G950" s="154" t="s">
        <v>3538</v>
      </c>
      <c r="H950" s="152">
        <v>0.84</v>
      </c>
      <c r="I950" s="152">
        <v>0.85</v>
      </c>
      <c r="J950" s="156"/>
      <c r="K950" s="156">
        <f>ROUND(Ponto_Onibus!I51*F950,2)</f>
        <v>0</v>
      </c>
      <c r="L950" s="156">
        <f>IF($K950&gt;$J950,$K950-$J950,0)</f>
        <v>0</v>
      </c>
      <c r="M950" s="156">
        <f>IF($K950&lt;$J950,$J950-$K950,0)</f>
        <v>0</v>
      </c>
      <c r="N950" s="156" t="s">
        <v>83</v>
      </c>
      <c r="O950" s="157" cm="1">
        <f t="array" ref="O950">TRUNC($H950*(1+_xlfn.SWITCH($N950,"BDI 1",$O$6,"BDI 2",$O$7,"BDI 3",$O$8)),2)</f>
        <v>1.01</v>
      </c>
      <c r="P950" s="157" cm="1">
        <f t="array" ref="P950">TRUNC($I950*(1+_xlfn.SWITCH($N950,"BDI 1",$P$6,"BDI 2",$P$7,"BDI 3",$P$8)),2)</f>
        <v>1.07</v>
      </c>
      <c r="Q950" s="157">
        <v>0</v>
      </c>
      <c r="R950" s="157">
        <v>0</v>
      </c>
      <c r="S950" s="156">
        <f>TRUNC($K950*$O950,2)</f>
        <v>0</v>
      </c>
      <c r="T950" s="156">
        <f>TRUNC($K950*$P950,2)</f>
        <v>0</v>
      </c>
      <c r="U950" s="156">
        <f>TRUNC($J950*$R950,2)</f>
        <v>0</v>
      </c>
      <c r="V950" s="156">
        <f>TRUNC($K950*$Q950,2)</f>
        <v>0</v>
      </c>
      <c r="W950" s="156">
        <f>TRUNC(V950-U950,2)</f>
        <v>0</v>
      </c>
      <c r="X950" s="158">
        <f>$S950/ORCAMENTO_VALOR_TOTAL_ND</f>
        <v>0</v>
      </c>
      <c r="Y950" s="158">
        <f>$T950/ORCAMENTO_VALOR_TOTAL_DE</f>
        <v>0</v>
      </c>
      <c r="Z950" s="158" cm="1">
        <f t="array" ref="Z950">_xlfn.SWITCH($N950,"BDI 1",$O$6,"BDI 2",$O$7,"BDI 3",$O$8)</f>
        <v>0.20699999999999999</v>
      </c>
      <c r="AA950" s="158" cm="1">
        <f t="array" ref="AA950">_xlfn.SWITCH($N950,"BDI 1",$P$6,"BDI 2",$P$7,"BDI 3",$P$8)</f>
        <v>0.26739999999999997</v>
      </c>
      <c r="AB950" s="158">
        <f ca="1">IFERROR($S950/_xlfn.XLOOKUP($AE950,$B$16:$B$38,$S$16:$S$38),0)</f>
        <v>0</v>
      </c>
      <c r="AC950" s="158">
        <f ca="1">IFERROR($T950/_xlfn.XLOOKUP($AE950,$B$16:$B$38,$T$16:$T$38),0)</f>
        <v>0</v>
      </c>
      <c r="AD950" s="164"/>
      <c r="AE950" s="148">
        <f t="shared" si="2052"/>
        <v>0</v>
      </c>
      <c r="AF950" s="149"/>
      <c r="AG950" s="150"/>
      <c r="AH950" s="159" t="e">
        <f t="shared" si="1985"/>
        <v>#DIV/0!</v>
      </c>
      <c r="AI950" s="160"/>
      <c r="AJ950" s="105"/>
      <c r="AK950" s="105"/>
      <c r="AM950" s="105"/>
      <c r="AN950" s="105"/>
      <c r="AO950" s="105"/>
      <c r="AP950" s="105"/>
      <c r="AQ950" s="105"/>
      <c r="AR950" s="105"/>
    </row>
    <row r="951" spans="1:44" s="49" customFormat="1" ht="40.15" hidden="1" customHeight="1">
      <c r="A951" s="10">
        <f t="shared" ca="1" si="1986"/>
        <v>0</v>
      </c>
      <c r="B951" s="153"/>
      <c r="C951" s="154"/>
      <c r="D951" s="154"/>
      <c r="E951" s="161" t="s">
        <v>262</v>
      </c>
      <c r="F951" s="154"/>
      <c r="G951" s="154"/>
      <c r="H951" s="154"/>
      <c r="I951" s="154"/>
      <c r="J951" s="216"/>
      <c r="K951" s="216"/>
      <c r="L951" s="216"/>
      <c r="M951" s="216"/>
      <c r="N951" s="216"/>
      <c r="O951" s="154"/>
      <c r="P951" s="154"/>
      <c r="Q951" s="154"/>
      <c r="R951" s="154"/>
      <c r="S951" s="162"/>
      <c r="T951" s="162"/>
      <c r="U951" s="162"/>
      <c r="V951" s="162"/>
      <c r="W951" s="162"/>
      <c r="X951" s="162"/>
      <c r="Y951" s="162"/>
      <c r="Z951" s="162"/>
      <c r="AA951" s="162"/>
      <c r="AB951" s="162"/>
      <c r="AC951" s="162"/>
      <c r="AD951" s="217"/>
      <c r="AE951" s="148">
        <f>IF(SUM(S952:S953)&gt;0,IFERROR(TRUNC(A951,0),0),0)</f>
        <v>0</v>
      </c>
      <c r="AF951" s="149"/>
      <c r="AG951" s="150"/>
      <c r="AH951" s="159" t="e">
        <f t="shared" si="1985"/>
        <v>#DIV/0!</v>
      </c>
      <c r="AI951" s="160"/>
      <c r="AJ951" s="105"/>
      <c r="AK951" s="105"/>
      <c r="AM951" s="105"/>
      <c r="AN951" s="105"/>
      <c r="AO951" s="105"/>
      <c r="AP951" s="105"/>
      <c r="AQ951" s="105"/>
      <c r="AR951" s="105"/>
    </row>
    <row r="952" spans="1:44" s="49" customFormat="1" ht="40.15" hidden="1" customHeight="1">
      <c r="A952" s="152">
        <f t="shared" ca="1" si="1986"/>
        <v>0</v>
      </c>
      <c r="B952" s="153">
        <v>95876</v>
      </c>
      <c r="C952" s="154" t="str">
        <f>TEXT(B952,"0")</f>
        <v>95876</v>
      </c>
      <c r="D952" s="154" t="s">
        <v>1416</v>
      </c>
      <c r="E952" s="155" t="s">
        <v>3537</v>
      </c>
      <c r="F952" s="154">
        <f>IF(Dados_DMT!B34&lt;30,Dados_DMT!B34,30)</f>
        <v>30</v>
      </c>
      <c r="G952" s="154" t="s">
        <v>3538</v>
      </c>
      <c r="H952" s="152">
        <v>2.09</v>
      </c>
      <c r="I952" s="152">
        <v>2.1</v>
      </c>
      <c r="J952" s="156"/>
      <c r="K952" s="156">
        <f>ROUND(Ponto_Onibus!I52*F952,2)</f>
        <v>0</v>
      </c>
      <c r="L952" s="156">
        <f>IF($K952&gt;$J952,$K952-$J952,0)</f>
        <v>0</v>
      </c>
      <c r="M952" s="156">
        <f>IF($K952&lt;$J952,$J952-$K952,0)</f>
        <v>0</v>
      </c>
      <c r="N952" s="156" t="s">
        <v>83</v>
      </c>
      <c r="O952" s="157" cm="1">
        <f t="array" ref="O952">TRUNC($H952*(1+_xlfn.SWITCH($N952,"BDI 1",$O$6,"BDI 2",$O$7,"BDI 3",$O$8)),2)</f>
        <v>2.52</v>
      </c>
      <c r="P952" s="157" cm="1">
        <f t="array" ref="P952">TRUNC($I952*(1+_xlfn.SWITCH($N952,"BDI 1",$P$6,"BDI 2",$P$7,"BDI 3",$P$8)),2)</f>
        <v>2.66</v>
      </c>
      <c r="Q952" s="157">
        <v>0</v>
      </c>
      <c r="R952" s="157">
        <v>0</v>
      </c>
      <c r="S952" s="156">
        <f>TRUNC($K952*$O952,2)</f>
        <v>0</v>
      </c>
      <c r="T952" s="156">
        <f>TRUNC($K952*$P952,2)</f>
        <v>0</v>
      </c>
      <c r="U952" s="156">
        <f>TRUNC($J952*$R952,2)</f>
        <v>0</v>
      </c>
      <c r="V952" s="156">
        <f>TRUNC($K952*$Q952,2)</f>
        <v>0</v>
      </c>
      <c r="W952" s="156">
        <f>TRUNC(V952-U952,2)</f>
        <v>0</v>
      </c>
      <c r="X952" s="158">
        <f>$S952/ORCAMENTO_VALOR_TOTAL_ND</f>
        <v>0</v>
      </c>
      <c r="Y952" s="158">
        <f>$T952/ORCAMENTO_VALOR_TOTAL_DE</f>
        <v>0</v>
      </c>
      <c r="Z952" s="158" cm="1">
        <f t="array" ref="Z952">_xlfn.SWITCH($N952,"BDI 1",$O$6,"BDI 2",$O$7,"BDI 3",$O$8)</f>
        <v>0.20699999999999999</v>
      </c>
      <c r="AA952" s="158" cm="1">
        <f t="array" ref="AA952">_xlfn.SWITCH($N952,"BDI 1",$P$6,"BDI 2",$P$7,"BDI 3",$P$8)</f>
        <v>0.26739999999999997</v>
      </c>
      <c r="AB952" s="158">
        <f ca="1">IFERROR($S952/_xlfn.XLOOKUP($AE952,$B$16:$B$38,$S$16:$S$38),0)</f>
        <v>0</v>
      </c>
      <c r="AC952" s="158">
        <f ca="1">IFERROR($T952/_xlfn.XLOOKUP($AE952,$B$16:$B$38,$T$16:$T$38),0)</f>
        <v>0</v>
      </c>
      <c r="AD952" s="164"/>
      <c r="AE952" s="148">
        <f t="shared" ref="AE952:AE953" si="2053">IF(S952&gt;0,IFERROR(TRUNC(A952,0),0),0)</f>
        <v>0</v>
      </c>
      <c r="AF952" s="149"/>
      <c r="AG952" s="150"/>
      <c r="AH952" s="159" t="e">
        <f t="shared" si="1985"/>
        <v>#DIV/0!</v>
      </c>
      <c r="AI952" s="160"/>
      <c r="AJ952" s="105"/>
      <c r="AK952" s="105"/>
      <c r="AM952" s="105"/>
      <c r="AN952" s="105"/>
      <c r="AO952" s="105"/>
      <c r="AP952" s="105"/>
      <c r="AQ952" s="105"/>
      <c r="AR952" s="105"/>
    </row>
    <row r="953" spans="1:44" s="49" customFormat="1" ht="40.15" hidden="1" customHeight="1">
      <c r="A953" s="152">
        <f t="shared" ca="1" si="1986"/>
        <v>0</v>
      </c>
      <c r="B953" s="153">
        <v>93593</v>
      </c>
      <c r="C953" s="154" t="str">
        <f>TEXT(B953,"0")</f>
        <v>93593</v>
      </c>
      <c r="D953" s="154" t="s">
        <v>1416</v>
      </c>
      <c r="E953" s="155" t="s">
        <v>3545</v>
      </c>
      <c r="F953" s="154">
        <f>Dados_DMT!B34-F952</f>
        <v>80</v>
      </c>
      <c r="G953" s="154" t="s">
        <v>3538</v>
      </c>
      <c r="H953" s="152">
        <v>0.84</v>
      </c>
      <c r="I953" s="152">
        <v>0.85</v>
      </c>
      <c r="J953" s="156"/>
      <c r="K953" s="156">
        <f>ROUND(Ponto_Onibus!I52*F953,2)</f>
        <v>0</v>
      </c>
      <c r="L953" s="156">
        <f>IF($K953&gt;$J953,$K953-$J953,0)</f>
        <v>0</v>
      </c>
      <c r="M953" s="156">
        <f>IF($K953&lt;$J953,$J953-$K953,0)</f>
        <v>0</v>
      </c>
      <c r="N953" s="156" t="s">
        <v>83</v>
      </c>
      <c r="O953" s="157" cm="1">
        <f t="array" ref="O953">TRUNC($H953*(1+_xlfn.SWITCH($N953,"BDI 1",$O$6,"BDI 2",$O$7,"BDI 3",$O$8)),2)</f>
        <v>1.01</v>
      </c>
      <c r="P953" s="157" cm="1">
        <f t="array" ref="P953">TRUNC($I953*(1+_xlfn.SWITCH($N953,"BDI 1",$P$6,"BDI 2",$P$7,"BDI 3",$P$8)),2)</f>
        <v>1.07</v>
      </c>
      <c r="Q953" s="157">
        <v>0</v>
      </c>
      <c r="R953" s="157">
        <v>0</v>
      </c>
      <c r="S953" s="156">
        <f>TRUNC($K953*$O953,2)</f>
        <v>0</v>
      </c>
      <c r="T953" s="156">
        <f>TRUNC($K953*$P953,2)</f>
        <v>0</v>
      </c>
      <c r="U953" s="156">
        <f>TRUNC($J953*$R953,2)</f>
        <v>0</v>
      </c>
      <c r="V953" s="156">
        <f>TRUNC($K953*$Q953,2)</f>
        <v>0</v>
      </c>
      <c r="W953" s="156">
        <f>TRUNC(V953-U953,2)</f>
        <v>0</v>
      </c>
      <c r="X953" s="158">
        <f>$S953/ORCAMENTO_VALOR_TOTAL_ND</f>
        <v>0</v>
      </c>
      <c r="Y953" s="158">
        <f>$T953/ORCAMENTO_VALOR_TOTAL_DE</f>
        <v>0</v>
      </c>
      <c r="Z953" s="158" cm="1">
        <f t="array" ref="Z953">_xlfn.SWITCH($N953,"BDI 1",$O$6,"BDI 2",$O$7,"BDI 3",$O$8)</f>
        <v>0.20699999999999999</v>
      </c>
      <c r="AA953" s="158" cm="1">
        <f t="array" ref="AA953">_xlfn.SWITCH($N953,"BDI 1",$P$6,"BDI 2",$P$7,"BDI 3",$P$8)</f>
        <v>0.26739999999999997</v>
      </c>
      <c r="AB953" s="158">
        <f ca="1">IFERROR($S953/_xlfn.XLOOKUP($AE953,$B$16:$B$38,$S$16:$S$38),0)</f>
        <v>0</v>
      </c>
      <c r="AC953" s="158">
        <f ca="1">IFERROR($T953/_xlfn.XLOOKUP($AE953,$B$16:$B$38,$T$16:$T$38),0)</f>
        <v>0</v>
      </c>
      <c r="AD953" s="164"/>
      <c r="AE953" s="148">
        <f t="shared" si="2053"/>
        <v>0</v>
      </c>
      <c r="AF953" s="149"/>
      <c r="AG953" s="150"/>
      <c r="AH953" s="159" t="e">
        <f t="shared" si="1985"/>
        <v>#DIV/0!</v>
      </c>
      <c r="AI953" s="160"/>
      <c r="AJ953" s="105"/>
      <c r="AK953" s="105"/>
      <c r="AM953" s="105"/>
      <c r="AN953" s="105"/>
      <c r="AO953" s="105"/>
      <c r="AP953" s="105"/>
      <c r="AQ953" s="105"/>
      <c r="AR953" s="105"/>
    </row>
    <row r="954" spans="1:44" s="49" customFormat="1" ht="40.15" hidden="1" customHeight="1">
      <c r="A954" s="10">
        <f t="shared" ca="1" si="1986"/>
        <v>0</v>
      </c>
      <c r="B954" s="153"/>
      <c r="C954" s="154"/>
      <c r="D954" s="154"/>
      <c r="E954" s="161" t="s">
        <v>272</v>
      </c>
      <c r="F954" s="154"/>
      <c r="G954" s="154"/>
      <c r="H954" s="152"/>
      <c r="I954" s="152"/>
      <c r="J954" s="216"/>
      <c r="K954" s="216"/>
      <c r="L954" s="216"/>
      <c r="M954" s="216"/>
      <c r="N954" s="216"/>
      <c r="O954" s="154"/>
      <c r="P954" s="154"/>
      <c r="Q954" s="154"/>
      <c r="R954" s="154"/>
      <c r="S954" s="162"/>
      <c r="T954" s="162"/>
      <c r="U954" s="162"/>
      <c r="V954" s="162"/>
      <c r="W954" s="162"/>
      <c r="X954" s="163"/>
      <c r="Y954" s="163"/>
      <c r="Z954" s="163"/>
      <c r="AA954" s="163"/>
      <c r="AB954" s="163"/>
      <c r="AC954" s="163"/>
      <c r="AD954" s="164"/>
      <c r="AE954" s="148">
        <f>IF(SUM(S955:S956)&gt;0,IFERROR(TRUNC(A954,0),0),0)</f>
        <v>0</v>
      </c>
      <c r="AF954" s="149"/>
      <c r="AG954" s="150"/>
      <c r="AH954" s="159" t="e">
        <f t="shared" si="1985"/>
        <v>#DIV/0!</v>
      </c>
      <c r="AI954" s="160"/>
      <c r="AJ954" s="105"/>
      <c r="AK954" s="105"/>
      <c r="AM954" s="105"/>
      <c r="AN954" s="105"/>
      <c r="AO954" s="105"/>
      <c r="AP954" s="105"/>
      <c r="AQ954" s="105"/>
      <c r="AR954" s="105"/>
    </row>
    <row r="955" spans="1:44" s="49" customFormat="1" ht="40.15" hidden="1" customHeight="1">
      <c r="A955" s="152">
        <f t="shared" ca="1" si="1986"/>
        <v>0</v>
      </c>
      <c r="B955" s="153">
        <v>102332</v>
      </c>
      <c r="C955" s="154" t="str">
        <f>TEXT(B955,"0")</f>
        <v>102332</v>
      </c>
      <c r="D955" s="154" t="s">
        <v>1416</v>
      </c>
      <c r="E955" s="155" t="s">
        <v>3547</v>
      </c>
      <c r="F955" s="154">
        <f>IF(Dados_DMT!B25&lt;30,Dados_DMT!B25,30)</f>
        <v>30</v>
      </c>
      <c r="G955" s="154" t="s">
        <v>3534</v>
      </c>
      <c r="H955" s="152">
        <v>1.79</v>
      </c>
      <c r="I955" s="152">
        <v>1.81</v>
      </c>
      <c r="J955" s="156"/>
      <c r="K955" s="156">
        <f>ROUND(Ponto_Onibus!I58*F955,2)</f>
        <v>0</v>
      </c>
      <c r="L955" s="156">
        <f>IF($K955&gt;$J955,$K955-$J955,0)</f>
        <v>0</v>
      </c>
      <c r="M955" s="156">
        <f>IF($K955&lt;$J955,$J955-$K955,0)</f>
        <v>0</v>
      </c>
      <c r="N955" s="156" t="s">
        <v>83</v>
      </c>
      <c r="O955" s="157" cm="1">
        <f t="array" ref="O955">TRUNC($H955*(1+_xlfn.SWITCH($N955,"BDI 1",$O$6,"BDI 2",$O$7,"BDI 3",$O$8)),2)</f>
        <v>2.16</v>
      </c>
      <c r="P955" s="157" cm="1">
        <f t="array" ref="P955">TRUNC($I955*(1+_xlfn.SWITCH($N955,"BDI 1",$P$6,"BDI 2",$P$7,"BDI 3",$P$8)),2)</f>
        <v>2.29</v>
      </c>
      <c r="Q955" s="157">
        <v>0</v>
      </c>
      <c r="R955" s="157">
        <v>0</v>
      </c>
      <c r="S955" s="156">
        <f>TRUNC($K955*$O955,2)</f>
        <v>0</v>
      </c>
      <c r="T955" s="156">
        <f>TRUNC($K955*$P955,2)</f>
        <v>0</v>
      </c>
      <c r="U955" s="156">
        <f>TRUNC($J955*$R955,2)</f>
        <v>0</v>
      </c>
      <c r="V955" s="156">
        <f>TRUNC($K955*$Q955,2)</f>
        <v>0</v>
      </c>
      <c r="W955" s="156">
        <f>TRUNC(V955-U955,2)</f>
        <v>0</v>
      </c>
      <c r="X955" s="158">
        <f>$S955/ORCAMENTO_VALOR_TOTAL_ND</f>
        <v>0</v>
      </c>
      <c r="Y955" s="158">
        <f>$T955/ORCAMENTO_VALOR_TOTAL_DE</f>
        <v>0</v>
      </c>
      <c r="Z955" s="158" cm="1">
        <f t="array" ref="Z955">_xlfn.SWITCH($N955,"BDI 1",$O$6,"BDI 2",$O$7,"BDI 3",$O$8)</f>
        <v>0.20699999999999999</v>
      </c>
      <c r="AA955" s="158" cm="1">
        <f t="array" ref="AA955">_xlfn.SWITCH($N955,"BDI 1",$P$6,"BDI 2",$P$7,"BDI 3",$P$8)</f>
        <v>0.26739999999999997</v>
      </c>
      <c r="AB955" s="158">
        <f ca="1">IFERROR($S955/_xlfn.XLOOKUP($AE955,$B$16:$B$38,$S$16:$S$38),0)</f>
        <v>0</v>
      </c>
      <c r="AC955" s="158">
        <f ca="1">IFERROR($T955/_xlfn.XLOOKUP($AE955,$B$16:$B$38,$T$16:$T$38),0)</f>
        <v>0</v>
      </c>
      <c r="AD955" s="164"/>
      <c r="AE955" s="148">
        <f t="shared" ref="AE955:AE956" si="2054">IF(S955&gt;0,IFERROR(TRUNC(A955,0),0),0)</f>
        <v>0</v>
      </c>
      <c r="AF955" s="149"/>
      <c r="AG955" s="150"/>
      <c r="AH955" s="159"/>
      <c r="AI955" s="160" t="s">
        <v>138</v>
      </c>
      <c r="AJ955" s="105"/>
      <c r="AK955" s="105"/>
      <c r="AM955" s="105"/>
      <c r="AN955" s="105"/>
      <c r="AO955" s="105"/>
      <c r="AP955" s="105"/>
      <c r="AQ955" s="105"/>
      <c r="AR955" s="105"/>
    </row>
    <row r="956" spans="1:44" s="49" customFormat="1" ht="40.15" hidden="1" customHeight="1">
      <c r="A956" s="152">
        <f t="shared" ca="1" si="1986"/>
        <v>0</v>
      </c>
      <c r="B956" s="153">
        <v>102333</v>
      </c>
      <c r="C956" s="154" t="str">
        <f>TEXT(B956,"0")</f>
        <v>102333</v>
      </c>
      <c r="D956" s="154" t="s">
        <v>1416</v>
      </c>
      <c r="E956" s="155" t="s">
        <v>3546</v>
      </c>
      <c r="F956" s="154">
        <f>Dados_DMT!B25-F955</f>
        <v>80</v>
      </c>
      <c r="G956" s="154" t="s">
        <v>3534</v>
      </c>
      <c r="H956" s="152">
        <v>0.72</v>
      </c>
      <c r="I956" s="152">
        <v>0.73</v>
      </c>
      <c r="J956" s="156"/>
      <c r="K956" s="156">
        <f>ROUND(Ponto_Onibus!I58*F956,2)</f>
        <v>0</v>
      </c>
      <c r="L956" s="156">
        <f>IF($K956&gt;$J956,$K956-$J956,0)</f>
        <v>0</v>
      </c>
      <c r="M956" s="156">
        <f>IF($K956&lt;$J956,$J956-$K956,0)</f>
        <v>0</v>
      </c>
      <c r="N956" s="156" t="s">
        <v>83</v>
      </c>
      <c r="O956" s="157" cm="1">
        <f t="array" ref="O956">TRUNC($H956*(1+_xlfn.SWITCH($N956,"BDI 1",$O$6,"BDI 2",$O$7,"BDI 3",$O$8)),2)</f>
        <v>0.86</v>
      </c>
      <c r="P956" s="157" cm="1">
        <f t="array" ref="P956">TRUNC($I956*(1+_xlfn.SWITCH($N956,"BDI 1",$P$6,"BDI 2",$P$7,"BDI 3",$P$8)),2)</f>
        <v>0.92</v>
      </c>
      <c r="Q956" s="157">
        <v>0</v>
      </c>
      <c r="R956" s="157">
        <v>0</v>
      </c>
      <c r="S956" s="156">
        <f>TRUNC($K956*$O956,2)</f>
        <v>0</v>
      </c>
      <c r="T956" s="156">
        <f>TRUNC($K956*$P956,2)</f>
        <v>0</v>
      </c>
      <c r="U956" s="156">
        <f>TRUNC($J956*$R956,2)</f>
        <v>0</v>
      </c>
      <c r="V956" s="156">
        <f>TRUNC($K956*$Q956,2)</f>
        <v>0</v>
      </c>
      <c r="W956" s="156">
        <f>TRUNC(V956-U956,2)</f>
        <v>0</v>
      </c>
      <c r="X956" s="158">
        <f>$S956/ORCAMENTO_VALOR_TOTAL_ND</f>
        <v>0</v>
      </c>
      <c r="Y956" s="158">
        <f>$T956/ORCAMENTO_VALOR_TOTAL_DE</f>
        <v>0</v>
      </c>
      <c r="Z956" s="158" cm="1">
        <f t="array" ref="Z956">_xlfn.SWITCH($N956,"BDI 1",$O$6,"BDI 2",$O$7,"BDI 3",$O$8)</f>
        <v>0.20699999999999999</v>
      </c>
      <c r="AA956" s="158" cm="1">
        <f t="array" ref="AA956">_xlfn.SWITCH($N956,"BDI 1",$P$6,"BDI 2",$P$7,"BDI 3",$P$8)</f>
        <v>0.26739999999999997</v>
      </c>
      <c r="AB956" s="158">
        <f ca="1">IFERROR($S956/_xlfn.XLOOKUP($AE956,$B$16:$B$38,$S$16:$S$38),0)</f>
        <v>0</v>
      </c>
      <c r="AC956" s="158">
        <f ca="1">IFERROR($T956/_xlfn.XLOOKUP($AE956,$B$16:$B$38,$T$16:$T$38),0)</f>
        <v>0</v>
      </c>
      <c r="AD956" s="164"/>
      <c r="AE956" s="148">
        <f t="shared" si="2054"/>
        <v>0</v>
      </c>
      <c r="AF956" s="149"/>
      <c r="AG956" s="150"/>
      <c r="AH956" s="159"/>
      <c r="AI956" s="160" t="s">
        <v>138</v>
      </c>
      <c r="AJ956" s="105"/>
      <c r="AK956" s="105"/>
      <c r="AM956" s="105"/>
      <c r="AN956" s="105"/>
      <c r="AO956" s="105"/>
      <c r="AP956" s="105"/>
      <c r="AQ956" s="105"/>
      <c r="AR956" s="105"/>
    </row>
    <row r="957" spans="1:44" s="49" customFormat="1" ht="40.15" hidden="1" customHeight="1">
      <c r="A957" s="10">
        <f t="shared" ca="1" si="1986"/>
        <v>0</v>
      </c>
      <c r="B957" s="153"/>
      <c r="C957" s="154"/>
      <c r="D957" s="154"/>
      <c r="E957" s="161" t="s">
        <v>341</v>
      </c>
      <c r="F957" s="154"/>
      <c r="G957" s="154"/>
      <c r="H957" s="152"/>
      <c r="I957" s="152"/>
      <c r="J957" s="154"/>
      <c r="K957" s="154"/>
      <c r="L957" s="154"/>
      <c r="M957" s="154"/>
      <c r="N957" s="154"/>
      <c r="O957" s="154"/>
      <c r="P957" s="154"/>
      <c r="Q957" s="154"/>
      <c r="R957" s="154"/>
      <c r="S957" s="162"/>
      <c r="T957" s="162"/>
      <c r="U957" s="162"/>
      <c r="V957" s="162"/>
      <c r="W957" s="162"/>
      <c r="X957" s="163"/>
      <c r="Y957" s="163"/>
      <c r="Z957" s="163"/>
      <c r="AA957" s="163"/>
      <c r="AB957" s="163"/>
      <c r="AC957" s="163"/>
      <c r="AD957" s="164"/>
      <c r="AE957" s="148">
        <f>IF(SUM(S958:S959)&gt;0,IFERROR(TRUNC(A957,0),0),0)</f>
        <v>0</v>
      </c>
      <c r="AF957" s="149"/>
      <c r="AG957" s="150"/>
      <c r="AH957" s="159" t="e">
        <f>+S957/$S$869</f>
        <v>#DIV/0!</v>
      </c>
      <c r="AI957" s="166">
        <f>IF(K957=0,0,K957/F957)</f>
        <v>0</v>
      </c>
      <c r="AJ957" s="105"/>
      <c r="AK957" s="105"/>
      <c r="AM957" s="105"/>
      <c r="AN957" s="105"/>
      <c r="AO957" s="105"/>
      <c r="AP957" s="105"/>
      <c r="AQ957" s="105"/>
      <c r="AR957" s="105"/>
    </row>
    <row r="958" spans="1:44" s="49" customFormat="1" ht="40.15" hidden="1" customHeight="1">
      <c r="A958" s="152">
        <f t="shared" ca="1" si="1986"/>
        <v>0</v>
      </c>
      <c r="B958" s="153">
        <v>100947</v>
      </c>
      <c r="C958" s="154" t="str">
        <f>TEXT(B958,"0")</f>
        <v>100947</v>
      </c>
      <c r="D958" s="154" t="s">
        <v>1416</v>
      </c>
      <c r="E958" s="155" t="s">
        <v>385</v>
      </c>
      <c r="F958" s="154">
        <f>IF(Dados_DMT!B35&lt;30,Dados_DMT!B35,30)</f>
        <v>0</v>
      </c>
      <c r="G958" s="154" t="s">
        <v>3534</v>
      </c>
      <c r="H958" s="152">
        <v>2.15</v>
      </c>
      <c r="I958" s="152">
        <v>2.13</v>
      </c>
      <c r="J958" s="218"/>
      <c r="K958" s="218">
        <f>ROUND(Ponto_Onibus!I56*F958,2)</f>
        <v>0</v>
      </c>
      <c r="L958" s="218">
        <f>IF($K958&gt;$J958,$K958-$J958,0)</f>
        <v>0</v>
      </c>
      <c r="M958" s="218">
        <f>IF($K958&lt;$J958,$J958-$K958,0)</f>
        <v>0</v>
      </c>
      <c r="N958" s="156" t="s">
        <v>83</v>
      </c>
      <c r="O958" s="157" cm="1">
        <f t="array" ref="O958">TRUNC($H958*(1+_xlfn.SWITCH($N958,"BDI 1",$O$6,"BDI 2",$O$7,"BDI 3",$O$8)),2)</f>
        <v>2.59</v>
      </c>
      <c r="P958" s="157" cm="1">
        <f t="array" ref="P958">TRUNC($I958*(1+_xlfn.SWITCH($N958,"BDI 1",$P$6,"BDI 2",$P$7,"BDI 3",$P$8)),2)</f>
        <v>2.69</v>
      </c>
      <c r="Q958" s="157">
        <v>0</v>
      </c>
      <c r="R958" s="157">
        <v>0</v>
      </c>
      <c r="S958" s="218">
        <f>TRUNC($K958*$O958,2)</f>
        <v>0</v>
      </c>
      <c r="T958" s="218">
        <f>TRUNC($K958*$P958,2)</f>
        <v>0</v>
      </c>
      <c r="U958" s="218">
        <f>TRUNC($J958*$R958,2)</f>
        <v>0</v>
      </c>
      <c r="V958" s="218">
        <f>TRUNC($K958*$Q958,2)</f>
        <v>0</v>
      </c>
      <c r="W958" s="218">
        <f>TRUNC(V958-U958,2)</f>
        <v>0</v>
      </c>
      <c r="X958" s="163">
        <f>$S958/ORCAMENTO_VALOR_TOTAL_ND</f>
        <v>0</v>
      </c>
      <c r="Y958" s="163">
        <f>$T958/ORCAMENTO_VALOR_TOTAL_DE</f>
        <v>0</v>
      </c>
      <c r="Z958" s="163" cm="1">
        <f t="array" ref="Z958">_xlfn.SWITCH($N958,"BDI 1",$O$6,"BDI 2",$O$7,"BDI 3",$O$8)</f>
        <v>0.20699999999999999</v>
      </c>
      <c r="AA958" s="163" cm="1">
        <f t="array" ref="AA958">_xlfn.SWITCH($N958,"BDI 1",$P$6,"BDI 2",$P$7,"BDI 3",$P$8)</f>
        <v>0.26739999999999997</v>
      </c>
      <c r="AB958" s="163">
        <f ca="1">IFERROR($S958/_xlfn.XLOOKUP($AE958,$B$16:$B$38,$S$16:$S$38),0)</f>
        <v>0</v>
      </c>
      <c r="AC958" s="163">
        <f ca="1">IFERROR($T958/_xlfn.XLOOKUP($AE958,$B$16:$B$38,$T$16:$T$38),0)</f>
        <v>0</v>
      </c>
      <c r="AD958" s="164"/>
      <c r="AE958" s="148">
        <f t="shared" ref="AE958:AE959" si="2055">IF(S958&gt;0,IFERROR(TRUNC(A958,0),0),0)</f>
        <v>0</v>
      </c>
      <c r="AF958" s="149"/>
      <c r="AG958" s="150"/>
      <c r="AH958" s="159"/>
      <c r="AI958" s="160"/>
      <c r="AJ958" s="105"/>
      <c r="AK958" s="105"/>
      <c r="AM958" s="105"/>
      <c r="AN958" s="105"/>
      <c r="AO958" s="105"/>
      <c r="AP958" s="105"/>
      <c r="AQ958" s="105"/>
      <c r="AR958" s="105"/>
    </row>
    <row r="959" spans="1:44" s="49" customFormat="1" ht="40.15" hidden="1" customHeight="1">
      <c r="A959" s="152">
        <f t="shared" ca="1" si="1986"/>
        <v>0</v>
      </c>
      <c r="B959" s="153">
        <v>100948</v>
      </c>
      <c r="C959" s="154" t="str">
        <f>TEXT(B959,"0")</f>
        <v>100948</v>
      </c>
      <c r="D959" s="154" t="s">
        <v>1416</v>
      </c>
      <c r="E959" s="155" t="s">
        <v>3615</v>
      </c>
      <c r="F959" s="154">
        <f>Dados_DMT!B35-F958</f>
        <v>0</v>
      </c>
      <c r="G959" s="154" t="s">
        <v>3534</v>
      </c>
      <c r="H959" s="152">
        <v>0.85</v>
      </c>
      <c r="I959" s="152">
        <v>0.84</v>
      </c>
      <c r="J959" s="218"/>
      <c r="K959" s="218">
        <f>ROUND(Ponto_Onibus!I56*F959,2)</f>
        <v>0</v>
      </c>
      <c r="L959" s="218">
        <f>IF($K959&gt;$J959,$K959-$J959,0)</f>
        <v>0</v>
      </c>
      <c r="M959" s="218">
        <f>IF($K959&lt;$J959,$J959-$K959,0)</f>
        <v>0</v>
      </c>
      <c r="N959" s="156" t="s">
        <v>83</v>
      </c>
      <c r="O959" s="157" cm="1">
        <f t="array" ref="O959">TRUNC($H959*(1+_xlfn.SWITCH($N959,"BDI 1",$O$6,"BDI 2",$O$7,"BDI 3",$O$8)),2)</f>
        <v>1.02</v>
      </c>
      <c r="P959" s="157" cm="1">
        <f t="array" ref="P959">TRUNC($I959*(1+_xlfn.SWITCH($N959,"BDI 1",$P$6,"BDI 2",$P$7,"BDI 3",$P$8)),2)</f>
        <v>1.06</v>
      </c>
      <c r="Q959" s="157">
        <v>0</v>
      </c>
      <c r="R959" s="157">
        <v>0</v>
      </c>
      <c r="S959" s="218">
        <f>TRUNC($K959*$O959,2)</f>
        <v>0</v>
      </c>
      <c r="T959" s="218">
        <f>TRUNC($K959*$P959,2)</f>
        <v>0</v>
      </c>
      <c r="U959" s="218">
        <f>TRUNC($J959*$R959,2)</f>
        <v>0</v>
      </c>
      <c r="V959" s="218">
        <f>TRUNC($K959*$Q959,2)</f>
        <v>0</v>
      </c>
      <c r="W959" s="218">
        <f>TRUNC(V959-U959,2)</f>
        <v>0</v>
      </c>
      <c r="X959" s="163">
        <f>$S959/ORCAMENTO_VALOR_TOTAL_ND</f>
        <v>0</v>
      </c>
      <c r="Y959" s="163">
        <f>$T959/ORCAMENTO_VALOR_TOTAL_DE</f>
        <v>0</v>
      </c>
      <c r="Z959" s="163" cm="1">
        <f t="array" ref="Z959">_xlfn.SWITCH($N959,"BDI 1",$O$6,"BDI 2",$O$7,"BDI 3",$O$8)</f>
        <v>0.20699999999999999</v>
      </c>
      <c r="AA959" s="163" cm="1">
        <f t="array" ref="AA959">_xlfn.SWITCH($N959,"BDI 1",$P$6,"BDI 2",$P$7,"BDI 3",$P$8)</f>
        <v>0.26739999999999997</v>
      </c>
      <c r="AB959" s="163">
        <f ca="1">IFERROR($S959/_xlfn.XLOOKUP($AE959,$B$16:$B$38,$S$16:$S$38),0)</f>
        <v>0</v>
      </c>
      <c r="AC959" s="163">
        <f ca="1">IFERROR($T959/_xlfn.XLOOKUP($AE959,$B$16:$B$38,$T$16:$T$38),0)</f>
        <v>0</v>
      </c>
      <c r="AD959" s="164"/>
      <c r="AE959" s="148">
        <f t="shared" si="2055"/>
        <v>0</v>
      </c>
      <c r="AF959" s="149"/>
      <c r="AG959" s="150"/>
      <c r="AH959" s="159"/>
      <c r="AI959" s="160"/>
      <c r="AJ959" s="105"/>
      <c r="AK959" s="105"/>
      <c r="AM959" s="105"/>
      <c r="AN959" s="105"/>
      <c r="AO959" s="105"/>
      <c r="AP959" s="105"/>
      <c r="AQ959" s="105"/>
      <c r="AR959" s="105"/>
    </row>
    <row r="960" spans="1:44" s="49" customFormat="1" ht="40.15" hidden="1" customHeight="1">
      <c r="A960" s="10">
        <f t="shared" ca="1" si="1986"/>
        <v>0</v>
      </c>
      <c r="B960" s="153"/>
      <c r="C960" s="154"/>
      <c r="D960" s="154"/>
      <c r="E960" s="155"/>
      <c r="F960" s="154"/>
      <c r="G960" s="154"/>
      <c r="H960" s="154"/>
      <c r="I960" s="154"/>
      <c r="J960" s="168"/>
      <c r="K960" s="168"/>
      <c r="L960" s="168"/>
      <c r="M960" s="168"/>
      <c r="N960" s="168"/>
      <c r="O960" s="157"/>
      <c r="P960" s="157"/>
      <c r="Q960" s="157"/>
      <c r="R960" s="157"/>
      <c r="S960" s="162"/>
      <c r="T960" s="162"/>
      <c r="U960" s="162"/>
      <c r="V960" s="162"/>
      <c r="W960" s="162"/>
      <c r="X960" s="163"/>
      <c r="Y960" s="163"/>
      <c r="Z960" s="163"/>
      <c r="AA960" s="163"/>
      <c r="AB960" s="163"/>
      <c r="AC960" s="163"/>
      <c r="AD960" s="164"/>
      <c r="AE960" s="148">
        <f>IF(S961&gt;0,IFERROR(TRUNC(A961,0),0),0)</f>
        <v>0</v>
      </c>
      <c r="AF960" s="149"/>
      <c r="AG960" s="150"/>
      <c r="AH960" s="159"/>
      <c r="AI960" s="160"/>
      <c r="AJ960" s="105"/>
      <c r="AK960" s="105"/>
      <c r="AM960" s="105"/>
      <c r="AN960" s="105"/>
      <c r="AO960" s="105"/>
      <c r="AP960" s="105"/>
      <c r="AQ960" s="105"/>
      <c r="AR960" s="105"/>
    </row>
    <row r="961" spans="1:44" s="219" customFormat="1" ht="40.15" hidden="1" customHeight="1">
      <c r="A961" s="169">
        <f ca="1">$B$33</f>
        <v>0</v>
      </c>
      <c r="B961" s="170"/>
      <c r="C961" s="171"/>
      <c r="D961" s="172"/>
      <c r="E961" s="173" t="str">
        <f>$D$33</f>
        <v>OBRAS DE ARTE ESPECIAIS - PONTE SOBRE O CÓRREGO MONTALVÃO - OPÇÃO PRÉ-TENSÃO</v>
      </c>
      <c r="F961" s="174">
        <v>0</v>
      </c>
      <c r="G961" s="175"/>
      <c r="H961" s="176" t="s">
        <v>342</v>
      </c>
      <c r="I961" s="176" t="s">
        <v>342</v>
      </c>
      <c r="J961" s="177"/>
      <c r="K961" s="177"/>
      <c r="L961" s="177"/>
      <c r="M961" s="177"/>
      <c r="N961" s="177"/>
      <c r="O961" s="178" t="str">
        <f ca="1">CONCATENATE("SUB-TOTAL ",$A961)</f>
        <v>SUB-TOTAL 0</v>
      </c>
      <c r="P961" s="178" t="e" cm="1">
        <f t="array" ref="P961">TRUNC($I961*(1+_xlfn.SWITCH($N961,"BDI 1",$P$6,"BDI 2",$P$7,"BDI 3",$P$8)),2)</f>
        <v>#VALUE!</v>
      </c>
      <c r="Q961" s="178" t="str">
        <f ca="1">CONCATENATE("SUB-TOTAL ",$A961)</f>
        <v>SUB-TOTAL 0</v>
      </c>
      <c r="R961" s="178"/>
      <c r="S961" s="179">
        <f>SUM(S963:S1116)</f>
        <v>0</v>
      </c>
      <c r="T961" s="179">
        <f>SUM(T963:T1116)</f>
        <v>0</v>
      </c>
      <c r="U961" s="179">
        <f>SUM(U963:U1116)</f>
        <v>0</v>
      </c>
      <c r="V961" s="179">
        <f>SUM(V963:V1116)</f>
        <v>0</v>
      </c>
      <c r="W961" s="179">
        <f>TRUNC(V961-U961,2)</f>
        <v>0</v>
      </c>
      <c r="X961" s="180">
        <f>+$S961/ORCAMENTO_VALOR_TOTAL_ND</f>
        <v>0</v>
      </c>
      <c r="Y961" s="180">
        <f>+$T961/ORCAMENTO_VALOR_TOTAL_DE</f>
        <v>0</v>
      </c>
      <c r="Z961" s="180"/>
      <c r="AA961" s="180"/>
      <c r="AB961" s="180">
        <f>IFERROR($S961/$S961,0)</f>
        <v>0</v>
      </c>
      <c r="AC961" s="180">
        <f>IFERROR($T961/$T961,0)</f>
        <v>0</v>
      </c>
      <c r="AD961" s="147"/>
      <c r="AE961" s="148">
        <f t="shared" ref="AE961:AE1024" si="2056">IF(S961&gt;0,IFERROR(TRUNC(A961,0),0),0)</f>
        <v>0</v>
      </c>
      <c r="AF961" s="149"/>
      <c r="AG961" s="150"/>
      <c r="AH961" s="151" t="e">
        <f>+S961/$S$961</f>
        <v>#DIV/0!</v>
      </c>
      <c r="AJ961" s="181" t="s">
        <v>105</v>
      </c>
      <c r="AK961" s="181" t="s">
        <v>106</v>
      </c>
      <c r="AQ961" s="219">
        <f>S961/(12*40)</f>
        <v>0</v>
      </c>
    </row>
    <row r="962" spans="1:44" s="49" customFormat="1" ht="40.15" hidden="1" customHeight="1">
      <c r="A962" s="152">
        <f t="shared" ref="A962:A1025" ca="1" si="2057">+IF(K962&gt;0,A959+0.01,A959)</f>
        <v>0</v>
      </c>
      <c r="B962" s="153"/>
      <c r="C962" s="154"/>
      <c r="D962" s="154"/>
      <c r="E962" s="161" t="s">
        <v>343</v>
      </c>
      <c r="F962" s="154"/>
      <c r="G962" s="154"/>
      <c r="H962" s="152"/>
      <c r="I962" s="152"/>
      <c r="J962" s="154"/>
      <c r="K962" s="154"/>
      <c r="L962" s="154"/>
      <c r="M962" s="154"/>
      <c r="N962" s="154"/>
      <c r="O962" s="162"/>
      <c r="P962" s="162"/>
      <c r="Q962" s="162"/>
      <c r="R962" s="162"/>
      <c r="S962" s="162"/>
      <c r="T962" s="162"/>
      <c r="U962" s="162"/>
      <c r="V962" s="162"/>
      <c r="W962" s="162"/>
      <c r="X962" s="163"/>
      <c r="Y962" s="163"/>
      <c r="Z962" s="163"/>
      <c r="AA962" s="163"/>
      <c r="AB962" s="163"/>
      <c r="AC962" s="163"/>
      <c r="AD962" s="164"/>
      <c r="AE962" s="148">
        <f t="shared" si="2056"/>
        <v>0</v>
      </c>
      <c r="AF962" s="149"/>
      <c r="AG962" s="150"/>
      <c r="AH962" s="159"/>
      <c r="AI962" s="160"/>
      <c r="AJ962" s="105"/>
      <c r="AK962" s="105"/>
      <c r="AM962" s="105"/>
      <c r="AN962" s="105"/>
      <c r="AO962" s="105"/>
      <c r="AP962" s="105"/>
      <c r="AQ962" s="105"/>
      <c r="AR962" s="105"/>
    </row>
    <row r="963" spans="1:44" s="49" customFormat="1" ht="40.15" hidden="1" customHeight="1">
      <c r="A963" s="152">
        <f t="shared" ca="1" si="2057"/>
        <v>0</v>
      </c>
      <c r="B963" s="153"/>
      <c r="C963" s="154"/>
      <c r="D963" s="154"/>
      <c r="E963" s="161" t="s">
        <v>344</v>
      </c>
      <c r="F963" s="154"/>
      <c r="G963" s="154"/>
      <c r="H963" s="152"/>
      <c r="I963" s="152"/>
      <c r="J963" s="154"/>
      <c r="K963" s="154"/>
      <c r="L963" s="154"/>
      <c r="M963" s="154"/>
      <c r="N963" s="154"/>
      <c r="O963" s="162"/>
      <c r="P963" s="162"/>
      <c r="Q963" s="162"/>
      <c r="R963" s="162"/>
      <c r="S963" s="162"/>
      <c r="T963" s="162"/>
      <c r="U963" s="162"/>
      <c r="V963" s="162"/>
      <c r="W963" s="162"/>
      <c r="X963" s="163"/>
      <c r="Y963" s="163"/>
      <c r="Z963" s="163"/>
      <c r="AA963" s="163"/>
      <c r="AB963" s="163"/>
      <c r="AC963" s="163"/>
      <c r="AD963" s="164"/>
      <c r="AE963" s="148">
        <f t="shared" si="2056"/>
        <v>0</v>
      </c>
      <c r="AF963" s="149"/>
      <c r="AG963" s="150"/>
      <c r="AH963" s="159"/>
      <c r="AI963" s="160"/>
      <c r="AJ963" s="105"/>
      <c r="AK963" s="105"/>
      <c r="AM963" s="105"/>
      <c r="AN963" s="105"/>
      <c r="AO963" s="105"/>
      <c r="AP963" s="105"/>
      <c r="AQ963" s="105"/>
      <c r="AR963" s="105"/>
    </row>
    <row r="964" spans="1:44" s="220" customFormat="1" ht="49.9" hidden="1" customHeight="1">
      <c r="A964" s="152">
        <f t="shared" ca="1" si="2057"/>
        <v>0</v>
      </c>
      <c r="B964" s="153" t="s">
        <v>345</v>
      </c>
      <c r="C964" s="154" t="str">
        <f t="shared" ref="C964:C976" si="2058">TEXT(B964,"0")</f>
        <v>DR/0024</v>
      </c>
      <c r="D964" s="154" t="s">
        <v>3549</v>
      </c>
      <c r="E964" s="155" t="s">
        <v>3935</v>
      </c>
      <c r="F964" s="154"/>
      <c r="G964" s="154" t="s">
        <v>464</v>
      </c>
      <c r="H964" s="152">
        <v>9.73</v>
      </c>
      <c r="I964" s="152">
        <v>9.77</v>
      </c>
      <c r="J964" s="156"/>
      <c r="K964" s="156"/>
      <c r="L964" s="156">
        <f t="shared" ref="L964:L976" si="2059">IF($K964&gt;$J964,$K964-$J964,0)</f>
        <v>0</v>
      </c>
      <c r="M964" s="156">
        <f t="shared" ref="M964:M976" si="2060">IF($K964&lt;$J964,$J964-$K964,0)</f>
        <v>0</v>
      </c>
      <c r="N964" s="156" t="s">
        <v>83</v>
      </c>
      <c r="O964" s="157" cm="1">
        <f t="array" ref="O964">TRUNC($H964*(1+_xlfn.SWITCH($N964,"BDI 1",$O$6,"BDI 2",$O$7,"BDI 3",$O$8)),2)</f>
        <v>11.74</v>
      </c>
      <c r="P964" s="157" cm="1">
        <f t="array" ref="P964">TRUNC($I964*(1+_xlfn.SWITCH($N964,"BDI 1",$P$6,"BDI 2",$P$7,"BDI 3",$P$8)),2)</f>
        <v>12.38</v>
      </c>
      <c r="Q964" s="157">
        <v>0</v>
      </c>
      <c r="R964" s="157">
        <f t="shared" ref="R964" si="2061">$Q964-($Q964*LICITACAO_DESCONTO)</f>
        <v>0</v>
      </c>
      <c r="S964" s="156">
        <f t="shared" ref="S964:S976" si="2062">TRUNC($K964*$O964,2)</f>
        <v>0</v>
      </c>
      <c r="T964" s="156">
        <f t="shared" ref="T964:T976" si="2063">TRUNC($K964*$P964,2)</f>
        <v>0</v>
      </c>
      <c r="U964" s="156">
        <f t="shared" ref="U964:U976" si="2064">TRUNC($J964*$R964,2)</f>
        <v>0</v>
      </c>
      <c r="V964" s="156">
        <f t="shared" ref="V964:V976" si="2065">TRUNC($K964*$Q964,2)</f>
        <v>0</v>
      </c>
      <c r="W964" s="156">
        <f t="shared" ref="W964:W976" si="2066">TRUNC(V964-U964,2)</f>
        <v>0</v>
      </c>
      <c r="X964" s="158">
        <f t="shared" ref="X964" si="2067">$S964/ORCAMENTO_VALOR_TOTAL_ND</f>
        <v>0</v>
      </c>
      <c r="Y964" s="158">
        <f t="shared" ref="Y964" si="2068">$T964/ORCAMENTO_VALOR_TOTAL_DE</f>
        <v>0</v>
      </c>
      <c r="Z964" s="158" cm="1">
        <f t="array" ref="Z964">_xlfn.SWITCH($N964,"BDI 1",$O$6,"BDI 2",$O$7,"BDI 3",$O$8)</f>
        <v>0.20699999999999999</v>
      </c>
      <c r="AA964" s="158" cm="1">
        <f t="array" ref="AA964">_xlfn.SWITCH($N964,"BDI 1",$P$6,"BDI 2",$P$7,"BDI 3",$P$8)</f>
        <v>0.26739999999999997</v>
      </c>
      <c r="AB964" s="158">
        <f t="shared" ref="AB964:AB976" ca="1" si="2069">IFERROR($S964/_xlfn.XLOOKUP($AE964,$B$16:$B$38,$S$16:$S$38),0)</f>
        <v>0</v>
      </c>
      <c r="AC964" s="158">
        <f t="shared" ref="AC964:AC976" ca="1" si="2070">IFERROR($T964/_xlfn.XLOOKUP($AE964,$B$16:$B$38,$T$16:$T$38),0)</f>
        <v>0</v>
      </c>
      <c r="AD964" s="164"/>
      <c r="AE964" s="148">
        <f t="shared" si="2056"/>
        <v>0</v>
      </c>
      <c r="AF964" s="149"/>
      <c r="AG964" s="150"/>
      <c r="AH964" s="159" t="e">
        <f t="shared" ref="AH964:AH976" si="2071">+S964/$S$961</f>
        <v>#DIV/0!</v>
      </c>
      <c r="AI964" s="160"/>
      <c r="AJ964" s="182">
        <v>0</v>
      </c>
      <c r="AK964" s="183" t="e">
        <f t="shared" ref="AK964:AK969" si="2072">+K964/AJ964</f>
        <v>#DIV/0!</v>
      </c>
      <c r="AM964" s="219"/>
      <c r="AN964" s="219"/>
      <c r="AO964" s="219"/>
      <c r="AP964" s="219"/>
      <c r="AQ964" s="219"/>
      <c r="AR964" s="219"/>
    </row>
    <row r="965" spans="1:44" s="220" customFormat="1" ht="49.9" hidden="1" customHeight="1">
      <c r="A965" s="152">
        <f t="shared" ca="1" si="2057"/>
        <v>0</v>
      </c>
      <c r="B965" s="153">
        <v>101230</v>
      </c>
      <c r="C965" s="154" t="str">
        <f t="shared" si="2058"/>
        <v>101230</v>
      </c>
      <c r="D965" s="154" t="s">
        <v>1416</v>
      </c>
      <c r="E965" s="155" t="s">
        <v>3677</v>
      </c>
      <c r="F965" s="154"/>
      <c r="G965" s="154" t="s">
        <v>464</v>
      </c>
      <c r="H965" s="152">
        <v>10.7</v>
      </c>
      <c r="I965" s="152">
        <v>10.73</v>
      </c>
      <c r="J965" s="156"/>
      <c r="K965" s="156"/>
      <c r="L965" s="156">
        <f t="shared" si="2059"/>
        <v>0</v>
      </c>
      <c r="M965" s="156">
        <f t="shared" si="2060"/>
        <v>0</v>
      </c>
      <c r="N965" s="156" t="s">
        <v>83</v>
      </c>
      <c r="O965" s="157" cm="1">
        <f t="array" ref="O965">TRUNC($H965*(1+_xlfn.SWITCH($N965,"BDI 1",$O$6,"BDI 2",$O$7,"BDI 3",$O$8)),2)</f>
        <v>12.91</v>
      </c>
      <c r="P965" s="157" cm="1">
        <f t="array" ref="P965">TRUNC($I965*(1+_xlfn.SWITCH($N965,"BDI 1",$P$6,"BDI 2",$P$7,"BDI 3",$P$8)),2)</f>
        <v>13.59</v>
      </c>
      <c r="Q965" s="157">
        <v>0</v>
      </c>
      <c r="R965" s="157">
        <f t="shared" ref="R965" si="2073">$Q965-($Q965*LICITACAO_DESCONTO)</f>
        <v>0</v>
      </c>
      <c r="S965" s="156">
        <f t="shared" si="2062"/>
        <v>0</v>
      </c>
      <c r="T965" s="156">
        <f t="shared" si="2063"/>
        <v>0</v>
      </c>
      <c r="U965" s="156">
        <f t="shared" si="2064"/>
        <v>0</v>
      </c>
      <c r="V965" s="156">
        <f t="shared" si="2065"/>
        <v>0</v>
      </c>
      <c r="W965" s="156">
        <f t="shared" si="2066"/>
        <v>0</v>
      </c>
      <c r="X965" s="158">
        <f t="shared" ref="X965" si="2074">$S965/ORCAMENTO_VALOR_TOTAL_ND</f>
        <v>0</v>
      </c>
      <c r="Y965" s="158">
        <f t="shared" ref="Y965" si="2075">$T965/ORCAMENTO_VALOR_TOTAL_DE</f>
        <v>0</v>
      </c>
      <c r="Z965" s="158" cm="1">
        <f t="array" ref="Z965">_xlfn.SWITCH($N965,"BDI 1",$O$6,"BDI 2",$O$7,"BDI 3",$O$8)</f>
        <v>0.20699999999999999</v>
      </c>
      <c r="AA965" s="158" cm="1">
        <f t="array" ref="AA965">_xlfn.SWITCH($N965,"BDI 1",$P$6,"BDI 2",$P$7,"BDI 3",$P$8)</f>
        <v>0.26739999999999997</v>
      </c>
      <c r="AB965" s="158">
        <f t="shared" ca="1" si="2069"/>
        <v>0</v>
      </c>
      <c r="AC965" s="158">
        <f t="shared" ca="1" si="2070"/>
        <v>0</v>
      </c>
      <c r="AD965" s="164"/>
      <c r="AE965" s="148">
        <f t="shared" si="2056"/>
        <v>0</v>
      </c>
      <c r="AF965" s="149"/>
      <c r="AG965" s="150"/>
      <c r="AH965" s="159" t="e">
        <f t="shared" si="2071"/>
        <v>#DIV/0!</v>
      </c>
      <c r="AI965" s="160"/>
      <c r="AJ965" s="182">
        <v>0</v>
      </c>
      <c r="AK965" s="183" t="e">
        <f t="shared" si="2072"/>
        <v>#DIV/0!</v>
      </c>
      <c r="AM965" s="219"/>
      <c r="AN965" s="219"/>
      <c r="AO965" s="219"/>
      <c r="AP965" s="219"/>
      <c r="AQ965" s="219"/>
      <c r="AR965" s="219"/>
    </row>
    <row r="966" spans="1:44" s="220" customFormat="1" ht="40.15" hidden="1" customHeight="1">
      <c r="A966" s="152">
        <f t="shared" ca="1" si="2057"/>
        <v>0</v>
      </c>
      <c r="B966" s="153">
        <v>95876</v>
      </c>
      <c r="C966" s="154" t="str">
        <f t="shared" si="2058"/>
        <v>95876</v>
      </c>
      <c r="D966" s="154" t="s">
        <v>1416</v>
      </c>
      <c r="E966" s="155" t="s">
        <v>3537</v>
      </c>
      <c r="F966" s="154">
        <f>Dados_DMT!B14</f>
        <v>3.5</v>
      </c>
      <c r="G966" s="154" t="s">
        <v>3538</v>
      </c>
      <c r="H966" s="152">
        <v>2.09</v>
      </c>
      <c r="I966" s="152">
        <v>2.1</v>
      </c>
      <c r="J966" s="156"/>
      <c r="K966" s="156">
        <f>ROUND(((K964+K965)*1.25-K974*1.25-K987*1.25)*F966,2)</f>
        <v>0</v>
      </c>
      <c r="L966" s="156">
        <f t="shared" si="2059"/>
        <v>0</v>
      </c>
      <c r="M966" s="156">
        <f t="shared" si="2060"/>
        <v>0</v>
      </c>
      <c r="N966" s="156" t="s">
        <v>83</v>
      </c>
      <c r="O966" s="157" cm="1">
        <f t="array" ref="O966">TRUNC($H966*(1+_xlfn.SWITCH($N966,"BDI 1",$O$6,"BDI 2",$O$7,"BDI 3",$O$8)),2)</f>
        <v>2.52</v>
      </c>
      <c r="P966" s="157" cm="1">
        <f t="array" ref="P966">TRUNC($I966*(1+_xlfn.SWITCH($N966,"BDI 1",$P$6,"BDI 2",$P$7,"BDI 3",$P$8)),2)</f>
        <v>2.66</v>
      </c>
      <c r="Q966" s="157">
        <v>0</v>
      </c>
      <c r="R966" s="157">
        <f t="shared" ref="R966" si="2076">$Q966-($Q966*LICITACAO_DESCONTO)</f>
        <v>0</v>
      </c>
      <c r="S966" s="156">
        <f t="shared" si="2062"/>
        <v>0</v>
      </c>
      <c r="T966" s="156">
        <f t="shared" si="2063"/>
        <v>0</v>
      </c>
      <c r="U966" s="156">
        <f t="shared" si="2064"/>
        <v>0</v>
      </c>
      <c r="V966" s="156">
        <f t="shared" si="2065"/>
        <v>0</v>
      </c>
      <c r="W966" s="156">
        <f t="shared" si="2066"/>
        <v>0</v>
      </c>
      <c r="X966" s="158">
        <f t="shared" ref="X966" si="2077">$S966/ORCAMENTO_VALOR_TOTAL_ND</f>
        <v>0</v>
      </c>
      <c r="Y966" s="158">
        <f t="shared" ref="Y966" si="2078">$T966/ORCAMENTO_VALOR_TOTAL_DE</f>
        <v>0</v>
      </c>
      <c r="Z966" s="158" cm="1">
        <f t="array" ref="Z966">_xlfn.SWITCH($N966,"BDI 1",$O$6,"BDI 2",$O$7,"BDI 3",$O$8)</f>
        <v>0.20699999999999999</v>
      </c>
      <c r="AA966" s="158" cm="1">
        <f t="array" ref="AA966">_xlfn.SWITCH($N966,"BDI 1",$P$6,"BDI 2",$P$7,"BDI 3",$P$8)</f>
        <v>0.26739999999999997</v>
      </c>
      <c r="AB966" s="158">
        <f t="shared" ca="1" si="2069"/>
        <v>0</v>
      </c>
      <c r="AC966" s="158">
        <f t="shared" ca="1" si="2070"/>
        <v>0</v>
      </c>
      <c r="AD966" s="164"/>
      <c r="AE966" s="148">
        <f t="shared" si="2056"/>
        <v>0</v>
      </c>
      <c r="AF966" s="149"/>
      <c r="AG966" s="150"/>
      <c r="AH966" s="159" t="e">
        <f t="shared" si="2071"/>
        <v>#DIV/0!</v>
      </c>
      <c r="AI966" s="160"/>
      <c r="AJ966" s="182">
        <v>0</v>
      </c>
      <c r="AK966" s="183" t="e">
        <f t="shared" si="2072"/>
        <v>#DIV/0!</v>
      </c>
      <c r="AM966" s="219"/>
      <c r="AN966" s="219"/>
      <c r="AO966" s="219"/>
      <c r="AP966" s="219"/>
      <c r="AQ966" s="219"/>
      <c r="AR966" s="219"/>
    </row>
    <row r="967" spans="1:44" s="220" customFormat="1" ht="40.15" hidden="1" customHeight="1">
      <c r="A967" s="152">
        <f t="shared" ca="1" si="2057"/>
        <v>0</v>
      </c>
      <c r="B967" s="153" t="s">
        <v>346</v>
      </c>
      <c r="C967" s="154" t="str">
        <f t="shared" si="2058"/>
        <v>SEL-307</v>
      </c>
      <c r="D967" s="154">
        <v>0</v>
      </c>
      <c r="E967" s="155" t="s">
        <v>3766</v>
      </c>
      <c r="F967" s="154"/>
      <c r="G967" s="154">
        <v>0</v>
      </c>
      <c r="H967" s="152">
        <v>0</v>
      </c>
      <c r="I967" s="152">
        <v>0</v>
      </c>
      <c r="J967" s="156"/>
      <c r="K967" s="156"/>
      <c r="L967" s="156">
        <f t="shared" si="2059"/>
        <v>0</v>
      </c>
      <c r="M967" s="156">
        <f t="shared" si="2060"/>
        <v>0</v>
      </c>
      <c r="N967" s="156" t="s">
        <v>83</v>
      </c>
      <c r="O967" s="157" cm="1">
        <f t="array" ref="O967">TRUNC($H967*(1+_xlfn.SWITCH($N967,"BDI 1",$O$6,"BDI 2",$O$7,"BDI 3",$O$8)),2)</f>
        <v>0</v>
      </c>
      <c r="P967" s="157" cm="1">
        <f t="array" ref="P967">TRUNC($I967*(1+_xlfn.SWITCH($N967,"BDI 1",$P$6,"BDI 2",$P$7,"BDI 3",$P$8)),2)</f>
        <v>0</v>
      </c>
      <c r="Q967" s="157">
        <v>0</v>
      </c>
      <c r="R967" s="157">
        <f t="shared" ref="R967" si="2079">$Q967-($Q967*LICITACAO_DESCONTO)</f>
        <v>0</v>
      </c>
      <c r="S967" s="156">
        <f t="shared" si="2062"/>
        <v>0</v>
      </c>
      <c r="T967" s="156">
        <f t="shared" si="2063"/>
        <v>0</v>
      </c>
      <c r="U967" s="156">
        <f t="shared" si="2064"/>
        <v>0</v>
      </c>
      <c r="V967" s="156">
        <f t="shared" si="2065"/>
        <v>0</v>
      </c>
      <c r="W967" s="156">
        <f t="shared" si="2066"/>
        <v>0</v>
      </c>
      <c r="X967" s="158">
        <f t="shared" ref="X967" si="2080">$S967/ORCAMENTO_VALOR_TOTAL_ND</f>
        <v>0</v>
      </c>
      <c r="Y967" s="158">
        <f t="shared" ref="Y967" si="2081">$T967/ORCAMENTO_VALOR_TOTAL_DE</f>
        <v>0</v>
      </c>
      <c r="Z967" s="158" cm="1">
        <f t="array" ref="Z967">_xlfn.SWITCH($N967,"BDI 1",$O$6,"BDI 2",$O$7,"BDI 3",$O$8)</f>
        <v>0.20699999999999999</v>
      </c>
      <c r="AA967" s="158" cm="1">
        <f t="array" ref="AA967">_xlfn.SWITCH($N967,"BDI 1",$P$6,"BDI 2",$P$7,"BDI 3",$P$8)</f>
        <v>0.26739999999999997</v>
      </c>
      <c r="AB967" s="158">
        <f t="shared" ca="1" si="2069"/>
        <v>0</v>
      </c>
      <c r="AC967" s="158">
        <f t="shared" ca="1" si="2070"/>
        <v>0</v>
      </c>
      <c r="AD967" s="164"/>
      <c r="AE967" s="148">
        <f t="shared" si="2056"/>
        <v>0</v>
      </c>
      <c r="AF967" s="149"/>
      <c r="AG967" s="150"/>
      <c r="AH967" s="159" t="e">
        <f t="shared" si="2071"/>
        <v>#DIV/0!</v>
      </c>
      <c r="AI967" s="160"/>
      <c r="AJ967" s="184" t="e">
        <v>#N/A</v>
      </c>
      <c r="AK967" s="183" t="e">
        <f t="shared" si="2072"/>
        <v>#N/A</v>
      </c>
      <c r="AM967" s="219"/>
      <c r="AN967" s="219"/>
      <c r="AO967" s="219"/>
      <c r="AP967" s="219"/>
      <c r="AQ967" s="219" t="e">
        <f>K967+#REF!+#REF!+#REF!+#REF!+K1021+#REF!+K1044+K1053+K1079+K1086</f>
        <v>#REF!</v>
      </c>
      <c r="AR967" s="219"/>
    </row>
    <row r="968" spans="1:44" s="220" customFormat="1" ht="40.15" hidden="1" customHeight="1">
      <c r="A968" s="152">
        <f t="shared" ca="1" si="2057"/>
        <v>0</v>
      </c>
      <c r="B968" s="153">
        <v>103673</v>
      </c>
      <c r="C968" s="154" t="str">
        <f t="shared" si="2058"/>
        <v>103673</v>
      </c>
      <c r="D968" s="154" t="s">
        <v>1416</v>
      </c>
      <c r="E968" s="155" t="s">
        <v>3795</v>
      </c>
      <c r="F968" s="154"/>
      <c r="G968" s="154" t="s">
        <v>464</v>
      </c>
      <c r="H968" s="152">
        <v>38.33</v>
      </c>
      <c r="I968" s="152">
        <v>34.799999999999997</v>
      </c>
      <c r="J968" s="156"/>
      <c r="K968" s="156">
        <f>K967</f>
        <v>0</v>
      </c>
      <c r="L968" s="156">
        <f t="shared" si="2059"/>
        <v>0</v>
      </c>
      <c r="M968" s="156">
        <f t="shared" si="2060"/>
        <v>0</v>
      </c>
      <c r="N968" s="156" t="s">
        <v>83</v>
      </c>
      <c r="O968" s="157" cm="1">
        <f t="array" ref="O968">TRUNC($H968*(1+_xlfn.SWITCH($N968,"BDI 1",$O$6,"BDI 2",$O$7,"BDI 3",$O$8)),2)</f>
        <v>46.26</v>
      </c>
      <c r="P968" s="157" cm="1">
        <f t="array" ref="P968">TRUNC($I968*(1+_xlfn.SWITCH($N968,"BDI 1",$P$6,"BDI 2",$P$7,"BDI 3",$P$8)),2)</f>
        <v>44.1</v>
      </c>
      <c r="Q968" s="157">
        <v>0</v>
      </c>
      <c r="R968" s="157">
        <f t="shared" ref="R968" si="2082">$Q968-($Q968*LICITACAO_DESCONTO)</f>
        <v>0</v>
      </c>
      <c r="S968" s="156">
        <f t="shared" si="2062"/>
        <v>0</v>
      </c>
      <c r="T968" s="156">
        <f t="shared" si="2063"/>
        <v>0</v>
      </c>
      <c r="U968" s="156">
        <f t="shared" si="2064"/>
        <v>0</v>
      </c>
      <c r="V968" s="156">
        <f t="shared" si="2065"/>
        <v>0</v>
      </c>
      <c r="W968" s="156">
        <f t="shared" si="2066"/>
        <v>0</v>
      </c>
      <c r="X968" s="158">
        <f t="shared" ref="X968" si="2083">$S968/ORCAMENTO_VALOR_TOTAL_ND</f>
        <v>0</v>
      </c>
      <c r="Y968" s="158">
        <f t="shared" ref="Y968" si="2084">$T968/ORCAMENTO_VALOR_TOTAL_DE</f>
        <v>0</v>
      </c>
      <c r="Z968" s="158" cm="1">
        <f t="array" ref="Z968">_xlfn.SWITCH($N968,"BDI 1",$O$6,"BDI 2",$O$7,"BDI 3",$O$8)</f>
        <v>0.20699999999999999</v>
      </c>
      <c r="AA968" s="158" cm="1">
        <f t="array" ref="AA968">_xlfn.SWITCH($N968,"BDI 1",$P$6,"BDI 2",$P$7,"BDI 3",$P$8)</f>
        <v>0.26739999999999997</v>
      </c>
      <c r="AB968" s="158">
        <f t="shared" ca="1" si="2069"/>
        <v>0</v>
      </c>
      <c r="AC968" s="158">
        <f t="shared" ca="1" si="2070"/>
        <v>0</v>
      </c>
      <c r="AD968" s="164"/>
      <c r="AE968" s="148">
        <f t="shared" si="2056"/>
        <v>0</v>
      </c>
      <c r="AF968" s="149"/>
      <c r="AG968" s="150"/>
      <c r="AH968" s="159" t="e">
        <f t="shared" si="2071"/>
        <v>#DIV/0!</v>
      </c>
      <c r="AI968" s="160"/>
      <c r="AJ968" s="184">
        <v>0</v>
      </c>
      <c r="AK968" s="183" t="e">
        <f t="shared" si="2072"/>
        <v>#DIV/0!</v>
      </c>
      <c r="AM968" s="219"/>
      <c r="AN968" s="219"/>
      <c r="AO968" s="219"/>
      <c r="AP968" s="219"/>
      <c r="AQ968" s="219">
        <f>K968+K983+K994+K1002+K1009+K1022+K1038+K1045+K1054+K1080+K1087</f>
        <v>0</v>
      </c>
      <c r="AR968" s="219"/>
    </row>
    <row r="969" spans="1:44" s="220" customFormat="1" ht="40.15" hidden="1" customHeight="1">
      <c r="A969" s="152">
        <f t="shared" ca="1" si="2057"/>
        <v>0</v>
      </c>
      <c r="B969" s="153">
        <v>94969</v>
      </c>
      <c r="C969" s="154" t="str">
        <f t="shared" si="2058"/>
        <v>94969</v>
      </c>
      <c r="D969" s="154" t="s">
        <v>1416</v>
      </c>
      <c r="E969" s="155" t="s">
        <v>3936</v>
      </c>
      <c r="F969" s="154"/>
      <c r="G969" s="154" t="s">
        <v>464</v>
      </c>
      <c r="H969" s="152">
        <v>422.25</v>
      </c>
      <c r="I969" s="152">
        <v>421.36</v>
      </c>
      <c r="J969" s="156"/>
      <c r="K969" s="156"/>
      <c r="L969" s="156">
        <f t="shared" si="2059"/>
        <v>0</v>
      </c>
      <c r="M969" s="156">
        <f t="shared" si="2060"/>
        <v>0</v>
      </c>
      <c r="N969" s="156" t="s">
        <v>83</v>
      </c>
      <c r="O969" s="157" cm="1">
        <f t="array" ref="O969">TRUNC($H969*(1+_xlfn.SWITCH($N969,"BDI 1",$O$6,"BDI 2",$O$7,"BDI 3",$O$8)),2)</f>
        <v>509.65</v>
      </c>
      <c r="P969" s="157" cm="1">
        <f t="array" ref="P969">TRUNC($I969*(1+_xlfn.SWITCH($N969,"BDI 1",$P$6,"BDI 2",$P$7,"BDI 3",$P$8)),2)</f>
        <v>534.03</v>
      </c>
      <c r="Q969" s="157">
        <v>0</v>
      </c>
      <c r="R969" s="157">
        <f t="shared" ref="R969" si="2085">$Q969-($Q969*LICITACAO_DESCONTO)</f>
        <v>0</v>
      </c>
      <c r="S969" s="156">
        <f t="shared" si="2062"/>
        <v>0</v>
      </c>
      <c r="T969" s="156">
        <f t="shared" si="2063"/>
        <v>0</v>
      </c>
      <c r="U969" s="156">
        <f t="shared" si="2064"/>
        <v>0</v>
      </c>
      <c r="V969" s="156">
        <f t="shared" si="2065"/>
        <v>0</v>
      </c>
      <c r="W969" s="156">
        <f t="shared" si="2066"/>
        <v>0</v>
      </c>
      <c r="X969" s="158">
        <f t="shared" ref="X969" si="2086">$S969/ORCAMENTO_VALOR_TOTAL_ND</f>
        <v>0</v>
      </c>
      <c r="Y969" s="158">
        <f t="shared" ref="Y969" si="2087">$T969/ORCAMENTO_VALOR_TOTAL_DE</f>
        <v>0</v>
      </c>
      <c r="Z969" s="158" cm="1">
        <f t="array" ref="Z969">_xlfn.SWITCH($N969,"BDI 1",$O$6,"BDI 2",$O$7,"BDI 3",$O$8)</f>
        <v>0.20699999999999999</v>
      </c>
      <c r="AA969" s="158" cm="1">
        <f t="array" ref="AA969">_xlfn.SWITCH($N969,"BDI 1",$P$6,"BDI 2",$P$7,"BDI 3",$P$8)</f>
        <v>0.26739999999999997</v>
      </c>
      <c r="AB969" s="158">
        <f t="shared" ca="1" si="2069"/>
        <v>0</v>
      </c>
      <c r="AC969" s="158">
        <f t="shared" ca="1" si="2070"/>
        <v>0</v>
      </c>
      <c r="AD969" s="164"/>
      <c r="AE969" s="148">
        <f t="shared" si="2056"/>
        <v>0</v>
      </c>
      <c r="AF969" s="149"/>
      <c r="AG969" s="150"/>
      <c r="AH969" s="159" t="e">
        <f t="shared" si="2071"/>
        <v>#DIV/0!</v>
      </c>
      <c r="AI969" s="160"/>
      <c r="AJ969" s="182">
        <v>0</v>
      </c>
      <c r="AK969" s="183" t="e">
        <f t="shared" si="2072"/>
        <v>#DIV/0!</v>
      </c>
      <c r="AM969" s="219"/>
      <c r="AN969" s="219"/>
      <c r="AO969" s="219"/>
      <c r="AP969" s="219"/>
      <c r="AQ969" s="219"/>
      <c r="AR969" s="219"/>
    </row>
    <row r="970" spans="1:44" s="220" customFormat="1" ht="40.15" hidden="1" customHeight="1">
      <c r="A970" s="152">
        <f t="shared" ca="1" si="2057"/>
        <v>0</v>
      </c>
      <c r="B970" s="153">
        <v>103670</v>
      </c>
      <c r="C970" s="154" t="str">
        <f t="shared" si="2058"/>
        <v>103670</v>
      </c>
      <c r="D970" s="154" t="s">
        <v>1416</v>
      </c>
      <c r="E970" s="155" t="s">
        <v>3792</v>
      </c>
      <c r="F970" s="154"/>
      <c r="G970" s="154" t="s">
        <v>464</v>
      </c>
      <c r="H970" s="152">
        <v>272.37</v>
      </c>
      <c r="I970" s="152">
        <v>247.05</v>
      </c>
      <c r="J970" s="156"/>
      <c r="K970" s="156">
        <f>K969</f>
        <v>0</v>
      </c>
      <c r="L970" s="156">
        <f t="shared" si="2059"/>
        <v>0</v>
      </c>
      <c r="M970" s="156">
        <f t="shared" si="2060"/>
        <v>0</v>
      </c>
      <c r="N970" s="156" t="s">
        <v>83</v>
      </c>
      <c r="O970" s="157" cm="1">
        <f t="array" ref="O970">TRUNC($H970*(1+_xlfn.SWITCH($N970,"BDI 1",$O$6,"BDI 2",$O$7,"BDI 3",$O$8)),2)</f>
        <v>328.75</v>
      </c>
      <c r="P970" s="157" cm="1">
        <f t="array" ref="P970">TRUNC($I970*(1+_xlfn.SWITCH($N970,"BDI 1",$P$6,"BDI 2",$P$7,"BDI 3",$P$8)),2)</f>
        <v>313.11</v>
      </c>
      <c r="Q970" s="157">
        <v>0</v>
      </c>
      <c r="R970" s="157">
        <f t="shared" ref="R970" si="2088">$Q970-($Q970*LICITACAO_DESCONTO)</f>
        <v>0</v>
      </c>
      <c r="S970" s="156">
        <f t="shared" si="2062"/>
        <v>0</v>
      </c>
      <c r="T970" s="156">
        <f t="shared" si="2063"/>
        <v>0</v>
      </c>
      <c r="U970" s="156">
        <f t="shared" si="2064"/>
        <v>0</v>
      </c>
      <c r="V970" s="156">
        <f t="shared" si="2065"/>
        <v>0</v>
      </c>
      <c r="W970" s="156">
        <f t="shared" si="2066"/>
        <v>0</v>
      </c>
      <c r="X970" s="158">
        <f t="shared" ref="X970" si="2089">$S970/ORCAMENTO_VALOR_TOTAL_ND</f>
        <v>0</v>
      </c>
      <c r="Y970" s="158">
        <f t="shared" ref="Y970" si="2090">$T970/ORCAMENTO_VALOR_TOTAL_DE</f>
        <v>0</v>
      </c>
      <c r="Z970" s="158" cm="1">
        <f t="array" ref="Z970">_xlfn.SWITCH($N970,"BDI 1",$O$6,"BDI 2",$O$7,"BDI 3",$O$8)</f>
        <v>0.20699999999999999</v>
      </c>
      <c r="AA970" s="158" cm="1">
        <f t="array" ref="AA970">_xlfn.SWITCH($N970,"BDI 1",$P$6,"BDI 2",$P$7,"BDI 3",$P$8)</f>
        <v>0.26739999999999997</v>
      </c>
      <c r="AB970" s="158">
        <f t="shared" ca="1" si="2069"/>
        <v>0</v>
      </c>
      <c r="AC970" s="158">
        <f t="shared" ca="1" si="2070"/>
        <v>0</v>
      </c>
      <c r="AD970" s="164"/>
      <c r="AE970" s="148">
        <f t="shared" si="2056"/>
        <v>0</v>
      </c>
      <c r="AF970" s="149"/>
      <c r="AG970" s="150"/>
      <c r="AH970" s="159" t="e">
        <f t="shared" si="2071"/>
        <v>#DIV/0!</v>
      </c>
      <c r="AI970" s="160"/>
      <c r="AJ970" s="182"/>
      <c r="AK970" s="183"/>
      <c r="AM970" s="219"/>
      <c r="AN970" s="219"/>
      <c r="AO970" s="219"/>
      <c r="AP970" s="219"/>
      <c r="AQ970" s="219"/>
      <c r="AR970" s="219"/>
    </row>
    <row r="971" spans="1:44" s="220" customFormat="1" ht="40.15" hidden="1" customHeight="1">
      <c r="A971" s="152">
        <f t="shared" ca="1" si="2057"/>
        <v>0</v>
      </c>
      <c r="B971" s="153">
        <v>96541</v>
      </c>
      <c r="C971" s="154" t="str">
        <f t="shared" si="2058"/>
        <v>96541</v>
      </c>
      <c r="D971" s="154" t="s">
        <v>1416</v>
      </c>
      <c r="E971" s="155" t="s">
        <v>3937</v>
      </c>
      <c r="F971" s="154"/>
      <c r="G971" s="154" t="s">
        <v>1418</v>
      </c>
      <c r="H971" s="152">
        <v>165.49</v>
      </c>
      <c r="I971" s="152">
        <v>154.08000000000001</v>
      </c>
      <c r="J971" s="156"/>
      <c r="K971" s="156"/>
      <c r="L971" s="156">
        <f t="shared" si="2059"/>
        <v>0</v>
      </c>
      <c r="M971" s="156">
        <f t="shared" si="2060"/>
        <v>0</v>
      </c>
      <c r="N971" s="156" t="s">
        <v>83</v>
      </c>
      <c r="O971" s="157" cm="1">
        <f t="array" ref="O971">TRUNC($H971*(1+_xlfn.SWITCH($N971,"BDI 1",$O$6,"BDI 2",$O$7,"BDI 3",$O$8)),2)</f>
        <v>199.74</v>
      </c>
      <c r="P971" s="157" cm="1">
        <f t="array" ref="P971">TRUNC($I971*(1+_xlfn.SWITCH($N971,"BDI 1",$P$6,"BDI 2",$P$7,"BDI 3",$P$8)),2)</f>
        <v>195.28</v>
      </c>
      <c r="Q971" s="157">
        <v>0</v>
      </c>
      <c r="R971" s="157">
        <f t="shared" ref="R971" si="2091">$Q971-($Q971*LICITACAO_DESCONTO)</f>
        <v>0</v>
      </c>
      <c r="S971" s="156">
        <f t="shared" si="2062"/>
        <v>0</v>
      </c>
      <c r="T971" s="156">
        <f t="shared" si="2063"/>
        <v>0</v>
      </c>
      <c r="U971" s="156">
        <f t="shared" si="2064"/>
        <v>0</v>
      </c>
      <c r="V971" s="156">
        <f t="shared" si="2065"/>
        <v>0</v>
      </c>
      <c r="W971" s="156">
        <f t="shared" si="2066"/>
        <v>0</v>
      </c>
      <c r="X971" s="158">
        <f t="shared" ref="X971" si="2092">$S971/ORCAMENTO_VALOR_TOTAL_ND</f>
        <v>0</v>
      </c>
      <c r="Y971" s="158">
        <f t="shared" ref="Y971" si="2093">$T971/ORCAMENTO_VALOR_TOTAL_DE</f>
        <v>0</v>
      </c>
      <c r="Z971" s="158" cm="1">
        <f t="array" ref="Z971">_xlfn.SWITCH($N971,"BDI 1",$O$6,"BDI 2",$O$7,"BDI 3",$O$8)</f>
        <v>0.20699999999999999</v>
      </c>
      <c r="AA971" s="158" cm="1">
        <f t="array" ref="AA971">_xlfn.SWITCH($N971,"BDI 1",$P$6,"BDI 2",$P$7,"BDI 3",$P$8)</f>
        <v>0.26739999999999997</v>
      </c>
      <c r="AB971" s="158">
        <f t="shared" ca="1" si="2069"/>
        <v>0</v>
      </c>
      <c r="AC971" s="158">
        <f t="shared" ca="1" si="2070"/>
        <v>0</v>
      </c>
      <c r="AD971" s="164"/>
      <c r="AE971" s="148">
        <f t="shared" si="2056"/>
        <v>0</v>
      </c>
      <c r="AF971" s="149"/>
      <c r="AG971" s="150"/>
      <c r="AH971" s="159" t="e">
        <f t="shared" si="2071"/>
        <v>#DIV/0!</v>
      </c>
      <c r="AI971" s="160"/>
      <c r="AJ971" s="184">
        <v>0</v>
      </c>
      <c r="AK971" s="183" t="e">
        <f>+K971/AJ971</f>
        <v>#DIV/0!</v>
      </c>
      <c r="AM971" s="219"/>
      <c r="AN971" s="219"/>
      <c r="AO971" s="219"/>
      <c r="AP971" s="219"/>
      <c r="AQ971" s="219"/>
      <c r="AR971" s="219"/>
    </row>
    <row r="972" spans="1:44" s="220" customFormat="1" ht="40.15" hidden="1" customHeight="1">
      <c r="A972" s="152">
        <f t="shared" ca="1" si="2057"/>
        <v>0</v>
      </c>
      <c r="B972" s="153">
        <v>96546</v>
      </c>
      <c r="C972" s="154" t="str">
        <f t="shared" si="2058"/>
        <v>96546</v>
      </c>
      <c r="D972" s="154" t="s">
        <v>1416</v>
      </c>
      <c r="E972" s="155" t="s">
        <v>3938</v>
      </c>
      <c r="F972" s="154"/>
      <c r="G972" s="154" t="s">
        <v>3802</v>
      </c>
      <c r="H972" s="152">
        <v>14.25</v>
      </c>
      <c r="I972" s="152">
        <v>13.8</v>
      </c>
      <c r="J972" s="156"/>
      <c r="K972" s="156"/>
      <c r="L972" s="156">
        <f t="shared" si="2059"/>
        <v>0</v>
      </c>
      <c r="M972" s="156">
        <f t="shared" si="2060"/>
        <v>0</v>
      </c>
      <c r="N972" s="156" t="s">
        <v>83</v>
      </c>
      <c r="O972" s="157" cm="1">
        <f t="array" ref="O972">TRUNC($H972*(1+_xlfn.SWITCH($N972,"BDI 1",$O$6,"BDI 2",$O$7,"BDI 3",$O$8)),2)</f>
        <v>17.190000000000001</v>
      </c>
      <c r="P972" s="157" cm="1">
        <f t="array" ref="P972">TRUNC($I972*(1+_xlfn.SWITCH($N972,"BDI 1",$P$6,"BDI 2",$P$7,"BDI 3",$P$8)),2)</f>
        <v>17.489999999999998</v>
      </c>
      <c r="Q972" s="157">
        <v>0</v>
      </c>
      <c r="R972" s="157">
        <f t="shared" ref="R972" si="2094">$Q972-($Q972*LICITACAO_DESCONTO)</f>
        <v>0</v>
      </c>
      <c r="S972" s="156">
        <f t="shared" si="2062"/>
        <v>0</v>
      </c>
      <c r="T972" s="156">
        <f t="shared" si="2063"/>
        <v>0</v>
      </c>
      <c r="U972" s="156">
        <f t="shared" si="2064"/>
        <v>0</v>
      </c>
      <c r="V972" s="156">
        <f t="shared" si="2065"/>
        <v>0</v>
      </c>
      <c r="W972" s="156">
        <f t="shared" si="2066"/>
        <v>0</v>
      </c>
      <c r="X972" s="158">
        <f t="shared" ref="X972" si="2095">$S972/ORCAMENTO_VALOR_TOTAL_ND</f>
        <v>0</v>
      </c>
      <c r="Y972" s="158">
        <f t="shared" ref="Y972" si="2096">$T972/ORCAMENTO_VALOR_TOTAL_DE</f>
        <v>0</v>
      </c>
      <c r="Z972" s="158" cm="1">
        <f t="array" ref="Z972">_xlfn.SWITCH($N972,"BDI 1",$O$6,"BDI 2",$O$7,"BDI 3",$O$8)</f>
        <v>0.20699999999999999</v>
      </c>
      <c r="AA972" s="158" cm="1">
        <f t="array" ref="AA972">_xlfn.SWITCH($N972,"BDI 1",$P$6,"BDI 2",$P$7,"BDI 3",$P$8)</f>
        <v>0.26739999999999997</v>
      </c>
      <c r="AB972" s="158">
        <f t="shared" ca="1" si="2069"/>
        <v>0</v>
      </c>
      <c r="AC972" s="158">
        <f t="shared" ca="1" si="2070"/>
        <v>0</v>
      </c>
      <c r="AD972" s="164"/>
      <c r="AE972" s="148">
        <f t="shared" si="2056"/>
        <v>0</v>
      </c>
      <c r="AF972" s="149"/>
      <c r="AG972" s="150"/>
      <c r="AH972" s="159" t="e">
        <f t="shared" si="2071"/>
        <v>#DIV/0!</v>
      </c>
      <c r="AI972" s="160"/>
      <c r="AJ972" s="219"/>
      <c r="AK972" s="219"/>
      <c r="AM972" s="219"/>
      <c r="AN972" s="219"/>
      <c r="AO972" s="219"/>
      <c r="AP972" s="219"/>
      <c r="AQ972" s="219"/>
      <c r="AR972" s="219"/>
    </row>
    <row r="973" spans="1:44" s="220" customFormat="1" ht="40.15" hidden="1" customHeight="1">
      <c r="A973" s="152">
        <f t="shared" ca="1" si="2057"/>
        <v>0</v>
      </c>
      <c r="B973" s="153">
        <v>104920</v>
      </c>
      <c r="C973" s="154" t="str">
        <f t="shared" si="2058"/>
        <v>104920</v>
      </c>
      <c r="D973" s="154" t="s">
        <v>1416</v>
      </c>
      <c r="E973" s="155" t="s">
        <v>3939</v>
      </c>
      <c r="F973" s="154"/>
      <c r="G973" s="154" t="s">
        <v>3802</v>
      </c>
      <c r="H973" s="152">
        <v>11.15</v>
      </c>
      <c r="I973" s="152">
        <v>10.85</v>
      </c>
      <c r="J973" s="156"/>
      <c r="K973" s="156"/>
      <c r="L973" s="156">
        <f t="shared" si="2059"/>
        <v>0</v>
      </c>
      <c r="M973" s="156">
        <f t="shared" si="2060"/>
        <v>0</v>
      </c>
      <c r="N973" s="156" t="s">
        <v>83</v>
      </c>
      <c r="O973" s="157" cm="1">
        <f t="array" ref="O973">TRUNC($H973*(1+_xlfn.SWITCH($N973,"BDI 1",$O$6,"BDI 2",$O$7,"BDI 3",$O$8)),2)</f>
        <v>13.45</v>
      </c>
      <c r="P973" s="157" cm="1">
        <f t="array" ref="P973">TRUNC($I973*(1+_xlfn.SWITCH($N973,"BDI 1",$P$6,"BDI 2",$P$7,"BDI 3",$P$8)),2)</f>
        <v>13.75</v>
      </c>
      <c r="Q973" s="157">
        <v>0</v>
      </c>
      <c r="R973" s="157">
        <f t="shared" ref="R973" si="2097">$Q973-($Q973*LICITACAO_DESCONTO)</f>
        <v>0</v>
      </c>
      <c r="S973" s="156">
        <f t="shared" si="2062"/>
        <v>0</v>
      </c>
      <c r="T973" s="156">
        <f t="shared" si="2063"/>
        <v>0</v>
      </c>
      <c r="U973" s="156">
        <f t="shared" si="2064"/>
        <v>0</v>
      </c>
      <c r="V973" s="156">
        <f t="shared" si="2065"/>
        <v>0</v>
      </c>
      <c r="W973" s="156">
        <f t="shared" si="2066"/>
        <v>0</v>
      </c>
      <c r="X973" s="158">
        <f t="shared" ref="X973" si="2098">$S973/ORCAMENTO_VALOR_TOTAL_ND</f>
        <v>0</v>
      </c>
      <c r="Y973" s="158">
        <f t="shared" ref="Y973" si="2099">$T973/ORCAMENTO_VALOR_TOTAL_DE</f>
        <v>0</v>
      </c>
      <c r="Z973" s="158" cm="1">
        <f t="array" ref="Z973">_xlfn.SWITCH($N973,"BDI 1",$O$6,"BDI 2",$O$7,"BDI 3",$O$8)</f>
        <v>0.20699999999999999</v>
      </c>
      <c r="AA973" s="158" cm="1">
        <f t="array" ref="AA973">_xlfn.SWITCH($N973,"BDI 1",$P$6,"BDI 2",$P$7,"BDI 3",$P$8)</f>
        <v>0.26739999999999997</v>
      </c>
      <c r="AB973" s="158">
        <f t="shared" ca="1" si="2069"/>
        <v>0</v>
      </c>
      <c r="AC973" s="158">
        <f t="shared" ca="1" si="2070"/>
        <v>0</v>
      </c>
      <c r="AD973" s="164"/>
      <c r="AE973" s="148">
        <f t="shared" si="2056"/>
        <v>0</v>
      </c>
      <c r="AF973" s="149"/>
      <c r="AG973" s="150"/>
      <c r="AH973" s="159" t="e">
        <f t="shared" si="2071"/>
        <v>#DIV/0!</v>
      </c>
      <c r="AI973" s="160"/>
      <c r="AJ973" s="182">
        <v>0</v>
      </c>
      <c r="AK973" s="183" t="e">
        <f>+K973/AJ973</f>
        <v>#DIV/0!</v>
      </c>
      <c r="AM973" s="219"/>
      <c r="AN973" s="219"/>
      <c r="AO973" s="219"/>
      <c r="AP973" s="219"/>
      <c r="AQ973" s="219"/>
      <c r="AR973" s="219"/>
    </row>
    <row r="974" spans="1:44" s="220" customFormat="1" ht="49.9" hidden="1" customHeight="1">
      <c r="A974" s="152">
        <f t="shared" ca="1" si="2057"/>
        <v>0</v>
      </c>
      <c r="B974" s="153">
        <v>93373</v>
      </c>
      <c r="C974" s="154" t="str">
        <f t="shared" si="2058"/>
        <v>93373</v>
      </c>
      <c r="D974" s="154" t="s">
        <v>1416</v>
      </c>
      <c r="E974" s="155" t="s">
        <v>3675</v>
      </c>
      <c r="F974" s="154"/>
      <c r="G974" s="154" t="s">
        <v>464</v>
      </c>
      <c r="H974" s="152">
        <v>12.97</v>
      </c>
      <c r="I974" s="152">
        <v>12.47</v>
      </c>
      <c r="J974" s="156"/>
      <c r="K974" s="156"/>
      <c r="L974" s="156">
        <f t="shared" si="2059"/>
        <v>0</v>
      </c>
      <c r="M974" s="156">
        <f t="shared" si="2060"/>
        <v>0</v>
      </c>
      <c r="N974" s="156" t="s">
        <v>83</v>
      </c>
      <c r="O974" s="157" cm="1">
        <f t="array" ref="O974">TRUNC($H974*(1+_xlfn.SWITCH($N974,"BDI 1",$O$6,"BDI 2",$O$7,"BDI 3",$O$8)),2)</f>
        <v>15.65</v>
      </c>
      <c r="P974" s="157" cm="1">
        <f t="array" ref="P974">TRUNC($I974*(1+_xlfn.SWITCH($N974,"BDI 1",$P$6,"BDI 2",$P$7,"BDI 3",$P$8)),2)</f>
        <v>15.8</v>
      </c>
      <c r="Q974" s="157">
        <v>0</v>
      </c>
      <c r="R974" s="157">
        <f t="shared" ref="R974" si="2100">$Q974-($Q974*LICITACAO_DESCONTO)</f>
        <v>0</v>
      </c>
      <c r="S974" s="156">
        <f t="shared" si="2062"/>
        <v>0</v>
      </c>
      <c r="T974" s="156">
        <f t="shared" si="2063"/>
        <v>0</v>
      </c>
      <c r="U974" s="156">
        <f t="shared" si="2064"/>
        <v>0</v>
      </c>
      <c r="V974" s="156">
        <f t="shared" si="2065"/>
        <v>0</v>
      </c>
      <c r="W974" s="156">
        <f t="shared" si="2066"/>
        <v>0</v>
      </c>
      <c r="X974" s="158">
        <f t="shared" ref="X974" si="2101">$S974/ORCAMENTO_VALOR_TOTAL_ND</f>
        <v>0</v>
      </c>
      <c r="Y974" s="158">
        <f t="shared" ref="Y974" si="2102">$T974/ORCAMENTO_VALOR_TOTAL_DE</f>
        <v>0</v>
      </c>
      <c r="Z974" s="158" cm="1">
        <f t="array" ref="Z974">_xlfn.SWITCH($N974,"BDI 1",$O$6,"BDI 2",$O$7,"BDI 3",$O$8)</f>
        <v>0.20699999999999999</v>
      </c>
      <c r="AA974" s="158" cm="1">
        <f t="array" ref="AA974">_xlfn.SWITCH($N974,"BDI 1",$P$6,"BDI 2",$P$7,"BDI 3",$P$8)</f>
        <v>0.26739999999999997</v>
      </c>
      <c r="AB974" s="158">
        <f t="shared" ca="1" si="2069"/>
        <v>0</v>
      </c>
      <c r="AC974" s="158">
        <f t="shared" ca="1" si="2070"/>
        <v>0</v>
      </c>
      <c r="AD974" s="164"/>
      <c r="AE974" s="148">
        <f t="shared" si="2056"/>
        <v>0</v>
      </c>
      <c r="AF974" s="149"/>
      <c r="AG974" s="150"/>
      <c r="AH974" s="159" t="e">
        <f t="shared" si="2071"/>
        <v>#DIV/0!</v>
      </c>
      <c r="AI974" s="160"/>
      <c r="AJ974" s="219"/>
      <c r="AK974" s="219"/>
      <c r="AM974" s="219"/>
      <c r="AN974" s="219"/>
      <c r="AO974" s="219"/>
      <c r="AP974" s="219"/>
      <c r="AQ974" s="219"/>
      <c r="AR974" s="219"/>
    </row>
    <row r="975" spans="1:44" s="220" customFormat="1" ht="40.15" hidden="1" customHeight="1">
      <c r="A975" s="152">
        <f t="shared" ca="1" si="2057"/>
        <v>0</v>
      </c>
      <c r="B975" s="153" t="s">
        <v>347</v>
      </c>
      <c r="C975" s="154" t="str">
        <f t="shared" si="2058"/>
        <v>DR/0033</v>
      </c>
      <c r="D975" s="154" t="s">
        <v>3549</v>
      </c>
      <c r="E975" s="155" t="s">
        <v>3940</v>
      </c>
      <c r="F975" s="154"/>
      <c r="G975" s="154" t="s">
        <v>464</v>
      </c>
      <c r="H975" s="152">
        <v>355.22</v>
      </c>
      <c r="I975" s="152">
        <v>337.12</v>
      </c>
      <c r="J975" s="156"/>
      <c r="K975" s="156"/>
      <c r="L975" s="156">
        <f t="shared" si="2059"/>
        <v>0</v>
      </c>
      <c r="M975" s="156">
        <f t="shared" si="2060"/>
        <v>0</v>
      </c>
      <c r="N975" s="156" t="s">
        <v>83</v>
      </c>
      <c r="O975" s="157" cm="1">
        <f t="array" ref="O975">TRUNC($H975*(1+_xlfn.SWITCH($N975,"BDI 1",$O$6,"BDI 2",$O$7,"BDI 3",$O$8)),2)</f>
        <v>428.75</v>
      </c>
      <c r="P975" s="157" cm="1">
        <f t="array" ref="P975">TRUNC($I975*(1+_xlfn.SWITCH($N975,"BDI 1",$P$6,"BDI 2",$P$7,"BDI 3",$P$8)),2)</f>
        <v>427.26</v>
      </c>
      <c r="Q975" s="157">
        <v>0</v>
      </c>
      <c r="R975" s="157">
        <f t="shared" ref="R975" si="2103">$Q975-($Q975*LICITACAO_DESCONTO)</f>
        <v>0</v>
      </c>
      <c r="S975" s="156">
        <f t="shared" si="2062"/>
        <v>0</v>
      </c>
      <c r="T975" s="156">
        <f t="shared" si="2063"/>
        <v>0</v>
      </c>
      <c r="U975" s="156">
        <f t="shared" si="2064"/>
        <v>0</v>
      </c>
      <c r="V975" s="156">
        <f t="shared" si="2065"/>
        <v>0</v>
      </c>
      <c r="W975" s="156">
        <f t="shared" si="2066"/>
        <v>0</v>
      </c>
      <c r="X975" s="158">
        <f t="shared" ref="X975" si="2104">$S975/ORCAMENTO_VALOR_TOTAL_ND</f>
        <v>0</v>
      </c>
      <c r="Y975" s="158">
        <f t="shared" ref="Y975" si="2105">$T975/ORCAMENTO_VALOR_TOTAL_DE</f>
        <v>0</v>
      </c>
      <c r="Z975" s="158" cm="1">
        <f t="array" ref="Z975">_xlfn.SWITCH($N975,"BDI 1",$O$6,"BDI 2",$O$7,"BDI 3",$O$8)</f>
        <v>0.20699999999999999</v>
      </c>
      <c r="AA975" s="158" cm="1">
        <f t="array" ref="AA975">_xlfn.SWITCH($N975,"BDI 1",$P$6,"BDI 2",$P$7,"BDI 3",$P$8)</f>
        <v>0.26739999999999997</v>
      </c>
      <c r="AB975" s="158">
        <f t="shared" ca="1" si="2069"/>
        <v>0</v>
      </c>
      <c r="AC975" s="158">
        <f t="shared" ca="1" si="2070"/>
        <v>0</v>
      </c>
      <c r="AD975" s="164"/>
      <c r="AE975" s="148">
        <f t="shared" si="2056"/>
        <v>0</v>
      </c>
      <c r="AF975" s="149"/>
      <c r="AG975" s="150"/>
      <c r="AH975" s="159" t="e">
        <f t="shared" si="2071"/>
        <v>#DIV/0!</v>
      </c>
      <c r="AI975" s="160"/>
      <c r="AJ975" s="219"/>
      <c r="AK975" s="219"/>
      <c r="AM975" s="219"/>
      <c r="AN975" s="219"/>
      <c r="AO975" s="219"/>
      <c r="AP975" s="219"/>
      <c r="AQ975" s="219"/>
      <c r="AR975" s="219"/>
    </row>
    <row r="976" spans="1:44" s="220" customFormat="1" ht="40.15" hidden="1" customHeight="1">
      <c r="A976" s="152">
        <f t="shared" ca="1" si="2057"/>
        <v>0</v>
      </c>
      <c r="B976" s="153" t="s">
        <v>127</v>
      </c>
      <c r="C976" s="154" t="str">
        <f t="shared" si="2058"/>
        <v>DR/0050</v>
      </c>
      <c r="D976" s="154" t="s">
        <v>3549</v>
      </c>
      <c r="E976" s="155" t="s">
        <v>3616</v>
      </c>
      <c r="F976" s="154"/>
      <c r="G976" s="154" t="s">
        <v>3617</v>
      </c>
      <c r="H976" s="152">
        <v>13.36</v>
      </c>
      <c r="I976" s="152">
        <v>13.22</v>
      </c>
      <c r="J976" s="156"/>
      <c r="K976" s="156">
        <f>(K964+K965)/84</f>
        <v>0</v>
      </c>
      <c r="L976" s="156">
        <f t="shared" si="2059"/>
        <v>0</v>
      </c>
      <c r="M976" s="156">
        <f t="shared" si="2060"/>
        <v>0</v>
      </c>
      <c r="N976" s="156" t="s">
        <v>83</v>
      </c>
      <c r="O976" s="157" cm="1">
        <f t="array" ref="O976">TRUNC($H976*(1+_xlfn.SWITCH($N976,"BDI 1",$O$6,"BDI 2",$O$7,"BDI 3",$O$8)),2)</f>
        <v>16.12</v>
      </c>
      <c r="P976" s="157" cm="1">
        <f t="array" ref="P976">TRUNC($I976*(1+_xlfn.SWITCH($N976,"BDI 1",$P$6,"BDI 2",$P$7,"BDI 3",$P$8)),2)</f>
        <v>16.75</v>
      </c>
      <c r="Q976" s="157">
        <v>0</v>
      </c>
      <c r="R976" s="157">
        <f t="shared" ref="R976" si="2106">$Q976-($Q976*LICITACAO_DESCONTO)</f>
        <v>0</v>
      </c>
      <c r="S976" s="156">
        <f t="shared" si="2062"/>
        <v>0</v>
      </c>
      <c r="T976" s="156">
        <f t="shared" si="2063"/>
        <v>0</v>
      </c>
      <c r="U976" s="156">
        <f t="shared" si="2064"/>
        <v>0</v>
      </c>
      <c r="V976" s="156">
        <f t="shared" si="2065"/>
        <v>0</v>
      </c>
      <c r="W976" s="156">
        <f t="shared" si="2066"/>
        <v>0</v>
      </c>
      <c r="X976" s="158">
        <f t="shared" ref="X976" si="2107">$S976/ORCAMENTO_VALOR_TOTAL_ND</f>
        <v>0</v>
      </c>
      <c r="Y976" s="158">
        <f t="shared" ref="Y976" si="2108">$T976/ORCAMENTO_VALOR_TOTAL_DE</f>
        <v>0</v>
      </c>
      <c r="Z976" s="158" cm="1">
        <f t="array" ref="Z976">_xlfn.SWITCH($N976,"BDI 1",$O$6,"BDI 2",$O$7,"BDI 3",$O$8)</f>
        <v>0.20699999999999999</v>
      </c>
      <c r="AA976" s="158" cm="1">
        <f t="array" ref="AA976">_xlfn.SWITCH($N976,"BDI 1",$P$6,"BDI 2",$P$7,"BDI 3",$P$8)</f>
        <v>0.26739999999999997</v>
      </c>
      <c r="AB976" s="158">
        <f t="shared" ca="1" si="2069"/>
        <v>0</v>
      </c>
      <c r="AC976" s="158">
        <f t="shared" ca="1" si="2070"/>
        <v>0</v>
      </c>
      <c r="AD976" s="164"/>
      <c r="AE976" s="148">
        <f t="shared" si="2056"/>
        <v>0</v>
      </c>
      <c r="AF976" s="149"/>
      <c r="AG976" s="150"/>
      <c r="AH976" s="159" t="e">
        <f t="shared" si="2071"/>
        <v>#DIV/0!</v>
      </c>
      <c r="AI976" s="160"/>
      <c r="AJ976" s="184">
        <v>0</v>
      </c>
      <c r="AK976" s="183" t="e">
        <f>+K976/AJ976</f>
        <v>#DIV/0!</v>
      </c>
      <c r="AM976" s="219"/>
      <c r="AN976" s="219"/>
      <c r="AO976" s="219"/>
      <c r="AP976" s="219"/>
      <c r="AQ976" s="219"/>
      <c r="AR976" s="219"/>
    </row>
    <row r="977" spans="1:44" s="49" customFormat="1" ht="40.15" hidden="1" customHeight="1">
      <c r="A977" s="152">
        <f t="shared" ca="1" si="2057"/>
        <v>0</v>
      </c>
      <c r="B977" s="153"/>
      <c r="C977" s="154"/>
      <c r="D977" s="154"/>
      <c r="E977" s="161" t="s">
        <v>348</v>
      </c>
      <c r="F977" s="154"/>
      <c r="G977" s="154"/>
      <c r="H977" s="152"/>
      <c r="I977" s="152"/>
      <c r="J977" s="154"/>
      <c r="K977" s="154"/>
      <c r="L977" s="154"/>
      <c r="M977" s="154"/>
      <c r="N977" s="154"/>
      <c r="O977" s="162"/>
      <c r="P977" s="162"/>
      <c r="Q977" s="162"/>
      <c r="R977" s="162"/>
      <c r="S977" s="162"/>
      <c r="T977" s="162"/>
      <c r="U977" s="162"/>
      <c r="V977" s="162"/>
      <c r="W977" s="162"/>
      <c r="X977" s="163"/>
      <c r="Y977" s="163"/>
      <c r="Z977" s="163"/>
      <c r="AA977" s="163"/>
      <c r="AB977" s="163"/>
      <c r="AC977" s="163"/>
      <c r="AD977" s="164"/>
      <c r="AE977" s="148">
        <f t="shared" si="2056"/>
        <v>0</v>
      </c>
      <c r="AF977" s="149"/>
      <c r="AG977" s="150"/>
      <c r="AH977" s="159"/>
      <c r="AI977" s="160"/>
      <c r="AJ977" s="105"/>
      <c r="AK977" s="105"/>
      <c r="AM977" s="105"/>
      <c r="AN977" s="105"/>
      <c r="AO977" s="105"/>
      <c r="AP977" s="105"/>
      <c r="AQ977" s="105"/>
      <c r="AR977" s="105"/>
    </row>
    <row r="978" spans="1:44" s="220" customFormat="1" ht="49.9" hidden="1" customHeight="1">
      <c r="A978" s="152">
        <f t="shared" ca="1" si="2057"/>
        <v>0</v>
      </c>
      <c r="B978" s="153" t="s">
        <v>345</v>
      </c>
      <c r="C978" s="154" t="str">
        <f t="shared" ref="C978:C989" si="2109">TEXT(B978,"0")</f>
        <v>DR/0024</v>
      </c>
      <c r="D978" s="154" t="s">
        <v>3549</v>
      </c>
      <c r="E978" s="155" t="s">
        <v>3935</v>
      </c>
      <c r="F978" s="154"/>
      <c r="G978" s="154" t="s">
        <v>464</v>
      </c>
      <c r="H978" s="152">
        <v>9.73</v>
      </c>
      <c r="I978" s="152">
        <v>9.77</v>
      </c>
      <c r="J978" s="156"/>
      <c r="K978" s="156"/>
      <c r="L978" s="156">
        <f t="shared" ref="L978:L989" si="2110">IF($K978&gt;$J978,$K978-$J978,0)</f>
        <v>0</v>
      </c>
      <c r="M978" s="156">
        <f t="shared" ref="M978:M989" si="2111">IF($K978&lt;$J978,$J978-$K978,0)</f>
        <v>0</v>
      </c>
      <c r="N978" s="156" t="s">
        <v>83</v>
      </c>
      <c r="O978" s="157" cm="1">
        <f t="array" ref="O978">TRUNC($H978*(1+_xlfn.SWITCH($N978,"BDI 1",$O$6,"BDI 2",$O$7,"BDI 3",$O$8)),2)</f>
        <v>11.74</v>
      </c>
      <c r="P978" s="157" cm="1">
        <f t="array" ref="P978">TRUNC($I978*(1+_xlfn.SWITCH($N978,"BDI 1",$P$6,"BDI 2",$P$7,"BDI 3",$P$8)),2)</f>
        <v>12.38</v>
      </c>
      <c r="Q978" s="157">
        <v>0</v>
      </c>
      <c r="R978" s="157">
        <f t="shared" ref="R978" si="2112">$Q978-($Q978*LICITACAO_DESCONTO)</f>
        <v>0</v>
      </c>
      <c r="S978" s="156">
        <f t="shared" ref="S978:S989" si="2113">TRUNC($K978*$O978,2)</f>
        <v>0</v>
      </c>
      <c r="T978" s="156">
        <f t="shared" ref="T978:T989" si="2114">TRUNC($K978*$P978,2)</f>
        <v>0</v>
      </c>
      <c r="U978" s="156">
        <f t="shared" ref="U978:U989" si="2115">TRUNC($J978*$R978,2)</f>
        <v>0</v>
      </c>
      <c r="V978" s="156">
        <f t="shared" ref="V978:V989" si="2116">TRUNC($K978*$Q978,2)</f>
        <v>0</v>
      </c>
      <c r="W978" s="156">
        <f t="shared" ref="W978:W989" si="2117">TRUNC(V978-U978,2)</f>
        <v>0</v>
      </c>
      <c r="X978" s="158">
        <f t="shared" ref="X978" si="2118">$S978/ORCAMENTO_VALOR_TOTAL_ND</f>
        <v>0</v>
      </c>
      <c r="Y978" s="158">
        <f t="shared" ref="Y978" si="2119">$T978/ORCAMENTO_VALOR_TOTAL_DE</f>
        <v>0</v>
      </c>
      <c r="Z978" s="158" cm="1">
        <f t="array" ref="Z978">_xlfn.SWITCH($N978,"BDI 1",$O$6,"BDI 2",$O$7,"BDI 3",$O$8)</f>
        <v>0.20699999999999999</v>
      </c>
      <c r="AA978" s="158" cm="1">
        <f t="array" ref="AA978">_xlfn.SWITCH($N978,"BDI 1",$P$6,"BDI 2",$P$7,"BDI 3",$P$8)</f>
        <v>0.26739999999999997</v>
      </c>
      <c r="AB978" s="158">
        <f t="shared" ref="AB978:AB989" ca="1" si="2120">IFERROR($S978/_xlfn.XLOOKUP($AE978,$B$16:$B$38,$S$16:$S$38),0)</f>
        <v>0</v>
      </c>
      <c r="AC978" s="158">
        <f t="shared" ref="AC978:AC989" ca="1" si="2121">IFERROR($T978/_xlfn.XLOOKUP($AE978,$B$16:$B$38,$T$16:$T$38),0)</f>
        <v>0</v>
      </c>
      <c r="AD978" s="164"/>
      <c r="AE978" s="148">
        <f t="shared" si="2056"/>
        <v>0</v>
      </c>
      <c r="AF978" s="149"/>
      <c r="AG978" s="150"/>
      <c r="AH978" s="159" t="e">
        <f t="shared" ref="AH978:AH989" si="2122">+S978/$S$961</f>
        <v>#DIV/0!</v>
      </c>
      <c r="AI978" s="165" t="s">
        <v>243</v>
      </c>
      <c r="AJ978" s="219"/>
      <c r="AK978" s="219"/>
      <c r="AM978" s="219"/>
      <c r="AN978" s="219"/>
      <c r="AO978" s="219"/>
      <c r="AP978" s="219"/>
      <c r="AQ978" s="219"/>
      <c r="AR978" s="219"/>
    </row>
    <row r="979" spans="1:44" s="220" customFormat="1" ht="49.9" hidden="1" customHeight="1">
      <c r="A979" s="152">
        <f t="shared" ca="1" si="2057"/>
        <v>0</v>
      </c>
      <c r="B979" s="153">
        <v>101230</v>
      </c>
      <c r="C979" s="154" t="str">
        <f t="shared" si="2109"/>
        <v>101230</v>
      </c>
      <c r="D979" s="154" t="s">
        <v>1416</v>
      </c>
      <c r="E979" s="155" t="s">
        <v>3677</v>
      </c>
      <c r="F979" s="154"/>
      <c r="G979" s="154" t="s">
        <v>464</v>
      </c>
      <c r="H979" s="152">
        <v>10.7</v>
      </c>
      <c r="I979" s="152">
        <v>10.73</v>
      </c>
      <c r="J979" s="156"/>
      <c r="K979" s="156"/>
      <c r="L979" s="156">
        <f t="shared" si="2110"/>
        <v>0</v>
      </c>
      <c r="M979" s="156">
        <f t="shared" si="2111"/>
        <v>0</v>
      </c>
      <c r="N979" s="156" t="s">
        <v>83</v>
      </c>
      <c r="O979" s="157" cm="1">
        <f t="array" ref="O979">TRUNC($H979*(1+_xlfn.SWITCH($N979,"BDI 1",$O$6,"BDI 2",$O$7,"BDI 3",$O$8)),2)</f>
        <v>12.91</v>
      </c>
      <c r="P979" s="157" cm="1">
        <f t="array" ref="P979">TRUNC($I979*(1+_xlfn.SWITCH($N979,"BDI 1",$P$6,"BDI 2",$P$7,"BDI 3",$P$8)),2)</f>
        <v>13.59</v>
      </c>
      <c r="Q979" s="157">
        <v>0</v>
      </c>
      <c r="R979" s="157">
        <f t="shared" ref="R979" si="2123">$Q979-($Q979*LICITACAO_DESCONTO)</f>
        <v>0</v>
      </c>
      <c r="S979" s="156">
        <f t="shared" si="2113"/>
        <v>0</v>
      </c>
      <c r="T979" s="156">
        <f t="shared" si="2114"/>
        <v>0</v>
      </c>
      <c r="U979" s="156">
        <f t="shared" si="2115"/>
        <v>0</v>
      </c>
      <c r="V979" s="156">
        <f t="shared" si="2116"/>
        <v>0</v>
      </c>
      <c r="W979" s="156">
        <f t="shared" si="2117"/>
        <v>0</v>
      </c>
      <c r="X979" s="158">
        <f t="shared" ref="X979" si="2124">$S979/ORCAMENTO_VALOR_TOTAL_ND</f>
        <v>0</v>
      </c>
      <c r="Y979" s="158">
        <f t="shared" ref="Y979" si="2125">$T979/ORCAMENTO_VALOR_TOTAL_DE</f>
        <v>0</v>
      </c>
      <c r="Z979" s="158" cm="1">
        <f t="array" ref="Z979">_xlfn.SWITCH($N979,"BDI 1",$O$6,"BDI 2",$O$7,"BDI 3",$O$8)</f>
        <v>0.20699999999999999</v>
      </c>
      <c r="AA979" s="158" cm="1">
        <f t="array" ref="AA979">_xlfn.SWITCH($N979,"BDI 1",$P$6,"BDI 2",$P$7,"BDI 3",$P$8)</f>
        <v>0.26739999999999997</v>
      </c>
      <c r="AB979" s="158">
        <f t="shared" ca="1" si="2120"/>
        <v>0</v>
      </c>
      <c r="AC979" s="158">
        <f t="shared" ca="1" si="2121"/>
        <v>0</v>
      </c>
      <c r="AD979" s="164"/>
      <c r="AE979" s="148">
        <f t="shared" si="2056"/>
        <v>0</v>
      </c>
      <c r="AF979" s="149"/>
      <c r="AG979" s="150"/>
      <c r="AH979" s="159" t="e">
        <f t="shared" si="2122"/>
        <v>#DIV/0!</v>
      </c>
      <c r="AI979" s="160"/>
      <c r="AJ979" s="219"/>
      <c r="AK979" s="219"/>
      <c r="AM979" s="219"/>
      <c r="AN979" s="219"/>
      <c r="AO979" s="219"/>
      <c r="AP979" s="219"/>
      <c r="AQ979" s="219"/>
      <c r="AR979" s="219"/>
    </row>
    <row r="980" spans="1:44" s="220" customFormat="1" ht="40.15" hidden="1" customHeight="1">
      <c r="A980" s="152">
        <f t="shared" ca="1" si="2057"/>
        <v>0</v>
      </c>
      <c r="B980" s="153">
        <v>95876</v>
      </c>
      <c r="C980" s="154" t="str">
        <f t="shared" si="2109"/>
        <v>95876</v>
      </c>
      <c r="D980" s="154" t="s">
        <v>1416</v>
      </c>
      <c r="E980" s="155" t="s">
        <v>3537</v>
      </c>
      <c r="F980" s="154">
        <f>Dados_DMT!B17</f>
        <v>3.5</v>
      </c>
      <c r="G980" s="154" t="s">
        <v>3538</v>
      </c>
      <c r="H980" s="152">
        <v>2.09</v>
      </c>
      <c r="I980" s="152">
        <v>2.1</v>
      </c>
      <c r="J980" s="156"/>
      <c r="K980" s="156">
        <f>ROUND(((K978+K979)*1.25-K988*1.25)*F980,2)</f>
        <v>0</v>
      </c>
      <c r="L980" s="156">
        <f t="shared" si="2110"/>
        <v>0</v>
      </c>
      <c r="M980" s="156">
        <f t="shared" si="2111"/>
        <v>0</v>
      </c>
      <c r="N980" s="156" t="s">
        <v>83</v>
      </c>
      <c r="O980" s="157" cm="1">
        <f t="array" ref="O980">TRUNC($H980*(1+_xlfn.SWITCH($N980,"BDI 1",$O$6,"BDI 2",$O$7,"BDI 3",$O$8)),2)</f>
        <v>2.52</v>
      </c>
      <c r="P980" s="157" cm="1">
        <f t="array" ref="P980">TRUNC($I980*(1+_xlfn.SWITCH($N980,"BDI 1",$P$6,"BDI 2",$P$7,"BDI 3",$P$8)),2)</f>
        <v>2.66</v>
      </c>
      <c r="Q980" s="157">
        <v>0</v>
      </c>
      <c r="R980" s="157">
        <f t="shared" ref="R980" si="2126">$Q980-($Q980*LICITACAO_DESCONTO)</f>
        <v>0</v>
      </c>
      <c r="S980" s="156">
        <f t="shared" si="2113"/>
        <v>0</v>
      </c>
      <c r="T980" s="156">
        <f t="shared" si="2114"/>
        <v>0</v>
      </c>
      <c r="U980" s="156">
        <f t="shared" si="2115"/>
        <v>0</v>
      </c>
      <c r="V980" s="156">
        <f t="shared" si="2116"/>
        <v>0</v>
      </c>
      <c r="W980" s="156">
        <f t="shared" si="2117"/>
        <v>0</v>
      </c>
      <c r="X980" s="158">
        <f t="shared" ref="X980" si="2127">$S980/ORCAMENTO_VALOR_TOTAL_ND</f>
        <v>0</v>
      </c>
      <c r="Y980" s="158">
        <f t="shared" ref="Y980" si="2128">$T980/ORCAMENTO_VALOR_TOTAL_DE</f>
        <v>0</v>
      </c>
      <c r="Z980" s="158" cm="1">
        <f t="array" ref="Z980">_xlfn.SWITCH($N980,"BDI 1",$O$6,"BDI 2",$O$7,"BDI 3",$O$8)</f>
        <v>0.20699999999999999</v>
      </c>
      <c r="AA980" s="158" cm="1">
        <f t="array" ref="AA980">_xlfn.SWITCH($N980,"BDI 1",$P$6,"BDI 2",$P$7,"BDI 3",$P$8)</f>
        <v>0.26739999999999997</v>
      </c>
      <c r="AB980" s="158">
        <f t="shared" ca="1" si="2120"/>
        <v>0</v>
      </c>
      <c r="AC980" s="158">
        <f t="shared" ca="1" si="2121"/>
        <v>0</v>
      </c>
      <c r="AD980" s="164"/>
      <c r="AE980" s="148">
        <f t="shared" si="2056"/>
        <v>0</v>
      </c>
      <c r="AF980" s="149"/>
      <c r="AG980" s="150"/>
      <c r="AH980" s="159" t="e">
        <f t="shared" si="2122"/>
        <v>#DIV/0!</v>
      </c>
      <c r="AI980" s="160"/>
      <c r="AJ980" s="219"/>
      <c r="AK980" s="219"/>
      <c r="AM980" s="219"/>
      <c r="AN980" s="219"/>
      <c r="AO980" s="219"/>
      <c r="AP980" s="219"/>
      <c r="AQ980" s="219"/>
      <c r="AR980" s="219"/>
    </row>
    <row r="981" spans="1:44" s="220" customFormat="1" ht="40.15" hidden="1" customHeight="1">
      <c r="A981" s="152">
        <f t="shared" ca="1" si="2057"/>
        <v>0</v>
      </c>
      <c r="B981" s="153" t="s">
        <v>346</v>
      </c>
      <c r="C981" s="154" t="str">
        <f t="shared" si="2109"/>
        <v>SEL-307</v>
      </c>
      <c r="D981" s="154">
        <v>0</v>
      </c>
      <c r="E981" s="155" t="s">
        <v>3766</v>
      </c>
      <c r="F981" s="154"/>
      <c r="G981" s="154">
        <v>0</v>
      </c>
      <c r="H981" s="152">
        <v>0</v>
      </c>
      <c r="I981" s="152">
        <v>0</v>
      </c>
      <c r="J981" s="156"/>
      <c r="K981" s="156"/>
      <c r="L981" s="156">
        <f t="shared" si="2110"/>
        <v>0</v>
      </c>
      <c r="M981" s="156">
        <f t="shared" si="2111"/>
        <v>0</v>
      </c>
      <c r="N981" s="156" t="s">
        <v>83</v>
      </c>
      <c r="O981" s="157" cm="1">
        <f t="array" ref="O981">TRUNC($H981*(1+_xlfn.SWITCH($N981,"BDI 1",$O$6,"BDI 2",$O$7,"BDI 3",$O$8)),2)</f>
        <v>0</v>
      </c>
      <c r="P981" s="157" cm="1">
        <f t="array" ref="P981">TRUNC($I981*(1+_xlfn.SWITCH($N981,"BDI 1",$P$6,"BDI 2",$P$7,"BDI 3",$P$8)),2)</f>
        <v>0</v>
      </c>
      <c r="Q981" s="157">
        <v>0</v>
      </c>
      <c r="R981" s="157">
        <f t="shared" ref="R981" si="2129">$Q981-($Q981*LICITACAO_DESCONTO)</f>
        <v>0</v>
      </c>
      <c r="S981" s="156">
        <f t="shared" si="2113"/>
        <v>0</v>
      </c>
      <c r="T981" s="156">
        <f t="shared" si="2114"/>
        <v>0</v>
      </c>
      <c r="U981" s="156">
        <f t="shared" si="2115"/>
        <v>0</v>
      </c>
      <c r="V981" s="156">
        <f t="shared" si="2116"/>
        <v>0</v>
      </c>
      <c r="W981" s="156">
        <f t="shared" si="2117"/>
        <v>0</v>
      </c>
      <c r="X981" s="158">
        <f t="shared" ref="X981" si="2130">$S981/ORCAMENTO_VALOR_TOTAL_ND</f>
        <v>0</v>
      </c>
      <c r="Y981" s="158">
        <f t="shared" ref="Y981" si="2131">$T981/ORCAMENTO_VALOR_TOTAL_DE</f>
        <v>0</v>
      </c>
      <c r="Z981" s="158" cm="1">
        <f t="array" ref="Z981">_xlfn.SWITCH($N981,"BDI 1",$O$6,"BDI 2",$O$7,"BDI 3",$O$8)</f>
        <v>0.20699999999999999</v>
      </c>
      <c r="AA981" s="158" cm="1">
        <f t="array" ref="AA981">_xlfn.SWITCH($N981,"BDI 1",$P$6,"BDI 2",$P$7,"BDI 3",$P$8)</f>
        <v>0.26739999999999997</v>
      </c>
      <c r="AB981" s="158">
        <f t="shared" ca="1" si="2120"/>
        <v>0</v>
      </c>
      <c r="AC981" s="158">
        <f t="shared" ca="1" si="2121"/>
        <v>0</v>
      </c>
      <c r="AD981" s="164"/>
      <c r="AE981" s="148">
        <f t="shared" si="2056"/>
        <v>0</v>
      </c>
      <c r="AF981" s="149"/>
      <c r="AG981" s="150"/>
      <c r="AH981" s="159" t="e">
        <f t="shared" si="2122"/>
        <v>#DIV/0!</v>
      </c>
      <c r="AI981" s="160"/>
      <c r="AJ981" s="184" t="e">
        <v>#N/A</v>
      </c>
      <c r="AK981" s="183" t="e">
        <f>+K981/AJ981</f>
        <v>#N/A</v>
      </c>
      <c r="AM981" s="219"/>
      <c r="AN981" s="219"/>
      <c r="AO981" s="219"/>
      <c r="AP981" s="219"/>
      <c r="AQ981" s="219" t="e">
        <f>K981+K996+#REF!+K1016+K1023+#REF!+K1050+K1059+#REF!+K1094+K1106</f>
        <v>#REF!</v>
      </c>
      <c r="AR981" s="219"/>
    </row>
    <row r="982" spans="1:44" s="220" customFormat="1" ht="40.15" hidden="1" customHeight="1">
      <c r="A982" s="152">
        <f t="shared" ca="1" si="2057"/>
        <v>0</v>
      </c>
      <c r="B982" s="153">
        <v>103673</v>
      </c>
      <c r="C982" s="154" t="str">
        <f t="shared" si="2109"/>
        <v>103673</v>
      </c>
      <c r="D982" s="154" t="s">
        <v>1416</v>
      </c>
      <c r="E982" s="155" t="s">
        <v>3795</v>
      </c>
      <c r="F982" s="154"/>
      <c r="G982" s="154" t="s">
        <v>464</v>
      </c>
      <c r="H982" s="152">
        <v>38.33</v>
      </c>
      <c r="I982" s="152">
        <v>34.799999999999997</v>
      </c>
      <c r="J982" s="156"/>
      <c r="K982" s="156">
        <f>K981</f>
        <v>0</v>
      </c>
      <c r="L982" s="156">
        <f t="shared" si="2110"/>
        <v>0</v>
      </c>
      <c r="M982" s="156">
        <f t="shared" si="2111"/>
        <v>0</v>
      </c>
      <c r="N982" s="156" t="s">
        <v>83</v>
      </c>
      <c r="O982" s="157" cm="1">
        <f t="array" ref="O982">TRUNC($H982*(1+_xlfn.SWITCH($N982,"BDI 1",$O$6,"BDI 2",$O$7,"BDI 3",$O$8)),2)</f>
        <v>46.26</v>
      </c>
      <c r="P982" s="157" cm="1">
        <f t="array" ref="P982">TRUNC($I982*(1+_xlfn.SWITCH($N982,"BDI 1",$P$6,"BDI 2",$P$7,"BDI 3",$P$8)),2)</f>
        <v>44.1</v>
      </c>
      <c r="Q982" s="157">
        <v>0</v>
      </c>
      <c r="R982" s="157">
        <f t="shared" ref="R982" si="2132">$Q982-($Q982*LICITACAO_DESCONTO)</f>
        <v>0</v>
      </c>
      <c r="S982" s="156">
        <f t="shared" si="2113"/>
        <v>0</v>
      </c>
      <c r="T982" s="156">
        <f t="shared" si="2114"/>
        <v>0</v>
      </c>
      <c r="U982" s="156">
        <f t="shared" si="2115"/>
        <v>0</v>
      </c>
      <c r="V982" s="156">
        <f t="shared" si="2116"/>
        <v>0</v>
      </c>
      <c r="W982" s="156">
        <f t="shared" si="2117"/>
        <v>0</v>
      </c>
      <c r="X982" s="158">
        <f t="shared" ref="X982" si="2133">$S982/ORCAMENTO_VALOR_TOTAL_ND</f>
        <v>0</v>
      </c>
      <c r="Y982" s="158">
        <f t="shared" ref="Y982" si="2134">$T982/ORCAMENTO_VALOR_TOTAL_DE</f>
        <v>0</v>
      </c>
      <c r="Z982" s="158" cm="1">
        <f t="array" ref="Z982">_xlfn.SWITCH($N982,"BDI 1",$O$6,"BDI 2",$O$7,"BDI 3",$O$8)</f>
        <v>0.20699999999999999</v>
      </c>
      <c r="AA982" s="158" cm="1">
        <f t="array" ref="AA982">_xlfn.SWITCH($N982,"BDI 1",$P$6,"BDI 2",$P$7,"BDI 3",$P$8)</f>
        <v>0.26739999999999997</v>
      </c>
      <c r="AB982" s="158">
        <f t="shared" ca="1" si="2120"/>
        <v>0</v>
      </c>
      <c r="AC982" s="158">
        <f t="shared" ca="1" si="2121"/>
        <v>0</v>
      </c>
      <c r="AD982" s="164"/>
      <c r="AE982" s="148">
        <f t="shared" si="2056"/>
        <v>0</v>
      </c>
      <c r="AF982" s="149"/>
      <c r="AG982" s="150"/>
      <c r="AH982" s="159" t="e">
        <f t="shared" si="2122"/>
        <v>#DIV/0!</v>
      </c>
      <c r="AI982" s="160"/>
      <c r="AJ982" s="184">
        <v>0</v>
      </c>
      <c r="AK982" s="183" t="e">
        <f>+K982/AJ982</f>
        <v>#DIV/0!</v>
      </c>
      <c r="AM982" s="219"/>
      <c r="AN982" s="219"/>
      <c r="AO982" s="219"/>
      <c r="AP982" s="219"/>
      <c r="AQ982" s="219">
        <f>K982+K999+K1009+K1017+K1024+K1038+K1051+K1060+K1069+K1095+K1107</f>
        <v>0</v>
      </c>
      <c r="AR982" s="219"/>
    </row>
    <row r="983" spans="1:44" s="220" customFormat="1" ht="40.15" hidden="1" customHeight="1">
      <c r="A983" s="152">
        <f t="shared" ca="1" si="2057"/>
        <v>0</v>
      </c>
      <c r="B983" s="153">
        <v>94969</v>
      </c>
      <c r="C983" s="154" t="str">
        <f t="shared" si="2109"/>
        <v>94969</v>
      </c>
      <c r="D983" s="154" t="s">
        <v>1416</v>
      </c>
      <c r="E983" s="155" t="s">
        <v>3936</v>
      </c>
      <c r="F983" s="154"/>
      <c r="G983" s="154" t="s">
        <v>464</v>
      </c>
      <c r="H983" s="152">
        <v>422.25</v>
      </c>
      <c r="I983" s="152">
        <v>421.36</v>
      </c>
      <c r="J983" s="156"/>
      <c r="K983" s="156"/>
      <c r="L983" s="156">
        <f t="shared" si="2110"/>
        <v>0</v>
      </c>
      <c r="M983" s="156">
        <f t="shared" si="2111"/>
        <v>0</v>
      </c>
      <c r="N983" s="156" t="s">
        <v>83</v>
      </c>
      <c r="O983" s="157" cm="1">
        <f t="array" ref="O983">TRUNC($H983*(1+_xlfn.SWITCH($N983,"BDI 1",$O$6,"BDI 2",$O$7,"BDI 3",$O$8)),2)</f>
        <v>509.65</v>
      </c>
      <c r="P983" s="157" cm="1">
        <f t="array" ref="P983">TRUNC($I983*(1+_xlfn.SWITCH($N983,"BDI 1",$P$6,"BDI 2",$P$7,"BDI 3",$P$8)),2)</f>
        <v>534.03</v>
      </c>
      <c r="Q983" s="157">
        <v>0</v>
      </c>
      <c r="R983" s="157">
        <f t="shared" ref="R983" si="2135">$Q983-($Q983*LICITACAO_DESCONTO)</f>
        <v>0</v>
      </c>
      <c r="S983" s="156">
        <f t="shared" si="2113"/>
        <v>0</v>
      </c>
      <c r="T983" s="156">
        <f t="shared" si="2114"/>
        <v>0</v>
      </c>
      <c r="U983" s="156">
        <f t="shared" si="2115"/>
        <v>0</v>
      </c>
      <c r="V983" s="156">
        <f t="shared" si="2116"/>
        <v>0</v>
      </c>
      <c r="W983" s="156">
        <f t="shared" si="2117"/>
        <v>0</v>
      </c>
      <c r="X983" s="158">
        <f t="shared" ref="X983" si="2136">$S983/ORCAMENTO_VALOR_TOTAL_ND</f>
        <v>0</v>
      </c>
      <c r="Y983" s="158">
        <f t="shared" ref="Y983" si="2137">$T983/ORCAMENTO_VALOR_TOTAL_DE</f>
        <v>0</v>
      </c>
      <c r="Z983" s="158" cm="1">
        <f t="array" ref="Z983">_xlfn.SWITCH($N983,"BDI 1",$O$6,"BDI 2",$O$7,"BDI 3",$O$8)</f>
        <v>0.20699999999999999</v>
      </c>
      <c r="AA983" s="158" cm="1">
        <f t="array" ref="AA983">_xlfn.SWITCH($N983,"BDI 1",$P$6,"BDI 2",$P$7,"BDI 3",$P$8)</f>
        <v>0.26739999999999997</v>
      </c>
      <c r="AB983" s="158">
        <f t="shared" ca="1" si="2120"/>
        <v>0</v>
      </c>
      <c r="AC983" s="158">
        <f t="shared" ca="1" si="2121"/>
        <v>0</v>
      </c>
      <c r="AD983" s="164"/>
      <c r="AE983" s="148">
        <f t="shared" si="2056"/>
        <v>0</v>
      </c>
      <c r="AF983" s="149"/>
      <c r="AG983" s="150"/>
      <c r="AH983" s="159" t="e">
        <f t="shared" si="2122"/>
        <v>#DIV/0!</v>
      </c>
      <c r="AI983" s="165" t="s">
        <v>101</v>
      </c>
      <c r="AJ983" s="219"/>
      <c r="AK983" s="219"/>
      <c r="AM983" s="219"/>
      <c r="AN983" s="219"/>
      <c r="AO983" s="219"/>
      <c r="AP983" s="219"/>
      <c r="AQ983" s="219"/>
      <c r="AR983" s="219"/>
    </row>
    <row r="984" spans="1:44" s="220" customFormat="1" ht="40.15" hidden="1" customHeight="1">
      <c r="A984" s="152">
        <f t="shared" ca="1" si="2057"/>
        <v>0</v>
      </c>
      <c r="B984" s="153">
        <v>103670</v>
      </c>
      <c r="C984" s="154" t="str">
        <f t="shared" si="2109"/>
        <v>103670</v>
      </c>
      <c r="D984" s="154" t="s">
        <v>1416</v>
      </c>
      <c r="E984" s="155" t="s">
        <v>3792</v>
      </c>
      <c r="F984" s="154"/>
      <c r="G984" s="154" t="s">
        <v>464</v>
      </c>
      <c r="H984" s="152">
        <v>272.37</v>
      </c>
      <c r="I984" s="152">
        <v>247.05</v>
      </c>
      <c r="J984" s="156"/>
      <c r="K984" s="156">
        <f>K983</f>
        <v>0</v>
      </c>
      <c r="L984" s="156">
        <f t="shared" si="2110"/>
        <v>0</v>
      </c>
      <c r="M984" s="156">
        <f t="shared" si="2111"/>
        <v>0</v>
      </c>
      <c r="N984" s="156" t="s">
        <v>83</v>
      </c>
      <c r="O984" s="157" cm="1">
        <f t="array" ref="O984">TRUNC($H984*(1+_xlfn.SWITCH($N984,"BDI 1",$O$6,"BDI 2",$O$7,"BDI 3",$O$8)),2)</f>
        <v>328.75</v>
      </c>
      <c r="P984" s="157" cm="1">
        <f t="array" ref="P984">TRUNC($I984*(1+_xlfn.SWITCH($N984,"BDI 1",$P$6,"BDI 2",$P$7,"BDI 3",$P$8)),2)</f>
        <v>313.11</v>
      </c>
      <c r="Q984" s="157">
        <v>0</v>
      </c>
      <c r="R984" s="157">
        <f t="shared" ref="R984" si="2138">$Q984-($Q984*LICITACAO_DESCONTO)</f>
        <v>0</v>
      </c>
      <c r="S984" s="156">
        <f t="shared" si="2113"/>
        <v>0</v>
      </c>
      <c r="T984" s="156">
        <f t="shared" si="2114"/>
        <v>0</v>
      </c>
      <c r="U984" s="156">
        <f t="shared" si="2115"/>
        <v>0</v>
      </c>
      <c r="V984" s="156">
        <f t="shared" si="2116"/>
        <v>0</v>
      </c>
      <c r="W984" s="156">
        <f t="shared" si="2117"/>
        <v>0</v>
      </c>
      <c r="X984" s="158">
        <f t="shared" ref="X984" si="2139">$S984/ORCAMENTO_VALOR_TOTAL_ND</f>
        <v>0</v>
      </c>
      <c r="Y984" s="158">
        <f t="shared" ref="Y984" si="2140">$T984/ORCAMENTO_VALOR_TOTAL_DE</f>
        <v>0</v>
      </c>
      <c r="Z984" s="158" cm="1">
        <f t="array" ref="Z984">_xlfn.SWITCH($N984,"BDI 1",$O$6,"BDI 2",$O$7,"BDI 3",$O$8)</f>
        <v>0.20699999999999999</v>
      </c>
      <c r="AA984" s="158" cm="1">
        <f t="array" ref="AA984">_xlfn.SWITCH($N984,"BDI 1",$P$6,"BDI 2",$P$7,"BDI 3",$P$8)</f>
        <v>0.26739999999999997</v>
      </c>
      <c r="AB984" s="158">
        <f t="shared" ca="1" si="2120"/>
        <v>0</v>
      </c>
      <c r="AC984" s="158">
        <f t="shared" ca="1" si="2121"/>
        <v>0</v>
      </c>
      <c r="AD984" s="164"/>
      <c r="AE984" s="148">
        <f t="shared" si="2056"/>
        <v>0</v>
      </c>
      <c r="AF984" s="149"/>
      <c r="AG984" s="150"/>
      <c r="AH984" s="159" t="e">
        <f t="shared" si="2122"/>
        <v>#DIV/0!</v>
      </c>
      <c r="AI984" s="165" t="s">
        <v>243</v>
      </c>
      <c r="AJ984" s="219"/>
      <c r="AK984" s="219"/>
      <c r="AM984" s="219"/>
      <c r="AN984" s="219"/>
      <c r="AO984" s="219"/>
      <c r="AP984" s="219"/>
      <c r="AQ984" s="219"/>
      <c r="AR984" s="219"/>
    </row>
    <row r="985" spans="1:44" s="220" customFormat="1" ht="40.15" hidden="1" customHeight="1">
      <c r="A985" s="152">
        <f t="shared" ca="1" si="2057"/>
        <v>0</v>
      </c>
      <c r="B985" s="153">
        <v>96541</v>
      </c>
      <c r="C985" s="154" t="str">
        <f t="shared" si="2109"/>
        <v>96541</v>
      </c>
      <c r="D985" s="154" t="s">
        <v>1416</v>
      </c>
      <c r="E985" s="155" t="s">
        <v>3937</v>
      </c>
      <c r="F985" s="154"/>
      <c r="G985" s="154" t="s">
        <v>1418</v>
      </c>
      <c r="H985" s="152">
        <v>165.49</v>
      </c>
      <c r="I985" s="152">
        <v>154.08000000000001</v>
      </c>
      <c r="J985" s="156"/>
      <c r="K985" s="156"/>
      <c r="L985" s="156">
        <f t="shared" si="2110"/>
        <v>0</v>
      </c>
      <c r="M985" s="156">
        <f t="shared" si="2111"/>
        <v>0</v>
      </c>
      <c r="N985" s="156" t="s">
        <v>83</v>
      </c>
      <c r="O985" s="157" cm="1">
        <f t="array" ref="O985">TRUNC($H985*(1+_xlfn.SWITCH($N985,"BDI 1",$O$6,"BDI 2",$O$7,"BDI 3",$O$8)),2)</f>
        <v>199.74</v>
      </c>
      <c r="P985" s="157" cm="1">
        <f t="array" ref="P985">TRUNC($I985*(1+_xlfn.SWITCH($N985,"BDI 1",$P$6,"BDI 2",$P$7,"BDI 3",$P$8)),2)</f>
        <v>195.28</v>
      </c>
      <c r="Q985" s="157">
        <v>0</v>
      </c>
      <c r="R985" s="157">
        <f t="shared" ref="R985" si="2141">$Q985-($Q985*LICITACAO_DESCONTO)</f>
        <v>0</v>
      </c>
      <c r="S985" s="156">
        <f t="shared" si="2113"/>
        <v>0</v>
      </c>
      <c r="T985" s="156">
        <f t="shared" si="2114"/>
        <v>0</v>
      </c>
      <c r="U985" s="156">
        <f t="shared" si="2115"/>
        <v>0</v>
      </c>
      <c r="V985" s="156">
        <f t="shared" si="2116"/>
        <v>0</v>
      </c>
      <c r="W985" s="156">
        <f t="shared" si="2117"/>
        <v>0</v>
      </c>
      <c r="X985" s="158">
        <f t="shared" ref="X985" si="2142">$S985/ORCAMENTO_VALOR_TOTAL_ND</f>
        <v>0</v>
      </c>
      <c r="Y985" s="158">
        <f t="shared" ref="Y985" si="2143">$T985/ORCAMENTO_VALOR_TOTAL_DE</f>
        <v>0</v>
      </c>
      <c r="Z985" s="158" cm="1">
        <f t="array" ref="Z985">_xlfn.SWITCH($N985,"BDI 1",$O$6,"BDI 2",$O$7,"BDI 3",$O$8)</f>
        <v>0.20699999999999999</v>
      </c>
      <c r="AA985" s="158" cm="1">
        <f t="array" ref="AA985">_xlfn.SWITCH($N985,"BDI 1",$P$6,"BDI 2",$P$7,"BDI 3",$P$8)</f>
        <v>0.26739999999999997</v>
      </c>
      <c r="AB985" s="158">
        <f t="shared" ca="1" si="2120"/>
        <v>0</v>
      </c>
      <c r="AC985" s="158">
        <f t="shared" ca="1" si="2121"/>
        <v>0</v>
      </c>
      <c r="AD985" s="164"/>
      <c r="AE985" s="148">
        <f t="shared" si="2056"/>
        <v>0</v>
      </c>
      <c r="AF985" s="149"/>
      <c r="AG985" s="150"/>
      <c r="AH985" s="159" t="e">
        <f t="shared" si="2122"/>
        <v>#DIV/0!</v>
      </c>
      <c r="AI985" s="160"/>
      <c r="AJ985" s="219"/>
      <c r="AK985" s="219"/>
      <c r="AM985" s="219"/>
      <c r="AN985" s="219"/>
      <c r="AO985" s="219"/>
      <c r="AP985" s="219"/>
      <c r="AQ985" s="219"/>
      <c r="AR985" s="219"/>
    </row>
    <row r="986" spans="1:44" s="220" customFormat="1" ht="40.15" hidden="1" customHeight="1">
      <c r="A986" s="152">
        <f t="shared" ca="1" si="2057"/>
        <v>0</v>
      </c>
      <c r="B986" s="153">
        <v>104920</v>
      </c>
      <c r="C986" s="154" t="str">
        <f t="shared" si="2109"/>
        <v>104920</v>
      </c>
      <c r="D986" s="154" t="s">
        <v>1416</v>
      </c>
      <c r="E986" s="155" t="s">
        <v>3939</v>
      </c>
      <c r="F986" s="154"/>
      <c r="G986" s="154" t="s">
        <v>3802</v>
      </c>
      <c r="H986" s="152">
        <v>11.15</v>
      </c>
      <c r="I986" s="152">
        <v>10.85</v>
      </c>
      <c r="J986" s="156"/>
      <c r="K986" s="156"/>
      <c r="L986" s="156">
        <f t="shared" si="2110"/>
        <v>0</v>
      </c>
      <c r="M986" s="156">
        <f t="shared" si="2111"/>
        <v>0</v>
      </c>
      <c r="N986" s="156" t="s">
        <v>83</v>
      </c>
      <c r="O986" s="157" cm="1">
        <f t="array" ref="O986">TRUNC($H986*(1+_xlfn.SWITCH($N986,"BDI 1",$O$6,"BDI 2",$O$7,"BDI 3",$O$8)),2)</f>
        <v>13.45</v>
      </c>
      <c r="P986" s="157" cm="1">
        <f t="array" ref="P986">TRUNC($I986*(1+_xlfn.SWITCH($N986,"BDI 1",$P$6,"BDI 2",$P$7,"BDI 3",$P$8)),2)</f>
        <v>13.75</v>
      </c>
      <c r="Q986" s="157">
        <v>0</v>
      </c>
      <c r="R986" s="157">
        <f t="shared" ref="R986" si="2144">$Q986-($Q986*LICITACAO_DESCONTO)</f>
        <v>0</v>
      </c>
      <c r="S986" s="156">
        <f t="shared" si="2113"/>
        <v>0</v>
      </c>
      <c r="T986" s="156">
        <f t="shared" si="2114"/>
        <v>0</v>
      </c>
      <c r="U986" s="156">
        <f t="shared" si="2115"/>
        <v>0</v>
      </c>
      <c r="V986" s="156">
        <f t="shared" si="2116"/>
        <v>0</v>
      </c>
      <c r="W986" s="156">
        <f t="shared" si="2117"/>
        <v>0</v>
      </c>
      <c r="X986" s="158">
        <f t="shared" ref="X986" si="2145">$S986/ORCAMENTO_VALOR_TOTAL_ND</f>
        <v>0</v>
      </c>
      <c r="Y986" s="158">
        <f t="shared" ref="Y986" si="2146">$T986/ORCAMENTO_VALOR_TOTAL_DE</f>
        <v>0</v>
      </c>
      <c r="Z986" s="158" cm="1">
        <f t="array" ref="Z986">_xlfn.SWITCH($N986,"BDI 1",$O$6,"BDI 2",$O$7,"BDI 3",$O$8)</f>
        <v>0.20699999999999999</v>
      </c>
      <c r="AA986" s="158" cm="1">
        <f t="array" ref="AA986">_xlfn.SWITCH($N986,"BDI 1",$P$6,"BDI 2",$P$7,"BDI 3",$P$8)</f>
        <v>0.26739999999999997</v>
      </c>
      <c r="AB986" s="158">
        <f t="shared" ca="1" si="2120"/>
        <v>0</v>
      </c>
      <c r="AC986" s="158">
        <f t="shared" ca="1" si="2121"/>
        <v>0</v>
      </c>
      <c r="AD986" s="164"/>
      <c r="AE986" s="148">
        <f t="shared" si="2056"/>
        <v>0</v>
      </c>
      <c r="AF986" s="149"/>
      <c r="AG986" s="150"/>
      <c r="AH986" s="159" t="e">
        <f t="shared" si="2122"/>
        <v>#DIV/0!</v>
      </c>
      <c r="AI986" s="160"/>
      <c r="AJ986" s="219"/>
      <c r="AK986" s="219"/>
      <c r="AM986" s="219"/>
      <c r="AN986" s="219"/>
      <c r="AO986" s="219"/>
      <c r="AP986" s="219"/>
      <c r="AQ986" s="219"/>
      <c r="AR986" s="219"/>
    </row>
    <row r="987" spans="1:44" s="220" customFormat="1" ht="49.9" hidden="1" customHeight="1">
      <c r="A987" s="152">
        <f t="shared" ca="1" si="2057"/>
        <v>0</v>
      </c>
      <c r="B987" s="153">
        <v>93373</v>
      </c>
      <c r="C987" s="154" t="str">
        <f t="shared" si="2109"/>
        <v>93373</v>
      </c>
      <c r="D987" s="154" t="s">
        <v>1416</v>
      </c>
      <c r="E987" s="155" t="s">
        <v>3675</v>
      </c>
      <c r="F987" s="154"/>
      <c r="G987" s="154" t="s">
        <v>464</v>
      </c>
      <c r="H987" s="152">
        <v>12.97</v>
      </c>
      <c r="I987" s="152">
        <v>12.47</v>
      </c>
      <c r="J987" s="156"/>
      <c r="K987" s="156"/>
      <c r="L987" s="156">
        <f t="shared" si="2110"/>
        <v>0</v>
      </c>
      <c r="M987" s="156">
        <f t="shared" si="2111"/>
        <v>0</v>
      </c>
      <c r="N987" s="156" t="s">
        <v>83</v>
      </c>
      <c r="O987" s="157" cm="1">
        <f t="array" ref="O987">TRUNC($H987*(1+_xlfn.SWITCH($N987,"BDI 1",$O$6,"BDI 2",$O$7,"BDI 3",$O$8)),2)</f>
        <v>15.65</v>
      </c>
      <c r="P987" s="157" cm="1">
        <f t="array" ref="P987">TRUNC($I987*(1+_xlfn.SWITCH($N987,"BDI 1",$P$6,"BDI 2",$P$7,"BDI 3",$P$8)),2)</f>
        <v>15.8</v>
      </c>
      <c r="Q987" s="157">
        <v>0</v>
      </c>
      <c r="R987" s="157">
        <f t="shared" ref="R987" si="2147">$Q987-($Q987*LICITACAO_DESCONTO)</f>
        <v>0</v>
      </c>
      <c r="S987" s="156">
        <f t="shared" si="2113"/>
        <v>0</v>
      </c>
      <c r="T987" s="156">
        <f t="shared" si="2114"/>
        <v>0</v>
      </c>
      <c r="U987" s="156">
        <f t="shared" si="2115"/>
        <v>0</v>
      </c>
      <c r="V987" s="156">
        <f t="shared" si="2116"/>
        <v>0</v>
      </c>
      <c r="W987" s="156">
        <f t="shared" si="2117"/>
        <v>0</v>
      </c>
      <c r="X987" s="158">
        <f t="shared" ref="X987" si="2148">$S987/ORCAMENTO_VALOR_TOTAL_ND</f>
        <v>0</v>
      </c>
      <c r="Y987" s="158">
        <f t="shared" ref="Y987" si="2149">$T987/ORCAMENTO_VALOR_TOTAL_DE</f>
        <v>0</v>
      </c>
      <c r="Z987" s="158" cm="1">
        <f t="array" ref="Z987">_xlfn.SWITCH($N987,"BDI 1",$O$6,"BDI 2",$O$7,"BDI 3",$O$8)</f>
        <v>0.20699999999999999</v>
      </c>
      <c r="AA987" s="158" cm="1">
        <f t="array" ref="AA987">_xlfn.SWITCH($N987,"BDI 1",$P$6,"BDI 2",$P$7,"BDI 3",$P$8)</f>
        <v>0.26739999999999997</v>
      </c>
      <c r="AB987" s="158">
        <f t="shared" ca="1" si="2120"/>
        <v>0</v>
      </c>
      <c r="AC987" s="158">
        <f t="shared" ca="1" si="2121"/>
        <v>0</v>
      </c>
      <c r="AD987" s="164"/>
      <c r="AE987" s="148">
        <f t="shared" si="2056"/>
        <v>0</v>
      </c>
      <c r="AF987" s="149"/>
      <c r="AG987" s="150"/>
      <c r="AH987" s="159" t="e">
        <f t="shared" si="2122"/>
        <v>#DIV/0!</v>
      </c>
      <c r="AI987" s="165" t="s">
        <v>101</v>
      </c>
      <c r="AJ987" s="219"/>
      <c r="AK987" s="219"/>
      <c r="AM987" s="219"/>
      <c r="AN987" s="219"/>
      <c r="AO987" s="219"/>
      <c r="AP987" s="219"/>
      <c r="AQ987" s="219"/>
      <c r="AR987" s="219"/>
    </row>
    <row r="988" spans="1:44" s="220" customFormat="1" ht="49.9" hidden="1" customHeight="1">
      <c r="A988" s="152">
        <f t="shared" ca="1" si="2057"/>
        <v>0</v>
      </c>
      <c r="B988" s="153" t="s">
        <v>349</v>
      </c>
      <c r="C988" s="154" t="str">
        <f t="shared" si="2109"/>
        <v>EC/0060</v>
      </c>
      <c r="D988" s="154" t="s">
        <v>3549</v>
      </c>
      <c r="E988" s="155" t="s">
        <v>3941</v>
      </c>
      <c r="F988" s="154"/>
      <c r="G988" s="154" t="s">
        <v>464</v>
      </c>
      <c r="H988" s="152">
        <v>385.84</v>
      </c>
      <c r="I988" s="152">
        <v>374.84</v>
      </c>
      <c r="J988" s="156"/>
      <c r="K988" s="156"/>
      <c r="L988" s="156">
        <f t="shared" si="2110"/>
        <v>0</v>
      </c>
      <c r="M988" s="156">
        <f t="shared" si="2111"/>
        <v>0</v>
      </c>
      <c r="N988" s="156" t="s">
        <v>83</v>
      </c>
      <c r="O988" s="157" cm="1">
        <f t="array" ref="O988">TRUNC($H988*(1+_xlfn.SWITCH($N988,"BDI 1",$O$6,"BDI 2",$O$7,"BDI 3",$O$8)),2)</f>
        <v>465.7</v>
      </c>
      <c r="P988" s="157" cm="1">
        <f t="array" ref="P988">TRUNC($I988*(1+_xlfn.SWITCH($N988,"BDI 1",$P$6,"BDI 2",$P$7,"BDI 3",$P$8)),2)</f>
        <v>475.07</v>
      </c>
      <c r="Q988" s="157">
        <v>0</v>
      </c>
      <c r="R988" s="157">
        <f t="shared" ref="R988" si="2150">$Q988-($Q988*LICITACAO_DESCONTO)</f>
        <v>0</v>
      </c>
      <c r="S988" s="156">
        <f t="shared" si="2113"/>
        <v>0</v>
      </c>
      <c r="T988" s="156">
        <f t="shared" si="2114"/>
        <v>0</v>
      </c>
      <c r="U988" s="156">
        <f t="shared" si="2115"/>
        <v>0</v>
      </c>
      <c r="V988" s="156">
        <f t="shared" si="2116"/>
        <v>0</v>
      </c>
      <c r="W988" s="156">
        <f t="shared" si="2117"/>
        <v>0</v>
      </c>
      <c r="X988" s="158">
        <f t="shared" ref="X988" si="2151">$S988/ORCAMENTO_VALOR_TOTAL_ND</f>
        <v>0</v>
      </c>
      <c r="Y988" s="158">
        <f t="shared" ref="Y988" si="2152">$T988/ORCAMENTO_VALOR_TOTAL_DE</f>
        <v>0</v>
      </c>
      <c r="Z988" s="158" cm="1">
        <f t="array" ref="Z988">_xlfn.SWITCH($N988,"BDI 1",$O$6,"BDI 2",$O$7,"BDI 3",$O$8)</f>
        <v>0.20699999999999999</v>
      </c>
      <c r="AA988" s="158" cm="1">
        <f t="array" ref="AA988">_xlfn.SWITCH($N988,"BDI 1",$P$6,"BDI 2",$P$7,"BDI 3",$P$8)</f>
        <v>0.26739999999999997</v>
      </c>
      <c r="AB988" s="158">
        <f t="shared" ca="1" si="2120"/>
        <v>0</v>
      </c>
      <c r="AC988" s="158">
        <f t="shared" ca="1" si="2121"/>
        <v>0</v>
      </c>
      <c r="AD988" s="164"/>
      <c r="AE988" s="148">
        <f t="shared" si="2056"/>
        <v>0</v>
      </c>
      <c r="AF988" s="149"/>
      <c r="AG988" s="150"/>
      <c r="AH988" s="159" t="e">
        <f t="shared" si="2122"/>
        <v>#DIV/0!</v>
      </c>
      <c r="AI988" s="165" t="s">
        <v>101</v>
      </c>
      <c r="AJ988" s="219"/>
      <c r="AK988" s="219"/>
      <c r="AM988" s="219"/>
      <c r="AN988" s="219"/>
      <c r="AO988" s="219"/>
      <c r="AP988" s="219"/>
      <c r="AQ988" s="219"/>
      <c r="AR988" s="219"/>
    </row>
    <row r="989" spans="1:44" s="220" customFormat="1" ht="40.15" hidden="1" customHeight="1">
      <c r="A989" s="152">
        <f t="shared" ca="1" si="2057"/>
        <v>0</v>
      </c>
      <c r="B989" s="153" t="s">
        <v>127</v>
      </c>
      <c r="C989" s="154" t="str">
        <f t="shared" si="2109"/>
        <v>DR/0050</v>
      </c>
      <c r="D989" s="154" t="s">
        <v>3549</v>
      </c>
      <c r="E989" s="155" t="s">
        <v>3616</v>
      </c>
      <c r="F989" s="154"/>
      <c r="G989" s="154" t="s">
        <v>3617</v>
      </c>
      <c r="H989" s="152">
        <v>13.36</v>
      </c>
      <c r="I989" s="152">
        <v>13.22</v>
      </c>
      <c r="J989" s="156"/>
      <c r="K989" s="156">
        <f>(K978+K979)/84</f>
        <v>0</v>
      </c>
      <c r="L989" s="156">
        <f t="shared" si="2110"/>
        <v>0</v>
      </c>
      <c r="M989" s="156">
        <f t="shared" si="2111"/>
        <v>0</v>
      </c>
      <c r="N989" s="156" t="s">
        <v>83</v>
      </c>
      <c r="O989" s="157" cm="1">
        <f t="array" ref="O989">TRUNC($H989*(1+_xlfn.SWITCH($N989,"BDI 1",$O$6,"BDI 2",$O$7,"BDI 3",$O$8)),2)</f>
        <v>16.12</v>
      </c>
      <c r="P989" s="157" cm="1">
        <f t="array" ref="P989">TRUNC($I989*(1+_xlfn.SWITCH($N989,"BDI 1",$P$6,"BDI 2",$P$7,"BDI 3",$P$8)),2)</f>
        <v>16.75</v>
      </c>
      <c r="Q989" s="157">
        <v>0</v>
      </c>
      <c r="R989" s="157">
        <f t="shared" ref="R989" si="2153">$Q989-($Q989*LICITACAO_DESCONTO)</f>
        <v>0</v>
      </c>
      <c r="S989" s="156">
        <f t="shared" si="2113"/>
        <v>0</v>
      </c>
      <c r="T989" s="156">
        <f t="shared" si="2114"/>
        <v>0</v>
      </c>
      <c r="U989" s="156">
        <f t="shared" si="2115"/>
        <v>0</v>
      </c>
      <c r="V989" s="156">
        <f t="shared" si="2116"/>
        <v>0</v>
      </c>
      <c r="W989" s="156">
        <f t="shared" si="2117"/>
        <v>0</v>
      </c>
      <c r="X989" s="158">
        <f t="shared" ref="X989" si="2154">$S989/ORCAMENTO_VALOR_TOTAL_ND</f>
        <v>0</v>
      </c>
      <c r="Y989" s="158">
        <f t="shared" ref="Y989" si="2155">$T989/ORCAMENTO_VALOR_TOTAL_DE</f>
        <v>0</v>
      </c>
      <c r="Z989" s="158" cm="1">
        <f t="array" ref="Z989">_xlfn.SWITCH($N989,"BDI 1",$O$6,"BDI 2",$O$7,"BDI 3",$O$8)</f>
        <v>0.20699999999999999</v>
      </c>
      <c r="AA989" s="158" cm="1">
        <f t="array" ref="AA989">_xlfn.SWITCH($N989,"BDI 1",$P$6,"BDI 2",$P$7,"BDI 3",$P$8)</f>
        <v>0.26739999999999997</v>
      </c>
      <c r="AB989" s="158">
        <f t="shared" ca="1" si="2120"/>
        <v>0</v>
      </c>
      <c r="AC989" s="158">
        <f t="shared" ca="1" si="2121"/>
        <v>0</v>
      </c>
      <c r="AD989" s="164"/>
      <c r="AE989" s="148">
        <f t="shared" si="2056"/>
        <v>0</v>
      </c>
      <c r="AF989" s="149"/>
      <c r="AG989" s="150"/>
      <c r="AH989" s="159" t="e">
        <f t="shared" si="2122"/>
        <v>#DIV/0!</v>
      </c>
      <c r="AI989" s="165" t="s">
        <v>243</v>
      </c>
      <c r="AJ989" s="219"/>
      <c r="AK989" s="219"/>
      <c r="AM989" s="219"/>
      <c r="AN989" s="219"/>
      <c r="AO989" s="219"/>
      <c r="AP989" s="219"/>
      <c r="AQ989" s="219"/>
      <c r="AR989" s="219"/>
    </row>
    <row r="990" spans="1:44" s="49" customFormat="1" ht="40.15" hidden="1" customHeight="1">
      <c r="A990" s="152">
        <f t="shared" ca="1" si="2057"/>
        <v>0</v>
      </c>
      <c r="B990" s="153"/>
      <c r="C990" s="154"/>
      <c r="D990" s="154"/>
      <c r="E990" s="161" t="s">
        <v>350</v>
      </c>
      <c r="F990" s="154"/>
      <c r="G990" s="154"/>
      <c r="H990" s="152"/>
      <c r="I990" s="152"/>
      <c r="J990" s="154"/>
      <c r="K990" s="154"/>
      <c r="L990" s="154"/>
      <c r="M990" s="154"/>
      <c r="N990" s="154"/>
      <c r="O990" s="162"/>
      <c r="P990" s="162"/>
      <c r="Q990" s="162"/>
      <c r="R990" s="162"/>
      <c r="S990" s="162"/>
      <c r="T990" s="162"/>
      <c r="U990" s="162"/>
      <c r="V990" s="162"/>
      <c r="W990" s="162"/>
      <c r="X990" s="163"/>
      <c r="Y990" s="163"/>
      <c r="Z990" s="163"/>
      <c r="AA990" s="163"/>
      <c r="AB990" s="163"/>
      <c r="AC990" s="163"/>
      <c r="AD990" s="164"/>
      <c r="AE990" s="148">
        <f t="shared" si="2056"/>
        <v>0</v>
      </c>
      <c r="AF990" s="149"/>
      <c r="AG990" s="150"/>
      <c r="AH990" s="159"/>
      <c r="AI990" s="160"/>
      <c r="AJ990" s="105"/>
      <c r="AK990" s="105"/>
      <c r="AM990" s="105"/>
      <c r="AN990" s="105"/>
      <c r="AO990" s="105"/>
      <c r="AP990" s="105"/>
      <c r="AQ990" s="105"/>
      <c r="AR990" s="105"/>
    </row>
    <row r="991" spans="1:44" s="49" customFormat="1" ht="40.15" hidden="1" customHeight="1">
      <c r="A991" s="152">
        <f t="shared" ca="1" si="2057"/>
        <v>0</v>
      </c>
      <c r="B991" s="153"/>
      <c r="C991" s="154"/>
      <c r="D991" s="154"/>
      <c r="E991" s="161" t="s">
        <v>351</v>
      </c>
      <c r="F991" s="154"/>
      <c r="G991" s="154"/>
      <c r="H991" s="152"/>
      <c r="I991" s="152"/>
      <c r="J991" s="154"/>
      <c r="K991" s="154"/>
      <c r="L991" s="154"/>
      <c r="M991" s="154"/>
      <c r="N991" s="154"/>
      <c r="O991" s="162"/>
      <c r="P991" s="162"/>
      <c r="Q991" s="162"/>
      <c r="R991" s="162"/>
      <c r="S991" s="162"/>
      <c r="T991" s="162"/>
      <c r="U991" s="162"/>
      <c r="V991" s="162"/>
      <c r="W991" s="162"/>
      <c r="X991" s="163"/>
      <c r="Y991" s="163"/>
      <c r="Z991" s="163"/>
      <c r="AA991" s="163"/>
      <c r="AB991" s="163"/>
      <c r="AC991" s="163"/>
      <c r="AD991" s="164"/>
      <c r="AE991" s="148">
        <f t="shared" si="2056"/>
        <v>0</v>
      </c>
      <c r="AF991" s="149"/>
      <c r="AG991" s="150"/>
      <c r="AH991" s="159"/>
      <c r="AI991" s="160"/>
      <c r="AJ991" s="105"/>
      <c r="AK991" s="105"/>
      <c r="AM991" s="105"/>
      <c r="AN991" s="105"/>
      <c r="AO991" s="105"/>
      <c r="AP991" s="105"/>
      <c r="AQ991" s="105"/>
      <c r="AR991" s="105"/>
    </row>
    <row r="992" spans="1:44" s="220" customFormat="1" ht="40.15" hidden="1" customHeight="1">
      <c r="A992" s="152">
        <f t="shared" ca="1" si="2057"/>
        <v>0</v>
      </c>
      <c r="B992" s="153" t="s">
        <v>346</v>
      </c>
      <c r="C992" s="154" t="str">
        <f t="shared" ref="C992:C999" si="2156">TEXT(B992,"0")</f>
        <v>SEL-307</v>
      </c>
      <c r="D992" s="154">
        <v>0</v>
      </c>
      <c r="E992" s="155" t="s">
        <v>3766</v>
      </c>
      <c r="F992" s="154"/>
      <c r="G992" s="154">
        <v>0</v>
      </c>
      <c r="H992" s="152">
        <v>0</v>
      </c>
      <c r="I992" s="152">
        <v>0</v>
      </c>
      <c r="J992" s="156"/>
      <c r="K992" s="156"/>
      <c r="L992" s="156">
        <f t="shared" ref="L992:L999" si="2157">IF($K992&gt;$J992,$K992-$J992,0)</f>
        <v>0</v>
      </c>
      <c r="M992" s="156">
        <f t="shared" ref="M992:M999" si="2158">IF($K992&lt;$J992,$J992-$K992,0)</f>
        <v>0</v>
      </c>
      <c r="N992" s="156" t="s">
        <v>83</v>
      </c>
      <c r="O992" s="157" cm="1">
        <f t="array" ref="O992">TRUNC($H992*(1+_xlfn.SWITCH($N992,"BDI 1",$O$6,"BDI 2",$O$7,"BDI 3",$O$8)),2)</f>
        <v>0</v>
      </c>
      <c r="P992" s="157" cm="1">
        <f t="array" ref="P992">TRUNC($I992*(1+_xlfn.SWITCH($N992,"BDI 1",$P$6,"BDI 2",$P$7,"BDI 3",$P$8)),2)</f>
        <v>0</v>
      </c>
      <c r="Q992" s="157">
        <v>0</v>
      </c>
      <c r="R992" s="157">
        <f t="shared" ref="R992" si="2159">$Q992-($Q992*LICITACAO_DESCONTO)</f>
        <v>0</v>
      </c>
      <c r="S992" s="156">
        <f t="shared" ref="S992:S999" si="2160">TRUNC($K992*$O992,2)</f>
        <v>0</v>
      </c>
      <c r="T992" s="156">
        <f t="shared" ref="T992:T999" si="2161">TRUNC($K992*$P992,2)</f>
        <v>0</v>
      </c>
      <c r="U992" s="156">
        <f t="shared" ref="U992:U999" si="2162">TRUNC($J992*$R992,2)</f>
        <v>0</v>
      </c>
      <c r="V992" s="156">
        <f t="shared" ref="V992:V999" si="2163">TRUNC($K992*$Q992,2)</f>
        <v>0</v>
      </c>
      <c r="W992" s="156">
        <f t="shared" ref="W992:W999" si="2164">TRUNC(V992-U992,2)</f>
        <v>0</v>
      </c>
      <c r="X992" s="158">
        <f t="shared" ref="X992" si="2165">$S992/ORCAMENTO_VALOR_TOTAL_ND</f>
        <v>0</v>
      </c>
      <c r="Y992" s="158">
        <f t="shared" ref="Y992" si="2166">$T992/ORCAMENTO_VALOR_TOTAL_DE</f>
        <v>0</v>
      </c>
      <c r="Z992" s="158" cm="1">
        <f t="array" ref="Z992">_xlfn.SWITCH($N992,"BDI 1",$O$6,"BDI 2",$O$7,"BDI 3",$O$8)</f>
        <v>0.20699999999999999</v>
      </c>
      <c r="AA992" s="158" cm="1">
        <f t="array" ref="AA992">_xlfn.SWITCH($N992,"BDI 1",$P$6,"BDI 2",$P$7,"BDI 3",$P$8)</f>
        <v>0.26739999999999997</v>
      </c>
      <c r="AB992" s="158">
        <f t="shared" ref="AB992:AB999" ca="1" si="2167">IFERROR($S992/_xlfn.XLOOKUP($AE992,$B$16:$B$38,$S$16:$S$38),0)</f>
        <v>0</v>
      </c>
      <c r="AC992" s="158">
        <f t="shared" ref="AC992:AC999" ca="1" si="2168">IFERROR($T992/_xlfn.XLOOKUP($AE992,$B$16:$B$38,$T$16:$T$38),0)</f>
        <v>0</v>
      </c>
      <c r="AD992" s="164"/>
      <c r="AE992" s="148">
        <f t="shared" si="2056"/>
        <v>0</v>
      </c>
      <c r="AF992" s="149"/>
      <c r="AG992" s="150"/>
      <c r="AH992" s="159" t="e">
        <f t="shared" ref="AH992:AH999" si="2169">+S992/$S$961</f>
        <v>#DIV/0!</v>
      </c>
      <c r="AI992" s="160"/>
      <c r="AJ992" s="184" t="e">
        <v>#N/A</v>
      </c>
      <c r="AK992" s="183" t="e">
        <f>+K992/AJ992</f>
        <v>#N/A</v>
      </c>
      <c r="AM992" s="219"/>
      <c r="AN992" s="219"/>
      <c r="AO992" s="219"/>
      <c r="AP992" s="219"/>
      <c r="AQ992" s="219" t="e">
        <f>K992+#REF!+K1020+K1028+K1035+K1047+K1062+K1071+K1080+#REF!+#REF!</f>
        <v>#REF!</v>
      </c>
      <c r="AR992" s="219"/>
    </row>
    <row r="993" spans="1:44" s="220" customFormat="1" ht="40.15" hidden="1" customHeight="1">
      <c r="A993" s="152">
        <f t="shared" ca="1" si="2057"/>
        <v>0</v>
      </c>
      <c r="B993" s="153">
        <v>103673</v>
      </c>
      <c r="C993" s="154" t="str">
        <f t="shared" si="2156"/>
        <v>103673</v>
      </c>
      <c r="D993" s="154" t="s">
        <v>1416</v>
      </c>
      <c r="E993" s="155" t="s">
        <v>3795</v>
      </c>
      <c r="F993" s="154"/>
      <c r="G993" s="154" t="s">
        <v>464</v>
      </c>
      <c r="H993" s="152">
        <v>38.33</v>
      </c>
      <c r="I993" s="152">
        <v>34.799999999999997</v>
      </c>
      <c r="J993" s="156"/>
      <c r="K993" s="156">
        <f>K992</f>
        <v>0</v>
      </c>
      <c r="L993" s="156">
        <f t="shared" si="2157"/>
        <v>0</v>
      </c>
      <c r="M993" s="156">
        <f t="shared" si="2158"/>
        <v>0</v>
      </c>
      <c r="N993" s="156" t="s">
        <v>83</v>
      </c>
      <c r="O993" s="157" cm="1">
        <f t="array" ref="O993">TRUNC($H993*(1+_xlfn.SWITCH($N993,"BDI 1",$O$6,"BDI 2",$O$7,"BDI 3",$O$8)),2)</f>
        <v>46.26</v>
      </c>
      <c r="P993" s="157" cm="1">
        <f t="array" ref="P993">TRUNC($I993*(1+_xlfn.SWITCH($N993,"BDI 1",$P$6,"BDI 2",$P$7,"BDI 3",$P$8)),2)</f>
        <v>44.1</v>
      </c>
      <c r="Q993" s="157">
        <v>0</v>
      </c>
      <c r="R993" s="157">
        <f t="shared" ref="R993" si="2170">$Q993-($Q993*LICITACAO_DESCONTO)</f>
        <v>0</v>
      </c>
      <c r="S993" s="156">
        <f t="shared" si="2160"/>
        <v>0</v>
      </c>
      <c r="T993" s="156">
        <f t="shared" si="2161"/>
        <v>0</v>
      </c>
      <c r="U993" s="156">
        <f t="shared" si="2162"/>
        <v>0</v>
      </c>
      <c r="V993" s="156">
        <f t="shared" si="2163"/>
        <v>0</v>
      </c>
      <c r="W993" s="156">
        <f t="shared" si="2164"/>
        <v>0</v>
      </c>
      <c r="X993" s="158">
        <f t="shared" ref="X993" si="2171">$S993/ORCAMENTO_VALOR_TOTAL_ND</f>
        <v>0</v>
      </c>
      <c r="Y993" s="158">
        <f t="shared" ref="Y993" si="2172">$T993/ORCAMENTO_VALOR_TOTAL_DE</f>
        <v>0</v>
      </c>
      <c r="Z993" s="158" cm="1">
        <f t="array" ref="Z993">_xlfn.SWITCH($N993,"BDI 1",$O$6,"BDI 2",$O$7,"BDI 3",$O$8)</f>
        <v>0.20699999999999999</v>
      </c>
      <c r="AA993" s="158" cm="1">
        <f t="array" ref="AA993">_xlfn.SWITCH($N993,"BDI 1",$P$6,"BDI 2",$P$7,"BDI 3",$P$8)</f>
        <v>0.26739999999999997</v>
      </c>
      <c r="AB993" s="158">
        <f t="shared" ca="1" si="2167"/>
        <v>0</v>
      </c>
      <c r="AC993" s="158">
        <f t="shared" ca="1" si="2168"/>
        <v>0</v>
      </c>
      <c r="AD993" s="164"/>
      <c r="AE993" s="148">
        <f t="shared" si="2056"/>
        <v>0</v>
      </c>
      <c r="AF993" s="149"/>
      <c r="AG993" s="150"/>
      <c r="AH993" s="159" t="e">
        <f t="shared" si="2169"/>
        <v>#DIV/0!</v>
      </c>
      <c r="AI993" s="160"/>
      <c r="AJ993" s="184">
        <v>0</v>
      </c>
      <c r="AK993" s="183" t="e">
        <f>+K993/AJ993</f>
        <v>#DIV/0!</v>
      </c>
      <c r="AM993" s="219"/>
      <c r="AN993" s="219"/>
      <c r="AO993" s="219"/>
      <c r="AP993" s="219"/>
      <c r="AQ993" s="219" t="e">
        <f>K993+K1011+K1021+K1029+#REF!+K1048+K1063+K1072+K1081+K1108+#REF!</f>
        <v>#REF!</v>
      </c>
      <c r="AR993" s="219"/>
    </row>
    <row r="994" spans="1:44" s="220" customFormat="1" ht="40.15" hidden="1" customHeight="1">
      <c r="A994" s="152">
        <f t="shared" ca="1" si="2057"/>
        <v>0</v>
      </c>
      <c r="B994" s="153">
        <v>100341</v>
      </c>
      <c r="C994" s="154" t="str">
        <f t="shared" si="2156"/>
        <v>100341</v>
      </c>
      <c r="D994" s="154" t="s">
        <v>1416</v>
      </c>
      <c r="E994" s="155" t="s">
        <v>3942</v>
      </c>
      <c r="F994" s="154"/>
      <c r="G994" s="154" t="s">
        <v>1418</v>
      </c>
      <c r="H994" s="152">
        <v>41.95</v>
      </c>
      <c r="I994" s="152">
        <v>36.67</v>
      </c>
      <c r="J994" s="156"/>
      <c r="K994" s="156"/>
      <c r="L994" s="156">
        <f t="shared" si="2157"/>
        <v>0</v>
      </c>
      <c r="M994" s="156">
        <f t="shared" si="2158"/>
        <v>0</v>
      </c>
      <c r="N994" s="156" t="s">
        <v>83</v>
      </c>
      <c r="O994" s="157" cm="1">
        <f t="array" ref="O994">TRUNC($H994*(1+_xlfn.SWITCH($N994,"BDI 1",$O$6,"BDI 2",$O$7,"BDI 3",$O$8)),2)</f>
        <v>50.63</v>
      </c>
      <c r="P994" s="157" cm="1">
        <f t="array" ref="P994">TRUNC($I994*(1+_xlfn.SWITCH($N994,"BDI 1",$P$6,"BDI 2",$P$7,"BDI 3",$P$8)),2)</f>
        <v>46.47</v>
      </c>
      <c r="Q994" s="157">
        <v>0</v>
      </c>
      <c r="R994" s="157">
        <f t="shared" ref="R994" si="2173">$Q994-($Q994*LICITACAO_DESCONTO)</f>
        <v>0</v>
      </c>
      <c r="S994" s="156">
        <f t="shared" si="2160"/>
        <v>0</v>
      </c>
      <c r="T994" s="156">
        <f t="shared" si="2161"/>
        <v>0</v>
      </c>
      <c r="U994" s="156">
        <f t="shared" si="2162"/>
        <v>0</v>
      </c>
      <c r="V994" s="156">
        <f t="shared" si="2163"/>
        <v>0</v>
      </c>
      <c r="W994" s="156">
        <f t="shared" si="2164"/>
        <v>0</v>
      </c>
      <c r="X994" s="158">
        <f t="shared" ref="X994" si="2174">$S994/ORCAMENTO_VALOR_TOTAL_ND</f>
        <v>0</v>
      </c>
      <c r="Y994" s="158">
        <f t="shared" ref="Y994" si="2175">$T994/ORCAMENTO_VALOR_TOTAL_DE</f>
        <v>0</v>
      </c>
      <c r="Z994" s="158" cm="1">
        <f t="array" ref="Z994">_xlfn.SWITCH($N994,"BDI 1",$O$6,"BDI 2",$O$7,"BDI 3",$O$8)</f>
        <v>0.20699999999999999</v>
      </c>
      <c r="AA994" s="158" cm="1">
        <f t="array" ref="AA994">_xlfn.SWITCH($N994,"BDI 1",$P$6,"BDI 2",$P$7,"BDI 3",$P$8)</f>
        <v>0.26739999999999997</v>
      </c>
      <c r="AB994" s="158">
        <f t="shared" ca="1" si="2167"/>
        <v>0</v>
      </c>
      <c r="AC994" s="158">
        <f t="shared" ca="1" si="2168"/>
        <v>0</v>
      </c>
      <c r="AD994" s="164"/>
      <c r="AE994" s="148">
        <f t="shared" si="2056"/>
        <v>0</v>
      </c>
      <c r="AF994" s="149"/>
      <c r="AG994" s="150"/>
      <c r="AH994" s="159" t="e">
        <f t="shared" si="2169"/>
        <v>#DIV/0!</v>
      </c>
      <c r="AI994" s="160"/>
      <c r="AJ994" s="219"/>
      <c r="AK994" s="219"/>
      <c r="AM994" s="219"/>
      <c r="AN994" s="219"/>
      <c r="AO994" s="219"/>
      <c r="AP994" s="219"/>
      <c r="AQ994" s="219"/>
      <c r="AR994" s="219"/>
    </row>
    <row r="995" spans="1:44" s="220" customFormat="1" ht="40.15" hidden="1" customHeight="1">
      <c r="A995" s="152">
        <f t="shared" ca="1" si="2057"/>
        <v>0</v>
      </c>
      <c r="B995" s="153">
        <v>100344</v>
      </c>
      <c r="C995" s="154" t="str">
        <f t="shared" si="2156"/>
        <v>100344</v>
      </c>
      <c r="D995" s="154" t="s">
        <v>1416</v>
      </c>
      <c r="E995" s="155" t="s">
        <v>3805</v>
      </c>
      <c r="F995" s="154"/>
      <c r="G995" s="154" t="s">
        <v>3802</v>
      </c>
      <c r="H995" s="152">
        <v>12.17</v>
      </c>
      <c r="I995" s="152">
        <v>11.92</v>
      </c>
      <c r="J995" s="156"/>
      <c r="K995" s="156"/>
      <c r="L995" s="156">
        <f t="shared" si="2157"/>
        <v>0</v>
      </c>
      <c r="M995" s="156">
        <f t="shared" si="2158"/>
        <v>0</v>
      </c>
      <c r="N995" s="156" t="s">
        <v>83</v>
      </c>
      <c r="O995" s="157" cm="1">
        <f t="array" ref="O995">TRUNC($H995*(1+_xlfn.SWITCH($N995,"BDI 1",$O$6,"BDI 2",$O$7,"BDI 3",$O$8)),2)</f>
        <v>14.68</v>
      </c>
      <c r="P995" s="157" cm="1">
        <f t="array" ref="P995">TRUNC($I995*(1+_xlfn.SWITCH($N995,"BDI 1",$P$6,"BDI 2",$P$7,"BDI 3",$P$8)),2)</f>
        <v>15.1</v>
      </c>
      <c r="Q995" s="157">
        <v>0</v>
      </c>
      <c r="R995" s="157">
        <f t="shared" ref="R995" si="2176">$Q995-($Q995*LICITACAO_DESCONTO)</f>
        <v>0</v>
      </c>
      <c r="S995" s="156">
        <f t="shared" si="2160"/>
        <v>0</v>
      </c>
      <c r="T995" s="156">
        <f t="shared" si="2161"/>
        <v>0</v>
      </c>
      <c r="U995" s="156">
        <f t="shared" si="2162"/>
        <v>0</v>
      </c>
      <c r="V995" s="156">
        <f t="shared" si="2163"/>
        <v>0</v>
      </c>
      <c r="W995" s="156">
        <f t="shared" si="2164"/>
        <v>0</v>
      </c>
      <c r="X995" s="158">
        <f t="shared" ref="X995" si="2177">$S995/ORCAMENTO_VALOR_TOTAL_ND</f>
        <v>0</v>
      </c>
      <c r="Y995" s="158">
        <f t="shared" ref="Y995" si="2178">$T995/ORCAMENTO_VALOR_TOTAL_DE</f>
        <v>0</v>
      </c>
      <c r="Z995" s="158" cm="1">
        <f t="array" ref="Z995">_xlfn.SWITCH($N995,"BDI 1",$O$6,"BDI 2",$O$7,"BDI 3",$O$8)</f>
        <v>0.20699999999999999</v>
      </c>
      <c r="AA995" s="158" cm="1">
        <f t="array" ref="AA995">_xlfn.SWITCH($N995,"BDI 1",$P$6,"BDI 2",$P$7,"BDI 3",$P$8)</f>
        <v>0.26739999999999997</v>
      </c>
      <c r="AB995" s="158">
        <f t="shared" ca="1" si="2167"/>
        <v>0</v>
      </c>
      <c r="AC995" s="158">
        <f t="shared" ca="1" si="2168"/>
        <v>0</v>
      </c>
      <c r="AD995" s="164"/>
      <c r="AE995" s="148">
        <f t="shared" si="2056"/>
        <v>0</v>
      </c>
      <c r="AF995" s="149"/>
      <c r="AG995" s="150"/>
      <c r="AH995" s="159" t="e">
        <f t="shared" si="2169"/>
        <v>#DIV/0!</v>
      </c>
      <c r="AI995" s="165" t="s">
        <v>101</v>
      </c>
      <c r="AJ995" s="219"/>
      <c r="AK995" s="219"/>
      <c r="AM995" s="219"/>
      <c r="AN995" s="219"/>
      <c r="AO995" s="219"/>
      <c r="AP995" s="219"/>
      <c r="AQ995" s="219"/>
      <c r="AR995" s="219"/>
    </row>
    <row r="996" spans="1:44" s="220" customFormat="1" ht="40.15" hidden="1" customHeight="1">
      <c r="A996" s="152">
        <f t="shared" ca="1" si="2057"/>
        <v>0</v>
      </c>
      <c r="B996" s="153">
        <v>100345</v>
      </c>
      <c r="C996" s="154" t="str">
        <f t="shared" si="2156"/>
        <v>100345</v>
      </c>
      <c r="D996" s="154" t="s">
        <v>1416</v>
      </c>
      <c r="E996" s="155" t="s">
        <v>3806</v>
      </c>
      <c r="F996" s="154"/>
      <c r="G996" s="154" t="s">
        <v>3802</v>
      </c>
      <c r="H996" s="152">
        <v>10.31</v>
      </c>
      <c r="I996" s="152">
        <v>10.1</v>
      </c>
      <c r="J996" s="156"/>
      <c r="K996" s="156"/>
      <c r="L996" s="156">
        <f t="shared" si="2157"/>
        <v>0</v>
      </c>
      <c r="M996" s="156">
        <f t="shared" si="2158"/>
        <v>0</v>
      </c>
      <c r="N996" s="156" t="s">
        <v>83</v>
      </c>
      <c r="O996" s="157" cm="1">
        <f t="array" ref="O996">TRUNC($H996*(1+_xlfn.SWITCH($N996,"BDI 1",$O$6,"BDI 2",$O$7,"BDI 3",$O$8)),2)</f>
        <v>12.44</v>
      </c>
      <c r="P996" s="157" cm="1">
        <f t="array" ref="P996">TRUNC($I996*(1+_xlfn.SWITCH($N996,"BDI 1",$P$6,"BDI 2",$P$7,"BDI 3",$P$8)),2)</f>
        <v>12.8</v>
      </c>
      <c r="Q996" s="157">
        <v>0</v>
      </c>
      <c r="R996" s="157">
        <f t="shared" ref="R996" si="2179">$Q996-($Q996*LICITACAO_DESCONTO)</f>
        <v>0</v>
      </c>
      <c r="S996" s="156">
        <f t="shared" si="2160"/>
        <v>0</v>
      </c>
      <c r="T996" s="156">
        <f t="shared" si="2161"/>
        <v>0</v>
      </c>
      <c r="U996" s="156">
        <f t="shared" si="2162"/>
        <v>0</v>
      </c>
      <c r="V996" s="156">
        <f t="shared" si="2163"/>
        <v>0</v>
      </c>
      <c r="W996" s="156">
        <f t="shared" si="2164"/>
        <v>0</v>
      </c>
      <c r="X996" s="158">
        <f t="shared" ref="X996" si="2180">$S996/ORCAMENTO_VALOR_TOTAL_ND</f>
        <v>0</v>
      </c>
      <c r="Y996" s="158">
        <f t="shared" ref="Y996" si="2181">$T996/ORCAMENTO_VALOR_TOTAL_DE</f>
        <v>0</v>
      </c>
      <c r="Z996" s="158" cm="1">
        <f t="array" ref="Z996">_xlfn.SWITCH($N996,"BDI 1",$O$6,"BDI 2",$O$7,"BDI 3",$O$8)</f>
        <v>0.20699999999999999</v>
      </c>
      <c r="AA996" s="158" cm="1">
        <f t="array" ref="AA996">_xlfn.SWITCH($N996,"BDI 1",$P$6,"BDI 2",$P$7,"BDI 3",$P$8)</f>
        <v>0.26739999999999997</v>
      </c>
      <c r="AB996" s="158">
        <f t="shared" ca="1" si="2167"/>
        <v>0</v>
      </c>
      <c r="AC996" s="158">
        <f t="shared" ca="1" si="2168"/>
        <v>0</v>
      </c>
      <c r="AD996" s="164"/>
      <c r="AE996" s="148">
        <f t="shared" si="2056"/>
        <v>0</v>
      </c>
      <c r="AF996" s="149"/>
      <c r="AG996" s="150"/>
      <c r="AH996" s="159" t="e">
        <f t="shared" si="2169"/>
        <v>#DIV/0!</v>
      </c>
      <c r="AI996" s="165" t="s">
        <v>101</v>
      </c>
      <c r="AJ996" s="219"/>
      <c r="AK996" s="219"/>
      <c r="AM996" s="219"/>
      <c r="AN996" s="219"/>
      <c r="AO996" s="219"/>
      <c r="AP996" s="219"/>
      <c r="AQ996" s="219"/>
      <c r="AR996" s="219"/>
    </row>
    <row r="997" spans="1:44" s="220" customFormat="1" ht="40.15" hidden="1" customHeight="1">
      <c r="A997" s="152">
        <f t="shared" ca="1" si="2057"/>
        <v>0</v>
      </c>
      <c r="B997" s="153">
        <v>100347</v>
      </c>
      <c r="C997" s="154" t="str">
        <f t="shared" si="2156"/>
        <v>100347</v>
      </c>
      <c r="D997" s="154" t="s">
        <v>1416</v>
      </c>
      <c r="E997" s="155" t="s">
        <v>3943</v>
      </c>
      <c r="F997" s="154"/>
      <c r="G997" s="154" t="s">
        <v>3802</v>
      </c>
      <c r="H997" s="152">
        <v>11</v>
      </c>
      <c r="I997" s="152">
        <v>10.87</v>
      </c>
      <c r="J997" s="156"/>
      <c r="K997" s="156"/>
      <c r="L997" s="156">
        <f t="shared" si="2157"/>
        <v>0</v>
      </c>
      <c r="M997" s="156">
        <f t="shared" si="2158"/>
        <v>0</v>
      </c>
      <c r="N997" s="156" t="s">
        <v>83</v>
      </c>
      <c r="O997" s="157" cm="1">
        <f t="array" ref="O997">TRUNC($H997*(1+_xlfn.SWITCH($N997,"BDI 1",$O$6,"BDI 2",$O$7,"BDI 3",$O$8)),2)</f>
        <v>13.27</v>
      </c>
      <c r="P997" s="157" cm="1">
        <f t="array" ref="P997">TRUNC($I997*(1+_xlfn.SWITCH($N997,"BDI 1",$P$6,"BDI 2",$P$7,"BDI 3",$P$8)),2)</f>
        <v>13.77</v>
      </c>
      <c r="Q997" s="157">
        <v>0</v>
      </c>
      <c r="R997" s="157">
        <f t="shared" ref="R997" si="2182">$Q997-($Q997*LICITACAO_DESCONTO)</f>
        <v>0</v>
      </c>
      <c r="S997" s="156">
        <f t="shared" si="2160"/>
        <v>0</v>
      </c>
      <c r="T997" s="156">
        <f t="shared" si="2161"/>
        <v>0</v>
      </c>
      <c r="U997" s="156">
        <f t="shared" si="2162"/>
        <v>0</v>
      </c>
      <c r="V997" s="156">
        <f t="shared" si="2163"/>
        <v>0</v>
      </c>
      <c r="W997" s="156">
        <f t="shared" si="2164"/>
        <v>0</v>
      </c>
      <c r="X997" s="158">
        <f t="shared" ref="X997" si="2183">$S997/ORCAMENTO_VALOR_TOTAL_ND</f>
        <v>0</v>
      </c>
      <c r="Y997" s="158">
        <f t="shared" ref="Y997" si="2184">$T997/ORCAMENTO_VALOR_TOTAL_DE</f>
        <v>0</v>
      </c>
      <c r="Z997" s="158" cm="1">
        <f t="array" ref="Z997">_xlfn.SWITCH($N997,"BDI 1",$O$6,"BDI 2",$O$7,"BDI 3",$O$8)</f>
        <v>0.20699999999999999</v>
      </c>
      <c r="AA997" s="158" cm="1">
        <f t="array" ref="AA997">_xlfn.SWITCH($N997,"BDI 1",$P$6,"BDI 2",$P$7,"BDI 3",$P$8)</f>
        <v>0.26739999999999997</v>
      </c>
      <c r="AB997" s="158">
        <f t="shared" ca="1" si="2167"/>
        <v>0</v>
      </c>
      <c r="AC997" s="158">
        <f t="shared" ca="1" si="2168"/>
        <v>0</v>
      </c>
      <c r="AD997" s="164"/>
      <c r="AE997" s="148">
        <f t="shared" si="2056"/>
        <v>0</v>
      </c>
      <c r="AF997" s="149"/>
      <c r="AG997" s="150"/>
      <c r="AH997" s="159" t="e">
        <f t="shared" si="2169"/>
        <v>#DIV/0!</v>
      </c>
      <c r="AI997" s="165" t="s">
        <v>243</v>
      </c>
      <c r="AJ997" s="219"/>
      <c r="AK997" s="219"/>
      <c r="AM997" s="219"/>
      <c r="AN997" s="219"/>
      <c r="AO997" s="219"/>
      <c r="AP997" s="219"/>
      <c r="AQ997" s="219"/>
      <c r="AR997" s="219"/>
    </row>
    <row r="998" spans="1:44" s="220" customFormat="1" ht="40.15" hidden="1" customHeight="1">
      <c r="A998" s="152">
        <f t="shared" ca="1" si="2057"/>
        <v>0</v>
      </c>
      <c r="B998" s="153">
        <v>100348</v>
      </c>
      <c r="C998" s="154" t="str">
        <f t="shared" si="2156"/>
        <v>100348</v>
      </c>
      <c r="D998" s="154" t="s">
        <v>1416</v>
      </c>
      <c r="E998" s="155" t="s">
        <v>3944</v>
      </c>
      <c r="F998" s="154"/>
      <c r="G998" s="154" t="s">
        <v>3802</v>
      </c>
      <c r="H998" s="152">
        <v>10.76</v>
      </c>
      <c r="I998" s="152">
        <v>10.66</v>
      </c>
      <c r="J998" s="156"/>
      <c r="K998" s="156"/>
      <c r="L998" s="156">
        <f t="shared" si="2157"/>
        <v>0</v>
      </c>
      <c r="M998" s="156">
        <f t="shared" si="2158"/>
        <v>0</v>
      </c>
      <c r="N998" s="156" t="s">
        <v>83</v>
      </c>
      <c r="O998" s="157" cm="1">
        <f t="array" ref="O998">TRUNC($H998*(1+_xlfn.SWITCH($N998,"BDI 1",$O$6,"BDI 2",$O$7,"BDI 3",$O$8)),2)</f>
        <v>12.98</v>
      </c>
      <c r="P998" s="157" cm="1">
        <f t="array" ref="P998">TRUNC($I998*(1+_xlfn.SWITCH($N998,"BDI 1",$P$6,"BDI 2",$P$7,"BDI 3",$P$8)),2)</f>
        <v>13.51</v>
      </c>
      <c r="Q998" s="157">
        <v>0</v>
      </c>
      <c r="R998" s="157">
        <f t="shared" ref="R998" si="2185">$Q998-($Q998*LICITACAO_DESCONTO)</f>
        <v>0</v>
      </c>
      <c r="S998" s="156">
        <f t="shared" si="2160"/>
        <v>0</v>
      </c>
      <c r="T998" s="156">
        <f t="shared" si="2161"/>
        <v>0</v>
      </c>
      <c r="U998" s="156">
        <f t="shared" si="2162"/>
        <v>0</v>
      </c>
      <c r="V998" s="156">
        <f t="shared" si="2163"/>
        <v>0</v>
      </c>
      <c r="W998" s="156">
        <f t="shared" si="2164"/>
        <v>0</v>
      </c>
      <c r="X998" s="158">
        <f t="shared" ref="X998" si="2186">$S998/ORCAMENTO_VALOR_TOTAL_ND</f>
        <v>0</v>
      </c>
      <c r="Y998" s="158">
        <f t="shared" ref="Y998" si="2187">$T998/ORCAMENTO_VALOR_TOTAL_DE</f>
        <v>0</v>
      </c>
      <c r="Z998" s="158" cm="1">
        <f t="array" ref="Z998">_xlfn.SWITCH($N998,"BDI 1",$O$6,"BDI 2",$O$7,"BDI 3",$O$8)</f>
        <v>0.20699999999999999</v>
      </c>
      <c r="AA998" s="158" cm="1">
        <f t="array" ref="AA998">_xlfn.SWITCH($N998,"BDI 1",$P$6,"BDI 2",$P$7,"BDI 3",$P$8)</f>
        <v>0.26739999999999997</v>
      </c>
      <c r="AB998" s="158">
        <f t="shared" ca="1" si="2167"/>
        <v>0</v>
      </c>
      <c r="AC998" s="158">
        <f t="shared" ca="1" si="2168"/>
        <v>0</v>
      </c>
      <c r="AD998" s="164"/>
      <c r="AE998" s="148">
        <f t="shared" si="2056"/>
        <v>0</v>
      </c>
      <c r="AF998" s="149"/>
      <c r="AG998" s="150"/>
      <c r="AH998" s="159" t="e">
        <f t="shared" si="2169"/>
        <v>#DIV/0!</v>
      </c>
      <c r="AI998" s="160"/>
      <c r="AJ998" s="219"/>
      <c r="AK998" s="219"/>
      <c r="AM998" s="219"/>
      <c r="AN998" s="219"/>
      <c r="AO998" s="219"/>
      <c r="AP998" s="219"/>
      <c r="AQ998" s="219"/>
      <c r="AR998" s="219"/>
    </row>
    <row r="999" spans="1:44" s="220" customFormat="1" ht="40.15" hidden="1" customHeight="1">
      <c r="A999" s="152">
        <f t="shared" ca="1" si="2057"/>
        <v>0</v>
      </c>
      <c r="B999" s="153" t="s">
        <v>352</v>
      </c>
      <c r="C999" s="154" t="str">
        <f t="shared" si="2156"/>
        <v>EC/0170</v>
      </c>
      <c r="D999" s="154" t="s">
        <v>3549</v>
      </c>
      <c r="E999" s="155" t="s">
        <v>3945</v>
      </c>
      <c r="F999" s="154"/>
      <c r="G999" s="154" t="s">
        <v>3946</v>
      </c>
      <c r="H999" s="152">
        <v>52.05</v>
      </c>
      <c r="I999" s="152">
        <v>50.33</v>
      </c>
      <c r="J999" s="156"/>
      <c r="K999" s="156"/>
      <c r="L999" s="156">
        <f t="shared" si="2157"/>
        <v>0</v>
      </c>
      <c r="M999" s="156">
        <f t="shared" si="2158"/>
        <v>0</v>
      </c>
      <c r="N999" s="156" t="s">
        <v>83</v>
      </c>
      <c r="O999" s="157" cm="1">
        <f t="array" ref="O999">TRUNC($H999*(1+_xlfn.SWITCH($N999,"BDI 1",$O$6,"BDI 2",$O$7,"BDI 3",$O$8)),2)</f>
        <v>62.82</v>
      </c>
      <c r="P999" s="157" cm="1">
        <f t="array" ref="P999">TRUNC($I999*(1+_xlfn.SWITCH($N999,"BDI 1",$P$6,"BDI 2",$P$7,"BDI 3",$P$8)),2)</f>
        <v>63.78</v>
      </c>
      <c r="Q999" s="157">
        <v>0</v>
      </c>
      <c r="R999" s="157">
        <f t="shared" ref="R999" si="2188">$Q999-($Q999*LICITACAO_DESCONTO)</f>
        <v>0</v>
      </c>
      <c r="S999" s="156">
        <f t="shared" si="2160"/>
        <v>0</v>
      </c>
      <c r="T999" s="156">
        <f t="shared" si="2161"/>
        <v>0</v>
      </c>
      <c r="U999" s="156">
        <f t="shared" si="2162"/>
        <v>0</v>
      </c>
      <c r="V999" s="156">
        <f t="shared" si="2163"/>
        <v>0</v>
      </c>
      <c r="W999" s="156">
        <f t="shared" si="2164"/>
        <v>0</v>
      </c>
      <c r="X999" s="158">
        <f t="shared" ref="X999" si="2189">$S999/ORCAMENTO_VALOR_TOTAL_ND</f>
        <v>0</v>
      </c>
      <c r="Y999" s="158">
        <f t="shared" ref="Y999" si="2190">$T999/ORCAMENTO_VALOR_TOTAL_DE</f>
        <v>0</v>
      </c>
      <c r="Z999" s="158" cm="1">
        <f t="array" ref="Z999">_xlfn.SWITCH($N999,"BDI 1",$O$6,"BDI 2",$O$7,"BDI 3",$O$8)</f>
        <v>0.20699999999999999</v>
      </c>
      <c r="AA999" s="158" cm="1">
        <f t="array" ref="AA999">_xlfn.SWITCH($N999,"BDI 1",$P$6,"BDI 2",$P$7,"BDI 3",$P$8)</f>
        <v>0.26739999999999997</v>
      </c>
      <c r="AB999" s="158">
        <f t="shared" ca="1" si="2167"/>
        <v>0</v>
      </c>
      <c r="AC999" s="158">
        <f t="shared" ca="1" si="2168"/>
        <v>0</v>
      </c>
      <c r="AD999" s="164"/>
      <c r="AE999" s="148">
        <f t="shared" si="2056"/>
        <v>0</v>
      </c>
      <c r="AF999" s="149"/>
      <c r="AG999" s="150"/>
      <c r="AH999" s="159" t="e">
        <f t="shared" si="2169"/>
        <v>#DIV/0!</v>
      </c>
      <c r="AI999" s="160"/>
      <c r="AJ999" s="219"/>
      <c r="AK999" s="219"/>
      <c r="AM999" s="219"/>
      <c r="AN999" s="219"/>
      <c r="AO999" s="219"/>
      <c r="AP999" s="219"/>
      <c r="AQ999" s="219"/>
      <c r="AR999" s="219"/>
    </row>
    <row r="1000" spans="1:44" s="49" customFormat="1" ht="40.15" hidden="1" customHeight="1">
      <c r="A1000" s="152">
        <f t="shared" ca="1" si="2057"/>
        <v>0</v>
      </c>
      <c r="B1000" s="153"/>
      <c r="C1000" s="154"/>
      <c r="D1000" s="154"/>
      <c r="E1000" s="161" t="s">
        <v>353</v>
      </c>
      <c r="F1000" s="154"/>
      <c r="G1000" s="154"/>
      <c r="H1000" s="152"/>
      <c r="I1000" s="152"/>
      <c r="J1000" s="154"/>
      <c r="K1000" s="154"/>
      <c r="L1000" s="154"/>
      <c r="M1000" s="154"/>
      <c r="N1000" s="154"/>
      <c r="O1000" s="162"/>
      <c r="P1000" s="162"/>
      <c r="Q1000" s="162"/>
      <c r="R1000" s="162"/>
      <c r="S1000" s="162"/>
      <c r="T1000" s="162"/>
      <c r="U1000" s="162"/>
      <c r="V1000" s="162"/>
      <c r="W1000" s="162"/>
      <c r="X1000" s="163"/>
      <c r="Y1000" s="163"/>
      <c r="Z1000" s="163"/>
      <c r="AA1000" s="163"/>
      <c r="AB1000" s="163"/>
      <c r="AC1000" s="163"/>
      <c r="AD1000" s="164"/>
      <c r="AE1000" s="148">
        <f t="shared" si="2056"/>
        <v>0</v>
      </c>
      <c r="AF1000" s="149"/>
      <c r="AG1000" s="150"/>
      <c r="AH1000" s="159"/>
      <c r="AI1000" s="160"/>
      <c r="AJ1000" s="105"/>
      <c r="AK1000" s="105"/>
      <c r="AM1000" s="105"/>
      <c r="AN1000" s="105"/>
      <c r="AO1000" s="105"/>
      <c r="AP1000" s="105"/>
      <c r="AQ1000" s="105"/>
      <c r="AR1000" s="105"/>
    </row>
    <row r="1001" spans="1:44" s="220" customFormat="1" ht="40.15" hidden="1" customHeight="1">
      <c r="A1001" s="152">
        <f t="shared" ca="1" si="2057"/>
        <v>0</v>
      </c>
      <c r="B1001" s="153" t="s">
        <v>346</v>
      </c>
      <c r="C1001" s="154" t="str">
        <f t="shared" ref="C1001:C1006" si="2191">TEXT(B1001,"0")</f>
        <v>SEL-307</v>
      </c>
      <c r="D1001" s="154">
        <v>0</v>
      </c>
      <c r="E1001" s="155" t="s">
        <v>3766</v>
      </c>
      <c r="F1001" s="154"/>
      <c r="G1001" s="154">
        <v>0</v>
      </c>
      <c r="H1001" s="152">
        <v>0</v>
      </c>
      <c r="I1001" s="152">
        <v>0</v>
      </c>
      <c r="J1001" s="156"/>
      <c r="K1001" s="156"/>
      <c r="L1001" s="156">
        <f t="shared" ref="L1001:L1006" si="2192">IF($K1001&gt;$J1001,$K1001-$J1001,0)</f>
        <v>0</v>
      </c>
      <c r="M1001" s="156">
        <f t="shared" ref="M1001:M1006" si="2193">IF($K1001&lt;$J1001,$J1001-$K1001,0)</f>
        <v>0</v>
      </c>
      <c r="N1001" s="156" t="s">
        <v>83</v>
      </c>
      <c r="O1001" s="157" cm="1">
        <f t="array" ref="O1001">TRUNC($H1001*(1+_xlfn.SWITCH($N1001,"BDI 1",$O$6,"BDI 2",$O$7,"BDI 3",$O$8)),2)</f>
        <v>0</v>
      </c>
      <c r="P1001" s="157" cm="1">
        <f t="array" ref="P1001">TRUNC($I1001*(1+_xlfn.SWITCH($N1001,"BDI 1",$P$6,"BDI 2",$P$7,"BDI 3",$P$8)),2)</f>
        <v>0</v>
      </c>
      <c r="Q1001" s="157">
        <v>0</v>
      </c>
      <c r="R1001" s="157">
        <f t="shared" ref="R1001" si="2194">$Q1001-($Q1001*LICITACAO_DESCONTO)</f>
        <v>0</v>
      </c>
      <c r="S1001" s="156">
        <f t="shared" ref="S1001:S1006" si="2195">TRUNC($K1001*$O1001,2)</f>
        <v>0</v>
      </c>
      <c r="T1001" s="156">
        <f t="shared" ref="T1001:T1006" si="2196">TRUNC($K1001*$P1001,2)</f>
        <v>0</v>
      </c>
      <c r="U1001" s="156">
        <f t="shared" ref="U1001:U1006" si="2197">TRUNC($J1001*$R1001,2)</f>
        <v>0</v>
      </c>
      <c r="V1001" s="156">
        <f t="shared" ref="V1001:V1006" si="2198">TRUNC($K1001*$Q1001,2)</f>
        <v>0</v>
      </c>
      <c r="W1001" s="156">
        <f t="shared" ref="W1001:W1006" si="2199">TRUNC(V1001-U1001,2)</f>
        <v>0</v>
      </c>
      <c r="X1001" s="158">
        <f t="shared" ref="X1001" si="2200">$S1001/ORCAMENTO_VALOR_TOTAL_ND</f>
        <v>0</v>
      </c>
      <c r="Y1001" s="158">
        <f t="shared" ref="Y1001" si="2201">$T1001/ORCAMENTO_VALOR_TOTAL_DE</f>
        <v>0</v>
      </c>
      <c r="Z1001" s="158" cm="1">
        <f t="array" ref="Z1001">_xlfn.SWITCH($N1001,"BDI 1",$O$6,"BDI 2",$O$7,"BDI 3",$O$8)</f>
        <v>0.20699999999999999</v>
      </c>
      <c r="AA1001" s="158" cm="1">
        <f t="array" ref="AA1001">_xlfn.SWITCH($N1001,"BDI 1",$P$6,"BDI 2",$P$7,"BDI 3",$P$8)</f>
        <v>0.26739999999999997</v>
      </c>
      <c r="AB1001" s="158">
        <f t="shared" ref="AB1001:AB1006" ca="1" si="2202">IFERROR($S1001/_xlfn.XLOOKUP($AE1001,$B$16:$B$38,$S$16:$S$38),0)</f>
        <v>0</v>
      </c>
      <c r="AC1001" s="158">
        <f t="shared" ref="AC1001:AC1006" ca="1" si="2203">IFERROR($T1001/_xlfn.XLOOKUP($AE1001,$B$16:$B$38,$T$16:$T$38),0)</f>
        <v>0</v>
      </c>
      <c r="AD1001" s="164"/>
      <c r="AE1001" s="148">
        <f t="shared" si="2056"/>
        <v>0</v>
      </c>
      <c r="AF1001" s="149"/>
      <c r="AG1001" s="150"/>
      <c r="AH1001" s="159" t="e">
        <f t="shared" ref="AH1001:AH1006" si="2204">+S1001/$S$961</f>
        <v>#DIV/0!</v>
      </c>
      <c r="AI1001" s="160"/>
      <c r="AJ1001" s="184" t="e">
        <v>#N/A</v>
      </c>
      <c r="AK1001" s="183" t="e">
        <f>+K1001/AJ1001</f>
        <v>#N/A</v>
      </c>
      <c r="AM1001" s="219"/>
      <c r="AN1001" s="219"/>
      <c r="AO1001" s="219"/>
      <c r="AP1001" s="219"/>
      <c r="AQ1001" s="219" t="e">
        <f>K1001+K1018+K1030+K1039+K1044+K1057+K1072+K1081+K1090+#REF!+K1121</f>
        <v>#REF!</v>
      </c>
      <c r="AR1001" s="219"/>
    </row>
    <row r="1002" spans="1:44" s="220" customFormat="1" ht="40.15" hidden="1" customHeight="1">
      <c r="A1002" s="152">
        <f t="shared" ca="1" si="2057"/>
        <v>0</v>
      </c>
      <c r="B1002" s="153">
        <v>103673</v>
      </c>
      <c r="C1002" s="154" t="str">
        <f t="shared" si="2191"/>
        <v>103673</v>
      </c>
      <c r="D1002" s="154" t="s">
        <v>1416</v>
      </c>
      <c r="E1002" s="155" t="s">
        <v>3795</v>
      </c>
      <c r="F1002" s="154"/>
      <c r="G1002" s="154" t="s">
        <v>464</v>
      </c>
      <c r="H1002" s="152">
        <v>38.33</v>
      </c>
      <c r="I1002" s="152">
        <v>34.799999999999997</v>
      </c>
      <c r="J1002" s="156"/>
      <c r="K1002" s="156"/>
      <c r="L1002" s="156">
        <f t="shared" si="2192"/>
        <v>0</v>
      </c>
      <c r="M1002" s="156">
        <f t="shared" si="2193"/>
        <v>0</v>
      </c>
      <c r="N1002" s="156" t="s">
        <v>83</v>
      </c>
      <c r="O1002" s="157" cm="1">
        <f t="array" ref="O1002">TRUNC($H1002*(1+_xlfn.SWITCH($N1002,"BDI 1",$O$6,"BDI 2",$O$7,"BDI 3",$O$8)),2)</f>
        <v>46.26</v>
      </c>
      <c r="P1002" s="157" cm="1">
        <f t="array" ref="P1002">TRUNC($I1002*(1+_xlfn.SWITCH($N1002,"BDI 1",$P$6,"BDI 2",$P$7,"BDI 3",$P$8)),2)</f>
        <v>44.1</v>
      </c>
      <c r="Q1002" s="157">
        <v>0</v>
      </c>
      <c r="R1002" s="157">
        <f t="shared" ref="R1002" si="2205">$Q1002-($Q1002*LICITACAO_DESCONTO)</f>
        <v>0</v>
      </c>
      <c r="S1002" s="156">
        <f t="shared" si="2195"/>
        <v>0</v>
      </c>
      <c r="T1002" s="156">
        <f t="shared" si="2196"/>
        <v>0</v>
      </c>
      <c r="U1002" s="156">
        <f t="shared" si="2197"/>
        <v>0</v>
      </c>
      <c r="V1002" s="156">
        <f t="shared" si="2198"/>
        <v>0</v>
      </c>
      <c r="W1002" s="156">
        <f t="shared" si="2199"/>
        <v>0</v>
      </c>
      <c r="X1002" s="158">
        <f t="shared" ref="X1002" si="2206">$S1002/ORCAMENTO_VALOR_TOTAL_ND</f>
        <v>0</v>
      </c>
      <c r="Y1002" s="158">
        <f t="shared" ref="Y1002" si="2207">$T1002/ORCAMENTO_VALOR_TOTAL_DE</f>
        <v>0</v>
      </c>
      <c r="Z1002" s="158" cm="1">
        <f t="array" ref="Z1002">_xlfn.SWITCH($N1002,"BDI 1",$O$6,"BDI 2",$O$7,"BDI 3",$O$8)</f>
        <v>0.20699999999999999</v>
      </c>
      <c r="AA1002" s="158" cm="1">
        <f t="array" ref="AA1002">_xlfn.SWITCH($N1002,"BDI 1",$P$6,"BDI 2",$P$7,"BDI 3",$P$8)</f>
        <v>0.26739999999999997</v>
      </c>
      <c r="AB1002" s="158">
        <f t="shared" ca="1" si="2202"/>
        <v>0</v>
      </c>
      <c r="AC1002" s="158">
        <f t="shared" ca="1" si="2203"/>
        <v>0</v>
      </c>
      <c r="AD1002" s="164"/>
      <c r="AE1002" s="148">
        <f t="shared" si="2056"/>
        <v>0</v>
      </c>
      <c r="AF1002" s="149"/>
      <c r="AG1002" s="150"/>
      <c r="AH1002" s="159" t="e">
        <f t="shared" si="2204"/>
        <v>#DIV/0!</v>
      </c>
      <c r="AI1002" s="165" t="s">
        <v>101</v>
      </c>
      <c r="AJ1002" s="219"/>
      <c r="AK1002" s="219"/>
      <c r="AM1002" s="219"/>
      <c r="AN1002" s="219"/>
      <c r="AO1002" s="219"/>
      <c r="AP1002" s="219"/>
      <c r="AQ1002" s="219"/>
      <c r="AR1002" s="219"/>
    </row>
    <row r="1003" spans="1:44" s="220" customFormat="1" ht="40.15" hidden="1" customHeight="1">
      <c r="A1003" s="152">
        <f t="shared" ca="1" si="2057"/>
        <v>0</v>
      </c>
      <c r="B1003" s="153">
        <v>92263</v>
      </c>
      <c r="C1003" s="154" t="str">
        <f t="shared" si="2191"/>
        <v>92263</v>
      </c>
      <c r="D1003" s="154" t="s">
        <v>1416</v>
      </c>
      <c r="E1003" s="155" t="s">
        <v>3947</v>
      </c>
      <c r="F1003" s="154"/>
      <c r="G1003" s="154" t="s">
        <v>1418</v>
      </c>
      <c r="H1003" s="152">
        <v>169.96</v>
      </c>
      <c r="I1003" s="152">
        <v>165.9</v>
      </c>
      <c r="J1003" s="156"/>
      <c r="K1003" s="156"/>
      <c r="L1003" s="156">
        <f t="shared" si="2192"/>
        <v>0</v>
      </c>
      <c r="M1003" s="156">
        <f t="shared" si="2193"/>
        <v>0</v>
      </c>
      <c r="N1003" s="156" t="s">
        <v>83</v>
      </c>
      <c r="O1003" s="157" cm="1">
        <f t="array" ref="O1003">TRUNC($H1003*(1+_xlfn.SWITCH($N1003,"BDI 1",$O$6,"BDI 2",$O$7,"BDI 3",$O$8)),2)</f>
        <v>205.14</v>
      </c>
      <c r="P1003" s="157" cm="1">
        <f t="array" ref="P1003">TRUNC($I1003*(1+_xlfn.SWITCH($N1003,"BDI 1",$P$6,"BDI 2",$P$7,"BDI 3",$P$8)),2)</f>
        <v>210.26</v>
      </c>
      <c r="Q1003" s="157">
        <v>0</v>
      </c>
      <c r="R1003" s="157">
        <f t="shared" ref="R1003" si="2208">$Q1003-($Q1003*LICITACAO_DESCONTO)</f>
        <v>0</v>
      </c>
      <c r="S1003" s="156">
        <f t="shared" si="2195"/>
        <v>0</v>
      </c>
      <c r="T1003" s="156">
        <f t="shared" si="2196"/>
        <v>0</v>
      </c>
      <c r="U1003" s="156">
        <f t="shared" si="2197"/>
        <v>0</v>
      </c>
      <c r="V1003" s="156">
        <f t="shared" si="2198"/>
        <v>0</v>
      </c>
      <c r="W1003" s="156">
        <f t="shared" si="2199"/>
        <v>0</v>
      </c>
      <c r="X1003" s="158">
        <f t="shared" ref="X1003" si="2209">$S1003/ORCAMENTO_VALOR_TOTAL_ND</f>
        <v>0</v>
      </c>
      <c r="Y1003" s="158">
        <f t="shared" ref="Y1003" si="2210">$T1003/ORCAMENTO_VALOR_TOTAL_DE</f>
        <v>0</v>
      </c>
      <c r="Z1003" s="158" cm="1">
        <f t="array" ref="Z1003">_xlfn.SWITCH($N1003,"BDI 1",$O$6,"BDI 2",$O$7,"BDI 3",$O$8)</f>
        <v>0.20699999999999999</v>
      </c>
      <c r="AA1003" s="158" cm="1">
        <f t="array" ref="AA1003">_xlfn.SWITCH($N1003,"BDI 1",$P$6,"BDI 2",$P$7,"BDI 3",$P$8)</f>
        <v>0.26739999999999997</v>
      </c>
      <c r="AB1003" s="158">
        <f t="shared" ca="1" si="2202"/>
        <v>0</v>
      </c>
      <c r="AC1003" s="158">
        <f t="shared" ca="1" si="2203"/>
        <v>0</v>
      </c>
      <c r="AD1003" s="164"/>
      <c r="AE1003" s="148">
        <f t="shared" si="2056"/>
        <v>0</v>
      </c>
      <c r="AF1003" s="149"/>
      <c r="AG1003" s="150"/>
      <c r="AH1003" s="159" t="e">
        <f t="shared" si="2204"/>
        <v>#DIV/0!</v>
      </c>
      <c r="AI1003" s="165" t="s">
        <v>101</v>
      </c>
      <c r="AJ1003" s="219"/>
      <c r="AK1003" s="219"/>
      <c r="AM1003" s="219"/>
      <c r="AN1003" s="219"/>
      <c r="AO1003" s="219"/>
      <c r="AP1003" s="219"/>
      <c r="AQ1003" s="219"/>
      <c r="AR1003" s="219"/>
    </row>
    <row r="1004" spans="1:44" s="220" customFormat="1" ht="40.15" hidden="1" customHeight="1">
      <c r="A1004" s="152">
        <f t="shared" ca="1" si="2057"/>
        <v>0</v>
      </c>
      <c r="B1004" s="153">
        <v>92760</v>
      </c>
      <c r="C1004" s="154" t="str">
        <f t="shared" si="2191"/>
        <v>92760</v>
      </c>
      <c r="D1004" s="154" t="s">
        <v>1416</v>
      </c>
      <c r="E1004" s="155" t="s">
        <v>3948</v>
      </c>
      <c r="F1004" s="154"/>
      <c r="G1004" s="154" t="s">
        <v>3802</v>
      </c>
      <c r="H1004" s="152">
        <v>13.61</v>
      </c>
      <c r="I1004" s="152">
        <v>13.23</v>
      </c>
      <c r="J1004" s="156"/>
      <c r="K1004" s="156"/>
      <c r="L1004" s="156">
        <f t="shared" si="2192"/>
        <v>0</v>
      </c>
      <c r="M1004" s="156">
        <f t="shared" si="2193"/>
        <v>0</v>
      </c>
      <c r="N1004" s="156" t="s">
        <v>83</v>
      </c>
      <c r="O1004" s="157" cm="1">
        <f t="array" ref="O1004">TRUNC($H1004*(1+_xlfn.SWITCH($N1004,"BDI 1",$O$6,"BDI 2",$O$7,"BDI 3",$O$8)),2)</f>
        <v>16.420000000000002</v>
      </c>
      <c r="P1004" s="157" cm="1">
        <f t="array" ref="P1004">TRUNC($I1004*(1+_xlfn.SWITCH($N1004,"BDI 1",$P$6,"BDI 2",$P$7,"BDI 3",$P$8)),2)</f>
        <v>16.760000000000002</v>
      </c>
      <c r="Q1004" s="157">
        <v>0</v>
      </c>
      <c r="R1004" s="157">
        <f t="shared" ref="R1004" si="2211">$Q1004-($Q1004*LICITACAO_DESCONTO)</f>
        <v>0</v>
      </c>
      <c r="S1004" s="156">
        <f t="shared" si="2195"/>
        <v>0</v>
      </c>
      <c r="T1004" s="156">
        <f t="shared" si="2196"/>
        <v>0</v>
      </c>
      <c r="U1004" s="156">
        <f t="shared" si="2197"/>
        <v>0</v>
      </c>
      <c r="V1004" s="156">
        <f t="shared" si="2198"/>
        <v>0</v>
      </c>
      <c r="W1004" s="156">
        <f t="shared" si="2199"/>
        <v>0</v>
      </c>
      <c r="X1004" s="158">
        <f t="shared" ref="X1004" si="2212">$S1004/ORCAMENTO_VALOR_TOTAL_ND</f>
        <v>0</v>
      </c>
      <c r="Y1004" s="158">
        <f t="shared" ref="Y1004" si="2213">$T1004/ORCAMENTO_VALOR_TOTAL_DE</f>
        <v>0</v>
      </c>
      <c r="Z1004" s="158" cm="1">
        <f t="array" ref="Z1004">_xlfn.SWITCH($N1004,"BDI 1",$O$6,"BDI 2",$O$7,"BDI 3",$O$8)</f>
        <v>0.20699999999999999</v>
      </c>
      <c r="AA1004" s="158" cm="1">
        <f t="array" ref="AA1004">_xlfn.SWITCH($N1004,"BDI 1",$P$6,"BDI 2",$P$7,"BDI 3",$P$8)</f>
        <v>0.26739999999999997</v>
      </c>
      <c r="AB1004" s="158">
        <f t="shared" ca="1" si="2202"/>
        <v>0</v>
      </c>
      <c r="AC1004" s="158">
        <f t="shared" ca="1" si="2203"/>
        <v>0</v>
      </c>
      <c r="AD1004" s="164"/>
      <c r="AE1004" s="148">
        <f t="shared" si="2056"/>
        <v>0</v>
      </c>
      <c r="AF1004" s="149"/>
      <c r="AG1004" s="150"/>
      <c r="AH1004" s="159" t="e">
        <f t="shared" si="2204"/>
        <v>#DIV/0!</v>
      </c>
      <c r="AI1004" s="165" t="s">
        <v>243</v>
      </c>
      <c r="AJ1004" s="219"/>
      <c r="AK1004" s="219"/>
      <c r="AM1004" s="219"/>
      <c r="AN1004" s="219"/>
      <c r="AO1004" s="219"/>
      <c r="AP1004" s="219"/>
      <c r="AQ1004" s="219"/>
      <c r="AR1004" s="219"/>
    </row>
    <row r="1005" spans="1:44" s="220" customFormat="1" ht="40.15" hidden="1" customHeight="1">
      <c r="A1005" s="152">
        <f t="shared" ca="1" si="2057"/>
        <v>0</v>
      </c>
      <c r="B1005" s="153">
        <v>92766</v>
      </c>
      <c r="C1005" s="154" t="str">
        <f t="shared" si="2191"/>
        <v>92766</v>
      </c>
      <c r="D1005" s="154" t="s">
        <v>1416</v>
      </c>
      <c r="E1005" s="155" t="s">
        <v>3949</v>
      </c>
      <c r="F1005" s="154"/>
      <c r="G1005" s="154" t="s">
        <v>3802</v>
      </c>
      <c r="H1005" s="152">
        <v>10.77</v>
      </c>
      <c r="I1005" s="152">
        <v>10.66</v>
      </c>
      <c r="J1005" s="156"/>
      <c r="K1005" s="156"/>
      <c r="L1005" s="156">
        <f t="shared" si="2192"/>
        <v>0</v>
      </c>
      <c r="M1005" s="156">
        <f t="shared" si="2193"/>
        <v>0</v>
      </c>
      <c r="N1005" s="156" t="s">
        <v>83</v>
      </c>
      <c r="O1005" s="157" cm="1">
        <f t="array" ref="O1005">TRUNC($H1005*(1+_xlfn.SWITCH($N1005,"BDI 1",$O$6,"BDI 2",$O$7,"BDI 3",$O$8)),2)</f>
        <v>12.99</v>
      </c>
      <c r="P1005" s="157" cm="1">
        <f t="array" ref="P1005">TRUNC($I1005*(1+_xlfn.SWITCH($N1005,"BDI 1",$P$6,"BDI 2",$P$7,"BDI 3",$P$8)),2)</f>
        <v>13.51</v>
      </c>
      <c r="Q1005" s="157">
        <v>0</v>
      </c>
      <c r="R1005" s="157">
        <f t="shared" ref="R1005" si="2214">$Q1005-($Q1005*LICITACAO_DESCONTO)</f>
        <v>0</v>
      </c>
      <c r="S1005" s="156">
        <f t="shared" si="2195"/>
        <v>0</v>
      </c>
      <c r="T1005" s="156">
        <f t="shared" si="2196"/>
        <v>0</v>
      </c>
      <c r="U1005" s="156">
        <f t="shared" si="2197"/>
        <v>0</v>
      </c>
      <c r="V1005" s="156">
        <f t="shared" si="2198"/>
        <v>0</v>
      </c>
      <c r="W1005" s="156">
        <f t="shared" si="2199"/>
        <v>0</v>
      </c>
      <c r="X1005" s="158">
        <f t="shared" ref="X1005" si="2215">$S1005/ORCAMENTO_VALOR_TOTAL_ND</f>
        <v>0</v>
      </c>
      <c r="Y1005" s="158">
        <f t="shared" ref="Y1005" si="2216">$T1005/ORCAMENTO_VALOR_TOTAL_DE</f>
        <v>0</v>
      </c>
      <c r="Z1005" s="158" cm="1">
        <f t="array" ref="Z1005">_xlfn.SWITCH($N1005,"BDI 1",$O$6,"BDI 2",$O$7,"BDI 3",$O$8)</f>
        <v>0.20699999999999999</v>
      </c>
      <c r="AA1005" s="158" cm="1">
        <f t="array" ref="AA1005">_xlfn.SWITCH($N1005,"BDI 1",$P$6,"BDI 2",$P$7,"BDI 3",$P$8)</f>
        <v>0.26739999999999997</v>
      </c>
      <c r="AB1005" s="158">
        <f t="shared" ca="1" si="2202"/>
        <v>0</v>
      </c>
      <c r="AC1005" s="158">
        <f t="shared" ca="1" si="2203"/>
        <v>0</v>
      </c>
      <c r="AD1005" s="164"/>
      <c r="AE1005" s="148">
        <f t="shared" si="2056"/>
        <v>0</v>
      </c>
      <c r="AF1005" s="149"/>
      <c r="AG1005" s="150"/>
      <c r="AH1005" s="159" t="e">
        <f t="shared" si="2204"/>
        <v>#DIV/0!</v>
      </c>
      <c r="AI1005" s="160"/>
      <c r="AJ1005" s="219"/>
      <c r="AK1005" s="219"/>
      <c r="AM1005" s="219"/>
      <c r="AN1005" s="219"/>
      <c r="AO1005" s="219"/>
      <c r="AP1005" s="219"/>
      <c r="AQ1005" s="219"/>
      <c r="AR1005" s="219"/>
    </row>
    <row r="1006" spans="1:44" s="220" customFormat="1" ht="40.15" hidden="1" customHeight="1">
      <c r="A1006" s="152">
        <f t="shared" ca="1" si="2057"/>
        <v>0</v>
      </c>
      <c r="B1006" s="153" t="s">
        <v>352</v>
      </c>
      <c r="C1006" s="154" t="str">
        <f t="shared" si="2191"/>
        <v>EC/0170</v>
      </c>
      <c r="D1006" s="154" t="s">
        <v>3549</v>
      </c>
      <c r="E1006" s="155" t="s">
        <v>3945</v>
      </c>
      <c r="F1006" s="154"/>
      <c r="G1006" s="154" t="s">
        <v>3946</v>
      </c>
      <c r="H1006" s="152">
        <v>52.05</v>
      </c>
      <c r="I1006" s="152">
        <v>50.33</v>
      </c>
      <c r="J1006" s="156"/>
      <c r="K1006" s="156"/>
      <c r="L1006" s="156">
        <f t="shared" si="2192"/>
        <v>0</v>
      </c>
      <c r="M1006" s="156">
        <f t="shared" si="2193"/>
        <v>0</v>
      </c>
      <c r="N1006" s="156" t="s">
        <v>83</v>
      </c>
      <c r="O1006" s="157" cm="1">
        <f t="array" ref="O1006">TRUNC($H1006*(1+_xlfn.SWITCH($N1006,"BDI 1",$O$6,"BDI 2",$O$7,"BDI 3",$O$8)),2)</f>
        <v>62.82</v>
      </c>
      <c r="P1006" s="157" cm="1">
        <f t="array" ref="P1006">TRUNC($I1006*(1+_xlfn.SWITCH($N1006,"BDI 1",$P$6,"BDI 2",$P$7,"BDI 3",$P$8)),2)</f>
        <v>63.78</v>
      </c>
      <c r="Q1006" s="157">
        <v>0</v>
      </c>
      <c r="R1006" s="157">
        <f t="shared" ref="R1006" si="2217">$Q1006-($Q1006*LICITACAO_DESCONTO)</f>
        <v>0</v>
      </c>
      <c r="S1006" s="156">
        <f t="shared" si="2195"/>
        <v>0</v>
      </c>
      <c r="T1006" s="156">
        <f t="shared" si="2196"/>
        <v>0</v>
      </c>
      <c r="U1006" s="156">
        <f t="shared" si="2197"/>
        <v>0</v>
      </c>
      <c r="V1006" s="156">
        <f t="shared" si="2198"/>
        <v>0</v>
      </c>
      <c r="W1006" s="156">
        <f t="shared" si="2199"/>
        <v>0</v>
      </c>
      <c r="X1006" s="158">
        <f t="shared" ref="X1006" si="2218">$S1006/ORCAMENTO_VALOR_TOTAL_ND</f>
        <v>0</v>
      </c>
      <c r="Y1006" s="158">
        <f t="shared" ref="Y1006" si="2219">$T1006/ORCAMENTO_VALOR_TOTAL_DE</f>
        <v>0</v>
      </c>
      <c r="Z1006" s="158" cm="1">
        <f t="array" ref="Z1006">_xlfn.SWITCH($N1006,"BDI 1",$O$6,"BDI 2",$O$7,"BDI 3",$O$8)</f>
        <v>0.20699999999999999</v>
      </c>
      <c r="AA1006" s="158" cm="1">
        <f t="array" ref="AA1006">_xlfn.SWITCH($N1006,"BDI 1",$P$6,"BDI 2",$P$7,"BDI 3",$P$8)</f>
        <v>0.26739999999999997</v>
      </c>
      <c r="AB1006" s="158">
        <f t="shared" ca="1" si="2202"/>
        <v>0</v>
      </c>
      <c r="AC1006" s="158">
        <f t="shared" ca="1" si="2203"/>
        <v>0</v>
      </c>
      <c r="AD1006" s="164"/>
      <c r="AE1006" s="148">
        <f t="shared" si="2056"/>
        <v>0</v>
      </c>
      <c r="AF1006" s="149"/>
      <c r="AG1006" s="150"/>
      <c r="AH1006" s="159" t="e">
        <f t="shared" si="2204"/>
        <v>#DIV/0!</v>
      </c>
      <c r="AI1006" s="160"/>
      <c r="AJ1006" s="219"/>
      <c r="AK1006" s="219"/>
      <c r="AM1006" s="219"/>
      <c r="AN1006" s="219"/>
      <c r="AO1006" s="219"/>
      <c r="AP1006" s="219"/>
      <c r="AQ1006" s="219"/>
      <c r="AR1006" s="219"/>
    </row>
    <row r="1007" spans="1:44" s="49" customFormat="1" ht="40.15" hidden="1" customHeight="1">
      <c r="A1007" s="152">
        <f t="shared" ca="1" si="2057"/>
        <v>0</v>
      </c>
      <c r="B1007" s="153"/>
      <c r="C1007" s="154"/>
      <c r="D1007" s="154"/>
      <c r="E1007" s="161" t="s">
        <v>354</v>
      </c>
      <c r="F1007" s="154"/>
      <c r="G1007" s="154"/>
      <c r="H1007" s="152"/>
      <c r="I1007" s="152"/>
      <c r="J1007" s="154"/>
      <c r="K1007" s="154"/>
      <c r="L1007" s="154"/>
      <c r="M1007" s="154"/>
      <c r="N1007" s="154"/>
      <c r="O1007" s="162"/>
      <c r="P1007" s="162"/>
      <c r="Q1007" s="162"/>
      <c r="R1007" s="162"/>
      <c r="S1007" s="162"/>
      <c r="T1007" s="162"/>
      <c r="U1007" s="162"/>
      <c r="V1007" s="162"/>
      <c r="W1007" s="162"/>
      <c r="X1007" s="163"/>
      <c r="Y1007" s="163"/>
      <c r="Z1007" s="163"/>
      <c r="AA1007" s="163"/>
      <c r="AB1007" s="163"/>
      <c r="AC1007" s="163"/>
      <c r="AD1007" s="164"/>
      <c r="AE1007" s="148">
        <f t="shared" si="2056"/>
        <v>0</v>
      </c>
      <c r="AF1007" s="149"/>
      <c r="AG1007" s="150"/>
      <c r="AH1007" s="159"/>
      <c r="AI1007" s="160"/>
      <c r="AJ1007" s="105"/>
      <c r="AK1007" s="105"/>
      <c r="AM1007" s="105"/>
      <c r="AN1007" s="105"/>
      <c r="AO1007" s="105"/>
      <c r="AP1007" s="105"/>
      <c r="AQ1007" s="105"/>
      <c r="AR1007" s="105"/>
    </row>
    <row r="1008" spans="1:44" s="220" customFormat="1" ht="40.15" hidden="1" customHeight="1">
      <c r="A1008" s="152">
        <f t="shared" ca="1" si="2057"/>
        <v>0</v>
      </c>
      <c r="B1008" s="153" t="s">
        <v>346</v>
      </c>
      <c r="C1008" s="154" t="str">
        <f t="shared" ref="C1008:C1013" si="2220">TEXT(B1008,"0")</f>
        <v>SEL-307</v>
      </c>
      <c r="D1008" s="154">
        <v>0</v>
      </c>
      <c r="E1008" s="155" t="s">
        <v>3766</v>
      </c>
      <c r="F1008" s="154"/>
      <c r="G1008" s="154">
        <v>0</v>
      </c>
      <c r="H1008" s="152">
        <v>0</v>
      </c>
      <c r="I1008" s="152">
        <v>0</v>
      </c>
      <c r="J1008" s="156"/>
      <c r="K1008" s="156"/>
      <c r="L1008" s="156">
        <f t="shared" ref="L1008:L1013" si="2221">IF($K1008&gt;$J1008,$K1008-$J1008,0)</f>
        <v>0</v>
      </c>
      <c r="M1008" s="156">
        <f t="shared" ref="M1008:M1013" si="2222">IF($K1008&lt;$J1008,$J1008-$K1008,0)</f>
        <v>0</v>
      </c>
      <c r="N1008" s="156" t="s">
        <v>83</v>
      </c>
      <c r="O1008" s="157" cm="1">
        <f t="array" ref="O1008">TRUNC($H1008*(1+_xlfn.SWITCH($N1008,"BDI 1",$O$6,"BDI 2",$O$7,"BDI 3",$O$8)),2)</f>
        <v>0</v>
      </c>
      <c r="P1008" s="157" cm="1">
        <f t="array" ref="P1008">TRUNC($I1008*(1+_xlfn.SWITCH($N1008,"BDI 1",$P$6,"BDI 2",$P$7,"BDI 3",$P$8)),2)</f>
        <v>0</v>
      </c>
      <c r="Q1008" s="157">
        <v>0</v>
      </c>
      <c r="R1008" s="157">
        <f t="shared" ref="R1008" si="2223">$Q1008-($Q1008*LICITACAO_DESCONTO)</f>
        <v>0</v>
      </c>
      <c r="S1008" s="156">
        <f t="shared" ref="S1008:S1013" si="2224">TRUNC($K1008*$O1008,2)</f>
        <v>0</v>
      </c>
      <c r="T1008" s="156">
        <f t="shared" ref="T1008:T1013" si="2225">TRUNC($K1008*$P1008,2)</f>
        <v>0</v>
      </c>
      <c r="U1008" s="156">
        <f t="shared" ref="U1008:U1013" si="2226">TRUNC($J1008*$R1008,2)</f>
        <v>0</v>
      </c>
      <c r="V1008" s="156">
        <f t="shared" ref="V1008:V1013" si="2227">TRUNC($K1008*$Q1008,2)</f>
        <v>0</v>
      </c>
      <c r="W1008" s="156">
        <f t="shared" ref="W1008:W1013" si="2228">TRUNC(V1008-U1008,2)</f>
        <v>0</v>
      </c>
      <c r="X1008" s="158">
        <f t="shared" ref="X1008" si="2229">$S1008/ORCAMENTO_VALOR_TOTAL_ND</f>
        <v>0</v>
      </c>
      <c r="Y1008" s="158">
        <f t="shared" ref="Y1008" si="2230">$T1008/ORCAMENTO_VALOR_TOTAL_DE</f>
        <v>0</v>
      </c>
      <c r="Z1008" s="158" cm="1">
        <f t="array" ref="Z1008">_xlfn.SWITCH($N1008,"BDI 1",$O$6,"BDI 2",$O$7,"BDI 3",$O$8)</f>
        <v>0.20699999999999999</v>
      </c>
      <c r="AA1008" s="158" cm="1">
        <f t="array" ref="AA1008">_xlfn.SWITCH($N1008,"BDI 1",$P$6,"BDI 2",$P$7,"BDI 3",$P$8)</f>
        <v>0.26739999999999997</v>
      </c>
      <c r="AB1008" s="158">
        <f t="shared" ref="AB1008:AB1013" ca="1" si="2231">IFERROR($S1008/_xlfn.XLOOKUP($AE1008,$B$16:$B$38,$S$16:$S$38),0)</f>
        <v>0</v>
      </c>
      <c r="AC1008" s="158">
        <f t="shared" ref="AC1008:AC1013" ca="1" si="2232">IFERROR($T1008/_xlfn.XLOOKUP($AE1008,$B$16:$B$38,$T$16:$T$38),0)</f>
        <v>0</v>
      </c>
      <c r="AD1008" s="164"/>
      <c r="AE1008" s="148">
        <f t="shared" si="2056"/>
        <v>0</v>
      </c>
      <c r="AF1008" s="149"/>
      <c r="AG1008" s="150"/>
      <c r="AH1008" s="159" t="e">
        <f t="shared" ref="AH1008:AH1013" si="2233">+S1008/$S$961</f>
        <v>#DIV/0!</v>
      </c>
      <c r="AI1008" s="160"/>
      <c r="AJ1008" s="184" t="e">
        <v>#N/A</v>
      </c>
      <c r="AK1008" s="183" t="e">
        <f>+K1008/AJ1008</f>
        <v>#N/A</v>
      </c>
      <c r="AM1008" s="219"/>
      <c r="AN1008" s="219"/>
      <c r="AO1008" s="219"/>
      <c r="AP1008" s="219"/>
      <c r="AQ1008" s="219">
        <f>K1008+K1026+K1039+K1045+K1052+K1065+K1080+K1089+K1097+K1122+K1130</f>
        <v>0</v>
      </c>
      <c r="AR1008" s="219"/>
    </row>
    <row r="1009" spans="1:44" s="220" customFormat="1" ht="40.15" hidden="1" customHeight="1">
      <c r="A1009" s="152">
        <f t="shared" ca="1" si="2057"/>
        <v>0</v>
      </c>
      <c r="B1009" s="153">
        <v>103673</v>
      </c>
      <c r="C1009" s="154" t="str">
        <f t="shared" si="2220"/>
        <v>103673</v>
      </c>
      <c r="D1009" s="154" t="s">
        <v>1416</v>
      </c>
      <c r="E1009" s="155" t="s">
        <v>3795</v>
      </c>
      <c r="F1009" s="154"/>
      <c r="G1009" s="154" t="s">
        <v>464</v>
      </c>
      <c r="H1009" s="152">
        <v>38.33</v>
      </c>
      <c r="I1009" s="152">
        <v>34.799999999999997</v>
      </c>
      <c r="J1009" s="156"/>
      <c r="K1009" s="156">
        <f>K1008</f>
        <v>0</v>
      </c>
      <c r="L1009" s="156">
        <f t="shared" si="2221"/>
        <v>0</v>
      </c>
      <c r="M1009" s="156">
        <f t="shared" si="2222"/>
        <v>0</v>
      </c>
      <c r="N1009" s="156" t="s">
        <v>83</v>
      </c>
      <c r="O1009" s="157" cm="1">
        <f t="array" ref="O1009">TRUNC($H1009*(1+_xlfn.SWITCH($N1009,"BDI 1",$O$6,"BDI 2",$O$7,"BDI 3",$O$8)),2)</f>
        <v>46.26</v>
      </c>
      <c r="P1009" s="157" cm="1">
        <f t="array" ref="P1009">TRUNC($I1009*(1+_xlfn.SWITCH($N1009,"BDI 1",$P$6,"BDI 2",$P$7,"BDI 3",$P$8)),2)</f>
        <v>44.1</v>
      </c>
      <c r="Q1009" s="157">
        <v>0</v>
      </c>
      <c r="R1009" s="157">
        <f t="shared" ref="R1009" si="2234">$Q1009-($Q1009*LICITACAO_DESCONTO)</f>
        <v>0</v>
      </c>
      <c r="S1009" s="156">
        <f t="shared" si="2224"/>
        <v>0</v>
      </c>
      <c r="T1009" s="156">
        <f t="shared" si="2225"/>
        <v>0</v>
      </c>
      <c r="U1009" s="156">
        <f t="shared" si="2226"/>
        <v>0</v>
      </c>
      <c r="V1009" s="156">
        <f t="shared" si="2227"/>
        <v>0</v>
      </c>
      <c r="W1009" s="156">
        <f t="shared" si="2228"/>
        <v>0</v>
      </c>
      <c r="X1009" s="158">
        <f t="shared" ref="X1009" si="2235">$S1009/ORCAMENTO_VALOR_TOTAL_ND</f>
        <v>0</v>
      </c>
      <c r="Y1009" s="158">
        <f t="shared" ref="Y1009" si="2236">$T1009/ORCAMENTO_VALOR_TOTAL_DE</f>
        <v>0</v>
      </c>
      <c r="Z1009" s="158" cm="1">
        <f t="array" ref="Z1009">_xlfn.SWITCH($N1009,"BDI 1",$O$6,"BDI 2",$O$7,"BDI 3",$O$8)</f>
        <v>0.20699999999999999</v>
      </c>
      <c r="AA1009" s="158" cm="1">
        <f t="array" ref="AA1009">_xlfn.SWITCH($N1009,"BDI 1",$P$6,"BDI 2",$P$7,"BDI 3",$P$8)</f>
        <v>0.26739999999999997</v>
      </c>
      <c r="AB1009" s="158">
        <f t="shared" ca="1" si="2231"/>
        <v>0</v>
      </c>
      <c r="AC1009" s="158">
        <f t="shared" ca="1" si="2232"/>
        <v>0</v>
      </c>
      <c r="AD1009" s="164"/>
      <c r="AE1009" s="148">
        <f t="shared" si="2056"/>
        <v>0</v>
      </c>
      <c r="AF1009" s="149"/>
      <c r="AG1009" s="150"/>
      <c r="AH1009" s="159" t="e">
        <f t="shared" si="2233"/>
        <v>#DIV/0!</v>
      </c>
      <c r="AI1009" s="165" t="s">
        <v>101</v>
      </c>
      <c r="AJ1009" s="219"/>
      <c r="AK1009" s="219"/>
      <c r="AM1009" s="219"/>
      <c r="AN1009" s="219"/>
      <c r="AO1009" s="219"/>
      <c r="AP1009" s="219"/>
      <c r="AQ1009" s="219"/>
      <c r="AR1009" s="219"/>
    </row>
    <row r="1010" spans="1:44" s="220" customFormat="1" ht="40.15" hidden="1" customHeight="1">
      <c r="A1010" s="152">
        <f t="shared" ca="1" si="2057"/>
        <v>0</v>
      </c>
      <c r="B1010" s="153">
        <v>92265</v>
      </c>
      <c r="C1010" s="154" t="str">
        <f t="shared" si="2220"/>
        <v>92265</v>
      </c>
      <c r="D1010" s="154" t="s">
        <v>1416</v>
      </c>
      <c r="E1010" s="155" t="s">
        <v>3950</v>
      </c>
      <c r="F1010" s="154"/>
      <c r="G1010" s="154" t="s">
        <v>1418</v>
      </c>
      <c r="H1010" s="152">
        <v>125.92</v>
      </c>
      <c r="I1010" s="152">
        <v>122.63</v>
      </c>
      <c r="J1010" s="156"/>
      <c r="K1010" s="156"/>
      <c r="L1010" s="156">
        <f t="shared" si="2221"/>
        <v>0</v>
      </c>
      <c r="M1010" s="156">
        <f t="shared" si="2222"/>
        <v>0</v>
      </c>
      <c r="N1010" s="156" t="s">
        <v>83</v>
      </c>
      <c r="O1010" s="157" cm="1">
        <f t="array" ref="O1010">TRUNC($H1010*(1+_xlfn.SWITCH($N1010,"BDI 1",$O$6,"BDI 2",$O$7,"BDI 3",$O$8)),2)</f>
        <v>151.97999999999999</v>
      </c>
      <c r="P1010" s="157" cm="1">
        <f t="array" ref="P1010">TRUNC($I1010*(1+_xlfn.SWITCH($N1010,"BDI 1",$P$6,"BDI 2",$P$7,"BDI 3",$P$8)),2)</f>
        <v>155.41999999999999</v>
      </c>
      <c r="Q1010" s="157">
        <v>0</v>
      </c>
      <c r="R1010" s="157">
        <f t="shared" ref="R1010" si="2237">$Q1010-($Q1010*LICITACAO_DESCONTO)</f>
        <v>0</v>
      </c>
      <c r="S1010" s="156">
        <f t="shared" si="2224"/>
        <v>0</v>
      </c>
      <c r="T1010" s="156">
        <f t="shared" si="2225"/>
        <v>0</v>
      </c>
      <c r="U1010" s="156">
        <f t="shared" si="2226"/>
        <v>0</v>
      </c>
      <c r="V1010" s="156">
        <f t="shared" si="2227"/>
        <v>0</v>
      </c>
      <c r="W1010" s="156">
        <f t="shared" si="2228"/>
        <v>0</v>
      </c>
      <c r="X1010" s="158">
        <f t="shared" ref="X1010" si="2238">$S1010/ORCAMENTO_VALOR_TOTAL_ND</f>
        <v>0</v>
      </c>
      <c r="Y1010" s="158">
        <f t="shared" ref="Y1010" si="2239">$T1010/ORCAMENTO_VALOR_TOTAL_DE</f>
        <v>0</v>
      </c>
      <c r="Z1010" s="158" cm="1">
        <f t="array" ref="Z1010">_xlfn.SWITCH($N1010,"BDI 1",$O$6,"BDI 2",$O$7,"BDI 3",$O$8)</f>
        <v>0.20699999999999999</v>
      </c>
      <c r="AA1010" s="158" cm="1">
        <f t="array" ref="AA1010">_xlfn.SWITCH($N1010,"BDI 1",$P$6,"BDI 2",$P$7,"BDI 3",$P$8)</f>
        <v>0.26739999999999997</v>
      </c>
      <c r="AB1010" s="158">
        <f t="shared" ca="1" si="2231"/>
        <v>0</v>
      </c>
      <c r="AC1010" s="158">
        <f t="shared" ca="1" si="2232"/>
        <v>0</v>
      </c>
      <c r="AD1010" s="164"/>
      <c r="AE1010" s="148">
        <f t="shared" si="2056"/>
        <v>0</v>
      </c>
      <c r="AF1010" s="149"/>
      <c r="AG1010" s="150"/>
      <c r="AH1010" s="159" t="e">
        <f t="shared" si="2233"/>
        <v>#DIV/0!</v>
      </c>
      <c r="AI1010" s="165" t="s">
        <v>101</v>
      </c>
      <c r="AJ1010" s="219"/>
      <c r="AK1010" s="219"/>
      <c r="AM1010" s="219"/>
      <c r="AN1010" s="219"/>
      <c r="AO1010" s="219"/>
      <c r="AP1010" s="219"/>
      <c r="AQ1010" s="219"/>
      <c r="AR1010" s="219"/>
    </row>
    <row r="1011" spans="1:44" s="220" customFormat="1" ht="40.15" hidden="1" customHeight="1">
      <c r="A1011" s="152">
        <f t="shared" ca="1" si="2057"/>
        <v>0</v>
      </c>
      <c r="B1011" s="153">
        <v>92763</v>
      </c>
      <c r="C1011" s="154" t="str">
        <f t="shared" si="2220"/>
        <v>92763</v>
      </c>
      <c r="D1011" s="154" t="s">
        <v>1416</v>
      </c>
      <c r="E1011" s="155" t="s">
        <v>3951</v>
      </c>
      <c r="F1011" s="154"/>
      <c r="G1011" s="154" t="s">
        <v>3802</v>
      </c>
      <c r="H1011" s="152">
        <v>9.7899999999999991</v>
      </c>
      <c r="I1011" s="152">
        <v>9.6300000000000008</v>
      </c>
      <c r="J1011" s="156"/>
      <c r="K1011" s="156"/>
      <c r="L1011" s="156">
        <f t="shared" si="2221"/>
        <v>0</v>
      </c>
      <c r="M1011" s="156">
        <f t="shared" si="2222"/>
        <v>0</v>
      </c>
      <c r="N1011" s="156" t="s">
        <v>83</v>
      </c>
      <c r="O1011" s="157" cm="1">
        <f t="array" ref="O1011">TRUNC($H1011*(1+_xlfn.SWITCH($N1011,"BDI 1",$O$6,"BDI 2",$O$7,"BDI 3",$O$8)),2)</f>
        <v>11.81</v>
      </c>
      <c r="P1011" s="157" cm="1">
        <f t="array" ref="P1011">TRUNC($I1011*(1+_xlfn.SWITCH($N1011,"BDI 1",$P$6,"BDI 2",$P$7,"BDI 3",$P$8)),2)</f>
        <v>12.2</v>
      </c>
      <c r="Q1011" s="157">
        <v>0</v>
      </c>
      <c r="R1011" s="157">
        <f t="shared" ref="R1011" si="2240">$Q1011-($Q1011*LICITACAO_DESCONTO)</f>
        <v>0</v>
      </c>
      <c r="S1011" s="156">
        <f t="shared" si="2224"/>
        <v>0</v>
      </c>
      <c r="T1011" s="156">
        <f t="shared" si="2225"/>
        <v>0</v>
      </c>
      <c r="U1011" s="156">
        <f t="shared" si="2226"/>
        <v>0</v>
      </c>
      <c r="V1011" s="156">
        <f t="shared" si="2227"/>
        <v>0</v>
      </c>
      <c r="W1011" s="156">
        <f t="shared" si="2228"/>
        <v>0</v>
      </c>
      <c r="X1011" s="158">
        <f t="shared" ref="X1011" si="2241">$S1011/ORCAMENTO_VALOR_TOTAL_ND</f>
        <v>0</v>
      </c>
      <c r="Y1011" s="158">
        <f t="shared" ref="Y1011" si="2242">$T1011/ORCAMENTO_VALOR_TOTAL_DE</f>
        <v>0</v>
      </c>
      <c r="Z1011" s="158" cm="1">
        <f t="array" ref="Z1011">_xlfn.SWITCH($N1011,"BDI 1",$O$6,"BDI 2",$O$7,"BDI 3",$O$8)</f>
        <v>0.20699999999999999</v>
      </c>
      <c r="AA1011" s="158" cm="1">
        <f t="array" ref="AA1011">_xlfn.SWITCH($N1011,"BDI 1",$P$6,"BDI 2",$P$7,"BDI 3",$P$8)</f>
        <v>0.26739999999999997</v>
      </c>
      <c r="AB1011" s="158">
        <f t="shared" ca="1" si="2231"/>
        <v>0</v>
      </c>
      <c r="AC1011" s="158">
        <f t="shared" ca="1" si="2232"/>
        <v>0</v>
      </c>
      <c r="AD1011" s="164"/>
      <c r="AE1011" s="148">
        <f t="shared" si="2056"/>
        <v>0</v>
      </c>
      <c r="AF1011" s="149"/>
      <c r="AG1011" s="150"/>
      <c r="AH1011" s="159" t="e">
        <f t="shared" si="2233"/>
        <v>#DIV/0!</v>
      </c>
      <c r="AI1011" s="165" t="s">
        <v>243</v>
      </c>
      <c r="AJ1011" s="219"/>
      <c r="AK1011" s="219"/>
      <c r="AM1011" s="219"/>
      <c r="AN1011" s="219"/>
      <c r="AO1011" s="219"/>
      <c r="AP1011" s="219"/>
      <c r="AQ1011" s="219"/>
      <c r="AR1011" s="219"/>
    </row>
    <row r="1012" spans="1:44" s="220" customFormat="1" ht="40.15" hidden="1" customHeight="1">
      <c r="A1012" s="152">
        <f t="shared" ca="1" si="2057"/>
        <v>0</v>
      </c>
      <c r="B1012" s="153">
        <v>92766</v>
      </c>
      <c r="C1012" s="154" t="str">
        <f t="shared" si="2220"/>
        <v>92766</v>
      </c>
      <c r="D1012" s="154" t="s">
        <v>1416</v>
      </c>
      <c r="E1012" s="155" t="s">
        <v>3949</v>
      </c>
      <c r="F1012" s="154"/>
      <c r="G1012" s="154" t="s">
        <v>3802</v>
      </c>
      <c r="H1012" s="152">
        <v>10.77</v>
      </c>
      <c r="I1012" s="152">
        <v>10.66</v>
      </c>
      <c r="J1012" s="156"/>
      <c r="K1012" s="156"/>
      <c r="L1012" s="156">
        <f t="shared" si="2221"/>
        <v>0</v>
      </c>
      <c r="M1012" s="156">
        <f t="shared" si="2222"/>
        <v>0</v>
      </c>
      <c r="N1012" s="156" t="s">
        <v>83</v>
      </c>
      <c r="O1012" s="157" cm="1">
        <f t="array" ref="O1012">TRUNC($H1012*(1+_xlfn.SWITCH($N1012,"BDI 1",$O$6,"BDI 2",$O$7,"BDI 3",$O$8)),2)</f>
        <v>12.99</v>
      </c>
      <c r="P1012" s="157" cm="1">
        <f t="array" ref="P1012">TRUNC($I1012*(1+_xlfn.SWITCH($N1012,"BDI 1",$P$6,"BDI 2",$P$7,"BDI 3",$P$8)),2)</f>
        <v>13.51</v>
      </c>
      <c r="Q1012" s="157">
        <v>0</v>
      </c>
      <c r="R1012" s="157">
        <f t="shared" ref="R1012" si="2243">$Q1012-($Q1012*LICITACAO_DESCONTO)</f>
        <v>0</v>
      </c>
      <c r="S1012" s="156">
        <f t="shared" si="2224"/>
        <v>0</v>
      </c>
      <c r="T1012" s="156">
        <f t="shared" si="2225"/>
        <v>0</v>
      </c>
      <c r="U1012" s="156">
        <f t="shared" si="2226"/>
        <v>0</v>
      </c>
      <c r="V1012" s="156">
        <f t="shared" si="2227"/>
        <v>0</v>
      </c>
      <c r="W1012" s="156">
        <f t="shared" si="2228"/>
        <v>0</v>
      </c>
      <c r="X1012" s="158">
        <f t="shared" ref="X1012" si="2244">$S1012/ORCAMENTO_VALOR_TOTAL_ND</f>
        <v>0</v>
      </c>
      <c r="Y1012" s="158">
        <f t="shared" ref="Y1012" si="2245">$T1012/ORCAMENTO_VALOR_TOTAL_DE</f>
        <v>0</v>
      </c>
      <c r="Z1012" s="158" cm="1">
        <f t="array" ref="Z1012">_xlfn.SWITCH($N1012,"BDI 1",$O$6,"BDI 2",$O$7,"BDI 3",$O$8)</f>
        <v>0.20699999999999999</v>
      </c>
      <c r="AA1012" s="158" cm="1">
        <f t="array" ref="AA1012">_xlfn.SWITCH($N1012,"BDI 1",$P$6,"BDI 2",$P$7,"BDI 3",$P$8)</f>
        <v>0.26739999999999997</v>
      </c>
      <c r="AB1012" s="158">
        <f t="shared" ca="1" si="2231"/>
        <v>0</v>
      </c>
      <c r="AC1012" s="158">
        <f t="shared" ca="1" si="2232"/>
        <v>0</v>
      </c>
      <c r="AD1012" s="164"/>
      <c r="AE1012" s="148">
        <f t="shared" si="2056"/>
        <v>0</v>
      </c>
      <c r="AF1012" s="149"/>
      <c r="AG1012" s="150"/>
      <c r="AH1012" s="159" t="e">
        <f t="shared" si="2233"/>
        <v>#DIV/0!</v>
      </c>
      <c r="AI1012" s="160"/>
      <c r="AJ1012" s="219"/>
      <c r="AK1012" s="219"/>
      <c r="AM1012" s="219"/>
      <c r="AN1012" s="219"/>
      <c r="AO1012" s="219"/>
      <c r="AP1012" s="219"/>
      <c r="AQ1012" s="219"/>
      <c r="AR1012" s="219"/>
    </row>
    <row r="1013" spans="1:44" s="220" customFormat="1" ht="40.15" hidden="1" customHeight="1">
      <c r="A1013" s="152">
        <f t="shared" ca="1" si="2057"/>
        <v>0</v>
      </c>
      <c r="B1013" s="153" t="s">
        <v>352</v>
      </c>
      <c r="C1013" s="154" t="str">
        <f t="shared" si="2220"/>
        <v>EC/0170</v>
      </c>
      <c r="D1013" s="154" t="s">
        <v>3549</v>
      </c>
      <c r="E1013" s="155" t="s">
        <v>3945</v>
      </c>
      <c r="F1013" s="154"/>
      <c r="G1013" s="154" t="s">
        <v>3946</v>
      </c>
      <c r="H1013" s="152">
        <v>52.05</v>
      </c>
      <c r="I1013" s="152">
        <v>50.33</v>
      </c>
      <c r="J1013" s="156"/>
      <c r="K1013" s="156"/>
      <c r="L1013" s="156">
        <f t="shared" si="2221"/>
        <v>0</v>
      </c>
      <c r="M1013" s="156">
        <f t="shared" si="2222"/>
        <v>0</v>
      </c>
      <c r="N1013" s="156" t="s">
        <v>83</v>
      </c>
      <c r="O1013" s="157" cm="1">
        <f t="array" ref="O1013">TRUNC($H1013*(1+_xlfn.SWITCH($N1013,"BDI 1",$O$6,"BDI 2",$O$7,"BDI 3",$O$8)),2)</f>
        <v>62.82</v>
      </c>
      <c r="P1013" s="157" cm="1">
        <f t="array" ref="P1013">TRUNC($I1013*(1+_xlfn.SWITCH($N1013,"BDI 1",$P$6,"BDI 2",$P$7,"BDI 3",$P$8)),2)</f>
        <v>63.78</v>
      </c>
      <c r="Q1013" s="157">
        <v>0</v>
      </c>
      <c r="R1013" s="157">
        <f t="shared" ref="R1013" si="2246">$Q1013-($Q1013*LICITACAO_DESCONTO)</f>
        <v>0</v>
      </c>
      <c r="S1013" s="156">
        <f t="shared" si="2224"/>
        <v>0</v>
      </c>
      <c r="T1013" s="156">
        <f t="shared" si="2225"/>
        <v>0</v>
      </c>
      <c r="U1013" s="156">
        <f t="shared" si="2226"/>
        <v>0</v>
      </c>
      <c r="V1013" s="156">
        <f t="shared" si="2227"/>
        <v>0</v>
      </c>
      <c r="W1013" s="156">
        <f t="shared" si="2228"/>
        <v>0</v>
      </c>
      <c r="X1013" s="158">
        <f t="shared" ref="X1013" si="2247">$S1013/ORCAMENTO_VALOR_TOTAL_ND</f>
        <v>0</v>
      </c>
      <c r="Y1013" s="158">
        <f t="shared" ref="Y1013" si="2248">$T1013/ORCAMENTO_VALOR_TOTAL_DE</f>
        <v>0</v>
      </c>
      <c r="Z1013" s="158" cm="1">
        <f t="array" ref="Z1013">_xlfn.SWITCH($N1013,"BDI 1",$O$6,"BDI 2",$O$7,"BDI 3",$O$8)</f>
        <v>0.20699999999999999</v>
      </c>
      <c r="AA1013" s="158" cm="1">
        <f t="array" ref="AA1013">_xlfn.SWITCH($N1013,"BDI 1",$P$6,"BDI 2",$P$7,"BDI 3",$P$8)</f>
        <v>0.26739999999999997</v>
      </c>
      <c r="AB1013" s="158">
        <f t="shared" ca="1" si="2231"/>
        <v>0</v>
      </c>
      <c r="AC1013" s="158">
        <f t="shared" ca="1" si="2232"/>
        <v>0</v>
      </c>
      <c r="AD1013" s="164"/>
      <c r="AE1013" s="148">
        <f t="shared" si="2056"/>
        <v>0</v>
      </c>
      <c r="AF1013" s="149"/>
      <c r="AG1013" s="150"/>
      <c r="AH1013" s="159" t="e">
        <f t="shared" si="2233"/>
        <v>#DIV/0!</v>
      </c>
      <c r="AI1013" s="165" t="s">
        <v>101</v>
      </c>
      <c r="AJ1013" s="219"/>
      <c r="AK1013" s="219"/>
      <c r="AM1013" s="219"/>
      <c r="AN1013" s="219"/>
      <c r="AO1013" s="219"/>
      <c r="AP1013" s="219"/>
      <c r="AQ1013" s="219"/>
      <c r="AR1013" s="219"/>
    </row>
    <row r="1014" spans="1:44" s="49" customFormat="1" ht="40.15" hidden="1" customHeight="1">
      <c r="A1014" s="152">
        <f t="shared" ca="1" si="2057"/>
        <v>0</v>
      </c>
      <c r="B1014" s="153"/>
      <c r="C1014" s="154"/>
      <c r="D1014" s="154"/>
      <c r="E1014" s="161" t="s">
        <v>355</v>
      </c>
      <c r="F1014" s="154"/>
      <c r="G1014" s="154"/>
      <c r="H1014" s="152"/>
      <c r="I1014" s="152"/>
      <c r="J1014" s="154"/>
      <c r="K1014" s="154"/>
      <c r="L1014" s="154"/>
      <c r="M1014" s="154"/>
      <c r="N1014" s="154"/>
      <c r="O1014" s="162"/>
      <c r="P1014" s="162"/>
      <c r="Q1014" s="162"/>
      <c r="R1014" s="162"/>
      <c r="S1014" s="162"/>
      <c r="T1014" s="162"/>
      <c r="U1014" s="162"/>
      <c r="V1014" s="162"/>
      <c r="W1014" s="162"/>
      <c r="X1014" s="163"/>
      <c r="Y1014" s="163"/>
      <c r="Z1014" s="163"/>
      <c r="AA1014" s="163"/>
      <c r="AB1014" s="163"/>
      <c r="AC1014" s="163"/>
      <c r="AD1014" s="164"/>
      <c r="AE1014" s="148">
        <f t="shared" si="2056"/>
        <v>0</v>
      </c>
      <c r="AF1014" s="149"/>
      <c r="AG1014" s="150"/>
      <c r="AH1014" s="159"/>
      <c r="AI1014" s="160"/>
      <c r="AJ1014" s="105"/>
      <c r="AK1014" s="105"/>
      <c r="AM1014" s="105"/>
      <c r="AN1014" s="105"/>
      <c r="AO1014" s="105"/>
      <c r="AP1014" s="105"/>
      <c r="AQ1014" s="105"/>
      <c r="AR1014" s="105"/>
    </row>
    <row r="1015" spans="1:44" s="220" customFormat="1" ht="40.15" hidden="1" customHeight="1">
      <c r="A1015" s="152">
        <f t="shared" ca="1" si="2057"/>
        <v>0</v>
      </c>
      <c r="B1015" s="153">
        <v>94972</v>
      </c>
      <c r="C1015" s="154" t="str">
        <f>TEXT(B1015,"0")</f>
        <v>94972</v>
      </c>
      <c r="D1015" s="154" t="s">
        <v>1416</v>
      </c>
      <c r="E1015" s="155" t="s">
        <v>3952</v>
      </c>
      <c r="F1015" s="154"/>
      <c r="G1015" s="154" t="s">
        <v>464</v>
      </c>
      <c r="H1015" s="152">
        <v>500.26</v>
      </c>
      <c r="I1015" s="152">
        <v>499.21</v>
      </c>
      <c r="J1015" s="156"/>
      <c r="K1015" s="156"/>
      <c r="L1015" s="156">
        <f>IF($K1015&gt;$J1015,$K1015-$J1015,0)</f>
        <v>0</v>
      </c>
      <c r="M1015" s="156">
        <f>IF($K1015&lt;$J1015,$J1015-$K1015,0)</f>
        <v>0</v>
      </c>
      <c r="N1015" s="156" t="s">
        <v>83</v>
      </c>
      <c r="O1015" s="157" cm="1">
        <f t="array" ref="O1015">TRUNC($H1015*(1+_xlfn.SWITCH($N1015,"BDI 1",$O$6,"BDI 2",$O$7,"BDI 3",$O$8)),2)</f>
        <v>603.80999999999995</v>
      </c>
      <c r="P1015" s="157" cm="1">
        <f t="array" ref="P1015">TRUNC($I1015*(1+_xlfn.SWITCH($N1015,"BDI 1",$P$6,"BDI 2",$P$7,"BDI 3",$P$8)),2)</f>
        <v>632.69000000000005</v>
      </c>
      <c r="Q1015" s="157">
        <v>0</v>
      </c>
      <c r="R1015" s="157">
        <v>0</v>
      </c>
      <c r="S1015" s="156">
        <f>TRUNC($K1015*$O1015,2)</f>
        <v>0</v>
      </c>
      <c r="T1015" s="156">
        <f>TRUNC($K1015*$P1015,2)</f>
        <v>0</v>
      </c>
      <c r="U1015" s="156">
        <f>TRUNC($J1015*$R1015,2)</f>
        <v>0</v>
      </c>
      <c r="V1015" s="156">
        <f>TRUNC($K1015*$Q1015,2)</f>
        <v>0</v>
      </c>
      <c r="W1015" s="156">
        <f>TRUNC(V1015-U1015,2)</f>
        <v>0</v>
      </c>
      <c r="X1015" s="158">
        <f>$S1015/ORCAMENTO_VALOR_TOTAL_ND</f>
        <v>0</v>
      </c>
      <c r="Y1015" s="158">
        <f>$T1015/ORCAMENTO_VALOR_TOTAL_DE</f>
        <v>0</v>
      </c>
      <c r="Z1015" s="158" cm="1">
        <f t="array" ref="Z1015">_xlfn.SWITCH($N1015,"BDI 1",$O$6,"BDI 2",$O$7,"BDI 3",$O$8)</f>
        <v>0.20699999999999999</v>
      </c>
      <c r="AA1015" s="158" cm="1">
        <f t="array" ref="AA1015">_xlfn.SWITCH($N1015,"BDI 1",$P$6,"BDI 2",$P$7,"BDI 3",$P$8)</f>
        <v>0.26739999999999997</v>
      </c>
      <c r="AB1015" s="158">
        <f ca="1">IFERROR($S1015/_xlfn.XLOOKUP($AE1015,$B$16:$B$38,$S$16:$S$38),0)</f>
        <v>0</v>
      </c>
      <c r="AC1015" s="158">
        <f ca="1">IFERROR($T1015/_xlfn.XLOOKUP($AE1015,$B$16:$B$38,$T$16:$T$38),0)</f>
        <v>0</v>
      </c>
      <c r="AD1015" s="164"/>
      <c r="AE1015" s="148">
        <f t="shared" si="2056"/>
        <v>0</v>
      </c>
      <c r="AF1015" s="149"/>
      <c r="AG1015" s="150"/>
      <c r="AH1015" s="159" t="e">
        <f>+S1015/$S$961</f>
        <v>#DIV/0!</v>
      </c>
      <c r="AI1015" s="165" t="s">
        <v>101</v>
      </c>
      <c r="AJ1015" s="219"/>
      <c r="AK1015" s="219"/>
      <c r="AM1015" s="219"/>
      <c r="AN1015" s="219"/>
      <c r="AO1015" s="219"/>
      <c r="AP1015" s="219"/>
      <c r="AQ1015" s="219"/>
      <c r="AR1015" s="219"/>
    </row>
    <row r="1016" spans="1:44" s="220" customFormat="1" ht="40.15" hidden="1" customHeight="1">
      <c r="A1016" s="152">
        <f t="shared" ca="1" si="2057"/>
        <v>0</v>
      </c>
      <c r="B1016" s="153">
        <v>103670</v>
      </c>
      <c r="C1016" s="154" t="str">
        <f>TEXT(B1016,"0")</f>
        <v>103670</v>
      </c>
      <c r="D1016" s="154" t="s">
        <v>1416</v>
      </c>
      <c r="E1016" s="155" t="s">
        <v>3792</v>
      </c>
      <c r="F1016" s="154"/>
      <c r="G1016" s="154" t="s">
        <v>464</v>
      </c>
      <c r="H1016" s="152">
        <v>272.37</v>
      </c>
      <c r="I1016" s="152">
        <v>247.05</v>
      </c>
      <c r="J1016" s="156"/>
      <c r="K1016" s="156">
        <f>K1015</f>
        <v>0</v>
      </c>
      <c r="L1016" s="156">
        <f>IF($K1016&gt;$J1016,$K1016-$J1016,0)</f>
        <v>0</v>
      </c>
      <c r="M1016" s="156">
        <f>IF($K1016&lt;$J1016,$J1016-$K1016,0)</f>
        <v>0</v>
      </c>
      <c r="N1016" s="156" t="s">
        <v>83</v>
      </c>
      <c r="O1016" s="157" cm="1">
        <f t="array" ref="O1016">TRUNC($H1016*(1+_xlfn.SWITCH($N1016,"BDI 1",$O$6,"BDI 2",$O$7,"BDI 3",$O$8)),2)</f>
        <v>328.75</v>
      </c>
      <c r="P1016" s="157" cm="1">
        <f t="array" ref="P1016">TRUNC($I1016*(1+_xlfn.SWITCH($N1016,"BDI 1",$P$6,"BDI 2",$P$7,"BDI 3",$P$8)),2)</f>
        <v>313.11</v>
      </c>
      <c r="Q1016" s="157">
        <v>0</v>
      </c>
      <c r="R1016" s="157">
        <v>0</v>
      </c>
      <c r="S1016" s="156">
        <f>TRUNC($K1016*$O1016,2)</f>
        <v>0</v>
      </c>
      <c r="T1016" s="156">
        <f>TRUNC($K1016*$P1016,2)</f>
        <v>0</v>
      </c>
      <c r="U1016" s="156">
        <f>TRUNC($J1016*$R1016,2)</f>
        <v>0</v>
      </c>
      <c r="V1016" s="156">
        <f>TRUNC($K1016*$Q1016,2)</f>
        <v>0</v>
      </c>
      <c r="W1016" s="156">
        <f>TRUNC(V1016-U1016,2)</f>
        <v>0</v>
      </c>
      <c r="X1016" s="158">
        <f>$S1016/ORCAMENTO_VALOR_TOTAL_ND</f>
        <v>0</v>
      </c>
      <c r="Y1016" s="158">
        <f>$T1016/ORCAMENTO_VALOR_TOTAL_DE</f>
        <v>0</v>
      </c>
      <c r="Z1016" s="158" cm="1">
        <f t="array" ref="Z1016">_xlfn.SWITCH($N1016,"BDI 1",$O$6,"BDI 2",$O$7,"BDI 3",$O$8)</f>
        <v>0.20699999999999999</v>
      </c>
      <c r="AA1016" s="158" cm="1">
        <f t="array" ref="AA1016">_xlfn.SWITCH($N1016,"BDI 1",$P$6,"BDI 2",$P$7,"BDI 3",$P$8)</f>
        <v>0.26739999999999997</v>
      </c>
      <c r="AB1016" s="158">
        <f ca="1">IFERROR($S1016/_xlfn.XLOOKUP($AE1016,$B$16:$B$38,$S$16:$S$38),0)</f>
        <v>0</v>
      </c>
      <c r="AC1016" s="158">
        <f ca="1">IFERROR($T1016/_xlfn.XLOOKUP($AE1016,$B$16:$B$38,$T$16:$T$38),0)</f>
        <v>0</v>
      </c>
      <c r="AD1016" s="164"/>
      <c r="AE1016" s="148">
        <f t="shared" si="2056"/>
        <v>0</v>
      </c>
      <c r="AF1016" s="149"/>
      <c r="AG1016" s="150"/>
      <c r="AH1016" s="159" t="e">
        <f>+S1016/$S$961</f>
        <v>#DIV/0!</v>
      </c>
      <c r="AI1016" s="165" t="s">
        <v>101</v>
      </c>
      <c r="AJ1016" s="219"/>
      <c r="AK1016" s="219"/>
      <c r="AM1016" s="219"/>
      <c r="AN1016" s="219"/>
      <c r="AO1016" s="219"/>
      <c r="AP1016" s="219"/>
      <c r="AQ1016" s="219"/>
      <c r="AR1016" s="219"/>
    </row>
    <row r="1017" spans="1:44" s="220" customFormat="1" ht="40.15" hidden="1" customHeight="1">
      <c r="A1017" s="152">
        <f t="shared" ca="1" si="2057"/>
        <v>0</v>
      </c>
      <c r="B1017" s="153">
        <v>96542</v>
      </c>
      <c r="C1017" s="154" t="str">
        <f>TEXT(B1017,"0")</f>
        <v>96542</v>
      </c>
      <c r="D1017" s="154" t="s">
        <v>1416</v>
      </c>
      <c r="E1017" s="155" t="s">
        <v>3953</v>
      </c>
      <c r="F1017" s="154"/>
      <c r="G1017" s="154" t="s">
        <v>1418</v>
      </c>
      <c r="H1017" s="152">
        <v>90.23</v>
      </c>
      <c r="I1017" s="152">
        <v>84.55</v>
      </c>
      <c r="J1017" s="156"/>
      <c r="K1017" s="156"/>
      <c r="L1017" s="156">
        <f>IF($K1017&gt;$J1017,$K1017-$J1017,0)</f>
        <v>0</v>
      </c>
      <c r="M1017" s="156">
        <f>IF($K1017&lt;$J1017,$J1017-$K1017,0)</f>
        <v>0</v>
      </c>
      <c r="N1017" s="156" t="s">
        <v>83</v>
      </c>
      <c r="O1017" s="157" cm="1">
        <f t="array" ref="O1017">TRUNC($H1017*(1+_xlfn.SWITCH($N1017,"BDI 1",$O$6,"BDI 2",$O$7,"BDI 3",$O$8)),2)</f>
        <v>108.9</v>
      </c>
      <c r="P1017" s="157" cm="1">
        <f t="array" ref="P1017">TRUNC($I1017*(1+_xlfn.SWITCH($N1017,"BDI 1",$P$6,"BDI 2",$P$7,"BDI 3",$P$8)),2)</f>
        <v>107.15</v>
      </c>
      <c r="Q1017" s="157">
        <v>0</v>
      </c>
      <c r="R1017" s="157">
        <v>0</v>
      </c>
      <c r="S1017" s="156">
        <f>TRUNC($K1017*$O1017,2)</f>
        <v>0</v>
      </c>
      <c r="T1017" s="156">
        <f>TRUNC($K1017*$P1017,2)</f>
        <v>0</v>
      </c>
      <c r="U1017" s="156">
        <f>TRUNC($J1017*$R1017,2)</f>
        <v>0</v>
      </c>
      <c r="V1017" s="156">
        <f>TRUNC($K1017*$Q1017,2)</f>
        <v>0</v>
      </c>
      <c r="W1017" s="156">
        <f>TRUNC(V1017-U1017,2)</f>
        <v>0</v>
      </c>
      <c r="X1017" s="158">
        <f>$S1017/ORCAMENTO_VALOR_TOTAL_ND</f>
        <v>0</v>
      </c>
      <c r="Y1017" s="158">
        <f>$T1017/ORCAMENTO_VALOR_TOTAL_DE</f>
        <v>0</v>
      </c>
      <c r="Z1017" s="158" cm="1">
        <f t="array" ref="Z1017">_xlfn.SWITCH($N1017,"BDI 1",$O$6,"BDI 2",$O$7,"BDI 3",$O$8)</f>
        <v>0.20699999999999999</v>
      </c>
      <c r="AA1017" s="158" cm="1">
        <f t="array" ref="AA1017">_xlfn.SWITCH($N1017,"BDI 1",$P$6,"BDI 2",$P$7,"BDI 3",$P$8)</f>
        <v>0.26739999999999997</v>
      </c>
      <c r="AB1017" s="158">
        <f ca="1">IFERROR($S1017/_xlfn.XLOOKUP($AE1017,$B$16:$B$38,$S$16:$S$38),0)</f>
        <v>0</v>
      </c>
      <c r="AC1017" s="158">
        <f ca="1">IFERROR($T1017/_xlfn.XLOOKUP($AE1017,$B$16:$B$38,$T$16:$T$38),0)</f>
        <v>0</v>
      </c>
      <c r="AD1017" s="164"/>
      <c r="AE1017" s="148">
        <f t="shared" si="2056"/>
        <v>0</v>
      </c>
      <c r="AF1017" s="149"/>
      <c r="AG1017" s="150"/>
      <c r="AH1017" s="159" t="e">
        <f>+S1017/$S$961</f>
        <v>#DIV/0!</v>
      </c>
      <c r="AI1017" s="165" t="s">
        <v>243</v>
      </c>
      <c r="AJ1017" s="219"/>
      <c r="AK1017" s="219"/>
      <c r="AM1017" s="219"/>
      <c r="AN1017" s="219"/>
      <c r="AO1017" s="219"/>
      <c r="AP1017" s="219"/>
      <c r="AQ1017" s="219"/>
      <c r="AR1017" s="219"/>
    </row>
    <row r="1018" spans="1:44" s="220" customFormat="1" ht="40.15" hidden="1" customHeight="1">
      <c r="A1018" s="152">
        <f t="shared" ca="1" si="2057"/>
        <v>0</v>
      </c>
      <c r="B1018" s="153">
        <v>92761</v>
      </c>
      <c r="C1018" s="154" t="str">
        <f>TEXT(B1018,"0")</f>
        <v>92761</v>
      </c>
      <c r="D1018" s="154" t="s">
        <v>1416</v>
      </c>
      <c r="E1018" s="155" t="s">
        <v>3954</v>
      </c>
      <c r="F1018" s="154"/>
      <c r="G1018" s="154" t="s">
        <v>3802</v>
      </c>
      <c r="H1018" s="152">
        <v>12.93</v>
      </c>
      <c r="I1018" s="152">
        <v>12.66</v>
      </c>
      <c r="J1018" s="156"/>
      <c r="K1018" s="156"/>
      <c r="L1018" s="156">
        <f>IF($K1018&gt;$J1018,$K1018-$J1018,0)</f>
        <v>0</v>
      </c>
      <c r="M1018" s="156">
        <f>IF($K1018&lt;$J1018,$J1018-$K1018,0)</f>
        <v>0</v>
      </c>
      <c r="N1018" s="156" t="s">
        <v>83</v>
      </c>
      <c r="O1018" s="157" cm="1">
        <f t="array" ref="O1018">TRUNC($H1018*(1+_xlfn.SWITCH($N1018,"BDI 1",$O$6,"BDI 2",$O$7,"BDI 3",$O$8)),2)</f>
        <v>15.6</v>
      </c>
      <c r="P1018" s="157" cm="1">
        <f t="array" ref="P1018">TRUNC($I1018*(1+_xlfn.SWITCH($N1018,"BDI 1",$P$6,"BDI 2",$P$7,"BDI 3",$P$8)),2)</f>
        <v>16.04</v>
      </c>
      <c r="Q1018" s="157">
        <v>0</v>
      </c>
      <c r="R1018" s="157">
        <v>0</v>
      </c>
      <c r="S1018" s="156">
        <f>TRUNC($K1018*$O1018,2)</f>
        <v>0</v>
      </c>
      <c r="T1018" s="156">
        <f>TRUNC($K1018*$P1018,2)</f>
        <v>0</v>
      </c>
      <c r="U1018" s="156">
        <f>TRUNC($J1018*$R1018,2)</f>
        <v>0</v>
      </c>
      <c r="V1018" s="156">
        <f>TRUNC($K1018*$Q1018,2)</f>
        <v>0</v>
      </c>
      <c r="W1018" s="156">
        <f>TRUNC(V1018-U1018,2)</f>
        <v>0</v>
      </c>
      <c r="X1018" s="158">
        <f>$S1018/ORCAMENTO_VALOR_TOTAL_ND</f>
        <v>0</v>
      </c>
      <c r="Y1018" s="158">
        <f>$T1018/ORCAMENTO_VALOR_TOTAL_DE</f>
        <v>0</v>
      </c>
      <c r="Z1018" s="158" cm="1">
        <f t="array" ref="Z1018">_xlfn.SWITCH($N1018,"BDI 1",$O$6,"BDI 2",$O$7,"BDI 3",$O$8)</f>
        <v>0.20699999999999999</v>
      </c>
      <c r="AA1018" s="158" cm="1">
        <f t="array" ref="AA1018">_xlfn.SWITCH($N1018,"BDI 1",$P$6,"BDI 2",$P$7,"BDI 3",$P$8)</f>
        <v>0.26739999999999997</v>
      </c>
      <c r="AB1018" s="158">
        <f ca="1">IFERROR($S1018/_xlfn.XLOOKUP($AE1018,$B$16:$B$38,$S$16:$S$38),0)</f>
        <v>0</v>
      </c>
      <c r="AC1018" s="158">
        <f ca="1">IFERROR($T1018/_xlfn.XLOOKUP($AE1018,$B$16:$B$38,$T$16:$T$38),0)</f>
        <v>0</v>
      </c>
      <c r="AD1018" s="164"/>
      <c r="AE1018" s="148">
        <f t="shared" si="2056"/>
        <v>0</v>
      </c>
      <c r="AF1018" s="149"/>
      <c r="AG1018" s="150"/>
      <c r="AH1018" s="159" t="e">
        <f>+S1018/$S$961</f>
        <v>#DIV/0!</v>
      </c>
      <c r="AI1018" s="160"/>
      <c r="AJ1018" s="219"/>
      <c r="AK1018" s="219"/>
      <c r="AM1018" s="219"/>
      <c r="AN1018" s="219"/>
      <c r="AO1018" s="219"/>
      <c r="AP1018" s="219"/>
      <c r="AQ1018" s="219"/>
      <c r="AR1018" s="219"/>
    </row>
    <row r="1019" spans="1:44" s="220" customFormat="1" ht="40.15" hidden="1" customHeight="1">
      <c r="A1019" s="152">
        <f t="shared" ca="1" si="2057"/>
        <v>0</v>
      </c>
      <c r="B1019" s="153">
        <v>92763</v>
      </c>
      <c r="C1019" s="154" t="str">
        <f>TEXT(B1019,"0")</f>
        <v>92763</v>
      </c>
      <c r="D1019" s="154" t="s">
        <v>1416</v>
      </c>
      <c r="E1019" s="155" t="s">
        <v>3951</v>
      </c>
      <c r="F1019" s="154"/>
      <c r="G1019" s="154" t="s">
        <v>3802</v>
      </c>
      <c r="H1019" s="152">
        <v>9.7899999999999991</v>
      </c>
      <c r="I1019" s="152">
        <v>9.6300000000000008</v>
      </c>
      <c r="J1019" s="156"/>
      <c r="K1019" s="156"/>
      <c r="L1019" s="156">
        <f>IF($K1019&gt;$J1019,$K1019-$J1019,0)</f>
        <v>0</v>
      </c>
      <c r="M1019" s="156">
        <f>IF($K1019&lt;$J1019,$J1019-$K1019,0)</f>
        <v>0</v>
      </c>
      <c r="N1019" s="156" t="s">
        <v>83</v>
      </c>
      <c r="O1019" s="157" cm="1">
        <f t="array" ref="O1019">TRUNC($H1019*(1+_xlfn.SWITCH($N1019,"BDI 1",$O$6,"BDI 2",$O$7,"BDI 3",$O$8)),2)</f>
        <v>11.81</v>
      </c>
      <c r="P1019" s="157" cm="1">
        <f t="array" ref="P1019">TRUNC($I1019*(1+_xlfn.SWITCH($N1019,"BDI 1",$P$6,"BDI 2",$P$7,"BDI 3",$P$8)),2)</f>
        <v>12.2</v>
      </c>
      <c r="Q1019" s="157">
        <v>0</v>
      </c>
      <c r="R1019" s="157">
        <v>0</v>
      </c>
      <c r="S1019" s="156">
        <f>TRUNC($K1019*$O1019,2)</f>
        <v>0</v>
      </c>
      <c r="T1019" s="156">
        <f>TRUNC($K1019*$P1019,2)</f>
        <v>0</v>
      </c>
      <c r="U1019" s="156">
        <f>TRUNC($J1019*$R1019,2)</f>
        <v>0</v>
      </c>
      <c r="V1019" s="156">
        <f>TRUNC($K1019*$Q1019,2)</f>
        <v>0</v>
      </c>
      <c r="W1019" s="156">
        <f>TRUNC(V1019-U1019,2)</f>
        <v>0</v>
      </c>
      <c r="X1019" s="158">
        <f>$S1019/ORCAMENTO_VALOR_TOTAL_ND</f>
        <v>0</v>
      </c>
      <c r="Y1019" s="158">
        <f>$T1019/ORCAMENTO_VALOR_TOTAL_DE</f>
        <v>0</v>
      </c>
      <c r="Z1019" s="158" cm="1">
        <f t="array" ref="Z1019">_xlfn.SWITCH($N1019,"BDI 1",$O$6,"BDI 2",$O$7,"BDI 3",$O$8)</f>
        <v>0.20699999999999999</v>
      </c>
      <c r="AA1019" s="158" cm="1">
        <f t="array" ref="AA1019">_xlfn.SWITCH($N1019,"BDI 1",$P$6,"BDI 2",$P$7,"BDI 3",$P$8)</f>
        <v>0.26739999999999997</v>
      </c>
      <c r="AB1019" s="158">
        <f ca="1">IFERROR($S1019/_xlfn.XLOOKUP($AE1019,$B$16:$B$38,$S$16:$S$38),0)</f>
        <v>0</v>
      </c>
      <c r="AC1019" s="158">
        <f ca="1">IFERROR($T1019/_xlfn.XLOOKUP($AE1019,$B$16:$B$38,$T$16:$T$38),0)</f>
        <v>0</v>
      </c>
      <c r="AD1019" s="164"/>
      <c r="AE1019" s="148">
        <f t="shared" si="2056"/>
        <v>0</v>
      </c>
      <c r="AF1019" s="149"/>
      <c r="AG1019" s="150"/>
      <c r="AH1019" s="159" t="e">
        <f>+S1019/$S$961</f>
        <v>#DIV/0!</v>
      </c>
      <c r="AI1019" s="165" t="s">
        <v>243</v>
      </c>
      <c r="AJ1019" s="219"/>
      <c r="AK1019" s="219"/>
      <c r="AM1019" s="219"/>
      <c r="AN1019" s="219"/>
      <c r="AO1019" s="219"/>
      <c r="AP1019" s="219"/>
      <c r="AQ1019" s="219"/>
      <c r="AR1019" s="219"/>
    </row>
    <row r="1020" spans="1:44" s="49" customFormat="1" ht="40.15" hidden="1" customHeight="1">
      <c r="A1020" s="152">
        <f t="shared" ca="1" si="2057"/>
        <v>0</v>
      </c>
      <c r="B1020" s="153"/>
      <c r="C1020" s="154"/>
      <c r="D1020" s="154"/>
      <c r="E1020" s="161" t="s">
        <v>356</v>
      </c>
      <c r="F1020" s="154"/>
      <c r="G1020" s="154"/>
      <c r="H1020" s="152"/>
      <c r="I1020" s="152"/>
      <c r="J1020" s="154"/>
      <c r="K1020" s="154"/>
      <c r="L1020" s="154"/>
      <c r="M1020" s="154"/>
      <c r="N1020" s="154"/>
      <c r="O1020" s="162"/>
      <c r="P1020" s="162"/>
      <c r="Q1020" s="162"/>
      <c r="R1020" s="162"/>
      <c r="S1020" s="162"/>
      <c r="T1020" s="162"/>
      <c r="U1020" s="162"/>
      <c r="V1020" s="162"/>
      <c r="W1020" s="162"/>
      <c r="X1020" s="163"/>
      <c r="Y1020" s="163"/>
      <c r="Z1020" s="163"/>
      <c r="AA1020" s="163"/>
      <c r="AB1020" s="163"/>
      <c r="AC1020" s="163"/>
      <c r="AD1020" s="164"/>
      <c r="AE1020" s="148">
        <f t="shared" si="2056"/>
        <v>0</v>
      </c>
      <c r="AF1020" s="149"/>
      <c r="AG1020" s="150"/>
      <c r="AH1020" s="159"/>
      <c r="AI1020" s="160"/>
      <c r="AJ1020" s="105"/>
      <c r="AK1020" s="105"/>
      <c r="AM1020" s="105"/>
      <c r="AN1020" s="105"/>
      <c r="AO1020" s="105"/>
      <c r="AP1020" s="105"/>
      <c r="AQ1020" s="105"/>
      <c r="AR1020" s="105"/>
    </row>
    <row r="1021" spans="1:44" s="220" customFormat="1" ht="40.15" hidden="1" customHeight="1">
      <c r="A1021" s="152">
        <f t="shared" ca="1" si="2057"/>
        <v>0</v>
      </c>
      <c r="B1021" s="153">
        <v>94972</v>
      </c>
      <c r="C1021" s="154" t="str">
        <f t="shared" ref="C1021:C1028" si="2249">TEXT(B1021,"0")</f>
        <v>94972</v>
      </c>
      <c r="D1021" s="154" t="s">
        <v>1416</v>
      </c>
      <c r="E1021" s="155" t="s">
        <v>3952</v>
      </c>
      <c r="F1021" s="154"/>
      <c r="G1021" s="154" t="s">
        <v>464</v>
      </c>
      <c r="H1021" s="152">
        <v>500.26</v>
      </c>
      <c r="I1021" s="152">
        <v>499.21</v>
      </c>
      <c r="J1021" s="156"/>
      <c r="K1021" s="156"/>
      <c r="L1021" s="156">
        <f t="shared" ref="L1021:L1028" si="2250">IF($K1021&gt;$J1021,$K1021-$J1021,0)</f>
        <v>0</v>
      </c>
      <c r="M1021" s="156">
        <f t="shared" ref="M1021:M1028" si="2251">IF($K1021&lt;$J1021,$J1021-$K1021,0)</f>
        <v>0</v>
      </c>
      <c r="N1021" s="156" t="s">
        <v>83</v>
      </c>
      <c r="O1021" s="157" cm="1">
        <f t="array" ref="O1021">TRUNC($H1021*(1+_xlfn.SWITCH($N1021,"BDI 1",$O$6,"BDI 2",$O$7,"BDI 3",$O$8)),2)</f>
        <v>603.80999999999995</v>
      </c>
      <c r="P1021" s="157" cm="1">
        <f t="array" ref="P1021">TRUNC($I1021*(1+_xlfn.SWITCH($N1021,"BDI 1",$P$6,"BDI 2",$P$7,"BDI 3",$P$8)),2)</f>
        <v>632.69000000000005</v>
      </c>
      <c r="Q1021" s="157">
        <v>0</v>
      </c>
      <c r="R1021" s="157">
        <f t="shared" ref="R1021" si="2252">$Q1021-($Q1021*LICITACAO_DESCONTO)</f>
        <v>0</v>
      </c>
      <c r="S1021" s="156">
        <f t="shared" ref="S1021:S1028" si="2253">TRUNC($K1021*$O1021,2)</f>
        <v>0</v>
      </c>
      <c r="T1021" s="156">
        <f t="shared" ref="T1021:T1028" si="2254">TRUNC($K1021*$P1021,2)</f>
        <v>0</v>
      </c>
      <c r="U1021" s="156">
        <f t="shared" ref="U1021:U1028" si="2255">TRUNC($J1021*$R1021,2)</f>
        <v>0</v>
      </c>
      <c r="V1021" s="156">
        <f t="shared" ref="V1021:V1028" si="2256">TRUNC($K1021*$Q1021,2)</f>
        <v>0</v>
      </c>
      <c r="W1021" s="156">
        <f t="shared" ref="W1021:W1028" si="2257">TRUNC(V1021-U1021,2)</f>
        <v>0</v>
      </c>
      <c r="X1021" s="158">
        <f t="shared" ref="X1021" si="2258">$S1021/ORCAMENTO_VALOR_TOTAL_ND</f>
        <v>0</v>
      </c>
      <c r="Y1021" s="158">
        <f t="shared" ref="Y1021" si="2259">$T1021/ORCAMENTO_VALOR_TOTAL_DE</f>
        <v>0</v>
      </c>
      <c r="Z1021" s="158" cm="1">
        <f t="array" ref="Z1021">_xlfn.SWITCH($N1021,"BDI 1",$O$6,"BDI 2",$O$7,"BDI 3",$O$8)</f>
        <v>0.20699999999999999</v>
      </c>
      <c r="AA1021" s="158" cm="1">
        <f t="array" ref="AA1021">_xlfn.SWITCH($N1021,"BDI 1",$P$6,"BDI 2",$P$7,"BDI 3",$P$8)</f>
        <v>0.26739999999999997</v>
      </c>
      <c r="AB1021" s="158">
        <f t="shared" ref="AB1021:AB1028" ca="1" si="2260">IFERROR($S1021/_xlfn.XLOOKUP($AE1021,$B$16:$B$38,$S$16:$S$38),0)</f>
        <v>0</v>
      </c>
      <c r="AC1021" s="158">
        <f t="shared" ref="AC1021:AC1028" ca="1" si="2261">IFERROR($T1021/_xlfn.XLOOKUP($AE1021,$B$16:$B$38,$T$16:$T$38),0)</f>
        <v>0</v>
      </c>
      <c r="AD1021" s="164"/>
      <c r="AE1021" s="148">
        <f t="shared" si="2056"/>
        <v>0</v>
      </c>
      <c r="AF1021" s="149"/>
      <c r="AG1021" s="150"/>
      <c r="AH1021" s="159" t="e">
        <f t="shared" ref="AH1021:AH1028" si="2262">+S1021/$S$961</f>
        <v>#DIV/0!</v>
      </c>
      <c r="AI1021" s="165" t="s">
        <v>101</v>
      </c>
      <c r="AJ1021" s="219"/>
      <c r="AK1021" s="219"/>
      <c r="AM1021" s="219"/>
      <c r="AN1021" s="219"/>
      <c r="AO1021" s="219"/>
      <c r="AP1021" s="219"/>
      <c r="AQ1021" s="219"/>
      <c r="AR1021" s="219"/>
    </row>
    <row r="1022" spans="1:44" s="220" customFormat="1" ht="40.15" hidden="1" customHeight="1">
      <c r="A1022" s="152">
        <f t="shared" ca="1" si="2057"/>
        <v>0</v>
      </c>
      <c r="B1022" s="153">
        <v>103670</v>
      </c>
      <c r="C1022" s="154" t="str">
        <f t="shared" si="2249"/>
        <v>103670</v>
      </c>
      <c r="D1022" s="154" t="s">
        <v>1416</v>
      </c>
      <c r="E1022" s="155" t="s">
        <v>3792</v>
      </c>
      <c r="F1022" s="154"/>
      <c r="G1022" s="154" t="s">
        <v>464</v>
      </c>
      <c r="H1022" s="152">
        <v>272.37</v>
      </c>
      <c r="I1022" s="152">
        <v>247.05</v>
      </c>
      <c r="J1022" s="156"/>
      <c r="K1022" s="156">
        <f>K1021</f>
        <v>0</v>
      </c>
      <c r="L1022" s="156">
        <f t="shared" si="2250"/>
        <v>0</v>
      </c>
      <c r="M1022" s="156">
        <f t="shared" si="2251"/>
        <v>0</v>
      </c>
      <c r="N1022" s="156" t="s">
        <v>83</v>
      </c>
      <c r="O1022" s="157" cm="1">
        <f t="array" ref="O1022">TRUNC($H1022*(1+_xlfn.SWITCH($N1022,"BDI 1",$O$6,"BDI 2",$O$7,"BDI 3",$O$8)),2)</f>
        <v>328.75</v>
      </c>
      <c r="P1022" s="157" cm="1">
        <f t="array" ref="P1022">TRUNC($I1022*(1+_xlfn.SWITCH($N1022,"BDI 1",$P$6,"BDI 2",$P$7,"BDI 3",$P$8)),2)</f>
        <v>313.11</v>
      </c>
      <c r="Q1022" s="157">
        <v>0</v>
      </c>
      <c r="R1022" s="157">
        <f t="shared" ref="R1022" si="2263">$Q1022-($Q1022*LICITACAO_DESCONTO)</f>
        <v>0</v>
      </c>
      <c r="S1022" s="156">
        <f t="shared" si="2253"/>
        <v>0</v>
      </c>
      <c r="T1022" s="156">
        <f t="shared" si="2254"/>
        <v>0</v>
      </c>
      <c r="U1022" s="156">
        <f t="shared" si="2255"/>
        <v>0</v>
      </c>
      <c r="V1022" s="156">
        <f t="shared" si="2256"/>
        <v>0</v>
      </c>
      <c r="W1022" s="156">
        <f t="shared" si="2257"/>
        <v>0</v>
      </c>
      <c r="X1022" s="158">
        <f t="shared" ref="X1022" si="2264">$S1022/ORCAMENTO_VALOR_TOTAL_ND</f>
        <v>0</v>
      </c>
      <c r="Y1022" s="158">
        <f t="shared" ref="Y1022" si="2265">$T1022/ORCAMENTO_VALOR_TOTAL_DE</f>
        <v>0</v>
      </c>
      <c r="Z1022" s="158" cm="1">
        <f t="array" ref="Z1022">_xlfn.SWITCH($N1022,"BDI 1",$O$6,"BDI 2",$O$7,"BDI 3",$O$8)</f>
        <v>0.20699999999999999</v>
      </c>
      <c r="AA1022" s="158" cm="1">
        <f t="array" ref="AA1022">_xlfn.SWITCH($N1022,"BDI 1",$P$6,"BDI 2",$P$7,"BDI 3",$P$8)</f>
        <v>0.26739999999999997</v>
      </c>
      <c r="AB1022" s="158">
        <f t="shared" ca="1" si="2260"/>
        <v>0</v>
      </c>
      <c r="AC1022" s="158">
        <f t="shared" ca="1" si="2261"/>
        <v>0</v>
      </c>
      <c r="AD1022" s="164"/>
      <c r="AE1022" s="148">
        <f t="shared" si="2056"/>
        <v>0</v>
      </c>
      <c r="AF1022" s="149"/>
      <c r="AG1022" s="150"/>
      <c r="AH1022" s="159" t="e">
        <f t="shared" si="2262"/>
        <v>#DIV/0!</v>
      </c>
      <c r="AI1022" s="165" t="s">
        <v>101</v>
      </c>
      <c r="AJ1022" s="219"/>
      <c r="AK1022" s="219"/>
      <c r="AM1022" s="219"/>
      <c r="AN1022" s="219"/>
      <c r="AO1022" s="219"/>
      <c r="AP1022" s="219"/>
      <c r="AQ1022" s="219"/>
      <c r="AR1022" s="219"/>
    </row>
    <row r="1023" spans="1:44" s="220" customFormat="1" ht="40.15" hidden="1" customHeight="1">
      <c r="A1023" s="152">
        <f t="shared" ca="1" si="2057"/>
        <v>0</v>
      </c>
      <c r="B1023" s="153">
        <v>94969</v>
      </c>
      <c r="C1023" s="154" t="str">
        <f t="shared" si="2249"/>
        <v>94969</v>
      </c>
      <c r="D1023" s="154" t="s">
        <v>1416</v>
      </c>
      <c r="E1023" s="155" t="s">
        <v>3936</v>
      </c>
      <c r="F1023" s="154"/>
      <c r="G1023" s="154" t="s">
        <v>464</v>
      </c>
      <c r="H1023" s="152">
        <v>422.25</v>
      </c>
      <c r="I1023" s="152">
        <v>421.36</v>
      </c>
      <c r="J1023" s="156"/>
      <c r="K1023" s="156"/>
      <c r="L1023" s="156">
        <f t="shared" si="2250"/>
        <v>0</v>
      </c>
      <c r="M1023" s="156">
        <f t="shared" si="2251"/>
        <v>0</v>
      </c>
      <c r="N1023" s="156" t="s">
        <v>83</v>
      </c>
      <c r="O1023" s="157" cm="1">
        <f t="array" ref="O1023">TRUNC($H1023*(1+_xlfn.SWITCH($N1023,"BDI 1",$O$6,"BDI 2",$O$7,"BDI 3",$O$8)),2)</f>
        <v>509.65</v>
      </c>
      <c r="P1023" s="157" cm="1">
        <f t="array" ref="P1023">TRUNC($I1023*(1+_xlfn.SWITCH($N1023,"BDI 1",$P$6,"BDI 2",$P$7,"BDI 3",$P$8)),2)</f>
        <v>534.03</v>
      </c>
      <c r="Q1023" s="157">
        <v>0</v>
      </c>
      <c r="R1023" s="157">
        <f t="shared" ref="R1023" si="2266">$Q1023-($Q1023*LICITACAO_DESCONTO)</f>
        <v>0</v>
      </c>
      <c r="S1023" s="156">
        <f t="shared" si="2253"/>
        <v>0</v>
      </c>
      <c r="T1023" s="156">
        <f t="shared" si="2254"/>
        <v>0</v>
      </c>
      <c r="U1023" s="156">
        <f t="shared" si="2255"/>
        <v>0</v>
      </c>
      <c r="V1023" s="156">
        <f t="shared" si="2256"/>
        <v>0</v>
      </c>
      <c r="W1023" s="156">
        <f t="shared" si="2257"/>
        <v>0</v>
      </c>
      <c r="X1023" s="158">
        <f t="shared" ref="X1023" si="2267">$S1023/ORCAMENTO_VALOR_TOTAL_ND</f>
        <v>0</v>
      </c>
      <c r="Y1023" s="158">
        <f t="shared" ref="Y1023" si="2268">$T1023/ORCAMENTO_VALOR_TOTAL_DE</f>
        <v>0</v>
      </c>
      <c r="Z1023" s="158" cm="1">
        <f t="array" ref="Z1023">_xlfn.SWITCH($N1023,"BDI 1",$O$6,"BDI 2",$O$7,"BDI 3",$O$8)</f>
        <v>0.20699999999999999</v>
      </c>
      <c r="AA1023" s="158" cm="1">
        <f t="array" ref="AA1023">_xlfn.SWITCH($N1023,"BDI 1",$P$6,"BDI 2",$P$7,"BDI 3",$P$8)</f>
        <v>0.26739999999999997</v>
      </c>
      <c r="AB1023" s="158">
        <f t="shared" ca="1" si="2260"/>
        <v>0</v>
      </c>
      <c r="AC1023" s="158">
        <f t="shared" ca="1" si="2261"/>
        <v>0</v>
      </c>
      <c r="AD1023" s="164"/>
      <c r="AE1023" s="148">
        <f t="shared" si="2056"/>
        <v>0</v>
      </c>
      <c r="AF1023" s="149"/>
      <c r="AG1023" s="150"/>
      <c r="AH1023" s="159" t="e">
        <f t="shared" si="2262"/>
        <v>#DIV/0!</v>
      </c>
      <c r="AI1023" s="165" t="s">
        <v>243</v>
      </c>
      <c r="AJ1023" s="219"/>
      <c r="AK1023" s="219"/>
      <c r="AM1023" s="219"/>
      <c r="AN1023" s="219"/>
      <c r="AO1023" s="219"/>
      <c r="AP1023" s="219"/>
      <c r="AQ1023" s="219"/>
      <c r="AR1023" s="219"/>
    </row>
    <row r="1024" spans="1:44" s="220" customFormat="1" ht="40.15" hidden="1" customHeight="1">
      <c r="A1024" s="152">
        <f t="shared" ca="1" si="2057"/>
        <v>0</v>
      </c>
      <c r="B1024" s="153">
        <v>103670</v>
      </c>
      <c r="C1024" s="154" t="str">
        <f t="shared" si="2249"/>
        <v>103670</v>
      </c>
      <c r="D1024" s="154" t="s">
        <v>1416</v>
      </c>
      <c r="E1024" s="155" t="s">
        <v>3792</v>
      </c>
      <c r="F1024" s="154"/>
      <c r="G1024" s="154" t="s">
        <v>464</v>
      </c>
      <c r="H1024" s="152">
        <v>272.37</v>
      </c>
      <c r="I1024" s="152">
        <v>247.05</v>
      </c>
      <c r="J1024" s="156"/>
      <c r="K1024" s="156">
        <f>K1023</f>
        <v>0</v>
      </c>
      <c r="L1024" s="156">
        <f t="shared" si="2250"/>
        <v>0</v>
      </c>
      <c r="M1024" s="156">
        <f t="shared" si="2251"/>
        <v>0</v>
      </c>
      <c r="N1024" s="156" t="s">
        <v>83</v>
      </c>
      <c r="O1024" s="157" cm="1">
        <f t="array" ref="O1024">TRUNC($H1024*(1+_xlfn.SWITCH($N1024,"BDI 1",$O$6,"BDI 2",$O$7,"BDI 3",$O$8)),2)</f>
        <v>328.75</v>
      </c>
      <c r="P1024" s="157" cm="1">
        <f t="array" ref="P1024">TRUNC($I1024*(1+_xlfn.SWITCH($N1024,"BDI 1",$P$6,"BDI 2",$P$7,"BDI 3",$P$8)),2)</f>
        <v>313.11</v>
      </c>
      <c r="Q1024" s="157">
        <v>0</v>
      </c>
      <c r="R1024" s="157">
        <f t="shared" ref="R1024" si="2269">$Q1024-($Q1024*LICITACAO_DESCONTO)</f>
        <v>0</v>
      </c>
      <c r="S1024" s="156">
        <f t="shared" si="2253"/>
        <v>0</v>
      </c>
      <c r="T1024" s="156">
        <f t="shared" si="2254"/>
        <v>0</v>
      </c>
      <c r="U1024" s="156">
        <f t="shared" si="2255"/>
        <v>0</v>
      </c>
      <c r="V1024" s="156">
        <f t="shared" si="2256"/>
        <v>0</v>
      </c>
      <c r="W1024" s="156">
        <f t="shared" si="2257"/>
        <v>0</v>
      </c>
      <c r="X1024" s="158">
        <f t="shared" ref="X1024" si="2270">$S1024/ORCAMENTO_VALOR_TOTAL_ND</f>
        <v>0</v>
      </c>
      <c r="Y1024" s="158">
        <f t="shared" ref="Y1024" si="2271">$T1024/ORCAMENTO_VALOR_TOTAL_DE</f>
        <v>0</v>
      </c>
      <c r="Z1024" s="158" cm="1">
        <f t="array" ref="Z1024">_xlfn.SWITCH($N1024,"BDI 1",$O$6,"BDI 2",$O$7,"BDI 3",$O$8)</f>
        <v>0.20699999999999999</v>
      </c>
      <c r="AA1024" s="158" cm="1">
        <f t="array" ref="AA1024">_xlfn.SWITCH($N1024,"BDI 1",$P$6,"BDI 2",$P$7,"BDI 3",$P$8)</f>
        <v>0.26739999999999997</v>
      </c>
      <c r="AB1024" s="158">
        <f t="shared" ca="1" si="2260"/>
        <v>0</v>
      </c>
      <c r="AC1024" s="158">
        <f t="shared" ca="1" si="2261"/>
        <v>0</v>
      </c>
      <c r="AD1024" s="164"/>
      <c r="AE1024" s="148">
        <f t="shared" si="2056"/>
        <v>0</v>
      </c>
      <c r="AF1024" s="149"/>
      <c r="AG1024" s="150"/>
      <c r="AH1024" s="159" t="e">
        <f t="shared" si="2262"/>
        <v>#DIV/0!</v>
      </c>
      <c r="AI1024" s="160"/>
      <c r="AJ1024" s="219"/>
      <c r="AK1024" s="219"/>
      <c r="AM1024" s="219"/>
      <c r="AN1024" s="219"/>
      <c r="AO1024" s="219"/>
      <c r="AP1024" s="219"/>
      <c r="AQ1024" s="219"/>
      <c r="AR1024" s="219"/>
    </row>
    <row r="1025" spans="1:44" s="220" customFormat="1" ht="40.15" hidden="1" customHeight="1">
      <c r="A1025" s="152">
        <f t="shared" ca="1" si="2057"/>
        <v>0</v>
      </c>
      <c r="B1025" s="153">
        <v>96536</v>
      </c>
      <c r="C1025" s="154" t="str">
        <f t="shared" si="2249"/>
        <v>96536</v>
      </c>
      <c r="D1025" s="154" t="s">
        <v>1416</v>
      </c>
      <c r="E1025" s="155" t="s">
        <v>3955</v>
      </c>
      <c r="F1025" s="154"/>
      <c r="G1025" s="154" t="s">
        <v>1418</v>
      </c>
      <c r="H1025" s="152">
        <v>61.52</v>
      </c>
      <c r="I1025" s="152">
        <v>57.93</v>
      </c>
      <c r="J1025" s="156"/>
      <c r="K1025" s="156"/>
      <c r="L1025" s="156">
        <f t="shared" si="2250"/>
        <v>0</v>
      </c>
      <c r="M1025" s="156">
        <f t="shared" si="2251"/>
        <v>0</v>
      </c>
      <c r="N1025" s="156" t="s">
        <v>83</v>
      </c>
      <c r="O1025" s="157" cm="1">
        <f t="array" ref="O1025">TRUNC($H1025*(1+_xlfn.SWITCH($N1025,"BDI 1",$O$6,"BDI 2",$O$7,"BDI 3",$O$8)),2)</f>
        <v>74.25</v>
      </c>
      <c r="P1025" s="157" cm="1">
        <f t="array" ref="P1025">TRUNC($I1025*(1+_xlfn.SWITCH($N1025,"BDI 1",$P$6,"BDI 2",$P$7,"BDI 3",$P$8)),2)</f>
        <v>73.42</v>
      </c>
      <c r="Q1025" s="157">
        <v>0</v>
      </c>
      <c r="R1025" s="157">
        <f t="shared" ref="R1025" si="2272">$Q1025-($Q1025*LICITACAO_DESCONTO)</f>
        <v>0</v>
      </c>
      <c r="S1025" s="156">
        <f t="shared" si="2253"/>
        <v>0</v>
      </c>
      <c r="T1025" s="156">
        <f t="shared" si="2254"/>
        <v>0</v>
      </c>
      <c r="U1025" s="156">
        <f t="shared" si="2255"/>
        <v>0</v>
      </c>
      <c r="V1025" s="156">
        <f t="shared" si="2256"/>
        <v>0</v>
      </c>
      <c r="W1025" s="156">
        <f t="shared" si="2257"/>
        <v>0</v>
      </c>
      <c r="X1025" s="158">
        <f t="shared" ref="X1025" si="2273">$S1025/ORCAMENTO_VALOR_TOTAL_ND</f>
        <v>0</v>
      </c>
      <c r="Y1025" s="158">
        <f t="shared" ref="Y1025" si="2274">$T1025/ORCAMENTO_VALOR_TOTAL_DE</f>
        <v>0</v>
      </c>
      <c r="Z1025" s="158" cm="1">
        <f t="array" ref="Z1025">_xlfn.SWITCH($N1025,"BDI 1",$O$6,"BDI 2",$O$7,"BDI 3",$O$8)</f>
        <v>0.20699999999999999</v>
      </c>
      <c r="AA1025" s="158" cm="1">
        <f t="array" ref="AA1025">_xlfn.SWITCH($N1025,"BDI 1",$P$6,"BDI 2",$P$7,"BDI 3",$P$8)</f>
        <v>0.26739999999999997</v>
      </c>
      <c r="AB1025" s="158">
        <f t="shared" ca="1" si="2260"/>
        <v>0</v>
      </c>
      <c r="AC1025" s="158">
        <f t="shared" ca="1" si="2261"/>
        <v>0</v>
      </c>
      <c r="AD1025" s="164"/>
      <c r="AE1025" s="148">
        <f t="shared" ref="AE1025:AE1088" si="2275">IF(S1025&gt;0,IFERROR(TRUNC(A1025,0),0),0)</f>
        <v>0</v>
      </c>
      <c r="AF1025" s="149"/>
      <c r="AG1025" s="150"/>
      <c r="AH1025" s="159" t="e">
        <f t="shared" si="2262"/>
        <v>#DIV/0!</v>
      </c>
      <c r="AI1025" s="160"/>
      <c r="AJ1025" s="219"/>
      <c r="AK1025" s="219"/>
      <c r="AM1025" s="219"/>
      <c r="AN1025" s="219"/>
      <c r="AO1025" s="219"/>
      <c r="AP1025" s="219"/>
      <c r="AQ1025" s="219"/>
      <c r="AR1025" s="219"/>
    </row>
    <row r="1026" spans="1:44" s="220" customFormat="1" ht="40.15" hidden="1" customHeight="1">
      <c r="A1026" s="152">
        <f t="shared" ref="A1026:A1089" ca="1" si="2276">+IF(K1026&gt;0,A1023+0.01,A1023)</f>
        <v>0</v>
      </c>
      <c r="B1026" s="153">
        <v>92770</v>
      </c>
      <c r="C1026" s="154" t="str">
        <f t="shared" si="2249"/>
        <v>92770</v>
      </c>
      <c r="D1026" s="154" t="s">
        <v>1416</v>
      </c>
      <c r="E1026" s="155" t="s">
        <v>3956</v>
      </c>
      <c r="F1026" s="154"/>
      <c r="G1026" s="154" t="s">
        <v>3802</v>
      </c>
      <c r="H1026" s="152">
        <v>12.49</v>
      </c>
      <c r="I1026" s="152">
        <v>12.25</v>
      </c>
      <c r="J1026" s="156"/>
      <c r="K1026" s="156"/>
      <c r="L1026" s="156">
        <f t="shared" si="2250"/>
        <v>0</v>
      </c>
      <c r="M1026" s="156">
        <f t="shared" si="2251"/>
        <v>0</v>
      </c>
      <c r="N1026" s="156" t="s">
        <v>83</v>
      </c>
      <c r="O1026" s="157" cm="1">
        <f t="array" ref="O1026">TRUNC($H1026*(1+_xlfn.SWITCH($N1026,"BDI 1",$O$6,"BDI 2",$O$7,"BDI 3",$O$8)),2)</f>
        <v>15.07</v>
      </c>
      <c r="P1026" s="157" cm="1">
        <f t="array" ref="P1026">TRUNC($I1026*(1+_xlfn.SWITCH($N1026,"BDI 1",$P$6,"BDI 2",$P$7,"BDI 3",$P$8)),2)</f>
        <v>15.52</v>
      </c>
      <c r="Q1026" s="157">
        <v>0</v>
      </c>
      <c r="R1026" s="157">
        <f t="shared" ref="R1026" si="2277">$Q1026-($Q1026*LICITACAO_DESCONTO)</f>
        <v>0</v>
      </c>
      <c r="S1026" s="156">
        <f t="shared" si="2253"/>
        <v>0</v>
      </c>
      <c r="T1026" s="156">
        <f t="shared" si="2254"/>
        <v>0</v>
      </c>
      <c r="U1026" s="156">
        <f t="shared" si="2255"/>
        <v>0</v>
      </c>
      <c r="V1026" s="156">
        <f t="shared" si="2256"/>
        <v>0</v>
      </c>
      <c r="W1026" s="156">
        <f t="shared" si="2257"/>
        <v>0</v>
      </c>
      <c r="X1026" s="158">
        <f t="shared" ref="X1026" si="2278">$S1026/ORCAMENTO_VALOR_TOTAL_ND</f>
        <v>0</v>
      </c>
      <c r="Y1026" s="158">
        <f t="shared" ref="Y1026" si="2279">$T1026/ORCAMENTO_VALOR_TOTAL_DE</f>
        <v>0</v>
      </c>
      <c r="Z1026" s="158" cm="1">
        <f t="array" ref="Z1026">_xlfn.SWITCH($N1026,"BDI 1",$O$6,"BDI 2",$O$7,"BDI 3",$O$8)</f>
        <v>0.20699999999999999</v>
      </c>
      <c r="AA1026" s="158" cm="1">
        <f t="array" ref="AA1026">_xlfn.SWITCH($N1026,"BDI 1",$P$6,"BDI 2",$P$7,"BDI 3",$P$8)</f>
        <v>0.26739999999999997</v>
      </c>
      <c r="AB1026" s="158">
        <f t="shared" ca="1" si="2260"/>
        <v>0</v>
      </c>
      <c r="AC1026" s="158">
        <f t="shared" ca="1" si="2261"/>
        <v>0</v>
      </c>
      <c r="AD1026" s="164"/>
      <c r="AE1026" s="148">
        <f t="shared" si="2275"/>
        <v>0</v>
      </c>
      <c r="AF1026" s="149"/>
      <c r="AG1026" s="150"/>
      <c r="AH1026" s="159" t="e">
        <f t="shared" si="2262"/>
        <v>#DIV/0!</v>
      </c>
      <c r="AI1026" s="165" t="s">
        <v>101</v>
      </c>
      <c r="AJ1026" s="219"/>
      <c r="AK1026" s="219"/>
      <c r="AM1026" s="219"/>
      <c r="AN1026" s="219"/>
      <c r="AO1026" s="219"/>
      <c r="AP1026" s="219"/>
      <c r="AQ1026" s="219"/>
      <c r="AR1026" s="219"/>
    </row>
    <row r="1027" spans="1:44" s="220" customFormat="1" ht="49.9" hidden="1" customHeight="1">
      <c r="A1027" s="152">
        <f t="shared" ca="1" si="2276"/>
        <v>0</v>
      </c>
      <c r="B1027" s="153">
        <v>101230</v>
      </c>
      <c r="C1027" s="154" t="str">
        <f t="shared" si="2249"/>
        <v>101230</v>
      </c>
      <c r="D1027" s="154" t="s">
        <v>1416</v>
      </c>
      <c r="E1027" s="155" t="s">
        <v>3677</v>
      </c>
      <c r="F1027" s="154"/>
      <c r="G1027" s="154" t="s">
        <v>464</v>
      </c>
      <c r="H1027" s="152">
        <v>10.7</v>
      </c>
      <c r="I1027" s="152">
        <v>10.73</v>
      </c>
      <c r="J1027" s="156"/>
      <c r="K1027" s="156"/>
      <c r="L1027" s="156">
        <f t="shared" si="2250"/>
        <v>0</v>
      </c>
      <c r="M1027" s="156">
        <f t="shared" si="2251"/>
        <v>0</v>
      </c>
      <c r="N1027" s="156" t="s">
        <v>83</v>
      </c>
      <c r="O1027" s="157" cm="1">
        <f t="array" ref="O1027">TRUNC($H1027*(1+_xlfn.SWITCH($N1027,"BDI 1",$O$6,"BDI 2",$O$7,"BDI 3",$O$8)),2)</f>
        <v>12.91</v>
      </c>
      <c r="P1027" s="157" cm="1">
        <f t="array" ref="P1027">TRUNC($I1027*(1+_xlfn.SWITCH($N1027,"BDI 1",$P$6,"BDI 2",$P$7,"BDI 3",$P$8)),2)</f>
        <v>13.59</v>
      </c>
      <c r="Q1027" s="157">
        <v>0</v>
      </c>
      <c r="R1027" s="157">
        <f t="shared" ref="R1027" si="2280">$Q1027-($Q1027*LICITACAO_DESCONTO)</f>
        <v>0</v>
      </c>
      <c r="S1027" s="156">
        <f t="shared" si="2253"/>
        <v>0</v>
      </c>
      <c r="T1027" s="156">
        <f t="shared" si="2254"/>
        <v>0</v>
      </c>
      <c r="U1027" s="156">
        <f t="shared" si="2255"/>
        <v>0</v>
      </c>
      <c r="V1027" s="156">
        <f t="shared" si="2256"/>
        <v>0</v>
      </c>
      <c r="W1027" s="156">
        <f t="shared" si="2257"/>
        <v>0</v>
      </c>
      <c r="X1027" s="158">
        <f t="shared" ref="X1027" si="2281">$S1027/ORCAMENTO_VALOR_TOTAL_ND</f>
        <v>0</v>
      </c>
      <c r="Y1027" s="158">
        <f t="shared" ref="Y1027" si="2282">$T1027/ORCAMENTO_VALOR_TOTAL_DE</f>
        <v>0</v>
      </c>
      <c r="Z1027" s="158" cm="1">
        <f t="array" ref="Z1027">_xlfn.SWITCH($N1027,"BDI 1",$O$6,"BDI 2",$O$7,"BDI 3",$O$8)</f>
        <v>0.20699999999999999</v>
      </c>
      <c r="AA1027" s="158" cm="1">
        <f t="array" ref="AA1027">_xlfn.SWITCH($N1027,"BDI 1",$P$6,"BDI 2",$P$7,"BDI 3",$P$8)</f>
        <v>0.26739999999999997</v>
      </c>
      <c r="AB1027" s="158">
        <f t="shared" ca="1" si="2260"/>
        <v>0</v>
      </c>
      <c r="AC1027" s="158">
        <f t="shared" ca="1" si="2261"/>
        <v>0</v>
      </c>
      <c r="AD1027" s="164"/>
      <c r="AE1027" s="148">
        <f t="shared" si="2275"/>
        <v>0</v>
      </c>
      <c r="AF1027" s="149"/>
      <c r="AG1027" s="150"/>
      <c r="AH1027" s="159" t="e">
        <f t="shared" si="2262"/>
        <v>#DIV/0!</v>
      </c>
      <c r="AI1027" s="165" t="s">
        <v>101</v>
      </c>
      <c r="AJ1027" s="219"/>
      <c r="AK1027" s="219"/>
      <c r="AM1027" s="219"/>
      <c r="AN1027" s="219"/>
      <c r="AO1027" s="219"/>
      <c r="AP1027" s="219"/>
      <c r="AQ1027" s="219"/>
      <c r="AR1027" s="219"/>
    </row>
    <row r="1028" spans="1:44" s="220" customFormat="1" ht="40.15" hidden="1" customHeight="1">
      <c r="A1028" s="152">
        <f t="shared" ca="1" si="2276"/>
        <v>0</v>
      </c>
      <c r="B1028" s="153">
        <v>95876</v>
      </c>
      <c r="C1028" s="154" t="str">
        <f t="shared" si="2249"/>
        <v>95876</v>
      </c>
      <c r="D1028" s="154" t="s">
        <v>1416</v>
      </c>
      <c r="E1028" s="155" t="s">
        <v>3537</v>
      </c>
      <c r="F1028" s="154">
        <f>Dados_DMT!B14</f>
        <v>3.5</v>
      </c>
      <c r="G1028" s="154" t="s">
        <v>3538</v>
      </c>
      <c r="H1028" s="152">
        <v>2.09</v>
      </c>
      <c r="I1028" s="152">
        <v>2.1</v>
      </c>
      <c r="J1028" s="156"/>
      <c r="K1028" s="156">
        <f>ROUND(K1027*1.25*F1028,2)</f>
        <v>0</v>
      </c>
      <c r="L1028" s="156">
        <f t="shared" si="2250"/>
        <v>0</v>
      </c>
      <c r="M1028" s="156">
        <f t="shared" si="2251"/>
        <v>0</v>
      </c>
      <c r="N1028" s="156" t="s">
        <v>83</v>
      </c>
      <c r="O1028" s="157" cm="1">
        <f t="array" ref="O1028">TRUNC($H1028*(1+_xlfn.SWITCH($N1028,"BDI 1",$O$6,"BDI 2",$O$7,"BDI 3",$O$8)),2)</f>
        <v>2.52</v>
      </c>
      <c r="P1028" s="157" cm="1">
        <f t="array" ref="P1028">TRUNC($I1028*(1+_xlfn.SWITCH($N1028,"BDI 1",$P$6,"BDI 2",$P$7,"BDI 3",$P$8)),2)</f>
        <v>2.66</v>
      </c>
      <c r="Q1028" s="157">
        <v>0</v>
      </c>
      <c r="R1028" s="157">
        <f t="shared" ref="R1028" si="2283">$Q1028-($Q1028*LICITACAO_DESCONTO)</f>
        <v>0</v>
      </c>
      <c r="S1028" s="156">
        <f t="shared" si="2253"/>
        <v>0</v>
      </c>
      <c r="T1028" s="156">
        <f t="shared" si="2254"/>
        <v>0</v>
      </c>
      <c r="U1028" s="156">
        <f t="shared" si="2255"/>
        <v>0</v>
      </c>
      <c r="V1028" s="156">
        <f t="shared" si="2256"/>
        <v>0</v>
      </c>
      <c r="W1028" s="156">
        <f t="shared" si="2257"/>
        <v>0</v>
      </c>
      <c r="X1028" s="158">
        <f t="shared" ref="X1028" si="2284">$S1028/ORCAMENTO_VALOR_TOTAL_ND</f>
        <v>0</v>
      </c>
      <c r="Y1028" s="158">
        <f t="shared" ref="Y1028" si="2285">$T1028/ORCAMENTO_VALOR_TOTAL_DE</f>
        <v>0</v>
      </c>
      <c r="Z1028" s="158" cm="1">
        <f t="array" ref="Z1028">_xlfn.SWITCH($N1028,"BDI 1",$O$6,"BDI 2",$O$7,"BDI 3",$O$8)</f>
        <v>0.20699999999999999</v>
      </c>
      <c r="AA1028" s="158" cm="1">
        <f t="array" ref="AA1028">_xlfn.SWITCH($N1028,"BDI 1",$P$6,"BDI 2",$P$7,"BDI 3",$P$8)</f>
        <v>0.26739999999999997</v>
      </c>
      <c r="AB1028" s="158">
        <f t="shared" ca="1" si="2260"/>
        <v>0</v>
      </c>
      <c r="AC1028" s="158">
        <f t="shared" ca="1" si="2261"/>
        <v>0</v>
      </c>
      <c r="AD1028" s="164"/>
      <c r="AE1028" s="148">
        <f t="shared" si="2275"/>
        <v>0</v>
      </c>
      <c r="AF1028" s="149"/>
      <c r="AG1028" s="150"/>
      <c r="AH1028" s="159" t="e">
        <f t="shared" si="2262"/>
        <v>#DIV/0!</v>
      </c>
      <c r="AI1028" s="165" t="s">
        <v>243</v>
      </c>
      <c r="AJ1028" s="219"/>
      <c r="AK1028" s="219"/>
      <c r="AM1028" s="219"/>
      <c r="AN1028" s="219"/>
      <c r="AO1028" s="219"/>
      <c r="AP1028" s="219"/>
      <c r="AQ1028" s="219"/>
      <c r="AR1028" s="219"/>
    </row>
    <row r="1029" spans="1:44" s="49" customFormat="1" ht="40.15" hidden="1" customHeight="1">
      <c r="A1029" s="152">
        <f t="shared" ca="1" si="2276"/>
        <v>0</v>
      </c>
      <c r="B1029" s="153"/>
      <c r="C1029" s="154"/>
      <c r="D1029" s="154"/>
      <c r="E1029" s="161" t="s">
        <v>357</v>
      </c>
      <c r="F1029" s="154"/>
      <c r="G1029" s="154"/>
      <c r="H1029" s="152"/>
      <c r="I1029" s="152"/>
      <c r="J1029" s="154"/>
      <c r="K1029" s="154"/>
      <c r="L1029" s="154"/>
      <c r="M1029" s="154"/>
      <c r="N1029" s="154"/>
      <c r="O1029" s="162"/>
      <c r="P1029" s="162"/>
      <c r="Q1029" s="162"/>
      <c r="R1029" s="162"/>
      <c r="S1029" s="162"/>
      <c r="T1029" s="162"/>
      <c r="U1029" s="162"/>
      <c r="V1029" s="162"/>
      <c r="W1029" s="162"/>
      <c r="X1029" s="163"/>
      <c r="Y1029" s="163"/>
      <c r="Z1029" s="163"/>
      <c r="AA1029" s="163"/>
      <c r="AB1029" s="163"/>
      <c r="AC1029" s="163"/>
      <c r="AD1029" s="164"/>
      <c r="AE1029" s="148">
        <f t="shared" si="2275"/>
        <v>0</v>
      </c>
      <c r="AF1029" s="149"/>
      <c r="AG1029" s="150"/>
      <c r="AH1029" s="159"/>
      <c r="AI1029" s="160"/>
      <c r="AJ1029" s="105"/>
      <c r="AK1029" s="105"/>
      <c r="AM1029" s="105"/>
      <c r="AN1029" s="105"/>
      <c r="AO1029" s="105"/>
      <c r="AP1029" s="105"/>
      <c r="AQ1029" s="105"/>
      <c r="AR1029" s="105"/>
    </row>
    <row r="1030" spans="1:44" s="220" customFormat="1" ht="40.15" hidden="1" customHeight="1">
      <c r="A1030" s="152">
        <f t="shared" ca="1" si="2276"/>
        <v>0</v>
      </c>
      <c r="B1030" s="153">
        <v>92924</v>
      </c>
      <c r="C1030" s="154" t="str">
        <f>TEXT(B1030,"0")</f>
        <v>92924</v>
      </c>
      <c r="D1030" s="154" t="s">
        <v>1416</v>
      </c>
      <c r="E1030" s="155" t="s">
        <v>3829</v>
      </c>
      <c r="F1030" s="154"/>
      <c r="G1030" s="154" t="s">
        <v>3802</v>
      </c>
      <c r="H1030" s="152">
        <v>11.04</v>
      </c>
      <c r="I1030" s="152">
        <v>10.91</v>
      </c>
      <c r="J1030" s="156"/>
      <c r="K1030" s="156"/>
      <c r="L1030" s="156">
        <f>IF($K1030&gt;$J1030,$K1030-$J1030,0)</f>
        <v>0</v>
      </c>
      <c r="M1030" s="156">
        <f>IF($K1030&lt;$J1030,$J1030-$K1030,0)</f>
        <v>0</v>
      </c>
      <c r="N1030" s="156" t="s">
        <v>83</v>
      </c>
      <c r="O1030" s="157" cm="1">
        <f t="array" ref="O1030">TRUNC($H1030*(1+_xlfn.SWITCH($N1030,"BDI 1",$O$6,"BDI 2",$O$7,"BDI 3",$O$8)),2)</f>
        <v>13.32</v>
      </c>
      <c r="P1030" s="157" cm="1">
        <f t="array" ref="P1030">TRUNC($I1030*(1+_xlfn.SWITCH($N1030,"BDI 1",$P$6,"BDI 2",$P$7,"BDI 3",$P$8)),2)</f>
        <v>13.82</v>
      </c>
      <c r="Q1030" s="157">
        <v>0</v>
      </c>
      <c r="R1030" s="157">
        <v>0</v>
      </c>
      <c r="S1030" s="156">
        <f>TRUNC($K1030*$O1030,2)</f>
        <v>0</v>
      </c>
      <c r="T1030" s="156">
        <f>TRUNC($K1030*$P1030,2)</f>
        <v>0</v>
      </c>
      <c r="U1030" s="156">
        <f>TRUNC($J1030*$R1030,2)</f>
        <v>0</v>
      </c>
      <c r="V1030" s="156">
        <f>TRUNC($K1030*$Q1030,2)</f>
        <v>0</v>
      </c>
      <c r="W1030" s="156">
        <f>TRUNC(V1030-U1030,2)</f>
        <v>0</v>
      </c>
      <c r="X1030" s="158">
        <f>$S1030/ORCAMENTO_VALOR_TOTAL_ND</f>
        <v>0</v>
      </c>
      <c r="Y1030" s="158">
        <f>$T1030/ORCAMENTO_VALOR_TOTAL_DE</f>
        <v>0</v>
      </c>
      <c r="Z1030" s="158" cm="1">
        <f t="array" ref="Z1030">_xlfn.SWITCH($N1030,"BDI 1",$O$6,"BDI 2",$O$7,"BDI 3",$O$8)</f>
        <v>0.20699999999999999</v>
      </c>
      <c r="AA1030" s="158" cm="1">
        <f t="array" ref="AA1030">_xlfn.SWITCH($N1030,"BDI 1",$P$6,"BDI 2",$P$7,"BDI 3",$P$8)</f>
        <v>0.26739999999999997</v>
      </c>
      <c r="AB1030" s="158">
        <f ca="1">IFERROR($S1030/_xlfn.XLOOKUP($AE1030,$B$16:$B$38,$S$16:$S$38),0)</f>
        <v>0</v>
      </c>
      <c r="AC1030" s="158">
        <f ca="1">IFERROR($T1030/_xlfn.XLOOKUP($AE1030,$B$16:$B$38,$T$16:$T$38),0)</f>
        <v>0</v>
      </c>
      <c r="AD1030" s="164"/>
      <c r="AE1030" s="148">
        <f t="shared" si="2275"/>
        <v>0</v>
      </c>
      <c r="AF1030" s="149"/>
      <c r="AG1030" s="150"/>
      <c r="AH1030" s="159" t="e">
        <f>+S1030/$S$961</f>
        <v>#DIV/0!</v>
      </c>
      <c r="AI1030" s="160"/>
      <c r="AJ1030" s="219"/>
      <c r="AK1030" s="219"/>
      <c r="AM1030" s="219"/>
      <c r="AN1030" s="219"/>
      <c r="AO1030" s="219"/>
      <c r="AP1030" s="219"/>
      <c r="AQ1030" s="219"/>
      <c r="AR1030" s="219"/>
    </row>
    <row r="1031" spans="1:44" s="220" customFormat="1" ht="40.15" hidden="1" customHeight="1">
      <c r="A1031" s="152">
        <f t="shared" ca="1" si="2276"/>
        <v>0</v>
      </c>
      <c r="B1031" s="153">
        <v>37460</v>
      </c>
      <c r="C1031" s="154" t="str">
        <f>TEXT(B1031,"0")</f>
        <v>37460</v>
      </c>
      <c r="D1031" s="154" t="s">
        <v>3579</v>
      </c>
      <c r="E1031" s="155" t="s">
        <v>3957</v>
      </c>
      <c r="F1031" s="154"/>
      <c r="G1031" s="154" t="s">
        <v>58</v>
      </c>
      <c r="H1031" s="152">
        <v>17.09</v>
      </c>
      <c r="I1031" s="152">
        <v>17.09</v>
      </c>
      <c r="J1031" s="156"/>
      <c r="K1031" s="156"/>
      <c r="L1031" s="156">
        <f>IF($K1031&gt;$J1031,$K1031-$J1031,0)</f>
        <v>0</v>
      </c>
      <c r="M1031" s="156">
        <f>IF($K1031&lt;$J1031,$J1031-$K1031,0)</f>
        <v>0</v>
      </c>
      <c r="N1031" s="156" t="s">
        <v>92</v>
      </c>
      <c r="O1031" s="157" cm="1">
        <f t="array" ref="O1031">TRUNC($H1031*(1+_xlfn.SWITCH($N1031,"BDI 1",$O$6,"BDI 2",$O$7,"BDI 3",$O$8)),2)</f>
        <v>19.690000000000001</v>
      </c>
      <c r="P1031" s="157" cm="1">
        <f t="array" ref="P1031">TRUNC($I1031*(1+_xlfn.SWITCH($N1031,"BDI 1",$P$6,"BDI 2",$P$7,"BDI 3",$P$8)),2)</f>
        <v>19.690000000000001</v>
      </c>
      <c r="Q1031" s="157">
        <v>0</v>
      </c>
      <c r="R1031" s="157">
        <v>0</v>
      </c>
      <c r="S1031" s="156">
        <f>TRUNC($K1031*$O1031,2)</f>
        <v>0</v>
      </c>
      <c r="T1031" s="156">
        <f>TRUNC($K1031*$P1031,2)</f>
        <v>0</v>
      </c>
      <c r="U1031" s="156">
        <f>TRUNC($J1031*$R1031,2)</f>
        <v>0</v>
      </c>
      <c r="V1031" s="156">
        <f>TRUNC($K1031*$Q1031,2)</f>
        <v>0</v>
      </c>
      <c r="W1031" s="156">
        <f>TRUNC(V1031-U1031,2)</f>
        <v>0</v>
      </c>
      <c r="X1031" s="158">
        <f>$S1031/ORCAMENTO_VALOR_TOTAL_ND</f>
        <v>0</v>
      </c>
      <c r="Y1031" s="158">
        <f>$T1031/ORCAMENTO_VALOR_TOTAL_DE</f>
        <v>0</v>
      </c>
      <c r="Z1031" s="158" cm="1">
        <f t="array" ref="Z1031">_xlfn.SWITCH($N1031,"BDI 1",$O$6,"BDI 2",$O$7,"BDI 3",$O$8)</f>
        <v>0.1527</v>
      </c>
      <c r="AA1031" s="158" cm="1">
        <f t="array" ref="AA1031">_xlfn.SWITCH($N1031,"BDI 1",$P$6,"BDI 2",$P$7,"BDI 3",$P$8)</f>
        <v>0.1527</v>
      </c>
      <c r="AB1031" s="158">
        <f ca="1">IFERROR($S1031/_xlfn.XLOOKUP($AE1031,$B$16:$B$38,$S$16:$S$38),0)</f>
        <v>0</v>
      </c>
      <c r="AC1031" s="158">
        <f ca="1">IFERROR($T1031/_xlfn.XLOOKUP($AE1031,$B$16:$B$38,$T$16:$T$38),0)</f>
        <v>0</v>
      </c>
      <c r="AD1031" s="164"/>
      <c r="AE1031" s="148">
        <f t="shared" si="2275"/>
        <v>0</v>
      </c>
      <c r="AF1031" s="149"/>
      <c r="AG1031" s="150"/>
      <c r="AH1031" s="159" t="e">
        <f>+S1031/$S$961</f>
        <v>#DIV/0!</v>
      </c>
      <c r="AI1031" s="160"/>
      <c r="AJ1031" s="219"/>
      <c r="AK1031" s="219"/>
      <c r="AM1031" s="219"/>
      <c r="AN1031" s="219"/>
      <c r="AO1031" s="219"/>
      <c r="AP1031" s="219"/>
      <c r="AQ1031" s="219"/>
      <c r="AR1031" s="219"/>
    </row>
    <row r="1032" spans="1:44" s="220" customFormat="1" ht="40.15" hidden="1" customHeight="1">
      <c r="A1032" s="152">
        <f t="shared" ca="1" si="2276"/>
        <v>0</v>
      </c>
      <c r="B1032" s="153">
        <v>39140</v>
      </c>
      <c r="C1032" s="154" t="str">
        <f>TEXT(B1032,"0")</f>
        <v>39140</v>
      </c>
      <c r="D1032" s="154" t="s">
        <v>3579</v>
      </c>
      <c r="E1032" s="155" t="s">
        <v>3958</v>
      </c>
      <c r="F1032" s="154"/>
      <c r="G1032" s="154" t="s">
        <v>1412</v>
      </c>
      <c r="H1032" s="152">
        <v>2.2200000000000002</v>
      </c>
      <c r="I1032" s="152">
        <v>2.2200000000000002</v>
      </c>
      <c r="J1032" s="156"/>
      <c r="K1032" s="156"/>
      <c r="L1032" s="156">
        <f>IF($K1032&gt;$J1032,$K1032-$J1032,0)</f>
        <v>0</v>
      </c>
      <c r="M1032" s="156">
        <f>IF($K1032&lt;$J1032,$J1032-$K1032,0)</f>
        <v>0</v>
      </c>
      <c r="N1032" s="156" t="s">
        <v>92</v>
      </c>
      <c r="O1032" s="157" cm="1">
        <f t="array" ref="O1032">TRUNC($H1032*(1+_xlfn.SWITCH($N1032,"BDI 1",$O$6,"BDI 2",$O$7,"BDI 3",$O$8)),2)</f>
        <v>2.5499999999999998</v>
      </c>
      <c r="P1032" s="157" cm="1">
        <f t="array" ref="P1032">TRUNC($I1032*(1+_xlfn.SWITCH($N1032,"BDI 1",$P$6,"BDI 2",$P$7,"BDI 3",$P$8)),2)</f>
        <v>2.5499999999999998</v>
      </c>
      <c r="Q1032" s="157">
        <v>0</v>
      </c>
      <c r="R1032" s="157">
        <v>0</v>
      </c>
      <c r="S1032" s="156">
        <f>TRUNC($K1032*$O1032,2)</f>
        <v>0</v>
      </c>
      <c r="T1032" s="156">
        <f>TRUNC($K1032*$P1032,2)</f>
        <v>0</v>
      </c>
      <c r="U1032" s="156">
        <f>TRUNC($J1032*$R1032,2)</f>
        <v>0</v>
      </c>
      <c r="V1032" s="156">
        <f>TRUNC($K1032*$Q1032,2)</f>
        <v>0</v>
      </c>
      <c r="W1032" s="156">
        <f>TRUNC(V1032-U1032,2)</f>
        <v>0</v>
      </c>
      <c r="X1032" s="158">
        <f>$S1032/ORCAMENTO_VALOR_TOTAL_ND</f>
        <v>0</v>
      </c>
      <c r="Y1032" s="158">
        <f>$T1032/ORCAMENTO_VALOR_TOTAL_DE</f>
        <v>0</v>
      </c>
      <c r="Z1032" s="158" cm="1">
        <f t="array" ref="Z1032">_xlfn.SWITCH($N1032,"BDI 1",$O$6,"BDI 2",$O$7,"BDI 3",$O$8)</f>
        <v>0.1527</v>
      </c>
      <c r="AA1032" s="158" cm="1">
        <f t="array" ref="AA1032">_xlfn.SWITCH($N1032,"BDI 1",$P$6,"BDI 2",$P$7,"BDI 3",$P$8)</f>
        <v>0.1527</v>
      </c>
      <c r="AB1032" s="158">
        <f ca="1">IFERROR($S1032/_xlfn.XLOOKUP($AE1032,$B$16:$B$38,$S$16:$S$38),0)</f>
        <v>0</v>
      </c>
      <c r="AC1032" s="158">
        <f ca="1">IFERROR($T1032/_xlfn.XLOOKUP($AE1032,$B$16:$B$38,$T$16:$T$38),0)</f>
        <v>0</v>
      </c>
      <c r="AD1032" s="164"/>
      <c r="AE1032" s="148">
        <f t="shared" si="2275"/>
        <v>0</v>
      </c>
      <c r="AF1032" s="149"/>
      <c r="AG1032" s="150"/>
      <c r="AH1032" s="159" t="e">
        <f>+S1032/$S$961</f>
        <v>#DIV/0!</v>
      </c>
      <c r="AI1032" s="165" t="s">
        <v>101</v>
      </c>
      <c r="AJ1032" s="219"/>
      <c r="AK1032" s="219"/>
      <c r="AM1032" s="219"/>
      <c r="AN1032" s="219"/>
      <c r="AO1032" s="219"/>
      <c r="AP1032" s="219"/>
      <c r="AQ1032" s="219"/>
      <c r="AR1032" s="219"/>
    </row>
    <row r="1033" spans="1:44" s="220" customFormat="1" ht="40.15" hidden="1" customHeight="1">
      <c r="A1033" s="152">
        <f t="shared" ca="1" si="2276"/>
        <v>0</v>
      </c>
      <c r="B1033" s="153">
        <v>97115</v>
      </c>
      <c r="C1033" s="154" t="str">
        <f>TEXT(B1033,"0")</f>
        <v>97115</v>
      </c>
      <c r="D1033" s="154" t="s">
        <v>1416</v>
      </c>
      <c r="E1033" s="155" t="s">
        <v>3959</v>
      </c>
      <c r="F1033" s="154"/>
      <c r="G1033" s="154" t="s">
        <v>3802</v>
      </c>
      <c r="H1033" s="152">
        <v>56.64</v>
      </c>
      <c r="I1033" s="152">
        <v>56.06</v>
      </c>
      <c r="J1033" s="156"/>
      <c r="K1033" s="156"/>
      <c r="L1033" s="156">
        <f>IF($K1033&gt;$J1033,$K1033-$J1033,0)</f>
        <v>0</v>
      </c>
      <c r="M1033" s="156">
        <f>IF($K1033&lt;$J1033,$J1033-$K1033,0)</f>
        <v>0</v>
      </c>
      <c r="N1033" s="156" t="s">
        <v>83</v>
      </c>
      <c r="O1033" s="157" cm="1">
        <f t="array" ref="O1033">TRUNC($H1033*(1+_xlfn.SWITCH($N1033,"BDI 1",$O$6,"BDI 2",$O$7,"BDI 3",$O$8)),2)</f>
        <v>68.36</v>
      </c>
      <c r="P1033" s="157" cm="1">
        <f t="array" ref="P1033">TRUNC($I1033*(1+_xlfn.SWITCH($N1033,"BDI 1",$P$6,"BDI 2",$P$7,"BDI 3",$P$8)),2)</f>
        <v>71.05</v>
      </c>
      <c r="Q1033" s="157">
        <v>0</v>
      </c>
      <c r="R1033" s="157">
        <v>0</v>
      </c>
      <c r="S1033" s="156">
        <f>TRUNC($K1033*$O1033,2)</f>
        <v>0</v>
      </c>
      <c r="T1033" s="156">
        <f>TRUNC($K1033*$P1033,2)</f>
        <v>0</v>
      </c>
      <c r="U1033" s="156">
        <f>TRUNC($J1033*$R1033,2)</f>
        <v>0</v>
      </c>
      <c r="V1033" s="156">
        <f>TRUNC($K1033*$Q1033,2)</f>
        <v>0</v>
      </c>
      <c r="W1033" s="156">
        <f>TRUNC(V1033-U1033,2)</f>
        <v>0</v>
      </c>
      <c r="X1033" s="158">
        <f>$S1033/ORCAMENTO_VALOR_TOTAL_ND</f>
        <v>0</v>
      </c>
      <c r="Y1033" s="158">
        <f>$T1033/ORCAMENTO_VALOR_TOTAL_DE</f>
        <v>0</v>
      </c>
      <c r="Z1033" s="158" cm="1">
        <f t="array" ref="Z1033">_xlfn.SWITCH($N1033,"BDI 1",$O$6,"BDI 2",$O$7,"BDI 3",$O$8)</f>
        <v>0.20699999999999999</v>
      </c>
      <c r="AA1033" s="158" cm="1">
        <f t="array" ref="AA1033">_xlfn.SWITCH($N1033,"BDI 1",$P$6,"BDI 2",$P$7,"BDI 3",$P$8)</f>
        <v>0.26739999999999997</v>
      </c>
      <c r="AB1033" s="158">
        <f ca="1">IFERROR($S1033/_xlfn.XLOOKUP($AE1033,$B$16:$B$38,$S$16:$S$38),0)</f>
        <v>0</v>
      </c>
      <c r="AC1033" s="158">
        <f ca="1">IFERROR($T1033/_xlfn.XLOOKUP($AE1033,$B$16:$B$38,$T$16:$T$38),0)</f>
        <v>0</v>
      </c>
      <c r="AD1033" s="164"/>
      <c r="AE1033" s="148">
        <f t="shared" si="2275"/>
        <v>0</v>
      </c>
      <c r="AF1033" s="149"/>
      <c r="AG1033" s="150"/>
      <c r="AH1033" s="159" t="e">
        <f>+S1033/$S$961</f>
        <v>#DIV/0!</v>
      </c>
      <c r="AI1033" s="160"/>
      <c r="AJ1033" s="219"/>
      <c r="AK1033" s="219"/>
      <c r="AM1033" s="219"/>
      <c r="AN1033" s="219"/>
      <c r="AO1033" s="219"/>
      <c r="AP1033" s="219"/>
      <c r="AQ1033" s="219"/>
      <c r="AR1033" s="219"/>
    </row>
    <row r="1034" spans="1:44" s="49" customFormat="1" ht="40.15" hidden="1" customHeight="1">
      <c r="A1034" s="152">
        <f t="shared" ca="1" si="2276"/>
        <v>0</v>
      </c>
      <c r="B1034" s="153"/>
      <c r="C1034" s="154"/>
      <c r="D1034" s="154"/>
      <c r="E1034" s="161" t="s">
        <v>358</v>
      </c>
      <c r="F1034" s="154"/>
      <c r="G1034" s="154"/>
      <c r="H1034" s="152"/>
      <c r="I1034" s="152"/>
      <c r="J1034" s="154"/>
      <c r="K1034" s="154"/>
      <c r="L1034" s="154"/>
      <c r="M1034" s="154"/>
      <c r="N1034" s="154"/>
      <c r="O1034" s="162"/>
      <c r="P1034" s="162"/>
      <c r="Q1034" s="162"/>
      <c r="R1034" s="162"/>
      <c r="S1034" s="162"/>
      <c r="T1034" s="162"/>
      <c r="U1034" s="162"/>
      <c r="V1034" s="162"/>
      <c r="W1034" s="162"/>
      <c r="X1034" s="163"/>
      <c r="Y1034" s="163"/>
      <c r="Z1034" s="163"/>
      <c r="AA1034" s="163"/>
      <c r="AB1034" s="163"/>
      <c r="AC1034" s="163"/>
      <c r="AD1034" s="164"/>
      <c r="AE1034" s="148">
        <f t="shared" si="2275"/>
        <v>0</v>
      </c>
      <c r="AF1034" s="149"/>
      <c r="AG1034" s="150"/>
      <c r="AH1034" s="159"/>
      <c r="AI1034" s="160"/>
      <c r="AJ1034" s="105"/>
      <c r="AK1034" s="105"/>
      <c r="AM1034" s="105"/>
      <c r="AN1034" s="105"/>
      <c r="AO1034" s="105"/>
      <c r="AP1034" s="105"/>
      <c r="AQ1034" s="105"/>
      <c r="AR1034" s="105"/>
    </row>
    <row r="1035" spans="1:44" s="49" customFormat="1" ht="40.15" hidden="1" customHeight="1">
      <c r="A1035" s="152">
        <f t="shared" ca="1" si="2276"/>
        <v>0</v>
      </c>
      <c r="B1035" s="153"/>
      <c r="C1035" s="154"/>
      <c r="D1035" s="154"/>
      <c r="E1035" s="161" t="s">
        <v>359</v>
      </c>
      <c r="F1035" s="154"/>
      <c r="G1035" s="154"/>
      <c r="H1035" s="152"/>
      <c r="I1035" s="152"/>
      <c r="J1035" s="154"/>
      <c r="K1035" s="154"/>
      <c r="L1035" s="154"/>
      <c r="M1035" s="154"/>
      <c r="N1035" s="154"/>
      <c r="O1035" s="162"/>
      <c r="P1035" s="162"/>
      <c r="Q1035" s="162"/>
      <c r="R1035" s="162"/>
      <c r="S1035" s="162"/>
      <c r="T1035" s="162"/>
      <c r="U1035" s="162"/>
      <c r="V1035" s="162"/>
      <c r="W1035" s="162"/>
      <c r="X1035" s="163"/>
      <c r="Y1035" s="163"/>
      <c r="Z1035" s="163"/>
      <c r="AA1035" s="163"/>
      <c r="AB1035" s="163"/>
      <c r="AC1035" s="163"/>
      <c r="AD1035" s="164"/>
      <c r="AE1035" s="148">
        <f t="shared" si="2275"/>
        <v>0</v>
      </c>
      <c r="AF1035" s="149"/>
      <c r="AG1035" s="150"/>
      <c r="AH1035" s="159"/>
      <c r="AI1035" s="160"/>
      <c r="AJ1035" s="105"/>
      <c r="AK1035" s="105"/>
      <c r="AM1035" s="105"/>
      <c r="AN1035" s="105"/>
      <c r="AO1035" s="105"/>
      <c r="AP1035" s="105"/>
      <c r="AQ1035" s="105"/>
      <c r="AR1035" s="105"/>
    </row>
    <row r="1036" spans="1:44" s="220" customFormat="1" ht="40.15" hidden="1" customHeight="1">
      <c r="A1036" s="152">
        <f t="shared" ca="1" si="2276"/>
        <v>0</v>
      </c>
      <c r="B1036" s="153" t="s">
        <v>346</v>
      </c>
      <c r="C1036" s="154" t="str">
        <f t="shared" ref="C1036:C1042" si="2286">TEXT(B1036,"0")</f>
        <v>SEL-307</v>
      </c>
      <c r="D1036" s="154">
        <v>0</v>
      </c>
      <c r="E1036" s="155" t="s">
        <v>3766</v>
      </c>
      <c r="F1036" s="154"/>
      <c r="G1036" s="154">
        <v>0</v>
      </c>
      <c r="H1036" s="152">
        <v>0</v>
      </c>
      <c r="I1036" s="152">
        <v>0</v>
      </c>
      <c r="J1036" s="156"/>
      <c r="K1036" s="156"/>
      <c r="L1036" s="156">
        <f t="shared" ref="L1036:L1042" si="2287">IF($K1036&gt;$J1036,$K1036-$J1036,0)</f>
        <v>0</v>
      </c>
      <c r="M1036" s="156">
        <f t="shared" ref="M1036:M1042" si="2288">IF($K1036&lt;$J1036,$J1036-$K1036,0)</f>
        <v>0</v>
      </c>
      <c r="N1036" s="156" t="s">
        <v>83</v>
      </c>
      <c r="O1036" s="157" cm="1">
        <f t="array" ref="O1036">TRUNC($H1036*(1+_xlfn.SWITCH($N1036,"BDI 1",$O$6,"BDI 2",$O$7,"BDI 3",$O$8)),2)</f>
        <v>0</v>
      </c>
      <c r="P1036" s="157" cm="1">
        <f t="array" ref="P1036">TRUNC($I1036*(1+_xlfn.SWITCH($N1036,"BDI 1",$P$6,"BDI 2",$P$7,"BDI 3",$P$8)),2)</f>
        <v>0</v>
      </c>
      <c r="Q1036" s="157">
        <v>0</v>
      </c>
      <c r="R1036" s="157">
        <f t="shared" ref="R1036" si="2289">$Q1036-($Q1036*LICITACAO_DESCONTO)</f>
        <v>0</v>
      </c>
      <c r="S1036" s="156">
        <f t="shared" ref="S1036:S1042" si="2290">TRUNC($K1036*$O1036,2)</f>
        <v>0</v>
      </c>
      <c r="T1036" s="156">
        <f t="shared" ref="T1036:T1042" si="2291">TRUNC($K1036*$P1036,2)</f>
        <v>0</v>
      </c>
      <c r="U1036" s="156">
        <f t="shared" ref="U1036:U1042" si="2292">TRUNC($J1036*$R1036,2)</f>
        <v>0</v>
      </c>
      <c r="V1036" s="156">
        <f t="shared" ref="V1036:V1042" si="2293">TRUNC($K1036*$Q1036,2)</f>
        <v>0</v>
      </c>
      <c r="W1036" s="156">
        <f t="shared" ref="W1036:W1042" si="2294">TRUNC(V1036-U1036,2)</f>
        <v>0</v>
      </c>
      <c r="X1036" s="158">
        <f t="shared" ref="X1036" si="2295">$S1036/ORCAMENTO_VALOR_TOTAL_ND</f>
        <v>0</v>
      </c>
      <c r="Y1036" s="158">
        <f t="shared" ref="Y1036" si="2296">$T1036/ORCAMENTO_VALOR_TOTAL_DE</f>
        <v>0</v>
      </c>
      <c r="Z1036" s="158" cm="1">
        <f t="array" ref="Z1036">_xlfn.SWITCH($N1036,"BDI 1",$O$6,"BDI 2",$O$7,"BDI 3",$O$8)</f>
        <v>0.20699999999999999</v>
      </c>
      <c r="AA1036" s="158" cm="1">
        <f t="array" ref="AA1036">_xlfn.SWITCH($N1036,"BDI 1",$P$6,"BDI 2",$P$7,"BDI 3",$P$8)</f>
        <v>0.26739999999999997</v>
      </c>
      <c r="AB1036" s="158">
        <f t="shared" ref="AB1036:AB1042" ca="1" si="2297">IFERROR($S1036/_xlfn.XLOOKUP($AE1036,$B$16:$B$38,$S$16:$S$38),0)</f>
        <v>0</v>
      </c>
      <c r="AC1036" s="158">
        <f t="shared" ref="AC1036:AC1042" ca="1" si="2298">IFERROR($T1036/_xlfn.XLOOKUP($AE1036,$B$16:$B$38,$T$16:$T$38),0)</f>
        <v>0</v>
      </c>
      <c r="AD1036" s="164"/>
      <c r="AE1036" s="148">
        <f t="shared" si="2275"/>
        <v>0</v>
      </c>
      <c r="AF1036" s="149"/>
      <c r="AG1036" s="150"/>
      <c r="AH1036" s="159" t="e">
        <f t="shared" ref="AH1036:AH1042" si="2299">+S1036/$S$961</f>
        <v>#DIV/0!</v>
      </c>
      <c r="AI1036" s="160"/>
      <c r="AJ1036" s="184" t="e">
        <v>#N/A</v>
      </c>
      <c r="AK1036" s="183" t="e">
        <f>+K1036/AJ1036</f>
        <v>#N/A</v>
      </c>
      <c r="AM1036" s="219"/>
      <c r="AN1036" s="219"/>
      <c r="AO1036" s="219"/>
      <c r="AP1036" s="219"/>
      <c r="AQ1036" s="219">
        <f>K1036+K1051+K1065+K1073+K1080+K1093+K1109+K1114+K1125+K1151+K1162</f>
        <v>0</v>
      </c>
      <c r="AR1036" s="219"/>
    </row>
    <row r="1037" spans="1:44" s="220" customFormat="1" ht="40.15" hidden="1" customHeight="1">
      <c r="A1037" s="152">
        <f t="shared" ca="1" si="2276"/>
        <v>0</v>
      </c>
      <c r="B1037" s="153">
        <v>103673</v>
      </c>
      <c r="C1037" s="154" t="str">
        <f t="shared" si="2286"/>
        <v>103673</v>
      </c>
      <c r="D1037" s="154" t="s">
        <v>1416</v>
      </c>
      <c r="E1037" s="155" t="s">
        <v>3795</v>
      </c>
      <c r="F1037" s="154"/>
      <c r="G1037" s="154" t="s">
        <v>464</v>
      </c>
      <c r="H1037" s="152">
        <v>38.33</v>
      </c>
      <c r="I1037" s="152">
        <v>34.799999999999997</v>
      </c>
      <c r="J1037" s="156"/>
      <c r="K1037" s="156">
        <f>K1036</f>
        <v>0</v>
      </c>
      <c r="L1037" s="156">
        <f t="shared" si="2287"/>
        <v>0</v>
      </c>
      <c r="M1037" s="156">
        <f t="shared" si="2288"/>
        <v>0</v>
      </c>
      <c r="N1037" s="156" t="s">
        <v>83</v>
      </c>
      <c r="O1037" s="157" cm="1">
        <f t="array" ref="O1037">TRUNC($H1037*(1+_xlfn.SWITCH($N1037,"BDI 1",$O$6,"BDI 2",$O$7,"BDI 3",$O$8)),2)</f>
        <v>46.26</v>
      </c>
      <c r="P1037" s="157" cm="1">
        <f t="array" ref="P1037">TRUNC($I1037*(1+_xlfn.SWITCH($N1037,"BDI 1",$P$6,"BDI 2",$P$7,"BDI 3",$P$8)),2)</f>
        <v>44.1</v>
      </c>
      <c r="Q1037" s="157">
        <v>0</v>
      </c>
      <c r="R1037" s="157">
        <f t="shared" ref="R1037" si="2300">$Q1037-($Q1037*LICITACAO_DESCONTO)</f>
        <v>0</v>
      </c>
      <c r="S1037" s="156">
        <f t="shared" si="2290"/>
        <v>0</v>
      </c>
      <c r="T1037" s="156">
        <f t="shared" si="2291"/>
        <v>0</v>
      </c>
      <c r="U1037" s="156">
        <f t="shared" si="2292"/>
        <v>0</v>
      </c>
      <c r="V1037" s="156">
        <f t="shared" si="2293"/>
        <v>0</v>
      </c>
      <c r="W1037" s="156">
        <f t="shared" si="2294"/>
        <v>0</v>
      </c>
      <c r="X1037" s="158">
        <f t="shared" ref="X1037" si="2301">$S1037/ORCAMENTO_VALOR_TOTAL_ND</f>
        <v>0</v>
      </c>
      <c r="Y1037" s="158">
        <f t="shared" ref="Y1037" si="2302">$T1037/ORCAMENTO_VALOR_TOTAL_DE</f>
        <v>0</v>
      </c>
      <c r="Z1037" s="158" cm="1">
        <f t="array" ref="Z1037">_xlfn.SWITCH($N1037,"BDI 1",$O$6,"BDI 2",$O$7,"BDI 3",$O$8)</f>
        <v>0.20699999999999999</v>
      </c>
      <c r="AA1037" s="158" cm="1">
        <f t="array" ref="AA1037">_xlfn.SWITCH($N1037,"BDI 1",$P$6,"BDI 2",$P$7,"BDI 3",$P$8)</f>
        <v>0.26739999999999997</v>
      </c>
      <c r="AB1037" s="158">
        <f t="shared" ca="1" si="2297"/>
        <v>0</v>
      </c>
      <c r="AC1037" s="158">
        <f t="shared" ca="1" si="2298"/>
        <v>0</v>
      </c>
      <c r="AD1037" s="164"/>
      <c r="AE1037" s="148">
        <f t="shared" si="2275"/>
        <v>0</v>
      </c>
      <c r="AF1037" s="149"/>
      <c r="AG1037" s="150"/>
      <c r="AH1037" s="159" t="e">
        <f t="shared" si="2299"/>
        <v>#DIV/0!</v>
      </c>
      <c r="AI1037" s="165" t="s">
        <v>101</v>
      </c>
      <c r="AJ1037" s="219"/>
      <c r="AK1037" s="219"/>
      <c r="AM1037" s="219"/>
      <c r="AN1037" s="219"/>
      <c r="AO1037" s="219"/>
      <c r="AP1037" s="219"/>
      <c r="AQ1037" s="219"/>
      <c r="AR1037" s="219"/>
    </row>
    <row r="1038" spans="1:44" s="220" customFormat="1" ht="40.15" hidden="1" customHeight="1">
      <c r="A1038" s="152">
        <f t="shared" ca="1" si="2276"/>
        <v>0</v>
      </c>
      <c r="B1038" s="153">
        <v>96542</v>
      </c>
      <c r="C1038" s="154" t="str">
        <f t="shared" si="2286"/>
        <v>96542</v>
      </c>
      <c r="D1038" s="154" t="s">
        <v>1416</v>
      </c>
      <c r="E1038" s="155" t="s">
        <v>3953</v>
      </c>
      <c r="F1038" s="154"/>
      <c r="G1038" s="154" t="s">
        <v>1418</v>
      </c>
      <c r="H1038" s="152">
        <v>90.23</v>
      </c>
      <c r="I1038" s="152">
        <v>84.55</v>
      </c>
      <c r="J1038" s="156"/>
      <c r="K1038" s="156"/>
      <c r="L1038" s="156">
        <f t="shared" si="2287"/>
        <v>0</v>
      </c>
      <c r="M1038" s="156">
        <f t="shared" si="2288"/>
        <v>0</v>
      </c>
      <c r="N1038" s="156" t="s">
        <v>83</v>
      </c>
      <c r="O1038" s="157" cm="1">
        <f t="array" ref="O1038">TRUNC($H1038*(1+_xlfn.SWITCH($N1038,"BDI 1",$O$6,"BDI 2",$O$7,"BDI 3",$O$8)),2)</f>
        <v>108.9</v>
      </c>
      <c r="P1038" s="157" cm="1">
        <f t="array" ref="P1038">TRUNC($I1038*(1+_xlfn.SWITCH($N1038,"BDI 1",$P$6,"BDI 2",$P$7,"BDI 3",$P$8)),2)</f>
        <v>107.15</v>
      </c>
      <c r="Q1038" s="157">
        <v>0</v>
      </c>
      <c r="R1038" s="157">
        <f t="shared" ref="R1038" si="2303">$Q1038-($Q1038*LICITACAO_DESCONTO)</f>
        <v>0</v>
      </c>
      <c r="S1038" s="156">
        <f t="shared" si="2290"/>
        <v>0</v>
      </c>
      <c r="T1038" s="156">
        <f t="shared" si="2291"/>
        <v>0</v>
      </c>
      <c r="U1038" s="156">
        <f t="shared" si="2292"/>
        <v>0</v>
      </c>
      <c r="V1038" s="156">
        <f t="shared" si="2293"/>
        <v>0</v>
      </c>
      <c r="W1038" s="156">
        <f t="shared" si="2294"/>
        <v>0</v>
      </c>
      <c r="X1038" s="158">
        <f t="shared" ref="X1038" si="2304">$S1038/ORCAMENTO_VALOR_TOTAL_ND</f>
        <v>0</v>
      </c>
      <c r="Y1038" s="158">
        <f t="shared" ref="Y1038" si="2305">$T1038/ORCAMENTO_VALOR_TOTAL_DE</f>
        <v>0</v>
      </c>
      <c r="Z1038" s="158" cm="1">
        <f t="array" ref="Z1038">_xlfn.SWITCH($N1038,"BDI 1",$O$6,"BDI 2",$O$7,"BDI 3",$O$8)</f>
        <v>0.20699999999999999</v>
      </c>
      <c r="AA1038" s="158" cm="1">
        <f t="array" ref="AA1038">_xlfn.SWITCH($N1038,"BDI 1",$P$6,"BDI 2",$P$7,"BDI 3",$P$8)</f>
        <v>0.26739999999999997</v>
      </c>
      <c r="AB1038" s="158">
        <f t="shared" ca="1" si="2297"/>
        <v>0</v>
      </c>
      <c r="AC1038" s="158">
        <f t="shared" ca="1" si="2298"/>
        <v>0</v>
      </c>
      <c r="AD1038" s="164"/>
      <c r="AE1038" s="148">
        <f t="shared" si="2275"/>
        <v>0</v>
      </c>
      <c r="AF1038" s="149"/>
      <c r="AG1038" s="150"/>
      <c r="AH1038" s="159" t="e">
        <f t="shared" si="2299"/>
        <v>#DIV/0!</v>
      </c>
      <c r="AI1038" s="160"/>
      <c r="AJ1038" s="219"/>
      <c r="AK1038" s="219"/>
      <c r="AM1038" s="219"/>
      <c r="AN1038" s="219"/>
      <c r="AO1038" s="219"/>
      <c r="AP1038" s="219"/>
      <c r="AQ1038" s="219"/>
      <c r="AR1038" s="219"/>
    </row>
    <row r="1039" spans="1:44" s="220" customFormat="1" ht="40.15" hidden="1" customHeight="1">
      <c r="A1039" s="152">
        <f t="shared" ca="1" si="2276"/>
        <v>0</v>
      </c>
      <c r="B1039" s="153">
        <v>92769</v>
      </c>
      <c r="C1039" s="154" t="str">
        <f t="shared" si="2286"/>
        <v>92769</v>
      </c>
      <c r="D1039" s="154" t="s">
        <v>1416</v>
      </c>
      <c r="E1039" s="155" t="s">
        <v>3960</v>
      </c>
      <c r="F1039" s="154"/>
      <c r="G1039" s="154" t="s">
        <v>3802</v>
      </c>
      <c r="H1039" s="152">
        <v>13.15</v>
      </c>
      <c r="I1039" s="152">
        <v>12.82</v>
      </c>
      <c r="J1039" s="156"/>
      <c r="K1039" s="156"/>
      <c r="L1039" s="156">
        <f t="shared" si="2287"/>
        <v>0</v>
      </c>
      <c r="M1039" s="156">
        <f t="shared" si="2288"/>
        <v>0</v>
      </c>
      <c r="N1039" s="156" t="s">
        <v>83</v>
      </c>
      <c r="O1039" s="157" cm="1">
        <f t="array" ref="O1039">TRUNC($H1039*(1+_xlfn.SWITCH($N1039,"BDI 1",$O$6,"BDI 2",$O$7,"BDI 3",$O$8)),2)</f>
        <v>15.87</v>
      </c>
      <c r="P1039" s="157" cm="1">
        <f t="array" ref="P1039">TRUNC($I1039*(1+_xlfn.SWITCH($N1039,"BDI 1",$P$6,"BDI 2",$P$7,"BDI 3",$P$8)),2)</f>
        <v>16.239999999999998</v>
      </c>
      <c r="Q1039" s="157">
        <v>0</v>
      </c>
      <c r="R1039" s="157">
        <f t="shared" ref="R1039" si="2306">$Q1039-($Q1039*LICITACAO_DESCONTO)</f>
        <v>0</v>
      </c>
      <c r="S1039" s="156">
        <f t="shared" si="2290"/>
        <v>0</v>
      </c>
      <c r="T1039" s="156">
        <f t="shared" si="2291"/>
        <v>0</v>
      </c>
      <c r="U1039" s="156">
        <f t="shared" si="2292"/>
        <v>0</v>
      </c>
      <c r="V1039" s="156">
        <f t="shared" si="2293"/>
        <v>0</v>
      </c>
      <c r="W1039" s="156">
        <f t="shared" si="2294"/>
        <v>0</v>
      </c>
      <c r="X1039" s="158">
        <f t="shared" ref="X1039" si="2307">$S1039/ORCAMENTO_VALOR_TOTAL_ND</f>
        <v>0</v>
      </c>
      <c r="Y1039" s="158">
        <f t="shared" ref="Y1039" si="2308">$T1039/ORCAMENTO_VALOR_TOTAL_DE</f>
        <v>0</v>
      </c>
      <c r="Z1039" s="158" cm="1">
        <f t="array" ref="Z1039">_xlfn.SWITCH($N1039,"BDI 1",$O$6,"BDI 2",$O$7,"BDI 3",$O$8)</f>
        <v>0.20699999999999999</v>
      </c>
      <c r="AA1039" s="158" cm="1">
        <f t="array" ref="AA1039">_xlfn.SWITCH($N1039,"BDI 1",$P$6,"BDI 2",$P$7,"BDI 3",$P$8)</f>
        <v>0.26739999999999997</v>
      </c>
      <c r="AB1039" s="158">
        <f t="shared" ca="1" si="2297"/>
        <v>0</v>
      </c>
      <c r="AC1039" s="158">
        <f t="shared" ca="1" si="2298"/>
        <v>0</v>
      </c>
      <c r="AD1039" s="164"/>
      <c r="AE1039" s="148">
        <f t="shared" si="2275"/>
        <v>0</v>
      </c>
      <c r="AF1039" s="149"/>
      <c r="AG1039" s="150"/>
      <c r="AH1039" s="159" t="e">
        <f t="shared" si="2299"/>
        <v>#DIV/0!</v>
      </c>
      <c r="AI1039" s="160"/>
      <c r="AJ1039" s="219"/>
      <c r="AK1039" s="219"/>
      <c r="AM1039" s="219"/>
      <c r="AN1039" s="219"/>
      <c r="AO1039" s="219"/>
      <c r="AP1039" s="219"/>
      <c r="AQ1039" s="219"/>
      <c r="AR1039" s="219"/>
    </row>
    <row r="1040" spans="1:44" s="220" customFormat="1" ht="40.15" hidden="1" customHeight="1">
      <c r="A1040" s="152">
        <f t="shared" ca="1" si="2276"/>
        <v>0</v>
      </c>
      <c r="B1040" s="153">
        <v>92770</v>
      </c>
      <c r="C1040" s="154" t="str">
        <f t="shared" si="2286"/>
        <v>92770</v>
      </c>
      <c r="D1040" s="154" t="s">
        <v>1416</v>
      </c>
      <c r="E1040" s="155" t="s">
        <v>3956</v>
      </c>
      <c r="F1040" s="154"/>
      <c r="G1040" s="154" t="s">
        <v>3802</v>
      </c>
      <c r="H1040" s="152">
        <v>12.49</v>
      </c>
      <c r="I1040" s="152">
        <v>12.25</v>
      </c>
      <c r="J1040" s="156"/>
      <c r="K1040" s="156"/>
      <c r="L1040" s="156">
        <f t="shared" si="2287"/>
        <v>0</v>
      </c>
      <c r="M1040" s="156">
        <f t="shared" si="2288"/>
        <v>0</v>
      </c>
      <c r="N1040" s="156" t="s">
        <v>83</v>
      </c>
      <c r="O1040" s="157" cm="1">
        <f t="array" ref="O1040">TRUNC($H1040*(1+_xlfn.SWITCH($N1040,"BDI 1",$O$6,"BDI 2",$O$7,"BDI 3",$O$8)),2)</f>
        <v>15.07</v>
      </c>
      <c r="P1040" s="157" cm="1">
        <f t="array" ref="P1040">TRUNC($I1040*(1+_xlfn.SWITCH($N1040,"BDI 1",$P$6,"BDI 2",$P$7,"BDI 3",$P$8)),2)</f>
        <v>15.52</v>
      </c>
      <c r="Q1040" s="157">
        <v>0</v>
      </c>
      <c r="R1040" s="157">
        <f t="shared" ref="R1040" si="2309">$Q1040-($Q1040*LICITACAO_DESCONTO)</f>
        <v>0</v>
      </c>
      <c r="S1040" s="156">
        <f t="shared" si="2290"/>
        <v>0</v>
      </c>
      <c r="T1040" s="156">
        <f t="shared" si="2291"/>
        <v>0</v>
      </c>
      <c r="U1040" s="156">
        <f t="shared" si="2292"/>
        <v>0</v>
      </c>
      <c r="V1040" s="156">
        <f t="shared" si="2293"/>
        <v>0</v>
      </c>
      <c r="W1040" s="156">
        <f t="shared" si="2294"/>
        <v>0</v>
      </c>
      <c r="X1040" s="158">
        <f t="shared" ref="X1040" si="2310">$S1040/ORCAMENTO_VALOR_TOTAL_ND</f>
        <v>0</v>
      </c>
      <c r="Y1040" s="158">
        <f t="shared" ref="Y1040" si="2311">$T1040/ORCAMENTO_VALOR_TOTAL_DE</f>
        <v>0</v>
      </c>
      <c r="Z1040" s="158" cm="1">
        <f t="array" ref="Z1040">_xlfn.SWITCH($N1040,"BDI 1",$O$6,"BDI 2",$O$7,"BDI 3",$O$8)</f>
        <v>0.20699999999999999</v>
      </c>
      <c r="AA1040" s="158" cm="1">
        <f t="array" ref="AA1040">_xlfn.SWITCH($N1040,"BDI 1",$P$6,"BDI 2",$P$7,"BDI 3",$P$8)</f>
        <v>0.26739999999999997</v>
      </c>
      <c r="AB1040" s="158">
        <f t="shared" ca="1" si="2297"/>
        <v>0</v>
      </c>
      <c r="AC1040" s="158">
        <f t="shared" ca="1" si="2298"/>
        <v>0</v>
      </c>
      <c r="AD1040" s="164"/>
      <c r="AE1040" s="148">
        <f t="shared" si="2275"/>
        <v>0</v>
      </c>
      <c r="AF1040" s="149"/>
      <c r="AG1040" s="150"/>
      <c r="AH1040" s="159" t="e">
        <f t="shared" si="2299"/>
        <v>#DIV/0!</v>
      </c>
      <c r="AI1040" s="165" t="s">
        <v>101</v>
      </c>
      <c r="AJ1040" s="219"/>
      <c r="AK1040" s="219"/>
      <c r="AM1040" s="219"/>
      <c r="AN1040" s="219"/>
      <c r="AO1040" s="219"/>
      <c r="AP1040" s="219"/>
      <c r="AQ1040" s="219"/>
      <c r="AR1040" s="219"/>
    </row>
    <row r="1041" spans="1:44" s="220" customFormat="1" ht="40.15" hidden="1" customHeight="1">
      <c r="A1041" s="152">
        <f t="shared" ca="1" si="2276"/>
        <v>0</v>
      </c>
      <c r="B1041" s="153" t="s">
        <v>287</v>
      </c>
      <c r="C1041" s="154" t="str">
        <f t="shared" si="2286"/>
        <v>PA/0023</v>
      </c>
      <c r="D1041" s="154" t="s">
        <v>3549</v>
      </c>
      <c r="E1041" s="155" t="s">
        <v>3539</v>
      </c>
      <c r="F1041" s="154"/>
      <c r="G1041" s="154" t="s">
        <v>1418</v>
      </c>
      <c r="H1041" s="152">
        <v>2.37</v>
      </c>
      <c r="I1041" s="152">
        <v>2.33</v>
      </c>
      <c r="J1041" s="156"/>
      <c r="K1041" s="156"/>
      <c r="L1041" s="156">
        <f t="shared" si="2287"/>
        <v>0</v>
      </c>
      <c r="M1041" s="156">
        <f t="shared" si="2288"/>
        <v>0</v>
      </c>
      <c r="N1041" s="156" t="s">
        <v>83</v>
      </c>
      <c r="O1041" s="157" cm="1">
        <f t="array" ref="O1041">TRUNC($H1041*(1+_xlfn.SWITCH($N1041,"BDI 1",$O$6,"BDI 2",$O$7,"BDI 3",$O$8)),2)</f>
        <v>2.86</v>
      </c>
      <c r="P1041" s="157" cm="1">
        <f t="array" ref="P1041">TRUNC($I1041*(1+_xlfn.SWITCH($N1041,"BDI 1",$P$6,"BDI 2",$P$7,"BDI 3",$P$8)),2)</f>
        <v>2.95</v>
      </c>
      <c r="Q1041" s="157">
        <v>0</v>
      </c>
      <c r="R1041" s="157">
        <f t="shared" ref="R1041" si="2312">$Q1041-($Q1041*LICITACAO_DESCONTO)</f>
        <v>0</v>
      </c>
      <c r="S1041" s="156">
        <f t="shared" si="2290"/>
        <v>0</v>
      </c>
      <c r="T1041" s="156">
        <f t="shared" si="2291"/>
        <v>0</v>
      </c>
      <c r="U1041" s="156">
        <f t="shared" si="2292"/>
        <v>0</v>
      </c>
      <c r="V1041" s="156">
        <f t="shared" si="2293"/>
        <v>0</v>
      </c>
      <c r="W1041" s="156">
        <f t="shared" si="2294"/>
        <v>0</v>
      </c>
      <c r="X1041" s="158">
        <f t="shared" ref="X1041" si="2313">$S1041/ORCAMENTO_VALOR_TOTAL_ND</f>
        <v>0</v>
      </c>
      <c r="Y1041" s="158">
        <f t="shared" ref="Y1041" si="2314">$T1041/ORCAMENTO_VALOR_TOTAL_DE</f>
        <v>0</v>
      </c>
      <c r="Z1041" s="158" cm="1">
        <f t="array" ref="Z1041">_xlfn.SWITCH($N1041,"BDI 1",$O$6,"BDI 2",$O$7,"BDI 3",$O$8)</f>
        <v>0.20699999999999999</v>
      </c>
      <c r="AA1041" s="158" cm="1">
        <f t="array" ref="AA1041">_xlfn.SWITCH($N1041,"BDI 1",$P$6,"BDI 2",$P$7,"BDI 3",$P$8)</f>
        <v>0.26739999999999997</v>
      </c>
      <c r="AB1041" s="158">
        <f t="shared" ca="1" si="2297"/>
        <v>0</v>
      </c>
      <c r="AC1041" s="158">
        <f t="shared" ca="1" si="2298"/>
        <v>0</v>
      </c>
      <c r="AD1041" s="164"/>
      <c r="AE1041" s="148">
        <f t="shared" si="2275"/>
        <v>0</v>
      </c>
      <c r="AF1041" s="149"/>
      <c r="AG1041" s="150"/>
      <c r="AH1041" s="159" t="e">
        <f t="shared" si="2299"/>
        <v>#DIV/0!</v>
      </c>
      <c r="AI1041" s="160"/>
      <c r="AJ1041" s="219"/>
      <c r="AK1041" s="219"/>
      <c r="AM1041" s="219"/>
      <c r="AN1041" s="219"/>
      <c r="AO1041" s="219"/>
      <c r="AP1041" s="219"/>
      <c r="AQ1041" s="219"/>
      <c r="AR1041" s="219"/>
    </row>
    <row r="1042" spans="1:44" s="220" customFormat="1" ht="49.9" hidden="1" customHeight="1">
      <c r="A1042" s="152">
        <f t="shared" ca="1" si="2276"/>
        <v>0</v>
      </c>
      <c r="B1042" s="153" t="s">
        <v>252</v>
      </c>
      <c r="C1042" s="154" t="str">
        <f t="shared" si="2286"/>
        <v>PA/0040</v>
      </c>
      <c r="D1042" s="154" t="s">
        <v>3549</v>
      </c>
      <c r="E1042" s="155" t="s">
        <v>3875</v>
      </c>
      <c r="F1042" s="154"/>
      <c r="G1042" s="154" t="s">
        <v>464</v>
      </c>
      <c r="H1042" s="152">
        <v>1628.68</v>
      </c>
      <c r="I1042" s="152">
        <v>1625.69</v>
      </c>
      <c r="J1042" s="156"/>
      <c r="K1042" s="156"/>
      <c r="L1042" s="156">
        <f t="shared" si="2287"/>
        <v>0</v>
      </c>
      <c r="M1042" s="156">
        <f t="shared" si="2288"/>
        <v>0</v>
      </c>
      <c r="N1042" s="156" t="s">
        <v>83</v>
      </c>
      <c r="O1042" s="157" cm="1">
        <f t="array" ref="O1042">TRUNC($H1042*(1+_xlfn.SWITCH($N1042,"BDI 1",$O$6,"BDI 2",$O$7,"BDI 3",$O$8)),2)</f>
        <v>1965.81</v>
      </c>
      <c r="P1042" s="157" cm="1">
        <f t="array" ref="P1042">TRUNC($I1042*(1+_xlfn.SWITCH($N1042,"BDI 1",$P$6,"BDI 2",$P$7,"BDI 3",$P$8)),2)</f>
        <v>2060.39</v>
      </c>
      <c r="Q1042" s="157">
        <v>0</v>
      </c>
      <c r="R1042" s="157">
        <f t="shared" ref="R1042" si="2315">$Q1042-($Q1042*LICITACAO_DESCONTO)</f>
        <v>0</v>
      </c>
      <c r="S1042" s="156">
        <f t="shared" si="2290"/>
        <v>0</v>
      </c>
      <c r="T1042" s="156">
        <f t="shared" si="2291"/>
        <v>0</v>
      </c>
      <c r="U1042" s="156">
        <f t="shared" si="2292"/>
        <v>0</v>
      </c>
      <c r="V1042" s="156">
        <f t="shared" si="2293"/>
        <v>0</v>
      </c>
      <c r="W1042" s="156">
        <f t="shared" si="2294"/>
        <v>0</v>
      </c>
      <c r="X1042" s="158">
        <f t="shared" ref="X1042" si="2316">$S1042/ORCAMENTO_VALOR_TOTAL_ND</f>
        <v>0</v>
      </c>
      <c r="Y1042" s="158">
        <f t="shared" ref="Y1042" si="2317">$T1042/ORCAMENTO_VALOR_TOTAL_DE</f>
        <v>0</v>
      </c>
      <c r="Z1042" s="158" cm="1">
        <f t="array" ref="Z1042">_xlfn.SWITCH($N1042,"BDI 1",$O$6,"BDI 2",$O$7,"BDI 3",$O$8)</f>
        <v>0.20699999999999999</v>
      </c>
      <c r="AA1042" s="158" cm="1">
        <f t="array" ref="AA1042">_xlfn.SWITCH($N1042,"BDI 1",$P$6,"BDI 2",$P$7,"BDI 3",$P$8)</f>
        <v>0.26739999999999997</v>
      </c>
      <c r="AB1042" s="158">
        <f t="shared" ca="1" si="2297"/>
        <v>0</v>
      </c>
      <c r="AC1042" s="158">
        <f t="shared" ca="1" si="2298"/>
        <v>0</v>
      </c>
      <c r="AD1042" s="164"/>
      <c r="AE1042" s="148">
        <f t="shared" si="2275"/>
        <v>0</v>
      </c>
      <c r="AF1042" s="149"/>
      <c r="AG1042" s="150"/>
      <c r="AH1042" s="159" t="e">
        <f t="shared" si="2299"/>
        <v>#DIV/0!</v>
      </c>
      <c r="AI1042" s="165" t="s">
        <v>101</v>
      </c>
      <c r="AJ1042" s="219"/>
      <c r="AK1042" s="219"/>
      <c r="AM1042" s="219"/>
      <c r="AN1042" s="219"/>
      <c r="AO1042" s="219"/>
      <c r="AP1042" s="219"/>
      <c r="AQ1042" s="219"/>
      <c r="AR1042" s="219"/>
    </row>
    <row r="1043" spans="1:44" s="49" customFormat="1" ht="40.15" hidden="1" customHeight="1">
      <c r="A1043" s="152">
        <f t="shared" ca="1" si="2276"/>
        <v>0</v>
      </c>
      <c r="B1043" s="153"/>
      <c r="C1043" s="154"/>
      <c r="D1043" s="154"/>
      <c r="E1043" s="161" t="s">
        <v>360</v>
      </c>
      <c r="F1043" s="154"/>
      <c r="G1043" s="154"/>
      <c r="H1043" s="152"/>
      <c r="I1043" s="152"/>
      <c r="J1043" s="154"/>
      <c r="K1043" s="154"/>
      <c r="L1043" s="154"/>
      <c r="M1043" s="154"/>
      <c r="N1043" s="154"/>
      <c r="O1043" s="162"/>
      <c r="P1043" s="162"/>
      <c r="Q1043" s="162"/>
      <c r="R1043" s="162"/>
      <c r="S1043" s="162"/>
      <c r="T1043" s="162"/>
      <c r="U1043" s="162"/>
      <c r="V1043" s="162"/>
      <c r="W1043" s="162"/>
      <c r="X1043" s="163"/>
      <c r="Y1043" s="163"/>
      <c r="Z1043" s="163"/>
      <c r="AA1043" s="163"/>
      <c r="AB1043" s="163"/>
      <c r="AC1043" s="163"/>
      <c r="AD1043" s="164"/>
      <c r="AE1043" s="148">
        <f t="shared" si="2275"/>
        <v>0</v>
      </c>
      <c r="AF1043" s="149"/>
      <c r="AG1043" s="150"/>
      <c r="AH1043" s="159"/>
      <c r="AI1043" s="160"/>
      <c r="AJ1043" s="105"/>
      <c r="AK1043" s="105"/>
      <c r="AM1043" s="105"/>
      <c r="AN1043" s="105"/>
      <c r="AO1043" s="105"/>
      <c r="AP1043" s="105"/>
      <c r="AQ1043" s="105"/>
      <c r="AR1043" s="105"/>
    </row>
    <row r="1044" spans="1:44" s="220" customFormat="1" ht="40.15" hidden="1" customHeight="1">
      <c r="A1044" s="152">
        <f t="shared" ca="1" si="2276"/>
        <v>0</v>
      </c>
      <c r="B1044" s="153">
        <v>94972</v>
      </c>
      <c r="C1044" s="154" t="str">
        <f t="shared" ref="C1044:C1051" si="2318">TEXT(B1044,"0")</f>
        <v>94972</v>
      </c>
      <c r="D1044" s="154" t="s">
        <v>1416</v>
      </c>
      <c r="E1044" s="155" t="s">
        <v>3952</v>
      </c>
      <c r="F1044" s="154"/>
      <c r="G1044" s="154" t="s">
        <v>464</v>
      </c>
      <c r="H1044" s="152">
        <v>500.26</v>
      </c>
      <c r="I1044" s="152">
        <v>499.21</v>
      </c>
      <c r="J1044" s="156"/>
      <c r="K1044" s="156"/>
      <c r="L1044" s="156">
        <f t="shared" ref="L1044:L1051" si="2319">IF($K1044&gt;$J1044,$K1044-$J1044,0)</f>
        <v>0</v>
      </c>
      <c r="M1044" s="156">
        <f t="shared" ref="M1044:M1051" si="2320">IF($K1044&lt;$J1044,$J1044-$K1044,0)</f>
        <v>0</v>
      </c>
      <c r="N1044" s="156" t="s">
        <v>83</v>
      </c>
      <c r="O1044" s="157" cm="1">
        <f t="array" ref="O1044">TRUNC($H1044*(1+_xlfn.SWITCH($N1044,"BDI 1",$O$6,"BDI 2",$O$7,"BDI 3",$O$8)),2)</f>
        <v>603.80999999999995</v>
      </c>
      <c r="P1044" s="157" cm="1">
        <f t="array" ref="P1044">TRUNC($I1044*(1+_xlfn.SWITCH($N1044,"BDI 1",$P$6,"BDI 2",$P$7,"BDI 3",$P$8)),2)</f>
        <v>632.69000000000005</v>
      </c>
      <c r="Q1044" s="157">
        <v>0</v>
      </c>
      <c r="R1044" s="157">
        <f t="shared" ref="R1044" si="2321">$Q1044-($Q1044*LICITACAO_DESCONTO)</f>
        <v>0</v>
      </c>
      <c r="S1044" s="156">
        <f t="shared" ref="S1044:S1051" si="2322">TRUNC($K1044*$O1044,2)</f>
        <v>0</v>
      </c>
      <c r="T1044" s="156">
        <f t="shared" ref="T1044:T1051" si="2323">TRUNC($K1044*$P1044,2)</f>
        <v>0</v>
      </c>
      <c r="U1044" s="156">
        <f t="shared" ref="U1044:U1051" si="2324">TRUNC($J1044*$R1044,2)</f>
        <v>0</v>
      </c>
      <c r="V1044" s="156">
        <f t="shared" ref="V1044:V1051" si="2325">TRUNC($K1044*$Q1044,2)</f>
        <v>0</v>
      </c>
      <c r="W1044" s="156">
        <f t="shared" ref="W1044:W1051" si="2326">TRUNC(V1044-U1044,2)</f>
        <v>0</v>
      </c>
      <c r="X1044" s="158">
        <f t="shared" ref="X1044" si="2327">$S1044/ORCAMENTO_VALOR_TOTAL_ND</f>
        <v>0</v>
      </c>
      <c r="Y1044" s="158">
        <f t="shared" ref="Y1044" si="2328">$T1044/ORCAMENTO_VALOR_TOTAL_DE</f>
        <v>0</v>
      </c>
      <c r="Z1044" s="158" cm="1">
        <f t="array" ref="Z1044">_xlfn.SWITCH($N1044,"BDI 1",$O$6,"BDI 2",$O$7,"BDI 3",$O$8)</f>
        <v>0.20699999999999999</v>
      </c>
      <c r="AA1044" s="158" cm="1">
        <f t="array" ref="AA1044">_xlfn.SWITCH($N1044,"BDI 1",$P$6,"BDI 2",$P$7,"BDI 3",$P$8)</f>
        <v>0.26739999999999997</v>
      </c>
      <c r="AB1044" s="158">
        <f t="shared" ref="AB1044:AB1051" ca="1" si="2329">IFERROR($S1044/_xlfn.XLOOKUP($AE1044,$B$16:$B$38,$S$16:$S$38),0)</f>
        <v>0</v>
      </c>
      <c r="AC1044" s="158">
        <f t="shared" ref="AC1044:AC1051" ca="1" si="2330">IFERROR($T1044/_xlfn.XLOOKUP($AE1044,$B$16:$B$38,$T$16:$T$38),0)</f>
        <v>0</v>
      </c>
      <c r="AD1044" s="164"/>
      <c r="AE1044" s="148">
        <f t="shared" si="2275"/>
        <v>0</v>
      </c>
      <c r="AF1044" s="149"/>
      <c r="AG1044" s="150"/>
      <c r="AH1044" s="159" t="e">
        <f t="shared" ref="AH1044:AH1051" si="2331">+S1044/$S$961</f>
        <v>#DIV/0!</v>
      </c>
      <c r="AI1044" s="160"/>
      <c r="AJ1044" s="219"/>
      <c r="AK1044" s="219"/>
      <c r="AM1044" s="219"/>
      <c r="AN1044" s="219"/>
      <c r="AO1044" s="219"/>
      <c r="AP1044" s="219"/>
      <c r="AQ1044" s="219"/>
      <c r="AR1044" s="219"/>
    </row>
    <row r="1045" spans="1:44" s="220" customFormat="1" ht="40.15" hidden="1" customHeight="1">
      <c r="A1045" s="152">
        <f t="shared" ca="1" si="2276"/>
        <v>0</v>
      </c>
      <c r="B1045" s="153">
        <v>103670</v>
      </c>
      <c r="C1045" s="154" t="str">
        <f t="shared" si="2318"/>
        <v>103670</v>
      </c>
      <c r="D1045" s="154" t="s">
        <v>1416</v>
      </c>
      <c r="E1045" s="155" t="s">
        <v>3792</v>
      </c>
      <c r="F1045" s="154"/>
      <c r="G1045" s="154" t="s">
        <v>464</v>
      </c>
      <c r="H1045" s="152">
        <v>272.37</v>
      </c>
      <c r="I1045" s="152">
        <v>247.05</v>
      </c>
      <c r="J1045" s="156"/>
      <c r="K1045" s="156">
        <f>K1044</f>
        <v>0</v>
      </c>
      <c r="L1045" s="156">
        <f t="shared" si="2319"/>
        <v>0</v>
      </c>
      <c r="M1045" s="156">
        <f t="shared" si="2320"/>
        <v>0</v>
      </c>
      <c r="N1045" s="156" t="s">
        <v>83</v>
      </c>
      <c r="O1045" s="157" cm="1">
        <f t="array" ref="O1045">TRUNC($H1045*(1+_xlfn.SWITCH($N1045,"BDI 1",$O$6,"BDI 2",$O$7,"BDI 3",$O$8)),2)</f>
        <v>328.75</v>
      </c>
      <c r="P1045" s="157" cm="1">
        <f t="array" ref="P1045">TRUNC($I1045*(1+_xlfn.SWITCH($N1045,"BDI 1",$P$6,"BDI 2",$P$7,"BDI 3",$P$8)),2)</f>
        <v>313.11</v>
      </c>
      <c r="Q1045" s="157">
        <v>0</v>
      </c>
      <c r="R1045" s="157">
        <f t="shared" ref="R1045" si="2332">$Q1045-($Q1045*LICITACAO_DESCONTO)</f>
        <v>0</v>
      </c>
      <c r="S1045" s="156">
        <f t="shared" si="2322"/>
        <v>0</v>
      </c>
      <c r="T1045" s="156">
        <f t="shared" si="2323"/>
        <v>0</v>
      </c>
      <c r="U1045" s="156">
        <f t="shared" si="2324"/>
        <v>0</v>
      </c>
      <c r="V1045" s="156">
        <f t="shared" si="2325"/>
        <v>0</v>
      </c>
      <c r="W1045" s="156">
        <f t="shared" si="2326"/>
        <v>0</v>
      </c>
      <c r="X1045" s="158">
        <f t="shared" ref="X1045" si="2333">$S1045/ORCAMENTO_VALOR_TOTAL_ND</f>
        <v>0</v>
      </c>
      <c r="Y1045" s="158">
        <f t="shared" ref="Y1045" si="2334">$T1045/ORCAMENTO_VALOR_TOTAL_DE</f>
        <v>0</v>
      </c>
      <c r="Z1045" s="158" cm="1">
        <f t="array" ref="Z1045">_xlfn.SWITCH($N1045,"BDI 1",$O$6,"BDI 2",$O$7,"BDI 3",$O$8)</f>
        <v>0.20699999999999999</v>
      </c>
      <c r="AA1045" s="158" cm="1">
        <f t="array" ref="AA1045">_xlfn.SWITCH($N1045,"BDI 1",$P$6,"BDI 2",$P$7,"BDI 3",$P$8)</f>
        <v>0.26739999999999997</v>
      </c>
      <c r="AB1045" s="158">
        <f t="shared" ca="1" si="2329"/>
        <v>0</v>
      </c>
      <c r="AC1045" s="158">
        <f t="shared" ca="1" si="2330"/>
        <v>0</v>
      </c>
      <c r="AD1045" s="164"/>
      <c r="AE1045" s="148">
        <f t="shared" si="2275"/>
        <v>0</v>
      </c>
      <c r="AF1045" s="149"/>
      <c r="AG1045" s="150"/>
      <c r="AH1045" s="159" t="e">
        <f t="shared" si="2331"/>
        <v>#DIV/0!</v>
      </c>
      <c r="AI1045" s="160"/>
      <c r="AJ1045" s="219"/>
      <c r="AK1045" s="219"/>
      <c r="AM1045" s="219"/>
      <c r="AN1045" s="219"/>
      <c r="AO1045" s="219"/>
      <c r="AP1045" s="219"/>
      <c r="AQ1045" s="219"/>
      <c r="AR1045" s="219"/>
    </row>
    <row r="1046" spans="1:44" s="220" customFormat="1" ht="40.15" hidden="1" customHeight="1">
      <c r="A1046" s="152">
        <f t="shared" ca="1" si="2276"/>
        <v>0</v>
      </c>
      <c r="B1046" s="153">
        <v>96536</v>
      </c>
      <c r="C1046" s="154" t="str">
        <f t="shared" si="2318"/>
        <v>96536</v>
      </c>
      <c r="D1046" s="154" t="s">
        <v>1416</v>
      </c>
      <c r="E1046" s="155" t="s">
        <v>3955</v>
      </c>
      <c r="F1046" s="154"/>
      <c r="G1046" s="154" t="s">
        <v>1418</v>
      </c>
      <c r="H1046" s="152">
        <v>61.52</v>
      </c>
      <c r="I1046" s="152">
        <v>57.93</v>
      </c>
      <c r="J1046" s="156"/>
      <c r="K1046" s="156"/>
      <c r="L1046" s="156">
        <f t="shared" si="2319"/>
        <v>0</v>
      </c>
      <c r="M1046" s="156">
        <f t="shared" si="2320"/>
        <v>0</v>
      </c>
      <c r="N1046" s="156" t="s">
        <v>83</v>
      </c>
      <c r="O1046" s="157" cm="1">
        <f t="array" ref="O1046">TRUNC($H1046*(1+_xlfn.SWITCH($N1046,"BDI 1",$O$6,"BDI 2",$O$7,"BDI 3",$O$8)),2)</f>
        <v>74.25</v>
      </c>
      <c r="P1046" s="157" cm="1">
        <f t="array" ref="P1046">TRUNC($I1046*(1+_xlfn.SWITCH($N1046,"BDI 1",$P$6,"BDI 2",$P$7,"BDI 3",$P$8)),2)</f>
        <v>73.42</v>
      </c>
      <c r="Q1046" s="157">
        <v>0</v>
      </c>
      <c r="R1046" s="157">
        <f t="shared" ref="R1046" si="2335">$Q1046-($Q1046*LICITACAO_DESCONTO)</f>
        <v>0</v>
      </c>
      <c r="S1046" s="156">
        <f t="shared" si="2322"/>
        <v>0</v>
      </c>
      <c r="T1046" s="156">
        <f t="shared" si="2323"/>
        <v>0</v>
      </c>
      <c r="U1046" s="156">
        <f t="shared" si="2324"/>
        <v>0</v>
      </c>
      <c r="V1046" s="156">
        <f t="shared" si="2325"/>
        <v>0</v>
      </c>
      <c r="W1046" s="156">
        <f t="shared" si="2326"/>
        <v>0</v>
      </c>
      <c r="X1046" s="158">
        <f t="shared" ref="X1046" si="2336">$S1046/ORCAMENTO_VALOR_TOTAL_ND</f>
        <v>0</v>
      </c>
      <c r="Y1046" s="158">
        <f t="shared" ref="Y1046" si="2337">$T1046/ORCAMENTO_VALOR_TOTAL_DE</f>
        <v>0</v>
      </c>
      <c r="Z1046" s="158" cm="1">
        <f t="array" ref="Z1046">_xlfn.SWITCH($N1046,"BDI 1",$O$6,"BDI 2",$O$7,"BDI 3",$O$8)</f>
        <v>0.20699999999999999</v>
      </c>
      <c r="AA1046" s="158" cm="1">
        <f t="array" ref="AA1046">_xlfn.SWITCH($N1046,"BDI 1",$P$6,"BDI 2",$P$7,"BDI 3",$P$8)</f>
        <v>0.26739999999999997</v>
      </c>
      <c r="AB1046" s="158">
        <f t="shared" ca="1" si="2329"/>
        <v>0</v>
      </c>
      <c r="AC1046" s="158">
        <f t="shared" ca="1" si="2330"/>
        <v>0</v>
      </c>
      <c r="AD1046" s="164"/>
      <c r="AE1046" s="148">
        <f t="shared" si="2275"/>
        <v>0</v>
      </c>
      <c r="AF1046" s="149"/>
      <c r="AG1046" s="150"/>
      <c r="AH1046" s="159" t="e">
        <f t="shared" si="2331"/>
        <v>#DIV/0!</v>
      </c>
      <c r="AI1046" s="165" t="s">
        <v>101</v>
      </c>
      <c r="AJ1046" s="219"/>
      <c r="AK1046" s="219"/>
      <c r="AM1046" s="219"/>
      <c r="AN1046" s="219"/>
      <c r="AO1046" s="219"/>
      <c r="AP1046" s="219"/>
      <c r="AQ1046" s="219"/>
      <c r="AR1046" s="219"/>
    </row>
    <row r="1047" spans="1:44" s="220" customFormat="1" ht="40.15" hidden="1" customHeight="1">
      <c r="A1047" s="152">
        <f t="shared" ca="1" si="2276"/>
        <v>0</v>
      </c>
      <c r="B1047" s="153">
        <v>92760</v>
      </c>
      <c r="C1047" s="154" t="str">
        <f t="shared" si="2318"/>
        <v>92760</v>
      </c>
      <c r="D1047" s="154" t="s">
        <v>1416</v>
      </c>
      <c r="E1047" s="155" t="s">
        <v>3948</v>
      </c>
      <c r="F1047" s="154"/>
      <c r="G1047" s="154" t="s">
        <v>3802</v>
      </c>
      <c r="H1047" s="152">
        <v>13.61</v>
      </c>
      <c r="I1047" s="152">
        <v>13.23</v>
      </c>
      <c r="J1047" s="156"/>
      <c r="K1047" s="156"/>
      <c r="L1047" s="156">
        <f t="shared" si="2319"/>
        <v>0</v>
      </c>
      <c r="M1047" s="156">
        <f t="shared" si="2320"/>
        <v>0</v>
      </c>
      <c r="N1047" s="156" t="s">
        <v>83</v>
      </c>
      <c r="O1047" s="157" cm="1">
        <f t="array" ref="O1047">TRUNC($H1047*(1+_xlfn.SWITCH($N1047,"BDI 1",$O$6,"BDI 2",$O$7,"BDI 3",$O$8)),2)</f>
        <v>16.420000000000002</v>
      </c>
      <c r="P1047" s="157" cm="1">
        <f t="array" ref="P1047">TRUNC($I1047*(1+_xlfn.SWITCH($N1047,"BDI 1",$P$6,"BDI 2",$P$7,"BDI 3",$P$8)),2)</f>
        <v>16.760000000000002</v>
      </c>
      <c r="Q1047" s="157">
        <v>0</v>
      </c>
      <c r="R1047" s="157">
        <f t="shared" ref="R1047" si="2338">$Q1047-($Q1047*LICITACAO_DESCONTO)</f>
        <v>0</v>
      </c>
      <c r="S1047" s="156">
        <f t="shared" si="2322"/>
        <v>0</v>
      </c>
      <c r="T1047" s="156">
        <f t="shared" si="2323"/>
        <v>0</v>
      </c>
      <c r="U1047" s="156">
        <f t="shared" si="2324"/>
        <v>0</v>
      </c>
      <c r="V1047" s="156">
        <f t="shared" si="2325"/>
        <v>0</v>
      </c>
      <c r="W1047" s="156">
        <f t="shared" si="2326"/>
        <v>0</v>
      </c>
      <c r="X1047" s="158">
        <f t="shared" ref="X1047" si="2339">$S1047/ORCAMENTO_VALOR_TOTAL_ND</f>
        <v>0</v>
      </c>
      <c r="Y1047" s="158">
        <f t="shared" ref="Y1047" si="2340">$T1047/ORCAMENTO_VALOR_TOTAL_DE</f>
        <v>0</v>
      </c>
      <c r="Z1047" s="158" cm="1">
        <f t="array" ref="Z1047">_xlfn.SWITCH($N1047,"BDI 1",$O$6,"BDI 2",$O$7,"BDI 3",$O$8)</f>
        <v>0.20699999999999999</v>
      </c>
      <c r="AA1047" s="158" cm="1">
        <f t="array" ref="AA1047">_xlfn.SWITCH($N1047,"BDI 1",$P$6,"BDI 2",$P$7,"BDI 3",$P$8)</f>
        <v>0.26739999999999997</v>
      </c>
      <c r="AB1047" s="158">
        <f t="shared" ca="1" si="2329"/>
        <v>0</v>
      </c>
      <c r="AC1047" s="158">
        <f t="shared" ca="1" si="2330"/>
        <v>0</v>
      </c>
      <c r="AD1047" s="164"/>
      <c r="AE1047" s="148">
        <f t="shared" si="2275"/>
        <v>0</v>
      </c>
      <c r="AF1047" s="149"/>
      <c r="AG1047" s="150"/>
      <c r="AH1047" s="159" t="e">
        <f t="shared" si="2331"/>
        <v>#DIV/0!</v>
      </c>
      <c r="AI1047" s="165" t="s">
        <v>101</v>
      </c>
      <c r="AJ1047" s="219"/>
      <c r="AK1047" s="219"/>
      <c r="AM1047" s="219"/>
      <c r="AN1047" s="219"/>
      <c r="AO1047" s="219"/>
      <c r="AP1047" s="219"/>
      <c r="AQ1047" s="219"/>
      <c r="AR1047" s="219"/>
    </row>
    <row r="1048" spans="1:44" s="220" customFormat="1" ht="40.15" hidden="1" customHeight="1">
      <c r="A1048" s="152">
        <f t="shared" ca="1" si="2276"/>
        <v>0</v>
      </c>
      <c r="B1048" s="153">
        <v>92761</v>
      </c>
      <c r="C1048" s="154" t="str">
        <f t="shared" si="2318"/>
        <v>92761</v>
      </c>
      <c r="D1048" s="154" t="s">
        <v>1416</v>
      </c>
      <c r="E1048" s="155" t="s">
        <v>3954</v>
      </c>
      <c r="F1048" s="154"/>
      <c r="G1048" s="154" t="s">
        <v>3802</v>
      </c>
      <c r="H1048" s="152">
        <v>12.93</v>
      </c>
      <c r="I1048" s="152">
        <v>12.66</v>
      </c>
      <c r="J1048" s="156"/>
      <c r="K1048" s="156"/>
      <c r="L1048" s="156">
        <f t="shared" si="2319"/>
        <v>0</v>
      </c>
      <c r="M1048" s="156">
        <f t="shared" si="2320"/>
        <v>0</v>
      </c>
      <c r="N1048" s="156" t="s">
        <v>83</v>
      </c>
      <c r="O1048" s="157" cm="1">
        <f t="array" ref="O1048">TRUNC($H1048*(1+_xlfn.SWITCH($N1048,"BDI 1",$O$6,"BDI 2",$O$7,"BDI 3",$O$8)),2)</f>
        <v>15.6</v>
      </c>
      <c r="P1048" s="157" cm="1">
        <f t="array" ref="P1048">TRUNC($I1048*(1+_xlfn.SWITCH($N1048,"BDI 1",$P$6,"BDI 2",$P$7,"BDI 3",$P$8)),2)</f>
        <v>16.04</v>
      </c>
      <c r="Q1048" s="157">
        <v>0</v>
      </c>
      <c r="R1048" s="157">
        <f t="shared" ref="R1048" si="2341">$Q1048-($Q1048*LICITACAO_DESCONTO)</f>
        <v>0</v>
      </c>
      <c r="S1048" s="156">
        <f t="shared" si="2322"/>
        <v>0</v>
      </c>
      <c r="T1048" s="156">
        <f t="shared" si="2323"/>
        <v>0</v>
      </c>
      <c r="U1048" s="156">
        <f t="shared" si="2324"/>
        <v>0</v>
      </c>
      <c r="V1048" s="156">
        <f t="shared" si="2325"/>
        <v>0</v>
      </c>
      <c r="W1048" s="156">
        <f t="shared" si="2326"/>
        <v>0</v>
      </c>
      <c r="X1048" s="158">
        <f t="shared" ref="X1048" si="2342">$S1048/ORCAMENTO_VALOR_TOTAL_ND</f>
        <v>0</v>
      </c>
      <c r="Y1048" s="158">
        <f t="shared" ref="Y1048" si="2343">$T1048/ORCAMENTO_VALOR_TOTAL_DE</f>
        <v>0</v>
      </c>
      <c r="Z1048" s="158" cm="1">
        <f t="array" ref="Z1048">_xlfn.SWITCH($N1048,"BDI 1",$O$6,"BDI 2",$O$7,"BDI 3",$O$8)</f>
        <v>0.20699999999999999</v>
      </c>
      <c r="AA1048" s="158" cm="1">
        <f t="array" ref="AA1048">_xlfn.SWITCH($N1048,"BDI 1",$P$6,"BDI 2",$P$7,"BDI 3",$P$8)</f>
        <v>0.26739999999999997</v>
      </c>
      <c r="AB1048" s="158">
        <f t="shared" ca="1" si="2329"/>
        <v>0</v>
      </c>
      <c r="AC1048" s="158">
        <f t="shared" ca="1" si="2330"/>
        <v>0</v>
      </c>
      <c r="AD1048" s="164"/>
      <c r="AE1048" s="148">
        <f t="shared" si="2275"/>
        <v>0</v>
      </c>
      <c r="AF1048" s="149"/>
      <c r="AG1048" s="150"/>
      <c r="AH1048" s="159" t="e">
        <f t="shared" si="2331"/>
        <v>#DIV/0!</v>
      </c>
      <c r="AI1048" s="165" t="s">
        <v>243</v>
      </c>
      <c r="AJ1048" s="219"/>
      <c r="AK1048" s="219"/>
      <c r="AM1048" s="219"/>
      <c r="AN1048" s="219"/>
      <c r="AO1048" s="219"/>
      <c r="AP1048" s="219"/>
      <c r="AQ1048" s="219"/>
      <c r="AR1048" s="219"/>
    </row>
    <row r="1049" spans="1:44" s="220" customFormat="1" ht="40.15" hidden="1" customHeight="1">
      <c r="A1049" s="152">
        <f t="shared" ca="1" si="2276"/>
        <v>0</v>
      </c>
      <c r="B1049" s="153">
        <v>92762</v>
      </c>
      <c r="C1049" s="154" t="str">
        <f t="shared" si="2318"/>
        <v>92762</v>
      </c>
      <c r="D1049" s="154" t="s">
        <v>1416</v>
      </c>
      <c r="E1049" s="155" t="s">
        <v>3961</v>
      </c>
      <c r="F1049" s="154"/>
      <c r="G1049" s="154" t="s">
        <v>3802</v>
      </c>
      <c r="H1049" s="152">
        <v>11.59</v>
      </c>
      <c r="I1049" s="152">
        <v>11.4</v>
      </c>
      <c r="J1049" s="156"/>
      <c r="K1049" s="156"/>
      <c r="L1049" s="156">
        <f t="shared" si="2319"/>
        <v>0</v>
      </c>
      <c r="M1049" s="156">
        <f t="shared" si="2320"/>
        <v>0</v>
      </c>
      <c r="N1049" s="156" t="s">
        <v>83</v>
      </c>
      <c r="O1049" s="157" cm="1">
        <f t="array" ref="O1049">TRUNC($H1049*(1+_xlfn.SWITCH($N1049,"BDI 1",$O$6,"BDI 2",$O$7,"BDI 3",$O$8)),2)</f>
        <v>13.98</v>
      </c>
      <c r="P1049" s="157" cm="1">
        <f t="array" ref="P1049">TRUNC($I1049*(1+_xlfn.SWITCH($N1049,"BDI 1",$P$6,"BDI 2",$P$7,"BDI 3",$P$8)),2)</f>
        <v>14.44</v>
      </c>
      <c r="Q1049" s="157">
        <v>0</v>
      </c>
      <c r="R1049" s="157">
        <f t="shared" ref="R1049" si="2344">$Q1049-($Q1049*LICITACAO_DESCONTO)</f>
        <v>0</v>
      </c>
      <c r="S1049" s="156">
        <f t="shared" si="2322"/>
        <v>0</v>
      </c>
      <c r="T1049" s="156">
        <f t="shared" si="2323"/>
        <v>0</v>
      </c>
      <c r="U1049" s="156">
        <f t="shared" si="2324"/>
        <v>0</v>
      </c>
      <c r="V1049" s="156">
        <f t="shared" si="2325"/>
        <v>0</v>
      </c>
      <c r="W1049" s="156">
        <f t="shared" si="2326"/>
        <v>0</v>
      </c>
      <c r="X1049" s="158">
        <f t="shared" ref="X1049" si="2345">$S1049/ORCAMENTO_VALOR_TOTAL_ND</f>
        <v>0</v>
      </c>
      <c r="Y1049" s="158">
        <f t="shared" ref="Y1049" si="2346">$T1049/ORCAMENTO_VALOR_TOTAL_DE</f>
        <v>0</v>
      </c>
      <c r="Z1049" s="158" cm="1">
        <f t="array" ref="Z1049">_xlfn.SWITCH($N1049,"BDI 1",$O$6,"BDI 2",$O$7,"BDI 3",$O$8)</f>
        <v>0.20699999999999999</v>
      </c>
      <c r="AA1049" s="158" cm="1">
        <f t="array" ref="AA1049">_xlfn.SWITCH($N1049,"BDI 1",$P$6,"BDI 2",$P$7,"BDI 3",$P$8)</f>
        <v>0.26739999999999997</v>
      </c>
      <c r="AB1049" s="158">
        <f t="shared" ca="1" si="2329"/>
        <v>0</v>
      </c>
      <c r="AC1049" s="158">
        <f t="shared" ca="1" si="2330"/>
        <v>0</v>
      </c>
      <c r="AD1049" s="164"/>
      <c r="AE1049" s="148">
        <f t="shared" si="2275"/>
        <v>0</v>
      </c>
      <c r="AF1049" s="149"/>
      <c r="AG1049" s="150"/>
      <c r="AH1049" s="159" t="e">
        <f t="shared" si="2331"/>
        <v>#DIV/0!</v>
      </c>
      <c r="AI1049" s="160"/>
      <c r="AJ1049" s="219"/>
      <c r="AK1049" s="219"/>
      <c r="AM1049" s="219"/>
      <c r="AN1049" s="219"/>
      <c r="AO1049" s="219"/>
      <c r="AP1049" s="219"/>
      <c r="AQ1049" s="219"/>
      <c r="AR1049" s="219"/>
    </row>
    <row r="1050" spans="1:44" s="220" customFormat="1" ht="40.15" hidden="1" customHeight="1">
      <c r="A1050" s="152">
        <f t="shared" ca="1" si="2276"/>
        <v>0</v>
      </c>
      <c r="B1050" s="153">
        <v>92763</v>
      </c>
      <c r="C1050" s="154" t="str">
        <f t="shared" si="2318"/>
        <v>92763</v>
      </c>
      <c r="D1050" s="154" t="s">
        <v>1416</v>
      </c>
      <c r="E1050" s="155" t="s">
        <v>3951</v>
      </c>
      <c r="F1050" s="154"/>
      <c r="G1050" s="154" t="s">
        <v>3802</v>
      </c>
      <c r="H1050" s="152">
        <v>9.7899999999999991</v>
      </c>
      <c r="I1050" s="152">
        <v>9.6300000000000008</v>
      </c>
      <c r="J1050" s="156"/>
      <c r="K1050" s="156"/>
      <c r="L1050" s="156">
        <f t="shared" si="2319"/>
        <v>0</v>
      </c>
      <c r="M1050" s="156">
        <f t="shared" si="2320"/>
        <v>0</v>
      </c>
      <c r="N1050" s="156" t="s">
        <v>83</v>
      </c>
      <c r="O1050" s="157" cm="1">
        <f t="array" ref="O1050">TRUNC($H1050*(1+_xlfn.SWITCH($N1050,"BDI 1",$O$6,"BDI 2",$O$7,"BDI 3",$O$8)),2)</f>
        <v>11.81</v>
      </c>
      <c r="P1050" s="157" cm="1">
        <f t="array" ref="P1050">TRUNC($I1050*(1+_xlfn.SWITCH($N1050,"BDI 1",$P$6,"BDI 2",$P$7,"BDI 3",$P$8)),2)</f>
        <v>12.2</v>
      </c>
      <c r="Q1050" s="157">
        <v>0</v>
      </c>
      <c r="R1050" s="157">
        <f t="shared" ref="R1050" si="2347">$Q1050-($Q1050*LICITACAO_DESCONTO)</f>
        <v>0</v>
      </c>
      <c r="S1050" s="156">
        <f t="shared" si="2322"/>
        <v>0</v>
      </c>
      <c r="T1050" s="156">
        <f t="shared" si="2323"/>
        <v>0</v>
      </c>
      <c r="U1050" s="156">
        <f t="shared" si="2324"/>
        <v>0</v>
      </c>
      <c r="V1050" s="156">
        <f t="shared" si="2325"/>
        <v>0</v>
      </c>
      <c r="W1050" s="156">
        <f t="shared" si="2326"/>
        <v>0</v>
      </c>
      <c r="X1050" s="158">
        <f t="shared" ref="X1050" si="2348">$S1050/ORCAMENTO_VALOR_TOTAL_ND</f>
        <v>0</v>
      </c>
      <c r="Y1050" s="158">
        <f t="shared" ref="Y1050" si="2349">$T1050/ORCAMENTO_VALOR_TOTAL_DE</f>
        <v>0</v>
      </c>
      <c r="Z1050" s="158" cm="1">
        <f t="array" ref="Z1050">_xlfn.SWITCH($N1050,"BDI 1",$O$6,"BDI 2",$O$7,"BDI 3",$O$8)</f>
        <v>0.20699999999999999</v>
      </c>
      <c r="AA1050" s="158" cm="1">
        <f t="array" ref="AA1050">_xlfn.SWITCH($N1050,"BDI 1",$P$6,"BDI 2",$P$7,"BDI 3",$P$8)</f>
        <v>0.26739999999999997</v>
      </c>
      <c r="AB1050" s="158">
        <f t="shared" ca="1" si="2329"/>
        <v>0</v>
      </c>
      <c r="AC1050" s="158">
        <f t="shared" ca="1" si="2330"/>
        <v>0</v>
      </c>
      <c r="AD1050" s="164"/>
      <c r="AE1050" s="148">
        <f t="shared" si="2275"/>
        <v>0</v>
      </c>
      <c r="AF1050" s="149"/>
      <c r="AG1050" s="150"/>
      <c r="AH1050" s="159" t="e">
        <f t="shared" si="2331"/>
        <v>#DIV/0!</v>
      </c>
      <c r="AI1050" s="160"/>
      <c r="AJ1050" s="219"/>
      <c r="AK1050" s="219"/>
      <c r="AM1050" s="219"/>
      <c r="AN1050" s="219"/>
      <c r="AO1050" s="219"/>
      <c r="AP1050" s="219"/>
      <c r="AQ1050" s="219"/>
      <c r="AR1050" s="219"/>
    </row>
    <row r="1051" spans="1:44" s="220" customFormat="1" ht="40.15" hidden="1" customHeight="1">
      <c r="A1051" s="152">
        <f t="shared" ca="1" si="2276"/>
        <v>0</v>
      </c>
      <c r="B1051" s="153">
        <v>92765</v>
      </c>
      <c r="C1051" s="154" t="str">
        <f t="shared" si="2318"/>
        <v>92765</v>
      </c>
      <c r="D1051" s="154" t="s">
        <v>1416</v>
      </c>
      <c r="E1051" s="155" t="s">
        <v>3962</v>
      </c>
      <c r="F1051" s="154"/>
      <c r="G1051" s="154" t="s">
        <v>3802</v>
      </c>
      <c r="H1051" s="152">
        <v>10.88</v>
      </c>
      <c r="I1051" s="152">
        <v>10.75</v>
      </c>
      <c r="J1051" s="156"/>
      <c r="K1051" s="156"/>
      <c r="L1051" s="156">
        <f t="shared" si="2319"/>
        <v>0</v>
      </c>
      <c r="M1051" s="156">
        <f t="shared" si="2320"/>
        <v>0</v>
      </c>
      <c r="N1051" s="156" t="s">
        <v>83</v>
      </c>
      <c r="O1051" s="157" cm="1">
        <f t="array" ref="O1051">TRUNC($H1051*(1+_xlfn.SWITCH($N1051,"BDI 1",$O$6,"BDI 2",$O$7,"BDI 3",$O$8)),2)</f>
        <v>13.13</v>
      </c>
      <c r="P1051" s="157" cm="1">
        <f t="array" ref="P1051">TRUNC($I1051*(1+_xlfn.SWITCH($N1051,"BDI 1",$P$6,"BDI 2",$P$7,"BDI 3",$P$8)),2)</f>
        <v>13.62</v>
      </c>
      <c r="Q1051" s="157">
        <v>0</v>
      </c>
      <c r="R1051" s="157">
        <f t="shared" ref="R1051" si="2350">$Q1051-($Q1051*LICITACAO_DESCONTO)</f>
        <v>0</v>
      </c>
      <c r="S1051" s="156">
        <f t="shared" si="2322"/>
        <v>0</v>
      </c>
      <c r="T1051" s="156">
        <f t="shared" si="2323"/>
        <v>0</v>
      </c>
      <c r="U1051" s="156">
        <f t="shared" si="2324"/>
        <v>0</v>
      </c>
      <c r="V1051" s="156">
        <f t="shared" si="2325"/>
        <v>0</v>
      </c>
      <c r="W1051" s="156">
        <f t="shared" si="2326"/>
        <v>0</v>
      </c>
      <c r="X1051" s="158">
        <f t="shared" ref="X1051" si="2351">$S1051/ORCAMENTO_VALOR_TOTAL_ND</f>
        <v>0</v>
      </c>
      <c r="Y1051" s="158">
        <f t="shared" ref="Y1051" si="2352">$T1051/ORCAMENTO_VALOR_TOTAL_DE</f>
        <v>0</v>
      </c>
      <c r="Z1051" s="158" cm="1">
        <f t="array" ref="Z1051">_xlfn.SWITCH($N1051,"BDI 1",$O$6,"BDI 2",$O$7,"BDI 3",$O$8)</f>
        <v>0.20699999999999999</v>
      </c>
      <c r="AA1051" s="158" cm="1">
        <f t="array" ref="AA1051">_xlfn.SWITCH($N1051,"BDI 1",$P$6,"BDI 2",$P$7,"BDI 3",$P$8)</f>
        <v>0.26739999999999997</v>
      </c>
      <c r="AB1051" s="158">
        <f t="shared" ca="1" si="2329"/>
        <v>0</v>
      </c>
      <c r="AC1051" s="158">
        <f t="shared" ca="1" si="2330"/>
        <v>0</v>
      </c>
      <c r="AD1051" s="164"/>
      <c r="AE1051" s="148">
        <f t="shared" si="2275"/>
        <v>0</v>
      </c>
      <c r="AF1051" s="149"/>
      <c r="AG1051" s="150"/>
      <c r="AH1051" s="159" t="e">
        <f t="shared" si="2331"/>
        <v>#DIV/0!</v>
      </c>
      <c r="AI1051" s="165" t="s">
        <v>101</v>
      </c>
      <c r="AJ1051" s="219"/>
      <c r="AK1051" s="219"/>
      <c r="AM1051" s="219"/>
      <c r="AN1051" s="219"/>
      <c r="AO1051" s="219"/>
      <c r="AP1051" s="219"/>
      <c r="AQ1051" s="219"/>
      <c r="AR1051" s="219"/>
    </row>
    <row r="1052" spans="1:44" s="49" customFormat="1" ht="40.15" hidden="1" customHeight="1">
      <c r="A1052" s="152">
        <f t="shared" ca="1" si="2276"/>
        <v>0</v>
      </c>
      <c r="B1052" s="153"/>
      <c r="C1052" s="154"/>
      <c r="D1052" s="154"/>
      <c r="E1052" s="161" t="s">
        <v>361</v>
      </c>
      <c r="F1052" s="154"/>
      <c r="G1052" s="154"/>
      <c r="H1052" s="152"/>
      <c r="I1052" s="152"/>
      <c r="J1052" s="154"/>
      <c r="K1052" s="154"/>
      <c r="L1052" s="154"/>
      <c r="M1052" s="154"/>
      <c r="N1052" s="154"/>
      <c r="O1052" s="162"/>
      <c r="P1052" s="162"/>
      <c r="Q1052" s="162"/>
      <c r="R1052" s="162"/>
      <c r="S1052" s="162"/>
      <c r="T1052" s="162"/>
      <c r="U1052" s="162"/>
      <c r="V1052" s="162"/>
      <c r="W1052" s="162"/>
      <c r="X1052" s="163"/>
      <c r="Y1052" s="163"/>
      <c r="Z1052" s="163"/>
      <c r="AA1052" s="163"/>
      <c r="AB1052" s="163"/>
      <c r="AC1052" s="163"/>
      <c r="AD1052" s="164"/>
      <c r="AE1052" s="148">
        <f t="shared" si="2275"/>
        <v>0</v>
      </c>
      <c r="AF1052" s="149"/>
      <c r="AG1052" s="150"/>
      <c r="AH1052" s="159"/>
      <c r="AI1052" s="160"/>
      <c r="AJ1052" s="105"/>
      <c r="AK1052" s="105"/>
      <c r="AM1052" s="105"/>
      <c r="AN1052" s="105"/>
      <c r="AO1052" s="105"/>
      <c r="AP1052" s="105"/>
      <c r="AQ1052" s="105"/>
      <c r="AR1052" s="105"/>
    </row>
    <row r="1053" spans="1:44" s="220" customFormat="1" ht="40.15" hidden="1" customHeight="1">
      <c r="A1053" s="152">
        <f t="shared" ca="1" si="2276"/>
        <v>0</v>
      </c>
      <c r="B1053" s="153">
        <v>94972</v>
      </c>
      <c r="C1053" s="154" t="str">
        <f t="shared" ref="C1053:C1059" si="2353">TEXT(B1053,"0")</f>
        <v>94972</v>
      </c>
      <c r="D1053" s="154" t="s">
        <v>1416</v>
      </c>
      <c r="E1053" s="155" t="s">
        <v>3952</v>
      </c>
      <c r="F1053" s="154"/>
      <c r="G1053" s="154" t="s">
        <v>464</v>
      </c>
      <c r="H1053" s="152">
        <v>500.26</v>
      </c>
      <c r="I1053" s="152">
        <v>499.21</v>
      </c>
      <c r="J1053" s="156"/>
      <c r="K1053" s="156"/>
      <c r="L1053" s="156">
        <f t="shared" ref="L1053:L1059" si="2354">IF($K1053&gt;$J1053,$K1053-$J1053,0)</f>
        <v>0</v>
      </c>
      <c r="M1053" s="156">
        <f t="shared" ref="M1053:M1059" si="2355">IF($K1053&lt;$J1053,$J1053-$K1053,0)</f>
        <v>0</v>
      </c>
      <c r="N1053" s="156" t="s">
        <v>83</v>
      </c>
      <c r="O1053" s="157" cm="1">
        <f t="array" ref="O1053">TRUNC($H1053*(1+_xlfn.SWITCH($N1053,"BDI 1",$O$6,"BDI 2",$O$7,"BDI 3",$O$8)),2)</f>
        <v>603.80999999999995</v>
      </c>
      <c r="P1053" s="157" cm="1">
        <f t="array" ref="P1053">TRUNC($I1053*(1+_xlfn.SWITCH($N1053,"BDI 1",$P$6,"BDI 2",$P$7,"BDI 3",$P$8)),2)</f>
        <v>632.69000000000005</v>
      </c>
      <c r="Q1053" s="157">
        <v>0</v>
      </c>
      <c r="R1053" s="157">
        <f t="shared" ref="R1053" si="2356">$Q1053-($Q1053*LICITACAO_DESCONTO)</f>
        <v>0</v>
      </c>
      <c r="S1053" s="156">
        <f t="shared" ref="S1053:S1059" si="2357">TRUNC($K1053*$O1053,2)</f>
        <v>0</v>
      </c>
      <c r="T1053" s="156">
        <f t="shared" ref="T1053:T1059" si="2358">TRUNC($K1053*$P1053,2)</f>
        <v>0</v>
      </c>
      <c r="U1053" s="156">
        <f t="shared" ref="U1053:U1059" si="2359">TRUNC($J1053*$R1053,2)</f>
        <v>0</v>
      </c>
      <c r="V1053" s="156">
        <f t="shared" ref="V1053:V1059" si="2360">TRUNC($K1053*$Q1053,2)</f>
        <v>0</v>
      </c>
      <c r="W1053" s="156">
        <f t="shared" ref="W1053:W1059" si="2361">TRUNC(V1053-U1053,2)</f>
        <v>0</v>
      </c>
      <c r="X1053" s="158">
        <f t="shared" ref="X1053" si="2362">$S1053/ORCAMENTO_VALOR_TOTAL_ND</f>
        <v>0</v>
      </c>
      <c r="Y1053" s="158">
        <f t="shared" ref="Y1053" si="2363">$T1053/ORCAMENTO_VALOR_TOTAL_DE</f>
        <v>0</v>
      </c>
      <c r="Z1053" s="158" cm="1">
        <f t="array" ref="Z1053">_xlfn.SWITCH($N1053,"BDI 1",$O$6,"BDI 2",$O$7,"BDI 3",$O$8)</f>
        <v>0.20699999999999999</v>
      </c>
      <c r="AA1053" s="158" cm="1">
        <f t="array" ref="AA1053">_xlfn.SWITCH($N1053,"BDI 1",$P$6,"BDI 2",$P$7,"BDI 3",$P$8)</f>
        <v>0.26739999999999997</v>
      </c>
      <c r="AB1053" s="158">
        <f t="shared" ref="AB1053:AB1059" ca="1" si="2364">IFERROR($S1053/_xlfn.XLOOKUP($AE1053,$B$16:$B$38,$S$16:$S$38),0)</f>
        <v>0</v>
      </c>
      <c r="AC1053" s="158">
        <f t="shared" ref="AC1053:AC1059" ca="1" si="2365">IFERROR($T1053/_xlfn.XLOOKUP($AE1053,$B$16:$B$38,$T$16:$T$38),0)</f>
        <v>0</v>
      </c>
      <c r="AD1053" s="164"/>
      <c r="AE1053" s="148">
        <f t="shared" si="2275"/>
        <v>0</v>
      </c>
      <c r="AF1053" s="149"/>
      <c r="AG1053" s="150"/>
      <c r="AH1053" s="159" t="e">
        <f t="shared" ref="AH1053:AH1059" si="2366">+S1053/$S$961</f>
        <v>#DIV/0!</v>
      </c>
      <c r="AI1053" s="160"/>
      <c r="AJ1053" s="219"/>
      <c r="AK1053" s="219"/>
      <c r="AM1053" s="219"/>
      <c r="AN1053" s="219"/>
      <c r="AO1053" s="219"/>
      <c r="AP1053" s="219"/>
      <c r="AQ1053" s="219"/>
      <c r="AR1053" s="219"/>
    </row>
    <row r="1054" spans="1:44" s="220" customFormat="1" ht="40.15" hidden="1" customHeight="1">
      <c r="A1054" s="152">
        <f t="shared" ca="1" si="2276"/>
        <v>0</v>
      </c>
      <c r="B1054" s="153">
        <v>103670</v>
      </c>
      <c r="C1054" s="154" t="str">
        <f t="shared" si="2353"/>
        <v>103670</v>
      </c>
      <c r="D1054" s="154" t="s">
        <v>1416</v>
      </c>
      <c r="E1054" s="155" t="s">
        <v>3792</v>
      </c>
      <c r="F1054" s="154"/>
      <c r="G1054" s="154" t="s">
        <v>464</v>
      </c>
      <c r="H1054" s="152">
        <v>272.37</v>
      </c>
      <c r="I1054" s="152">
        <v>247.05</v>
      </c>
      <c r="J1054" s="156"/>
      <c r="K1054" s="156">
        <f>K1053</f>
        <v>0</v>
      </c>
      <c r="L1054" s="156">
        <f t="shared" si="2354"/>
        <v>0</v>
      </c>
      <c r="M1054" s="156">
        <f t="shared" si="2355"/>
        <v>0</v>
      </c>
      <c r="N1054" s="156" t="s">
        <v>83</v>
      </c>
      <c r="O1054" s="157" cm="1">
        <f t="array" ref="O1054">TRUNC($H1054*(1+_xlfn.SWITCH($N1054,"BDI 1",$O$6,"BDI 2",$O$7,"BDI 3",$O$8)),2)</f>
        <v>328.75</v>
      </c>
      <c r="P1054" s="157" cm="1">
        <f t="array" ref="P1054">TRUNC($I1054*(1+_xlfn.SWITCH($N1054,"BDI 1",$P$6,"BDI 2",$P$7,"BDI 3",$P$8)),2)</f>
        <v>313.11</v>
      </c>
      <c r="Q1054" s="157">
        <v>0</v>
      </c>
      <c r="R1054" s="157">
        <f t="shared" ref="R1054" si="2367">$Q1054-($Q1054*LICITACAO_DESCONTO)</f>
        <v>0</v>
      </c>
      <c r="S1054" s="156">
        <f t="shared" si="2357"/>
        <v>0</v>
      </c>
      <c r="T1054" s="156">
        <f t="shared" si="2358"/>
        <v>0</v>
      </c>
      <c r="U1054" s="156">
        <f t="shared" si="2359"/>
        <v>0</v>
      </c>
      <c r="V1054" s="156">
        <f t="shared" si="2360"/>
        <v>0</v>
      </c>
      <c r="W1054" s="156">
        <f t="shared" si="2361"/>
        <v>0</v>
      </c>
      <c r="X1054" s="158">
        <f t="shared" ref="X1054" si="2368">$S1054/ORCAMENTO_VALOR_TOTAL_ND</f>
        <v>0</v>
      </c>
      <c r="Y1054" s="158">
        <f t="shared" ref="Y1054" si="2369">$T1054/ORCAMENTO_VALOR_TOTAL_DE</f>
        <v>0</v>
      </c>
      <c r="Z1054" s="158" cm="1">
        <f t="array" ref="Z1054">_xlfn.SWITCH($N1054,"BDI 1",$O$6,"BDI 2",$O$7,"BDI 3",$O$8)</f>
        <v>0.20699999999999999</v>
      </c>
      <c r="AA1054" s="158" cm="1">
        <f t="array" ref="AA1054">_xlfn.SWITCH($N1054,"BDI 1",$P$6,"BDI 2",$P$7,"BDI 3",$P$8)</f>
        <v>0.26739999999999997</v>
      </c>
      <c r="AB1054" s="158">
        <f t="shared" ca="1" si="2364"/>
        <v>0</v>
      </c>
      <c r="AC1054" s="158">
        <f t="shared" ca="1" si="2365"/>
        <v>0</v>
      </c>
      <c r="AD1054" s="164"/>
      <c r="AE1054" s="148">
        <f t="shared" si="2275"/>
        <v>0</v>
      </c>
      <c r="AF1054" s="149"/>
      <c r="AG1054" s="150"/>
      <c r="AH1054" s="159" t="e">
        <f t="shared" si="2366"/>
        <v>#DIV/0!</v>
      </c>
      <c r="AI1054" s="160"/>
      <c r="AJ1054" s="219"/>
      <c r="AK1054" s="219"/>
      <c r="AM1054" s="219"/>
      <c r="AN1054" s="219"/>
      <c r="AO1054" s="219"/>
      <c r="AP1054" s="219"/>
      <c r="AQ1054" s="219"/>
      <c r="AR1054" s="219"/>
    </row>
    <row r="1055" spans="1:44" s="220" customFormat="1" ht="40.15" hidden="1" customHeight="1">
      <c r="A1055" s="152">
        <f t="shared" ca="1" si="2276"/>
        <v>0</v>
      </c>
      <c r="B1055" s="153">
        <v>96536</v>
      </c>
      <c r="C1055" s="154" t="str">
        <f t="shared" si="2353"/>
        <v>96536</v>
      </c>
      <c r="D1055" s="154" t="s">
        <v>1416</v>
      </c>
      <c r="E1055" s="155" t="s">
        <v>3955</v>
      </c>
      <c r="F1055" s="154"/>
      <c r="G1055" s="154" t="s">
        <v>1418</v>
      </c>
      <c r="H1055" s="152">
        <v>61.52</v>
      </c>
      <c r="I1055" s="152">
        <v>57.93</v>
      </c>
      <c r="J1055" s="156"/>
      <c r="K1055" s="156"/>
      <c r="L1055" s="156">
        <f t="shared" si="2354"/>
        <v>0</v>
      </c>
      <c r="M1055" s="156">
        <f t="shared" si="2355"/>
        <v>0</v>
      </c>
      <c r="N1055" s="156" t="s">
        <v>83</v>
      </c>
      <c r="O1055" s="157" cm="1">
        <f t="array" ref="O1055">TRUNC($H1055*(1+_xlfn.SWITCH($N1055,"BDI 1",$O$6,"BDI 2",$O$7,"BDI 3",$O$8)),2)</f>
        <v>74.25</v>
      </c>
      <c r="P1055" s="157" cm="1">
        <f t="array" ref="P1055">TRUNC($I1055*(1+_xlfn.SWITCH($N1055,"BDI 1",$P$6,"BDI 2",$P$7,"BDI 3",$P$8)),2)</f>
        <v>73.42</v>
      </c>
      <c r="Q1055" s="157">
        <v>0</v>
      </c>
      <c r="R1055" s="157">
        <f t="shared" ref="R1055" si="2370">$Q1055-($Q1055*LICITACAO_DESCONTO)</f>
        <v>0</v>
      </c>
      <c r="S1055" s="156">
        <f t="shared" si="2357"/>
        <v>0</v>
      </c>
      <c r="T1055" s="156">
        <f t="shared" si="2358"/>
        <v>0</v>
      </c>
      <c r="U1055" s="156">
        <f t="shared" si="2359"/>
        <v>0</v>
      </c>
      <c r="V1055" s="156">
        <f t="shared" si="2360"/>
        <v>0</v>
      </c>
      <c r="W1055" s="156">
        <f t="shared" si="2361"/>
        <v>0</v>
      </c>
      <c r="X1055" s="158">
        <f t="shared" ref="X1055" si="2371">$S1055/ORCAMENTO_VALOR_TOTAL_ND</f>
        <v>0</v>
      </c>
      <c r="Y1055" s="158">
        <f t="shared" ref="Y1055" si="2372">$T1055/ORCAMENTO_VALOR_TOTAL_DE</f>
        <v>0</v>
      </c>
      <c r="Z1055" s="158" cm="1">
        <f t="array" ref="Z1055">_xlfn.SWITCH($N1055,"BDI 1",$O$6,"BDI 2",$O$7,"BDI 3",$O$8)</f>
        <v>0.20699999999999999</v>
      </c>
      <c r="AA1055" s="158" cm="1">
        <f t="array" ref="AA1055">_xlfn.SWITCH($N1055,"BDI 1",$P$6,"BDI 2",$P$7,"BDI 3",$P$8)</f>
        <v>0.26739999999999997</v>
      </c>
      <c r="AB1055" s="158">
        <f t="shared" ca="1" si="2364"/>
        <v>0</v>
      </c>
      <c r="AC1055" s="158">
        <f t="shared" ca="1" si="2365"/>
        <v>0</v>
      </c>
      <c r="AD1055" s="164"/>
      <c r="AE1055" s="148">
        <f t="shared" si="2275"/>
        <v>0</v>
      </c>
      <c r="AF1055" s="149"/>
      <c r="AG1055" s="150"/>
      <c r="AH1055" s="159" t="e">
        <f t="shared" si="2366"/>
        <v>#DIV/0!</v>
      </c>
      <c r="AI1055" s="165" t="s">
        <v>101</v>
      </c>
      <c r="AJ1055" s="219"/>
      <c r="AK1055" s="219"/>
      <c r="AM1055" s="219"/>
      <c r="AN1055" s="219"/>
      <c r="AO1055" s="219"/>
      <c r="AP1055" s="219"/>
      <c r="AQ1055" s="219"/>
      <c r="AR1055" s="219"/>
    </row>
    <row r="1056" spans="1:44" s="220" customFormat="1" ht="40.15" hidden="1" customHeight="1">
      <c r="A1056" s="152">
        <f t="shared" ca="1" si="2276"/>
        <v>0</v>
      </c>
      <c r="B1056" s="153">
        <v>92760</v>
      </c>
      <c r="C1056" s="154" t="str">
        <f t="shared" si="2353"/>
        <v>92760</v>
      </c>
      <c r="D1056" s="154" t="s">
        <v>1416</v>
      </c>
      <c r="E1056" s="155" t="s">
        <v>3948</v>
      </c>
      <c r="F1056" s="154"/>
      <c r="G1056" s="154" t="s">
        <v>3802</v>
      </c>
      <c r="H1056" s="152">
        <v>13.61</v>
      </c>
      <c r="I1056" s="152">
        <v>13.23</v>
      </c>
      <c r="J1056" s="156"/>
      <c r="K1056" s="156"/>
      <c r="L1056" s="156">
        <f t="shared" si="2354"/>
        <v>0</v>
      </c>
      <c r="M1056" s="156">
        <f t="shared" si="2355"/>
        <v>0</v>
      </c>
      <c r="N1056" s="156" t="s">
        <v>83</v>
      </c>
      <c r="O1056" s="157" cm="1">
        <f t="array" ref="O1056">TRUNC($H1056*(1+_xlfn.SWITCH($N1056,"BDI 1",$O$6,"BDI 2",$O$7,"BDI 3",$O$8)),2)</f>
        <v>16.420000000000002</v>
      </c>
      <c r="P1056" s="157" cm="1">
        <f t="array" ref="P1056">TRUNC($I1056*(1+_xlfn.SWITCH($N1056,"BDI 1",$P$6,"BDI 2",$P$7,"BDI 3",$P$8)),2)</f>
        <v>16.760000000000002</v>
      </c>
      <c r="Q1056" s="157">
        <v>0</v>
      </c>
      <c r="R1056" s="157">
        <f t="shared" ref="R1056" si="2373">$Q1056-($Q1056*LICITACAO_DESCONTO)</f>
        <v>0</v>
      </c>
      <c r="S1056" s="156">
        <f t="shared" si="2357"/>
        <v>0</v>
      </c>
      <c r="T1056" s="156">
        <f t="shared" si="2358"/>
        <v>0</v>
      </c>
      <c r="U1056" s="156">
        <f t="shared" si="2359"/>
        <v>0</v>
      </c>
      <c r="V1056" s="156">
        <f t="shared" si="2360"/>
        <v>0</v>
      </c>
      <c r="W1056" s="156">
        <f t="shared" si="2361"/>
        <v>0</v>
      </c>
      <c r="X1056" s="158">
        <f t="shared" ref="X1056" si="2374">$S1056/ORCAMENTO_VALOR_TOTAL_ND</f>
        <v>0</v>
      </c>
      <c r="Y1056" s="158">
        <f t="shared" ref="Y1056" si="2375">$T1056/ORCAMENTO_VALOR_TOTAL_DE</f>
        <v>0</v>
      </c>
      <c r="Z1056" s="158" cm="1">
        <f t="array" ref="Z1056">_xlfn.SWITCH($N1056,"BDI 1",$O$6,"BDI 2",$O$7,"BDI 3",$O$8)</f>
        <v>0.20699999999999999</v>
      </c>
      <c r="AA1056" s="158" cm="1">
        <f t="array" ref="AA1056">_xlfn.SWITCH($N1056,"BDI 1",$P$6,"BDI 2",$P$7,"BDI 3",$P$8)</f>
        <v>0.26739999999999997</v>
      </c>
      <c r="AB1056" s="158">
        <f t="shared" ca="1" si="2364"/>
        <v>0</v>
      </c>
      <c r="AC1056" s="158">
        <f t="shared" ca="1" si="2365"/>
        <v>0</v>
      </c>
      <c r="AD1056" s="164"/>
      <c r="AE1056" s="148">
        <f t="shared" si="2275"/>
        <v>0</v>
      </c>
      <c r="AF1056" s="149"/>
      <c r="AG1056" s="150"/>
      <c r="AH1056" s="159" t="e">
        <f t="shared" si="2366"/>
        <v>#DIV/0!</v>
      </c>
      <c r="AI1056" s="165" t="s">
        <v>101</v>
      </c>
      <c r="AJ1056" s="219"/>
      <c r="AK1056" s="219"/>
      <c r="AM1056" s="219"/>
      <c r="AN1056" s="219"/>
      <c r="AO1056" s="219"/>
      <c r="AP1056" s="219"/>
      <c r="AQ1056" s="219"/>
      <c r="AR1056" s="219"/>
    </row>
    <row r="1057" spans="1:44" s="220" customFormat="1" ht="40.15" hidden="1" customHeight="1">
      <c r="A1057" s="152">
        <f t="shared" ca="1" si="2276"/>
        <v>0</v>
      </c>
      <c r="B1057" s="153">
        <v>92761</v>
      </c>
      <c r="C1057" s="154" t="str">
        <f t="shared" si="2353"/>
        <v>92761</v>
      </c>
      <c r="D1057" s="154" t="s">
        <v>1416</v>
      </c>
      <c r="E1057" s="155" t="s">
        <v>3954</v>
      </c>
      <c r="F1057" s="154"/>
      <c r="G1057" s="154" t="s">
        <v>3802</v>
      </c>
      <c r="H1057" s="152">
        <v>12.93</v>
      </c>
      <c r="I1057" s="152">
        <v>12.66</v>
      </c>
      <c r="J1057" s="156"/>
      <c r="K1057" s="156"/>
      <c r="L1057" s="156">
        <f t="shared" si="2354"/>
        <v>0</v>
      </c>
      <c r="M1057" s="156">
        <f t="shared" si="2355"/>
        <v>0</v>
      </c>
      <c r="N1057" s="156" t="s">
        <v>83</v>
      </c>
      <c r="O1057" s="157" cm="1">
        <f t="array" ref="O1057">TRUNC($H1057*(1+_xlfn.SWITCH($N1057,"BDI 1",$O$6,"BDI 2",$O$7,"BDI 3",$O$8)),2)</f>
        <v>15.6</v>
      </c>
      <c r="P1057" s="157" cm="1">
        <f t="array" ref="P1057">TRUNC($I1057*(1+_xlfn.SWITCH($N1057,"BDI 1",$P$6,"BDI 2",$P$7,"BDI 3",$P$8)),2)</f>
        <v>16.04</v>
      </c>
      <c r="Q1057" s="157">
        <v>0</v>
      </c>
      <c r="R1057" s="157">
        <f t="shared" ref="R1057" si="2376">$Q1057-($Q1057*LICITACAO_DESCONTO)</f>
        <v>0</v>
      </c>
      <c r="S1057" s="156">
        <f t="shared" si="2357"/>
        <v>0</v>
      </c>
      <c r="T1057" s="156">
        <f t="shared" si="2358"/>
        <v>0</v>
      </c>
      <c r="U1057" s="156">
        <f t="shared" si="2359"/>
        <v>0</v>
      </c>
      <c r="V1057" s="156">
        <f t="shared" si="2360"/>
        <v>0</v>
      </c>
      <c r="W1057" s="156">
        <f t="shared" si="2361"/>
        <v>0</v>
      </c>
      <c r="X1057" s="158">
        <f t="shared" ref="X1057" si="2377">$S1057/ORCAMENTO_VALOR_TOTAL_ND</f>
        <v>0</v>
      </c>
      <c r="Y1057" s="158">
        <f t="shared" ref="Y1057" si="2378">$T1057/ORCAMENTO_VALOR_TOTAL_DE</f>
        <v>0</v>
      </c>
      <c r="Z1057" s="158" cm="1">
        <f t="array" ref="Z1057">_xlfn.SWITCH($N1057,"BDI 1",$O$6,"BDI 2",$O$7,"BDI 3",$O$8)</f>
        <v>0.20699999999999999</v>
      </c>
      <c r="AA1057" s="158" cm="1">
        <f t="array" ref="AA1057">_xlfn.SWITCH($N1057,"BDI 1",$P$6,"BDI 2",$P$7,"BDI 3",$P$8)</f>
        <v>0.26739999999999997</v>
      </c>
      <c r="AB1057" s="158">
        <f t="shared" ca="1" si="2364"/>
        <v>0</v>
      </c>
      <c r="AC1057" s="158">
        <f t="shared" ca="1" si="2365"/>
        <v>0</v>
      </c>
      <c r="AD1057" s="164"/>
      <c r="AE1057" s="148">
        <f t="shared" si="2275"/>
        <v>0</v>
      </c>
      <c r="AF1057" s="149"/>
      <c r="AG1057" s="150"/>
      <c r="AH1057" s="159" t="e">
        <f t="shared" si="2366"/>
        <v>#DIV/0!</v>
      </c>
      <c r="AI1057" s="165" t="s">
        <v>243</v>
      </c>
      <c r="AJ1057" s="219"/>
      <c r="AK1057" s="219"/>
      <c r="AM1057" s="219"/>
      <c r="AN1057" s="219"/>
      <c r="AO1057" s="219"/>
      <c r="AP1057" s="219"/>
      <c r="AQ1057" s="219"/>
      <c r="AR1057" s="219"/>
    </row>
    <row r="1058" spans="1:44" s="220" customFormat="1" ht="40.15" hidden="1" customHeight="1">
      <c r="A1058" s="152">
        <f t="shared" ca="1" si="2276"/>
        <v>0</v>
      </c>
      <c r="B1058" s="153">
        <v>92762</v>
      </c>
      <c r="C1058" s="154" t="str">
        <f t="shared" si="2353"/>
        <v>92762</v>
      </c>
      <c r="D1058" s="154" t="s">
        <v>1416</v>
      </c>
      <c r="E1058" s="155" t="s">
        <v>3961</v>
      </c>
      <c r="F1058" s="154"/>
      <c r="G1058" s="154" t="s">
        <v>3802</v>
      </c>
      <c r="H1058" s="152">
        <v>11.59</v>
      </c>
      <c r="I1058" s="152">
        <v>11.4</v>
      </c>
      <c r="J1058" s="156"/>
      <c r="K1058" s="156"/>
      <c r="L1058" s="156">
        <f t="shared" si="2354"/>
        <v>0</v>
      </c>
      <c r="M1058" s="156">
        <f t="shared" si="2355"/>
        <v>0</v>
      </c>
      <c r="N1058" s="156" t="s">
        <v>83</v>
      </c>
      <c r="O1058" s="157" cm="1">
        <f t="array" ref="O1058">TRUNC($H1058*(1+_xlfn.SWITCH($N1058,"BDI 1",$O$6,"BDI 2",$O$7,"BDI 3",$O$8)),2)</f>
        <v>13.98</v>
      </c>
      <c r="P1058" s="157" cm="1">
        <f t="array" ref="P1058">TRUNC($I1058*(1+_xlfn.SWITCH($N1058,"BDI 1",$P$6,"BDI 2",$P$7,"BDI 3",$P$8)),2)</f>
        <v>14.44</v>
      </c>
      <c r="Q1058" s="157">
        <v>0</v>
      </c>
      <c r="R1058" s="157">
        <f t="shared" ref="R1058" si="2379">$Q1058-($Q1058*LICITACAO_DESCONTO)</f>
        <v>0</v>
      </c>
      <c r="S1058" s="156">
        <f t="shared" si="2357"/>
        <v>0</v>
      </c>
      <c r="T1058" s="156">
        <f t="shared" si="2358"/>
        <v>0</v>
      </c>
      <c r="U1058" s="156">
        <f t="shared" si="2359"/>
        <v>0</v>
      </c>
      <c r="V1058" s="156">
        <f t="shared" si="2360"/>
        <v>0</v>
      </c>
      <c r="W1058" s="156">
        <f t="shared" si="2361"/>
        <v>0</v>
      </c>
      <c r="X1058" s="158">
        <f t="shared" ref="X1058" si="2380">$S1058/ORCAMENTO_VALOR_TOTAL_ND</f>
        <v>0</v>
      </c>
      <c r="Y1058" s="158">
        <f t="shared" ref="Y1058" si="2381">$T1058/ORCAMENTO_VALOR_TOTAL_DE</f>
        <v>0</v>
      </c>
      <c r="Z1058" s="158" cm="1">
        <f t="array" ref="Z1058">_xlfn.SWITCH($N1058,"BDI 1",$O$6,"BDI 2",$O$7,"BDI 3",$O$8)</f>
        <v>0.20699999999999999</v>
      </c>
      <c r="AA1058" s="158" cm="1">
        <f t="array" ref="AA1058">_xlfn.SWITCH($N1058,"BDI 1",$P$6,"BDI 2",$P$7,"BDI 3",$P$8)</f>
        <v>0.26739999999999997</v>
      </c>
      <c r="AB1058" s="158">
        <f t="shared" ca="1" si="2364"/>
        <v>0</v>
      </c>
      <c r="AC1058" s="158">
        <f t="shared" ca="1" si="2365"/>
        <v>0</v>
      </c>
      <c r="AD1058" s="164"/>
      <c r="AE1058" s="148">
        <f t="shared" si="2275"/>
        <v>0</v>
      </c>
      <c r="AF1058" s="149"/>
      <c r="AG1058" s="150"/>
      <c r="AH1058" s="159" t="e">
        <f t="shared" si="2366"/>
        <v>#DIV/0!</v>
      </c>
      <c r="AI1058" s="160"/>
      <c r="AJ1058" s="219"/>
      <c r="AK1058" s="219"/>
      <c r="AM1058" s="219"/>
      <c r="AN1058" s="219"/>
      <c r="AO1058" s="219"/>
      <c r="AP1058" s="219"/>
      <c r="AQ1058" s="219"/>
      <c r="AR1058" s="219"/>
    </row>
    <row r="1059" spans="1:44" s="220" customFormat="1" ht="40.15" hidden="1" customHeight="1">
      <c r="A1059" s="152">
        <f t="shared" ca="1" si="2276"/>
        <v>0</v>
      </c>
      <c r="B1059" s="153">
        <v>92765</v>
      </c>
      <c r="C1059" s="154" t="str">
        <f t="shared" si="2353"/>
        <v>92765</v>
      </c>
      <c r="D1059" s="154" t="s">
        <v>1416</v>
      </c>
      <c r="E1059" s="155" t="s">
        <v>3962</v>
      </c>
      <c r="F1059" s="154"/>
      <c r="G1059" s="154" t="s">
        <v>3802</v>
      </c>
      <c r="H1059" s="152">
        <v>10.88</v>
      </c>
      <c r="I1059" s="152">
        <v>10.75</v>
      </c>
      <c r="J1059" s="156"/>
      <c r="K1059" s="156"/>
      <c r="L1059" s="156">
        <f t="shared" si="2354"/>
        <v>0</v>
      </c>
      <c r="M1059" s="156">
        <f t="shared" si="2355"/>
        <v>0</v>
      </c>
      <c r="N1059" s="156" t="s">
        <v>83</v>
      </c>
      <c r="O1059" s="157" cm="1">
        <f t="array" ref="O1059">TRUNC($H1059*(1+_xlfn.SWITCH($N1059,"BDI 1",$O$6,"BDI 2",$O$7,"BDI 3",$O$8)),2)</f>
        <v>13.13</v>
      </c>
      <c r="P1059" s="157" cm="1">
        <f t="array" ref="P1059">TRUNC($I1059*(1+_xlfn.SWITCH($N1059,"BDI 1",$P$6,"BDI 2",$P$7,"BDI 3",$P$8)),2)</f>
        <v>13.62</v>
      </c>
      <c r="Q1059" s="157">
        <v>0</v>
      </c>
      <c r="R1059" s="157">
        <f t="shared" ref="R1059" si="2382">$Q1059-($Q1059*LICITACAO_DESCONTO)</f>
        <v>0</v>
      </c>
      <c r="S1059" s="156">
        <f t="shared" si="2357"/>
        <v>0</v>
      </c>
      <c r="T1059" s="156">
        <f t="shared" si="2358"/>
        <v>0</v>
      </c>
      <c r="U1059" s="156">
        <f t="shared" si="2359"/>
        <v>0</v>
      </c>
      <c r="V1059" s="156">
        <f t="shared" si="2360"/>
        <v>0</v>
      </c>
      <c r="W1059" s="156">
        <f t="shared" si="2361"/>
        <v>0</v>
      </c>
      <c r="X1059" s="158">
        <f t="shared" ref="X1059" si="2383">$S1059/ORCAMENTO_VALOR_TOTAL_ND</f>
        <v>0</v>
      </c>
      <c r="Y1059" s="158">
        <f t="shared" ref="Y1059" si="2384">$T1059/ORCAMENTO_VALOR_TOTAL_DE</f>
        <v>0</v>
      </c>
      <c r="Z1059" s="158" cm="1">
        <f t="array" ref="Z1059">_xlfn.SWITCH($N1059,"BDI 1",$O$6,"BDI 2",$O$7,"BDI 3",$O$8)</f>
        <v>0.20699999999999999</v>
      </c>
      <c r="AA1059" s="158" cm="1">
        <f t="array" ref="AA1059">_xlfn.SWITCH($N1059,"BDI 1",$P$6,"BDI 2",$P$7,"BDI 3",$P$8)</f>
        <v>0.26739999999999997</v>
      </c>
      <c r="AB1059" s="158">
        <f t="shared" ca="1" si="2364"/>
        <v>0</v>
      </c>
      <c r="AC1059" s="158">
        <f t="shared" ca="1" si="2365"/>
        <v>0</v>
      </c>
      <c r="AD1059" s="164"/>
      <c r="AE1059" s="148">
        <f t="shared" si="2275"/>
        <v>0</v>
      </c>
      <c r="AF1059" s="149"/>
      <c r="AG1059" s="150"/>
      <c r="AH1059" s="159" t="e">
        <f t="shared" si="2366"/>
        <v>#DIV/0!</v>
      </c>
      <c r="AI1059" s="165" t="s">
        <v>101</v>
      </c>
      <c r="AJ1059" s="219"/>
      <c r="AK1059" s="219"/>
      <c r="AM1059" s="219"/>
      <c r="AN1059" s="219"/>
      <c r="AO1059" s="219"/>
      <c r="AP1059" s="219"/>
      <c r="AQ1059" s="219"/>
      <c r="AR1059" s="219"/>
    </row>
    <row r="1060" spans="1:44" s="49" customFormat="1" ht="40.15" hidden="1" customHeight="1">
      <c r="A1060" s="152">
        <f t="shared" ca="1" si="2276"/>
        <v>0</v>
      </c>
      <c r="B1060" s="153"/>
      <c r="C1060" s="154"/>
      <c r="D1060" s="154"/>
      <c r="E1060" s="161" t="s">
        <v>362</v>
      </c>
      <c r="F1060" s="154"/>
      <c r="G1060" s="154"/>
      <c r="H1060" s="152"/>
      <c r="I1060" s="152"/>
      <c r="J1060" s="154"/>
      <c r="K1060" s="154"/>
      <c r="L1060" s="154"/>
      <c r="M1060" s="154"/>
      <c r="N1060" s="154"/>
      <c r="O1060" s="162"/>
      <c r="P1060" s="162"/>
      <c r="Q1060" s="162"/>
      <c r="R1060" s="162"/>
      <c r="S1060" s="162"/>
      <c r="T1060" s="162"/>
      <c r="U1060" s="162"/>
      <c r="V1060" s="162"/>
      <c r="W1060" s="162"/>
      <c r="X1060" s="163"/>
      <c r="Y1060" s="163"/>
      <c r="Z1060" s="163"/>
      <c r="AA1060" s="163"/>
      <c r="AB1060" s="163"/>
      <c r="AC1060" s="163"/>
      <c r="AD1060" s="164"/>
      <c r="AE1060" s="148">
        <f t="shared" si="2275"/>
        <v>0</v>
      </c>
      <c r="AF1060" s="149"/>
      <c r="AG1060" s="150"/>
      <c r="AH1060" s="159"/>
      <c r="AI1060" s="160"/>
      <c r="AJ1060" s="105"/>
      <c r="AK1060" s="105"/>
      <c r="AM1060" s="105"/>
      <c r="AN1060" s="105"/>
      <c r="AO1060" s="105"/>
      <c r="AP1060" s="105"/>
      <c r="AQ1060" s="105"/>
      <c r="AR1060" s="105"/>
    </row>
    <row r="1061" spans="1:44" s="220" customFormat="1" ht="40.15" hidden="1" customHeight="1">
      <c r="A1061" s="152">
        <f t="shared" ca="1" si="2276"/>
        <v>0</v>
      </c>
      <c r="B1061" s="153">
        <v>94972</v>
      </c>
      <c r="C1061" s="154" t="str">
        <f>TEXT(B1061,"0")</f>
        <v>94972</v>
      </c>
      <c r="D1061" s="154" t="s">
        <v>1416</v>
      </c>
      <c r="E1061" s="155" t="s">
        <v>3952</v>
      </c>
      <c r="F1061" s="154"/>
      <c r="G1061" s="154" t="s">
        <v>464</v>
      </c>
      <c r="H1061" s="152">
        <v>500.26</v>
      </c>
      <c r="I1061" s="152">
        <v>499.21</v>
      </c>
      <c r="J1061" s="156"/>
      <c r="K1061" s="156"/>
      <c r="L1061" s="156">
        <f>IF($K1061&gt;$J1061,$K1061-$J1061,0)</f>
        <v>0</v>
      </c>
      <c r="M1061" s="156">
        <f>IF($K1061&lt;$J1061,$J1061-$K1061,0)</f>
        <v>0</v>
      </c>
      <c r="N1061" s="156" t="s">
        <v>83</v>
      </c>
      <c r="O1061" s="157" cm="1">
        <f t="array" ref="O1061">TRUNC($H1061*(1+_xlfn.SWITCH($N1061,"BDI 1",$O$6,"BDI 2",$O$7,"BDI 3",$O$8)),2)</f>
        <v>603.80999999999995</v>
      </c>
      <c r="P1061" s="157" cm="1">
        <f t="array" ref="P1061">TRUNC($I1061*(1+_xlfn.SWITCH($N1061,"BDI 1",$P$6,"BDI 2",$P$7,"BDI 3",$P$8)),2)</f>
        <v>632.69000000000005</v>
      </c>
      <c r="Q1061" s="157">
        <v>0</v>
      </c>
      <c r="R1061" s="157">
        <v>0</v>
      </c>
      <c r="S1061" s="156">
        <f>TRUNC($K1061*$O1061,2)</f>
        <v>0</v>
      </c>
      <c r="T1061" s="156">
        <f>TRUNC($K1061*$P1061,2)</f>
        <v>0</v>
      </c>
      <c r="U1061" s="156">
        <f>TRUNC($J1061*$R1061,2)</f>
        <v>0</v>
      </c>
      <c r="V1061" s="156">
        <f>TRUNC($K1061*$Q1061,2)</f>
        <v>0</v>
      </c>
      <c r="W1061" s="156">
        <f>TRUNC(V1061-U1061,2)</f>
        <v>0</v>
      </c>
      <c r="X1061" s="158">
        <f>$S1061/ORCAMENTO_VALOR_TOTAL_ND</f>
        <v>0</v>
      </c>
      <c r="Y1061" s="158">
        <f>$T1061/ORCAMENTO_VALOR_TOTAL_DE</f>
        <v>0</v>
      </c>
      <c r="Z1061" s="158" cm="1">
        <f t="array" ref="Z1061">_xlfn.SWITCH($N1061,"BDI 1",$O$6,"BDI 2",$O$7,"BDI 3",$O$8)</f>
        <v>0.20699999999999999</v>
      </c>
      <c r="AA1061" s="158" cm="1">
        <f t="array" ref="AA1061">_xlfn.SWITCH($N1061,"BDI 1",$P$6,"BDI 2",$P$7,"BDI 3",$P$8)</f>
        <v>0.26739999999999997</v>
      </c>
      <c r="AB1061" s="158">
        <f ca="1">IFERROR($S1061/_xlfn.XLOOKUP($AE1061,$B$16:$B$38,$S$16:$S$38),0)</f>
        <v>0</v>
      </c>
      <c r="AC1061" s="158">
        <f ca="1">IFERROR($T1061/_xlfn.XLOOKUP($AE1061,$B$16:$B$38,$T$16:$T$38),0)</f>
        <v>0</v>
      </c>
      <c r="AD1061" s="164"/>
      <c r="AE1061" s="148">
        <f t="shared" si="2275"/>
        <v>0</v>
      </c>
      <c r="AF1061" s="149"/>
      <c r="AG1061" s="150"/>
      <c r="AH1061" s="159" t="e">
        <f>+S1061/$S$961</f>
        <v>#DIV/0!</v>
      </c>
      <c r="AI1061" s="160"/>
      <c r="AJ1061" s="219"/>
      <c r="AK1061" s="219"/>
      <c r="AM1061" s="219"/>
      <c r="AN1061" s="219"/>
      <c r="AO1061" s="219"/>
      <c r="AP1061" s="219"/>
      <c r="AQ1061" s="219"/>
      <c r="AR1061" s="219"/>
    </row>
    <row r="1062" spans="1:44" s="220" customFormat="1" ht="40.15" hidden="1" customHeight="1">
      <c r="A1062" s="152">
        <f t="shared" ca="1" si="2276"/>
        <v>0</v>
      </c>
      <c r="B1062" s="153">
        <v>103670</v>
      </c>
      <c r="C1062" s="154" t="str">
        <f>TEXT(B1062,"0")</f>
        <v>103670</v>
      </c>
      <c r="D1062" s="154" t="s">
        <v>1416</v>
      </c>
      <c r="E1062" s="155" t="s">
        <v>3792</v>
      </c>
      <c r="F1062" s="154"/>
      <c r="G1062" s="154" t="s">
        <v>464</v>
      </c>
      <c r="H1062" s="152">
        <v>272.37</v>
      </c>
      <c r="I1062" s="152">
        <v>247.05</v>
      </c>
      <c r="J1062" s="156"/>
      <c r="K1062" s="156"/>
      <c r="L1062" s="156">
        <f>IF($K1062&gt;$J1062,$K1062-$J1062,0)</f>
        <v>0</v>
      </c>
      <c r="M1062" s="156">
        <f>IF($K1062&lt;$J1062,$J1062-$K1062,0)</f>
        <v>0</v>
      </c>
      <c r="N1062" s="156" t="s">
        <v>83</v>
      </c>
      <c r="O1062" s="157" cm="1">
        <f t="array" ref="O1062">TRUNC($H1062*(1+_xlfn.SWITCH($N1062,"BDI 1",$O$6,"BDI 2",$O$7,"BDI 3",$O$8)),2)</f>
        <v>328.75</v>
      </c>
      <c r="P1062" s="157" cm="1">
        <f t="array" ref="P1062">TRUNC($I1062*(1+_xlfn.SWITCH($N1062,"BDI 1",$P$6,"BDI 2",$P$7,"BDI 3",$P$8)),2)</f>
        <v>313.11</v>
      </c>
      <c r="Q1062" s="157">
        <v>0</v>
      </c>
      <c r="R1062" s="157">
        <v>0</v>
      </c>
      <c r="S1062" s="156">
        <f>TRUNC($K1062*$O1062,2)</f>
        <v>0</v>
      </c>
      <c r="T1062" s="156">
        <f>TRUNC($K1062*$P1062,2)</f>
        <v>0</v>
      </c>
      <c r="U1062" s="156">
        <f>TRUNC($J1062*$R1062,2)</f>
        <v>0</v>
      </c>
      <c r="V1062" s="156">
        <f>TRUNC($K1062*$Q1062,2)</f>
        <v>0</v>
      </c>
      <c r="W1062" s="156">
        <f>TRUNC(V1062-U1062,2)</f>
        <v>0</v>
      </c>
      <c r="X1062" s="158">
        <f>$S1062/ORCAMENTO_VALOR_TOTAL_ND</f>
        <v>0</v>
      </c>
      <c r="Y1062" s="158">
        <f>$T1062/ORCAMENTO_VALOR_TOTAL_DE</f>
        <v>0</v>
      </c>
      <c r="Z1062" s="158" cm="1">
        <f t="array" ref="Z1062">_xlfn.SWITCH($N1062,"BDI 1",$O$6,"BDI 2",$O$7,"BDI 3",$O$8)</f>
        <v>0.20699999999999999</v>
      </c>
      <c r="AA1062" s="158" cm="1">
        <f t="array" ref="AA1062">_xlfn.SWITCH($N1062,"BDI 1",$P$6,"BDI 2",$P$7,"BDI 3",$P$8)</f>
        <v>0.26739999999999997</v>
      </c>
      <c r="AB1062" s="158">
        <f ca="1">IFERROR($S1062/_xlfn.XLOOKUP($AE1062,$B$16:$B$38,$S$16:$S$38),0)</f>
        <v>0</v>
      </c>
      <c r="AC1062" s="158">
        <f ca="1">IFERROR($T1062/_xlfn.XLOOKUP($AE1062,$B$16:$B$38,$T$16:$T$38),0)</f>
        <v>0</v>
      </c>
      <c r="AD1062" s="164"/>
      <c r="AE1062" s="148">
        <f t="shared" si="2275"/>
        <v>0</v>
      </c>
      <c r="AF1062" s="149"/>
      <c r="AG1062" s="150"/>
      <c r="AH1062" s="159" t="e">
        <f>+S1062/$S$961</f>
        <v>#DIV/0!</v>
      </c>
      <c r="AI1062" s="160"/>
      <c r="AJ1062" s="219"/>
      <c r="AK1062" s="219"/>
      <c r="AM1062" s="219"/>
      <c r="AN1062" s="219"/>
      <c r="AO1062" s="219"/>
      <c r="AP1062" s="219"/>
      <c r="AQ1062" s="219"/>
      <c r="AR1062" s="219"/>
    </row>
    <row r="1063" spans="1:44" s="220" customFormat="1" ht="40.15" hidden="1" customHeight="1">
      <c r="A1063" s="152">
        <f t="shared" ca="1" si="2276"/>
        <v>0</v>
      </c>
      <c r="B1063" s="153">
        <v>96542</v>
      </c>
      <c r="C1063" s="154" t="str">
        <f>TEXT(B1063,"0")</f>
        <v>96542</v>
      </c>
      <c r="D1063" s="154" t="s">
        <v>1416</v>
      </c>
      <c r="E1063" s="155" t="s">
        <v>3953</v>
      </c>
      <c r="F1063" s="154"/>
      <c r="G1063" s="154" t="s">
        <v>1418</v>
      </c>
      <c r="H1063" s="152">
        <v>90.23</v>
      </c>
      <c r="I1063" s="152">
        <v>84.55</v>
      </c>
      <c r="J1063" s="156"/>
      <c r="K1063" s="156"/>
      <c r="L1063" s="156">
        <f>IF($K1063&gt;$J1063,$K1063-$J1063,0)</f>
        <v>0</v>
      </c>
      <c r="M1063" s="156">
        <f>IF($K1063&lt;$J1063,$J1063-$K1063,0)</f>
        <v>0</v>
      </c>
      <c r="N1063" s="156" t="s">
        <v>83</v>
      </c>
      <c r="O1063" s="157" cm="1">
        <f t="array" ref="O1063">TRUNC($H1063*(1+_xlfn.SWITCH($N1063,"BDI 1",$O$6,"BDI 2",$O$7,"BDI 3",$O$8)),2)</f>
        <v>108.9</v>
      </c>
      <c r="P1063" s="157" cm="1">
        <f t="array" ref="P1063">TRUNC($I1063*(1+_xlfn.SWITCH($N1063,"BDI 1",$P$6,"BDI 2",$P$7,"BDI 3",$P$8)),2)</f>
        <v>107.15</v>
      </c>
      <c r="Q1063" s="157">
        <v>0</v>
      </c>
      <c r="R1063" s="157">
        <v>0</v>
      </c>
      <c r="S1063" s="156">
        <f>TRUNC($K1063*$O1063,2)</f>
        <v>0</v>
      </c>
      <c r="T1063" s="156">
        <f>TRUNC($K1063*$P1063,2)</f>
        <v>0</v>
      </c>
      <c r="U1063" s="156">
        <f>TRUNC($J1063*$R1063,2)</f>
        <v>0</v>
      </c>
      <c r="V1063" s="156">
        <f>TRUNC($K1063*$Q1063,2)</f>
        <v>0</v>
      </c>
      <c r="W1063" s="156">
        <f>TRUNC(V1063-U1063,2)</f>
        <v>0</v>
      </c>
      <c r="X1063" s="158">
        <f>$S1063/ORCAMENTO_VALOR_TOTAL_ND</f>
        <v>0</v>
      </c>
      <c r="Y1063" s="158">
        <f>$T1063/ORCAMENTO_VALOR_TOTAL_DE</f>
        <v>0</v>
      </c>
      <c r="Z1063" s="158" cm="1">
        <f t="array" ref="Z1063">_xlfn.SWITCH($N1063,"BDI 1",$O$6,"BDI 2",$O$7,"BDI 3",$O$8)</f>
        <v>0.20699999999999999</v>
      </c>
      <c r="AA1063" s="158" cm="1">
        <f t="array" ref="AA1063">_xlfn.SWITCH($N1063,"BDI 1",$P$6,"BDI 2",$P$7,"BDI 3",$P$8)</f>
        <v>0.26739999999999997</v>
      </c>
      <c r="AB1063" s="158">
        <f ca="1">IFERROR($S1063/_xlfn.XLOOKUP($AE1063,$B$16:$B$38,$S$16:$S$38),0)</f>
        <v>0</v>
      </c>
      <c r="AC1063" s="158">
        <f ca="1">IFERROR($T1063/_xlfn.XLOOKUP($AE1063,$B$16:$B$38,$T$16:$T$38),0)</f>
        <v>0</v>
      </c>
      <c r="AD1063" s="164"/>
      <c r="AE1063" s="148">
        <f t="shared" si="2275"/>
        <v>0</v>
      </c>
      <c r="AF1063" s="149"/>
      <c r="AG1063" s="150"/>
      <c r="AH1063" s="159" t="e">
        <f>+S1063/$S$961</f>
        <v>#DIV/0!</v>
      </c>
      <c r="AI1063" s="165" t="s">
        <v>101</v>
      </c>
      <c r="AJ1063" s="219"/>
      <c r="AK1063" s="219"/>
      <c r="AM1063" s="219"/>
      <c r="AN1063" s="219"/>
      <c r="AO1063" s="219"/>
      <c r="AP1063" s="219"/>
      <c r="AQ1063" s="219"/>
      <c r="AR1063" s="219"/>
    </row>
    <row r="1064" spans="1:44" s="220" customFormat="1" ht="40.15" hidden="1" customHeight="1">
      <c r="A1064" s="152">
        <f t="shared" ca="1" si="2276"/>
        <v>0</v>
      </c>
      <c r="B1064" s="153">
        <v>92760</v>
      </c>
      <c r="C1064" s="154" t="str">
        <f>TEXT(B1064,"0")</f>
        <v>92760</v>
      </c>
      <c r="D1064" s="154" t="s">
        <v>1416</v>
      </c>
      <c r="E1064" s="155" t="s">
        <v>3948</v>
      </c>
      <c r="F1064" s="154"/>
      <c r="G1064" s="154" t="s">
        <v>3802</v>
      </c>
      <c r="H1064" s="152">
        <v>13.61</v>
      </c>
      <c r="I1064" s="152">
        <v>13.23</v>
      </c>
      <c r="J1064" s="156"/>
      <c r="K1064" s="156"/>
      <c r="L1064" s="156">
        <f>IF($K1064&gt;$J1064,$K1064-$J1064,0)</f>
        <v>0</v>
      </c>
      <c r="M1064" s="156">
        <f>IF($K1064&lt;$J1064,$J1064-$K1064,0)</f>
        <v>0</v>
      </c>
      <c r="N1064" s="156" t="s">
        <v>83</v>
      </c>
      <c r="O1064" s="157" cm="1">
        <f t="array" ref="O1064">TRUNC($H1064*(1+_xlfn.SWITCH($N1064,"BDI 1",$O$6,"BDI 2",$O$7,"BDI 3",$O$8)),2)</f>
        <v>16.420000000000002</v>
      </c>
      <c r="P1064" s="157" cm="1">
        <f t="array" ref="P1064">TRUNC($I1064*(1+_xlfn.SWITCH($N1064,"BDI 1",$P$6,"BDI 2",$P$7,"BDI 3",$P$8)),2)</f>
        <v>16.760000000000002</v>
      </c>
      <c r="Q1064" s="157">
        <v>0</v>
      </c>
      <c r="R1064" s="157">
        <v>0</v>
      </c>
      <c r="S1064" s="156">
        <f>TRUNC($K1064*$O1064,2)</f>
        <v>0</v>
      </c>
      <c r="T1064" s="156">
        <f>TRUNC($K1064*$P1064,2)</f>
        <v>0</v>
      </c>
      <c r="U1064" s="156">
        <f>TRUNC($J1064*$R1064,2)</f>
        <v>0</v>
      </c>
      <c r="V1064" s="156">
        <f>TRUNC($K1064*$Q1064,2)</f>
        <v>0</v>
      </c>
      <c r="W1064" s="156">
        <f>TRUNC(V1064-U1064,2)</f>
        <v>0</v>
      </c>
      <c r="X1064" s="158">
        <f>$S1064/ORCAMENTO_VALOR_TOTAL_ND</f>
        <v>0</v>
      </c>
      <c r="Y1064" s="158">
        <f>$T1064/ORCAMENTO_VALOR_TOTAL_DE</f>
        <v>0</v>
      </c>
      <c r="Z1064" s="158" cm="1">
        <f t="array" ref="Z1064">_xlfn.SWITCH($N1064,"BDI 1",$O$6,"BDI 2",$O$7,"BDI 3",$O$8)</f>
        <v>0.20699999999999999</v>
      </c>
      <c r="AA1064" s="158" cm="1">
        <f t="array" ref="AA1064">_xlfn.SWITCH($N1064,"BDI 1",$P$6,"BDI 2",$P$7,"BDI 3",$P$8)</f>
        <v>0.26739999999999997</v>
      </c>
      <c r="AB1064" s="158">
        <f ca="1">IFERROR($S1064/_xlfn.XLOOKUP($AE1064,$B$16:$B$38,$S$16:$S$38),0)</f>
        <v>0</v>
      </c>
      <c r="AC1064" s="158">
        <f ca="1">IFERROR($T1064/_xlfn.XLOOKUP($AE1064,$B$16:$B$38,$T$16:$T$38),0)</f>
        <v>0</v>
      </c>
      <c r="AD1064" s="164"/>
      <c r="AE1064" s="148">
        <f t="shared" si="2275"/>
        <v>0</v>
      </c>
      <c r="AF1064" s="149"/>
      <c r="AG1064" s="150"/>
      <c r="AH1064" s="159" t="e">
        <f>+S1064/$S$961</f>
        <v>#DIV/0!</v>
      </c>
      <c r="AI1064" s="165" t="s">
        <v>101</v>
      </c>
      <c r="AJ1064" s="219"/>
      <c r="AK1064" s="219"/>
      <c r="AM1064" s="219"/>
      <c r="AN1064" s="219"/>
      <c r="AO1064" s="219"/>
      <c r="AP1064" s="219"/>
      <c r="AQ1064" s="219"/>
      <c r="AR1064" s="219"/>
    </row>
    <row r="1065" spans="1:44" s="220" customFormat="1" ht="40.15" hidden="1" customHeight="1">
      <c r="A1065" s="152">
        <f t="shared" ca="1" si="2276"/>
        <v>0</v>
      </c>
      <c r="B1065" s="153">
        <v>92761</v>
      </c>
      <c r="C1065" s="154" t="str">
        <f>TEXT(B1065,"0")</f>
        <v>92761</v>
      </c>
      <c r="D1065" s="154" t="s">
        <v>1416</v>
      </c>
      <c r="E1065" s="155" t="s">
        <v>3954</v>
      </c>
      <c r="F1065" s="154"/>
      <c r="G1065" s="154" t="s">
        <v>3802</v>
      </c>
      <c r="H1065" s="152">
        <v>12.93</v>
      </c>
      <c r="I1065" s="152">
        <v>12.66</v>
      </c>
      <c r="J1065" s="156"/>
      <c r="K1065" s="156"/>
      <c r="L1065" s="156">
        <f>IF($K1065&gt;$J1065,$K1065-$J1065,0)</f>
        <v>0</v>
      </c>
      <c r="M1065" s="156">
        <f>IF($K1065&lt;$J1065,$J1065-$K1065,0)</f>
        <v>0</v>
      </c>
      <c r="N1065" s="156" t="s">
        <v>83</v>
      </c>
      <c r="O1065" s="157" cm="1">
        <f t="array" ref="O1065">TRUNC($H1065*(1+_xlfn.SWITCH($N1065,"BDI 1",$O$6,"BDI 2",$O$7,"BDI 3",$O$8)),2)</f>
        <v>15.6</v>
      </c>
      <c r="P1065" s="157" cm="1">
        <f t="array" ref="P1065">TRUNC($I1065*(1+_xlfn.SWITCH($N1065,"BDI 1",$P$6,"BDI 2",$P$7,"BDI 3",$P$8)),2)</f>
        <v>16.04</v>
      </c>
      <c r="Q1065" s="157">
        <v>0</v>
      </c>
      <c r="R1065" s="157">
        <v>0</v>
      </c>
      <c r="S1065" s="156">
        <f>TRUNC($K1065*$O1065,2)</f>
        <v>0</v>
      </c>
      <c r="T1065" s="156">
        <f>TRUNC($K1065*$P1065,2)</f>
        <v>0</v>
      </c>
      <c r="U1065" s="156">
        <f>TRUNC($J1065*$R1065,2)</f>
        <v>0</v>
      </c>
      <c r="V1065" s="156">
        <f>TRUNC($K1065*$Q1065,2)</f>
        <v>0</v>
      </c>
      <c r="W1065" s="156">
        <f>TRUNC(V1065-U1065,2)</f>
        <v>0</v>
      </c>
      <c r="X1065" s="158">
        <f>$S1065/ORCAMENTO_VALOR_TOTAL_ND</f>
        <v>0</v>
      </c>
      <c r="Y1065" s="158">
        <f>$T1065/ORCAMENTO_VALOR_TOTAL_DE</f>
        <v>0</v>
      </c>
      <c r="Z1065" s="158" cm="1">
        <f t="array" ref="Z1065">_xlfn.SWITCH($N1065,"BDI 1",$O$6,"BDI 2",$O$7,"BDI 3",$O$8)</f>
        <v>0.20699999999999999</v>
      </c>
      <c r="AA1065" s="158" cm="1">
        <f t="array" ref="AA1065">_xlfn.SWITCH($N1065,"BDI 1",$P$6,"BDI 2",$P$7,"BDI 3",$P$8)</f>
        <v>0.26739999999999997</v>
      </c>
      <c r="AB1065" s="158">
        <f ca="1">IFERROR($S1065/_xlfn.XLOOKUP($AE1065,$B$16:$B$38,$S$16:$S$38),0)</f>
        <v>0</v>
      </c>
      <c r="AC1065" s="158">
        <f ca="1">IFERROR($T1065/_xlfn.XLOOKUP($AE1065,$B$16:$B$38,$T$16:$T$38),0)</f>
        <v>0</v>
      </c>
      <c r="AD1065" s="164"/>
      <c r="AE1065" s="148">
        <f t="shared" si="2275"/>
        <v>0</v>
      </c>
      <c r="AF1065" s="149"/>
      <c r="AG1065" s="150"/>
      <c r="AH1065" s="159" t="e">
        <f>+S1065/$S$961</f>
        <v>#DIV/0!</v>
      </c>
      <c r="AI1065" s="165" t="s">
        <v>243</v>
      </c>
      <c r="AJ1065" s="219"/>
      <c r="AK1065" s="219"/>
      <c r="AM1065" s="219"/>
      <c r="AN1065" s="219"/>
      <c r="AO1065" s="219"/>
      <c r="AP1065" s="219"/>
      <c r="AQ1065" s="219"/>
      <c r="AR1065" s="219"/>
    </row>
    <row r="1066" spans="1:44" s="49" customFormat="1" ht="40.15" hidden="1" customHeight="1">
      <c r="A1066" s="152">
        <f t="shared" ca="1" si="2276"/>
        <v>0</v>
      </c>
      <c r="B1066" s="153"/>
      <c r="C1066" s="154"/>
      <c r="D1066" s="154"/>
      <c r="E1066" s="161" t="s">
        <v>363</v>
      </c>
      <c r="F1066" s="154"/>
      <c r="G1066" s="154"/>
      <c r="H1066" s="152"/>
      <c r="I1066" s="152"/>
      <c r="J1066" s="154"/>
      <c r="K1066" s="154"/>
      <c r="L1066" s="154"/>
      <c r="M1066" s="154"/>
      <c r="N1066" s="154"/>
      <c r="O1066" s="162"/>
      <c r="P1066" s="162"/>
      <c r="Q1066" s="162"/>
      <c r="R1066" s="162"/>
      <c r="S1066" s="162"/>
      <c r="T1066" s="162"/>
      <c r="U1066" s="162"/>
      <c r="V1066" s="162"/>
      <c r="W1066" s="162"/>
      <c r="X1066" s="163"/>
      <c r="Y1066" s="163"/>
      <c r="Z1066" s="163"/>
      <c r="AA1066" s="163"/>
      <c r="AB1066" s="163"/>
      <c r="AC1066" s="163"/>
      <c r="AD1066" s="164"/>
      <c r="AE1066" s="148">
        <f t="shared" si="2275"/>
        <v>0</v>
      </c>
      <c r="AF1066" s="149"/>
      <c r="AG1066" s="150"/>
      <c r="AH1066" s="159"/>
      <c r="AI1066" s="160"/>
      <c r="AJ1066" s="105"/>
      <c r="AK1066" s="105"/>
      <c r="AM1066" s="105"/>
      <c r="AN1066" s="105"/>
      <c r="AO1066" s="105"/>
      <c r="AP1066" s="105"/>
      <c r="AQ1066" s="105"/>
      <c r="AR1066" s="105"/>
    </row>
    <row r="1067" spans="1:44" s="220" customFormat="1" ht="40.15" hidden="1" customHeight="1">
      <c r="A1067" s="152">
        <f t="shared" ca="1" si="2276"/>
        <v>0</v>
      </c>
      <c r="B1067" s="153" t="s">
        <v>364</v>
      </c>
      <c r="C1067" s="154" t="str">
        <f t="shared" ref="C1067:C1077" si="2385">TEXT(B1067,"0")</f>
        <v>SEL-304</v>
      </c>
      <c r="D1067" s="154">
        <v>0</v>
      </c>
      <c r="E1067" s="155" t="s">
        <v>3766</v>
      </c>
      <c r="F1067" s="154"/>
      <c r="G1067" s="154">
        <v>0</v>
      </c>
      <c r="H1067" s="152">
        <v>0</v>
      </c>
      <c r="I1067" s="152">
        <v>0</v>
      </c>
      <c r="J1067" s="156"/>
      <c r="K1067" s="156"/>
      <c r="L1067" s="156">
        <f t="shared" ref="L1067:L1077" si="2386">IF($K1067&gt;$J1067,$K1067-$J1067,0)</f>
        <v>0</v>
      </c>
      <c r="M1067" s="156">
        <f t="shared" ref="M1067:M1077" si="2387">IF($K1067&lt;$J1067,$J1067-$K1067,0)</f>
        <v>0</v>
      </c>
      <c r="N1067" s="156" t="s">
        <v>83</v>
      </c>
      <c r="O1067" s="157" cm="1">
        <f t="array" ref="O1067">TRUNC($H1067*(1+_xlfn.SWITCH($N1067,"BDI 1",$O$6,"BDI 2",$O$7,"BDI 3",$O$8)),2)</f>
        <v>0</v>
      </c>
      <c r="P1067" s="157" cm="1">
        <f t="array" ref="P1067">TRUNC($I1067*(1+_xlfn.SWITCH($N1067,"BDI 1",$P$6,"BDI 2",$P$7,"BDI 3",$P$8)),2)</f>
        <v>0</v>
      </c>
      <c r="Q1067" s="157">
        <v>0</v>
      </c>
      <c r="R1067" s="157">
        <f t="shared" ref="R1067" si="2388">$Q1067-($Q1067*LICITACAO_DESCONTO)</f>
        <v>0</v>
      </c>
      <c r="S1067" s="156">
        <f t="shared" ref="S1067:S1077" si="2389">TRUNC($K1067*$O1067,2)</f>
        <v>0</v>
      </c>
      <c r="T1067" s="156">
        <f t="shared" ref="T1067:T1077" si="2390">TRUNC($K1067*$P1067,2)</f>
        <v>0</v>
      </c>
      <c r="U1067" s="156">
        <f t="shared" ref="U1067:U1077" si="2391">TRUNC($J1067*$R1067,2)</f>
        <v>0</v>
      </c>
      <c r="V1067" s="156">
        <f t="shared" ref="V1067:V1077" si="2392">TRUNC($K1067*$Q1067,2)</f>
        <v>0</v>
      </c>
      <c r="W1067" s="156">
        <f t="shared" ref="W1067:W1077" si="2393">TRUNC(V1067-U1067,2)</f>
        <v>0</v>
      </c>
      <c r="X1067" s="158">
        <f t="shared" ref="X1067" si="2394">$S1067/ORCAMENTO_VALOR_TOTAL_ND</f>
        <v>0</v>
      </c>
      <c r="Y1067" s="158">
        <f t="shared" ref="Y1067" si="2395">$T1067/ORCAMENTO_VALOR_TOTAL_DE</f>
        <v>0</v>
      </c>
      <c r="Z1067" s="158" cm="1">
        <f t="array" ref="Z1067">_xlfn.SWITCH($N1067,"BDI 1",$O$6,"BDI 2",$O$7,"BDI 3",$O$8)</f>
        <v>0.20699999999999999</v>
      </c>
      <c r="AA1067" s="158" cm="1">
        <f t="array" ref="AA1067">_xlfn.SWITCH($N1067,"BDI 1",$P$6,"BDI 2",$P$7,"BDI 3",$P$8)</f>
        <v>0.26739999999999997</v>
      </c>
      <c r="AB1067" s="158">
        <f t="shared" ref="AB1067:AB1077" ca="1" si="2396">IFERROR($S1067/_xlfn.XLOOKUP($AE1067,$B$16:$B$38,$S$16:$S$38),0)</f>
        <v>0</v>
      </c>
      <c r="AC1067" s="158">
        <f t="shared" ref="AC1067:AC1077" ca="1" si="2397">IFERROR($T1067/_xlfn.XLOOKUP($AE1067,$B$16:$B$38,$T$16:$T$38),0)</f>
        <v>0</v>
      </c>
      <c r="AD1067" s="164"/>
      <c r="AE1067" s="148">
        <f t="shared" si="2275"/>
        <v>0</v>
      </c>
      <c r="AF1067" s="149"/>
      <c r="AG1067" s="150"/>
      <c r="AH1067" s="159" t="e">
        <f t="shared" ref="AH1067:AH1077" si="2398">+S1067/$S$961</f>
        <v>#DIV/0!</v>
      </c>
      <c r="AI1067" s="160"/>
      <c r="AJ1067" s="184" t="e">
        <v>#N/A</v>
      </c>
      <c r="AK1067" s="183" t="e">
        <f>+K1067/AJ1067</f>
        <v>#N/A</v>
      </c>
      <c r="AM1067" s="219"/>
      <c r="AN1067" s="219"/>
      <c r="AO1067" s="219"/>
      <c r="AP1067" s="219"/>
      <c r="AQ1067" s="219" t="e">
        <f>K1067+K1082+K1096+K1108+#REF!+K1126+K1140+K1149+K1162+K1199+K1206</f>
        <v>#REF!</v>
      </c>
      <c r="AR1067" s="219"/>
    </row>
    <row r="1068" spans="1:44" s="220" customFormat="1" ht="40.15" hidden="1" customHeight="1">
      <c r="A1068" s="152">
        <f t="shared" ca="1" si="2276"/>
        <v>0</v>
      </c>
      <c r="B1068" s="153" t="s">
        <v>365</v>
      </c>
      <c r="C1068" s="154" t="str">
        <f t="shared" si="2385"/>
        <v>SEL-305</v>
      </c>
      <c r="D1068" s="154">
        <v>0</v>
      </c>
      <c r="E1068" s="155" t="s">
        <v>3766</v>
      </c>
      <c r="F1068" s="154"/>
      <c r="G1068" s="154">
        <v>0</v>
      </c>
      <c r="H1068" s="152">
        <v>0</v>
      </c>
      <c r="I1068" s="152">
        <v>0</v>
      </c>
      <c r="J1068" s="156"/>
      <c r="K1068" s="156"/>
      <c r="L1068" s="156">
        <f t="shared" si="2386"/>
        <v>0</v>
      </c>
      <c r="M1068" s="156">
        <f t="shared" si="2387"/>
        <v>0</v>
      </c>
      <c r="N1068" s="156" t="s">
        <v>83</v>
      </c>
      <c r="O1068" s="157" cm="1">
        <f t="array" ref="O1068">TRUNC($H1068*(1+_xlfn.SWITCH($N1068,"BDI 1",$O$6,"BDI 2",$O$7,"BDI 3",$O$8)),2)</f>
        <v>0</v>
      </c>
      <c r="P1068" s="157" cm="1">
        <f t="array" ref="P1068">TRUNC($I1068*(1+_xlfn.SWITCH($N1068,"BDI 1",$P$6,"BDI 2",$P$7,"BDI 3",$P$8)),2)</f>
        <v>0</v>
      </c>
      <c r="Q1068" s="157">
        <v>0</v>
      </c>
      <c r="R1068" s="157">
        <f t="shared" ref="R1068" si="2399">$Q1068-($Q1068*LICITACAO_DESCONTO)</f>
        <v>0</v>
      </c>
      <c r="S1068" s="156">
        <f t="shared" si="2389"/>
        <v>0</v>
      </c>
      <c r="T1068" s="156">
        <f t="shared" si="2390"/>
        <v>0</v>
      </c>
      <c r="U1068" s="156">
        <f t="shared" si="2391"/>
        <v>0</v>
      </c>
      <c r="V1068" s="156">
        <f t="shared" si="2392"/>
        <v>0</v>
      </c>
      <c r="W1068" s="156">
        <f t="shared" si="2393"/>
        <v>0</v>
      </c>
      <c r="X1068" s="158">
        <f t="shared" ref="X1068" si="2400">$S1068/ORCAMENTO_VALOR_TOTAL_ND</f>
        <v>0</v>
      </c>
      <c r="Y1068" s="158">
        <f t="shared" ref="Y1068" si="2401">$T1068/ORCAMENTO_VALOR_TOTAL_DE</f>
        <v>0</v>
      </c>
      <c r="Z1068" s="158" cm="1">
        <f t="array" ref="Z1068">_xlfn.SWITCH($N1068,"BDI 1",$O$6,"BDI 2",$O$7,"BDI 3",$O$8)</f>
        <v>0.20699999999999999</v>
      </c>
      <c r="AA1068" s="158" cm="1">
        <f t="array" ref="AA1068">_xlfn.SWITCH($N1068,"BDI 1",$P$6,"BDI 2",$P$7,"BDI 3",$P$8)</f>
        <v>0.26739999999999997</v>
      </c>
      <c r="AB1068" s="158">
        <f t="shared" ca="1" si="2396"/>
        <v>0</v>
      </c>
      <c r="AC1068" s="158">
        <f t="shared" ca="1" si="2397"/>
        <v>0</v>
      </c>
      <c r="AD1068" s="164"/>
      <c r="AE1068" s="148">
        <f t="shared" si="2275"/>
        <v>0</v>
      </c>
      <c r="AF1068" s="149"/>
      <c r="AG1068" s="150"/>
      <c r="AH1068" s="159" t="e">
        <f t="shared" si="2398"/>
        <v>#DIV/0!</v>
      </c>
      <c r="AI1068" s="165" t="s">
        <v>101</v>
      </c>
      <c r="AJ1068" s="219"/>
      <c r="AK1068" s="219"/>
      <c r="AM1068" s="219"/>
      <c r="AN1068" s="219"/>
      <c r="AO1068" s="219"/>
      <c r="AP1068" s="219"/>
      <c r="AQ1068" s="219"/>
      <c r="AR1068" s="219"/>
    </row>
    <row r="1069" spans="1:44" s="220" customFormat="1" ht="40.15" hidden="1" customHeight="1">
      <c r="A1069" s="152">
        <f t="shared" ca="1" si="2276"/>
        <v>0</v>
      </c>
      <c r="B1069" s="153" t="s">
        <v>366</v>
      </c>
      <c r="C1069" s="154" t="str">
        <f t="shared" si="2385"/>
        <v>SEL-306</v>
      </c>
      <c r="D1069" s="154">
        <v>0</v>
      </c>
      <c r="E1069" s="155" t="s">
        <v>3766</v>
      </c>
      <c r="F1069" s="154"/>
      <c r="G1069" s="154">
        <v>0</v>
      </c>
      <c r="H1069" s="152">
        <v>0</v>
      </c>
      <c r="I1069" s="152">
        <v>0</v>
      </c>
      <c r="J1069" s="156"/>
      <c r="K1069" s="156"/>
      <c r="L1069" s="156">
        <f t="shared" si="2386"/>
        <v>0</v>
      </c>
      <c r="M1069" s="156">
        <f t="shared" si="2387"/>
        <v>0</v>
      </c>
      <c r="N1069" s="156" t="s">
        <v>83</v>
      </c>
      <c r="O1069" s="157" cm="1">
        <f t="array" ref="O1069">TRUNC($H1069*(1+_xlfn.SWITCH($N1069,"BDI 1",$O$6,"BDI 2",$O$7,"BDI 3",$O$8)),2)</f>
        <v>0</v>
      </c>
      <c r="P1069" s="157" cm="1">
        <f t="array" ref="P1069">TRUNC($I1069*(1+_xlfn.SWITCH($N1069,"BDI 1",$P$6,"BDI 2",$P$7,"BDI 3",$P$8)),2)</f>
        <v>0</v>
      </c>
      <c r="Q1069" s="157">
        <v>0</v>
      </c>
      <c r="R1069" s="157">
        <f t="shared" ref="R1069" si="2402">$Q1069-($Q1069*LICITACAO_DESCONTO)</f>
        <v>0</v>
      </c>
      <c r="S1069" s="156">
        <f t="shared" si="2389"/>
        <v>0</v>
      </c>
      <c r="T1069" s="156">
        <f t="shared" si="2390"/>
        <v>0</v>
      </c>
      <c r="U1069" s="156">
        <f t="shared" si="2391"/>
        <v>0</v>
      </c>
      <c r="V1069" s="156">
        <f t="shared" si="2392"/>
        <v>0</v>
      </c>
      <c r="W1069" s="156">
        <f t="shared" si="2393"/>
        <v>0</v>
      </c>
      <c r="X1069" s="158">
        <f t="shared" ref="X1069" si="2403">$S1069/ORCAMENTO_VALOR_TOTAL_ND</f>
        <v>0</v>
      </c>
      <c r="Y1069" s="158">
        <f t="shared" ref="Y1069" si="2404">$T1069/ORCAMENTO_VALOR_TOTAL_DE</f>
        <v>0</v>
      </c>
      <c r="Z1069" s="158" cm="1">
        <f t="array" ref="Z1069">_xlfn.SWITCH($N1069,"BDI 1",$O$6,"BDI 2",$O$7,"BDI 3",$O$8)</f>
        <v>0.20699999999999999</v>
      </c>
      <c r="AA1069" s="158" cm="1">
        <f t="array" ref="AA1069">_xlfn.SWITCH($N1069,"BDI 1",$P$6,"BDI 2",$P$7,"BDI 3",$P$8)</f>
        <v>0.26739999999999997</v>
      </c>
      <c r="AB1069" s="158">
        <f t="shared" ca="1" si="2396"/>
        <v>0</v>
      </c>
      <c r="AC1069" s="158">
        <f t="shared" ca="1" si="2397"/>
        <v>0</v>
      </c>
      <c r="AD1069" s="164"/>
      <c r="AE1069" s="148">
        <f t="shared" si="2275"/>
        <v>0</v>
      </c>
      <c r="AF1069" s="149"/>
      <c r="AG1069" s="150"/>
      <c r="AH1069" s="159" t="e">
        <f t="shared" si="2398"/>
        <v>#DIV/0!</v>
      </c>
      <c r="AI1069" s="165" t="s">
        <v>243</v>
      </c>
      <c r="AJ1069" s="219"/>
      <c r="AK1069" s="219"/>
      <c r="AM1069" s="219"/>
      <c r="AN1069" s="219"/>
      <c r="AO1069" s="219"/>
      <c r="AP1069" s="219"/>
      <c r="AQ1069" s="219">
        <f>68.88*16</f>
        <v>1102.08</v>
      </c>
      <c r="AR1069" s="219"/>
    </row>
    <row r="1070" spans="1:44" s="220" customFormat="1" ht="40.15" hidden="1" customHeight="1">
      <c r="A1070" s="152">
        <f t="shared" ca="1" si="2276"/>
        <v>0</v>
      </c>
      <c r="B1070" s="153">
        <v>92760</v>
      </c>
      <c r="C1070" s="154" t="str">
        <f t="shared" si="2385"/>
        <v>92760</v>
      </c>
      <c r="D1070" s="154" t="s">
        <v>1416</v>
      </c>
      <c r="E1070" s="155" t="s">
        <v>3948</v>
      </c>
      <c r="F1070" s="154"/>
      <c r="G1070" s="154" t="s">
        <v>3802</v>
      </c>
      <c r="H1070" s="152">
        <v>13.61</v>
      </c>
      <c r="I1070" s="152">
        <v>13.23</v>
      </c>
      <c r="J1070" s="156"/>
      <c r="K1070" s="156"/>
      <c r="L1070" s="156">
        <f t="shared" si="2386"/>
        <v>0</v>
      </c>
      <c r="M1070" s="156">
        <f t="shared" si="2387"/>
        <v>0</v>
      </c>
      <c r="N1070" s="156" t="s">
        <v>83</v>
      </c>
      <c r="O1070" s="157" cm="1">
        <f t="array" ref="O1070">TRUNC($H1070*(1+_xlfn.SWITCH($N1070,"BDI 1",$O$6,"BDI 2",$O$7,"BDI 3",$O$8)),2)</f>
        <v>16.420000000000002</v>
      </c>
      <c r="P1070" s="157" cm="1">
        <f t="array" ref="P1070">TRUNC($I1070*(1+_xlfn.SWITCH($N1070,"BDI 1",$P$6,"BDI 2",$P$7,"BDI 3",$P$8)),2)</f>
        <v>16.760000000000002</v>
      </c>
      <c r="Q1070" s="157">
        <v>0</v>
      </c>
      <c r="R1070" s="157">
        <f t="shared" ref="R1070" si="2405">$Q1070-($Q1070*LICITACAO_DESCONTO)</f>
        <v>0</v>
      </c>
      <c r="S1070" s="156">
        <f t="shared" si="2389"/>
        <v>0</v>
      </c>
      <c r="T1070" s="156">
        <f t="shared" si="2390"/>
        <v>0</v>
      </c>
      <c r="U1070" s="156">
        <f t="shared" si="2391"/>
        <v>0</v>
      </c>
      <c r="V1070" s="156">
        <f t="shared" si="2392"/>
        <v>0</v>
      </c>
      <c r="W1070" s="156">
        <f t="shared" si="2393"/>
        <v>0</v>
      </c>
      <c r="X1070" s="158">
        <f t="shared" ref="X1070" si="2406">$S1070/ORCAMENTO_VALOR_TOTAL_ND</f>
        <v>0</v>
      </c>
      <c r="Y1070" s="158">
        <f t="shared" ref="Y1070" si="2407">$T1070/ORCAMENTO_VALOR_TOTAL_DE</f>
        <v>0</v>
      </c>
      <c r="Z1070" s="158" cm="1">
        <f t="array" ref="Z1070">_xlfn.SWITCH($N1070,"BDI 1",$O$6,"BDI 2",$O$7,"BDI 3",$O$8)</f>
        <v>0.20699999999999999</v>
      </c>
      <c r="AA1070" s="158" cm="1">
        <f t="array" ref="AA1070">_xlfn.SWITCH($N1070,"BDI 1",$P$6,"BDI 2",$P$7,"BDI 3",$P$8)</f>
        <v>0.26739999999999997</v>
      </c>
      <c r="AB1070" s="158">
        <f t="shared" ca="1" si="2396"/>
        <v>0</v>
      </c>
      <c r="AC1070" s="158">
        <f t="shared" ca="1" si="2397"/>
        <v>0</v>
      </c>
      <c r="AD1070" s="164"/>
      <c r="AE1070" s="148">
        <f t="shared" si="2275"/>
        <v>0</v>
      </c>
      <c r="AF1070" s="149"/>
      <c r="AG1070" s="150"/>
      <c r="AH1070" s="159" t="e">
        <f t="shared" si="2398"/>
        <v>#DIV/0!</v>
      </c>
      <c r="AI1070" s="165" t="s">
        <v>101</v>
      </c>
      <c r="AJ1070" s="219"/>
      <c r="AK1070" s="219"/>
      <c r="AM1070" s="219"/>
      <c r="AN1070" s="219"/>
      <c r="AO1070" s="219"/>
      <c r="AP1070" s="219"/>
      <c r="AQ1070" s="219"/>
      <c r="AR1070" s="219"/>
    </row>
    <row r="1071" spans="1:44" s="220" customFormat="1" ht="40.15" hidden="1" customHeight="1">
      <c r="A1071" s="152">
        <f t="shared" ca="1" si="2276"/>
        <v>0</v>
      </c>
      <c r="B1071" s="153">
        <v>92761</v>
      </c>
      <c r="C1071" s="154" t="str">
        <f t="shared" si="2385"/>
        <v>92761</v>
      </c>
      <c r="D1071" s="154" t="s">
        <v>1416</v>
      </c>
      <c r="E1071" s="155" t="s">
        <v>3954</v>
      </c>
      <c r="F1071" s="154"/>
      <c r="G1071" s="154" t="s">
        <v>3802</v>
      </c>
      <c r="H1071" s="152">
        <v>12.93</v>
      </c>
      <c r="I1071" s="152">
        <v>12.66</v>
      </c>
      <c r="J1071" s="156"/>
      <c r="K1071" s="156"/>
      <c r="L1071" s="156">
        <f t="shared" si="2386"/>
        <v>0</v>
      </c>
      <c r="M1071" s="156">
        <f t="shared" si="2387"/>
        <v>0</v>
      </c>
      <c r="N1071" s="156" t="s">
        <v>83</v>
      </c>
      <c r="O1071" s="157" cm="1">
        <f t="array" ref="O1071">TRUNC($H1071*(1+_xlfn.SWITCH($N1071,"BDI 1",$O$6,"BDI 2",$O$7,"BDI 3",$O$8)),2)</f>
        <v>15.6</v>
      </c>
      <c r="P1071" s="157" cm="1">
        <f t="array" ref="P1071">TRUNC($I1071*(1+_xlfn.SWITCH($N1071,"BDI 1",$P$6,"BDI 2",$P$7,"BDI 3",$P$8)),2)</f>
        <v>16.04</v>
      </c>
      <c r="Q1071" s="157">
        <v>0</v>
      </c>
      <c r="R1071" s="157">
        <f t="shared" ref="R1071" si="2408">$Q1071-($Q1071*LICITACAO_DESCONTO)</f>
        <v>0</v>
      </c>
      <c r="S1071" s="156">
        <f t="shared" si="2389"/>
        <v>0</v>
      </c>
      <c r="T1071" s="156">
        <f t="shared" si="2390"/>
        <v>0</v>
      </c>
      <c r="U1071" s="156">
        <f t="shared" si="2391"/>
        <v>0</v>
      </c>
      <c r="V1071" s="156">
        <f t="shared" si="2392"/>
        <v>0</v>
      </c>
      <c r="W1071" s="156">
        <f t="shared" si="2393"/>
        <v>0</v>
      </c>
      <c r="X1071" s="158">
        <f t="shared" ref="X1071" si="2409">$S1071/ORCAMENTO_VALOR_TOTAL_ND</f>
        <v>0</v>
      </c>
      <c r="Y1071" s="158">
        <f t="shared" ref="Y1071" si="2410">$T1071/ORCAMENTO_VALOR_TOTAL_DE</f>
        <v>0</v>
      </c>
      <c r="Z1071" s="158" cm="1">
        <f t="array" ref="Z1071">_xlfn.SWITCH($N1071,"BDI 1",$O$6,"BDI 2",$O$7,"BDI 3",$O$8)</f>
        <v>0.20699999999999999</v>
      </c>
      <c r="AA1071" s="158" cm="1">
        <f t="array" ref="AA1071">_xlfn.SWITCH($N1071,"BDI 1",$P$6,"BDI 2",$P$7,"BDI 3",$P$8)</f>
        <v>0.26739999999999997</v>
      </c>
      <c r="AB1071" s="158">
        <f t="shared" ca="1" si="2396"/>
        <v>0</v>
      </c>
      <c r="AC1071" s="158">
        <f t="shared" ca="1" si="2397"/>
        <v>0</v>
      </c>
      <c r="AD1071" s="164"/>
      <c r="AE1071" s="148">
        <f t="shared" si="2275"/>
        <v>0</v>
      </c>
      <c r="AF1071" s="149"/>
      <c r="AG1071" s="150"/>
      <c r="AH1071" s="159" t="e">
        <f t="shared" si="2398"/>
        <v>#DIV/0!</v>
      </c>
      <c r="AI1071" s="165" t="s">
        <v>243</v>
      </c>
      <c r="AJ1071" s="219"/>
      <c r="AK1071" s="219"/>
      <c r="AM1071" s="219"/>
      <c r="AN1071" s="219"/>
      <c r="AO1071" s="219"/>
      <c r="AP1071" s="219"/>
      <c r="AQ1071" s="219"/>
      <c r="AR1071" s="219"/>
    </row>
    <row r="1072" spans="1:44" s="220" customFormat="1" ht="40.15" hidden="1" customHeight="1">
      <c r="A1072" s="152">
        <f t="shared" ca="1" si="2276"/>
        <v>0</v>
      </c>
      <c r="B1072" s="153">
        <v>92762</v>
      </c>
      <c r="C1072" s="154" t="str">
        <f t="shared" si="2385"/>
        <v>92762</v>
      </c>
      <c r="D1072" s="154" t="s">
        <v>1416</v>
      </c>
      <c r="E1072" s="155" t="s">
        <v>3961</v>
      </c>
      <c r="F1072" s="154"/>
      <c r="G1072" s="154" t="s">
        <v>3802</v>
      </c>
      <c r="H1072" s="152">
        <v>11.59</v>
      </c>
      <c r="I1072" s="152">
        <v>11.4</v>
      </c>
      <c r="J1072" s="156"/>
      <c r="K1072" s="156"/>
      <c r="L1072" s="156">
        <f t="shared" si="2386"/>
        <v>0</v>
      </c>
      <c r="M1072" s="156">
        <f t="shared" si="2387"/>
        <v>0</v>
      </c>
      <c r="N1072" s="156" t="s">
        <v>83</v>
      </c>
      <c r="O1072" s="157" cm="1">
        <f t="array" ref="O1072">TRUNC($H1072*(1+_xlfn.SWITCH($N1072,"BDI 1",$O$6,"BDI 2",$O$7,"BDI 3",$O$8)),2)</f>
        <v>13.98</v>
      </c>
      <c r="P1072" s="157" cm="1">
        <f t="array" ref="P1072">TRUNC($I1072*(1+_xlfn.SWITCH($N1072,"BDI 1",$P$6,"BDI 2",$P$7,"BDI 3",$P$8)),2)</f>
        <v>14.44</v>
      </c>
      <c r="Q1072" s="157">
        <v>0</v>
      </c>
      <c r="R1072" s="157">
        <f t="shared" ref="R1072" si="2411">$Q1072-($Q1072*LICITACAO_DESCONTO)</f>
        <v>0</v>
      </c>
      <c r="S1072" s="156">
        <f t="shared" si="2389"/>
        <v>0</v>
      </c>
      <c r="T1072" s="156">
        <f t="shared" si="2390"/>
        <v>0</v>
      </c>
      <c r="U1072" s="156">
        <f t="shared" si="2391"/>
        <v>0</v>
      </c>
      <c r="V1072" s="156">
        <f t="shared" si="2392"/>
        <v>0</v>
      </c>
      <c r="W1072" s="156">
        <f t="shared" si="2393"/>
        <v>0</v>
      </c>
      <c r="X1072" s="158">
        <f t="shared" ref="X1072" si="2412">$S1072/ORCAMENTO_VALOR_TOTAL_ND</f>
        <v>0</v>
      </c>
      <c r="Y1072" s="158">
        <f t="shared" ref="Y1072" si="2413">$T1072/ORCAMENTO_VALOR_TOTAL_DE</f>
        <v>0</v>
      </c>
      <c r="Z1072" s="158" cm="1">
        <f t="array" ref="Z1072">_xlfn.SWITCH($N1072,"BDI 1",$O$6,"BDI 2",$O$7,"BDI 3",$O$8)</f>
        <v>0.20699999999999999</v>
      </c>
      <c r="AA1072" s="158" cm="1">
        <f t="array" ref="AA1072">_xlfn.SWITCH($N1072,"BDI 1",$P$6,"BDI 2",$P$7,"BDI 3",$P$8)</f>
        <v>0.26739999999999997</v>
      </c>
      <c r="AB1072" s="158">
        <f t="shared" ca="1" si="2396"/>
        <v>0</v>
      </c>
      <c r="AC1072" s="158">
        <f t="shared" ca="1" si="2397"/>
        <v>0</v>
      </c>
      <c r="AD1072" s="164"/>
      <c r="AE1072" s="148">
        <f t="shared" si="2275"/>
        <v>0</v>
      </c>
      <c r="AF1072" s="149"/>
      <c r="AG1072" s="150"/>
      <c r="AH1072" s="159" t="e">
        <f t="shared" si="2398"/>
        <v>#DIV/0!</v>
      </c>
      <c r="AI1072" s="165" t="s">
        <v>101</v>
      </c>
      <c r="AJ1072" s="219"/>
      <c r="AK1072" s="219"/>
      <c r="AM1072" s="219"/>
      <c r="AN1072" s="219"/>
      <c r="AO1072" s="219"/>
      <c r="AP1072" s="219"/>
      <c r="AQ1072" s="219"/>
      <c r="AR1072" s="219"/>
    </row>
    <row r="1073" spans="1:44" s="220" customFormat="1" ht="40.15" hidden="1" customHeight="1">
      <c r="A1073" s="152">
        <f t="shared" ca="1" si="2276"/>
        <v>0</v>
      </c>
      <c r="B1073" s="153">
        <v>92766</v>
      </c>
      <c r="C1073" s="154" t="str">
        <f t="shared" si="2385"/>
        <v>92766</v>
      </c>
      <c r="D1073" s="154" t="s">
        <v>1416</v>
      </c>
      <c r="E1073" s="155" t="s">
        <v>3949</v>
      </c>
      <c r="F1073" s="154"/>
      <c r="G1073" s="154" t="s">
        <v>3802</v>
      </c>
      <c r="H1073" s="152">
        <v>10.77</v>
      </c>
      <c r="I1073" s="152">
        <v>10.66</v>
      </c>
      <c r="J1073" s="156"/>
      <c r="K1073" s="156"/>
      <c r="L1073" s="156">
        <f t="shared" si="2386"/>
        <v>0</v>
      </c>
      <c r="M1073" s="156">
        <f t="shared" si="2387"/>
        <v>0</v>
      </c>
      <c r="N1073" s="156" t="s">
        <v>83</v>
      </c>
      <c r="O1073" s="157" cm="1">
        <f t="array" ref="O1073">TRUNC($H1073*(1+_xlfn.SWITCH($N1073,"BDI 1",$O$6,"BDI 2",$O$7,"BDI 3",$O$8)),2)</f>
        <v>12.99</v>
      </c>
      <c r="P1073" s="157" cm="1">
        <f t="array" ref="P1073">TRUNC($I1073*(1+_xlfn.SWITCH($N1073,"BDI 1",$P$6,"BDI 2",$P$7,"BDI 3",$P$8)),2)</f>
        <v>13.51</v>
      </c>
      <c r="Q1073" s="157">
        <v>0</v>
      </c>
      <c r="R1073" s="157">
        <f t="shared" ref="R1073" si="2414">$Q1073-($Q1073*LICITACAO_DESCONTO)</f>
        <v>0</v>
      </c>
      <c r="S1073" s="156">
        <f t="shared" si="2389"/>
        <v>0</v>
      </c>
      <c r="T1073" s="156">
        <f t="shared" si="2390"/>
        <v>0</v>
      </c>
      <c r="U1073" s="156">
        <f t="shared" si="2391"/>
        <v>0</v>
      </c>
      <c r="V1073" s="156">
        <f t="shared" si="2392"/>
        <v>0</v>
      </c>
      <c r="W1073" s="156">
        <f t="shared" si="2393"/>
        <v>0</v>
      </c>
      <c r="X1073" s="158">
        <f t="shared" ref="X1073" si="2415">$S1073/ORCAMENTO_VALOR_TOTAL_ND</f>
        <v>0</v>
      </c>
      <c r="Y1073" s="158">
        <f t="shared" ref="Y1073" si="2416">$T1073/ORCAMENTO_VALOR_TOTAL_DE</f>
        <v>0</v>
      </c>
      <c r="Z1073" s="158" cm="1">
        <f t="array" ref="Z1073">_xlfn.SWITCH($N1073,"BDI 1",$O$6,"BDI 2",$O$7,"BDI 3",$O$8)</f>
        <v>0.20699999999999999</v>
      </c>
      <c r="AA1073" s="158" cm="1">
        <f t="array" ref="AA1073">_xlfn.SWITCH($N1073,"BDI 1",$P$6,"BDI 2",$P$7,"BDI 3",$P$8)</f>
        <v>0.26739999999999997</v>
      </c>
      <c r="AB1073" s="158">
        <f t="shared" ca="1" si="2396"/>
        <v>0</v>
      </c>
      <c r="AC1073" s="158">
        <f t="shared" ca="1" si="2397"/>
        <v>0</v>
      </c>
      <c r="AD1073" s="164"/>
      <c r="AE1073" s="148">
        <f t="shared" si="2275"/>
        <v>0</v>
      </c>
      <c r="AF1073" s="149"/>
      <c r="AG1073" s="150"/>
      <c r="AH1073" s="159" t="e">
        <f t="shared" si="2398"/>
        <v>#DIV/0!</v>
      </c>
      <c r="AI1073" s="165" t="s">
        <v>243</v>
      </c>
      <c r="AJ1073" s="219"/>
      <c r="AK1073" s="219"/>
      <c r="AM1073" s="219"/>
      <c r="AN1073" s="219"/>
      <c r="AO1073" s="219"/>
      <c r="AP1073" s="219"/>
      <c r="AQ1073" s="219"/>
      <c r="AR1073" s="219"/>
    </row>
    <row r="1074" spans="1:44" s="220" customFormat="1" ht="40.15" hidden="1" customHeight="1">
      <c r="A1074" s="152">
        <f t="shared" ca="1" si="2276"/>
        <v>0</v>
      </c>
      <c r="B1074" s="153" t="s">
        <v>367</v>
      </c>
      <c r="C1074" s="154" t="str">
        <f t="shared" si="2385"/>
        <v>EC/0180</v>
      </c>
      <c r="D1074" s="154" t="s">
        <v>3549</v>
      </c>
      <c r="E1074" s="155" t="s">
        <v>3963</v>
      </c>
      <c r="F1074" s="154"/>
      <c r="G1074" s="154" t="s">
        <v>3802</v>
      </c>
      <c r="H1074" s="152">
        <v>11.71</v>
      </c>
      <c r="I1074" s="152">
        <v>11.69</v>
      </c>
      <c r="J1074" s="156"/>
      <c r="K1074" s="156"/>
      <c r="L1074" s="156">
        <f t="shared" si="2386"/>
        <v>0</v>
      </c>
      <c r="M1074" s="156">
        <f t="shared" si="2387"/>
        <v>0</v>
      </c>
      <c r="N1074" s="156" t="s">
        <v>83</v>
      </c>
      <c r="O1074" s="157" cm="1">
        <f t="array" ref="O1074">TRUNC($H1074*(1+_xlfn.SWITCH($N1074,"BDI 1",$O$6,"BDI 2",$O$7,"BDI 3",$O$8)),2)</f>
        <v>14.13</v>
      </c>
      <c r="P1074" s="157" cm="1">
        <f t="array" ref="P1074">TRUNC($I1074*(1+_xlfn.SWITCH($N1074,"BDI 1",$P$6,"BDI 2",$P$7,"BDI 3",$P$8)),2)</f>
        <v>14.81</v>
      </c>
      <c r="Q1074" s="157">
        <v>0</v>
      </c>
      <c r="R1074" s="157">
        <f t="shared" ref="R1074" si="2417">$Q1074-($Q1074*LICITACAO_DESCONTO)</f>
        <v>0</v>
      </c>
      <c r="S1074" s="156">
        <f t="shared" si="2389"/>
        <v>0</v>
      </c>
      <c r="T1074" s="156">
        <f t="shared" si="2390"/>
        <v>0</v>
      </c>
      <c r="U1074" s="156">
        <f t="shared" si="2391"/>
        <v>0</v>
      </c>
      <c r="V1074" s="156">
        <f t="shared" si="2392"/>
        <v>0</v>
      </c>
      <c r="W1074" s="156">
        <f t="shared" si="2393"/>
        <v>0</v>
      </c>
      <c r="X1074" s="158">
        <f t="shared" ref="X1074" si="2418">$S1074/ORCAMENTO_VALOR_TOTAL_ND</f>
        <v>0</v>
      </c>
      <c r="Y1074" s="158">
        <f t="shared" ref="Y1074" si="2419">$T1074/ORCAMENTO_VALOR_TOTAL_DE</f>
        <v>0</v>
      </c>
      <c r="Z1074" s="158" cm="1">
        <f t="array" ref="Z1074">_xlfn.SWITCH($N1074,"BDI 1",$O$6,"BDI 2",$O$7,"BDI 3",$O$8)</f>
        <v>0.20699999999999999</v>
      </c>
      <c r="AA1074" s="158" cm="1">
        <f t="array" ref="AA1074">_xlfn.SWITCH($N1074,"BDI 1",$P$6,"BDI 2",$P$7,"BDI 3",$P$8)</f>
        <v>0.26739999999999997</v>
      </c>
      <c r="AB1074" s="158">
        <f t="shared" ca="1" si="2396"/>
        <v>0</v>
      </c>
      <c r="AC1074" s="158">
        <f t="shared" ca="1" si="2397"/>
        <v>0</v>
      </c>
      <c r="AD1074" s="164"/>
      <c r="AE1074" s="148">
        <f t="shared" si="2275"/>
        <v>0</v>
      </c>
      <c r="AF1074" s="149"/>
      <c r="AG1074" s="150"/>
      <c r="AH1074" s="159" t="e">
        <f t="shared" si="2398"/>
        <v>#DIV/0!</v>
      </c>
      <c r="AI1074" s="165" t="s">
        <v>101</v>
      </c>
      <c r="AJ1074" s="219"/>
      <c r="AK1074" s="219"/>
      <c r="AM1074" s="219"/>
      <c r="AN1074" s="219"/>
      <c r="AO1074" s="219"/>
      <c r="AP1074" s="219"/>
      <c r="AQ1074" s="219"/>
      <c r="AR1074" s="219"/>
    </row>
    <row r="1075" spans="1:44" s="220" customFormat="1" ht="40.15" hidden="1" customHeight="1">
      <c r="A1075" s="152">
        <f t="shared" ca="1" si="2276"/>
        <v>0</v>
      </c>
      <c r="B1075" s="153" t="s">
        <v>368</v>
      </c>
      <c r="C1075" s="154" t="str">
        <f t="shared" si="2385"/>
        <v>EC/0220</v>
      </c>
      <c r="D1075" s="154" t="s">
        <v>3549</v>
      </c>
      <c r="E1075" s="155" t="s">
        <v>3964</v>
      </c>
      <c r="F1075" s="154"/>
      <c r="G1075" s="154" t="s">
        <v>58</v>
      </c>
      <c r="H1075" s="152">
        <v>56.62</v>
      </c>
      <c r="I1075" s="152">
        <v>55.68</v>
      </c>
      <c r="J1075" s="156"/>
      <c r="K1075" s="156"/>
      <c r="L1075" s="156">
        <f t="shared" si="2386"/>
        <v>0</v>
      </c>
      <c r="M1075" s="156">
        <f t="shared" si="2387"/>
        <v>0</v>
      </c>
      <c r="N1075" s="156" t="s">
        <v>83</v>
      </c>
      <c r="O1075" s="157" cm="1">
        <f t="array" ref="O1075">TRUNC($H1075*(1+_xlfn.SWITCH($N1075,"BDI 1",$O$6,"BDI 2",$O$7,"BDI 3",$O$8)),2)</f>
        <v>68.34</v>
      </c>
      <c r="P1075" s="157" cm="1">
        <f t="array" ref="P1075">TRUNC($I1075*(1+_xlfn.SWITCH($N1075,"BDI 1",$P$6,"BDI 2",$P$7,"BDI 3",$P$8)),2)</f>
        <v>70.56</v>
      </c>
      <c r="Q1075" s="157">
        <v>0</v>
      </c>
      <c r="R1075" s="157">
        <f t="shared" ref="R1075" si="2420">$Q1075-($Q1075*LICITACAO_DESCONTO)</f>
        <v>0</v>
      </c>
      <c r="S1075" s="156">
        <f t="shared" si="2389"/>
        <v>0</v>
      </c>
      <c r="T1075" s="156">
        <f t="shared" si="2390"/>
        <v>0</v>
      </c>
      <c r="U1075" s="156">
        <f t="shared" si="2391"/>
        <v>0</v>
      </c>
      <c r="V1075" s="156">
        <f t="shared" si="2392"/>
        <v>0</v>
      </c>
      <c r="W1075" s="156">
        <f t="shared" si="2393"/>
        <v>0</v>
      </c>
      <c r="X1075" s="158">
        <f t="shared" ref="X1075" si="2421">$S1075/ORCAMENTO_VALOR_TOTAL_ND</f>
        <v>0</v>
      </c>
      <c r="Y1075" s="158">
        <f t="shared" ref="Y1075" si="2422">$T1075/ORCAMENTO_VALOR_TOTAL_DE</f>
        <v>0</v>
      </c>
      <c r="Z1075" s="158" cm="1">
        <f t="array" ref="Z1075">_xlfn.SWITCH($N1075,"BDI 1",$O$6,"BDI 2",$O$7,"BDI 3",$O$8)</f>
        <v>0.20699999999999999</v>
      </c>
      <c r="AA1075" s="158" cm="1">
        <f t="array" ref="AA1075">_xlfn.SWITCH($N1075,"BDI 1",$P$6,"BDI 2",$P$7,"BDI 3",$P$8)</f>
        <v>0.26739999999999997</v>
      </c>
      <c r="AB1075" s="158">
        <f t="shared" ca="1" si="2396"/>
        <v>0</v>
      </c>
      <c r="AC1075" s="158">
        <f t="shared" ca="1" si="2397"/>
        <v>0</v>
      </c>
      <c r="AD1075" s="164"/>
      <c r="AE1075" s="148">
        <f t="shared" si="2275"/>
        <v>0</v>
      </c>
      <c r="AF1075" s="149"/>
      <c r="AG1075" s="150"/>
      <c r="AH1075" s="159" t="e">
        <f t="shared" si="2398"/>
        <v>#DIV/0!</v>
      </c>
      <c r="AI1075" s="165" t="s">
        <v>243</v>
      </c>
      <c r="AJ1075" s="219"/>
      <c r="AK1075" s="219"/>
      <c r="AM1075" s="219"/>
      <c r="AN1075" s="219"/>
      <c r="AO1075" s="219"/>
      <c r="AP1075" s="219"/>
      <c r="AQ1075" s="219"/>
      <c r="AR1075" s="219"/>
    </row>
    <row r="1076" spans="1:44" s="220" customFormat="1" ht="40.15" hidden="1" customHeight="1">
      <c r="A1076" s="152">
        <f t="shared" ca="1" si="2276"/>
        <v>0</v>
      </c>
      <c r="B1076" s="153" t="s">
        <v>369</v>
      </c>
      <c r="C1076" s="154" t="str">
        <f t="shared" si="2385"/>
        <v>EC/0200</v>
      </c>
      <c r="D1076" s="154" t="s">
        <v>3549</v>
      </c>
      <c r="E1076" s="155" t="s">
        <v>3965</v>
      </c>
      <c r="F1076" s="154"/>
      <c r="G1076" s="154" t="s">
        <v>1412</v>
      </c>
      <c r="H1076" s="152">
        <v>1424.53</v>
      </c>
      <c r="I1076" s="152">
        <v>1420.25</v>
      </c>
      <c r="J1076" s="156"/>
      <c r="K1076" s="156"/>
      <c r="L1076" s="156">
        <f t="shared" si="2386"/>
        <v>0</v>
      </c>
      <c r="M1076" s="156">
        <f t="shared" si="2387"/>
        <v>0</v>
      </c>
      <c r="N1076" s="156" t="s">
        <v>83</v>
      </c>
      <c r="O1076" s="157" cm="1">
        <f t="array" ref="O1076">TRUNC($H1076*(1+_xlfn.SWITCH($N1076,"BDI 1",$O$6,"BDI 2",$O$7,"BDI 3",$O$8)),2)</f>
        <v>1719.4</v>
      </c>
      <c r="P1076" s="157" cm="1">
        <f t="array" ref="P1076">TRUNC($I1076*(1+_xlfn.SWITCH($N1076,"BDI 1",$P$6,"BDI 2",$P$7,"BDI 3",$P$8)),2)</f>
        <v>1800.02</v>
      </c>
      <c r="Q1076" s="157">
        <v>0</v>
      </c>
      <c r="R1076" s="157">
        <f t="shared" ref="R1076" si="2423">$Q1076-($Q1076*LICITACAO_DESCONTO)</f>
        <v>0</v>
      </c>
      <c r="S1076" s="156">
        <f t="shared" si="2389"/>
        <v>0</v>
      </c>
      <c r="T1076" s="156">
        <f t="shared" si="2390"/>
        <v>0</v>
      </c>
      <c r="U1076" s="156">
        <f t="shared" si="2391"/>
        <v>0</v>
      </c>
      <c r="V1076" s="156">
        <f t="shared" si="2392"/>
        <v>0</v>
      </c>
      <c r="W1076" s="156">
        <f t="shared" si="2393"/>
        <v>0</v>
      </c>
      <c r="X1076" s="158">
        <f t="shared" ref="X1076" si="2424">$S1076/ORCAMENTO_VALOR_TOTAL_ND</f>
        <v>0</v>
      </c>
      <c r="Y1076" s="158">
        <f t="shared" ref="Y1076" si="2425">$T1076/ORCAMENTO_VALOR_TOTAL_DE</f>
        <v>0</v>
      </c>
      <c r="Z1076" s="158" cm="1">
        <f t="array" ref="Z1076">_xlfn.SWITCH($N1076,"BDI 1",$O$6,"BDI 2",$O$7,"BDI 3",$O$8)</f>
        <v>0.20699999999999999</v>
      </c>
      <c r="AA1076" s="158" cm="1">
        <f t="array" ref="AA1076">_xlfn.SWITCH($N1076,"BDI 1",$P$6,"BDI 2",$P$7,"BDI 3",$P$8)</f>
        <v>0.26739999999999997</v>
      </c>
      <c r="AB1076" s="158">
        <f t="shared" ca="1" si="2396"/>
        <v>0</v>
      </c>
      <c r="AC1076" s="158">
        <f t="shared" ca="1" si="2397"/>
        <v>0</v>
      </c>
      <c r="AD1076" s="164"/>
      <c r="AE1076" s="148">
        <f t="shared" si="2275"/>
        <v>0</v>
      </c>
      <c r="AF1076" s="149"/>
      <c r="AG1076" s="150"/>
      <c r="AH1076" s="159" t="e">
        <f t="shared" si="2398"/>
        <v>#DIV/0!</v>
      </c>
      <c r="AI1076" s="165" t="s">
        <v>101</v>
      </c>
      <c r="AJ1076" s="219"/>
      <c r="AK1076" s="219"/>
      <c r="AM1076" s="219"/>
      <c r="AN1076" s="219"/>
      <c r="AO1076" s="219"/>
      <c r="AP1076" s="219"/>
      <c r="AQ1076" s="219"/>
      <c r="AR1076" s="219"/>
    </row>
    <row r="1077" spans="1:44" s="220" customFormat="1" ht="40.15" hidden="1" customHeight="1">
      <c r="A1077" s="152">
        <f t="shared" ca="1" si="2276"/>
        <v>0</v>
      </c>
      <c r="B1077" s="153" t="s">
        <v>370</v>
      </c>
      <c r="C1077" s="154" t="str">
        <f t="shared" si="2385"/>
        <v>EC/0190</v>
      </c>
      <c r="D1077" s="154" t="s">
        <v>3549</v>
      </c>
      <c r="E1077" s="155" t="s">
        <v>3966</v>
      </c>
      <c r="F1077" s="154"/>
      <c r="G1077" s="154" t="s">
        <v>1412</v>
      </c>
      <c r="H1077" s="152">
        <v>3629.4</v>
      </c>
      <c r="I1077" s="152">
        <v>3600.25</v>
      </c>
      <c r="J1077" s="156"/>
      <c r="K1077" s="156"/>
      <c r="L1077" s="156">
        <f t="shared" si="2386"/>
        <v>0</v>
      </c>
      <c r="M1077" s="156">
        <f t="shared" si="2387"/>
        <v>0</v>
      </c>
      <c r="N1077" s="156" t="s">
        <v>83</v>
      </c>
      <c r="O1077" s="157" cm="1">
        <f t="array" ref="O1077">TRUNC($H1077*(1+_xlfn.SWITCH($N1077,"BDI 1",$O$6,"BDI 2",$O$7,"BDI 3",$O$8)),2)</f>
        <v>4380.68</v>
      </c>
      <c r="P1077" s="157" cm="1">
        <f t="array" ref="P1077">TRUNC($I1077*(1+_xlfn.SWITCH($N1077,"BDI 1",$P$6,"BDI 2",$P$7,"BDI 3",$P$8)),2)</f>
        <v>4562.95</v>
      </c>
      <c r="Q1077" s="157">
        <v>0</v>
      </c>
      <c r="R1077" s="157">
        <f t="shared" ref="R1077" si="2426">$Q1077-($Q1077*LICITACAO_DESCONTO)</f>
        <v>0</v>
      </c>
      <c r="S1077" s="156">
        <f t="shared" si="2389"/>
        <v>0</v>
      </c>
      <c r="T1077" s="156">
        <f t="shared" si="2390"/>
        <v>0</v>
      </c>
      <c r="U1077" s="156">
        <f t="shared" si="2391"/>
        <v>0</v>
      </c>
      <c r="V1077" s="156">
        <f t="shared" si="2392"/>
        <v>0</v>
      </c>
      <c r="W1077" s="156">
        <f t="shared" si="2393"/>
        <v>0</v>
      </c>
      <c r="X1077" s="158">
        <f t="shared" ref="X1077" si="2427">$S1077/ORCAMENTO_VALOR_TOTAL_ND</f>
        <v>0</v>
      </c>
      <c r="Y1077" s="158">
        <f t="shared" ref="Y1077" si="2428">$T1077/ORCAMENTO_VALOR_TOTAL_DE</f>
        <v>0</v>
      </c>
      <c r="Z1077" s="158" cm="1">
        <f t="array" ref="Z1077">_xlfn.SWITCH($N1077,"BDI 1",$O$6,"BDI 2",$O$7,"BDI 3",$O$8)</f>
        <v>0.20699999999999999</v>
      </c>
      <c r="AA1077" s="158" cm="1">
        <f t="array" ref="AA1077">_xlfn.SWITCH($N1077,"BDI 1",$P$6,"BDI 2",$P$7,"BDI 3",$P$8)</f>
        <v>0.26739999999999997</v>
      </c>
      <c r="AB1077" s="158">
        <f t="shared" ca="1" si="2396"/>
        <v>0</v>
      </c>
      <c r="AC1077" s="158">
        <f t="shared" ca="1" si="2397"/>
        <v>0</v>
      </c>
      <c r="AD1077" s="164"/>
      <c r="AE1077" s="148">
        <f t="shared" si="2275"/>
        <v>0</v>
      </c>
      <c r="AF1077" s="149"/>
      <c r="AG1077" s="150"/>
      <c r="AH1077" s="159" t="e">
        <f t="shared" si="2398"/>
        <v>#DIV/0!</v>
      </c>
      <c r="AI1077" s="165" t="s">
        <v>243</v>
      </c>
      <c r="AJ1077" s="219"/>
      <c r="AK1077" s="219"/>
      <c r="AM1077" s="219"/>
      <c r="AN1077" s="219"/>
      <c r="AO1077" s="219"/>
      <c r="AP1077" s="219"/>
      <c r="AQ1077" s="219"/>
      <c r="AR1077" s="219"/>
    </row>
    <row r="1078" spans="1:44" s="49" customFormat="1" ht="40.15" hidden="1" customHeight="1">
      <c r="A1078" s="152">
        <f t="shared" ca="1" si="2276"/>
        <v>0</v>
      </c>
      <c r="B1078" s="153"/>
      <c r="C1078" s="154"/>
      <c r="D1078" s="154"/>
      <c r="E1078" s="161" t="s">
        <v>371</v>
      </c>
      <c r="F1078" s="154"/>
      <c r="G1078" s="154"/>
      <c r="H1078" s="152"/>
      <c r="I1078" s="152"/>
      <c r="J1078" s="154"/>
      <c r="K1078" s="154"/>
      <c r="L1078" s="154"/>
      <c r="M1078" s="154"/>
      <c r="N1078" s="154"/>
      <c r="O1078" s="162"/>
      <c r="P1078" s="162"/>
      <c r="Q1078" s="162"/>
      <c r="R1078" s="162"/>
      <c r="S1078" s="162"/>
      <c r="T1078" s="162"/>
      <c r="U1078" s="162"/>
      <c r="V1078" s="162"/>
      <c r="W1078" s="162"/>
      <c r="X1078" s="163"/>
      <c r="Y1078" s="163"/>
      <c r="Z1078" s="163"/>
      <c r="AA1078" s="163"/>
      <c r="AB1078" s="163"/>
      <c r="AC1078" s="163"/>
      <c r="AD1078" s="164"/>
      <c r="AE1078" s="148">
        <f t="shared" si="2275"/>
        <v>0</v>
      </c>
      <c r="AF1078" s="149"/>
      <c r="AG1078" s="150"/>
      <c r="AH1078" s="159"/>
      <c r="AI1078" s="160"/>
      <c r="AJ1078" s="105"/>
      <c r="AK1078" s="105"/>
      <c r="AM1078" s="105"/>
      <c r="AN1078" s="105"/>
      <c r="AO1078" s="105"/>
      <c r="AP1078" s="105"/>
      <c r="AQ1078" s="105"/>
      <c r="AR1078" s="105"/>
    </row>
    <row r="1079" spans="1:44" s="220" customFormat="1" ht="40.15" hidden="1" customHeight="1">
      <c r="A1079" s="152">
        <f t="shared" ca="1" si="2276"/>
        <v>0</v>
      </c>
      <c r="B1079" s="153">
        <v>94972</v>
      </c>
      <c r="C1079" s="154" t="str">
        <f t="shared" ref="C1079:C1084" si="2429">TEXT(B1079,"0")</f>
        <v>94972</v>
      </c>
      <c r="D1079" s="154" t="s">
        <v>1416</v>
      </c>
      <c r="E1079" s="155" t="s">
        <v>3952</v>
      </c>
      <c r="F1079" s="154"/>
      <c r="G1079" s="154" t="s">
        <v>464</v>
      </c>
      <c r="H1079" s="152">
        <v>500.26</v>
      </c>
      <c r="I1079" s="152">
        <v>499.21</v>
      </c>
      <c r="J1079" s="156"/>
      <c r="K1079" s="156"/>
      <c r="L1079" s="156">
        <f t="shared" ref="L1079:L1084" si="2430">IF($K1079&gt;$J1079,$K1079-$J1079,0)</f>
        <v>0</v>
      </c>
      <c r="M1079" s="156">
        <f t="shared" ref="M1079:M1084" si="2431">IF($K1079&lt;$J1079,$J1079-$K1079,0)</f>
        <v>0</v>
      </c>
      <c r="N1079" s="156" t="s">
        <v>83</v>
      </c>
      <c r="O1079" s="157" cm="1">
        <f t="array" ref="O1079">TRUNC($H1079*(1+_xlfn.SWITCH($N1079,"BDI 1",$O$6,"BDI 2",$O$7,"BDI 3",$O$8)),2)</f>
        <v>603.80999999999995</v>
      </c>
      <c r="P1079" s="157" cm="1">
        <f t="array" ref="P1079">TRUNC($I1079*(1+_xlfn.SWITCH($N1079,"BDI 1",$P$6,"BDI 2",$P$7,"BDI 3",$P$8)),2)</f>
        <v>632.69000000000005</v>
      </c>
      <c r="Q1079" s="157">
        <v>0</v>
      </c>
      <c r="R1079" s="157">
        <f t="shared" ref="R1079" si="2432">$Q1079-($Q1079*LICITACAO_DESCONTO)</f>
        <v>0</v>
      </c>
      <c r="S1079" s="156">
        <f t="shared" ref="S1079:S1084" si="2433">TRUNC($K1079*$O1079,2)</f>
        <v>0</v>
      </c>
      <c r="T1079" s="156">
        <f t="shared" ref="T1079:T1084" si="2434">TRUNC($K1079*$P1079,2)</f>
        <v>0</v>
      </c>
      <c r="U1079" s="156">
        <f t="shared" ref="U1079:U1084" si="2435">TRUNC($J1079*$R1079,2)</f>
        <v>0</v>
      </c>
      <c r="V1079" s="156">
        <f t="shared" ref="V1079:V1084" si="2436">TRUNC($K1079*$Q1079,2)</f>
        <v>0</v>
      </c>
      <c r="W1079" s="156">
        <f t="shared" ref="W1079:W1084" si="2437">TRUNC(V1079-U1079,2)</f>
        <v>0</v>
      </c>
      <c r="X1079" s="158">
        <f t="shared" ref="X1079" si="2438">$S1079/ORCAMENTO_VALOR_TOTAL_ND</f>
        <v>0</v>
      </c>
      <c r="Y1079" s="158">
        <f t="shared" ref="Y1079" si="2439">$T1079/ORCAMENTO_VALOR_TOTAL_DE</f>
        <v>0</v>
      </c>
      <c r="Z1079" s="158" cm="1">
        <f t="array" ref="Z1079">_xlfn.SWITCH($N1079,"BDI 1",$O$6,"BDI 2",$O$7,"BDI 3",$O$8)</f>
        <v>0.20699999999999999</v>
      </c>
      <c r="AA1079" s="158" cm="1">
        <f t="array" ref="AA1079">_xlfn.SWITCH($N1079,"BDI 1",$P$6,"BDI 2",$P$7,"BDI 3",$P$8)</f>
        <v>0.26739999999999997</v>
      </c>
      <c r="AB1079" s="158">
        <f t="shared" ref="AB1079:AB1084" ca="1" si="2440">IFERROR($S1079/_xlfn.XLOOKUP($AE1079,$B$16:$B$38,$S$16:$S$38),0)</f>
        <v>0</v>
      </c>
      <c r="AC1079" s="158">
        <f t="shared" ref="AC1079:AC1084" ca="1" si="2441">IFERROR($T1079/_xlfn.XLOOKUP($AE1079,$B$16:$B$38,$T$16:$T$38),0)</f>
        <v>0</v>
      </c>
      <c r="AD1079" s="164"/>
      <c r="AE1079" s="148">
        <f t="shared" si="2275"/>
        <v>0</v>
      </c>
      <c r="AF1079" s="149"/>
      <c r="AG1079" s="150"/>
      <c r="AH1079" s="159" t="e">
        <f t="shared" ref="AH1079:AH1084" si="2442">+S1079/$S$961</f>
        <v>#DIV/0!</v>
      </c>
      <c r="AI1079" s="160"/>
      <c r="AJ1079" s="219"/>
      <c r="AK1079" s="219"/>
      <c r="AM1079" s="219"/>
      <c r="AN1079" s="219"/>
      <c r="AO1079" s="219"/>
      <c r="AP1079" s="219"/>
      <c r="AQ1079" s="219"/>
      <c r="AR1079" s="219"/>
    </row>
    <row r="1080" spans="1:44" s="220" customFormat="1" ht="40.15" hidden="1" customHeight="1">
      <c r="A1080" s="152">
        <f t="shared" ca="1" si="2276"/>
        <v>0</v>
      </c>
      <c r="B1080" s="153">
        <v>103670</v>
      </c>
      <c r="C1080" s="154" t="str">
        <f t="shared" si="2429"/>
        <v>103670</v>
      </c>
      <c r="D1080" s="154" t="s">
        <v>1416</v>
      </c>
      <c r="E1080" s="155" t="s">
        <v>3792</v>
      </c>
      <c r="F1080" s="154"/>
      <c r="G1080" s="154" t="s">
        <v>464</v>
      </c>
      <c r="H1080" s="152">
        <v>272.37</v>
      </c>
      <c r="I1080" s="152">
        <v>247.05</v>
      </c>
      <c r="J1080" s="156"/>
      <c r="K1080" s="156">
        <f>K1079</f>
        <v>0</v>
      </c>
      <c r="L1080" s="156">
        <f t="shared" si="2430"/>
        <v>0</v>
      </c>
      <c r="M1080" s="156">
        <f t="shared" si="2431"/>
        <v>0</v>
      </c>
      <c r="N1080" s="156" t="s">
        <v>83</v>
      </c>
      <c r="O1080" s="157" cm="1">
        <f t="array" ref="O1080">TRUNC($H1080*(1+_xlfn.SWITCH($N1080,"BDI 1",$O$6,"BDI 2",$O$7,"BDI 3",$O$8)),2)</f>
        <v>328.75</v>
      </c>
      <c r="P1080" s="157" cm="1">
        <f t="array" ref="P1080">TRUNC($I1080*(1+_xlfn.SWITCH($N1080,"BDI 1",$P$6,"BDI 2",$P$7,"BDI 3",$P$8)),2)</f>
        <v>313.11</v>
      </c>
      <c r="Q1080" s="157">
        <v>0</v>
      </c>
      <c r="R1080" s="157">
        <f t="shared" ref="R1080" si="2443">$Q1080-($Q1080*LICITACAO_DESCONTO)</f>
        <v>0</v>
      </c>
      <c r="S1080" s="156">
        <f t="shared" si="2433"/>
        <v>0</v>
      </c>
      <c r="T1080" s="156">
        <f t="shared" si="2434"/>
        <v>0</v>
      </c>
      <c r="U1080" s="156">
        <f t="shared" si="2435"/>
        <v>0</v>
      </c>
      <c r="V1080" s="156">
        <f t="shared" si="2436"/>
        <v>0</v>
      </c>
      <c r="W1080" s="156">
        <f t="shared" si="2437"/>
        <v>0</v>
      </c>
      <c r="X1080" s="158">
        <f t="shared" ref="X1080" si="2444">$S1080/ORCAMENTO_VALOR_TOTAL_ND</f>
        <v>0</v>
      </c>
      <c r="Y1080" s="158">
        <f t="shared" ref="Y1080" si="2445">$T1080/ORCAMENTO_VALOR_TOTAL_DE</f>
        <v>0</v>
      </c>
      <c r="Z1080" s="158" cm="1">
        <f t="array" ref="Z1080">_xlfn.SWITCH($N1080,"BDI 1",$O$6,"BDI 2",$O$7,"BDI 3",$O$8)</f>
        <v>0.20699999999999999</v>
      </c>
      <c r="AA1080" s="158" cm="1">
        <f t="array" ref="AA1080">_xlfn.SWITCH($N1080,"BDI 1",$P$6,"BDI 2",$P$7,"BDI 3",$P$8)</f>
        <v>0.26739999999999997</v>
      </c>
      <c r="AB1080" s="158">
        <f t="shared" ca="1" si="2440"/>
        <v>0</v>
      </c>
      <c r="AC1080" s="158">
        <f t="shared" ca="1" si="2441"/>
        <v>0</v>
      </c>
      <c r="AD1080" s="164"/>
      <c r="AE1080" s="148">
        <f t="shared" si="2275"/>
        <v>0</v>
      </c>
      <c r="AF1080" s="149"/>
      <c r="AG1080" s="150"/>
      <c r="AH1080" s="159" t="e">
        <f t="shared" si="2442"/>
        <v>#DIV/0!</v>
      </c>
      <c r="AI1080" s="160"/>
      <c r="AJ1080" s="219"/>
      <c r="AK1080" s="219"/>
      <c r="AM1080" s="219"/>
      <c r="AN1080" s="219"/>
      <c r="AO1080" s="219"/>
      <c r="AP1080" s="219"/>
      <c r="AQ1080" s="219"/>
      <c r="AR1080" s="219"/>
    </row>
    <row r="1081" spans="1:44" s="220" customFormat="1" ht="40.15" hidden="1" customHeight="1">
      <c r="A1081" s="152">
        <f t="shared" ca="1" si="2276"/>
        <v>0</v>
      </c>
      <c r="B1081" s="153">
        <v>92419</v>
      </c>
      <c r="C1081" s="154" t="str">
        <f t="shared" si="2429"/>
        <v>92419</v>
      </c>
      <c r="D1081" s="154" t="s">
        <v>1416</v>
      </c>
      <c r="E1081" s="155" t="s">
        <v>3967</v>
      </c>
      <c r="F1081" s="154"/>
      <c r="G1081" s="154" t="s">
        <v>1418</v>
      </c>
      <c r="H1081" s="152">
        <v>96.17</v>
      </c>
      <c r="I1081" s="152">
        <v>83.7</v>
      </c>
      <c r="J1081" s="156"/>
      <c r="K1081" s="156"/>
      <c r="L1081" s="156">
        <f t="shared" si="2430"/>
        <v>0</v>
      </c>
      <c r="M1081" s="156">
        <f t="shared" si="2431"/>
        <v>0</v>
      </c>
      <c r="N1081" s="156" t="s">
        <v>83</v>
      </c>
      <c r="O1081" s="157" cm="1">
        <f t="array" ref="O1081">TRUNC($H1081*(1+_xlfn.SWITCH($N1081,"BDI 1",$O$6,"BDI 2",$O$7,"BDI 3",$O$8)),2)</f>
        <v>116.07</v>
      </c>
      <c r="P1081" s="157" cm="1">
        <f t="array" ref="P1081">TRUNC($I1081*(1+_xlfn.SWITCH($N1081,"BDI 1",$P$6,"BDI 2",$P$7,"BDI 3",$P$8)),2)</f>
        <v>106.08</v>
      </c>
      <c r="Q1081" s="157">
        <v>0</v>
      </c>
      <c r="R1081" s="157">
        <f t="shared" ref="R1081" si="2446">$Q1081-($Q1081*LICITACAO_DESCONTO)</f>
        <v>0</v>
      </c>
      <c r="S1081" s="156">
        <f t="shared" si="2433"/>
        <v>0</v>
      </c>
      <c r="T1081" s="156">
        <f t="shared" si="2434"/>
        <v>0</v>
      </c>
      <c r="U1081" s="156">
        <f t="shared" si="2435"/>
        <v>0</v>
      </c>
      <c r="V1081" s="156">
        <f t="shared" si="2436"/>
        <v>0</v>
      </c>
      <c r="W1081" s="156">
        <f t="shared" si="2437"/>
        <v>0</v>
      </c>
      <c r="X1081" s="158">
        <f t="shared" ref="X1081" si="2447">$S1081/ORCAMENTO_VALOR_TOTAL_ND</f>
        <v>0</v>
      </c>
      <c r="Y1081" s="158">
        <f t="shared" ref="Y1081" si="2448">$T1081/ORCAMENTO_VALOR_TOTAL_DE</f>
        <v>0</v>
      </c>
      <c r="Z1081" s="158" cm="1">
        <f t="array" ref="Z1081">_xlfn.SWITCH($N1081,"BDI 1",$O$6,"BDI 2",$O$7,"BDI 3",$O$8)</f>
        <v>0.20699999999999999</v>
      </c>
      <c r="AA1081" s="158" cm="1">
        <f t="array" ref="AA1081">_xlfn.SWITCH($N1081,"BDI 1",$P$6,"BDI 2",$P$7,"BDI 3",$P$8)</f>
        <v>0.26739999999999997</v>
      </c>
      <c r="AB1081" s="158">
        <f t="shared" ca="1" si="2440"/>
        <v>0</v>
      </c>
      <c r="AC1081" s="158">
        <f t="shared" ca="1" si="2441"/>
        <v>0</v>
      </c>
      <c r="AD1081" s="164"/>
      <c r="AE1081" s="148">
        <f t="shared" si="2275"/>
        <v>0</v>
      </c>
      <c r="AF1081" s="149"/>
      <c r="AG1081" s="150"/>
      <c r="AH1081" s="159" t="e">
        <f t="shared" si="2442"/>
        <v>#DIV/0!</v>
      </c>
      <c r="AI1081" s="165" t="s">
        <v>101</v>
      </c>
      <c r="AJ1081" s="219"/>
      <c r="AK1081" s="219"/>
      <c r="AM1081" s="219"/>
      <c r="AN1081" s="219"/>
      <c r="AO1081" s="219"/>
      <c r="AP1081" s="219"/>
      <c r="AQ1081" s="219"/>
      <c r="AR1081" s="219"/>
    </row>
    <row r="1082" spans="1:44" s="220" customFormat="1" ht="40.15" hidden="1" customHeight="1">
      <c r="A1082" s="152">
        <f t="shared" ca="1" si="2276"/>
        <v>0</v>
      </c>
      <c r="B1082" s="153">
        <v>92761</v>
      </c>
      <c r="C1082" s="154" t="str">
        <f t="shared" si="2429"/>
        <v>92761</v>
      </c>
      <c r="D1082" s="154" t="s">
        <v>1416</v>
      </c>
      <c r="E1082" s="155" t="s">
        <v>3954</v>
      </c>
      <c r="F1082" s="154"/>
      <c r="G1082" s="154" t="s">
        <v>3802</v>
      </c>
      <c r="H1082" s="152">
        <v>12.93</v>
      </c>
      <c r="I1082" s="152">
        <v>12.66</v>
      </c>
      <c r="J1082" s="156"/>
      <c r="K1082" s="156"/>
      <c r="L1082" s="156">
        <f t="shared" si="2430"/>
        <v>0</v>
      </c>
      <c r="M1082" s="156">
        <f t="shared" si="2431"/>
        <v>0</v>
      </c>
      <c r="N1082" s="156" t="s">
        <v>83</v>
      </c>
      <c r="O1082" s="157" cm="1">
        <f t="array" ref="O1082">TRUNC($H1082*(1+_xlfn.SWITCH($N1082,"BDI 1",$O$6,"BDI 2",$O$7,"BDI 3",$O$8)),2)</f>
        <v>15.6</v>
      </c>
      <c r="P1082" s="157" cm="1">
        <f t="array" ref="P1082">TRUNC($I1082*(1+_xlfn.SWITCH($N1082,"BDI 1",$P$6,"BDI 2",$P$7,"BDI 3",$P$8)),2)</f>
        <v>16.04</v>
      </c>
      <c r="Q1082" s="157">
        <v>0</v>
      </c>
      <c r="R1082" s="157">
        <f t="shared" ref="R1082" si="2449">$Q1082-($Q1082*LICITACAO_DESCONTO)</f>
        <v>0</v>
      </c>
      <c r="S1082" s="156">
        <f t="shared" si="2433"/>
        <v>0</v>
      </c>
      <c r="T1082" s="156">
        <f t="shared" si="2434"/>
        <v>0</v>
      </c>
      <c r="U1082" s="156">
        <f t="shared" si="2435"/>
        <v>0</v>
      </c>
      <c r="V1082" s="156">
        <f t="shared" si="2436"/>
        <v>0</v>
      </c>
      <c r="W1082" s="156">
        <f t="shared" si="2437"/>
        <v>0</v>
      </c>
      <c r="X1082" s="158">
        <f t="shared" ref="X1082" si="2450">$S1082/ORCAMENTO_VALOR_TOTAL_ND</f>
        <v>0</v>
      </c>
      <c r="Y1082" s="158">
        <f t="shared" ref="Y1082" si="2451">$T1082/ORCAMENTO_VALOR_TOTAL_DE</f>
        <v>0</v>
      </c>
      <c r="Z1082" s="158" cm="1">
        <f t="array" ref="Z1082">_xlfn.SWITCH($N1082,"BDI 1",$O$6,"BDI 2",$O$7,"BDI 3",$O$8)</f>
        <v>0.20699999999999999</v>
      </c>
      <c r="AA1082" s="158" cm="1">
        <f t="array" ref="AA1082">_xlfn.SWITCH($N1082,"BDI 1",$P$6,"BDI 2",$P$7,"BDI 3",$P$8)</f>
        <v>0.26739999999999997</v>
      </c>
      <c r="AB1082" s="158">
        <f t="shared" ca="1" si="2440"/>
        <v>0</v>
      </c>
      <c r="AC1082" s="158">
        <f t="shared" ca="1" si="2441"/>
        <v>0</v>
      </c>
      <c r="AD1082" s="164"/>
      <c r="AE1082" s="148">
        <f t="shared" si="2275"/>
        <v>0</v>
      </c>
      <c r="AF1082" s="149"/>
      <c r="AG1082" s="150"/>
      <c r="AH1082" s="159" t="e">
        <f t="shared" si="2442"/>
        <v>#DIV/0!</v>
      </c>
      <c r="AI1082" s="165" t="s">
        <v>101</v>
      </c>
      <c r="AJ1082" s="219"/>
      <c r="AK1082" s="219"/>
      <c r="AM1082" s="219"/>
      <c r="AN1082" s="219"/>
      <c r="AO1082" s="219"/>
      <c r="AP1082" s="219"/>
      <c r="AQ1082" s="219"/>
      <c r="AR1082" s="219"/>
    </row>
    <row r="1083" spans="1:44" s="220" customFormat="1" ht="40.15" hidden="1" customHeight="1">
      <c r="A1083" s="152">
        <f t="shared" ca="1" si="2276"/>
        <v>0</v>
      </c>
      <c r="B1083" s="153">
        <v>92759</v>
      </c>
      <c r="C1083" s="154" t="str">
        <f t="shared" si="2429"/>
        <v>92759</v>
      </c>
      <c r="D1083" s="154" t="s">
        <v>1416</v>
      </c>
      <c r="E1083" s="155" t="s">
        <v>3968</v>
      </c>
      <c r="F1083" s="154"/>
      <c r="G1083" s="154" t="s">
        <v>3802</v>
      </c>
      <c r="H1083" s="152">
        <v>14.2</v>
      </c>
      <c r="I1083" s="152">
        <v>13.66</v>
      </c>
      <c r="J1083" s="156"/>
      <c r="K1083" s="156"/>
      <c r="L1083" s="156">
        <f t="shared" si="2430"/>
        <v>0</v>
      </c>
      <c r="M1083" s="156">
        <f t="shared" si="2431"/>
        <v>0</v>
      </c>
      <c r="N1083" s="156" t="s">
        <v>83</v>
      </c>
      <c r="O1083" s="157" cm="1">
        <f t="array" ref="O1083">TRUNC($H1083*(1+_xlfn.SWITCH($N1083,"BDI 1",$O$6,"BDI 2",$O$7,"BDI 3",$O$8)),2)</f>
        <v>17.13</v>
      </c>
      <c r="P1083" s="157" cm="1">
        <f t="array" ref="P1083">TRUNC($I1083*(1+_xlfn.SWITCH($N1083,"BDI 1",$P$6,"BDI 2",$P$7,"BDI 3",$P$8)),2)</f>
        <v>17.309999999999999</v>
      </c>
      <c r="Q1083" s="157">
        <v>0</v>
      </c>
      <c r="R1083" s="157">
        <f t="shared" ref="R1083" si="2452">$Q1083-($Q1083*LICITACAO_DESCONTO)</f>
        <v>0</v>
      </c>
      <c r="S1083" s="156">
        <f t="shared" si="2433"/>
        <v>0</v>
      </c>
      <c r="T1083" s="156">
        <f t="shared" si="2434"/>
        <v>0</v>
      </c>
      <c r="U1083" s="156">
        <f t="shared" si="2435"/>
        <v>0</v>
      </c>
      <c r="V1083" s="156">
        <f t="shared" si="2436"/>
        <v>0</v>
      </c>
      <c r="W1083" s="156">
        <f t="shared" si="2437"/>
        <v>0</v>
      </c>
      <c r="X1083" s="158">
        <f t="shared" ref="X1083" si="2453">$S1083/ORCAMENTO_VALOR_TOTAL_ND</f>
        <v>0</v>
      </c>
      <c r="Y1083" s="158">
        <f t="shared" ref="Y1083" si="2454">$T1083/ORCAMENTO_VALOR_TOTAL_DE</f>
        <v>0</v>
      </c>
      <c r="Z1083" s="158" cm="1">
        <f t="array" ref="Z1083">_xlfn.SWITCH($N1083,"BDI 1",$O$6,"BDI 2",$O$7,"BDI 3",$O$8)</f>
        <v>0.20699999999999999</v>
      </c>
      <c r="AA1083" s="158" cm="1">
        <f t="array" ref="AA1083">_xlfn.SWITCH($N1083,"BDI 1",$P$6,"BDI 2",$P$7,"BDI 3",$P$8)</f>
        <v>0.26739999999999997</v>
      </c>
      <c r="AB1083" s="158">
        <f t="shared" ca="1" si="2440"/>
        <v>0</v>
      </c>
      <c r="AC1083" s="158">
        <f t="shared" ca="1" si="2441"/>
        <v>0</v>
      </c>
      <c r="AD1083" s="164"/>
      <c r="AE1083" s="148">
        <f t="shared" si="2275"/>
        <v>0</v>
      </c>
      <c r="AF1083" s="149"/>
      <c r="AG1083" s="150"/>
      <c r="AH1083" s="159" t="e">
        <f t="shared" si="2442"/>
        <v>#DIV/0!</v>
      </c>
      <c r="AI1083" s="165" t="s">
        <v>243</v>
      </c>
      <c r="AJ1083" s="219"/>
      <c r="AK1083" s="219"/>
      <c r="AM1083" s="219"/>
      <c r="AN1083" s="219"/>
      <c r="AO1083" s="219"/>
      <c r="AP1083" s="219"/>
      <c r="AQ1083" s="219"/>
      <c r="AR1083" s="219"/>
    </row>
    <row r="1084" spans="1:44" s="220" customFormat="1" ht="40.15" hidden="1" customHeight="1">
      <c r="A1084" s="152">
        <f t="shared" ca="1" si="2276"/>
        <v>0</v>
      </c>
      <c r="B1084" s="153">
        <v>92367</v>
      </c>
      <c r="C1084" s="154" t="str">
        <f t="shared" si="2429"/>
        <v>92367</v>
      </c>
      <c r="D1084" s="154" t="s">
        <v>1416</v>
      </c>
      <c r="E1084" s="155" t="s">
        <v>3969</v>
      </c>
      <c r="F1084" s="154"/>
      <c r="G1084" s="154" t="s">
        <v>58</v>
      </c>
      <c r="H1084" s="152">
        <v>110.76</v>
      </c>
      <c r="I1084" s="152">
        <v>112.43</v>
      </c>
      <c r="J1084" s="156"/>
      <c r="K1084" s="156"/>
      <c r="L1084" s="156">
        <f t="shared" si="2430"/>
        <v>0</v>
      </c>
      <c r="M1084" s="156">
        <f t="shared" si="2431"/>
        <v>0</v>
      </c>
      <c r="N1084" s="156" t="s">
        <v>83</v>
      </c>
      <c r="O1084" s="157" cm="1">
        <f t="array" ref="O1084">TRUNC($H1084*(1+_xlfn.SWITCH($N1084,"BDI 1",$O$6,"BDI 2",$O$7,"BDI 3",$O$8)),2)</f>
        <v>133.68</v>
      </c>
      <c r="P1084" s="157" cm="1">
        <f t="array" ref="P1084">TRUNC($I1084*(1+_xlfn.SWITCH($N1084,"BDI 1",$P$6,"BDI 2",$P$7,"BDI 3",$P$8)),2)</f>
        <v>142.49</v>
      </c>
      <c r="Q1084" s="157">
        <v>0</v>
      </c>
      <c r="R1084" s="157">
        <f t="shared" ref="R1084" si="2455">$Q1084-($Q1084*LICITACAO_DESCONTO)</f>
        <v>0</v>
      </c>
      <c r="S1084" s="156">
        <f t="shared" si="2433"/>
        <v>0</v>
      </c>
      <c r="T1084" s="156">
        <f t="shared" si="2434"/>
        <v>0</v>
      </c>
      <c r="U1084" s="156">
        <f t="shared" si="2435"/>
        <v>0</v>
      </c>
      <c r="V1084" s="156">
        <f t="shared" si="2436"/>
        <v>0</v>
      </c>
      <c r="W1084" s="156">
        <f t="shared" si="2437"/>
        <v>0</v>
      </c>
      <c r="X1084" s="158">
        <f t="shared" ref="X1084" si="2456">$S1084/ORCAMENTO_VALOR_TOTAL_ND</f>
        <v>0</v>
      </c>
      <c r="Y1084" s="158">
        <f t="shared" ref="Y1084" si="2457">$T1084/ORCAMENTO_VALOR_TOTAL_DE</f>
        <v>0</v>
      </c>
      <c r="Z1084" s="158" cm="1">
        <f t="array" ref="Z1084">_xlfn.SWITCH($N1084,"BDI 1",$O$6,"BDI 2",$O$7,"BDI 3",$O$8)</f>
        <v>0.20699999999999999</v>
      </c>
      <c r="AA1084" s="158" cm="1">
        <f t="array" ref="AA1084">_xlfn.SWITCH($N1084,"BDI 1",$P$6,"BDI 2",$P$7,"BDI 3",$P$8)</f>
        <v>0.26739999999999997</v>
      </c>
      <c r="AB1084" s="158">
        <f t="shared" ca="1" si="2440"/>
        <v>0</v>
      </c>
      <c r="AC1084" s="158">
        <f t="shared" ca="1" si="2441"/>
        <v>0</v>
      </c>
      <c r="AD1084" s="164"/>
      <c r="AE1084" s="148">
        <f t="shared" si="2275"/>
        <v>0</v>
      </c>
      <c r="AF1084" s="149"/>
      <c r="AG1084" s="150"/>
      <c r="AH1084" s="159" t="e">
        <f t="shared" si="2442"/>
        <v>#DIV/0!</v>
      </c>
      <c r="AI1084" s="165" t="s">
        <v>243</v>
      </c>
      <c r="AJ1084" s="219"/>
      <c r="AK1084" s="219"/>
      <c r="AM1084" s="219"/>
      <c r="AN1084" s="219"/>
      <c r="AO1084" s="219"/>
      <c r="AP1084" s="219"/>
      <c r="AQ1084" s="219"/>
      <c r="AR1084" s="219"/>
    </row>
    <row r="1085" spans="1:44" s="49" customFormat="1" ht="40.15" hidden="1" customHeight="1">
      <c r="A1085" s="152">
        <f t="shared" ca="1" si="2276"/>
        <v>0</v>
      </c>
      <c r="B1085" s="153"/>
      <c r="C1085" s="154"/>
      <c r="D1085" s="154"/>
      <c r="E1085" s="161" t="s">
        <v>372</v>
      </c>
      <c r="F1085" s="154"/>
      <c r="G1085" s="154"/>
      <c r="H1085" s="152"/>
      <c r="I1085" s="152"/>
      <c r="J1085" s="154"/>
      <c r="K1085" s="154"/>
      <c r="L1085" s="154"/>
      <c r="M1085" s="154"/>
      <c r="N1085" s="154"/>
      <c r="O1085" s="162"/>
      <c r="P1085" s="162"/>
      <c r="Q1085" s="162"/>
      <c r="R1085" s="162"/>
      <c r="S1085" s="162"/>
      <c r="T1085" s="162"/>
      <c r="U1085" s="162"/>
      <c r="V1085" s="162"/>
      <c r="W1085" s="162"/>
      <c r="X1085" s="163"/>
      <c r="Y1085" s="163"/>
      <c r="Z1085" s="163"/>
      <c r="AA1085" s="163"/>
      <c r="AB1085" s="163"/>
      <c r="AC1085" s="163"/>
      <c r="AD1085" s="164"/>
      <c r="AE1085" s="148">
        <f t="shared" si="2275"/>
        <v>0</v>
      </c>
      <c r="AF1085" s="149"/>
      <c r="AG1085" s="150"/>
      <c r="AH1085" s="159"/>
      <c r="AI1085" s="160"/>
      <c r="AJ1085" s="105"/>
      <c r="AK1085" s="105"/>
      <c r="AM1085" s="105"/>
      <c r="AN1085" s="105"/>
      <c r="AO1085" s="105"/>
      <c r="AP1085" s="105"/>
      <c r="AQ1085" s="105"/>
      <c r="AR1085" s="105"/>
    </row>
    <row r="1086" spans="1:44" s="220" customFormat="1" ht="40.15" hidden="1" customHeight="1">
      <c r="A1086" s="152">
        <f t="shared" ca="1" si="2276"/>
        <v>0</v>
      </c>
      <c r="B1086" s="153">
        <v>94972</v>
      </c>
      <c r="C1086" s="154" t="str">
        <f t="shared" ref="C1086:C1093" si="2458">TEXT(B1086,"0")</f>
        <v>94972</v>
      </c>
      <c r="D1086" s="154" t="s">
        <v>1416</v>
      </c>
      <c r="E1086" s="155" t="s">
        <v>3952</v>
      </c>
      <c r="F1086" s="154"/>
      <c r="G1086" s="154" t="s">
        <v>464</v>
      </c>
      <c r="H1086" s="152">
        <v>500.26</v>
      </c>
      <c r="I1086" s="152">
        <v>499.21</v>
      </c>
      <c r="J1086" s="156"/>
      <c r="K1086" s="156"/>
      <c r="L1086" s="156">
        <f t="shared" ref="L1086:L1093" si="2459">IF($K1086&gt;$J1086,$K1086-$J1086,0)</f>
        <v>0</v>
      </c>
      <c r="M1086" s="156">
        <f t="shared" ref="M1086:M1093" si="2460">IF($K1086&lt;$J1086,$J1086-$K1086,0)</f>
        <v>0</v>
      </c>
      <c r="N1086" s="156" t="s">
        <v>83</v>
      </c>
      <c r="O1086" s="157" cm="1">
        <f t="array" ref="O1086">TRUNC($H1086*(1+_xlfn.SWITCH($N1086,"BDI 1",$O$6,"BDI 2",$O$7,"BDI 3",$O$8)),2)</f>
        <v>603.80999999999995</v>
      </c>
      <c r="P1086" s="157" cm="1">
        <f t="array" ref="P1086">TRUNC($I1086*(1+_xlfn.SWITCH($N1086,"BDI 1",$P$6,"BDI 2",$P$7,"BDI 3",$P$8)),2)</f>
        <v>632.69000000000005</v>
      </c>
      <c r="Q1086" s="157">
        <v>0</v>
      </c>
      <c r="R1086" s="157">
        <f t="shared" ref="R1086" si="2461">$Q1086-($Q1086*LICITACAO_DESCONTO)</f>
        <v>0</v>
      </c>
      <c r="S1086" s="156">
        <f t="shared" ref="S1086:S1093" si="2462">TRUNC($K1086*$O1086,2)</f>
        <v>0</v>
      </c>
      <c r="T1086" s="156">
        <f t="shared" ref="T1086:T1093" si="2463">TRUNC($K1086*$P1086,2)</f>
        <v>0</v>
      </c>
      <c r="U1086" s="156">
        <f t="shared" ref="U1086:U1093" si="2464">TRUNC($J1086*$R1086,2)</f>
        <v>0</v>
      </c>
      <c r="V1086" s="156">
        <f t="shared" ref="V1086:V1093" si="2465">TRUNC($K1086*$Q1086,2)</f>
        <v>0</v>
      </c>
      <c r="W1086" s="156">
        <f t="shared" ref="W1086:W1093" si="2466">TRUNC(V1086-U1086,2)</f>
        <v>0</v>
      </c>
      <c r="X1086" s="158">
        <f t="shared" ref="X1086" si="2467">$S1086/ORCAMENTO_VALOR_TOTAL_ND</f>
        <v>0</v>
      </c>
      <c r="Y1086" s="158">
        <f t="shared" ref="Y1086" si="2468">$T1086/ORCAMENTO_VALOR_TOTAL_DE</f>
        <v>0</v>
      </c>
      <c r="Z1086" s="158" cm="1">
        <f t="array" ref="Z1086">_xlfn.SWITCH($N1086,"BDI 1",$O$6,"BDI 2",$O$7,"BDI 3",$O$8)</f>
        <v>0.20699999999999999</v>
      </c>
      <c r="AA1086" s="158" cm="1">
        <f t="array" ref="AA1086">_xlfn.SWITCH($N1086,"BDI 1",$P$6,"BDI 2",$P$7,"BDI 3",$P$8)</f>
        <v>0.26739999999999997</v>
      </c>
      <c r="AB1086" s="158">
        <f t="shared" ref="AB1086:AB1093" ca="1" si="2469">IFERROR($S1086/_xlfn.XLOOKUP($AE1086,$B$16:$B$38,$S$16:$S$38),0)</f>
        <v>0</v>
      </c>
      <c r="AC1086" s="158">
        <f t="shared" ref="AC1086:AC1093" ca="1" si="2470">IFERROR($T1086/_xlfn.XLOOKUP($AE1086,$B$16:$B$38,$T$16:$T$38),0)</f>
        <v>0</v>
      </c>
      <c r="AD1086" s="164"/>
      <c r="AE1086" s="148">
        <f t="shared" si="2275"/>
        <v>0</v>
      </c>
      <c r="AF1086" s="149"/>
      <c r="AG1086" s="150"/>
      <c r="AH1086" s="159" t="e">
        <f t="shared" ref="AH1086:AH1093" si="2471">+S1086/$S$961</f>
        <v>#DIV/0!</v>
      </c>
      <c r="AI1086" s="160"/>
      <c r="AJ1086" s="219"/>
      <c r="AK1086" s="219"/>
      <c r="AM1086" s="219"/>
      <c r="AN1086" s="219"/>
      <c r="AO1086" s="219"/>
      <c r="AP1086" s="219"/>
      <c r="AQ1086" s="219"/>
      <c r="AR1086" s="219"/>
    </row>
    <row r="1087" spans="1:44" s="220" customFormat="1" ht="40.15" hidden="1" customHeight="1">
      <c r="A1087" s="152">
        <f t="shared" ca="1" si="2276"/>
        <v>0</v>
      </c>
      <c r="B1087" s="153">
        <v>103670</v>
      </c>
      <c r="C1087" s="154" t="str">
        <f t="shared" si="2458"/>
        <v>103670</v>
      </c>
      <c r="D1087" s="154" t="s">
        <v>1416</v>
      </c>
      <c r="E1087" s="155" t="s">
        <v>3792</v>
      </c>
      <c r="F1087" s="154"/>
      <c r="G1087" s="154" t="s">
        <v>464</v>
      </c>
      <c r="H1087" s="152">
        <v>272.37</v>
      </c>
      <c r="I1087" s="152">
        <v>247.05</v>
      </c>
      <c r="J1087" s="156"/>
      <c r="K1087" s="156">
        <f>K1086</f>
        <v>0</v>
      </c>
      <c r="L1087" s="156">
        <f t="shared" si="2459"/>
        <v>0</v>
      </c>
      <c r="M1087" s="156">
        <f t="shared" si="2460"/>
        <v>0</v>
      </c>
      <c r="N1087" s="156" t="s">
        <v>83</v>
      </c>
      <c r="O1087" s="157" cm="1">
        <f t="array" ref="O1087">TRUNC($H1087*(1+_xlfn.SWITCH($N1087,"BDI 1",$O$6,"BDI 2",$O$7,"BDI 3",$O$8)),2)</f>
        <v>328.75</v>
      </c>
      <c r="P1087" s="157" cm="1">
        <f t="array" ref="P1087">TRUNC($I1087*(1+_xlfn.SWITCH($N1087,"BDI 1",$P$6,"BDI 2",$P$7,"BDI 3",$P$8)),2)</f>
        <v>313.11</v>
      </c>
      <c r="Q1087" s="157">
        <v>0</v>
      </c>
      <c r="R1087" s="157">
        <f t="shared" ref="R1087" si="2472">$Q1087-($Q1087*LICITACAO_DESCONTO)</f>
        <v>0</v>
      </c>
      <c r="S1087" s="156">
        <f t="shared" si="2462"/>
        <v>0</v>
      </c>
      <c r="T1087" s="156">
        <f t="shared" si="2463"/>
        <v>0</v>
      </c>
      <c r="U1087" s="156">
        <f t="shared" si="2464"/>
        <v>0</v>
      </c>
      <c r="V1087" s="156">
        <f t="shared" si="2465"/>
        <v>0</v>
      </c>
      <c r="W1087" s="156">
        <f t="shared" si="2466"/>
        <v>0</v>
      </c>
      <c r="X1087" s="158">
        <f t="shared" ref="X1087" si="2473">$S1087/ORCAMENTO_VALOR_TOTAL_ND</f>
        <v>0</v>
      </c>
      <c r="Y1087" s="158">
        <f t="shared" ref="Y1087" si="2474">$T1087/ORCAMENTO_VALOR_TOTAL_DE</f>
        <v>0</v>
      </c>
      <c r="Z1087" s="158" cm="1">
        <f t="array" ref="Z1087">_xlfn.SWITCH($N1087,"BDI 1",$O$6,"BDI 2",$O$7,"BDI 3",$O$8)</f>
        <v>0.20699999999999999</v>
      </c>
      <c r="AA1087" s="158" cm="1">
        <f t="array" ref="AA1087">_xlfn.SWITCH($N1087,"BDI 1",$P$6,"BDI 2",$P$7,"BDI 3",$P$8)</f>
        <v>0.26739999999999997</v>
      </c>
      <c r="AB1087" s="158">
        <f t="shared" ca="1" si="2469"/>
        <v>0</v>
      </c>
      <c r="AC1087" s="158">
        <f t="shared" ca="1" si="2470"/>
        <v>0</v>
      </c>
      <c r="AD1087" s="164"/>
      <c r="AE1087" s="148">
        <f t="shared" si="2275"/>
        <v>0</v>
      </c>
      <c r="AF1087" s="149"/>
      <c r="AG1087" s="150"/>
      <c r="AH1087" s="159" t="e">
        <f t="shared" si="2471"/>
        <v>#DIV/0!</v>
      </c>
      <c r="AI1087" s="160"/>
      <c r="AJ1087" s="219"/>
      <c r="AK1087" s="219"/>
      <c r="AM1087" s="219"/>
      <c r="AN1087" s="219"/>
      <c r="AO1087" s="219"/>
      <c r="AP1087" s="219"/>
      <c r="AQ1087" s="219"/>
      <c r="AR1087" s="219"/>
    </row>
    <row r="1088" spans="1:44" s="220" customFormat="1" ht="40.15" hidden="1" customHeight="1">
      <c r="A1088" s="152">
        <f t="shared" ca="1" si="2276"/>
        <v>0</v>
      </c>
      <c r="B1088" s="153">
        <v>94969</v>
      </c>
      <c r="C1088" s="154" t="str">
        <f t="shared" si="2458"/>
        <v>94969</v>
      </c>
      <c r="D1088" s="154" t="s">
        <v>1416</v>
      </c>
      <c r="E1088" s="155" t="s">
        <v>3936</v>
      </c>
      <c r="F1088" s="154"/>
      <c r="G1088" s="154" t="s">
        <v>464</v>
      </c>
      <c r="H1088" s="152">
        <v>422.25</v>
      </c>
      <c r="I1088" s="152">
        <v>421.36</v>
      </c>
      <c r="J1088" s="156"/>
      <c r="K1088" s="156"/>
      <c r="L1088" s="156">
        <f t="shared" si="2459"/>
        <v>0</v>
      </c>
      <c r="M1088" s="156">
        <f t="shared" si="2460"/>
        <v>0</v>
      </c>
      <c r="N1088" s="156" t="s">
        <v>83</v>
      </c>
      <c r="O1088" s="157" cm="1">
        <f t="array" ref="O1088">TRUNC($H1088*(1+_xlfn.SWITCH($N1088,"BDI 1",$O$6,"BDI 2",$O$7,"BDI 3",$O$8)),2)</f>
        <v>509.65</v>
      </c>
      <c r="P1088" s="157" cm="1">
        <f t="array" ref="P1088">TRUNC($I1088*(1+_xlfn.SWITCH($N1088,"BDI 1",$P$6,"BDI 2",$P$7,"BDI 3",$P$8)),2)</f>
        <v>534.03</v>
      </c>
      <c r="Q1088" s="157">
        <v>0</v>
      </c>
      <c r="R1088" s="157">
        <f t="shared" ref="R1088" si="2475">$Q1088-($Q1088*LICITACAO_DESCONTO)</f>
        <v>0</v>
      </c>
      <c r="S1088" s="156">
        <f t="shared" si="2462"/>
        <v>0</v>
      </c>
      <c r="T1088" s="156">
        <f t="shared" si="2463"/>
        <v>0</v>
      </c>
      <c r="U1088" s="156">
        <f t="shared" si="2464"/>
        <v>0</v>
      </c>
      <c r="V1088" s="156">
        <f t="shared" si="2465"/>
        <v>0</v>
      </c>
      <c r="W1088" s="156">
        <f t="shared" si="2466"/>
        <v>0</v>
      </c>
      <c r="X1088" s="158">
        <f t="shared" ref="X1088" si="2476">$S1088/ORCAMENTO_VALOR_TOTAL_ND</f>
        <v>0</v>
      </c>
      <c r="Y1088" s="158">
        <f t="shared" ref="Y1088" si="2477">$T1088/ORCAMENTO_VALOR_TOTAL_DE</f>
        <v>0</v>
      </c>
      <c r="Z1088" s="158" cm="1">
        <f t="array" ref="Z1088">_xlfn.SWITCH($N1088,"BDI 1",$O$6,"BDI 2",$O$7,"BDI 3",$O$8)</f>
        <v>0.20699999999999999</v>
      </c>
      <c r="AA1088" s="158" cm="1">
        <f t="array" ref="AA1088">_xlfn.SWITCH($N1088,"BDI 1",$P$6,"BDI 2",$P$7,"BDI 3",$P$8)</f>
        <v>0.26739999999999997</v>
      </c>
      <c r="AB1088" s="158">
        <f t="shared" ca="1" si="2469"/>
        <v>0</v>
      </c>
      <c r="AC1088" s="158">
        <f t="shared" ca="1" si="2470"/>
        <v>0</v>
      </c>
      <c r="AD1088" s="164"/>
      <c r="AE1088" s="148">
        <f t="shared" si="2275"/>
        <v>0</v>
      </c>
      <c r="AF1088" s="149"/>
      <c r="AG1088" s="150"/>
      <c r="AH1088" s="159" t="e">
        <f t="shared" si="2471"/>
        <v>#DIV/0!</v>
      </c>
      <c r="AI1088" s="165" t="s">
        <v>101</v>
      </c>
      <c r="AJ1088" s="219"/>
      <c r="AK1088" s="219"/>
      <c r="AM1088" s="219"/>
      <c r="AN1088" s="219"/>
      <c r="AO1088" s="219"/>
      <c r="AP1088" s="219"/>
      <c r="AQ1088" s="219"/>
      <c r="AR1088" s="219"/>
    </row>
    <row r="1089" spans="1:44" s="220" customFormat="1" ht="40.15" hidden="1" customHeight="1">
      <c r="A1089" s="152">
        <f t="shared" ca="1" si="2276"/>
        <v>0</v>
      </c>
      <c r="B1089" s="153">
        <v>103670</v>
      </c>
      <c r="C1089" s="154" t="str">
        <f t="shared" si="2458"/>
        <v>103670</v>
      </c>
      <c r="D1089" s="154" t="s">
        <v>1416</v>
      </c>
      <c r="E1089" s="155" t="s">
        <v>3792</v>
      </c>
      <c r="F1089" s="154"/>
      <c r="G1089" s="154" t="s">
        <v>464</v>
      </c>
      <c r="H1089" s="152">
        <v>272.37</v>
      </c>
      <c r="I1089" s="152">
        <v>247.05</v>
      </c>
      <c r="J1089" s="156"/>
      <c r="K1089" s="156"/>
      <c r="L1089" s="156">
        <f t="shared" si="2459"/>
        <v>0</v>
      </c>
      <c r="M1089" s="156">
        <f t="shared" si="2460"/>
        <v>0</v>
      </c>
      <c r="N1089" s="156" t="s">
        <v>83</v>
      </c>
      <c r="O1089" s="157" cm="1">
        <f t="array" ref="O1089">TRUNC($H1089*(1+_xlfn.SWITCH($N1089,"BDI 1",$O$6,"BDI 2",$O$7,"BDI 3",$O$8)),2)</f>
        <v>328.75</v>
      </c>
      <c r="P1089" s="157" cm="1">
        <f t="array" ref="P1089">TRUNC($I1089*(1+_xlfn.SWITCH($N1089,"BDI 1",$P$6,"BDI 2",$P$7,"BDI 3",$P$8)),2)</f>
        <v>313.11</v>
      </c>
      <c r="Q1089" s="157">
        <v>0</v>
      </c>
      <c r="R1089" s="157">
        <f t="shared" ref="R1089" si="2478">$Q1089-($Q1089*LICITACAO_DESCONTO)</f>
        <v>0</v>
      </c>
      <c r="S1089" s="156">
        <f t="shared" si="2462"/>
        <v>0</v>
      </c>
      <c r="T1089" s="156">
        <f t="shared" si="2463"/>
        <v>0</v>
      </c>
      <c r="U1089" s="156">
        <f t="shared" si="2464"/>
        <v>0</v>
      </c>
      <c r="V1089" s="156">
        <f t="shared" si="2465"/>
        <v>0</v>
      </c>
      <c r="W1089" s="156">
        <f t="shared" si="2466"/>
        <v>0</v>
      </c>
      <c r="X1089" s="158">
        <f t="shared" ref="X1089" si="2479">$S1089/ORCAMENTO_VALOR_TOTAL_ND</f>
        <v>0</v>
      </c>
      <c r="Y1089" s="158">
        <f t="shared" ref="Y1089" si="2480">$T1089/ORCAMENTO_VALOR_TOTAL_DE</f>
        <v>0</v>
      </c>
      <c r="Z1089" s="158" cm="1">
        <f t="array" ref="Z1089">_xlfn.SWITCH($N1089,"BDI 1",$O$6,"BDI 2",$O$7,"BDI 3",$O$8)</f>
        <v>0.20699999999999999</v>
      </c>
      <c r="AA1089" s="158" cm="1">
        <f t="array" ref="AA1089">_xlfn.SWITCH($N1089,"BDI 1",$P$6,"BDI 2",$P$7,"BDI 3",$P$8)</f>
        <v>0.26739999999999997</v>
      </c>
      <c r="AB1089" s="158">
        <f t="shared" ca="1" si="2469"/>
        <v>0</v>
      </c>
      <c r="AC1089" s="158">
        <f t="shared" ca="1" si="2470"/>
        <v>0</v>
      </c>
      <c r="AD1089" s="164"/>
      <c r="AE1089" s="148">
        <f t="shared" ref="AE1089:AE1098" si="2481">IF(S1089&gt;0,IFERROR(TRUNC(A1089,0),0),0)</f>
        <v>0</v>
      </c>
      <c r="AF1089" s="149"/>
      <c r="AG1089" s="150"/>
      <c r="AH1089" s="159" t="e">
        <f t="shared" si="2471"/>
        <v>#DIV/0!</v>
      </c>
      <c r="AI1089" s="165" t="s">
        <v>101</v>
      </c>
      <c r="AJ1089" s="219"/>
      <c r="AK1089" s="219"/>
      <c r="AM1089" s="219"/>
      <c r="AN1089" s="219"/>
      <c r="AO1089" s="219"/>
      <c r="AP1089" s="219"/>
      <c r="AQ1089" s="219"/>
      <c r="AR1089" s="219"/>
    </row>
    <row r="1090" spans="1:44" s="220" customFormat="1" ht="40.15" hidden="1" customHeight="1">
      <c r="A1090" s="152">
        <f t="shared" ref="A1090:A1117" ca="1" si="2482">+IF(K1090&gt;0,A1087+0.01,A1087)</f>
        <v>0</v>
      </c>
      <c r="B1090" s="153">
        <v>96542</v>
      </c>
      <c r="C1090" s="154" t="str">
        <f t="shared" si="2458"/>
        <v>96542</v>
      </c>
      <c r="D1090" s="154" t="s">
        <v>1416</v>
      </c>
      <c r="E1090" s="155" t="s">
        <v>3953</v>
      </c>
      <c r="F1090" s="154"/>
      <c r="G1090" s="154" t="s">
        <v>1418</v>
      </c>
      <c r="H1090" s="152">
        <v>90.23</v>
      </c>
      <c r="I1090" s="152">
        <v>84.55</v>
      </c>
      <c r="J1090" s="156"/>
      <c r="K1090" s="156"/>
      <c r="L1090" s="156">
        <f t="shared" si="2459"/>
        <v>0</v>
      </c>
      <c r="M1090" s="156">
        <f t="shared" si="2460"/>
        <v>0</v>
      </c>
      <c r="N1090" s="156" t="s">
        <v>83</v>
      </c>
      <c r="O1090" s="157" cm="1">
        <f t="array" ref="O1090">TRUNC($H1090*(1+_xlfn.SWITCH($N1090,"BDI 1",$O$6,"BDI 2",$O$7,"BDI 3",$O$8)),2)</f>
        <v>108.9</v>
      </c>
      <c r="P1090" s="157" cm="1">
        <f t="array" ref="P1090">TRUNC($I1090*(1+_xlfn.SWITCH($N1090,"BDI 1",$P$6,"BDI 2",$P$7,"BDI 3",$P$8)),2)</f>
        <v>107.15</v>
      </c>
      <c r="Q1090" s="157">
        <v>0</v>
      </c>
      <c r="R1090" s="157">
        <f t="shared" ref="R1090" si="2483">$Q1090-($Q1090*LICITACAO_DESCONTO)</f>
        <v>0</v>
      </c>
      <c r="S1090" s="156">
        <f t="shared" si="2462"/>
        <v>0</v>
      </c>
      <c r="T1090" s="156">
        <f t="shared" si="2463"/>
        <v>0</v>
      </c>
      <c r="U1090" s="156">
        <f t="shared" si="2464"/>
        <v>0</v>
      </c>
      <c r="V1090" s="156">
        <f t="shared" si="2465"/>
        <v>0</v>
      </c>
      <c r="W1090" s="156">
        <f t="shared" si="2466"/>
        <v>0</v>
      </c>
      <c r="X1090" s="158">
        <f t="shared" ref="X1090" si="2484">$S1090/ORCAMENTO_VALOR_TOTAL_ND</f>
        <v>0</v>
      </c>
      <c r="Y1090" s="158">
        <f t="shared" ref="Y1090" si="2485">$T1090/ORCAMENTO_VALOR_TOTAL_DE</f>
        <v>0</v>
      </c>
      <c r="Z1090" s="158" cm="1">
        <f t="array" ref="Z1090">_xlfn.SWITCH($N1090,"BDI 1",$O$6,"BDI 2",$O$7,"BDI 3",$O$8)</f>
        <v>0.20699999999999999</v>
      </c>
      <c r="AA1090" s="158" cm="1">
        <f t="array" ref="AA1090">_xlfn.SWITCH($N1090,"BDI 1",$P$6,"BDI 2",$P$7,"BDI 3",$P$8)</f>
        <v>0.26739999999999997</v>
      </c>
      <c r="AB1090" s="158">
        <f t="shared" ca="1" si="2469"/>
        <v>0</v>
      </c>
      <c r="AC1090" s="158">
        <f t="shared" ca="1" si="2470"/>
        <v>0</v>
      </c>
      <c r="AD1090" s="164"/>
      <c r="AE1090" s="148">
        <f t="shared" si="2481"/>
        <v>0</v>
      </c>
      <c r="AF1090" s="149"/>
      <c r="AG1090" s="150"/>
      <c r="AH1090" s="159" t="e">
        <f t="shared" si="2471"/>
        <v>#DIV/0!</v>
      </c>
      <c r="AI1090" s="165" t="s">
        <v>243</v>
      </c>
      <c r="AJ1090" s="219"/>
      <c r="AK1090" s="219"/>
      <c r="AM1090" s="219"/>
      <c r="AN1090" s="219"/>
      <c r="AO1090" s="219"/>
      <c r="AP1090" s="219"/>
      <c r="AQ1090" s="219"/>
      <c r="AR1090" s="219"/>
    </row>
    <row r="1091" spans="1:44" s="220" customFormat="1" ht="40.15" hidden="1" customHeight="1">
      <c r="A1091" s="152">
        <f t="shared" ca="1" si="2482"/>
        <v>0</v>
      </c>
      <c r="B1091" s="153">
        <v>92762</v>
      </c>
      <c r="C1091" s="154" t="str">
        <f t="shared" si="2458"/>
        <v>92762</v>
      </c>
      <c r="D1091" s="154" t="s">
        <v>1416</v>
      </c>
      <c r="E1091" s="155" t="s">
        <v>3961</v>
      </c>
      <c r="F1091" s="154"/>
      <c r="G1091" s="154" t="s">
        <v>3802</v>
      </c>
      <c r="H1091" s="152">
        <v>11.59</v>
      </c>
      <c r="I1091" s="152">
        <v>11.4</v>
      </c>
      <c r="J1091" s="156"/>
      <c r="K1091" s="156"/>
      <c r="L1091" s="156">
        <f t="shared" si="2459"/>
        <v>0</v>
      </c>
      <c r="M1091" s="156">
        <f t="shared" si="2460"/>
        <v>0</v>
      </c>
      <c r="N1091" s="156" t="s">
        <v>83</v>
      </c>
      <c r="O1091" s="157" cm="1">
        <f t="array" ref="O1091">TRUNC($H1091*(1+_xlfn.SWITCH($N1091,"BDI 1",$O$6,"BDI 2",$O$7,"BDI 3",$O$8)),2)</f>
        <v>13.98</v>
      </c>
      <c r="P1091" s="157" cm="1">
        <f t="array" ref="P1091">TRUNC($I1091*(1+_xlfn.SWITCH($N1091,"BDI 1",$P$6,"BDI 2",$P$7,"BDI 3",$P$8)),2)</f>
        <v>14.44</v>
      </c>
      <c r="Q1091" s="157">
        <v>0</v>
      </c>
      <c r="R1091" s="157">
        <f t="shared" ref="R1091" si="2486">$Q1091-($Q1091*LICITACAO_DESCONTO)</f>
        <v>0</v>
      </c>
      <c r="S1091" s="156">
        <f t="shared" si="2462"/>
        <v>0</v>
      </c>
      <c r="T1091" s="156">
        <f t="shared" si="2463"/>
        <v>0</v>
      </c>
      <c r="U1091" s="156">
        <f t="shared" si="2464"/>
        <v>0</v>
      </c>
      <c r="V1091" s="156">
        <f t="shared" si="2465"/>
        <v>0</v>
      </c>
      <c r="W1091" s="156">
        <f t="shared" si="2466"/>
        <v>0</v>
      </c>
      <c r="X1091" s="158">
        <f t="shared" ref="X1091" si="2487">$S1091/ORCAMENTO_VALOR_TOTAL_ND</f>
        <v>0</v>
      </c>
      <c r="Y1091" s="158">
        <f t="shared" ref="Y1091" si="2488">$T1091/ORCAMENTO_VALOR_TOTAL_DE</f>
        <v>0</v>
      </c>
      <c r="Z1091" s="158" cm="1">
        <f t="array" ref="Z1091">_xlfn.SWITCH($N1091,"BDI 1",$O$6,"BDI 2",$O$7,"BDI 3",$O$8)</f>
        <v>0.20699999999999999</v>
      </c>
      <c r="AA1091" s="158" cm="1">
        <f t="array" ref="AA1091">_xlfn.SWITCH($N1091,"BDI 1",$P$6,"BDI 2",$P$7,"BDI 3",$P$8)</f>
        <v>0.26739999999999997</v>
      </c>
      <c r="AB1091" s="158">
        <f t="shared" ca="1" si="2469"/>
        <v>0</v>
      </c>
      <c r="AC1091" s="158">
        <f t="shared" ca="1" si="2470"/>
        <v>0</v>
      </c>
      <c r="AD1091" s="164"/>
      <c r="AE1091" s="148">
        <f t="shared" si="2481"/>
        <v>0</v>
      </c>
      <c r="AF1091" s="149"/>
      <c r="AG1091" s="150"/>
      <c r="AH1091" s="159" t="e">
        <f t="shared" si="2471"/>
        <v>#DIV/0!</v>
      </c>
      <c r="AI1091" s="165" t="s">
        <v>243</v>
      </c>
      <c r="AJ1091" s="219"/>
      <c r="AK1091" s="219"/>
      <c r="AM1091" s="219"/>
      <c r="AN1091" s="219"/>
      <c r="AO1091" s="219"/>
      <c r="AP1091" s="219"/>
      <c r="AQ1091" s="219"/>
      <c r="AR1091" s="219"/>
    </row>
    <row r="1092" spans="1:44" s="220" customFormat="1" ht="40.15" hidden="1" customHeight="1">
      <c r="A1092" s="152">
        <f t="shared" ca="1" si="2482"/>
        <v>0</v>
      </c>
      <c r="B1092" s="153">
        <v>92763</v>
      </c>
      <c r="C1092" s="154" t="str">
        <f t="shared" si="2458"/>
        <v>92763</v>
      </c>
      <c r="D1092" s="154" t="s">
        <v>1416</v>
      </c>
      <c r="E1092" s="155" t="s">
        <v>3951</v>
      </c>
      <c r="F1092" s="154"/>
      <c r="G1092" s="154" t="s">
        <v>3802</v>
      </c>
      <c r="H1092" s="152">
        <v>9.7899999999999991</v>
      </c>
      <c r="I1092" s="152">
        <v>9.6300000000000008</v>
      </c>
      <c r="J1092" s="156"/>
      <c r="K1092" s="156"/>
      <c r="L1092" s="156">
        <f t="shared" si="2459"/>
        <v>0</v>
      </c>
      <c r="M1092" s="156">
        <f t="shared" si="2460"/>
        <v>0</v>
      </c>
      <c r="N1092" s="156" t="s">
        <v>83</v>
      </c>
      <c r="O1092" s="157" cm="1">
        <f t="array" ref="O1092">TRUNC($H1092*(1+_xlfn.SWITCH($N1092,"BDI 1",$O$6,"BDI 2",$O$7,"BDI 3",$O$8)),2)</f>
        <v>11.81</v>
      </c>
      <c r="P1092" s="157" cm="1">
        <f t="array" ref="P1092">TRUNC($I1092*(1+_xlfn.SWITCH($N1092,"BDI 1",$P$6,"BDI 2",$P$7,"BDI 3",$P$8)),2)</f>
        <v>12.2</v>
      </c>
      <c r="Q1092" s="157">
        <v>0</v>
      </c>
      <c r="R1092" s="157">
        <f t="shared" ref="R1092" si="2489">$Q1092-($Q1092*LICITACAO_DESCONTO)</f>
        <v>0</v>
      </c>
      <c r="S1092" s="156">
        <f t="shared" si="2462"/>
        <v>0</v>
      </c>
      <c r="T1092" s="156">
        <f t="shared" si="2463"/>
        <v>0</v>
      </c>
      <c r="U1092" s="156">
        <f t="shared" si="2464"/>
        <v>0</v>
      </c>
      <c r="V1092" s="156">
        <f t="shared" si="2465"/>
        <v>0</v>
      </c>
      <c r="W1092" s="156">
        <f t="shared" si="2466"/>
        <v>0</v>
      </c>
      <c r="X1092" s="158">
        <f t="shared" ref="X1092" si="2490">$S1092/ORCAMENTO_VALOR_TOTAL_ND</f>
        <v>0</v>
      </c>
      <c r="Y1092" s="158">
        <f t="shared" ref="Y1092" si="2491">$T1092/ORCAMENTO_VALOR_TOTAL_DE</f>
        <v>0</v>
      </c>
      <c r="Z1092" s="158" cm="1">
        <f t="array" ref="Z1092">_xlfn.SWITCH($N1092,"BDI 1",$O$6,"BDI 2",$O$7,"BDI 3",$O$8)</f>
        <v>0.20699999999999999</v>
      </c>
      <c r="AA1092" s="158" cm="1">
        <f t="array" ref="AA1092">_xlfn.SWITCH($N1092,"BDI 1",$P$6,"BDI 2",$P$7,"BDI 3",$P$8)</f>
        <v>0.26739999999999997</v>
      </c>
      <c r="AB1092" s="158">
        <f t="shared" ca="1" si="2469"/>
        <v>0</v>
      </c>
      <c r="AC1092" s="158">
        <f t="shared" ca="1" si="2470"/>
        <v>0</v>
      </c>
      <c r="AD1092" s="164"/>
      <c r="AE1092" s="148">
        <f t="shared" si="2481"/>
        <v>0</v>
      </c>
      <c r="AF1092" s="149"/>
      <c r="AG1092" s="150"/>
      <c r="AH1092" s="159" t="e">
        <f t="shared" si="2471"/>
        <v>#DIV/0!</v>
      </c>
      <c r="AI1092" s="165" t="s">
        <v>243</v>
      </c>
      <c r="AJ1092" s="219"/>
      <c r="AK1092" s="219"/>
      <c r="AM1092" s="219"/>
      <c r="AN1092" s="219"/>
      <c r="AO1092" s="219"/>
      <c r="AP1092" s="219"/>
      <c r="AQ1092" s="219"/>
      <c r="AR1092" s="219"/>
    </row>
    <row r="1093" spans="1:44" s="220" customFormat="1" ht="40.15" hidden="1" customHeight="1">
      <c r="A1093" s="152">
        <f t="shared" ca="1" si="2482"/>
        <v>0</v>
      </c>
      <c r="B1093" s="153">
        <v>92766</v>
      </c>
      <c r="C1093" s="154" t="str">
        <f t="shared" si="2458"/>
        <v>92766</v>
      </c>
      <c r="D1093" s="154" t="s">
        <v>1416</v>
      </c>
      <c r="E1093" s="155" t="s">
        <v>3949</v>
      </c>
      <c r="F1093" s="154"/>
      <c r="G1093" s="154" t="s">
        <v>3802</v>
      </c>
      <c r="H1093" s="152">
        <v>10.77</v>
      </c>
      <c r="I1093" s="152">
        <v>10.66</v>
      </c>
      <c r="J1093" s="156"/>
      <c r="K1093" s="156"/>
      <c r="L1093" s="156">
        <f t="shared" si="2459"/>
        <v>0</v>
      </c>
      <c r="M1093" s="156">
        <f t="shared" si="2460"/>
        <v>0</v>
      </c>
      <c r="N1093" s="156" t="s">
        <v>83</v>
      </c>
      <c r="O1093" s="157" cm="1">
        <f t="array" ref="O1093">TRUNC($H1093*(1+_xlfn.SWITCH($N1093,"BDI 1",$O$6,"BDI 2",$O$7,"BDI 3",$O$8)),2)</f>
        <v>12.99</v>
      </c>
      <c r="P1093" s="157" cm="1">
        <f t="array" ref="P1093">TRUNC($I1093*(1+_xlfn.SWITCH($N1093,"BDI 1",$P$6,"BDI 2",$P$7,"BDI 3",$P$8)),2)</f>
        <v>13.51</v>
      </c>
      <c r="Q1093" s="157">
        <v>0</v>
      </c>
      <c r="R1093" s="157">
        <f t="shared" ref="R1093" si="2492">$Q1093-($Q1093*LICITACAO_DESCONTO)</f>
        <v>0</v>
      </c>
      <c r="S1093" s="156">
        <f t="shared" si="2462"/>
        <v>0</v>
      </c>
      <c r="T1093" s="156">
        <f t="shared" si="2463"/>
        <v>0</v>
      </c>
      <c r="U1093" s="156">
        <f t="shared" si="2464"/>
        <v>0</v>
      </c>
      <c r="V1093" s="156">
        <f t="shared" si="2465"/>
        <v>0</v>
      </c>
      <c r="W1093" s="156">
        <f t="shared" si="2466"/>
        <v>0</v>
      </c>
      <c r="X1093" s="158">
        <f t="shared" ref="X1093" si="2493">$S1093/ORCAMENTO_VALOR_TOTAL_ND</f>
        <v>0</v>
      </c>
      <c r="Y1093" s="158">
        <f t="shared" ref="Y1093" si="2494">$T1093/ORCAMENTO_VALOR_TOTAL_DE</f>
        <v>0</v>
      </c>
      <c r="Z1093" s="158" cm="1">
        <f t="array" ref="Z1093">_xlfn.SWITCH($N1093,"BDI 1",$O$6,"BDI 2",$O$7,"BDI 3",$O$8)</f>
        <v>0.20699999999999999</v>
      </c>
      <c r="AA1093" s="158" cm="1">
        <f t="array" ref="AA1093">_xlfn.SWITCH($N1093,"BDI 1",$P$6,"BDI 2",$P$7,"BDI 3",$P$8)</f>
        <v>0.26739999999999997</v>
      </c>
      <c r="AB1093" s="158">
        <f t="shared" ca="1" si="2469"/>
        <v>0</v>
      </c>
      <c r="AC1093" s="158">
        <f t="shared" ca="1" si="2470"/>
        <v>0</v>
      </c>
      <c r="AD1093" s="164"/>
      <c r="AE1093" s="148">
        <f t="shared" si="2481"/>
        <v>0</v>
      </c>
      <c r="AF1093" s="149"/>
      <c r="AG1093" s="150"/>
      <c r="AH1093" s="159" t="e">
        <f t="shared" si="2471"/>
        <v>#DIV/0!</v>
      </c>
      <c r="AI1093" s="165" t="s">
        <v>243</v>
      </c>
      <c r="AJ1093" s="219"/>
      <c r="AK1093" s="219"/>
      <c r="AM1093" s="219"/>
      <c r="AN1093" s="219"/>
      <c r="AO1093" s="219"/>
      <c r="AP1093" s="219"/>
      <c r="AQ1093" s="219"/>
      <c r="AR1093" s="219"/>
    </row>
    <row r="1094" spans="1:44" s="49" customFormat="1" ht="40.15" hidden="1" customHeight="1">
      <c r="A1094" s="152">
        <f t="shared" ca="1" si="2482"/>
        <v>0</v>
      </c>
      <c r="B1094" s="153"/>
      <c r="C1094" s="154"/>
      <c r="D1094" s="154"/>
      <c r="E1094" s="161" t="s">
        <v>373</v>
      </c>
      <c r="F1094" s="154"/>
      <c r="G1094" s="154"/>
      <c r="H1094" s="152"/>
      <c r="I1094" s="152"/>
      <c r="J1094" s="154"/>
      <c r="K1094" s="154"/>
      <c r="L1094" s="154"/>
      <c r="M1094" s="154"/>
      <c r="N1094" s="154"/>
      <c r="O1094" s="162"/>
      <c r="P1094" s="162"/>
      <c r="Q1094" s="162"/>
      <c r="R1094" s="162"/>
      <c r="S1094" s="162"/>
      <c r="T1094" s="162"/>
      <c r="U1094" s="162"/>
      <c r="V1094" s="162"/>
      <c r="W1094" s="162"/>
      <c r="X1094" s="163"/>
      <c r="Y1094" s="163"/>
      <c r="Z1094" s="163"/>
      <c r="AA1094" s="163"/>
      <c r="AB1094" s="163"/>
      <c r="AC1094" s="163"/>
      <c r="AD1094" s="164"/>
      <c r="AE1094" s="148">
        <f t="shared" si="2481"/>
        <v>0</v>
      </c>
      <c r="AF1094" s="149"/>
      <c r="AG1094" s="150"/>
      <c r="AH1094" s="159"/>
      <c r="AI1094" s="160"/>
      <c r="AJ1094" s="105"/>
      <c r="AK1094" s="105"/>
      <c r="AM1094" s="105"/>
      <c r="AN1094" s="105"/>
      <c r="AO1094" s="105"/>
      <c r="AP1094" s="105"/>
      <c r="AQ1094" s="105"/>
      <c r="AR1094" s="105"/>
    </row>
    <row r="1095" spans="1:44" s="220" customFormat="1" ht="40.15" hidden="1" customHeight="1">
      <c r="A1095" s="152">
        <f t="shared" ca="1" si="2482"/>
        <v>0</v>
      </c>
      <c r="B1095" s="153" t="s">
        <v>374</v>
      </c>
      <c r="C1095" s="154" t="str">
        <f>TEXT(B1095,"0")</f>
        <v>EC/0230</v>
      </c>
      <c r="D1095" s="154">
        <v>0</v>
      </c>
      <c r="E1095" s="155" t="s">
        <v>3766</v>
      </c>
      <c r="F1095" s="154"/>
      <c r="G1095" s="154">
        <v>0</v>
      </c>
      <c r="H1095" s="152">
        <v>0</v>
      </c>
      <c r="I1095" s="152">
        <v>0</v>
      </c>
      <c r="J1095" s="156"/>
      <c r="K1095" s="156"/>
      <c r="L1095" s="156">
        <f>IF($K1095&gt;$J1095,$K1095-$J1095,0)</f>
        <v>0</v>
      </c>
      <c r="M1095" s="156">
        <f>IF($K1095&lt;$J1095,$J1095-$K1095,0)</f>
        <v>0</v>
      </c>
      <c r="N1095" s="156" t="s">
        <v>83</v>
      </c>
      <c r="O1095" s="157" cm="1">
        <f t="array" ref="O1095">TRUNC($H1095*(1+_xlfn.SWITCH($N1095,"BDI 1",$O$6,"BDI 2",$O$7,"BDI 3",$O$8)),2)</f>
        <v>0</v>
      </c>
      <c r="P1095" s="157" cm="1">
        <f t="array" ref="P1095">TRUNC($I1095*(1+_xlfn.SWITCH($N1095,"BDI 1",$P$6,"BDI 2",$P$7,"BDI 3",$P$8)),2)</f>
        <v>0</v>
      </c>
      <c r="Q1095" s="157">
        <v>0</v>
      </c>
      <c r="R1095" s="157">
        <v>0</v>
      </c>
      <c r="S1095" s="156">
        <f>TRUNC($K1095*$O1095,2)</f>
        <v>0</v>
      </c>
      <c r="T1095" s="156">
        <f>TRUNC($K1095*$P1095,2)</f>
        <v>0</v>
      </c>
      <c r="U1095" s="156">
        <f>TRUNC($J1095*$R1095,2)</f>
        <v>0</v>
      </c>
      <c r="V1095" s="156">
        <f>TRUNC($K1095*$Q1095,2)</f>
        <v>0</v>
      </c>
      <c r="W1095" s="156">
        <f>TRUNC(V1095-U1095,2)</f>
        <v>0</v>
      </c>
      <c r="X1095" s="158">
        <f>$S1095/ORCAMENTO_VALOR_TOTAL_ND</f>
        <v>0</v>
      </c>
      <c r="Y1095" s="158">
        <f>$T1095/ORCAMENTO_VALOR_TOTAL_DE</f>
        <v>0</v>
      </c>
      <c r="Z1095" s="158" cm="1">
        <f t="array" ref="Z1095">_xlfn.SWITCH($N1095,"BDI 1",$O$6,"BDI 2",$O$7,"BDI 3",$O$8)</f>
        <v>0.20699999999999999</v>
      </c>
      <c r="AA1095" s="158" cm="1">
        <f t="array" ref="AA1095">_xlfn.SWITCH($N1095,"BDI 1",$P$6,"BDI 2",$P$7,"BDI 3",$P$8)</f>
        <v>0.26739999999999997</v>
      </c>
      <c r="AB1095" s="158">
        <f ca="1">IFERROR($S1095/_xlfn.XLOOKUP($AE1095,$B$16:$B$38,$S$16:$S$38),0)</f>
        <v>0</v>
      </c>
      <c r="AC1095" s="158">
        <f ca="1">IFERROR($T1095/_xlfn.XLOOKUP($AE1095,$B$16:$B$38,$T$16:$T$38),0)</f>
        <v>0</v>
      </c>
      <c r="AD1095" s="164"/>
      <c r="AE1095" s="148">
        <f t="shared" si="2481"/>
        <v>0</v>
      </c>
      <c r="AF1095" s="149"/>
      <c r="AG1095" s="150"/>
      <c r="AH1095" s="159" t="e">
        <f>+S1095/$S$961</f>
        <v>#DIV/0!</v>
      </c>
      <c r="AI1095" s="160"/>
      <c r="AJ1095" s="182" t="e">
        <v>#N/A</v>
      </c>
      <c r="AK1095" s="183" t="e">
        <f>+K1095/AJ1095</f>
        <v>#N/A</v>
      </c>
      <c r="AM1095" s="219"/>
      <c r="AN1095" s="219"/>
      <c r="AO1095" s="219"/>
      <c r="AP1095" s="219"/>
      <c r="AQ1095" s="219"/>
      <c r="AR1095" s="219"/>
    </row>
    <row r="1096" spans="1:44" s="220" customFormat="1" ht="40.15" hidden="1" customHeight="1">
      <c r="A1096" s="152">
        <f t="shared" ca="1" si="2482"/>
        <v>0</v>
      </c>
      <c r="B1096" s="153" t="s">
        <v>375</v>
      </c>
      <c r="C1096" s="154" t="str">
        <f>TEXT(B1096,"0")</f>
        <v>EC/0240</v>
      </c>
      <c r="D1096" s="154" t="s">
        <v>3549</v>
      </c>
      <c r="E1096" s="155" t="s">
        <v>3970</v>
      </c>
      <c r="F1096" s="154"/>
      <c r="G1096" s="154" t="s">
        <v>58</v>
      </c>
      <c r="H1096" s="152">
        <v>48.36</v>
      </c>
      <c r="I1096" s="152">
        <v>47.14</v>
      </c>
      <c r="J1096" s="156"/>
      <c r="K1096" s="156">
        <f>K1095*2</f>
        <v>0</v>
      </c>
      <c r="L1096" s="156">
        <f>IF($K1096&gt;$J1096,$K1096-$J1096,0)</f>
        <v>0</v>
      </c>
      <c r="M1096" s="156">
        <f>IF($K1096&lt;$J1096,$J1096-$K1096,0)</f>
        <v>0</v>
      </c>
      <c r="N1096" s="156" t="s">
        <v>83</v>
      </c>
      <c r="O1096" s="157" cm="1">
        <f t="array" ref="O1096">TRUNC($H1096*(1+_xlfn.SWITCH($N1096,"BDI 1",$O$6,"BDI 2",$O$7,"BDI 3",$O$8)),2)</f>
        <v>58.37</v>
      </c>
      <c r="P1096" s="157" cm="1">
        <f t="array" ref="P1096">TRUNC($I1096*(1+_xlfn.SWITCH($N1096,"BDI 1",$P$6,"BDI 2",$P$7,"BDI 3",$P$8)),2)</f>
        <v>59.74</v>
      </c>
      <c r="Q1096" s="157">
        <v>0</v>
      </c>
      <c r="R1096" s="157">
        <v>0</v>
      </c>
      <c r="S1096" s="156">
        <f>TRUNC($K1096*$O1096,2)</f>
        <v>0</v>
      </c>
      <c r="T1096" s="156">
        <f>TRUNC($K1096*$P1096,2)</f>
        <v>0</v>
      </c>
      <c r="U1096" s="156">
        <f>TRUNC($J1096*$R1096,2)</f>
        <v>0</v>
      </c>
      <c r="V1096" s="156">
        <f>TRUNC($K1096*$Q1096,2)</f>
        <v>0</v>
      </c>
      <c r="W1096" s="156">
        <f>TRUNC(V1096-U1096,2)</f>
        <v>0</v>
      </c>
      <c r="X1096" s="158">
        <f>$S1096/ORCAMENTO_VALOR_TOTAL_ND</f>
        <v>0</v>
      </c>
      <c r="Y1096" s="158">
        <f>$T1096/ORCAMENTO_VALOR_TOTAL_DE</f>
        <v>0</v>
      </c>
      <c r="Z1096" s="158" cm="1">
        <f t="array" ref="Z1096">_xlfn.SWITCH($N1096,"BDI 1",$O$6,"BDI 2",$O$7,"BDI 3",$O$8)</f>
        <v>0.20699999999999999</v>
      </c>
      <c r="AA1096" s="158" cm="1">
        <f t="array" ref="AA1096">_xlfn.SWITCH($N1096,"BDI 1",$P$6,"BDI 2",$P$7,"BDI 3",$P$8)</f>
        <v>0.26739999999999997</v>
      </c>
      <c r="AB1096" s="158">
        <f ca="1">IFERROR($S1096/_xlfn.XLOOKUP($AE1096,$B$16:$B$38,$S$16:$S$38),0)</f>
        <v>0</v>
      </c>
      <c r="AC1096" s="158">
        <f ca="1">IFERROR($T1096/_xlfn.XLOOKUP($AE1096,$B$16:$B$38,$T$16:$T$38),0)</f>
        <v>0</v>
      </c>
      <c r="AD1096" s="164"/>
      <c r="AE1096" s="148">
        <f t="shared" si="2481"/>
        <v>0</v>
      </c>
      <c r="AF1096" s="149"/>
      <c r="AG1096" s="150"/>
      <c r="AH1096" s="159" t="e">
        <f>+S1096/$S$961</f>
        <v>#DIV/0!</v>
      </c>
      <c r="AI1096" s="160"/>
      <c r="AJ1096" s="182">
        <v>0</v>
      </c>
      <c r="AK1096" s="183" t="e">
        <f>+K1096/AJ1096</f>
        <v>#DIV/0!</v>
      </c>
      <c r="AM1096" s="219"/>
      <c r="AN1096" s="219"/>
      <c r="AO1096" s="219"/>
      <c r="AP1096" s="219"/>
      <c r="AQ1096" s="219"/>
      <c r="AR1096" s="219"/>
    </row>
    <row r="1097" spans="1:44" s="49" customFormat="1" ht="40.15" hidden="1" customHeight="1">
      <c r="A1097" s="152">
        <f t="shared" ca="1" si="2482"/>
        <v>0</v>
      </c>
      <c r="B1097" s="153"/>
      <c r="C1097" s="154"/>
      <c r="D1097" s="154"/>
      <c r="E1097" s="161" t="s">
        <v>15</v>
      </c>
      <c r="F1097" s="154"/>
      <c r="G1097" s="154"/>
      <c r="H1097" s="152"/>
      <c r="I1097" s="152"/>
      <c r="J1097" s="154"/>
      <c r="K1097" s="154"/>
      <c r="L1097" s="154"/>
      <c r="M1097" s="154"/>
      <c r="N1097" s="154"/>
      <c r="O1097" s="162"/>
      <c r="P1097" s="162"/>
      <c r="Q1097" s="162"/>
      <c r="R1097" s="162"/>
      <c r="S1097" s="162"/>
      <c r="T1097" s="162"/>
      <c r="U1097" s="162"/>
      <c r="V1097" s="162"/>
      <c r="W1097" s="162"/>
      <c r="X1097" s="163"/>
      <c r="Y1097" s="163"/>
      <c r="Z1097" s="163"/>
      <c r="AA1097" s="163"/>
      <c r="AB1097" s="163"/>
      <c r="AC1097" s="163"/>
      <c r="AD1097" s="164"/>
      <c r="AE1097" s="148">
        <f t="shared" si="2481"/>
        <v>0</v>
      </c>
      <c r="AF1097" s="149"/>
      <c r="AG1097" s="150"/>
      <c r="AH1097" s="159"/>
      <c r="AI1097" s="160"/>
      <c r="AJ1097" s="105"/>
      <c r="AK1097" s="105"/>
      <c r="AM1097" s="105"/>
      <c r="AN1097" s="105"/>
      <c r="AO1097" s="105"/>
      <c r="AP1097" s="105"/>
      <c r="AQ1097" s="105"/>
      <c r="AR1097" s="105"/>
    </row>
    <row r="1098" spans="1:44" s="220" customFormat="1" ht="40.15" hidden="1" customHeight="1">
      <c r="A1098" s="152">
        <f t="shared" ca="1" si="2482"/>
        <v>0</v>
      </c>
      <c r="B1098" s="153">
        <v>101927</v>
      </c>
      <c r="C1098" s="154" t="str">
        <f>TEXT(B1098,"0")</f>
        <v>101927</v>
      </c>
      <c r="D1098" s="154" t="s">
        <v>1416</v>
      </c>
      <c r="E1098" s="155" t="s">
        <v>3971</v>
      </c>
      <c r="F1098" s="154"/>
      <c r="G1098" s="154" t="s">
        <v>58</v>
      </c>
      <c r="H1098" s="152">
        <v>199.32</v>
      </c>
      <c r="I1098" s="152">
        <v>203.01</v>
      </c>
      <c r="J1098" s="156"/>
      <c r="K1098" s="156"/>
      <c r="L1098" s="156">
        <f>IF($K1098&gt;$J1098,$K1098-$J1098,0)</f>
        <v>0</v>
      </c>
      <c r="M1098" s="156">
        <f>IF($K1098&lt;$J1098,$J1098-$K1098,0)</f>
        <v>0</v>
      </c>
      <c r="N1098" s="156" t="s">
        <v>83</v>
      </c>
      <c r="O1098" s="157" cm="1">
        <f t="array" ref="O1098">TRUNC($H1098*(1+_xlfn.SWITCH($N1098,"BDI 1",$O$6,"BDI 2",$O$7,"BDI 3",$O$8)),2)</f>
        <v>240.57</v>
      </c>
      <c r="P1098" s="157" cm="1">
        <f t="array" ref="P1098">TRUNC($I1098*(1+_xlfn.SWITCH($N1098,"BDI 1",$P$6,"BDI 2",$P$7,"BDI 3",$P$8)),2)</f>
        <v>257.29000000000002</v>
      </c>
      <c r="Q1098" s="157">
        <v>0</v>
      </c>
      <c r="R1098" s="157">
        <v>0</v>
      </c>
      <c r="S1098" s="156">
        <f>TRUNC($K1098*$O1098,2)</f>
        <v>0</v>
      </c>
      <c r="T1098" s="156">
        <f>TRUNC($K1098*$P1098,2)</f>
        <v>0</v>
      </c>
      <c r="U1098" s="156">
        <f>TRUNC($J1098*$R1098,2)</f>
        <v>0</v>
      </c>
      <c r="V1098" s="156">
        <f>TRUNC($K1098*$Q1098,2)</f>
        <v>0</v>
      </c>
      <c r="W1098" s="156">
        <f>TRUNC(V1098-U1098,2)</f>
        <v>0</v>
      </c>
      <c r="X1098" s="158">
        <f>$S1098/ORCAMENTO_VALOR_TOTAL_ND</f>
        <v>0</v>
      </c>
      <c r="Y1098" s="158">
        <f>$T1098/ORCAMENTO_VALOR_TOTAL_DE</f>
        <v>0</v>
      </c>
      <c r="Z1098" s="158" cm="1">
        <f t="array" ref="Z1098">_xlfn.SWITCH($N1098,"BDI 1",$O$6,"BDI 2",$O$7,"BDI 3",$O$8)</f>
        <v>0.20699999999999999</v>
      </c>
      <c r="AA1098" s="158" cm="1">
        <f t="array" ref="AA1098">_xlfn.SWITCH($N1098,"BDI 1",$P$6,"BDI 2",$P$7,"BDI 3",$P$8)</f>
        <v>0.26739999999999997</v>
      </c>
      <c r="AB1098" s="158">
        <f ca="1">IFERROR($S1098/_xlfn.XLOOKUP($AE1098,$B$16:$B$38,$S$16:$S$38),0)</f>
        <v>0</v>
      </c>
      <c r="AC1098" s="158">
        <f ca="1">IFERROR($T1098/_xlfn.XLOOKUP($AE1098,$B$16:$B$38,$T$16:$T$38),0)</f>
        <v>0</v>
      </c>
      <c r="AD1098" s="164"/>
      <c r="AE1098" s="148">
        <f t="shared" si="2481"/>
        <v>0</v>
      </c>
      <c r="AF1098" s="149"/>
      <c r="AG1098" s="150"/>
      <c r="AH1098" s="159" t="e">
        <f>+S1098/$S$961</f>
        <v>#DIV/0!</v>
      </c>
      <c r="AI1098" s="160"/>
      <c r="AJ1098" s="219"/>
      <c r="AK1098" s="219"/>
      <c r="AM1098" s="219"/>
      <c r="AN1098" s="219"/>
      <c r="AO1098" s="219"/>
      <c r="AP1098" s="219"/>
      <c r="AQ1098" s="219"/>
      <c r="AR1098" s="219"/>
    </row>
    <row r="1099" spans="1:44" s="49" customFormat="1" ht="40.15" hidden="1" customHeight="1">
      <c r="A1099" s="10">
        <f t="shared" ca="1" si="2482"/>
        <v>0</v>
      </c>
      <c r="B1099" s="153"/>
      <c r="C1099" s="154"/>
      <c r="D1099" s="154"/>
      <c r="E1099" s="161" t="s">
        <v>270</v>
      </c>
      <c r="F1099" s="154"/>
      <c r="G1099" s="154"/>
      <c r="H1099" s="152"/>
      <c r="I1099" s="152"/>
      <c r="J1099" s="154"/>
      <c r="K1099" s="154"/>
      <c r="L1099" s="154"/>
      <c r="M1099" s="154"/>
      <c r="N1099" s="154"/>
      <c r="O1099" s="154"/>
      <c r="P1099" s="154"/>
      <c r="Q1099" s="154"/>
      <c r="R1099" s="154"/>
      <c r="S1099" s="162"/>
      <c r="T1099" s="162"/>
      <c r="U1099" s="162"/>
      <c r="V1099" s="162"/>
      <c r="W1099" s="162"/>
      <c r="X1099" s="163"/>
      <c r="Y1099" s="163"/>
      <c r="Z1099" s="163"/>
      <c r="AA1099" s="163"/>
      <c r="AB1099" s="163"/>
      <c r="AC1099" s="163"/>
      <c r="AD1099" s="164"/>
      <c r="AE1099" s="148">
        <f>IF(SUM(S1100:S1101)&gt;0,IFERROR(TRUNC(A1099,0),0),0)</f>
        <v>0</v>
      </c>
      <c r="AF1099" s="149"/>
      <c r="AG1099" s="150"/>
      <c r="AH1099" s="159"/>
      <c r="AI1099" s="160"/>
      <c r="AJ1099" s="105"/>
      <c r="AK1099" s="105"/>
      <c r="AM1099" s="105"/>
      <c r="AN1099" s="105"/>
      <c r="AO1099" s="105"/>
      <c r="AP1099" s="105"/>
      <c r="AQ1099" s="105"/>
      <c r="AR1099" s="105"/>
    </row>
    <row r="1100" spans="1:44" s="49" customFormat="1" ht="40.15" hidden="1" customHeight="1">
      <c r="A1100" s="152">
        <f t="shared" ca="1" si="2482"/>
        <v>0</v>
      </c>
      <c r="B1100" s="153">
        <v>95879</v>
      </c>
      <c r="C1100" s="154" t="str">
        <f>TEXT(B1100,"0")</f>
        <v>95879</v>
      </c>
      <c r="D1100" s="154" t="s">
        <v>1416</v>
      </c>
      <c r="E1100" s="155" t="s">
        <v>3535</v>
      </c>
      <c r="F1100" s="154" t="b">
        <f>IF(Dados_DMT!$B$30&lt;30,Dados_DMT!$B$30)</f>
        <v>0</v>
      </c>
      <c r="G1100" s="154" t="s">
        <v>3534</v>
      </c>
      <c r="H1100" s="152">
        <v>1.41</v>
      </c>
      <c r="I1100" s="152">
        <v>1.42</v>
      </c>
      <c r="J1100" s="156"/>
      <c r="K1100" s="156"/>
      <c r="L1100" s="156">
        <f>IF($K1100&gt;$J1100,$K1100-$J1100,0)</f>
        <v>0</v>
      </c>
      <c r="M1100" s="156">
        <f>IF($K1100&lt;$J1100,$J1100-$K1100,0)</f>
        <v>0</v>
      </c>
      <c r="N1100" s="156" t="s">
        <v>83</v>
      </c>
      <c r="O1100" s="157" cm="1">
        <f t="array" ref="O1100">TRUNC($H1100*(1+_xlfn.SWITCH($N1100,"BDI 1",$O$6,"BDI 2",$O$7,"BDI 3",$O$8)),2)</f>
        <v>1.7</v>
      </c>
      <c r="P1100" s="157" cm="1">
        <f t="array" ref="P1100">TRUNC($I1100*(1+_xlfn.SWITCH($N1100,"BDI 1",$P$6,"BDI 2",$P$7,"BDI 3",$P$8)),2)</f>
        <v>1.79</v>
      </c>
      <c r="Q1100" s="157">
        <v>0</v>
      </c>
      <c r="R1100" s="157">
        <v>0</v>
      </c>
      <c r="S1100" s="156">
        <f>TRUNC($K1100*$O1100,2)</f>
        <v>0</v>
      </c>
      <c r="T1100" s="156">
        <f>TRUNC($K1100*$P1100,2)</f>
        <v>0</v>
      </c>
      <c r="U1100" s="156">
        <f>TRUNC($J1100*$R1100,2)</f>
        <v>0</v>
      </c>
      <c r="V1100" s="156">
        <f>TRUNC($K1100*$Q1100,2)</f>
        <v>0</v>
      </c>
      <c r="W1100" s="156">
        <f>TRUNC(V1100-U1100,2)</f>
        <v>0</v>
      </c>
      <c r="X1100" s="158">
        <f>$S1100/ORCAMENTO_VALOR_TOTAL_ND</f>
        <v>0</v>
      </c>
      <c r="Y1100" s="158">
        <f>$T1100/ORCAMENTO_VALOR_TOTAL_DE</f>
        <v>0</v>
      </c>
      <c r="Z1100" s="158" cm="1">
        <f t="array" ref="Z1100">_xlfn.SWITCH($N1100,"BDI 1",$O$6,"BDI 2",$O$7,"BDI 3",$O$8)</f>
        <v>0.20699999999999999</v>
      </c>
      <c r="AA1100" s="158" cm="1">
        <f t="array" ref="AA1100">_xlfn.SWITCH($N1100,"BDI 1",$P$6,"BDI 2",$P$7,"BDI 3",$P$8)</f>
        <v>0.26739999999999997</v>
      </c>
      <c r="AB1100" s="158">
        <f ca="1">IFERROR($S1100/_xlfn.XLOOKUP($AE1100,$B$16:$B$38,$S$16:$S$38),0)</f>
        <v>0</v>
      </c>
      <c r="AC1100" s="158">
        <f ca="1">IFERROR($T1100/_xlfn.XLOOKUP($AE1100,$B$16:$B$38,$T$16:$T$38),0)</f>
        <v>0</v>
      </c>
      <c r="AD1100" s="164"/>
      <c r="AE1100" s="148">
        <f t="shared" ref="AE1100:AE1101" si="2495">IF(S1100&gt;0,IFERROR(TRUNC(A1100,0),0),0)</f>
        <v>0</v>
      </c>
      <c r="AF1100" s="149"/>
      <c r="AG1100" s="150"/>
      <c r="AH1100" s="159" t="e">
        <f>+S1100/$S$1118</f>
        <v>#DIV/0!</v>
      </c>
      <c r="AI1100" s="209">
        <f>IF(K1100=0,0,K1100/F1100)</f>
        <v>0</v>
      </c>
      <c r="AJ1100" s="105"/>
      <c r="AK1100" s="105"/>
      <c r="AM1100" s="105"/>
      <c r="AN1100" s="105"/>
      <c r="AO1100" s="105"/>
      <c r="AP1100" s="105"/>
      <c r="AQ1100" s="105"/>
      <c r="AR1100" s="105"/>
    </row>
    <row r="1101" spans="1:44" s="49" customFormat="1" ht="40.15" hidden="1" customHeight="1">
      <c r="A1101" s="152">
        <f t="shared" ca="1" si="2482"/>
        <v>0</v>
      </c>
      <c r="B1101" s="153">
        <v>93599</v>
      </c>
      <c r="C1101" s="154" t="str">
        <f>TEXT(B1101,"0")</f>
        <v>93599</v>
      </c>
      <c r="D1101" s="154" t="s">
        <v>1416</v>
      </c>
      <c r="E1101" s="155" t="s">
        <v>3533</v>
      </c>
      <c r="F1101" s="154">
        <f>+Dados_DMT!$B$30-F1100</f>
        <v>110</v>
      </c>
      <c r="G1101" s="154" t="s">
        <v>3534</v>
      </c>
      <c r="H1101" s="152">
        <v>0.56000000000000005</v>
      </c>
      <c r="I1101" s="152">
        <v>0.56000000000000005</v>
      </c>
      <c r="J1101" s="156"/>
      <c r="K1101" s="156"/>
      <c r="L1101" s="156">
        <f>IF($K1101&gt;$J1101,$K1101-$J1101,0)</f>
        <v>0</v>
      </c>
      <c r="M1101" s="156">
        <f>IF($K1101&lt;$J1101,$J1101-$K1101,0)</f>
        <v>0</v>
      </c>
      <c r="N1101" s="156" t="s">
        <v>83</v>
      </c>
      <c r="O1101" s="157" cm="1">
        <f t="array" ref="O1101">TRUNC($H1101*(1+_xlfn.SWITCH($N1101,"BDI 1",$O$6,"BDI 2",$O$7,"BDI 3",$O$8)),2)</f>
        <v>0.67</v>
      </c>
      <c r="P1101" s="157" cm="1">
        <f t="array" ref="P1101">TRUNC($I1101*(1+_xlfn.SWITCH($N1101,"BDI 1",$P$6,"BDI 2",$P$7,"BDI 3",$P$8)),2)</f>
        <v>0.7</v>
      </c>
      <c r="Q1101" s="157">
        <v>0</v>
      </c>
      <c r="R1101" s="157">
        <v>0</v>
      </c>
      <c r="S1101" s="156">
        <f>TRUNC($K1101*$O1101,2)</f>
        <v>0</v>
      </c>
      <c r="T1101" s="156">
        <f>TRUNC($K1101*$P1101,2)</f>
        <v>0</v>
      </c>
      <c r="U1101" s="156">
        <f>TRUNC($J1101*$R1101,2)</f>
        <v>0</v>
      </c>
      <c r="V1101" s="156">
        <f>TRUNC($K1101*$Q1101,2)</f>
        <v>0</v>
      </c>
      <c r="W1101" s="156">
        <f>TRUNC(V1101-U1101,2)</f>
        <v>0</v>
      </c>
      <c r="X1101" s="158">
        <f>$S1101/ORCAMENTO_VALOR_TOTAL_ND</f>
        <v>0</v>
      </c>
      <c r="Y1101" s="158">
        <f>$T1101/ORCAMENTO_VALOR_TOTAL_DE</f>
        <v>0</v>
      </c>
      <c r="Z1101" s="158" cm="1">
        <f t="array" ref="Z1101">_xlfn.SWITCH($N1101,"BDI 1",$O$6,"BDI 2",$O$7,"BDI 3",$O$8)</f>
        <v>0.20699999999999999</v>
      </c>
      <c r="AA1101" s="158" cm="1">
        <f t="array" ref="AA1101">_xlfn.SWITCH($N1101,"BDI 1",$P$6,"BDI 2",$P$7,"BDI 3",$P$8)</f>
        <v>0.26739999999999997</v>
      </c>
      <c r="AB1101" s="158">
        <f ca="1">IFERROR($S1101/_xlfn.XLOOKUP($AE1101,$B$16:$B$38,$S$16:$S$38),0)</f>
        <v>0</v>
      </c>
      <c r="AC1101" s="158">
        <f ca="1">IFERROR($T1101/_xlfn.XLOOKUP($AE1101,$B$16:$B$38,$T$16:$T$38),0)</f>
        <v>0</v>
      </c>
      <c r="AD1101" s="164"/>
      <c r="AE1101" s="148">
        <f t="shared" si="2495"/>
        <v>0</v>
      </c>
      <c r="AF1101" s="149"/>
      <c r="AG1101" s="150"/>
      <c r="AH1101" s="159" t="e">
        <f>+S1101/$S$1118</f>
        <v>#DIV/0!</v>
      </c>
      <c r="AI1101" s="209">
        <f>IF(K1101=0,0,K1101/F1101)</f>
        <v>0</v>
      </c>
      <c r="AJ1101" s="105"/>
      <c r="AK1101" s="105"/>
      <c r="AM1101" s="105"/>
      <c r="AN1101" s="105"/>
      <c r="AO1101" s="105"/>
      <c r="AP1101" s="105"/>
      <c r="AQ1101" s="105"/>
      <c r="AR1101" s="105"/>
    </row>
    <row r="1102" spans="1:44" s="49" customFormat="1" ht="40.15" hidden="1" customHeight="1">
      <c r="A1102" s="10">
        <f t="shared" ca="1" si="2482"/>
        <v>0</v>
      </c>
      <c r="B1102" s="153"/>
      <c r="C1102" s="154"/>
      <c r="D1102" s="154"/>
      <c r="E1102" s="161" t="s">
        <v>272</v>
      </c>
      <c r="F1102" s="154"/>
      <c r="G1102" s="154"/>
      <c r="H1102" s="152"/>
      <c r="I1102" s="152"/>
      <c r="J1102" s="154"/>
      <c r="K1102" s="154"/>
      <c r="L1102" s="154"/>
      <c r="M1102" s="154"/>
      <c r="N1102" s="154"/>
      <c r="O1102" s="154"/>
      <c r="P1102" s="154"/>
      <c r="Q1102" s="154"/>
      <c r="R1102" s="154"/>
      <c r="S1102" s="162"/>
      <c r="T1102" s="162"/>
      <c r="U1102" s="162"/>
      <c r="V1102" s="162"/>
      <c r="W1102" s="162"/>
      <c r="X1102" s="154"/>
      <c r="Y1102" s="154"/>
      <c r="Z1102" s="154"/>
      <c r="AA1102" s="154"/>
      <c r="AB1102" s="154"/>
      <c r="AC1102" s="154"/>
      <c r="AD1102" s="106"/>
      <c r="AE1102" s="148">
        <f>IF(SUM(S1103:S1104)&gt;0,IFERROR(TRUNC(A1102,0),0),0)</f>
        <v>0</v>
      </c>
      <c r="AF1102" s="149"/>
      <c r="AG1102" s="150"/>
      <c r="AH1102" s="159"/>
      <c r="AI1102" s="160"/>
      <c r="AJ1102" s="105"/>
      <c r="AK1102" s="105"/>
      <c r="AM1102" s="105"/>
      <c r="AN1102" s="105"/>
      <c r="AO1102" s="105"/>
      <c r="AP1102" s="105"/>
      <c r="AQ1102" s="105"/>
      <c r="AR1102" s="105"/>
    </row>
    <row r="1103" spans="1:44" s="49" customFormat="1" ht="40.15" hidden="1" customHeight="1">
      <c r="A1103" s="152">
        <f t="shared" ca="1" si="2482"/>
        <v>0</v>
      </c>
      <c r="B1103" s="153">
        <v>102332</v>
      </c>
      <c r="C1103" s="154" t="str">
        <f>TEXT(B1103,"0")</f>
        <v>102332</v>
      </c>
      <c r="D1103" s="154" t="s">
        <v>1416</v>
      </c>
      <c r="E1103" s="155" t="s">
        <v>3547</v>
      </c>
      <c r="F1103" s="154">
        <f>IF(Dados_DMT!$B$25&lt;30,Dados_DMT!$B$25,30)</f>
        <v>30</v>
      </c>
      <c r="G1103" s="154" t="s">
        <v>3534</v>
      </c>
      <c r="H1103" s="152">
        <v>1.79</v>
      </c>
      <c r="I1103" s="152">
        <v>1.81</v>
      </c>
      <c r="J1103" s="156"/>
      <c r="K1103" s="156"/>
      <c r="L1103" s="156">
        <f>IF($K1103&gt;$J1103,$K1103-$J1103,0)</f>
        <v>0</v>
      </c>
      <c r="M1103" s="156">
        <f>IF($K1103&lt;$J1103,$J1103-$K1103,0)</f>
        <v>0</v>
      </c>
      <c r="N1103" s="156" t="s">
        <v>83</v>
      </c>
      <c r="O1103" s="157" cm="1">
        <f t="array" ref="O1103">TRUNC($H1103*(1+_xlfn.SWITCH($N1103,"BDI 1",$O$6,"BDI 2",$O$7,"BDI 3",$O$8)),2)</f>
        <v>2.16</v>
      </c>
      <c r="P1103" s="157" cm="1">
        <f t="array" ref="P1103">TRUNC($I1103*(1+_xlfn.SWITCH($N1103,"BDI 1",$P$6,"BDI 2",$P$7,"BDI 3",$P$8)),2)</f>
        <v>2.29</v>
      </c>
      <c r="Q1103" s="157">
        <v>0</v>
      </c>
      <c r="R1103" s="157">
        <v>0</v>
      </c>
      <c r="S1103" s="156">
        <f>TRUNC($K1103*$O1103,2)</f>
        <v>0</v>
      </c>
      <c r="T1103" s="156">
        <f>TRUNC($K1103*$P1103,2)</f>
        <v>0</v>
      </c>
      <c r="U1103" s="156">
        <f>TRUNC($J1103*$R1103,2)</f>
        <v>0</v>
      </c>
      <c r="V1103" s="156">
        <f>TRUNC($K1103*$Q1103,2)</f>
        <v>0</v>
      </c>
      <c r="W1103" s="156">
        <f>TRUNC(V1103-U1103,2)</f>
        <v>0</v>
      </c>
      <c r="X1103" s="158">
        <f>$S1103/ORCAMENTO_VALOR_TOTAL_ND</f>
        <v>0</v>
      </c>
      <c r="Y1103" s="158">
        <f>$T1103/ORCAMENTO_VALOR_TOTAL_DE</f>
        <v>0</v>
      </c>
      <c r="Z1103" s="158" cm="1">
        <f t="array" ref="Z1103">_xlfn.SWITCH($N1103,"BDI 1",$O$6,"BDI 2",$O$7,"BDI 3",$O$8)</f>
        <v>0.20699999999999999</v>
      </c>
      <c r="AA1103" s="158" cm="1">
        <f t="array" ref="AA1103">_xlfn.SWITCH($N1103,"BDI 1",$P$6,"BDI 2",$P$7,"BDI 3",$P$8)</f>
        <v>0.26739999999999997</v>
      </c>
      <c r="AB1103" s="158">
        <f ca="1">IFERROR($S1103/_xlfn.XLOOKUP($AE1103,$B$16:$B$38,$S$16:$S$38),0)</f>
        <v>0</v>
      </c>
      <c r="AC1103" s="158">
        <f ca="1">IFERROR($T1103/_xlfn.XLOOKUP($AE1103,$B$16:$B$38,$T$16:$T$38),0)</f>
        <v>0</v>
      </c>
      <c r="AD1103" s="164"/>
      <c r="AE1103" s="148">
        <f t="shared" ref="AE1103:AE1104" si="2496">IF(S1103&gt;0,IFERROR(TRUNC(A1103,0),0),0)</f>
        <v>0</v>
      </c>
      <c r="AF1103" s="149"/>
      <c r="AG1103" s="150"/>
      <c r="AH1103" s="159" t="e">
        <f>+S1103/$S$1118</f>
        <v>#DIV/0!</v>
      </c>
      <c r="AI1103" s="209">
        <f>IF(K1103=0,0,K1103/F1103)</f>
        <v>0</v>
      </c>
      <c r="AJ1103" s="105"/>
      <c r="AK1103" s="105"/>
      <c r="AM1103" s="105"/>
      <c r="AN1103" s="105"/>
      <c r="AO1103" s="105"/>
      <c r="AP1103" s="105"/>
      <c r="AQ1103" s="105"/>
      <c r="AR1103" s="105"/>
    </row>
    <row r="1104" spans="1:44" s="49" customFormat="1" ht="40.15" hidden="1" customHeight="1">
      <c r="A1104" s="152">
        <f t="shared" ca="1" si="2482"/>
        <v>0</v>
      </c>
      <c r="B1104" s="153">
        <v>102333</v>
      </c>
      <c r="C1104" s="154" t="str">
        <f>TEXT(B1104,"0")</f>
        <v>102333</v>
      </c>
      <c r="D1104" s="154" t="s">
        <v>1416</v>
      </c>
      <c r="E1104" s="155" t="s">
        <v>3546</v>
      </c>
      <c r="F1104" s="154">
        <f>+Dados_DMT!$B$25-F1103</f>
        <v>80</v>
      </c>
      <c r="G1104" s="154" t="s">
        <v>3534</v>
      </c>
      <c r="H1104" s="152">
        <v>0.72</v>
      </c>
      <c r="I1104" s="152">
        <v>0.73</v>
      </c>
      <c r="J1104" s="156"/>
      <c r="K1104" s="156"/>
      <c r="L1104" s="156">
        <f>IF($K1104&gt;$J1104,$K1104-$J1104,0)</f>
        <v>0</v>
      </c>
      <c r="M1104" s="156">
        <f>IF($K1104&lt;$J1104,$J1104-$K1104,0)</f>
        <v>0</v>
      </c>
      <c r="N1104" s="156" t="s">
        <v>83</v>
      </c>
      <c r="O1104" s="157" cm="1">
        <f t="array" ref="O1104">TRUNC($H1104*(1+_xlfn.SWITCH($N1104,"BDI 1",$O$6,"BDI 2",$O$7,"BDI 3",$O$8)),2)</f>
        <v>0.86</v>
      </c>
      <c r="P1104" s="157" cm="1">
        <f t="array" ref="P1104">TRUNC($I1104*(1+_xlfn.SWITCH($N1104,"BDI 1",$P$6,"BDI 2",$P$7,"BDI 3",$P$8)),2)</f>
        <v>0.92</v>
      </c>
      <c r="Q1104" s="157">
        <v>0</v>
      </c>
      <c r="R1104" s="157">
        <v>0</v>
      </c>
      <c r="S1104" s="156">
        <f>TRUNC($K1104*$O1104,2)</f>
        <v>0</v>
      </c>
      <c r="T1104" s="156">
        <f>TRUNC($K1104*$P1104,2)</f>
        <v>0</v>
      </c>
      <c r="U1104" s="156">
        <f>TRUNC($J1104*$R1104,2)</f>
        <v>0</v>
      </c>
      <c r="V1104" s="156">
        <f>TRUNC($K1104*$Q1104,2)</f>
        <v>0</v>
      </c>
      <c r="W1104" s="156">
        <f>TRUNC(V1104-U1104,2)</f>
        <v>0</v>
      </c>
      <c r="X1104" s="158">
        <f>$S1104/ORCAMENTO_VALOR_TOTAL_ND</f>
        <v>0</v>
      </c>
      <c r="Y1104" s="158">
        <f>$T1104/ORCAMENTO_VALOR_TOTAL_DE</f>
        <v>0</v>
      </c>
      <c r="Z1104" s="158" cm="1">
        <f t="array" ref="Z1104">_xlfn.SWITCH($N1104,"BDI 1",$O$6,"BDI 2",$O$7,"BDI 3",$O$8)</f>
        <v>0.20699999999999999</v>
      </c>
      <c r="AA1104" s="158" cm="1">
        <f t="array" ref="AA1104">_xlfn.SWITCH($N1104,"BDI 1",$P$6,"BDI 2",$P$7,"BDI 3",$P$8)</f>
        <v>0.26739999999999997</v>
      </c>
      <c r="AB1104" s="158">
        <f ca="1">IFERROR($S1104/_xlfn.XLOOKUP($AE1104,$B$16:$B$38,$S$16:$S$38),0)</f>
        <v>0</v>
      </c>
      <c r="AC1104" s="158">
        <f ca="1">IFERROR($T1104/_xlfn.XLOOKUP($AE1104,$B$16:$B$38,$T$16:$T$38),0)</f>
        <v>0</v>
      </c>
      <c r="AD1104" s="164"/>
      <c r="AE1104" s="148">
        <f t="shared" si="2496"/>
        <v>0</v>
      </c>
      <c r="AF1104" s="149"/>
      <c r="AG1104" s="150"/>
      <c r="AH1104" s="159" t="e">
        <f>+S1104/$S$1118</f>
        <v>#DIV/0!</v>
      </c>
      <c r="AI1104" s="209">
        <f>IF(K1104=0,0,K1104/F1104)</f>
        <v>0</v>
      </c>
      <c r="AJ1104" s="105"/>
      <c r="AK1104" s="105"/>
      <c r="AM1104" s="105"/>
      <c r="AN1104" s="105"/>
      <c r="AO1104" s="105"/>
      <c r="AP1104" s="105"/>
      <c r="AQ1104" s="105"/>
      <c r="AR1104" s="105"/>
    </row>
    <row r="1105" spans="1:44" s="220" customFormat="1" ht="40.15" hidden="1" customHeight="1">
      <c r="A1105" s="10">
        <f t="shared" ca="1" si="2482"/>
        <v>0</v>
      </c>
      <c r="B1105" s="153"/>
      <c r="C1105" s="154"/>
      <c r="D1105" s="154"/>
      <c r="E1105" s="161" t="s">
        <v>376</v>
      </c>
      <c r="F1105" s="154"/>
      <c r="G1105" s="154"/>
      <c r="H1105" s="152"/>
      <c r="I1105" s="152"/>
      <c r="J1105" s="216"/>
      <c r="K1105" s="216"/>
      <c r="L1105" s="216"/>
      <c r="M1105" s="216"/>
      <c r="N1105" s="154"/>
      <c r="O1105" s="154"/>
      <c r="P1105" s="154"/>
      <c r="Q1105" s="154"/>
      <c r="R1105" s="154"/>
      <c r="S1105" s="162"/>
      <c r="T1105" s="162"/>
      <c r="U1105" s="162"/>
      <c r="V1105" s="162"/>
      <c r="W1105" s="162"/>
      <c r="X1105" s="154"/>
      <c r="Y1105" s="154"/>
      <c r="Z1105" s="154"/>
      <c r="AA1105" s="154"/>
      <c r="AB1105" s="154"/>
      <c r="AC1105" s="154"/>
      <c r="AD1105" s="106"/>
      <c r="AE1105" s="148">
        <f>IF(SUM(S1106:S1107)&gt;0,IFERROR(TRUNC(A1105,0),0),0)</f>
        <v>0</v>
      </c>
      <c r="AF1105" s="149"/>
      <c r="AG1105" s="150"/>
      <c r="AH1105" s="159"/>
      <c r="AI1105" s="160" t="s">
        <v>123</v>
      </c>
      <c r="AJ1105" s="219"/>
      <c r="AK1105" s="219"/>
      <c r="AM1105" s="219"/>
      <c r="AN1105" s="219"/>
      <c r="AO1105" s="219"/>
      <c r="AP1105" s="219"/>
      <c r="AQ1105" s="219"/>
      <c r="AR1105" s="219"/>
    </row>
    <row r="1106" spans="1:44" s="220" customFormat="1" ht="40.15" hidden="1" customHeight="1">
      <c r="A1106" s="152">
        <f t="shared" ca="1" si="2482"/>
        <v>0</v>
      </c>
      <c r="B1106" s="153">
        <v>100947</v>
      </c>
      <c r="C1106" s="154" t="str">
        <f>TEXT(B1106,"0")</f>
        <v>100947</v>
      </c>
      <c r="D1106" s="154" t="s">
        <v>1416</v>
      </c>
      <c r="E1106" s="155" t="s">
        <v>385</v>
      </c>
      <c r="F1106" s="154">
        <f>IF(Dados_DMT!B36&lt;30,Dados_DMT!B36,30)</f>
        <v>0</v>
      </c>
      <c r="G1106" s="154" t="s">
        <v>3534</v>
      </c>
      <c r="H1106" s="152">
        <v>2.15</v>
      </c>
      <c r="I1106" s="152">
        <v>2.13</v>
      </c>
      <c r="J1106" s="156"/>
      <c r="K1106" s="156">
        <f>ROUND((K972+K973+K986+K995+K996+K997+K998+K1004+K1005+K1011+K1012+K1018+K1019+K1026+K1039+K1040+K1047+K1048+K1049+K1050+K1051+K1056+K1057+K1058+K1059+K1064+K1065+K1070+K1071+K1072+K1073+K1074+K1082+K1083+K1091+K1092+K1093+K1030)/1000*F1106,2)</f>
        <v>0</v>
      </c>
      <c r="L1106" s="156">
        <f>IF($K1106&gt;$J1106,$K1106-$J1106,0)</f>
        <v>0</v>
      </c>
      <c r="M1106" s="156">
        <f>IF($K1106&lt;$J1106,$J1106-$K1106,0)</f>
        <v>0</v>
      </c>
      <c r="N1106" s="156" t="s">
        <v>83</v>
      </c>
      <c r="O1106" s="157" cm="1">
        <f t="array" ref="O1106">TRUNC($H1106*(1+_xlfn.SWITCH($N1106,"BDI 1",$O$6,"BDI 2",$O$7,"BDI 3",$O$8)),2)</f>
        <v>2.59</v>
      </c>
      <c r="P1106" s="157" cm="1">
        <f t="array" ref="P1106">TRUNC($I1106*(1+_xlfn.SWITCH($N1106,"BDI 1",$P$6,"BDI 2",$P$7,"BDI 3",$P$8)),2)</f>
        <v>2.69</v>
      </c>
      <c r="Q1106" s="157">
        <v>0</v>
      </c>
      <c r="R1106" s="157">
        <v>0</v>
      </c>
      <c r="S1106" s="156">
        <f>TRUNC($K1106*$O1106,2)</f>
        <v>0</v>
      </c>
      <c r="T1106" s="156">
        <f>TRUNC($K1106*$P1106,2)</f>
        <v>0</v>
      </c>
      <c r="U1106" s="156">
        <f>TRUNC($J1106*$R1106,2)</f>
        <v>0</v>
      </c>
      <c r="V1106" s="156">
        <f>TRUNC($K1106*$Q1106,2)</f>
        <v>0</v>
      </c>
      <c r="W1106" s="156">
        <f>TRUNC(V1106-U1106,2)</f>
        <v>0</v>
      </c>
      <c r="X1106" s="158">
        <f>$S1106/ORCAMENTO_VALOR_TOTAL_ND</f>
        <v>0</v>
      </c>
      <c r="Y1106" s="158">
        <f>$T1106/ORCAMENTO_VALOR_TOTAL_DE</f>
        <v>0</v>
      </c>
      <c r="Z1106" s="158" cm="1">
        <f t="array" ref="Z1106">_xlfn.SWITCH($N1106,"BDI 1",$O$6,"BDI 2",$O$7,"BDI 3",$O$8)</f>
        <v>0.20699999999999999</v>
      </c>
      <c r="AA1106" s="158" cm="1">
        <f t="array" ref="AA1106">_xlfn.SWITCH($N1106,"BDI 1",$P$6,"BDI 2",$P$7,"BDI 3",$P$8)</f>
        <v>0.26739999999999997</v>
      </c>
      <c r="AB1106" s="158">
        <f ca="1">IFERROR($S1106/_xlfn.XLOOKUP($AE1106,$B$16:$B$38,$S$16:$S$38),0)</f>
        <v>0</v>
      </c>
      <c r="AC1106" s="158">
        <f ca="1">IFERROR($T1106/_xlfn.XLOOKUP($AE1106,$B$16:$B$38,$T$16:$T$38),0)</f>
        <v>0</v>
      </c>
      <c r="AD1106" s="164"/>
      <c r="AE1106" s="148">
        <f t="shared" ref="AE1106:AE1107" si="2497">IF(S1106&gt;0,IFERROR(TRUNC(A1106,0),0),0)</f>
        <v>0</v>
      </c>
      <c r="AF1106" s="149"/>
      <c r="AG1106" s="150"/>
      <c r="AH1106" s="159" t="e">
        <f>+S1106/$S$961</f>
        <v>#DIV/0!</v>
      </c>
      <c r="AI1106" s="166">
        <f>IF(K1106=0,0,K1106/F1106)</f>
        <v>0</v>
      </c>
      <c r="AJ1106" s="219"/>
      <c r="AK1106" s="219"/>
      <c r="AM1106" s="219"/>
      <c r="AN1106" s="219"/>
      <c r="AO1106" s="219"/>
      <c r="AP1106" s="219"/>
      <c r="AQ1106" s="219"/>
      <c r="AR1106" s="219"/>
    </row>
    <row r="1107" spans="1:44" s="220" customFormat="1" ht="40.15" hidden="1" customHeight="1">
      <c r="A1107" s="152">
        <f t="shared" ca="1" si="2482"/>
        <v>0</v>
      </c>
      <c r="B1107" s="153">
        <v>100948</v>
      </c>
      <c r="C1107" s="154" t="str">
        <f>TEXT(B1107,"0")</f>
        <v>100948</v>
      </c>
      <c r="D1107" s="154" t="s">
        <v>1416</v>
      </c>
      <c r="E1107" s="155" t="s">
        <v>3615</v>
      </c>
      <c r="F1107" s="154">
        <f>Dados_DMT!B36-Orcamento!F1106</f>
        <v>0</v>
      </c>
      <c r="G1107" s="154" t="s">
        <v>3534</v>
      </c>
      <c r="H1107" s="152">
        <v>0.85</v>
      </c>
      <c r="I1107" s="152">
        <v>0.84</v>
      </c>
      <c r="J1107" s="156"/>
      <c r="K1107" s="156">
        <f>ROUND((K972+K973+K986+K995+K996+K997+K998+K1004+K1005+K1011+K1012+K1018+K1019+K1026+K1039+K1040+K1047+K1048+K1049+K1050+K1051+K1056+K1057+K1058+K1059+K1064+K1065+K1070+K1071+K1072+K1073+K1074+K1082+K1083+K1091+K1092+K1093+K1030)/1000*F1107,2)</f>
        <v>0</v>
      </c>
      <c r="L1107" s="156">
        <f>IF($K1107&gt;$J1107,$K1107-$J1107,0)</f>
        <v>0</v>
      </c>
      <c r="M1107" s="156">
        <f>IF($K1107&lt;$J1107,$J1107-$K1107,0)</f>
        <v>0</v>
      </c>
      <c r="N1107" s="156" t="s">
        <v>83</v>
      </c>
      <c r="O1107" s="157" cm="1">
        <f t="array" ref="O1107">TRUNC($H1107*(1+_xlfn.SWITCH($N1107,"BDI 1",$O$6,"BDI 2",$O$7,"BDI 3",$O$8)),2)</f>
        <v>1.02</v>
      </c>
      <c r="P1107" s="157" cm="1">
        <f t="array" ref="P1107">TRUNC($I1107*(1+_xlfn.SWITCH($N1107,"BDI 1",$P$6,"BDI 2",$P$7,"BDI 3",$P$8)),2)</f>
        <v>1.06</v>
      </c>
      <c r="Q1107" s="157">
        <v>0</v>
      </c>
      <c r="R1107" s="157">
        <v>0</v>
      </c>
      <c r="S1107" s="156">
        <f>TRUNC($K1107*$O1107,2)</f>
        <v>0</v>
      </c>
      <c r="T1107" s="156">
        <f>TRUNC($K1107*$P1107,2)</f>
        <v>0</v>
      </c>
      <c r="U1107" s="156">
        <f>TRUNC($J1107*$R1107,2)</f>
        <v>0</v>
      </c>
      <c r="V1107" s="156">
        <f>TRUNC($K1107*$Q1107,2)</f>
        <v>0</v>
      </c>
      <c r="W1107" s="156">
        <f>TRUNC(V1107-U1107,2)</f>
        <v>0</v>
      </c>
      <c r="X1107" s="158">
        <f>$S1107/ORCAMENTO_VALOR_TOTAL_ND</f>
        <v>0</v>
      </c>
      <c r="Y1107" s="158">
        <f>$T1107/ORCAMENTO_VALOR_TOTAL_DE</f>
        <v>0</v>
      </c>
      <c r="Z1107" s="158" cm="1">
        <f t="array" ref="Z1107">_xlfn.SWITCH($N1107,"BDI 1",$O$6,"BDI 2",$O$7,"BDI 3",$O$8)</f>
        <v>0.20699999999999999</v>
      </c>
      <c r="AA1107" s="158" cm="1">
        <f t="array" ref="AA1107">_xlfn.SWITCH($N1107,"BDI 1",$P$6,"BDI 2",$P$7,"BDI 3",$P$8)</f>
        <v>0.26739999999999997</v>
      </c>
      <c r="AB1107" s="158">
        <f ca="1">IFERROR($S1107/_xlfn.XLOOKUP($AE1107,$B$16:$B$38,$S$16:$S$38),0)</f>
        <v>0</v>
      </c>
      <c r="AC1107" s="158">
        <f ca="1">IFERROR($T1107/_xlfn.XLOOKUP($AE1107,$B$16:$B$38,$T$16:$T$38),0)</f>
        <v>0</v>
      </c>
      <c r="AD1107" s="164"/>
      <c r="AE1107" s="148">
        <f t="shared" si="2497"/>
        <v>0</v>
      </c>
      <c r="AF1107" s="149"/>
      <c r="AG1107" s="150"/>
      <c r="AH1107" s="159" t="e">
        <f>+S1107/$S$961</f>
        <v>#DIV/0!</v>
      </c>
      <c r="AI1107" s="166">
        <f>IF(K1107=0,0,K1107/F1107)</f>
        <v>0</v>
      </c>
      <c r="AJ1107" s="219"/>
      <c r="AK1107" s="219"/>
      <c r="AM1107" s="219"/>
      <c r="AN1107" s="219"/>
      <c r="AO1107" s="219"/>
      <c r="AP1107" s="219"/>
      <c r="AQ1107" s="219"/>
      <c r="AR1107" s="219"/>
    </row>
    <row r="1108" spans="1:44" s="220" customFormat="1" ht="40.15" hidden="1" customHeight="1">
      <c r="A1108" s="10">
        <f t="shared" ca="1" si="2482"/>
        <v>0</v>
      </c>
      <c r="B1108" s="153"/>
      <c r="C1108" s="154"/>
      <c r="D1108" s="154"/>
      <c r="E1108" s="161" t="s">
        <v>377</v>
      </c>
      <c r="F1108" s="154"/>
      <c r="G1108" s="154"/>
      <c r="H1108" s="152"/>
      <c r="I1108" s="152"/>
      <c r="J1108" s="216"/>
      <c r="K1108" s="216"/>
      <c r="L1108" s="216"/>
      <c r="M1108" s="216"/>
      <c r="N1108" s="154"/>
      <c r="O1108" s="154"/>
      <c r="P1108" s="154"/>
      <c r="Q1108" s="154"/>
      <c r="R1108" s="154"/>
      <c r="S1108" s="162"/>
      <c r="T1108" s="162"/>
      <c r="U1108" s="162"/>
      <c r="V1108" s="162"/>
      <c r="W1108" s="162"/>
      <c r="X1108" s="154"/>
      <c r="Y1108" s="154"/>
      <c r="Z1108" s="154"/>
      <c r="AA1108" s="154"/>
      <c r="AB1108" s="154"/>
      <c r="AC1108" s="154"/>
      <c r="AD1108" s="106"/>
      <c r="AE1108" s="148">
        <f>IF(SUM(S1109:S1110)&gt;0,IFERROR(TRUNC(A1108,0),0),0)</f>
        <v>0</v>
      </c>
      <c r="AF1108" s="149"/>
      <c r="AG1108" s="150"/>
      <c r="AH1108" s="159"/>
      <c r="AI1108" s="160"/>
      <c r="AJ1108" s="219"/>
      <c r="AK1108" s="219"/>
      <c r="AM1108" s="219"/>
      <c r="AN1108" s="219"/>
      <c r="AO1108" s="219"/>
      <c r="AP1108" s="219"/>
      <c r="AQ1108" s="219"/>
      <c r="AR1108" s="219"/>
    </row>
    <row r="1109" spans="1:44" s="220" customFormat="1" ht="40.15" hidden="1" customHeight="1">
      <c r="A1109" s="152">
        <f t="shared" ca="1" si="2482"/>
        <v>0</v>
      </c>
      <c r="B1109" s="153">
        <v>95876</v>
      </c>
      <c r="C1109" s="154" t="str">
        <f>TEXT(B1109,"0")</f>
        <v>95876</v>
      </c>
      <c r="D1109" s="154" t="s">
        <v>1416</v>
      </c>
      <c r="E1109" s="155" t="s">
        <v>3537</v>
      </c>
      <c r="F1109" s="154">
        <f>IF(Dados_DMT!$B$14&lt;30,Dados_DMT!$B$14,30)</f>
        <v>3.5</v>
      </c>
      <c r="G1109" s="154" t="s">
        <v>3538</v>
      </c>
      <c r="H1109" s="152">
        <v>2.09</v>
      </c>
      <c r="I1109" s="152">
        <v>2.1</v>
      </c>
      <c r="J1109" s="156"/>
      <c r="K1109" s="156">
        <f>ROUND(((K969+K983+K1023+K1088)*0.8076+(K1053+K1021+K1044+K1079+K1086+K1015+K1061)*0.7119)*F1109,2)</f>
        <v>0</v>
      </c>
      <c r="L1109" s="156">
        <f>IF($K1109&gt;$J1109,$K1109-$J1109,0)</f>
        <v>0</v>
      </c>
      <c r="M1109" s="156">
        <f>IF($K1109&lt;$J1109,$J1109-$K1109,0)</f>
        <v>0</v>
      </c>
      <c r="N1109" s="156" t="s">
        <v>83</v>
      </c>
      <c r="O1109" s="157" cm="1">
        <f t="array" ref="O1109">TRUNC($H1109*(1+_xlfn.SWITCH($N1109,"BDI 1",$O$6,"BDI 2",$O$7,"BDI 3",$O$8)),2)</f>
        <v>2.52</v>
      </c>
      <c r="P1109" s="157" cm="1">
        <f t="array" ref="P1109">TRUNC($I1109*(1+_xlfn.SWITCH($N1109,"BDI 1",$P$6,"BDI 2",$P$7,"BDI 3",$P$8)),2)</f>
        <v>2.66</v>
      </c>
      <c r="Q1109" s="157">
        <v>0</v>
      </c>
      <c r="R1109" s="157">
        <v>0</v>
      </c>
      <c r="S1109" s="156">
        <f>TRUNC($K1109*$O1109,2)</f>
        <v>0</v>
      </c>
      <c r="T1109" s="156">
        <f>TRUNC($K1109*$P1109,2)</f>
        <v>0</v>
      </c>
      <c r="U1109" s="156">
        <f>TRUNC($J1109*$R1109,2)</f>
        <v>0</v>
      </c>
      <c r="V1109" s="156">
        <f>TRUNC($K1109*$Q1109,2)</f>
        <v>0</v>
      </c>
      <c r="W1109" s="156">
        <f>TRUNC(V1109-U1109,2)</f>
        <v>0</v>
      </c>
      <c r="X1109" s="158">
        <f>$S1109/ORCAMENTO_VALOR_TOTAL_ND</f>
        <v>0</v>
      </c>
      <c r="Y1109" s="158">
        <f>$T1109/ORCAMENTO_VALOR_TOTAL_DE</f>
        <v>0</v>
      </c>
      <c r="Z1109" s="158" cm="1">
        <f t="array" ref="Z1109">_xlfn.SWITCH($N1109,"BDI 1",$O$6,"BDI 2",$O$7,"BDI 3",$O$8)</f>
        <v>0.20699999999999999</v>
      </c>
      <c r="AA1109" s="158" cm="1">
        <f t="array" ref="AA1109">_xlfn.SWITCH($N1109,"BDI 1",$P$6,"BDI 2",$P$7,"BDI 3",$P$8)</f>
        <v>0.26739999999999997</v>
      </c>
      <c r="AB1109" s="158">
        <f ca="1">IFERROR($S1109/_xlfn.XLOOKUP($AE1109,$B$16:$B$38,$S$16:$S$38),0)</f>
        <v>0</v>
      </c>
      <c r="AC1109" s="158">
        <f ca="1">IFERROR($T1109/_xlfn.XLOOKUP($AE1109,$B$16:$B$38,$T$16:$T$38),0)</f>
        <v>0</v>
      </c>
      <c r="AD1109" s="164"/>
      <c r="AE1109" s="148">
        <f t="shared" ref="AE1109:AE1110" si="2498">IF(S1109&gt;0,IFERROR(TRUNC(A1109,0),0),0)</f>
        <v>0</v>
      </c>
      <c r="AF1109" s="149"/>
      <c r="AG1109" s="150"/>
      <c r="AH1109" s="159" t="e">
        <f>+S1109/$S$961</f>
        <v>#DIV/0!</v>
      </c>
      <c r="AI1109" s="160"/>
      <c r="AJ1109" s="219"/>
      <c r="AK1109" s="219"/>
      <c r="AM1109" s="219"/>
      <c r="AN1109" s="219"/>
      <c r="AO1109" s="219"/>
      <c r="AP1109" s="219"/>
      <c r="AQ1109" s="219"/>
      <c r="AR1109" s="219"/>
    </row>
    <row r="1110" spans="1:44" s="220" customFormat="1" ht="40.15" hidden="1" customHeight="1">
      <c r="A1110" s="152">
        <f t="shared" ca="1" si="2482"/>
        <v>0</v>
      </c>
      <c r="B1110" s="153">
        <v>93593</v>
      </c>
      <c r="C1110" s="154" t="str">
        <f>TEXT(B1110,"0")</f>
        <v>93593</v>
      </c>
      <c r="D1110" s="154" t="s">
        <v>1416</v>
      </c>
      <c r="E1110" s="155" t="s">
        <v>3545</v>
      </c>
      <c r="F1110" s="154">
        <f>+Dados_DMT!$B$14-F1109</f>
        <v>0</v>
      </c>
      <c r="G1110" s="154" t="s">
        <v>3538</v>
      </c>
      <c r="H1110" s="152">
        <v>0.84</v>
      </c>
      <c r="I1110" s="152">
        <v>0.85</v>
      </c>
      <c r="J1110" s="156"/>
      <c r="K1110" s="156">
        <f>ROUND(((K969+K983+K1023+K1088)*0.8076+(K1053+K1021+K1044+K1079+K1086+K1015+K1061)*0.7119)*F1110,2)</f>
        <v>0</v>
      </c>
      <c r="L1110" s="156">
        <f>IF($K1110&gt;$J1110,$K1110-$J1110,0)</f>
        <v>0</v>
      </c>
      <c r="M1110" s="156">
        <f>IF($K1110&lt;$J1110,$J1110-$K1110,0)</f>
        <v>0</v>
      </c>
      <c r="N1110" s="156" t="s">
        <v>83</v>
      </c>
      <c r="O1110" s="157" cm="1">
        <f t="array" ref="O1110">TRUNC($H1110*(1+_xlfn.SWITCH($N1110,"BDI 1",$O$6,"BDI 2",$O$7,"BDI 3",$O$8)),2)</f>
        <v>1.01</v>
      </c>
      <c r="P1110" s="157" cm="1">
        <f t="array" ref="P1110">TRUNC($I1110*(1+_xlfn.SWITCH($N1110,"BDI 1",$P$6,"BDI 2",$P$7,"BDI 3",$P$8)),2)</f>
        <v>1.07</v>
      </c>
      <c r="Q1110" s="157">
        <v>0</v>
      </c>
      <c r="R1110" s="157">
        <v>0</v>
      </c>
      <c r="S1110" s="156">
        <f>TRUNC($K1110*$O1110,2)</f>
        <v>0</v>
      </c>
      <c r="T1110" s="156">
        <f>TRUNC($K1110*$P1110,2)</f>
        <v>0</v>
      </c>
      <c r="U1110" s="156">
        <f>TRUNC($J1110*$R1110,2)</f>
        <v>0</v>
      </c>
      <c r="V1110" s="156">
        <f>TRUNC($K1110*$Q1110,2)</f>
        <v>0</v>
      </c>
      <c r="W1110" s="156">
        <f>TRUNC(V1110-U1110,2)</f>
        <v>0</v>
      </c>
      <c r="X1110" s="158">
        <f>$S1110/ORCAMENTO_VALOR_TOTAL_ND</f>
        <v>0</v>
      </c>
      <c r="Y1110" s="158">
        <f>$T1110/ORCAMENTO_VALOR_TOTAL_DE</f>
        <v>0</v>
      </c>
      <c r="Z1110" s="158" cm="1">
        <f t="array" ref="Z1110">_xlfn.SWITCH($N1110,"BDI 1",$O$6,"BDI 2",$O$7,"BDI 3",$O$8)</f>
        <v>0.20699999999999999</v>
      </c>
      <c r="AA1110" s="158" cm="1">
        <f t="array" ref="AA1110">_xlfn.SWITCH($N1110,"BDI 1",$P$6,"BDI 2",$P$7,"BDI 3",$P$8)</f>
        <v>0.26739999999999997</v>
      </c>
      <c r="AB1110" s="158">
        <f ca="1">IFERROR($S1110/_xlfn.XLOOKUP($AE1110,$B$16:$B$38,$S$16:$S$38),0)</f>
        <v>0</v>
      </c>
      <c r="AC1110" s="158">
        <f ca="1">IFERROR($T1110/_xlfn.XLOOKUP($AE1110,$B$16:$B$38,$T$16:$T$38),0)</f>
        <v>0</v>
      </c>
      <c r="AD1110" s="164"/>
      <c r="AE1110" s="148">
        <f t="shared" si="2498"/>
        <v>0</v>
      </c>
      <c r="AF1110" s="149"/>
      <c r="AG1110" s="150"/>
      <c r="AH1110" s="159" t="e">
        <f>+S1110/$S$961</f>
        <v>#DIV/0!</v>
      </c>
      <c r="AI1110" s="160"/>
      <c r="AJ1110" s="219"/>
      <c r="AK1110" s="219"/>
      <c r="AM1110" s="219"/>
      <c r="AN1110" s="219"/>
      <c r="AO1110" s="219"/>
      <c r="AP1110" s="219"/>
      <c r="AQ1110" s="219"/>
      <c r="AR1110" s="219"/>
    </row>
    <row r="1111" spans="1:44" s="220" customFormat="1" ht="40.15" hidden="1" customHeight="1">
      <c r="A1111" s="10">
        <f t="shared" ca="1" si="2482"/>
        <v>0</v>
      </c>
      <c r="B1111" s="153"/>
      <c r="C1111" s="154"/>
      <c r="D1111" s="154"/>
      <c r="E1111" s="161" t="s">
        <v>378</v>
      </c>
      <c r="F1111" s="154"/>
      <c r="G1111" s="154"/>
      <c r="H1111" s="152"/>
      <c r="I1111" s="152"/>
      <c r="J1111" s="216"/>
      <c r="K1111" s="216"/>
      <c r="L1111" s="216"/>
      <c r="M1111" s="216"/>
      <c r="N1111" s="154"/>
      <c r="O1111" s="154"/>
      <c r="P1111" s="154"/>
      <c r="Q1111" s="154"/>
      <c r="R1111" s="154"/>
      <c r="S1111" s="162"/>
      <c r="T1111" s="162"/>
      <c r="U1111" s="162"/>
      <c r="V1111" s="162"/>
      <c r="W1111" s="162"/>
      <c r="X1111" s="154"/>
      <c r="Y1111" s="154"/>
      <c r="Z1111" s="154"/>
      <c r="AA1111" s="154"/>
      <c r="AB1111" s="154"/>
      <c r="AC1111" s="154"/>
      <c r="AD1111" s="106"/>
      <c r="AE1111" s="148">
        <f>IF(SUM(S1112:S1113)&gt;0,IFERROR(TRUNC(A1111,0),0),0)</f>
        <v>0</v>
      </c>
      <c r="AF1111" s="149"/>
      <c r="AG1111" s="150"/>
      <c r="AH1111" s="159"/>
      <c r="AI1111" s="160"/>
      <c r="AJ1111" s="219"/>
      <c r="AK1111" s="219"/>
      <c r="AM1111" s="219"/>
      <c r="AN1111" s="219"/>
      <c r="AO1111" s="219"/>
      <c r="AP1111" s="219"/>
      <c r="AQ1111" s="219"/>
      <c r="AR1111" s="219"/>
    </row>
    <row r="1112" spans="1:44" s="220" customFormat="1" ht="40.15" hidden="1" customHeight="1">
      <c r="A1112" s="152">
        <f t="shared" ca="1" si="2482"/>
        <v>0</v>
      </c>
      <c r="B1112" s="153">
        <v>95876</v>
      </c>
      <c r="C1112" s="154" t="str">
        <f>TEXT(B1112,"0")</f>
        <v>95876</v>
      </c>
      <c r="D1112" s="154" t="s">
        <v>1416</v>
      </c>
      <c r="E1112" s="155" t="s">
        <v>3537</v>
      </c>
      <c r="F1112" s="154">
        <f>IF(Dados_DMT!$B$34&lt;30,Dados_DMT!$B$34,30)</f>
        <v>30</v>
      </c>
      <c r="G1112" s="154" t="s">
        <v>3538</v>
      </c>
      <c r="H1112" s="152">
        <v>2.09</v>
      </c>
      <c r="I1112" s="152">
        <v>2.1</v>
      </c>
      <c r="J1112" s="156"/>
      <c r="K1112" s="156">
        <f>ROUND(((K969+K983+K1023+K1088)*0.5813+(K1053+K1021+K1044+K1079+K1086+K1015+K1061)*0.5927)*F1112,2)</f>
        <v>0</v>
      </c>
      <c r="L1112" s="156">
        <f>IF($K1112&gt;$J1112,$K1112-$J1112,0)</f>
        <v>0</v>
      </c>
      <c r="M1112" s="156">
        <f>IF($K1112&lt;$J1112,$J1112-$K1112,0)</f>
        <v>0</v>
      </c>
      <c r="N1112" s="156" t="s">
        <v>83</v>
      </c>
      <c r="O1112" s="157" cm="1">
        <f t="array" ref="O1112">TRUNC($H1112*(1+_xlfn.SWITCH($N1112,"BDI 1",$O$6,"BDI 2",$O$7,"BDI 3",$O$8)),2)</f>
        <v>2.52</v>
      </c>
      <c r="P1112" s="157" cm="1">
        <f t="array" ref="P1112">TRUNC($I1112*(1+_xlfn.SWITCH($N1112,"BDI 1",$P$6,"BDI 2",$P$7,"BDI 3",$P$8)),2)</f>
        <v>2.66</v>
      </c>
      <c r="Q1112" s="157">
        <v>0</v>
      </c>
      <c r="R1112" s="157">
        <v>0</v>
      </c>
      <c r="S1112" s="156">
        <f>TRUNC($K1112*$O1112,2)</f>
        <v>0</v>
      </c>
      <c r="T1112" s="156">
        <f>TRUNC($K1112*$P1112,2)</f>
        <v>0</v>
      </c>
      <c r="U1112" s="156">
        <f>TRUNC($J1112*$R1112,2)</f>
        <v>0</v>
      </c>
      <c r="V1112" s="156">
        <f>TRUNC($K1112*$Q1112,2)</f>
        <v>0</v>
      </c>
      <c r="W1112" s="156">
        <f>TRUNC(V1112-U1112,2)</f>
        <v>0</v>
      </c>
      <c r="X1112" s="158">
        <f>$S1112/ORCAMENTO_VALOR_TOTAL_ND</f>
        <v>0</v>
      </c>
      <c r="Y1112" s="158">
        <f>$T1112/ORCAMENTO_VALOR_TOTAL_DE</f>
        <v>0</v>
      </c>
      <c r="Z1112" s="158" cm="1">
        <f t="array" ref="Z1112">_xlfn.SWITCH($N1112,"BDI 1",$O$6,"BDI 2",$O$7,"BDI 3",$O$8)</f>
        <v>0.20699999999999999</v>
      </c>
      <c r="AA1112" s="158" cm="1">
        <f t="array" ref="AA1112">_xlfn.SWITCH($N1112,"BDI 1",$P$6,"BDI 2",$P$7,"BDI 3",$P$8)</f>
        <v>0.26739999999999997</v>
      </c>
      <c r="AB1112" s="158">
        <f ca="1">IFERROR($S1112/_xlfn.XLOOKUP($AE1112,$B$16:$B$38,$S$16:$S$38),0)</f>
        <v>0</v>
      </c>
      <c r="AC1112" s="158">
        <f ca="1">IFERROR($T1112/_xlfn.XLOOKUP($AE1112,$B$16:$B$38,$T$16:$T$38),0)</f>
        <v>0</v>
      </c>
      <c r="AD1112" s="164"/>
      <c r="AE1112" s="148">
        <f t="shared" ref="AE1112:AE1113" si="2499">IF(S1112&gt;0,IFERROR(TRUNC(A1112,0),0),0)</f>
        <v>0</v>
      </c>
      <c r="AF1112" s="149"/>
      <c r="AG1112" s="150"/>
      <c r="AH1112" s="159" t="e">
        <f>+S1112/$S$961</f>
        <v>#DIV/0!</v>
      </c>
      <c r="AI1112" s="166">
        <f>IF(K1112=0,0,K1112/F1112)</f>
        <v>0</v>
      </c>
      <c r="AJ1112" s="219"/>
      <c r="AK1112" s="219"/>
      <c r="AM1112" s="219"/>
      <c r="AN1112" s="219"/>
      <c r="AO1112" s="219"/>
      <c r="AP1112" s="219"/>
      <c r="AQ1112" s="219"/>
      <c r="AR1112" s="219"/>
    </row>
    <row r="1113" spans="1:44" s="220" customFormat="1" ht="40.15" hidden="1" customHeight="1">
      <c r="A1113" s="152">
        <f t="shared" ca="1" si="2482"/>
        <v>0</v>
      </c>
      <c r="B1113" s="153">
        <v>93593</v>
      </c>
      <c r="C1113" s="154" t="str">
        <f>TEXT(B1113,"0")</f>
        <v>93593</v>
      </c>
      <c r="D1113" s="154" t="s">
        <v>1416</v>
      </c>
      <c r="E1113" s="155" t="s">
        <v>3545</v>
      </c>
      <c r="F1113" s="154">
        <f>+Dados_DMT!$B$34-F1112</f>
        <v>80</v>
      </c>
      <c r="G1113" s="154" t="s">
        <v>3538</v>
      </c>
      <c r="H1113" s="152">
        <v>0.84</v>
      </c>
      <c r="I1113" s="152">
        <v>0.85</v>
      </c>
      <c r="J1113" s="156"/>
      <c r="K1113" s="156">
        <f>ROUND(((K969+K983+K1023+K1088)*0.5813+(K1053+K1021+K1044+K1079+K1086+K1015+K1061)*0.5927)*F1113,2)</f>
        <v>0</v>
      </c>
      <c r="L1113" s="156">
        <f>IF($K1113&gt;$J1113,$K1113-$J1113,0)</f>
        <v>0</v>
      </c>
      <c r="M1113" s="156">
        <f>IF($K1113&lt;$J1113,$J1113-$K1113,0)</f>
        <v>0</v>
      </c>
      <c r="N1113" s="156" t="s">
        <v>83</v>
      </c>
      <c r="O1113" s="157" cm="1">
        <f t="array" ref="O1113">TRUNC($H1113*(1+_xlfn.SWITCH($N1113,"BDI 1",$O$6,"BDI 2",$O$7,"BDI 3",$O$8)),2)</f>
        <v>1.01</v>
      </c>
      <c r="P1113" s="157" cm="1">
        <f t="array" ref="P1113">TRUNC($I1113*(1+_xlfn.SWITCH($N1113,"BDI 1",$P$6,"BDI 2",$P$7,"BDI 3",$P$8)),2)</f>
        <v>1.07</v>
      </c>
      <c r="Q1113" s="157">
        <v>0</v>
      </c>
      <c r="R1113" s="157">
        <v>0</v>
      </c>
      <c r="S1113" s="156">
        <f>TRUNC($K1113*$O1113,2)</f>
        <v>0</v>
      </c>
      <c r="T1113" s="156">
        <f>TRUNC($K1113*$P1113,2)</f>
        <v>0</v>
      </c>
      <c r="U1113" s="156">
        <f>TRUNC($J1113*$R1113,2)</f>
        <v>0</v>
      </c>
      <c r="V1113" s="156">
        <f>TRUNC($K1113*$Q1113,2)</f>
        <v>0</v>
      </c>
      <c r="W1113" s="156">
        <f>TRUNC(V1113-U1113,2)</f>
        <v>0</v>
      </c>
      <c r="X1113" s="158">
        <f>$S1113/ORCAMENTO_VALOR_TOTAL_ND</f>
        <v>0</v>
      </c>
      <c r="Y1113" s="158">
        <f>$T1113/ORCAMENTO_VALOR_TOTAL_DE</f>
        <v>0</v>
      </c>
      <c r="Z1113" s="158" cm="1">
        <f t="array" ref="Z1113">_xlfn.SWITCH($N1113,"BDI 1",$O$6,"BDI 2",$O$7,"BDI 3",$O$8)</f>
        <v>0.20699999999999999</v>
      </c>
      <c r="AA1113" s="158" cm="1">
        <f t="array" ref="AA1113">_xlfn.SWITCH($N1113,"BDI 1",$P$6,"BDI 2",$P$7,"BDI 3",$P$8)</f>
        <v>0.26739999999999997</v>
      </c>
      <c r="AB1113" s="158">
        <f ca="1">IFERROR($S1113/_xlfn.XLOOKUP($AE1113,$B$16:$B$38,$S$16:$S$38),0)</f>
        <v>0</v>
      </c>
      <c r="AC1113" s="158">
        <f ca="1">IFERROR($T1113/_xlfn.XLOOKUP($AE1113,$B$16:$B$38,$T$16:$T$38),0)</f>
        <v>0</v>
      </c>
      <c r="AD1113" s="164"/>
      <c r="AE1113" s="148">
        <f t="shared" si="2499"/>
        <v>0</v>
      </c>
      <c r="AF1113" s="149"/>
      <c r="AG1113" s="150"/>
      <c r="AH1113" s="159" t="e">
        <f>+S1113/$S$961</f>
        <v>#DIV/0!</v>
      </c>
      <c r="AI1113" s="166">
        <f>IF(K1113=0,0,K1113/F1113)</f>
        <v>0</v>
      </c>
      <c r="AJ1113" s="219"/>
      <c r="AK1113" s="219"/>
      <c r="AM1113" s="219"/>
      <c r="AN1113" s="219"/>
      <c r="AO1113" s="219"/>
      <c r="AP1113" s="219"/>
      <c r="AQ1113" s="219"/>
      <c r="AR1113" s="219"/>
    </row>
    <row r="1114" spans="1:44" s="220" customFormat="1" ht="40.15" hidden="1" customHeight="1">
      <c r="A1114" s="10">
        <f t="shared" ca="1" si="2482"/>
        <v>0</v>
      </c>
      <c r="B1114" s="153"/>
      <c r="C1114" s="154"/>
      <c r="D1114" s="154"/>
      <c r="E1114" s="161" t="s">
        <v>379</v>
      </c>
      <c r="F1114" s="154"/>
      <c r="G1114" s="154"/>
      <c r="H1114" s="152"/>
      <c r="I1114" s="152"/>
      <c r="J1114" s="216"/>
      <c r="K1114" s="216"/>
      <c r="L1114" s="216"/>
      <c r="M1114" s="216"/>
      <c r="N1114" s="154"/>
      <c r="O1114" s="154"/>
      <c r="P1114" s="154"/>
      <c r="Q1114" s="154"/>
      <c r="R1114" s="154"/>
      <c r="S1114" s="162"/>
      <c r="T1114" s="162"/>
      <c r="U1114" s="162"/>
      <c r="V1114" s="162"/>
      <c r="W1114" s="162"/>
      <c r="X1114" s="154"/>
      <c r="Y1114" s="154"/>
      <c r="Z1114" s="154"/>
      <c r="AA1114" s="154"/>
      <c r="AB1114" s="154"/>
      <c r="AC1114" s="154"/>
      <c r="AD1114" s="106"/>
      <c r="AE1114" s="148">
        <f>IF(SUM(S1115:S1116)&gt;0,IFERROR(TRUNC(A1114,0),0),0)</f>
        <v>0</v>
      </c>
      <c r="AF1114" s="149"/>
      <c r="AG1114" s="150"/>
      <c r="AH1114" s="159"/>
      <c r="AI1114" s="160"/>
      <c r="AJ1114" s="219"/>
      <c r="AK1114" s="219"/>
      <c r="AM1114" s="219"/>
      <c r="AN1114" s="219"/>
      <c r="AO1114" s="219"/>
      <c r="AP1114" s="219"/>
      <c r="AQ1114" s="219"/>
      <c r="AR1114" s="219"/>
    </row>
    <row r="1115" spans="1:44" s="220" customFormat="1" ht="40.15" hidden="1" customHeight="1">
      <c r="A1115" s="152">
        <f t="shared" ca="1" si="2482"/>
        <v>0</v>
      </c>
      <c r="B1115" s="153">
        <v>100947</v>
      </c>
      <c r="C1115" s="154" t="str">
        <f>TEXT(B1115,"0")</f>
        <v>100947</v>
      </c>
      <c r="D1115" s="154" t="s">
        <v>1416</v>
      </c>
      <c r="E1115" s="155" t="s">
        <v>385</v>
      </c>
      <c r="F1115" s="154">
        <f>IF(Dados_DMT!$B$35&lt;30,Dados_DMT!$B$35,30)</f>
        <v>0</v>
      </c>
      <c r="G1115" s="154" t="s">
        <v>3534</v>
      </c>
      <c r="H1115" s="152">
        <v>2.15</v>
      </c>
      <c r="I1115" s="152">
        <v>2.13</v>
      </c>
      <c r="J1115" s="156"/>
      <c r="K1115" s="156">
        <f>ROUND(((K969+K983+K1023+K1088)*274.0635+(K1053+K1021+K1044+K1079+K1086+K1015+K1061)*391.1663)/1000*F1115,2)</f>
        <v>0</v>
      </c>
      <c r="L1115" s="156">
        <f>IF($K1115&gt;$J1115,$K1115-$J1115,0)</f>
        <v>0</v>
      </c>
      <c r="M1115" s="156">
        <f>IF($K1115&lt;$J1115,$J1115-$K1115,0)</f>
        <v>0</v>
      </c>
      <c r="N1115" s="156" t="s">
        <v>83</v>
      </c>
      <c r="O1115" s="157" cm="1">
        <f t="array" ref="O1115">TRUNC($H1115*(1+_xlfn.SWITCH($N1115,"BDI 1",$O$6,"BDI 2",$O$7,"BDI 3",$O$8)),2)</f>
        <v>2.59</v>
      </c>
      <c r="P1115" s="157" cm="1">
        <f t="array" ref="P1115">TRUNC($I1115*(1+_xlfn.SWITCH($N1115,"BDI 1",$P$6,"BDI 2",$P$7,"BDI 3",$P$8)),2)</f>
        <v>2.69</v>
      </c>
      <c r="Q1115" s="157">
        <v>0</v>
      </c>
      <c r="R1115" s="157">
        <v>0</v>
      </c>
      <c r="S1115" s="156">
        <f>TRUNC($K1115*$O1115,2)</f>
        <v>0</v>
      </c>
      <c r="T1115" s="156">
        <f>TRUNC($K1115*$P1115,2)</f>
        <v>0</v>
      </c>
      <c r="U1115" s="156">
        <f>TRUNC($J1115*$R1115,2)</f>
        <v>0</v>
      </c>
      <c r="V1115" s="156">
        <f>TRUNC($K1115*$Q1115,2)</f>
        <v>0</v>
      </c>
      <c r="W1115" s="156">
        <f>TRUNC(V1115-U1115,2)</f>
        <v>0</v>
      </c>
      <c r="X1115" s="158">
        <f>$S1115/ORCAMENTO_VALOR_TOTAL_ND</f>
        <v>0</v>
      </c>
      <c r="Y1115" s="158">
        <f>$T1115/ORCAMENTO_VALOR_TOTAL_DE</f>
        <v>0</v>
      </c>
      <c r="Z1115" s="158" cm="1">
        <f t="array" ref="Z1115">_xlfn.SWITCH($N1115,"BDI 1",$O$6,"BDI 2",$O$7,"BDI 3",$O$8)</f>
        <v>0.20699999999999999</v>
      </c>
      <c r="AA1115" s="158" cm="1">
        <f t="array" ref="AA1115">_xlfn.SWITCH($N1115,"BDI 1",$P$6,"BDI 2",$P$7,"BDI 3",$P$8)</f>
        <v>0.26739999999999997</v>
      </c>
      <c r="AB1115" s="158">
        <f ca="1">IFERROR($S1115/_xlfn.XLOOKUP($AE1115,$B$16:$B$38,$S$16:$S$38),0)</f>
        <v>0</v>
      </c>
      <c r="AC1115" s="158">
        <f ca="1">IFERROR($T1115/_xlfn.XLOOKUP($AE1115,$B$16:$B$38,$T$16:$T$38),0)</f>
        <v>0</v>
      </c>
      <c r="AD1115" s="164"/>
      <c r="AE1115" s="148">
        <f t="shared" ref="AE1115:AE1116" si="2500">IF(S1115&gt;0,IFERROR(TRUNC(A1115,0),0),0)</f>
        <v>0</v>
      </c>
      <c r="AF1115" s="149"/>
      <c r="AG1115" s="150"/>
      <c r="AH1115" s="159" t="e">
        <f>+S1115/$S$961</f>
        <v>#DIV/0!</v>
      </c>
      <c r="AI1115" s="160"/>
      <c r="AJ1115" s="219"/>
      <c r="AK1115" s="219"/>
      <c r="AM1115" s="219"/>
      <c r="AN1115" s="219"/>
      <c r="AO1115" s="219"/>
      <c r="AP1115" s="219"/>
      <c r="AQ1115" s="219"/>
      <c r="AR1115" s="219"/>
    </row>
    <row r="1116" spans="1:44" s="220" customFormat="1" ht="40.15" hidden="1" customHeight="1">
      <c r="A1116" s="152">
        <f t="shared" ca="1" si="2482"/>
        <v>0</v>
      </c>
      <c r="B1116" s="153">
        <v>100948</v>
      </c>
      <c r="C1116" s="154" t="str">
        <f>TEXT(B1116,"0")</f>
        <v>100948</v>
      </c>
      <c r="D1116" s="154" t="s">
        <v>1416</v>
      </c>
      <c r="E1116" s="155" t="s">
        <v>3615</v>
      </c>
      <c r="F1116" s="154">
        <f>+Dados_DMT!$B$35-F1115</f>
        <v>0</v>
      </c>
      <c r="G1116" s="154" t="s">
        <v>3534</v>
      </c>
      <c r="H1116" s="152">
        <v>0.85</v>
      </c>
      <c r="I1116" s="152">
        <v>0.84</v>
      </c>
      <c r="J1116" s="156"/>
      <c r="K1116" s="156">
        <f>ROUND(((K969+K983+K1023+K1088)*274.0635+(K1053+K1021+K1044+K1079+K1086+K1015+K1061)*391.1663)/1000*F1116,2)</f>
        <v>0</v>
      </c>
      <c r="L1116" s="156">
        <f>IF($K1116&gt;$J1116,$K1116-$J1116,0)</f>
        <v>0</v>
      </c>
      <c r="M1116" s="156">
        <f>IF($K1116&lt;$J1116,$J1116-$K1116,0)</f>
        <v>0</v>
      </c>
      <c r="N1116" s="156" t="s">
        <v>83</v>
      </c>
      <c r="O1116" s="157" cm="1">
        <f t="array" ref="O1116">TRUNC($H1116*(1+_xlfn.SWITCH($N1116,"BDI 1",$O$6,"BDI 2",$O$7,"BDI 3",$O$8)),2)</f>
        <v>1.02</v>
      </c>
      <c r="P1116" s="157" cm="1">
        <f t="array" ref="P1116">TRUNC($I1116*(1+_xlfn.SWITCH($N1116,"BDI 1",$P$6,"BDI 2",$P$7,"BDI 3",$P$8)),2)</f>
        <v>1.06</v>
      </c>
      <c r="Q1116" s="157">
        <v>0</v>
      </c>
      <c r="R1116" s="157">
        <v>0</v>
      </c>
      <c r="S1116" s="156">
        <f>TRUNC($K1116*$O1116,2)</f>
        <v>0</v>
      </c>
      <c r="T1116" s="156">
        <f>TRUNC($K1116*$P1116,2)</f>
        <v>0</v>
      </c>
      <c r="U1116" s="156">
        <f>TRUNC($J1116*$R1116,2)</f>
        <v>0</v>
      </c>
      <c r="V1116" s="156">
        <f>TRUNC($K1116*$Q1116,2)</f>
        <v>0</v>
      </c>
      <c r="W1116" s="156">
        <f>TRUNC(V1116-U1116,2)</f>
        <v>0</v>
      </c>
      <c r="X1116" s="158">
        <f>$S1116/ORCAMENTO_VALOR_TOTAL_ND</f>
        <v>0</v>
      </c>
      <c r="Y1116" s="158">
        <f>$T1116/ORCAMENTO_VALOR_TOTAL_DE</f>
        <v>0</v>
      </c>
      <c r="Z1116" s="158" cm="1">
        <f t="array" ref="Z1116">_xlfn.SWITCH($N1116,"BDI 1",$O$6,"BDI 2",$O$7,"BDI 3",$O$8)</f>
        <v>0.20699999999999999</v>
      </c>
      <c r="AA1116" s="158" cm="1">
        <f t="array" ref="AA1116">_xlfn.SWITCH($N1116,"BDI 1",$P$6,"BDI 2",$P$7,"BDI 3",$P$8)</f>
        <v>0.26739999999999997</v>
      </c>
      <c r="AB1116" s="158">
        <f ca="1">IFERROR($S1116/_xlfn.XLOOKUP($AE1116,$B$16:$B$38,$S$16:$S$38),0)</f>
        <v>0</v>
      </c>
      <c r="AC1116" s="158">
        <f ca="1">IFERROR($T1116/_xlfn.XLOOKUP($AE1116,$B$16:$B$38,$T$16:$T$38),0)</f>
        <v>0</v>
      </c>
      <c r="AD1116" s="164"/>
      <c r="AE1116" s="148">
        <f t="shared" si="2500"/>
        <v>0</v>
      </c>
      <c r="AF1116" s="149"/>
      <c r="AG1116" s="150"/>
      <c r="AH1116" s="159" t="e">
        <f>+S1116/$S$961</f>
        <v>#DIV/0!</v>
      </c>
      <c r="AI1116" s="160"/>
      <c r="AJ1116" s="219"/>
      <c r="AK1116" s="219"/>
      <c r="AM1116" s="219"/>
      <c r="AN1116" s="219"/>
      <c r="AO1116" s="219"/>
      <c r="AP1116" s="219"/>
      <c r="AQ1116" s="219"/>
      <c r="AR1116" s="219"/>
    </row>
    <row r="1117" spans="1:44" s="220" customFormat="1" ht="40.15" hidden="1" customHeight="1">
      <c r="A1117" s="10">
        <f t="shared" ca="1" si="2482"/>
        <v>0</v>
      </c>
      <c r="B1117" s="221"/>
      <c r="C1117" s="222"/>
      <c r="D1117" s="154"/>
      <c r="E1117" s="155"/>
      <c r="F1117" s="154"/>
      <c r="G1117" s="154"/>
      <c r="H1117" s="154"/>
      <c r="I1117" s="154"/>
      <c r="J1117" s="223"/>
      <c r="K1117" s="223"/>
      <c r="L1117" s="223"/>
      <c r="M1117" s="223"/>
      <c r="N1117" s="223"/>
      <c r="O1117" s="154"/>
      <c r="P1117" s="154"/>
      <c r="Q1117" s="154"/>
      <c r="R1117" s="154"/>
      <c r="S1117" s="162"/>
      <c r="T1117" s="162"/>
      <c r="U1117" s="162"/>
      <c r="V1117" s="162"/>
      <c r="W1117" s="162"/>
      <c r="X1117" s="163"/>
      <c r="Y1117" s="163"/>
      <c r="Z1117" s="163"/>
      <c r="AA1117" s="163"/>
      <c r="AB1117" s="163"/>
      <c r="AC1117" s="163"/>
      <c r="AD1117" s="164"/>
      <c r="AE1117" s="148">
        <f>IF(S1118&gt;0,IFERROR(TRUNC(A1118,0),0),0)</f>
        <v>0</v>
      </c>
      <c r="AF1117" s="149"/>
      <c r="AG1117" s="150"/>
      <c r="AH1117" s="159"/>
      <c r="AI1117" s="160"/>
      <c r="AJ1117" s="219"/>
      <c r="AK1117" s="219"/>
      <c r="AM1117" s="219"/>
      <c r="AN1117" s="219"/>
      <c r="AO1117" s="219"/>
      <c r="AP1117" s="219"/>
      <c r="AQ1117" s="219"/>
      <c r="AR1117" s="219"/>
    </row>
    <row r="1118" spans="1:44" s="105" customFormat="1" ht="40.15" hidden="1" customHeight="1">
      <c r="A1118" s="169">
        <f ca="1">$B$34</f>
        <v>0</v>
      </c>
      <c r="B1118" s="170"/>
      <c r="C1118" s="171"/>
      <c r="D1118" s="172"/>
      <c r="E1118" s="173" t="str">
        <f>$D$34</f>
        <v>IMPLANTAÇÃO / ADEQUAÇÃO GEOMÉTRICA DE CICLOVIA</v>
      </c>
      <c r="F1118" s="174">
        <v>0</v>
      </c>
      <c r="G1118" s="175"/>
      <c r="H1118" s="176" t="s">
        <v>380</v>
      </c>
      <c r="I1118" s="176" t="s">
        <v>380</v>
      </c>
      <c r="J1118" s="177"/>
      <c r="K1118" s="177"/>
      <c r="L1118" s="177"/>
      <c r="M1118" s="177"/>
      <c r="N1118" s="177"/>
      <c r="O1118" s="178" t="str">
        <f ca="1">CONCATENATE("SUB-TOTAL ",$A1118)</f>
        <v>SUB-TOTAL 0</v>
      </c>
      <c r="P1118" s="178" t="e" cm="1">
        <f t="array" ref="P1118">TRUNC($I1118*(1+_xlfn.SWITCH($N1118,"BDI 1",$P$6,"BDI 2",$P$7,"BDI 3",$P$8)),2)</f>
        <v>#VALUE!</v>
      </c>
      <c r="Q1118" s="178" t="str">
        <f ca="1">CONCATENATE("SUB-TOTAL ",$A1118)</f>
        <v>SUB-TOTAL 0</v>
      </c>
      <c r="R1118" s="178"/>
      <c r="S1118" s="179">
        <f>SUM(S1119:S1194)</f>
        <v>0</v>
      </c>
      <c r="T1118" s="179">
        <f>SUM(T1119:T1194)</f>
        <v>0</v>
      </c>
      <c r="U1118" s="179">
        <f>SUM(U1119:U1194)</f>
        <v>0</v>
      </c>
      <c r="V1118" s="179">
        <f>SUM(V1119:V1194)</f>
        <v>0</v>
      </c>
      <c r="W1118" s="179">
        <f t="shared" ref="W1118:W1149" si="2501">TRUNC(V1118-U1118,2)</f>
        <v>0</v>
      </c>
      <c r="X1118" s="180">
        <f>+$S1118/ORCAMENTO_VALOR_TOTAL_ND</f>
        <v>0</v>
      </c>
      <c r="Y1118" s="180">
        <f>+$T1118/ORCAMENTO_VALOR_TOTAL_DE</f>
        <v>0</v>
      </c>
      <c r="Z1118" s="180"/>
      <c r="AA1118" s="180"/>
      <c r="AB1118" s="180">
        <f>IFERROR($S1118/$S1118,0)</f>
        <v>0</v>
      </c>
      <c r="AC1118" s="180">
        <f>IFERROR($T1118/$T1118,0)</f>
        <v>0</v>
      </c>
      <c r="AD1118" s="147"/>
      <c r="AE1118" s="148">
        <f t="shared" ref="AE1118:AE1149" si="2502">IF(S1118&gt;0,IFERROR(TRUNC(A1118,0),0),0)</f>
        <v>0</v>
      </c>
      <c r="AF1118" s="149"/>
      <c r="AG1118" s="150"/>
      <c r="AH1118" s="151" t="e">
        <f t="shared" ref="AH1118:AH1149" si="2503">+S1118/$S$1118</f>
        <v>#DIV/0!</v>
      </c>
    </row>
    <row r="1119" spans="1:44" s="49" customFormat="1" ht="40.15" hidden="1" customHeight="1">
      <c r="A1119" s="152">
        <f t="shared" ref="A1119:A1182" ca="1" si="2504">+IF(K1119&gt;0,A1118+0.01,A1118)</f>
        <v>0</v>
      </c>
      <c r="B1119" s="153">
        <v>98525</v>
      </c>
      <c r="C1119" s="154" t="str">
        <f t="shared" ref="C1119:C1149" si="2505">TEXT(B1119,"0")</f>
        <v>98525</v>
      </c>
      <c r="D1119" s="154" t="s">
        <v>1416</v>
      </c>
      <c r="E1119" s="155" t="s">
        <v>1417</v>
      </c>
      <c r="F1119" s="154"/>
      <c r="G1119" s="154" t="s">
        <v>1418</v>
      </c>
      <c r="H1119" s="152">
        <v>0.63</v>
      </c>
      <c r="I1119" s="152">
        <v>0.37</v>
      </c>
      <c r="J1119" s="156"/>
      <c r="K1119" s="156">
        <f>+Ciclovia!J13</f>
        <v>0</v>
      </c>
      <c r="L1119" s="156">
        <f t="shared" ref="L1119:L1149" si="2506">IF($K1119&gt;$J1119,$K1119-$J1119,0)</f>
        <v>0</v>
      </c>
      <c r="M1119" s="156">
        <f t="shared" ref="M1119:M1149" si="2507">IF($K1119&lt;$J1119,$J1119-$K1119,0)</f>
        <v>0</v>
      </c>
      <c r="N1119" s="156" t="s">
        <v>83</v>
      </c>
      <c r="O1119" s="157" cm="1">
        <f t="array" ref="O1119">TRUNC($H1119*(1+_xlfn.SWITCH($N1119,"BDI 1",$O$6,"BDI 2",$O$7,"BDI 3",$O$8)),2)</f>
        <v>0.76</v>
      </c>
      <c r="P1119" s="157" cm="1">
        <f t="array" ref="P1119">TRUNC($I1119*(1+_xlfn.SWITCH($N1119,"BDI 1",$P$6,"BDI 2",$P$7,"BDI 3",$P$8)),2)</f>
        <v>0.46</v>
      </c>
      <c r="Q1119" s="157">
        <v>0</v>
      </c>
      <c r="R1119" s="157">
        <f t="shared" ref="R1119" si="2508">$Q1119-($Q1119*LICITACAO_DESCONTO)</f>
        <v>0</v>
      </c>
      <c r="S1119" s="156">
        <f t="shared" ref="S1119:S1149" si="2509">TRUNC($K1119*$O1119,2)</f>
        <v>0</v>
      </c>
      <c r="T1119" s="156">
        <f t="shared" ref="T1119:T1149" si="2510">TRUNC($K1119*$P1119,2)</f>
        <v>0</v>
      </c>
      <c r="U1119" s="156">
        <f t="shared" ref="U1119:U1149" si="2511">TRUNC($J1119*$R1119,2)</f>
        <v>0</v>
      </c>
      <c r="V1119" s="156">
        <f t="shared" ref="V1119:V1149" si="2512">TRUNC($K1119*$Q1119,2)</f>
        <v>0</v>
      </c>
      <c r="W1119" s="156">
        <f t="shared" si="2501"/>
        <v>0</v>
      </c>
      <c r="X1119" s="158">
        <f t="shared" ref="X1119" si="2513">$S1119/ORCAMENTO_VALOR_TOTAL_ND</f>
        <v>0</v>
      </c>
      <c r="Y1119" s="158">
        <f t="shared" ref="Y1119" si="2514">$T1119/ORCAMENTO_VALOR_TOTAL_DE</f>
        <v>0</v>
      </c>
      <c r="Z1119" s="158" cm="1">
        <f t="array" ref="Z1119">_xlfn.SWITCH($N1119,"BDI 1",$O$6,"BDI 2",$O$7,"BDI 3",$O$8)</f>
        <v>0.20699999999999999</v>
      </c>
      <c r="AA1119" s="158" cm="1">
        <f t="array" ref="AA1119">_xlfn.SWITCH($N1119,"BDI 1",$P$6,"BDI 2",$P$7,"BDI 3",$P$8)</f>
        <v>0.26739999999999997</v>
      </c>
      <c r="AB1119" s="158">
        <f t="shared" ref="AB1119:AB1149" ca="1" si="2515">IFERROR($S1119/_xlfn.XLOOKUP($AE1119,$B$16:$B$38,$S$16:$S$38),0)</f>
        <v>0</v>
      </c>
      <c r="AC1119" s="158">
        <f t="shared" ref="AC1119:AC1149" ca="1" si="2516">IFERROR($T1119/_xlfn.XLOOKUP($AE1119,$B$16:$B$38,$T$16:$T$38),0)</f>
        <v>0</v>
      </c>
      <c r="AD1119" s="164"/>
      <c r="AE1119" s="148">
        <f t="shared" si="2502"/>
        <v>0</v>
      </c>
      <c r="AF1119" s="149"/>
      <c r="AG1119" s="150"/>
      <c r="AH1119" s="159" t="e">
        <f t="shared" si="2503"/>
        <v>#DIV/0!</v>
      </c>
      <c r="AI1119" s="160"/>
      <c r="AJ1119" s="181" t="s">
        <v>105</v>
      </c>
      <c r="AK1119" s="181" t="s">
        <v>106</v>
      </c>
      <c r="AM1119" s="105"/>
      <c r="AN1119" s="105"/>
      <c r="AO1119" s="105"/>
      <c r="AP1119" s="105"/>
      <c r="AQ1119" s="105"/>
      <c r="AR1119" s="105"/>
    </row>
    <row r="1120" spans="1:44" s="49" customFormat="1" ht="49.9" hidden="1" customHeight="1">
      <c r="A1120" s="152">
        <f t="shared" ca="1" si="2504"/>
        <v>0</v>
      </c>
      <c r="B1120" s="153">
        <v>101230</v>
      </c>
      <c r="C1120" s="154" t="str">
        <f t="shared" si="2505"/>
        <v>101230</v>
      </c>
      <c r="D1120" s="154" t="s">
        <v>1416</v>
      </c>
      <c r="E1120" s="155" t="s">
        <v>3677</v>
      </c>
      <c r="F1120" s="154"/>
      <c r="G1120" s="154" t="s">
        <v>464</v>
      </c>
      <c r="H1120" s="152">
        <v>10.7</v>
      </c>
      <c r="I1120" s="152">
        <v>10.73</v>
      </c>
      <c r="J1120" s="156"/>
      <c r="K1120" s="156">
        <f>+Ciclovia!J37</f>
        <v>0</v>
      </c>
      <c r="L1120" s="156">
        <f t="shared" si="2506"/>
        <v>0</v>
      </c>
      <c r="M1120" s="156">
        <f t="shared" si="2507"/>
        <v>0</v>
      </c>
      <c r="N1120" s="156" t="s">
        <v>83</v>
      </c>
      <c r="O1120" s="157" cm="1">
        <f t="array" ref="O1120">TRUNC($H1120*(1+_xlfn.SWITCH($N1120,"BDI 1",$O$6,"BDI 2",$O$7,"BDI 3",$O$8)),2)</f>
        <v>12.91</v>
      </c>
      <c r="P1120" s="157" cm="1">
        <f t="array" ref="P1120">TRUNC($I1120*(1+_xlfn.SWITCH($N1120,"BDI 1",$P$6,"BDI 2",$P$7,"BDI 3",$P$8)),2)</f>
        <v>13.59</v>
      </c>
      <c r="Q1120" s="157">
        <v>0</v>
      </c>
      <c r="R1120" s="157">
        <f t="shared" ref="R1120" si="2517">$Q1120-($Q1120*LICITACAO_DESCONTO)</f>
        <v>0</v>
      </c>
      <c r="S1120" s="156">
        <f t="shared" si="2509"/>
        <v>0</v>
      </c>
      <c r="T1120" s="156">
        <f t="shared" si="2510"/>
        <v>0</v>
      </c>
      <c r="U1120" s="156">
        <f t="shared" si="2511"/>
        <v>0</v>
      </c>
      <c r="V1120" s="156">
        <f t="shared" si="2512"/>
        <v>0</v>
      </c>
      <c r="W1120" s="156">
        <f t="shared" si="2501"/>
        <v>0</v>
      </c>
      <c r="X1120" s="158">
        <f t="shared" ref="X1120" si="2518">$S1120/ORCAMENTO_VALOR_TOTAL_ND</f>
        <v>0</v>
      </c>
      <c r="Y1120" s="158">
        <f t="shared" ref="Y1120" si="2519">$T1120/ORCAMENTO_VALOR_TOTAL_DE</f>
        <v>0</v>
      </c>
      <c r="Z1120" s="158" cm="1">
        <f t="array" ref="Z1120">_xlfn.SWITCH($N1120,"BDI 1",$O$6,"BDI 2",$O$7,"BDI 3",$O$8)</f>
        <v>0.20699999999999999</v>
      </c>
      <c r="AA1120" s="158" cm="1">
        <f t="array" ref="AA1120">_xlfn.SWITCH($N1120,"BDI 1",$P$6,"BDI 2",$P$7,"BDI 3",$P$8)</f>
        <v>0.26739999999999997</v>
      </c>
      <c r="AB1120" s="158">
        <f t="shared" ca="1" si="2515"/>
        <v>0</v>
      </c>
      <c r="AC1120" s="158">
        <f t="shared" ca="1" si="2516"/>
        <v>0</v>
      </c>
      <c r="AD1120" s="164"/>
      <c r="AE1120" s="148">
        <f t="shared" si="2502"/>
        <v>0</v>
      </c>
      <c r="AF1120" s="149"/>
      <c r="AG1120" s="150"/>
      <c r="AH1120" s="159" t="e">
        <f t="shared" si="2503"/>
        <v>#DIV/0!</v>
      </c>
      <c r="AI1120" s="160"/>
      <c r="AJ1120" s="182">
        <v>52.08</v>
      </c>
      <c r="AK1120" s="183">
        <f>+K1120/AJ1120</f>
        <v>0</v>
      </c>
      <c r="AM1120" s="105"/>
      <c r="AN1120" s="105"/>
      <c r="AO1120" s="105"/>
      <c r="AP1120" s="105"/>
      <c r="AQ1120" s="105"/>
      <c r="AR1120" s="105"/>
    </row>
    <row r="1121" spans="1:44" s="49" customFormat="1" ht="40.15" hidden="1" customHeight="1">
      <c r="A1121" s="152">
        <f t="shared" ca="1" si="2504"/>
        <v>0</v>
      </c>
      <c r="B1121" s="153" t="s">
        <v>279</v>
      </c>
      <c r="C1121" s="154" t="str">
        <f t="shared" si="2505"/>
        <v>PA/0010</v>
      </c>
      <c r="D1121" s="154" t="s">
        <v>3549</v>
      </c>
      <c r="E1121" s="155" t="s">
        <v>3878</v>
      </c>
      <c r="F1121" s="154"/>
      <c r="G1121" s="154" t="s">
        <v>464</v>
      </c>
      <c r="H1121" s="152">
        <v>136.76</v>
      </c>
      <c r="I1121" s="152">
        <v>136.53</v>
      </c>
      <c r="J1121" s="156"/>
      <c r="K1121" s="156">
        <f>+Ciclovia!J30</f>
        <v>0</v>
      </c>
      <c r="L1121" s="156">
        <f t="shared" si="2506"/>
        <v>0</v>
      </c>
      <c r="M1121" s="156">
        <f t="shared" si="2507"/>
        <v>0</v>
      </c>
      <c r="N1121" s="156" t="s">
        <v>83</v>
      </c>
      <c r="O1121" s="157" cm="1">
        <f t="array" ref="O1121">TRUNC($H1121*(1+_xlfn.SWITCH($N1121,"BDI 1",$O$6,"BDI 2",$O$7,"BDI 3",$O$8)),2)</f>
        <v>165.06</v>
      </c>
      <c r="P1121" s="157" cm="1">
        <f t="array" ref="P1121">TRUNC($I1121*(1+_xlfn.SWITCH($N1121,"BDI 1",$P$6,"BDI 2",$P$7,"BDI 3",$P$8)),2)</f>
        <v>173.03</v>
      </c>
      <c r="Q1121" s="157">
        <v>0</v>
      </c>
      <c r="R1121" s="157">
        <f t="shared" ref="R1121" si="2520">$Q1121-($Q1121*LICITACAO_DESCONTO)</f>
        <v>0</v>
      </c>
      <c r="S1121" s="156">
        <f t="shared" si="2509"/>
        <v>0</v>
      </c>
      <c r="T1121" s="156">
        <f t="shared" si="2510"/>
        <v>0</v>
      </c>
      <c r="U1121" s="156">
        <f t="shared" si="2511"/>
        <v>0</v>
      </c>
      <c r="V1121" s="156">
        <f t="shared" si="2512"/>
        <v>0</v>
      </c>
      <c r="W1121" s="156">
        <f t="shared" si="2501"/>
        <v>0</v>
      </c>
      <c r="X1121" s="158">
        <f t="shared" ref="X1121" si="2521">$S1121/ORCAMENTO_VALOR_TOTAL_ND</f>
        <v>0</v>
      </c>
      <c r="Y1121" s="158">
        <f t="shared" ref="Y1121" si="2522">$T1121/ORCAMENTO_VALOR_TOTAL_DE</f>
        <v>0</v>
      </c>
      <c r="Z1121" s="158" cm="1">
        <f t="array" ref="Z1121">_xlfn.SWITCH($N1121,"BDI 1",$O$6,"BDI 2",$O$7,"BDI 3",$O$8)</f>
        <v>0.20699999999999999</v>
      </c>
      <c r="AA1121" s="158" cm="1">
        <f t="array" ref="AA1121">_xlfn.SWITCH($N1121,"BDI 1",$P$6,"BDI 2",$P$7,"BDI 3",$P$8)</f>
        <v>0.26739999999999997</v>
      </c>
      <c r="AB1121" s="158">
        <f t="shared" ca="1" si="2515"/>
        <v>0</v>
      </c>
      <c r="AC1121" s="158">
        <f t="shared" ca="1" si="2516"/>
        <v>0</v>
      </c>
      <c r="AD1121" s="164"/>
      <c r="AE1121" s="148">
        <f t="shared" si="2502"/>
        <v>0</v>
      </c>
      <c r="AF1121" s="149"/>
      <c r="AG1121" s="150"/>
      <c r="AH1121" s="159" t="e">
        <f t="shared" si="2503"/>
        <v>#DIV/0!</v>
      </c>
      <c r="AI1121" s="160"/>
      <c r="AJ1121" s="182">
        <v>34.479999999999997</v>
      </c>
      <c r="AK1121" s="183">
        <f>+K1121/AJ1121</f>
        <v>0</v>
      </c>
      <c r="AM1121" s="105"/>
      <c r="AN1121" s="105"/>
      <c r="AO1121" s="105"/>
      <c r="AP1121" s="105"/>
      <c r="AQ1121" s="105"/>
      <c r="AR1121" s="105"/>
    </row>
    <row r="1122" spans="1:44" s="49" customFormat="1" ht="40.15" hidden="1" customHeight="1">
      <c r="A1122" s="152">
        <f t="shared" ca="1" si="2504"/>
        <v>0</v>
      </c>
      <c r="B1122" s="153" t="s">
        <v>309</v>
      </c>
      <c r="C1122" s="154" t="str">
        <f t="shared" si="2505"/>
        <v>PA/0001</v>
      </c>
      <c r="D1122" s="154" t="s">
        <v>3549</v>
      </c>
      <c r="E1122" s="155" t="s">
        <v>3898</v>
      </c>
      <c r="F1122" s="154"/>
      <c r="G1122" s="154" t="s">
        <v>464</v>
      </c>
      <c r="H1122" s="152">
        <v>4.2300000000000004</v>
      </c>
      <c r="I1122" s="152">
        <v>4.18</v>
      </c>
      <c r="J1122" s="156"/>
      <c r="K1122" s="156">
        <f>+Ciclovia!J43</f>
        <v>0</v>
      </c>
      <c r="L1122" s="156">
        <f t="shared" si="2506"/>
        <v>0</v>
      </c>
      <c r="M1122" s="156">
        <f t="shared" si="2507"/>
        <v>0</v>
      </c>
      <c r="N1122" s="156" t="s">
        <v>83</v>
      </c>
      <c r="O1122" s="157" cm="1">
        <f t="array" ref="O1122">TRUNC($H1122*(1+_xlfn.SWITCH($N1122,"BDI 1",$O$6,"BDI 2",$O$7,"BDI 3",$O$8)),2)</f>
        <v>5.0999999999999996</v>
      </c>
      <c r="P1122" s="157" cm="1">
        <f t="array" ref="P1122">TRUNC($I1122*(1+_xlfn.SWITCH($N1122,"BDI 1",$P$6,"BDI 2",$P$7,"BDI 3",$P$8)),2)</f>
        <v>5.29</v>
      </c>
      <c r="Q1122" s="157">
        <v>0</v>
      </c>
      <c r="R1122" s="157">
        <f t="shared" ref="R1122" si="2523">$Q1122-($Q1122*LICITACAO_DESCONTO)</f>
        <v>0</v>
      </c>
      <c r="S1122" s="156">
        <f t="shared" si="2509"/>
        <v>0</v>
      </c>
      <c r="T1122" s="156">
        <f t="shared" si="2510"/>
        <v>0</v>
      </c>
      <c r="U1122" s="156">
        <f t="shared" si="2511"/>
        <v>0</v>
      </c>
      <c r="V1122" s="156">
        <f t="shared" si="2512"/>
        <v>0</v>
      </c>
      <c r="W1122" s="156">
        <f t="shared" si="2501"/>
        <v>0</v>
      </c>
      <c r="X1122" s="158">
        <f t="shared" ref="X1122" si="2524">$S1122/ORCAMENTO_VALOR_TOTAL_ND</f>
        <v>0</v>
      </c>
      <c r="Y1122" s="158">
        <f t="shared" ref="Y1122" si="2525">$T1122/ORCAMENTO_VALOR_TOTAL_DE</f>
        <v>0</v>
      </c>
      <c r="Z1122" s="158" cm="1">
        <f t="array" ref="Z1122">_xlfn.SWITCH($N1122,"BDI 1",$O$6,"BDI 2",$O$7,"BDI 3",$O$8)</f>
        <v>0.20699999999999999</v>
      </c>
      <c r="AA1122" s="158" cm="1">
        <f t="array" ref="AA1122">_xlfn.SWITCH($N1122,"BDI 1",$P$6,"BDI 2",$P$7,"BDI 3",$P$8)</f>
        <v>0.26739999999999997</v>
      </c>
      <c r="AB1122" s="158">
        <f t="shared" ca="1" si="2515"/>
        <v>0</v>
      </c>
      <c r="AC1122" s="158">
        <f t="shared" ca="1" si="2516"/>
        <v>0</v>
      </c>
      <c r="AD1122" s="164"/>
      <c r="AE1122" s="148">
        <f t="shared" si="2502"/>
        <v>0</v>
      </c>
      <c r="AF1122" s="149"/>
      <c r="AG1122" s="150"/>
      <c r="AH1122" s="159" t="e">
        <f t="shared" si="2503"/>
        <v>#DIV/0!</v>
      </c>
      <c r="AI1122" s="160"/>
      <c r="AJ1122" s="182">
        <v>0</v>
      </c>
      <c r="AK1122" s="183" t="e">
        <f>+K1122/AJ1122</f>
        <v>#DIV/0!</v>
      </c>
      <c r="AM1122" s="105"/>
      <c r="AN1122" s="105"/>
      <c r="AO1122" s="105"/>
      <c r="AP1122" s="105"/>
      <c r="AQ1122" s="105"/>
      <c r="AR1122" s="105"/>
    </row>
    <row r="1123" spans="1:44" s="49" customFormat="1" ht="49.9" hidden="1" customHeight="1">
      <c r="A1123" s="152">
        <f t="shared" ca="1" si="2504"/>
        <v>0</v>
      </c>
      <c r="B1123" s="153">
        <v>100975</v>
      </c>
      <c r="C1123" s="154" t="str">
        <f t="shared" si="2505"/>
        <v>100975</v>
      </c>
      <c r="D1123" s="154" t="s">
        <v>1416</v>
      </c>
      <c r="E1123" s="155" t="s">
        <v>3899</v>
      </c>
      <c r="F1123" s="154"/>
      <c r="G1123" s="154" t="s">
        <v>464</v>
      </c>
      <c r="H1123" s="152">
        <v>8.3800000000000008</v>
      </c>
      <c r="I1123" s="152">
        <v>8.35</v>
      </c>
      <c r="J1123" s="156"/>
      <c r="K1123" s="156">
        <f>ROUND(K1122*1.25,2)</f>
        <v>0</v>
      </c>
      <c r="L1123" s="156">
        <f t="shared" si="2506"/>
        <v>0</v>
      </c>
      <c r="M1123" s="156">
        <f t="shared" si="2507"/>
        <v>0</v>
      </c>
      <c r="N1123" s="156" t="s">
        <v>83</v>
      </c>
      <c r="O1123" s="157" cm="1">
        <f t="array" ref="O1123">TRUNC($H1123*(1+_xlfn.SWITCH($N1123,"BDI 1",$O$6,"BDI 2",$O$7,"BDI 3",$O$8)),2)</f>
        <v>10.11</v>
      </c>
      <c r="P1123" s="157" cm="1">
        <f t="array" ref="P1123">TRUNC($I1123*(1+_xlfn.SWITCH($N1123,"BDI 1",$P$6,"BDI 2",$P$7,"BDI 3",$P$8)),2)</f>
        <v>10.58</v>
      </c>
      <c r="Q1123" s="157">
        <v>0</v>
      </c>
      <c r="R1123" s="157">
        <f t="shared" ref="R1123" si="2526">$Q1123-($Q1123*LICITACAO_DESCONTO)</f>
        <v>0</v>
      </c>
      <c r="S1123" s="156">
        <f t="shared" si="2509"/>
        <v>0</v>
      </c>
      <c r="T1123" s="156">
        <f t="shared" si="2510"/>
        <v>0</v>
      </c>
      <c r="U1123" s="156">
        <f t="shared" si="2511"/>
        <v>0</v>
      </c>
      <c r="V1123" s="156">
        <f t="shared" si="2512"/>
        <v>0</v>
      </c>
      <c r="W1123" s="156">
        <f t="shared" si="2501"/>
        <v>0</v>
      </c>
      <c r="X1123" s="158">
        <f t="shared" ref="X1123" si="2527">$S1123/ORCAMENTO_VALOR_TOTAL_ND</f>
        <v>0</v>
      </c>
      <c r="Y1123" s="158">
        <f t="shared" ref="Y1123" si="2528">$T1123/ORCAMENTO_VALOR_TOTAL_DE</f>
        <v>0</v>
      </c>
      <c r="Z1123" s="158" cm="1">
        <f t="array" ref="Z1123">_xlfn.SWITCH($N1123,"BDI 1",$O$6,"BDI 2",$O$7,"BDI 3",$O$8)</f>
        <v>0.20699999999999999</v>
      </c>
      <c r="AA1123" s="158" cm="1">
        <f t="array" ref="AA1123">_xlfn.SWITCH($N1123,"BDI 1",$P$6,"BDI 2",$P$7,"BDI 3",$P$8)</f>
        <v>0.26739999999999997</v>
      </c>
      <c r="AB1123" s="158">
        <f t="shared" ca="1" si="2515"/>
        <v>0</v>
      </c>
      <c r="AC1123" s="158">
        <f t="shared" ca="1" si="2516"/>
        <v>0</v>
      </c>
      <c r="AD1123" s="164"/>
      <c r="AE1123" s="148">
        <f t="shared" si="2502"/>
        <v>0</v>
      </c>
      <c r="AF1123" s="149"/>
      <c r="AG1123" s="150"/>
      <c r="AH1123" s="159" t="e">
        <f t="shared" si="2503"/>
        <v>#DIV/0!</v>
      </c>
      <c r="AI1123" s="160"/>
      <c r="AJ1123" s="182">
        <v>0</v>
      </c>
      <c r="AK1123" s="183" t="e">
        <f>+K1123/AJ1123</f>
        <v>#DIV/0!</v>
      </c>
      <c r="AM1123" s="105"/>
      <c r="AN1123" s="105"/>
      <c r="AO1123" s="105"/>
      <c r="AP1123" s="105"/>
      <c r="AQ1123" s="105"/>
      <c r="AR1123" s="105"/>
    </row>
    <row r="1124" spans="1:44" s="49" customFormat="1" ht="49.9" hidden="1" customHeight="1">
      <c r="A1124" s="152">
        <f t="shared" ca="1" si="2504"/>
        <v>0</v>
      </c>
      <c r="B1124" s="153">
        <v>101230</v>
      </c>
      <c r="C1124" s="154" t="str">
        <f t="shared" si="2505"/>
        <v>101230</v>
      </c>
      <c r="D1124" s="154" t="s">
        <v>1416</v>
      </c>
      <c r="E1124" s="155" t="s">
        <v>3677</v>
      </c>
      <c r="F1124" s="154"/>
      <c r="G1124" s="154" t="s">
        <v>464</v>
      </c>
      <c r="H1124" s="152">
        <v>10.7</v>
      </c>
      <c r="I1124" s="152">
        <v>10.73</v>
      </c>
      <c r="J1124" s="156"/>
      <c r="K1124" s="156">
        <f>IF(K1144=0,Ciclovia!J51+Ciclovia!J71,0)+IF(K1146=0,Ciclovia!J73,0)</f>
        <v>0</v>
      </c>
      <c r="L1124" s="156">
        <f t="shared" si="2506"/>
        <v>0</v>
      </c>
      <c r="M1124" s="156">
        <f t="shared" si="2507"/>
        <v>0</v>
      </c>
      <c r="N1124" s="156" t="s">
        <v>83</v>
      </c>
      <c r="O1124" s="157" cm="1">
        <f t="array" ref="O1124">TRUNC($H1124*(1+_xlfn.SWITCH($N1124,"BDI 1",$O$6,"BDI 2",$O$7,"BDI 3",$O$8)),2)</f>
        <v>12.91</v>
      </c>
      <c r="P1124" s="157" cm="1">
        <f t="array" ref="P1124">TRUNC($I1124*(1+_xlfn.SWITCH($N1124,"BDI 1",$P$6,"BDI 2",$P$7,"BDI 3",$P$8)),2)</f>
        <v>13.59</v>
      </c>
      <c r="Q1124" s="157">
        <v>0</v>
      </c>
      <c r="R1124" s="157">
        <f t="shared" ref="R1124" si="2529">$Q1124-($Q1124*LICITACAO_DESCONTO)</f>
        <v>0</v>
      </c>
      <c r="S1124" s="156">
        <f t="shared" si="2509"/>
        <v>0</v>
      </c>
      <c r="T1124" s="156">
        <f t="shared" si="2510"/>
        <v>0</v>
      </c>
      <c r="U1124" s="156">
        <f t="shared" si="2511"/>
        <v>0</v>
      </c>
      <c r="V1124" s="156">
        <f t="shared" si="2512"/>
        <v>0</v>
      </c>
      <c r="W1124" s="156">
        <f t="shared" si="2501"/>
        <v>0</v>
      </c>
      <c r="X1124" s="158">
        <f t="shared" ref="X1124" si="2530">$S1124/ORCAMENTO_VALOR_TOTAL_ND</f>
        <v>0</v>
      </c>
      <c r="Y1124" s="158">
        <f t="shared" ref="Y1124" si="2531">$T1124/ORCAMENTO_VALOR_TOTAL_DE</f>
        <v>0</v>
      </c>
      <c r="Z1124" s="158" cm="1">
        <f t="array" ref="Z1124">_xlfn.SWITCH($N1124,"BDI 1",$O$6,"BDI 2",$O$7,"BDI 3",$O$8)</f>
        <v>0.20699999999999999</v>
      </c>
      <c r="AA1124" s="158" cm="1">
        <f t="array" ref="AA1124">_xlfn.SWITCH($N1124,"BDI 1",$P$6,"BDI 2",$P$7,"BDI 3",$P$8)</f>
        <v>0.26739999999999997</v>
      </c>
      <c r="AB1124" s="158">
        <f t="shared" ca="1" si="2515"/>
        <v>0</v>
      </c>
      <c r="AC1124" s="158">
        <f t="shared" ca="1" si="2516"/>
        <v>0</v>
      </c>
      <c r="AD1124" s="164"/>
      <c r="AE1124" s="148">
        <f t="shared" si="2502"/>
        <v>0</v>
      </c>
      <c r="AF1124" s="149"/>
      <c r="AG1124" s="150"/>
      <c r="AH1124" s="159" t="e">
        <f t="shared" si="2503"/>
        <v>#DIV/0!</v>
      </c>
      <c r="AI1124" s="160"/>
      <c r="AJ1124" s="182"/>
      <c r="AK1124" s="183"/>
      <c r="AM1124" s="105"/>
      <c r="AN1124" s="105"/>
      <c r="AO1124" s="105"/>
      <c r="AP1124" s="105"/>
      <c r="AQ1124" s="105"/>
      <c r="AR1124" s="105"/>
    </row>
    <row r="1125" spans="1:44" s="49" customFormat="1" ht="40.15" hidden="1" customHeight="1">
      <c r="A1125" s="152">
        <f t="shared" ca="1" si="2504"/>
        <v>0</v>
      </c>
      <c r="B1125" s="153">
        <v>96385</v>
      </c>
      <c r="C1125" s="154" t="str">
        <f t="shared" si="2505"/>
        <v>96385</v>
      </c>
      <c r="D1125" s="154" t="s">
        <v>1416</v>
      </c>
      <c r="E1125" s="155" t="s">
        <v>3813</v>
      </c>
      <c r="F1125" s="154"/>
      <c r="G1125" s="154" t="s">
        <v>464</v>
      </c>
      <c r="H1125" s="152">
        <v>11.28</v>
      </c>
      <c r="I1125" s="152">
        <v>11.08</v>
      </c>
      <c r="J1125" s="156"/>
      <c r="K1125" s="156">
        <f>+Ciclovia!J50</f>
        <v>0</v>
      </c>
      <c r="L1125" s="156">
        <f t="shared" si="2506"/>
        <v>0</v>
      </c>
      <c r="M1125" s="156">
        <f t="shared" si="2507"/>
        <v>0</v>
      </c>
      <c r="N1125" s="156" t="s">
        <v>83</v>
      </c>
      <c r="O1125" s="157" cm="1">
        <f t="array" ref="O1125">TRUNC($H1125*(1+_xlfn.SWITCH($N1125,"BDI 1",$O$6,"BDI 2",$O$7,"BDI 3",$O$8)),2)</f>
        <v>13.61</v>
      </c>
      <c r="P1125" s="157" cm="1">
        <f t="array" ref="P1125">TRUNC($I1125*(1+_xlfn.SWITCH($N1125,"BDI 1",$P$6,"BDI 2",$P$7,"BDI 3",$P$8)),2)</f>
        <v>14.04</v>
      </c>
      <c r="Q1125" s="157">
        <v>0</v>
      </c>
      <c r="R1125" s="157">
        <f t="shared" ref="R1125" si="2532">$Q1125-($Q1125*LICITACAO_DESCONTO)</f>
        <v>0</v>
      </c>
      <c r="S1125" s="156">
        <f t="shared" si="2509"/>
        <v>0</v>
      </c>
      <c r="T1125" s="156">
        <f t="shared" si="2510"/>
        <v>0</v>
      </c>
      <c r="U1125" s="156">
        <f t="shared" si="2511"/>
        <v>0</v>
      </c>
      <c r="V1125" s="156">
        <f t="shared" si="2512"/>
        <v>0</v>
      </c>
      <c r="W1125" s="156">
        <f t="shared" si="2501"/>
        <v>0</v>
      </c>
      <c r="X1125" s="158">
        <f t="shared" ref="X1125" si="2533">$S1125/ORCAMENTO_VALOR_TOTAL_ND</f>
        <v>0</v>
      </c>
      <c r="Y1125" s="158">
        <f t="shared" ref="Y1125" si="2534">$T1125/ORCAMENTO_VALOR_TOTAL_DE</f>
        <v>0</v>
      </c>
      <c r="Z1125" s="158" cm="1">
        <f t="array" ref="Z1125">_xlfn.SWITCH($N1125,"BDI 1",$O$6,"BDI 2",$O$7,"BDI 3",$O$8)</f>
        <v>0.20699999999999999</v>
      </c>
      <c r="AA1125" s="158" cm="1">
        <f t="array" ref="AA1125">_xlfn.SWITCH($N1125,"BDI 1",$P$6,"BDI 2",$P$7,"BDI 3",$P$8)</f>
        <v>0.26739999999999997</v>
      </c>
      <c r="AB1125" s="158">
        <f t="shared" ca="1" si="2515"/>
        <v>0</v>
      </c>
      <c r="AC1125" s="158">
        <f t="shared" ca="1" si="2516"/>
        <v>0</v>
      </c>
      <c r="AD1125" s="164"/>
      <c r="AE1125" s="148">
        <f t="shared" si="2502"/>
        <v>0</v>
      </c>
      <c r="AF1125" s="149"/>
      <c r="AG1125" s="150"/>
      <c r="AH1125" s="159" t="e">
        <f t="shared" si="2503"/>
        <v>#DIV/0!</v>
      </c>
      <c r="AI1125" s="160"/>
      <c r="AJ1125" s="182"/>
      <c r="AK1125" s="183"/>
      <c r="AM1125" s="105"/>
      <c r="AN1125" s="105"/>
      <c r="AO1125" s="105"/>
      <c r="AP1125" s="105"/>
      <c r="AQ1125" s="105"/>
      <c r="AR1125" s="105"/>
    </row>
    <row r="1126" spans="1:44" s="49" customFormat="1" ht="40.15" hidden="1" customHeight="1">
      <c r="A1126" s="152">
        <f t="shared" ca="1" si="2504"/>
        <v>0</v>
      </c>
      <c r="B1126" s="153">
        <v>100576</v>
      </c>
      <c r="C1126" s="154" t="str">
        <f t="shared" si="2505"/>
        <v>100576</v>
      </c>
      <c r="D1126" s="154" t="s">
        <v>1416</v>
      </c>
      <c r="E1126" s="155" t="s">
        <v>3901</v>
      </c>
      <c r="F1126" s="154"/>
      <c r="G1126" s="154" t="s">
        <v>1418</v>
      </c>
      <c r="H1126" s="152">
        <v>2.46</v>
      </c>
      <c r="I1126" s="152">
        <v>2.39</v>
      </c>
      <c r="J1126" s="156"/>
      <c r="K1126" s="156">
        <f>+Ciclovia!J52</f>
        <v>0</v>
      </c>
      <c r="L1126" s="156">
        <f t="shared" si="2506"/>
        <v>0</v>
      </c>
      <c r="M1126" s="156">
        <f t="shared" si="2507"/>
        <v>0</v>
      </c>
      <c r="N1126" s="156" t="s">
        <v>83</v>
      </c>
      <c r="O1126" s="157" cm="1">
        <f t="array" ref="O1126">TRUNC($H1126*(1+_xlfn.SWITCH($N1126,"BDI 1",$O$6,"BDI 2",$O$7,"BDI 3",$O$8)),2)</f>
        <v>2.96</v>
      </c>
      <c r="P1126" s="157" cm="1">
        <f t="array" ref="P1126">TRUNC($I1126*(1+_xlfn.SWITCH($N1126,"BDI 1",$P$6,"BDI 2",$P$7,"BDI 3",$P$8)),2)</f>
        <v>3.02</v>
      </c>
      <c r="Q1126" s="157">
        <v>0</v>
      </c>
      <c r="R1126" s="157">
        <f t="shared" ref="R1126" si="2535">$Q1126-($Q1126*LICITACAO_DESCONTO)</f>
        <v>0</v>
      </c>
      <c r="S1126" s="156">
        <f t="shared" si="2509"/>
        <v>0</v>
      </c>
      <c r="T1126" s="156">
        <f t="shared" si="2510"/>
        <v>0</v>
      </c>
      <c r="U1126" s="156">
        <f t="shared" si="2511"/>
        <v>0</v>
      </c>
      <c r="V1126" s="156">
        <f t="shared" si="2512"/>
        <v>0</v>
      </c>
      <c r="W1126" s="156">
        <f t="shared" si="2501"/>
        <v>0</v>
      </c>
      <c r="X1126" s="158">
        <f t="shared" ref="X1126" si="2536">$S1126/ORCAMENTO_VALOR_TOTAL_ND</f>
        <v>0</v>
      </c>
      <c r="Y1126" s="158">
        <f t="shared" ref="Y1126" si="2537">$T1126/ORCAMENTO_VALOR_TOTAL_DE</f>
        <v>0</v>
      </c>
      <c r="Z1126" s="158" cm="1">
        <f t="array" ref="Z1126">_xlfn.SWITCH($N1126,"BDI 1",$O$6,"BDI 2",$O$7,"BDI 3",$O$8)</f>
        <v>0.20699999999999999</v>
      </c>
      <c r="AA1126" s="158" cm="1">
        <f t="array" ref="AA1126">_xlfn.SWITCH($N1126,"BDI 1",$P$6,"BDI 2",$P$7,"BDI 3",$P$8)</f>
        <v>0.26739999999999997</v>
      </c>
      <c r="AB1126" s="158">
        <f t="shared" ca="1" si="2515"/>
        <v>0</v>
      </c>
      <c r="AC1126" s="158">
        <f t="shared" ca="1" si="2516"/>
        <v>0</v>
      </c>
      <c r="AD1126" s="164"/>
      <c r="AE1126" s="148">
        <f t="shared" si="2502"/>
        <v>0</v>
      </c>
      <c r="AF1126" s="149"/>
      <c r="AG1126" s="150"/>
      <c r="AH1126" s="159" t="e">
        <f t="shared" si="2503"/>
        <v>#DIV/0!</v>
      </c>
      <c r="AI1126" s="165" t="s">
        <v>310</v>
      </c>
      <c r="AJ1126" s="184">
        <v>0</v>
      </c>
      <c r="AK1126" s="183" t="e">
        <f t="shared" ref="AK1126:AK1133" si="2538">+K1126/AJ1126</f>
        <v>#DIV/0!</v>
      </c>
      <c r="AM1126" s="105"/>
      <c r="AN1126" s="105"/>
      <c r="AO1126" s="105"/>
      <c r="AP1126" s="105"/>
      <c r="AQ1126" s="105"/>
      <c r="AR1126" s="105"/>
    </row>
    <row r="1127" spans="1:44" s="49" customFormat="1" ht="49.9" hidden="1" customHeight="1">
      <c r="A1127" s="152">
        <f t="shared" ca="1" si="2504"/>
        <v>0</v>
      </c>
      <c r="B1127" s="153">
        <v>101767</v>
      </c>
      <c r="C1127" s="154" t="str">
        <f t="shared" si="2505"/>
        <v>101767</v>
      </c>
      <c r="D1127" s="154" t="s">
        <v>1416</v>
      </c>
      <c r="E1127" s="155" t="s">
        <v>3870</v>
      </c>
      <c r="F1127" s="154"/>
      <c r="G1127" s="154" t="s">
        <v>464</v>
      </c>
      <c r="H1127" s="152">
        <v>27.3</v>
      </c>
      <c r="I1127" s="152">
        <v>26.65</v>
      </c>
      <c r="J1127" s="156"/>
      <c r="K1127" s="156">
        <f>+Ciclovia!J67</f>
        <v>0</v>
      </c>
      <c r="L1127" s="156">
        <f t="shared" si="2506"/>
        <v>0</v>
      </c>
      <c r="M1127" s="156">
        <f t="shared" si="2507"/>
        <v>0</v>
      </c>
      <c r="N1127" s="156" t="s">
        <v>83</v>
      </c>
      <c r="O1127" s="157" cm="1">
        <f t="array" ref="O1127">TRUNC($H1127*(1+_xlfn.SWITCH($N1127,"BDI 1",$O$6,"BDI 2",$O$7,"BDI 3",$O$8)),2)</f>
        <v>32.950000000000003</v>
      </c>
      <c r="P1127" s="157" cm="1">
        <f t="array" ref="P1127">TRUNC($I1127*(1+_xlfn.SWITCH($N1127,"BDI 1",$P$6,"BDI 2",$P$7,"BDI 3",$P$8)),2)</f>
        <v>33.770000000000003</v>
      </c>
      <c r="Q1127" s="157">
        <v>0</v>
      </c>
      <c r="R1127" s="157">
        <f t="shared" ref="R1127" si="2539">$Q1127-($Q1127*LICITACAO_DESCONTO)</f>
        <v>0</v>
      </c>
      <c r="S1127" s="156">
        <f t="shared" si="2509"/>
        <v>0</v>
      </c>
      <c r="T1127" s="156">
        <f t="shared" si="2510"/>
        <v>0</v>
      </c>
      <c r="U1127" s="156">
        <f t="shared" si="2511"/>
        <v>0</v>
      </c>
      <c r="V1127" s="156">
        <f t="shared" si="2512"/>
        <v>0</v>
      </c>
      <c r="W1127" s="156">
        <f t="shared" si="2501"/>
        <v>0</v>
      </c>
      <c r="X1127" s="158">
        <f t="shared" ref="X1127" si="2540">$S1127/ORCAMENTO_VALOR_TOTAL_ND</f>
        <v>0</v>
      </c>
      <c r="Y1127" s="158">
        <f t="shared" ref="Y1127" si="2541">$T1127/ORCAMENTO_VALOR_TOTAL_DE</f>
        <v>0</v>
      </c>
      <c r="Z1127" s="158" cm="1">
        <f t="array" ref="Z1127">_xlfn.SWITCH($N1127,"BDI 1",$O$6,"BDI 2",$O$7,"BDI 3",$O$8)</f>
        <v>0.20699999999999999</v>
      </c>
      <c r="AA1127" s="158" cm="1">
        <f t="array" ref="AA1127">_xlfn.SWITCH($N1127,"BDI 1",$P$6,"BDI 2",$P$7,"BDI 3",$P$8)</f>
        <v>0.26739999999999997</v>
      </c>
      <c r="AB1127" s="158">
        <f t="shared" ca="1" si="2515"/>
        <v>0</v>
      </c>
      <c r="AC1127" s="158">
        <f t="shared" ca="1" si="2516"/>
        <v>0</v>
      </c>
      <c r="AD1127" s="164"/>
      <c r="AE1127" s="148">
        <f t="shared" si="2502"/>
        <v>0</v>
      </c>
      <c r="AF1127" s="149"/>
      <c r="AG1127" s="150"/>
      <c r="AH1127" s="159" t="e">
        <f t="shared" si="2503"/>
        <v>#DIV/0!</v>
      </c>
      <c r="AI1127" s="160"/>
      <c r="AJ1127" s="182">
        <v>20</v>
      </c>
      <c r="AK1127" s="183">
        <f t="shared" si="2538"/>
        <v>0</v>
      </c>
      <c r="AM1127" s="105"/>
      <c r="AN1127" s="105"/>
      <c r="AO1127" s="105"/>
      <c r="AP1127" s="105"/>
      <c r="AQ1127" s="105"/>
      <c r="AR1127" s="105"/>
    </row>
    <row r="1128" spans="1:44" s="49" customFormat="1" ht="49.9" hidden="1" customHeight="1">
      <c r="A1128" s="152">
        <f t="shared" ca="1" si="2504"/>
        <v>0</v>
      </c>
      <c r="B1128" s="153">
        <v>101768</v>
      </c>
      <c r="C1128" s="154" t="str">
        <f t="shared" si="2505"/>
        <v>101768</v>
      </c>
      <c r="D1128" s="154" t="s">
        <v>1416</v>
      </c>
      <c r="E1128" s="155" t="s">
        <v>3871</v>
      </c>
      <c r="F1128" s="154"/>
      <c r="G1128" s="154" t="s">
        <v>464</v>
      </c>
      <c r="H1128" s="152">
        <v>23.65</v>
      </c>
      <c r="I1128" s="152">
        <v>23.25</v>
      </c>
      <c r="J1128" s="156"/>
      <c r="K1128" s="156">
        <f>+Ciclovia!J68</f>
        <v>0</v>
      </c>
      <c r="L1128" s="156">
        <f t="shared" si="2506"/>
        <v>0</v>
      </c>
      <c r="M1128" s="156">
        <f t="shared" si="2507"/>
        <v>0</v>
      </c>
      <c r="N1128" s="156" t="s">
        <v>83</v>
      </c>
      <c r="O1128" s="157" cm="1">
        <f t="array" ref="O1128">TRUNC($H1128*(1+_xlfn.SWITCH($N1128,"BDI 1",$O$6,"BDI 2",$O$7,"BDI 3",$O$8)),2)</f>
        <v>28.54</v>
      </c>
      <c r="P1128" s="157" cm="1">
        <f t="array" ref="P1128">TRUNC($I1128*(1+_xlfn.SWITCH($N1128,"BDI 1",$P$6,"BDI 2",$P$7,"BDI 3",$P$8)),2)</f>
        <v>29.46</v>
      </c>
      <c r="Q1128" s="157">
        <v>0</v>
      </c>
      <c r="R1128" s="157">
        <f t="shared" ref="R1128" si="2542">$Q1128-($Q1128*LICITACAO_DESCONTO)</f>
        <v>0</v>
      </c>
      <c r="S1128" s="156">
        <f t="shared" si="2509"/>
        <v>0</v>
      </c>
      <c r="T1128" s="156">
        <f t="shared" si="2510"/>
        <v>0</v>
      </c>
      <c r="U1128" s="156">
        <f t="shared" si="2511"/>
        <v>0</v>
      </c>
      <c r="V1128" s="156">
        <f t="shared" si="2512"/>
        <v>0</v>
      </c>
      <c r="W1128" s="156">
        <f t="shared" si="2501"/>
        <v>0</v>
      </c>
      <c r="X1128" s="158">
        <f t="shared" ref="X1128" si="2543">$S1128/ORCAMENTO_VALOR_TOTAL_ND</f>
        <v>0</v>
      </c>
      <c r="Y1128" s="158">
        <f t="shared" ref="Y1128" si="2544">$T1128/ORCAMENTO_VALOR_TOTAL_DE</f>
        <v>0</v>
      </c>
      <c r="Z1128" s="158" cm="1">
        <f t="array" ref="Z1128">_xlfn.SWITCH($N1128,"BDI 1",$O$6,"BDI 2",$O$7,"BDI 3",$O$8)</f>
        <v>0.20699999999999999</v>
      </c>
      <c r="AA1128" s="158" cm="1">
        <f t="array" ref="AA1128">_xlfn.SWITCH($N1128,"BDI 1",$P$6,"BDI 2",$P$7,"BDI 3",$P$8)</f>
        <v>0.26739999999999997</v>
      </c>
      <c r="AB1128" s="158">
        <f t="shared" ca="1" si="2515"/>
        <v>0</v>
      </c>
      <c r="AC1128" s="158">
        <f t="shared" ca="1" si="2516"/>
        <v>0</v>
      </c>
      <c r="AD1128" s="164"/>
      <c r="AE1128" s="148">
        <f t="shared" si="2502"/>
        <v>0</v>
      </c>
      <c r="AF1128" s="149"/>
      <c r="AG1128" s="150"/>
      <c r="AH1128" s="159" t="e">
        <f t="shared" si="2503"/>
        <v>#DIV/0!</v>
      </c>
      <c r="AI1128" s="160"/>
      <c r="AJ1128" s="182">
        <v>0</v>
      </c>
      <c r="AK1128" s="183" t="e">
        <f t="shared" si="2538"/>
        <v>#DIV/0!</v>
      </c>
      <c r="AM1128" s="105"/>
      <c r="AN1128" s="105"/>
      <c r="AO1128" s="105"/>
      <c r="AP1128" s="105"/>
      <c r="AQ1128" s="105"/>
      <c r="AR1128" s="105"/>
    </row>
    <row r="1129" spans="1:44" s="49" customFormat="1" ht="49.9" hidden="1" customHeight="1">
      <c r="A1129" s="152">
        <f t="shared" ca="1" si="2504"/>
        <v>0</v>
      </c>
      <c r="B1129" s="153">
        <v>101768</v>
      </c>
      <c r="C1129" s="154" t="str">
        <f t="shared" si="2505"/>
        <v>101768</v>
      </c>
      <c r="D1129" s="154" t="s">
        <v>1416</v>
      </c>
      <c r="E1129" s="155" t="s">
        <v>3871</v>
      </c>
      <c r="F1129" s="154"/>
      <c r="G1129" s="154" t="s">
        <v>464</v>
      </c>
      <c r="H1129" s="152">
        <v>23.65</v>
      </c>
      <c r="I1129" s="152">
        <v>23.25</v>
      </c>
      <c r="J1129" s="156"/>
      <c r="K1129" s="156">
        <f>+Ciclovia!J69</f>
        <v>0</v>
      </c>
      <c r="L1129" s="156">
        <f t="shared" si="2506"/>
        <v>0</v>
      </c>
      <c r="M1129" s="156">
        <f t="shared" si="2507"/>
        <v>0</v>
      </c>
      <c r="N1129" s="156" t="s">
        <v>83</v>
      </c>
      <c r="O1129" s="157" cm="1">
        <f t="array" ref="O1129">TRUNC($H1129*(1+_xlfn.SWITCH($N1129,"BDI 1",$O$6,"BDI 2",$O$7,"BDI 3",$O$8)),2)</f>
        <v>28.54</v>
      </c>
      <c r="P1129" s="157" cm="1">
        <f t="array" ref="P1129">TRUNC($I1129*(1+_xlfn.SWITCH($N1129,"BDI 1",$P$6,"BDI 2",$P$7,"BDI 3",$P$8)),2)</f>
        <v>29.46</v>
      </c>
      <c r="Q1129" s="157">
        <v>0</v>
      </c>
      <c r="R1129" s="157">
        <f t="shared" ref="R1129" si="2545">$Q1129-($Q1129*LICITACAO_DESCONTO)</f>
        <v>0</v>
      </c>
      <c r="S1129" s="156">
        <f t="shared" si="2509"/>
        <v>0</v>
      </c>
      <c r="T1129" s="156">
        <f t="shared" si="2510"/>
        <v>0</v>
      </c>
      <c r="U1129" s="156">
        <f t="shared" si="2511"/>
        <v>0</v>
      </c>
      <c r="V1129" s="156">
        <f t="shared" si="2512"/>
        <v>0</v>
      </c>
      <c r="W1129" s="156">
        <f t="shared" si="2501"/>
        <v>0</v>
      </c>
      <c r="X1129" s="158">
        <f t="shared" ref="X1129" si="2546">$S1129/ORCAMENTO_VALOR_TOTAL_ND</f>
        <v>0</v>
      </c>
      <c r="Y1129" s="158">
        <f t="shared" ref="Y1129" si="2547">$T1129/ORCAMENTO_VALOR_TOTAL_DE</f>
        <v>0</v>
      </c>
      <c r="Z1129" s="158" cm="1">
        <f t="array" ref="Z1129">_xlfn.SWITCH($N1129,"BDI 1",$O$6,"BDI 2",$O$7,"BDI 3",$O$8)</f>
        <v>0.20699999999999999</v>
      </c>
      <c r="AA1129" s="158" cm="1">
        <f t="array" ref="AA1129">_xlfn.SWITCH($N1129,"BDI 1",$P$6,"BDI 2",$P$7,"BDI 3",$P$8)</f>
        <v>0.26739999999999997</v>
      </c>
      <c r="AB1129" s="158">
        <f t="shared" ca="1" si="2515"/>
        <v>0</v>
      </c>
      <c r="AC1129" s="158">
        <f t="shared" ca="1" si="2516"/>
        <v>0</v>
      </c>
      <c r="AD1129" s="164"/>
      <c r="AE1129" s="148">
        <f t="shared" si="2502"/>
        <v>0</v>
      </c>
      <c r="AF1129" s="149"/>
      <c r="AG1129" s="150"/>
      <c r="AH1129" s="159" t="e">
        <f t="shared" si="2503"/>
        <v>#DIV/0!</v>
      </c>
      <c r="AI1129" s="160"/>
      <c r="AJ1129" s="182">
        <v>0</v>
      </c>
      <c r="AK1129" s="183" t="e">
        <f t="shared" si="2538"/>
        <v>#DIV/0!</v>
      </c>
      <c r="AM1129" s="105"/>
      <c r="AN1129" s="105"/>
      <c r="AO1129" s="105"/>
      <c r="AP1129" s="105"/>
      <c r="AQ1129" s="105"/>
      <c r="AR1129" s="105"/>
    </row>
    <row r="1130" spans="1:44" s="49" customFormat="1" ht="49.9" hidden="1" customHeight="1">
      <c r="A1130" s="152">
        <f t="shared" ca="1" si="2504"/>
        <v>0</v>
      </c>
      <c r="B1130" s="153">
        <v>96389</v>
      </c>
      <c r="C1130" s="154" t="str">
        <f t="shared" si="2505"/>
        <v>96389</v>
      </c>
      <c r="D1130" s="154" t="s">
        <v>1416</v>
      </c>
      <c r="E1130" s="155" t="s">
        <v>3902</v>
      </c>
      <c r="F1130" s="154"/>
      <c r="G1130" s="154" t="s">
        <v>464</v>
      </c>
      <c r="H1130" s="152">
        <v>53.2</v>
      </c>
      <c r="I1130" s="152">
        <v>52.93</v>
      </c>
      <c r="J1130" s="156"/>
      <c r="K1130" s="156">
        <f>+Ciclovia!J63</f>
        <v>0</v>
      </c>
      <c r="L1130" s="156">
        <f t="shared" si="2506"/>
        <v>0</v>
      </c>
      <c r="M1130" s="156">
        <f t="shared" si="2507"/>
        <v>0</v>
      </c>
      <c r="N1130" s="156" t="s">
        <v>83</v>
      </c>
      <c r="O1130" s="157" cm="1">
        <f t="array" ref="O1130">TRUNC($H1130*(1+_xlfn.SWITCH($N1130,"BDI 1",$O$6,"BDI 2",$O$7,"BDI 3",$O$8)),2)</f>
        <v>64.209999999999994</v>
      </c>
      <c r="P1130" s="157" cm="1">
        <f t="array" ref="P1130">TRUNC($I1130*(1+_xlfn.SWITCH($N1130,"BDI 1",$P$6,"BDI 2",$P$7,"BDI 3",$P$8)),2)</f>
        <v>67.08</v>
      </c>
      <c r="Q1130" s="157">
        <v>0</v>
      </c>
      <c r="R1130" s="157">
        <f t="shared" ref="R1130" si="2548">$Q1130-($Q1130*LICITACAO_DESCONTO)</f>
        <v>0</v>
      </c>
      <c r="S1130" s="156">
        <f t="shared" si="2509"/>
        <v>0</v>
      </c>
      <c r="T1130" s="156">
        <f t="shared" si="2510"/>
        <v>0</v>
      </c>
      <c r="U1130" s="156">
        <f t="shared" si="2511"/>
        <v>0</v>
      </c>
      <c r="V1130" s="156">
        <f t="shared" si="2512"/>
        <v>0</v>
      </c>
      <c r="W1130" s="156">
        <f t="shared" si="2501"/>
        <v>0</v>
      </c>
      <c r="X1130" s="158">
        <f t="shared" ref="X1130" si="2549">$S1130/ORCAMENTO_VALOR_TOTAL_ND</f>
        <v>0</v>
      </c>
      <c r="Y1130" s="158">
        <f t="shared" ref="Y1130" si="2550">$T1130/ORCAMENTO_VALOR_TOTAL_DE</f>
        <v>0</v>
      </c>
      <c r="Z1130" s="158" cm="1">
        <f t="array" ref="Z1130">_xlfn.SWITCH($N1130,"BDI 1",$O$6,"BDI 2",$O$7,"BDI 3",$O$8)</f>
        <v>0.20699999999999999</v>
      </c>
      <c r="AA1130" s="158" cm="1">
        <f t="array" ref="AA1130">_xlfn.SWITCH($N1130,"BDI 1",$P$6,"BDI 2",$P$7,"BDI 3",$P$8)</f>
        <v>0.26739999999999997</v>
      </c>
      <c r="AB1130" s="158">
        <f t="shared" ca="1" si="2515"/>
        <v>0</v>
      </c>
      <c r="AC1130" s="158">
        <f t="shared" ca="1" si="2516"/>
        <v>0</v>
      </c>
      <c r="AD1130" s="164"/>
      <c r="AE1130" s="148">
        <f t="shared" si="2502"/>
        <v>0</v>
      </c>
      <c r="AF1130" s="149"/>
      <c r="AG1130" s="150"/>
      <c r="AH1130" s="159" t="e">
        <f t="shared" si="2503"/>
        <v>#DIV/0!</v>
      </c>
      <c r="AI1130" s="160"/>
      <c r="AJ1130" s="182">
        <v>0</v>
      </c>
      <c r="AK1130" s="183" t="e">
        <f t="shared" si="2538"/>
        <v>#DIV/0!</v>
      </c>
      <c r="AM1130" s="105"/>
      <c r="AN1130" s="105"/>
      <c r="AO1130" s="105"/>
      <c r="AP1130" s="105"/>
      <c r="AQ1130" s="105"/>
      <c r="AR1130" s="105"/>
    </row>
    <row r="1131" spans="1:44" s="49" customFormat="1" ht="49.9" hidden="1" customHeight="1">
      <c r="A1131" s="152">
        <f t="shared" ca="1" si="2504"/>
        <v>0</v>
      </c>
      <c r="B1131" s="153">
        <v>96390</v>
      </c>
      <c r="C1131" s="154" t="str">
        <f t="shared" si="2505"/>
        <v>96390</v>
      </c>
      <c r="D1131" s="154" t="s">
        <v>1416</v>
      </c>
      <c r="E1131" s="155" t="s">
        <v>3903</v>
      </c>
      <c r="F1131" s="154"/>
      <c r="G1131" s="154" t="s">
        <v>464</v>
      </c>
      <c r="H1131" s="152">
        <v>85.56</v>
      </c>
      <c r="I1131" s="152">
        <v>85.29</v>
      </c>
      <c r="J1131" s="156"/>
      <c r="K1131" s="156">
        <f>+Ciclovia!J64</f>
        <v>0</v>
      </c>
      <c r="L1131" s="156">
        <f t="shared" si="2506"/>
        <v>0</v>
      </c>
      <c r="M1131" s="156">
        <f t="shared" si="2507"/>
        <v>0</v>
      </c>
      <c r="N1131" s="156" t="s">
        <v>83</v>
      </c>
      <c r="O1131" s="157" cm="1">
        <f t="array" ref="O1131">TRUNC($H1131*(1+_xlfn.SWITCH($N1131,"BDI 1",$O$6,"BDI 2",$O$7,"BDI 3",$O$8)),2)</f>
        <v>103.27</v>
      </c>
      <c r="P1131" s="157" cm="1">
        <f t="array" ref="P1131">TRUNC($I1131*(1+_xlfn.SWITCH($N1131,"BDI 1",$P$6,"BDI 2",$P$7,"BDI 3",$P$8)),2)</f>
        <v>108.09</v>
      </c>
      <c r="Q1131" s="157">
        <v>0</v>
      </c>
      <c r="R1131" s="157">
        <f t="shared" ref="R1131" si="2551">$Q1131-($Q1131*LICITACAO_DESCONTO)</f>
        <v>0</v>
      </c>
      <c r="S1131" s="156">
        <f t="shared" si="2509"/>
        <v>0</v>
      </c>
      <c r="T1131" s="156">
        <f t="shared" si="2510"/>
        <v>0</v>
      </c>
      <c r="U1131" s="156">
        <f t="shared" si="2511"/>
        <v>0</v>
      </c>
      <c r="V1131" s="156">
        <f t="shared" si="2512"/>
        <v>0</v>
      </c>
      <c r="W1131" s="156">
        <f t="shared" si="2501"/>
        <v>0</v>
      </c>
      <c r="X1131" s="158">
        <f t="shared" ref="X1131" si="2552">$S1131/ORCAMENTO_VALOR_TOTAL_ND</f>
        <v>0</v>
      </c>
      <c r="Y1131" s="158">
        <f t="shared" ref="Y1131" si="2553">$T1131/ORCAMENTO_VALOR_TOTAL_DE</f>
        <v>0</v>
      </c>
      <c r="Z1131" s="158" cm="1">
        <f t="array" ref="Z1131">_xlfn.SWITCH($N1131,"BDI 1",$O$6,"BDI 2",$O$7,"BDI 3",$O$8)</f>
        <v>0.20699999999999999</v>
      </c>
      <c r="AA1131" s="158" cm="1">
        <f t="array" ref="AA1131">_xlfn.SWITCH($N1131,"BDI 1",$P$6,"BDI 2",$P$7,"BDI 3",$P$8)</f>
        <v>0.26739999999999997</v>
      </c>
      <c r="AB1131" s="158">
        <f t="shared" ca="1" si="2515"/>
        <v>0</v>
      </c>
      <c r="AC1131" s="158">
        <f t="shared" ca="1" si="2516"/>
        <v>0</v>
      </c>
      <c r="AD1131" s="164"/>
      <c r="AE1131" s="148">
        <f t="shared" si="2502"/>
        <v>0</v>
      </c>
      <c r="AF1131" s="149"/>
      <c r="AG1131" s="150"/>
      <c r="AH1131" s="159" t="e">
        <f t="shared" si="2503"/>
        <v>#DIV/0!</v>
      </c>
      <c r="AI1131" s="160"/>
      <c r="AJ1131" s="182">
        <v>0</v>
      </c>
      <c r="AK1131" s="183" t="e">
        <f t="shared" si="2538"/>
        <v>#DIV/0!</v>
      </c>
      <c r="AM1131" s="105"/>
      <c r="AN1131" s="105"/>
      <c r="AO1131" s="105"/>
      <c r="AP1131" s="105"/>
      <c r="AQ1131" s="105"/>
      <c r="AR1131" s="105"/>
    </row>
    <row r="1132" spans="1:44" s="49" customFormat="1" ht="49.9" hidden="1" customHeight="1">
      <c r="A1132" s="152">
        <f t="shared" ca="1" si="2504"/>
        <v>0</v>
      </c>
      <c r="B1132" s="153">
        <v>96391</v>
      </c>
      <c r="C1132" s="154" t="str">
        <f t="shared" si="2505"/>
        <v>96391</v>
      </c>
      <c r="D1132" s="154" t="s">
        <v>1416</v>
      </c>
      <c r="E1132" s="155" t="s">
        <v>3904</v>
      </c>
      <c r="F1132" s="154"/>
      <c r="G1132" s="154" t="s">
        <v>464</v>
      </c>
      <c r="H1132" s="152">
        <v>119.51</v>
      </c>
      <c r="I1132" s="152">
        <v>119.2</v>
      </c>
      <c r="J1132" s="156"/>
      <c r="K1132" s="156">
        <f>+Ciclovia!J65</f>
        <v>0</v>
      </c>
      <c r="L1132" s="156">
        <f t="shared" si="2506"/>
        <v>0</v>
      </c>
      <c r="M1132" s="156">
        <f t="shared" si="2507"/>
        <v>0</v>
      </c>
      <c r="N1132" s="156" t="s">
        <v>83</v>
      </c>
      <c r="O1132" s="157" cm="1">
        <f t="array" ref="O1132">TRUNC($H1132*(1+_xlfn.SWITCH($N1132,"BDI 1",$O$6,"BDI 2",$O$7,"BDI 3",$O$8)),2)</f>
        <v>144.24</v>
      </c>
      <c r="P1132" s="157" cm="1">
        <f t="array" ref="P1132">TRUNC($I1132*(1+_xlfn.SWITCH($N1132,"BDI 1",$P$6,"BDI 2",$P$7,"BDI 3",$P$8)),2)</f>
        <v>151.07</v>
      </c>
      <c r="Q1132" s="157">
        <v>0</v>
      </c>
      <c r="R1132" s="157">
        <f t="shared" ref="R1132" si="2554">$Q1132-($Q1132*LICITACAO_DESCONTO)</f>
        <v>0</v>
      </c>
      <c r="S1132" s="156">
        <f t="shared" si="2509"/>
        <v>0</v>
      </c>
      <c r="T1132" s="156">
        <f t="shared" si="2510"/>
        <v>0</v>
      </c>
      <c r="U1132" s="156">
        <f t="shared" si="2511"/>
        <v>0</v>
      </c>
      <c r="V1132" s="156">
        <f t="shared" si="2512"/>
        <v>0</v>
      </c>
      <c r="W1132" s="156">
        <f t="shared" si="2501"/>
        <v>0</v>
      </c>
      <c r="X1132" s="158">
        <f t="shared" ref="X1132" si="2555">$S1132/ORCAMENTO_VALOR_TOTAL_ND</f>
        <v>0</v>
      </c>
      <c r="Y1132" s="158">
        <f t="shared" ref="Y1132" si="2556">$T1132/ORCAMENTO_VALOR_TOTAL_DE</f>
        <v>0</v>
      </c>
      <c r="Z1132" s="158" cm="1">
        <f t="array" ref="Z1132">_xlfn.SWITCH($N1132,"BDI 1",$O$6,"BDI 2",$O$7,"BDI 3",$O$8)</f>
        <v>0.20699999999999999</v>
      </c>
      <c r="AA1132" s="158" cm="1">
        <f t="array" ref="AA1132">_xlfn.SWITCH($N1132,"BDI 1",$P$6,"BDI 2",$P$7,"BDI 3",$P$8)</f>
        <v>0.26739999999999997</v>
      </c>
      <c r="AB1132" s="158">
        <f t="shared" ca="1" si="2515"/>
        <v>0</v>
      </c>
      <c r="AC1132" s="158">
        <f t="shared" ca="1" si="2516"/>
        <v>0</v>
      </c>
      <c r="AD1132" s="164"/>
      <c r="AE1132" s="148">
        <f t="shared" si="2502"/>
        <v>0</v>
      </c>
      <c r="AF1132" s="149"/>
      <c r="AG1132" s="150"/>
      <c r="AH1132" s="159" t="e">
        <f t="shared" si="2503"/>
        <v>#DIV/0!</v>
      </c>
      <c r="AI1132" s="160"/>
      <c r="AJ1132" s="182">
        <v>0</v>
      </c>
      <c r="AK1132" s="183" t="e">
        <f t="shared" si="2538"/>
        <v>#DIV/0!</v>
      </c>
      <c r="AM1132" s="105"/>
      <c r="AN1132" s="105"/>
      <c r="AO1132" s="105"/>
      <c r="AP1132" s="105"/>
      <c r="AQ1132" s="105"/>
      <c r="AR1132" s="105"/>
    </row>
    <row r="1133" spans="1:44" s="49" customFormat="1" ht="49.9" hidden="1" customHeight="1">
      <c r="A1133" s="152">
        <f t="shared" ca="1" si="2504"/>
        <v>0</v>
      </c>
      <c r="B1133" s="153">
        <v>96392</v>
      </c>
      <c r="C1133" s="154" t="str">
        <f t="shared" si="2505"/>
        <v>96392</v>
      </c>
      <c r="D1133" s="154" t="s">
        <v>1416</v>
      </c>
      <c r="E1133" s="155" t="s">
        <v>3905</v>
      </c>
      <c r="F1133" s="154"/>
      <c r="G1133" s="154" t="s">
        <v>464</v>
      </c>
      <c r="H1133" s="152">
        <v>152.24</v>
      </c>
      <c r="I1133" s="152">
        <v>151.93</v>
      </c>
      <c r="J1133" s="156"/>
      <c r="K1133" s="156">
        <f>+Ciclovia!J66</f>
        <v>0</v>
      </c>
      <c r="L1133" s="156">
        <f t="shared" si="2506"/>
        <v>0</v>
      </c>
      <c r="M1133" s="156">
        <f t="shared" si="2507"/>
        <v>0</v>
      </c>
      <c r="N1133" s="156" t="s">
        <v>83</v>
      </c>
      <c r="O1133" s="157" cm="1">
        <f t="array" ref="O1133">TRUNC($H1133*(1+_xlfn.SWITCH($N1133,"BDI 1",$O$6,"BDI 2",$O$7,"BDI 3",$O$8)),2)</f>
        <v>183.75</v>
      </c>
      <c r="P1133" s="157" cm="1">
        <f t="array" ref="P1133">TRUNC($I1133*(1+_xlfn.SWITCH($N1133,"BDI 1",$P$6,"BDI 2",$P$7,"BDI 3",$P$8)),2)</f>
        <v>192.55</v>
      </c>
      <c r="Q1133" s="157">
        <v>0</v>
      </c>
      <c r="R1133" s="157">
        <f t="shared" ref="R1133" si="2557">$Q1133-($Q1133*LICITACAO_DESCONTO)</f>
        <v>0</v>
      </c>
      <c r="S1133" s="156">
        <f t="shared" si="2509"/>
        <v>0</v>
      </c>
      <c r="T1133" s="156">
        <f t="shared" si="2510"/>
        <v>0</v>
      </c>
      <c r="U1133" s="156">
        <f t="shared" si="2511"/>
        <v>0</v>
      </c>
      <c r="V1133" s="156">
        <f t="shared" si="2512"/>
        <v>0</v>
      </c>
      <c r="W1133" s="156">
        <f t="shared" si="2501"/>
        <v>0</v>
      </c>
      <c r="X1133" s="158">
        <f t="shared" ref="X1133" si="2558">$S1133/ORCAMENTO_VALOR_TOTAL_ND</f>
        <v>0</v>
      </c>
      <c r="Y1133" s="158">
        <f t="shared" ref="Y1133" si="2559">$T1133/ORCAMENTO_VALOR_TOTAL_DE</f>
        <v>0</v>
      </c>
      <c r="Z1133" s="158" cm="1">
        <f t="array" ref="Z1133">_xlfn.SWITCH($N1133,"BDI 1",$O$6,"BDI 2",$O$7,"BDI 3",$O$8)</f>
        <v>0.20699999999999999</v>
      </c>
      <c r="AA1133" s="158" cm="1">
        <f t="array" ref="AA1133">_xlfn.SWITCH($N1133,"BDI 1",$P$6,"BDI 2",$P$7,"BDI 3",$P$8)</f>
        <v>0.26739999999999997</v>
      </c>
      <c r="AB1133" s="158">
        <f t="shared" ca="1" si="2515"/>
        <v>0</v>
      </c>
      <c r="AC1133" s="158">
        <f t="shared" ca="1" si="2516"/>
        <v>0</v>
      </c>
      <c r="AD1133" s="164"/>
      <c r="AE1133" s="148">
        <f t="shared" si="2502"/>
        <v>0</v>
      </c>
      <c r="AF1133" s="149"/>
      <c r="AG1133" s="150"/>
      <c r="AH1133" s="159" t="e">
        <f t="shared" si="2503"/>
        <v>#DIV/0!</v>
      </c>
      <c r="AI1133" s="160"/>
      <c r="AJ1133" s="182">
        <v>0</v>
      </c>
      <c r="AK1133" s="183" t="e">
        <f t="shared" si="2538"/>
        <v>#DIV/0!</v>
      </c>
      <c r="AM1133" s="105"/>
      <c r="AN1133" s="105"/>
      <c r="AO1133" s="105"/>
      <c r="AP1133" s="105"/>
      <c r="AQ1133" s="105"/>
      <c r="AR1133" s="105"/>
    </row>
    <row r="1134" spans="1:44" s="49" customFormat="1" ht="40.15" hidden="1" customHeight="1">
      <c r="A1134" s="152">
        <f t="shared" ca="1" si="2504"/>
        <v>0</v>
      </c>
      <c r="B1134" s="153" t="s">
        <v>249</v>
      </c>
      <c r="C1134" s="154" t="str">
        <f t="shared" si="2505"/>
        <v>PA/0025</v>
      </c>
      <c r="D1134" s="154" t="s">
        <v>3549</v>
      </c>
      <c r="E1134" s="155" t="s">
        <v>3532</v>
      </c>
      <c r="F1134" s="154"/>
      <c r="G1134" s="154" t="s">
        <v>1418</v>
      </c>
      <c r="H1134" s="152">
        <v>5.28</v>
      </c>
      <c r="I1134" s="152">
        <v>5.24</v>
      </c>
      <c r="J1134" s="156"/>
      <c r="K1134" s="156">
        <f>+Ciclovia!J77</f>
        <v>0</v>
      </c>
      <c r="L1134" s="156">
        <f t="shared" si="2506"/>
        <v>0</v>
      </c>
      <c r="M1134" s="156">
        <f t="shared" si="2507"/>
        <v>0</v>
      </c>
      <c r="N1134" s="156" t="s">
        <v>83</v>
      </c>
      <c r="O1134" s="157" cm="1">
        <f t="array" ref="O1134">TRUNC($H1134*(1+_xlfn.SWITCH($N1134,"BDI 1",$O$6,"BDI 2",$O$7,"BDI 3",$O$8)),2)</f>
        <v>6.37</v>
      </c>
      <c r="P1134" s="157" cm="1">
        <f t="array" ref="P1134">TRUNC($I1134*(1+_xlfn.SWITCH($N1134,"BDI 1",$P$6,"BDI 2",$P$7,"BDI 3",$P$8)),2)</f>
        <v>6.64</v>
      </c>
      <c r="Q1134" s="157">
        <v>0</v>
      </c>
      <c r="R1134" s="157">
        <f t="shared" ref="R1134" si="2560">$Q1134-($Q1134*LICITACAO_DESCONTO)</f>
        <v>0</v>
      </c>
      <c r="S1134" s="156">
        <f t="shared" si="2509"/>
        <v>0</v>
      </c>
      <c r="T1134" s="156">
        <f t="shared" si="2510"/>
        <v>0</v>
      </c>
      <c r="U1134" s="156">
        <f t="shared" si="2511"/>
        <v>0</v>
      </c>
      <c r="V1134" s="156">
        <f t="shared" si="2512"/>
        <v>0</v>
      </c>
      <c r="W1134" s="156">
        <f t="shared" si="2501"/>
        <v>0</v>
      </c>
      <c r="X1134" s="158">
        <f t="shared" ref="X1134" si="2561">$S1134/ORCAMENTO_VALOR_TOTAL_ND</f>
        <v>0</v>
      </c>
      <c r="Y1134" s="158">
        <f t="shared" ref="Y1134" si="2562">$T1134/ORCAMENTO_VALOR_TOTAL_DE</f>
        <v>0</v>
      </c>
      <c r="Z1134" s="158" cm="1">
        <f t="array" ref="Z1134">_xlfn.SWITCH($N1134,"BDI 1",$O$6,"BDI 2",$O$7,"BDI 3",$O$8)</f>
        <v>0.20699999999999999</v>
      </c>
      <c r="AA1134" s="158" cm="1">
        <f t="array" ref="AA1134">_xlfn.SWITCH($N1134,"BDI 1",$P$6,"BDI 2",$P$7,"BDI 3",$P$8)</f>
        <v>0.26739999999999997</v>
      </c>
      <c r="AB1134" s="158">
        <f t="shared" ca="1" si="2515"/>
        <v>0</v>
      </c>
      <c r="AC1134" s="158">
        <f t="shared" ca="1" si="2516"/>
        <v>0</v>
      </c>
      <c r="AD1134" s="164"/>
      <c r="AE1134" s="148">
        <f t="shared" si="2502"/>
        <v>0</v>
      </c>
      <c r="AF1134" s="149"/>
      <c r="AG1134" s="150"/>
      <c r="AH1134" s="159" t="e">
        <f t="shared" si="2503"/>
        <v>#DIV/0!</v>
      </c>
      <c r="AI1134" s="165" t="s">
        <v>250</v>
      </c>
      <c r="AJ1134" s="182"/>
      <c r="AK1134" s="183"/>
      <c r="AM1134" s="105"/>
      <c r="AN1134" s="105"/>
      <c r="AO1134" s="105"/>
      <c r="AP1134" s="105"/>
      <c r="AQ1134" s="105"/>
      <c r="AR1134" s="105"/>
    </row>
    <row r="1135" spans="1:44" s="49" customFormat="1" ht="40.15" hidden="1" customHeight="1">
      <c r="A1135" s="152">
        <f t="shared" ca="1" si="2504"/>
        <v>0</v>
      </c>
      <c r="B1135" s="153" t="s">
        <v>287</v>
      </c>
      <c r="C1135" s="154" t="str">
        <f t="shared" si="2505"/>
        <v>PA/0023</v>
      </c>
      <c r="D1135" s="154" t="s">
        <v>3549</v>
      </c>
      <c r="E1135" s="155" t="s">
        <v>3539</v>
      </c>
      <c r="F1135" s="154"/>
      <c r="G1135" s="154" t="s">
        <v>1418</v>
      </c>
      <c r="H1135" s="152">
        <v>2.37</v>
      </c>
      <c r="I1135" s="152">
        <v>2.33</v>
      </c>
      <c r="J1135" s="156"/>
      <c r="K1135" s="156">
        <f>+Ciclovia!J81</f>
        <v>0</v>
      </c>
      <c r="L1135" s="156">
        <f t="shared" si="2506"/>
        <v>0</v>
      </c>
      <c r="M1135" s="156">
        <f t="shared" si="2507"/>
        <v>0</v>
      </c>
      <c r="N1135" s="156" t="s">
        <v>83</v>
      </c>
      <c r="O1135" s="157" cm="1">
        <f t="array" ref="O1135">TRUNC($H1135*(1+_xlfn.SWITCH($N1135,"BDI 1",$O$6,"BDI 2",$O$7,"BDI 3",$O$8)),2)</f>
        <v>2.86</v>
      </c>
      <c r="P1135" s="157" cm="1">
        <f t="array" ref="P1135">TRUNC($I1135*(1+_xlfn.SWITCH($N1135,"BDI 1",$P$6,"BDI 2",$P$7,"BDI 3",$P$8)),2)</f>
        <v>2.95</v>
      </c>
      <c r="Q1135" s="157">
        <v>0</v>
      </c>
      <c r="R1135" s="157">
        <f t="shared" ref="R1135" si="2563">$Q1135-($Q1135*LICITACAO_DESCONTO)</f>
        <v>0</v>
      </c>
      <c r="S1135" s="156">
        <f t="shared" si="2509"/>
        <v>0</v>
      </c>
      <c r="T1135" s="156">
        <f t="shared" si="2510"/>
        <v>0</v>
      </c>
      <c r="U1135" s="156">
        <f t="shared" si="2511"/>
        <v>0</v>
      </c>
      <c r="V1135" s="156">
        <f t="shared" si="2512"/>
        <v>0</v>
      </c>
      <c r="W1135" s="156">
        <f t="shared" si="2501"/>
        <v>0</v>
      </c>
      <c r="X1135" s="158">
        <f t="shared" ref="X1135" si="2564">$S1135/ORCAMENTO_VALOR_TOTAL_ND</f>
        <v>0</v>
      </c>
      <c r="Y1135" s="158">
        <f t="shared" ref="Y1135" si="2565">$T1135/ORCAMENTO_VALOR_TOTAL_DE</f>
        <v>0</v>
      </c>
      <c r="Z1135" s="158" cm="1">
        <f t="array" ref="Z1135">_xlfn.SWITCH($N1135,"BDI 1",$O$6,"BDI 2",$O$7,"BDI 3",$O$8)</f>
        <v>0.20699999999999999</v>
      </c>
      <c r="AA1135" s="158" cm="1">
        <f t="array" ref="AA1135">_xlfn.SWITCH($N1135,"BDI 1",$P$6,"BDI 2",$P$7,"BDI 3",$P$8)</f>
        <v>0.26739999999999997</v>
      </c>
      <c r="AB1135" s="158">
        <f t="shared" ca="1" si="2515"/>
        <v>0</v>
      </c>
      <c r="AC1135" s="158">
        <f t="shared" ca="1" si="2516"/>
        <v>0</v>
      </c>
      <c r="AD1135" s="164"/>
      <c r="AE1135" s="148">
        <f t="shared" si="2502"/>
        <v>0</v>
      </c>
      <c r="AF1135" s="149"/>
      <c r="AG1135" s="150"/>
      <c r="AH1135" s="159" t="e">
        <f t="shared" si="2503"/>
        <v>#DIV/0!</v>
      </c>
      <c r="AI1135" s="160">
        <v>0</v>
      </c>
      <c r="AJ1135" s="182"/>
      <c r="AK1135" s="183"/>
      <c r="AM1135" s="105"/>
      <c r="AN1135" s="105"/>
      <c r="AO1135" s="105"/>
      <c r="AP1135" s="105"/>
      <c r="AQ1135" s="105"/>
      <c r="AR1135" s="105"/>
    </row>
    <row r="1136" spans="1:44" s="49" customFormat="1" ht="49.9" hidden="1" customHeight="1">
      <c r="A1136" s="152">
        <f t="shared" ca="1" si="2504"/>
        <v>0</v>
      </c>
      <c r="B1136" s="153" t="s">
        <v>252</v>
      </c>
      <c r="C1136" s="154" t="str">
        <f t="shared" si="2505"/>
        <v>PA/0040</v>
      </c>
      <c r="D1136" s="154" t="s">
        <v>3549</v>
      </c>
      <c r="E1136" s="155" t="s">
        <v>3875</v>
      </c>
      <c r="F1136" s="154"/>
      <c r="G1136" s="154" t="s">
        <v>464</v>
      </c>
      <c r="H1136" s="152">
        <v>1628.68</v>
      </c>
      <c r="I1136" s="152">
        <v>1625.69</v>
      </c>
      <c r="J1136" s="156"/>
      <c r="K1136" s="156">
        <f>+Ciclovia!J85</f>
        <v>0</v>
      </c>
      <c r="L1136" s="156">
        <f t="shared" si="2506"/>
        <v>0</v>
      </c>
      <c r="M1136" s="156">
        <f t="shared" si="2507"/>
        <v>0</v>
      </c>
      <c r="N1136" s="156" t="s">
        <v>83</v>
      </c>
      <c r="O1136" s="157" cm="1">
        <f t="array" ref="O1136">TRUNC($H1136*(1+_xlfn.SWITCH($N1136,"BDI 1",$O$6,"BDI 2",$O$7,"BDI 3",$O$8)),2)</f>
        <v>1965.81</v>
      </c>
      <c r="P1136" s="157" cm="1">
        <f t="array" ref="P1136">TRUNC($I1136*(1+_xlfn.SWITCH($N1136,"BDI 1",$P$6,"BDI 2",$P$7,"BDI 3",$P$8)),2)</f>
        <v>2060.39</v>
      </c>
      <c r="Q1136" s="157">
        <v>0</v>
      </c>
      <c r="R1136" s="157">
        <f t="shared" ref="R1136" si="2566">$Q1136-($Q1136*LICITACAO_DESCONTO)</f>
        <v>0</v>
      </c>
      <c r="S1136" s="156">
        <f t="shared" si="2509"/>
        <v>0</v>
      </c>
      <c r="T1136" s="156">
        <f t="shared" si="2510"/>
        <v>0</v>
      </c>
      <c r="U1136" s="156">
        <f t="shared" si="2511"/>
        <v>0</v>
      </c>
      <c r="V1136" s="156">
        <f t="shared" si="2512"/>
        <v>0</v>
      </c>
      <c r="W1136" s="156">
        <f t="shared" si="2501"/>
        <v>0</v>
      </c>
      <c r="X1136" s="158">
        <f t="shared" ref="X1136" si="2567">$S1136/ORCAMENTO_VALOR_TOTAL_ND</f>
        <v>0</v>
      </c>
      <c r="Y1136" s="158">
        <f t="shared" ref="Y1136" si="2568">$T1136/ORCAMENTO_VALOR_TOTAL_DE</f>
        <v>0</v>
      </c>
      <c r="Z1136" s="158" cm="1">
        <f t="array" ref="Z1136">_xlfn.SWITCH($N1136,"BDI 1",$O$6,"BDI 2",$O$7,"BDI 3",$O$8)</f>
        <v>0.20699999999999999</v>
      </c>
      <c r="AA1136" s="158" cm="1">
        <f t="array" ref="AA1136">_xlfn.SWITCH($N1136,"BDI 1",$P$6,"BDI 2",$P$7,"BDI 3",$P$8)</f>
        <v>0.26739999999999997</v>
      </c>
      <c r="AB1136" s="158">
        <f t="shared" ca="1" si="2515"/>
        <v>0</v>
      </c>
      <c r="AC1136" s="158">
        <f t="shared" ca="1" si="2516"/>
        <v>0</v>
      </c>
      <c r="AD1136" s="164"/>
      <c r="AE1136" s="148">
        <f t="shared" si="2502"/>
        <v>0</v>
      </c>
      <c r="AF1136" s="149"/>
      <c r="AG1136" s="150"/>
      <c r="AH1136" s="159" t="e">
        <f t="shared" si="2503"/>
        <v>#DIV/0!</v>
      </c>
      <c r="AI1136" s="165" t="s">
        <v>289</v>
      </c>
      <c r="AJ1136" s="182"/>
      <c r="AK1136" s="183"/>
      <c r="AM1136" s="105"/>
      <c r="AN1136" s="105"/>
      <c r="AO1136" s="105"/>
      <c r="AP1136" s="105"/>
      <c r="AQ1136" s="105"/>
      <c r="AR1136" s="105"/>
    </row>
    <row r="1137" spans="1:44" s="49" customFormat="1" ht="40.15" hidden="1" customHeight="1">
      <c r="A1137" s="152">
        <f t="shared" ca="1" si="2504"/>
        <v>0</v>
      </c>
      <c r="B1137" s="153">
        <v>94991</v>
      </c>
      <c r="C1137" s="154" t="str">
        <f t="shared" si="2505"/>
        <v>94991</v>
      </c>
      <c r="D1137" s="154" t="s">
        <v>1416</v>
      </c>
      <c r="E1137" s="155" t="s">
        <v>3850</v>
      </c>
      <c r="F1137" s="154"/>
      <c r="G1137" s="154" t="s">
        <v>464</v>
      </c>
      <c r="H1137" s="152">
        <v>801</v>
      </c>
      <c r="I1137" s="152">
        <v>784.57</v>
      </c>
      <c r="J1137" s="156"/>
      <c r="K1137" s="156">
        <f>+Ciclovia!J94</f>
        <v>0</v>
      </c>
      <c r="L1137" s="156">
        <f t="shared" si="2506"/>
        <v>0</v>
      </c>
      <c r="M1137" s="156">
        <f t="shared" si="2507"/>
        <v>0</v>
      </c>
      <c r="N1137" s="156" t="s">
        <v>83</v>
      </c>
      <c r="O1137" s="157" cm="1">
        <f t="array" ref="O1137">TRUNC($H1137*(1+_xlfn.SWITCH($N1137,"BDI 1",$O$6,"BDI 2",$O$7,"BDI 3",$O$8)),2)</f>
        <v>966.8</v>
      </c>
      <c r="P1137" s="157" cm="1">
        <f t="array" ref="P1137">TRUNC($I1137*(1+_xlfn.SWITCH($N1137,"BDI 1",$P$6,"BDI 2",$P$7,"BDI 3",$P$8)),2)</f>
        <v>994.36</v>
      </c>
      <c r="Q1137" s="157">
        <v>0</v>
      </c>
      <c r="R1137" s="157">
        <f t="shared" ref="R1137" si="2569">$Q1137-($Q1137*LICITACAO_DESCONTO)</f>
        <v>0</v>
      </c>
      <c r="S1137" s="156">
        <f t="shared" si="2509"/>
        <v>0</v>
      </c>
      <c r="T1137" s="156">
        <f t="shared" si="2510"/>
        <v>0</v>
      </c>
      <c r="U1137" s="156">
        <f t="shared" si="2511"/>
        <v>0</v>
      </c>
      <c r="V1137" s="156">
        <f t="shared" si="2512"/>
        <v>0</v>
      </c>
      <c r="W1137" s="156">
        <f t="shared" si="2501"/>
        <v>0</v>
      </c>
      <c r="X1137" s="158">
        <f t="shared" ref="X1137" si="2570">$S1137/ORCAMENTO_VALOR_TOTAL_ND</f>
        <v>0</v>
      </c>
      <c r="Y1137" s="158">
        <f t="shared" ref="Y1137" si="2571">$T1137/ORCAMENTO_VALOR_TOTAL_DE</f>
        <v>0</v>
      </c>
      <c r="Z1137" s="158" cm="1">
        <f t="array" ref="Z1137">_xlfn.SWITCH($N1137,"BDI 1",$O$6,"BDI 2",$O$7,"BDI 3",$O$8)</f>
        <v>0.20699999999999999</v>
      </c>
      <c r="AA1137" s="158" cm="1">
        <f t="array" ref="AA1137">_xlfn.SWITCH($N1137,"BDI 1",$P$6,"BDI 2",$P$7,"BDI 3",$P$8)</f>
        <v>0.26739999999999997</v>
      </c>
      <c r="AB1137" s="158">
        <f t="shared" ca="1" si="2515"/>
        <v>0</v>
      </c>
      <c r="AC1137" s="158">
        <f t="shared" ca="1" si="2516"/>
        <v>0</v>
      </c>
      <c r="AD1137" s="164"/>
      <c r="AE1137" s="148">
        <f t="shared" si="2502"/>
        <v>0</v>
      </c>
      <c r="AF1137" s="149"/>
      <c r="AG1137" s="150"/>
      <c r="AH1137" s="159" t="e">
        <f t="shared" si="2503"/>
        <v>#DIV/0!</v>
      </c>
      <c r="AI1137" s="165" t="s">
        <v>216</v>
      </c>
      <c r="AJ1137" s="182"/>
      <c r="AK1137" s="183"/>
      <c r="AM1137" s="105"/>
      <c r="AN1137" s="105"/>
      <c r="AO1137" s="105"/>
      <c r="AP1137" s="105"/>
      <c r="AQ1137" s="105"/>
      <c r="AR1137" s="105"/>
    </row>
    <row r="1138" spans="1:44" s="49" customFormat="1" ht="40.15" hidden="1" customHeight="1">
      <c r="A1138" s="152">
        <f t="shared" ca="1" si="2504"/>
        <v>0</v>
      </c>
      <c r="B1138" s="153">
        <v>92397</v>
      </c>
      <c r="C1138" s="154" t="str">
        <f t="shared" si="2505"/>
        <v>92397</v>
      </c>
      <c r="D1138" s="154" t="s">
        <v>1416</v>
      </c>
      <c r="E1138" s="155" t="s">
        <v>3972</v>
      </c>
      <c r="F1138" s="154"/>
      <c r="G1138" s="154" t="s">
        <v>1418</v>
      </c>
      <c r="H1138" s="152">
        <v>74.11</v>
      </c>
      <c r="I1138" s="152">
        <v>66.62</v>
      </c>
      <c r="J1138" s="156"/>
      <c r="K1138" s="156">
        <f>+Ciclovia!J98</f>
        <v>0</v>
      </c>
      <c r="L1138" s="156">
        <f t="shared" si="2506"/>
        <v>0</v>
      </c>
      <c r="M1138" s="156">
        <f t="shared" si="2507"/>
        <v>0</v>
      </c>
      <c r="N1138" s="156" t="s">
        <v>83</v>
      </c>
      <c r="O1138" s="157" cm="1">
        <f t="array" ref="O1138">TRUNC($H1138*(1+_xlfn.SWITCH($N1138,"BDI 1",$O$6,"BDI 2",$O$7,"BDI 3",$O$8)),2)</f>
        <v>89.45</v>
      </c>
      <c r="P1138" s="157" cm="1">
        <f t="array" ref="P1138">TRUNC($I1138*(1+_xlfn.SWITCH($N1138,"BDI 1",$P$6,"BDI 2",$P$7,"BDI 3",$P$8)),2)</f>
        <v>84.43</v>
      </c>
      <c r="Q1138" s="157">
        <v>0</v>
      </c>
      <c r="R1138" s="157">
        <f t="shared" ref="R1138" si="2572">$Q1138-($Q1138*LICITACAO_DESCONTO)</f>
        <v>0</v>
      </c>
      <c r="S1138" s="156">
        <f t="shared" si="2509"/>
        <v>0</v>
      </c>
      <c r="T1138" s="156">
        <f t="shared" si="2510"/>
        <v>0</v>
      </c>
      <c r="U1138" s="156">
        <f t="shared" si="2511"/>
        <v>0</v>
      </c>
      <c r="V1138" s="156">
        <f t="shared" si="2512"/>
        <v>0</v>
      </c>
      <c r="W1138" s="156">
        <f t="shared" si="2501"/>
        <v>0</v>
      </c>
      <c r="X1138" s="158">
        <f t="shared" ref="X1138" si="2573">$S1138/ORCAMENTO_VALOR_TOTAL_ND</f>
        <v>0</v>
      </c>
      <c r="Y1138" s="158">
        <f t="shared" ref="Y1138" si="2574">$T1138/ORCAMENTO_VALOR_TOTAL_DE</f>
        <v>0</v>
      </c>
      <c r="Z1138" s="158" cm="1">
        <f t="array" ref="Z1138">_xlfn.SWITCH($N1138,"BDI 1",$O$6,"BDI 2",$O$7,"BDI 3",$O$8)</f>
        <v>0.20699999999999999</v>
      </c>
      <c r="AA1138" s="158" cm="1">
        <f t="array" ref="AA1138">_xlfn.SWITCH($N1138,"BDI 1",$P$6,"BDI 2",$P$7,"BDI 3",$P$8)</f>
        <v>0.26739999999999997</v>
      </c>
      <c r="AB1138" s="158">
        <f t="shared" ca="1" si="2515"/>
        <v>0</v>
      </c>
      <c r="AC1138" s="158">
        <f t="shared" ca="1" si="2516"/>
        <v>0</v>
      </c>
      <c r="AD1138" s="164"/>
      <c r="AE1138" s="148">
        <f t="shared" si="2502"/>
        <v>0</v>
      </c>
      <c r="AF1138" s="149"/>
      <c r="AG1138" s="150"/>
      <c r="AH1138" s="159" t="e">
        <f t="shared" si="2503"/>
        <v>#DIV/0!</v>
      </c>
      <c r="AI1138" s="160"/>
      <c r="AJ1138" s="182"/>
      <c r="AK1138" s="183"/>
      <c r="AM1138" s="105"/>
      <c r="AN1138" s="105"/>
      <c r="AO1138" s="105"/>
      <c r="AP1138" s="105"/>
      <c r="AQ1138" s="105"/>
      <c r="AR1138" s="105"/>
    </row>
    <row r="1139" spans="1:44" s="49" customFormat="1" ht="40.15" hidden="1" customHeight="1">
      <c r="A1139" s="152">
        <f t="shared" ca="1" si="2504"/>
        <v>0</v>
      </c>
      <c r="B1139" s="153" t="s">
        <v>321</v>
      </c>
      <c r="C1139" s="154" t="str">
        <f t="shared" si="2505"/>
        <v>SC/0065</v>
      </c>
      <c r="D1139" s="154" t="s">
        <v>3549</v>
      </c>
      <c r="E1139" s="155" t="s">
        <v>3910</v>
      </c>
      <c r="F1139" s="154"/>
      <c r="G1139" s="154" t="s">
        <v>58</v>
      </c>
      <c r="H1139" s="152">
        <v>16.91</v>
      </c>
      <c r="I1139" s="152">
        <v>16.23</v>
      </c>
      <c r="J1139" s="156"/>
      <c r="K1139" s="156">
        <f>+Ciclovia!J100</f>
        <v>0</v>
      </c>
      <c r="L1139" s="156">
        <f t="shared" si="2506"/>
        <v>0</v>
      </c>
      <c r="M1139" s="156">
        <f t="shared" si="2507"/>
        <v>0</v>
      </c>
      <c r="N1139" s="156" t="s">
        <v>83</v>
      </c>
      <c r="O1139" s="157" cm="1">
        <f t="array" ref="O1139">TRUNC($H1139*(1+_xlfn.SWITCH($N1139,"BDI 1",$O$6,"BDI 2",$O$7,"BDI 3",$O$8)),2)</f>
        <v>20.41</v>
      </c>
      <c r="P1139" s="157" cm="1">
        <f t="array" ref="P1139">TRUNC($I1139*(1+_xlfn.SWITCH($N1139,"BDI 1",$P$6,"BDI 2",$P$7,"BDI 3",$P$8)),2)</f>
        <v>20.56</v>
      </c>
      <c r="Q1139" s="157">
        <v>0</v>
      </c>
      <c r="R1139" s="157">
        <f t="shared" ref="R1139" si="2575">$Q1139-($Q1139*LICITACAO_DESCONTO)</f>
        <v>0</v>
      </c>
      <c r="S1139" s="156">
        <f t="shared" si="2509"/>
        <v>0</v>
      </c>
      <c r="T1139" s="156">
        <f t="shared" si="2510"/>
        <v>0</v>
      </c>
      <c r="U1139" s="156">
        <f t="shared" si="2511"/>
        <v>0</v>
      </c>
      <c r="V1139" s="156">
        <f t="shared" si="2512"/>
        <v>0</v>
      </c>
      <c r="W1139" s="156">
        <f t="shared" si="2501"/>
        <v>0</v>
      </c>
      <c r="X1139" s="158">
        <f t="shared" ref="X1139" si="2576">$S1139/ORCAMENTO_VALOR_TOTAL_ND</f>
        <v>0</v>
      </c>
      <c r="Y1139" s="158">
        <f t="shared" ref="Y1139" si="2577">$T1139/ORCAMENTO_VALOR_TOTAL_DE</f>
        <v>0</v>
      </c>
      <c r="Z1139" s="158" cm="1">
        <f t="array" ref="Z1139">_xlfn.SWITCH($N1139,"BDI 1",$O$6,"BDI 2",$O$7,"BDI 3",$O$8)</f>
        <v>0.20699999999999999</v>
      </c>
      <c r="AA1139" s="158" cm="1">
        <f t="array" ref="AA1139">_xlfn.SWITCH($N1139,"BDI 1",$P$6,"BDI 2",$P$7,"BDI 3",$P$8)</f>
        <v>0.26739999999999997</v>
      </c>
      <c r="AB1139" s="158">
        <f t="shared" ca="1" si="2515"/>
        <v>0</v>
      </c>
      <c r="AC1139" s="158">
        <f t="shared" ca="1" si="2516"/>
        <v>0</v>
      </c>
      <c r="AD1139" s="164"/>
      <c r="AE1139" s="148">
        <f t="shared" si="2502"/>
        <v>0</v>
      </c>
      <c r="AF1139" s="149"/>
      <c r="AG1139" s="150"/>
      <c r="AH1139" s="159" t="e">
        <f t="shared" si="2503"/>
        <v>#DIV/0!</v>
      </c>
      <c r="AI1139" s="165" t="s">
        <v>319</v>
      </c>
      <c r="AJ1139" s="182">
        <v>26.88</v>
      </c>
      <c r="AK1139" s="183">
        <f>+K1139/AJ1139</f>
        <v>0</v>
      </c>
      <c r="AM1139" s="105"/>
      <c r="AN1139" s="105"/>
      <c r="AO1139" s="105"/>
      <c r="AP1139" s="105"/>
      <c r="AQ1139" s="105"/>
      <c r="AR1139" s="105"/>
    </row>
    <row r="1140" spans="1:44" s="49" customFormat="1" ht="40.15" hidden="1" customHeight="1">
      <c r="A1140" s="152">
        <f t="shared" ca="1" si="2504"/>
        <v>0</v>
      </c>
      <c r="B1140" s="153" t="s">
        <v>323</v>
      </c>
      <c r="C1140" s="154" t="str">
        <f t="shared" si="2505"/>
        <v>SC/0030</v>
      </c>
      <c r="D1140" s="154" t="s">
        <v>3549</v>
      </c>
      <c r="E1140" s="155" t="s">
        <v>3912</v>
      </c>
      <c r="F1140" s="154"/>
      <c r="G1140" s="154" t="s">
        <v>58</v>
      </c>
      <c r="H1140" s="152">
        <v>29.92</v>
      </c>
      <c r="I1140" s="152">
        <v>28.71</v>
      </c>
      <c r="J1140" s="156"/>
      <c r="K1140" s="156">
        <f>+Ciclovia!J101</f>
        <v>0</v>
      </c>
      <c r="L1140" s="156">
        <f t="shared" si="2506"/>
        <v>0</v>
      </c>
      <c r="M1140" s="156">
        <f t="shared" si="2507"/>
        <v>0</v>
      </c>
      <c r="N1140" s="156" t="s">
        <v>83</v>
      </c>
      <c r="O1140" s="157" cm="1">
        <f t="array" ref="O1140">TRUNC($H1140*(1+_xlfn.SWITCH($N1140,"BDI 1",$O$6,"BDI 2",$O$7,"BDI 3",$O$8)),2)</f>
        <v>36.11</v>
      </c>
      <c r="P1140" s="157" cm="1">
        <f t="array" ref="P1140">TRUNC($I1140*(1+_xlfn.SWITCH($N1140,"BDI 1",$P$6,"BDI 2",$P$7,"BDI 3",$P$8)),2)</f>
        <v>36.380000000000003</v>
      </c>
      <c r="Q1140" s="157">
        <v>0</v>
      </c>
      <c r="R1140" s="157">
        <f t="shared" ref="R1140" si="2578">$Q1140-($Q1140*LICITACAO_DESCONTO)</f>
        <v>0</v>
      </c>
      <c r="S1140" s="156">
        <f t="shared" si="2509"/>
        <v>0</v>
      </c>
      <c r="T1140" s="156">
        <f t="shared" si="2510"/>
        <v>0</v>
      </c>
      <c r="U1140" s="156">
        <f t="shared" si="2511"/>
        <v>0</v>
      </c>
      <c r="V1140" s="156">
        <f t="shared" si="2512"/>
        <v>0</v>
      </c>
      <c r="W1140" s="156">
        <f t="shared" si="2501"/>
        <v>0</v>
      </c>
      <c r="X1140" s="158">
        <f t="shared" ref="X1140" si="2579">$S1140/ORCAMENTO_VALOR_TOTAL_ND</f>
        <v>0</v>
      </c>
      <c r="Y1140" s="158">
        <f t="shared" ref="Y1140" si="2580">$T1140/ORCAMENTO_VALOR_TOTAL_DE</f>
        <v>0</v>
      </c>
      <c r="Z1140" s="158" cm="1">
        <f t="array" ref="Z1140">_xlfn.SWITCH($N1140,"BDI 1",$O$6,"BDI 2",$O$7,"BDI 3",$O$8)</f>
        <v>0.20699999999999999</v>
      </c>
      <c r="AA1140" s="158" cm="1">
        <f t="array" ref="AA1140">_xlfn.SWITCH($N1140,"BDI 1",$P$6,"BDI 2",$P$7,"BDI 3",$P$8)</f>
        <v>0.26739999999999997</v>
      </c>
      <c r="AB1140" s="158">
        <f t="shared" ca="1" si="2515"/>
        <v>0</v>
      </c>
      <c r="AC1140" s="158">
        <f t="shared" ca="1" si="2516"/>
        <v>0</v>
      </c>
      <c r="AD1140" s="164"/>
      <c r="AE1140" s="148">
        <f t="shared" si="2502"/>
        <v>0</v>
      </c>
      <c r="AF1140" s="149"/>
      <c r="AG1140" s="150"/>
      <c r="AH1140" s="159" t="e">
        <f t="shared" si="2503"/>
        <v>#DIV/0!</v>
      </c>
      <c r="AI1140" s="160"/>
      <c r="AJ1140" s="182">
        <v>20.61</v>
      </c>
      <c r="AK1140" s="183">
        <f>+K1140/AJ1140</f>
        <v>0</v>
      </c>
      <c r="AM1140" s="105"/>
      <c r="AN1140" s="105"/>
      <c r="AO1140" s="105"/>
      <c r="AP1140" s="105"/>
      <c r="AQ1140" s="105"/>
      <c r="AR1140" s="105"/>
    </row>
    <row r="1141" spans="1:44" s="49" customFormat="1" ht="49.9" hidden="1" customHeight="1">
      <c r="A1141" s="152">
        <f t="shared" ca="1" si="2504"/>
        <v>0</v>
      </c>
      <c r="B1141" s="153" t="s">
        <v>318</v>
      </c>
      <c r="C1141" s="154" t="str">
        <f t="shared" si="2505"/>
        <v>SC/0005</v>
      </c>
      <c r="D1141" s="154" t="s">
        <v>3549</v>
      </c>
      <c r="E1141" s="155" t="s">
        <v>3908</v>
      </c>
      <c r="F1141" s="154"/>
      <c r="G1141" s="154" t="s">
        <v>58</v>
      </c>
      <c r="H1141" s="152">
        <v>82.15</v>
      </c>
      <c r="I1141" s="152">
        <v>78.459999999999994</v>
      </c>
      <c r="J1141" s="156"/>
      <c r="K1141" s="156">
        <f>+Ciclovia!J102</f>
        <v>0</v>
      </c>
      <c r="L1141" s="156">
        <f t="shared" si="2506"/>
        <v>0</v>
      </c>
      <c r="M1141" s="156">
        <f t="shared" si="2507"/>
        <v>0</v>
      </c>
      <c r="N1141" s="156" t="s">
        <v>83</v>
      </c>
      <c r="O1141" s="157" cm="1">
        <f t="array" ref="O1141">TRUNC($H1141*(1+_xlfn.SWITCH($N1141,"BDI 1",$O$6,"BDI 2",$O$7,"BDI 3",$O$8)),2)</f>
        <v>99.15</v>
      </c>
      <c r="P1141" s="157" cm="1">
        <f t="array" ref="P1141">TRUNC($I1141*(1+_xlfn.SWITCH($N1141,"BDI 1",$P$6,"BDI 2",$P$7,"BDI 3",$P$8)),2)</f>
        <v>99.44</v>
      </c>
      <c r="Q1141" s="157">
        <v>0</v>
      </c>
      <c r="R1141" s="157">
        <f t="shared" ref="R1141" si="2581">$Q1141-($Q1141*LICITACAO_DESCONTO)</f>
        <v>0</v>
      </c>
      <c r="S1141" s="156">
        <f t="shared" si="2509"/>
        <v>0</v>
      </c>
      <c r="T1141" s="156">
        <f t="shared" si="2510"/>
        <v>0</v>
      </c>
      <c r="U1141" s="156">
        <f t="shared" si="2511"/>
        <v>0</v>
      </c>
      <c r="V1141" s="156">
        <f t="shared" si="2512"/>
        <v>0</v>
      </c>
      <c r="W1141" s="156">
        <f t="shared" si="2501"/>
        <v>0</v>
      </c>
      <c r="X1141" s="158">
        <f t="shared" ref="X1141" si="2582">$S1141/ORCAMENTO_VALOR_TOTAL_ND</f>
        <v>0</v>
      </c>
      <c r="Y1141" s="158">
        <f t="shared" ref="Y1141" si="2583">$T1141/ORCAMENTO_VALOR_TOTAL_DE</f>
        <v>0</v>
      </c>
      <c r="Z1141" s="158" cm="1">
        <f t="array" ref="Z1141">_xlfn.SWITCH($N1141,"BDI 1",$O$6,"BDI 2",$O$7,"BDI 3",$O$8)</f>
        <v>0.20699999999999999</v>
      </c>
      <c r="AA1141" s="158" cm="1">
        <f t="array" ref="AA1141">_xlfn.SWITCH($N1141,"BDI 1",$P$6,"BDI 2",$P$7,"BDI 3",$P$8)</f>
        <v>0.26739999999999997</v>
      </c>
      <c r="AB1141" s="158">
        <f t="shared" ca="1" si="2515"/>
        <v>0</v>
      </c>
      <c r="AC1141" s="158">
        <f t="shared" ca="1" si="2516"/>
        <v>0</v>
      </c>
      <c r="AD1141" s="164"/>
      <c r="AE1141" s="148">
        <f t="shared" si="2502"/>
        <v>0</v>
      </c>
      <c r="AF1141" s="149"/>
      <c r="AG1141" s="150"/>
      <c r="AH1141" s="159" t="e">
        <f t="shared" si="2503"/>
        <v>#DIV/0!</v>
      </c>
      <c r="AI1141" s="165" t="s">
        <v>381</v>
      </c>
      <c r="AJ1141" s="182">
        <v>11.06</v>
      </c>
      <c r="AK1141" s="183">
        <f>+K1141/AJ1141</f>
        <v>0</v>
      </c>
      <c r="AM1141" s="105"/>
      <c r="AN1141" s="105"/>
      <c r="AO1141" s="105"/>
      <c r="AP1141" s="105"/>
      <c r="AQ1141" s="105"/>
      <c r="AR1141" s="105"/>
    </row>
    <row r="1142" spans="1:44" s="49" customFormat="1" ht="40.15" hidden="1" customHeight="1">
      <c r="A1142" s="152">
        <f t="shared" ca="1" si="2504"/>
        <v>0</v>
      </c>
      <c r="B1142" s="153" t="s">
        <v>382</v>
      </c>
      <c r="C1142" s="154" t="str">
        <f t="shared" si="2505"/>
        <v>SC/0055</v>
      </c>
      <c r="D1142" s="154" t="s">
        <v>3549</v>
      </c>
      <c r="E1142" s="155" t="s">
        <v>3973</v>
      </c>
      <c r="F1142" s="154"/>
      <c r="G1142" s="154" t="s">
        <v>58</v>
      </c>
      <c r="H1142" s="152">
        <v>38.270000000000003</v>
      </c>
      <c r="I1142" s="152">
        <v>36.72</v>
      </c>
      <c r="J1142" s="156"/>
      <c r="K1142" s="156">
        <f>+Ciclovia!J103</f>
        <v>0</v>
      </c>
      <c r="L1142" s="156">
        <f t="shared" si="2506"/>
        <v>0</v>
      </c>
      <c r="M1142" s="156">
        <f t="shared" si="2507"/>
        <v>0</v>
      </c>
      <c r="N1142" s="156" t="s">
        <v>83</v>
      </c>
      <c r="O1142" s="157" cm="1">
        <f t="array" ref="O1142">TRUNC($H1142*(1+_xlfn.SWITCH($N1142,"BDI 1",$O$6,"BDI 2",$O$7,"BDI 3",$O$8)),2)</f>
        <v>46.19</v>
      </c>
      <c r="P1142" s="157" cm="1">
        <f t="array" ref="P1142">TRUNC($I1142*(1+_xlfn.SWITCH($N1142,"BDI 1",$P$6,"BDI 2",$P$7,"BDI 3",$P$8)),2)</f>
        <v>46.53</v>
      </c>
      <c r="Q1142" s="157">
        <v>0</v>
      </c>
      <c r="R1142" s="157">
        <f t="shared" ref="R1142" si="2584">$Q1142-($Q1142*LICITACAO_DESCONTO)</f>
        <v>0</v>
      </c>
      <c r="S1142" s="156">
        <f t="shared" si="2509"/>
        <v>0</v>
      </c>
      <c r="T1142" s="156">
        <f t="shared" si="2510"/>
        <v>0</v>
      </c>
      <c r="U1142" s="156">
        <f t="shared" si="2511"/>
        <v>0</v>
      </c>
      <c r="V1142" s="156">
        <f t="shared" si="2512"/>
        <v>0</v>
      </c>
      <c r="W1142" s="156">
        <f t="shared" si="2501"/>
        <v>0</v>
      </c>
      <c r="X1142" s="158">
        <f t="shared" ref="X1142" si="2585">$S1142/ORCAMENTO_VALOR_TOTAL_ND</f>
        <v>0</v>
      </c>
      <c r="Y1142" s="158">
        <f t="shared" ref="Y1142" si="2586">$T1142/ORCAMENTO_VALOR_TOTAL_DE</f>
        <v>0</v>
      </c>
      <c r="Z1142" s="158" cm="1">
        <f t="array" ref="Z1142">_xlfn.SWITCH($N1142,"BDI 1",$O$6,"BDI 2",$O$7,"BDI 3",$O$8)</f>
        <v>0.20699999999999999</v>
      </c>
      <c r="AA1142" s="158" cm="1">
        <f t="array" ref="AA1142">_xlfn.SWITCH($N1142,"BDI 1",$P$6,"BDI 2",$P$7,"BDI 3",$P$8)</f>
        <v>0.26739999999999997</v>
      </c>
      <c r="AB1142" s="158">
        <f t="shared" ca="1" si="2515"/>
        <v>0</v>
      </c>
      <c r="AC1142" s="158">
        <f t="shared" ca="1" si="2516"/>
        <v>0</v>
      </c>
      <c r="AD1142" s="164"/>
      <c r="AE1142" s="148">
        <f t="shared" si="2502"/>
        <v>0</v>
      </c>
      <c r="AF1142" s="149"/>
      <c r="AG1142" s="150"/>
      <c r="AH1142" s="159" t="e">
        <f t="shared" si="2503"/>
        <v>#DIV/0!</v>
      </c>
      <c r="AI1142" s="165" t="s">
        <v>319</v>
      </c>
      <c r="AJ1142" s="182">
        <v>11.9</v>
      </c>
      <c r="AK1142" s="183">
        <f>+K1142/AJ1142</f>
        <v>0</v>
      </c>
      <c r="AM1142" s="105"/>
      <c r="AN1142" s="105"/>
      <c r="AO1142" s="105"/>
      <c r="AP1142" s="105"/>
      <c r="AQ1142" s="105"/>
      <c r="AR1142" s="105"/>
    </row>
    <row r="1143" spans="1:44" s="49" customFormat="1" ht="40.15" hidden="1" customHeight="1">
      <c r="A1143" s="152">
        <f t="shared" ca="1" si="2504"/>
        <v>0</v>
      </c>
      <c r="B1143" s="153" t="s">
        <v>324</v>
      </c>
      <c r="C1143" s="154" t="str">
        <f t="shared" si="2505"/>
        <v>SC/0035</v>
      </c>
      <c r="D1143" s="154" t="s">
        <v>3549</v>
      </c>
      <c r="E1143" s="155" t="s">
        <v>3913</v>
      </c>
      <c r="F1143" s="154"/>
      <c r="G1143" s="154" t="s">
        <v>58</v>
      </c>
      <c r="H1143" s="152">
        <v>32.25</v>
      </c>
      <c r="I1143" s="152">
        <v>30.97</v>
      </c>
      <c r="J1143" s="156"/>
      <c r="K1143" s="156">
        <f>+Ciclovia!J104</f>
        <v>0</v>
      </c>
      <c r="L1143" s="156">
        <f t="shared" si="2506"/>
        <v>0</v>
      </c>
      <c r="M1143" s="156">
        <f t="shared" si="2507"/>
        <v>0</v>
      </c>
      <c r="N1143" s="156" t="s">
        <v>83</v>
      </c>
      <c r="O1143" s="157" cm="1">
        <f t="array" ref="O1143">TRUNC($H1143*(1+_xlfn.SWITCH($N1143,"BDI 1",$O$6,"BDI 2",$O$7,"BDI 3",$O$8)),2)</f>
        <v>38.92</v>
      </c>
      <c r="P1143" s="157" cm="1">
        <f t="array" ref="P1143">TRUNC($I1143*(1+_xlfn.SWITCH($N1143,"BDI 1",$P$6,"BDI 2",$P$7,"BDI 3",$P$8)),2)</f>
        <v>39.25</v>
      </c>
      <c r="Q1143" s="157">
        <v>0</v>
      </c>
      <c r="R1143" s="157">
        <f t="shared" ref="R1143" si="2587">$Q1143-($Q1143*LICITACAO_DESCONTO)</f>
        <v>0</v>
      </c>
      <c r="S1143" s="156">
        <f t="shared" si="2509"/>
        <v>0</v>
      </c>
      <c r="T1143" s="156">
        <f t="shared" si="2510"/>
        <v>0</v>
      </c>
      <c r="U1143" s="156">
        <f t="shared" si="2511"/>
        <v>0</v>
      </c>
      <c r="V1143" s="156">
        <f t="shared" si="2512"/>
        <v>0</v>
      </c>
      <c r="W1143" s="156">
        <f t="shared" si="2501"/>
        <v>0</v>
      </c>
      <c r="X1143" s="158">
        <f t="shared" ref="X1143" si="2588">$S1143/ORCAMENTO_VALOR_TOTAL_ND</f>
        <v>0</v>
      </c>
      <c r="Y1143" s="158">
        <f t="shared" ref="Y1143" si="2589">$T1143/ORCAMENTO_VALOR_TOTAL_DE</f>
        <v>0</v>
      </c>
      <c r="Z1143" s="158" cm="1">
        <f t="array" ref="Z1143">_xlfn.SWITCH($N1143,"BDI 1",$O$6,"BDI 2",$O$7,"BDI 3",$O$8)</f>
        <v>0.20699999999999999</v>
      </c>
      <c r="AA1143" s="158" cm="1">
        <f t="array" ref="AA1143">_xlfn.SWITCH($N1143,"BDI 1",$P$6,"BDI 2",$P$7,"BDI 3",$P$8)</f>
        <v>0.26739999999999997</v>
      </c>
      <c r="AB1143" s="158">
        <f t="shared" ca="1" si="2515"/>
        <v>0</v>
      </c>
      <c r="AC1143" s="158">
        <f t="shared" ca="1" si="2516"/>
        <v>0</v>
      </c>
      <c r="AD1143" s="164"/>
      <c r="AE1143" s="148">
        <f t="shared" si="2502"/>
        <v>0</v>
      </c>
      <c r="AF1143" s="149"/>
      <c r="AG1143" s="150"/>
      <c r="AH1143" s="159" t="e">
        <f t="shared" si="2503"/>
        <v>#DIV/0!</v>
      </c>
      <c r="AI1143" s="160"/>
      <c r="AJ1143" s="182">
        <v>20.61</v>
      </c>
      <c r="AK1143" s="183">
        <f>+K1143/AJ1143</f>
        <v>0</v>
      </c>
      <c r="AM1143" s="105"/>
      <c r="AN1143" s="105"/>
      <c r="AO1143" s="105"/>
      <c r="AP1143" s="105"/>
      <c r="AQ1143" s="105"/>
      <c r="AR1143" s="105"/>
    </row>
    <row r="1144" spans="1:44" s="49" customFormat="1" ht="40.15" hidden="1" customHeight="1">
      <c r="A1144" s="152">
        <f t="shared" ca="1" si="2504"/>
        <v>0</v>
      </c>
      <c r="B1144" s="153">
        <v>6079</v>
      </c>
      <c r="C1144" s="154" t="str">
        <f t="shared" si="2505"/>
        <v>6079</v>
      </c>
      <c r="D1144" s="154" t="s">
        <v>3579</v>
      </c>
      <c r="E1144" s="155" t="s">
        <v>3679</v>
      </c>
      <c r="F1144" s="154"/>
      <c r="G1144" s="154" t="s">
        <v>464</v>
      </c>
      <c r="H1144" s="152">
        <v>37.35</v>
      </c>
      <c r="I1144" s="152">
        <v>37.35</v>
      </c>
      <c r="J1144" s="156"/>
      <c r="K1144" s="156">
        <f>IF(AI1144="COMERCIAL",Ciclovia!J51+Ciclovia!J71,0)</f>
        <v>0</v>
      </c>
      <c r="L1144" s="156">
        <f t="shared" si="2506"/>
        <v>0</v>
      </c>
      <c r="M1144" s="156">
        <f t="shared" si="2507"/>
        <v>0</v>
      </c>
      <c r="N1144" s="156" t="s">
        <v>92</v>
      </c>
      <c r="O1144" s="157" cm="1">
        <f t="array" ref="O1144">TRUNC($H1144*(1+_xlfn.SWITCH($N1144,"BDI 1",$O$6,"BDI 2",$O$7,"BDI 3",$O$8)),2)</f>
        <v>43.05</v>
      </c>
      <c r="P1144" s="157" cm="1">
        <f t="array" ref="P1144">TRUNC($I1144*(1+_xlfn.SWITCH($N1144,"BDI 1",$P$6,"BDI 2",$P$7,"BDI 3",$P$8)),2)</f>
        <v>43.05</v>
      </c>
      <c r="Q1144" s="157">
        <v>0</v>
      </c>
      <c r="R1144" s="157">
        <f t="shared" ref="R1144" si="2590">$Q1144-($Q1144*LICITACAO_DESCONTO)</f>
        <v>0</v>
      </c>
      <c r="S1144" s="156">
        <f t="shared" si="2509"/>
        <v>0</v>
      </c>
      <c r="T1144" s="156">
        <f t="shared" si="2510"/>
        <v>0</v>
      </c>
      <c r="U1144" s="156">
        <f t="shared" si="2511"/>
        <v>0</v>
      </c>
      <c r="V1144" s="156">
        <f t="shared" si="2512"/>
        <v>0</v>
      </c>
      <c r="W1144" s="156">
        <f t="shared" si="2501"/>
        <v>0</v>
      </c>
      <c r="X1144" s="158">
        <f t="shared" ref="X1144" si="2591">$S1144/ORCAMENTO_VALOR_TOTAL_ND</f>
        <v>0</v>
      </c>
      <c r="Y1144" s="158">
        <f t="shared" ref="Y1144" si="2592">$T1144/ORCAMENTO_VALOR_TOTAL_DE</f>
        <v>0</v>
      </c>
      <c r="Z1144" s="158" cm="1">
        <f t="array" ref="Z1144">_xlfn.SWITCH($N1144,"BDI 1",$O$6,"BDI 2",$O$7,"BDI 3",$O$8)</f>
        <v>0.1527</v>
      </c>
      <c r="AA1144" s="158" cm="1">
        <f t="array" ref="AA1144">_xlfn.SWITCH($N1144,"BDI 1",$P$6,"BDI 2",$P$7,"BDI 3",$P$8)</f>
        <v>0.1527</v>
      </c>
      <c r="AB1144" s="158">
        <f t="shared" ca="1" si="2515"/>
        <v>0</v>
      </c>
      <c r="AC1144" s="158">
        <f t="shared" ca="1" si="2516"/>
        <v>0</v>
      </c>
      <c r="AD1144" s="164"/>
      <c r="AE1144" s="148">
        <f t="shared" si="2502"/>
        <v>0</v>
      </c>
      <c r="AF1144" s="149"/>
      <c r="AG1144" s="150"/>
      <c r="AH1144" s="159" t="e">
        <f t="shared" si="2503"/>
        <v>#DIV/0!</v>
      </c>
      <c r="AI1144" s="165" t="s">
        <v>383</v>
      </c>
      <c r="AJ1144" s="105"/>
      <c r="AK1144" s="105"/>
      <c r="AM1144" s="105"/>
      <c r="AN1144" s="105"/>
      <c r="AO1144" s="105"/>
      <c r="AP1144" s="105"/>
      <c r="AQ1144" s="105"/>
      <c r="AR1144" s="105"/>
    </row>
    <row r="1145" spans="1:44" s="49" customFormat="1" ht="40.15" hidden="1" customHeight="1">
      <c r="A1145" s="152">
        <f t="shared" ca="1" si="2504"/>
        <v>0</v>
      </c>
      <c r="B1145" s="153">
        <v>4721</v>
      </c>
      <c r="C1145" s="154" t="str">
        <f t="shared" si="2505"/>
        <v>4721</v>
      </c>
      <c r="D1145" s="154" t="s">
        <v>3579</v>
      </c>
      <c r="E1145" s="155" t="s">
        <v>3866</v>
      </c>
      <c r="F1145" s="154"/>
      <c r="G1145" s="154" t="s">
        <v>464</v>
      </c>
      <c r="H1145" s="152">
        <v>95.96</v>
      </c>
      <c r="I1145" s="152">
        <v>95.96</v>
      </c>
      <c r="J1145" s="156"/>
      <c r="K1145" s="156">
        <f>IF(AI1145="COMERCIAL",Ciclovia!J72,0)</f>
        <v>0</v>
      </c>
      <c r="L1145" s="156">
        <f t="shared" si="2506"/>
        <v>0</v>
      </c>
      <c r="M1145" s="156">
        <f t="shared" si="2507"/>
        <v>0</v>
      </c>
      <c r="N1145" s="156" t="s">
        <v>92</v>
      </c>
      <c r="O1145" s="157" cm="1">
        <f t="array" ref="O1145">TRUNC($H1145*(1+_xlfn.SWITCH($N1145,"BDI 1",$O$6,"BDI 2",$O$7,"BDI 3",$O$8)),2)</f>
        <v>110.61</v>
      </c>
      <c r="P1145" s="157" cm="1">
        <f t="array" ref="P1145">TRUNC($I1145*(1+_xlfn.SWITCH($N1145,"BDI 1",$P$6,"BDI 2",$P$7,"BDI 3",$P$8)),2)</f>
        <v>110.61</v>
      </c>
      <c r="Q1145" s="157">
        <v>0</v>
      </c>
      <c r="R1145" s="157">
        <f t="shared" ref="R1145" si="2593">$Q1145-($Q1145*LICITACAO_DESCONTO)</f>
        <v>0</v>
      </c>
      <c r="S1145" s="156">
        <f t="shared" si="2509"/>
        <v>0</v>
      </c>
      <c r="T1145" s="156">
        <f t="shared" si="2510"/>
        <v>0</v>
      </c>
      <c r="U1145" s="156">
        <f t="shared" si="2511"/>
        <v>0</v>
      </c>
      <c r="V1145" s="156">
        <f t="shared" si="2512"/>
        <v>0</v>
      </c>
      <c r="W1145" s="156">
        <f t="shared" si="2501"/>
        <v>0</v>
      </c>
      <c r="X1145" s="158">
        <f t="shared" ref="X1145" si="2594">$S1145/ORCAMENTO_VALOR_TOTAL_ND</f>
        <v>0</v>
      </c>
      <c r="Y1145" s="158">
        <f t="shared" ref="Y1145" si="2595">$T1145/ORCAMENTO_VALOR_TOTAL_DE</f>
        <v>0</v>
      </c>
      <c r="Z1145" s="158" cm="1">
        <f t="array" ref="Z1145">_xlfn.SWITCH($N1145,"BDI 1",$O$6,"BDI 2",$O$7,"BDI 3",$O$8)</f>
        <v>0.1527</v>
      </c>
      <c r="AA1145" s="158" cm="1">
        <f t="array" ref="AA1145">_xlfn.SWITCH($N1145,"BDI 1",$P$6,"BDI 2",$P$7,"BDI 3",$P$8)</f>
        <v>0.1527</v>
      </c>
      <c r="AB1145" s="158">
        <f t="shared" ca="1" si="2515"/>
        <v>0</v>
      </c>
      <c r="AC1145" s="158">
        <f t="shared" ca="1" si="2516"/>
        <v>0</v>
      </c>
      <c r="AD1145" s="164"/>
      <c r="AE1145" s="148">
        <f t="shared" si="2502"/>
        <v>0</v>
      </c>
      <c r="AF1145" s="149"/>
      <c r="AG1145" s="150"/>
      <c r="AH1145" s="159" t="e">
        <f t="shared" si="2503"/>
        <v>#DIV/0!</v>
      </c>
      <c r="AI1145" s="165" t="s">
        <v>243</v>
      </c>
      <c r="AJ1145" s="105"/>
      <c r="AK1145" s="105"/>
      <c r="AM1145" s="105"/>
      <c r="AN1145" s="105"/>
      <c r="AO1145" s="105"/>
      <c r="AP1145" s="105"/>
      <c r="AQ1145" s="105"/>
      <c r="AR1145" s="105"/>
    </row>
    <row r="1146" spans="1:44" s="49" customFormat="1" ht="40.15" hidden="1" customHeight="1">
      <c r="A1146" s="152">
        <f t="shared" ca="1" si="2504"/>
        <v>0</v>
      </c>
      <c r="B1146" s="153">
        <v>4743</v>
      </c>
      <c r="C1146" s="154" t="str">
        <f t="shared" si="2505"/>
        <v>4743</v>
      </c>
      <c r="D1146" s="154" t="s">
        <v>3579</v>
      </c>
      <c r="E1146" s="155" t="s">
        <v>3867</v>
      </c>
      <c r="F1146" s="154"/>
      <c r="G1146" s="154" t="s">
        <v>464</v>
      </c>
      <c r="H1146" s="152">
        <v>55.95</v>
      </c>
      <c r="I1146" s="152">
        <v>55.95</v>
      </c>
      <c r="J1146" s="156"/>
      <c r="K1146" s="156">
        <f>IF(AI1146="COMERCIAL",Ciclovia!J73,0)</f>
        <v>0</v>
      </c>
      <c r="L1146" s="156">
        <f t="shared" si="2506"/>
        <v>0</v>
      </c>
      <c r="M1146" s="156">
        <f t="shared" si="2507"/>
        <v>0</v>
      </c>
      <c r="N1146" s="156" t="s">
        <v>92</v>
      </c>
      <c r="O1146" s="157" cm="1">
        <f t="array" ref="O1146">TRUNC($H1146*(1+_xlfn.SWITCH($N1146,"BDI 1",$O$6,"BDI 2",$O$7,"BDI 3",$O$8)),2)</f>
        <v>64.489999999999995</v>
      </c>
      <c r="P1146" s="157" cm="1">
        <f t="array" ref="P1146">TRUNC($I1146*(1+_xlfn.SWITCH($N1146,"BDI 1",$P$6,"BDI 2",$P$7,"BDI 3",$P$8)),2)</f>
        <v>64.489999999999995</v>
      </c>
      <c r="Q1146" s="157">
        <v>0</v>
      </c>
      <c r="R1146" s="157">
        <f t="shared" ref="R1146" si="2596">$Q1146-($Q1146*LICITACAO_DESCONTO)</f>
        <v>0</v>
      </c>
      <c r="S1146" s="156">
        <f t="shared" si="2509"/>
        <v>0</v>
      </c>
      <c r="T1146" s="156">
        <f t="shared" si="2510"/>
        <v>0</v>
      </c>
      <c r="U1146" s="156">
        <f t="shared" si="2511"/>
        <v>0</v>
      </c>
      <c r="V1146" s="156">
        <f t="shared" si="2512"/>
        <v>0</v>
      </c>
      <c r="W1146" s="156">
        <f t="shared" si="2501"/>
        <v>0</v>
      </c>
      <c r="X1146" s="158">
        <f t="shared" ref="X1146" si="2597">$S1146/ORCAMENTO_VALOR_TOTAL_ND</f>
        <v>0</v>
      </c>
      <c r="Y1146" s="158">
        <f t="shared" ref="Y1146" si="2598">$T1146/ORCAMENTO_VALOR_TOTAL_DE</f>
        <v>0</v>
      </c>
      <c r="Z1146" s="158" cm="1">
        <f t="array" ref="Z1146">_xlfn.SWITCH($N1146,"BDI 1",$O$6,"BDI 2",$O$7,"BDI 3",$O$8)</f>
        <v>0.1527</v>
      </c>
      <c r="AA1146" s="158" cm="1">
        <f t="array" ref="AA1146">_xlfn.SWITCH($N1146,"BDI 1",$P$6,"BDI 2",$P$7,"BDI 3",$P$8)</f>
        <v>0.1527</v>
      </c>
      <c r="AB1146" s="158">
        <f t="shared" ca="1" si="2515"/>
        <v>0</v>
      </c>
      <c r="AC1146" s="158">
        <f t="shared" ca="1" si="2516"/>
        <v>0</v>
      </c>
      <c r="AD1146" s="164"/>
      <c r="AE1146" s="148">
        <f t="shared" si="2502"/>
        <v>0</v>
      </c>
      <c r="AF1146" s="149"/>
      <c r="AG1146" s="150"/>
      <c r="AH1146" s="159" t="e">
        <f t="shared" si="2503"/>
        <v>#DIV/0!</v>
      </c>
      <c r="AI1146" s="165" t="s">
        <v>243</v>
      </c>
      <c r="AJ1146" s="105"/>
      <c r="AK1146" s="105"/>
      <c r="AM1146" s="105"/>
      <c r="AN1146" s="105"/>
      <c r="AO1146" s="105"/>
      <c r="AP1146" s="105"/>
      <c r="AQ1146" s="105"/>
      <c r="AR1146" s="105"/>
    </row>
    <row r="1147" spans="1:44" s="49" customFormat="1" ht="40.15" hidden="1" customHeight="1">
      <c r="A1147" s="152">
        <f t="shared" ca="1" si="2504"/>
        <v>0</v>
      </c>
      <c r="B1147" s="153">
        <v>4748</v>
      </c>
      <c r="C1147" s="154" t="str">
        <f t="shared" si="2505"/>
        <v>4748</v>
      </c>
      <c r="D1147" s="154" t="s">
        <v>3579</v>
      </c>
      <c r="E1147" s="155" t="s">
        <v>3868</v>
      </c>
      <c r="F1147" s="154"/>
      <c r="G1147" s="154" t="s">
        <v>464</v>
      </c>
      <c r="H1147" s="152">
        <v>88.63</v>
      </c>
      <c r="I1147" s="152">
        <v>88.63</v>
      </c>
      <c r="J1147" s="156"/>
      <c r="K1147" s="156">
        <f>+Ciclovia!J74</f>
        <v>0</v>
      </c>
      <c r="L1147" s="156">
        <f t="shared" si="2506"/>
        <v>0</v>
      </c>
      <c r="M1147" s="156">
        <f t="shared" si="2507"/>
        <v>0</v>
      </c>
      <c r="N1147" s="156" t="s">
        <v>92</v>
      </c>
      <c r="O1147" s="157" cm="1">
        <f t="array" ref="O1147">TRUNC($H1147*(1+_xlfn.SWITCH($N1147,"BDI 1",$O$6,"BDI 2",$O$7,"BDI 3",$O$8)),2)</f>
        <v>102.16</v>
      </c>
      <c r="P1147" s="157" cm="1">
        <f t="array" ref="P1147">TRUNC($I1147*(1+_xlfn.SWITCH($N1147,"BDI 1",$P$6,"BDI 2",$P$7,"BDI 3",$P$8)),2)</f>
        <v>102.16</v>
      </c>
      <c r="Q1147" s="157">
        <v>0</v>
      </c>
      <c r="R1147" s="157">
        <f t="shared" ref="R1147" si="2599">$Q1147-($Q1147*LICITACAO_DESCONTO)</f>
        <v>0</v>
      </c>
      <c r="S1147" s="156">
        <f t="shared" si="2509"/>
        <v>0</v>
      </c>
      <c r="T1147" s="156">
        <f t="shared" si="2510"/>
        <v>0</v>
      </c>
      <c r="U1147" s="156">
        <f t="shared" si="2511"/>
        <v>0</v>
      </c>
      <c r="V1147" s="156">
        <f t="shared" si="2512"/>
        <v>0</v>
      </c>
      <c r="W1147" s="156">
        <f t="shared" si="2501"/>
        <v>0</v>
      </c>
      <c r="X1147" s="158">
        <f t="shared" ref="X1147" si="2600">$S1147/ORCAMENTO_VALOR_TOTAL_ND</f>
        <v>0</v>
      </c>
      <c r="Y1147" s="158">
        <f t="shared" ref="Y1147" si="2601">$T1147/ORCAMENTO_VALOR_TOTAL_DE</f>
        <v>0</v>
      </c>
      <c r="Z1147" s="158" cm="1">
        <f t="array" ref="Z1147">_xlfn.SWITCH($N1147,"BDI 1",$O$6,"BDI 2",$O$7,"BDI 3",$O$8)</f>
        <v>0.1527</v>
      </c>
      <c r="AA1147" s="158" cm="1">
        <f t="array" ref="AA1147">_xlfn.SWITCH($N1147,"BDI 1",$P$6,"BDI 2",$P$7,"BDI 3",$P$8)</f>
        <v>0.1527</v>
      </c>
      <c r="AB1147" s="158">
        <f t="shared" ca="1" si="2515"/>
        <v>0</v>
      </c>
      <c r="AC1147" s="158">
        <f t="shared" ca="1" si="2516"/>
        <v>0</v>
      </c>
      <c r="AD1147" s="164"/>
      <c r="AE1147" s="148">
        <f t="shared" si="2502"/>
        <v>0</v>
      </c>
      <c r="AF1147" s="149"/>
      <c r="AG1147" s="150"/>
      <c r="AH1147" s="159" t="e">
        <f t="shared" si="2503"/>
        <v>#DIV/0!</v>
      </c>
      <c r="AI1147" s="160"/>
      <c r="AJ1147" s="105"/>
      <c r="AK1147" s="105"/>
      <c r="AM1147" s="105"/>
      <c r="AN1147" s="105"/>
      <c r="AO1147" s="105"/>
      <c r="AP1147" s="105"/>
      <c r="AQ1147" s="105"/>
      <c r="AR1147" s="105"/>
    </row>
    <row r="1148" spans="1:44" s="49" customFormat="1" ht="49.9" hidden="1" customHeight="1">
      <c r="A1148" s="152">
        <f t="shared" ca="1" si="2504"/>
        <v>0</v>
      </c>
      <c r="B1148" s="153">
        <v>100978</v>
      </c>
      <c r="C1148" s="154" t="str">
        <f t="shared" si="2505"/>
        <v>100978</v>
      </c>
      <c r="D1148" s="154" t="s">
        <v>1416</v>
      </c>
      <c r="E1148" s="155" t="s">
        <v>3810</v>
      </c>
      <c r="F1148" s="154"/>
      <c r="G1148" s="154" t="s">
        <v>464</v>
      </c>
      <c r="H1148" s="152">
        <v>6.64</v>
      </c>
      <c r="I1148" s="152">
        <v>6.55</v>
      </c>
      <c r="J1148" s="156"/>
      <c r="K1148" s="156">
        <f>+Ciclovia!J110+IF(Ciclovia!J111&lt;=50,Ciclovia!J111,0)</f>
        <v>0</v>
      </c>
      <c r="L1148" s="156">
        <f t="shared" si="2506"/>
        <v>0</v>
      </c>
      <c r="M1148" s="156">
        <f t="shared" si="2507"/>
        <v>0</v>
      </c>
      <c r="N1148" s="156" t="s">
        <v>83</v>
      </c>
      <c r="O1148" s="157" cm="1">
        <f t="array" ref="O1148">TRUNC($H1148*(1+_xlfn.SWITCH($N1148,"BDI 1",$O$6,"BDI 2",$O$7,"BDI 3",$O$8)),2)</f>
        <v>8.01</v>
      </c>
      <c r="P1148" s="157" cm="1">
        <f t="array" ref="P1148">TRUNC($I1148*(1+_xlfn.SWITCH($N1148,"BDI 1",$P$6,"BDI 2",$P$7,"BDI 3",$P$8)),2)</f>
        <v>8.3000000000000007</v>
      </c>
      <c r="Q1148" s="157">
        <v>0</v>
      </c>
      <c r="R1148" s="157">
        <f t="shared" ref="R1148" si="2602">$Q1148-($Q1148*LICITACAO_DESCONTO)</f>
        <v>0</v>
      </c>
      <c r="S1148" s="156">
        <f t="shared" si="2509"/>
        <v>0</v>
      </c>
      <c r="T1148" s="156">
        <f t="shared" si="2510"/>
        <v>0</v>
      </c>
      <c r="U1148" s="156">
        <f t="shared" si="2511"/>
        <v>0</v>
      </c>
      <c r="V1148" s="156">
        <f t="shared" si="2512"/>
        <v>0</v>
      </c>
      <c r="W1148" s="156">
        <f t="shared" si="2501"/>
        <v>0</v>
      </c>
      <c r="X1148" s="158">
        <f t="shared" ref="X1148" si="2603">$S1148/ORCAMENTO_VALOR_TOTAL_ND</f>
        <v>0</v>
      </c>
      <c r="Y1148" s="158">
        <f t="shared" ref="Y1148" si="2604">$T1148/ORCAMENTO_VALOR_TOTAL_DE</f>
        <v>0</v>
      </c>
      <c r="Z1148" s="158" cm="1">
        <f t="array" ref="Z1148">_xlfn.SWITCH($N1148,"BDI 1",$O$6,"BDI 2",$O$7,"BDI 3",$O$8)</f>
        <v>0.20699999999999999</v>
      </c>
      <c r="AA1148" s="158" cm="1">
        <f t="array" ref="AA1148">_xlfn.SWITCH($N1148,"BDI 1",$P$6,"BDI 2",$P$7,"BDI 3",$P$8)</f>
        <v>0.26739999999999997</v>
      </c>
      <c r="AB1148" s="158">
        <f t="shared" ca="1" si="2515"/>
        <v>0</v>
      </c>
      <c r="AC1148" s="158">
        <f t="shared" ca="1" si="2516"/>
        <v>0</v>
      </c>
      <c r="AD1148" s="164"/>
      <c r="AE1148" s="148">
        <f t="shared" si="2502"/>
        <v>0</v>
      </c>
      <c r="AF1148" s="149"/>
      <c r="AG1148" s="150"/>
      <c r="AH1148" s="159" t="e">
        <f t="shared" si="2503"/>
        <v>#DIV/0!</v>
      </c>
      <c r="AI1148" s="165" t="s">
        <v>101</v>
      </c>
      <c r="AJ1148" s="105"/>
      <c r="AK1148" s="105"/>
      <c r="AM1148" s="105"/>
      <c r="AN1148" s="105"/>
      <c r="AO1148" s="105"/>
      <c r="AP1148" s="105"/>
      <c r="AQ1148" s="105"/>
      <c r="AR1148" s="105"/>
    </row>
    <row r="1149" spans="1:44" s="49" customFormat="1" ht="49.9" hidden="1" customHeight="1">
      <c r="A1149" s="152">
        <f t="shared" ca="1" si="2504"/>
        <v>0</v>
      </c>
      <c r="B1149" s="153">
        <v>100979</v>
      </c>
      <c r="C1149" s="154" t="str">
        <f t="shared" si="2505"/>
        <v>100979</v>
      </c>
      <c r="D1149" s="154" t="s">
        <v>1416</v>
      </c>
      <c r="E1149" s="155" t="s">
        <v>1420</v>
      </c>
      <c r="F1149" s="154"/>
      <c r="G1149" s="154" t="s">
        <v>464</v>
      </c>
      <c r="H1149" s="152">
        <v>6.4</v>
      </c>
      <c r="I1149" s="152">
        <v>6.4</v>
      </c>
      <c r="J1149" s="156"/>
      <c r="K1149" s="156">
        <f>+IF(Ciclovia!J111&gt;50,Ciclovia!J111,0)</f>
        <v>0</v>
      </c>
      <c r="L1149" s="156">
        <f t="shared" si="2506"/>
        <v>0</v>
      </c>
      <c r="M1149" s="156">
        <f t="shared" si="2507"/>
        <v>0</v>
      </c>
      <c r="N1149" s="156" t="s">
        <v>83</v>
      </c>
      <c r="O1149" s="157" cm="1">
        <f t="array" ref="O1149">TRUNC($H1149*(1+_xlfn.SWITCH($N1149,"BDI 1",$O$6,"BDI 2",$O$7,"BDI 3",$O$8)),2)</f>
        <v>7.72</v>
      </c>
      <c r="P1149" s="157" cm="1">
        <f t="array" ref="P1149">TRUNC($I1149*(1+_xlfn.SWITCH($N1149,"BDI 1",$P$6,"BDI 2",$P$7,"BDI 3",$P$8)),2)</f>
        <v>8.11</v>
      </c>
      <c r="Q1149" s="157">
        <v>0</v>
      </c>
      <c r="R1149" s="157">
        <f t="shared" ref="R1149" si="2605">$Q1149-($Q1149*LICITACAO_DESCONTO)</f>
        <v>0</v>
      </c>
      <c r="S1149" s="156">
        <f t="shared" si="2509"/>
        <v>0</v>
      </c>
      <c r="T1149" s="156">
        <f t="shared" si="2510"/>
        <v>0</v>
      </c>
      <c r="U1149" s="156">
        <f t="shared" si="2511"/>
        <v>0</v>
      </c>
      <c r="V1149" s="156">
        <f t="shared" si="2512"/>
        <v>0</v>
      </c>
      <c r="W1149" s="156">
        <f t="shared" si="2501"/>
        <v>0</v>
      </c>
      <c r="X1149" s="158">
        <f t="shared" ref="X1149" si="2606">$S1149/ORCAMENTO_VALOR_TOTAL_ND</f>
        <v>0</v>
      </c>
      <c r="Y1149" s="158">
        <f t="shared" ref="Y1149" si="2607">$T1149/ORCAMENTO_VALOR_TOTAL_DE</f>
        <v>0</v>
      </c>
      <c r="Z1149" s="158" cm="1">
        <f t="array" ref="Z1149">_xlfn.SWITCH($N1149,"BDI 1",$O$6,"BDI 2",$O$7,"BDI 3",$O$8)</f>
        <v>0.20699999999999999</v>
      </c>
      <c r="AA1149" s="158" cm="1">
        <f t="array" ref="AA1149">_xlfn.SWITCH($N1149,"BDI 1",$P$6,"BDI 2",$P$7,"BDI 3",$P$8)</f>
        <v>0.26739999999999997</v>
      </c>
      <c r="AB1149" s="158">
        <f t="shared" ca="1" si="2515"/>
        <v>0</v>
      </c>
      <c r="AC1149" s="158">
        <f t="shared" ca="1" si="2516"/>
        <v>0</v>
      </c>
      <c r="AD1149" s="164"/>
      <c r="AE1149" s="148">
        <f t="shared" si="2502"/>
        <v>0</v>
      </c>
      <c r="AF1149" s="149"/>
      <c r="AG1149" s="150"/>
      <c r="AH1149" s="159" t="e">
        <f t="shared" si="2503"/>
        <v>#DIV/0!</v>
      </c>
      <c r="AI1149" s="165" t="s">
        <v>101</v>
      </c>
      <c r="AJ1149" s="105"/>
      <c r="AK1149" s="105"/>
      <c r="AM1149" s="105"/>
      <c r="AN1149" s="105"/>
      <c r="AO1149" s="105"/>
      <c r="AP1149" s="105"/>
      <c r="AQ1149" s="105"/>
      <c r="AR1149" s="105"/>
    </row>
    <row r="1150" spans="1:44" s="49" customFormat="1" ht="40.15" hidden="1" customHeight="1">
      <c r="A1150" s="10">
        <f t="shared" ca="1" si="2504"/>
        <v>0</v>
      </c>
      <c r="B1150" s="153"/>
      <c r="C1150" s="154"/>
      <c r="D1150" s="154"/>
      <c r="E1150" s="161" t="s">
        <v>137</v>
      </c>
      <c r="F1150" s="154"/>
      <c r="G1150" s="154"/>
      <c r="H1150" s="152"/>
      <c r="I1150" s="152"/>
      <c r="J1150" s="154"/>
      <c r="K1150" s="154"/>
      <c r="L1150" s="154"/>
      <c r="M1150" s="154"/>
      <c r="N1150" s="154"/>
      <c r="O1150" s="154"/>
      <c r="P1150" s="154"/>
      <c r="Q1150" s="154"/>
      <c r="R1150" s="154"/>
      <c r="S1150" s="162"/>
      <c r="T1150" s="162"/>
      <c r="U1150" s="162"/>
      <c r="V1150" s="162"/>
      <c r="W1150" s="162"/>
      <c r="X1150" s="163"/>
      <c r="Y1150" s="163"/>
      <c r="Z1150" s="163"/>
      <c r="AA1150" s="163"/>
      <c r="AB1150" s="163"/>
      <c r="AC1150" s="163"/>
      <c r="AD1150" s="164"/>
      <c r="AE1150" s="148">
        <f>IF(SUM(S1151:S1152)&gt;0,IFERROR(TRUNC(A1150,0),0),0)</f>
        <v>0</v>
      </c>
      <c r="AF1150" s="149"/>
      <c r="AG1150" s="150"/>
      <c r="AH1150" s="159"/>
      <c r="AI1150" s="160" t="s">
        <v>138</v>
      </c>
      <c r="AJ1150" s="105"/>
      <c r="AK1150" s="105"/>
      <c r="AM1150" s="105"/>
      <c r="AN1150" s="105"/>
      <c r="AO1150" s="105"/>
      <c r="AP1150" s="105"/>
      <c r="AQ1150" s="105"/>
      <c r="AR1150" s="105"/>
    </row>
    <row r="1151" spans="1:44" s="49" customFormat="1" ht="40.15" hidden="1" customHeight="1">
      <c r="A1151" s="152">
        <f t="shared" ca="1" si="2504"/>
        <v>0</v>
      </c>
      <c r="B1151" s="153">
        <v>95876</v>
      </c>
      <c r="C1151" s="154" t="str">
        <f>TEXT(B1151,"0")</f>
        <v>95876</v>
      </c>
      <c r="D1151" s="154" t="s">
        <v>1416</v>
      </c>
      <c r="E1151" s="155" t="s">
        <v>3537</v>
      </c>
      <c r="F1151" s="154">
        <f>IF(Dados_DMT!$B$17&lt;30,Dados_DMT!$B$17,30)</f>
        <v>3.5</v>
      </c>
      <c r="G1151" s="154" t="s">
        <v>3538</v>
      </c>
      <c r="H1151" s="152">
        <v>2.09</v>
      </c>
      <c r="I1151" s="152">
        <v>2.1</v>
      </c>
      <c r="J1151" s="156"/>
      <c r="K1151" s="156">
        <f>ROUND(Ciclovia!J114*F1151,2)</f>
        <v>0</v>
      </c>
      <c r="L1151" s="156">
        <f>IF($K1151&gt;$J1151,$K1151-$J1151,0)</f>
        <v>0</v>
      </c>
      <c r="M1151" s="156">
        <f>IF($K1151&lt;$J1151,$J1151-$K1151,0)</f>
        <v>0</v>
      </c>
      <c r="N1151" s="156" t="s">
        <v>83</v>
      </c>
      <c r="O1151" s="157" cm="1">
        <f t="array" ref="O1151">TRUNC($H1151*(1+_xlfn.SWITCH($N1151,"BDI 1",$O$6,"BDI 2",$O$7,"BDI 3",$O$8)),2)</f>
        <v>2.52</v>
      </c>
      <c r="P1151" s="157" cm="1">
        <f t="array" ref="P1151">TRUNC($I1151*(1+_xlfn.SWITCH($N1151,"BDI 1",$P$6,"BDI 2",$P$7,"BDI 3",$P$8)),2)</f>
        <v>2.66</v>
      </c>
      <c r="Q1151" s="157">
        <v>0</v>
      </c>
      <c r="R1151" s="157">
        <v>0</v>
      </c>
      <c r="S1151" s="156">
        <f>TRUNC($K1151*$O1151,2)</f>
        <v>0</v>
      </c>
      <c r="T1151" s="156">
        <f>TRUNC($K1151*$P1151,2)</f>
        <v>0</v>
      </c>
      <c r="U1151" s="156">
        <f>TRUNC($J1151*$R1151,2)</f>
        <v>0</v>
      </c>
      <c r="V1151" s="156">
        <f>TRUNC($K1151*$Q1151,2)</f>
        <v>0</v>
      </c>
      <c r="W1151" s="156">
        <f>TRUNC(V1151-U1151,2)</f>
        <v>0</v>
      </c>
      <c r="X1151" s="158">
        <f>$S1151/ORCAMENTO_VALOR_TOTAL_ND</f>
        <v>0</v>
      </c>
      <c r="Y1151" s="158">
        <f>$T1151/ORCAMENTO_VALOR_TOTAL_DE</f>
        <v>0</v>
      </c>
      <c r="Z1151" s="158" cm="1">
        <f t="array" ref="Z1151">_xlfn.SWITCH($N1151,"BDI 1",$O$6,"BDI 2",$O$7,"BDI 3",$O$8)</f>
        <v>0.20699999999999999</v>
      </c>
      <c r="AA1151" s="158" cm="1">
        <f t="array" ref="AA1151">_xlfn.SWITCH($N1151,"BDI 1",$P$6,"BDI 2",$P$7,"BDI 3",$P$8)</f>
        <v>0.26739999999999997</v>
      </c>
      <c r="AB1151" s="158">
        <f ca="1">IFERROR($S1151/_xlfn.XLOOKUP($AE1151,$B$16:$B$38,$S$16:$S$38),0)</f>
        <v>0</v>
      </c>
      <c r="AC1151" s="158">
        <f ca="1">IFERROR($T1151/_xlfn.XLOOKUP($AE1151,$B$16:$B$38,$T$16:$T$38),0)</f>
        <v>0</v>
      </c>
      <c r="AD1151" s="164"/>
      <c r="AE1151" s="148">
        <f t="shared" ref="AE1151:AE1152" si="2608">IF(S1151&gt;0,IFERROR(TRUNC(A1151,0),0),0)</f>
        <v>0</v>
      </c>
      <c r="AF1151" s="149"/>
      <c r="AG1151" s="150"/>
      <c r="AH1151" s="159" t="e">
        <f>+S1151/$S$1118</f>
        <v>#DIV/0!</v>
      </c>
      <c r="AI1151" s="166">
        <f>IF(K1151=0,0,K1151/F1151)</f>
        <v>0</v>
      </c>
      <c r="AJ1151" s="105"/>
      <c r="AK1151" s="105"/>
      <c r="AM1151" s="105"/>
      <c r="AN1151" s="105"/>
      <c r="AO1151" s="105"/>
      <c r="AP1151" s="105"/>
      <c r="AQ1151" s="105"/>
      <c r="AR1151" s="105"/>
    </row>
    <row r="1152" spans="1:44" s="49" customFormat="1" ht="40.15" hidden="1" customHeight="1">
      <c r="A1152" s="152">
        <f t="shared" ca="1" si="2504"/>
        <v>0</v>
      </c>
      <c r="B1152" s="153">
        <v>93593</v>
      </c>
      <c r="C1152" s="154" t="str">
        <f>TEXT(B1152,"0")</f>
        <v>93593</v>
      </c>
      <c r="D1152" s="154" t="s">
        <v>1416</v>
      </c>
      <c r="E1152" s="155" t="s">
        <v>3545</v>
      </c>
      <c r="F1152" s="154">
        <f>Dados_DMT!$B$17-F1151</f>
        <v>0</v>
      </c>
      <c r="G1152" s="154" t="s">
        <v>3538</v>
      </c>
      <c r="H1152" s="152">
        <v>0.84</v>
      </c>
      <c r="I1152" s="152">
        <v>0.85</v>
      </c>
      <c r="J1152" s="156"/>
      <c r="K1152" s="156">
        <f>ROUND(Ciclovia!J114*F1152,2)</f>
        <v>0</v>
      </c>
      <c r="L1152" s="156">
        <f>IF($K1152&gt;$J1152,$K1152-$J1152,0)</f>
        <v>0</v>
      </c>
      <c r="M1152" s="156">
        <f>IF($K1152&lt;$J1152,$J1152-$K1152,0)</f>
        <v>0</v>
      </c>
      <c r="N1152" s="156" t="s">
        <v>83</v>
      </c>
      <c r="O1152" s="157" cm="1">
        <f t="array" ref="O1152">TRUNC($H1152*(1+_xlfn.SWITCH($N1152,"BDI 1",$O$6,"BDI 2",$O$7,"BDI 3",$O$8)),2)</f>
        <v>1.01</v>
      </c>
      <c r="P1152" s="157" cm="1">
        <f t="array" ref="P1152">TRUNC($I1152*(1+_xlfn.SWITCH($N1152,"BDI 1",$P$6,"BDI 2",$P$7,"BDI 3",$P$8)),2)</f>
        <v>1.07</v>
      </c>
      <c r="Q1152" s="157">
        <v>0</v>
      </c>
      <c r="R1152" s="157">
        <v>0</v>
      </c>
      <c r="S1152" s="156">
        <f>TRUNC($K1152*$O1152,2)</f>
        <v>0</v>
      </c>
      <c r="T1152" s="156">
        <f>TRUNC($K1152*$P1152,2)</f>
        <v>0</v>
      </c>
      <c r="U1152" s="156">
        <f>TRUNC($J1152*$R1152,2)</f>
        <v>0</v>
      </c>
      <c r="V1152" s="156">
        <f>TRUNC($K1152*$Q1152,2)</f>
        <v>0</v>
      </c>
      <c r="W1152" s="156">
        <f>TRUNC(V1152-U1152,2)</f>
        <v>0</v>
      </c>
      <c r="X1152" s="158">
        <f>$S1152/ORCAMENTO_VALOR_TOTAL_ND</f>
        <v>0</v>
      </c>
      <c r="Y1152" s="158">
        <f>$T1152/ORCAMENTO_VALOR_TOTAL_DE</f>
        <v>0</v>
      </c>
      <c r="Z1152" s="158" cm="1">
        <f t="array" ref="Z1152">_xlfn.SWITCH($N1152,"BDI 1",$O$6,"BDI 2",$O$7,"BDI 3",$O$8)</f>
        <v>0.20699999999999999</v>
      </c>
      <c r="AA1152" s="158" cm="1">
        <f t="array" ref="AA1152">_xlfn.SWITCH($N1152,"BDI 1",$P$6,"BDI 2",$P$7,"BDI 3",$P$8)</f>
        <v>0.26739999999999997</v>
      </c>
      <c r="AB1152" s="158">
        <f ca="1">IFERROR($S1152/_xlfn.XLOOKUP($AE1152,$B$16:$B$38,$S$16:$S$38),0)</f>
        <v>0</v>
      </c>
      <c r="AC1152" s="158">
        <f ca="1">IFERROR($T1152/_xlfn.XLOOKUP($AE1152,$B$16:$B$38,$T$16:$T$38),0)</f>
        <v>0</v>
      </c>
      <c r="AD1152" s="164"/>
      <c r="AE1152" s="148">
        <f t="shared" si="2608"/>
        <v>0</v>
      </c>
      <c r="AF1152" s="149"/>
      <c r="AG1152" s="150"/>
      <c r="AH1152" s="159" t="e">
        <f>+S1152/$S$1118</f>
        <v>#DIV/0!</v>
      </c>
      <c r="AI1152" s="166">
        <f>IF(K1152=0,0,K1152/F1152)</f>
        <v>0</v>
      </c>
      <c r="AJ1152" s="105"/>
      <c r="AK1152" s="105"/>
      <c r="AM1152" s="105"/>
      <c r="AN1152" s="105"/>
      <c r="AO1152" s="105"/>
      <c r="AP1152" s="105"/>
      <c r="AQ1152" s="105"/>
      <c r="AR1152" s="105"/>
    </row>
    <row r="1153" spans="1:44" s="49" customFormat="1" ht="40.15" hidden="1" customHeight="1">
      <c r="A1153" s="10">
        <f t="shared" ca="1" si="2504"/>
        <v>0</v>
      </c>
      <c r="B1153" s="153"/>
      <c r="C1153" s="154"/>
      <c r="D1153" s="154"/>
      <c r="E1153" s="161" t="s">
        <v>257</v>
      </c>
      <c r="F1153" s="154"/>
      <c r="G1153" s="154"/>
      <c r="H1153" s="152"/>
      <c r="I1153" s="152"/>
      <c r="J1153" s="154"/>
      <c r="K1153" s="154"/>
      <c r="L1153" s="154"/>
      <c r="M1153" s="154"/>
      <c r="N1153" s="154"/>
      <c r="O1153" s="154"/>
      <c r="P1153" s="154"/>
      <c r="Q1153" s="154"/>
      <c r="R1153" s="154"/>
      <c r="S1153" s="162"/>
      <c r="T1153" s="162"/>
      <c r="U1153" s="162"/>
      <c r="V1153" s="162"/>
      <c r="W1153" s="162"/>
      <c r="X1153" s="163"/>
      <c r="Y1153" s="163"/>
      <c r="Z1153" s="163"/>
      <c r="AA1153" s="163"/>
      <c r="AB1153" s="163"/>
      <c r="AC1153" s="163"/>
      <c r="AD1153" s="164"/>
      <c r="AE1153" s="148">
        <f>IF(SUM(S1154:S1155)&gt;0,IFERROR(TRUNC(A1153,0),0),0)</f>
        <v>0</v>
      </c>
      <c r="AF1153" s="149"/>
      <c r="AG1153" s="150"/>
      <c r="AH1153" s="159"/>
      <c r="AJ1153" s="105"/>
      <c r="AK1153" s="105"/>
      <c r="AM1153" s="105"/>
      <c r="AN1153" s="105"/>
      <c r="AO1153" s="105"/>
      <c r="AP1153" s="105"/>
      <c r="AQ1153" s="105"/>
      <c r="AR1153" s="105"/>
    </row>
    <row r="1154" spans="1:44" s="49" customFormat="1" ht="40.15" hidden="1" customHeight="1">
      <c r="A1154" s="152">
        <f t="shared" ca="1" si="2504"/>
        <v>0</v>
      </c>
      <c r="B1154" s="153">
        <v>95876</v>
      </c>
      <c r="C1154" s="154" t="str">
        <f>TEXT(B1154,"0")</f>
        <v>95876</v>
      </c>
      <c r="D1154" s="154" t="s">
        <v>1416</v>
      </c>
      <c r="E1154" s="155" t="s">
        <v>3537</v>
      </c>
      <c r="F1154" s="154">
        <f>IF(Dados_DMT!$B$14&lt;30,Dados_DMT!$B$14,30)</f>
        <v>3.5</v>
      </c>
      <c r="G1154" s="154" t="s">
        <v>3538</v>
      </c>
      <c r="H1154" s="152">
        <v>2.09</v>
      </c>
      <c r="I1154" s="152">
        <v>2.1</v>
      </c>
      <c r="J1154" s="156"/>
      <c r="K1154" s="156">
        <f>ROUND(Ciclovia!J115*F1154,2)</f>
        <v>0</v>
      </c>
      <c r="L1154" s="156">
        <f>IF($K1154&gt;$J1154,$K1154-$J1154,0)</f>
        <v>0</v>
      </c>
      <c r="M1154" s="156">
        <f>IF($K1154&lt;$J1154,$J1154-$K1154,0)</f>
        <v>0</v>
      </c>
      <c r="N1154" s="156" t="s">
        <v>83</v>
      </c>
      <c r="O1154" s="157" cm="1">
        <f t="array" ref="O1154">TRUNC($H1154*(1+_xlfn.SWITCH($N1154,"BDI 1",$O$6,"BDI 2",$O$7,"BDI 3",$O$8)),2)</f>
        <v>2.52</v>
      </c>
      <c r="P1154" s="157" cm="1">
        <f t="array" ref="P1154">TRUNC($I1154*(1+_xlfn.SWITCH($N1154,"BDI 1",$P$6,"BDI 2",$P$7,"BDI 3",$P$8)),2)</f>
        <v>2.66</v>
      </c>
      <c r="Q1154" s="157">
        <v>0</v>
      </c>
      <c r="R1154" s="157">
        <v>0</v>
      </c>
      <c r="S1154" s="156">
        <f>TRUNC($K1154*$O1154,2)</f>
        <v>0</v>
      </c>
      <c r="T1154" s="156">
        <f>TRUNC($K1154*$P1154,2)</f>
        <v>0</v>
      </c>
      <c r="U1154" s="156">
        <f>TRUNC($J1154*$R1154,2)</f>
        <v>0</v>
      </c>
      <c r="V1154" s="156">
        <f>TRUNC($K1154*$Q1154,2)</f>
        <v>0</v>
      </c>
      <c r="W1154" s="156">
        <f>TRUNC(V1154-U1154,2)</f>
        <v>0</v>
      </c>
      <c r="X1154" s="158">
        <f>$S1154/ORCAMENTO_VALOR_TOTAL_ND</f>
        <v>0</v>
      </c>
      <c r="Y1154" s="158">
        <f>$T1154/ORCAMENTO_VALOR_TOTAL_DE</f>
        <v>0</v>
      </c>
      <c r="Z1154" s="158" cm="1">
        <f t="array" ref="Z1154">_xlfn.SWITCH($N1154,"BDI 1",$O$6,"BDI 2",$O$7,"BDI 3",$O$8)</f>
        <v>0.20699999999999999</v>
      </c>
      <c r="AA1154" s="158" cm="1">
        <f t="array" ref="AA1154">_xlfn.SWITCH($N1154,"BDI 1",$P$6,"BDI 2",$P$7,"BDI 3",$P$8)</f>
        <v>0.26739999999999997</v>
      </c>
      <c r="AB1154" s="158">
        <f ca="1">IFERROR($S1154/_xlfn.XLOOKUP($AE1154,$B$16:$B$38,$S$16:$S$38),0)</f>
        <v>0</v>
      </c>
      <c r="AC1154" s="158">
        <f ca="1">IFERROR($T1154/_xlfn.XLOOKUP($AE1154,$B$16:$B$38,$T$16:$T$38),0)</f>
        <v>0</v>
      </c>
      <c r="AD1154" s="164"/>
      <c r="AE1154" s="148">
        <f t="shared" ref="AE1154:AE1155" si="2609">IF(S1154&gt;0,IFERROR(TRUNC(A1154,0),0),0)</f>
        <v>0</v>
      </c>
      <c r="AF1154" s="149"/>
      <c r="AG1154" s="150"/>
      <c r="AH1154" s="159" t="e">
        <f>+S1154/$S$1118</f>
        <v>#DIV/0!</v>
      </c>
      <c r="AI1154" s="166">
        <f>IF(K1154=0,0,K1154/F1154)</f>
        <v>0</v>
      </c>
      <c r="AJ1154" s="105"/>
      <c r="AK1154" s="105"/>
      <c r="AM1154" s="105"/>
      <c r="AN1154" s="105"/>
      <c r="AO1154" s="105"/>
      <c r="AP1154" s="105"/>
      <c r="AQ1154" s="105"/>
      <c r="AR1154" s="105"/>
    </row>
    <row r="1155" spans="1:44" s="49" customFormat="1" ht="40.15" hidden="1" customHeight="1">
      <c r="A1155" s="152">
        <f t="shared" ca="1" si="2504"/>
        <v>0</v>
      </c>
      <c r="B1155" s="153">
        <v>93593</v>
      </c>
      <c r="C1155" s="154" t="str">
        <f>TEXT(B1155,"0")</f>
        <v>93593</v>
      </c>
      <c r="D1155" s="154" t="s">
        <v>1416</v>
      </c>
      <c r="E1155" s="155" t="s">
        <v>3545</v>
      </c>
      <c r="F1155" s="154">
        <f>+Dados_DMT!$B$14-F1154</f>
        <v>0</v>
      </c>
      <c r="G1155" s="154" t="s">
        <v>3538</v>
      </c>
      <c r="H1155" s="152">
        <v>0.84</v>
      </c>
      <c r="I1155" s="152">
        <v>0.85</v>
      </c>
      <c r="J1155" s="156"/>
      <c r="K1155" s="156">
        <f>ROUND(Ciclovia!J115*F1155,2)</f>
        <v>0</v>
      </c>
      <c r="L1155" s="156">
        <f>IF($K1155&gt;$J1155,$K1155-$J1155,0)</f>
        <v>0</v>
      </c>
      <c r="M1155" s="156">
        <f>IF($K1155&lt;$J1155,$J1155-$K1155,0)</f>
        <v>0</v>
      </c>
      <c r="N1155" s="156" t="s">
        <v>83</v>
      </c>
      <c r="O1155" s="157" cm="1">
        <f t="array" ref="O1155">TRUNC($H1155*(1+_xlfn.SWITCH($N1155,"BDI 1",$O$6,"BDI 2",$O$7,"BDI 3",$O$8)),2)</f>
        <v>1.01</v>
      </c>
      <c r="P1155" s="157" cm="1">
        <f t="array" ref="P1155">TRUNC($I1155*(1+_xlfn.SWITCH($N1155,"BDI 1",$P$6,"BDI 2",$P$7,"BDI 3",$P$8)),2)</f>
        <v>1.07</v>
      </c>
      <c r="Q1155" s="157">
        <v>0</v>
      </c>
      <c r="R1155" s="157">
        <v>0</v>
      </c>
      <c r="S1155" s="156">
        <f>TRUNC($K1155*$O1155,2)</f>
        <v>0</v>
      </c>
      <c r="T1155" s="156">
        <f>TRUNC($K1155*$P1155,2)</f>
        <v>0</v>
      </c>
      <c r="U1155" s="156">
        <f>TRUNC($J1155*$R1155,2)</f>
        <v>0</v>
      </c>
      <c r="V1155" s="156">
        <f>TRUNC($K1155*$Q1155,2)</f>
        <v>0</v>
      </c>
      <c r="W1155" s="156">
        <f>TRUNC(V1155-U1155,2)</f>
        <v>0</v>
      </c>
      <c r="X1155" s="158">
        <f>$S1155/ORCAMENTO_VALOR_TOTAL_ND</f>
        <v>0</v>
      </c>
      <c r="Y1155" s="158">
        <f>$T1155/ORCAMENTO_VALOR_TOTAL_DE</f>
        <v>0</v>
      </c>
      <c r="Z1155" s="158" cm="1">
        <f t="array" ref="Z1155">_xlfn.SWITCH($N1155,"BDI 1",$O$6,"BDI 2",$O$7,"BDI 3",$O$8)</f>
        <v>0.20699999999999999</v>
      </c>
      <c r="AA1155" s="158" cm="1">
        <f t="array" ref="AA1155">_xlfn.SWITCH($N1155,"BDI 1",$P$6,"BDI 2",$P$7,"BDI 3",$P$8)</f>
        <v>0.26739999999999997</v>
      </c>
      <c r="AB1155" s="158">
        <f ca="1">IFERROR($S1155/_xlfn.XLOOKUP($AE1155,$B$16:$B$38,$S$16:$S$38),0)</f>
        <v>0</v>
      </c>
      <c r="AC1155" s="158">
        <f ca="1">IFERROR($T1155/_xlfn.XLOOKUP($AE1155,$B$16:$B$38,$T$16:$T$38),0)</f>
        <v>0</v>
      </c>
      <c r="AD1155" s="164"/>
      <c r="AE1155" s="148">
        <f t="shared" si="2609"/>
        <v>0</v>
      </c>
      <c r="AF1155" s="149"/>
      <c r="AG1155" s="150"/>
      <c r="AH1155" s="159" t="e">
        <f>+S1155/$S$1118</f>
        <v>#DIV/0!</v>
      </c>
      <c r="AI1155" s="166">
        <f>IF(K1155=0,0,K1155/F1155)</f>
        <v>0</v>
      </c>
      <c r="AJ1155" s="105"/>
      <c r="AK1155" s="105"/>
      <c r="AM1155" s="105"/>
      <c r="AN1155" s="105"/>
      <c r="AO1155" s="105"/>
      <c r="AP1155" s="105"/>
      <c r="AQ1155" s="105"/>
      <c r="AR1155" s="105"/>
    </row>
    <row r="1156" spans="1:44" s="49" customFormat="1" ht="40.15" hidden="1" customHeight="1">
      <c r="A1156" s="10">
        <f t="shared" ca="1" si="2504"/>
        <v>0</v>
      </c>
      <c r="B1156" s="153"/>
      <c r="C1156" s="154"/>
      <c r="D1156" s="154"/>
      <c r="E1156" s="161" t="s">
        <v>258</v>
      </c>
      <c r="F1156" s="154"/>
      <c r="G1156" s="154"/>
      <c r="H1156" s="152"/>
      <c r="I1156" s="152"/>
      <c r="J1156" s="154"/>
      <c r="K1156" s="154"/>
      <c r="L1156" s="154"/>
      <c r="M1156" s="154"/>
      <c r="N1156" s="154"/>
      <c r="O1156" s="154"/>
      <c r="P1156" s="154"/>
      <c r="Q1156" s="154"/>
      <c r="R1156" s="154"/>
      <c r="S1156" s="162"/>
      <c r="T1156" s="162"/>
      <c r="U1156" s="162"/>
      <c r="V1156" s="162"/>
      <c r="W1156" s="162"/>
      <c r="X1156" s="163"/>
      <c r="Y1156" s="163"/>
      <c r="Z1156" s="163"/>
      <c r="AA1156" s="163"/>
      <c r="AB1156" s="163"/>
      <c r="AC1156" s="163"/>
      <c r="AD1156" s="164"/>
      <c r="AE1156" s="148">
        <f>IF(SUM(S1157:S1158)&gt;0,IFERROR(TRUNC(A1156,0),0),0)</f>
        <v>0</v>
      </c>
      <c r="AF1156" s="149"/>
      <c r="AG1156" s="150"/>
      <c r="AH1156" s="159"/>
      <c r="AI1156" s="160" t="s">
        <v>120</v>
      </c>
      <c r="AJ1156" s="105"/>
      <c r="AK1156" s="105"/>
      <c r="AM1156" s="105"/>
      <c r="AN1156" s="105"/>
      <c r="AO1156" s="105"/>
      <c r="AP1156" s="105"/>
      <c r="AQ1156" s="105"/>
      <c r="AR1156" s="105"/>
    </row>
    <row r="1157" spans="1:44" s="49" customFormat="1" ht="40.15" hidden="1" customHeight="1">
      <c r="A1157" s="152">
        <f t="shared" ca="1" si="2504"/>
        <v>0</v>
      </c>
      <c r="B1157" s="153">
        <v>95876</v>
      </c>
      <c r="C1157" s="154" t="str">
        <f>TEXT(B1157,"0")</f>
        <v>95876</v>
      </c>
      <c r="D1157" s="154" t="s">
        <v>1416</v>
      </c>
      <c r="E1157" s="155" t="s">
        <v>3537</v>
      </c>
      <c r="F1157" s="154">
        <f>IF(Dados_DMT!$B$15&lt;30,Dados_DMT!$B$15,30)</f>
        <v>1</v>
      </c>
      <c r="G1157" s="154" t="s">
        <v>3538</v>
      </c>
      <c r="H1157" s="152">
        <v>2.09</v>
      </c>
      <c r="I1157" s="152">
        <v>2.1</v>
      </c>
      <c r="J1157" s="156"/>
      <c r="K1157" s="156">
        <f>ROUND(Ciclovia!J126*F1157,2)</f>
        <v>0</v>
      </c>
      <c r="L1157" s="156">
        <f>IF($K1157&gt;$J1157,$K1157-$J1157,0)</f>
        <v>0</v>
      </c>
      <c r="M1157" s="156">
        <f>IF($K1157&lt;$J1157,$J1157-$K1157,0)</f>
        <v>0</v>
      </c>
      <c r="N1157" s="156" t="s">
        <v>83</v>
      </c>
      <c r="O1157" s="157" cm="1">
        <f t="array" ref="O1157">TRUNC($H1157*(1+_xlfn.SWITCH($N1157,"BDI 1",$O$6,"BDI 2",$O$7,"BDI 3",$O$8)),2)</f>
        <v>2.52</v>
      </c>
      <c r="P1157" s="157" cm="1">
        <f t="array" ref="P1157">TRUNC($I1157*(1+_xlfn.SWITCH($N1157,"BDI 1",$P$6,"BDI 2",$P$7,"BDI 3",$P$8)),2)</f>
        <v>2.66</v>
      </c>
      <c r="Q1157" s="157">
        <v>0</v>
      </c>
      <c r="R1157" s="157">
        <v>0</v>
      </c>
      <c r="S1157" s="156">
        <f>TRUNC($K1157*$O1157,2)</f>
        <v>0</v>
      </c>
      <c r="T1157" s="156">
        <f>TRUNC($K1157*$P1157,2)</f>
        <v>0</v>
      </c>
      <c r="U1157" s="156">
        <f>TRUNC($J1157*$R1157,2)</f>
        <v>0</v>
      </c>
      <c r="V1157" s="156">
        <f>TRUNC($K1157*$Q1157,2)</f>
        <v>0</v>
      </c>
      <c r="W1157" s="156">
        <f>TRUNC(V1157-U1157,2)</f>
        <v>0</v>
      </c>
      <c r="X1157" s="158">
        <f>$S1157/ORCAMENTO_VALOR_TOTAL_ND</f>
        <v>0</v>
      </c>
      <c r="Y1157" s="158">
        <f>$T1157/ORCAMENTO_VALOR_TOTAL_DE</f>
        <v>0</v>
      </c>
      <c r="Z1157" s="158" cm="1">
        <f t="array" ref="Z1157">_xlfn.SWITCH($N1157,"BDI 1",$O$6,"BDI 2",$O$7,"BDI 3",$O$8)</f>
        <v>0.20699999999999999</v>
      </c>
      <c r="AA1157" s="158" cm="1">
        <f t="array" ref="AA1157">_xlfn.SWITCH($N1157,"BDI 1",$P$6,"BDI 2",$P$7,"BDI 3",$P$8)</f>
        <v>0.26739999999999997</v>
      </c>
      <c r="AB1157" s="158">
        <f ca="1">IFERROR($S1157/_xlfn.XLOOKUP($AE1157,$B$16:$B$38,$S$16:$S$38),0)</f>
        <v>0</v>
      </c>
      <c r="AC1157" s="158">
        <f ca="1">IFERROR($T1157/_xlfn.XLOOKUP($AE1157,$B$16:$B$38,$T$16:$T$38),0)</f>
        <v>0</v>
      </c>
      <c r="AD1157" s="164"/>
      <c r="AE1157" s="148">
        <f t="shared" ref="AE1157:AE1158" si="2610">IF(S1157&gt;0,IFERROR(TRUNC(A1157,0),0),0)</f>
        <v>0</v>
      </c>
      <c r="AF1157" s="149"/>
      <c r="AG1157" s="150"/>
      <c r="AH1157" s="159" t="e">
        <f>+S1157/$S$1118</f>
        <v>#DIV/0!</v>
      </c>
      <c r="AI1157" s="160"/>
      <c r="AJ1157" s="105"/>
      <c r="AK1157" s="105"/>
      <c r="AM1157" s="105"/>
      <c r="AN1157" s="105"/>
      <c r="AO1157" s="105"/>
      <c r="AP1157" s="105"/>
      <c r="AQ1157" s="105"/>
      <c r="AR1157" s="105"/>
    </row>
    <row r="1158" spans="1:44" s="49" customFormat="1" ht="40.15" hidden="1" customHeight="1">
      <c r="A1158" s="152">
        <f t="shared" ca="1" si="2504"/>
        <v>0</v>
      </c>
      <c r="B1158" s="153">
        <v>93593</v>
      </c>
      <c r="C1158" s="154" t="str">
        <f>TEXT(B1158,"0")</f>
        <v>93593</v>
      </c>
      <c r="D1158" s="154" t="s">
        <v>1416</v>
      </c>
      <c r="E1158" s="155" t="s">
        <v>3545</v>
      </c>
      <c r="F1158" s="154">
        <f>+Dados_DMT!$B$15-F1157</f>
        <v>0</v>
      </c>
      <c r="G1158" s="154" t="s">
        <v>3538</v>
      </c>
      <c r="H1158" s="152">
        <v>0.84</v>
      </c>
      <c r="I1158" s="152">
        <v>0.85</v>
      </c>
      <c r="J1158" s="156"/>
      <c r="K1158" s="156">
        <f>ROUND(Ciclovia!J126*F1158,2)</f>
        <v>0</v>
      </c>
      <c r="L1158" s="156">
        <f>IF($K1158&gt;$J1158,$K1158-$J1158,0)</f>
        <v>0</v>
      </c>
      <c r="M1158" s="156">
        <f>IF($K1158&lt;$J1158,$J1158-$K1158,0)</f>
        <v>0</v>
      </c>
      <c r="N1158" s="156" t="s">
        <v>83</v>
      </c>
      <c r="O1158" s="157" cm="1">
        <f t="array" ref="O1158">TRUNC($H1158*(1+_xlfn.SWITCH($N1158,"BDI 1",$O$6,"BDI 2",$O$7,"BDI 3",$O$8)),2)</f>
        <v>1.01</v>
      </c>
      <c r="P1158" s="157" cm="1">
        <f t="array" ref="P1158">TRUNC($I1158*(1+_xlfn.SWITCH($N1158,"BDI 1",$P$6,"BDI 2",$P$7,"BDI 3",$P$8)),2)</f>
        <v>1.07</v>
      </c>
      <c r="Q1158" s="157">
        <v>0</v>
      </c>
      <c r="R1158" s="157">
        <v>0</v>
      </c>
      <c r="S1158" s="156">
        <f>TRUNC($K1158*$O1158,2)</f>
        <v>0</v>
      </c>
      <c r="T1158" s="156">
        <f>TRUNC($K1158*$P1158,2)</f>
        <v>0</v>
      </c>
      <c r="U1158" s="156">
        <f>TRUNC($J1158*$R1158,2)</f>
        <v>0</v>
      </c>
      <c r="V1158" s="156">
        <f>TRUNC($K1158*$Q1158,2)</f>
        <v>0</v>
      </c>
      <c r="W1158" s="156">
        <f>TRUNC(V1158-U1158,2)</f>
        <v>0</v>
      </c>
      <c r="X1158" s="158">
        <f>$S1158/ORCAMENTO_VALOR_TOTAL_ND</f>
        <v>0</v>
      </c>
      <c r="Y1158" s="158">
        <f>$T1158/ORCAMENTO_VALOR_TOTAL_DE</f>
        <v>0</v>
      </c>
      <c r="Z1158" s="158" cm="1">
        <f t="array" ref="Z1158">_xlfn.SWITCH($N1158,"BDI 1",$O$6,"BDI 2",$O$7,"BDI 3",$O$8)</f>
        <v>0.20699999999999999</v>
      </c>
      <c r="AA1158" s="158" cm="1">
        <f t="array" ref="AA1158">_xlfn.SWITCH($N1158,"BDI 1",$P$6,"BDI 2",$P$7,"BDI 3",$P$8)</f>
        <v>0.26739999999999997</v>
      </c>
      <c r="AB1158" s="158">
        <f ca="1">IFERROR($S1158/_xlfn.XLOOKUP($AE1158,$B$16:$B$38,$S$16:$S$38),0)</f>
        <v>0</v>
      </c>
      <c r="AC1158" s="158">
        <f ca="1">IFERROR($T1158/_xlfn.XLOOKUP($AE1158,$B$16:$B$38,$T$16:$T$38),0)</f>
        <v>0</v>
      </c>
      <c r="AD1158" s="164"/>
      <c r="AE1158" s="148">
        <f t="shared" si="2610"/>
        <v>0</v>
      </c>
      <c r="AF1158" s="149"/>
      <c r="AG1158" s="150"/>
      <c r="AH1158" s="159" t="e">
        <f>+S1158/$S$1118</f>
        <v>#DIV/0!</v>
      </c>
      <c r="AI1158" s="160"/>
      <c r="AJ1158" s="105"/>
      <c r="AK1158" s="105"/>
      <c r="AM1158" s="105"/>
      <c r="AN1158" s="105"/>
      <c r="AO1158" s="105"/>
      <c r="AP1158" s="105"/>
      <c r="AQ1158" s="105"/>
      <c r="AR1158" s="105"/>
    </row>
    <row r="1159" spans="1:44" s="49" customFormat="1" ht="40.15" hidden="1" customHeight="1">
      <c r="A1159" s="10">
        <f t="shared" ca="1" si="2504"/>
        <v>0</v>
      </c>
      <c r="B1159" s="153"/>
      <c r="C1159" s="154"/>
      <c r="D1159" s="154"/>
      <c r="E1159" s="161" t="s">
        <v>259</v>
      </c>
      <c r="F1159" s="154"/>
      <c r="G1159" s="154"/>
      <c r="H1159" s="152"/>
      <c r="I1159" s="152"/>
      <c r="J1159" s="154"/>
      <c r="K1159" s="154"/>
      <c r="L1159" s="154"/>
      <c r="M1159" s="154"/>
      <c r="N1159" s="154"/>
      <c r="O1159" s="154"/>
      <c r="P1159" s="154"/>
      <c r="Q1159" s="154"/>
      <c r="R1159" s="154"/>
      <c r="S1159" s="162"/>
      <c r="T1159" s="162"/>
      <c r="U1159" s="162"/>
      <c r="V1159" s="162"/>
      <c r="W1159" s="162"/>
      <c r="X1159" s="163"/>
      <c r="Y1159" s="163"/>
      <c r="Z1159" s="163"/>
      <c r="AA1159" s="163"/>
      <c r="AB1159" s="163"/>
      <c r="AC1159" s="163"/>
      <c r="AD1159" s="164"/>
      <c r="AE1159" s="148">
        <f>IF(SUM(S1160:S1161)&gt;0,IFERROR(TRUNC(A1159,0),0),0)</f>
        <v>0</v>
      </c>
      <c r="AF1159" s="149"/>
      <c r="AG1159" s="150"/>
      <c r="AH1159" s="159"/>
      <c r="AI1159" s="160"/>
      <c r="AJ1159" s="105"/>
      <c r="AK1159" s="105"/>
      <c r="AM1159" s="105"/>
      <c r="AN1159" s="105"/>
      <c r="AO1159" s="105"/>
      <c r="AP1159" s="105"/>
      <c r="AQ1159" s="105"/>
      <c r="AR1159" s="105"/>
    </row>
    <row r="1160" spans="1:44" s="49" customFormat="1" ht="40.15" hidden="1" customHeight="1">
      <c r="A1160" s="152">
        <f t="shared" ca="1" si="2504"/>
        <v>0</v>
      </c>
      <c r="B1160" s="153">
        <v>95876</v>
      </c>
      <c r="C1160" s="154" t="str">
        <f>TEXT(B1160,"0")</f>
        <v>95876</v>
      </c>
      <c r="D1160" s="154" t="s">
        <v>1416</v>
      </c>
      <c r="E1160" s="155" t="s">
        <v>3537</v>
      </c>
      <c r="F1160" s="154">
        <f>IF(Dados_DMT!$B$24&lt;30,Dados_DMT!$B$24,30)</f>
        <v>0</v>
      </c>
      <c r="G1160" s="154" t="s">
        <v>3538</v>
      </c>
      <c r="H1160" s="152">
        <v>2.09</v>
      </c>
      <c r="I1160" s="152">
        <v>2.1</v>
      </c>
      <c r="J1160" s="156"/>
      <c r="K1160" s="156">
        <f>ROUND(Ciclovia!J121*F1160,2)</f>
        <v>0</v>
      </c>
      <c r="L1160" s="156">
        <f>IF($K1160&gt;$J1160,$K1160-$J1160,0)</f>
        <v>0</v>
      </c>
      <c r="M1160" s="156">
        <f>IF($K1160&lt;$J1160,$J1160-$K1160,0)</f>
        <v>0</v>
      </c>
      <c r="N1160" s="156" t="s">
        <v>83</v>
      </c>
      <c r="O1160" s="157" cm="1">
        <f t="array" ref="O1160">TRUNC($H1160*(1+_xlfn.SWITCH($N1160,"BDI 1",$O$6,"BDI 2",$O$7,"BDI 3",$O$8)),2)</f>
        <v>2.52</v>
      </c>
      <c r="P1160" s="157" cm="1">
        <f t="array" ref="P1160">TRUNC($I1160*(1+_xlfn.SWITCH($N1160,"BDI 1",$P$6,"BDI 2",$P$7,"BDI 3",$P$8)),2)</f>
        <v>2.66</v>
      </c>
      <c r="Q1160" s="157">
        <v>0</v>
      </c>
      <c r="R1160" s="157">
        <v>0</v>
      </c>
      <c r="S1160" s="156">
        <f>TRUNC($K1160*$O1160,2)</f>
        <v>0</v>
      </c>
      <c r="T1160" s="156">
        <f>TRUNC($K1160*$P1160,2)</f>
        <v>0</v>
      </c>
      <c r="U1160" s="156">
        <f>TRUNC($J1160*$R1160,2)</f>
        <v>0</v>
      </c>
      <c r="V1160" s="156">
        <f>TRUNC($K1160*$Q1160,2)</f>
        <v>0</v>
      </c>
      <c r="W1160" s="156">
        <f>TRUNC(V1160-U1160,2)</f>
        <v>0</v>
      </c>
      <c r="X1160" s="158">
        <f>$S1160/ORCAMENTO_VALOR_TOTAL_ND</f>
        <v>0</v>
      </c>
      <c r="Y1160" s="158">
        <f>$T1160/ORCAMENTO_VALOR_TOTAL_DE</f>
        <v>0</v>
      </c>
      <c r="Z1160" s="158" cm="1">
        <f t="array" ref="Z1160">_xlfn.SWITCH($N1160,"BDI 1",$O$6,"BDI 2",$O$7,"BDI 3",$O$8)</f>
        <v>0.20699999999999999</v>
      </c>
      <c r="AA1160" s="158" cm="1">
        <f t="array" ref="AA1160">_xlfn.SWITCH($N1160,"BDI 1",$P$6,"BDI 2",$P$7,"BDI 3",$P$8)</f>
        <v>0.26739999999999997</v>
      </c>
      <c r="AB1160" s="158">
        <f ca="1">IFERROR($S1160/_xlfn.XLOOKUP($AE1160,$B$16:$B$38,$S$16:$S$38),0)</f>
        <v>0</v>
      </c>
      <c r="AC1160" s="158">
        <f ca="1">IFERROR($T1160/_xlfn.XLOOKUP($AE1160,$B$16:$B$38,$T$16:$T$38),0)</f>
        <v>0</v>
      </c>
      <c r="AD1160" s="164"/>
      <c r="AE1160" s="148">
        <f t="shared" ref="AE1160:AE1161" si="2611">IF(S1160&gt;0,IFERROR(TRUNC(A1160,0),0),0)</f>
        <v>0</v>
      </c>
      <c r="AF1160" s="149"/>
      <c r="AG1160" s="150"/>
      <c r="AH1160" s="159" t="e">
        <f>+S1160/$S$1118</f>
        <v>#DIV/0!</v>
      </c>
      <c r="AI1160" s="166">
        <f>IF(K1160=0,0,K1160/F1160)</f>
        <v>0</v>
      </c>
      <c r="AJ1160" s="105"/>
      <c r="AK1160" s="105"/>
      <c r="AM1160" s="105"/>
      <c r="AN1160" s="105"/>
      <c r="AO1160" s="105"/>
      <c r="AP1160" s="105"/>
      <c r="AQ1160" s="105"/>
      <c r="AR1160" s="105"/>
    </row>
    <row r="1161" spans="1:44" s="49" customFormat="1" ht="40.15" hidden="1" customHeight="1">
      <c r="A1161" s="152">
        <f t="shared" ca="1" si="2504"/>
        <v>0</v>
      </c>
      <c r="B1161" s="153">
        <v>93593</v>
      </c>
      <c r="C1161" s="154" t="str">
        <f>TEXT(B1161,"0")</f>
        <v>93593</v>
      </c>
      <c r="D1161" s="154" t="s">
        <v>1416</v>
      </c>
      <c r="E1161" s="155" t="s">
        <v>3545</v>
      </c>
      <c r="F1161" s="154">
        <f>+Dados_DMT!$B$24-F1160</f>
        <v>0</v>
      </c>
      <c r="G1161" s="154" t="s">
        <v>3538</v>
      </c>
      <c r="H1161" s="152">
        <v>0.84</v>
      </c>
      <c r="I1161" s="152">
        <v>0.85</v>
      </c>
      <c r="J1161" s="156"/>
      <c r="K1161" s="156">
        <f>ROUND(Ciclovia!J121*F1161,2)</f>
        <v>0</v>
      </c>
      <c r="L1161" s="156">
        <f>IF($K1161&gt;$J1161,$K1161-$J1161,0)</f>
        <v>0</v>
      </c>
      <c r="M1161" s="156">
        <f>IF($K1161&lt;$J1161,$J1161-$K1161,0)</f>
        <v>0</v>
      </c>
      <c r="N1161" s="156" t="s">
        <v>83</v>
      </c>
      <c r="O1161" s="157" cm="1">
        <f t="array" ref="O1161">TRUNC($H1161*(1+_xlfn.SWITCH($N1161,"BDI 1",$O$6,"BDI 2",$O$7,"BDI 3",$O$8)),2)</f>
        <v>1.01</v>
      </c>
      <c r="P1161" s="157" cm="1">
        <f t="array" ref="P1161">TRUNC($I1161*(1+_xlfn.SWITCH($N1161,"BDI 1",$P$6,"BDI 2",$P$7,"BDI 3",$P$8)),2)</f>
        <v>1.07</v>
      </c>
      <c r="Q1161" s="157">
        <v>0</v>
      </c>
      <c r="R1161" s="157">
        <v>0</v>
      </c>
      <c r="S1161" s="156">
        <f>TRUNC($K1161*$O1161,2)</f>
        <v>0</v>
      </c>
      <c r="T1161" s="156">
        <f>TRUNC($K1161*$P1161,2)</f>
        <v>0</v>
      </c>
      <c r="U1161" s="156">
        <f>TRUNC($J1161*$R1161,2)</f>
        <v>0</v>
      </c>
      <c r="V1161" s="156">
        <f>TRUNC($K1161*$Q1161,2)</f>
        <v>0</v>
      </c>
      <c r="W1161" s="156">
        <f>TRUNC(V1161-U1161,2)</f>
        <v>0</v>
      </c>
      <c r="X1161" s="158">
        <f>$S1161/ORCAMENTO_VALOR_TOTAL_ND</f>
        <v>0</v>
      </c>
      <c r="Y1161" s="158">
        <f>$T1161/ORCAMENTO_VALOR_TOTAL_DE</f>
        <v>0</v>
      </c>
      <c r="Z1161" s="158" cm="1">
        <f t="array" ref="Z1161">_xlfn.SWITCH($N1161,"BDI 1",$O$6,"BDI 2",$O$7,"BDI 3",$O$8)</f>
        <v>0.20699999999999999</v>
      </c>
      <c r="AA1161" s="158" cm="1">
        <f t="array" ref="AA1161">_xlfn.SWITCH($N1161,"BDI 1",$P$6,"BDI 2",$P$7,"BDI 3",$P$8)</f>
        <v>0.26739999999999997</v>
      </c>
      <c r="AB1161" s="158">
        <f ca="1">IFERROR($S1161/_xlfn.XLOOKUP($AE1161,$B$16:$B$38,$S$16:$S$38),0)</f>
        <v>0</v>
      </c>
      <c r="AC1161" s="158">
        <f ca="1">IFERROR($T1161/_xlfn.XLOOKUP($AE1161,$B$16:$B$38,$T$16:$T$38),0)</f>
        <v>0</v>
      </c>
      <c r="AD1161" s="164"/>
      <c r="AE1161" s="148">
        <f t="shared" si="2611"/>
        <v>0</v>
      </c>
      <c r="AF1161" s="149"/>
      <c r="AG1161" s="150"/>
      <c r="AH1161" s="159" t="e">
        <f>+S1161/$S$1118</f>
        <v>#DIV/0!</v>
      </c>
      <c r="AI1161" s="166">
        <f>IF(K1161=0,0,K1161/F1161)</f>
        <v>0</v>
      </c>
      <c r="AJ1161" s="105"/>
      <c r="AK1161" s="105"/>
      <c r="AM1161" s="105"/>
      <c r="AN1161" s="105"/>
      <c r="AO1161" s="105"/>
      <c r="AP1161" s="105"/>
      <c r="AQ1161" s="105"/>
      <c r="AR1161" s="105"/>
    </row>
    <row r="1162" spans="1:44" s="49" customFormat="1" ht="40.15" hidden="1" customHeight="1">
      <c r="A1162" s="10">
        <f t="shared" ca="1" si="2504"/>
        <v>0</v>
      </c>
      <c r="B1162" s="153"/>
      <c r="C1162" s="154"/>
      <c r="D1162" s="154"/>
      <c r="E1162" s="161" t="s">
        <v>260</v>
      </c>
      <c r="F1162" s="154"/>
      <c r="G1162" s="154"/>
      <c r="H1162" s="152"/>
      <c r="I1162" s="152"/>
      <c r="J1162" s="154"/>
      <c r="K1162" s="154"/>
      <c r="L1162" s="154"/>
      <c r="M1162" s="154"/>
      <c r="N1162" s="154"/>
      <c r="O1162" s="154"/>
      <c r="P1162" s="154"/>
      <c r="Q1162" s="154"/>
      <c r="R1162" s="154"/>
      <c r="S1162" s="162"/>
      <c r="T1162" s="162"/>
      <c r="U1162" s="162"/>
      <c r="V1162" s="162"/>
      <c r="W1162" s="162"/>
      <c r="X1162" s="163"/>
      <c r="Y1162" s="163"/>
      <c r="Z1162" s="163"/>
      <c r="AA1162" s="163"/>
      <c r="AB1162" s="163"/>
      <c r="AC1162" s="163"/>
      <c r="AD1162" s="164"/>
      <c r="AE1162" s="148">
        <f>IF(SUM(S1163:S1164)&gt;0,IFERROR(TRUNC(A1162,0),0),0)</f>
        <v>0</v>
      </c>
      <c r="AF1162" s="149"/>
      <c r="AG1162" s="150"/>
      <c r="AH1162" s="159"/>
      <c r="AI1162" s="160"/>
      <c r="AJ1162" s="105"/>
      <c r="AK1162" s="105"/>
      <c r="AM1162" s="105"/>
      <c r="AN1162" s="105"/>
      <c r="AO1162" s="105"/>
      <c r="AP1162" s="105"/>
      <c r="AQ1162" s="105"/>
      <c r="AR1162" s="105"/>
    </row>
    <row r="1163" spans="1:44" s="49" customFormat="1" ht="40.15" hidden="1" customHeight="1">
      <c r="A1163" s="152">
        <f t="shared" ca="1" si="2504"/>
        <v>0</v>
      </c>
      <c r="B1163" s="153">
        <v>95876</v>
      </c>
      <c r="C1163" s="154" t="str">
        <f>TEXT(B1163,"0")</f>
        <v>95876</v>
      </c>
      <c r="D1163" s="154" t="s">
        <v>1416</v>
      </c>
      <c r="E1163" s="155" t="s">
        <v>3537</v>
      </c>
      <c r="F1163" s="154" t="b">
        <f>IF(Dados_DMT!$B$34&lt;30,Dados_DMT!$B$34)</f>
        <v>0</v>
      </c>
      <c r="G1163" s="154" t="s">
        <v>3538</v>
      </c>
      <c r="H1163" s="152">
        <v>2.09</v>
      </c>
      <c r="I1163" s="152">
        <v>2.1</v>
      </c>
      <c r="J1163" s="156"/>
      <c r="K1163" s="156">
        <f>ROUND(Ciclovia!J122*F1163,2)</f>
        <v>0</v>
      </c>
      <c r="L1163" s="156">
        <f>IF($K1163&gt;$J1163,$K1163-$J1163,0)</f>
        <v>0</v>
      </c>
      <c r="M1163" s="156">
        <f>IF($K1163&lt;$J1163,$J1163-$K1163,0)</f>
        <v>0</v>
      </c>
      <c r="N1163" s="156" t="s">
        <v>83</v>
      </c>
      <c r="O1163" s="157" cm="1">
        <f t="array" ref="O1163">TRUNC($H1163*(1+_xlfn.SWITCH($N1163,"BDI 1",$O$6,"BDI 2",$O$7,"BDI 3",$O$8)),2)</f>
        <v>2.52</v>
      </c>
      <c r="P1163" s="157" cm="1">
        <f t="array" ref="P1163">TRUNC($I1163*(1+_xlfn.SWITCH($N1163,"BDI 1",$P$6,"BDI 2",$P$7,"BDI 3",$P$8)),2)</f>
        <v>2.66</v>
      </c>
      <c r="Q1163" s="157">
        <v>0</v>
      </c>
      <c r="R1163" s="157">
        <v>0</v>
      </c>
      <c r="S1163" s="156">
        <f>TRUNC($K1163*$O1163,2)</f>
        <v>0</v>
      </c>
      <c r="T1163" s="156">
        <f>TRUNC($K1163*$P1163,2)</f>
        <v>0</v>
      </c>
      <c r="U1163" s="156">
        <f>TRUNC($J1163*$R1163,2)</f>
        <v>0</v>
      </c>
      <c r="V1163" s="156">
        <f>TRUNC($K1163*$Q1163,2)</f>
        <v>0</v>
      </c>
      <c r="W1163" s="156">
        <f>TRUNC(V1163-U1163,2)</f>
        <v>0</v>
      </c>
      <c r="X1163" s="158">
        <f>$S1163/ORCAMENTO_VALOR_TOTAL_ND</f>
        <v>0</v>
      </c>
      <c r="Y1163" s="158">
        <f>$T1163/ORCAMENTO_VALOR_TOTAL_DE</f>
        <v>0</v>
      </c>
      <c r="Z1163" s="158" cm="1">
        <f t="array" ref="Z1163">_xlfn.SWITCH($N1163,"BDI 1",$O$6,"BDI 2",$O$7,"BDI 3",$O$8)</f>
        <v>0.20699999999999999</v>
      </c>
      <c r="AA1163" s="158" cm="1">
        <f t="array" ref="AA1163">_xlfn.SWITCH($N1163,"BDI 1",$P$6,"BDI 2",$P$7,"BDI 3",$P$8)</f>
        <v>0.26739999999999997</v>
      </c>
      <c r="AB1163" s="158">
        <f ca="1">IFERROR($S1163/_xlfn.XLOOKUP($AE1163,$B$16:$B$38,$S$16:$S$38),0)</f>
        <v>0</v>
      </c>
      <c r="AC1163" s="158">
        <f ca="1">IFERROR($T1163/_xlfn.XLOOKUP($AE1163,$B$16:$B$38,$T$16:$T$38),0)</f>
        <v>0</v>
      </c>
      <c r="AD1163" s="164"/>
      <c r="AE1163" s="148">
        <f t="shared" ref="AE1163:AE1164" si="2612">IF(S1163&gt;0,IFERROR(TRUNC(A1163,0),0),0)</f>
        <v>0</v>
      </c>
      <c r="AF1163" s="149"/>
      <c r="AG1163" s="150"/>
      <c r="AH1163" s="159" t="e">
        <f>+S1163/$S$1118</f>
        <v>#DIV/0!</v>
      </c>
      <c r="AI1163" s="166">
        <f>IF(K1163=0,0,K1163/F1163)</f>
        <v>0</v>
      </c>
      <c r="AJ1163" s="105"/>
      <c r="AK1163" s="105"/>
      <c r="AM1163" s="105"/>
      <c r="AN1163" s="105"/>
      <c r="AO1163" s="105"/>
      <c r="AP1163" s="105"/>
      <c r="AQ1163" s="105"/>
      <c r="AR1163" s="105"/>
    </row>
    <row r="1164" spans="1:44" s="49" customFormat="1" ht="40.15" hidden="1" customHeight="1">
      <c r="A1164" s="152">
        <f t="shared" ca="1" si="2504"/>
        <v>0</v>
      </c>
      <c r="B1164" s="153">
        <v>93593</v>
      </c>
      <c r="C1164" s="154" t="str">
        <f>TEXT(B1164,"0")</f>
        <v>93593</v>
      </c>
      <c r="D1164" s="154" t="s">
        <v>1416</v>
      </c>
      <c r="E1164" s="155" t="s">
        <v>3545</v>
      </c>
      <c r="F1164" s="154">
        <f>+Dados_DMT!$B$34-F1163</f>
        <v>110</v>
      </c>
      <c r="G1164" s="154" t="s">
        <v>3538</v>
      </c>
      <c r="H1164" s="152">
        <v>0.84</v>
      </c>
      <c r="I1164" s="152">
        <v>0.85</v>
      </c>
      <c r="J1164" s="156"/>
      <c r="K1164" s="156">
        <f>ROUND(Ciclovia!J122*F1164,2)</f>
        <v>0</v>
      </c>
      <c r="L1164" s="156">
        <f>IF($K1164&gt;$J1164,$K1164-$J1164,0)</f>
        <v>0</v>
      </c>
      <c r="M1164" s="156">
        <f>IF($K1164&lt;$J1164,$J1164-$K1164,0)</f>
        <v>0</v>
      </c>
      <c r="N1164" s="156" t="s">
        <v>83</v>
      </c>
      <c r="O1164" s="157" cm="1">
        <f t="array" ref="O1164">TRUNC($H1164*(1+_xlfn.SWITCH($N1164,"BDI 1",$O$6,"BDI 2",$O$7,"BDI 3",$O$8)),2)</f>
        <v>1.01</v>
      </c>
      <c r="P1164" s="157" cm="1">
        <f t="array" ref="P1164">TRUNC($I1164*(1+_xlfn.SWITCH($N1164,"BDI 1",$P$6,"BDI 2",$P$7,"BDI 3",$P$8)),2)</f>
        <v>1.07</v>
      </c>
      <c r="Q1164" s="157">
        <v>0</v>
      </c>
      <c r="R1164" s="157">
        <v>0</v>
      </c>
      <c r="S1164" s="156">
        <f>TRUNC($K1164*$O1164,2)</f>
        <v>0</v>
      </c>
      <c r="T1164" s="156">
        <f>TRUNC($K1164*$P1164,2)</f>
        <v>0</v>
      </c>
      <c r="U1164" s="156">
        <f>TRUNC($J1164*$R1164,2)</f>
        <v>0</v>
      </c>
      <c r="V1164" s="156">
        <f>TRUNC($K1164*$Q1164,2)</f>
        <v>0</v>
      </c>
      <c r="W1164" s="156">
        <f>TRUNC(V1164-U1164,2)</f>
        <v>0</v>
      </c>
      <c r="X1164" s="158">
        <f>$S1164/ORCAMENTO_VALOR_TOTAL_ND</f>
        <v>0</v>
      </c>
      <c r="Y1164" s="158">
        <f>$T1164/ORCAMENTO_VALOR_TOTAL_DE</f>
        <v>0</v>
      </c>
      <c r="Z1164" s="158" cm="1">
        <f t="array" ref="Z1164">_xlfn.SWITCH($N1164,"BDI 1",$O$6,"BDI 2",$O$7,"BDI 3",$O$8)</f>
        <v>0.20699999999999999</v>
      </c>
      <c r="AA1164" s="158" cm="1">
        <f t="array" ref="AA1164">_xlfn.SWITCH($N1164,"BDI 1",$P$6,"BDI 2",$P$7,"BDI 3",$P$8)</f>
        <v>0.26739999999999997</v>
      </c>
      <c r="AB1164" s="158">
        <f ca="1">IFERROR($S1164/_xlfn.XLOOKUP($AE1164,$B$16:$B$38,$S$16:$S$38),0)</f>
        <v>0</v>
      </c>
      <c r="AC1164" s="158">
        <f ca="1">IFERROR($T1164/_xlfn.XLOOKUP($AE1164,$B$16:$B$38,$T$16:$T$38),0)</f>
        <v>0</v>
      </c>
      <c r="AD1164" s="164"/>
      <c r="AE1164" s="148">
        <f t="shared" si="2612"/>
        <v>0</v>
      </c>
      <c r="AF1164" s="149"/>
      <c r="AG1164" s="150"/>
      <c r="AH1164" s="159" t="e">
        <f>+S1164/$S$1118</f>
        <v>#DIV/0!</v>
      </c>
      <c r="AI1164" s="166">
        <f>IF(K1164=0,0,K1164/F1164)</f>
        <v>0</v>
      </c>
      <c r="AJ1164" s="105"/>
      <c r="AK1164" s="105"/>
      <c r="AM1164" s="105"/>
      <c r="AN1164" s="105"/>
      <c r="AO1164" s="105"/>
      <c r="AP1164" s="105"/>
      <c r="AQ1164" s="105"/>
      <c r="AR1164" s="105"/>
    </row>
    <row r="1165" spans="1:44" s="49" customFormat="1" ht="40.15" hidden="1" customHeight="1">
      <c r="A1165" s="10">
        <f t="shared" ca="1" si="2504"/>
        <v>0</v>
      </c>
      <c r="B1165" s="153"/>
      <c r="C1165" s="154"/>
      <c r="D1165" s="154"/>
      <c r="E1165" s="161" t="s">
        <v>261</v>
      </c>
      <c r="F1165" s="154"/>
      <c r="G1165" s="154"/>
      <c r="H1165" s="152"/>
      <c r="I1165" s="152"/>
      <c r="J1165" s="154"/>
      <c r="K1165" s="154"/>
      <c r="L1165" s="154"/>
      <c r="M1165" s="154"/>
      <c r="N1165" s="154"/>
      <c r="O1165" s="154"/>
      <c r="P1165" s="154"/>
      <c r="Q1165" s="154"/>
      <c r="R1165" s="154"/>
      <c r="S1165" s="162"/>
      <c r="T1165" s="162"/>
      <c r="U1165" s="162"/>
      <c r="V1165" s="162"/>
      <c r="W1165" s="162"/>
      <c r="X1165" s="163"/>
      <c r="Y1165" s="163"/>
      <c r="Z1165" s="163"/>
      <c r="AA1165" s="163"/>
      <c r="AB1165" s="163"/>
      <c r="AC1165" s="163"/>
      <c r="AD1165" s="164"/>
      <c r="AE1165" s="148">
        <f>IF(SUM(S1166:S1167)&gt;0,IFERROR(TRUNC(A1165,0),0),0)</f>
        <v>0</v>
      </c>
      <c r="AF1165" s="149"/>
      <c r="AG1165" s="150"/>
      <c r="AH1165" s="159"/>
      <c r="AI1165" s="160"/>
      <c r="AJ1165" s="105"/>
      <c r="AK1165" s="105"/>
      <c r="AM1165" s="105"/>
      <c r="AN1165" s="105"/>
      <c r="AO1165" s="105"/>
      <c r="AP1165" s="105"/>
      <c r="AQ1165" s="105"/>
      <c r="AR1165" s="105"/>
    </row>
    <row r="1166" spans="1:44" s="49" customFormat="1" ht="40.15" hidden="1" customHeight="1">
      <c r="A1166" s="152">
        <f t="shared" ca="1" si="2504"/>
        <v>0</v>
      </c>
      <c r="B1166" s="153">
        <v>95876</v>
      </c>
      <c r="C1166" s="154" t="str">
        <f>TEXT(B1166,"0")</f>
        <v>95876</v>
      </c>
      <c r="D1166" s="154" t="s">
        <v>1416</v>
      </c>
      <c r="E1166" s="155" t="s">
        <v>3537</v>
      </c>
      <c r="F1166" s="154">
        <f>IF(Dados_DMT!$B$34&lt;30,Dados_DMT!$B$34,30)</f>
        <v>30</v>
      </c>
      <c r="G1166" s="154" t="s">
        <v>3538</v>
      </c>
      <c r="H1166" s="152">
        <v>2.09</v>
      </c>
      <c r="I1166" s="152">
        <v>2.1</v>
      </c>
      <c r="J1166" s="156"/>
      <c r="K1166" s="156">
        <f>ROUND(Ciclovia!J123*F1166,2)</f>
        <v>0</v>
      </c>
      <c r="L1166" s="156">
        <f>IF($K1166&gt;$J1166,$K1166-$J1166,0)</f>
        <v>0</v>
      </c>
      <c r="M1166" s="156">
        <f>IF($K1166&lt;$J1166,$J1166-$K1166,0)</f>
        <v>0</v>
      </c>
      <c r="N1166" s="156" t="s">
        <v>83</v>
      </c>
      <c r="O1166" s="157" cm="1">
        <f t="array" ref="O1166">TRUNC($H1166*(1+_xlfn.SWITCH($N1166,"BDI 1",$O$6,"BDI 2",$O$7,"BDI 3",$O$8)),2)</f>
        <v>2.52</v>
      </c>
      <c r="P1166" s="157" cm="1">
        <f t="array" ref="P1166">TRUNC($I1166*(1+_xlfn.SWITCH($N1166,"BDI 1",$P$6,"BDI 2",$P$7,"BDI 3",$P$8)),2)</f>
        <v>2.66</v>
      </c>
      <c r="Q1166" s="157">
        <v>0</v>
      </c>
      <c r="R1166" s="157">
        <v>0</v>
      </c>
      <c r="S1166" s="156">
        <f>TRUNC($K1166*$O1166,2)</f>
        <v>0</v>
      </c>
      <c r="T1166" s="156">
        <f>TRUNC($K1166*$P1166,2)</f>
        <v>0</v>
      </c>
      <c r="U1166" s="156">
        <f>TRUNC($J1166*$R1166,2)</f>
        <v>0</v>
      </c>
      <c r="V1166" s="156">
        <f>TRUNC($K1166*$Q1166,2)</f>
        <v>0</v>
      </c>
      <c r="W1166" s="156">
        <f>TRUNC(V1166-U1166,2)</f>
        <v>0</v>
      </c>
      <c r="X1166" s="158">
        <f>$S1166/ORCAMENTO_VALOR_TOTAL_ND</f>
        <v>0</v>
      </c>
      <c r="Y1166" s="158">
        <f>$T1166/ORCAMENTO_VALOR_TOTAL_DE</f>
        <v>0</v>
      </c>
      <c r="Z1166" s="158" cm="1">
        <f t="array" ref="Z1166">_xlfn.SWITCH($N1166,"BDI 1",$O$6,"BDI 2",$O$7,"BDI 3",$O$8)</f>
        <v>0.20699999999999999</v>
      </c>
      <c r="AA1166" s="158" cm="1">
        <f t="array" ref="AA1166">_xlfn.SWITCH($N1166,"BDI 1",$P$6,"BDI 2",$P$7,"BDI 3",$P$8)</f>
        <v>0.26739999999999997</v>
      </c>
      <c r="AB1166" s="158">
        <f ca="1">IFERROR($S1166/_xlfn.XLOOKUP($AE1166,$B$16:$B$38,$S$16:$S$38),0)</f>
        <v>0</v>
      </c>
      <c r="AC1166" s="158">
        <f ca="1">IFERROR($T1166/_xlfn.XLOOKUP($AE1166,$B$16:$B$38,$T$16:$T$38),0)</f>
        <v>0</v>
      </c>
      <c r="AD1166" s="164"/>
      <c r="AE1166" s="148">
        <f t="shared" ref="AE1166:AE1167" si="2613">IF(S1166&gt;0,IFERROR(TRUNC(A1166,0),0),0)</f>
        <v>0</v>
      </c>
      <c r="AF1166" s="149"/>
      <c r="AG1166" s="150"/>
      <c r="AH1166" s="159" t="e">
        <f>+S1166/$S$1118</f>
        <v>#DIV/0!</v>
      </c>
      <c r="AI1166" s="166">
        <f>IF(K1166=0,0,K1166/F1166)</f>
        <v>0</v>
      </c>
      <c r="AJ1166" s="105"/>
      <c r="AK1166" s="105"/>
      <c r="AM1166" s="105"/>
      <c r="AN1166" s="105"/>
      <c r="AO1166" s="105"/>
      <c r="AP1166" s="105"/>
      <c r="AQ1166" s="105"/>
      <c r="AR1166" s="105"/>
    </row>
    <row r="1167" spans="1:44" s="49" customFormat="1" ht="40.15" hidden="1" customHeight="1">
      <c r="A1167" s="152">
        <f t="shared" ca="1" si="2504"/>
        <v>0</v>
      </c>
      <c r="B1167" s="153">
        <v>93593</v>
      </c>
      <c r="C1167" s="154" t="str">
        <f>TEXT(B1167,"0")</f>
        <v>93593</v>
      </c>
      <c r="D1167" s="154" t="s">
        <v>1416</v>
      </c>
      <c r="E1167" s="155" t="s">
        <v>3545</v>
      </c>
      <c r="F1167" s="154">
        <f>+Dados_DMT!$B$34-F1166</f>
        <v>80</v>
      </c>
      <c r="G1167" s="154" t="s">
        <v>3538</v>
      </c>
      <c r="H1167" s="152">
        <v>0.84</v>
      </c>
      <c r="I1167" s="152">
        <v>0.85</v>
      </c>
      <c r="J1167" s="156"/>
      <c r="K1167" s="156">
        <f>ROUND(Ciclovia!J123*F1167,2)</f>
        <v>0</v>
      </c>
      <c r="L1167" s="156">
        <f>IF($K1167&gt;$J1167,$K1167-$J1167,0)</f>
        <v>0</v>
      </c>
      <c r="M1167" s="156">
        <f>IF($K1167&lt;$J1167,$J1167-$K1167,0)</f>
        <v>0</v>
      </c>
      <c r="N1167" s="156" t="s">
        <v>83</v>
      </c>
      <c r="O1167" s="157" cm="1">
        <f t="array" ref="O1167">TRUNC($H1167*(1+_xlfn.SWITCH($N1167,"BDI 1",$O$6,"BDI 2",$O$7,"BDI 3",$O$8)),2)</f>
        <v>1.01</v>
      </c>
      <c r="P1167" s="157" cm="1">
        <f t="array" ref="P1167">TRUNC($I1167*(1+_xlfn.SWITCH($N1167,"BDI 1",$P$6,"BDI 2",$P$7,"BDI 3",$P$8)),2)</f>
        <v>1.07</v>
      </c>
      <c r="Q1167" s="157">
        <v>0</v>
      </c>
      <c r="R1167" s="157">
        <v>0</v>
      </c>
      <c r="S1167" s="156">
        <f>TRUNC($K1167*$O1167,2)</f>
        <v>0</v>
      </c>
      <c r="T1167" s="156">
        <f>TRUNC($K1167*$P1167,2)</f>
        <v>0</v>
      </c>
      <c r="U1167" s="156">
        <f>TRUNC($J1167*$R1167,2)</f>
        <v>0</v>
      </c>
      <c r="V1167" s="156">
        <f>TRUNC($K1167*$Q1167,2)</f>
        <v>0</v>
      </c>
      <c r="W1167" s="156">
        <f>TRUNC(V1167-U1167,2)</f>
        <v>0</v>
      </c>
      <c r="X1167" s="158">
        <f>$S1167/ORCAMENTO_VALOR_TOTAL_ND</f>
        <v>0</v>
      </c>
      <c r="Y1167" s="158">
        <f>$T1167/ORCAMENTO_VALOR_TOTAL_DE</f>
        <v>0</v>
      </c>
      <c r="Z1167" s="158" cm="1">
        <f t="array" ref="Z1167">_xlfn.SWITCH($N1167,"BDI 1",$O$6,"BDI 2",$O$7,"BDI 3",$O$8)</f>
        <v>0.20699999999999999</v>
      </c>
      <c r="AA1167" s="158" cm="1">
        <f t="array" ref="AA1167">_xlfn.SWITCH($N1167,"BDI 1",$P$6,"BDI 2",$P$7,"BDI 3",$P$8)</f>
        <v>0.26739999999999997</v>
      </c>
      <c r="AB1167" s="158">
        <f ca="1">IFERROR($S1167/_xlfn.XLOOKUP($AE1167,$B$16:$B$38,$S$16:$S$38),0)</f>
        <v>0</v>
      </c>
      <c r="AC1167" s="158">
        <f ca="1">IFERROR($T1167/_xlfn.XLOOKUP($AE1167,$B$16:$B$38,$T$16:$T$38),0)</f>
        <v>0</v>
      </c>
      <c r="AD1167" s="164"/>
      <c r="AE1167" s="148">
        <f t="shared" si="2613"/>
        <v>0</v>
      </c>
      <c r="AF1167" s="149"/>
      <c r="AG1167" s="150"/>
      <c r="AH1167" s="159" t="e">
        <f>+S1167/$S$1118</f>
        <v>#DIV/0!</v>
      </c>
      <c r="AI1167" s="166">
        <f>IF(K1167=0,0,K1167/F1167)</f>
        <v>0</v>
      </c>
      <c r="AJ1167" s="105"/>
      <c r="AK1167" s="105"/>
      <c r="AM1167" s="105"/>
      <c r="AN1167" s="105"/>
      <c r="AO1167" s="105"/>
      <c r="AP1167" s="105"/>
      <c r="AQ1167" s="105"/>
      <c r="AR1167" s="105"/>
    </row>
    <row r="1168" spans="1:44" s="49" customFormat="1" ht="40.15" hidden="1" customHeight="1">
      <c r="A1168" s="10">
        <f t="shared" ca="1" si="2504"/>
        <v>0</v>
      </c>
      <c r="B1168" s="153"/>
      <c r="C1168" s="154"/>
      <c r="D1168" s="154"/>
      <c r="E1168" s="161" t="s">
        <v>265</v>
      </c>
      <c r="F1168" s="154"/>
      <c r="G1168" s="154"/>
      <c r="H1168" s="152"/>
      <c r="I1168" s="152"/>
      <c r="J1168" s="154"/>
      <c r="K1168" s="154"/>
      <c r="L1168" s="154"/>
      <c r="M1168" s="154"/>
      <c r="N1168" s="154"/>
      <c r="O1168" s="154"/>
      <c r="P1168" s="154"/>
      <c r="Q1168" s="154"/>
      <c r="R1168" s="154"/>
      <c r="S1168" s="162"/>
      <c r="T1168" s="162"/>
      <c r="U1168" s="162"/>
      <c r="V1168" s="162"/>
      <c r="W1168" s="162"/>
      <c r="X1168" s="163"/>
      <c r="Y1168" s="163"/>
      <c r="Z1168" s="163"/>
      <c r="AA1168" s="163"/>
      <c r="AB1168" s="163"/>
      <c r="AC1168" s="163"/>
      <c r="AD1168" s="164"/>
      <c r="AE1168" s="148">
        <f>IF(SUM(S1169:S1170)&gt;0,IFERROR(TRUNC(A1168,0),0),0)</f>
        <v>0</v>
      </c>
      <c r="AF1168" s="149"/>
      <c r="AG1168" s="150"/>
      <c r="AH1168" s="159"/>
      <c r="AI1168" s="160"/>
      <c r="AJ1168" s="105"/>
      <c r="AK1168" s="105"/>
      <c r="AM1168" s="105"/>
      <c r="AN1168" s="105"/>
      <c r="AO1168" s="105"/>
      <c r="AP1168" s="105"/>
      <c r="AQ1168" s="105"/>
      <c r="AR1168" s="105"/>
    </row>
    <row r="1169" spans="1:44" s="49" customFormat="1" ht="40.15" hidden="1" customHeight="1">
      <c r="A1169" s="152">
        <f t="shared" ca="1" si="2504"/>
        <v>0</v>
      </c>
      <c r="B1169" s="153">
        <v>95876</v>
      </c>
      <c r="C1169" s="154" t="str">
        <f>TEXT(B1169,"0")</f>
        <v>95876</v>
      </c>
      <c r="D1169" s="154" t="s">
        <v>1416</v>
      </c>
      <c r="E1169" s="155" t="s">
        <v>3537</v>
      </c>
      <c r="F1169" s="154">
        <f>IF(Dados_DMT!$B$32&lt;30,Dados_DMT!$B$32,30)</f>
        <v>0</v>
      </c>
      <c r="G1169" s="154" t="s">
        <v>3538</v>
      </c>
      <c r="H1169" s="152">
        <v>2.09</v>
      </c>
      <c r="I1169" s="152">
        <v>2.1</v>
      </c>
      <c r="J1169" s="156"/>
      <c r="K1169" s="156">
        <f>ROUND(Ciclovia!J125*F1169,2)</f>
        <v>0</v>
      </c>
      <c r="L1169" s="156">
        <f>IF($K1169&gt;$J1169,$K1169-$J1169,0)</f>
        <v>0</v>
      </c>
      <c r="M1169" s="156">
        <f>IF($K1169&lt;$J1169,$J1169-$K1169,0)</f>
        <v>0</v>
      </c>
      <c r="N1169" s="156" t="s">
        <v>83</v>
      </c>
      <c r="O1169" s="157" cm="1">
        <f t="array" ref="O1169">TRUNC($H1169*(1+_xlfn.SWITCH($N1169,"BDI 1",$O$6,"BDI 2",$O$7,"BDI 3",$O$8)),2)</f>
        <v>2.52</v>
      </c>
      <c r="P1169" s="157" cm="1">
        <f t="array" ref="P1169">TRUNC($I1169*(1+_xlfn.SWITCH($N1169,"BDI 1",$P$6,"BDI 2",$P$7,"BDI 3",$P$8)),2)</f>
        <v>2.66</v>
      </c>
      <c r="Q1169" s="157">
        <v>0</v>
      </c>
      <c r="R1169" s="157">
        <v>0</v>
      </c>
      <c r="S1169" s="156">
        <f>TRUNC($K1169*$O1169,2)</f>
        <v>0</v>
      </c>
      <c r="T1169" s="156">
        <f>TRUNC($K1169*$P1169,2)</f>
        <v>0</v>
      </c>
      <c r="U1169" s="156">
        <f>TRUNC($J1169*$R1169,2)</f>
        <v>0</v>
      </c>
      <c r="V1169" s="156">
        <f>TRUNC($K1169*$Q1169,2)</f>
        <v>0</v>
      </c>
      <c r="W1169" s="156">
        <f>TRUNC(V1169-U1169,2)</f>
        <v>0</v>
      </c>
      <c r="X1169" s="158">
        <f>$S1169/ORCAMENTO_VALOR_TOTAL_ND</f>
        <v>0</v>
      </c>
      <c r="Y1169" s="158">
        <f>$T1169/ORCAMENTO_VALOR_TOTAL_DE</f>
        <v>0</v>
      </c>
      <c r="Z1169" s="158" cm="1">
        <f t="array" ref="Z1169">_xlfn.SWITCH($N1169,"BDI 1",$O$6,"BDI 2",$O$7,"BDI 3",$O$8)</f>
        <v>0.20699999999999999</v>
      </c>
      <c r="AA1169" s="158" cm="1">
        <f t="array" ref="AA1169">_xlfn.SWITCH($N1169,"BDI 1",$P$6,"BDI 2",$P$7,"BDI 3",$P$8)</f>
        <v>0.26739999999999997</v>
      </c>
      <c r="AB1169" s="158">
        <f ca="1">IFERROR($S1169/_xlfn.XLOOKUP($AE1169,$B$16:$B$38,$S$16:$S$38),0)</f>
        <v>0</v>
      </c>
      <c r="AC1169" s="158">
        <f ca="1">IFERROR($T1169/_xlfn.XLOOKUP($AE1169,$B$16:$B$38,$T$16:$T$38),0)</f>
        <v>0</v>
      </c>
      <c r="AD1169" s="164"/>
      <c r="AE1169" s="148">
        <f t="shared" ref="AE1169:AE1170" si="2614">IF(S1169&gt;0,IFERROR(TRUNC(A1169,0),0),0)</f>
        <v>0</v>
      </c>
      <c r="AF1169" s="149"/>
      <c r="AG1169" s="150"/>
      <c r="AH1169" s="159" t="e">
        <f>+S1169/$S$1118</f>
        <v>#DIV/0!</v>
      </c>
      <c r="AI1169" s="166">
        <f>IF(K1169=0,0,K1169/F1169)</f>
        <v>0</v>
      </c>
      <c r="AJ1169" s="105"/>
      <c r="AK1169" s="105"/>
      <c r="AM1169" s="105"/>
      <c r="AN1169" s="105"/>
      <c r="AO1169" s="105"/>
      <c r="AP1169" s="105"/>
      <c r="AQ1169" s="105"/>
      <c r="AR1169" s="105"/>
    </row>
    <row r="1170" spans="1:44" s="49" customFormat="1" ht="40.15" hidden="1" customHeight="1">
      <c r="A1170" s="152">
        <f t="shared" ca="1" si="2504"/>
        <v>0</v>
      </c>
      <c r="B1170" s="153">
        <v>93593</v>
      </c>
      <c r="C1170" s="154" t="str">
        <f>TEXT(B1170,"0")</f>
        <v>93593</v>
      </c>
      <c r="D1170" s="154" t="s">
        <v>1416</v>
      </c>
      <c r="E1170" s="155" t="s">
        <v>3545</v>
      </c>
      <c r="F1170" s="154">
        <f>+Dados_DMT!$B$32-F1169</f>
        <v>0</v>
      </c>
      <c r="G1170" s="154" t="s">
        <v>3538</v>
      </c>
      <c r="H1170" s="152">
        <v>0.84</v>
      </c>
      <c r="I1170" s="152">
        <v>0.85</v>
      </c>
      <c r="J1170" s="156"/>
      <c r="K1170" s="156">
        <f>ROUND(Ciclovia!J125*F1170,2)</f>
        <v>0</v>
      </c>
      <c r="L1170" s="156">
        <f>IF($K1170&gt;$J1170,$K1170-$J1170,0)</f>
        <v>0</v>
      </c>
      <c r="M1170" s="156">
        <f>IF($K1170&lt;$J1170,$J1170-$K1170,0)</f>
        <v>0</v>
      </c>
      <c r="N1170" s="156" t="s">
        <v>83</v>
      </c>
      <c r="O1170" s="157" cm="1">
        <f t="array" ref="O1170">TRUNC($H1170*(1+_xlfn.SWITCH($N1170,"BDI 1",$O$6,"BDI 2",$O$7,"BDI 3",$O$8)),2)</f>
        <v>1.01</v>
      </c>
      <c r="P1170" s="157" cm="1">
        <f t="array" ref="P1170">TRUNC($I1170*(1+_xlfn.SWITCH($N1170,"BDI 1",$P$6,"BDI 2",$P$7,"BDI 3",$P$8)),2)</f>
        <v>1.07</v>
      </c>
      <c r="Q1170" s="157">
        <v>0</v>
      </c>
      <c r="R1170" s="157">
        <v>0</v>
      </c>
      <c r="S1170" s="156">
        <f>TRUNC($K1170*$O1170,2)</f>
        <v>0</v>
      </c>
      <c r="T1170" s="156">
        <f>TRUNC($K1170*$P1170,2)</f>
        <v>0</v>
      </c>
      <c r="U1170" s="156">
        <f>TRUNC($J1170*$R1170,2)</f>
        <v>0</v>
      </c>
      <c r="V1170" s="156">
        <f>TRUNC($K1170*$Q1170,2)</f>
        <v>0</v>
      </c>
      <c r="W1170" s="156">
        <f>TRUNC(V1170-U1170,2)</f>
        <v>0</v>
      </c>
      <c r="X1170" s="158">
        <f>$S1170/ORCAMENTO_VALOR_TOTAL_ND</f>
        <v>0</v>
      </c>
      <c r="Y1170" s="158">
        <f>$T1170/ORCAMENTO_VALOR_TOTAL_DE</f>
        <v>0</v>
      </c>
      <c r="Z1170" s="158" cm="1">
        <f t="array" ref="Z1170">_xlfn.SWITCH($N1170,"BDI 1",$O$6,"BDI 2",$O$7,"BDI 3",$O$8)</f>
        <v>0.20699999999999999</v>
      </c>
      <c r="AA1170" s="158" cm="1">
        <f t="array" ref="AA1170">_xlfn.SWITCH($N1170,"BDI 1",$P$6,"BDI 2",$P$7,"BDI 3",$P$8)</f>
        <v>0.26739999999999997</v>
      </c>
      <c r="AB1170" s="158">
        <f ca="1">IFERROR($S1170/_xlfn.XLOOKUP($AE1170,$B$16:$B$38,$S$16:$S$38),0)</f>
        <v>0</v>
      </c>
      <c r="AC1170" s="158">
        <f ca="1">IFERROR($T1170/_xlfn.XLOOKUP($AE1170,$B$16:$B$38,$T$16:$T$38),0)</f>
        <v>0</v>
      </c>
      <c r="AD1170" s="164"/>
      <c r="AE1170" s="148">
        <f t="shared" si="2614"/>
        <v>0</v>
      </c>
      <c r="AF1170" s="149"/>
      <c r="AG1170" s="150"/>
      <c r="AH1170" s="159" t="e">
        <f>+S1170/$S$1118</f>
        <v>#DIV/0!</v>
      </c>
      <c r="AI1170" s="166">
        <f>IF(K1170=0,0,K1170/F1170)</f>
        <v>0</v>
      </c>
      <c r="AJ1170" s="105"/>
      <c r="AK1170" s="105"/>
      <c r="AM1170" s="105"/>
      <c r="AN1170" s="105"/>
      <c r="AO1170" s="105"/>
      <c r="AP1170" s="105"/>
      <c r="AQ1170" s="105"/>
      <c r="AR1170" s="105"/>
    </row>
    <row r="1171" spans="1:44" s="49" customFormat="1" ht="40.15" hidden="1" customHeight="1">
      <c r="A1171" s="10">
        <f t="shared" ca="1" si="2504"/>
        <v>0</v>
      </c>
      <c r="B1171" s="153"/>
      <c r="C1171" s="154"/>
      <c r="D1171" s="154"/>
      <c r="E1171" s="161" t="s">
        <v>384</v>
      </c>
      <c r="F1171" s="154"/>
      <c r="G1171" s="154"/>
      <c r="H1171" s="152"/>
      <c r="I1171" s="152"/>
      <c r="J1171" s="154"/>
      <c r="K1171" s="154"/>
      <c r="L1171" s="154"/>
      <c r="M1171" s="154"/>
      <c r="N1171" s="154"/>
      <c r="O1171" s="154"/>
      <c r="P1171" s="154"/>
      <c r="Q1171" s="154"/>
      <c r="R1171" s="154"/>
      <c r="S1171" s="162"/>
      <c r="T1171" s="162"/>
      <c r="U1171" s="162"/>
      <c r="V1171" s="162"/>
      <c r="W1171" s="162"/>
      <c r="X1171" s="163"/>
      <c r="Y1171" s="163"/>
      <c r="Z1171" s="163"/>
      <c r="AA1171" s="163"/>
      <c r="AB1171" s="163"/>
      <c r="AC1171" s="163"/>
      <c r="AD1171" s="164"/>
      <c r="AE1171" s="148">
        <f>IF(SUM(S1172:S1173)&gt;0,IFERROR(TRUNC(A1171,0),0),0)</f>
        <v>0</v>
      </c>
      <c r="AF1171" s="149"/>
      <c r="AG1171" s="150"/>
      <c r="AH1171" s="159"/>
      <c r="AI1171" s="160"/>
      <c r="AJ1171" s="105"/>
      <c r="AK1171" s="105"/>
      <c r="AM1171" s="105"/>
      <c r="AN1171" s="105"/>
      <c r="AO1171" s="105"/>
      <c r="AP1171" s="105"/>
      <c r="AQ1171" s="105"/>
      <c r="AR1171" s="105"/>
    </row>
    <row r="1172" spans="1:44" s="49" customFormat="1" ht="40.15" hidden="1" customHeight="1">
      <c r="A1172" s="152">
        <f t="shared" ca="1" si="2504"/>
        <v>0</v>
      </c>
      <c r="B1172" s="153">
        <v>95876</v>
      </c>
      <c r="C1172" s="154" t="str">
        <f>TEXT(B1172,"0")</f>
        <v>95876</v>
      </c>
      <c r="D1172" s="154" t="s">
        <v>1416</v>
      </c>
      <c r="E1172" s="155" t="s">
        <v>3537</v>
      </c>
      <c r="F1172" s="154">
        <f>IF(Dados_DMT!$B$33&lt;30,Dados_DMT!$B$33,30)</f>
        <v>0</v>
      </c>
      <c r="G1172" s="154" t="s">
        <v>3538</v>
      </c>
      <c r="H1172" s="152">
        <v>2.09</v>
      </c>
      <c r="I1172" s="152">
        <v>2.1</v>
      </c>
      <c r="J1172" s="156"/>
      <c r="K1172" s="156">
        <f>ROUND(Ciclovia!J119*F1172,2)</f>
        <v>0</v>
      </c>
      <c r="L1172" s="156">
        <f>IF($K1172&gt;$J1172,$K1172-$J1172,0)</f>
        <v>0</v>
      </c>
      <c r="M1172" s="156">
        <f>IF($K1172&lt;$J1172,$J1172-$K1172,0)</f>
        <v>0</v>
      </c>
      <c r="N1172" s="156" t="s">
        <v>83</v>
      </c>
      <c r="O1172" s="157" cm="1">
        <f t="array" ref="O1172">TRUNC($H1172*(1+_xlfn.SWITCH($N1172,"BDI 1",$O$6,"BDI 2",$O$7,"BDI 3",$O$8)),2)</f>
        <v>2.52</v>
      </c>
      <c r="P1172" s="157" cm="1">
        <f t="array" ref="P1172">TRUNC($I1172*(1+_xlfn.SWITCH($N1172,"BDI 1",$P$6,"BDI 2",$P$7,"BDI 3",$P$8)),2)</f>
        <v>2.66</v>
      </c>
      <c r="Q1172" s="157">
        <v>0</v>
      </c>
      <c r="R1172" s="157">
        <v>0</v>
      </c>
      <c r="S1172" s="156">
        <f>TRUNC($K1172*$O1172,2)</f>
        <v>0</v>
      </c>
      <c r="T1172" s="156">
        <f>TRUNC($K1172*$P1172,2)</f>
        <v>0</v>
      </c>
      <c r="U1172" s="156">
        <f>TRUNC($J1172*$R1172,2)</f>
        <v>0</v>
      </c>
      <c r="V1172" s="156">
        <f>TRUNC($K1172*$Q1172,2)</f>
        <v>0</v>
      </c>
      <c r="W1172" s="156">
        <f>TRUNC(V1172-U1172,2)</f>
        <v>0</v>
      </c>
      <c r="X1172" s="158">
        <f>$S1172/ORCAMENTO_VALOR_TOTAL_ND</f>
        <v>0</v>
      </c>
      <c r="Y1172" s="158">
        <f>$T1172/ORCAMENTO_VALOR_TOTAL_DE</f>
        <v>0</v>
      </c>
      <c r="Z1172" s="158" cm="1">
        <f t="array" ref="Z1172">_xlfn.SWITCH($N1172,"BDI 1",$O$6,"BDI 2",$O$7,"BDI 3",$O$8)</f>
        <v>0.20699999999999999</v>
      </c>
      <c r="AA1172" s="158" cm="1">
        <f t="array" ref="AA1172">_xlfn.SWITCH($N1172,"BDI 1",$P$6,"BDI 2",$P$7,"BDI 3",$P$8)</f>
        <v>0.26739999999999997</v>
      </c>
      <c r="AB1172" s="158">
        <f ca="1">IFERROR($S1172/_xlfn.XLOOKUP($AE1172,$B$16:$B$38,$S$16:$S$38),0)</f>
        <v>0</v>
      </c>
      <c r="AC1172" s="158">
        <f ca="1">IFERROR($T1172/_xlfn.XLOOKUP($AE1172,$B$16:$B$38,$T$16:$T$38),0)</f>
        <v>0</v>
      </c>
      <c r="AD1172" s="164"/>
      <c r="AE1172" s="148">
        <f t="shared" ref="AE1172:AE1173" si="2615">IF(S1172&gt;0,IFERROR(TRUNC(A1172,0),0),0)</f>
        <v>0</v>
      </c>
      <c r="AF1172" s="149"/>
      <c r="AG1172" s="150"/>
      <c r="AH1172" s="159" t="e">
        <f>+S1172/$S$1118</f>
        <v>#DIV/0!</v>
      </c>
      <c r="AI1172" s="166">
        <f>IF(K1172=0,0,K1172/F1172)</f>
        <v>0</v>
      </c>
      <c r="AJ1172" s="105"/>
      <c r="AK1172" s="105"/>
      <c r="AM1172" s="105"/>
      <c r="AN1172" s="105"/>
      <c r="AO1172" s="105"/>
      <c r="AP1172" s="105"/>
      <c r="AQ1172" s="105"/>
      <c r="AR1172" s="105"/>
    </row>
    <row r="1173" spans="1:44" s="49" customFormat="1" ht="40.15" hidden="1" customHeight="1">
      <c r="A1173" s="152">
        <f t="shared" ca="1" si="2504"/>
        <v>0</v>
      </c>
      <c r="B1173" s="153">
        <v>93593</v>
      </c>
      <c r="C1173" s="154" t="str">
        <f>TEXT(B1173,"0")</f>
        <v>93593</v>
      </c>
      <c r="D1173" s="154" t="s">
        <v>1416</v>
      </c>
      <c r="E1173" s="155" t="s">
        <v>3545</v>
      </c>
      <c r="F1173" s="154">
        <f>+Dados_DMT!$B$33-F1172</f>
        <v>0</v>
      </c>
      <c r="G1173" s="154" t="s">
        <v>3538</v>
      </c>
      <c r="H1173" s="152">
        <v>0.84</v>
      </c>
      <c r="I1173" s="152">
        <v>0.85</v>
      </c>
      <c r="J1173" s="156"/>
      <c r="K1173" s="156">
        <f>ROUND(Ciclovia!J119*F1173,2)</f>
        <v>0</v>
      </c>
      <c r="L1173" s="156">
        <f>IF($K1173&gt;$J1173,$K1173-$J1173,0)</f>
        <v>0</v>
      </c>
      <c r="M1173" s="156">
        <f>IF($K1173&lt;$J1173,$J1173-$K1173,0)</f>
        <v>0</v>
      </c>
      <c r="N1173" s="156" t="s">
        <v>83</v>
      </c>
      <c r="O1173" s="157" cm="1">
        <f t="array" ref="O1173">TRUNC($H1173*(1+_xlfn.SWITCH($N1173,"BDI 1",$O$6,"BDI 2",$O$7,"BDI 3",$O$8)),2)</f>
        <v>1.01</v>
      </c>
      <c r="P1173" s="157" cm="1">
        <f t="array" ref="P1173">TRUNC($I1173*(1+_xlfn.SWITCH($N1173,"BDI 1",$P$6,"BDI 2",$P$7,"BDI 3",$P$8)),2)</f>
        <v>1.07</v>
      </c>
      <c r="Q1173" s="157">
        <v>0</v>
      </c>
      <c r="R1173" s="157">
        <v>0</v>
      </c>
      <c r="S1173" s="156">
        <f>TRUNC($K1173*$O1173,2)</f>
        <v>0</v>
      </c>
      <c r="T1173" s="156">
        <f>TRUNC($K1173*$P1173,2)</f>
        <v>0</v>
      </c>
      <c r="U1173" s="156">
        <f>TRUNC($J1173*$R1173,2)</f>
        <v>0</v>
      </c>
      <c r="V1173" s="156">
        <f>TRUNC($K1173*$Q1173,2)</f>
        <v>0</v>
      </c>
      <c r="W1173" s="156">
        <f>TRUNC(V1173-U1173,2)</f>
        <v>0</v>
      </c>
      <c r="X1173" s="158">
        <f>$S1173/ORCAMENTO_VALOR_TOTAL_ND</f>
        <v>0</v>
      </c>
      <c r="Y1173" s="158">
        <f>$T1173/ORCAMENTO_VALOR_TOTAL_DE</f>
        <v>0</v>
      </c>
      <c r="Z1173" s="158" cm="1">
        <f t="array" ref="Z1173">_xlfn.SWITCH($N1173,"BDI 1",$O$6,"BDI 2",$O$7,"BDI 3",$O$8)</f>
        <v>0.20699999999999999</v>
      </c>
      <c r="AA1173" s="158" cm="1">
        <f t="array" ref="AA1173">_xlfn.SWITCH($N1173,"BDI 1",$P$6,"BDI 2",$P$7,"BDI 3",$P$8)</f>
        <v>0.26739999999999997</v>
      </c>
      <c r="AB1173" s="158">
        <f ca="1">IFERROR($S1173/_xlfn.XLOOKUP($AE1173,$B$16:$B$38,$S$16:$S$38),0)</f>
        <v>0</v>
      </c>
      <c r="AC1173" s="158">
        <f ca="1">IFERROR($T1173/_xlfn.XLOOKUP($AE1173,$B$16:$B$38,$T$16:$T$38),0)</f>
        <v>0</v>
      </c>
      <c r="AD1173" s="164"/>
      <c r="AE1173" s="148">
        <f t="shared" si="2615"/>
        <v>0</v>
      </c>
      <c r="AF1173" s="149"/>
      <c r="AG1173" s="150"/>
      <c r="AH1173" s="159" t="e">
        <f>+S1173/$S$1118</f>
        <v>#DIV/0!</v>
      </c>
      <c r="AI1173" s="166">
        <f>IF(K1173=0,0,K1173/F1173)</f>
        <v>0</v>
      </c>
      <c r="AJ1173" s="105"/>
      <c r="AK1173" s="105"/>
      <c r="AM1173" s="105"/>
      <c r="AN1173" s="105"/>
      <c r="AO1173" s="105"/>
      <c r="AP1173" s="105"/>
      <c r="AQ1173" s="105"/>
      <c r="AR1173" s="105"/>
    </row>
    <row r="1174" spans="1:44" s="49" customFormat="1" ht="40.15" hidden="1" customHeight="1">
      <c r="A1174" s="10">
        <f t="shared" ca="1" si="2504"/>
        <v>0</v>
      </c>
      <c r="B1174" s="153"/>
      <c r="C1174" s="154"/>
      <c r="D1174" s="154"/>
      <c r="E1174" s="161" t="s">
        <v>315</v>
      </c>
      <c r="F1174" s="154"/>
      <c r="G1174" s="154"/>
      <c r="H1174" s="152"/>
      <c r="I1174" s="152"/>
      <c r="J1174" s="154"/>
      <c r="K1174" s="154"/>
      <c r="L1174" s="154"/>
      <c r="M1174" s="154"/>
      <c r="N1174" s="154"/>
      <c r="O1174" s="154"/>
      <c r="P1174" s="154"/>
      <c r="Q1174" s="154"/>
      <c r="R1174" s="154"/>
      <c r="S1174" s="162"/>
      <c r="T1174" s="162"/>
      <c r="U1174" s="162"/>
      <c r="V1174" s="162"/>
      <c r="W1174" s="162"/>
      <c r="X1174" s="163"/>
      <c r="Y1174" s="163"/>
      <c r="Z1174" s="163"/>
      <c r="AA1174" s="163"/>
      <c r="AB1174" s="163"/>
      <c r="AC1174" s="163"/>
      <c r="AD1174" s="164"/>
      <c r="AE1174" s="148">
        <f>IF(SUM(S1175:S1176)&gt;0,IFERROR(TRUNC(A1174,0),0),0)</f>
        <v>0</v>
      </c>
      <c r="AF1174" s="149"/>
      <c r="AG1174" s="150"/>
      <c r="AH1174" s="159"/>
      <c r="AI1174" s="160"/>
      <c r="AJ1174" s="105"/>
      <c r="AK1174" s="105"/>
      <c r="AM1174" s="105"/>
      <c r="AN1174" s="105"/>
      <c r="AO1174" s="105"/>
      <c r="AP1174" s="105"/>
      <c r="AQ1174" s="105"/>
      <c r="AR1174" s="105"/>
    </row>
    <row r="1175" spans="1:44" s="49" customFormat="1" ht="40.15" hidden="1" customHeight="1">
      <c r="A1175" s="152">
        <f t="shared" ca="1" si="2504"/>
        <v>0</v>
      </c>
      <c r="B1175" s="153">
        <v>95876</v>
      </c>
      <c r="C1175" s="154" t="str">
        <f>TEXT(B1175,"0")</f>
        <v>95876</v>
      </c>
      <c r="D1175" s="154" t="s">
        <v>1416</v>
      </c>
      <c r="E1175" s="155" t="s">
        <v>3537</v>
      </c>
      <c r="F1175" s="154">
        <f>IF(Dados_DMT!$B$21&lt;30,Dados_DMT!$B$21,30)</f>
        <v>0</v>
      </c>
      <c r="G1175" s="154" t="s">
        <v>3538</v>
      </c>
      <c r="H1175" s="152">
        <v>2.09</v>
      </c>
      <c r="I1175" s="152">
        <v>2.1</v>
      </c>
      <c r="J1175" s="156"/>
      <c r="K1175" s="156">
        <f>ROUND(Ciclovia!J117*F1175,2)</f>
        <v>0</v>
      </c>
      <c r="L1175" s="156">
        <f>IF($K1175&gt;$J1175,$K1175-$J1175,0)</f>
        <v>0</v>
      </c>
      <c r="M1175" s="156">
        <f>IF($K1175&lt;$J1175,$J1175-$K1175,0)</f>
        <v>0</v>
      </c>
      <c r="N1175" s="156" t="s">
        <v>83</v>
      </c>
      <c r="O1175" s="157" cm="1">
        <f t="array" ref="O1175">TRUNC($H1175*(1+_xlfn.SWITCH($N1175,"BDI 1",$O$6,"BDI 2",$O$7,"BDI 3",$O$8)),2)</f>
        <v>2.52</v>
      </c>
      <c r="P1175" s="157" cm="1">
        <f t="array" ref="P1175">TRUNC($I1175*(1+_xlfn.SWITCH($N1175,"BDI 1",$P$6,"BDI 2",$P$7,"BDI 3",$P$8)),2)</f>
        <v>2.66</v>
      </c>
      <c r="Q1175" s="157">
        <v>0</v>
      </c>
      <c r="R1175" s="157">
        <v>0</v>
      </c>
      <c r="S1175" s="156">
        <f>TRUNC($K1175*$O1175,2)</f>
        <v>0</v>
      </c>
      <c r="T1175" s="156">
        <f>TRUNC($K1175*$P1175,2)</f>
        <v>0</v>
      </c>
      <c r="U1175" s="156">
        <f>TRUNC($J1175*$R1175,2)</f>
        <v>0</v>
      </c>
      <c r="V1175" s="156">
        <f>TRUNC($K1175*$Q1175,2)</f>
        <v>0</v>
      </c>
      <c r="W1175" s="156">
        <f>TRUNC(V1175-U1175,2)</f>
        <v>0</v>
      </c>
      <c r="X1175" s="158">
        <f>$S1175/ORCAMENTO_VALOR_TOTAL_ND</f>
        <v>0</v>
      </c>
      <c r="Y1175" s="158">
        <f>$T1175/ORCAMENTO_VALOR_TOTAL_DE</f>
        <v>0</v>
      </c>
      <c r="Z1175" s="158" cm="1">
        <f t="array" ref="Z1175">_xlfn.SWITCH($N1175,"BDI 1",$O$6,"BDI 2",$O$7,"BDI 3",$O$8)</f>
        <v>0.20699999999999999</v>
      </c>
      <c r="AA1175" s="158" cm="1">
        <f t="array" ref="AA1175">_xlfn.SWITCH($N1175,"BDI 1",$P$6,"BDI 2",$P$7,"BDI 3",$P$8)</f>
        <v>0.26739999999999997</v>
      </c>
      <c r="AB1175" s="158">
        <f ca="1">IFERROR($S1175/_xlfn.XLOOKUP($AE1175,$B$16:$B$38,$S$16:$S$38),0)</f>
        <v>0</v>
      </c>
      <c r="AC1175" s="158">
        <f ca="1">IFERROR($T1175/_xlfn.XLOOKUP($AE1175,$B$16:$B$38,$T$16:$T$38),0)</f>
        <v>0</v>
      </c>
      <c r="AD1175" s="164"/>
      <c r="AE1175" s="148">
        <f t="shared" ref="AE1175:AE1176" si="2616">IF(S1175&gt;0,IFERROR(TRUNC(A1175,0),0),0)</f>
        <v>0</v>
      </c>
      <c r="AF1175" s="149"/>
      <c r="AG1175" s="150"/>
      <c r="AH1175" s="159" t="e">
        <f>+S1175/$S$1118</f>
        <v>#DIV/0!</v>
      </c>
      <c r="AI1175" s="166">
        <f>IF(K1175=0,0,K1175/F1175)</f>
        <v>0</v>
      </c>
      <c r="AJ1175" s="105"/>
      <c r="AK1175" s="105"/>
      <c r="AM1175" s="105"/>
      <c r="AN1175" s="105"/>
      <c r="AO1175" s="105"/>
      <c r="AP1175" s="105"/>
      <c r="AQ1175" s="105"/>
      <c r="AR1175" s="105"/>
    </row>
    <row r="1176" spans="1:44" s="49" customFormat="1" ht="40.15" hidden="1" customHeight="1">
      <c r="A1176" s="152">
        <f t="shared" ca="1" si="2504"/>
        <v>0</v>
      </c>
      <c r="B1176" s="153">
        <v>93593</v>
      </c>
      <c r="C1176" s="154" t="str">
        <f>TEXT(B1176,"0")</f>
        <v>93593</v>
      </c>
      <c r="D1176" s="154" t="s">
        <v>1416</v>
      </c>
      <c r="E1176" s="155" t="s">
        <v>3545</v>
      </c>
      <c r="F1176" s="154">
        <f>+Dados_DMT!$B$21-F1175</f>
        <v>0</v>
      </c>
      <c r="G1176" s="154" t="s">
        <v>3538</v>
      </c>
      <c r="H1176" s="152">
        <v>0.84</v>
      </c>
      <c r="I1176" s="152">
        <v>0.85</v>
      </c>
      <c r="J1176" s="156"/>
      <c r="K1176" s="156">
        <f>ROUND(Ciclovia!J118*F1176,2)</f>
        <v>0</v>
      </c>
      <c r="L1176" s="156">
        <f>IF($K1176&gt;$J1176,$K1176-$J1176,0)</f>
        <v>0</v>
      </c>
      <c r="M1176" s="156">
        <f>IF($K1176&lt;$J1176,$J1176-$K1176,0)</f>
        <v>0</v>
      </c>
      <c r="N1176" s="156" t="s">
        <v>83</v>
      </c>
      <c r="O1176" s="157" cm="1">
        <f t="array" ref="O1176">TRUNC($H1176*(1+_xlfn.SWITCH($N1176,"BDI 1",$O$6,"BDI 2",$O$7,"BDI 3",$O$8)),2)</f>
        <v>1.01</v>
      </c>
      <c r="P1176" s="157" cm="1">
        <f t="array" ref="P1176">TRUNC($I1176*(1+_xlfn.SWITCH($N1176,"BDI 1",$P$6,"BDI 2",$P$7,"BDI 3",$P$8)),2)</f>
        <v>1.07</v>
      </c>
      <c r="Q1176" s="157">
        <v>0</v>
      </c>
      <c r="R1176" s="157">
        <v>0</v>
      </c>
      <c r="S1176" s="156">
        <f>TRUNC($K1176*$O1176,2)</f>
        <v>0</v>
      </c>
      <c r="T1176" s="156">
        <f>TRUNC($K1176*$P1176,2)</f>
        <v>0</v>
      </c>
      <c r="U1176" s="156">
        <f>TRUNC($J1176*$R1176,2)</f>
        <v>0</v>
      </c>
      <c r="V1176" s="156">
        <f>TRUNC($K1176*$Q1176,2)</f>
        <v>0</v>
      </c>
      <c r="W1176" s="156">
        <f>TRUNC(V1176-U1176,2)</f>
        <v>0</v>
      </c>
      <c r="X1176" s="158">
        <f>$S1176/ORCAMENTO_VALOR_TOTAL_ND</f>
        <v>0</v>
      </c>
      <c r="Y1176" s="158">
        <f>$T1176/ORCAMENTO_VALOR_TOTAL_DE</f>
        <v>0</v>
      </c>
      <c r="Z1176" s="158" cm="1">
        <f t="array" ref="Z1176">_xlfn.SWITCH($N1176,"BDI 1",$O$6,"BDI 2",$O$7,"BDI 3",$O$8)</f>
        <v>0.20699999999999999</v>
      </c>
      <c r="AA1176" s="158" cm="1">
        <f t="array" ref="AA1176">_xlfn.SWITCH($N1176,"BDI 1",$P$6,"BDI 2",$P$7,"BDI 3",$P$8)</f>
        <v>0.26739999999999997</v>
      </c>
      <c r="AB1176" s="158">
        <f ca="1">IFERROR($S1176/_xlfn.XLOOKUP($AE1176,$B$16:$B$38,$S$16:$S$38),0)</f>
        <v>0</v>
      </c>
      <c r="AC1176" s="158">
        <f ca="1">IFERROR($T1176/_xlfn.XLOOKUP($AE1176,$B$16:$B$38,$T$16:$T$38),0)</f>
        <v>0</v>
      </c>
      <c r="AD1176" s="164"/>
      <c r="AE1176" s="148">
        <f t="shared" si="2616"/>
        <v>0</v>
      </c>
      <c r="AF1176" s="149"/>
      <c r="AG1176" s="150"/>
      <c r="AH1176" s="159" t="e">
        <f>+S1176/$S$1118</f>
        <v>#DIV/0!</v>
      </c>
      <c r="AI1176" s="166">
        <f>IF(K1176=0,0,K1176/F1176)</f>
        <v>0</v>
      </c>
      <c r="AJ1176" s="105"/>
      <c r="AK1176" s="105"/>
      <c r="AM1176" s="105"/>
      <c r="AN1176" s="105"/>
      <c r="AO1176" s="105"/>
      <c r="AP1176" s="105"/>
      <c r="AQ1176" s="105"/>
      <c r="AR1176" s="105"/>
    </row>
    <row r="1177" spans="1:44" s="49" customFormat="1" ht="40.15" hidden="1" customHeight="1">
      <c r="A1177" s="10">
        <f t="shared" ca="1" si="2504"/>
        <v>0</v>
      </c>
      <c r="B1177" s="153"/>
      <c r="C1177" s="154"/>
      <c r="D1177" s="154"/>
      <c r="E1177" s="161" t="s">
        <v>270</v>
      </c>
      <c r="F1177" s="154"/>
      <c r="G1177" s="154"/>
      <c r="H1177" s="152"/>
      <c r="I1177" s="152"/>
      <c r="J1177" s="154"/>
      <c r="K1177" s="154"/>
      <c r="L1177" s="154"/>
      <c r="M1177" s="154"/>
      <c r="N1177" s="154"/>
      <c r="O1177" s="154"/>
      <c r="P1177" s="154"/>
      <c r="Q1177" s="154"/>
      <c r="R1177" s="154"/>
      <c r="S1177" s="162"/>
      <c r="T1177" s="162"/>
      <c r="U1177" s="162"/>
      <c r="V1177" s="162"/>
      <c r="W1177" s="162"/>
      <c r="X1177" s="163"/>
      <c r="Y1177" s="163"/>
      <c r="Z1177" s="163"/>
      <c r="AA1177" s="163"/>
      <c r="AB1177" s="163"/>
      <c r="AC1177" s="163"/>
      <c r="AD1177" s="164"/>
      <c r="AE1177" s="148">
        <f>IF(SUM(S1178:S1179)&gt;0,IFERROR(TRUNC(A1177,0),0),0)</f>
        <v>0</v>
      </c>
      <c r="AF1177" s="149"/>
      <c r="AG1177" s="150"/>
      <c r="AH1177" s="159"/>
      <c r="AI1177" s="160"/>
      <c r="AJ1177" s="105"/>
      <c r="AK1177" s="105"/>
      <c r="AM1177" s="105"/>
      <c r="AN1177" s="105"/>
      <c r="AO1177" s="105"/>
      <c r="AP1177" s="105"/>
      <c r="AQ1177" s="105"/>
      <c r="AR1177" s="105"/>
    </row>
    <row r="1178" spans="1:44" s="49" customFormat="1" ht="40.15" hidden="1" customHeight="1">
      <c r="A1178" s="152">
        <f t="shared" ca="1" si="2504"/>
        <v>0</v>
      </c>
      <c r="B1178" s="153">
        <v>95879</v>
      </c>
      <c r="C1178" s="154" t="str">
        <f>TEXT(B1178,"0")</f>
        <v>95879</v>
      </c>
      <c r="D1178" s="154" t="s">
        <v>1416</v>
      </c>
      <c r="E1178" s="155" t="s">
        <v>3535</v>
      </c>
      <c r="F1178" s="154" t="b">
        <f>IF(Dados_DMT!$B$30&lt;30,Dados_DMT!$B$30)</f>
        <v>0</v>
      </c>
      <c r="G1178" s="154" t="s">
        <v>3534</v>
      </c>
      <c r="H1178" s="152">
        <v>1.41</v>
      </c>
      <c r="I1178" s="152">
        <v>1.42</v>
      </c>
      <c r="J1178" s="156"/>
      <c r="K1178" s="156">
        <f>ROUND(Ciclovia!J130*F1178,2)</f>
        <v>0</v>
      </c>
      <c r="L1178" s="156">
        <f>IF($K1178&gt;$J1178,$K1178-$J1178,0)</f>
        <v>0</v>
      </c>
      <c r="M1178" s="156">
        <f>IF($K1178&lt;$J1178,$J1178-$K1178,0)</f>
        <v>0</v>
      </c>
      <c r="N1178" s="156" t="s">
        <v>83</v>
      </c>
      <c r="O1178" s="157" cm="1">
        <f t="array" ref="O1178">TRUNC($H1178*(1+_xlfn.SWITCH($N1178,"BDI 1",$O$6,"BDI 2",$O$7,"BDI 3",$O$8)),2)</f>
        <v>1.7</v>
      </c>
      <c r="P1178" s="157" cm="1">
        <f t="array" ref="P1178">TRUNC($I1178*(1+_xlfn.SWITCH($N1178,"BDI 1",$P$6,"BDI 2",$P$7,"BDI 3",$P$8)),2)</f>
        <v>1.79</v>
      </c>
      <c r="Q1178" s="157">
        <v>0</v>
      </c>
      <c r="R1178" s="157">
        <v>0</v>
      </c>
      <c r="S1178" s="156">
        <f>TRUNC($K1178*$O1178,2)</f>
        <v>0</v>
      </c>
      <c r="T1178" s="156">
        <f>TRUNC($K1178*$P1178,2)</f>
        <v>0</v>
      </c>
      <c r="U1178" s="156">
        <f>TRUNC($J1178*$R1178,2)</f>
        <v>0</v>
      </c>
      <c r="V1178" s="156">
        <f>TRUNC($K1178*$Q1178,2)</f>
        <v>0</v>
      </c>
      <c r="W1178" s="156">
        <f>TRUNC(V1178-U1178,2)</f>
        <v>0</v>
      </c>
      <c r="X1178" s="158">
        <f>$S1178/ORCAMENTO_VALOR_TOTAL_ND</f>
        <v>0</v>
      </c>
      <c r="Y1178" s="158">
        <f>$T1178/ORCAMENTO_VALOR_TOTAL_DE</f>
        <v>0</v>
      </c>
      <c r="Z1178" s="158" cm="1">
        <f t="array" ref="Z1178">_xlfn.SWITCH($N1178,"BDI 1",$O$6,"BDI 2",$O$7,"BDI 3",$O$8)</f>
        <v>0.20699999999999999</v>
      </c>
      <c r="AA1178" s="158" cm="1">
        <f t="array" ref="AA1178">_xlfn.SWITCH($N1178,"BDI 1",$P$6,"BDI 2",$P$7,"BDI 3",$P$8)</f>
        <v>0.26739999999999997</v>
      </c>
      <c r="AB1178" s="158">
        <f ca="1">IFERROR($S1178/_xlfn.XLOOKUP($AE1178,$B$16:$B$38,$S$16:$S$38),0)</f>
        <v>0</v>
      </c>
      <c r="AC1178" s="158">
        <f ca="1">IFERROR($T1178/_xlfn.XLOOKUP($AE1178,$B$16:$B$38,$T$16:$T$38),0)</f>
        <v>0</v>
      </c>
      <c r="AD1178" s="164"/>
      <c r="AE1178" s="148">
        <f t="shared" ref="AE1178:AE1179" si="2617">IF(S1178&gt;0,IFERROR(TRUNC(A1178,0),0),0)</f>
        <v>0</v>
      </c>
      <c r="AF1178" s="149"/>
      <c r="AG1178" s="150"/>
      <c r="AH1178" s="159" t="e">
        <f>+S1178/$S$1118</f>
        <v>#DIV/0!</v>
      </c>
      <c r="AI1178" s="209">
        <f>IF(K1178=0,0,K1178/F1178)</f>
        <v>0</v>
      </c>
      <c r="AJ1178" s="105"/>
      <c r="AK1178" s="105"/>
      <c r="AM1178" s="105"/>
      <c r="AN1178" s="105"/>
      <c r="AO1178" s="105"/>
      <c r="AP1178" s="105"/>
      <c r="AQ1178" s="105"/>
      <c r="AR1178" s="105"/>
    </row>
    <row r="1179" spans="1:44" s="49" customFormat="1" ht="40.15" hidden="1" customHeight="1">
      <c r="A1179" s="152">
        <f t="shared" ca="1" si="2504"/>
        <v>0</v>
      </c>
      <c r="B1179" s="153">
        <v>93599</v>
      </c>
      <c r="C1179" s="154" t="str">
        <f>TEXT(B1179,"0")</f>
        <v>93599</v>
      </c>
      <c r="D1179" s="154" t="s">
        <v>1416</v>
      </c>
      <c r="E1179" s="155" t="s">
        <v>3533</v>
      </c>
      <c r="F1179" s="154">
        <f>+Dados_DMT!$B$30-F1178</f>
        <v>110</v>
      </c>
      <c r="G1179" s="154" t="s">
        <v>3534</v>
      </c>
      <c r="H1179" s="152">
        <v>0.56000000000000005</v>
      </c>
      <c r="I1179" s="152">
        <v>0.56000000000000005</v>
      </c>
      <c r="J1179" s="156"/>
      <c r="K1179" s="156">
        <f>ROUND(Ciclovia!J130*F1179,2)</f>
        <v>0</v>
      </c>
      <c r="L1179" s="156">
        <f>IF($K1179&gt;$J1179,$K1179-$J1179,0)</f>
        <v>0</v>
      </c>
      <c r="M1179" s="156">
        <f>IF($K1179&lt;$J1179,$J1179-$K1179,0)</f>
        <v>0</v>
      </c>
      <c r="N1179" s="156" t="s">
        <v>83</v>
      </c>
      <c r="O1179" s="157" cm="1">
        <f t="array" ref="O1179">TRUNC($H1179*(1+_xlfn.SWITCH($N1179,"BDI 1",$O$6,"BDI 2",$O$7,"BDI 3",$O$8)),2)</f>
        <v>0.67</v>
      </c>
      <c r="P1179" s="157" cm="1">
        <f t="array" ref="P1179">TRUNC($I1179*(1+_xlfn.SWITCH($N1179,"BDI 1",$P$6,"BDI 2",$P$7,"BDI 3",$P$8)),2)</f>
        <v>0.7</v>
      </c>
      <c r="Q1179" s="157">
        <v>0</v>
      </c>
      <c r="R1179" s="157">
        <v>0</v>
      </c>
      <c r="S1179" s="156">
        <f>TRUNC($K1179*$O1179,2)</f>
        <v>0</v>
      </c>
      <c r="T1179" s="156">
        <f>TRUNC($K1179*$P1179,2)</f>
        <v>0</v>
      </c>
      <c r="U1179" s="156">
        <f>TRUNC($J1179*$R1179,2)</f>
        <v>0</v>
      </c>
      <c r="V1179" s="156">
        <f>TRUNC($K1179*$Q1179,2)</f>
        <v>0</v>
      </c>
      <c r="W1179" s="156">
        <f>TRUNC(V1179-U1179,2)</f>
        <v>0</v>
      </c>
      <c r="X1179" s="158">
        <f>$S1179/ORCAMENTO_VALOR_TOTAL_ND</f>
        <v>0</v>
      </c>
      <c r="Y1179" s="158">
        <f>$T1179/ORCAMENTO_VALOR_TOTAL_DE</f>
        <v>0</v>
      </c>
      <c r="Z1179" s="158" cm="1">
        <f t="array" ref="Z1179">_xlfn.SWITCH($N1179,"BDI 1",$O$6,"BDI 2",$O$7,"BDI 3",$O$8)</f>
        <v>0.20699999999999999</v>
      </c>
      <c r="AA1179" s="158" cm="1">
        <f t="array" ref="AA1179">_xlfn.SWITCH($N1179,"BDI 1",$P$6,"BDI 2",$P$7,"BDI 3",$P$8)</f>
        <v>0.26739999999999997</v>
      </c>
      <c r="AB1179" s="158">
        <f ca="1">IFERROR($S1179/_xlfn.XLOOKUP($AE1179,$B$16:$B$38,$S$16:$S$38),0)</f>
        <v>0</v>
      </c>
      <c r="AC1179" s="158">
        <f ca="1">IFERROR($T1179/_xlfn.XLOOKUP($AE1179,$B$16:$B$38,$T$16:$T$38),0)</f>
        <v>0</v>
      </c>
      <c r="AD1179" s="164"/>
      <c r="AE1179" s="148">
        <f t="shared" si="2617"/>
        <v>0</v>
      </c>
      <c r="AF1179" s="149"/>
      <c r="AG1179" s="150"/>
      <c r="AH1179" s="159" t="e">
        <f>+S1179/$S$1118</f>
        <v>#DIV/0!</v>
      </c>
      <c r="AI1179" s="209">
        <f>IF(K1179=0,0,K1179/F1179)</f>
        <v>0</v>
      </c>
      <c r="AJ1179" s="105"/>
      <c r="AK1179" s="105"/>
      <c r="AM1179" s="105"/>
      <c r="AN1179" s="105"/>
      <c r="AO1179" s="105"/>
      <c r="AP1179" s="105"/>
      <c r="AQ1179" s="105"/>
      <c r="AR1179" s="105"/>
    </row>
    <row r="1180" spans="1:44" s="49" customFormat="1" ht="40.15" hidden="1" customHeight="1">
      <c r="A1180" s="10">
        <f t="shared" ca="1" si="2504"/>
        <v>0</v>
      </c>
      <c r="B1180" s="153"/>
      <c r="C1180" s="154"/>
      <c r="D1180" s="154"/>
      <c r="E1180" s="161" t="s">
        <v>271</v>
      </c>
      <c r="F1180" s="154"/>
      <c r="G1180" s="154"/>
      <c r="H1180" s="152"/>
      <c r="I1180" s="152"/>
      <c r="J1180" s="154"/>
      <c r="K1180" s="154"/>
      <c r="L1180" s="154"/>
      <c r="M1180" s="154"/>
      <c r="N1180" s="154"/>
      <c r="O1180" s="154"/>
      <c r="P1180" s="154"/>
      <c r="Q1180" s="154"/>
      <c r="R1180" s="154"/>
      <c r="S1180" s="162"/>
      <c r="T1180" s="162"/>
      <c r="U1180" s="162"/>
      <c r="V1180" s="162"/>
      <c r="W1180" s="162"/>
      <c r="X1180" s="163"/>
      <c r="Y1180" s="163"/>
      <c r="Z1180" s="163"/>
      <c r="AA1180" s="163"/>
      <c r="AB1180" s="163"/>
      <c r="AC1180" s="163"/>
      <c r="AD1180" s="164"/>
      <c r="AE1180" s="148">
        <f>IF(SUM(S1181:S1182)&gt;0,IFERROR(TRUNC(A1180,0),0),0)</f>
        <v>0</v>
      </c>
      <c r="AF1180" s="149"/>
      <c r="AG1180" s="150"/>
      <c r="AH1180" s="159"/>
      <c r="AI1180" s="160"/>
      <c r="AJ1180" s="105"/>
      <c r="AK1180" s="105"/>
      <c r="AM1180" s="105"/>
      <c r="AN1180" s="105"/>
      <c r="AO1180" s="105"/>
      <c r="AP1180" s="105"/>
      <c r="AQ1180" s="105"/>
      <c r="AR1180" s="105"/>
    </row>
    <row r="1181" spans="1:44" s="49" customFormat="1" ht="40.15" hidden="1" customHeight="1">
      <c r="A1181" s="152">
        <f t="shared" ca="1" si="2504"/>
        <v>0</v>
      </c>
      <c r="B1181" s="153">
        <v>102332</v>
      </c>
      <c r="C1181" s="154" t="str">
        <f>TEXT(B1181,"0")</f>
        <v>102332</v>
      </c>
      <c r="D1181" s="154" t="s">
        <v>1416</v>
      </c>
      <c r="E1181" s="155" t="s">
        <v>3547</v>
      </c>
      <c r="F1181" s="154">
        <f>IF(Dados_DMT!$B$25&lt;30,Dados_DMT!$B$25,30)</f>
        <v>30</v>
      </c>
      <c r="G1181" s="154" t="s">
        <v>3534</v>
      </c>
      <c r="H1181" s="152">
        <v>1.79</v>
      </c>
      <c r="I1181" s="152">
        <v>1.81</v>
      </c>
      <c r="J1181" s="156"/>
      <c r="K1181" s="156">
        <f>IF(B1134="PA/0025",0,ROUND(Ciclovia!J128*F1181,2))</f>
        <v>0</v>
      </c>
      <c r="L1181" s="156">
        <f>IF($K1181&gt;$J1181,$K1181-$J1181,0)</f>
        <v>0</v>
      </c>
      <c r="M1181" s="156">
        <f>IF($K1181&lt;$J1181,$J1181-$K1181,0)</f>
        <v>0</v>
      </c>
      <c r="N1181" s="156" t="s">
        <v>83</v>
      </c>
      <c r="O1181" s="157" cm="1">
        <f t="array" ref="O1181">TRUNC($H1181*(1+_xlfn.SWITCH($N1181,"BDI 1",$O$6,"BDI 2",$O$7,"BDI 3",$O$8)),2)</f>
        <v>2.16</v>
      </c>
      <c r="P1181" s="157" cm="1">
        <f t="array" ref="P1181">TRUNC($I1181*(1+_xlfn.SWITCH($N1181,"BDI 1",$P$6,"BDI 2",$P$7,"BDI 3",$P$8)),2)</f>
        <v>2.29</v>
      </c>
      <c r="Q1181" s="157">
        <v>0</v>
      </c>
      <c r="R1181" s="157">
        <v>0</v>
      </c>
      <c r="S1181" s="156">
        <f>TRUNC($K1181*$O1181,2)</f>
        <v>0</v>
      </c>
      <c r="T1181" s="156">
        <f>TRUNC($K1181*$P1181,2)</f>
        <v>0</v>
      </c>
      <c r="U1181" s="156">
        <f>TRUNC($J1181*$R1181,2)</f>
        <v>0</v>
      </c>
      <c r="V1181" s="156">
        <f>TRUNC($K1181*$Q1181,2)</f>
        <v>0</v>
      </c>
      <c r="W1181" s="156">
        <f>TRUNC(V1181-U1181,2)</f>
        <v>0</v>
      </c>
      <c r="X1181" s="158">
        <f>$S1181/ORCAMENTO_VALOR_TOTAL_ND</f>
        <v>0</v>
      </c>
      <c r="Y1181" s="158">
        <f>$T1181/ORCAMENTO_VALOR_TOTAL_DE</f>
        <v>0</v>
      </c>
      <c r="Z1181" s="158" cm="1">
        <f t="array" ref="Z1181">_xlfn.SWITCH($N1181,"BDI 1",$O$6,"BDI 2",$O$7,"BDI 3",$O$8)</f>
        <v>0.20699999999999999</v>
      </c>
      <c r="AA1181" s="158" cm="1">
        <f t="array" ref="AA1181">_xlfn.SWITCH($N1181,"BDI 1",$P$6,"BDI 2",$P$7,"BDI 3",$P$8)</f>
        <v>0.26739999999999997</v>
      </c>
      <c r="AB1181" s="158">
        <f ca="1">IFERROR($S1181/_xlfn.XLOOKUP($AE1181,$B$16:$B$38,$S$16:$S$38),0)</f>
        <v>0</v>
      </c>
      <c r="AC1181" s="158">
        <f ca="1">IFERROR($T1181/_xlfn.XLOOKUP($AE1181,$B$16:$B$38,$T$16:$T$38),0)</f>
        <v>0</v>
      </c>
      <c r="AD1181" s="164"/>
      <c r="AE1181" s="148">
        <f t="shared" ref="AE1181:AE1182" si="2618">IF(S1181&gt;0,IFERROR(TRUNC(A1181,0),0),0)</f>
        <v>0</v>
      </c>
      <c r="AF1181" s="149"/>
      <c r="AG1181" s="150"/>
      <c r="AH1181" s="159" t="e">
        <f>+S1181/$S$1118</f>
        <v>#DIV/0!</v>
      </c>
      <c r="AI1181" s="209">
        <f>IF(K1181=0,0,K1181/F1181)</f>
        <v>0</v>
      </c>
      <c r="AJ1181" s="105"/>
      <c r="AK1181" s="105"/>
      <c r="AM1181" s="105"/>
      <c r="AN1181" s="105"/>
      <c r="AO1181" s="105"/>
      <c r="AP1181" s="105"/>
      <c r="AQ1181" s="105"/>
      <c r="AR1181" s="105"/>
    </row>
    <row r="1182" spans="1:44" s="49" customFormat="1" ht="40.15" hidden="1" customHeight="1">
      <c r="A1182" s="152">
        <f t="shared" ca="1" si="2504"/>
        <v>0</v>
      </c>
      <c r="B1182" s="153">
        <v>102333</v>
      </c>
      <c r="C1182" s="154" t="str">
        <f>TEXT(B1182,"0")</f>
        <v>102333</v>
      </c>
      <c r="D1182" s="154" t="s">
        <v>1416</v>
      </c>
      <c r="E1182" s="155" t="s">
        <v>3546</v>
      </c>
      <c r="F1182" s="154">
        <f>+Dados_DMT!$B$25-F1181</f>
        <v>80</v>
      </c>
      <c r="G1182" s="154" t="s">
        <v>3534</v>
      </c>
      <c r="H1182" s="152">
        <v>0.72</v>
      </c>
      <c r="I1182" s="152">
        <v>0.73</v>
      </c>
      <c r="J1182" s="156"/>
      <c r="K1182" s="156">
        <f>IF(B1135="PA/0025",0,ROUND(Ciclovia!J128*F1182,2))</f>
        <v>0</v>
      </c>
      <c r="L1182" s="156">
        <f>IF($K1182&gt;$J1182,$K1182-$J1182,0)</f>
        <v>0</v>
      </c>
      <c r="M1182" s="156">
        <f>IF($K1182&lt;$J1182,$J1182-$K1182,0)</f>
        <v>0</v>
      </c>
      <c r="N1182" s="156" t="s">
        <v>83</v>
      </c>
      <c r="O1182" s="157" cm="1">
        <f t="array" ref="O1182">TRUNC($H1182*(1+_xlfn.SWITCH($N1182,"BDI 1",$O$6,"BDI 2",$O$7,"BDI 3",$O$8)),2)</f>
        <v>0.86</v>
      </c>
      <c r="P1182" s="157" cm="1">
        <f t="array" ref="P1182">TRUNC($I1182*(1+_xlfn.SWITCH($N1182,"BDI 1",$P$6,"BDI 2",$P$7,"BDI 3",$P$8)),2)</f>
        <v>0.92</v>
      </c>
      <c r="Q1182" s="157">
        <v>0</v>
      </c>
      <c r="R1182" s="157">
        <v>0</v>
      </c>
      <c r="S1182" s="156">
        <f>TRUNC($K1182*$O1182,2)</f>
        <v>0</v>
      </c>
      <c r="T1182" s="156">
        <f>TRUNC($K1182*$P1182,2)</f>
        <v>0</v>
      </c>
      <c r="U1182" s="156">
        <f>TRUNC($J1182*$R1182,2)</f>
        <v>0</v>
      </c>
      <c r="V1182" s="156">
        <f>TRUNC($K1182*$Q1182,2)</f>
        <v>0</v>
      </c>
      <c r="W1182" s="156">
        <f>TRUNC(V1182-U1182,2)</f>
        <v>0</v>
      </c>
      <c r="X1182" s="158">
        <f>$S1182/ORCAMENTO_VALOR_TOTAL_ND</f>
        <v>0</v>
      </c>
      <c r="Y1182" s="158">
        <f>$T1182/ORCAMENTO_VALOR_TOTAL_DE</f>
        <v>0</v>
      </c>
      <c r="Z1182" s="158" cm="1">
        <f t="array" ref="Z1182">_xlfn.SWITCH($N1182,"BDI 1",$O$6,"BDI 2",$O$7,"BDI 3",$O$8)</f>
        <v>0.20699999999999999</v>
      </c>
      <c r="AA1182" s="158" cm="1">
        <f t="array" ref="AA1182">_xlfn.SWITCH($N1182,"BDI 1",$P$6,"BDI 2",$P$7,"BDI 3",$P$8)</f>
        <v>0.26739999999999997</v>
      </c>
      <c r="AB1182" s="158">
        <f ca="1">IFERROR($S1182/_xlfn.XLOOKUP($AE1182,$B$16:$B$38,$S$16:$S$38),0)</f>
        <v>0</v>
      </c>
      <c r="AC1182" s="158">
        <f ca="1">IFERROR($T1182/_xlfn.XLOOKUP($AE1182,$B$16:$B$38,$T$16:$T$38),0)</f>
        <v>0</v>
      </c>
      <c r="AD1182" s="164"/>
      <c r="AE1182" s="148">
        <f t="shared" si="2618"/>
        <v>0</v>
      </c>
      <c r="AF1182" s="149"/>
      <c r="AG1182" s="150"/>
      <c r="AH1182" s="159" t="e">
        <f>+S1182/$S$1118</f>
        <v>#DIV/0!</v>
      </c>
      <c r="AI1182" s="209">
        <f>IF(K1182=0,0,K1182/F1182)</f>
        <v>0</v>
      </c>
      <c r="AJ1182" s="105"/>
      <c r="AK1182" s="105"/>
      <c r="AM1182" s="105"/>
      <c r="AN1182" s="105"/>
      <c r="AO1182" s="105"/>
      <c r="AP1182" s="105"/>
      <c r="AQ1182" s="105"/>
      <c r="AR1182" s="105"/>
    </row>
    <row r="1183" spans="1:44" s="49" customFormat="1" ht="40.15" hidden="1" customHeight="1">
      <c r="A1183" s="10">
        <f t="shared" ref="A1183:A1195" ca="1" si="2619">+IF(K1183&gt;0,A1182+0.01,A1182)</f>
        <v>0</v>
      </c>
      <c r="B1183" s="153"/>
      <c r="C1183" s="154"/>
      <c r="D1183" s="154"/>
      <c r="E1183" s="161" t="s">
        <v>272</v>
      </c>
      <c r="F1183" s="154"/>
      <c r="G1183" s="154"/>
      <c r="H1183" s="152"/>
      <c r="I1183" s="152"/>
      <c r="J1183" s="154"/>
      <c r="K1183" s="154"/>
      <c r="L1183" s="154"/>
      <c r="M1183" s="154"/>
      <c r="N1183" s="154"/>
      <c r="O1183" s="154"/>
      <c r="P1183" s="154"/>
      <c r="Q1183" s="154"/>
      <c r="R1183" s="154"/>
      <c r="S1183" s="162"/>
      <c r="T1183" s="162"/>
      <c r="U1183" s="162"/>
      <c r="V1183" s="162"/>
      <c r="W1183" s="162"/>
      <c r="X1183" s="163"/>
      <c r="Y1183" s="163"/>
      <c r="Z1183" s="163"/>
      <c r="AA1183" s="163"/>
      <c r="AB1183" s="163"/>
      <c r="AC1183" s="163"/>
      <c r="AD1183" s="164"/>
      <c r="AE1183" s="148">
        <f>IF(SUM(S1184:S1185)&gt;0,IFERROR(TRUNC(A1183,0),0),0)</f>
        <v>0</v>
      </c>
      <c r="AF1183" s="149"/>
      <c r="AG1183" s="150"/>
      <c r="AH1183" s="159"/>
      <c r="AI1183" s="160"/>
      <c r="AJ1183" s="105"/>
      <c r="AK1183" s="105"/>
      <c r="AM1183" s="105"/>
      <c r="AN1183" s="105"/>
      <c r="AO1183" s="105"/>
      <c r="AP1183" s="105"/>
      <c r="AQ1183" s="105"/>
      <c r="AR1183" s="105"/>
    </row>
    <row r="1184" spans="1:44" s="49" customFormat="1" ht="40.15" hidden="1" customHeight="1">
      <c r="A1184" s="152">
        <f t="shared" ca="1" si="2619"/>
        <v>0</v>
      </c>
      <c r="B1184" s="153">
        <v>102332</v>
      </c>
      <c r="C1184" s="154" t="str">
        <f>TEXT(B1184,"0")</f>
        <v>102332</v>
      </c>
      <c r="D1184" s="154" t="s">
        <v>1416</v>
      </c>
      <c r="E1184" s="155" t="s">
        <v>3547</v>
      </c>
      <c r="F1184" s="154">
        <f>IF(Dados_DMT!$B$25&lt;30,Dados_DMT!$B$25,30)</f>
        <v>30</v>
      </c>
      <c r="G1184" s="154" t="s">
        <v>3534</v>
      </c>
      <c r="H1184" s="152">
        <v>1.79</v>
      </c>
      <c r="I1184" s="152">
        <v>1.81</v>
      </c>
      <c r="J1184" s="156"/>
      <c r="K1184" s="156">
        <f>IF(B1134="PA/0025",ROUND(Ciclovia!J128*F1184,2),0)+ROUND(Ciclovia!J129*F1184,2)</f>
        <v>0</v>
      </c>
      <c r="L1184" s="156">
        <f>IF($K1184&gt;$J1184,$K1184-$J1184,0)</f>
        <v>0</v>
      </c>
      <c r="M1184" s="156">
        <f>IF($K1184&lt;$J1184,$J1184-$K1184,0)</f>
        <v>0</v>
      </c>
      <c r="N1184" s="156" t="s">
        <v>83</v>
      </c>
      <c r="O1184" s="157" cm="1">
        <f t="array" ref="O1184">TRUNC($H1184*(1+_xlfn.SWITCH($N1184,"BDI 1",$O$6,"BDI 2",$O$7,"BDI 3",$O$8)),2)</f>
        <v>2.16</v>
      </c>
      <c r="P1184" s="157" cm="1">
        <f t="array" ref="P1184">TRUNC($I1184*(1+_xlfn.SWITCH($N1184,"BDI 1",$P$6,"BDI 2",$P$7,"BDI 3",$P$8)),2)</f>
        <v>2.29</v>
      </c>
      <c r="Q1184" s="157">
        <v>0</v>
      </c>
      <c r="R1184" s="157">
        <v>0</v>
      </c>
      <c r="S1184" s="156">
        <f>TRUNC($K1184*$O1184,2)</f>
        <v>0</v>
      </c>
      <c r="T1184" s="156">
        <f>TRUNC($K1184*$P1184,2)</f>
        <v>0</v>
      </c>
      <c r="U1184" s="156">
        <f>TRUNC($J1184*$R1184,2)</f>
        <v>0</v>
      </c>
      <c r="V1184" s="156">
        <f>TRUNC($K1184*$Q1184,2)</f>
        <v>0</v>
      </c>
      <c r="W1184" s="156">
        <f>TRUNC(V1184-U1184,2)</f>
        <v>0</v>
      </c>
      <c r="X1184" s="158">
        <f>$S1184/ORCAMENTO_VALOR_TOTAL_ND</f>
        <v>0</v>
      </c>
      <c r="Y1184" s="158">
        <f>$T1184/ORCAMENTO_VALOR_TOTAL_DE</f>
        <v>0</v>
      </c>
      <c r="Z1184" s="158" cm="1">
        <f t="array" ref="Z1184">_xlfn.SWITCH($N1184,"BDI 1",$O$6,"BDI 2",$O$7,"BDI 3",$O$8)</f>
        <v>0.20699999999999999</v>
      </c>
      <c r="AA1184" s="158" cm="1">
        <f t="array" ref="AA1184">_xlfn.SWITCH($N1184,"BDI 1",$P$6,"BDI 2",$P$7,"BDI 3",$P$8)</f>
        <v>0.26739999999999997</v>
      </c>
      <c r="AB1184" s="158">
        <f ca="1">IFERROR($S1184/_xlfn.XLOOKUP($AE1184,$B$16:$B$38,$S$16:$S$38),0)</f>
        <v>0</v>
      </c>
      <c r="AC1184" s="158">
        <f ca="1">IFERROR($T1184/_xlfn.XLOOKUP($AE1184,$B$16:$B$38,$T$16:$T$38),0)</f>
        <v>0</v>
      </c>
      <c r="AD1184" s="164"/>
      <c r="AE1184" s="148">
        <f t="shared" ref="AE1184:AE1185" si="2620">IF(S1184&gt;0,IFERROR(TRUNC(A1184,0),0),0)</f>
        <v>0</v>
      </c>
      <c r="AF1184" s="149"/>
      <c r="AG1184" s="150"/>
      <c r="AH1184" s="159" t="e">
        <f>+S1184/$S$1118</f>
        <v>#DIV/0!</v>
      </c>
      <c r="AI1184" s="209">
        <f>IF(K1184=0,0,K1184/F1184)</f>
        <v>0</v>
      </c>
      <c r="AJ1184" s="105"/>
      <c r="AK1184" s="105"/>
      <c r="AM1184" s="105"/>
      <c r="AN1184" s="105"/>
      <c r="AO1184" s="105"/>
      <c r="AP1184" s="105"/>
      <c r="AQ1184" s="105"/>
      <c r="AR1184" s="105"/>
    </row>
    <row r="1185" spans="1:44" s="49" customFormat="1" ht="40.15" hidden="1" customHeight="1">
      <c r="A1185" s="152">
        <f t="shared" ca="1" si="2619"/>
        <v>0</v>
      </c>
      <c r="B1185" s="153">
        <v>102333</v>
      </c>
      <c r="C1185" s="154" t="str">
        <f>TEXT(B1185,"0")</f>
        <v>102333</v>
      </c>
      <c r="D1185" s="154" t="s">
        <v>1416</v>
      </c>
      <c r="E1185" s="155" t="s">
        <v>3546</v>
      </c>
      <c r="F1185" s="154">
        <f>+Dados_DMT!$B$25-F1184</f>
        <v>80</v>
      </c>
      <c r="G1185" s="154" t="s">
        <v>3534</v>
      </c>
      <c r="H1185" s="152">
        <v>0.72</v>
      </c>
      <c r="I1185" s="152">
        <v>0.73</v>
      </c>
      <c r="J1185" s="156"/>
      <c r="K1185" s="156">
        <f>IF(B1135="PA/0025",ROUND(Ciclovia!J128*F1185,2),0)+ROUND(Ciclovia!J129*F1185,2)</f>
        <v>0</v>
      </c>
      <c r="L1185" s="156">
        <f>IF($K1185&gt;$J1185,$K1185-$J1185,0)</f>
        <v>0</v>
      </c>
      <c r="M1185" s="156">
        <f>IF($K1185&lt;$J1185,$J1185-$K1185,0)</f>
        <v>0</v>
      </c>
      <c r="N1185" s="156" t="s">
        <v>83</v>
      </c>
      <c r="O1185" s="157" cm="1">
        <f t="array" ref="O1185">TRUNC($H1185*(1+_xlfn.SWITCH($N1185,"BDI 1",$O$6,"BDI 2",$O$7,"BDI 3",$O$8)),2)</f>
        <v>0.86</v>
      </c>
      <c r="P1185" s="157" cm="1">
        <f t="array" ref="P1185">TRUNC($I1185*(1+_xlfn.SWITCH($N1185,"BDI 1",$P$6,"BDI 2",$P$7,"BDI 3",$P$8)),2)</f>
        <v>0.92</v>
      </c>
      <c r="Q1185" s="157">
        <v>0</v>
      </c>
      <c r="R1185" s="157">
        <v>0</v>
      </c>
      <c r="S1185" s="156">
        <f>TRUNC($K1185*$O1185,2)</f>
        <v>0</v>
      </c>
      <c r="T1185" s="156">
        <f>TRUNC($K1185*$P1185,2)</f>
        <v>0</v>
      </c>
      <c r="U1185" s="156">
        <f>TRUNC($J1185*$R1185,2)</f>
        <v>0</v>
      </c>
      <c r="V1185" s="156">
        <f>TRUNC($K1185*$Q1185,2)</f>
        <v>0</v>
      </c>
      <c r="W1185" s="156">
        <f>TRUNC(V1185-U1185,2)</f>
        <v>0</v>
      </c>
      <c r="X1185" s="158">
        <f>$S1185/ORCAMENTO_VALOR_TOTAL_ND</f>
        <v>0</v>
      </c>
      <c r="Y1185" s="158">
        <f>$T1185/ORCAMENTO_VALOR_TOTAL_DE</f>
        <v>0</v>
      </c>
      <c r="Z1185" s="158" cm="1">
        <f t="array" ref="Z1185">_xlfn.SWITCH($N1185,"BDI 1",$O$6,"BDI 2",$O$7,"BDI 3",$O$8)</f>
        <v>0.20699999999999999</v>
      </c>
      <c r="AA1185" s="158" cm="1">
        <f t="array" ref="AA1185">_xlfn.SWITCH($N1185,"BDI 1",$P$6,"BDI 2",$P$7,"BDI 3",$P$8)</f>
        <v>0.26739999999999997</v>
      </c>
      <c r="AB1185" s="158">
        <f ca="1">IFERROR($S1185/_xlfn.XLOOKUP($AE1185,$B$16:$B$38,$S$16:$S$38),0)</f>
        <v>0</v>
      </c>
      <c r="AC1185" s="158">
        <f ca="1">IFERROR($T1185/_xlfn.XLOOKUP($AE1185,$B$16:$B$38,$T$16:$T$38),0)</f>
        <v>0</v>
      </c>
      <c r="AD1185" s="164"/>
      <c r="AE1185" s="148">
        <f t="shared" si="2620"/>
        <v>0</v>
      </c>
      <c r="AF1185" s="149"/>
      <c r="AG1185" s="150"/>
      <c r="AH1185" s="159" t="e">
        <f>+S1185/$S$1118</f>
        <v>#DIV/0!</v>
      </c>
      <c r="AI1185" s="209">
        <f>IF(K1185=0,0,K1185/F1185)</f>
        <v>0</v>
      </c>
      <c r="AJ1185" s="105"/>
      <c r="AK1185" s="105"/>
      <c r="AM1185" s="105"/>
      <c r="AN1185" s="105"/>
      <c r="AO1185" s="105"/>
      <c r="AP1185" s="105"/>
      <c r="AQ1185" s="105"/>
      <c r="AR1185" s="105"/>
    </row>
    <row r="1186" spans="1:44" s="49" customFormat="1" ht="40.15" hidden="1" customHeight="1">
      <c r="A1186" s="10">
        <f t="shared" ca="1" si="2619"/>
        <v>0</v>
      </c>
      <c r="B1186" s="153"/>
      <c r="C1186" s="154"/>
      <c r="D1186" s="154"/>
      <c r="E1186" s="161" t="s">
        <v>274</v>
      </c>
      <c r="F1186" s="154"/>
      <c r="G1186" s="154"/>
      <c r="H1186" s="152"/>
      <c r="I1186" s="152"/>
      <c r="J1186" s="154"/>
      <c r="K1186" s="154"/>
      <c r="L1186" s="154"/>
      <c r="M1186" s="154"/>
      <c r="N1186" s="154"/>
      <c r="O1186" s="154"/>
      <c r="P1186" s="154"/>
      <c r="Q1186" s="154"/>
      <c r="R1186" s="154"/>
      <c r="S1186" s="162"/>
      <c r="T1186" s="162"/>
      <c r="U1186" s="162"/>
      <c r="V1186" s="162"/>
      <c r="W1186" s="162"/>
      <c r="X1186" s="163"/>
      <c r="Y1186" s="163"/>
      <c r="Z1186" s="163"/>
      <c r="AA1186" s="163"/>
      <c r="AB1186" s="163"/>
      <c r="AC1186" s="163"/>
      <c r="AD1186" s="164"/>
      <c r="AE1186" s="148">
        <f>IF(SUM(S1187:S1188)&gt;0,IFERROR(TRUNC(A1186,0),0),0)</f>
        <v>0</v>
      </c>
      <c r="AF1186" s="149"/>
      <c r="AG1186" s="150"/>
      <c r="AH1186" s="159"/>
      <c r="AI1186" s="160"/>
      <c r="AJ1186" s="105"/>
      <c r="AK1186" s="105"/>
      <c r="AM1186" s="105"/>
      <c r="AN1186" s="105"/>
      <c r="AO1186" s="105"/>
      <c r="AP1186" s="105"/>
      <c r="AQ1186" s="105"/>
      <c r="AR1186" s="105"/>
    </row>
    <row r="1187" spans="1:44" s="49" customFormat="1" ht="40.15" hidden="1" customHeight="1">
      <c r="A1187" s="152">
        <f t="shared" ca="1" si="2619"/>
        <v>0</v>
      </c>
      <c r="B1187" s="153">
        <v>102332</v>
      </c>
      <c r="C1187" s="154" t="str">
        <f>TEXT(B1187,"0")</f>
        <v>102332</v>
      </c>
      <c r="D1187" s="154" t="s">
        <v>1416</v>
      </c>
      <c r="E1187" s="155" t="s">
        <v>3547</v>
      </c>
      <c r="F1187" s="154">
        <f>IF(Dados_DMT!$B$27&lt;30,Dados_DMT!$B$27,30)</f>
        <v>0</v>
      </c>
      <c r="G1187" s="154" t="s">
        <v>3534</v>
      </c>
      <c r="H1187" s="152">
        <v>1.79</v>
      </c>
      <c r="I1187" s="152">
        <v>1.81</v>
      </c>
      <c r="J1187" s="156"/>
      <c r="K1187" s="156">
        <f>ROUND(Ciclovia!J127*F1187,2)</f>
        <v>0</v>
      </c>
      <c r="L1187" s="156">
        <f>IF($K1187&gt;$J1187,$K1187-$J1187,0)</f>
        <v>0</v>
      </c>
      <c r="M1187" s="156">
        <f>IF($K1187&lt;$J1187,$J1187-$K1187,0)</f>
        <v>0</v>
      </c>
      <c r="N1187" s="156" t="s">
        <v>83</v>
      </c>
      <c r="O1187" s="157" cm="1">
        <f t="array" ref="O1187">TRUNC($H1187*(1+_xlfn.SWITCH($N1187,"BDI 1",$O$6,"BDI 2",$O$7,"BDI 3",$O$8)),2)</f>
        <v>2.16</v>
      </c>
      <c r="P1187" s="157" cm="1">
        <f t="array" ref="P1187">TRUNC($I1187*(1+_xlfn.SWITCH($N1187,"BDI 1",$P$6,"BDI 2",$P$7,"BDI 3",$P$8)),2)</f>
        <v>2.29</v>
      </c>
      <c r="Q1187" s="157">
        <v>0</v>
      </c>
      <c r="R1187" s="157">
        <v>0</v>
      </c>
      <c r="S1187" s="156">
        <f>TRUNC($K1187*$O1187,2)</f>
        <v>0</v>
      </c>
      <c r="T1187" s="156">
        <f>TRUNC($K1187*$P1187,2)</f>
        <v>0</v>
      </c>
      <c r="U1187" s="156">
        <f>TRUNC($J1187*$R1187,2)</f>
        <v>0</v>
      </c>
      <c r="V1187" s="156">
        <f>TRUNC($K1187*$Q1187,2)</f>
        <v>0</v>
      </c>
      <c r="W1187" s="156">
        <f>TRUNC(V1187-U1187,2)</f>
        <v>0</v>
      </c>
      <c r="X1187" s="158">
        <f>$S1187/ORCAMENTO_VALOR_TOTAL_ND</f>
        <v>0</v>
      </c>
      <c r="Y1187" s="158">
        <f>$T1187/ORCAMENTO_VALOR_TOTAL_DE</f>
        <v>0</v>
      </c>
      <c r="Z1187" s="158" cm="1">
        <f t="array" ref="Z1187">_xlfn.SWITCH($N1187,"BDI 1",$O$6,"BDI 2",$O$7,"BDI 3",$O$8)</f>
        <v>0.20699999999999999</v>
      </c>
      <c r="AA1187" s="158" cm="1">
        <f t="array" ref="AA1187">_xlfn.SWITCH($N1187,"BDI 1",$P$6,"BDI 2",$P$7,"BDI 3",$P$8)</f>
        <v>0.26739999999999997</v>
      </c>
      <c r="AB1187" s="158">
        <f ca="1">IFERROR($S1187/_xlfn.XLOOKUP($AE1187,$B$16:$B$38,$S$16:$S$38),0)</f>
        <v>0</v>
      </c>
      <c r="AC1187" s="158">
        <f ca="1">IFERROR($T1187/_xlfn.XLOOKUP($AE1187,$B$16:$B$38,$T$16:$T$38),0)</f>
        <v>0</v>
      </c>
      <c r="AD1187" s="164"/>
      <c r="AE1187" s="148">
        <f t="shared" ref="AE1187:AE1188" si="2621">IF(S1187&gt;0,IFERROR(TRUNC(A1187,0),0),0)</f>
        <v>0</v>
      </c>
      <c r="AF1187" s="149"/>
      <c r="AG1187" s="150"/>
      <c r="AH1187" s="159" t="e">
        <f>+S1187/$S$1118</f>
        <v>#DIV/0!</v>
      </c>
      <c r="AI1187" s="209">
        <f>IF(K1187=0,0,K1187/F1187)</f>
        <v>0</v>
      </c>
      <c r="AJ1187" s="105"/>
      <c r="AK1187" s="105"/>
      <c r="AM1187" s="105"/>
      <c r="AN1187" s="105"/>
      <c r="AO1187" s="105"/>
      <c r="AP1187" s="105"/>
      <c r="AQ1187" s="105"/>
      <c r="AR1187" s="105"/>
    </row>
    <row r="1188" spans="1:44" s="49" customFormat="1" ht="40.15" hidden="1" customHeight="1">
      <c r="A1188" s="152">
        <f t="shared" ca="1" si="2619"/>
        <v>0</v>
      </c>
      <c r="B1188" s="153">
        <v>102333</v>
      </c>
      <c r="C1188" s="154" t="str">
        <f>TEXT(B1188,"0")</f>
        <v>102333</v>
      </c>
      <c r="D1188" s="154" t="s">
        <v>1416</v>
      </c>
      <c r="E1188" s="155" t="s">
        <v>3546</v>
      </c>
      <c r="F1188" s="154">
        <f>+Dados_DMT!$B$27-F1187</f>
        <v>0</v>
      </c>
      <c r="G1188" s="154" t="s">
        <v>3534</v>
      </c>
      <c r="H1188" s="152">
        <v>0.72</v>
      </c>
      <c r="I1188" s="152">
        <v>0.73</v>
      </c>
      <c r="J1188" s="156"/>
      <c r="K1188" s="156">
        <f>ROUND(Ciclovia!J127*F1188,2)</f>
        <v>0</v>
      </c>
      <c r="L1188" s="156">
        <f>IF($K1188&gt;$J1188,$K1188-$J1188,0)</f>
        <v>0</v>
      </c>
      <c r="M1188" s="156">
        <f>IF($K1188&lt;$J1188,$J1188-$K1188,0)</f>
        <v>0</v>
      </c>
      <c r="N1188" s="156" t="s">
        <v>83</v>
      </c>
      <c r="O1188" s="157" cm="1">
        <f t="array" ref="O1188">TRUNC($H1188*(1+_xlfn.SWITCH($N1188,"BDI 1",$O$6,"BDI 2",$O$7,"BDI 3",$O$8)),2)</f>
        <v>0.86</v>
      </c>
      <c r="P1188" s="157" cm="1">
        <f t="array" ref="P1188">TRUNC($I1188*(1+_xlfn.SWITCH($N1188,"BDI 1",$P$6,"BDI 2",$P$7,"BDI 3",$P$8)),2)</f>
        <v>0.92</v>
      </c>
      <c r="Q1188" s="157">
        <v>0</v>
      </c>
      <c r="R1188" s="157">
        <v>0</v>
      </c>
      <c r="S1188" s="156">
        <f>TRUNC($K1188*$O1188,2)</f>
        <v>0</v>
      </c>
      <c r="T1188" s="156">
        <f>TRUNC($K1188*$P1188,2)</f>
        <v>0</v>
      </c>
      <c r="U1188" s="156">
        <f>TRUNC($J1188*$R1188,2)</f>
        <v>0</v>
      </c>
      <c r="V1188" s="156">
        <f>TRUNC($K1188*$Q1188,2)</f>
        <v>0</v>
      </c>
      <c r="W1188" s="156">
        <f>TRUNC(V1188-U1188,2)</f>
        <v>0</v>
      </c>
      <c r="X1188" s="158">
        <f>$S1188/ORCAMENTO_VALOR_TOTAL_ND</f>
        <v>0</v>
      </c>
      <c r="Y1188" s="158">
        <f>$T1188/ORCAMENTO_VALOR_TOTAL_DE</f>
        <v>0</v>
      </c>
      <c r="Z1188" s="158" cm="1">
        <f t="array" ref="Z1188">_xlfn.SWITCH($N1188,"BDI 1",$O$6,"BDI 2",$O$7,"BDI 3",$O$8)</f>
        <v>0.20699999999999999</v>
      </c>
      <c r="AA1188" s="158" cm="1">
        <f t="array" ref="AA1188">_xlfn.SWITCH($N1188,"BDI 1",$P$6,"BDI 2",$P$7,"BDI 3",$P$8)</f>
        <v>0.26739999999999997</v>
      </c>
      <c r="AB1188" s="158">
        <f ca="1">IFERROR($S1188/_xlfn.XLOOKUP($AE1188,$B$16:$B$38,$S$16:$S$38),0)</f>
        <v>0</v>
      </c>
      <c r="AC1188" s="158">
        <f ca="1">IFERROR($T1188/_xlfn.XLOOKUP($AE1188,$B$16:$B$38,$T$16:$T$38),0)</f>
        <v>0</v>
      </c>
      <c r="AD1188" s="164"/>
      <c r="AE1188" s="148">
        <f t="shared" si="2621"/>
        <v>0</v>
      </c>
      <c r="AF1188" s="149"/>
      <c r="AG1188" s="150"/>
      <c r="AH1188" s="159" t="e">
        <f>+S1188/$S$1118</f>
        <v>#DIV/0!</v>
      </c>
      <c r="AI1188" s="209">
        <f>IF(K1188=0,0,K1188/F1188)</f>
        <v>0</v>
      </c>
      <c r="AJ1188" s="105"/>
      <c r="AK1188" s="105"/>
      <c r="AM1188" s="105"/>
      <c r="AN1188" s="105"/>
      <c r="AO1188" s="105"/>
      <c r="AP1188" s="105"/>
      <c r="AQ1188" s="105"/>
      <c r="AR1188" s="105"/>
    </row>
    <row r="1189" spans="1:44" s="49" customFormat="1" ht="40.15" hidden="1" customHeight="1">
      <c r="A1189" s="10">
        <f t="shared" ca="1" si="2619"/>
        <v>0</v>
      </c>
      <c r="B1189" s="153"/>
      <c r="C1189" s="154"/>
      <c r="D1189" s="154"/>
      <c r="E1189" s="161" t="s">
        <v>316</v>
      </c>
      <c r="F1189" s="154"/>
      <c r="G1189" s="154"/>
      <c r="H1189" s="152"/>
      <c r="I1189" s="152"/>
      <c r="J1189" s="154"/>
      <c r="K1189" s="154"/>
      <c r="L1189" s="154"/>
      <c r="M1189" s="154"/>
      <c r="N1189" s="154"/>
      <c r="O1189" s="154"/>
      <c r="P1189" s="154"/>
      <c r="Q1189" s="154"/>
      <c r="R1189" s="154"/>
      <c r="S1189" s="162"/>
      <c r="T1189" s="162"/>
      <c r="U1189" s="162"/>
      <c r="V1189" s="162"/>
      <c r="W1189" s="162"/>
      <c r="X1189" s="163"/>
      <c r="Y1189" s="163"/>
      <c r="Z1189" s="163"/>
      <c r="AA1189" s="163"/>
      <c r="AB1189" s="163"/>
      <c r="AC1189" s="163"/>
      <c r="AD1189" s="164"/>
      <c r="AE1189" s="148">
        <f>IF(SUM(S1190:S1191)&gt;0,IFERROR(TRUNC(A1189,0),0),0)</f>
        <v>0</v>
      </c>
      <c r="AF1189" s="149"/>
      <c r="AG1189" s="150"/>
      <c r="AH1189" s="159"/>
      <c r="AI1189" s="160"/>
      <c r="AJ1189" s="105"/>
      <c r="AK1189" s="105"/>
      <c r="AM1189" s="105"/>
      <c r="AN1189" s="105"/>
      <c r="AO1189" s="105"/>
      <c r="AP1189" s="105"/>
      <c r="AQ1189" s="105"/>
      <c r="AR1189" s="105"/>
    </row>
    <row r="1190" spans="1:44" s="49" customFormat="1" ht="40.15" hidden="1" customHeight="1">
      <c r="A1190" s="152">
        <f t="shared" ca="1" si="2619"/>
        <v>0</v>
      </c>
      <c r="B1190" s="153">
        <v>100947</v>
      </c>
      <c r="C1190" s="154" t="str">
        <f>TEXT(B1190,"0")</f>
        <v>100947</v>
      </c>
      <c r="D1190" s="154" t="s">
        <v>1416</v>
      </c>
      <c r="E1190" s="155" t="s">
        <v>385</v>
      </c>
      <c r="F1190" s="154">
        <f>IF(Dados_DMT!$B$35&lt;30,Dados_DMT!$B$35,30)</f>
        <v>0</v>
      </c>
      <c r="G1190" s="154" t="s">
        <v>3534</v>
      </c>
      <c r="H1190" s="152">
        <v>2.15</v>
      </c>
      <c r="I1190" s="152">
        <v>2.13</v>
      </c>
      <c r="J1190" s="156"/>
      <c r="K1190" s="156">
        <f>ROUND(Ciclovia!J116*F1190,2)</f>
        <v>0</v>
      </c>
      <c r="L1190" s="156">
        <f>IF($K1190&gt;$J1190,$K1190-$J1190,0)</f>
        <v>0</v>
      </c>
      <c r="M1190" s="156">
        <f>IF($K1190&lt;$J1190,$J1190-$K1190,0)</f>
        <v>0</v>
      </c>
      <c r="N1190" s="156" t="s">
        <v>83</v>
      </c>
      <c r="O1190" s="157" cm="1">
        <f t="array" ref="O1190">TRUNC($H1190*(1+_xlfn.SWITCH($N1190,"BDI 1",$O$6,"BDI 2",$O$7,"BDI 3",$O$8)),2)</f>
        <v>2.59</v>
      </c>
      <c r="P1190" s="157" cm="1">
        <f t="array" ref="P1190">TRUNC($I1190*(1+_xlfn.SWITCH($N1190,"BDI 1",$P$6,"BDI 2",$P$7,"BDI 3",$P$8)),2)</f>
        <v>2.69</v>
      </c>
      <c r="Q1190" s="157">
        <v>0</v>
      </c>
      <c r="R1190" s="157">
        <v>0</v>
      </c>
      <c r="S1190" s="156">
        <f>TRUNC($K1190*$O1190,2)</f>
        <v>0</v>
      </c>
      <c r="T1190" s="156">
        <f>TRUNC($K1190*$P1190,2)</f>
        <v>0</v>
      </c>
      <c r="U1190" s="156">
        <f>TRUNC($J1190*$R1190,2)</f>
        <v>0</v>
      </c>
      <c r="V1190" s="156">
        <f>TRUNC($K1190*$Q1190,2)</f>
        <v>0</v>
      </c>
      <c r="W1190" s="156">
        <f>TRUNC(V1190-U1190,2)</f>
        <v>0</v>
      </c>
      <c r="X1190" s="158">
        <f>$S1190/ORCAMENTO_VALOR_TOTAL_ND</f>
        <v>0</v>
      </c>
      <c r="Y1190" s="158">
        <f>$T1190/ORCAMENTO_VALOR_TOTAL_DE</f>
        <v>0</v>
      </c>
      <c r="Z1190" s="158" cm="1">
        <f t="array" ref="Z1190">_xlfn.SWITCH($N1190,"BDI 1",$O$6,"BDI 2",$O$7,"BDI 3",$O$8)</f>
        <v>0.20699999999999999</v>
      </c>
      <c r="AA1190" s="158" cm="1">
        <f t="array" ref="AA1190">_xlfn.SWITCH($N1190,"BDI 1",$P$6,"BDI 2",$P$7,"BDI 3",$P$8)</f>
        <v>0.26739999999999997</v>
      </c>
      <c r="AB1190" s="158">
        <f ca="1">IFERROR($S1190/_xlfn.XLOOKUP($AE1190,$B$16:$B$38,$S$16:$S$38),0)</f>
        <v>0</v>
      </c>
      <c r="AC1190" s="158">
        <f ca="1">IFERROR($T1190/_xlfn.XLOOKUP($AE1190,$B$16:$B$38,$T$16:$T$38),0)</f>
        <v>0</v>
      </c>
      <c r="AD1190" s="164"/>
      <c r="AE1190" s="148">
        <f t="shared" ref="AE1190:AE1191" si="2622">IF(S1190&gt;0,IFERROR(TRUNC(A1190,0),0),0)</f>
        <v>0</v>
      </c>
      <c r="AF1190" s="149"/>
      <c r="AG1190" s="150"/>
      <c r="AH1190" s="159" t="e">
        <f>+S1190/$S$1118</f>
        <v>#DIV/0!</v>
      </c>
      <c r="AI1190" s="160"/>
      <c r="AJ1190" s="105"/>
      <c r="AK1190" s="105"/>
      <c r="AM1190" s="105"/>
      <c r="AN1190" s="105"/>
      <c r="AO1190" s="105"/>
      <c r="AP1190" s="105"/>
      <c r="AQ1190" s="105"/>
      <c r="AR1190" s="105"/>
    </row>
    <row r="1191" spans="1:44" s="49" customFormat="1" ht="40.15" hidden="1" customHeight="1">
      <c r="A1191" s="152">
        <f t="shared" ca="1" si="2619"/>
        <v>0</v>
      </c>
      <c r="B1191" s="153">
        <v>100948</v>
      </c>
      <c r="C1191" s="154" t="str">
        <f>TEXT(B1191,"0")</f>
        <v>100948</v>
      </c>
      <c r="D1191" s="154" t="s">
        <v>1416</v>
      </c>
      <c r="E1191" s="155" t="s">
        <v>3615</v>
      </c>
      <c r="F1191" s="154">
        <f>+Dados_DMT!$B$35-F1190</f>
        <v>0</v>
      </c>
      <c r="G1191" s="154" t="s">
        <v>3534</v>
      </c>
      <c r="H1191" s="152">
        <v>0.85</v>
      </c>
      <c r="I1191" s="152">
        <v>0.84</v>
      </c>
      <c r="J1191" s="156"/>
      <c r="K1191" s="156">
        <f>ROUND(Ciclovia!J116*F1191,2)</f>
        <v>0</v>
      </c>
      <c r="L1191" s="156">
        <f>IF($K1191&gt;$J1191,$K1191-$J1191,0)</f>
        <v>0</v>
      </c>
      <c r="M1191" s="156">
        <f>IF($K1191&lt;$J1191,$J1191-$K1191,0)</f>
        <v>0</v>
      </c>
      <c r="N1191" s="156" t="s">
        <v>83</v>
      </c>
      <c r="O1191" s="157" cm="1">
        <f t="array" ref="O1191">TRUNC($H1191*(1+_xlfn.SWITCH($N1191,"BDI 1",$O$6,"BDI 2",$O$7,"BDI 3",$O$8)),2)</f>
        <v>1.02</v>
      </c>
      <c r="P1191" s="157" cm="1">
        <f t="array" ref="P1191">TRUNC($I1191*(1+_xlfn.SWITCH($N1191,"BDI 1",$P$6,"BDI 2",$P$7,"BDI 3",$P$8)),2)</f>
        <v>1.06</v>
      </c>
      <c r="Q1191" s="157">
        <v>0</v>
      </c>
      <c r="R1191" s="157">
        <v>0</v>
      </c>
      <c r="S1191" s="156">
        <f>TRUNC($K1191*$O1191,2)</f>
        <v>0</v>
      </c>
      <c r="T1191" s="156">
        <f>TRUNC($K1191*$P1191,2)</f>
        <v>0</v>
      </c>
      <c r="U1191" s="156">
        <f>TRUNC($J1191*$R1191,2)</f>
        <v>0</v>
      </c>
      <c r="V1191" s="156">
        <f>TRUNC($K1191*$Q1191,2)</f>
        <v>0</v>
      </c>
      <c r="W1191" s="156">
        <f>TRUNC(V1191-U1191,2)</f>
        <v>0</v>
      </c>
      <c r="X1191" s="158">
        <f>$S1191/ORCAMENTO_VALOR_TOTAL_ND</f>
        <v>0</v>
      </c>
      <c r="Y1191" s="158">
        <f>$T1191/ORCAMENTO_VALOR_TOTAL_DE</f>
        <v>0</v>
      </c>
      <c r="Z1191" s="158" cm="1">
        <f t="array" ref="Z1191">_xlfn.SWITCH($N1191,"BDI 1",$O$6,"BDI 2",$O$7,"BDI 3",$O$8)</f>
        <v>0.20699999999999999</v>
      </c>
      <c r="AA1191" s="158" cm="1">
        <f t="array" ref="AA1191">_xlfn.SWITCH($N1191,"BDI 1",$P$6,"BDI 2",$P$7,"BDI 3",$P$8)</f>
        <v>0.26739999999999997</v>
      </c>
      <c r="AB1191" s="158">
        <f ca="1">IFERROR($S1191/_xlfn.XLOOKUP($AE1191,$B$16:$B$38,$S$16:$S$38),0)</f>
        <v>0</v>
      </c>
      <c r="AC1191" s="158">
        <f ca="1">IFERROR($T1191/_xlfn.XLOOKUP($AE1191,$B$16:$B$38,$T$16:$T$38),0)</f>
        <v>0</v>
      </c>
      <c r="AD1191" s="164"/>
      <c r="AE1191" s="148">
        <f t="shared" si="2622"/>
        <v>0</v>
      </c>
      <c r="AF1191" s="149"/>
      <c r="AG1191" s="150"/>
      <c r="AH1191" s="159" t="e">
        <f>+S1191/$S$1118</f>
        <v>#DIV/0!</v>
      </c>
      <c r="AI1191" s="160"/>
      <c r="AJ1191" s="105"/>
      <c r="AK1191" s="105"/>
      <c r="AM1191" s="105"/>
      <c r="AN1191" s="105"/>
      <c r="AO1191" s="105"/>
      <c r="AP1191" s="105"/>
      <c r="AQ1191" s="105"/>
      <c r="AR1191" s="105"/>
    </row>
    <row r="1192" spans="1:44" s="49" customFormat="1" ht="40.15" hidden="1" customHeight="1">
      <c r="A1192" s="10">
        <f t="shared" ca="1" si="2619"/>
        <v>0</v>
      </c>
      <c r="B1192" s="153"/>
      <c r="C1192" s="154"/>
      <c r="D1192" s="154"/>
      <c r="E1192" s="161" t="s">
        <v>317</v>
      </c>
      <c r="F1192" s="154"/>
      <c r="G1192" s="154"/>
      <c r="H1192" s="152"/>
      <c r="I1192" s="152"/>
      <c r="J1192" s="154"/>
      <c r="K1192" s="154"/>
      <c r="L1192" s="154"/>
      <c r="M1192" s="154"/>
      <c r="N1192" s="154"/>
      <c r="O1192" s="154"/>
      <c r="P1192" s="154"/>
      <c r="Q1192" s="154"/>
      <c r="R1192" s="154"/>
      <c r="S1192" s="162"/>
      <c r="T1192" s="162"/>
      <c r="U1192" s="162"/>
      <c r="V1192" s="162"/>
      <c r="W1192" s="162"/>
      <c r="X1192" s="163"/>
      <c r="Y1192" s="163"/>
      <c r="Z1192" s="163"/>
      <c r="AA1192" s="163"/>
      <c r="AB1192" s="163"/>
      <c r="AC1192" s="163"/>
      <c r="AD1192" s="164"/>
      <c r="AE1192" s="148">
        <f>IF(SUM(S1193:S1194)&gt;0,IFERROR(TRUNC(A1192,0),0),0)</f>
        <v>0</v>
      </c>
      <c r="AF1192" s="149"/>
      <c r="AG1192" s="150"/>
      <c r="AH1192" s="159"/>
      <c r="AI1192" s="160"/>
      <c r="AJ1192" s="105"/>
      <c r="AK1192" s="105"/>
      <c r="AM1192" s="105"/>
      <c r="AN1192" s="105"/>
      <c r="AO1192" s="105"/>
      <c r="AP1192" s="105"/>
      <c r="AQ1192" s="105"/>
      <c r="AR1192" s="105"/>
    </row>
    <row r="1193" spans="1:44" s="49" customFormat="1" ht="40.15" hidden="1" customHeight="1">
      <c r="A1193" s="152">
        <f t="shared" ca="1" si="2619"/>
        <v>0</v>
      </c>
      <c r="B1193" s="153">
        <v>100947</v>
      </c>
      <c r="C1193" s="154" t="str">
        <f>TEXT(B1193,"0")</f>
        <v>100947</v>
      </c>
      <c r="D1193" s="154" t="s">
        <v>1416</v>
      </c>
      <c r="E1193" s="155" t="s">
        <v>385</v>
      </c>
      <c r="F1193" s="154">
        <f>IF(Dados_DMT!$B$13&lt;30,Dados_DMT!$B$13,30)</f>
        <v>30</v>
      </c>
      <c r="G1193" s="154" t="s">
        <v>3534</v>
      </c>
      <c r="H1193" s="152">
        <v>2.15</v>
      </c>
      <c r="I1193" s="152">
        <v>2.13</v>
      </c>
      <c r="J1193" s="156"/>
      <c r="K1193" s="156">
        <f>ROUND(Ciclovia!J120*F1193,2)</f>
        <v>0</v>
      </c>
      <c r="L1193" s="156">
        <f>IF($K1193&gt;$J1193,$K1193-$J1193,0)</f>
        <v>0</v>
      </c>
      <c r="M1193" s="156">
        <f>IF($K1193&lt;$J1193,$J1193-$K1193,0)</f>
        <v>0</v>
      </c>
      <c r="N1193" s="156" t="s">
        <v>83</v>
      </c>
      <c r="O1193" s="157" cm="1">
        <f t="array" ref="O1193">TRUNC($H1193*(1+_xlfn.SWITCH($N1193,"BDI 1",$O$6,"BDI 2",$O$7,"BDI 3",$O$8)),2)</f>
        <v>2.59</v>
      </c>
      <c r="P1193" s="157" cm="1">
        <f t="array" ref="P1193">TRUNC($I1193*(1+_xlfn.SWITCH($N1193,"BDI 1",$P$6,"BDI 2",$P$7,"BDI 3",$P$8)),2)</f>
        <v>2.69</v>
      </c>
      <c r="Q1193" s="157">
        <v>0</v>
      </c>
      <c r="R1193" s="157">
        <v>0</v>
      </c>
      <c r="S1193" s="156">
        <f>TRUNC($K1193*$O1193,2)</f>
        <v>0</v>
      </c>
      <c r="T1193" s="156">
        <f>TRUNC($K1193*$P1193,2)</f>
        <v>0</v>
      </c>
      <c r="U1193" s="156">
        <f>TRUNC($J1193*$R1193,2)</f>
        <v>0</v>
      </c>
      <c r="V1193" s="156">
        <f>TRUNC($K1193*$Q1193,2)</f>
        <v>0</v>
      </c>
      <c r="W1193" s="156">
        <f>TRUNC(V1193-U1193,2)</f>
        <v>0</v>
      </c>
      <c r="X1193" s="158">
        <f>$S1193/ORCAMENTO_VALOR_TOTAL_ND</f>
        <v>0</v>
      </c>
      <c r="Y1193" s="158">
        <f>$T1193/ORCAMENTO_VALOR_TOTAL_DE</f>
        <v>0</v>
      </c>
      <c r="Z1193" s="158" cm="1">
        <f t="array" ref="Z1193">_xlfn.SWITCH($N1193,"BDI 1",$O$6,"BDI 2",$O$7,"BDI 3",$O$8)</f>
        <v>0.20699999999999999</v>
      </c>
      <c r="AA1193" s="158" cm="1">
        <f t="array" ref="AA1193">_xlfn.SWITCH($N1193,"BDI 1",$P$6,"BDI 2",$P$7,"BDI 3",$P$8)</f>
        <v>0.26739999999999997</v>
      </c>
      <c r="AB1193" s="158">
        <f ca="1">IFERROR($S1193/_xlfn.XLOOKUP($AE1193,$B$16:$B$38,$S$16:$S$38),0)</f>
        <v>0</v>
      </c>
      <c r="AC1193" s="158">
        <f ca="1">IFERROR($T1193/_xlfn.XLOOKUP($AE1193,$B$16:$B$38,$T$16:$T$38),0)</f>
        <v>0</v>
      </c>
      <c r="AD1193" s="164"/>
      <c r="AE1193" s="148">
        <f t="shared" ref="AE1193:AE1194" si="2623">IF(S1193&gt;0,IFERROR(TRUNC(A1193,0),0),0)</f>
        <v>0</v>
      </c>
      <c r="AF1193" s="149"/>
      <c r="AG1193" s="150"/>
      <c r="AH1193" s="159" t="e">
        <f>+S1193/$S$1118</f>
        <v>#DIV/0!</v>
      </c>
      <c r="AI1193" s="160"/>
      <c r="AJ1193" s="105"/>
      <c r="AK1193" s="105"/>
      <c r="AM1193" s="105"/>
      <c r="AN1193" s="105"/>
      <c r="AO1193" s="105"/>
      <c r="AP1193" s="105"/>
      <c r="AQ1193" s="105"/>
      <c r="AR1193" s="105"/>
    </row>
    <row r="1194" spans="1:44" s="49" customFormat="1" ht="40.15" hidden="1" customHeight="1">
      <c r="A1194" s="152">
        <f t="shared" ca="1" si="2619"/>
        <v>0</v>
      </c>
      <c r="B1194" s="153">
        <v>100948</v>
      </c>
      <c r="C1194" s="154" t="str">
        <f>TEXT(B1194,"0")</f>
        <v>100948</v>
      </c>
      <c r="D1194" s="154" t="s">
        <v>1416</v>
      </c>
      <c r="E1194" s="155" t="s">
        <v>3615</v>
      </c>
      <c r="F1194" s="154">
        <f>+Dados_DMT!$B$13-F1193</f>
        <v>70</v>
      </c>
      <c r="G1194" s="154" t="s">
        <v>3534</v>
      </c>
      <c r="H1194" s="152">
        <v>0.85</v>
      </c>
      <c r="I1194" s="152">
        <v>0.84</v>
      </c>
      <c r="J1194" s="156"/>
      <c r="K1194" s="156">
        <f>ROUND(Ciclovia!J120*F1194,2)</f>
        <v>0</v>
      </c>
      <c r="L1194" s="156">
        <f>IF($K1194&gt;$J1194,$K1194-$J1194,0)</f>
        <v>0</v>
      </c>
      <c r="M1194" s="156">
        <f>IF($K1194&lt;$J1194,$J1194-$K1194,0)</f>
        <v>0</v>
      </c>
      <c r="N1194" s="156" t="s">
        <v>83</v>
      </c>
      <c r="O1194" s="157" cm="1">
        <f t="array" ref="O1194">TRUNC($H1194*(1+_xlfn.SWITCH($N1194,"BDI 1",$O$6,"BDI 2",$O$7,"BDI 3",$O$8)),2)</f>
        <v>1.02</v>
      </c>
      <c r="P1194" s="157" cm="1">
        <f t="array" ref="P1194">TRUNC($I1194*(1+_xlfn.SWITCH($N1194,"BDI 1",$P$6,"BDI 2",$P$7,"BDI 3",$P$8)),2)</f>
        <v>1.06</v>
      </c>
      <c r="Q1194" s="157">
        <v>0</v>
      </c>
      <c r="R1194" s="157">
        <v>0</v>
      </c>
      <c r="S1194" s="156">
        <f>TRUNC($K1194*$O1194,2)</f>
        <v>0</v>
      </c>
      <c r="T1194" s="156">
        <f>TRUNC($K1194*$P1194,2)</f>
        <v>0</v>
      </c>
      <c r="U1194" s="156">
        <f>TRUNC($J1194*$R1194,2)</f>
        <v>0</v>
      </c>
      <c r="V1194" s="156">
        <f>TRUNC($K1194*$Q1194,2)</f>
        <v>0</v>
      </c>
      <c r="W1194" s="156">
        <f>TRUNC(V1194-U1194,2)</f>
        <v>0</v>
      </c>
      <c r="X1194" s="158">
        <f>$S1194/ORCAMENTO_VALOR_TOTAL_ND</f>
        <v>0</v>
      </c>
      <c r="Y1194" s="158">
        <f>$T1194/ORCAMENTO_VALOR_TOTAL_DE</f>
        <v>0</v>
      </c>
      <c r="Z1194" s="158" cm="1">
        <f t="array" ref="Z1194">_xlfn.SWITCH($N1194,"BDI 1",$O$6,"BDI 2",$O$7,"BDI 3",$O$8)</f>
        <v>0.20699999999999999</v>
      </c>
      <c r="AA1194" s="158" cm="1">
        <f t="array" ref="AA1194">_xlfn.SWITCH($N1194,"BDI 1",$P$6,"BDI 2",$P$7,"BDI 3",$P$8)</f>
        <v>0.26739999999999997</v>
      </c>
      <c r="AB1194" s="158">
        <f ca="1">IFERROR($S1194/_xlfn.XLOOKUP($AE1194,$B$16:$B$38,$S$16:$S$38),0)</f>
        <v>0</v>
      </c>
      <c r="AC1194" s="158">
        <f ca="1">IFERROR($T1194/_xlfn.XLOOKUP($AE1194,$B$16:$B$38,$T$16:$T$38),0)</f>
        <v>0</v>
      </c>
      <c r="AD1194" s="164"/>
      <c r="AE1194" s="148">
        <f t="shared" si="2623"/>
        <v>0</v>
      </c>
      <c r="AF1194" s="149"/>
      <c r="AG1194" s="150"/>
      <c r="AH1194" s="159" t="e">
        <f>+S1194/$S$1118</f>
        <v>#DIV/0!</v>
      </c>
      <c r="AI1194" s="160"/>
      <c r="AJ1194" s="105"/>
      <c r="AK1194" s="105"/>
      <c r="AM1194" s="105"/>
      <c r="AN1194" s="105"/>
      <c r="AO1194" s="105"/>
      <c r="AP1194" s="105"/>
      <c r="AQ1194" s="105"/>
      <c r="AR1194" s="105"/>
    </row>
    <row r="1195" spans="1:44" s="220" customFormat="1" ht="24.95" hidden="1" customHeight="1">
      <c r="A1195" s="10">
        <f t="shared" ca="1" si="2619"/>
        <v>0</v>
      </c>
      <c r="B1195" s="221"/>
      <c r="C1195" s="222"/>
      <c r="D1195" s="154"/>
      <c r="E1195" s="155"/>
      <c r="F1195" s="154"/>
      <c r="G1195" s="154"/>
      <c r="H1195" s="154"/>
      <c r="I1195" s="154"/>
      <c r="J1195" s="154"/>
      <c r="K1195" s="154"/>
      <c r="L1195" s="154"/>
      <c r="M1195" s="154"/>
      <c r="N1195" s="154"/>
      <c r="O1195" s="154"/>
      <c r="P1195" s="154"/>
      <c r="Q1195" s="154"/>
      <c r="R1195" s="154"/>
      <c r="S1195" s="162"/>
      <c r="T1195" s="162"/>
      <c r="U1195" s="162"/>
      <c r="V1195" s="162"/>
      <c r="W1195" s="162"/>
      <c r="X1195" s="163"/>
      <c r="Y1195" s="163"/>
      <c r="Z1195" s="163"/>
      <c r="AA1195" s="163"/>
      <c r="AB1195" s="163"/>
      <c r="AC1195" s="163"/>
      <c r="AD1195" s="164"/>
      <c r="AE1195" s="148">
        <f>IF(S1196&gt;0,IFERROR(TRUNC(A1196,0),0),0)</f>
        <v>0</v>
      </c>
      <c r="AF1195" s="149"/>
      <c r="AG1195" s="150"/>
      <c r="AH1195" s="159"/>
      <c r="AI1195" s="160"/>
      <c r="AJ1195" s="219" t="s">
        <v>385</v>
      </c>
      <c r="AK1195" s="219"/>
      <c r="AM1195" s="219"/>
      <c r="AN1195" s="219"/>
      <c r="AO1195" s="219"/>
      <c r="AP1195" s="219"/>
      <c r="AQ1195" s="219"/>
      <c r="AR1195" s="219"/>
    </row>
    <row r="1196" spans="1:44" s="105" customFormat="1" ht="24.95" hidden="1" customHeight="1">
      <c r="A1196" s="169">
        <f ca="1">$B$35</f>
        <v>0</v>
      </c>
      <c r="B1196" s="170"/>
      <c r="C1196" s="171"/>
      <c r="D1196" s="172"/>
      <c r="E1196" s="173" t="str">
        <f>$D$35</f>
        <v>SINALIZAÇÃO VIÁRIA DEFINITIVA HORIZONTAL E VERTICAL E DISPOSITIVOS DE SEGURANÇA</v>
      </c>
      <c r="F1196" s="174">
        <v>0</v>
      </c>
      <c r="G1196" s="175"/>
      <c r="H1196" s="176" t="s">
        <v>386</v>
      </c>
      <c r="I1196" s="176" t="s">
        <v>386</v>
      </c>
      <c r="J1196" s="177"/>
      <c r="K1196" s="177"/>
      <c r="L1196" s="177"/>
      <c r="M1196" s="177"/>
      <c r="N1196" s="177"/>
      <c r="O1196" s="178" t="str">
        <f ca="1">CONCATENATE("SUB-TOTAL ",$A1196)</f>
        <v>SUB-TOTAL 0</v>
      </c>
      <c r="P1196" s="178" t="e" cm="1">
        <f t="array" ref="P1196">TRUNC($I1196*(1+_xlfn.SWITCH($N1196,"BDI 1",$P$6,"BDI 2",$P$7,"BDI 3",$P$8)),2)</f>
        <v>#VALUE!</v>
      </c>
      <c r="Q1196" s="178" t="str">
        <f ca="1">CONCATENATE("SUB-TOTAL ",$A1196)</f>
        <v>SUB-TOTAL 0</v>
      </c>
      <c r="R1196" s="178"/>
      <c r="S1196" s="179">
        <f>SUM(S1197:S1225)</f>
        <v>0</v>
      </c>
      <c r="T1196" s="179">
        <f>SUM(T1197:T1225)</f>
        <v>0</v>
      </c>
      <c r="U1196" s="179">
        <f>SUM(U1197:U1225)</f>
        <v>0</v>
      </c>
      <c r="V1196" s="179">
        <f>SUM(V1197:V1225)</f>
        <v>0</v>
      </c>
      <c r="W1196" s="179">
        <f t="shared" ref="W1196:W1225" si="2624">TRUNC(V1196-U1196,2)</f>
        <v>0</v>
      </c>
      <c r="X1196" s="180">
        <f t="shared" ref="X1196" si="2625">$S1196/ORCAMENTO_VALOR_TOTAL_ND</f>
        <v>0</v>
      </c>
      <c r="Y1196" s="180">
        <f t="shared" ref="Y1196" si="2626">$T1196/ORCAMENTO_VALOR_TOTAL_DE</f>
        <v>0</v>
      </c>
      <c r="Z1196" s="180"/>
      <c r="AA1196" s="180"/>
      <c r="AB1196" s="180">
        <f>IFERROR($S1196/$S1196,0)</f>
        <v>0</v>
      </c>
      <c r="AC1196" s="180">
        <f>IFERROR($T1196/$T1196,0)</f>
        <v>0</v>
      </c>
      <c r="AD1196" s="147"/>
      <c r="AE1196" s="148">
        <f t="shared" ref="AE1196:AE1225" si="2627">IF(S1196&gt;0,IFERROR(TRUNC(A1196,0),0),0)</f>
        <v>0</v>
      </c>
      <c r="AF1196" s="149"/>
      <c r="AG1196" s="150"/>
      <c r="AH1196" s="151" t="e">
        <f t="shared" ref="AH1196:AH1225" si="2628">+S1196/S$1196</f>
        <v>#DIV/0!</v>
      </c>
    </row>
    <row r="1197" spans="1:44" s="49" customFormat="1" ht="40.15" hidden="1" customHeight="1">
      <c r="A1197" s="152">
        <f t="shared" ref="A1197:A1226" ca="1" si="2629">+IF(K1197&gt;0,A1196+0.01,A1196)</f>
        <v>0</v>
      </c>
      <c r="B1197" s="153" t="s">
        <v>387</v>
      </c>
      <c r="C1197" s="154" t="str">
        <f t="shared" ref="C1197:C1225" si="2630">TEXT(B1197,"0")</f>
        <v>SV/0005</v>
      </c>
      <c r="D1197" s="154" t="s">
        <v>3549</v>
      </c>
      <c r="E1197" s="155" t="s">
        <v>3974</v>
      </c>
      <c r="F1197" s="154"/>
      <c r="G1197" s="154" t="s">
        <v>1418</v>
      </c>
      <c r="H1197" s="152">
        <v>99.96</v>
      </c>
      <c r="I1197" s="152">
        <v>99.51</v>
      </c>
      <c r="J1197" s="156"/>
      <c r="K1197" s="156">
        <f>+Sinal_Via!K383</f>
        <v>0</v>
      </c>
      <c r="L1197" s="156">
        <f t="shared" ref="L1197:L1225" si="2631">IF($K1197&gt;$J1197,$K1197-$J1197,0)</f>
        <v>0</v>
      </c>
      <c r="M1197" s="156">
        <f t="shared" ref="M1197:M1225" si="2632">IF($K1197&lt;$J1197,$J1197-$K1197,0)</f>
        <v>0</v>
      </c>
      <c r="N1197" s="156" t="s">
        <v>83</v>
      </c>
      <c r="O1197" s="157" cm="1">
        <f t="array" ref="O1197">TRUNC($H1197*(1+_xlfn.SWITCH($N1197,"BDI 1",$O$6,"BDI 2",$O$7,"BDI 3",$O$8)),2)</f>
        <v>120.65</v>
      </c>
      <c r="P1197" s="157" cm="1">
        <f t="array" ref="P1197">TRUNC($I1197*(1+_xlfn.SWITCH($N1197,"BDI 1",$P$6,"BDI 2",$P$7,"BDI 3",$P$8)),2)</f>
        <v>126.11</v>
      </c>
      <c r="Q1197" s="157">
        <v>0</v>
      </c>
      <c r="R1197" s="157">
        <f t="shared" ref="R1197" si="2633">$Q1197-($Q1197*LICITACAO_DESCONTO)</f>
        <v>0</v>
      </c>
      <c r="S1197" s="156">
        <f t="shared" ref="S1197:S1225" si="2634">TRUNC($K1197*$O1197,2)</f>
        <v>0</v>
      </c>
      <c r="T1197" s="156">
        <f t="shared" ref="T1197:T1225" si="2635">TRUNC($K1197*$P1197,2)</f>
        <v>0</v>
      </c>
      <c r="U1197" s="156">
        <f t="shared" ref="U1197:U1225" si="2636">TRUNC($J1197*$R1197,2)</f>
        <v>0</v>
      </c>
      <c r="V1197" s="156">
        <f t="shared" ref="V1197:V1225" si="2637">TRUNC($K1197*$Q1197,2)</f>
        <v>0</v>
      </c>
      <c r="W1197" s="156">
        <f t="shared" si="2624"/>
        <v>0</v>
      </c>
      <c r="X1197" s="158">
        <f t="shared" ref="X1197" si="2638">$S1197/ORCAMENTO_VALOR_TOTAL_ND</f>
        <v>0</v>
      </c>
      <c r="Y1197" s="158">
        <f t="shared" ref="Y1197" si="2639">$T1197/ORCAMENTO_VALOR_TOTAL_DE</f>
        <v>0</v>
      </c>
      <c r="Z1197" s="158" cm="1">
        <f t="array" ref="Z1197">_xlfn.SWITCH($N1197,"BDI 1",$O$6,"BDI 2",$O$7,"BDI 3",$O$8)</f>
        <v>0.20699999999999999</v>
      </c>
      <c r="AA1197" s="158" cm="1">
        <f t="array" ref="AA1197">_xlfn.SWITCH($N1197,"BDI 1",$P$6,"BDI 2",$P$7,"BDI 3",$P$8)</f>
        <v>0.26739999999999997</v>
      </c>
      <c r="AB1197" s="158">
        <f t="shared" ref="AB1197:AB1225" ca="1" si="2640">IFERROR($S1197/_xlfn.XLOOKUP($AE1197,$B$16:$B$38,$S$16:$S$38),0)</f>
        <v>0</v>
      </c>
      <c r="AC1197" s="158">
        <f t="shared" ref="AC1197:AC1225" ca="1" si="2641">IFERROR($T1197/_xlfn.XLOOKUP($AE1197,$B$16:$B$38,$T$16:$T$38),0)</f>
        <v>0</v>
      </c>
      <c r="AD1197" s="164"/>
      <c r="AE1197" s="148">
        <f t="shared" si="2627"/>
        <v>0</v>
      </c>
      <c r="AF1197" s="149"/>
      <c r="AG1197" s="150"/>
      <c r="AH1197" s="159" t="e">
        <f t="shared" si="2628"/>
        <v>#DIV/0!</v>
      </c>
      <c r="AI1197" s="160">
        <v>0</v>
      </c>
      <c r="AJ1197" s="105"/>
      <c r="AK1197" s="105"/>
      <c r="AM1197" s="105"/>
      <c r="AN1197" s="105"/>
      <c r="AO1197" s="105"/>
      <c r="AP1197" s="105"/>
      <c r="AQ1197" s="105"/>
      <c r="AR1197" s="105"/>
    </row>
    <row r="1198" spans="1:44" s="49" customFormat="1" ht="40.15" hidden="1" customHeight="1">
      <c r="A1198" s="152">
        <f t="shared" ca="1" si="2629"/>
        <v>0</v>
      </c>
      <c r="B1198" s="153" t="s">
        <v>388</v>
      </c>
      <c r="C1198" s="154" t="str">
        <f t="shared" si="2630"/>
        <v>SV/0010</v>
      </c>
      <c r="D1198" s="154" t="s">
        <v>3549</v>
      </c>
      <c r="E1198" s="155" t="s">
        <v>3975</v>
      </c>
      <c r="F1198" s="154"/>
      <c r="G1198" s="154" t="s">
        <v>1418</v>
      </c>
      <c r="H1198" s="152">
        <v>99.96</v>
      </c>
      <c r="I1198" s="152">
        <v>99.51</v>
      </c>
      <c r="J1198" s="156"/>
      <c r="K1198" s="156">
        <f>+Sinal_Via!K348</f>
        <v>0</v>
      </c>
      <c r="L1198" s="156">
        <f t="shared" si="2631"/>
        <v>0</v>
      </c>
      <c r="M1198" s="156">
        <f t="shared" si="2632"/>
        <v>0</v>
      </c>
      <c r="N1198" s="156" t="s">
        <v>83</v>
      </c>
      <c r="O1198" s="157" cm="1">
        <f t="array" ref="O1198">TRUNC($H1198*(1+_xlfn.SWITCH($N1198,"BDI 1",$O$6,"BDI 2",$O$7,"BDI 3",$O$8)),2)</f>
        <v>120.65</v>
      </c>
      <c r="P1198" s="157" cm="1">
        <f t="array" ref="P1198">TRUNC($I1198*(1+_xlfn.SWITCH($N1198,"BDI 1",$P$6,"BDI 2",$P$7,"BDI 3",$P$8)),2)</f>
        <v>126.11</v>
      </c>
      <c r="Q1198" s="157">
        <v>0</v>
      </c>
      <c r="R1198" s="157">
        <f t="shared" ref="R1198" si="2642">$Q1198-($Q1198*LICITACAO_DESCONTO)</f>
        <v>0</v>
      </c>
      <c r="S1198" s="156">
        <f t="shared" si="2634"/>
        <v>0</v>
      </c>
      <c r="T1198" s="156">
        <f t="shared" si="2635"/>
        <v>0</v>
      </c>
      <c r="U1198" s="156">
        <f t="shared" si="2636"/>
        <v>0</v>
      </c>
      <c r="V1198" s="156">
        <f t="shared" si="2637"/>
        <v>0</v>
      </c>
      <c r="W1198" s="156">
        <f t="shared" si="2624"/>
        <v>0</v>
      </c>
      <c r="X1198" s="158">
        <f t="shared" ref="X1198" si="2643">$S1198/ORCAMENTO_VALOR_TOTAL_ND</f>
        <v>0</v>
      </c>
      <c r="Y1198" s="158">
        <f t="shared" ref="Y1198" si="2644">$T1198/ORCAMENTO_VALOR_TOTAL_DE</f>
        <v>0</v>
      </c>
      <c r="Z1198" s="158" cm="1">
        <f t="array" ref="Z1198">_xlfn.SWITCH($N1198,"BDI 1",$O$6,"BDI 2",$O$7,"BDI 3",$O$8)</f>
        <v>0.20699999999999999</v>
      </c>
      <c r="AA1198" s="158" cm="1">
        <f t="array" ref="AA1198">_xlfn.SWITCH($N1198,"BDI 1",$P$6,"BDI 2",$P$7,"BDI 3",$P$8)</f>
        <v>0.26739999999999997</v>
      </c>
      <c r="AB1198" s="158">
        <f t="shared" ca="1" si="2640"/>
        <v>0</v>
      </c>
      <c r="AC1198" s="158">
        <f t="shared" ca="1" si="2641"/>
        <v>0</v>
      </c>
      <c r="AD1198" s="164"/>
      <c r="AE1198" s="148">
        <f t="shared" si="2627"/>
        <v>0</v>
      </c>
      <c r="AF1198" s="149"/>
      <c r="AG1198" s="150"/>
      <c r="AH1198" s="159" t="e">
        <f t="shared" si="2628"/>
        <v>#DIV/0!</v>
      </c>
      <c r="AI1198" s="160">
        <v>0</v>
      </c>
      <c r="AJ1198" s="105"/>
      <c r="AK1198" s="105"/>
      <c r="AM1198" s="105"/>
      <c r="AN1198" s="105"/>
      <c r="AO1198" s="105"/>
      <c r="AP1198" s="105"/>
      <c r="AQ1198" s="105"/>
      <c r="AR1198" s="105"/>
    </row>
    <row r="1199" spans="1:44" s="49" customFormat="1" ht="40.15" hidden="1" customHeight="1">
      <c r="A1199" s="152">
        <f t="shared" ca="1" si="2629"/>
        <v>0</v>
      </c>
      <c r="B1199" s="153" t="s">
        <v>389</v>
      </c>
      <c r="C1199" s="154" t="str">
        <f t="shared" si="2630"/>
        <v>SV/0012</v>
      </c>
      <c r="D1199" s="154" t="s">
        <v>3549</v>
      </c>
      <c r="E1199" s="155" t="s">
        <v>3976</v>
      </c>
      <c r="F1199" s="154"/>
      <c r="G1199" s="154" t="s">
        <v>1418</v>
      </c>
      <c r="H1199" s="152">
        <v>37.07</v>
      </c>
      <c r="I1199" s="152">
        <v>36.49</v>
      </c>
      <c r="J1199" s="156"/>
      <c r="K1199" s="156">
        <f>Sinal_Via!K362</f>
        <v>0</v>
      </c>
      <c r="L1199" s="156">
        <f t="shared" si="2631"/>
        <v>0</v>
      </c>
      <c r="M1199" s="156">
        <f t="shared" si="2632"/>
        <v>0</v>
      </c>
      <c r="N1199" s="156" t="s">
        <v>83</v>
      </c>
      <c r="O1199" s="157" cm="1">
        <f t="array" ref="O1199">TRUNC($H1199*(1+_xlfn.SWITCH($N1199,"BDI 1",$O$6,"BDI 2",$O$7,"BDI 3",$O$8)),2)</f>
        <v>44.74</v>
      </c>
      <c r="P1199" s="157" cm="1">
        <f t="array" ref="P1199">TRUNC($I1199*(1+_xlfn.SWITCH($N1199,"BDI 1",$P$6,"BDI 2",$P$7,"BDI 3",$P$8)),2)</f>
        <v>46.24</v>
      </c>
      <c r="Q1199" s="157">
        <v>0</v>
      </c>
      <c r="R1199" s="157">
        <f t="shared" ref="R1199" si="2645">$Q1199-($Q1199*LICITACAO_DESCONTO)</f>
        <v>0</v>
      </c>
      <c r="S1199" s="156">
        <f t="shared" si="2634"/>
        <v>0</v>
      </c>
      <c r="T1199" s="156">
        <f t="shared" si="2635"/>
        <v>0</v>
      </c>
      <c r="U1199" s="156">
        <f t="shared" si="2636"/>
        <v>0</v>
      </c>
      <c r="V1199" s="156">
        <f t="shared" si="2637"/>
        <v>0</v>
      </c>
      <c r="W1199" s="156">
        <f t="shared" si="2624"/>
        <v>0</v>
      </c>
      <c r="X1199" s="158">
        <f t="shared" ref="X1199" si="2646">$S1199/ORCAMENTO_VALOR_TOTAL_ND</f>
        <v>0</v>
      </c>
      <c r="Y1199" s="158">
        <f t="shared" ref="Y1199" si="2647">$T1199/ORCAMENTO_VALOR_TOTAL_DE</f>
        <v>0</v>
      </c>
      <c r="Z1199" s="158" cm="1">
        <f t="array" ref="Z1199">_xlfn.SWITCH($N1199,"BDI 1",$O$6,"BDI 2",$O$7,"BDI 3",$O$8)</f>
        <v>0.20699999999999999</v>
      </c>
      <c r="AA1199" s="158" cm="1">
        <f t="array" ref="AA1199">_xlfn.SWITCH($N1199,"BDI 1",$P$6,"BDI 2",$P$7,"BDI 3",$P$8)</f>
        <v>0.26739999999999997</v>
      </c>
      <c r="AB1199" s="158">
        <f t="shared" ca="1" si="2640"/>
        <v>0</v>
      </c>
      <c r="AC1199" s="158">
        <f t="shared" ca="1" si="2641"/>
        <v>0</v>
      </c>
      <c r="AD1199" s="164"/>
      <c r="AE1199" s="148">
        <f t="shared" si="2627"/>
        <v>0</v>
      </c>
      <c r="AF1199" s="149"/>
      <c r="AG1199" s="150"/>
      <c r="AH1199" s="159" t="e">
        <f t="shared" si="2628"/>
        <v>#DIV/0!</v>
      </c>
      <c r="AI1199" s="160">
        <v>0</v>
      </c>
      <c r="AJ1199" s="105"/>
      <c r="AK1199" s="105"/>
      <c r="AM1199" s="105"/>
      <c r="AN1199" s="105"/>
      <c r="AO1199" s="105"/>
      <c r="AP1199" s="105"/>
      <c r="AQ1199" s="105"/>
      <c r="AR1199" s="105"/>
    </row>
    <row r="1200" spans="1:44" s="49" customFormat="1" ht="40.15" hidden="1" customHeight="1">
      <c r="A1200" s="152">
        <f t="shared" ca="1" si="2629"/>
        <v>0</v>
      </c>
      <c r="B1200" s="153" t="s">
        <v>390</v>
      </c>
      <c r="C1200" s="154" t="str">
        <f t="shared" si="2630"/>
        <v>SV/0015</v>
      </c>
      <c r="D1200" s="154" t="s">
        <v>3549</v>
      </c>
      <c r="E1200" s="155" t="s">
        <v>3977</v>
      </c>
      <c r="F1200" s="154"/>
      <c r="G1200" s="154" t="s">
        <v>1418</v>
      </c>
      <c r="H1200" s="152">
        <v>49.29</v>
      </c>
      <c r="I1200" s="152">
        <v>49.11</v>
      </c>
      <c r="J1200" s="156"/>
      <c r="K1200" s="156">
        <f>+Sinal_Via!K304</f>
        <v>0</v>
      </c>
      <c r="L1200" s="156">
        <f t="shared" si="2631"/>
        <v>0</v>
      </c>
      <c r="M1200" s="156">
        <f t="shared" si="2632"/>
        <v>0</v>
      </c>
      <c r="N1200" s="156" t="s">
        <v>83</v>
      </c>
      <c r="O1200" s="157" cm="1">
        <f t="array" ref="O1200">TRUNC($H1200*(1+_xlfn.SWITCH($N1200,"BDI 1",$O$6,"BDI 2",$O$7,"BDI 3",$O$8)),2)</f>
        <v>59.49</v>
      </c>
      <c r="P1200" s="157" cm="1">
        <f t="array" ref="P1200">TRUNC($I1200*(1+_xlfn.SWITCH($N1200,"BDI 1",$P$6,"BDI 2",$P$7,"BDI 3",$P$8)),2)</f>
        <v>62.24</v>
      </c>
      <c r="Q1200" s="157">
        <v>0</v>
      </c>
      <c r="R1200" s="157">
        <f t="shared" ref="R1200" si="2648">$Q1200-($Q1200*LICITACAO_DESCONTO)</f>
        <v>0</v>
      </c>
      <c r="S1200" s="156">
        <f t="shared" si="2634"/>
        <v>0</v>
      </c>
      <c r="T1200" s="156">
        <f t="shared" si="2635"/>
        <v>0</v>
      </c>
      <c r="U1200" s="156">
        <f t="shared" si="2636"/>
        <v>0</v>
      </c>
      <c r="V1200" s="156">
        <f t="shared" si="2637"/>
        <v>0</v>
      </c>
      <c r="W1200" s="156">
        <f t="shared" si="2624"/>
        <v>0</v>
      </c>
      <c r="X1200" s="158">
        <f t="shared" ref="X1200" si="2649">$S1200/ORCAMENTO_VALOR_TOTAL_ND</f>
        <v>0</v>
      </c>
      <c r="Y1200" s="158">
        <f t="shared" ref="Y1200" si="2650">$T1200/ORCAMENTO_VALOR_TOTAL_DE</f>
        <v>0</v>
      </c>
      <c r="Z1200" s="158" cm="1">
        <f t="array" ref="Z1200">_xlfn.SWITCH($N1200,"BDI 1",$O$6,"BDI 2",$O$7,"BDI 3",$O$8)</f>
        <v>0.20699999999999999</v>
      </c>
      <c r="AA1200" s="158" cm="1">
        <f t="array" ref="AA1200">_xlfn.SWITCH($N1200,"BDI 1",$P$6,"BDI 2",$P$7,"BDI 3",$P$8)</f>
        <v>0.26739999999999997</v>
      </c>
      <c r="AB1200" s="158">
        <f t="shared" ca="1" si="2640"/>
        <v>0</v>
      </c>
      <c r="AC1200" s="158">
        <f t="shared" ca="1" si="2641"/>
        <v>0</v>
      </c>
      <c r="AD1200" s="164"/>
      <c r="AE1200" s="148">
        <f t="shared" si="2627"/>
        <v>0</v>
      </c>
      <c r="AF1200" s="149"/>
      <c r="AG1200" s="150"/>
      <c r="AH1200" s="159" t="e">
        <f t="shared" si="2628"/>
        <v>#DIV/0!</v>
      </c>
      <c r="AI1200" s="160">
        <v>0</v>
      </c>
      <c r="AJ1200" s="105"/>
      <c r="AK1200" s="105"/>
      <c r="AM1200" s="105"/>
      <c r="AN1200" s="105"/>
      <c r="AO1200" s="105"/>
      <c r="AP1200" s="105"/>
      <c r="AQ1200" s="105"/>
      <c r="AR1200" s="105"/>
    </row>
    <row r="1201" spans="1:44" s="49" customFormat="1" ht="40.15" hidden="1" customHeight="1">
      <c r="A1201" s="152">
        <f t="shared" ca="1" si="2629"/>
        <v>0</v>
      </c>
      <c r="B1201" s="153" t="s">
        <v>391</v>
      </c>
      <c r="C1201" s="154" t="str">
        <f t="shared" si="2630"/>
        <v>SV/0020</v>
      </c>
      <c r="D1201" s="154" t="s">
        <v>3549</v>
      </c>
      <c r="E1201" s="155" t="s">
        <v>3978</v>
      </c>
      <c r="F1201" s="154"/>
      <c r="G1201" s="154" t="s">
        <v>1418</v>
      </c>
      <c r="H1201" s="152">
        <v>186.16</v>
      </c>
      <c r="I1201" s="152">
        <v>184.22</v>
      </c>
      <c r="J1201" s="156"/>
      <c r="K1201" s="156">
        <f>+Sinal_Via!K315</f>
        <v>0</v>
      </c>
      <c r="L1201" s="156">
        <f t="shared" si="2631"/>
        <v>0</v>
      </c>
      <c r="M1201" s="156">
        <f t="shared" si="2632"/>
        <v>0</v>
      </c>
      <c r="N1201" s="156" t="s">
        <v>83</v>
      </c>
      <c r="O1201" s="157" cm="1">
        <f t="array" ref="O1201">TRUNC($H1201*(1+_xlfn.SWITCH($N1201,"BDI 1",$O$6,"BDI 2",$O$7,"BDI 3",$O$8)),2)</f>
        <v>224.69</v>
      </c>
      <c r="P1201" s="157" cm="1">
        <f t="array" ref="P1201">TRUNC($I1201*(1+_xlfn.SWITCH($N1201,"BDI 1",$P$6,"BDI 2",$P$7,"BDI 3",$P$8)),2)</f>
        <v>233.48</v>
      </c>
      <c r="Q1201" s="157">
        <v>0</v>
      </c>
      <c r="R1201" s="157">
        <f t="shared" ref="R1201" si="2651">$Q1201-($Q1201*LICITACAO_DESCONTO)</f>
        <v>0</v>
      </c>
      <c r="S1201" s="156">
        <f t="shared" si="2634"/>
        <v>0</v>
      </c>
      <c r="T1201" s="156">
        <f t="shared" si="2635"/>
        <v>0</v>
      </c>
      <c r="U1201" s="156">
        <f t="shared" si="2636"/>
        <v>0</v>
      </c>
      <c r="V1201" s="156">
        <f t="shared" si="2637"/>
        <v>0</v>
      </c>
      <c r="W1201" s="156">
        <f t="shared" si="2624"/>
        <v>0</v>
      </c>
      <c r="X1201" s="158">
        <f t="shared" ref="X1201" si="2652">$S1201/ORCAMENTO_VALOR_TOTAL_ND</f>
        <v>0</v>
      </c>
      <c r="Y1201" s="158">
        <f t="shared" ref="Y1201" si="2653">$T1201/ORCAMENTO_VALOR_TOTAL_DE</f>
        <v>0</v>
      </c>
      <c r="Z1201" s="158" cm="1">
        <f t="array" ref="Z1201">_xlfn.SWITCH($N1201,"BDI 1",$O$6,"BDI 2",$O$7,"BDI 3",$O$8)</f>
        <v>0.20699999999999999</v>
      </c>
      <c r="AA1201" s="158" cm="1">
        <f t="array" ref="AA1201">_xlfn.SWITCH($N1201,"BDI 1",$P$6,"BDI 2",$P$7,"BDI 3",$P$8)</f>
        <v>0.26739999999999997</v>
      </c>
      <c r="AB1201" s="158">
        <f t="shared" ca="1" si="2640"/>
        <v>0</v>
      </c>
      <c r="AC1201" s="158">
        <f t="shared" ca="1" si="2641"/>
        <v>0</v>
      </c>
      <c r="AD1201" s="164"/>
      <c r="AE1201" s="148">
        <f t="shared" si="2627"/>
        <v>0</v>
      </c>
      <c r="AF1201" s="149"/>
      <c r="AG1201" s="150"/>
      <c r="AH1201" s="159" t="e">
        <f t="shared" si="2628"/>
        <v>#DIV/0!</v>
      </c>
      <c r="AI1201" s="160">
        <v>0</v>
      </c>
      <c r="AJ1201" s="105"/>
      <c r="AK1201" s="105"/>
      <c r="AM1201" s="105"/>
      <c r="AN1201" s="105"/>
      <c r="AO1201" s="105"/>
      <c r="AP1201" s="105"/>
      <c r="AQ1201" s="105"/>
      <c r="AR1201" s="105"/>
    </row>
    <row r="1202" spans="1:44" s="49" customFormat="1" ht="40.15" hidden="1" customHeight="1">
      <c r="A1202" s="152">
        <f t="shared" ca="1" si="2629"/>
        <v>0</v>
      </c>
      <c r="B1202" s="153" t="s">
        <v>392</v>
      </c>
      <c r="C1202" s="154" t="str">
        <f t="shared" si="2630"/>
        <v>SV/0025</v>
      </c>
      <c r="D1202" s="154" t="s">
        <v>3549</v>
      </c>
      <c r="E1202" s="155" t="s">
        <v>3979</v>
      </c>
      <c r="F1202" s="154"/>
      <c r="G1202" s="154" t="s">
        <v>1418</v>
      </c>
      <c r="H1202" s="152">
        <v>115.3</v>
      </c>
      <c r="I1202" s="152">
        <v>115.02</v>
      </c>
      <c r="J1202" s="156"/>
      <c r="K1202" s="156">
        <f>+Sinal_Via!K386</f>
        <v>0</v>
      </c>
      <c r="L1202" s="156">
        <f t="shared" si="2631"/>
        <v>0</v>
      </c>
      <c r="M1202" s="156">
        <f t="shared" si="2632"/>
        <v>0</v>
      </c>
      <c r="N1202" s="156" t="s">
        <v>83</v>
      </c>
      <c r="O1202" s="157" cm="1">
        <f t="array" ref="O1202">TRUNC($H1202*(1+_xlfn.SWITCH($N1202,"BDI 1",$O$6,"BDI 2",$O$7,"BDI 3",$O$8)),2)</f>
        <v>139.16</v>
      </c>
      <c r="P1202" s="157" cm="1">
        <f t="array" ref="P1202">TRUNC($I1202*(1+_xlfn.SWITCH($N1202,"BDI 1",$P$6,"BDI 2",$P$7,"BDI 3",$P$8)),2)</f>
        <v>145.77000000000001</v>
      </c>
      <c r="Q1202" s="157">
        <v>0</v>
      </c>
      <c r="R1202" s="157">
        <f t="shared" ref="R1202" si="2654">$Q1202-($Q1202*LICITACAO_DESCONTO)</f>
        <v>0</v>
      </c>
      <c r="S1202" s="156">
        <f t="shared" si="2634"/>
        <v>0</v>
      </c>
      <c r="T1202" s="156">
        <f t="shared" si="2635"/>
        <v>0</v>
      </c>
      <c r="U1202" s="156">
        <f t="shared" si="2636"/>
        <v>0</v>
      </c>
      <c r="V1202" s="156">
        <f t="shared" si="2637"/>
        <v>0</v>
      </c>
      <c r="W1202" s="156">
        <f t="shared" si="2624"/>
        <v>0</v>
      </c>
      <c r="X1202" s="158">
        <f t="shared" ref="X1202" si="2655">$S1202/ORCAMENTO_VALOR_TOTAL_ND</f>
        <v>0</v>
      </c>
      <c r="Y1202" s="158">
        <f t="shared" ref="Y1202" si="2656">$T1202/ORCAMENTO_VALOR_TOTAL_DE</f>
        <v>0</v>
      </c>
      <c r="Z1202" s="158" cm="1">
        <f t="array" ref="Z1202">_xlfn.SWITCH($N1202,"BDI 1",$O$6,"BDI 2",$O$7,"BDI 3",$O$8)</f>
        <v>0.20699999999999999</v>
      </c>
      <c r="AA1202" s="158" cm="1">
        <f t="array" ref="AA1202">_xlfn.SWITCH($N1202,"BDI 1",$P$6,"BDI 2",$P$7,"BDI 3",$P$8)</f>
        <v>0.26739999999999997</v>
      </c>
      <c r="AB1202" s="158">
        <f t="shared" ca="1" si="2640"/>
        <v>0</v>
      </c>
      <c r="AC1202" s="158">
        <f t="shared" ca="1" si="2641"/>
        <v>0</v>
      </c>
      <c r="AD1202" s="164"/>
      <c r="AE1202" s="148">
        <f t="shared" si="2627"/>
        <v>0</v>
      </c>
      <c r="AF1202" s="149"/>
      <c r="AG1202" s="150"/>
      <c r="AH1202" s="159" t="e">
        <f t="shared" si="2628"/>
        <v>#DIV/0!</v>
      </c>
      <c r="AI1202" s="160">
        <v>0</v>
      </c>
      <c r="AJ1202" s="105"/>
      <c r="AK1202" s="105"/>
      <c r="AM1202" s="105"/>
      <c r="AN1202" s="105"/>
      <c r="AO1202" s="105"/>
      <c r="AP1202" s="105"/>
      <c r="AQ1202" s="105"/>
      <c r="AR1202" s="105"/>
    </row>
    <row r="1203" spans="1:44" s="49" customFormat="1" ht="40.15" hidden="1" customHeight="1">
      <c r="A1203" s="152">
        <f t="shared" ca="1" si="2629"/>
        <v>0</v>
      </c>
      <c r="B1203" s="153" t="s">
        <v>393</v>
      </c>
      <c r="C1203" s="154" t="str">
        <f t="shared" si="2630"/>
        <v>SV/0030</v>
      </c>
      <c r="D1203" s="154" t="s">
        <v>3549</v>
      </c>
      <c r="E1203" s="155" t="s">
        <v>3980</v>
      </c>
      <c r="F1203" s="154"/>
      <c r="G1203" s="154" t="s">
        <v>1418</v>
      </c>
      <c r="H1203" s="152">
        <v>14.57</v>
      </c>
      <c r="I1203" s="152">
        <v>14.48</v>
      </c>
      <c r="J1203" s="156"/>
      <c r="K1203" s="156">
        <f>+Sinal_Via!K312</f>
        <v>0</v>
      </c>
      <c r="L1203" s="156">
        <f t="shared" si="2631"/>
        <v>0</v>
      </c>
      <c r="M1203" s="156">
        <f t="shared" si="2632"/>
        <v>0</v>
      </c>
      <c r="N1203" s="156" t="s">
        <v>83</v>
      </c>
      <c r="O1203" s="157" cm="1">
        <f t="array" ref="O1203">TRUNC($H1203*(1+_xlfn.SWITCH($N1203,"BDI 1",$O$6,"BDI 2",$O$7,"BDI 3",$O$8)),2)</f>
        <v>17.579999999999998</v>
      </c>
      <c r="P1203" s="157" cm="1">
        <f t="array" ref="P1203">TRUNC($I1203*(1+_xlfn.SWITCH($N1203,"BDI 1",$P$6,"BDI 2",$P$7,"BDI 3",$P$8)),2)</f>
        <v>18.350000000000001</v>
      </c>
      <c r="Q1203" s="157">
        <v>0</v>
      </c>
      <c r="R1203" s="157">
        <f t="shared" ref="R1203" si="2657">$Q1203-($Q1203*LICITACAO_DESCONTO)</f>
        <v>0</v>
      </c>
      <c r="S1203" s="156">
        <f t="shared" si="2634"/>
        <v>0</v>
      </c>
      <c r="T1203" s="156">
        <f t="shared" si="2635"/>
        <v>0</v>
      </c>
      <c r="U1203" s="156">
        <f t="shared" si="2636"/>
        <v>0</v>
      </c>
      <c r="V1203" s="156">
        <f t="shared" si="2637"/>
        <v>0</v>
      </c>
      <c r="W1203" s="156">
        <f t="shared" si="2624"/>
        <v>0</v>
      </c>
      <c r="X1203" s="158">
        <f t="shared" ref="X1203" si="2658">$S1203/ORCAMENTO_VALOR_TOTAL_ND</f>
        <v>0</v>
      </c>
      <c r="Y1203" s="158">
        <f t="shared" ref="Y1203" si="2659">$T1203/ORCAMENTO_VALOR_TOTAL_DE</f>
        <v>0</v>
      </c>
      <c r="Z1203" s="158" cm="1">
        <f t="array" ref="Z1203">_xlfn.SWITCH($N1203,"BDI 1",$O$6,"BDI 2",$O$7,"BDI 3",$O$8)</f>
        <v>0.20699999999999999</v>
      </c>
      <c r="AA1203" s="158" cm="1">
        <f t="array" ref="AA1203">_xlfn.SWITCH($N1203,"BDI 1",$P$6,"BDI 2",$P$7,"BDI 3",$P$8)</f>
        <v>0.26739999999999997</v>
      </c>
      <c r="AB1203" s="158">
        <f t="shared" ca="1" si="2640"/>
        <v>0</v>
      </c>
      <c r="AC1203" s="158">
        <f t="shared" ca="1" si="2641"/>
        <v>0</v>
      </c>
      <c r="AD1203" s="164"/>
      <c r="AE1203" s="148">
        <f t="shared" si="2627"/>
        <v>0</v>
      </c>
      <c r="AF1203" s="149"/>
      <c r="AG1203" s="150"/>
      <c r="AH1203" s="159" t="e">
        <f t="shared" si="2628"/>
        <v>#DIV/0!</v>
      </c>
      <c r="AI1203" s="160">
        <v>0</v>
      </c>
      <c r="AJ1203" s="105"/>
      <c r="AK1203" s="105"/>
      <c r="AM1203" s="105"/>
      <c r="AN1203" s="105"/>
      <c r="AO1203" s="105"/>
      <c r="AP1203" s="105"/>
      <c r="AQ1203" s="105"/>
      <c r="AR1203" s="105"/>
    </row>
    <row r="1204" spans="1:44" s="49" customFormat="1" ht="40.15" hidden="1" customHeight="1">
      <c r="A1204" s="152">
        <f t="shared" ca="1" si="2629"/>
        <v>0</v>
      </c>
      <c r="B1204" s="153" t="s">
        <v>394</v>
      </c>
      <c r="C1204" s="154" t="str">
        <f t="shared" si="2630"/>
        <v>SV/0035</v>
      </c>
      <c r="D1204" s="154" t="s">
        <v>3549</v>
      </c>
      <c r="E1204" s="155" t="s">
        <v>3981</v>
      </c>
      <c r="F1204" s="154"/>
      <c r="G1204" s="154" t="s">
        <v>1418</v>
      </c>
      <c r="H1204" s="152">
        <v>32.31</v>
      </c>
      <c r="I1204" s="152">
        <v>31.73</v>
      </c>
      <c r="J1204" s="156"/>
      <c r="K1204" s="156">
        <f>+Sinal_Via!K389</f>
        <v>0</v>
      </c>
      <c r="L1204" s="156">
        <f t="shared" si="2631"/>
        <v>0</v>
      </c>
      <c r="M1204" s="156">
        <f t="shared" si="2632"/>
        <v>0</v>
      </c>
      <c r="N1204" s="156" t="s">
        <v>83</v>
      </c>
      <c r="O1204" s="157" cm="1">
        <f t="array" ref="O1204">TRUNC($H1204*(1+_xlfn.SWITCH($N1204,"BDI 1",$O$6,"BDI 2",$O$7,"BDI 3",$O$8)),2)</f>
        <v>38.99</v>
      </c>
      <c r="P1204" s="157" cm="1">
        <f t="array" ref="P1204">TRUNC($I1204*(1+_xlfn.SWITCH($N1204,"BDI 1",$P$6,"BDI 2",$P$7,"BDI 3",$P$8)),2)</f>
        <v>40.21</v>
      </c>
      <c r="Q1204" s="157">
        <v>0</v>
      </c>
      <c r="R1204" s="157">
        <f t="shared" ref="R1204" si="2660">$Q1204-($Q1204*LICITACAO_DESCONTO)</f>
        <v>0</v>
      </c>
      <c r="S1204" s="156">
        <f t="shared" si="2634"/>
        <v>0</v>
      </c>
      <c r="T1204" s="156">
        <f t="shared" si="2635"/>
        <v>0</v>
      </c>
      <c r="U1204" s="156">
        <f t="shared" si="2636"/>
        <v>0</v>
      </c>
      <c r="V1204" s="156">
        <f t="shared" si="2637"/>
        <v>0</v>
      </c>
      <c r="W1204" s="156">
        <f t="shared" si="2624"/>
        <v>0</v>
      </c>
      <c r="X1204" s="158">
        <f t="shared" ref="X1204" si="2661">$S1204/ORCAMENTO_VALOR_TOTAL_ND</f>
        <v>0</v>
      </c>
      <c r="Y1204" s="158">
        <f t="shared" ref="Y1204" si="2662">$T1204/ORCAMENTO_VALOR_TOTAL_DE</f>
        <v>0</v>
      </c>
      <c r="Z1204" s="158" cm="1">
        <f t="array" ref="Z1204">_xlfn.SWITCH($N1204,"BDI 1",$O$6,"BDI 2",$O$7,"BDI 3",$O$8)</f>
        <v>0.20699999999999999</v>
      </c>
      <c r="AA1204" s="158" cm="1">
        <f t="array" ref="AA1204">_xlfn.SWITCH($N1204,"BDI 1",$P$6,"BDI 2",$P$7,"BDI 3",$P$8)</f>
        <v>0.26739999999999997</v>
      </c>
      <c r="AB1204" s="158">
        <f t="shared" ca="1" si="2640"/>
        <v>0</v>
      </c>
      <c r="AC1204" s="158">
        <f t="shared" ca="1" si="2641"/>
        <v>0</v>
      </c>
      <c r="AD1204" s="164"/>
      <c r="AE1204" s="148">
        <f t="shared" si="2627"/>
        <v>0</v>
      </c>
      <c r="AF1204" s="149"/>
      <c r="AG1204" s="150"/>
      <c r="AH1204" s="159" t="e">
        <f t="shared" si="2628"/>
        <v>#DIV/0!</v>
      </c>
      <c r="AI1204" s="160">
        <v>0</v>
      </c>
      <c r="AJ1204" s="105"/>
      <c r="AK1204" s="105"/>
      <c r="AM1204" s="105"/>
      <c r="AN1204" s="105"/>
      <c r="AO1204" s="105"/>
      <c r="AP1204" s="105"/>
      <c r="AQ1204" s="105"/>
      <c r="AR1204" s="105"/>
    </row>
    <row r="1205" spans="1:44" s="49" customFormat="1" ht="40.15" hidden="1" customHeight="1">
      <c r="A1205" s="152">
        <f t="shared" ca="1" si="2629"/>
        <v>0</v>
      </c>
      <c r="B1205" s="153" t="s">
        <v>395</v>
      </c>
      <c r="C1205" s="154" t="str">
        <f t="shared" si="2630"/>
        <v>SV/0037</v>
      </c>
      <c r="D1205" s="154" t="s">
        <v>3549</v>
      </c>
      <c r="E1205" s="155" t="s">
        <v>3982</v>
      </c>
      <c r="F1205" s="154"/>
      <c r="G1205" s="154" t="s">
        <v>1418</v>
      </c>
      <c r="H1205" s="152">
        <v>19.899999999999999</v>
      </c>
      <c r="I1205" s="152">
        <v>19.79</v>
      </c>
      <c r="J1205" s="156"/>
      <c r="K1205" s="156"/>
      <c r="L1205" s="156">
        <f t="shared" si="2631"/>
        <v>0</v>
      </c>
      <c r="M1205" s="156">
        <f t="shared" si="2632"/>
        <v>0</v>
      </c>
      <c r="N1205" s="156" t="s">
        <v>83</v>
      </c>
      <c r="O1205" s="157" cm="1">
        <f t="array" ref="O1205">TRUNC($H1205*(1+_xlfn.SWITCH($N1205,"BDI 1",$O$6,"BDI 2",$O$7,"BDI 3",$O$8)),2)</f>
        <v>24.01</v>
      </c>
      <c r="P1205" s="157" cm="1">
        <f t="array" ref="P1205">TRUNC($I1205*(1+_xlfn.SWITCH($N1205,"BDI 1",$P$6,"BDI 2",$P$7,"BDI 3",$P$8)),2)</f>
        <v>25.08</v>
      </c>
      <c r="Q1205" s="157">
        <v>0</v>
      </c>
      <c r="R1205" s="157">
        <f t="shared" ref="R1205" si="2663">$Q1205-($Q1205*LICITACAO_DESCONTO)</f>
        <v>0</v>
      </c>
      <c r="S1205" s="156">
        <f t="shared" si="2634"/>
        <v>0</v>
      </c>
      <c r="T1205" s="156">
        <f t="shared" si="2635"/>
        <v>0</v>
      </c>
      <c r="U1205" s="156">
        <f t="shared" si="2636"/>
        <v>0</v>
      </c>
      <c r="V1205" s="156">
        <f t="shared" si="2637"/>
        <v>0</v>
      </c>
      <c r="W1205" s="156">
        <f t="shared" si="2624"/>
        <v>0</v>
      </c>
      <c r="X1205" s="158">
        <f t="shared" ref="X1205" si="2664">$S1205/ORCAMENTO_VALOR_TOTAL_ND</f>
        <v>0</v>
      </c>
      <c r="Y1205" s="158">
        <f t="shared" ref="Y1205" si="2665">$T1205/ORCAMENTO_VALOR_TOTAL_DE</f>
        <v>0</v>
      </c>
      <c r="Z1205" s="158" cm="1">
        <f t="array" ref="Z1205">_xlfn.SWITCH($N1205,"BDI 1",$O$6,"BDI 2",$O$7,"BDI 3",$O$8)</f>
        <v>0.20699999999999999</v>
      </c>
      <c r="AA1205" s="158" cm="1">
        <f t="array" ref="AA1205">_xlfn.SWITCH($N1205,"BDI 1",$P$6,"BDI 2",$P$7,"BDI 3",$P$8)</f>
        <v>0.26739999999999997</v>
      </c>
      <c r="AB1205" s="158">
        <f t="shared" ca="1" si="2640"/>
        <v>0</v>
      </c>
      <c r="AC1205" s="158">
        <f t="shared" ca="1" si="2641"/>
        <v>0</v>
      </c>
      <c r="AD1205" s="164"/>
      <c r="AE1205" s="148">
        <f t="shared" si="2627"/>
        <v>0</v>
      </c>
      <c r="AF1205" s="149"/>
      <c r="AG1205" s="150"/>
      <c r="AH1205" s="159" t="e">
        <f t="shared" si="2628"/>
        <v>#DIV/0!</v>
      </c>
      <c r="AI1205" s="160">
        <v>0</v>
      </c>
      <c r="AJ1205" s="105"/>
      <c r="AK1205" s="105"/>
      <c r="AM1205" s="105"/>
      <c r="AN1205" s="105"/>
      <c r="AO1205" s="105"/>
      <c r="AP1205" s="105"/>
      <c r="AQ1205" s="105"/>
      <c r="AR1205" s="105"/>
    </row>
    <row r="1206" spans="1:44" s="49" customFormat="1" ht="40.15" hidden="1" customHeight="1">
      <c r="A1206" s="152">
        <f t="shared" ca="1" si="2629"/>
        <v>0</v>
      </c>
      <c r="B1206" s="153" t="s">
        <v>396</v>
      </c>
      <c r="C1206" s="154" t="str">
        <f t="shared" si="2630"/>
        <v>SV/0041</v>
      </c>
      <c r="D1206" s="154" t="s">
        <v>3549</v>
      </c>
      <c r="E1206" s="155" t="s">
        <v>3983</v>
      </c>
      <c r="F1206" s="154"/>
      <c r="G1206" s="154" t="s">
        <v>1418</v>
      </c>
      <c r="H1206" s="152">
        <v>232.73</v>
      </c>
      <c r="I1206" s="152">
        <v>232.34</v>
      </c>
      <c r="J1206" s="156"/>
      <c r="K1206" s="156">
        <f>+Sinal_Via!K355</f>
        <v>0</v>
      </c>
      <c r="L1206" s="156">
        <f t="shared" si="2631"/>
        <v>0</v>
      </c>
      <c r="M1206" s="156">
        <f t="shared" si="2632"/>
        <v>0</v>
      </c>
      <c r="N1206" s="156" t="s">
        <v>83</v>
      </c>
      <c r="O1206" s="157" cm="1">
        <f t="array" ref="O1206">TRUNC($H1206*(1+_xlfn.SWITCH($N1206,"BDI 1",$O$6,"BDI 2",$O$7,"BDI 3",$O$8)),2)</f>
        <v>280.89999999999998</v>
      </c>
      <c r="P1206" s="157" cm="1">
        <f t="array" ref="P1206">TRUNC($I1206*(1+_xlfn.SWITCH($N1206,"BDI 1",$P$6,"BDI 2",$P$7,"BDI 3",$P$8)),2)</f>
        <v>294.45999999999998</v>
      </c>
      <c r="Q1206" s="157">
        <v>0</v>
      </c>
      <c r="R1206" s="157">
        <f t="shared" ref="R1206" si="2666">$Q1206-($Q1206*LICITACAO_DESCONTO)</f>
        <v>0</v>
      </c>
      <c r="S1206" s="156">
        <f t="shared" si="2634"/>
        <v>0</v>
      </c>
      <c r="T1206" s="156">
        <f t="shared" si="2635"/>
        <v>0</v>
      </c>
      <c r="U1206" s="156">
        <f t="shared" si="2636"/>
        <v>0</v>
      </c>
      <c r="V1206" s="156">
        <f t="shared" si="2637"/>
        <v>0</v>
      </c>
      <c r="W1206" s="156">
        <f t="shared" si="2624"/>
        <v>0</v>
      </c>
      <c r="X1206" s="158">
        <f t="shared" ref="X1206" si="2667">$S1206/ORCAMENTO_VALOR_TOTAL_ND</f>
        <v>0</v>
      </c>
      <c r="Y1206" s="158">
        <f t="shared" ref="Y1206" si="2668">$T1206/ORCAMENTO_VALOR_TOTAL_DE</f>
        <v>0</v>
      </c>
      <c r="Z1206" s="158" cm="1">
        <f t="array" ref="Z1206">_xlfn.SWITCH($N1206,"BDI 1",$O$6,"BDI 2",$O$7,"BDI 3",$O$8)</f>
        <v>0.20699999999999999</v>
      </c>
      <c r="AA1206" s="158" cm="1">
        <f t="array" ref="AA1206">_xlfn.SWITCH($N1206,"BDI 1",$P$6,"BDI 2",$P$7,"BDI 3",$P$8)</f>
        <v>0.26739999999999997</v>
      </c>
      <c r="AB1206" s="158">
        <f t="shared" ca="1" si="2640"/>
        <v>0</v>
      </c>
      <c r="AC1206" s="158">
        <f t="shared" ca="1" si="2641"/>
        <v>0</v>
      </c>
      <c r="AD1206" s="164"/>
      <c r="AE1206" s="148">
        <f t="shared" si="2627"/>
        <v>0</v>
      </c>
      <c r="AF1206" s="149"/>
      <c r="AG1206" s="150"/>
      <c r="AH1206" s="159" t="e">
        <f t="shared" si="2628"/>
        <v>#DIV/0!</v>
      </c>
      <c r="AI1206" s="160">
        <v>0</v>
      </c>
      <c r="AJ1206" s="105"/>
      <c r="AK1206" s="105"/>
      <c r="AM1206" s="105"/>
      <c r="AN1206" s="105"/>
      <c r="AO1206" s="105"/>
      <c r="AP1206" s="105"/>
      <c r="AQ1206" s="105"/>
      <c r="AR1206" s="105"/>
    </row>
    <row r="1207" spans="1:44" s="49" customFormat="1" ht="49.9" hidden="1" customHeight="1">
      <c r="A1207" s="152">
        <f t="shared" ca="1" si="2629"/>
        <v>0</v>
      </c>
      <c r="B1207" s="153" t="s">
        <v>397</v>
      </c>
      <c r="C1207" s="154" t="str">
        <f t="shared" si="2630"/>
        <v>SV/0045</v>
      </c>
      <c r="D1207" s="154" t="s">
        <v>3549</v>
      </c>
      <c r="E1207" s="155" t="s">
        <v>3984</v>
      </c>
      <c r="F1207" s="154"/>
      <c r="G1207" s="154" t="s">
        <v>1418</v>
      </c>
      <c r="H1207" s="152">
        <v>32.76</v>
      </c>
      <c r="I1207" s="152">
        <v>32.54</v>
      </c>
      <c r="J1207" s="156"/>
      <c r="K1207" s="156"/>
      <c r="L1207" s="156">
        <f t="shared" si="2631"/>
        <v>0</v>
      </c>
      <c r="M1207" s="156">
        <f t="shared" si="2632"/>
        <v>0</v>
      </c>
      <c r="N1207" s="156" t="s">
        <v>83</v>
      </c>
      <c r="O1207" s="157" cm="1">
        <f t="array" ref="O1207">TRUNC($H1207*(1+_xlfn.SWITCH($N1207,"BDI 1",$O$6,"BDI 2",$O$7,"BDI 3",$O$8)),2)</f>
        <v>39.54</v>
      </c>
      <c r="P1207" s="157" cm="1">
        <f t="array" ref="P1207">TRUNC($I1207*(1+_xlfn.SWITCH($N1207,"BDI 1",$P$6,"BDI 2",$P$7,"BDI 3",$P$8)),2)</f>
        <v>41.24</v>
      </c>
      <c r="Q1207" s="157">
        <v>0</v>
      </c>
      <c r="R1207" s="157">
        <f t="shared" ref="R1207" si="2669">$Q1207-($Q1207*LICITACAO_DESCONTO)</f>
        <v>0</v>
      </c>
      <c r="S1207" s="156">
        <f t="shared" si="2634"/>
        <v>0</v>
      </c>
      <c r="T1207" s="156">
        <f t="shared" si="2635"/>
        <v>0</v>
      </c>
      <c r="U1207" s="156">
        <f t="shared" si="2636"/>
        <v>0</v>
      </c>
      <c r="V1207" s="156">
        <f t="shared" si="2637"/>
        <v>0</v>
      </c>
      <c r="W1207" s="156">
        <f t="shared" si="2624"/>
        <v>0</v>
      </c>
      <c r="X1207" s="158">
        <f t="shared" ref="X1207" si="2670">$S1207/ORCAMENTO_VALOR_TOTAL_ND</f>
        <v>0</v>
      </c>
      <c r="Y1207" s="158">
        <f t="shared" ref="Y1207" si="2671">$T1207/ORCAMENTO_VALOR_TOTAL_DE</f>
        <v>0</v>
      </c>
      <c r="Z1207" s="158" cm="1">
        <f t="array" ref="Z1207">_xlfn.SWITCH($N1207,"BDI 1",$O$6,"BDI 2",$O$7,"BDI 3",$O$8)</f>
        <v>0.20699999999999999</v>
      </c>
      <c r="AA1207" s="158" cm="1">
        <f t="array" ref="AA1207">_xlfn.SWITCH($N1207,"BDI 1",$P$6,"BDI 2",$P$7,"BDI 3",$P$8)</f>
        <v>0.26739999999999997</v>
      </c>
      <c r="AB1207" s="158">
        <f t="shared" ca="1" si="2640"/>
        <v>0</v>
      </c>
      <c r="AC1207" s="158">
        <f t="shared" ca="1" si="2641"/>
        <v>0</v>
      </c>
      <c r="AD1207" s="164"/>
      <c r="AE1207" s="148">
        <f t="shared" si="2627"/>
        <v>0</v>
      </c>
      <c r="AF1207" s="149"/>
      <c r="AG1207" s="150"/>
      <c r="AH1207" s="159" t="e">
        <f t="shared" si="2628"/>
        <v>#DIV/0!</v>
      </c>
      <c r="AI1207" s="160">
        <v>0</v>
      </c>
      <c r="AJ1207" s="105"/>
      <c r="AK1207" s="105"/>
      <c r="AM1207" s="105"/>
      <c r="AN1207" s="105"/>
      <c r="AO1207" s="105"/>
      <c r="AP1207" s="105"/>
      <c r="AQ1207" s="105"/>
      <c r="AR1207" s="105"/>
    </row>
    <row r="1208" spans="1:44" s="49" customFormat="1" ht="40.15" hidden="1" customHeight="1">
      <c r="A1208" s="152">
        <f t="shared" ca="1" si="2629"/>
        <v>0</v>
      </c>
      <c r="B1208" s="153" t="s">
        <v>398</v>
      </c>
      <c r="C1208" s="154" t="str">
        <f t="shared" si="2630"/>
        <v>SV/0055</v>
      </c>
      <c r="D1208" s="154" t="s">
        <v>3549</v>
      </c>
      <c r="E1208" s="155" t="s">
        <v>3985</v>
      </c>
      <c r="F1208" s="154"/>
      <c r="G1208" s="154" t="s">
        <v>1412</v>
      </c>
      <c r="H1208" s="152">
        <v>51.88</v>
      </c>
      <c r="I1208" s="152">
        <v>51.45</v>
      </c>
      <c r="J1208" s="156"/>
      <c r="K1208" s="156">
        <f>+Sinal_Via!K390+Sinal_Via!K391</f>
        <v>0</v>
      </c>
      <c r="L1208" s="156">
        <f t="shared" si="2631"/>
        <v>0</v>
      </c>
      <c r="M1208" s="156">
        <f t="shared" si="2632"/>
        <v>0</v>
      </c>
      <c r="N1208" s="156" t="s">
        <v>83</v>
      </c>
      <c r="O1208" s="157" cm="1">
        <f t="array" ref="O1208">TRUNC($H1208*(1+_xlfn.SWITCH($N1208,"BDI 1",$O$6,"BDI 2",$O$7,"BDI 3",$O$8)),2)</f>
        <v>62.61</v>
      </c>
      <c r="P1208" s="157" cm="1">
        <f t="array" ref="P1208">TRUNC($I1208*(1+_xlfn.SWITCH($N1208,"BDI 1",$P$6,"BDI 2",$P$7,"BDI 3",$P$8)),2)</f>
        <v>65.2</v>
      </c>
      <c r="Q1208" s="157">
        <v>0</v>
      </c>
      <c r="R1208" s="157">
        <f t="shared" ref="R1208" si="2672">$Q1208-($Q1208*LICITACAO_DESCONTO)</f>
        <v>0</v>
      </c>
      <c r="S1208" s="156">
        <f t="shared" si="2634"/>
        <v>0</v>
      </c>
      <c r="T1208" s="156">
        <f t="shared" si="2635"/>
        <v>0</v>
      </c>
      <c r="U1208" s="156">
        <f t="shared" si="2636"/>
        <v>0</v>
      </c>
      <c r="V1208" s="156">
        <f t="shared" si="2637"/>
        <v>0</v>
      </c>
      <c r="W1208" s="156">
        <f t="shared" si="2624"/>
        <v>0</v>
      </c>
      <c r="X1208" s="158">
        <f t="shared" ref="X1208" si="2673">$S1208/ORCAMENTO_VALOR_TOTAL_ND</f>
        <v>0</v>
      </c>
      <c r="Y1208" s="158">
        <f t="shared" ref="Y1208" si="2674">$T1208/ORCAMENTO_VALOR_TOTAL_DE</f>
        <v>0</v>
      </c>
      <c r="Z1208" s="158" cm="1">
        <f t="array" ref="Z1208">_xlfn.SWITCH($N1208,"BDI 1",$O$6,"BDI 2",$O$7,"BDI 3",$O$8)</f>
        <v>0.20699999999999999</v>
      </c>
      <c r="AA1208" s="158" cm="1">
        <f t="array" ref="AA1208">_xlfn.SWITCH($N1208,"BDI 1",$P$6,"BDI 2",$P$7,"BDI 3",$P$8)</f>
        <v>0.26739999999999997</v>
      </c>
      <c r="AB1208" s="158">
        <f t="shared" ca="1" si="2640"/>
        <v>0</v>
      </c>
      <c r="AC1208" s="158">
        <f t="shared" ca="1" si="2641"/>
        <v>0</v>
      </c>
      <c r="AD1208" s="164"/>
      <c r="AE1208" s="148">
        <f t="shared" si="2627"/>
        <v>0</v>
      </c>
      <c r="AF1208" s="149"/>
      <c r="AG1208" s="150"/>
      <c r="AH1208" s="159" t="e">
        <f t="shared" si="2628"/>
        <v>#DIV/0!</v>
      </c>
      <c r="AI1208" s="160">
        <v>0</v>
      </c>
      <c r="AJ1208" s="105"/>
      <c r="AK1208" s="105"/>
      <c r="AM1208" s="105"/>
      <c r="AN1208" s="105"/>
      <c r="AO1208" s="105"/>
      <c r="AP1208" s="105"/>
      <c r="AQ1208" s="105"/>
      <c r="AR1208" s="105"/>
    </row>
    <row r="1209" spans="1:44" s="49" customFormat="1" ht="40.15" hidden="1" customHeight="1">
      <c r="A1209" s="152">
        <f t="shared" ca="1" si="2629"/>
        <v>0</v>
      </c>
      <c r="B1209" s="153" t="s">
        <v>399</v>
      </c>
      <c r="C1209" s="154" t="str">
        <f t="shared" si="2630"/>
        <v>SV/0065</v>
      </c>
      <c r="D1209" s="154" t="s">
        <v>3549</v>
      </c>
      <c r="E1209" s="155" t="s">
        <v>3986</v>
      </c>
      <c r="F1209" s="154"/>
      <c r="G1209" s="154" t="s">
        <v>1412</v>
      </c>
      <c r="H1209" s="152">
        <v>46.41</v>
      </c>
      <c r="I1209" s="152">
        <v>45.97</v>
      </c>
      <c r="J1209" s="156"/>
      <c r="K1209" s="156">
        <f>+Sinal_Via!K392+Sinal_Via!K393</f>
        <v>0</v>
      </c>
      <c r="L1209" s="156">
        <f t="shared" si="2631"/>
        <v>0</v>
      </c>
      <c r="M1209" s="156">
        <f t="shared" si="2632"/>
        <v>0</v>
      </c>
      <c r="N1209" s="156" t="s">
        <v>83</v>
      </c>
      <c r="O1209" s="157" cm="1">
        <f t="array" ref="O1209">TRUNC($H1209*(1+_xlfn.SWITCH($N1209,"BDI 1",$O$6,"BDI 2",$O$7,"BDI 3",$O$8)),2)</f>
        <v>56.01</v>
      </c>
      <c r="P1209" s="157" cm="1">
        <f t="array" ref="P1209">TRUNC($I1209*(1+_xlfn.SWITCH($N1209,"BDI 1",$P$6,"BDI 2",$P$7,"BDI 3",$P$8)),2)</f>
        <v>58.26</v>
      </c>
      <c r="Q1209" s="157">
        <v>0</v>
      </c>
      <c r="R1209" s="157">
        <f t="shared" ref="R1209" si="2675">$Q1209-($Q1209*LICITACAO_DESCONTO)</f>
        <v>0</v>
      </c>
      <c r="S1209" s="156">
        <f t="shared" si="2634"/>
        <v>0</v>
      </c>
      <c r="T1209" s="156">
        <f t="shared" si="2635"/>
        <v>0</v>
      </c>
      <c r="U1209" s="156">
        <f t="shared" si="2636"/>
        <v>0</v>
      </c>
      <c r="V1209" s="156">
        <f t="shared" si="2637"/>
        <v>0</v>
      </c>
      <c r="W1209" s="156">
        <f t="shared" si="2624"/>
        <v>0</v>
      </c>
      <c r="X1209" s="158">
        <f t="shared" ref="X1209" si="2676">$S1209/ORCAMENTO_VALOR_TOTAL_ND</f>
        <v>0</v>
      </c>
      <c r="Y1209" s="158">
        <f t="shared" ref="Y1209" si="2677">$T1209/ORCAMENTO_VALOR_TOTAL_DE</f>
        <v>0</v>
      </c>
      <c r="Z1209" s="158" cm="1">
        <f t="array" ref="Z1209">_xlfn.SWITCH($N1209,"BDI 1",$O$6,"BDI 2",$O$7,"BDI 3",$O$8)</f>
        <v>0.20699999999999999</v>
      </c>
      <c r="AA1209" s="158" cm="1">
        <f t="array" ref="AA1209">_xlfn.SWITCH($N1209,"BDI 1",$P$6,"BDI 2",$P$7,"BDI 3",$P$8)</f>
        <v>0.26739999999999997</v>
      </c>
      <c r="AB1209" s="158">
        <f t="shared" ca="1" si="2640"/>
        <v>0</v>
      </c>
      <c r="AC1209" s="158">
        <f t="shared" ca="1" si="2641"/>
        <v>0</v>
      </c>
      <c r="AD1209" s="164"/>
      <c r="AE1209" s="148">
        <f t="shared" si="2627"/>
        <v>0</v>
      </c>
      <c r="AF1209" s="149"/>
      <c r="AG1209" s="150"/>
      <c r="AH1209" s="159" t="e">
        <f t="shared" si="2628"/>
        <v>#DIV/0!</v>
      </c>
      <c r="AI1209" s="160">
        <v>0</v>
      </c>
      <c r="AJ1209" s="105"/>
      <c r="AK1209" s="105"/>
      <c r="AM1209" s="105"/>
      <c r="AN1209" s="105"/>
      <c r="AO1209" s="105"/>
      <c r="AP1209" s="105"/>
      <c r="AQ1209" s="105"/>
      <c r="AR1209" s="105"/>
    </row>
    <row r="1210" spans="1:44" s="49" customFormat="1" ht="40.15" hidden="1" customHeight="1">
      <c r="A1210" s="152">
        <f t="shared" ca="1" si="2629"/>
        <v>0</v>
      </c>
      <c r="B1210" s="153" t="s">
        <v>400</v>
      </c>
      <c r="C1210" s="154" t="str">
        <f t="shared" si="2630"/>
        <v>SV/0060</v>
      </c>
      <c r="D1210" s="154" t="s">
        <v>3549</v>
      </c>
      <c r="E1210" s="155" t="s">
        <v>3987</v>
      </c>
      <c r="F1210" s="154"/>
      <c r="G1210" s="154" t="s">
        <v>1412</v>
      </c>
      <c r="H1210" s="152">
        <v>86.67</v>
      </c>
      <c r="I1210" s="152">
        <v>85.88</v>
      </c>
      <c r="J1210" s="156"/>
      <c r="K1210" s="156">
        <f>+Sinal_Via!K394+Sinal_Via!K395</f>
        <v>0</v>
      </c>
      <c r="L1210" s="156">
        <f t="shared" si="2631"/>
        <v>0</v>
      </c>
      <c r="M1210" s="156">
        <f t="shared" si="2632"/>
        <v>0</v>
      </c>
      <c r="N1210" s="156" t="s">
        <v>83</v>
      </c>
      <c r="O1210" s="157" cm="1">
        <f t="array" ref="O1210">TRUNC($H1210*(1+_xlfn.SWITCH($N1210,"BDI 1",$O$6,"BDI 2",$O$7,"BDI 3",$O$8)),2)</f>
        <v>104.61</v>
      </c>
      <c r="P1210" s="157" cm="1">
        <f t="array" ref="P1210">TRUNC($I1210*(1+_xlfn.SWITCH($N1210,"BDI 1",$P$6,"BDI 2",$P$7,"BDI 3",$P$8)),2)</f>
        <v>108.84</v>
      </c>
      <c r="Q1210" s="157">
        <v>0</v>
      </c>
      <c r="R1210" s="157">
        <f t="shared" ref="R1210" si="2678">$Q1210-($Q1210*LICITACAO_DESCONTO)</f>
        <v>0</v>
      </c>
      <c r="S1210" s="156">
        <f t="shared" si="2634"/>
        <v>0</v>
      </c>
      <c r="T1210" s="156">
        <f t="shared" si="2635"/>
        <v>0</v>
      </c>
      <c r="U1210" s="156">
        <f t="shared" si="2636"/>
        <v>0</v>
      </c>
      <c r="V1210" s="156">
        <f t="shared" si="2637"/>
        <v>0</v>
      </c>
      <c r="W1210" s="156">
        <f t="shared" si="2624"/>
        <v>0</v>
      </c>
      <c r="X1210" s="158">
        <f t="shared" ref="X1210" si="2679">$S1210/ORCAMENTO_VALOR_TOTAL_ND</f>
        <v>0</v>
      </c>
      <c r="Y1210" s="158">
        <f t="shared" ref="Y1210" si="2680">$T1210/ORCAMENTO_VALOR_TOTAL_DE</f>
        <v>0</v>
      </c>
      <c r="Z1210" s="158" cm="1">
        <f t="array" ref="Z1210">_xlfn.SWITCH($N1210,"BDI 1",$O$6,"BDI 2",$O$7,"BDI 3",$O$8)</f>
        <v>0.20699999999999999</v>
      </c>
      <c r="AA1210" s="158" cm="1">
        <f t="array" ref="AA1210">_xlfn.SWITCH($N1210,"BDI 1",$P$6,"BDI 2",$P$7,"BDI 3",$P$8)</f>
        <v>0.26739999999999997</v>
      </c>
      <c r="AB1210" s="158">
        <f t="shared" ca="1" si="2640"/>
        <v>0</v>
      </c>
      <c r="AC1210" s="158">
        <f t="shared" ca="1" si="2641"/>
        <v>0</v>
      </c>
      <c r="AD1210" s="164"/>
      <c r="AE1210" s="148">
        <f t="shared" si="2627"/>
        <v>0</v>
      </c>
      <c r="AF1210" s="149"/>
      <c r="AG1210" s="150"/>
      <c r="AH1210" s="159" t="e">
        <f t="shared" si="2628"/>
        <v>#DIV/0!</v>
      </c>
      <c r="AI1210" s="160">
        <v>0</v>
      </c>
      <c r="AJ1210" s="105"/>
      <c r="AK1210" s="105"/>
      <c r="AM1210" s="105"/>
      <c r="AN1210" s="105"/>
      <c r="AO1210" s="105"/>
      <c r="AP1210" s="105"/>
      <c r="AQ1210" s="105"/>
      <c r="AR1210" s="105"/>
    </row>
    <row r="1211" spans="1:44" s="49" customFormat="1" ht="40.15" hidden="1" customHeight="1">
      <c r="A1211" s="152">
        <f t="shared" ca="1" si="2629"/>
        <v>0</v>
      </c>
      <c r="B1211" s="153" t="s">
        <v>401</v>
      </c>
      <c r="C1211" s="154" t="str">
        <f t="shared" si="2630"/>
        <v>SV/0070</v>
      </c>
      <c r="D1211" s="154" t="s">
        <v>3549</v>
      </c>
      <c r="E1211" s="155" t="s">
        <v>3988</v>
      </c>
      <c r="F1211" s="154"/>
      <c r="G1211" s="154" t="s">
        <v>1412</v>
      </c>
      <c r="H1211" s="152">
        <v>88.22</v>
      </c>
      <c r="I1211" s="152">
        <v>87.42</v>
      </c>
      <c r="J1211" s="156"/>
      <c r="K1211" s="156">
        <f>+Sinal_Via!K396+Sinal_Via!K397</f>
        <v>0</v>
      </c>
      <c r="L1211" s="156">
        <f t="shared" si="2631"/>
        <v>0</v>
      </c>
      <c r="M1211" s="156">
        <f t="shared" si="2632"/>
        <v>0</v>
      </c>
      <c r="N1211" s="156" t="s">
        <v>83</v>
      </c>
      <c r="O1211" s="157" cm="1">
        <f t="array" ref="O1211">TRUNC($H1211*(1+_xlfn.SWITCH($N1211,"BDI 1",$O$6,"BDI 2",$O$7,"BDI 3",$O$8)),2)</f>
        <v>106.48</v>
      </c>
      <c r="P1211" s="157" cm="1">
        <f t="array" ref="P1211">TRUNC($I1211*(1+_xlfn.SWITCH($N1211,"BDI 1",$P$6,"BDI 2",$P$7,"BDI 3",$P$8)),2)</f>
        <v>110.79</v>
      </c>
      <c r="Q1211" s="157">
        <v>0</v>
      </c>
      <c r="R1211" s="157">
        <f t="shared" ref="R1211" si="2681">$Q1211-($Q1211*LICITACAO_DESCONTO)</f>
        <v>0</v>
      </c>
      <c r="S1211" s="156">
        <f t="shared" si="2634"/>
        <v>0</v>
      </c>
      <c r="T1211" s="156">
        <f t="shared" si="2635"/>
        <v>0</v>
      </c>
      <c r="U1211" s="156">
        <f t="shared" si="2636"/>
        <v>0</v>
      </c>
      <c r="V1211" s="156">
        <f t="shared" si="2637"/>
        <v>0</v>
      </c>
      <c r="W1211" s="156">
        <f t="shared" si="2624"/>
        <v>0</v>
      </c>
      <c r="X1211" s="158">
        <f t="shared" ref="X1211" si="2682">$S1211/ORCAMENTO_VALOR_TOTAL_ND</f>
        <v>0</v>
      </c>
      <c r="Y1211" s="158">
        <f t="shared" ref="Y1211" si="2683">$T1211/ORCAMENTO_VALOR_TOTAL_DE</f>
        <v>0</v>
      </c>
      <c r="Z1211" s="158" cm="1">
        <f t="array" ref="Z1211">_xlfn.SWITCH($N1211,"BDI 1",$O$6,"BDI 2",$O$7,"BDI 3",$O$8)</f>
        <v>0.20699999999999999</v>
      </c>
      <c r="AA1211" s="158" cm="1">
        <f t="array" ref="AA1211">_xlfn.SWITCH($N1211,"BDI 1",$P$6,"BDI 2",$P$7,"BDI 3",$P$8)</f>
        <v>0.26739999999999997</v>
      </c>
      <c r="AB1211" s="158">
        <f t="shared" ca="1" si="2640"/>
        <v>0</v>
      </c>
      <c r="AC1211" s="158">
        <f t="shared" ca="1" si="2641"/>
        <v>0</v>
      </c>
      <c r="AD1211" s="164"/>
      <c r="AE1211" s="148">
        <f t="shared" si="2627"/>
        <v>0</v>
      </c>
      <c r="AF1211" s="149"/>
      <c r="AG1211" s="150"/>
      <c r="AH1211" s="159" t="e">
        <f t="shared" si="2628"/>
        <v>#DIV/0!</v>
      </c>
      <c r="AI1211" s="160"/>
      <c r="AJ1211" s="105"/>
      <c r="AK1211" s="105"/>
      <c r="AM1211" s="105"/>
      <c r="AN1211" s="105"/>
      <c r="AO1211" s="105"/>
      <c r="AP1211" s="105"/>
      <c r="AQ1211" s="105"/>
      <c r="AR1211" s="105"/>
    </row>
    <row r="1212" spans="1:44" s="49" customFormat="1" ht="60" hidden="1" customHeight="1">
      <c r="A1212" s="152">
        <f t="shared" ca="1" si="2629"/>
        <v>0</v>
      </c>
      <c r="B1212" s="153" t="s">
        <v>402</v>
      </c>
      <c r="C1212" s="154" t="str">
        <f t="shared" si="2630"/>
        <v>SV/0075</v>
      </c>
      <c r="D1212" s="154" t="s">
        <v>3549</v>
      </c>
      <c r="E1212" s="155" t="s">
        <v>3989</v>
      </c>
      <c r="F1212" s="154"/>
      <c r="G1212" s="154" t="s">
        <v>1412</v>
      </c>
      <c r="H1212" s="152">
        <v>8262.61</v>
      </c>
      <c r="I1212" s="152">
        <v>8237.0400000000009</v>
      </c>
      <c r="J1212" s="156"/>
      <c r="K1212" s="156">
        <f>+Sinal_Via!K292</f>
        <v>0</v>
      </c>
      <c r="L1212" s="156">
        <f t="shared" si="2631"/>
        <v>0</v>
      </c>
      <c r="M1212" s="156">
        <f t="shared" si="2632"/>
        <v>0</v>
      </c>
      <c r="N1212" s="156" t="s">
        <v>83</v>
      </c>
      <c r="O1212" s="157" cm="1">
        <f t="array" ref="O1212">TRUNC($H1212*(1+_xlfn.SWITCH($N1212,"BDI 1",$O$6,"BDI 2",$O$7,"BDI 3",$O$8)),2)</f>
        <v>9972.9699999999993</v>
      </c>
      <c r="P1212" s="157" cm="1">
        <f t="array" ref="P1212">TRUNC($I1212*(1+_xlfn.SWITCH($N1212,"BDI 1",$P$6,"BDI 2",$P$7,"BDI 3",$P$8)),2)</f>
        <v>10439.620000000001</v>
      </c>
      <c r="Q1212" s="157">
        <v>0</v>
      </c>
      <c r="R1212" s="157">
        <f t="shared" ref="R1212" si="2684">$Q1212-($Q1212*LICITACAO_DESCONTO)</f>
        <v>0</v>
      </c>
      <c r="S1212" s="156">
        <f t="shared" si="2634"/>
        <v>0</v>
      </c>
      <c r="T1212" s="156">
        <f t="shared" si="2635"/>
        <v>0</v>
      </c>
      <c r="U1212" s="156">
        <f t="shared" si="2636"/>
        <v>0</v>
      </c>
      <c r="V1212" s="156">
        <f t="shared" si="2637"/>
        <v>0</v>
      </c>
      <c r="W1212" s="156">
        <f t="shared" si="2624"/>
        <v>0</v>
      </c>
      <c r="X1212" s="158">
        <f t="shared" ref="X1212" si="2685">$S1212/ORCAMENTO_VALOR_TOTAL_ND</f>
        <v>0</v>
      </c>
      <c r="Y1212" s="158">
        <f t="shared" ref="Y1212" si="2686">$T1212/ORCAMENTO_VALOR_TOTAL_DE</f>
        <v>0</v>
      </c>
      <c r="Z1212" s="158" cm="1">
        <f t="array" ref="Z1212">_xlfn.SWITCH($N1212,"BDI 1",$O$6,"BDI 2",$O$7,"BDI 3",$O$8)</f>
        <v>0.20699999999999999</v>
      </c>
      <c r="AA1212" s="158" cm="1">
        <f t="array" ref="AA1212">_xlfn.SWITCH($N1212,"BDI 1",$P$6,"BDI 2",$P$7,"BDI 3",$P$8)</f>
        <v>0.26739999999999997</v>
      </c>
      <c r="AB1212" s="158">
        <f t="shared" ca="1" si="2640"/>
        <v>0</v>
      </c>
      <c r="AC1212" s="158">
        <f t="shared" ca="1" si="2641"/>
        <v>0</v>
      </c>
      <c r="AD1212" s="164"/>
      <c r="AE1212" s="148">
        <f t="shared" si="2627"/>
        <v>0</v>
      </c>
      <c r="AF1212" s="149"/>
      <c r="AG1212" s="150"/>
      <c r="AH1212" s="159" t="e">
        <f t="shared" si="2628"/>
        <v>#DIV/0!</v>
      </c>
      <c r="AI1212" s="160">
        <v>0</v>
      </c>
      <c r="AJ1212" s="105"/>
      <c r="AK1212" s="105"/>
      <c r="AM1212" s="105"/>
      <c r="AN1212" s="105"/>
      <c r="AO1212" s="105"/>
      <c r="AP1212" s="105"/>
      <c r="AQ1212" s="105"/>
      <c r="AR1212" s="105"/>
    </row>
    <row r="1213" spans="1:44" s="49" customFormat="1" ht="60" hidden="1" customHeight="1">
      <c r="A1213" s="152">
        <f t="shared" ca="1" si="2629"/>
        <v>0</v>
      </c>
      <c r="B1213" s="153" t="s">
        <v>403</v>
      </c>
      <c r="C1213" s="154" t="str">
        <f t="shared" si="2630"/>
        <v>SV/0080</v>
      </c>
      <c r="D1213" s="154" t="s">
        <v>3549</v>
      </c>
      <c r="E1213" s="155" t="s">
        <v>3990</v>
      </c>
      <c r="F1213" s="154"/>
      <c r="G1213" s="154" t="s">
        <v>1412</v>
      </c>
      <c r="H1213" s="152">
        <v>4827.22</v>
      </c>
      <c r="I1213" s="152">
        <v>4820.7299999999996</v>
      </c>
      <c r="J1213" s="156"/>
      <c r="K1213" s="156">
        <f>+Sinal_Via!K293</f>
        <v>0</v>
      </c>
      <c r="L1213" s="156">
        <f t="shared" si="2631"/>
        <v>0</v>
      </c>
      <c r="M1213" s="156">
        <f t="shared" si="2632"/>
        <v>0</v>
      </c>
      <c r="N1213" s="156" t="s">
        <v>83</v>
      </c>
      <c r="O1213" s="157" cm="1">
        <f t="array" ref="O1213">TRUNC($H1213*(1+_xlfn.SWITCH($N1213,"BDI 1",$O$6,"BDI 2",$O$7,"BDI 3",$O$8)),2)</f>
        <v>5826.45</v>
      </c>
      <c r="P1213" s="157" cm="1">
        <f t="array" ref="P1213">TRUNC($I1213*(1+_xlfn.SWITCH($N1213,"BDI 1",$P$6,"BDI 2",$P$7,"BDI 3",$P$8)),2)</f>
        <v>6109.79</v>
      </c>
      <c r="Q1213" s="157">
        <v>0</v>
      </c>
      <c r="R1213" s="157">
        <f t="shared" ref="R1213" si="2687">$Q1213-($Q1213*LICITACAO_DESCONTO)</f>
        <v>0</v>
      </c>
      <c r="S1213" s="156">
        <f t="shared" si="2634"/>
        <v>0</v>
      </c>
      <c r="T1213" s="156">
        <f t="shared" si="2635"/>
        <v>0</v>
      </c>
      <c r="U1213" s="156">
        <f t="shared" si="2636"/>
        <v>0</v>
      </c>
      <c r="V1213" s="156">
        <f t="shared" si="2637"/>
        <v>0</v>
      </c>
      <c r="W1213" s="156">
        <f t="shared" si="2624"/>
        <v>0</v>
      </c>
      <c r="X1213" s="158">
        <f t="shared" ref="X1213" si="2688">$S1213/ORCAMENTO_VALOR_TOTAL_ND</f>
        <v>0</v>
      </c>
      <c r="Y1213" s="158">
        <f t="shared" ref="Y1213" si="2689">$T1213/ORCAMENTO_VALOR_TOTAL_DE</f>
        <v>0</v>
      </c>
      <c r="Z1213" s="158" cm="1">
        <f t="array" ref="Z1213">_xlfn.SWITCH($N1213,"BDI 1",$O$6,"BDI 2",$O$7,"BDI 3",$O$8)</f>
        <v>0.20699999999999999</v>
      </c>
      <c r="AA1213" s="158" cm="1">
        <f t="array" ref="AA1213">_xlfn.SWITCH($N1213,"BDI 1",$P$6,"BDI 2",$P$7,"BDI 3",$P$8)</f>
        <v>0.26739999999999997</v>
      </c>
      <c r="AB1213" s="158">
        <f t="shared" ca="1" si="2640"/>
        <v>0</v>
      </c>
      <c r="AC1213" s="158">
        <f t="shared" ca="1" si="2641"/>
        <v>0</v>
      </c>
      <c r="AD1213" s="164"/>
      <c r="AE1213" s="148">
        <f t="shared" si="2627"/>
        <v>0</v>
      </c>
      <c r="AF1213" s="149"/>
      <c r="AG1213" s="150"/>
      <c r="AH1213" s="159" t="e">
        <f t="shared" si="2628"/>
        <v>#DIV/0!</v>
      </c>
      <c r="AI1213" s="160">
        <v>0</v>
      </c>
      <c r="AJ1213" s="105"/>
      <c r="AK1213" s="105"/>
      <c r="AM1213" s="105"/>
      <c r="AN1213" s="105"/>
      <c r="AO1213" s="105"/>
      <c r="AP1213" s="105"/>
      <c r="AQ1213" s="105"/>
      <c r="AR1213" s="105"/>
    </row>
    <row r="1214" spans="1:44" s="49" customFormat="1" ht="49.9" hidden="1" customHeight="1">
      <c r="A1214" s="152">
        <f t="shared" ca="1" si="2629"/>
        <v>0</v>
      </c>
      <c r="B1214" s="153" t="s">
        <v>404</v>
      </c>
      <c r="C1214" s="154" t="str">
        <f t="shared" si="2630"/>
        <v>SV/0085</v>
      </c>
      <c r="D1214" s="154" t="s">
        <v>3549</v>
      </c>
      <c r="E1214" s="155" t="s">
        <v>3991</v>
      </c>
      <c r="F1214" s="154"/>
      <c r="G1214" s="154" t="s">
        <v>1412</v>
      </c>
      <c r="H1214" s="152">
        <v>235.98</v>
      </c>
      <c r="I1214" s="152">
        <v>231.32</v>
      </c>
      <c r="J1214" s="156"/>
      <c r="K1214" s="156"/>
      <c r="L1214" s="156">
        <f t="shared" si="2631"/>
        <v>0</v>
      </c>
      <c r="M1214" s="156">
        <f t="shared" si="2632"/>
        <v>0</v>
      </c>
      <c r="N1214" s="156" t="s">
        <v>83</v>
      </c>
      <c r="O1214" s="157" cm="1">
        <f t="array" ref="O1214">TRUNC($H1214*(1+_xlfn.SWITCH($N1214,"BDI 1",$O$6,"BDI 2",$O$7,"BDI 3",$O$8)),2)</f>
        <v>284.82</v>
      </c>
      <c r="P1214" s="157" cm="1">
        <f t="array" ref="P1214">TRUNC($I1214*(1+_xlfn.SWITCH($N1214,"BDI 1",$P$6,"BDI 2",$P$7,"BDI 3",$P$8)),2)</f>
        <v>293.17</v>
      </c>
      <c r="Q1214" s="157">
        <v>0</v>
      </c>
      <c r="R1214" s="157">
        <f t="shared" ref="R1214" si="2690">$Q1214-($Q1214*LICITACAO_DESCONTO)</f>
        <v>0</v>
      </c>
      <c r="S1214" s="156">
        <f t="shared" si="2634"/>
        <v>0</v>
      </c>
      <c r="T1214" s="156">
        <f t="shared" si="2635"/>
        <v>0</v>
      </c>
      <c r="U1214" s="156">
        <f t="shared" si="2636"/>
        <v>0</v>
      </c>
      <c r="V1214" s="156">
        <f t="shared" si="2637"/>
        <v>0</v>
      </c>
      <c r="W1214" s="156">
        <f t="shared" si="2624"/>
        <v>0</v>
      </c>
      <c r="X1214" s="158">
        <f t="shared" ref="X1214" si="2691">$S1214/ORCAMENTO_VALOR_TOTAL_ND</f>
        <v>0</v>
      </c>
      <c r="Y1214" s="158">
        <f t="shared" ref="Y1214" si="2692">$T1214/ORCAMENTO_VALOR_TOTAL_DE</f>
        <v>0</v>
      </c>
      <c r="Z1214" s="158" cm="1">
        <f t="array" ref="Z1214">_xlfn.SWITCH($N1214,"BDI 1",$O$6,"BDI 2",$O$7,"BDI 3",$O$8)</f>
        <v>0.20699999999999999</v>
      </c>
      <c r="AA1214" s="158" cm="1">
        <f t="array" ref="AA1214">_xlfn.SWITCH($N1214,"BDI 1",$P$6,"BDI 2",$P$7,"BDI 3",$P$8)</f>
        <v>0.26739999999999997</v>
      </c>
      <c r="AB1214" s="158">
        <f t="shared" ca="1" si="2640"/>
        <v>0</v>
      </c>
      <c r="AC1214" s="158">
        <f t="shared" ca="1" si="2641"/>
        <v>0</v>
      </c>
      <c r="AD1214" s="164"/>
      <c r="AE1214" s="148">
        <f t="shared" si="2627"/>
        <v>0</v>
      </c>
      <c r="AF1214" s="149"/>
      <c r="AG1214" s="150"/>
      <c r="AH1214" s="159" t="e">
        <f t="shared" si="2628"/>
        <v>#DIV/0!</v>
      </c>
      <c r="AI1214" s="160">
        <v>0</v>
      </c>
      <c r="AJ1214" s="105"/>
      <c r="AK1214" s="105"/>
      <c r="AM1214" s="105"/>
      <c r="AN1214" s="105"/>
      <c r="AO1214" s="105"/>
      <c r="AP1214" s="105"/>
      <c r="AQ1214" s="105"/>
      <c r="AR1214" s="105"/>
    </row>
    <row r="1215" spans="1:44" s="49" customFormat="1" ht="60" hidden="1" customHeight="1">
      <c r="A1215" s="152">
        <f t="shared" ca="1" si="2629"/>
        <v>0</v>
      </c>
      <c r="B1215" s="153" t="s">
        <v>405</v>
      </c>
      <c r="C1215" s="154" t="str">
        <f t="shared" si="2630"/>
        <v>SV/0091</v>
      </c>
      <c r="D1215" s="154" t="s">
        <v>3549</v>
      </c>
      <c r="E1215" s="155" t="s">
        <v>3992</v>
      </c>
      <c r="F1215" s="154"/>
      <c r="G1215" s="154" t="s">
        <v>1412</v>
      </c>
      <c r="H1215" s="152">
        <v>401.06</v>
      </c>
      <c r="I1215" s="152">
        <v>394.58</v>
      </c>
      <c r="J1215" s="156"/>
      <c r="K1215" s="156">
        <f>+Sinal_Via!K291+Sinal_Via!K295</f>
        <v>0</v>
      </c>
      <c r="L1215" s="156">
        <f t="shared" si="2631"/>
        <v>0</v>
      </c>
      <c r="M1215" s="156">
        <f t="shared" si="2632"/>
        <v>0</v>
      </c>
      <c r="N1215" s="156" t="s">
        <v>83</v>
      </c>
      <c r="O1215" s="157" cm="1">
        <f t="array" ref="O1215">TRUNC($H1215*(1+_xlfn.SWITCH($N1215,"BDI 1",$O$6,"BDI 2",$O$7,"BDI 3",$O$8)),2)</f>
        <v>484.07</v>
      </c>
      <c r="P1215" s="157" cm="1">
        <f t="array" ref="P1215">TRUNC($I1215*(1+_xlfn.SWITCH($N1215,"BDI 1",$P$6,"BDI 2",$P$7,"BDI 3",$P$8)),2)</f>
        <v>500.09</v>
      </c>
      <c r="Q1215" s="157">
        <v>0</v>
      </c>
      <c r="R1215" s="157">
        <f t="shared" ref="R1215" si="2693">$Q1215-($Q1215*LICITACAO_DESCONTO)</f>
        <v>0</v>
      </c>
      <c r="S1215" s="156">
        <f t="shared" si="2634"/>
        <v>0</v>
      </c>
      <c r="T1215" s="156">
        <f t="shared" si="2635"/>
        <v>0</v>
      </c>
      <c r="U1215" s="156">
        <f t="shared" si="2636"/>
        <v>0</v>
      </c>
      <c r="V1215" s="156">
        <f t="shared" si="2637"/>
        <v>0</v>
      </c>
      <c r="W1215" s="156">
        <f t="shared" si="2624"/>
        <v>0</v>
      </c>
      <c r="X1215" s="158">
        <f t="shared" ref="X1215" si="2694">$S1215/ORCAMENTO_VALOR_TOTAL_ND</f>
        <v>0</v>
      </c>
      <c r="Y1215" s="158">
        <f t="shared" ref="Y1215" si="2695">$T1215/ORCAMENTO_VALOR_TOTAL_DE</f>
        <v>0</v>
      </c>
      <c r="Z1215" s="158" cm="1">
        <f t="array" ref="Z1215">_xlfn.SWITCH($N1215,"BDI 1",$O$6,"BDI 2",$O$7,"BDI 3",$O$8)</f>
        <v>0.20699999999999999</v>
      </c>
      <c r="AA1215" s="158" cm="1">
        <f t="array" ref="AA1215">_xlfn.SWITCH($N1215,"BDI 1",$P$6,"BDI 2",$P$7,"BDI 3",$P$8)</f>
        <v>0.26739999999999997</v>
      </c>
      <c r="AB1215" s="158">
        <f t="shared" ca="1" si="2640"/>
        <v>0</v>
      </c>
      <c r="AC1215" s="158">
        <f t="shared" ca="1" si="2641"/>
        <v>0</v>
      </c>
      <c r="AD1215" s="164"/>
      <c r="AE1215" s="148">
        <f t="shared" si="2627"/>
        <v>0</v>
      </c>
      <c r="AF1215" s="149"/>
      <c r="AG1215" s="150"/>
      <c r="AH1215" s="159" t="e">
        <f t="shared" si="2628"/>
        <v>#DIV/0!</v>
      </c>
      <c r="AI1215" s="160">
        <v>0</v>
      </c>
      <c r="AJ1215" s="105"/>
      <c r="AK1215" s="105"/>
      <c r="AM1215" s="105"/>
      <c r="AN1215" s="105"/>
      <c r="AO1215" s="105"/>
      <c r="AP1215" s="105"/>
      <c r="AQ1215" s="105"/>
      <c r="AR1215" s="105"/>
    </row>
    <row r="1216" spans="1:44" s="49" customFormat="1" ht="40.15" hidden="1" customHeight="1">
      <c r="A1216" s="152">
        <f t="shared" ca="1" si="2629"/>
        <v>0</v>
      </c>
      <c r="B1216" s="153" t="s">
        <v>406</v>
      </c>
      <c r="C1216" s="154" t="str">
        <f t="shared" si="2630"/>
        <v>SV/0095</v>
      </c>
      <c r="D1216" s="154" t="s">
        <v>3549</v>
      </c>
      <c r="E1216" s="155" t="s">
        <v>3993</v>
      </c>
      <c r="F1216" s="154"/>
      <c r="G1216" s="154" t="s">
        <v>1412</v>
      </c>
      <c r="H1216" s="152">
        <v>86.54</v>
      </c>
      <c r="I1216" s="152">
        <v>84.45</v>
      </c>
      <c r="J1216" s="156"/>
      <c r="K1216" s="156"/>
      <c r="L1216" s="156">
        <f t="shared" si="2631"/>
        <v>0</v>
      </c>
      <c r="M1216" s="156">
        <f t="shared" si="2632"/>
        <v>0</v>
      </c>
      <c r="N1216" s="156" t="s">
        <v>83</v>
      </c>
      <c r="O1216" s="157" cm="1">
        <f t="array" ref="O1216">TRUNC($H1216*(1+_xlfn.SWITCH($N1216,"BDI 1",$O$6,"BDI 2",$O$7,"BDI 3",$O$8)),2)</f>
        <v>104.45</v>
      </c>
      <c r="P1216" s="157" cm="1">
        <f t="array" ref="P1216">TRUNC($I1216*(1+_xlfn.SWITCH($N1216,"BDI 1",$P$6,"BDI 2",$P$7,"BDI 3",$P$8)),2)</f>
        <v>107.03</v>
      </c>
      <c r="Q1216" s="157">
        <v>0</v>
      </c>
      <c r="R1216" s="157">
        <f t="shared" ref="R1216" si="2696">$Q1216-($Q1216*LICITACAO_DESCONTO)</f>
        <v>0</v>
      </c>
      <c r="S1216" s="156">
        <f t="shared" si="2634"/>
        <v>0</v>
      </c>
      <c r="T1216" s="156">
        <f t="shared" si="2635"/>
        <v>0</v>
      </c>
      <c r="U1216" s="156">
        <f t="shared" si="2636"/>
        <v>0</v>
      </c>
      <c r="V1216" s="156">
        <f t="shared" si="2637"/>
        <v>0</v>
      </c>
      <c r="W1216" s="156">
        <f t="shared" si="2624"/>
        <v>0</v>
      </c>
      <c r="X1216" s="158">
        <f t="shared" ref="X1216" si="2697">$S1216/ORCAMENTO_VALOR_TOTAL_ND</f>
        <v>0</v>
      </c>
      <c r="Y1216" s="158">
        <f t="shared" ref="Y1216" si="2698">$T1216/ORCAMENTO_VALOR_TOTAL_DE</f>
        <v>0</v>
      </c>
      <c r="Z1216" s="158" cm="1">
        <f t="array" ref="Z1216">_xlfn.SWITCH($N1216,"BDI 1",$O$6,"BDI 2",$O$7,"BDI 3",$O$8)</f>
        <v>0.20699999999999999</v>
      </c>
      <c r="AA1216" s="158" cm="1">
        <f t="array" ref="AA1216">_xlfn.SWITCH($N1216,"BDI 1",$P$6,"BDI 2",$P$7,"BDI 3",$P$8)</f>
        <v>0.26739999999999997</v>
      </c>
      <c r="AB1216" s="158">
        <f t="shared" ca="1" si="2640"/>
        <v>0</v>
      </c>
      <c r="AC1216" s="158">
        <f t="shared" ca="1" si="2641"/>
        <v>0</v>
      </c>
      <c r="AD1216" s="164"/>
      <c r="AE1216" s="148">
        <f t="shared" si="2627"/>
        <v>0</v>
      </c>
      <c r="AF1216" s="149"/>
      <c r="AG1216" s="150"/>
      <c r="AH1216" s="159" t="e">
        <f t="shared" si="2628"/>
        <v>#DIV/0!</v>
      </c>
      <c r="AI1216" s="160">
        <v>0</v>
      </c>
      <c r="AJ1216" s="105"/>
      <c r="AK1216" s="105"/>
      <c r="AM1216" s="105"/>
      <c r="AN1216" s="105"/>
      <c r="AO1216" s="105"/>
      <c r="AP1216" s="105"/>
      <c r="AQ1216" s="105"/>
      <c r="AR1216" s="105"/>
    </row>
    <row r="1217" spans="1:44" s="49" customFormat="1" ht="40.15" hidden="1" customHeight="1">
      <c r="A1217" s="152">
        <f t="shared" ca="1" si="2629"/>
        <v>0</v>
      </c>
      <c r="B1217" s="153" t="s">
        <v>407</v>
      </c>
      <c r="C1217" s="154" t="str">
        <f t="shared" si="2630"/>
        <v>SV/0100</v>
      </c>
      <c r="D1217" s="154" t="s">
        <v>3549</v>
      </c>
      <c r="E1217" s="155" t="s">
        <v>3994</v>
      </c>
      <c r="F1217" s="154"/>
      <c r="G1217" s="154" t="s">
        <v>1412</v>
      </c>
      <c r="H1217" s="152">
        <v>650.21</v>
      </c>
      <c r="I1217" s="152">
        <v>639.91</v>
      </c>
      <c r="J1217" s="156"/>
      <c r="K1217" s="156">
        <f>+K1212</f>
        <v>0</v>
      </c>
      <c r="L1217" s="156">
        <f t="shared" si="2631"/>
        <v>0</v>
      </c>
      <c r="M1217" s="156">
        <f t="shared" si="2632"/>
        <v>0</v>
      </c>
      <c r="N1217" s="156" t="s">
        <v>83</v>
      </c>
      <c r="O1217" s="157" cm="1">
        <f t="array" ref="O1217">TRUNC($H1217*(1+_xlfn.SWITCH($N1217,"BDI 1",$O$6,"BDI 2",$O$7,"BDI 3",$O$8)),2)</f>
        <v>784.8</v>
      </c>
      <c r="P1217" s="157" cm="1">
        <f t="array" ref="P1217">TRUNC($I1217*(1+_xlfn.SWITCH($N1217,"BDI 1",$P$6,"BDI 2",$P$7,"BDI 3",$P$8)),2)</f>
        <v>811.02</v>
      </c>
      <c r="Q1217" s="157">
        <v>0</v>
      </c>
      <c r="R1217" s="157">
        <f t="shared" ref="R1217" si="2699">$Q1217-($Q1217*LICITACAO_DESCONTO)</f>
        <v>0</v>
      </c>
      <c r="S1217" s="156">
        <f t="shared" si="2634"/>
        <v>0</v>
      </c>
      <c r="T1217" s="156">
        <f t="shared" si="2635"/>
        <v>0</v>
      </c>
      <c r="U1217" s="156">
        <f t="shared" si="2636"/>
        <v>0</v>
      </c>
      <c r="V1217" s="156">
        <f t="shared" si="2637"/>
        <v>0</v>
      </c>
      <c r="W1217" s="156">
        <f t="shared" si="2624"/>
        <v>0</v>
      </c>
      <c r="X1217" s="158">
        <f t="shared" ref="X1217" si="2700">$S1217/ORCAMENTO_VALOR_TOTAL_ND</f>
        <v>0</v>
      </c>
      <c r="Y1217" s="158">
        <f t="shared" ref="Y1217" si="2701">$T1217/ORCAMENTO_VALOR_TOTAL_DE</f>
        <v>0</v>
      </c>
      <c r="Z1217" s="158" cm="1">
        <f t="array" ref="Z1217">_xlfn.SWITCH($N1217,"BDI 1",$O$6,"BDI 2",$O$7,"BDI 3",$O$8)</f>
        <v>0.20699999999999999</v>
      </c>
      <c r="AA1217" s="158" cm="1">
        <f t="array" ref="AA1217">_xlfn.SWITCH($N1217,"BDI 1",$P$6,"BDI 2",$P$7,"BDI 3",$P$8)</f>
        <v>0.26739999999999997</v>
      </c>
      <c r="AB1217" s="158">
        <f t="shared" ca="1" si="2640"/>
        <v>0</v>
      </c>
      <c r="AC1217" s="158">
        <f t="shared" ca="1" si="2641"/>
        <v>0</v>
      </c>
      <c r="AD1217" s="164"/>
      <c r="AE1217" s="148">
        <f t="shared" si="2627"/>
        <v>0</v>
      </c>
      <c r="AF1217" s="149"/>
      <c r="AG1217" s="150"/>
      <c r="AH1217" s="159" t="e">
        <f t="shared" si="2628"/>
        <v>#DIV/0!</v>
      </c>
      <c r="AI1217" s="160">
        <v>0</v>
      </c>
      <c r="AJ1217" s="105"/>
      <c r="AK1217" s="105"/>
      <c r="AM1217" s="105"/>
      <c r="AN1217" s="105"/>
      <c r="AO1217" s="105"/>
      <c r="AP1217" s="105"/>
      <c r="AQ1217" s="105"/>
      <c r="AR1217" s="105"/>
    </row>
    <row r="1218" spans="1:44" s="49" customFormat="1" ht="40.15" hidden="1" customHeight="1">
      <c r="A1218" s="152">
        <f t="shared" ca="1" si="2629"/>
        <v>0</v>
      </c>
      <c r="B1218" s="153" t="s">
        <v>408</v>
      </c>
      <c r="C1218" s="154" t="str">
        <f t="shared" si="2630"/>
        <v>SV/0109</v>
      </c>
      <c r="D1218" s="154" t="s">
        <v>3549</v>
      </c>
      <c r="E1218" s="155" t="s">
        <v>3995</v>
      </c>
      <c r="F1218" s="154"/>
      <c r="G1218" s="154" t="s">
        <v>1414</v>
      </c>
      <c r="H1218" s="152">
        <v>495.58</v>
      </c>
      <c r="I1218" s="152">
        <v>492.22</v>
      </c>
      <c r="J1218" s="156"/>
      <c r="K1218" s="156">
        <f>+Sinal_Via!K280</f>
        <v>0</v>
      </c>
      <c r="L1218" s="156">
        <f t="shared" si="2631"/>
        <v>0</v>
      </c>
      <c r="M1218" s="156">
        <f t="shared" si="2632"/>
        <v>0</v>
      </c>
      <c r="N1218" s="156" t="s">
        <v>83</v>
      </c>
      <c r="O1218" s="157" cm="1">
        <f t="array" ref="O1218">TRUNC($H1218*(1+_xlfn.SWITCH($N1218,"BDI 1",$O$6,"BDI 2",$O$7,"BDI 3",$O$8)),2)</f>
        <v>598.16</v>
      </c>
      <c r="P1218" s="157" cm="1">
        <f t="array" ref="P1218">TRUNC($I1218*(1+_xlfn.SWITCH($N1218,"BDI 1",$P$6,"BDI 2",$P$7,"BDI 3",$P$8)),2)</f>
        <v>623.83000000000004</v>
      </c>
      <c r="Q1218" s="157">
        <v>0</v>
      </c>
      <c r="R1218" s="157">
        <f t="shared" ref="R1218" si="2702">$Q1218-($Q1218*LICITACAO_DESCONTO)</f>
        <v>0</v>
      </c>
      <c r="S1218" s="156">
        <f t="shared" si="2634"/>
        <v>0</v>
      </c>
      <c r="T1218" s="156">
        <f t="shared" si="2635"/>
        <v>0</v>
      </c>
      <c r="U1218" s="156">
        <f t="shared" si="2636"/>
        <v>0</v>
      </c>
      <c r="V1218" s="156">
        <f t="shared" si="2637"/>
        <v>0</v>
      </c>
      <c r="W1218" s="156">
        <f t="shared" si="2624"/>
        <v>0</v>
      </c>
      <c r="X1218" s="158">
        <f t="shared" ref="X1218" si="2703">$S1218/ORCAMENTO_VALOR_TOTAL_ND</f>
        <v>0</v>
      </c>
      <c r="Y1218" s="158">
        <f t="shared" ref="Y1218" si="2704">$T1218/ORCAMENTO_VALOR_TOTAL_DE</f>
        <v>0</v>
      </c>
      <c r="Z1218" s="158" cm="1">
        <f t="array" ref="Z1218">_xlfn.SWITCH($N1218,"BDI 1",$O$6,"BDI 2",$O$7,"BDI 3",$O$8)</f>
        <v>0.20699999999999999</v>
      </c>
      <c r="AA1218" s="158" cm="1">
        <f t="array" ref="AA1218">_xlfn.SWITCH($N1218,"BDI 1",$P$6,"BDI 2",$P$7,"BDI 3",$P$8)</f>
        <v>0.26739999999999997</v>
      </c>
      <c r="AB1218" s="158">
        <f t="shared" ca="1" si="2640"/>
        <v>0</v>
      </c>
      <c r="AC1218" s="158">
        <f t="shared" ca="1" si="2641"/>
        <v>0</v>
      </c>
      <c r="AD1218" s="164"/>
      <c r="AE1218" s="148">
        <f t="shared" si="2627"/>
        <v>0</v>
      </c>
      <c r="AF1218" s="149"/>
      <c r="AG1218" s="150"/>
      <c r="AH1218" s="159" t="e">
        <f t="shared" si="2628"/>
        <v>#DIV/0!</v>
      </c>
      <c r="AI1218" s="160">
        <v>0</v>
      </c>
      <c r="AJ1218" s="105"/>
      <c r="AK1218" s="105"/>
      <c r="AM1218" s="105"/>
      <c r="AN1218" s="105"/>
      <c r="AO1218" s="105"/>
      <c r="AP1218" s="105"/>
      <c r="AQ1218" s="105"/>
      <c r="AR1218" s="105"/>
    </row>
    <row r="1219" spans="1:44" s="49" customFormat="1" ht="40.15" hidden="1" customHeight="1">
      <c r="A1219" s="152">
        <f t="shared" ca="1" si="2629"/>
        <v>0</v>
      </c>
      <c r="B1219" s="153" t="s">
        <v>408</v>
      </c>
      <c r="C1219" s="154" t="str">
        <f t="shared" si="2630"/>
        <v>SV/0109</v>
      </c>
      <c r="D1219" s="154" t="s">
        <v>3549</v>
      </c>
      <c r="E1219" s="155" t="s">
        <v>3995</v>
      </c>
      <c r="F1219" s="154"/>
      <c r="G1219" s="154" t="s">
        <v>1414</v>
      </c>
      <c r="H1219" s="152">
        <v>495.58</v>
      </c>
      <c r="I1219" s="152">
        <v>492.22</v>
      </c>
      <c r="J1219" s="156"/>
      <c r="K1219" s="156"/>
      <c r="L1219" s="156">
        <f t="shared" si="2631"/>
        <v>0</v>
      </c>
      <c r="M1219" s="156">
        <f t="shared" si="2632"/>
        <v>0</v>
      </c>
      <c r="N1219" s="156" t="s">
        <v>83</v>
      </c>
      <c r="O1219" s="157" cm="1">
        <f t="array" ref="O1219">TRUNC($H1219*(1+_xlfn.SWITCH($N1219,"BDI 1",$O$6,"BDI 2",$O$7,"BDI 3",$O$8)),2)</f>
        <v>598.16</v>
      </c>
      <c r="P1219" s="157" cm="1">
        <f t="array" ref="P1219">TRUNC($I1219*(1+_xlfn.SWITCH($N1219,"BDI 1",$P$6,"BDI 2",$P$7,"BDI 3",$P$8)),2)</f>
        <v>623.83000000000004</v>
      </c>
      <c r="Q1219" s="157">
        <v>0</v>
      </c>
      <c r="R1219" s="157">
        <f t="shared" ref="R1219" si="2705">$Q1219-($Q1219*LICITACAO_DESCONTO)</f>
        <v>0</v>
      </c>
      <c r="S1219" s="156">
        <f t="shared" si="2634"/>
        <v>0</v>
      </c>
      <c r="T1219" s="156">
        <f t="shared" si="2635"/>
        <v>0</v>
      </c>
      <c r="U1219" s="156">
        <f t="shared" si="2636"/>
        <v>0</v>
      </c>
      <c r="V1219" s="156">
        <f t="shared" si="2637"/>
        <v>0</v>
      </c>
      <c r="W1219" s="156">
        <f t="shared" si="2624"/>
        <v>0</v>
      </c>
      <c r="X1219" s="158">
        <f t="shared" ref="X1219" si="2706">$S1219/ORCAMENTO_VALOR_TOTAL_ND</f>
        <v>0</v>
      </c>
      <c r="Y1219" s="158">
        <f t="shared" ref="Y1219" si="2707">$T1219/ORCAMENTO_VALOR_TOTAL_DE</f>
        <v>0</v>
      </c>
      <c r="Z1219" s="158" cm="1">
        <f t="array" ref="Z1219">_xlfn.SWITCH($N1219,"BDI 1",$O$6,"BDI 2",$O$7,"BDI 3",$O$8)</f>
        <v>0.20699999999999999</v>
      </c>
      <c r="AA1219" s="158" cm="1">
        <f t="array" ref="AA1219">_xlfn.SWITCH($N1219,"BDI 1",$P$6,"BDI 2",$P$7,"BDI 3",$P$8)</f>
        <v>0.26739999999999997</v>
      </c>
      <c r="AB1219" s="158">
        <f t="shared" ca="1" si="2640"/>
        <v>0</v>
      </c>
      <c r="AC1219" s="158">
        <f t="shared" ca="1" si="2641"/>
        <v>0</v>
      </c>
      <c r="AD1219" s="164"/>
      <c r="AE1219" s="148">
        <f t="shared" si="2627"/>
        <v>0</v>
      </c>
      <c r="AF1219" s="149"/>
      <c r="AG1219" s="150"/>
      <c r="AH1219" s="159" t="e">
        <f t="shared" si="2628"/>
        <v>#DIV/0!</v>
      </c>
      <c r="AI1219" s="160">
        <v>0</v>
      </c>
      <c r="AJ1219" s="105"/>
      <c r="AK1219" s="105"/>
      <c r="AM1219" s="105"/>
      <c r="AN1219" s="105"/>
      <c r="AO1219" s="105"/>
      <c r="AP1219" s="105"/>
      <c r="AQ1219" s="105"/>
      <c r="AR1219" s="105"/>
    </row>
    <row r="1220" spans="1:44" s="49" customFormat="1" ht="40.15" hidden="1" customHeight="1">
      <c r="A1220" s="152">
        <f t="shared" ca="1" si="2629"/>
        <v>0</v>
      </c>
      <c r="B1220" s="153">
        <v>34721</v>
      </c>
      <c r="C1220" s="154" t="str">
        <f t="shared" si="2630"/>
        <v>34721</v>
      </c>
      <c r="D1220" s="154" t="s">
        <v>3579</v>
      </c>
      <c r="E1220" s="155" t="s">
        <v>3996</v>
      </c>
      <c r="F1220" s="154"/>
      <c r="G1220" s="154" t="s">
        <v>1418</v>
      </c>
      <c r="H1220" s="152">
        <v>720</v>
      </c>
      <c r="I1220" s="152">
        <v>720</v>
      </c>
      <c r="J1220" s="156"/>
      <c r="K1220" s="156">
        <f>+Sinal_Via!K290</f>
        <v>0</v>
      </c>
      <c r="L1220" s="156">
        <f t="shared" si="2631"/>
        <v>0</v>
      </c>
      <c r="M1220" s="156">
        <f t="shared" si="2632"/>
        <v>0</v>
      </c>
      <c r="N1220" s="156" t="s">
        <v>92</v>
      </c>
      <c r="O1220" s="157" cm="1">
        <f t="array" ref="O1220">TRUNC($H1220*(1+_xlfn.SWITCH($N1220,"BDI 1",$O$6,"BDI 2",$O$7,"BDI 3",$O$8)),2)</f>
        <v>829.94</v>
      </c>
      <c r="P1220" s="157" cm="1">
        <f t="array" ref="P1220">TRUNC($I1220*(1+_xlfn.SWITCH($N1220,"BDI 1",$P$6,"BDI 2",$P$7,"BDI 3",$P$8)),2)</f>
        <v>829.94</v>
      </c>
      <c r="Q1220" s="157">
        <v>0</v>
      </c>
      <c r="R1220" s="157">
        <f t="shared" ref="R1220" si="2708">$Q1220-($Q1220*LICITACAO_DESCONTO)</f>
        <v>0</v>
      </c>
      <c r="S1220" s="156">
        <f t="shared" si="2634"/>
        <v>0</v>
      </c>
      <c r="T1220" s="156">
        <f t="shared" si="2635"/>
        <v>0</v>
      </c>
      <c r="U1220" s="156">
        <f t="shared" si="2636"/>
        <v>0</v>
      </c>
      <c r="V1220" s="156">
        <f t="shared" si="2637"/>
        <v>0</v>
      </c>
      <c r="W1220" s="156">
        <f t="shared" si="2624"/>
        <v>0</v>
      </c>
      <c r="X1220" s="158">
        <f t="shared" ref="X1220" si="2709">$S1220/ORCAMENTO_VALOR_TOTAL_ND</f>
        <v>0</v>
      </c>
      <c r="Y1220" s="158">
        <f t="shared" ref="Y1220" si="2710">$T1220/ORCAMENTO_VALOR_TOTAL_DE</f>
        <v>0</v>
      </c>
      <c r="Z1220" s="158" cm="1">
        <f t="array" ref="Z1220">_xlfn.SWITCH($N1220,"BDI 1",$O$6,"BDI 2",$O$7,"BDI 3",$O$8)</f>
        <v>0.1527</v>
      </c>
      <c r="AA1220" s="158" cm="1">
        <f t="array" ref="AA1220">_xlfn.SWITCH($N1220,"BDI 1",$P$6,"BDI 2",$P$7,"BDI 3",$P$8)</f>
        <v>0.1527</v>
      </c>
      <c r="AB1220" s="158">
        <f t="shared" ca="1" si="2640"/>
        <v>0</v>
      </c>
      <c r="AC1220" s="158">
        <f t="shared" ca="1" si="2641"/>
        <v>0</v>
      </c>
      <c r="AD1220" s="164"/>
      <c r="AE1220" s="148">
        <f t="shared" si="2627"/>
        <v>0</v>
      </c>
      <c r="AF1220" s="149"/>
      <c r="AG1220" s="150"/>
      <c r="AH1220" s="159" t="e">
        <f t="shared" si="2628"/>
        <v>#DIV/0!</v>
      </c>
      <c r="AI1220" s="160">
        <v>0</v>
      </c>
      <c r="AJ1220" s="105"/>
      <c r="AK1220" s="105"/>
      <c r="AM1220" s="105"/>
      <c r="AN1220" s="105"/>
      <c r="AO1220" s="105"/>
      <c r="AP1220" s="105"/>
      <c r="AQ1220" s="105"/>
      <c r="AR1220" s="105"/>
    </row>
    <row r="1221" spans="1:44" s="49" customFormat="1" ht="40.15" hidden="1" customHeight="1">
      <c r="A1221" s="152">
        <f t="shared" ca="1" si="2629"/>
        <v>0</v>
      </c>
      <c r="B1221" s="153">
        <v>13521</v>
      </c>
      <c r="C1221" s="154" t="str">
        <f t="shared" si="2630"/>
        <v>13521</v>
      </c>
      <c r="D1221" s="154" t="s">
        <v>3579</v>
      </c>
      <c r="E1221" s="155" t="s">
        <v>3997</v>
      </c>
      <c r="F1221" s="154"/>
      <c r="G1221" s="154" t="s">
        <v>1412</v>
      </c>
      <c r="H1221" s="152">
        <v>82.5</v>
      </c>
      <c r="I1221" s="152">
        <v>82.5</v>
      </c>
      <c r="J1221" s="156"/>
      <c r="K1221" s="156">
        <f>+Sinal_Via!K294</f>
        <v>0</v>
      </c>
      <c r="L1221" s="156">
        <f t="shared" si="2631"/>
        <v>0</v>
      </c>
      <c r="M1221" s="156">
        <f t="shared" si="2632"/>
        <v>0</v>
      </c>
      <c r="N1221" s="156" t="s">
        <v>92</v>
      </c>
      <c r="O1221" s="157" cm="1">
        <f t="array" ref="O1221">TRUNC($H1221*(1+_xlfn.SWITCH($N1221,"BDI 1",$O$6,"BDI 2",$O$7,"BDI 3",$O$8)),2)</f>
        <v>95.09</v>
      </c>
      <c r="P1221" s="157" cm="1">
        <f t="array" ref="P1221">TRUNC($I1221*(1+_xlfn.SWITCH($N1221,"BDI 1",$P$6,"BDI 2",$P$7,"BDI 3",$P$8)),2)</f>
        <v>95.09</v>
      </c>
      <c r="Q1221" s="157">
        <v>0</v>
      </c>
      <c r="R1221" s="157">
        <f t="shared" ref="R1221" si="2711">$Q1221-($Q1221*LICITACAO_DESCONTO)</f>
        <v>0</v>
      </c>
      <c r="S1221" s="156">
        <f t="shared" si="2634"/>
        <v>0</v>
      </c>
      <c r="T1221" s="156">
        <f t="shared" si="2635"/>
        <v>0</v>
      </c>
      <c r="U1221" s="156">
        <f t="shared" si="2636"/>
        <v>0</v>
      </c>
      <c r="V1221" s="156">
        <f t="shared" si="2637"/>
        <v>0</v>
      </c>
      <c r="W1221" s="156">
        <f t="shared" si="2624"/>
        <v>0</v>
      </c>
      <c r="X1221" s="158">
        <f t="shared" ref="X1221" si="2712">$S1221/ORCAMENTO_VALOR_TOTAL_ND</f>
        <v>0</v>
      </c>
      <c r="Y1221" s="158">
        <f t="shared" ref="Y1221" si="2713">$T1221/ORCAMENTO_VALOR_TOTAL_DE</f>
        <v>0</v>
      </c>
      <c r="Z1221" s="158" cm="1">
        <f t="array" ref="Z1221">_xlfn.SWITCH($N1221,"BDI 1",$O$6,"BDI 2",$O$7,"BDI 3",$O$8)</f>
        <v>0.1527</v>
      </c>
      <c r="AA1221" s="158" cm="1">
        <f t="array" ref="AA1221">_xlfn.SWITCH($N1221,"BDI 1",$P$6,"BDI 2",$P$7,"BDI 3",$P$8)</f>
        <v>0.1527</v>
      </c>
      <c r="AB1221" s="158">
        <f t="shared" ca="1" si="2640"/>
        <v>0</v>
      </c>
      <c r="AC1221" s="158">
        <f t="shared" ca="1" si="2641"/>
        <v>0</v>
      </c>
      <c r="AD1221" s="164"/>
      <c r="AE1221" s="148">
        <f t="shared" si="2627"/>
        <v>0</v>
      </c>
      <c r="AF1221" s="149"/>
      <c r="AG1221" s="150"/>
      <c r="AH1221" s="159" t="e">
        <f t="shared" si="2628"/>
        <v>#DIV/0!</v>
      </c>
      <c r="AI1221" s="160">
        <v>0</v>
      </c>
      <c r="AJ1221" s="105"/>
      <c r="AK1221" s="105"/>
      <c r="AM1221" s="105"/>
      <c r="AN1221" s="105"/>
      <c r="AO1221" s="105"/>
      <c r="AP1221" s="105"/>
      <c r="AQ1221" s="105"/>
      <c r="AR1221" s="105"/>
    </row>
    <row r="1222" spans="1:44" s="49" customFormat="1" ht="40.15" hidden="1" customHeight="1">
      <c r="A1222" s="152">
        <f t="shared" ca="1" si="2629"/>
        <v>0</v>
      </c>
      <c r="B1222" s="153">
        <v>97669</v>
      </c>
      <c r="C1222" s="154" t="str">
        <f t="shared" si="2630"/>
        <v>97669</v>
      </c>
      <c r="D1222" s="154" t="s">
        <v>1416</v>
      </c>
      <c r="E1222" s="155" t="s">
        <v>3998</v>
      </c>
      <c r="F1222" s="154"/>
      <c r="G1222" s="154" t="s">
        <v>58</v>
      </c>
      <c r="H1222" s="152">
        <v>18.690000000000001</v>
      </c>
      <c r="I1222" s="152">
        <v>18.03</v>
      </c>
      <c r="J1222" s="156"/>
      <c r="K1222" s="156">
        <f>+Sinal_Via!K399</f>
        <v>0</v>
      </c>
      <c r="L1222" s="156">
        <f t="shared" si="2631"/>
        <v>0</v>
      </c>
      <c r="M1222" s="156">
        <f t="shared" si="2632"/>
        <v>0</v>
      </c>
      <c r="N1222" s="156" t="s">
        <v>83</v>
      </c>
      <c r="O1222" s="157" cm="1">
        <f t="array" ref="O1222">TRUNC($H1222*(1+_xlfn.SWITCH($N1222,"BDI 1",$O$6,"BDI 2",$O$7,"BDI 3",$O$8)),2)</f>
        <v>22.55</v>
      </c>
      <c r="P1222" s="157" cm="1">
        <f t="array" ref="P1222">TRUNC($I1222*(1+_xlfn.SWITCH($N1222,"BDI 1",$P$6,"BDI 2",$P$7,"BDI 3",$P$8)),2)</f>
        <v>22.85</v>
      </c>
      <c r="Q1222" s="157">
        <v>0</v>
      </c>
      <c r="R1222" s="157">
        <f t="shared" ref="R1222" si="2714">$Q1222-($Q1222*LICITACAO_DESCONTO)</f>
        <v>0</v>
      </c>
      <c r="S1222" s="156">
        <f t="shared" si="2634"/>
        <v>0</v>
      </c>
      <c r="T1222" s="156">
        <f t="shared" si="2635"/>
        <v>0</v>
      </c>
      <c r="U1222" s="156">
        <f t="shared" si="2636"/>
        <v>0</v>
      </c>
      <c r="V1222" s="156">
        <f t="shared" si="2637"/>
        <v>0</v>
      </c>
      <c r="W1222" s="156">
        <f t="shared" si="2624"/>
        <v>0</v>
      </c>
      <c r="X1222" s="158">
        <f t="shared" ref="X1222" si="2715">$S1222/ORCAMENTO_VALOR_TOTAL_ND</f>
        <v>0</v>
      </c>
      <c r="Y1222" s="158">
        <f t="shared" ref="Y1222" si="2716">$T1222/ORCAMENTO_VALOR_TOTAL_DE</f>
        <v>0</v>
      </c>
      <c r="Z1222" s="158" cm="1">
        <f t="array" ref="Z1222">_xlfn.SWITCH($N1222,"BDI 1",$O$6,"BDI 2",$O$7,"BDI 3",$O$8)</f>
        <v>0.20699999999999999</v>
      </c>
      <c r="AA1222" s="158" cm="1">
        <f t="array" ref="AA1222">_xlfn.SWITCH($N1222,"BDI 1",$P$6,"BDI 2",$P$7,"BDI 3",$P$8)</f>
        <v>0.26739999999999997</v>
      </c>
      <c r="AB1222" s="158">
        <f t="shared" ca="1" si="2640"/>
        <v>0</v>
      </c>
      <c r="AC1222" s="158">
        <f t="shared" ca="1" si="2641"/>
        <v>0</v>
      </c>
      <c r="AD1222" s="164"/>
      <c r="AE1222" s="148">
        <f t="shared" si="2627"/>
        <v>0</v>
      </c>
      <c r="AF1222" s="149"/>
      <c r="AG1222" s="150"/>
      <c r="AH1222" s="159" t="e">
        <f t="shared" si="2628"/>
        <v>#DIV/0!</v>
      </c>
      <c r="AI1222" s="160">
        <v>0</v>
      </c>
      <c r="AJ1222" s="105"/>
      <c r="AK1222" s="105"/>
      <c r="AM1222" s="105"/>
      <c r="AN1222" s="105"/>
      <c r="AO1222" s="105"/>
      <c r="AP1222" s="105"/>
      <c r="AQ1222" s="105"/>
      <c r="AR1222" s="105"/>
    </row>
    <row r="1223" spans="1:44" s="49" customFormat="1" ht="60" hidden="1" customHeight="1">
      <c r="A1223" s="152">
        <f t="shared" ca="1" si="2629"/>
        <v>0</v>
      </c>
      <c r="B1223" s="153" t="s">
        <v>409</v>
      </c>
      <c r="C1223" s="154" t="str">
        <f t="shared" si="2630"/>
        <v>SV/0116</v>
      </c>
      <c r="D1223" s="154" t="s">
        <v>3549</v>
      </c>
      <c r="E1223" s="155" t="s">
        <v>3999</v>
      </c>
      <c r="F1223" s="154"/>
      <c r="G1223" s="154" t="s">
        <v>58</v>
      </c>
      <c r="H1223" s="152">
        <v>146.18</v>
      </c>
      <c r="I1223" s="152">
        <v>139.35</v>
      </c>
      <c r="J1223" s="156"/>
      <c r="K1223" s="156">
        <f>+Sinal_Via!K400</f>
        <v>0</v>
      </c>
      <c r="L1223" s="156">
        <f t="shared" si="2631"/>
        <v>0</v>
      </c>
      <c r="M1223" s="156">
        <f t="shared" si="2632"/>
        <v>0</v>
      </c>
      <c r="N1223" s="156" t="s">
        <v>83</v>
      </c>
      <c r="O1223" s="157" cm="1">
        <f t="array" ref="O1223">TRUNC($H1223*(1+_xlfn.SWITCH($N1223,"BDI 1",$O$6,"BDI 2",$O$7,"BDI 3",$O$8)),2)</f>
        <v>176.43</v>
      </c>
      <c r="P1223" s="157" cm="1">
        <f t="array" ref="P1223">TRUNC($I1223*(1+_xlfn.SWITCH($N1223,"BDI 1",$P$6,"BDI 2",$P$7,"BDI 3",$P$8)),2)</f>
        <v>176.61</v>
      </c>
      <c r="Q1223" s="157">
        <v>0</v>
      </c>
      <c r="R1223" s="157">
        <f t="shared" ref="R1223" si="2717">$Q1223-($Q1223*LICITACAO_DESCONTO)</f>
        <v>0</v>
      </c>
      <c r="S1223" s="156">
        <f t="shared" si="2634"/>
        <v>0</v>
      </c>
      <c r="T1223" s="156">
        <f t="shared" si="2635"/>
        <v>0</v>
      </c>
      <c r="U1223" s="156">
        <f t="shared" si="2636"/>
        <v>0</v>
      </c>
      <c r="V1223" s="156">
        <f t="shared" si="2637"/>
        <v>0</v>
      </c>
      <c r="W1223" s="156">
        <f t="shared" si="2624"/>
        <v>0</v>
      </c>
      <c r="X1223" s="158">
        <f t="shared" ref="X1223" si="2718">$S1223/ORCAMENTO_VALOR_TOTAL_ND</f>
        <v>0</v>
      </c>
      <c r="Y1223" s="158">
        <f t="shared" ref="Y1223" si="2719">$T1223/ORCAMENTO_VALOR_TOTAL_DE</f>
        <v>0</v>
      </c>
      <c r="Z1223" s="158" cm="1">
        <f t="array" ref="Z1223">_xlfn.SWITCH($N1223,"BDI 1",$O$6,"BDI 2",$O$7,"BDI 3",$O$8)</f>
        <v>0.20699999999999999</v>
      </c>
      <c r="AA1223" s="158" cm="1">
        <f t="array" ref="AA1223">_xlfn.SWITCH($N1223,"BDI 1",$P$6,"BDI 2",$P$7,"BDI 3",$P$8)</f>
        <v>0.26739999999999997</v>
      </c>
      <c r="AB1223" s="158">
        <f t="shared" ca="1" si="2640"/>
        <v>0</v>
      </c>
      <c r="AC1223" s="158">
        <f t="shared" ca="1" si="2641"/>
        <v>0</v>
      </c>
      <c r="AD1223" s="164"/>
      <c r="AE1223" s="148">
        <f t="shared" si="2627"/>
        <v>0</v>
      </c>
      <c r="AF1223" s="149"/>
      <c r="AG1223" s="150"/>
      <c r="AH1223" s="159" t="e">
        <f t="shared" si="2628"/>
        <v>#DIV/0!</v>
      </c>
      <c r="AI1223" s="160">
        <v>0</v>
      </c>
      <c r="AJ1223" s="105"/>
      <c r="AK1223" s="105"/>
      <c r="AM1223" s="105"/>
      <c r="AN1223" s="105"/>
      <c r="AO1223" s="105"/>
      <c r="AP1223" s="105"/>
      <c r="AQ1223" s="105"/>
      <c r="AR1223" s="105"/>
    </row>
    <row r="1224" spans="1:44" s="49" customFormat="1" ht="40.15" hidden="1" customHeight="1">
      <c r="A1224" s="152">
        <f t="shared" ca="1" si="2629"/>
        <v>0</v>
      </c>
      <c r="B1224" s="153">
        <v>97882</v>
      </c>
      <c r="C1224" s="154" t="str">
        <f t="shared" si="2630"/>
        <v>97882</v>
      </c>
      <c r="D1224" s="154" t="s">
        <v>1416</v>
      </c>
      <c r="E1224" s="155" t="s">
        <v>4000</v>
      </c>
      <c r="F1224" s="154"/>
      <c r="G1224" s="154" t="s">
        <v>1412</v>
      </c>
      <c r="H1224" s="152">
        <v>227.67</v>
      </c>
      <c r="I1224" s="152">
        <v>219.08</v>
      </c>
      <c r="J1224" s="156"/>
      <c r="K1224" s="156">
        <f>+Sinal_Via!K401</f>
        <v>0</v>
      </c>
      <c r="L1224" s="156">
        <f t="shared" si="2631"/>
        <v>0</v>
      </c>
      <c r="M1224" s="156">
        <f t="shared" si="2632"/>
        <v>0</v>
      </c>
      <c r="N1224" s="156" t="s">
        <v>83</v>
      </c>
      <c r="O1224" s="157" cm="1">
        <f t="array" ref="O1224">TRUNC($H1224*(1+_xlfn.SWITCH($N1224,"BDI 1",$O$6,"BDI 2",$O$7,"BDI 3",$O$8)),2)</f>
        <v>274.79000000000002</v>
      </c>
      <c r="P1224" s="157" cm="1">
        <f t="array" ref="P1224">TRUNC($I1224*(1+_xlfn.SWITCH($N1224,"BDI 1",$P$6,"BDI 2",$P$7,"BDI 3",$P$8)),2)</f>
        <v>277.66000000000003</v>
      </c>
      <c r="Q1224" s="157">
        <v>0</v>
      </c>
      <c r="R1224" s="157">
        <f t="shared" ref="R1224" si="2720">$Q1224-($Q1224*LICITACAO_DESCONTO)</f>
        <v>0</v>
      </c>
      <c r="S1224" s="156">
        <f t="shared" si="2634"/>
        <v>0</v>
      </c>
      <c r="T1224" s="156">
        <f t="shared" si="2635"/>
        <v>0</v>
      </c>
      <c r="U1224" s="156">
        <f t="shared" si="2636"/>
        <v>0</v>
      </c>
      <c r="V1224" s="156">
        <f t="shared" si="2637"/>
        <v>0</v>
      </c>
      <c r="W1224" s="156">
        <f t="shared" si="2624"/>
        <v>0</v>
      </c>
      <c r="X1224" s="158">
        <f t="shared" ref="X1224" si="2721">$S1224/ORCAMENTO_VALOR_TOTAL_ND</f>
        <v>0</v>
      </c>
      <c r="Y1224" s="158">
        <f t="shared" ref="Y1224" si="2722">$T1224/ORCAMENTO_VALOR_TOTAL_DE</f>
        <v>0</v>
      </c>
      <c r="Z1224" s="158" cm="1">
        <f t="array" ref="Z1224">_xlfn.SWITCH($N1224,"BDI 1",$O$6,"BDI 2",$O$7,"BDI 3",$O$8)</f>
        <v>0.20699999999999999</v>
      </c>
      <c r="AA1224" s="158" cm="1">
        <f t="array" ref="AA1224">_xlfn.SWITCH($N1224,"BDI 1",$P$6,"BDI 2",$P$7,"BDI 3",$P$8)</f>
        <v>0.26739999999999997</v>
      </c>
      <c r="AB1224" s="158">
        <f t="shared" ca="1" si="2640"/>
        <v>0</v>
      </c>
      <c r="AC1224" s="158">
        <f t="shared" ca="1" si="2641"/>
        <v>0</v>
      </c>
      <c r="AD1224" s="164"/>
      <c r="AE1224" s="148">
        <f t="shared" si="2627"/>
        <v>0</v>
      </c>
      <c r="AF1224" s="149"/>
      <c r="AG1224" s="150"/>
      <c r="AH1224" s="159" t="e">
        <f t="shared" si="2628"/>
        <v>#DIV/0!</v>
      </c>
      <c r="AI1224" s="160">
        <v>0</v>
      </c>
      <c r="AJ1224" s="105"/>
      <c r="AK1224" s="105"/>
      <c r="AM1224" s="105"/>
      <c r="AN1224" s="105"/>
      <c r="AO1224" s="105"/>
      <c r="AP1224" s="105"/>
      <c r="AQ1224" s="105"/>
      <c r="AR1224" s="105"/>
    </row>
    <row r="1225" spans="1:44" s="49" customFormat="1" ht="40.15" hidden="1" customHeight="1">
      <c r="A1225" s="152">
        <f t="shared" ca="1" si="2629"/>
        <v>0</v>
      </c>
      <c r="B1225" s="153" t="s">
        <v>410</v>
      </c>
      <c r="C1225" s="154" t="str">
        <f t="shared" si="2630"/>
        <v>SV/0121</v>
      </c>
      <c r="D1225" s="154" t="s">
        <v>3549</v>
      </c>
      <c r="E1225" s="155" t="s">
        <v>4001</v>
      </c>
      <c r="F1225" s="154"/>
      <c r="G1225" s="154" t="s">
        <v>1412</v>
      </c>
      <c r="H1225" s="152">
        <v>287.45</v>
      </c>
      <c r="I1225" s="152">
        <v>283.54000000000002</v>
      </c>
      <c r="J1225" s="156"/>
      <c r="K1225" s="156">
        <f>+Sinal_Via!K401</f>
        <v>0</v>
      </c>
      <c r="L1225" s="156">
        <f t="shared" si="2631"/>
        <v>0</v>
      </c>
      <c r="M1225" s="156">
        <f t="shared" si="2632"/>
        <v>0</v>
      </c>
      <c r="N1225" s="156" t="s">
        <v>83</v>
      </c>
      <c r="O1225" s="157" cm="1">
        <f t="array" ref="O1225">TRUNC($H1225*(1+_xlfn.SWITCH($N1225,"BDI 1",$O$6,"BDI 2",$O$7,"BDI 3",$O$8)),2)</f>
        <v>346.95</v>
      </c>
      <c r="P1225" s="157" cm="1">
        <f t="array" ref="P1225">TRUNC($I1225*(1+_xlfn.SWITCH($N1225,"BDI 1",$P$6,"BDI 2",$P$7,"BDI 3",$P$8)),2)</f>
        <v>359.35</v>
      </c>
      <c r="Q1225" s="157">
        <v>0</v>
      </c>
      <c r="R1225" s="157">
        <f t="shared" ref="R1225" si="2723">$Q1225-($Q1225*LICITACAO_DESCONTO)</f>
        <v>0</v>
      </c>
      <c r="S1225" s="156">
        <f t="shared" si="2634"/>
        <v>0</v>
      </c>
      <c r="T1225" s="156">
        <f t="shared" si="2635"/>
        <v>0</v>
      </c>
      <c r="U1225" s="156">
        <f t="shared" si="2636"/>
        <v>0</v>
      </c>
      <c r="V1225" s="156">
        <f t="shared" si="2637"/>
        <v>0</v>
      </c>
      <c r="W1225" s="156">
        <f t="shared" si="2624"/>
        <v>0</v>
      </c>
      <c r="X1225" s="158">
        <f t="shared" ref="X1225" si="2724">$S1225/ORCAMENTO_VALOR_TOTAL_ND</f>
        <v>0</v>
      </c>
      <c r="Y1225" s="158">
        <f t="shared" ref="Y1225" si="2725">$T1225/ORCAMENTO_VALOR_TOTAL_DE</f>
        <v>0</v>
      </c>
      <c r="Z1225" s="158" cm="1">
        <f t="array" ref="Z1225">_xlfn.SWITCH($N1225,"BDI 1",$O$6,"BDI 2",$O$7,"BDI 3",$O$8)</f>
        <v>0.20699999999999999</v>
      </c>
      <c r="AA1225" s="158" cm="1">
        <f t="array" ref="AA1225">_xlfn.SWITCH($N1225,"BDI 1",$P$6,"BDI 2",$P$7,"BDI 3",$P$8)</f>
        <v>0.26739999999999997</v>
      </c>
      <c r="AB1225" s="158">
        <f t="shared" ca="1" si="2640"/>
        <v>0</v>
      </c>
      <c r="AC1225" s="158">
        <f t="shared" ca="1" si="2641"/>
        <v>0</v>
      </c>
      <c r="AD1225" s="164"/>
      <c r="AE1225" s="148">
        <f t="shared" si="2627"/>
        <v>0</v>
      </c>
      <c r="AF1225" s="149"/>
      <c r="AG1225" s="150"/>
      <c r="AH1225" s="159" t="e">
        <f t="shared" si="2628"/>
        <v>#DIV/0!</v>
      </c>
      <c r="AI1225" s="160">
        <v>0</v>
      </c>
      <c r="AJ1225" s="105"/>
      <c r="AK1225" s="105"/>
      <c r="AM1225" s="105"/>
      <c r="AN1225" s="105"/>
      <c r="AO1225" s="105"/>
      <c r="AP1225" s="105"/>
      <c r="AQ1225" s="105"/>
      <c r="AR1225" s="105"/>
    </row>
    <row r="1226" spans="1:44" s="49" customFormat="1" ht="24.95" customHeight="1">
      <c r="A1226" s="10">
        <f t="shared" ca="1" si="2629"/>
        <v>0</v>
      </c>
      <c r="B1226" s="153"/>
      <c r="C1226" s="154"/>
      <c r="D1226" s="154"/>
      <c r="E1226" s="155"/>
      <c r="F1226" s="154"/>
      <c r="G1226" s="154"/>
      <c r="H1226" s="154"/>
      <c r="I1226" s="154"/>
      <c r="J1226" s="168"/>
      <c r="K1226" s="168"/>
      <c r="L1226" s="168"/>
      <c r="M1226" s="168"/>
      <c r="N1226" s="168"/>
      <c r="O1226" s="157"/>
      <c r="P1226" s="157"/>
      <c r="Q1226" s="157"/>
      <c r="R1226" s="157"/>
      <c r="S1226" s="162"/>
      <c r="T1226" s="162"/>
      <c r="U1226" s="162"/>
      <c r="V1226" s="162"/>
      <c r="W1226" s="162"/>
      <c r="X1226" s="163"/>
      <c r="Y1226" s="163"/>
      <c r="Z1226" s="163"/>
      <c r="AA1226" s="163"/>
      <c r="AB1226" s="163"/>
      <c r="AC1226" s="163"/>
      <c r="AD1226" s="164"/>
      <c r="AE1226" s="148">
        <f ca="1">IF(S1227&gt;0,IFERROR(TRUNC(A1227,0),0),0)</f>
        <v>3</v>
      </c>
      <c r="AF1226" s="149"/>
      <c r="AG1226" s="150"/>
      <c r="AH1226" s="159"/>
      <c r="AI1226" s="160"/>
      <c r="AJ1226" s="105"/>
      <c r="AK1226" s="105"/>
      <c r="AM1226" s="105"/>
      <c r="AN1226" s="105"/>
      <c r="AO1226" s="105"/>
      <c r="AP1226" s="105"/>
      <c r="AQ1226" s="105"/>
      <c r="AR1226" s="105"/>
    </row>
    <row r="1227" spans="1:44" s="105" customFormat="1" ht="24.95" customHeight="1">
      <c r="A1227" s="169">
        <f ca="1">$B$36</f>
        <v>3</v>
      </c>
      <c r="B1227" s="170"/>
      <c r="C1227" s="171"/>
      <c r="D1227" s="172"/>
      <c r="E1227" s="173" t="str">
        <f>$D$36</f>
        <v>ADMINISTRAÇÃO LOCAL</v>
      </c>
      <c r="F1227" s="174">
        <v>0</v>
      </c>
      <c r="G1227" s="175"/>
      <c r="H1227" s="176" t="s">
        <v>411</v>
      </c>
      <c r="I1227" s="176" t="s">
        <v>411</v>
      </c>
      <c r="J1227" s="177"/>
      <c r="K1227" s="177"/>
      <c r="L1227" s="177"/>
      <c r="M1227" s="177"/>
      <c r="N1227" s="177"/>
      <c r="O1227" s="178" t="str">
        <f ca="1">CONCATENATE("SUB-TOTAL ",$A1227)</f>
        <v>SUB-TOTAL 3</v>
      </c>
      <c r="P1227" s="178" t="e" cm="1">
        <f t="array" ref="P1227">TRUNC($I1227*(1+_xlfn.SWITCH($N1227,"BDI 1",$P$6,"BDI 2",$P$7,"BDI 3",$P$8)),2)</f>
        <v>#VALUE!</v>
      </c>
      <c r="Q1227" s="178" t="str">
        <f ca="1">CONCATENATE("SUB-TOTAL ",$A1227)</f>
        <v>SUB-TOTAL 3</v>
      </c>
      <c r="R1227" s="178"/>
      <c r="S1227" s="179">
        <f>SUM(S1228:S1228)</f>
        <v>100703.92</v>
      </c>
      <c r="T1227" s="179">
        <f>SUM(T1228:T1228)</f>
        <v>337648.59</v>
      </c>
      <c r="U1227" s="179">
        <f>SUM(U1228:U1228)</f>
        <v>0</v>
      </c>
      <c r="V1227" s="179">
        <f>SUM(V1228:V1228)</f>
        <v>0</v>
      </c>
      <c r="W1227" s="179">
        <f>TRUNC(V1227-U1227,2)</f>
        <v>0</v>
      </c>
      <c r="X1227" s="180">
        <f>+$S1227/ORCAMENTO_VALOR_TOTAL_ND</f>
        <v>3.2564449035756018E-2</v>
      </c>
      <c r="Y1227" s="180">
        <f>+$T1227/ORCAMENTO_VALOR_TOTAL_DE</f>
        <v>9.9273416696027905E-2</v>
      </c>
      <c r="Z1227" s="180"/>
      <c r="AA1227" s="180"/>
      <c r="AB1227" s="180">
        <f>IFERROR($S1227/$S1227,0)</f>
        <v>1</v>
      </c>
      <c r="AC1227" s="180">
        <f>IFERROR($T1227/$T1227,0)</f>
        <v>1</v>
      </c>
      <c r="AD1227" s="147"/>
      <c r="AE1227" s="148">
        <f ca="1">IF(S1227&gt;0,IFERROR(TRUNC(A1227,0),0),0)</f>
        <v>3</v>
      </c>
      <c r="AF1227" s="149"/>
      <c r="AG1227" s="150"/>
      <c r="AH1227" s="151">
        <f>+S1227/S$1227</f>
        <v>1</v>
      </c>
      <c r="AI1227" s="224" t="str">
        <f>+IF(O2=ADM_Local!C4,"CPU correta","data base CPU errada")</f>
        <v>CPU correta</v>
      </c>
    </row>
    <row r="1228" spans="1:44" s="220" customFormat="1" ht="30" customHeight="1">
      <c r="A1228" s="152">
        <f ca="1">+IF(K1228&gt;0,A1227+0.01,A1227)</f>
        <v>3.01</v>
      </c>
      <c r="B1228" s="153" t="s">
        <v>412</v>
      </c>
      <c r="C1228" s="154" t="str">
        <f>TEXT(B1228,"0")</f>
        <v>CPU Adm Local</v>
      </c>
      <c r="D1228" s="154" t="s">
        <v>413</v>
      </c>
      <c r="E1228" s="155" t="str">
        <f>ADM_Local!C7</f>
        <v>Administração local do canteiro de obras</v>
      </c>
      <c r="F1228" s="154" t="str">
        <f>ADM_Local!K7</f>
        <v>mês</v>
      </c>
      <c r="G1228" s="154" t="str">
        <f>ADM_Local!J7</f>
        <v>mês</v>
      </c>
      <c r="H1228" s="152">
        <v>83433.240000000005</v>
      </c>
      <c r="I1228" s="152">
        <v>266410.44</v>
      </c>
      <c r="J1228" s="156"/>
      <c r="K1228" s="156">
        <v>1</v>
      </c>
      <c r="L1228" s="156">
        <f>IF($K1228&gt;$J1228,$K1228-$J1228,0)</f>
        <v>1</v>
      </c>
      <c r="M1228" s="156">
        <f>IF($K1228&lt;$J1228,$J1228-$K1228,0)</f>
        <v>0</v>
      </c>
      <c r="N1228" s="156" t="s">
        <v>83</v>
      </c>
      <c r="O1228" s="157" cm="1">
        <f t="array" ref="O1228">TRUNC($H1228*(1+_xlfn.SWITCH($N1228,"BDI 1",$O$6,"BDI 2",$O$7,"BDI 3",$O$8)),2)</f>
        <v>100703.92</v>
      </c>
      <c r="P1228" s="157" cm="1">
        <f t="array" ref="P1228">TRUNC($I1228*(1+_xlfn.SWITCH($N1228,"BDI 1",$P$6,"BDI 2",$P$7,"BDI 3",$P$8)),2)</f>
        <v>337648.59</v>
      </c>
      <c r="Q1228" s="157">
        <v>0</v>
      </c>
      <c r="R1228" s="157">
        <v>0</v>
      </c>
      <c r="S1228" s="156">
        <f>TRUNC($K1228*$O1228,2)</f>
        <v>100703.92</v>
      </c>
      <c r="T1228" s="156">
        <f>TRUNC($K1228*$P1228,2)</f>
        <v>337648.59</v>
      </c>
      <c r="U1228" s="156">
        <f>TRUNC($J1228*$R1228,2)</f>
        <v>0</v>
      </c>
      <c r="V1228" s="156">
        <f>TRUNC($K1228*$Q1228,2)</f>
        <v>0</v>
      </c>
      <c r="W1228" s="156">
        <f>TRUNC(V1228-U1228,2)</f>
        <v>0</v>
      </c>
      <c r="X1228" s="158">
        <f>$S1228/ORCAMENTO_VALOR_TOTAL_ND</f>
        <v>3.2564449035756018E-2</v>
      </c>
      <c r="Y1228" s="158">
        <f>$T1228/ORCAMENTO_VALOR_TOTAL_DE</f>
        <v>9.9273416696027905E-2</v>
      </c>
      <c r="Z1228" s="158" cm="1">
        <f t="array" ref="Z1228">_xlfn.SWITCH($N1228,"BDI 1",$O$6,"BDI 2",$O$7,"BDI 3",$O$8)</f>
        <v>0.20699999999999999</v>
      </c>
      <c r="AA1228" s="158" cm="1">
        <f t="array" ref="AA1228">_xlfn.SWITCH($N1228,"BDI 1",$P$6,"BDI 2",$P$7,"BDI 3",$P$8)</f>
        <v>0.26739999999999997</v>
      </c>
      <c r="AB1228" s="158">
        <f ca="1">IFERROR($S1228/_xlfn.XLOOKUP($AE1228,$B$16:$B$38,$S$16:$S$38),0)</f>
        <v>0</v>
      </c>
      <c r="AC1228" s="158">
        <f ca="1">IFERROR($T1228/_xlfn.XLOOKUP($AE1228,$B$16:$B$38,$T$16:$T$38),0)</f>
        <v>0</v>
      </c>
      <c r="AD1228" s="164"/>
      <c r="AE1228" s="148">
        <f ca="1">IF(S1228&gt;0,IFERROR(TRUNC(A1228,0),0),0)</f>
        <v>3</v>
      </c>
      <c r="AF1228" s="149"/>
      <c r="AG1228" s="150"/>
      <c r="AH1228" s="159">
        <f>+S1228/S$1227</f>
        <v>1</v>
      </c>
      <c r="AI1228" s="185"/>
      <c r="AJ1228" s="219"/>
      <c r="AK1228" s="219"/>
      <c r="AM1228" s="219"/>
      <c r="AN1228" s="219"/>
      <c r="AO1228" s="219"/>
      <c r="AP1228" s="219"/>
      <c r="AQ1228" s="219"/>
      <c r="AR1228" s="219"/>
    </row>
    <row r="1229" spans="1:44" s="220" customFormat="1" ht="40.15" hidden="1" customHeight="1">
      <c r="A1229" s="10">
        <f ca="1">+IF(K1229&gt;0,A1228+0.01,A1228)</f>
        <v>3.01</v>
      </c>
      <c r="B1229" s="221"/>
      <c r="C1229" s="222"/>
      <c r="D1229" s="154"/>
      <c r="E1229" s="155"/>
      <c r="F1229" s="154"/>
      <c r="G1229" s="154"/>
      <c r="H1229" s="154"/>
      <c r="I1229" s="154"/>
      <c r="J1229" s="154"/>
      <c r="K1229" s="154"/>
      <c r="L1229" s="154"/>
      <c r="M1229" s="154"/>
      <c r="N1229" s="154"/>
      <c r="O1229" s="154"/>
      <c r="P1229" s="154"/>
      <c r="Q1229" s="154"/>
      <c r="R1229" s="154"/>
      <c r="S1229" s="162"/>
      <c r="T1229" s="162"/>
      <c r="U1229" s="162"/>
      <c r="V1229" s="162"/>
      <c r="W1229" s="162"/>
      <c r="X1229" s="163"/>
      <c r="Y1229" s="163"/>
      <c r="Z1229" s="163"/>
      <c r="AA1229" s="163"/>
      <c r="AB1229" s="163"/>
      <c r="AC1229" s="163"/>
      <c r="AD1229" s="164"/>
      <c r="AE1229" s="148">
        <f>IF(S1230&gt;0,IFERROR(TRUNC(A1230,0),0),0)</f>
        <v>0</v>
      </c>
      <c r="AF1229" s="149"/>
      <c r="AG1229" s="150"/>
      <c r="AH1229" s="159"/>
      <c r="AI1229" s="160"/>
      <c r="AJ1229" s="219"/>
      <c r="AK1229" s="219"/>
      <c r="AM1229" s="219"/>
      <c r="AN1229" s="219"/>
      <c r="AO1229" s="219"/>
      <c r="AP1229" s="219"/>
      <c r="AQ1229" s="219"/>
      <c r="AR1229" s="219"/>
    </row>
    <row r="1230" spans="1:44" s="105" customFormat="1" ht="40.15" hidden="1" customHeight="1">
      <c r="A1230" s="169">
        <f ca="1">$B$37</f>
        <v>0</v>
      </c>
      <c r="B1230" s="170"/>
      <c r="C1230" s="171"/>
      <c r="D1230" s="172"/>
      <c r="E1230" s="173" t="str">
        <f>$D$37</f>
        <v>SERVIÇOS DE ENGENHARIA</v>
      </c>
      <c r="F1230" s="174">
        <v>0</v>
      </c>
      <c r="G1230" s="175"/>
      <c r="H1230" s="176"/>
      <c r="I1230" s="176"/>
      <c r="J1230" s="177"/>
      <c r="K1230" s="177"/>
      <c r="L1230" s="177"/>
      <c r="M1230" s="177"/>
      <c r="N1230" s="177"/>
      <c r="O1230" s="178" t="str">
        <f ca="1">CONCATENATE("SUB-TOTAL ",$A1230)</f>
        <v>SUB-TOTAL 0</v>
      </c>
      <c r="P1230" s="178" t="e" cm="1">
        <f t="array" ref="P1230">TRUNC($I1230*(1+_xlfn.SWITCH($N1230,"BDI 1",$P$6,"BDI 2",$P$7,"BDI 3",$P$8)),2)</f>
        <v>#N/A</v>
      </c>
      <c r="Q1230" s="178" t="str">
        <f ca="1">CONCATENATE("SUB-TOTAL ",$A1230)</f>
        <v>SUB-TOTAL 0</v>
      </c>
      <c r="R1230" s="178"/>
      <c r="S1230" s="179">
        <f>SUM(S1231:S1267)</f>
        <v>0</v>
      </c>
      <c r="T1230" s="179">
        <f>SUM(T1231:T1267)</f>
        <v>0</v>
      </c>
      <c r="U1230" s="179">
        <f>SUM(U1231:U1267)</f>
        <v>0</v>
      </c>
      <c r="V1230" s="179">
        <f>SUM(V1231:V1267)</f>
        <v>0</v>
      </c>
      <c r="W1230" s="179">
        <f t="shared" ref="W1230:W1267" si="2726">TRUNC(V1230-U1230,2)</f>
        <v>0</v>
      </c>
      <c r="X1230" s="180">
        <f>+$S1230/ORCAMENTO_VALOR_TOTAL_ND</f>
        <v>0</v>
      </c>
      <c r="Y1230" s="180">
        <f>+$T1230/ORCAMENTO_VALOR_TOTAL_DE</f>
        <v>0</v>
      </c>
      <c r="Z1230" s="180"/>
      <c r="AA1230" s="180"/>
      <c r="AB1230" s="180">
        <f>IFERROR($S1230/$S1230,0)</f>
        <v>0</v>
      </c>
      <c r="AC1230" s="180">
        <f>IFERROR($T1230/$T1230,0)</f>
        <v>0</v>
      </c>
      <c r="AD1230" s="147"/>
      <c r="AE1230" s="148">
        <f t="shared" ref="AE1230:AE1267" si="2727">IF(S1230&gt;0,IFERROR(TRUNC(A1230,0),0),0)</f>
        <v>0</v>
      </c>
      <c r="AF1230" s="149"/>
      <c r="AG1230" s="150"/>
      <c r="AH1230" s="151" t="e">
        <f>+S1230/S$1230</f>
        <v>#DIV/0!</v>
      </c>
      <c r="AI1230" s="225"/>
    </row>
    <row r="1231" spans="1:44" s="49" customFormat="1" ht="40.15" hidden="1" customHeight="1">
      <c r="A1231" s="152">
        <f t="shared" ref="A1231:A1268" ca="1" si="2728">+IF(K1231&gt;0,A1230+0.01,A1230)</f>
        <v>0</v>
      </c>
      <c r="B1231" s="153" t="s">
        <v>414</v>
      </c>
      <c r="C1231" s="154" t="str">
        <f t="shared" ref="C1231:C1267" si="2729">TEXT(B1231,"0")</f>
        <v>ADM0002</v>
      </c>
      <c r="D1231" s="154" t="s">
        <v>3554</v>
      </c>
      <c r="E1231" s="155" t="s">
        <v>4002</v>
      </c>
      <c r="F1231" s="154"/>
      <c r="G1231" s="154" t="s">
        <v>1428</v>
      </c>
      <c r="H1231" s="152">
        <v>714.65</v>
      </c>
      <c r="I1231" s="152">
        <v>714.65</v>
      </c>
      <c r="J1231" s="156"/>
      <c r="K1231" s="156"/>
      <c r="L1231" s="156">
        <f t="shared" ref="L1231:L1267" si="2730">IF($K1231&gt;$J1231,$K1231-$J1231,0)</f>
        <v>0</v>
      </c>
      <c r="M1231" s="156">
        <f t="shared" ref="M1231:M1267" si="2731">IF($K1231&lt;$J1231,$J1231-$K1231,0)</f>
        <v>0</v>
      </c>
      <c r="N1231" s="156" t="s">
        <v>83</v>
      </c>
      <c r="O1231" s="157" cm="1">
        <f t="array" ref="O1231">TRUNC($H1231*(1+_xlfn.SWITCH($N1231,"BDI 1",$O$6,"BDI 2",$O$7,"BDI 3",$O$8)),2)</f>
        <v>862.58</v>
      </c>
      <c r="P1231" s="157" cm="1">
        <f t="array" ref="P1231">TRUNC($I1231*(1+_xlfn.SWITCH($N1231,"BDI 1",$P$6,"BDI 2",$P$7,"BDI 3",$P$8)),2)</f>
        <v>905.74</v>
      </c>
      <c r="Q1231" s="157">
        <v>0</v>
      </c>
      <c r="R1231" s="157">
        <f t="shared" ref="R1231" si="2732">$Q1231-($Q1231*LICITACAO_DESCONTO)</f>
        <v>0</v>
      </c>
      <c r="S1231" s="156">
        <f t="shared" ref="S1231:S1267" si="2733">TRUNC($K1231*$O1231,2)</f>
        <v>0</v>
      </c>
      <c r="T1231" s="156">
        <f t="shared" ref="T1231:T1267" si="2734">TRUNC($K1231*$P1231,2)</f>
        <v>0</v>
      </c>
      <c r="U1231" s="156">
        <f t="shared" ref="U1231:U1267" si="2735">TRUNC($J1231*$R1231,2)</f>
        <v>0</v>
      </c>
      <c r="V1231" s="156">
        <f t="shared" ref="V1231:V1267" si="2736">TRUNC($K1231*$Q1231,2)</f>
        <v>0</v>
      </c>
      <c r="W1231" s="156">
        <f t="shared" si="2726"/>
        <v>0</v>
      </c>
      <c r="X1231" s="158">
        <f t="shared" ref="X1231" si="2737">$S1231/ORCAMENTO_VALOR_TOTAL_ND</f>
        <v>0</v>
      </c>
      <c r="Y1231" s="158">
        <f t="shared" ref="Y1231" si="2738">$T1231/ORCAMENTO_VALOR_TOTAL_DE</f>
        <v>0</v>
      </c>
      <c r="Z1231" s="158" cm="1">
        <f t="array" ref="Z1231">_xlfn.SWITCH($N1231,"BDI 1",$O$6,"BDI 2",$O$7,"BDI 3",$O$8)</f>
        <v>0.20699999999999999</v>
      </c>
      <c r="AA1231" s="158" cm="1">
        <f t="array" ref="AA1231">_xlfn.SWITCH($N1231,"BDI 1",$P$6,"BDI 2",$P$7,"BDI 3",$P$8)</f>
        <v>0.26739999999999997</v>
      </c>
      <c r="AB1231" s="158">
        <f t="shared" ref="AB1231:AB1267" ca="1" si="2739">IFERROR($S1231/_xlfn.XLOOKUP($AE1231,$B$16:$B$38,$S$16:$S$38),0)</f>
        <v>0</v>
      </c>
      <c r="AC1231" s="158">
        <f t="shared" ref="AC1231:AC1267" ca="1" si="2740">IFERROR($T1231/_xlfn.XLOOKUP($AE1231,$B$16:$B$38,$T$16:$T$38),0)</f>
        <v>0</v>
      </c>
      <c r="AD1231" s="164"/>
      <c r="AE1231" s="148">
        <f t="shared" si="2727"/>
        <v>0</v>
      </c>
      <c r="AF1231" s="149"/>
      <c r="AG1231" s="150"/>
      <c r="AH1231" s="159" t="e">
        <f t="shared" ref="AH1231:AH1239" si="2741">+S1231/S$1230</f>
        <v>#DIV/0!</v>
      </c>
      <c r="AI1231" s="226"/>
      <c r="AJ1231" s="105"/>
      <c r="AK1231" s="105"/>
      <c r="AM1231" s="105"/>
      <c r="AN1231" s="105"/>
      <c r="AO1231" s="105"/>
      <c r="AP1231" s="105"/>
      <c r="AQ1231" s="105"/>
      <c r="AR1231" s="105"/>
    </row>
    <row r="1232" spans="1:44" s="49" customFormat="1" ht="40.15" hidden="1" customHeight="1">
      <c r="A1232" s="152">
        <f t="shared" ca="1" si="2728"/>
        <v>0</v>
      </c>
      <c r="B1232" s="153" t="s">
        <v>415</v>
      </c>
      <c r="C1232" s="154" t="str">
        <f t="shared" si="2729"/>
        <v>ADM0001</v>
      </c>
      <c r="D1232" s="154" t="s">
        <v>3554</v>
      </c>
      <c r="E1232" s="155" t="s">
        <v>4003</v>
      </c>
      <c r="F1232" s="154"/>
      <c r="G1232" s="154" t="s">
        <v>1285</v>
      </c>
      <c r="H1232" s="152">
        <v>15.67</v>
      </c>
      <c r="I1232" s="152">
        <v>15.67</v>
      </c>
      <c r="J1232" s="156"/>
      <c r="K1232" s="156"/>
      <c r="L1232" s="156">
        <f t="shared" si="2730"/>
        <v>0</v>
      </c>
      <c r="M1232" s="156">
        <f t="shared" si="2731"/>
        <v>0</v>
      </c>
      <c r="N1232" s="156" t="s">
        <v>83</v>
      </c>
      <c r="O1232" s="157" cm="1">
        <f t="array" ref="O1232">TRUNC($H1232*(1+_xlfn.SWITCH($N1232,"BDI 1",$O$6,"BDI 2",$O$7,"BDI 3",$O$8)),2)</f>
        <v>18.91</v>
      </c>
      <c r="P1232" s="157" cm="1">
        <f t="array" ref="P1232">TRUNC($I1232*(1+_xlfn.SWITCH($N1232,"BDI 1",$P$6,"BDI 2",$P$7,"BDI 3",$P$8)),2)</f>
        <v>19.86</v>
      </c>
      <c r="Q1232" s="157">
        <v>0</v>
      </c>
      <c r="R1232" s="157">
        <f t="shared" ref="R1232" si="2742">$Q1232-($Q1232*LICITACAO_DESCONTO)</f>
        <v>0</v>
      </c>
      <c r="S1232" s="156">
        <f t="shared" si="2733"/>
        <v>0</v>
      </c>
      <c r="T1232" s="156">
        <f t="shared" si="2734"/>
        <v>0</v>
      </c>
      <c r="U1232" s="156">
        <f t="shared" si="2735"/>
        <v>0</v>
      </c>
      <c r="V1232" s="156">
        <f t="shared" si="2736"/>
        <v>0</v>
      </c>
      <c r="W1232" s="156">
        <f t="shared" si="2726"/>
        <v>0</v>
      </c>
      <c r="X1232" s="158">
        <f t="shared" ref="X1232" si="2743">$S1232/ORCAMENTO_VALOR_TOTAL_ND</f>
        <v>0</v>
      </c>
      <c r="Y1232" s="158">
        <f t="shared" ref="Y1232" si="2744">$T1232/ORCAMENTO_VALOR_TOTAL_DE</f>
        <v>0</v>
      </c>
      <c r="Z1232" s="158" cm="1">
        <f t="array" ref="Z1232">_xlfn.SWITCH($N1232,"BDI 1",$O$6,"BDI 2",$O$7,"BDI 3",$O$8)</f>
        <v>0.20699999999999999</v>
      </c>
      <c r="AA1232" s="158" cm="1">
        <f t="array" ref="AA1232">_xlfn.SWITCH($N1232,"BDI 1",$P$6,"BDI 2",$P$7,"BDI 3",$P$8)</f>
        <v>0.26739999999999997</v>
      </c>
      <c r="AB1232" s="158">
        <f t="shared" ca="1" si="2739"/>
        <v>0</v>
      </c>
      <c r="AC1232" s="158">
        <f t="shared" ca="1" si="2740"/>
        <v>0</v>
      </c>
      <c r="AD1232" s="164"/>
      <c r="AE1232" s="148">
        <f t="shared" si="2727"/>
        <v>0</v>
      </c>
      <c r="AF1232" s="149"/>
      <c r="AG1232" s="150"/>
      <c r="AH1232" s="159" t="e">
        <f t="shared" si="2741"/>
        <v>#DIV/0!</v>
      </c>
      <c r="AI1232" s="226"/>
      <c r="AJ1232" s="105"/>
      <c r="AK1232" s="227"/>
      <c r="AM1232" s="227"/>
      <c r="AN1232" s="227"/>
      <c r="AO1232" s="227"/>
      <c r="AP1232" s="227"/>
      <c r="AQ1232" s="227"/>
      <c r="AR1232" s="227"/>
    </row>
    <row r="1233" spans="1:44" s="49" customFormat="1" ht="40.15" hidden="1" customHeight="1">
      <c r="A1233" s="152">
        <f t="shared" ca="1" si="2728"/>
        <v>0</v>
      </c>
      <c r="B1233" s="153" t="s">
        <v>416</v>
      </c>
      <c r="C1233" s="154" t="str">
        <f t="shared" si="2729"/>
        <v>EG0005</v>
      </c>
      <c r="D1233" s="154" t="s">
        <v>3554</v>
      </c>
      <c r="E1233" s="155" t="s">
        <v>4004</v>
      </c>
      <c r="F1233" s="154"/>
      <c r="G1233" s="154" t="s">
        <v>1285</v>
      </c>
      <c r="H1233" s="152">
        <v>7.87</v>
      </c>
      <c r="I1233" s="152">
        <v>7.87</v>
      </c>
      <c r="J1233" s="156"/>
      <c r="K1233" s="156"/>
      <c r="L1233" s="156">
        <f t="shared" si="2730"/>
        <v>0</v>
      </c>
      <c r="M1233" s="156">
        <f t="shared" si="2731"/>
        <v>0</v>
      </c>
      <c r="N1233" s="156" t="s">
        <v>83</v>
      </c>
      <c r="O1233" s="157" cm="1">
        <f t="array" ref="O1233">TRUNC($H1233*(1+_xlfn.SWITCH($N1233,"BDI 1",$O$6,"BDI 2",$O$7,"BDI 3",$O$8)),2)</f>
        <v>9.49</v>
      </c>
      <c r="P1233" s="157" cm="1">
        <f t="array" ref="P1233">TRUNC($I1233*(1+_xlfn.SWITCH($N1233,"BDI 1",$P$6,"BDI 2",$P$7,"BDI 3",$P$8)),2)</f>
        <v>9.9700000000000006</v>
      </c>
      <c r="Q1233" s="157">
        <v>0</v>
      </c>
      <c r="R1233" s="157">
        <f t="shared" ref="R1233" si="2745">$Q1233-($Q1233*LICITACAO_DESCONTO)</f>
        <v>0</v>
      </c>
      <c r="S1233" s="156">
        <f t="shared" si="2733"/>
        <v>0</v>
      </c>
      <c r="T1233" s="156">
        <f t="shared" si="2734"/>
        <v>0</v>
      </c>
      <c r="U1233" s="156">
        <f t="shared" si="2735"/>
        <v>0</v>
      </c>
      <c r="V1233" s="156">
        <f t="shared" si="2736"/>
        <v>0</v>
      </c>
      <c r="W1233" s="156">
        <f t="shared" si="2726"/>
        <v>0</v>
      </c>
      <c r="X1233" s="158">
        <f t="shared" ref="X1233" si="2746">$S1233/ORCAMENTO_VALOR_TOTAL_ND</f>
        <v>0</v>
      </c>
      <c r="Y1233" s="158">
        <f t="shared" ref="Y1233" si="2747">$T1233/ORCAMENTO_VALOR_TOTAL_DE</f>
        <v>0</v>
      </c>
      <c r="Z1233" s="158" cm="1">
        <f t="array" ref="Z1233">_xlfn.SWITCH($N1233,"BDI 1",$O$6,"BDI 2",$O$7,"BDI 3",$O$8)</f>
        <v>0.20699999999999999</v>
      </c>
      <c r="AA1233" s="158" cm="1">
        <f t="array" ref="AA1233">_xlfn.SWITCH($N1233,"BDI 1",$P$6,"BDI 2",$P$7,"BDI 3",$P$8)</f>
        <v>0.26739999999999997</v>
      </c>
      <c r="AB1233" s="158">
        <f t="shared" ca="1" si="2739"/>
        <v>0</v>
      </c>
      <c r="AC1233" s="158">
        <f t="shared" ca="1" si="2740"/>
        <v>0</v>
      </c>
      <c r="AD1233" s="164"/>
      <c r="AE1233" s="148">
        <f t="shared" si="2727"/>
        <v>0</v>
      </c>
      <c r="AF1233" s="149"/>
      <c r="AG1233" s="150"/>
      <c r="AH1233" s="159" t="e">
        <f t="shared" si="2741"/>
        <v>#DIV/0!</v>
      </c>
      <c r="AI1233" s="226"/>
      <c r="AJ1233" s="105"/>
      <c r="AK1233" s="105"/>
      <c r="AM1233" s="105"/>
      <c r="AN1233" s="105"/>
      <c r="AO1233" s="105"/>
      <c r="AP1233" s="105"/>
      <c r="AQ1233" s="105"/>
      <c r="AR1233" s="105"/>
    </row>
    <row r="1234" spans="1:44" s="49" customFormat="1" ht="40.15" hidden="1" customHeight="1">
      <c r="A1234" s="152">
        <f t="shared" ca="1" si="2728"/>
        <v>0</v>
      </c>
      <c r="B1234" s="153" t="s">
        <v>417</v>
      </c>
      <c r="C1234" s="154" t="str">
        <f t="shared" si="2729"/>
        <v>ET0003</v>
      </c>
      <c r="D1234" s="154" t="s">
        <v>3554</v>
      </c>
      <c r="E1234" s="155" t="s">
        <v>4005</v>
      </c>
      <c r="F1234" s="154"/>
      <c r="G1234" s="154" t="s">
        <v>1285</v>
      </c>
      <c r="H1234" s="152">
        <v>5.8</v>
      </c>
      <c r="I1234" s="152">
        <v>5.8</v>
      </c>
      <c r="J1234" s="156"/>
      <c r="K1234" s="156"/>
      <c r="L1234" s="156">
        <f t="shared" si="2730"/>
        <v>0</v>
      </c>
      <c r="M1234" s="156">
        <f t="shared" si="2731"/>
        <v>0</v>
      </c>
      <c r="N1234" s="156" t="s">
        <v>83</v>
      </c>
      <c r="O1234" s="157" cm="1">
        <f t="array" ref="O1234">TRUNC($H1234*(1+_xlfn.SWITCH($N1234,"BDI 1",$O$6,"BDI 2",$O$7,"BDI 3",$O$8)),2)</f>
        <v>7</v>
      </c>
      <c r="P1234" s="157" cm="1">
        <f t="array" ref="P1234">TRUNC($I1234*(1+_xlfn.SWITCH($N1234,"BDI 1",$P$6,"BDI 2",$P$7,"BDI 3",$P$8)),2)</f>
        <v>7.35</v>
      </c>
      <c r="Q1234" s="157">
        <v>0</v>
      </c>
      <c r="R1234" s="157">
        <f t="shared" ref="R1234" si="2748">$Q1234-($Q1234*LICITACAO_DESCONTO)</f>
        <v>0</v>
      </c>
      <c r="S1234" s="156">
        <f t="shared" si="2733"/>
        <v>0</v>
      </c>
      <c r="T1234" s="156">
        <f t="shared" si="2734"/>
        <v>0</v>
      </c>
      <c r="U1234" s="156">
        <f t="shared" si="2735"/>
        <v>0</v>
      </c>
      <c r="V1234" s="156">
        <f t="shared" si="2736"/>
        <v>0</v>
      </c>
      <c r="W1234" s="156">
        <f t="shared" si="2726"/>
        <v>0</v>
      </c>
      <c r="X1234" s="158">
        <f t="shared" ref="X1234" si="2749">$S1234/ORCAMENTO_VALOR_TOTAL_ND</f>
        <v>0</v>
      </c>
      <c r="Y1234" s="158">
        <f t="shared" ref="Y1234" si="2750">$T1234/ORCAMENTO_VALOR_TOTAL_DE</f>
        <v>0</v>
      </c>
      <c r="Z1234" s="158" cm="1">
        <f t="array" ref="Z1234">_xlfn.SWITCH($N1234,"BDI 1",$O$6,"BDI 2",$O$7,"BDI 3",$O$8)</f>
        <v>0.20699999999999999</v>
      </c>
      <c r="AA1234" s="158" cm="1">
        <f t="array" ref="AA1234">_xlfn.SWITCH($N1234,"BDI 1",$P$6,"BDI 2",$P$7,"BDI 3",$P$8)</f>
        <v>0.26739999999999997</v>
      </c>
      <c r="AB1234" s="158">
        <f t="shared" ca="1" si="2739"/>
        <v>0</v>
      </c>
      <c r="AC1234" s="158">
        <f t="shared" ca="1" si="2740"/>
        <v>0</v>
      </c>
      <c r="AD1234" s="164"/>
      <c r="AE1234" s="148">
        <f t="shared" si="2727"/>
        <v>0</v>
      </c>
      <c r="AF1234" s="149"/>
      <c r="AG1234" s="150"/>
      <c r="AH1234" s="159" t="e">
        <f t="shared" si="2741"/>
        <v>#DIV/0!</v>
      </c>
      <c r="AI1234" s="226"/>
      <c r="AJ1234" s="105"/>
      <c r="AK1234" s="227"/>
      <c r="AM1234" s="227"/>
      <c r="AN1234" s="227"/>
      <c r="AO1234" s="227"/>
      <c r="AP1234" s="227"/>
      <c r="AQ1234" s="227"/>
      <c r="AR1234" s="227"/>
    </row>
    <row r="1235" spans="1:44" s="49" customFormat="1" ht="40.15" hidden="1" customHeight="1">
      <c r="A1235" s="152">
        <f t="shared" ca="1" si="2728"/>
        <v>0</v>
      </c>
      <c r="B1235" s="153" t="s">
        <v>418</v>
      </c>
      <c r="C1235" s="154" t="str">
        <f t="shared" si="2729"/>
        <v>ARQ0003</v>
      </c>
      <c r="D1235" s="154" t="s">
        <v>3554</v>
      </c>
      <c r="E1235" s="155" t="s">
        <v>4006</v>
      </c>
      <c r="F1235" s="154"/>
      <c r="G1235" s="154" t="s">
        <v>4007</v>
      </c>
      <c r="H1235" s="152">
        <v>1591.85</v>
      </c>
      <c r="I1235" s="152">
        <v>1591.85</v>
      </c>
      <c r="J1235" s="156"/>
      <c r="K1235" s="156"/>
      <c r="L1235" s="156">
        <f t="shared" si="2730"/>
        <v>0</v>
      </c>
      <c r="M1235" s="156">
        <f t="shared" si="2731"/>
        <v>0</v>
      </c>
      <c r="N1235" s="156" t="s">
        <v>83</v>
      </c>
      <c r="O1235" s="157" cm="1">
        <f t="array" ref="O1235">TRUNC($H1235*(1+_xlfn.SWITCH($N1235,"BDI 1",$O$6,"BDI 2",$O$7,"BDI 3",$O$8)),2)</f>
        <v>1921.36</v>
      </c>
      <c r="P1235" s="157" cm="1">
        <f t="array" ref="P1235">TRUNC($I1235*(1+_xlfn.SWITCH($N1235,"BDI 1",$P$6,"BDI 2",$P$7,"BDI 3",$P$8)),2)</f>
        <v>2017.51</v>
      </c>
      <c r="Q1235" s="157">
        <v>0</v>
      </c>
      <c r="R1235" s="157">
        <f t="shared" ref="R1235" si="2751">$Q1235-($Q1235*LICITACAO_DESCONTO)</f>
        <v>0</v>
      </c>
      <c r="S1235" s="156">
        <f t="shared" si="2733"/>
        <v>0</v>
      </c>
      <c r="T1235" s="156">
        <f t="shared" si="2734"/>
        <v>0</v>
      </c>
      <c r="U1235" s="156">
        <f t="shared" si="2735"/>
        <v>0</v>
      </c>
      <c r="V1235" s="156">
        <f t="shared" si="2736"/>
        <v>0</v>
      </c>
      <c r="W1235" s="156">
        <f t="shared" si="2726"/>
        <v>0</v>
      </c>
      <c r="X1235" s="158">
        <f t="shared" ref="X1235" si="2752">$S1235/ORCAMENTO_VALOR_TOTAL_ND</f>
        <v>0</v>
      </c>
      <c r="Y1235" s="158">
        <f t="shared" ref="Y1235" si="2753">$T1235/ORCAMENTO_VALOR_TOTAL_DE</f>
        <v>0</v>
      </c>
      <c r="Z1235" s="158" cm="1">
        <f t="array" ref="Z1235">_xlfn.SWITCH($N1235,"BDI 1",$O$6,"BDI 2",$O$7,"BDI 3",$O$8)</f>
        <v>0.20699999999999999</v>
      </c>
      <c r="AA1235" s="158" cm="1">
        <f t="array" ref="AA1235">_xlfn.SWITCH($N1235,"BDI 1",$P$6,"BDI 2",$P$7,"BDI 3",$P$8)</f>
        <v>0.26739999999999997</v>
      </c>
      <c r="AB1235" s="158">
        <f t="shared" ca="1" si="2739"/>
        <v>0</v>
      </c>
      <c r="AC1235" s="158">
        <f t="shared" ca="1" si="2740"/>
        <v>0</v>
      </c>
      <c r="AD1235" s="164"/>
      <c r="AE1235" s="148">
        <f t="shared" si="2727"/>
        <v>0</v>
      </c>
      <c r="AF1235" s="149"/>
      <c r="AG1235" s="150"/>
      <c r="AH1235" s="159" t="e">
        <f t="shared" si="2741"/>
        <v>#DIV/0!</v>
      </c>
      <c r="AI1235" s="226"/>
      <c r="AJ1235" s="167"/>
      <c r="AK1235" s="105"/>
      <c r="AM1235" s="105"/>
      <c r="AN1235" s="105"/>
      <c r="AO1235" s="105"/>
      <c r="AP1235" s="105"/>
      <c r="AQ1235" s="105"/>
      <c r="AR1235" s="105"/>
    </row>
    <row r="1236" spans="1:44" s="49" customFormat="1" ht="40.15" hidden="1" customHeight="1">
      <c r="A1236" s="152">
        <f t="shared" ca="1" si="2728"/>
        <v>0</v>
      </c>
      <c r="B1236" s="153" t="s">
        <v>419</v>
      </c>
      <c r="C1236" s="154" t="str">
        <f t="shared" si="2729"/>
        <v>PFIU001</v>
      </c>
      <c r="D1236" s="154" t="s">
        <v>3554</v>
      </c>
      <c r="E1236" s="155" t="s">
        <v>4008</v>
      </c>
      <c r="F1236" s="154"/>
      <c r="G1236" s="154" t="s">
        <v>1414</v>
      </c>
      <c r="H1236" s="152">
        <v>0.51</v>
      </c>
      <c r="I1236" s="152">
        <v>0.51</v>
      </c>
      <c r="J1236" s="156"/>
      <c r="K1236" s="156"/>
      <c r="L1236" s="156">
        <f t="shared" si="2730"/>
        <v>0</v>
      </c>
      <c r="M1236" s="156">
        <f t="shared" si="2731"/>
        <v>0</v>
      </c>
      <c r="N1236" s="156" t="s">
        <v>83</v>
      </c>
      <c r="O1236" s="157" cm="1">
        <f t="array" ref="O1236">TRUNC($H1236*(1+_xlfn.SWITCH($N1236,"BDI 1",$O$6,"BDI 2",$O$7,"BDI 3",$O$8)),2)</f>
        <v>0.61</v>
      </c>
      <c r="P1236" s="157" cm="1">
        <f t="array" ref="P1236">TRUNC($I1236*(1+_xlfn.SWITCH($N1236,"BDI 1",$P$6,"BDI 2",$P$7,"BDI 3",$P$8)),2)</f>
        <v>0.64</v>
      </c>
      <c r="Q1236" s="157">
        <v>0</v>
      </c>
      <c r="R1236" s="157">
        <f t="shared" ref="R1236" si="2754">$Q1236-($Q1236*LICITACAO_DESCONTO)</f>
        <v>0</v>
      </c>
      <c r="S1236" s="156">
        <f t="shared" si="2733"/>
        <v>0</v>
      </c>
      <c r="T1236" s="156">
        <f t="shared" si="2734"/>
        <v>0</v>
      </c>
      <c r="U1236" s="156">
        <f t="shared" si="2735"/>
        <v>0</v>
      </c>
      <c r="V1236" s="156">
        <f t="shared" si="2736"/>
        <v>0</v>
      </c>
      <c r="W1236" s="156">
        <f t="shared" si="2726"/>
        <v>0</v>
      </c>
      <c r="X1236" s="158">
        <f t="shared" ref="X1236" si="2755">$S1236/ORCAMENTO_VALOR_TOTAL_ND</f>
        <v>0</v>
      </c>
      <c r="Y1236" s="158">
        <f t="shared" ref="Y1236" si="2756">$T1236/ORCAMENTO_VALOR_TOTAL_DE</f>
        <v>0</v>
      </c>
      <c r="Z1236" s="158" cm="1">
        <f t="array" ref="Z1236">_xlfn.SWITCH($N1236,"BDI 1",$O$6,"BDI 2",$O$7,"BDI 3",$O$8)</f>
        <v>0.20699999999999999</v>
      </c>
      <c r="AA1236" s="158" cm="1">
        <f t="array" ref="AA1236">_xlfn.SWITCH($N1236,"BDI 1",$P$6,"BDI 2",$P$7,"BDI 3",$P$8)</f>
        <v>0.26739999999999997</v>
      </c>
      <c r="AB1236" s="158">
        <f t="shared" ca="1" si="2739"/>
        <v>0</v>
      </c>
      <c r="AC1236" s="158">
        <f t="shared" ca="1" si="2740"/>
        <v>0</v>
      </c>
      <c r="AD1236" s="164"/>
      <c r="AE1236" s="148">
        <f t="shared" si="2727"/>
        <v>0</v>
      </c>
      <c r="AF1236" s="149"/>
      <c r="AG1236" s="150"/>
      <c r="AH1236" s="159" t="e">
        <f t="shared" si="2741"/>
        <v>#DIV/0!</v>
      </c>
      <c r="AI1236" s="226"/>
      <c r="AJ1236" s="105"/>
      <c r="AK1236" s="105"/>
      <c r="AM1236" s="105"/>
      <c r="AN1236" s="105"/>
      <c r="AO1236" s="105"/>
      <c r="AP1236" s="105"/>
      <c r="AQ1236" s="105"/>
      <c r="AR1236" s="105"/>
    </row>
    <row r="1237" spans="1:44" s="49" customFormat="1" ht="40.15" hidden="1" customHeight="1">
      <c r="A1237" s="152">
        <f t="shared" ca="1" si="2728"/>
        <v>0</v>
      </c>
      <c r="B1237" s="153" t="s">
        <v>420</v>
      </c>
      <c r="C1237" s="154" t="str">
        <f t="shared" si="2729"/>
        <v>PFIU002</v>
      </c>
      <c r="D1237" s="154" t="s">
        <v>3554</v>
      </c>
      <c r="E1237" s="155" t="s">
        <v>4008</v>
      </c>
      <c r="F1237" s="154"/>
      <c r="G1237" s="154" t="s">
        <v>1285</v>
      </c>
      <c r="H1237" s="152">
        <v>3604.02</v>
      </c>
      <c r="I1237" s="152">
        <v>3604.02</v>
      </c>
      <c r="J1237" s="156"/>
      <c r="K1237" s="156"/>
      <c r="L1237" s="156">
        <f t="shared" si="2730"/>
        <v>0</v>
      </c>
      <c r="M1237" s="156">
        <f t="shared" si="2731"/>
        <v>0</v>
      </c>
      <c r="N1237" s="156" t="s">
        <v>83</v>
      </c>
      <c r="O1237" s="157" cm="1">
        <f t="array" ref="O1237">TRUNC($H1237*(1+_xlfn.SWITCH($N1237,"BDI 1",$O$6,"BDI 2",$O$7,"BDI 3",$O$8)),2)</f>
        <v>4350.05</v>
      </c>
      <c r="P1237" s="157" cm="1">
        <f t="array" ref="P1237">TRUNC($I1237*(1+_xlfn.SWITCH($N1237,"BDI 1",$P$6,"BDI 2",$P$7,"BDI 3",$P$8)),2)</f>
        <v>4567.7299999999996</v>
      </c>
      <c r="Q1237" s="157">
        <v>0</v>
      </c>
      <c r="R1237" s="157">
        <f t="shared" ref="R1237" si="2757">$Q1237-($Q1237*LICITACAO_DESCONTO)</f>
        <v>0</v>
      </c>
      <c r="S1237" s="156">
        <f t="shared" si="2733"/>
        <v>0</v>
      </c>
      <c r="T1237" s="156">
        <f t="shared" si="2734"/>
        <v>0</v>
      </c>
      <c r="U1237" s="156">
        <f t="shared" si="2735"/>
        <v>0</v>
      </c>
      <c r="V1237" s="156">
        <f t="shared" si="2736"/>
        <v>0</v>
      </c>
      <c r="W1237" s="156">
        <f t="shared" si="2726"/>
        <v>0</v>
      </c>
      <c r="X1237" s="158">
        <f t="shared" ref="X1237" si="2758">$S1237/ORCAMENTO_VALOR_TOTAL_ND</f>
        <v>0</v>
      </c>
      <c r="Y1237" s="158">
        <f t="shared" ref="Y1237" si="2759">$T1237/ORCAMENTO_VALOR_TOTAL_DE</f>
        <v>0</v>
      </c>
      <c r="Z1237" s="158" cm="1">
        <f t="array" ref="Z1237">_xlfn.SWITCH($N1237,"BDI 1",$O$6,"BDI 2",$O$7,"BDI 3",$O$8)</f>
        <v>0.20699999999999999</v>
      </c>
      <c r="AA1237" s="158" cm="1">
        <f t="array" ref="AA1237">_xlfn.SWITCH($N1237,"BDI 1",$P$6,"BDI 2",$P$7,"BDI 3",$P$8)</f>
        <v>0.26739999999999997</v>
      </c>
      <c r="AB1237" s="158">
        <f t="shared" ca="1" si="2739"/>
        <v>0</v>
      </c>
      <c r="AC1237" s="158">
        <f t="shared" ca="1" si="2740"/>
        <v>0</v>
      </c>
      <c r="AD1237" s="164"/>
      <c r="AE1237" s="148">
        <f t="shared" si="2727"/>
        <v>0</v>
      </c>
      <c r="AF1237" s="149"/>
      <c r="AG1237" s="150"/>
      <c r="AH1237" s="159" t="e">
        <f t="shared" si="2741"/>
        <v>#DIV/0!</v>
      </c>
      <c r="AI1237" s="226"/>
      <c r="AJ1237" s="105"/>
      <c r="AK1237" s="105"/>
      <c r="AM1237" s="105"/>
      <c r="AN1237" s="105"/>
      <c r="AO1237" s="105"/>
      <c r="AP1237" s="105"/>
      <c r="AQ1237" s="105"/>
      <c r="AR1237" s="105"/>
    </row>
    <row r="1238" spans="1:44" s="49" customFormat="1" ht="49.9" hidden="1" customHeight="1">
      <c r="A1238" s="152">
        <f t="shared" ca="1" si="2728"/>
        <v>0</v>
      </c>
      <c r="B1238" s="153" t="s">
        <v>421</v>
      </c>
      <c r="C1238" s="154" t="str">
        <f t="shared" si="2729"/>
        <v>PBPC001</v>
      </c>
      <c r="D1238" s="154" t="s">
        <v>3554</v>
      </c>
      <c r="E1238" s="155" t="s">
        <v>4009</v>
      </c>
      <c r="F1238" s="154"/>
      <c r="G1238" s="154" t="s">
        <v>1431</v>
      </c>
      <c r="H1238" s="152">
        <v>660.01</v>
      </c>
      <c r="I1238" s="152">
        <v>660.01</v>
      </c>
      <c r="J1238" s="156"/>
      <c r="K1238" s="156"/>
      <c r="L1238" s="156">
        <f t="shared" si="2730"/>
        <v>0</v>
      </c>
      <c r="M1238" s="156">
        <f t="shared" si="2731"/>
        <v>0</v>
      </c>
      <c r="N1238" s="156" t="s">
        <v>83</v>
      </c>
      <c r="O1238" s="157" cm="1">
        <f t="array" ref="O1238">TRUNC($H1238*(1+_xlfn.SWITCH($N1238,"BDI 1",$O$6,"BDI 2",$O$7,"BDI 3",$O$8)),2)</f>
        <v>796.63</v>
      </c>
      <c r="P1238" s="157" cm="1">
        <f t="array" ref="P1238">TRUNC($I1238*(1+_xlfn.SWITCH($N1238,"BDI 1",$P$6,"BDI 2",$P$7,"BDI 3",$P$8)),2)</f>
        <v>836.49</v>
      </c>
      <c r="Q1238" s="157">
        <v>0</v>
      </c>
      <c r="R1238" s="157">
        <f t="shared" ref="R1238" si="2760">$Q1238-($Q1238*LICITACAO_DESCONTO)</f>
        <v>0</v>
      </c>
      <c r="S1238" s="156">
        <f t="shared" si="2733"/>
        <v>0</v>
      </c>
      <c r="T1238" s="156">
        <f t="shared" si="2734"/>
        <v>0</v>
      </c>
      <c r="U1238" s="156">
        <f t="shared" si="2735"/>
        <v>0</v>
      </c>
      <c r="V1238" s="156">
        <f t="shared" si="2736"/>
        <v>0</v>
      </c>
      <c r="W1238" s="156">
        <f t="shared" si="2726"/>
        <v>0</v>
      </c>
      <c r="X1238" s="158">
        <f t="shared" ref="X1238" si="2761">$S1238/ORCAMENTO_VALOR_TOTAL_ND</f>
        <v>0</v>
      </c>
      <c r="Y1238" s="158">
        <f t="shared" ref="Y1238" si="2762">$T1238/ORCAMENTO_VALOR_TOTAL_DE</f>
        <v>0</v>
      </c>
      <c r="Z1238" s="158" cm="1">
        <f t="array" ref="Z1238">_xlfn.SWITCH($N1238,"BDI 1",$O$6,"BDI 2",$O$7,"BDI 3",$O$8)</f>
        <v>0.20699999999999999</v>
      </c>
      <c r="AA1238" s="158" cm="1">
        <f t="array" ref="AA1238">_xlfn.SWITCH($N1238,"BDI 1",$P$6,"BDI 2",$P$7,"BDI 3",$P$8)</f>
        <v>0.26739999999999997</v>
      </c>
      <c r="AB1238" s="158">
        <f t="shared" ca="1" si="2739"/>
        <v>0</v>
      </c>
      <c r="AC1238" s="158">
        <f t="shared" ca="1" si="2740"/>
        <v>0</v>
      </c>
      <c r="AD1238" s="164"/>
      <c r="AE1238" s="148">
        <f t="shared" si="2727"/>
        <v>0</v>
      </c>
      <c r="AF1238" s="149"/>
      <c r="AG1238" s="150"/>
      <c r="AH1238" s="159" t="e">
        <f t="shared" si="2741"/>
        <v>#DIV/0!</v>
      </c>
      <c r="AI1238" s="226"/>
      <c r="AJ1238" s="105"/>
      <c r="AK1238" s="105"/>
      <c r="AM1238" s="105"/>
      <c r="AN1238" s="105"/>
      <c r="AO1238" s="105"/>
      <c r="AP1238" s="105"/>
      <c r="AQ1238" s="105"/>
      <c r="AR1238" s="105"/>
    </row>
    <row r="1239" spans="1:44" s="49" customFormat="1" ht="40.15" hidden="1" customHeight="1">
      <c r="A1239" s="152">
        <f t="shared" ca="1" si="2728"/>
        <v>0</v>
      </c>
      <c r="B1239" s="153" t="s">
        <v>422</v>
      </c>
      <c r="C1239" s="154" t="str">
        <f t="shared" si="2729"/>
        <v>EHAU001</v>
      </c>
      <c r="D1239" s="154" t="s">
        <v>3554</v>
      </c>
      <c r="E1239" s="155" t="s">
        <v>4010</v>
      </c>
      <c r="F1239" s="154"/>
      <c r="G1239" s="154" t="s">
        <v>4007</v>
      </c>
      <c r="H1239" s="152">
        <v>23.54</v>
      </c>
      <c r="I1239" s="152">
        <v>23.54</v>
      </c>
      <c r="J1239" s="156"/>
      <c r="K1239" s="156"/>
      <c r="L1239" s="156">
        <f t="shared" si="2730"/>
        <v>0</v>
      </c>
      <c r="M1239" s="156">
        <f t="shared" si="2731"/>
        <v>0</v>
      </c>
      <c r="N1239" s="156" t="s">
        <v>83</v>
      </c>
      <c r="O1239" s="157" cm="1">
        <f t="array" ref="O1239">TRUNC($H1239*(1+_xlfn.SWITCH($N1239,"BDI 1",$O$6,"BDI 2",$O$7,"BDI 3",$O$8)),2)</f>
        <v>28.41</v>
      </c>
      <c r="P1239" s="157" cm="1">
        <f t="array" ref="P1239">TRUNC($I1239*(1+_xlfn.SWITCH($N1239,"BDI 1",$P$6,"BDI 2",$P$7,"BDI 3",$P$8)),2)</f>
        <v>29.83</v>
      </c>
      <c r="Q1239" s="157">
        <v>0</v>
      </c>
      <c r="R1239" s="157">
        <f t="shared" ref="R1239" si="2763">$Q1239-($Q1239*LICITACAO_DESCONTO)</f>
        <v>0</v>
      </c>
      <c r="S1239" s="156">
        <f t="shared" si="2733"/>
        <v>0</v>
      </c>
      <c r="T1239" s="156">
        <f t="shared" si="2734"/>
        <v>0</v>
      </c>
      <c r="U1239" s="156">
        <f t="shared" si="2735"/>
        <v>0</v>
      </c>
      <c r="V1239" s="156">
        <f t="shared" si="2736"/>
        <v>0</v>
      </c>
      <c r="W1239" s="156">
        <f t="shared" si="2726"/>
        <v>0</v>
      </c>
      <c r="X1239" s="158">
        <f t="shared" ref="X1239" si="2764">$S1239/ORCAMENTO_VALOR_TOTAL_ND</f>
        <v>0</v>
      </c>
      <c r="Y1239" s="158">
        <f t="shared" ref="Y1239" si="2765">$T1239/ORCAMENTO_VALOR_TOTAL_DE</f>
        <v>0</v>
      </c>
      <c r="Z1239" s="158" cm="1">
        <f t="array" ref="Z1239">_xlfn.SWITCH($N1239,"BDI 1",$O$6,"BDI 2",$O$7,"BDI 3",$O$8)</f>
        <v>0.20699999999999999</v>
      </c>
      <c r="AA1239" s="158" cm="1">
        <f t="array" ref="AA1239">_xlfn.SWITCH($N1239,"BDI 1",$P$6,"BDI 2",$P$7,"BDI 3",$P$8)</f>
        <v>0.26739999999999997</v>
      </c>
      <c r="AB1239" s="158">
        <f t="shared" ca="1" si="2739"/>
        <v>0</v>
      </c>
      <c r="AC1239" s="158">
        <f t="shared" ca="1" si="2740"/>
        <v>0</v>
      </c>
      <c r="AD1239" s="164"/>
      <c r="AE1239" s="148">
        <f t="shared" si="2727"/>
        <v>0</v>
      </c>
      <c r="AF1239" s="149"/>
      <c r="AG1239" s="150"/>
      <c r="AH1239" s="159" t="e">
        <f t="shared" si="2741"/>
        <v>#DIV/0!</v>
      </c>
      <c r="AI1239" s="226"/>
      <c r="AJ1239" s="105"/>
      <c r="AK1239" s="105"/>
      <c r="AM1239" s="105"/>
      <c r="AN1239" s="105"/>
      <c r="AO1239" s="105"/>
      <c r="AP1239" s="105"/>
      <c r="AQ1239" s="105"/>
      <c r="AR1239" s="105"/>
    </row>
    <row r="1240" spans="1:44" s="49" customFormat="1" ht="40.15" hidden="1" customHeight="1">
      <c r="A1240" s="152">
        <f t="shared" ca="1" si="2728"/>
        <v>0</v>
      </c>
      <c r="B1240" s="153" t="s">
        <v>423</v>
      </c>
      <c r="C1240" s="154" t="str">
        <f t="shared" si="2729"/>
        <v>EHAU002</v>
      </c>
      <c r="D1240" s="154" t="s">
        <v>3554</v>
      </c>
      <c r="E1240" s="155" t="s">
        <v>4011</v>
      </c>
      <c r="F1240" s="154"/>
      <c r="G1240" s="154" t="s">
        <v>4012</v>
      </c>
      <c r="H1240" s="152">
        <v>1359.26</v>
      </c>
      <c r="I1240" s="152">
        <v>1359.26</v>
      </c>
      <c r="J1240" s="156"/>
      <c r="K1240" s="156"/>
      <c r="L1240" s="156">
        <f t="shared" si="2730"/>
        <v>0</v>
      </c>
      <c r="M1240" s="156">
        <f t="shared" si="2731"/>
        <v>0</v>
      </c>
      <c r="N1240" s="156" t="s">
        <v>83</v>
      </c>
      <c r="O1240" s="157" cm="1">
        <f t="array" ref="O1240">TRUNC($H1240*(1+_xlfn.SWITCH($N1240,"BDI 1",$O$6,"BDI 2",$O$7,"BDI 3",$O$8)),2)</f>
        <v>1640.62</v>
      </c>
      <c r="P1240" s="157" cm="1">
        <f t="array" ref="P1240">TRUNC($I1240*(1+_xlfn.SWITCH($N1240,"BDI 1",$P$6,"BDI 2",$P$7,"BDI 3",$P$8)),2)</f>
        <v>1722.72</v>
      </c>
      <c r="Q1240" s="157">
        <v>0</v>
      </c>
      <c r="R1240" s="157">
        <f t="shared" ref="R1240" si="2766">$Q1240-($Q1240*LICITACAO_DESCONTO)</f>
        <v>0</v>
      </c>
      <c r="S1240" s="156">
        <f t="shared" si="2733"/>
        <v>0</v>
      </c>
      <c r="T1240" s="156">
        <f t="shared" si="2734"/>
        <v>0</v>
      </c>
      <c r="U1240" s="156">
        <f t="shared" si="2735"/>
        <v>0</v>
      </c>
      <c r="V1240" s="156">
        <f t="shared" si="2736"/>
        <v>0</v>
      </c>
      <c r="W1240" s="156">
        <f t="shared" si="2726"/>
        <v>0</v>
      </c>
      <c r="X1240" s="158">
        <f t="shared" ref="X1240" si="2767">$S1240/ORCAMENTO_VALOR_TOTAL_ND</f>
        <v>0</v>
      </c>
      <c r="Y1240" s="158">
        <f t="shared" ref="Y1240" si="2768">$T1240/ORCAMENTO_VALOR_TOTAL_DE</f>
        <v>0</v>
      </c>
      <c r="Z1240" s="158" cm="1">
        <f t="array" ref="Z1240">_xlfn.SWITCH($N1240,"BDI 1",$O$6,"BDI 2",$O$7,"BDI 3",$O$8)</f>
        <v>0.20699999999999999</v>
      </c>
      <c r="AA1240" s="158" cm="1">
        <f t="array" ref="AA1240">_xlfn.SWITCH($N1240,"BDI 1",$P$6,"BDI 2",$P$7,"BDI 3",$P$8)</f>
        <v>0.26739999999999997</v>
      </c>
      <c r="AB1240" s="158">
        <f t="shared" ca="1" si="2739"/>
        <v>0</v>
      </c>
      <c r="AC1240" s="158">
        <f t="shared" ca="1" si="2740"/>
        <v>0</v>
      </c>
      <c r="AD1240" s="164"/>
      <c r="AE1240" s="148">
        <f t="shared" si="2727"/>
        <v>0</v>
      </c>
      <c r="AF1240" s="149"/>
      <c r="AG1240" s="150"/>
      <c r="AH1240" s="159" t="e">
        <f>+S1240/S$1230</f>
        <v>#DIV/0!</v>
      </c>
      <c r="AI1240" s="226"/>
      <c r="AJ1240" s="105"/>
      <c r="AK1240" s="105"/>
      <c r="AM1240" s="105"/>
      <c r="AN1240" s="105"/>
      <c r="AO1240" s="105"/>
      <c r="AP1240" s="105"/>
      <c r="AQ1240" s="105"/>
      <c r="AR1240" s="105"/>
    </row>
    <row r="1241" spans="1:44" s="49" customFormat="1" ht="49.9" hidden="1" customHeight="1">
      <c r="A1241" s="152">
        <f t="shared" ca="1" si="2728"/>
        <v>0</v>
      </c>
      <c r="B1241" s="153" t="s">
        <v>424</v>
      </c>
      <c r="C1241" s="154" t="str">
        <f t="shared" si="2729"/>
        <v>EG0001</v>
      </c>
      <c r="D1241" s="154" t="s">
        <v>3554</v>
      </c>
      <c r="E1241" s="155" t="s">
        <v>4013</v>
      </c>
      <c r="F1241" s="154"/>
      <c r="G1241" s="154" t="s">
        <v>1428</v>
      </c>
      <c r="H1241" s="152">
        <v>965.85</v>
      </c>
      <c r="I1241" s="152">
        <v>965.85</v>
      </c>
      <c r="J1241" s="156"/>
      <c r="K1241" s="156"/>
      <c r="L1241" s="156">
        <f t="shared" si="2730"/>
        <v>0</v>
      </c>
      <c r="M1241" s="156">
        <f t="shared" si="2731"/>
        <v>0</v>
      </c>
      <c r="N1241" s="156" t="s">
        <v>83</v>
      </c>
      <c r="O1241" s="157" cm="1">
        <f t="array" ref="O1241">TRUNC($H1241*(1+_xlfn.SWITCH($N1241,"BDI 1",$O$6,"BDI 2",$O$7,"BDI 3",$O$8)),2)</f>
        <v>1165.78</v>
      </c>
      <c r="P1241" s="157" cm="1">
        <f t="array" ref="P1241">TRUNC($I1241*(1+_xlfn.SWITCH($N1241,"BDI 1",$P$6,"BDI 2",$P$7,"BDI 3",$P$8)),2)</f>
        <v>1224.1099999999999</v>
      </c>
      <c r="Q1241" s="157">
        <v>0</v>
      </c>
      <c r="R1241" s="157">
        <f t="shared" ref="R1241" si="2769">$Q1241-($Q1241*LICITACAO_DESCONTO)</f>
        <v>0</v>
      </c>
      <c r="S1241" s="156">
        <f t="shared" si="2733"/>
        <v>0</v>
      </c>
      <c r="T1241" s="156">
        <f t="shared" si="2734"/>
        <v>0</v>
      </c>
      <c r="U1241" s="156">
        <f t="shared" si="2735"/>
        <v>0</v>
      </c>
      <c r="V1241" s="156">
        <f t="shared" si="2736"/>
        <v>0</v>
      </c>
      <c r="W1241" s="156">
        <f t="shared" si="2726"/>
        <v>0</v>
      </c>
      <c r="X1241" s="158">
        <f t="shared" ref="X1241" si="2770">$S1241/ORCAMENTO_VALOR_TOTAL_ND</f>
        <v>0</v>
      </c>
      <c r="Y1241" s="158">
        <f t="shared" ref="Y1241" si="2771">$T1241/ORCAMENTO_VALOR_TOTAL_DE</f>
        <v>0</v>
      </c>
      <c r="Z1241" s="158" cm="1">
        <f t="array" ref="Z1241">_xlfn.SWITCH($N1241,"BDI 1",$O$6,"BDI 2",$O$7,"BDI 3",$O$8)</f>
        <v>0.20699999999999999</v>
      </c>
      <c r="AA1241" s="158" cm="1">
        <f t="array" ref="AA1241">_xlfn.SWITCH($N1241,"BDI 1",$P$6,"BDI 2",$P$7,"BDI 3",$P$8)</f>
        <v>0.26739999999999997</v>
      </c>
      <c r="AB1241" s="158">
        <f t="shared" ca="1" si="2739"/>
        <v>0</v>
      </c>
      <c r="AC1241" s="158">
        <f t="shared" ca="1" si="2740"/>
        <v>0</v>
      </c>
      <c r="AD1241" s="164"/>
      <c r="AE1241" s="148">
        <f t="shared" si="2727"/>
        <v>0</v>
      </c>
      <c r="AF1241" s="149"/>
      <c r="AG1241" s="150"/>
      <c r="AH1241" s="159" t="e">
        <f t="shared" ref="AH1241:AH1243" si="2772">+S1241/S$1230</f>
        <v>#DIV/0!</v>
      </c>
      <c r="AI1241" s="226"/>
      <c r="AJ1241" s="105"/>
      <c r="AK1241" s="105"/>
      <c r="AM1241" s="105"/>
      <c r="AN1241" s="105"/>
      <c r="AO1241" s="105"/>
      <c r="AP1241" s="105"/>
      <c r="AQ1241" s="105"/>
      <c r="AR1241" s="105"/>
    </row>
    <row r="1242" spans="1:44" s="49" customFormat="1" ht="49.9" hidden="1" customHeight="1">
      <c r="A1242" s="152">
        <f t="shared" ca="1" si="2728"/>
        <v>0</v>
      </c>
      <c r="B1242" s="153" t="s">
        <v>425</v>
      </c>
      <c r="C1242" s="154" t="str">
        <f t="shared" si="2729"/>
        <v>EG0012</v>
      </c>
      <c r="D1242" s="154" t="s">
        <v>3554</v>
      </c>
      <c r="E1242" s="155" t="s">
        <v>4014</v>
      </c>
      <c r="F1242" s="154"/>
      <c r="G1242" s="154" t="s">
        <v>1428</v>
      </c>
      <c r="H1242" s="152">
        <v>804.93</v>
      </c>
      <c r="I1242" s="152">
        <v>804.93</v>
      </c>
      <c r="J1242" s="156"/>
      <c r="K1242" s="156"/>
      <c r="L1242" s="156">
        <f t="shared" si="2730"/>
        <v>0</v>
      </c>
      <c r="M1242" s="156">
        <f t="shared" si="2731"/>
        <v>0</v>
      </c>
      <c r="N1242" s="156" t="s">
        <v>83</v>
      </c>
      <c r="O1242" s="157" cm="1">
        <f t="array" ref="O1242">TRUNC($H1242*(1+_xlfn.SWITCH($N1242,"BDI 1",$O$6,"BDI 2",$O$7,"BDI 3",$O$8)),2)</f>
        <v>971.55</v>
      </c>
      <c r="P1242" s="157" cm="1">
        <f t="array" ref="P1242">TRUNC($I1242*(1+_xlfn.SWITCH($N1242,"BDI 1",$P$6,"BDI 2",$P$7,"BDI 3",$P$8)),2)</f>
        <v>1020.16</v>
      </c>
      <c r="Q1242" s="157">
        <v>0</v>
      </c>
      <c r="R1242" s="157">
        <f t="shared" ref="R1242" si="2773">$Q1242-($Q1242*LICITACAO_DESCONTO)</f>
        <v>0</v>
      </c>
      <c r="S1242" s="156">
        <f t="shared" si="2733"/>
        <v>0</v>
      </c>
      <c r="T1242" s="156">
        <f t="shared" si="2734"/>
        <v>0</v>
      </c>
      <c r="U1242" s="156">
        <f t="shared" si="2735"/>
        <v>0</v>
      </c>
      <c r="V1242" s="156">
        <f t="shared" si="2736"/>
        <v>0</v>
      </c>
      <c r="W1242" s="156">
        <f t="shared" si="2726"/>
        <v>0</v>
      </c>
      <c r="X1242" s="158">
        <f t="shared" ref="X1242" si="2774">$S1242/ORCAMENTO_VALOR_TOTAL_ND</f>
        <v>0</v>
      </c>
      <c r="Y1242" s="158">
        <f t="shared" ref="Y1242" si="2775">$T1242/ORCAMENTO_VALOR_TOTAL_DE</f>
        <v>0</v>
      </c>
      <c r="Z1242" s="158" cm="1">
        <f t="array" ref="Z1242">_xlfn.SWITCH($N1242,"BDI 1",$O$6,"BDI 2",$O$7,"BDI 3",$O$8)</f>
        <v>0.20699999999999999</v>
      </c>
      <c r="AA1242" s="158" cm="1">
        <f t="array" ref="AA1242">_xlfn.SWITCH($N1242,"BDI 1",$P$6,"BDI 2",$P$7,"BDI 3",$P$8)</f>
        <v>0.26739999999999997</v>
      </c>
      <c r="AB1242" s="158">
        <f t="shared" ca="1" si="2739"/>
        <v>0</v>
      </c>
      <c r="AC1242" s="158">
        <f t="shared" ca="1" si="2740"/>
        <v>0</v>
      </c>
      <c r="AD1242" s="164"/>
      <c r="AE1242" s="148">
        <f t="shared" si="2727"/>
        <v>0</v>
      </c>
      <c r="AF1242" s="149"/>
      <c r="AG1242" s="150"/>
      <c r="AH1242" s="159" t="e">
        <f t="shared" si="2772"/>
        <v>#DIV/0!</v>
      </c>
      <c r="AI1242" s="226"/>
      <c r="AJ1242" s="105"/>
      <c r="AK1242" s="105"/>
      <c r="AM1242" s="105"/>
      <c r="AN1242" s="105"/>
      <c r="AO1242" s="105"/>
      <c r="AP1242" s="105"/>
      <c r="AQ1242" s="105"/>
      <c r="AR1242" s="105"/>
    </row>
    <row r="1243" spans="1:44" s="49" customFormat="1" ht="49.9" hidden="1" customHeight="1">
      <c r="A1243" s="152">
        <f t="shared" ca="1" si="2728"/>
        <v>0</v>
      </c>
      <c r="B1243" s="153" t="s">
        <v>426</v>
      </c>
      <c r="C1243" s="154" t="str">
        <f t="shared" si="2729"/>
        <v>EG0014</v>
      </c>
      <c r="D1243" s="154" t="s">
        <v>3554</v>
      </c>
      <c r="E1243" s="155" t="s">
        <v>4015</v>
      </c>
      <c r="F1243" s="154"/>
      <c r="G1243" s="154" t="s">
        <v>1428</v>
      </c>
      <c r="H1243" s="152">
        <v>605.70000000000005</v>
      </c>
      <c r="I1243" s="152">
        <v>605.70000000000005</v>
      </c>
      <c r="J1243" s="156"/>
      <c r="K1243" s="156"/>
      <c r="L1243" s="156">
        <f t="shared" si="2730"/>
        <v>0</v>
      </c>
      <c r="M1243" s="156">
        <f t="shared" si="2731"/>
        <v>0</v>
      </c>
      <c r="N1243" s="156" t="s">
        <v>83</v>
      </c>
      <c r="O1243" s="157" cm="1">
        <f t="array" ref="O1243">TRUNC($H1243*(1+_xlfn.SWITCH($N1243,"BDI 1",$O$6,"BDI 2",$O$7,"BDI 3",$O$8)),2)</f>
        <v>731.07</v>
      </c>
      <c r="P1243" s="157" cm="1">
        <f t="array" ref="P1243">TRUNC($I1243*(1+_xlfn.SWITCH($N1243,"BDI 1",$P$6,"BDI 2",$P$7,"BDI 3",$P$8)),2)</f>
        <v>767.66</v>
      </c>
      <c r="Q1243" s="157">
        <v>0</v>
      </c>
      <c r="R1243" s="157">
        <f t="shared" ref="R1243" si="2776">$Q1243-($Q1243*LICITACAO_DESCONTO)</f>
        <v>0</v>
      </c>
      <c r="S1243" s="156">
        <f t="shared" si="2733"/>
        <v>0</v>
      </c>
      <c r="T1243" s="156">
        <f t="shared" si="2734"/>
        <v>0</v>
      </c>
      <c r="U1243" s="156">
        <f t="shared" si="2735"/>
        <v>0</v>
      </c>
      <c r="V1243" s="156">
        <f t="shared" si="2736"/>
        <v>0</v>
      </c>
      <c r="W1243" s="156">
        <f t="shared" si="2726"/>
        <v>0</v>
      </c>
      <c r="X1243" s="158">
        <f t="shared" ref="X1243" si="2777">$S1243/ORCAMENTO_VALOR_TOTAL_ND</f>
        <v>0</v>
      </c>
      <c r="Y1243" s="158">
        <f t="shared" ref="Y1243" si="2778">$T1243/ORCAMENTO_VALOR_TOTAL_DE</f>
        <v>0</v>
      </c>
      <c r="Z1243" s="158" cm="1">
        <f t="array" ref="Z1243">_xlfn.SWITCH($N1243,"BDI 1",$O$6,"BDI 2",$O$7,"BDI 3",$O$8)</f>
        <v>0.20699999999999999</v>
      </c>
      <c r="AA1243" s="158" cm="1">
        <f t="array" ref="AA1243">_xlfn.SWITCH($N1243,"BDI 1",$P$6,"BDI 2",$P$7,"BDI 3",$P$8)</f>
        <v>0.26739999999999997</v>
      </c>
      <c r="AB1243" s="158">
        <f t="shared" ca="1" si="2739"/>
        <v>0</v>
      </c>
      <c r="AC1243" s="158">
        <f t="shared" ca="1" si="2740"/>
        <v>0</v>
      </c>
      <c r="AD1243" s="164"/>
      <c r="AE1243" s="148">
        <f t="shared" si="2727"/>
        <v>0</v>
      </c>
      <c r="AF1243" s="149"/>
      <c r="AG1243" s="150"/>
      <c r="AH1243" s="159" t="e">
        <f t="shared" si="2772"/>
        <v>#DIV/0!</v>
      </c>
      <c r="AI1243" s="226"/>
      <c r="AJ1243" s="105"/>
      <c r="AK1243" s="105"/>
      <c r="AM1243" s="105"/>
      <c r="AN1243" s="105"/>
      <c r="AO1243" s="105"/>
      <c r="AP1243" s="105"/>
      <c r="AQ1243" s="105"/>
      <c r="AR1243" s="105"/>
    </row>
    <row r="1244" spans="1:44" s="49" customFormat="1" ht="40.15" hidden="1" customHeight="1">
      <c r="A1244" s="152">
        <f t="shared" ca="1" si="2728"/>
        <v>0</v>
      </c>
      <c r="B1244" s="153" t="s">
        <v>427</v>
      </c>
      <c r="C1244" s="154" t="str">
        <f t="shared" si="2729"/>
        <v>EG0006</v>
      </c>
      <c r="D1244" s="154" t="s">
        <v>3554</v>
      </c>
      <c r="E1244" s="155" t="s">
        <v>4016</v>
      </c>
      <c r="F1244" s="154"/>
      <c r="G1244" s="154" t="s">
        <v>1428</v>
      </c>
      <c r="H1244" s="152">
        <v>123.15</v>
      </c>
      <c r="I1244" s="152">
        <v>123.15</v>
      </c>
      <c r="J1244" s="156"/>
      <c r="K1244" s="156"/>
      <c r="L1244" s="156">
        <f t="shared" si="2730"/>
        <v>0</v>
      </c>
      <c r="M1244" s="156">
        <f t="shared" si="2731"/>
        <v>0</v>
      </c>
      <c r="N1244" s="156" t="s">
        <v>83</v>
      </c>
      <c r="O1244" s="157" cm="1">
        <f t="array" ref="O1244">TRUNC($H1244*(1+_xlfn.SWITCH($N1244,"BDI 1",$O$6,"BDI 2",$O$7,"BDI 3",$O$8)),2)</f>
        <v>148.63999999999999</v>
      </c>
      <c r="P1244" s="157" cm="1">
        <f t="array" ref="P1244">TRUNC($I1244*(1+_xlfn.SWITCH($N1244,"BDI 1",$P$6,"BDI 2",$P$7,"BDI 3",$P$8)),2)</f>
        <v>156.08000000000001</v>
      </c>
      <c r="Q1244" s="157">
        <v>0</v>
      </c>
      <c r="R1244" s="157">
        <f t="shared" ref="R1244" si="2779">$Q1244-($Q1244*LICITACAO_DESCONTO)</f>
        <v>0</v>
      </c>
      <c r="S1244" s="156">
        <f t="shared" si="2733"/>
        <v>0</v>
      </c>
      <c r="T1244" s="156">
        <f t="shared" si="2734"/>
        <v>0</v>
      </c>
      <c r="U1244" s="156">
        <f t="shared" si="2735"/>
        <v>0</v>
      </c>
      <c r="V1244" s="156">
        <f t="shared" si="2736"/>
        <v>0</v>
      </c>
      <c r="W1244" s="156">
        <f t="shared" si="2726"/>
        <v>0</v>
      </c>
      <c r="X1244" s="158">
        <f t="shared" ref="X1244" si="2780">$S1244/ORCAMENTO_VALOR_TOTAL_ND</f>
        <v>0</v>
      </c>
      <c r="Y1244" s="158">
        <f t="shared" ref="Y1244" si="2781">$T1244/ORCAMENTO_VALOR_TOTAL_DE</f>
        <v>0</v>
      </c>
      <c r="Z1244" s="158" cm="1">
        <f t="array" ref="Z1244">_xlfn.SWITCH($N1244,"BDI 1",$O$6,"BDI 2",$O$7,"BDI 3",$O$8)</f>
        <v>0.20699999999999999</v>
      </c>
      <c r="AA1244" s="158" cm="1">
        <f t="array" ref="AA1244">_xlfn.SWITCH($N1244,"BDI 1",$P$6,"BDI 2",$P$7,"BDI 3",$P$8)</f>
        <v>0.26739999999999997</v>
      </c>
      <c r="AB1244" s="158">
        <f t="shared" ca="1" si="2739"/>
        <v>0</v>
      </c>
      <c r="AC1244" s="158">
        <f t="shared" ca="1" si="2740"/>
        <v>0</v>
      </c>
      <c r="AD1244" s="164"/>
      <c r="AE1244" s="148">
        <f t="shared" si="2727"/>
        <v>0</v>
      </c>
      <c r="AF1244" s="149"/>
      <c r="AG1244" s="150"/>
      <c r="AH1244" s="159" t="e">
        <f>+S1244/S$1230</f>
        <v>#DIV/0!</v>
      </c>
      <c r="AI1244" s="226"/>
      <c r="AJ1244" s="105"/>
      <c r="AK1244" s="105"/>
      <c r="AM1244" s="105"/>
      <c r="AN1244" s="105"/>
      <c r="AO1244" s="105"/>
      <c r="AP1244" s="105"/>
      <c r="AQ1244" s="105"/>
      <c r="AR1244" s="105"/>
    </row>
    <row r="1245" spans="1:44" s="49" customFormat="1" ht="40.15" hidden="1" customHeight="1">
      <c r="A1245" s="152">
        <f t="shared" ca="1" si="2728"/>
        <v>0</v>
      </c>
      <c r="B1245" s="153" t="s">
        <v>428</v>
      </c>
      <c r="C1245" s="154" t="str">
        <f t="shared" si="2729"/>
        <v>EG0007</v>
      </c>
      <c r="D1245" s="154" t="s">
        <v>3554</v>
      </c>
      <c r="E1245" s="155" t="s">
        <v>4017</v>
      </c>
      <c r="F1245" s="154"/>
      <c r="G1245" s="154" t="s">
        <v>1431</v>
      </c>
      <c r="H1245" s="152">
        <v>174.91</v>
      </c>
      <c r="I1245" s="152">
        <v>174.91</v>
      </c>
      <c r="J1245" s="156"/>
      <c r="K1245" s="156"/>
      <c r="L1245" s="156">
        <f t="shared" si="2730"/>
        <v>0</v>
      </c>
      <c r="M1245" s="156">
        <f t="shared" si="2731"/>
        <v>0</v>
      </c>
      <c r="N1245" s="156" t="s">
        <v>83</v>
      </c>
      <c r="O1245" s="157" cm="1">
        <f t="array" ref="O1245">TRUNC($H1245*(1+_xlfn.SWITCH($N1245,"BDI 1",$O$6,"BDI 2",$O$7,"BDI 3",$O$8)),2)</f>
        <v>211.11</v>
      </c>
      <c r="P1245" s="157" cm="1">
        <f t="array" ref="P1245">TRUNC($I1245*(1+_xlfn.SWITCH($N1245,"BDI 1",$P$6,"BDI 2",$P$7,"BDI 3",$P$8)),2)</f>
        <v>221.68</v>
      </c>
      <c r="Q1245" s="157">
        <v>0</v>
      </c>
      <c r="R1245" s="157">
        <f t="shared" ref="R1245" si="2782">$Q1245-($Q1245*LICITACAO_DESCONTO)</f>
        <v>0</v>
      </c>
      <c r="S1245" s="156">
        <f t="shared" si="2733"/>
        <v>0</v>
      </c>
      <c r="T1245" s="156">
        <f t="shared" si="2734"/>
        <v>0</v>
      </c>
      <c r="U1245" s="156">
        <f t="shared" si="2735"/>
        <v>0</v>
      </c>
      <c r="V1245" s="156">
        <f t="shared" si="2736"/>
        <v>0</v>
      </c>
      <c r="W1245" s="156">
        <f t="shared" si="2726"/>
        <v>0</v>
      </c>
      <c r="X1245" s="158">
        <f t="shared" ref="X1245" si="2783">$S1245/ORCAMENTO_VALOR_TOTAL_ND</f>
        <v>0</v>
      </c>
      <c r="Y1245" s="158">
        <f t="shared" ref="Y1245" si="2784">$T1245/ORCAMENTO_VALOR_TOTAL_DE</f>
        <v>0</v>
      </c>
      <c r="Z1245" s="158" cm="1">
        <f t="array" ref="Z1245">_xlfn.SWITCH($N1245,"BDI 1",$O$6,"BDI 2",$O$7,"BDI 3",$O$8)</f>
        <v>0.20699999999999999</v>
      </c>
      <c r="AA1245" s="158" cm="1">
        <f t="array" ref="AA1245">_xlfn.SWITCH($N1245,"BDI 1",$P$6,"BDI 2",$P$7,"BDI 3",$P$8)</f>
        <v>0.26739999999999997</v>
      </c>
      <c r="AB1245" s="158">
        <f t="shared" ca="1" si="2739"/>
        <v>0</v>
      </c>
      <c r="AC1245" s="158">
        <f t="shared" ca="1" si="2740"/>
        <v>0</v>
      </c>
      <c r="AD1245" s="164"/>
      <c r="AE1245" s="148">
        <f t="shared" si="2727"/>
        <v>0</v>
      </c>
      <c r="AF1245" s="149"/>
      <c r="AG1245" s="150"/>
      <c r="AH1245" s="159" t="e">
        <f t="shared" ref="AH1245:AH1264" si="2785">+S1245/S$1230</f>
        <v>#DIV/0!</v>
      </c>
      <c r="AI1245" s="160"/>
      <c r="AJ1245" s="105"/>
      <c r="AK1245" s="105"/>
      <c r="AM1245" s="105"/>
      <c r="AN1245" s="105"/>
      <c r="AO1245" s="105"/>
      <c r="AP1245" s="105"/>
      <c r="AQ1245" s="105"/>
      <c r="AR1245" s="105"/>
    </row>
    <row r="1246" spans="1:44" s="49" customFormat="1" ht="40.15" hidden="1" customHeight="1">
      <c r="A1246" s="152">
        <f t="shared" ca="1" si="2728"/>
        <v>0</v>
      </c>
      <c r="B1246" s="153" t="s">
        <v>429</v>
      </c>
      <c r="C1246" s="154" t="str">
        <f t="shared" si="2729"/>
        <v>EG0011</v>
      </c>
      <c r="D1246" s="154" t="s">
        <v>3554</v>
      </c>
      <c r="E1246" s="155" t="s">
        <v>4018</v>
      </c>
      <c r="F1246" s="154"/>
      <c r="G1246" s="154" t="s">
        <v>1428</v>
      </c>
      <c r="H1246" s="152">
        <v>16064.08</v>
      </c>
      <c r="I1246" s="152">
        <v>16064.08</v>
      </c>
      <c r="J1246" s="156"/>
      <c r="K1246" s="156"/>
      <c r="L1246" s="156">
        <f t="shared" si="2730"/>
        <v>0</v>
      </c>
      <c r="M1246" s="156">
        <f t="shared" si="2731"/>
        <v>0</v>
      </c>
      <c r="N1246" s="156" t="s">
        <v>83</v>
      </c>
      <c r="O1246" s="157" cm="1">
        <f t="array" ref="O1246">TRUNC($H1246*(1+_xlfn.SWITCH($N1246,"BDI 1",$O$6,"BDI 2",$O$7,"BDI 3",$O$8)),2)</f>
        <v>19389.34</v>
      </c>
      <c r="P1246" s="157" cm="1">
        <f t="array" ref="P1246">TRUNC($I1246*(1+_xlfn.SWITCH($N1246,"BDI 1",$P$6,"BDI 2",$P$7,"BDI 3",$P$8)),2)</f>
        <v>20359.61</v>
      </c>
      <c r="Q1246" s="157">
        <v>0</v>
      </c>
      <c r="R1246" s="157">
        <f t="shared" ref="R1246" si="2786">$Q1246-($Q1246*LICITACAO_DESCONTO)</f>
        <v>0</v>
      </c>
      <c r="S1246" s="156">
        <f t="shared" si="2733"/>
        <v>0</v>
      </c>
      <c r="T1246" s="156">
        <f t="shared" si="2734"/>
        <v>0</v>
      </c>
      <c r="U1246" s="156">
        <f t="shared" si="2735"/>
        <v>0</v>
      </c>
      <c r="V1246" s="156">
        <f t="shared" si="2736"/>
        <v>0</v>
      </c>
      <c r="W1246" s="156">
        <f t="shared" si="2726"/>
        <v>0</v>
      </c>
      <c r="X1246" s="158">
        <f t="shared" ref="X1246" si="2787">$S1246/ORCAMENTO_VALOR_TOTAL_ND</f>
        <v>0</v>
      </c>
      <c r="Y1246" s="158">
        <f t="shared" ref="Y1246" si="2788">$T1246/ORCAMENTO_VALOR_TOTAL_DE</f>
        <v>0</v>
      </c>
      <c r="Z1246" s="158" cm="1">
        <f t="array" ref="Z1246">_xlfn.SWITCH($N1246,"BDI 1",$O$6,"BDI 2",$O$7,"BDI 3",$O$8)</f>
        <v>0.20699999999999999</v>
      </c>
      <c r="AA1246" s="158" cm="1">
        <f t="array" ref="AA1246">_xlfn.SWITCH($N1246,"BDI 1",$P$6,"BDI 2",$P$7,"BDI 3",$P$8)</f>
        <v>0.26739999999999997</v>
      </c>
      <c r="AB1246" s="158">
        <f t="shared" ca="1" si="2739"/>
        <v>0</v>
      </c>
      <c r="AC1246" s="158">
        <f t="shared" ca="1" si="2740"/>
        <v>0</v>
      </c>
      <c r="AD1246" s="164"/>
      <c r="AE1246" s="148">
        <f t="shared" si="2727"/>
        <v>0</v>
      </c>
      <c r="AF1246" s="149"/>
      <c r="AG1246" s="150"/>
      <c r="AH1246" s="159" t="e">
        <f t="shared" si="2785"/>
        <v>#DIV/0!</v>
      </c>
      <c r="AI1246" s="160"/>
      <c r="AJ1246" s="105"/>
      <c r="AK1246" s="105"/>
      <c r="AM1246" s="105"/>
      <c r="AN1246" s="105"/>
      <c r="AO1246" s="105"/>
      <c r="AP1246" s="105"/>
      <c r="AQ1246" s="105"/>
      <c r="AR1246" s="105"/>
    </row>
    <row r="1247" spans="1:44" s="49" customFormat="1" ht="40.15" hidden="1" customHeight="1">
      <c r="A1247" s="152">
        <f t="shared" ca="1" si="2728"/>
        <v>0</v>
      </c>
      <c r="B1247" s="153" t="s">
        <v>430</v>
      </c>
      <c r="C1247" s="154" t="str">
        <f t="shared" si="2729"/>
        <v>ETG0001</v>
      </c>
      <c r="D1247" s="154" t="s">
        <v>3554</v>
      </c>
      <c r="E1247" s="155" t="s">
        <v>4019</v>
      </c>
      <c r="F1247" s="154"/>
      <c r="G1247" s="154" t="s">
        <v>1285</v>
      </c>
      <c r="H1247" s="152">
        <v>11821.84</v>
      </c>
      <c r="I1247" s="152">
        <v>11821.84</v>
      </c>
      <c r="J1247" s="156"/>
      <c r="K1247" s="156"/>
      <c r="L1247" s="156">
        <f t="shared" si="2730"/>
        <v>0</v>
      </c>
      <c r="M1247" s="156">
        <f t="shared" si="2731"/>
        <v>0</v>
      </c>
      <c r="N1247" s="156" t="s">
        <v>83</v>
      </c>
      <c r="O1247" s="157" cm="1">
        <f t="array" ref="O1247">TRUNC($H1247*(1+_xlfn.SWITCH($N1247,"BDI 1",$O$6,"BDI 2",$O$7,"BDI 3",$O$8)),2)</f>
        <v>14268.96</v>
      </c>
      <c r="P1247" s="157" cm="1">
        <f t="array" ref="P1247">TRUNC($I1247*(1+_xlfn.SWITCH($N1247,"BDI 1",$P$6,"BDI 2",$P$7,"BDI 3",$P$8)),2)</f>
        <v>14983</v>
      </c>
      <c r="Q1247" s="157">
        <v>0</v>
      </c>
      <c r="R1247" s="157">
        <f t="shared" ref="R1247" si="2789">$Q1247-($Q1247*LICITACAO_DESCONTO)</f>
        <v>0</v>
      </c>
      <c r="S1247" s="156">
        <f t="shared" si="2733"/>
        <v>0</v>
      </c>
      <c r="T1247" s="156">
        <f t="shared" si="2734"/>
        <v>0</v>
      </c>
      <c r="U1247" s="156">
        <f t="shared" si="2735"/>
        <v>0</v>
      </c>
      <c r="V1247" s="156">
        <f t="shared" si="2736"/>
        <v>0</v>
      </c>
      <c r="W1247" s="156">
        <f t="shared" si="2726"/>
        <v>0</v>
      </c>
      <c r="X1247" s="158">
        <f t="shared" ref="X1247" si="2790">$S1247/ORCAMENTO_VALOR_TOTAL_ND</f>
        <v>0</v>
      </c>
      <c r="Y1247" s="158">
        <f t="shared" ref="Y1247" si="2791">$T1247/ORCAMENTO_VALOR_TOTAL_DE</f>
        <v>0</v>
      </c>
      <c r="Z1247" s="158" cm="1">
        <f t="array" ref="Z1247">_xlfn.SWITCH($N1247,"BDI 1",$O$6,"BDI 2",$O$7,"BDI 3",$O$8)</f>
        <v>0.20699999999999999</v>
      </c>
      <c r="AA1247" s="158" cm="1">
        <f t="array" ref="AA1247">_xlfn.SWITCH($N1247,"BDI 1",$P$6,"BDI 2",$P$7,"BDI 3",$P$8)</f>
        <v>0.26739999999999997</v>
      </c>
      <c r="AB1247" s="158">
        <f t="shared" ca="1" si="2739"/>
        <v>0</v>
      </c>
      <c r="AC1247" s="158">
        <f t="shared" ca="1" si="2740"/>
        <v>0</v>
      </c>
      <c r="AD1247" s="164"/>
      <c r="AE1247" s="148">
        <f t="shared" si="2727"/>
        <v>0</v>
      </c>
      <c r="AF1247" s="149"/>
      <c r="AG1247" s="150"/>
      <c r="AH1247" s="159" t="e">
        <f t="shared" si="2785"/>
        <v>#DIV/0!</v>
      </c>
      <c r="AI1247" s="160"/>
      <c r="AJ1247" s="105"/>
      <c r="AK1247" s="105"/>
      <c r="AM1247" s="105"/>
      <c r="AN1247" s="105"/>
      <c r="AO1247" s="105"/>
      <c r="AP1247" s="105"/>
      <c r="AQ1247" s="105"/>
      <c r="AR1247" s="105"/>
    </row>
    <row r="1248" spans="1:44" s="49" customFormat="1" ht="40.15" hidden="1" customHeight="1">
      <c r="A1248" s="152">
        <f t="shared" ca="1" si="2728"/>
        <v>0</v>
      </c>
      <c r="B1248" s="153" t="s">
        <v>431</v>
      </c>
      <c r="C1248" s="154" t="str">
        <f t="shared" si="2729"/>
        <v>ET0001</v>
      </c>
      <c r="D1248" s="154" t="s">
        <v>3554</v>
      </c>
      <c r="E1248" s="155" t="s">
        <v>4020</v>
      </c>
      <c r="F1248" s="154"/>
      <c r="G1248" s="154" t="s">
        <v>4007</v>
      </c>
      <c r="H1248" s="152">
        <v>83.12</v>
      </c>
      <c r="I1248" s="152">
        <v>83.12</v>
      </c>
      <c r="J1248" s="156"/>
      <c r="K1248" s="156"/>
      <c r="L1248" s="156">
        <f t="shared" si="2730"/>
        <v>0</v>
      </c>
      <c r="M1248" s="156">
        <f t="shared" si="2731"/>
        <v>0</v>
      </c>
      <c r="N1248" s="156" t="s">
        <v>83</v>
      </c>
      <c r="O1248" s="157" cm="1">
        <f t="array" ref="O1248">TRUNC($H1248*(1+_xlfn.SWITCH($N1248,"BDI 1",$O$6,"BDI 2",$O$7,"BDI 3",$O$8)),2)</f>
        <v>100.32</v>
      </c>
      <c r="P1248" s="157" cm="1">
        <f t="array" ref="P1248">TRUNC($I1248*(1+_xlfn.SWITCH($N1248,"BDI 1",$P$6,"BDI 2",$P$7,"BDI 3",$P$8)),2)</f>
        <v>105.34</v>
      </c>
      <c r="Q1248" s="157">
        <v>0</v>
      </c>
      <c r="R1248" s="157">
        <f t="shared" ref="R1248" si="2792">$Q1248-($Q1248*LICITACAO_DESCONTO)</f>
        <v>0</v>
      </c>
      <c r="S1248" s="156">
        <f t="shared" si="2733"/>
        <v>0</v>
      </c>
      <c r="T1248" s="156">
        <f t="shared" si="2734"/>
        <v>0</v>
      </c>
      <c r="U1248" s="156">
        <f t="shared" si="2735"/>
        <v>0</v>
      </c>
      <c r="V1248" s="156">
        <f t="shared" si="2736"/>
        <v>0</v>
      </c>
      <c r="W1248" s="156">
        <f t="shared" si="2726"/>
        <v>0</v>
      </c>
      <c r="X1248" s="158">
        <f t="shared" ref="X1248" si="2793">$S1248/ORCAMENTO_VALOR_TOTAL_ND</f>
        <v>0</v>
      </c>
      <c r="Y1248" s="158">
        <f t="shared" ref="Y1248" si="2794">$T1248/ORCAMENTO_VALOR_TOTAL_DE</f>
        <v>0</v>
      </c>
      <c r="Z1248" s="158" cm="1">
        <f t="array" ref="Z1248">_xlfn.SWITCH($N1248,"BDI 1",$O$6,"BDI 2",$O$7,"BDI 3",$O$8)</f>
        <v>0.20699999999999999</v>
      </c>
      <c r="AA1248" s="158" cm="1">
        <f t="array" ref="AA1248">_xlfn.SWITCH($N1248,"BDI 1",$P$6,"BDI 2",$P$7,"BDI 3",$P$8)</f>
        <v>0.26739999999999997</v>
      </c>
      <c r="AB1248" s="158">
        <f t="shared" ca="1" si="2739"/>
        <v>0</v>
      </c>
      <c r="AC1248" s="158">
        <f t="shared" ca="1" si="2740"/>
        <v>0</v>
      </c>
      <c r="AD1248" s="164"/>
      <c r="AE1248" s="148">
        <f t="shared" si="2727"/>
        <v>0</v>
      </c>
      <c r="AF1248" s="149"/>
      <c r="AG1248" s="150"/>
      <c r="AH1248" s="159" t="e">
        <f t="shared" si="2785"/>
        <v>#DIV/0!</v>
      </c>
      <c r="AI1248" s="160"/>
      <c r="AJ1248" s="105"/>
      <c r="AK1248" s="105"/>
      <c r="AM1248" s="105"/>
      <c r="AN1248" s="105"/>
      <c r="AO1248" s="105"/>
      <c r="AP1248" s="105"/>
      <c r="AQ1248" s="105"/>
      <c r="AR1248" s="105"/>
    </row>
    <row r="1249" spans="1:44" s="49" customFormat="1" ht="40.15" hidden="1" customHeight="1">
      <c r="A1249" s="152">
        <f t="shared" ca="1" si="2728"/>
        <v>0</v>
      </c>
      <c r="B1249" s="153" t="s">
        <v>432</v>
      </c>
      <c r="C1249" s="154" t="str">
        <f t="shared" si="2729"/>
        <v>ET0002</v>
      </c>
      <c r="D1249" s="154" t="s">
        <v>3554</v>
      </c>
      <c r="E1249" s="155" t="s">
        <v>4021</v>
      </c>
      <c r="F1249" s="154"/>
      <c r="G1249" s="154" t="s">
        <v>4007</v>
      </c>
      <c r="H1249" s="152">
        <v>7855.84</v>
      </c>
      <c r="I1249" s="152">
        <v>7855.84</v>
      </c>
      <c r="J1249" s="156"/>
      <c r="K1249" s="156"/>
      <c r="L1249" s="156">
        <f t="shared" si="2730"/>
        <v>0</v>
      </c>
      <c r="M1249" s="156">
        <f t="shared" si="2731"/>
        <v>0</v>
      </c>
      <c r="N1249" s="156" t="s">
        <v>83</v>
      </c>
      <c r="O1249" s="157" cm="1">
        <f t="array" ref="O1249">TRUNC($H1249*(1+_xlfn.SWITCH($N1249,"BDI 1",$O$6,"BDI 2",$O$7,"BDI 3",$O$8)),2)</f>
        <v>9481.99</v>
      </c>
      <c r="P1249" s="157" cm="1">
        <f t="array" ref="P1249">TRUNC($I1249*(1+_xlfn.SWITCH($N1249,"BDI 1",$P$6,"BDI 2",$P$7,"BDI 3",$P$8)),2)</f>
        <v>9956.49</v>
      </c>
      <c r="Q1249" s="157">
        <v>0</v>
      </c>
      <c r="R1249" s="157">
        <f t="shared" ref="R1249" si="2795">$Q1249-($Q1249*LICITACAO_DESCONTO)</f>
        <v>0</v>
      </c>
      <c r="S1249" s="156">
        <f t="shared" si="2733"/>
        <v>0</v>
      </c>
      <c r="T1249" s="156">
        <f t="shared" si="2734"/>
        <v>0</v>
      </c>
      <c r="U1249" s="156">
        <f t="shared" si="2735"/>
        <v>0</v>
      </c>
      <c r="V1249" s="156">
        <f t="shared" si="2736"/>
        <v>0</v>
      </c>
      <c r="W1249" s="156">
        <f t="shared" si="2726"/>
        <v>0</v>
      </c>
      <c r="X1249" s="158">
        <f t="shared" ref="X1249" si="2796">$S1249/ORCAMENTO_VALOR_TOTAL_ND</f>
        <v>0</v>
      </c>
      <c r="Y1249" s="158">
        <f t="shared" ref="Y1249" si="2797">$T1249/ORCAMENTO_VALOR_TOTAL_DE</f>
        <v>0</v>
      </c>
      <c r="Z1249" s="158" cm="1">
        <f t="array" ref="Z1249">_xlfn.SWITCH($N1249,"BDI 1",$O$6,"BDI 2",$O$7,"BDI 3",$O$8)</f>
        <v>0.20699999999999999</v>
      </c>
      <c r="AA1249" s="158" cm="1">
        <f t="array" ref="AA1249">_xlfn.SWITCH($N1249,"BDI 1",$P$6,"BDI 2",$P$7,"BDI 3",$P$8)</f>
        <v>0.26739999999999997</v>
      </c>
      <c r="AB1249" s="158">
        <f t="shared" ca="1" si="2739"/>
        <v>0</v>
      </c>
      <c r="AC1249" s="158">
        <f t="shared" ca="1" si="2740"/>
        <v>0</v>
      </c>
      <c r="AD1249" s="164"/>
      <c r="AE1249" s="148">
        <f t="shared" si="2727"/>
        <v>0</v>
      </c>
      <c r="AF1249" s="149"/>
      <c r="AG1249" s="150"/>
      <c r="AH1249" s="159" t="e">
        <f t="shared" si="2785"/>
        <v>#DIV/0!</v>
      </c>
      <c r="AI1249" s="160"/>
      <c r="AJ1249" s="105"/>
      <c r="AK1249" s="105"/>
      <c r="AM1249" s="105"/>
      <c r="AN1249" s="105"/>
      <c r="AO1249" s="105"/>
      <c r="AP1249" s="105"/>
      <c r="AQ1249" s="105"/>
      <c r="AR1249" s="105"/>
    </row>
    <row r="1250" spans="1:44" s="49" customFormat="1" ht="40.15" hidden="1" customHeight="1">
      <c r="A1250" s="152">
        <f t="shared" ca="1" si="2728"/>
        <v>0</v>
      </c>
      <c r="B1250" s="153" t="s">
        <v>433</v>
      </c>
      <c r="C1250" s="154" t="str">
        <f t="shared" si="2729"/>
        <v>PIU0001</v>
      </c>
      <c r="D1250" s="154" t="s">
        <v>3554</v>
      </c>
      <c r="E1250" s="155" t="s">
        <v>4022</v>
      </c>
      <c r="F1250" s="154"/>
      <c r="G1250" s="154" t="s">
        <v>1414</v>
      </c>
      <c r="H1250" s="152">
        <v>3.5</v>
      </c>
      <c r="I1250" s="152">
        <v>3.5</v>
      </c>
      <c r="J1250" s="156"/>
      <c r="K1250" s="156"/>
      <c r="L1250" s="156">
        <f t="shared" si="2730"/>
        <v>0</v>
      </c>
      <c r="M1250" s="156">
        <f t="shared" si="2731"/>
        <v>0</v>
      </c>
      <c r="N1250" s="156" t="s">
        <v>83</v>
      </c>
      <c r="O1250" s="157" cm="1">
        <f t="array" ref="O1250">TRUNC($H1250*(1+_xlfn.SWITCH($N1250,"BDI 1",$O$6,"BDI 2",$O$7,"BDI 3",$O$8)),2)</f>
        <v>4.22</v>
      </c>
      <c r="P1250" s="157" cm="1">
        <f t="array" ref="P1250">TRUNC($I1250*(1+_xlfn.SWITCH($N1250,"BDI 1",$P$6,"BDI 2",$P$7,"BDI 3",$P$8)),2)</f>
        <v>4.43</v>
      </c>
      <c r="Q1250" s="157">
        <v>0</v>
      </c>
      <c r="R1250" s="157">
        <f t="shared" ref="R1250" si="2798">$Q1250-($Q1250*LICITACAO_DESCONTO)</f>
        <v>0</v>
      </c>
      <c r="S1250" s="156">
        <f t="shared" si="2733"/>
        <v>0</v>
      </c>
      <c r="T1250" s="156">
        <f t="shared" si="2734"/>
        <v>0</v>
      </c>
      <c r="U1250" s="156">
        <f t="shared" si="2735"/>
        <v>0</v>
      </c>
      <c r="V1250" s="156">
        <f t="shared" si="2736"/>
        <v>0</v>
      </c>
      <c r="W1250" s="156">
        <f t="shared" si="2726"/>
        <v>0</v>
      </c>
      <c r="X1250" s="158">
        <f t="shared" ref="X1250" si="2799">$S1250/ORCAMENTO_VALOR_TOTAL_ND</f>
        <v>0</v>
      </c>
      <c r="Y1250" s="158">
        <f t="shared" ref="Y1250" si="2800">$T1250/ORCAMENTO_VALOR_TOTAL_DE</f>
        <v>0</v>
      </c>
      <c r="Z1250" s="158" cm="1">
        <f t="array" ref="Z1250">_xlfn.SWITCH($N1250,"BDI 1",$O$6,"BDI 2",$O$7,"BDI 3",$O$8)</f>
        <v>0.20699999999999999</v>
      </c>
      <c r="AA1250" s="158" cm="1">
        <f t="array" ref="AA1250">_xlfn.SWITCH($N1250,"BDI 1",$P$6,"BDI 2",$P$7,"BDI 3",$P$8)</f>
        <v>0.26739999999999997</v>
      </c>
      <c r="AB1250" s="158">
        <f t="shared" ca="1" si="2739"/>
        <v>0</v>
      </c>
      <c r="AC1250" s="158">
        <f t="shared" ca="1" si="2740"/>
        <v>0</v>
      </c>
      <c r="AD1250" s="164"/>
      <c r="AE1250" s="148">
        <f t="shared" si="2727"/>
        <v>0</v>
      </c>
      <c r="AF1250" s="149"/>
      <c r="AG1250" s="150"/>
      <c r="AH1250" s="159" t="e">
        <f t="shared" si="2785"/>
        <v>#DIV/0!</v>
      </c>
      <c r="AI1250" s="160"/>
      <c r="AJ1250" s="105"/>
      <c r="AK1250" s="105"/>
      <c r="AM1250" s="105"/>
      <c r="AN1250" s="105"/>
      <c r="AO1250" s="105"/>
      <c r="AP1250" s="105"/>
      <c r="AQ1250" s="105"/>
      <c r="AR1250" s="105"/>
    </row>
    <row r="1251" spans="1:44" s="49" customFormat="1" ht="40.15" hidden="1" customHeight="1">
      <c r="A1251" s="152">
        <f t="shared" ca="1" si="2728"/>
        <v>0</v>
      </c>
      <c r="B1251" s="153" t="s">
        <v>434</v>
      </c>
      <c r="C1251" s="154" t="str">
        <f t="shared" si="2729"/>
        <v>PIU0006</v>
      </c>
      <c r="D1251" s="154" t="s">
        <v>3554</v>
      </c>
      <c r="E1251" s="155" t="s">
        <v>4023</v>
      </c>
      <c r="F1251" s="154"/>
      <c r="G1251" s="154" t="s">
        <v>1414</v>
      </c>
      <c r="H1251" s="152">
        <v>2.69</v>
      </c>
      <c r="I1251" s="152">
        <v>2.69</v>
      </c>
      <c r="J1251" s="156"/>
      <c r="K1251" s="156"/>
      <c r="L1251" s="156">
        <f t="shared" si="2730"/>
        <v>0</v>
      </c>
      <c r="M1251" s="156">
        <f t="shared" si="2731"/>
        <v>0</v>
      </c>
      <c r="N1251" s="156" t="s">
        <v>83</v>
      </c>
      <c r="O1251" s="157" cm="1">
        <f t="array" ref="O1251">TRUNC($H1251*(1+_xlfn.SWITCH($N1251,"BDI 1",$O$6,"BDI 2",$O$7,"BDI 3",$O$8)),2)</f>
        <v>3.24</v>
      </c>
      <c r="P1251" s="157" cm="1">
        <f t="array" ref="P1251">TRUNC($I1251*(1+_xlfn.SWITCH($N1251,"BDI 1",$P$6,"BDI 2",$P$7,"BDI 3",$P$8)),2)</f>
        <v>3.4</v>
      </c>
      <c r="Q1251" s="157">
        <v>0</v>
      </c>
      <c r="R1251" s="157">
        <f t="shared" ref="R1251" si="2801">$Q1251-($Q1251*LICITACAO_DESCONTO)</f>
        <v>0</v>
      </c>
      <c r="S1251" s="156">
        <f t="shared" si="2733"/>
        <v>0</v>
      </c>
      <c r="T1251" s="156">
        <f t="shared" si="2734"/>
        <v>0</v>
      </c>
      <c r="U1251" s="156">
        <f t="shared" si="2735"/>
        <v>0</v>
      </c>
      <c r="V1251" s="156">
        <f t="shared" si="2736"/>
        <v>0</v>
      </c>
      <c r="W1251" s="156">
        <f t="shared" si="2726"/>
        <v>0</v>
      </c>
      <c r="X1251" s="158">
        <f t="shared" ref="X1251" si="2802">$S1251/ORCAMENTO_VALOR_TOTAL_ND</f>
        <v>0</v>
      </c>
      <c r="Y1251" s="158">
        <f t="shared" ref="Y1251" si="2803">$T1251/ORCAMENTO_VALOR_TOTAL_DE</f>
        <v>0</v>
      </c>
      <c r="Z1251" s="158" cm="1">
        <f t="array" ref="Z1251">_xlfn.SWITCH($N1251,"BDI 1",$O$6,"BDI 2",$O$7,"BDI 3",$O$8)</f>
        <v>0.20699999999999999</v>
      </c>
      <c r="AA1251" s="158" cm="1">
        <f t="array" ref="AA1251">_xlfn.SWITCH($N1251,"BDI 1",$P$6,"BDI 2",$P$7,"BDI 3",$P$8)</f>
        <v>0.26739999999999997</v>
      </c>
      <c r="AB1251" s="158">
        <f t="shared" ca="1" si="2739"/>
        <v>0</v>
      </c>
      <c r="AC1251" s="158">
        <f t="shared" ca="1" si="2740"/>
        <v>0</v>
      </c>
      <c r="AD1251" s="164"/>
      <c r="AE1251" s="148">
        <f t="shared" si="2727"/>
        <v>0</v>
      </c>
      <c r="AF1251" s="149"/>
      <c r="AG1251" s="150"/>
      <c r="AH1251" s="159" t="e">
        <f t="shared" si="2785"/>
        <v>#DIV/0!</v>
      </c>
      <c r="AI1251" s="160"/>
      <c r="AJ1251" s="105"/>
      <c r="AK1251" s="105"/>
      <c r="AM1251" s="105"/>
      <c r="AN1251" s="105"/>
      <c r="AO1251" s="105"/>
      <c r="AP1251" s="105"/>
      <c r="AQ1251" s="105"/>
      <c r="AR1251" s="105"/>
    </row>
    <row r="1252" spans="1:44" s="49" customFormat="1" ht="40.15" hidden="1" customHeight="1">
      <c r="A1252" s="152">
        <f t="shared" ca="1" si="2728"/>
        <v>0</v>
      </c>
      <c r="B1252" s="153" t="s">
        <v>435</v>
      </c>
      <c r="C1252" s="154" t="str">
        <f t="shared" si="2729"/>
        <v>PIU0004</v>
      </c>
      <c r="D1252" s="154" t="s">
        <v>3554</v>
      </c>
      <c r="E1252" s="155" t="s">
        <v>4024</v>
      </c>
      <c r="F1252" s="154"/>
      <c r="G1252" s="154" t="s">
        <v>1431</v>
      </c>
      <c r="H1252" s="152">
        <v>8.08</v>
      </c>
      <c r="I1252" s="152">
        <v>8.08</v>
      </c>
      <c r="J1252" s="156"/>
      <c r="K1252" s="156"/>
      <c r="L1252" s="156">
        <f t="shared" si="2730"/>
        <v>0</v>
      </c>
      <c r="M1252" s="156">
        <f t="shared" si="2731"/>
        <v>0</v>
      </c>
      <c r="N1252" s="156" t="s">
        <v>83</v>
      </c>
      <c r="O1252" s="157" cm="1">
        <f t="array" ref="O1252">TRUNC($H1252*(1+_xlfn.SWITCH($N1252,"BDI 1",$O$6,"BDI 2",$O$7,"BDI 3",$O$8)),2)</f>
        <v>9.75</v>
      </c>
      <c r="P1252" s="157" cm="1">
        <f t="array" ref="P1252">TRUNC($I1252*(1+_xlfn.SWITCH($N1252,"BDI 1",$P$6,"BDI 2",$P$7,"BDI 3",$P$8)),2)</f>
        <v>10.24</v>
      </c>
      <c r="Q1252" s="157">
        <v>0</v>
      </c>
      <c r="R1252" s="157">
        <f t="shared" ref="R1252" si="2804">$Q1252-($Q1252*LICITACAO_DESCONTO)</f>
        <v>0</v>
      </c>
      <c r="S1252" s="156">
        <f t="shared" si="2733"/>
        <v>0</v>
      </c>
      <c r="T1252" s="156">
        <f t="shared" si="2734"/>
        <v>0</v>
      </c>
      <c r="U1252" s="156">
        <f t="shared" si="2735"/>
        <v>0</v>
      </c>
      <c r="V1252" s="156">
        <f t="shared" si="2736"/>
        <v>0</v>
      </c>
      <c r="W1252" s="156">
        <f t="shared" si="2726"/>
        <v>0</v>
      </c>
      <c r="X1252" s="158">
        <f t="shared" ref="X1252" si="2805">$S1252/ORCAMENTO_VALOR_TOTAL_ND</f>
        <v>0</v>
      </c>
      <c r="Y1252" s="158">
        <f t="shared" ref="Y1252" si="2806">$T1252/ORCAMENTO_VALOR_TOTAL_DE</f>
        <v>0</v>
      </c>
      <c r="Z1252" s="158" cm="1">
        <f t="array" ref="Z1252">_xlfn.SWITCH($N1252,"BDI 1",$O$6,"BDI 2",$O$7,"BDI 3",$O$8)</f>
        <v>0.20699999999999999</v>
      </c>
      <c r="AA1252" s="158" cm="1">
        <f t="array" ref="AA1252">_xlfn.SWITCH($N1252,"BDI 1",$P$6,"BDI 2",$P$7,"BDI 3",$P$8)</f>
        <v>0.26739999999999997</v>
      </c>
      <c r="AB1252" s="158">
        <f t="shared" ca="1" si="2739"/>
        <v>0</v>
      </c>
      <c r="AC1252" s="158">
        <f t="shared" ca="1" si="2740"/>
        <v>0</v>
      </c>
      <c r="AD1252" s="164"/>
      <c r="AE1252" s="148">
        <f t="shared" si="2727"/>
        <v>0</v>
      </c>
      <c r="AF1252" s="149"/>
      <c r="AG1252" s="150"/>
      <c r="AH1252" s="159" t="e">
        <f t="shared" si="2785"/>
        <v>#DIV/0!</v>
      </c>
      <c r="AI1252" s="160"/>
      <c r="AJ1252" s="105"/>
      <c r="AK1252" s="105"/>
      <c r="AM1252" s="105"/>
      <c r="AN1252" s="105"/>
      <c r="AO1252" s="105"/>
      <c r="AP1252" s="105"/>
      <c r="AQ1252" s="105"/>
      <c r="AR1252" s="105"/>
    </row>
    <row r="1253" spans="1:44" s="49" customFormat="1" ht="60" hidden="1" customHeight="1">
      <c r="A1253" s="152">
        <f t="shared" ca="1" si="2728"/>
        <v>0</v>
      </c>
      <c r="B1253" s="153" t="s">
        <v>436</v>
      </c>
      <c r="C1253" s="154" t="str">
        <f t="shared" si="2729"/>
        <v>PIU0003</v>
      </c>
      <c r="D1253" s="154" t="s">
        <v>3554</v>
      </c>
      <c r="E1253" s="155" t="s">
        <v>4025</v>
      </c>
      <c r="F1253" s="154"/>
      <c r="G1253" s="154" t="s">
        <v>1428</v>
      </c>
      <c r="H1253" s="152">
        <v>39397.43</v>
      </c>
      <c r="I1253" s="152">
        <v>39397.43</v>
      </c>
      <c r="J1253" s="156"/>
      <c r="K1253" s="156"/>
      <c r="L1253" s="156">
        <f t="shared" si="2730"/>
        <v>0</v>
      </c>
      <c r="M1253" s="156">
        <f t="shared" si="2731"/>
        <v>0</v>
      </c>
      <c r="N1253" s="156" t="s">
        <v>83</v>
      </c>
      <c r="O1253" s="157" cm="1">
        <f t="array" ref="O1253">TRUNC($H1253*(1+_xlfn.SWITCH($N1253,"BDI 1",$O$6,"BDI 2",$O$7,"BDI 3",$O$8)),2)</f>
        <v>47552.69</v>
      </c>
      <c r="P1253" s="157" cm="1">
        <f t="array" ref="P1253">TRUNC($I1253*(1+_xlfn.SWITCH($N1253,"BDI 1",$P$6,"BDI 2",$P$7,"BDI 3",$P$8)),2)</f>
        <v>49932.3</v>
      </c>
      <c r="Q1253" s="157">
        <v>0</v>
      </c>
      <c r="R1253" s="157">
        <f t="shared" ref="R1253" si="2807">$Q1253-($Q1253*LICITACAO_DESCONTO)</f>
        <v>0</v>
      </c>
      <c r="S1253" s="156">
        <f t="shared" si="2733"/>
        <v>0</v>
      </c>
      <c r="T1253" s="156">
        <f t="shared" si="2734"/>
        <v>0</v>
      </c>
      <c r="U1253" s="156">
        <f t="shared" si="2735"/>
        <v>0</v>
      </c>
      <c r="V1253" s="156">
        <f t="shared" si="2736"/>
        <v>0</v>
      </c>
      <c r="W1253" s="156">
        <f t="shared" si="2726"/>
        <v>0</v>
      </c>
      <c r="X1253" s="158">
        <f t="shared" ref="X1253" si="2808">$S1253/ORCAMENTO_VALOR_TOTAL_ND</f>
        <v>0</v>
      </c>
      <c r="Y1253" s="158">
        <f t="shared" ref="Y1253" si="2809">$T1253/ORCAMENTO_VALOR_TOTAL_DE</f>
        <v>0</v>
      </c>
      <c r="Z1253" s="158" cm="1">
        <f t="array" ref="Z1253">_xlfn.SWITCH($N1253,"BDI 1",$O$6,"BDI 2",$O$7,"BDI 3",$O$8)</f>
        <v>0.20699999999999999</v>
      </c>
      <c r="AA1253" s="158" cm="1">
        <f t="array" ref="AA1253">_xlfn.SWITCH($N1253,"BDI 1",$P$6,"BDI 2",$P$7,"BDI 3",$P$8)</f>
        <v>0.26739999999999997</v>
      </c>
      <c r="AB1253" s="158">
        <f t="shared" ca="1" si="2739"/>
        <v>0</v>
      </c>
      <c r="AC1253" s="158">
        <f t="shared" ca="1" si="2740"/>
        <v>0</v>
      </c>
      <c r="AD1253" s="164"/>
      <c r="AE1253" s="148">
        <f t="shared" si="2727"/>
        <v>0</v>
      </c>
      <c r="AF1253" s="149"/>
      <c r="AG1253" s="150"/>
      <c r="AH1253" s="159" t="e">
        <f t="shared" si="2785"/>
        <v>#DIV/0!</v>
      </c>
      <c r="AI1253" s="160"/>
      <c r="AJ1253" s="105"/>
      <c r="AK1253" s="105"/>
      <c r="AM1253" s="105"/>
      <c r="AN1253" s="105"/>
      <c r="AO1253" s="105"/>
      <c r="AP1253" s="105"/>
      <c r="AQ1253" s="105"/>
      <c r="AR1253" s="105"/>
    </row>
    <row r="1254" spans="1:44" s="49" customFormat="1" ht="40.15" hidden="1" customHeight="1">
      <c r="A1254" s="152">
        <f t="shared" ca="1" si="2728"/>
        <v>0</v>
      </c>
      <c r="B1254" s="153" t="s">
        <v>437</v>
      </c>
      <c r="C1254" s="154" t="str">
        <f t="shared" si="2729"/>
        <v>PIU0014</v>
      </c>
      <c r="D1254" s="154" t="s">
        <v>3554</v>
      </c>
      <c r="E1254" s="155" t="s">
        <v>4026</v>
      </c>
      <c r="F1254" s="154"/>
      <c r="G1254" s="154" t="s">
        <v>1285</v>
      </c>
      <c r="H1254" s="152">
        <v>3381.93</v>
      </c>
      <c r="I1254" s="152">
        <v>3381.93</v>
      </c>
      <c r="J1254" s="156"/>
      <c r="K1254" s="156"/>
      <c r="L1254" s="156">
        <f t="shared" si="2730"/>
        <v>0</v>
      </c>
      <c r="M1254" s="156">
        <f t="shared" si="2731"/>
        <v>0</v>
      </c>
      <c r="N1254" s="156" t="s">
        <v>83</v>
      </c>
      <c r="O1254" s="157" cm="1">
        <f t="array" ref="O1254">TRUNC($H1254*(1+_xlfn.SWITCH($N1254,"BDI 1",$O$6,"BDI 2",$O$7,"BDI 3",$O$8)),2)</f>
        <v>4081.98</v>
      </c>
      <c r="P1254" s="157" cm="1">
        <f t="array" ref="P1254">TRUNC($I1254*(1+_xlfn.SWITCH($N1254,"BDI 1",$P$6,"BDI 2",$P$7,"BDI 3",$P$8)),2)</f>
        <v>4286.25</v>
      </c>
      <c r="Q1254" s="157">
        <v>0</v>
      </c>
      <c r="R1254" s="157">
        <f t="shared" ref="R1254" si="2810">$Q1254-($Q1254*LICITACAO_DESCONTO)</f>
        <v>0</v>
      </c>
      <c r="S1254" s="156">
        <f t="shared" si="2733"/>
        <v>0</v>
      </c>
      <c r="T1254" s="156">
        <f t="shared" si="2734"/>
        <v>0</v>
      </c>
      <c r="U1254" s="156">
        <f t="shared" si="2735"/>
        <v>0</v>
      </c>
      <c r="V1254" s="156">
        <f t="shared" si="2736"/>
        <v>0</v>
      </c>
      <c r="W1254" s="156">
        <f t="shared" si="2726"/>
        <v>0</v>
      </c>
      <c r="X1254" s="158">
        <f t="shared" ref="X1254" si="2811">$S1254/ORCAMENTO_VALOR_TOTAL_ND</f>
        <v>0</v>
      </c>
      <c r="Y1254" s="158">
        <f t="shared" ref="Y1254" si="2812">$T1254/ORCAMENTO_VALOR_TOTAL_DE</f>
        <v>0</v>
      </c>
      <c r="Z1254" s="158" cm="1">
        <f t="array" ref="Z1254">_xlfn.SWITCH($N1254,"BDI 1",$O$6,"BDI 2",$O$7,"BDI 3",$O$8)</f>
        <v>0.20699999999999999</v>
      </c>
      <c r="AA1254" s="158" cm="1">
        <f t="array" ref="AA1254">_xlfn.SWITCH($N1254,"BDI 1",$P$6,"BDI 2",$P$7,"BDI 3",$P$8)</f>
        <v>0.26739999999999997</v>
      </c>
      <c r="AB1254" s="158">
        <f t="shared" ca="1" si="2739"/>
        <v>0</v>
      </c>
      <c r="AC1254" s="158">
        <f t="shared" ca="1" si="2740"/>
        <v>0</v>
      </c>
      <c r="AD1254" s="164"/>
      <c r="AE1254" s="148">
        <f t="shared" si="2727"/>
        <v>0</v>
      </c>
      <c r="AF1254" s="149"/>
      <c r="AG1254" s="150"/>
      <c r="AH1254" s="159" t="e">
        <f t="shared" si="2785"/>
        <v>#DIV/0!</v>
      </c>
      <c r="AI1254" s="160"/>
      <c r="AJ1254" s="105"/>
      <c r="AK1254" s="105"/>
      <c r="AM1254" s="105"/>
      <c r="AN1254" s="105"/>
      <c r="AO1254" s="105"/>
      <c r="AP1254" s="105"/>
      <c r="AQ1254" s="105"/>
      <c r="AR1254" s="105"/>
    </row>
    <row r="1255" spans="1:44" s="49" customFormat="1" ht="40.15" hidden="1" customHeight="1">
      <c r="A1255" s="152">
        <f t="shared" ca="1" si="2728"/>
        <v>0</v>
      </c>
      <c r="B1255" s="153" t="s">
        <v>438</v>
      </c>
      <c r="C1255" s="154" t="str">
        <f t="shared" si="2729"/>
        <v>PIU0015</v>
      </c>
      <c r="D1255" s="154" t="s">
        <v>3554</v>
      </c>
      <c r="E1255" s="155" t="s">
        <v>4027</v>
      </c>
      <c r="F1255" s="154"/>
      <c r="G1255" s="154" t="s">
        <v>1285</v>
      </c>
      <c r="H1255" s="152">
        <v>3819.35</v>
      </c>
      <c r="I1255" s="152">
        <v>3819.35</v>
      </c>
      <c r="J1255" s="156"/>
      <c r="K1255" s="156"/>
      <c r="L1255" s="156">
        <f t="shared" si="2730"/>
        <v>0</v>
      </c>
      <c r="M1255" s="156">
        <f t="shared" si="2731"/>
        <v>0</v>
      </c>
      <c r="N1255" s="156" t="s">
        <v>83</v>
      </c>
      <c r="O1255" s="157" cm="1">
        <f t="array" ref="O1255">TRUNC($H1255*(1+_xlfn.SWITCH($N1255,"BDI 1",$O$6,"BDI 2",$O$7,"BDI 3",$O$8)),2)</f>
        <v>4609.95</v>
      </c>
      <c r="P1255" s="157" cm="1">
        <f t="array" ref="P1255">TRUNC($I1255*(1+_xlfn.SWITCH($N1255,"BDI 1",$P$6,"BDI 2",$P$7,"BDI 3",$P$8)),2)</f>
        <v>4840.6400000000003</v>
      </c>
      <c r="Q1255" s="157">
        <v>0</v>
      </c>
      <c r="R1255" s="157">
        <f t="shared" ref="R1255" si="2813">$Q1255-($Q1255*LICITACAO_DESCONTO)</f>
        <v>0</v>
      </c>
      <c r="S1255" s="156">
        <f t="shared" si="2733"/>
        <v>0</v>
      </c>
      <c r="T1255" s="156">
        <f t="shared" si="2734"/>
        <v>0</v>
      </c>
      <c r="U1255" s="156">
        <f t="shared" si="2735"/>
        <v>0</v>
      </c>
      <c r="V1255" s="156">
        <f t="shared" si="2736"/>
        <v>0</v>
      </c>
      <c r="W1255" s="156">
        <f t="shared" si="2726"/>
        <v>0</v>
      </c>
      <c r="X1255" s="158">
        <f t="shared" ref="X1255" si="2814">$S1255/ORCAMENTO_VALOR_TOTAL_ND</f>
        <v>0</v>
      </c>
      <c r="Y1255" s="158">
        <f t="shared" ref="Y1255" si="2815">$T1255/ORCAMENTO_VALOR_TOTAL_DE</f>
        <v>0</v>
      </c>
      <c r="Z1255" s="158" cm="1">
        <f t="array" ref="Z1255">_xlfn.SWITCH($N1255,"BDI 1",$O$6,"BDI 2",$O$7,"BDI 3",$O$8)</f>
        <v>0.20699999999999999</v>
      </c>
      <c r="AA1255" s="158" cm="1">
        <f t="array" ref="AA1255">_xlfn.SWITCH($N1255,"BDI 1",$P$6,"BDI 2",$P$7,"BDI 3",$P$8)</f>
        <v>0.26739999999999997</v>
      </c>
      <c r="AB1255" s="158">
        <f t="shared" ca="1" si="2739"/>
        <v>0</v>
      </c>
      <c r="AC1255" s="158">
        <f t="shared" ca="1" si="2740"/>
        <v>0</v>
      </c>
      <c r="AD1255" s="164"/>
      <c r="AE1255" s="148">
        <f t="shared" si="2727"/>
        <v>0</v>
      </c>
      <c r="AF1255" s="149"/>
      <c r="AG1255" s="150"/>
      <c r="AH1255" s="159" t="e">
        <f t="shared" si="2785"/>
        <v>#DIV/0!</v>
      </c>
      <c r="AI1255" s="160"/>
      <c r="AJ1255" s="105"/>
      <c r="AK1255" s="105"/>
      <c r="AM1255" s="105"/>
      <c r="AN1255" s="105"/>
      <c r="AO1255" s="105"/>
      <c r="AP1255" s="105"/>
      <c r="AQ1255" s="105"/>
      <c r="AR1255" s="105"/>
    </row>
    <row r="1256" spans="1:44" s="49" customFormat="1" ht="40.15" hidden="1" customHeight="1">
      <c r="A1256" s="152">
        <f t="shared" ca="1" si="2728"/>
        <v>0</v>
      </c>
      <c r="B1256" s="153" t="s">
        <v>439</v>
      </c>
      <c r="C1256" s="154" t="str">
        <f t="shared" si="2729"/>
        <v>PRIU003</v>
      </c>
      <c r="D1256" s="154" t="s">
        <v>3554</v>
      </c>
      <c r="E1256" s="155" t="s">
        <v>4028</v>
      </c>
      <c r="F1256" s="154"/>
      <c r="G1256" s="154" t="s">
        <v>4029</v>
      </c>
      <c r="H1256" s="152">
        <v>335.01</v>
      </c>
      <c r="I1256" s="152">
        <v>335.01</v>
      </c>
      <c r="J1256" s="156"/>
      <c r="K1256" s="156"/>
      <c r="L1256" s="156">
        <f t="shared" si="2730"/>
        <v>0</v>
      </c>
      <c r="M1256" s="156">
        <f t="shared" si="2731"/>
        <v>0</v>
      </c>
      <c r="N1256" s="156" t="s">
        <v>83</v>
      </c>
      <c r="O1256" s="157" cm="1">
        <f t="array" ref="O1256">TRUNC($H1256*(1+_xlfn.SWITCH($N1256,"BDI 1",$O$6,"BDI 2",$O$7,"BDI 3",$O$8)),2)</f>
        <v>404.35</v>
      </c>
      <c r="P1256" s="157" cm="1">
        <f t="array" ref="P1256">TRUNC($I1256*(1+_xlfn.SWITCH($N1256,"BDI 1",$P$6,"BDI 2",$P$7,"BDI 3",$P$8)),2)</f>
        <v>424.59</v>
      </c>
      <c r="Q1256" s="157">
        <v>0</v>
      </c>
      <c r="R1256" s="157">
        <f t="shared" ref="R1256" si="2816">$Q1256-($Q1256*LICITACAO_DESCONTO)</f>
        <v>0</v>
      </c>
      <c r="S1256" s="156">
        <f t="shared" si="2733"/>
        <v>0</v>
      </c>
      <c r="T1256" s="156">
        <f t="shared" si="2734"/>
        <v>0</v>
      </c>
      <c r="U1256" s="156">
        <f t="shared" si="2735"/>
        <v>0</v>
      </c>
      <c r="V1256" s="156">
        <f t="shared" si="2736"/>
        <v>0</v>
      </c>
      <c r="W1256" s="156">
        <f t="shared" si="2726"/>
        <v>0</v>
      </c>
      <c r="X1256" s="158">
        <f t="shared" ref="X1256" si="2817">$S1256/ORCAMENTO_VALOR_TOTAL_ND</f>
        <v>0</v>
      </c>
      <c r="Y1256" s="158">
        <f t="shared" ref="Y1256" si="2818">$T1256/ORCAMENTO_VALOR_TOTAL_DE</f>
        <v>0</v>
      </c>
      <c r="Z1256" s="158" cm="1">
        <f t="array" ref="Z1256">_xlfn.SWITCH($N1256,"BDI 1",$O$6,"BDI 2",$O$7,"BDI 3",$O$8)</f>
        <v>0.20699999999999999</v>
      </c>
      <c r="AA1256" s="158" cm="1">
        <f t="array" ref="AA1256">_xlfn.SWITCH($N1256,"BDI 1",$P$6,"BDI 2",$P$7,"BDI 3",$P$8)</f>
        <v>0.26739999999999997</v>
      </c>
      <c r="AB1256" s="158">
        <f t="shared" ca="1" si="2739"/>
        <v>0</v>
      </c>
      <c r="AC1256" s="158">
        <f t="shared" ca="1" si="2740"/>
        <v>0</v>
      </c>
      <c r="AD1256" s="164"/>
      <c r="AE1256" s="148">
        <f t="shared" si="2727"/>
        <v>0</v>
      </c>
      <c r="AF1256" s="149"/>
      <c r="AG1256" s="150"/>
      <c r="AH1256" s="159" t="e">
        <f t="shared" si="2785"/>
        <v>#DIV/0!</v>
      </c>
      <c r="AI1256" s="160"/>
      <c r="AJ1256" s="105"/>
      <c r="AK1256" s="105"/>
      <c r="AM1256" s="105"/>
      <c r="AN1256" s="105"/>
      <c r="AO1256" s="105"/>
      <c r="AP1256" s="105"/>
      <c r="AQ1256" s="105"/>
      <c r="AR1256" s="105"/>
    </row>
    <row r="1257" spans="1:44" s="49" customFormat="1" ht="49.9" hidden="1" customHeight="1">
      <c r="A1257" s="152">
        <f t="shared" ca="1" si="2728"/>
        <v>0</v>
      </c>
      <c r="B1257" s="153" t="s">
        <v>440</v>
      </c>
      <c r="C1257" s="154" t="str">
        <f t="shared" si="2729"/>
        <v>PRIU002</v>
      </c>
      <c r="D1257" s="154" t="s">
        <v>3554</v>
      </c>
      <c r="E1257" s="155" t="s">
        <v>4030</v>
      </c>
      <c r="F1257" s="154"/>
      <c r="G1257" s="154" t="s">
        <v>1414</v>
      </c>
      <c r="H1257" s="152">
        <v>2.1</v>
      </c>
      <c r="I1257" s="152">
        <v>2.1</v>
      </c>
      <c r="J1257" s="156"/>
      <c r="K1257" s="156"/>
      <c r="L1257" s="156">
        <f t="shared" si="2730"/>
        <v>0</v>
      </c>
      <c r="M1257" s="156">
        <f t="shared" si="2731"/>
        <v>0</v>
      </c>
      <c r="N1257" s="156" t="s">
        <v>83</v>
      </c>
      <c r="O1257" s="157" cm="1">
        <f t="array" ref="O1257">TRUNC($H1257*(1+_xlfn.SWITCH($N1257,"BDI 1",$O$6,"BDI 2",$O$7,"BDI 3",$O$8)),2)</f>
        <v>2.5299999999999998</v>
      </c>
      <c r="P1257" s="157" cm="1">
        <f t="array" ref="P1257">TRUNC($I1257*(1+_xlfn.SWITCH($N1257,"BDI 1",$P$6,"BDI 2",$P$7,"BDI 3",$P$8)),2)</f>
        <v>2.66</v>
      </c>
      <c r="Q1257" s="157">
        <v>0</v>
      </c>
      <c r="R1257" s="157">
        <f t="shared" ref="R1257" si="2819">$Q1257-($Q1257*LICITACAO_DESCONTO)</f>
        <v>0</v>
      </c>
      <c r="S1257" s="156">
        <f t="shared" si="2733"/>
        <v>0</v>
      </c>
      <c r="T1257" s="156">
        <f t="shared" si="2734"/>
        <v>0</v>
      </c>
      <c r="U1257" s="156">
        <f t="shared" si="2735"/>
        <v>0</v>
      </c>
      <c r="V1257" s="156">
        <f t="shared" si="2736"/>
        <v>0</v>
      </c>
      <c r="W1257" s="156">
        <f t="shared" si="2726"/>
        <v>0</v>
      </c>
      <c r="X1257" s="158">
        <f t="shared" ref="X1257" si="2820">$S1257/ORCAMENTO_VALOR_TOTAL_ND</f>
        <v>0</v>
      </c>
      <c r="Y1257" s="158">
        <f t="shared" ref="Y1257" si="2821">$T1257/ORCAMENTO_VALOR_TOTAL_DE</f>
        <v>0</v>
      </c>
      <c r="Z1257" s="158" cm="1">
        <f t="array" ref="Z1257">_xlfn.SWITCH($N1257,"BDI 1",$O$6,"BDI 2",$O$7,"BDI 3",$O$8)</f>
        <v>0.20699999999999999</v>
      </c>
      <c r="AA1257" s="158" cm="1">
        <f t="array" ref="AA1257">_xlfn.SWITCH($N1257,"BDI 1",$P$6,"BDI 2",$P$7,"BDI 3",$P$8)</f>
        <v>0.26739999999999997</v>
      </c>
      <c r="AB1257" s="158">
        <f t="shared" ca="1" si="2739"/>
        <v>0</v>
      </c>
      <c r="AC1257" s="158">
        <f t="shared" ca="1" si="2740"/>
        <v>0</v>
      </c>
      <c r="AD1257" s="164"/>
      <c r="AE1257" s="148">
        <f t="shared" si="2727"/>
        <v>0</v>
      </c>
      <c r="AF1257" s="149"/>
      <c r="AG1257" s="150"/>
      <c r="AH1257" s="159" t="e">
        <f t="shared" si="2785"/>
        <v>#DIV/0!</v>
      </c>
      <c r="AI1257" s="160"/>
      <c r="AJ1257" s="105"/>
      <c r="AK1257" s="105"/>
      <c r="AM1257" s="105"/>
      <c r="AN1257" s="105"/>
      <c r="AO1257" s="105"/>
      <c r="AP1257" s="105"/>
      <c r="AQ1257" s="105"/>
      <c r="AR1257" s="105"/>
    </row>
    <row r="1258" spans="1:44" s="49" customFormat="1" ht="40.15" hidden="1" customHeight="1">
      <c r="A1258" s="152">
        <f t="shared" ca="1" si="2728"/>
        <v>0</v>
      </c>
      <c r="B1258" s="153" t="s">
        <v>441</v>
      </c>
      <c r="C1258" s="154" t="str">
        <f t="shared" si="2729"/>
        <v>PIP001</v>
      </c>
      <c r="D1258" s="154" t="s">
        <v>3554</v>
      </c>
      <c r="E1258" s="155" t="s">
        <v>4031</v>
      </c>
      <c r="F1258" s="154"/>
      <c r="G1258" s="154" t="s">
        <v>1285</v>
      </c>
      <c r="H1258" s="152">
        <v>3780.24</v>
      </c>
      <c r="I1258" s="152">
        <v>3780.24</v>
      </c>
      <c r="J1258" s="156"/>
      <c r="K1258" s="156"/>
      <c r="L1258" s="156">
        <f t="shared" si="2730"/>
        <v>0</v>
      </c>
      <c r="M1258" s="156">
        <f t="shared" si="2731"/>
        <v>0</v>
      </c>
      <c r="N1258" s="156" t="s">
        <v>83</v>
      </c>
      <c r="O1258" s="157" cm="1">
        <f t="array" ref="O1258">TRUNC($H1258*(1+_xlfn.SWITCH($N1258,"BDI 1",$O$6,"BDI 2",$O$7,"BDI 3",$O$8)),2)</f>
        <v>4562.74</v>
      </c>
      <c r="P1258" s="157" cm="1">
        <f t="array" ref="P1258">TRUNC($I1258*(1+_xlfn.SWITCH($N1258,"BDI 1",$P$6,"BDI 2",$P$7,"BDI 3",$P$8)),2)</f>
        <v>4791.07</v>
      </c>
      <c r="Q1258" s="157">
        <v>0</v>
      </c>
      <c r="R1258" s="157">
        <f t="shared" ref="R1258" si="2822">$Q1258-($Q1258*LICITACAO_DESCONTO)</f>
        <v>0</v>
      </c>
      <c r="S1258" s="156">
        <f t="shared" si="2733"/>
        <v>0</v>
      </c>
      <c r="T1258" s="156">
        <f t="shared" si="2734"/>
        <v>0</v>
      </c>
      <c r="U1258" s="156">
        <f t="shared" si="2735"/>
        <v>0</v>
      </c>
      <c r="V1258" s="156">
        <f t="shared" si="2736"/>
        <v>0</v>
      </c>
      <c r="W1258" s="156">
        <f t="shared" si="2726"/>
        <v>0</v>
      </c>
      <c r="X1258" s="158">
        <f t="shared" ref="X1258" si="2823">$S1258/ORCAMENTO_VALOR_TOTAL_ND</f>
        <v>0</v>
      </c>
      <c r="Y1258" s="158">
        <f t="shared" ref="Y1258" si="2824">$T1258/ORCAMENTO_VALOR_TOTAL_DE</f>
        <v>0</v>
      </c>
      <c r="Z1258" s="158" cm="1">
        <f t="array" ref="Z1258">_xlfn.SWITCH($N1258,"BDI 1",$O$6,"BDI 2",$O$7,"BDI 3",$O$8)</f>
        <v>0.20699999999999999</v>
      </c>
      <c r="AA1258" s="158" cm="1">
        <f t="array" ref="AA1258">_xlfn.SWITCH($N1258,"BDI 1",$P$6,"BDI 2",$P$7,"BDI 3",$P$8)</f>
        <v>0.26739999999999997</v>
      </c>
      <c r="AB1258" s="158">
        <f t="shared" ca="1" si="2739"/>
        <v>0</v>
      </c>
      <c r="AC1258" s="158">
        <f t="shared" ca="1" si="2740"/>
        <v>0</v>
      </c>
      <c r="AD1258" s="164"/>
      <c r="AE1258" s="148">
        <f t="shared" si="2727"/>
        <v>0</v>
      </c>
      <c r="AF1258" s="149"/>
      <c r="AG1258" s="150"/>
      <c r="AH1258" s="159" t="e">
        <f t="shared" si="2785"/>
        <v>#DIV/0!</v>
      </c>
      <c r="AI1258" s="160"/>
      <c r="AJ1258" s="105"/>
      <c r="AK1258" s="105"/>
      <c r="AM1258" s="105"/>
      <c r="AN1258" s="105"/>
      <c r="AO1258" s="105"/>
      <c r="AP1258" s="105"/>
      <c r="AQ1258" s="105"/>
      <c r="AR1258" s="105"/>
    </row>
    <row r="1259" spans="1:44" s="49" customFormat="1" ht="49.9" hidden="1" customHeight="1">
      <c r="A1259" s="152">
        <f t="shared" ca="1" si="2728"/>
        <v>0</v>
      </c>
      <c r="B1259" s="153" t="s">
        <v>442</v>
      </c>
      <c r="C1259" s="154" t="str">
        <f t="shared" si="2729"/>
        <v>PEPC001</v>
      </c>
      <c r="D1259" s="154" t="s">
        <v>3554</v>
      </c>
      <c r="E1259" s="155" t="s">
        <v>4032</v>
      </c>
      <c r="F1259" s="154"/>
      <c r="G1259" s="154" t="s">
        <v>1414</v>
      </c>
      <c r="H1259" s="152">
        <v>126.24</v>
      </c>
      <c r="I1259" s="152">
        <v>126.24</v>
      </c>
      <c r="J1259" s="156"/>
      <c r="K1259" s="156"/>
      <c r="L1259" s="156">
        <f t="shared" si="2730"/>
        <v>0</v>
      </c>
      <c r="M1259" s="156">
        <f t="shared" si="2731"/>
        <v>0</v>
      </c>
      <c r="N1259" s="156" t="s">
        <v>83</v>
      </c>
      <c r="O1259" s="157" cm="1">
        <f t="array" ref="O1259">TRUNC($H1259*(1+_xlfn.SWITCH($N1259,"BDI 1",$O$6,"BDI 2",$O$7,"BDI 3",$O$8)),2)</f>
        <v>152.37</v>
      </c>
      <c r="P1259" s="157" cm="1">
        <f t="array" ref="P1259">TRUNC($I1259*(1+_xlfn.SWITCH($N1259,"BDI 1",$P$6,"BDI 2",$P$7,"BDI 3",$P$8)),2)</f>
        <v>159.99</v>
      </c>
      <c r="Q1259" s="157">
        <v>0</v>
      </c>
      <c r="R1259" s="157">
        <f t="shared" ref="R1259" si="2825">$Q1259-($Q1259*LICITACAO_DESCONTO)</f>
        <v>0</v>
      </c>
      <c r="S1259" s="156">
        <f t="shared" si="2733"/>
        <v>0</v>
      </c>
      <c r="T1259" s="156">
        <f t="shared" si="2734"/>
        <v>0</v>
      </c>
      <c r="U1259" s="156">
        <f t="shared" si="2735"/>
        <v>0</v>
      </c>
      <c r="V1259" s="156">
        <f t="shared" si="2736"/>
        <v>0</v>
      </c>
      <c r="W1259" s="156">
        <f t="shared" si="2726"/>
        <v>0</v>
      </c>
      <c r="X1259" s="158">
        <f t="shared" ref="X1259" si="2826">$S1259/ORCAMENTO_VALOR_TOTAL_ND</f>
        <v>0</v>
      </c>
      <c r="Y1259" s="158">
        <f t="shared" ref="Y1259" si="2827">$T1259/ORCAMENTO_VALOR_TOTAL_DE</f>
        <v>0</v>
      </c>
      <c r="Z1259" s="158" cm="1">
        <f t="array" ref="Z1259">_xlfn.SWITCH($N1259,"BDI 1",$O$6,"BDI 2",$O$7,"BDI 3",$O$8)</f>
        <v>0.20699999999999999</v>
      </c>
      <c r="AA1259" s="158" cm="1">
        <f t="array" ref="AA1259">_xlfn.SWITCH($N1259,"BDI 1",$P$6,"BDI 2",$P$7,"BDI 3",$P$8)</f>
        <v>0.26739999999999997</v>
      </c>
      <c r="AB1259" s="158">
        <f t="shared" ca="1" si="2739"/>
        <v>0</v>
      </c>
      <c r="AC1259" s="158">
        <f t="shared" ca="1" si="2740"/>
        <v>0</v>
      </c>
      <c r="AD1259" s="164"/>
      <c r="AE1259" s="148">
        <f t="shared" si="2727"/>
        <v>0</v>
      </c>
      <c r="AF1259" s="149"/>
      <c r="AG1259" s="150"/>
      <c r="AH1259" s="159" t="e">
        <f t="shared" si="2785"/>
        <v>#DIV/0!</v>
      </c>
      <c r="AI1259" s="160"/>
      <c r="AJ1259" s="105"/>
      <c r="AK1259" s="105"/>
      <c r="AM1259" s="105"/>
      <c r="AN1259" s="105"/>
      <c r="AO1259" s="105"/>
      <c r="AP1259" s="105"/>
      <c r="AQ1259" s="105"/>
      <c r="AR1259" s="105"/>
    </row>
    <row r="1260" spans="1:44" s="49" customFormat="1" ht="60" hidden="1" customHeight="1">
      <c r="A1260" s="152">
        <f t="shared" ca="1" si="2728"/>
        <v>0</v>
      </c>
      <c r="B1260" s="153" t="s">
        <v>443</v>
      </c>
      <c r="C1260" s="154" t="str">
        <f t="shared" si="2729"/>
        <v>PIU0008</v>
      </c>
      <c r="D1260" s="154" t="s">
        <v>3554</v>
      </c>
      <c r="E1260" s="155" t="s">
        <v>4033</v>
      </c>
      <c r="F1260" s="154"/>
      <c r="G1260" s="154" t="s">
        <v>4007</v>
      </c>
      <c r="H1260" s="152">
        <v>11431.4</v>
      </c>
      <c r="I1260" s="152">
        <v>11431.4</v>
      </c>
      <c r="J1260" s="156"/>
      <c r="K1260" s="156"/>
      <c r="L1260" s="156">
        <f t="shared" si="2730"/>
        <v>0</v>
      </c>
      <c r="M1260" s="156">
        <f t="shared" si="2731"/>
        <v>0</v>
      </c>
      <c r="N1260" s="156" t="s">
        <v>83</v>
      </c>
      <c r="O1260" s="157" cm="1">
        <f t="array" ref="O1260">TRUNC($H1260*(1+_xlfn.SWITCH($N1260,"BDI 1",$O$6,"BDI 2",$O$7,"BDI 3",$O$8)),2)</f>
        <v>13797.69</v>
      </c>
      <c r="P1260" s="157" cm="1">
        <f t="array" ref="P1260">TRUNC($I1260*(1+_xlfn.SWITCH($N1260,"BDI 1",$P$6,"BDI 2",$P$7,"BDI 3",$P$8)),2)</f>
        <v>14488.15</v>
      </c>
      <c r="Q1260" s="157">
        <v>0</v>
      </c>
      <c r="R1260" s="157">
        <f t="shared" ref="R1260" si="2828">$Q1260-($Q1260*LICITACAO_DESCONTO)</f>
        <v>0</v>
      </c>
      <c r="S1260" s="156">
        <f t="shared" si="2733"/>
        <v>0</v>
      </c>
      <c r="T1260" s="156">
        <f t="shared" si="2734"/>
        <v>0</v>
      </c>
      <c r="U1260" s="156">
        <f t="shared" si="2735"/>
        <v>0</v>
      </c>
      <c r="V1260" s="156">
        <f t="shared" si="2736"/>
        <v>0</v>
      </c>
      <c r="W1260" s="156">
        <f t="shared" si="2726"/>
        <v>0</v>
      </c>
      <c r="X1260" s="158">
        <f t="shared" ref="X1260" si="2829">$S1260/ORCAMENTO_VALOR_TOTAL_ND</f>
        <v>0</v>
      </c>
      <c r="Y1260" s="158">
        <f t="shared" ref="Y1260" si="2830">$T1260/ORCAMENTO_VALOR_TOTAL_DE</f>
        <v>0</v>
      </c>
      <c r="Z1260" s="158" cm="1">
        <f t="array" ref="Z1260">_xlfn.SWITCH($N1260,"BDI 1",$O$6,"BDI 2",$O$7,"BDI 3",$O$8)</f>
        <v>0.20699999999999999</v>
      </c>
      <c r="AA1260" s="158" cm="1">
        <f t="array" ref="AA1260">_xlfn.SWITCH($N1260,"BDI 1",$P$6,"BDI 2",$P$7,"BDI 3",$P$8)</f>
        <v>0.26739999999999997</v>
      </c>
      <c r="AB1260" s="158">
        <f t="shared" ca="1" si="2739"/>
        <v>0</v>
      </c>
      <c r="AC1260" s="158">
        <f t="shared" ca="1" si="2740"/>
        <v>0</v>
      </c>
      <c r="AD1260" s="164"/>
      <c r="AE1260" s="148">
        <f t="shared" si="2727"/>
        <v>0</v>
      </c>
      <c r="AF1260" s="149"/>
      <c r="AG1260" s="150"/>
      <c r="AH1260" s="159" t="e">
        <f t="shared" si="2785"/>
        <v>#DIV/0!</v>
      </c>
      <c r="AI1260" s="160"/>
      <c r="AJ1260" s="105"/>
      <c r="AK1260" s="105"/>
      <c r="AM1260" s="105"/>
      <c r="AN1260" s="105"/>
      <c r="AO1260" s="105"/>
      <c r="AP1260" s="105"/>
      <c r="AQ1260" s="105"/>
      <c r="AR1260" s="105"/>
    </row>
    <row r="1261" spans="1:44" s="49" customFormat="1" ht="49.9" hidden="1" customHeight="1">
      <c r="A1261" s="152">
        <f t="shared" ca="1" si="2728"/>
        <v>0</v>
      </c>
      <c r="B1261" s="153" t="s">
        <v>444</v>
      </c>
      <c r="C1261" s="154" t="str">
        <f t="shared" si="2729"/>
        <v>PIU0011</v>
      </c>
      <c r="D1261" s="154" t="s">
        <v>3554</v>
      </c>
      <c r="E1261" s="155" t="s">
        <v>4034</v>
      </c>
      <c r="F1261" s="154"/>
      <c r="G1261" s="154" t="s">
        <v>1423</v>
      </c>
      <c r="H1261" s="152">
        <v>2.29</v>
      </c>
      <c r="I1261" s="152">
        <v>2.29</v>
      </c>
      <c r="J1261" s="156"/>
      <c r="K1261" s="156"/>
      <c r="L1261" s="156">
        <f t="shared" si="2730"/>
        <v>0</v>
      </c>
      <c r="M1261" s="156">
        <f t="shared" si="2731"/>
        <v>0</v>
      </c>
      <c r="N1261" s="156" t="s">
        <v>83</v>
      </c>
      <c r="O1261" s="157" cm="1">
        <f t="array" ref="O1261">TRUNC($H1261*(1+_xlfn.SWITCH($N1261,"BDI 1",$O$6,"BDI 2",$O$7,"BDI 3",$O$8)),2)</f>
        <v>2.76</v>
      </c>
      <c r="P1261" s="157" cm="1">
        <f t="array" ref="P1261">TRUNC($I1261*(1+_xlfn.SWITCH($N1261,"BDI 1",$P$6,"BDI 2",$P$7,"BDI 3",$P$8)),2)</f>
        <v>2.9</v>
      </c>
      <c r="Q1261" s="157">
        <v>0</v>
      </c>
      <c r="R1261" s="157">
        <f t="shared" ref="R1261" si="2831">$Q1261-($Q1261*LICITACAO_DESCONTO)</f>
        <v>0</v>
      </c>
      <c r="S1261" s="156">
        <f t="shared" si="2733"/>
        <v>0</v>
      </c>
      <c r="T1261" s="156">
        <f t="shared" si="2734"/>
        <v>0</v>
      </c>
      <c r="U1261" s="156">
        <f t="shared" si="2735"/>
        <v>0</v>
      </c>
      <c r="V1261" s="156">
        <f t="shared" si="2736"/>
        <v>0</v>
      </c>
      <c r="W1261" s="156">
        <f t="shared" si="2726"/>
        <v>0</v>
      </c>
      <c r="X1261" s="158">
        <f t="shared" ref="X1261" si="2832">$S1261/ORCAMENTO_VALOR_TOTAL_ND</f>
        <v>0</v>
      </c>
      <c r="Y1261" s="158">
        <f t="shared" ref="Y1261" si="2833">$T1261/ORCAMENTO_VALOR_TOTAL_DE</f>
        <v>0</v>
      </c>
      <c r="Z1261" s="158" cm="1">
        <f t="array" ref="Z1261">_xlfn.SWITCH($N1261,"BDI 1",$O$6,"BDI 2",$O$7,"BDI 3",$O$8)</f>
        <v>0.20699999999999999</v>
      </c>
      <c r="AA1261" s="158" cm="1">
        <f t="array" ref="AA1261">_xlfn.SWITCH($N1261,"BDI 1",$P$6,"BDI 2",$P$7,"BDI 3",$P$8)</f>
        <v>0.26739999999999997</v>
      </c>
      <c r="AB1261" s="158">
        <f t="shared" ca="1" si="2739"/>
        <v>0</v>
      </c>
      <c r="AC1261" s="158">
        <f t="shared" ca="1" si="2740"/>
        <v>0</v>
      </c>
      <c r="AD1261" s="164"/>
      <c r="AE1261" s="148">
        <f t="shared" si="2727"/>
        <v>0</v>
      </c>
      <c r="AF1261" s="149"/>
      <c r="AG1261" s="150"/>
      <c r="AH1261" s="159" t="e">
        <f t="shared" si="2785"/>
        <v>#DIV/0!</v>
      </c>
      <c r="AI1261" s="160"/>
      <c r="AJ1261" s="105"/>
      <c r="AK1261" s="105"/>
      <c r="AM1261" s="105"/>
      <c r="AN1261" s="105"/>
      <c r="AO1261" s="105"/>
      <c r="AP1261" s="105"/>
      <c r="AQ1261" s="105"/>
      <c r="AR1261" s="105"/>
    </row>
    <row r="1262" spans="1:44" s="49" customFormat="1" ht="40.15" hidden="1" customHeight="1">
      <c r="A1262" s="152">
        <f t="shared" ca="1" si="2728"/>
        <v>0</v>
      </c>
      <c r="B1262" s="153" t="s">
        <v>445</v>
      </c>
      <c r="C1262" s="154" t="str">
        <f t="shared" si="2729"/>
        <v>PIU0005</v>
      </c>
      <c r="D1262" s="154" t="s">
        <v>3554</v>
      </c>
      <c r="E1262" s="155" t="s">
        <v>4035</v>
      </c>
      <c r="F1262" s="154"/>
      <c r="G1262" s="154" t="s">
        <v>1423</v>
      </c>
      <c r="H1262" s="152">
        <v>204.42</v>
      </c>
      <c r="I1262" s="152">
        <v>204.42</v>
      </c>
      <c r="J1262" s="156"/>
      <c r="K1262" s="156"/>
      <c r="L1262" s="156">
        <f t="shared" si="2730"/>
        <v>0</v>
      </c>
      <c r="M1262" s="156">
        <f t="shared" si="2731"/>
        <v>0</v>
      </c>
      <c r="N1262" s="156" t="s">
        <v>83</v>
      </c>
      <c r="O1262" s="157" cm="1">
        <f t="array" ref="O1262">TRUNC($H1262*(1+_xlfn.SWITCH($N1262,"BDI 1",$O$6,"BDI 2",$O$7,"BDI 3",$O$8)),2)</f>
        <v>246.73</v>
      </c>
      <c r="P1262" s="157" cm="1">
        <f t="array" ref="P1262">TRUNC($I1262*(1+_xlfn.SWITCH($N1262,"BDI 1",$P$6,"BDI 2",$P$7,"BDI 3",$P$8)),2)</f>
        <v>259.08</v>
      </c>
      <c r="Q1262" s="157">
        <v>0</v>
      </c>
      <c r="R1262" s="157">
        <f t="shared" ref="R1262" si="2834">$Q1262-($Q1262*LICITACAO_DESCONTO)</f>
        <v>0</v>
      </c>
      <c r="S1262" s="156">
        <f t="shared" si="2733"/>
        <v>0</v>
      </c>
      <c r="T1262" s="156">
        <f t="shared" si="2734"/>
        <v>0</v>
      </c>
      <c r="U1262" s="156">
        <f t="shared" si="2735"/>
        <v>0</v>
      </c>
      <c r="V1262" s="156">
        <f t="shared" si="2736"/>
        <v>0</v>
      </c>
      <c r="W1262" s="156">
        <f t="shared" si="2726"/>
        <v>0</v>
      </c>
      <c r="X1262" s="158">
        <f t="shared" ref="X1262" si="2835">$S1262/ORCAMENTO_VALOR_TOTAL_ND</f>
        <v>0</v>
      </c>
      <c r="Y1262" s="158">
        <f t="shared" ref="Y1262" si="2836">$T1262/ORCAMENTO_VALOR_TOTAL_DE</f>
        <v>0</v>
      </c>
      <c r="Z1262" s="158" cm="1">
        <f t="array" ref="Z1262">_xlfn.SWITCH($N1262,"BDI 1",$O$6,"BDI 2",$O$7,"BDI 3",$O$8)</f>
        <v>0.20699999999999999</v>
      </c>
      <c r="AA1262" s="158" cm="1">
        <f t="array" ref="AA1262">_xlfn.SWITCH($N1262,"BDI 1",$P$6,"BDI 2",$P$7,"BDI 3",$P$8)</f>
        <v>0.26739999999999997</v>
      </c>
      <c r="AB1262" s="158">
        <f t="shared" ca="1" si="2739"/>
        <v>0</v>
      </c>
      <c r="AC1262" s="158">
        <f t="shared" ca="1" si="2740"/>
        <v>0</v>
      </c>
      <c r="AD1262" s="164"/>
      <c r="AE1262" s="148">
        <f t="shared" si="2727"/>
        <v>0</v>
      </c>
      <c r="AF1262" s="149"/>
      <c r="AG1262" s="150"/>
      <c r="AH1262" s="159" t="e">
        <f t="shared" si="2785"/>
        <v>#DIV/0!</v>
      </c>
      <c r="AI1262" s="160"/>
      <c r="AJ1262" s="105"/>
      <c r="AK1262" s="105"/>
      <c r="AM1262" s="105"/>
      <c r="AN1262" s="105"/>
      <c r="AO1262" s="105"/>
      <c r="AP1262" s="105"/>
      <c r="AQ1262" s="105"/>
      <c r="AR1262" s="105"/>
    </row>
    <row r="1263" spans="1:44" s="49" customFormat="1" ht="40.15" hidden="1" customHeight="1">
      <c r="A1263" s="152">
        <f t="shared" ca="1" si="2728"/>
        <v>0</v>
      </c>
      <c r="B1263" s="153" t="s">
        <v>446</v>
      </c>
      <c r="C1263" s="154" t="str">
        <f t="shared" si="2729"/>
        <v>PIU0009</v>
      </c>
      <c r="D1263" s="154" t="s">
        <v>3554</v>
      </c>
      <c r="E1263" s="155" t="s">
        <v>4036</v>
      </c>
      <c r="F1263" s="154"/>
      <c r="G1263" s="154" t="s">
        <v>1414</v>
      </c>
      <c r="H1263" s="152">
        <v>12.56</v>
      </c>
      <c r="I1263" s="152">
        <v>12.56</v>
      </c>
      <c r="J1263" s="156"/>
      <c r="K1263" s="156"/>
      <c r="L1263" s="156">
        <f t="shared" si="2730"/>
        <v>0</v>
      </c>
      <c r="M1263" s="156">
        <f t="shared" si="2731"/>
        <v>0</v>
      </c>
      <c r="N1263" s="156" t="s">
        <v>83</v>
      </c>
      <c r="O1263" s="157" cm="1">
        <f t="array" ref="O1263">TRUNC($H1263*(1+_xlfn.SWITCH($N1263,"BDI 1",$O$6,"BDI 2",$O$7,"BDI 3",$O$8)),2)</f>
        <v>15.15</v>
      </c>
      <c r="P1263" s="157" cm="1">
        <f t="array" ref="P1263">TRUNC($I1263*(1+_xlfn.SWITCH($N1263,"BDI 1",$P$6,"BDI 2",$P$7,"BDI 3",$P$8)),2)</f>
        <v>15.91</v>
      </c>
      <c r="Q1263" s="157">
        <v>0</v>
      </c>
      <c r="R1263" s="157">
        <f t="shared" ref="R1263" si="2837">$Q1263-($Q1263*LICITACAO_DESCONTO)</f>
        <v>0</v>
      </c>
      <c r="S1263" s="156">
        <f t="shared" si="2733"/>
        <v>0</v>
      </c>
      <c r="T1263" s="156">
        <f t="shared" si="2734"/>
        <v>0</v>
      </c>
      <c r="U1263" s="156">
        <f t="shared" si="2735"/>
        <v>0</v>
      </c>
      <c r="V1263" s="156">
        <f t="shared" si="2736"/>
        <v>0</v>
      </c>
      <c r="W1263" s="156">
        <f t="shared" si="2726"/>
        <v>0</v>
      </c>
      <c r="X1263" s="158">
        <f t="shared" ref="X1263" si="2838">$S1263/ORCAMENTO_VALOR_TOTAL_ND</f>
        <v>0</v>
      </c>
      <c r="Y1263" s="158">
        <f t="shared" ref="Y1263" si="2839">$T1263/ORCAMENTO_VALOR_TOTAL_DE</f>
        <v>0</v>
      </c>
      <c r="Z1263" s="158" cm="1">
        <f t="array" ref="Z1263">_xlfn.SWITCH($N1263,"BDI 1",$O$6,"BDI 2",$O$7,"BDI 3",$O$8)</f>
        <v>0.20699999999999999</v>
      </c>
      <c r="AA1263" s="158" cm="1">
        <f t="array" ref="AA1263">_xlfn.SWITCH($N1263,"BDI 1",$P$6,"BDI 2",$P$7,"BDI 3",$P$8)</f>
        <v>0.26739999999999997</v>
      </c>
      <c r="AB1263" s="158">
        <f t="shared" ca="1" si="2739"/>
        <v>0</v>
      </c>
      <c r="AC1263" s="158">
        <f t="shared" ca="1" si="2740"/>
        <v>0</v>
      </c>
      <c r="AD1263" s="164"/>
      <c r="AE1263" s="148">
        <f t="shared" si="2727"/>
        <v>0</v>
      </c>
      <c r="AF1263" s="149"/>
      <c r="AG1263" s="150"/>
      <c r="AH1263" s="159" t="e">
        <f t="shared" si="2785"/>
        <v>#DIV/0!</v>
      </c>
      <c r="AI1263" s="160"/>
      <c r="AJ1263" s="105"/>
      <c r="AK1263" s="105"/>
      <c r="AM1263" s="105"/>
      <c r="AN1263" s="105"/>
      <c r="AO1263" s="105"/>
      <c r="AP1263" s="105"/>
      <c r="AQ1263" s="105"/>
      <c r="AR1263" s="105"/>
    </row>
    <row r="1264" spans="1:44" s="49" customFormat="1" ht="49.9" hidden="1" customHeight="1">
      <c r="A1264" s="152">
        <f t="shared" ca="1" si="2728"/>
        <v>0</v>
      </c>
      <c r="B1264" s="153" t="s">
        <v>447</v>
      </c>
      <c r="C1264" s="154" t="str">
        <f t="shared" si="2729"/>
        <v>PIU0010</v>
      </c>
      <c r="D1264" s="154" t="s">
        <v>3554</v>
      </c>
      <c r="E1264" s="155" t="s">
        <v>4037</v>
      </c>
      <c r="F1264" s="154"/>
      <c r="G1264" s="154" t="s">
        <v>1414</v>
      </c>
      <c r="H1264" s="152">
        <v>41.09</v>
      </c>
      <c r="I1264" s="152">
        <v>41.09</v>
      </c>
      <c r="J1264" s="156"/>
      <c r="K1264" s="156"/>
      <c r="L1264" s="156">
        <f t="shared" si="2730"/>
        <v>0</v>
      </c>
      <c r="M1264" s="156">
        <f t="shared" si="2731"/>
        <v>0</v>
      </c>
      <c r="N1264" s="156" t="s">
        <v>83</v>
      </c>
      <c r="O1264" s="157" cm="1">
        <f t="array" ref="O1264">TRUNC($H1264*(1+_xlfn.SWITCH($N1264,"BDI 1",$O$6,"BDI 2",$O$7,"BDI 3",$O$8)),2)</f>
        <v>49.59</v>
      </c>
      <c r="P1264" s="157" cm="1">
        <f t="array" ref="P1264">TRUNC($I1264*(1+_xlfn.SWITCH($N1264,"BDI 1",$P$6,"BDI 2",$P$7,"BDI 3",$P$8)),2)</f>
        <v>52.07</v>
      </c>
      <c r="Q1264" s="157">
        <v>0</v>
      </c>
      <c r="R1264" s="157">
        <f t="shared" ref="R1264" si="2840">$Q1264-($Q1264*LICITACAO_DESCONTO)</f>
        <v>0</v>
      </c>
      <c r="S1264" s="156">
        <f t="shared" si="2733"/>
        <v>0</v>
      </c>
      <c r="T1264" s="156">
        <f t="shared" si="2734"/>
        <v>0</v>
      </c>
      <c r="U1264" s="156">
        <f t="shared" si="2735"/>
        <v>0</v>
      </c>
      <c r="V1264" s="156">
        <f t="shared" si="2736"/>
        <v>0</v>
      </c>
      <c r="W1264" s="156">
        <f t="shared" si="2726"/>
        <v>0</v>
      </c>
      <c r="X1264" s="158">
        <f t="shared" ref="X1264" si="2841">$S1264/ORCAMENTO_VALOR_TOTAL_ND</f>
        <v>0</v>
      </c>
      <c r="Y1264" s="158">
        <f t="shared" ref="Y1264" si="2842">$T1264/ORCAMENTO_VALOR_TOTAL_DE</f>
        <v>0</v>
      </c>
      <c r="Z1264" s="158" cm="1">
        <f t="array" ref="Z1264">_xlfn.SWITCH($N1264,"BDI 1",$O$6,"BDI 2",$O$7,"BDI 3",$O$8)</f>
        <v>0.20699999999999999</v>
      </c>
      <c r="AA1264" s="158" cm="1">
        <f t="array" ref="AA1264">_xlfn.SWITCH($N1264,"BDI 1",$P$6,"BDI 2",$P$7,"BDI 3",$P$8)</f>
        <v>0.26739999999999997</v>
      </c>
      <c r="AB1264" s="158">
        <f t="shared" ca="1" si="2739"/>
        <v>0</v>
      </c>
      <c r="AC1264" s="158">
        <f t="shared" ca="1" si="2740"/>
        <v>0</v>
      </c>
      <c r="AD1264" s="164"/>
      <c r="AE1264" s="148">
        <f t="shared" si="2727"/>
        <v>0</v>
      </c>
      <c r="AF1264" s="149"/>
      <c r="AG1264" s="150"/>
      <c r="AH1264" s="159" t="e">
        <f t="shared" si="2785"/>
        <v>#DIV/0!</v>
      </c>
      <c r="AI1264" s="160"/>
      <c r="AJ1264" s="105"/>
      <c r="AK1264" s="105"/>
      <c r="AM1264" s="105"/>
      <c r="AN1264" s="105"/>
      <c r="AO1264" s="105"/>
      <c r="AP1264" s="105"/>
      <c r="AQ1264" s="105"/>
      <c r="AR1264" s="105"/>
    </row>
    <row r="1265" spans="1:44" s="49" customFormat="1" ht="40.15" hidden="1" customHeight="1">
      <c r="A1265" s="152">
        <f t="shared" ca="1" si="2728"/>
        <v>0</v>
      </c>
      <c r="B1265" s="153" t="s">
        <v>448</v>
      </c>
      <c r="C1265" s="154" t="str">
        <f t="shared" si="2729"/>
        <v>ORINF</v>
      </c>
      <c r="D1265" s="154" t="s">
        <v>3554</v>
      </c>
      <c r="E1265" s="155" t="s">
        <v>4038</v>
      </c>
      <c r="F1265" s="154"/>
      <c r="G1265" s="154" t="s">
        <v>1285</v>
      </c>
      <c r="H1265" s="152">
        <v>1340.32</v>
      </c>
      <c r="I1265" s="152">
        <v>1340.32</v>
      </c>
      <c r="J1265" s="156"/>
      <c r="K1265" s="156"/>
      <c r="L1265" s="156">
        <f t="shared" si="2730"/>
        <v>0</v>
      </c>
      <c r="M1265" s="156">
        <f t="shared" si="2731"/>
        <v>0</v>
      </c>
      <c r="N1265" s="156" t="s">
        <v>83</v>
      </c>
      <c r="O1265" s="157" cm="1">
        <f t="array" ref="O1265">TRUNC($H1265*(1+_xlfn.SWITCH($N1265,"BDI 1",$O$6,"BDI 2",$O$7,"BDI 3",$O$8)),2)</f>
        <v>1617.76</v>
      </c>
      <c r="P1265" s="157" cm="1">
        <f t="array" ref="P1265">TRUNC($I1265*(1+_xlfn.SWITCH($N1265,"BDI 1",$P$6,"BDI 2",$P$7,"BDI 3",$P$8)),2)</f>
        <v>1698.72</v>
      </c>
      <c r="Q1265" s="157">
        <v>0</v>
      </c>
      <c r="R1265" s="157">
        <f t="shared" ref="R1265" si="2843">$Q1265-($Q1265*LICITACAO_DESCONTO)</f>
        <v>0</v>
      </c>
      <c r="S1265" s="156">
        <f t="shared" si="2733"/>
        <v>0</v>
      </c>
      <c r="T1265" s="156">
        <f t="shared" si="2734"/>
        <v>0</v>
      </c>
      <c r="U1265" s="156">
        <f t="shared" si="2735"/>
        <v>0</v>
      </c>
      <c r="V1265" s="156">
        <f t="shared" si="2736"/>
        <v>0</v>
      </c>
      <c r="W1265" s="156">
        <f t="shared" si="2726"/>
        <v>0</v>
      </c>
      <c r="X1265" s="158">
        <f t="shared" ref="X1265" si="2844">$S1265/ORCAMENTO_VALOR_TOTAL_ND</f>
        <v>0</v>
      </c>
      <c r="Y1265" s="158">
        <f t="shared" ref="Y1265" si="2845">$T1265/ORCAMENTO_VALOR_TOTAL_DE</f>
        <v>0</v>
      </c>
      <c r="Z1265" s="158" cm="1">
        <f t="array" ref="Z1265">_xlfn.SWITCH($N1265,"BDI 1",$O$6,"BDI 2",$O$7,"BDI 3",$O$8)</f>
        <v>0.20699999999999999</v>
      </c>
      <c r="AA1265" s="158" cm="1">
        <f t="array" ref="AA1265">_xlfn.SWITCH($N1265,"BDI 1",$P$6,"BDI 2",$P$7,"BDI 3",$P$8)</f>
        <v>0.26739999999999997</v>
      </c>
      <c r="AB1265" s="158">
        <f t="shared" ca="1" si="2739"/>
        <v>0</v>
      </c>
      <c r="AC1265" s="158">
        <f t="shared" ca="1" si="2740"/>
        <v>0</v>
      </c>
      <c r="AD1265" s="164"/>
      <c r="AE1265" s="148">
        <f t="shared" si="2727"/>
        <v>0</v>
      </c>
      <c r="AF1265" s="149"/>
      <c r="AG1265" s="150"/>
      <c r="AH1265" s="159" t="e">
        <f>+S1265/S$1230</f>
        <v>#DIV/0!</v>
      </c>
      <c r="AI1265" s="160"/>
      <c r="AJ1265" s="105"/>
      <c r="AK1265" s="105"/>
      <c r="AM1265" s="105"/>
      <c r="AN1265" s="105"/>
      <c r="AO1265" s="105"/>
      <c r="AP1265" s="105"/>
      <c r="AQ1265" s="105"/>
      <c r="AR1265" s="105"/>
    </row>
    <row r="1266" spans="1:44" s="49" customFormat="1" ht="40.15" hidden="1" customHeight="1">
      <c r="A1266" s="152">
        <f t="shared" ca="1" si="2728"/>
        <v>0</v>
      </c>
      <c r="B1266" s="153" t="s">
        <v>449</v>
      </c>
      <c r="C1266" s="154" t="str">
        <f t="shared" si="2729"/>
        <v>LI-AMB</v>
      </c>
      <c r="D1266" s="154" t="s">
        <v>3554</v>
      </c>
      <c r="E1266" s="155" t="s">
        <v>4039</v>
      </c>
      <c r="F1266" s="154"/>
      <c r="G1266" s="154" t="s">
        <v>1428</v>
      </c>
      <c r="H1266" s="152">
        <v>27681.15</v>
      </c>
      <c r="I1266" s="152">
        <v>27681.15</v>
      </c>
      <c r="J1266" s="156"/>
      <c r="K1266" s="156"/>
      <c r="L1266" s="156">
        <f t="shared" si="2730"/>
        <v>0</v>
      </c>
      <c r="M1266" s="156">
        <f t="shared" si="2731"/>
        <v>0</v>
      </c>
      <c r="N1266" s="156" t="s">
        <v>83</v>
      </c>
      <c r="O1266" s="157" cm="1">
        <f t="array" ref="O1266">TRUNC($H1266*(1+_xlfn.SWITCH($N1266,"BDI 1",$O$6,"BDI 2",$O$7,"BDI 3",$O$8)),2)</f>
        <v>33411.14</v>
      </c>
      <c r="P1266" s="157" cm="1">
        <f t="array" ref="P1266">TRUNC($I1266*(1+_xlfn.SWITCH($N1266,"BDI 1",$P$6,"BDI 2",$P$7,"BDI 3",$P$8)),2)</f>
        <v>35083.08</v>
      </c>
      <c r="Q1266" s="157">
        <v>0</v>
      </c>
      <c r="R1266" s="157">
        <f t="shared" ref="R1266" si="2846">$Q1266-($Q1266*LICITACAO_DESCONTO)</f>
        <v>0</v>
      </c>
      <c r="S1266" s="156">
        <f t="shared" si="2733"/>
        <v>0</v>
      </c>
      <c r="T1266" s="156">
        <f t="shared" si="2734"/>
        <v>0</v>
      </c>
      <c r="U1266" s="156">
        <f t="shared" si="2735"/>
        <v>0</v>
      </c>
      <c r="V1266" s="156">
        <f t="shared" si="2736"/>
        <v>0</v>
      </c>
      <c r="W1266" s="156">
        <f t="shared" si="2726"/>
        <v>0</v>
      </c>
      <c r="X1266" s="158">
        <f t="shared" ref="X1266" si="2847">$S1266/ORCAMENTO_VALOR_TOTAL_ND</f>
        <v>0</v>
      </c>
      <c r="Y1266" s="158">
        <f t="shared" ref="Y1266" si="2848">$T1266/ORCAMENTO_VALOR_TOTAL_DE</f>
        <v>0</v>
      </c>
      <c r="Z1266" s="158" cm="1">
        <f t="array" ref="Z1266">_xlfn.SWITCH($N1266,"BDI 1",$O$6,"BDI 2",$O$7,"BDI 3",$O$8)</f>
        <v>0.20699999999999999</v>
      </c>
      <c r="AA1266" s="158" cm="1">
        <f t="array" ref="AA1266">_xlfn.SWITCH($N1266,"BDI 1",$P$6,"BDI 2",$P$7,"BDI 3",$P$8)</f>
        <v>0.26739999999999997</v>
      </c>
      <c r="AB1266" s="158">
        <f t="shared" ca="1" si="2739"/>
        <v>0</v>
      </c>
      <c r="AC1266" s="158">
        <f t="shared" ca="1" si="2740"/>
        <v>0</v>
      </c>
      <c r="AD1266" s="164"/>
      <c r="AE1266" s="148">
        <f t="shared" si="2727"/>
        <v>0</v>
      </c>
      <c r="AF1266" s="149"/>
      <c r="AG1266" s="150"/>
      <c r="AH1266" s="159" t="e">
        <f>+S1266/S$1230</f>
        <v>#DIV/0!</v>
      </c>
      <c r="AI1266" s="160"/>
      <c r="AJ1266" s="105"/>
      <c r="AK1266" s="105"/>
      <c r="AM1266" s="105"/>
      <c r="AN1266" s="105"/>
      <c r="AO1266" s="105"/>
      <c r="AP1266" s="105"/>
      <c r="AQ1266" s="105"/>
      <c r="AR1266" s="105"/>
    </row>
    <row r="1267" spans="1:44" s="49" customFormat="1" ht="40.15" hidden="1" customHeight="1">
      <c r="A1267" s="152">
        <f t="shared" ca="1" si="2728"/>
        <v>0</v>
      </c>
      <c r="B1267" s="153" t="s">
        <v>450</v>
      </c>
      <c r="C1267" s="154" t="str">
        <f t="shared" si="2729"/>
        <v>PIU0013</v>
      </c>
      <c r="D1267" s="154" t="s">
        <v>3554</v>
      </c>
      <c r="E1267" s="155" t="s">
        <v>4040</v>
      </c>
      <c r="F1267" s="154"/>
      <c r="G1267" s="154" t="s">
        <v>1428</v>
      </c>
      <c r="H1267" s="152">
        <v>7111.24</v>
      </c>
      <c r="I1267" s="152">
        <v>7111.24</v>
      </c>
      <c r="J1267" s="156"/>
      <c r="K1267" s="156"/>
      <c r="L1267" s="156">
        <f t="shared" si="2730"/>
        <v>0</v>
      </c>
      <c r="M1267" s="156">
        <f t="shared" si="2731"/>
        <v>0</v>
      </c>
      <c r="N1267" s="156" t="s">
        <v>83</v>
      </c>
      <c r="O1267" s="157" cm="1">
        <f t="array" ref="O1267">TRUNC($H1267*(1+_xlfn.SWITCH($N1267,"BDI 1",$O$6,"BDI 2",$O$7,"BDI 3",$O$8)),2)</f>
        <v>8583.26</v>
      </c>
      <c r="P1267" s="157" cm="1">
        <f t="array" ref="P1267">TRUNC($I1267*(1+_xlfn.SWITCH($N1267,"BDI 1",$P$6,"BDI 2",$P$7,"BDI 3",$P$8)),2)</f>
        <v>9012.7800000000007</v>
      </c>
      <c r="Q1267" s="157">
        <v>0</v>
      </c>
      <c r="R1267" s="157">
        <f t="shared" ref="R1267" si="2849">$Q1267-($Q1267*LICITACAO_DESCONTO)</f>
        <v>0</v>
      </c>
      <c r="S1267" s="156">
        <f t="shared" si="2733"/>
        <v>0</v>
      </c>
      <c r="T1267" s="156">
        <f t="shared" si="2734"/>
        <v>0</v>
      </c>
      <c r="U1267" s="156">
        <f t="shared" si="2735"/>
        <v>0</v>
      </c>
      <c r="V1267" s="156">
        <f t="shared" si="2736"/>
        <v>0</v>
      </c>
      <c r="W1267" s="156">
        <f t="shared" si="2726"/>
        <v>0</v>
      </c>
      <c r="X1267" s="158">
        <f t="shared" ref="X1267" si="2850">$S1267/ORCAMENTO_VALOR_TOTAL_ND</f>
        <v>0</v>
      </c>
      <c r="Y1267" s="158">
        <f t="shared" ref="Y1267" si="2851">$T1267/ORCAMENTO_VALOR_TOTAL_DE</f>
        <v>0</v>
      </c>
      <c r="Z1267" s="158" cm="1">
        <f t="array" ref="Z1267">_xlfn.SWITCH($N1267,"BDI 1",$O$6,"BDI 2",$O$7,"BDI 3",$O$8)</f>
        <v>0.20699999999999999</v>
      </c>
      <c r="AA1267" s="158" cm="1">
        <f t="array" ref="AA1267">_xlfn.SWITCH($N1267,"BDI 1",$P$6,"BDI 2",$P$7,"BDI 3",$P$8)</f>
        <v>0.26739999999999997</v>
      </c>
      <c r="AB1267" s="158">
        <f t="shared" ca="1" si="2739"/>
        <v>0</v>
      </c>
      <c r="AC1267" s="158">
        <f t="shared" ca="1" si="2740"/>
        <v>0</v>
      </c>
      <c r="AD1267" s="164"/>
      <c r="AE1267" s="148">
        <f t="shared" si="2727"/>
        <v>0</v>
      </c>
      <c r="AF1267" s="149"/>
      <c r="AG1267" s="150"/>
      <c r="AH1267" s="159" t="e">
        <f t="shared" ref="AH1267" si="2852">+S1267/S$1230</f>
        <v>#DIV/0!</v>
      </c>
      <c r="AI1267" s="160"/>
      <c r="AJ1267" s="105"/>
      <c r="AK1267" s="105"/>
      <c r="AM1267" s="105"/>
      <c r="AN1267" s="105"/>
      <c r="AO1267" s="105"/>
      <c r="AP1267" s="105"/>
      <c r="AQ1267" s="105"/>
      <c r="AR1267" s="105"/>
    </row>
    <row r="1268" spans="1:44" s="49" customFormat="1" ht="24.95" customHeight="1" thickBot="1">
      <c r="A1268" s="10">
        <f t="shared" ca="1" si="2728"/>
        <v>0</v>
      </c>
      <c r="B1268" s="153"/>
      <c r="C1268" s="154"/>
      <c r="D1268" s="154"/>
      <c r="E1268" s="155"/>
      <c r="F1268" s="154"/>
      <c r="G1268" s="154"/>
      <c r="H1268" s="154"/>
      <c r="I1268" s="154"/>
      <c r="J1268" s="168"/>
      <c r="K1268" s="168"/>
      <c r="L1268" s="168"/>
      <c r="M1268" s="168"/>
      <c r="N1268" s="168"/>
      <c r="O1268" s="157"/>
      <c r="P1268" s="157"/>
      <c r="Q1268" s="157"/>
      <c r="R1268" s="157"/>
      <c r="S1268" s="162"/>
      <c r="T1268" s="162"/>
      <c r="U1268" s="162"/>
      <c r="V1268" s="162"/>
      <c r="W1268" s="162"/>
      <c r="X1268" s="163"/>
      <c r="Y1268" s="163"/>
      <c r="Z1268" s="163"/>
      <c r="AA1268" s="163"/>
      <c r="AB1268" s="163"/>
      <c r="AC1268" s="163"/>
      <c r="AD1268" s="164"/>
      <c r="AE1268" s="148" t="s">
        <v>4</v>
      </c>
      <c r="AF1268" s="149"/>
      <c r="AG1268" s="150"/>
      <c r="AH1268" s="105"/>
      <c r="AI1268" s="105"/>
      <c r="AJ1268" s="105"/>
      <c r="AK1268" s="105"/>
      <c r="AM1268" s="105"/>
      <c r="AN1268" s="105"/>
      <c r="AO1268" s="105"/>
      <c r="AP1268" s="105"/>
      <c r="AQ1268" s="105"/>
      <c r="AR1268" s="105"/>
    </row>
    <row r="1269" spans="1:44" s="105" customFormat="1" ht="24.95" customHeight="1" thickTop="1" thickBot="1">
      <c r="A1269" s="228" t="s">
        <v>98</v>
      </c>
      <c r="B1269" s="229"/>
      <c r="C1269" s="230"/>
      <c r="D1269" s="231"/>
      <c r="E1269" s="232"/>
      <c r="F1269" s="233"/>
      <c r="G1269" s="234"/>
      <c r="H1269" s="235"/>
      <c r="I1269" s="235"/>
      <c r="J1269" s="236"/>
      <c r="K1269" s="236"/>
      <c r="L1269" s="236"/>
      <c r="M1269" s="236"/>
      <c r="N1269" s="236"/>
      <c r="O1269" s="237" t="s">
        <v>451</v>
      </c>
      <c r="P1269" s="237" t="s">
        <v>451</v>
      </c>
      <c r="Q1269" s="237" t="s">
        <v>451</v>
      </c>
      <c r="R1269" s="237"/>
      <c r="S1269" s="238">
        <f>SUM(S42:S1268)/2</f>
        <v>3092449.6799999997</v>
      </c>
      <c r="T1269" s="238">
        <f>SUM(T42:T1268)/2</f>
        <v>3401198.4399999995</v>
      </c>
      <c r="U1269" s="238">
        <f>SUM(U42:U1268)/2</f>
        <v>0</v>
      </c>
      <c r="V1269" s="238">
        <f>SUM(V42:V1268)/2</f>
        <v>0</v>
      </c>
      <c r="W1269" s="238">
        <f>TRUNC(V1269-U1269,2)</f>
        <v>0</v>
      </c>
      <c r="X1269" s="239">
        <f>ORCAMENTO_VALOR_TOTAL_ND/ORCAMENTO_VALOR_TOTAL_ND</f>
        <v>1</v>
      </c>
      <c r="Y1269" s="239">
        <f>ORCAMENTO_VALOR_TOTAL_DE/ORCAMENTO_VALOR_TOTAL_DE</f>
        <v>1</v>
      </c>
      <c r="Z1269" s="239"/>
      <c r="AA1269" s="239"/>
      <c r="AB1269" s="239">
        <f>ORCAMENTO_VALOR_TOTAL_DE/ORCAMENTO_VALOR_TOTAL_DE</f>
        <v>1</v>
      </c>
      <c r="AC1269" s="240">
        <f>ORCAMENTO_VALOR_TOTAL_DE/ORCAMENTO_VALOR_TOTAL_DE</f>
        <v>1</v>
      </c>
      <c r="AD1269" s="147"/>
      <c r="AE1269" s="148" t="s">
        <v>4</v>
      </c>
      <c r="AF1269" s="149"/>
      <c r="AG1269" s="150"/>
    </row>
    <row r="1270" spans="1:44" ht="13.5" thickTop="1"/>
  </sheetData>
  <autoFilter ref="A1:AE1269" xr:uid="{00000000-0001-0000-0500-000000000000}">
    <filterColumn colId="30">
      <filters>
        <filter val="1"/>
        <filter val="2"/>
        <filter val="3"/>
        <filter val="X"/>
      </filters>
    </filterColumn>
  </autoFilter>
  <mergeCells count="66">
    <mergeCell ref="AH2:AI2"/>
    <mergeCell ref="B13:B14"/>
    <mergeCell ref="C13:C14"/>
    <mergeCell ref="D13:E14"/>
    <mergeCell ref="F13:F14"/>
    <mergeCell ref="G13:G14"/>
    <mergeCell ref="H13:H14"/>
    <mergeCell ref="I13:I14"/>
    <mergeCell ref="J13:M13"/>
    <mergeCell ref="N13:N14"/>
    <mergeCell ref="AC13:AC14"/>
    <mergeCell ref="O13:O14"/>
    <mergeCell ref="P13:P14"/>
    <mergeCell ref="Q13:Q14"/>
    <mergeCell ref="AB13:AB14"/>
    <mergeCell ref="U13:W13"/>
    <mergeCell ref="X13:X14"/>
    <mergeCell ref="Y13:Y14"/>
    <mergeCell ref="S13:S14"/>
    <mergeCell ref="T13:T14"/>
    <mergeCell ref="Z13:Z14"/>
    <mergeCell ref="AA13:AA14"/>
    <mergeCell ref="O40:O41"/>
    <mergeCell ref="A40:A41"/>
    <mergeCell ref="B40:B41"/>
    <mergeCell ref="C40:C41"/>
    <mergeCell ref="D40:D41"/>
    <mergeCell ref="E40:E41"/>
    <mergeCell ref="F40:F41"/>
    <mergeCell ref="G40:G41"/>
    <mergeCell ref="H40:H41"/>
    <mergeCell ref="I40:I41"/>
    <mergeCell ref="J40:M40"/>
    <mergeCell ref="N40:N41"/>
    <mergeCell ref="AC40:AC41"/>
    <mergeCell ref="P40:P41"/>
    <mergeCell ref="Q40:Q41"/>
    <mergeCell ref="R40:R41"/>
    <mergeCell ref="S40:S41"/>
    <mergeCell ref="T40:T41"/>
    <mergeCell ref="U40:W40"/>
    <mergeCell ref="X40:X41"/>
    <mergeCell ref="Y40:Y41"/>
    <mergeCell ref="Z40:Z41"/>
    <mergeCell ref="AA40:AA41"/>
    <mergeCell ref="AB40:AB41"/>
    <mergeCell ref="AI162:AI164"/>
    <mergeCell ref="AI122:AI124"/>
    <mergeCell ref="AI125:AI127"/>
    <mergeCell ref="AI128:AI129"/>
    <mergeCell ref="AI130:AI131"/>
    <mergeCell ref="AI132:AI134"/>
    <mergeCell ref="AI135:AI137"/>
    <mergeCell ref="AI138:AI139"/>
    <mergeCell ref="AI140:AI141"/>
    <mergeCell ref="AI144:AI147"/>
    <mergeCell ref="AI154:AI155"/>
    <mergeCell ref="AI156:AI159"/>
    <mergeCell ref="AI301:AI303"/>
    <mergeCell ref="AI304:AI306"/>
    <mergeCell ref="AI165:AI167"/>
    <mergeCell ref="AI168:AI169"/>
    <mergeCell ref="AI170:AI171"/>
    <mergeCell ref="AI172:AI174"/>
    <mergeCell ref="AI175:AI177"/>
    <mergeCell ref="AI178:AI179"/>
  </mergeCells>
  <conditionalFormatting sqref="A45:B51">
    <cfRule type="expression" dxfId="130" priority="1">
      <formula>$K45&lt;=0</formula>
    </cfRule>
  </conditionalFormatting>
  <conditionalFormatting sqref="B4">
    <cfRule type="cellIs" dxfId="129" priority="2" operator="equal">
      <formula>0</formula>
    </cfRule>
  </conditionalFormatting>
  <conditionalFormatting sqref="C45:K45 N45:Q45 S45:AC64 C46:Q51 A52:Q64 A65:AC71 A73:AC74 A76:AC77 A80:AC105 A107:AC107 A109:AC110 A112:AC113 A115:AC116 A119:AC185 A187:AC187 A189:AC190 A192:AC193 A195:AC196 A198:AC199 A201:AC202 A205:AC277 A280:AC323 A325:AC326 A328:AC329 A332:AC349 A353:AC358 A360:AC381 A383:AC422 A424:AC436 A438:AC439 A441:AC442 A444:AC445 A447:AC447 A449:AC450 A452:AC453 A456:AC480 A482:AC483 A485:AC486 A488:AC489 A491:AC492 A495:AC512 A514:AC515 A517:AC518 A520:AC521 A523:AC524 A526:AC527 A529:AC530 A532:AC533 A535:AC536 A538:AC539 A541:AC542 A544:AC545 A547:AC548 A550:AC551 A553:AC554 A556:AC557 A559:AC560 A562:AC563 A565:AC566 A568:AC569 A572:AC607 A609:AC610 A612:AC613 A615:AC616 A618:AC619 A621:AC622 A624:AC625 A627:AC628 A630:AC631 A633:AC634 A636:AC637 A639:AC640 A642:AC643 A645:AC646 A648:AC649 A651:AC652 A654:AC655 A657:AC658 A660:AC661 A663:AC664 A667:E682 G667:AC682 A684:E685 G684:AC685 A687:E688 G687:AC688 A690:E691 G690:AC691 A693:E694 G693:AC694 A696:E697 G696:AC697 A699:E700 G699:AC700 A702:E703 G702:AC703 A705:E706 G705:AC706 A708:E709 G708:AC709 A711:E712 G711:AC712 A714:E715 G714:AC715 A717:E718 G717:AC718 A721:AC729 A731:AC731 A733:AC734 A736:AC737 A739:AC740 A742:AC743 A746:AC771 A773:AC774 A776:AC776 A778:AC779 A781:AC782 A784:AC785 A787:AC788 A790:AC791 A793:AC794 A796:AC797 A799:AC800 A802:AC803 A805:AC806 A808:AC809 A811:AC812 A814:AC815 A817:AC818 A820:AC821 A823:AC824 A826:AC827 A829:AC830 A832:AC833 A836:AC864 A866:AC867 A870:AC900 A902:AC903 A905:AC906 A908:AC909 A911:AC912 A914:AC915 A918:AC934 A936:AC937 A939:AC940 A942:AC942 A944:AC944 A946:AC947 A949:AC950 A952:AC953 A955:AC956 A964:AC976 A978:AC989 A992:AC999 A1001:AC1006 A1008:AC1013 A1015:AC1019 A1021:AC1028 A1030:AC1033 A1036:AC1042 A1044:AC1051 A1053:AC1059 A1061:AC1065 A1067:AC1077 A1079:AC1084 A1086:AC1093 A1095:AC1096 A1098:AC1098 A1100:AC1101 A1103:AC1104 A1106:AC1107 A1109:AC1110 A1112:AC1113 A1115:AC1116 A1119:AC1149 A1151:AC1152 A1154:AC1155 A1157:AC1158 A1160:AC1161 A1163:AC1164 A1166:AC1167 A1169:AC1170 A1172:AC1173 A1175:AC1176 A1178:AC1179 A1181:AC1182 A1184:AC1185 A1187:AC1188 A1190:AC1191 A1193:AC1194 A1197:AC1225 A1228:AC1228 A1231:AC1267">
    <cfRule type="expression" dxfId="128" priority="3">
      <formula>$K45&lt;=0</formula>
    </cfRule>
  </conditionalFormatting>
  <dataValidations count="2">
    <dataValidation type="list" allowBlank="1" showInputMessage="1" showErrorMessage="1" sqref="N1231:N1267 N43 N45:N71 N73:N74 N76:N77 N80:N105 N107 N109:N110 N112:N113 N115:N116 N1228 N187 N189:N190 N192:N193 N195:N196 N198:N199 N201:N202 N119:N185 N280:N323 N325:N326 N328:N329 N332:N349 N353:N358 N360:N381 N383:N422 N424:N436 N438:N439 N441:N442 N444:N445 N447 N449:N450 N452:N453 N205:N277 N482:N483 N485:N486 N488:N489 N491:N492 N456:N480 N514:N515 N517:N518 N520:N521 N523:N524 N526:N527 N529:N530 N532:N533 N535:N536 N538:N539 N541:N542 N544:N545 N547:N548 N550:N551 N553:N554 N556:N557 N559:N560 N562:N563 N565:N566 N568:N569 N572:N607 N609:N610 N612:N613 N615:N616 N618:N619 N621:N622 N624:N625 N627:N628 N630:N631 N633:N634 N636:N637 N639:N640 N642:N643 N645:N646 N648:N649 N651:N652 N654:N655 N657:N658 N660:N661 N663:N664 N667:N682 N684:N685 N687:N688 N690:N691 N693:N694 N696:N697 N699:N700 N702:N703 N705:N706 N708:N709 N711:N712 N714:N715 N717:N718 N721:N729 N731 N733:N734 N736:N737 N739:N740 N742:N743 N773:N774 N776 N778:N779 N781:N782 N784:N785 N787:N788 N790:N791 N793:N794 N796:N797 N799:N800 N802:N803 N805:N806 N808:N809 N811:N812 N814:N815 N817:N818 N820:N821 N823:N824 N826:N827 N829:N830 N832:N833 N836:N864 N866:N867 N870:N900 N902:N903 N905:N906 N908:N909 N911:N912 N914:N915 N918:N934 N936:N937 N939:N940 N942 N944 N946:N947 N949:N950 N952:N953 N955:N956 N958:N959 N964:N976 N978:N989 N992:N999 N1001:N1006 N1008:N1013 N1015:N1019 N1021:N1028 N1030:N1033 N1036:N1042 N1044:N1051 N1053:N1059 N1061:N1065 N1067:N1077 N1079:N1084 N1086:N1093 N1095:N1096 N1098 N1100:N1101 N1103:N1104 N1106:N1107 N1109:N1110 N1112:N1113 N1115:N1116 N1119:N1149 N1151:N1152 N1154:N1155 N1157:N1158 N1160:N1161 N1163:N1164 N1166:N1167 N1169:N1170 N1172:N1173 N1175:N1176 N1178:N1179 N1181:N1182 N1184:N1185 N1187:N1188 N1190:N1191 N1193:N1194 N1197:N1225 N495:N512 N746:N771" xr:uid="{0F32F9F9-68B4-4148-BCF5-4712F80332C9}">
      <formula1>"BDI 1, BDI 2,BDI 3"</formula1>
    </dataValidation>
    <dataValidation allowBlank="1" showInputMessage="1" showErrorMessage="1" prompt="Confirmar_x000a_DMT" sqref="F39:F40" xr:uid="{819597A8-B1FA-460A-A002-B7FA9D828A31}"/>
  </dataValidations>
  <hyperlinks>
    <hyperlink ref="H118" location="Dre_Terraplenagem!A1" display="Dre_Terraplenagem!A1" xr:uid="{1A9DFB6A-3713-465B-A39A-490EB71DD9BF}"/>
    <hyperlink ref="H204" location="Dre_Disp_Estruturais!A1" display="Dre_Disp_Estruturais!A1" xr:uid="{F35FB50F-E962-4C59-AD1C-C1CC45176EE1}"/>
    <hyperlink ref="H331" location="Dre_Disp_Estruturais!A1" display="Dre_Disp_Estruturais!A1" xr:uid="{23DFE3D1-7958-494B-9CA7-6D7C45CA4DFE}"/>
    <hyperlink ref="H571" location="Recap_Previo!A1" display="Recap_Previo!A1" xr:uid="{72376FC3-79B1-4726-9CC1-8B96CAB54AA0}"/>
    <hyperlink ref="H666" location="Recap_Final!A1" display="Recap_Final!A1" xr:uid="{77018E48-BF1A-43F9-9ECF-50130F821356}"/>
    <hyperlink ref="H720" location="Pav_Terraplenagem!A1" display="Pav_Terraplenagem!A1" xr:uid="{E58BB55C-D124-4718-8508-2B855E50A646}"/>
    <hyperlink ref="H745" location="Pav_Estrutura!A1" display="Pav_Estrutura!A1" xr:uid="{35DB5774-6916-4FDC-8597-97C84583AC0F}"/>
    <hyperlink ref="H455" location="Dre_Profunda!A1" display="Dre_Profunda!A1" xr:uid="{EDED139A-9262-4A56-B1D1-6C03F25DA9D8}"/>
    <hyperlink ref="H869" location="Passeio!A1" display="Passeio!A1" xr:uid="{1CDC2272-370D-4D30-84DE-856588B1E940}"/>
    <hyperlink ref="H1196" location="Sinalizacao!A1" display="Sinalizacao!A1" xr:uid="{8C784ACD-7D5D-4993-8FCD-CED5E19E99B5}"/>
    <hyperlink ref="H1118" location="Ciclovia!A1" display="Ciclovia!A1" xr:uid="{EA148AE8-FFFE-4BB3-B3C7-2F2EF8031550}"/>
    <hyperlink ref="H961" location="Ponto_Onibus!A1" display="Ponto_Onibus!A1" xr:uid="{DAAB6752-C1A8-4590-A1A9-7D9A92541B87}"/>
    <hyperlink ref="H79" location="Demolicao!A1" display="Demolicao!A1" xr:uid="{E605D696-FC06-4F23-8DA9-B3222014A285}"/>
    <hyperlink ref="H835" location="Pav_Estrutura!A1" display="Pav_Estrutura!A1" xr:uid="{12838824-8878-4FE9-A154-4E2A074FCA72}"/>
    <hyperlink ref="H494" location="Dre_Fecha_Vala!A1" display="Dre_Fecha_Vala!A1" xr:uid="{7AEE436F-2529-4913-8C5B-0559DA511D8C}"/>
    <hyperlink ref="AI1157" location="'CPU Adm Local'!A1" display="'CPU Adm Local'!A1" xr:uid="{924D3347-89CC-49B3-A313-5374F30B4844}"/>
    <hyperlink ref="H42" location="S_Preliminares!A1" display="S_Preliminares!A1" xr:uid="{91B1DBF2-7410-4393-ACBA-FAFCB9D58435}"/>
    <hyperlink ref="H351" location="Bacia_Amortecimento!A1" display="Bacia_Amortecimento!A1" xr:uid="{D485B8AD-F288-416E-BD41-73649F61E458}"/>
    <hyperlink ref="H279" location="Dre_Disp_Estruturais!A1" display="Dre_Disp_Estruturais!A1" xr:uid="{094CA955-F7C7-49E5-98C0-3BF6233EA9FD}"/>
    <hyperlink ref="H917" location="Passeio!A1" display="Passeio!A1" xr:uid="{E4261502-9542-4681-B56C-67C446DF1B72}"/>
    <hyperlink ref="AJ270" r:id="rId1" xr:uid="{4D48ED81-2D26-4596-89D2-7FCED24C950C}"/>
    <hyperlink ref="AI1158" location="'CPU Adm Local'!A1" display="'CPU Adm Local'!A1" xr:uid="{F201C228-91C4-4CB3-93B1-1D3447D5CCC3}"/>
    <hyperlink ref="I118" location="Dre_Terraplenagem!A1" display="Dre_Terraplenagem!A1" xr:uid="{07EEE003-4342-41D1-86AD-86557F4871DD}"/>
    <hyperlink ref="I204" location="Dre_Disp_Estruturais!A1" display="Dre_Disp_Estruturais!A1" xr:uid="{4DC9A705-3D86-49EE-9EA3-7F8E85D6911C}"/>
    <hyperlink ref="I331" location="Dre_Disp_Estruturais!A1" display="Dre_Disp_Estruturais!A1" xr:uid="{BE8A10C3-174E-44B0-87D1-A328A6527CB5}"/>
    <hyperlink ref="I571" location="Recap_Previo!A1" display="Recap_Previo!A1" xr:uid="{8A26738F-10CA-4ADC-A7BB-A7CFE8CC9DDE}"/>
    <hyperlink ref="I666" location="Recap_Final!A1" display="Recap_Final!A1" xr:uid="{FDC9AC45-24AA-4BB0-874B-5D5DE17F14BE}"/>
    <hyperlink ref="I720" location="Pav_Terraplenagem!A1" display="Pav_Terraplenagem!A1" xr:uid="{9B4D4353-965B-45FA-A91F-6ACAED3D69FC}"/>
    <hyperlink ref="I745" location="Pav_Estrutura!A1" display="Pav_Estrutura!A1" xr:uid="{C3E4ADA0-9624-477D-AFFC-60F5CF6CA73F}"/>
    <hyperlink ref="I455" location="Dre_Profunda!A1" display="Dre_Profunda!A1" xr:uid="{2289D389-3A84-4CEA-981F-A4971732CE34}"/>
    <hyperlink ref="I869" location="Passeio!A1" display="Passeio!A1" xr:uid="{A07FFA9F-633B-4973-9067-00EDF703E1DC}"/>
    <hyperlink ref="I1196" location="Sinalizacao!A1" display="Sinalizacao!A1" xr:uid="{1D3E5739-E0CF-445B-86D8-7ACD27CBAFCF}"/>
    <hyperlink ref="I1118" location="Ciclovia!A1" display="Ciclovia!A1" xr:uid="{97C92648-ECC2-499E-BC49-7DA1A324296C}"/>
    <hyperlink ref="I961" location="Ponto_Onibus!A1" display="Ponto_Onibus!A1" xr:uid="{90141BD5-C9D0-4FF4-B66A-C10F510BA146}"/>
    <hyperlink ref="I79" location="Demolicao!A1" display="Demolicao!A1" xr:uid="{E21F7310-28C7-4387-A860-ACE84BFB3C66}"/>
    <hyperlink ref="I835" location="Pav_Estrutura!A1" display="Pav_Estrutura!A1" xr:uid="{9213B2B0-E85D-4ECE-B6AC-8F13F5DC6454}"/>
    <hyperlink ref="I494" location="Dre_Fecha_Vala!A1" display="Dre_Fecha_Vala!A1" xr:uid="{7639FC5E-5934-4210-B3A7-70A7E0A0BD2A}"/>
    <hyperlink ref="I42" location="S_Preliminares!A1" display="S_Preliminares!A1" xr:uid="{4EB69802-F3C1-4226-854C-E26C8444BD58}"/>
    <hyperlink ref="I351" location="Bacia_Amortecimento!A1" display="Bacia_Amortecimento!A1" xr:uid="{A413717F-ACE6-43EB-A357-46423AFBBAE5}"/>
    <hyperlink ref="I279" location="Dre_Disp_Estruturais!A1" display="Dre_Disp_Estruturais!A1" xr:uid="{20D3E123-24B6-47AF-92A1-83C870F39CF2}"/>
    <hyperlink ref="I917" location="Passeio!A1" display="Passeio!A1" xr:uid="{0F5E5F0C-BE4A-42FD-AB97-B6579CBC328A}"/>
  </hyperlinks>
  <printOptions horizontalCentered="1"/>
  <pageMargins left="0.39370078740157477" right="0.59055118110236215" top="0.39370078740157477" bottom="0.59055118110236227" header="0.31496062992125984" footer="0.23622047244094491"/>
  <pageSetup paperSize="9" scale="57" fitToHeight="0" orientation="landscape" r:id="rId2"/>
  <headerFooter>
    <oddFooter>&amp;C&amp;8Página &amp;P/&amp;N</oddFooter>
  </headerFooter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6B2CB-7AC7-4E11-9453-C42ECC4DA01C}">
  <sheetPr codeName="Planilha24">
    <pageSetUpPr fitToPage="1"/>
  </sheetPr>
  <dimension ref="A1:BZ163"/>
  <sheetViews>
    <sheetView showZeros="0" zoomScaleNormal="100" workbookViewId="0">
      <selection sqref="A1:A159"/>
    </sheetView>
  </sheetViews>
  <sheetFormatPr defaultColWidth="9" defaultRowHeight="21.75"/>
  <cols>
    <col min="1" max="1" width="9.75" style="746" customWidth="1"/>
    <col min="2" max="2" width="14.25" style="786" customWidth="1"/>
    <col min="3" max="3" width="35.625" style="786" customWidth="1"/>
    <col min="4" max="71" width="12.625" style="746" customWidth="1"/>
    <col min="72" max="72" width="17" style="826" bestFit="1" customWidth="1"/>
    <col min="73" max="75" width="7.875" style="746" customWidth="1"/>
    <col min="76" max="77" width="10.75" style="746" customWidth="1"/>
    <col min="78" max="78" width="15.625" style="746" customWidth="1"/>
    <col min="79" max="16384" width="9" style="746"/>
  </cols>
  <sheetData>
    <row r="1" spans="1:75" s="739" customFormat="1" ht="60" customHeight="1" thickTop="1" thickBot="1">
      <c r="A1" s="2616" t="s">
        <v>1521</v>
      </c>
      <c r="B1" s="2617" t="s">
        <v>1522</v>
      </c>
      <c r="C1" s="2618"/>
      <c r="D1" s="797" cm="1">
        <f t="array" ref="D1:BC1">TRANSPOSE(_xlfn._xlws.FILTER(Dren_Dim!$A$11:$A$210,(Dren_Dim!$B$11:$B$210="X")*(Dren_Dim!$A$11:$A$210&lt;&gt;"")))</f>
        <v>1</v>
      </c>
      <c r="E1" s="797">
        <v>2</v>
      </c>
      <c r="F1" s="797">
        <v>3</v>
      </c>
      <c r="G1" s="797">
        <v>4</v>
      </c>
      <c r="H1" s="797">
        <v>5</v>
      </c>
      <c r="I1" s="797">
        <v>6</v>
      </c>
      <c r="J1" s="797">
        <v>7</v>
      </c>
      <c r="K1" s="797">
        <v>8</v>
      </c>
      <c r="L1" s="797">
        <v>9</v>
      </c>
      <c r="M1" s="797">
        <v>10</v>
      </c>
      <c r="N1" s="797">
        <v>11</v>
      </c>
      <c r="O1" s="797">
        <v>12</v>
      </c>
      <c r="P1" s="797">
        <v>13</v>
      </c>
      <c r="Q1" s="797">
        <v>14</v>
      </c>
      <c r="R1" s="797">
        <v>15</v>
      </c>
      <c r="S1" s="797">
        <v>16</v>
      </c>
      <c r="T1" s="797">
        <v>17</v>
      </c>
      <c r="U1" s="797">
        <v>18</v>
      </c>
      <c r="V1" s="797">
        <v>19</v>
      </c>
      <c r="W1" s="797">
        <v>20</v>
      </c>
      <c r="X1" s="797">
        <v>21</v>
      </c>
      <c r="Y1" s="797">
        <v>22</v>
      </c>
      <c r="Z1" s="797">
        <v>23</v>
      </c>
      <c r="AA1" s="797">
        <v>24</v>
      </c>
      <c r="AB1" s="797">
        <v>25</v>
      </c>
      <c r="AC1" s="797">
        <v>26</v>
      </c>
      <c r="AD1" s="797">
        <v>27</v>
      </c>
      <c r="AE1" s="797">
        <v>28</v>
      </c>
      <c r="AF1" s="797">
        <v>29</v>
      </c>
      <c r="AG1" s="797">
        <v>30</v>
      </c>
      <c r="AH1" s="797">
        <v>31</v>
      </c>
      <c r="AI1" s="797">
        <v>32</v>
      </c>
      <c r="AJ1" s="797">
        <v>33</v>
      </c>
      <c r="AK1" s="797">
        <v>34</v>
      </c>
      <c r="AL1" s="797">
        <v>35</v>
      </c>
      <c r="AM1" s="797">
        <v>36</v>
      </c>
      <c r="AN1" s="797">
        <v>37</v>
      </c>
      <c r="AO1" s="797">
        <v>38</v>
      </c>
      <c r="AP1" s="797">
        <v>39</v>
      </c>
      <c r="AQ1" s="797">
        <v>40</v>
      </c>
      <c r="AR1" s="797">
        <v>41</v>
      </c>
      <c r="AS1" s="797">
        <v>42</v>
      </c>
      <c r="AT1" s="797">
        <v>43</v>
      </c>
      <c r="AU1" s="797">
        <v>44</v>
      </c>
      <c r="AV1" s="797">
        <v>45</v>
      </c>
      <c r="AW1" s="797">
        <v>46</v>
      </c>
      <c r="AX1" s="797">
        <v>47</v>
      </c>
      <c r="AY1" s="797">
        <v>48</v>
      </c>
      <c r="AZ1" s="797">
        <v>49</v>
      </c>
      <c r="BA1" s="797">
        <v>50</v>
      </c>
      <c r="BB1" s="797">
        <v>51</v>
      </c>
      <c r="BC1" s="797">
        <v>52</v>
      </c>
      <c r="BD1" s="797" t="s">
        <v>1523</v>
      </c>
      <c r="BE1" s="797" t="s">
        <v>1524</v>
      </c>
      <c r="BF1" s="797" t="s">
        <v>1525</v>
      </c>
      <c r="BG1" s="797" t="s">
        <v>1526</v>
      </c>
      <c r="BH1" s="797" t="s">
        <v>1527</v>
      </c>
      <c r="BI1" s="797" t="s">
        <v>1528</v>
      </c>
      <c r="BJ1" s="797" t="s">
        <v>1529</v>
      </c>
      <c r="BK1" s="797" t="s">
        <v>1530</v>
      </c>
      <c r="BL1" s="797" t="s">
        <v>1531</v>
      </c>
      <c r="BM1" s="797" t="s">
        <v>1532</v>
      </c>
      <c r="BN1" s="797" t="s">
        <v>1533</v>
      </c>
      <c r="BO1" s="797" t="s">
        <v>1534</v>
      </c>
      <c r="BP1" s="797" t="s">
        <v>1535</v>
      </c>
      <c r="BQ1" s="798" t="s">
        <v>1536</v>
      </c>
      <c r="BR1" s="798" t="s">
        <v>1536</v>
      </c>
      <c r="BS1" s="798" t="s">
        <v>1536</v>
      </c>
      <c r="BT1" s="799"/>
      <c r="BU1" s="800"/>
      <c r="BV1" s="801"/>
      <c r="BW1" s="801"/>
    </row>
    <row r="2" spans="1:75" s="739" customFormat="1" ht="21.95" customHeight="1" thickTop="1">
      <c r="A2" s="2616"/>
      <c r="B2" s="2619" t="s">
        <v>1537</v>
      </c>
      <c r="C2" s="2620"/>
      <c r="D2" s="802" cm="1">
        <f t="array" ref="D2:BC2">TRANSPOSE(_xlfn._xlws.FILTER(Dren_Dim!$O$11:$O$210,(Dren_Dim!$B$11:$B$210="X")*(Dren_Dim!$A$11:$A$210&lt;&gt;"")))</f>
        <v>30</v>
      </c>
      <c r="E2" s="802">
        <v>50</v>
      </c>
      <c r="F2" s="802">
        <v>25</v>
      </c>
      <c r="G2" s="802">
        <v>45</v>
      </c>
      <c r="H2" s="802">
        <v>35</v>
      </c>
      <c r="I2" s="802">
        <v>72</v>
      </c>
      <c r="J2" s="802">
        <v>50</v>
      </c>
      <c r="K2" s="802">
        <v>50</v>
      </c>
      <c r="L2" s="802">
        <v>40</v>
      </c>
      <c r="M2" s="802">
        <v>25</v>
      </c>
      <c r="N2" s="802">
        <v>45</v>
      </c>
      <c r="O2" s="802">
        <v>45</v>
      </c>
      <c r="P2" s="802">
        <v>45</v>
      </c>
      <c r="Q2" s="802">
        <v>50</v>
      </c>
      <c r="R2" s="802">
        <v>55</v>
      </c>
      <c r="S2" s="802">
        <v>40</v>
      </c>
      <c r="T2" s="802">
        <v>15</v>
      </c>
      <c r="U2" s="802">
        <v>25</v>
      </c>
      <c r="V2" s="802">
        <v>60</v>
      </c>
      <c r="W2" s="802">
        <v>65</v>
      </c>
      <c r="X2" s="802">
        <v>55</v>
      </c>
      <c r="Y2" s="802">
        <v>55</v>
      </c>
      <c r="Z2" s="802">
        <v>55</v>
      </c>
      <c r="AA2" s="802">
        <v>30</v>
      </c>
      <c r="AB2" s="802">
        <v>80</v>
      </c>
      <c r="AC2" s="802">
        <v>80</v>
      </c>
      <c r="AD2" s="802">
        <v>80</v>
      </c>
      <c r="AE2" s="802">
        <v>85</v>
      </c>
      <c r="AF2" s="802">
        <v>43</v>
      </c>
      <c r="AG2" s="802">
        <v>80</v>
      </c>
      <c r="AH2" s="802">
        <v>15</v>
      </c>
      <c r="AI2" s="802">
        <v>25</v>
      </c>
      <c r="AJ2" s="802">
        <v>20</v>
      </c>
      <c r="AK2" s="802">
        <v>61</v>
      </c>
      <c r="AL2" s="802">
        <v>31</v>
      </c>
      <c r="AM2" s="802">
        <v>22</v>
      </c>
      <c r="AN2" s="802">
        <v>80</v>
      </c>
      <c r="AO2" s="802">
        <v>80</v>
      </c>
      <c r="AP2" s="802">
        <v>80</v>
      </c>
      <c r="AQ2" s="802">
        <v>80</v>
      </c>
      <c r="AR2" s="802">
        <v>70</v>
      </c>
      <c r="AS2" s="802">
        <v>70</v>
      </c>
      <c r="AT2" s="802">
        <v>70</v>
      </c>
      <c r="AU2" s="802">
        <v>70</v>
      </c>
      <c r="AV2" s="802">
        <v>70</v>
      </c>
      <c r="AW2" s="802">
        <v>70</v>
      </c>
      <c r="AX2" s="802">
        <v>70</v>
      </c>
      <c r="AY2" s="802">
        <v>70</v>
      </c>
      <c r="AZ2" s="802">
        <v>70</v>
      </c>
      <c r="BA2" s="802">
        <v>70</v>
      </c>
      <c r="BB2" s="802">
        <v>55</v>
      </c>
      <c r="BC2" s="802">
        <v>37</v>
      </c>
      <c r="BD2" s="803"/>
      <c r="BE2" s="804"/>
      <c r="BF2" s="804"/>
      <c r="BG2" s="804"/>
      <c r="BH2" s="804"/>
      <c r="BI2" s="804"/>
      <c r="BJ2" s="804"/>
      <c r="BK2" s="804"/>
      <c r="BL2" s="804"/>
      <c r="BM2" s="804"/>
      <c r="BN2" s="804"/>
      <c r="BO2" s="804"/>
      <c r="BP2" s="804"/>
      <c r="BQ2" s="804"/>
      <c r="BR2" s="804"/>
      <c r="BS2" s="804"/>
      <c r="BT2" s="799"/>
      <c r="BU2" s="805"/>
      <c r="BV2" s="805"/>
      <c r="BW2" s="805"/>
    </row>
    <row r="3" spans="1:75" ht="21.95" customHeight="1">
      <c r="A3" s="2616"/>
      <c r="B3" s="2619" t="s">
        <v>1538</v>
      </c>
      <c r="C3" s="2620"/>
      <c r="D3" s="806" cm="1">
        <f t="array" ref="D3:BC3">TRANSPOSE(_xlfn._xlws.FILTER(Dren_Dim!$P$11:$P$210,(Dren_Dim!$B$11:$B$210="X")*(Dren_Dim!$A$11:$A$210&lt;&gt;"")))</f>
        <v>0</v>
      </c>
      <c r="E3" s="806">
        <v>0</v>
      </c>
      <c r="F3" s="806">
        <v>0</v>
      </c>
      <c r="G3" s="806">
        <v>0</v>
      </c>
      <c r="H3" s="806">
        <v>0</v>
      </c>
      <c r="I3" s="806">
        <v>0</v>
      </c>
      <c r="J3" s="806">
        <v>0</v>
      </c>
      <c r="K3" s="806">
        <v>0</v>
      </c>
      <c r="L3" s="806">
        <v>0</v>
      </c>
      <c r="M3" s="806">
        <v>0</v>
      </c>
      <c r="N3" s="806">
        <v>0</v>
      </c>
      <c r="O3" s="806">
        <v>0</v>
      </c>
      <c r="P3" s="806">
        <v>0</v>
      </c>
      <c r="Q3" s="806">
        <v>0</v>
      </c>
      <c r="R3" s="806">
        <v>0</v>
      </c>
      <c r="S3" s="806">
        <v>0</v>
      </c>
      <c r="T3" s="806">
        <v>0</v>
      </c>
      <c r="U3" s="806">
        <v>0</v>
      </c>
      <c r="V3" s="806">
        <v>0</v>
      </c>
      <c r="W3" s="806">
        <v>0</v>
      </c>
      <c r="X3" s="806">
        <v>0</v>
      </c>
      <c r="Y3" s="806">
        <v>0</v>
      </c>
      <c r="Z3" s="806">
        <v>0</v>
      </c>
      <c r="AA3" s="806">
        <v>0</v>
      </c>
      <c r="AB3" s="806">
        <v>0</v>
      </c>
      <c r="AC3" s="806">
        <v>0</v>
      </c>
      <c r="AD3" s="806">
        <v>0</v>
      </c>
      <c r="AE3" s="806">
        <v>0</v>
      </c>
      <c r="AF3" s="806">
        <v>0</v>
      </c>
      <c r="AG3" s="806">
        <v>0</v>
      </c>
      <c r="AH3" s="806">
        <v>0</v>
      </c>
      <c r="AI3" s="806">
        <v>0</v>
      </c>
      <c r="AJ3" s="806">
        <v>0</v>
      </c>
      <c r="AK3" s="806">
        <v>0</v>
      </c>
      <c r="AL3" s="806">
        <v>0</v>
      </c>
      <c r="AM3" s="806">
        <v>0</v>
      </c>
      <c r="AN3" s="806">
        <v>0</v>
      </c>
      <c r="AO3" s="806">
        <v>0</v>
      </c>
      <c r="AP3" s="806">
        <v>0</v>
      </c>
      <c r="AQ3" s="806">
        <v>0</v>
      </c>
      <c r="AR3" s="806">
        <v>0</v>
      </c>
      <c r="AS3" s="806">
        <v>0</v>
      </c>
      <c r="AT3" s="806">
        <v>0</v>
      </c>
      <c r="AU3" s="806">
        <v>0</v>
      </c>
      <c r="AV3" s="806">
        <v>0</v>
      </c>
      <c r="AW3" s="806">
        <v>0</v>
      </c>
      <c r="AX3" s="806">
        <v>0</v>
      </c>
      <c r="AY3" s="806">
        <v>0</v>
      </c>
      <c r="AZ3" s="806">
        <v>0</v>
      </c>
      <c r="BA3" s="806">
        <v>0</v>
      </c>
      <c r="BB3" s="806">
        <v>0</v>
      </c>
      <c r="BC3" s="806">
        <v>0</v>
      </c>
      <c r="BD3" s="806"/>
      <c r="BE3" s="806">
        <f>SUM(BE144:BE155)</f>
        <v>0</v>
      </c>
      <c r="BF3" s="806">
        <f t="shared" ref="BF3:BN4" si="0">SUM(BF144:BF155)</f>
        <v>0</v>
      </c>
      <c r="BG3" s="806">
        <f t="shared" si="0"/>
        <v>0</v>
      </c>
      <c r="BH3" s="806">
        <f t="shared" si="0"/>
        <v>0</v>
      </c>
      <c r="BI3" s="806">
        <f t="shared" si="0"/>
        <v>0</v>
      </c>
      <c r="BJ3" s="806">
        <f t="shared" si="0"/>
        <v>0</v>
      </c>
      <c r="BK3" s="806">
        <f t="shared" si="0"/>
        <v>0</v>
      </c>
      <c r="BL3" s="806">
        <f t="shared" si="0"/>
        <v>0</v>
      </c>
      <c r="BM3" s="806">
        <f t="shared" si="0"/>
        <v>0</v>
      </c>
      <c r="BN3" s="806">
        <f t="shared" si="0"/>
        <v>0</v>
      </c>
      <c r="BO3" s="806">
        <f>SUM(BO144:BO155)</f>
        <v>0</v>
      </c>
      <c r="BP3" s="806">
        <f>SUM(BP144:BP155)</f>
        <v>0</v>
      </c>
      <c r="BQ3" s="806">
        <f t="shared" ref="BQ3:BS4" si="1">BQ113</f>
        <v>0</v>
      </c>
      <c r="BR3" s="806">
        <f t="shared" si="1"/>
        <v>0</v>
      </c>
      <c r="BS3" s="806">
        <f t="shared" si="1"/>
        <v>0</v>
      </c>
      <c r="BT3" s="807">
        <f>SUMPRODUCT(D3:BP3,D4:BP4)</f>
        <v>0</v>
      </c>
      <c r="BU3" s="805"/>
      <c r="BV3" s="805"/>
      <c r="BW3" s="805"/>
    </row>
    <row r="4" spans="1:75" ht="21.95" customHeight="1">
      <c r="A4" s="2616"/>
      <c r="B4" s="2605" t="s">
        <v>1539</v>
      </c>
      <c r="C4" s="2606"/>
      <c r="D4" s="806">
        <f>IF(D3&gt;0,D3,D2)</f>
        <v>30</v>
      </c>
      <c r="E4" s="806">
        <f t="shared" ref="E4:BC4" si="2">IF(E3&gt;0,E3,E2)</f>
        <v>50</v>
      </c>
      <c r="F4" s="806">
        <f t="shared" si="2"/>
        <v>25</v>
      </c>
      <c r="G4" s="806">
        <f t="shared" si="2"/>
        <v>45</v>
      </c>
      <c r="H4" s="806">
        <f t="shared" si="2"/>
        <v>35</v>
      </c>
      <c r="I4" s="806">
        <f t="shared" si="2"/>
        <v>72</v>
      </c>
      <c r="J4" s="806">
        <f t="shared" si="2"/>
        <v>50</v>
      </c>
      <c r="K4" s="806">
        <f t="shared" si="2"/>
        <v>50</v>
      </c>
      <c r="L4" s="806">
        <f t="shared" si="2"/>
        <v>40</v>
      </c>
      <c r="M4" s="806">
        <f t="shared" si="2"/>
        <v>25</v>
      </c>
      <c r="N4" s="806">
        <f t="shared" si="2"/>
        <v>45</v>
      </c>
      <c r="O4" s="806">
        <f t="shared" si="2"/>
        <v>45</v>
      </c>
      <c r="P4" s="806">
        <f t="shared" si="2"/>
        <v>45</v>
      </c>
      <c r="Q4" s="806">
        <f t="shared" si="2"/>
        <v>50</v>
      </c>
      <c r="R4" s="806">
        <f t="shared" si="2"/>
        <v>55</v>
      </c>
      <c r="S4" s="806">
        <f t="shared" si="2"/>
        <v>40</v>
      </c>
      <c r="T4" s="806">
        <f t="shared" si="2"/>
        <v>15</v>
      </c>
      <c r="U4" s="806">
        <f t="shared" si="2"/>
        <v>25</v>
      </c>
      <c r="V4" s="806">
        <f t="shared" si="2"/>
        <v>60</v>
      </c>
      <c r="W4" s="806">
        <f t="shared" si="2"/>
        <v>65</v>
      </c>
      <c r="X4" s="806">
        <f t="shared" si="2"/>
        <v>55</v>
      </c>
      <c r="Y4" s="806">
        <f t="shared" si="2"/>
        <v>55</v>
      </c>
      <c r="Z4" s="806">
        <f t="shared" si="2"/>
        <v>55</v>
      </c>
      <c r="AA4" s="806">
        <f t="shared" si="2"/>
        <v>30</v>
      </c>
      <c r="AB4" s="806">
        <f t="shared" si="2"/>
        <v>80</v>
      </c>
      <c r="AC4" s="806">
        <f t="shared" si="2"/>
        <v>80</v>
      </c>
      <c r="AD4" s="806">
        <f t="shared" si="2"/>
        <v>80</v>
      </c>
      <c r="AE4" s="806">
        <f t="shared" si="2"/>
        <v>85</v>
      </c>
      <c r="AF4" s="806">
        <f t="shared" si="2"/>
        <v>43</v>
      </c>
      <c r="AG4" s="806">
        <f t="shared" si="2"/>
        <v>80</v>
      </c>
      <c r="AH4" s="806">
        <f t="shared" si="2"/>
        <v>15</v>
      </c>
      <c r="AI4" s="806">
        <f t="shared" si="2"/>
        <v>25</v>
      </c>
      <c r="AJ4" s="806">
        <f t="shared" si="2"/>
        <v>20</v>
      </c>
      <c r="AK4" s="806">
        <f t="shared" si="2"/>
        <v>61</v>
      </c>
      <c r="AL4" s="806">
        <f t="shared" si="2"/>
        <v>31</v>
      </c>
      <c r="AM4" s="806">
        <f t="shared" si="2"/>
        <v>22</v>
      </c>
      <c r="AN4" s="806">
        <f t="shared" si="2"/>
        <v>80</v>
      </c>
      <c r="AO4" s="806">
        <f t="shared" si="2"/>
        <v>80</v>
      </c>
      <c r="AP4" s="806">
        <f t="shared" si="2"/>
        <v>80</v>
      </c>
      <c r="AQ4" s="806">
        <f t="shared" si="2"/>
        <v>80</v>
      </c>
      <c r="AR4" s="806">
        <f t="shared" si="2"/>
        <v>70</v>
      </c>
      <c r="AS4" s="806">
        <f t="shared" si="2"/>
        <v>70</v>
      </c>
      <c r="AT4" s="806">
        <f t="shared" si="2"/>
        <v>70</v>
      </c>
      <c r="AU4" s="806">
        <f t="shared" si="2"/>
        <v>70</v>
      </c>
      <c r="AV4" s="806">
        <f t="shared" si="2"/>
        <v>70</v>
      </c>
      <c r="AW4" s="806">
        <f t="shared" si="2"/>
        <v>70</v>
      </c>
      <c r="AX4" s="806">
        <f t="shared" si="2"/>
        <v>70</v>
      </c>
      <c r="AY4" s="806">
        <f t="shared" si="2"/>
        <v>70</v>
      </c>
      <c r="AZ4" s="806">
        <f t="shared" si="2"/>
        <v>70</v>
      </c>
      <c r="BA4" s="806">
        <f t="shared" si="2"/>
        <v>70</v>
      </c>
      <c r="BB4" s="806">
        <f t="shared" si="2"/>
        <v>55</v>
      </c>
      <c r="BC4" s="806">
        <f t="shared" si="2"/>
        <v>37</v>
      </c>
      <c r="BD4" s="806"/>
      <c r="BE4" s="806">
        <f>SUM(BE145:BE156)</f>
        <v>0</v>
      </c>
      <c r="BF4" s="806">
        <f t="shared" si="0"/>
        <v>0</v>
      </c>
      <c r="BG4" s="806">
        <f t="shared" si="0"/>
        <v>0</v>
      </c>
      <c r="BH4" s="806">
        <f t="shared" si="0"/>
        <v>0</v>
      </c>
      <c r="BI4" s="806">
        <f t="shared" si="0"/>
        <v>0</v>
      </c>
      <c r="BJ4" s="806">
        <f t="shared" si="0"/>
        <v>0</v>
      </c>
      <c r="BK4" s="806">
        <f t="shared" si="0"/>
        <v>0</v>
      </c>
      <c r="BL4" s="806">
        <f t="shared" si="0"/>
        <v>0</v>
      </c>
      <c r="BM4" s="806">
        <f t="shared" si="0"/>
        <v>0</v>
      </c>
      <c r="BN4" s="806">
        <f t="shared" si="0"/>
        <v>0</v>
      </c>
      <c r="BO4" s="806">
        <f>SUM(BO145:BO156)</f>
        <v>0</v>
      </c>
      <c r="BP4" s="806">
        <f>SUM(BP145:BP156)</f>
        <v>0</v>
      </c>
      <c r="BQ4" s="806">
        <f t="shared" si="1"/>
        <v>0</v>
      </c>
      <c r="BR4" s="806">
        <f t="shared" si="1"/>
        <v>0</v>
      </c>
      <c r="BS4" s="806">
        <f t="shared" si="1"/>
        <v>0</v>
      </c>
      <c r="BT4" s="807">
        <f>SUMPRODUCT(D4:BP4,D5:BP5)</f>
        <v>2836</v>
      </c>
      <c r="BU4" s="805"/>
      <c r="BV4" s="805"/>
      <c r="BW4" s="805"/>
    </row>
    <row r="5" spans="1:75" s="813" customFormat="1" ht="21.95" customHeight="1">
      <c r="A5" s="2616"/>
      <c r="B5" s="2605" t="s">
        <v>1540</v>
      </c>
      <c r="C5" s="808" t="s">
        <v>1541</v>
      </c>
      <c r="D5" s="809" cm="1">
        <f t="array" ref="D5:BC5">TRANSPOSE(_xlfn._xlws.FILTER(Dren_Dim!$AF$11:$AF$210,(Dren_Dim!$B$11:$B$210="X")*(Dren_Dim!$A$11:$A$210&lt;&gt;"")))</f>
        <v>1</v>
      </c>
      <c r="E5" s="809">
        <v>1</v>
      </c>
      <c r="F5" s="809">
        <v>1</v>
      </c>
      <c r="G5" s="809">
        <v>1</v>
      </c>
      <c r="H5" s="809">
        <v>1</v>
      </c>
      <c r="I5" s="809">
        <v>1</v>
      </c>
      <c r="J5" s="809">
        <v>1</v>
      </c>
      <c r="K5" s="809">
        <v>1</v>
      </c>
      <c r="L5" s="809">
        <v>1</v>
      </c>
      <c r="M5" s="809">
        <v>1</v>
      </c>
      <c r="N5" s="809">
        <v>1</v>
      </c>
      <c r="O5" s="809">
        <v>1</v>
      </c>
      <c r="P5" s="809">
        <v>1</v>
      </c>
      <c r="Q5" s="809">
        <v>1</v>
      </c>
      <c r="R5" s="809">
        <v>1</v>
      </c>
      <c r="S5" s="809">
        <v>1</v>
      </c>
      <c r="T5" s="809">
        <v>1</v>
      </c>
      <c r="U5" s="809">
        <v>1</v>
      </c>
      <c r="V5" s="809">
        <v>1</v>
      </c>
      <c r="W5" s="809">
        <v>1</v>
      </c>
      <c r="X5" s="809">
        <v>1</v>
      </c>
      <c r="Y5" s="809">
        <v>1</v>
      </c>
      <c r="Z5" s="809">
        <v>1</v>
      </c>
      <c r="AA5" s="809">
        <v>1</v>
      </c>
      <c r="AB5" s="809">
        <v>1</v>
      </c>
      <c r="AC5" s="809">
        <v>1</v>
      </c>
      <c r="AD5" s="809">
        <v>1</v>
      </c>
      <c r="AE5" s="809">
        <v>1</v>
      </c>
      <c r="AF5" s="809">
        <v>1</v>
      </c>
      <c r="AG5" s="809">
        <v>1</v>
      </c>
      <c r="AH5" s="809">
        <v>2</v>
      </c>
      <c r="AI5" s="809">
        <v>2</v>
      </c>
      <c r="AJ5" s="809">
        <v>1</v>
      </c>
      <c r="AK5" s="809">
        <v>1</v>
      </c>
      <c r="AL5" s="809">
        <v>1</v>
      </c>
      <c r="AM5" s="809">
        <v>1</v>
      </c>
      <c r="AN5" s="809">
        <v>1</v>
      </c>
      <c r="AO5" s="809">
        <v>1</v>
      </c>
      <c r="AP5" s="809">
        <v>1</v>
      </c>
      <c r="AQ5" s="809">
        <v>1</v>
      </c>
      <c r="AR5" s="809">
        <v>1</v>
      </c>
      <c r="AS5" s="809">
        <v>1</v>
      </c>
      <c r="AT5" s="809">
        <v>1</v>
      </c>
      <c r="AU5" s="809">
        <v>1</v>
      </c>
      <c r="AV5" s="809">
        <v>1</v>
      </c>
      <c r="AW5" s="809">
        <v>1</v>
      </c>
      <c r="AX5" s="809">
        <v>1</v>
      </c>
      <c r="AY5" s="809">
        <v>1</v>
      </c>
      <c r="AZ5" s="809">
        <v>1</v>
      </c>
      <c r="BA5" s="809">
        <v>1</v>
      </c>
      <c r="BB5" s="809">
        <v>1</v>
      </c>
      <c r="BC5" s="809">
        <v>1</v>
      </c>
      <c r="BD5" s="809"/>
      <c r="BE5" s="809">
        <v>1</v>
      </c>
      <c r="BF5" s="809">
        <v>1</v>
      </c>
      <c r="BG5" s="809">
        <v>1</v>
      </c>
      <c r="BH5" s="809">
        <v>1</v>
      </c>
      <c r="BI5" s="809">
        <v>1</v>
      </c>
      <c r="BJ5" s="809">
        <v>1</v>
      </c>
      <c r="BK5" s="809">
        <v>1</v>
      </c>
      <c r="BL5" s="809">
        <v>1</v>
      </c>
      <c r="BM5" s="809">
        <v>1</v>
      </c>
      <c r="BN5" s="809">
        <v>1</v>
      </c>
      <c r="BO5" s="809">
        <v>1</v>
      </c>
      <c r="BP5" s="809">
        <v>1</v>
      </c>
      <c r="BQ5" s="810"/>
      <c r="BR5" s="810"/>
      <c r="BS5" s="810"/>
      <c r="BT5" s="799"/>
      <c r="BU5" s="811"/>
      <c r="BV5" s="812"/>
      <c r="BW5" s="812"/>
    </row>
    <row r="6" spans="1:75" s="818" customFormat="1" ht="21.95" customHeight="1">
      <c r="A6" s="2616"/>
      <c r="B6" s="2605"/>
      <c r="C6" s="814" t="s">
        <v>1542</v>
      </c>
      <c r="D6" s="815" cm="1">
        <f t="array" ref="D6:BC6">TRANSPOSE(_xlfn._xlws.FILTER(Dren_Dim!$AG$11:$AG$210,(Dren_Dim!$B$11:$B$210="X")*(Dren_Dim!$A$11:$A$210&lt;&gt;"")))</f>
        <v>0.6</v>
      </c>
      <c r="E6" s="815">
        <v>0.6</v>
      </c>
      <c r="F6" s="815">
        <v>0.6</v>
      </c>
      <c r="G6" s="815">
        <v>0.6</v>
      </c>
      <c r="H6" s="815">
        <v>0.6</v>
      </c>
      <c r="I6" s="815">
        <v>0.6</v>
      </c>
      <c r="J6" s="815">
        <v>0.6</v>
      </c>
      <c r="K6" s="815">
        <v>0.6</v>
      </c>
      <c r="L6" s="815">
        <v>0.6</v>
      </c>
      <c r="M6" s="815">
        <v>0.6</v>
      </c>
      <c r="N6" s="815">
        <v>0.6</v>
      </c>
      <c r="O6" s="815">
        <v>0.6</v>
      </c>
      <c r="P6" s="815">
        <v>0.8</v>
      </c>
      <c r="Q6" s="815">
        <v>0.6</v>
      </c>
      <c r="R6" s="815">
        <v>0.8</v>
      </c>
      <c r="S6" s="815">
        <v>1</v>
      </c>
      <c r="T6" s="815">
        <v>0.6</v>
      </c>
      <c r="U6" s="815">
        <v>1</v>
      </c>
      <c r="V6" s="815">
        <v>1</v>
      </c>
      <c r="W6" s="815">
        <v>1</v>
      </c>
      <c r="X6" s="815">
        <v>0.6</v>
      </c>
      <c r="Y6" s="815">
        <v>0.6</v>
      </c>
      <c r="Z6" s="815">
        <v>0.6</v>
      </c>
      <c r="AA6" s="815">
        <v>0.8</v>
      </c>
      <c r="AB6" s="815">
        <v>0.6</v>
      </c>
      <c r="AC6" s="815">
        <v>0.6</v>
      </c>
      <c r="AD6" s="815">
        <v>0.8</v>
      </c>
      <c r="AE6" s="815">
        <v>0.8</v>
      </c>
      <c r="AF6" s="815">
        <v>1</v>
      </c>
      <c r="AG6" s="815">
        <v>0.6</v>
      </c>
      <c r="AH6" s="815">
        <v>1.5</v>
      </c>
      <c r="AI6" s="815">
        <v>1.5</v>
      </c>
      <c r="AJ6" s="815">
        <v>1</v>
      </c>
      <c r="AK6" s="815">
        <v>1.2</v>
      </c>
      <c r="AL6" s="815">
        <v>0.8</v>
      </c>
      <c r="AM6" s="815">
        <v>1.2</v>
      </c>
      <c r="AN6" s="815">
        <v>0.6</v>
      </c>
      <c r="AO6" s="815">
        <v>0.6</v>
      </c>
      <c r="AP6" s="815">
        <v>0.6</v>
      </c>
      <c r="AQ6" s="815">
        <v>0.8</v>
      </c>
      <c r="AR6" s="815">
        <v>0.8</v>
      </c>
      <c r="AS6" s="815">
        <v>0.8</v>
      </c>
      <c r="AT6" s="815">
        <v>0.8</v>
      </c>
      <c r="AU6" s="815">
        <v>0.8</v>
      </c>
      <c r="AV6" s="815">
        <v>1</v>
      </c>
      <c r="AW6" s="815">
        <v>1</v>
      </c>
      <c r="AX6" s="815">
        <v>1</v>
      </c>
      <c r="AY6" s="815">
        <v>1</v>
      </c>
      <c r="AZ6" s="815">
        <v>1</v>
      </c>
      <c r="BA6" s="815">
        <v>1</v>
      </c>
      <c r="BB6" s="815">
        <v>1</v>
      </c>
      <c r="BC6" s="815">
        <v>1</v>
      </c>
      <c r="BD6" s="815"/>
      <c r="BE6" s="815">
        <f>IF(BE7="P",0.45,0.4)</f>
        <v>0.4</v>
      </c>
      <c r="BF6" s="815">
        <f>IF(BF7="P",0.45,0.4)</f>
        <v>0.4</v>
      </c>
      <c r="BG6" s="815">
        <v>0.6</v>
      </c>
      <c r="BH6" s="815">
        <v>0.6</v>
      </c>
      <c r="BI6" s="815">
        <f>IF(BI7="P",0.45,0.4)</f>
        <v>0.4</v>
      </c>
      <c r="BJ6" s="815">
        <v>0.6</v>
      </c>
      <c r="BK6" s="815">
        <v>0.4</v>
      </c>
      <c r="BL6" s="815">
        <v>0.4</v>
      </c>
      <c r="BM6" s="815">
        <v>0.5</v>
      </c>
      <c r="BN6" s="815">
        <v>0.5</v>
      </c>
      <c r="BO6" s="815">
        <v>0.4</v>
      </c>
      <c r="BP6" s="815">
        <v>0.5</v>
      </c>
      <c r="BQ6" s="816"/>
      <c r="BR6" s="816"/>
      <c r="BS6" s="816"/>
      <c r="BT6" s="817"/>
    </row>
    <row r="7" spans="1:75" s="818" customFormat="1" ht="21.95" customHeight="1">
      <c r="A7" s="2616"/>
      <c r="B7" s="2605"/>
      <c r="C7" s="814" t="s">
        <v>1543</v>
      </c>
      <c r="D7" s="815" t="str" cm="1">
        <f t="array" ref="D7:BC7">TRANSPOSE(_xlfn._xlws.FILTER(Dren_Dim!$AD$11:$AD$210,(Dren_Dim!$B$11:$B$210="X")*(Dren_Dim!$A$11:$A$210&lt;&gt;"")))</f>
        <v>C</v>
      </c>
      <c r="E7" s="815" t="str">
        <v>C</v>
      </c>
      <c r="F7" s="815" t="str">
        <v>C</v>
      </c>
      <c r="G7" s="815" t="str">
        <v>C</v>
      </c>
      <c r="H7" s="815" t="str">
        <v>C</v>
      </c>
      <c r="I7" s="815" t="str">
        <v>C</v>
      </c>
      <c r="J7" s="815" t="str">
        <v>C</v>
      </c>
      <c r="K7" s="815" t="str">
        <v>C</v>
      </c>
      <c r="L7" s="815" t="str">
        <v>C</v>
      </c>
      <c r="M7" s="815" t="str">
        <v>C</v>
      </c>
      <c r="N7" s="815" t="str">
        <v>C</v>
      </c>
      <c r="O7" s="815" t="str">
        <v>C</v>
      </c>
      <c r="P7" s="815" t="str">
        <v>C</v>
      </c>
      <c r="Q7" s="815" t="str">
        <v>C</v>
      </c>
      <c r="R7" s="815" t="str">
        <v>C</v>
      </c>
      <c r="S7" s="815" t="str">
        <v>C</v>
      </c>
      <c r="T7" s="815" t="str">
        <v>C</v>
      </c>
      <c r="U7" s="815" t="str">
        <v>C</v>
      </c>
      <c r="V7" s="815" t="str">
        <v>C</v>
      </c>
      <c r="W7" s="815" t="str">
        <v>C</v>
      </c>
      <c r="X7" s="815" t="str">
        <v>C</v>
      </c>
      <c r="Y7" s="815" t="str">
        <v>C</v>
      </c>
      <c r="Z7" s="815" t="str">
        <v>C</v>
      </c>
      <c r="AA7" s="815" t="str">
        <v>C</v>
      </c>
      <c r="AB7" s="815" t="str">
        <v>C</v>
      </c>
      <c r="AC7" s="815" t="str">
        <v>C</v>
      </c>
      <c r="AD7" s="815" t="str">
        <v>C</v>
      </c>
      <c r="AE7" s="815" t="str">
        <v>C</v>
      </c>
      <c r="AF7" s="815" t="str">
        <v>C</v>
      </c>
      <c r="AG7" s="815" t="str">
        <v>C</v>
      </c>
      <c r="AH7" s="815" t="str">
        <v>C</v>
      </c>
      <c r="AI7" s="815" t="str">
        <v>C</v>
      </c>
      <c r="AJ7" s="815" t="str">
        <v>C</v>
      </c>
      <c r="AK7" s="815" t="str">
        <v>C</v>
      </c>
      <c r="AL7" s="815" t="str">
        <v>C</v>
      </c>
      <c r="AM7" s="815" t="str">
        <v>C</v>
      </c>
      <c r="AN7" s="815" t="str">
        <v>C</v>
      </c>
      <c r="AO7" s="815" t="str">
        <v>C</v>
      </c>
      <c r="AP7" s="815" t="str">
        <v>C</v>
      </c>
      <c r="AQ7" s="815" t="str">
        <v>C</v>
      </c>
      <c r="AR7" s="815" t="str">
        <v>C</v>
      </c>
      <c r="AS7" s="815" t="str">
        <v>C</v>
      </c>
      <c r="AT7" s="815" t="str">
        <v>C</v>
      </c>
      <c r="AU7" s="815" t="str">
        <v>C</v>
      </c>
      <c r="AV7" s="815" t="str">
        <v>C</v>
      </c>
      <c r="AW7" s="815" t="str">
        <v>C</v>
      </c>
      <c r="AX7" s="815" t="str">
        <v>C</v>
      </c>
      <c r="AY7" s="815" t="str">
        <v>C</v>
      </c>
      <c r="AZ7" s="815" t="str">
        <v>C</v>
      </c>
      <c r="BA7" s="815" t="str">
        <v>C</v>
      </c>
      <c r="BB7" s="815" t="str">
        <v>C</v>
      </c>
      <c r="BC7" s="815" t="str">
        <v>C</v>
      </c>
      <c r="BD7" s="815"/>
      <c r="BE7" s="815" t="s">
        <v>1240</v>
      </c>
      <c r="BF7" s="815" t="s">
        <v>1240</v>
      </c>
      <c r="BG7" s="815" t="s">
        <v>1240</v>
      </c>
      <c r="BH7" s="815" t="s">
        <v>1240</v>
      </c>
      <c r="BI7" s="815" t="s">
        <v>1240</v>
      </c>
      <c r="BJ7" s="815" t="s">
        <v>1240</v>
      </c>
      <c r="BK7" s="815" t="s">
        <v>1544</v>
      </c>
      <c r="BL7" s="815" t="s">
        <v>1544</v>
      </c>
      <c r="BM7" s="815" t="s">
        <v>1544</v>
      </c>
      <c r="BN7" s="815" t="s">
        <v>1544</v>
      </c>
      <c r="BO7" s="815" t="s">
        <v>1544</v>
      </c>
      <c r="BP7" s="815" t="s">
        <v>1544</v>
      </c>
      <c r="BQ7" s="816"/>
      <c r="BR7" s="816"/>
      <c r="BS7" s="816"/>
      <c r="BT7" s="817"/>
    </row>
    <row r="8" spans="1:75" s="818" customFormat="1" ht="21.95" customHeight="1">
      <c r="A8" s="2616"/>
      <c r="B8" s="2605"/>
      <c r="C8" s="814" t="s">
        <v>1545</v>
      </c>
      <c r="D8" s="815" cm="1">
        <f t="array" ref="D8:BC8">TRANSPOSE(_xlfn._xlws.FILTER(Dren_Dim!$AH$11:$AH$210,(Dren_Dim!$B$11:$B$210="X")*(Dren_Dim!$A$11:$A$210&lt;&gt;"")))</f>
        <v>0</v>
      </c>
      <c r="E8" s="815">
        <v>0</v>
      </c>
      <c r="F8" s="815">
        <v>0</v>
      </c>
      <c r="G8" s="815">
        <v>0</v>
      </c>
      <c r="H8" s="815">
        <v>0</v>
      </c>
      <c r="I8" s="815">
        <v>0</v>
      </c>
      <c r="J8" s="815">
        <v>0</v>
      </c>
      <c r="K8" s="815">
        <v>0</v>
      </c>
      <c r="L8" s="815">
        <v>0</v>
      </c>
      <c r="M8" s="815">
        <v>0</v>
      </c>
      <c r="N8" s="815">
        <v>0</v>
      </c>
      <c r="O8" s="815">
        <v>0</v>
      </c>
      <c r="P8" s="815">
        <v>0</v>
      </c>
      <c r="Q8" s="815">
        <v>0</v>
      </c>
      <c r="R8" s="815">
        <v>0</v>
      </c>
      <c r="S8" s="815">
        <v>0</v>
      </c>
      <c r="T8" s="815">
        <v>0</v>
      </c>
      <c r="U8" s="815">
        <v>0</v>
      </c>
      <c r="V8" s="815">
        <v>0</v>
      </c>
      <c r="W8" s="815">
        <v>0</v>
      </c>
      <c r="X8" s="815">
        <v>0</v>
      </c>
      <c r="Y8" s="815">
        <v>0</v>
      </c>
      <c r="Z8" s="815">
        <v>0</v>
      </c>
      <c r="AA8" s="815">
        <v>0</v>
      </c>
      <c r="AB8" s="815">
        <v>0</v>
      </c>
      <c r="AC8" s="815">
        <v>0</v>
      </c>
      <c r="AD8" s="815">
        <v>0</v>
      </c>
      <c r="AE8" s="815">
        <v>0</v>
      </c>
      <c r="AF8" s="815">
        <v>0</v>
      </c>
      <c r="AG8" s="815">
        <v>0</v>
      </c>
      <c r="AH8" s="815">
        <v>0</v>
      </c>
      <c r="AI8" s="815">
        <v>0</v>
      </c>
      <c r="AJ8" s="815">
        <v>0</v>
      </c>
      <c r="AK8" s="815">
        <v>0</v>
      </c>
      <c r="AL8" s="815">
        <v>0</v>
      </c>
      <c r="AM8" s="815">
        <v>0</v>
      </c>
      <c r="AN8" s="815">
        <v>0</v>
      </c>
      <c r="AO8" s="815">
        <v>0</v>
      </c>
      <c r="AP8" s="815">
        <v>0</v>
      </c>
      <c r="AQ8" s="815">
        <v>0</v>
      </c>
      <c r="AR8" s="815">
        <v>0</v>
      </c>
      <c r="AS8" s="815">
        <v>0</v>
      </c>
      <c r="AT8" s="815">
        <v>0</v>
      </c>
      <c r="AU8" s="815">
        <v>0</v>
      </c>
      <c r="AV8" s="815">
        <v>0</v>
      </c>
      <c r="AW8" s="815">
        <v>0</v>
      </c>
      <c r="AX8" s="815">
        <v>0</v>
      </c>
      <c r="AY8" s="815">
        <v>0</v>
      </c>
      <c r="AZ8" s="815">
        <v>0</v>
      </c>
      <c r="BA8" s="815">
        <v>0</v>
      </c>
      <c r="BB8" s="815">
        <v>0</v>
      </c>
      <c r="BC8" s="815">
        <v>0</v>
      </c>
      <c r="BD8" s="815"/>
      <c r="BE8" s="816"/>
      <c r="BF8" s="816"/>
      <c r="BG8" s="816"/>
      <c r="BH8" s="816"/>
      <c r="BI8" s="816"/>
      <c r="BJ8" s="816"/>
      <c r="BK8" s="816"/>
      <c r="BL8" s="816"/>
      <c r="BM8" s="816"/>
      <c r="BN8" s="816"/>
      <c r="BO8" s="816"/>
      <c r="BP8" s="816"/>
      <c r="BQ8" s="816"/>
      <c r="BR8" s="816"/>
      <c r="BS8" s="816"/>
      <c r="BT8" s="817"/>
    </row>
    <row r="9" spans="1:75" s="818" customFormat="1" ht="21.95" customHeight="1">
      <c r="A9" s="2616"/>
      <c r="B9" s="2605"/>
      <c r="C9" s="814" t="s">
        <v>1546</v>
      </c>
      <c r="D9" s="815">
        <f>D8</f>
        <v>0</v>
      </c>
      <c r="E9" s="815">
        <f>E8</f>
        <v>0</v>
      </c>
      <c r="F9" s="815">
        <f t="shared" ref="F9:BC9" si="3">F8</f>
        <v>0</v>
      </c>
      <c r="G9" s="815">
        <f t="shared" si="3"/>
        <v>0</v>
      </c>
      <c r="H9" s="815">
        <f t="shared" si="3"/>
        <v>0</v>
      </c>
      <c r="I9" s="815">
        <f t="shared" si="3"/>
        <v>0</v>
      </c>
      <c r="J9" s="815">
        <f t="shared" si="3"/>
        <v>0</v>
      </c>
      <c r="K9" s="815">
        <f t="shared" si="3"/>
        <v>0</v>
      </c>
      <c r="L9" s="815">
        <f t="shared" si="3"/>
        <v>0</v>
      </c>
      <c r="M9" s="815">
        <f t="shared" si="3"/>
        <v>0</v>
      </c>
      <c r="N9" s="815">
        <f t="shared" si="3"/>
        <v>0</v>
      </c>
      <c r="O9" s="815">
        <f t="shared" si="3"/>
        <v>0</v>
      </c>
      <c r="P9" s="815">
        <f t="shared" si="3"/>
        <v>0</v>
      </c>
      <c r="Q9" s="815">
        <f t="shared" si="3"/>
        <v>0</v>
      </c>
      <c r="R9" s="815">
        <f t="shared" si="3"/>
        <v>0</v>
      </c>
      <c r="S9" s="815">
        <f t="shared" si="3"/>
        <v>0</v>
      </c>
      <c r="T9" s="815">
        <f t="shared" si="3"/>
        <v>0</v>
      </c>
      <c r="U9" s="815">
        <f t="shared" si="3"/>
        <v>0</v>
      </c>
      <c r="V9" s="815">
        <f t="shared" si="3"/>
        <v>0</v>
      </c>
      <c r="W9" s="815">
        <f t="shared" si="3"/>
        <v>0</v>
      </c>
      <c r="X9" s="815">
        <f t="shared" si="3"/>
        <v>0</v>
      </c>
      <c r="Y9" s="815">
        <f t="shared" si="3"/>
        <v>0</v>
      </c>
      <c r="Z9" s="815">
        <f t="shared" si="3"/>
        <v>0</v>
      </c>
      <c r="AA9" s="815">
        <f t="shared" si="3"/>
        <v>0</v>
      </c>
      <c r="AB9" s="815">
        <f t="shared" si="3"/>
        <v>0</v>
      </c>
      <c r="AC9" s="815">
        <f t="shared" si="3"/>
        <v>0</v>
      </c>
      <c r="AD9" s="815">
        <f t="shared" si="3"/>
        <v>0</v>
      </c>
      <c r="AE9" s="815">
        <f t="shared" si="3"/>
        <v>0</v>
      </c>
      <c r="AF9" s="815">
        <f t="shared" si="3"/>
        <v>0</v>
      </c>
      <c r="AG9" s="815">
        <f t="shared" si="3"/>
        <v>0</v>
      </c>
      <c r="AH9" s="815">
        <f t="shared" si="3"/>
        <v>0</v>
      </c>
      <c r="AI9" s="815">
        <f t="shared" si="3"/>
        <v>0</v>
      </c>
      <c r="AJ9" s="815">
        <f t="shared" si="3"/>
        <v>0</v>
      </c>
      <c r="AK9" s="815">
        <f t="shared" si="3"/>
        <v>0</v>
      </c>
      <c r="AL9" s="815">
        <f t="shared" si="3"/>
        <v>0</v>
      </c>
      <c r="AM9" s="815">
        <f t="shared" si="3"/>
        <v>0</v>
      </c>
      <c r="AN9" s="815">
        <f t="shared" si="3"/>
        <v>0</v>
      </c>
      <c r="AO9" s="815">
        <f t="shared" si="3"/>
        <v>0</v>
      </c>
      <c r="AP9" s="815">
        <f t="shared" si="3"/>
        <v>0</v>
      </c>
      <c r="AQ9" s="815">
        <f t="shared" si="3"/>
        <v>0</v>
      </c>
      <c r="AR9" s="815">
        <f t="shared" si="3"/>
        <v>0</v>
      </c>
      <c r="AS9" s="815">
        <f t="shared" si="3"/>
        <v>0</v>
      </c>
      <c r="AT9" s="815">
        <f t="shared" si="3"/>
        <v>0</v>
      </c>
      <c r="AU9" s="815">
        <f t="shared" si="3"/>
        <v>0</v>
      </c>
      <c r="AV9" s="815">
        <f t="shared" si="3"/>
        <v>0</v>
      </c>
      <c r="AW9" s="815">
        <f t="shared" si="3"/>
        <v>0</v>
      </c>
      <c r="AX9" s="815">
        <f t="shared" si="3"/>
        <v>0</v>
      </c>
      <c r="AY9" s="815">
        <f t="shared" si="3"/>
        <v>0</v>
      </c>
      <c r="AZ9" s="815">
        <f t="shared" si="3"/>
        <v>0</v>
      </c>
      <c r="BA9" s="815">
        <f t="shared" si="3"/>
        <v>0</v>
      </c>
      <c r="BB9" s="815">
        <f t="shared" si="3"/>
        <v>0</v>
      </c>
      <c r="BC9" s="815">
        <f t="shared" si="3"/>
        <v>0</v>
      </c>
      <c r="BD9" s="815"/>
      <c r="BE9" s="816"/>
      <c r="BF9" s="816"/>
      <c r="BG9" s="816"/>
      <c r="BH9" s="816"/>
      <c r="BI9" s="816"/>
      <c r="BJ9" s="816"/>
      <c r="BK9" s="816"/>
      <c r="BL9" s="816"/>
      <c r="BM9" s="816"/>
      <c r="BN9" s="816"/>
      <c r="BO9" s="816"/>
      <c r="BP9" s="816"/>
      <c r="BQ9" s="816"/>
      <c r="BR9" s="816"/>
      <c r="BS9" s="816"/>
      <c r="BT9" s="817"/>
    </row>
    <row r="10" spans="1:75" s="818" customFormat="1" ht="21.95" customHeight="1">
      <c r="A10" s="2616"/>
      <c r="B10" s="2605"/>
      <c r="C10" s="814" t="s">
        <v>1547</v>
      </c>
      <c r="D10" s="806" t="str">
        <f>IF(D5=0,0,IF(D7="P","P",IF(D13&lt;3,IF(D6&gt;0.7,"PA-1","PS-1"), IF(D6&gt;0.7,"PA-2","PA-1"))))</f>
        <v>PS-1</v>
      </c>
      <c r="E10" s="806" t="str">
        <f t="shared" ref="E10:BC10" si="4">IF(E5=0,0,IF(E7="P","P",IF(E13&lt;3,IF(E6&gt;0.7,"PA-1","PS-1"), IF(E6&gt;0.7,"PA-2","PA-1"))))</f>
        <v>PS-1</v>
      </c>
      <c r="F10" s="806" t="str">
        <f t="shared" si="4"/>
        <v>PS-1</v>
      </c>
      <c r="G10" s="806" t="str">
        <f t="shared" si="4"/>
        <v>PS-1</v>
      </c>
      <c r="H10" s="806" t="str">
        <f t="shared" si="4"/>
        <v>PS-1</v>
      </c>
      <c r="I10" s="806" t="str">
        <f t="shared" si="4"/>
        <v>PS-1</v>
      </c>
      <c r="J10" s="806" t="str">
        <f t="shared" si="4"/>
        <v>PS-1</v>
      </c>
      <c r="K10" s="806" t="str">
        <f t="shared" si="4"/>
        <v>PS-1</v>
      </c>
      <c r="L10" s="806" t="str">
        <f t="shared" si="4"/>
        <v>PS-1</v>
      </c>
      <c r="M10" s="806" t="str">
        <f t="shared" si="4"/>
        <v>PS-1</v>
      </c>
      <c r="N10" s="806" t="str">
        <f t="shared" si="4"/>
        <v>PS-1</v>
      </c>
      <c r="O10" s="806" t="str">
        <f t="shared" si="4"/>
        <v>PS-1</v>
      </c>
      <c r="P10" s="806" t="str">
        <f t="shared" si="4"/>
        <v>PA-1</v>
      </c>
      <c r="Q10" s="806" t="str">
        <f t="shared" si="4"/>
        <v>PS-1</v>
      </c>
      <c r="R10" s="806" t="str">
        <f t="shared" si="4"/>
        <v>PA-1</v>
      </c>
      <c r="S10" s="806" t="str">
        <f t="shared" si="4"/>
        <v>PA-1</v>
      </c>
      <c r="T10" s="806" t="str">
        <f t="shared" si="4"/>
        <v>PS-1</v>
      </c>
      <c r="U10" s="806" t="str">
        <f t="shared" si="4"/>
        <v>PA-1</v>
      </c>
      <c r="V10" s="806" t="str">
        <f t="shared" si="4"/>
        <v>PA-1</v>
      </c>
      <c r="W10" s="806" t="str">
        <f t="shared" si="4"/>
        <v>PA-1</v>
      </c>
      <c r="X10" s="806" t="str">
        <f t="shared" si="4"/>
        <v>PS-1</v>
      </c>
      <c r="Y10" s="806" t="str">
        <f t="shared" si="4"/>
        <v>PS-1</v>
      </c>
      <c r="Z10" s="806" t="str">
        <f t="shared" si="4"/>
        <v>PS-1</v>
      </c>
      <c r="AA10" s="806" t="str">
        <f t="shared" si="4"/>
        <v>PA-1</v>
      </c>
      <c r="AB10" s="806" t="str">
        <f t="shared" si="4"/>
        <v>PS-1</v>
      </c>
      <c r="AC10" s="806" t="str">
        <f t="shared" si="4"/>
        <v>PS-1</v>
      </c>
      <c r="AD10" s="806" t="str">
        <f t="shared" si="4"/>
        <v>PA-1</v>
      </c>
      <c r="AE10" s="806" t="str">
        <f t="shared" si="4"/>
        <v>PA-1</v>
      </c>
      <c r="AF10" s="806" t="str">
        <f t="shared" si="4"/>
        <v>PA-1</v>
      </c>
      <c r="AG10" s="806" t="str">
        <f t="shared" si="4"/>
        <v>PS-1</v>
      </c>
      <c r="AH10" s="806" t="str">
        <f t="shared" si="4"/>
        <v>PA-1</v>
      </c>
      <c r="AI10" s="806" t="str">
        <f t="shared" si="4"/>
        <v>PA-2</v>
      </c>
      <c r="AJ10" s="806" t="str">
        <f t="shared" si="4"/>
        <v>PA-1</v>
      </c>
      <c r="AK10" s="806" t="str">
        <f t="shared" si="4"/>
        <v>PA-1</v>
      </c>
      <c r="AL10" s="806" t="str">
        <f t="shared" si="4"/>
        <v>PA-1</v>
      </c>
      <c r="AM10" s="806" t="str">
        <f t="shared" si="4"/>
        <v>PA-1</v>
      </c>
      <c r="AN10" s="806" t="str">
        <f t="shared" si="4"/>
        <v>PS-1</v>
      </c>
      <c r="AO10" s="806" t="str">
        <f t="shared" si="4"/>
        <v>PS-1</v>
      </c>
      <c r="AP10" s="806" t="str">
        <f t="shared" si="4"/>
        <v>PS-1</v>
      </c>
      <c r="AQ10" s="806" t="str">
        <f t="shared" si="4"/>
        <v>PA-1</v>
      </c>
      <c r="AR10" s="806" t="str">
        <f t="shared" si="4"/>
        <v>PA-1</v>
      </c>
      <c r="AS10" s="806" t="str">
        <f t="shared" si="4"/>
        <v>PA-1</v>
      </c>
      <c r="AT10" s="806" t="str">
        <f t="shared" si="4"/>
        <v>PA-1</v>
      </c>
      <c r="AU10" s="806" t="str">
        <f t="shared" si="4"/>
        <v>PA-1</v>
      </c>
      <c r="AV10" s="806" t="str">
        <f t="shared" si="4"/>
        <v>PA-1</v>
      </c>
      <c r="AW10" s="806" t="str">
        <f t="shared" si="4"/>
        <v>PA-1</v>
      </c>
      <c r="AX10" s="806" t="str">
        <f t="shared" si="4"/>
        <v>PA-1</v>
      </c>
      <c r="AY10" s="806" t="str">
        <f t="shared" si="4"/>
        <v>PA-1</v>
      </c>
      <c r="AZ10" s="806" t="str">
        <f t="shared" si="4"/>
        <v>PA-1</v>
      </c>
      <c r="BA10" s="806" t="str">
        <f t="shared" si="4"/>
        <v>PA-1</v>
      </c>
      <c r="BB10" s="806" t="str">
        <f t="shared" si="4"/>
        <v>PA-1</v>
      </c>
      <c r="BC10" s="806" t="str">
        <f t="shared" si="4"/>
        <v>PA-1</v>
      </c>
      <c r="BD10" s="806"/>
      <c r="BE10" s="806" t="str">
        <f t="shared" ref="BE10:BJ10" si="5">IF(BE5=0,0,IF(BE7="P","P",IF(BE13&lt;3,IF(BE6&gt;0.7,"PA-1","PS-1"), IF(BE6&gt;0.7,"PA-2","PA-1"))))</f>
        <v>PS-1</v>
      </c>
      <c r="BF10" s="806" t="str">
        <f t="shared" si="5"/>
        <v>PS-1</v>
      </c>
      <c r="BG10" s="806" t="str">
        <f t="shared" si="5"/>
        <v>PS-1</v>
      </c>
      <c r="BH10" s="806" t="str">
        <f t="shared" si="5"/>
        <v>PS-1</v>
      </c>
      <c r="BI10" s="806" t="str">
        <f t="shared" si="5"/>
        <v>PS-1</v>
      </c>
      <c r="BJ10" s="806" t="str">
        <f t="shared" si="5"/>
        <v>PS-1</v>
      </c>
      <c r="BK10" s="806" t="s">
        <v>1548</v>
      </c>
      <c r="BL10" s="806" t="s">
        <v>1548</v>
      </c>
      <c r="BM10" s="806" t="s">
        <v>1548</v>
      </c>
      <c r="BN10" s="806" t="s">
        <v>1548</v>
      </c>
      <c r="BO10" s="806" t="s">
        <v>1548</v>
      </c>
      <c r="BP10" s="806" t="s">
        <v>1548</v>
      </c>
      <c r="BQ10" s="819"/>
      <c r="BR10" s="819"/>
      <c r="BS10" s="819"/>
      <c r="BT10" s="817"/>
    </row>
    <row r="11" spans="1:75" s="818" customFormat="1" ht="21.95" customHeight="1">
      <c r="A11" s="2616"/>
      <c r="B11" s="2605" t="s">
        <v>1549</v>
      </c>
      <c r="C11" s="2606"/>
      <c r="D11" s="820" cm="1">
        <f t="array" ref="D11:BC11">TRANSPOSE(_xlfn._xlws.FILTER(Dren_Dim!$F$11:$F$210,(Dren_Dim!$B$11:$B$210="X")*(Dren_Dim!$A$11:$A$210&lt;&gt;"")))</f>
        <v>2.1000000000000227</v>
      </c>
      <c r="E11" s="820">
        <v>2.1100000000000136</v>
      </c>
      <c r="F11" s="820">
        <v>2.1000000000000227</v>
      </c>
      <c r="G11" s="820">
        <v>2.1100000000000136</v>
      </c>
      <c r="H11" s="820">
        <v>2.1000000000000227</v>
      </c>
      <c r="I11" s="820">
        <v>2.1149999999999523</v>
      </c>
      <c r="J11" s="820">
        <v>2.1000000000000227</v>
      </c>
      <c r="K11" s="820">
        <v>2.1000000000000796</v>
      </c>
      <c r="L11" s="820">
        <v>2.1000000000000227</v>
      </c>
      <c r="M11" s="820">
        <v>2.1000000000000796</v>
      </c>
      <c r="N11" s="820">
        <v>2.1000000000000227</v>
      </c>
      <c r="O11" s="820">
        <v>2.1050000000000182</v>
      </c>
      <c r="P11" s="820">
        <v>2.0849999999999795</v>
      </c>
      <c r="Q11" s="820">
        <v>2.1000000000000227</v>
      </c>
      <c r="R11" s="820">
        <v>2.1000000000000227</v>
      </c>
      <c r="S11" s="820">
        <v>2.0950000000000273</v>
      </c>
      <c r="T11" s="820">
        <v>2.1000000000000227</v>
      </c>
      <c r="U11" s="820">
        <v>3.2950000000000159</v>
      </c>
      <c r="V11" s="820">
        <v>2.5</v>
      </c>
      <c r="W11" s="820">
        <v>2.5</v>
      </c>
      <c r="X11" s="820">
        <v>2.1000000000000227</v>
      </c>
      <c r="Y11" s="820">
        <v>2.1000000000000227</v>
      </c>
      <c r="Z11" s="820">
        <v>2.375</v>
      </c>
      <c r="AA11" s="820">
        <v>2.6499999999999773</v>
      </c>
      <c r="AB11" s="820">
        <v>2.1000000000000227</v>
      </c>
      <c r="AC11" s="820">
        <v>2.5</v>
      </c>
      <c r="AD11" s="820">
        <v>2.8999999999999773</v>
      </c>
      <c r="AE11" s="820">
        <v>3.1999999999999318</v>
      </c>
      <c r="AF11" s="820">
        <v>3.2349999999999568</v>
      </c>
      <c r="AG11" s="820">
        <v>2.1000000000000227</v>
      </c>
      <c r="AH11" s="820">
        <v>3</v>
      </c>
      <c r="AI11" s="820">
        <v>5.0749999999999886</v>
      </c>
      <c r="AJ11" s="820">
        <v>2.0189999999999486</v>
      </c>
      <c r="AK11" s="820">
        <v>2.0189999999999486</v>
      </c>
      <c r="AL11" s="820">
        <v>2.3000000000000114</v>
      </c>
      <c r="AM11" s="820">
        <v>3.3239999999999554</v>
      </c>
      <c r="AN11" s="820">
        <v>2.1000000000000227</v>
      </c>
      <c r="AO11" s="820">
        <v>2.0600000000000591</v>
      </c>
      <c r="AP11" s="820">
        <v>2.0399999999999636</v>
      </c>
      <c r="AQ11" s="820">
        <v>2</v>
      </c>
      <c r="AR11" s="820">
        <v>2.0199999999999818</v>
      </c>
      <c r="AS11" s="820">
        <v>2.0499999999999545</v>
      </c>
      <c r="AT11" s="820">
        <v>2.0299999999999727</v>
      </c>
      <c r="AU11" s="820">
        <v>2.0299999999999727</v>
      </c>
      <c r="AV11" s="820">
        <v>2.0099999999998772</v>
      </c>
      <c r="AW11" s="820">
        <v>2</v>
      </c>
      <c r="AX11" s="820">
        <v>1.9799999999999613</v>
      </c>
      <c r="AY11" s="820">
        <v>1.9599999999999795</v>
      </c>
      <c r="AZ11" s="820">
        <v>1.9599999999999227</v>
      </c>
      <c r="BA11" s="820">
        <v>1.9799999999999613</v>
      </c>
      <c r="BB11" s="820">
        <v>1.9999999999999432</v>
      </c>
      <c r="BC11" s="820">
        <v>2.0049999999999386</v>
      </c>
      <c r="BD11" s="820"/>
      <c r="BE11" s="820">
        <v>1</v>
      </c>
      <c r="BF11" s="820">
        <v>1</v>
      </c>
      <c r="BG11" s="820">
        <v>1.3</v>
      </c>
      <c r="BH11" s="820">
        <v>1.3</v>
      </c>
      <c r="BI11" s="820">
        <v>1</v>
      </c>
      <c r="BJ11" s="820">
        <v>1.3</v>
      </c>
      <c r="BK11" s="820">
        <v>1</v>
      </c>
      <c r="BL11" s="820">
        <v>1</v>
      </c>
      <c r="BM11" s="820">
        <v>1.3</v>
      </c>
      <c r="BN11" s="820">
        <v>1.3</v>
      </c>
      <c r="BO11" s="820">
        <v>1</v>
      </c>
      <c r="BP11" s="820">
        <v>1.3</v>
      </c>
      <c r="BQ11" s="821"/>
      <c r="BR11" s="821"/>
      <c r="BS11" s="821"/>
      <c r="BT11" s="817"/>
    </row>
    <row r="12" spans="1:75" s="818" customFormat="1" ht="21.95" customHeight="1">
      <c r="A12" s="2616"/>
      <c r="B12" s="2605" t="s">
        <v>1550</v>
      </c>
      <c r="C12" s="2606"/>
      <c r="D12" s="806" cm="1">
        <f t="array" ref="D12:BC12">TRANSPOSE(_xlfn._xlws.FILTER(Dren_Dim!$I$11:$I$210,(Dren_Dim!$B$11:$B$210="X")*(Dren_Dim!$A$11:$A$210&lt;&gt;"")))</f>
        <v>2.1100000000000136</v>
      </c>
      <c r="E12" s="806">
        <v>2.1100000000000136</v>
      </c>
      <c r="F12" s="806">
        <v>1.9500000000000455</v>
      </c>
      <c r="G12" s="806">
        <v>2.0949999999999704</v>
      </c>
      <c r="H12" s="806">
        <v>2.1149999999999523</v>
      </c>
      <c r="I12" s="806">
        <v>2.0869999999999891</v>
      </c>
      <c r="J12" s="806">
        <v>2.1000000000000796</v>
      </c>
      <c r="K12" s="806">
        <v>2.1000000000000796</v>
      </c>
      <c r="L12" s="806">
        <v>2.1000000000000796</v>
      </c>
      <c r="M12" s="806">
        <v>2.1000000000000796</v>
      </c>
      <c r="N12" s="806">
        <v>2.1050000000000182</v>
      </c>
      <c r="O12" s="806">
        <v>2.0849999999999795</v>
      </c>
      <c r="P12" s="806">
        <v>2.5099999999999909</v>
      </c>
      <c r="Q12" s="806">
        <v>2.1000000000000227</v>
      </c>
      <c r="R12" s="806">
        <v>2.0950000000000273</v>
      </c>
      <c r="S12" s="806">
        <v>3.2950000000000159</v>
      </c>
      <c r="T12" s="806">
        <v>2.1750000000000114</v>
      </c>
      <c r="U12" s="806">
        <v>3.2950000000000728</v>
      </c>
      <c r="V12" s="806">
        <v>2.5</v>
      </c>
      <c r="W12" s="806">
        <v>2.4900000000000091</v>
      </c>
      <c r="X12" s="806">
        <v>2.1750000000000114</v>
      </c>
      <c r="Y12" s="806">
        <v>2.375</v>
      </c>
      <c r="Z12" s="806">
        <v>2.6499999999999773</v>
      </c>
      <c r="AA12" s="806">
        <v>2.6499999999999773</v>
      </c>
      <c r="AB12" s="806">
        <v>2.5</v>
      </c>
      <c r="AC12" s="806">
        <v>2.8999999999999773</v>
      </c>
      <c r="AD12" s="806">
        <v>3.1999999999999318</v>
      </c>
      <c r="AE12" s="806">
        <v>3.2349999999999568</v>
      </c>
      <c r="AF12" s="806">
        <v>3.4499999999999318</v>
      </c>
      <c r="AG12" s="806">
        <v>2.1200000000000045</v>
      </c>
      <c r="AH12" s="806">
        <v>5.0749999999999886</v>
      </c>
      <c r="AI12" s="806">
        <v>5.6999999999999886</v>
      </c>
      <c r="AJ12" s="806">
        <v>2.0189999999999486</v>
      </c>
      <c r="AK12" s="806">
        <v>3.3239999999999554</v>
      </c>
      <c r="AL12" s="806">
        <v>2.29200000000003</v>
      </c>
      <c r="AM12" s="806">
        <v>1.4239999999999782</v>
      </c>
      <c r="AN12" s="806">
        <v>2.0600000000000591</v>
      </c>
      <c r="AO12" s="806">
        <v>2.0399999999999636</v>
      </c>
      <c r="AP12" s="806">
        <v>2</v>
      </c>
      <c r="AQ12" s="806">
        <v>2.0199999999999818</v>
      </c>
      <c r="AR12" s="806">
        <v>2.0499999999999545</v>
      </c>
      <c r="AS12" s="806">
        <v>2.0299999999999727</v>
      </c>
      <c r="AT12" s="806">
        <v>2.0299999999999727</v>
      </c>
      <c r="AU12" s="806">
        <v>2.0099999999998772</v>
      </c>
      <c r="AV12" s="806">
        <v>2</v>
      </c>
      <c r="AW12" s="806">
        <v>1.9799999999999613</v>
      </c>
      <c r="AX12" s="806">
        <v>1.9599999999999795</v>
      </c>
      <c r="AY12" s="806">
        <v>1.9599999999999227</v>
      </c>
      <c r="AZ12" s="806">
        <v>1.9799999999999613</v>
      </c>
      <c r="BA12" s="806">
        <v>1.9999999999999432</v>
      </c>
      <c r="BB12" s="806">
        <v>2.0049999999999386</v>
      </c>
      <c r="BC12" s="806">
        <v>2.0189999999999486</v>
      </c>
      <c r="BD12" s="806"/>
      <c r="BE12" s="806">
        <v>1.5</v>
      </c>
      <c r="BF12" s="806">
        <v>1.5</v>
      </c>
      <c r="BG12" s="806">
        <v>1.5</v>
      </c>
      <c r="BH12" s="806">
        <v>1.5</v>
      </c>
      <c r="BI12" s="806">
        <v>1.5</v>
      </c>
      <c r="BJ12" s="806">
        <v>1.5</v>
      </c>
      <c r="BK12" s="806">
        <v>1.5</v>
      </c>
      <c r="BL12" s="806">
        <v>1.5</v>
      </c>
      <c r="BM12" s="806">
        <v>1.5</v>
      </c>
      <c r="BN12" s="806">
        <v>1.5</v>
      </c>
      <c r="BO12" s="806">
        <v>1.5</v>
      </c>
      <c r="BP12" s="806">
        <v>1.5</v>
      </c>
      <c r="BQ12" s="819"/>
      <c r="BR12" s="819"/>
      <c r="BS12" s="819"/>
      <c r="BT12" s="817"/>
    </row>
    <row r="13" spans="1:75" s="818" customFormat="1" ht="21.95" customHeight="1">
      <c r="A13" s="2616"/>
      <c r="B13" s="2621" t="s">
        <v>1551</v>
      </c>
      <c r="C13" s="2622"/>
      <c r="D13" s="822">
        <f>IF(D11=0,0,AVERAGE(D11:D12)-D6)</f>
        <v>1.5050000000000181</v>
      </c>
      <c r="E13" s="822">
        <f t="shared" ref="E13:BC13" si="6">IF(E11=0,0,AVERAGE(E11:E12)-E6)</f>
        <v>1.5100000000000136</v>
      </c>
      <c r="F13" s="822">
        <f t="shared" si="6"/>
        <v>1.425000000000034</v>
      </c>
      <c r="G13" s="822">
        <f t="shared" si="6"/>
        <v>1.502499999999992</v>
      </c>
      <c r="H13" s="822">
        <f t="shared" si="6"/>
        <v>1.5074999999999874</v>
      </c>
      <c r="I13" s="822">
        <f t="shared" si="6"/>
        <v>1.5009999999999706</v>
      </c>
      <c r="J13" s="822">
        <f t="shared" si="6"/>
        <v>1.5000000000000511</v>
      </c>
      <c r="K13" s="822">
        <f t="shared" si="6"/>
        <v>1.5000000000000795</v>
      </c>
      <c r="L13" s="822">
        <f t="shared" si="6"/>
        <v>1.5000000000000511</v>
      </c>
      <c r="M13" s="822">
        <f t="shared" si="6"/>
        <v>1.5000000000000795</v>
      </c>
      <c r="N13" s="822">
        <f t="shared" si="6"/>
        <v>1.5025000000000204</v>
      </c>
      <c r="O13" s="822">
        <f t="shared" si="6"/>
        <v>1.4949999999999988</v>
      </c>
      <c r="P13" s="822">
        <f t="shared" si="6"/>
        <v>1.4974999999999852</v>
      </c>
      <c r="Q13" s="822">
        <f t="shared" si="6"/>
        <v>1.5000000000000226</v>
      </c>
      <c r="R13" s="822">
        <f t="shared" si="6"/>
        <v>1.297500000000025</v>
      </c>
      <c r="S13" s="822">
        <f t="shared" si="6"/>
        <v>1.6950000000000216</v>
      </c>
      <c r="T13" s="822">
        <f t="shared" si="6"/>
        <v>1.537500000000017</v>
      </c>
      <c r="U13" s="822">
        <f t="shared" si="6"/>
        <v>2.2950000000000443</v>
      </c>
      <c r="V13" s="822">
        <f t="shared" si="6"/>
        <v>1.5</v>
      </c>
      <c r="W13" s="822">
        <f t="shared" si="6"/>
        <v>1.4950000000000045</v>
      </c>
      <c r="X13" s="822">
        <f t="shared" si="6"/>
        <v>1.537500000000017</v>
      </c>
      <c r="Y13" s="822">
        <f t="shared" si="6"/>
        <v>1.6375000000000113</v>
      </c>
      <c r="Z13" s="822">
        <f t="shared" si="6"/>
        <v>1.9124999999999885</v>
      </c>
      <c r="AA13" s="822">
        <f t="shared" si="6"/>
        <v>1.8499999999999772</v>
      </c>
      <c r="AB13" s="822">
        <f t="shared" si="6"/>
        <v>1.7000000000000113</v>
      </c>
      <c r="AC13" s="822">
        <f t="shared" si="6"/>
        <v>2.0999999999999885</v>
      </c>
      <c r="AD13" s="822">
        <f t="shared" si="6"/>
        <v>2.2499999999999547</v>
      </c>
      <c r="AE13" s="822">
        <f t="shared" si="6"/>
        <v>2.4174999999999445</v>
      </c>
      <c r="AF13" s="822">
        <f t="shared" si="6"/>
        <v>2.3424999999999443</v>
      </c>
      <c r="AG13" s="822">
        <f t="shared" si="6"/>
        <v>1.5100000000000136</v>
      </c>
      <c r="AH13" s="822">
        <f t="shared" si="6"/>
        <v>2.5374999999999943</v>
      </c>
      <c r="AI13" s="822">
        <f t="shared" si="6"/>
        <v>3.8874999999999886</v>
      </c>
      <c r="AJ13" s="822">
        <f t="shared" si="6"/>
        <v>1.0189999999999486</v>
      </c>
      <c r="AK13" s="822">
        <f t="shared" si="6"/>
        <v>1.4714999999999521</v>
      </c>
      <c r="AL13" s="822">
        <f t="shared" si="6"/>
        <v>1.4960000000000206</v>
      </c>
      <c r="AM13" s="822">
        <f t="shared" si="6"/>
        <v>1.1739999999999668</v>
      </c>
      <c r="AN13" s="822">
        <f t="shared" si="6"/>
        <v>1.4800000000000408</v>
      </c>
      <c r="AO13" s="822">
        <f t="shared" si="6"/>
        <v>1.4500000000000113</v>
      </c>
      <c r="AP13" s="822">
        <f t="shared" si="6"/>
        <v>1.4199999999999817</v>
      </c>
      <c r="AQ13" s="822">
        <f t="shared" si="6"/>
        <v>1.2099999999999909</v>
      </c>
      <c r="AR13" s="822">
        <f t="shared" si="6"/>
        <v>1.2349999999999681</v>
      </c>
      <c r="AS13" s="822">
        <f t="shared" si="6"/>
        <v>1.2399999999999636</v>
      </c>
      <c r="AT13" s="822">
        <f t="shared" si="6"/>
        <v>1.2299999999999727</v>
      </c>
      <c r="AU13" s="822">
        <f t="shared" si="6"/>
        <v>1.2199999999999249</v>
      </c>
      <c r="AV13" s="822">
        <f t="shared" si="6"/>
        <v>1.0049999999999386</v>
      </c>
      <c r="AW13" s="822">
        <f t="shared" si="6"/>
        <v>0.98999999999998067</v>
      </c>
      <c r="AX13" s="822">
        <f t="shared" si="6"/>
        <v>0.96999999999997044</v>
      </c>
      <c r="AY13" s="822">
        <f t="shared" si="6"/>
        <v>0.95999999999995111</v>
      </c>
      <c r="AZ13" s="822">
        <f t="shared" si="6"/>
        <v>0.96999999999994202</v>
      </c>
      <c r="BA13" s="822">
        <f t="shared" si="6"/>
        <v>0.98999999999995225</v>
      </c>
      <c r="BB13" s="822">
        <f t="shared" si="6"/>
        <v>1.0024999999999409</v>
      </c>
      <c r="BC13" s="822">
        <f t="shared" si="6"/>
        <v>1.0119999999999436</v>
      </c>
      <c r="BD13" s="822"/>
      <c r="BE13" s="822">
        <f>IF(BE11=0,0,AVERAGE(BE11:BE12)-BE6)</f>
        <v>0.85</v>
      </c>
      <c r="BF13" s="822">
        <f t="shared" ref="BF13:BN13" si="7">IF(BF11=0,0,AVERAGE(BF11:BF12)-BF6)</f>
        <v>0.85</v>
      </c>
      <c r="BG13" s="822">
        <f t="shared" si="7"/>
        <v>0.79999999999999993</v>
      </c>
      <c r="BH13" s="822">
        <f t="shared" si="7"/>
        <v>0.79999999999999993</v>
      </c>
      <c r="BI13" s="822">
        <f t="shared" si="7"/>
        <v>0.85</v>
      </c>
      <c r="BJ13" s="822">
        <f t="shared" si="7"/>
        <v>0.79999999999999993</v>
      </c>
      <c r="BK13" s="822">
        <f t="shared" si="7"/>
        <v>0.85</v>
      </c>
      <c r="BL13" s="822">
        <f t="shared" si="7"/>
        <v>0.85</v>
      </c>
      <c r="BM13" s="822">
        <f t="shared" si="7"/>
        <v>0.89999999999999991</v>
      </c>
      <c r="BN13" s="822">
        <f t="shared" si="7"/>
        <v>0.89999999999999991</v>
      </c>
      <c r="BO13" s="822">
        <f>IF(BO11=0,0,AVERAGE(BO11:BO12)-BO6)</f>
        <v>0.85</v>
      </c>
      <c r="BP13" s="822">
        <f>IF(BP11=0,0,AVERAGE(BP11:BP12)-BP6)</f>
        <v>0.89999999999999991</v>
      </c>
      <c r="BQ13" s="819"/>
      <c r="BR13" s="819"/>
      <c r="BS13" s="819"/>
      <c r="BT13" s="817"/>
    </row>
    <row r="14" spans="1:75" ht="21.95" customHeight="1">
      <c r="A14" s="2616"/>
      <c r="B14" s="2621" t="s">
        <v>1552</v>
      </c>
      <c r="C14" s="2623"/>
      <c r="D14" s="823">
        <v>1</v>
      </c>
      <c r="E14" s="824">
        <v>1</v>
      </c>
      <c r="F14" s="824">
        <v>1</v>
      </c>
      <c r="G14" s="824">
        <v>1</v>
      </c>
      <c r="H14" s="824">
        <v>1</v>
      </c>
      <c r="I14" s="824">
        <v>1</v>
      </c>
      <c r="J14" s="824">
        <v>1</v>
      </c>
      <c r="K14" s="824">
        <v>1</v>
      </c>
      <c r="L14" s="824">
        <v>1</v>
      </c>
      <c r="M14" s="824">
        <v>1</v>
      </c>
      <c r="N14" s="824">
        <v>1</v>
      </c>
      <c r="O14" s="824">
        <v>1</v>
      </c>
      <c r="P14" s="824">
        <v>1</v>
      </c>
      <c r="Q14" s="824">
        <v>1</v>
      </c>
      <c r="R14" s="824">
        <v>1</v>
      </c>
      <c r="S14" s="824">
        <v>1</v>
      </c>
      <c r="T14" s="824">
        <v>1</v>
      </c>
      <c r="U14" s="824">
        <v>1</v>
      </c>
      <c r="V14" s="824">
        <v>1</v>
      </c>
      <c r="W14" s="824">
        <v>1</v>
      </c>
      <c r="X14" s="824">
        <v>1</v>
      </c>
      <c r="Y14" s="824">
        <v>1</v>
      </c>
      <c r="Z14" s="824">
        <v>1</v>
      </c>
      <c r="AA14" s="824">
        <v>1</v>
      </c>
      <c r="AB14" s="824">
        <v>1</v>
      </c>
      <c r="AC14" s="824">
        <v>1</v>
      </c>
      <c r="AD14" s="824">
        <v>1</v>
      </c>
      <c r="AE14" s="824">
        <v>1</v>
      </c>
      <c r="AF14" s="824">
        <v>1</v>
      </c>
      <c r="AG14" s="824">
        <v>1</v>
      </c>
      <c r="AH14" s="824">
        <v>1</v>
      </c>
      <c r="AI14" s="824">
        <v>1</v>
      </c>
      <c r="AJ14" s="824">
        <v>1</v>
      </c>
      <c r="AK14" s="824">
        <v>1</v>
      </c>
      <c r="AL14" s="824">
        <v>1</v>
      </c>
      <c r="AM14" s="824">
        <v>1</v>
      </c>
      <c r="AN14" s="824">
        <v>1</v>
      </c>
      <c r="AO14" s="824">
        <v>1</v>
      </c>
      <c r="AP14" s="824">
        <v>1</v>
      </c>
      <c r="AQ14" s="824">
        <v>1</v>
      </c>
      <c r="AR14" s="824">
        <v>1</v>
      </c>
      <c r="AS14" s="824">
        <v>1</v>
      </c>
      <c r="AT14" s="824">
        <v>1</v>
      </c>
      <c r="AU14" s="824">
        <v>1</v>
      </c>
      <c r="AV14" s="824">
        <v>1</v>
      </c>
      <c r="AW14" s="824">
        <v>1</v>
      </c>
      <c r="AX14" s="824">
        <v>1</v>
      </c>
      <c r="AY14" s="824">
        <v>1</v>
      </c>
      <c r="AZ14" s="824">
        <v>1</v>
      </c>
      <c r="BA14" s="824">
        <v>1</v>
      </c>
      <c r="BB14" s="824">
        <v>1</v>
      </c>
      <c r="BC14" s="824">
        <v>1</v>
      </c>
      <c r="BD14" s="824"/>
      <c r="BE14" s="824">
        <v>2</v>
      </c>
      <c r="BF14" s="824">
        <v>1</v>
      </c>
      <c r="BG14" s="824">
        <v>2</v>
      </c>
      <c r="BH14" s="824">
        <v>1</v>
      </c>
      <c r="BI14" s="824">
        <v>1</v>
      </c>
      <c r="BJ14" s="824">
        <v>1</v>
      </c>
      <c r="BK14" s="824">
        <v>1</v>
      </c>
      <c r="BL14" s="824">
        <v>1</v>
      </c>
      <c r="BM14" s="824">
        <v>1</v>
      </c>
      <c r="BN14" s="824">
        <v>1</v>
      </c>
      <c r="BO14" s="824">
        <v>1</v>
      </c>
      <c r="BP14" s="824">
        <v>1</v>
      </c>
      <c r="BQ14" s="825"/>
      <c r="BR14" s="825"/>
      <c r="BS14" s="825"/>
    </row>
    <row r="15" spans="1:75" s="831" customFormat="1" ht="21.95" customHeight="1">
      <c r="A15" s="2616"/>
      <c r="B15" s="2601" t="s">
        <v>1553</v>
      </c>
      <c r="C15" s="827" t="s">
        <v>1554</v>
      </c>
      <c r="D15" s="828" t="s">
        <v>209</v>
      </c>
      <c r="E15" s="829" t="s">
        <v>209</v>
      </c>
      <c r="F15" s="829" t="s">
        <v>209</v>
      </c>
      <c r="G15" s="829" t="s">
        <v>209</v>
      </c>
      <c r="H15" s="829" t="s">
        <v>209</v>
      </c>
      <c r="I15" s="829" t="s">
        <v>209</v>
      </c>
      <c r="J15" s="829" t="s">
        <v>209</v>
      </c>
      <c r="K15" s="829" t="s">
        <v>209</v>
      </c>
      <c r="L15" s="829" t="s">
        <v>209</v>
      </c>
      <c r="M15" s="829" t="s">
        <v>209</v>
      </c>
      <c r="N15" s="829" t="s">
        <v>209</v>
      </c>
      <c r="O15" s="829" t="s">
        <v>209</v>
      </c>
      <c r="P15" s="829" t="s">
        <v>209</v>
      </c>
      <c r="Q15" s="829" t="s">
        <v>209</v>
      </c>
      <c r="R15" s="829" t="s">
        <v>209</v>
      </c>
      <c r="S15" s="829" t="s">
        <v>209</v>
      </c>
      <c r="T15" s="829" t="s">
        <v>209</v>
      </c>
      <c r="U15" s="829" t="s">
        <v>209</v>
      </c>
      <c r="V15" s="829" t="s">
        <v>209</v>
      </c>
      <c r="W15" s="829" t="s">
        <v>209</v>
      </c>
      <c r="X15" s="829" t="s">
        <v>209</v>
      </c>
      <c r="Y15" s="829" t="s">
        <v>209</v>
      </c>
      <c r="Z15" s="829" t="s">
        <v>209</v>
      </c>
      <c r="AA15" s="829" t="s">
        <v>209</v>
      </c>
      <c r="AB15" s="829" t="s">
        <v>209</v>
      </c>
      <c r="AC15" s="829" t="s">
        <v>209</v>
      </c>
      <c r="AD15" s="829" t="s">
        <v>209</v>
      </c>
      <c r="AE15" s="829" t="s">
        <v>209</v>
      </c>
      <c r="AF15" s="829" t="s">
        <v>209</v>
      </c>
      <c r="AG15" s="829" t="s">
        <v>209</v>
      </c>
      <c r="AH15" s="829" t="s">
        <v>209</v>
      </c>
      <c r="AI15" s="829" t="s">
        <v>209</v>
      </c>
      <c r="AJ15" s="829" t="s">
        <v>209</v>
      </c>
      <c r="AK15" s="829" t="s">
        <v>209</v>
      </c>
      <c r="AL15" s="829" t="s">
        <v>209</v>
      </c>
      <c r="AM15" s="829" t="s">
        <v>209</v>
      </c>
      <c r="AN15" s="829" t="s">
        <v>209</v>
      </c>
      <c r="AO15" s="829" t="s">
        <v>209</v>
      </c>
      <c r="AP15" s="829" t="s">
        <v>209</v>
      </c>
      <c r="AQ15" s="829" t="s">
        <v>209</v>
      </c>
      <c r="AR15" s="829" t="s">
        <v>209</v>
      </c>
      <c r="AS15" s="829" t="s">
        <v>209</v>
      </c>
      <c r="AT15" s="829" t="s">
        <v>209</v>
      </c>
      <c r="AU15" s="829" t="s">
        <v>209</v>
      </c>
      <c r="AV15" s="829" t="s">
        <v>209</v>
      </c>
      <c r="AW15" s="829" t="s">
        <v>209</v>
      </c>
      <c r="AX15" s="829" t="s">
        <v>209</v>
      </c>
      <c r="AY15" s="829" t="s">
        <v>209</v>
      </c>
      <c r="AZ15" s="829" t="s">
        <v>209</v>
      </c>
      <c r="BA15" s="829" t="s">
        <v>209</v>
      </c>
      <c r="BB15" s="829" t="s">
        <v>209</v>
      </c>
      <c r="BC15" s="829" t="s">
        <v>209</v>
      </c>
      <c r="BD15" s="829"/>
      <c r="BE15" s="829" t="s">
        <v>209</v>
      </c>
      <c r="BF15" s="829" t="s">
        <v>209</v>
      </c>
      <c r="BG15" s="829" t="s">
        <v>209</v>
      </c>
      <c r="BH15" s="829" t="s">
        <v>209</v>
      </c>
      <c r="BI15" s="830" t="s">
        <v>1555</v>
      </c>
      <c r="BJ15" s="830" t="s">
        <v>1555</v>
      </c>
      <c r="BK15" s="829" t="s">
        <v>1556</v>
      </c>
      <c r="BL15" s="829" t="s">
        <v>1556</v>
      </c>
      <c r="BM15" s="829" t="s">
        <v>1556</v>
      </c>
      <c r="BN15" s="829" t="s">
        <v>1556</v>
      </c>
      <c r="BO15" s="830" t="s">
        <v>1555</v>
      </c>
      <c r="BP15" s="830" t="s">
        <v>1555</v>
      </c>
      <c r="BQ15" s="829"/>
      <c r="BR15" s="829"/>
      <c r="BS15" s="829"/>
    </row>
    <row r="16" spans="1:75" s="714" customFormat="1" ht="21.95" customHeight="1">
      <c r="A16" s="2616"/>
      <c r="B16" s="2585"/>
      <c r="C16" s="832" t="s">
        <v>1557</v>
      </c>
      <c r="D16" s="833">
        <v>0</v>
      </c>
      <c r="E16" s="834">
        <v>0</v>
      </c>
      <c r="F16" s="834">
        <v>0</v>
      </c>
      <c r="G16" s="834">
        <v>0</v>
      </c>
      <c r="H16" s="834">
        <v>0</v>
      </c>
      <c r="I16" s="834">
        <v>0</v>
      </c>
      <c r="J16" s="834">
        <v>0</v>
      </c>
      <c r="K16" s="834">
        <v>0</v>
      </c>
      <c r="L16" s="834">
        <v>0</v>
      </c>
      <c r="M16" s="834">
        <v>0</v>
      </c>
      <c r="N16" s="834">
        <v>0</v>
      </c>
      <c r="O16" s="834">
        <v>0</v>
      </c>
      <c r="P16" s="834">
        <v>0</v>
      </c>
      <c r="Q16" s="834">
        <v>0</v>
      </c>
      <c r="R16" s="834">
        <v>0</v>
      </c>
      <c r="S16" s="834">
        <v>0</v>
      </c>
      <c r="T16" s="834">
        <v>0</v>
      </c>
      <c r="U16" s="834">
        <v>0</v>
      </c>
      <c r="V16" s="834">
        <v>0</v>
      </c>
      <c r="W16" s="834">
        <v>0</v>
      </c>
      <c r="X16" s="834">
        <v>0</v>
      </c>
      <c r="Y16" s="834">
        <v>0</v>
      </c>
      <c r="Z16" s="834">
        <v>0</v>
      </c>
      <c r="AA16" s="834">
        <v>0</v>
      </c>
      <c r="AB16" s="834">
        <v>0</v>
      </c>
      <c r="AC16" s="834">
        <v>0</v>
      </c>
      <c r="AD16" s="834">
        <v>0</v>
      </c>
      <c r="AE16" s="834">
        <v>0</v>
      </c>
      <c r="AF16" s="834">
        <v>0</v>
      </c>
      <c r="AG16" s="834">
        <v>0</v>
      </c>
      <c r="AH16" s="834">
        <v>0</v>
      </c>
      <c r="AI16" s="834">
        <v>0</v>
      </c>
      <c r="AJ16" s="834">
        <v>0</v>
      </c>
      <c r="AK16" s="834">
        <v>0</v>
      </c>
      <c r="AL16" s="834">
        <v>0</v>
      </c>
      <c r="AM16" s="834">
        <v>0</v>
      </c>
      <c r="AN16" s="834">
        <v>0</v>
      </c>
      <c r="AO16" s="834">
        <v>0</v>
      </c>
      <c r="AP16" s="834">
        <v>0</v>
      </c>
      <c r="AQ16" s="834">
        <v>0</v>
      </c>
      <c r="AR16" s="834">
        <v>0</v>
      </c>
      <c r="AS16" s="834">
        <v>0</v>
      </c>
      <c r="AT16" s="834">
        <v>0</v>
      </c>
      <c r="AU16" s="834">
        <v>0</v>
      </c>
      <c r="AV16" s="834">
        <v>0</v>
      </c>
      <c r="AW16" s="834">
        <v>0</v>
      </c>
      <c r="AX16" s="834">
        <v>0</v>
      </c>
      <c r="AY16" s="834">
        <v>0</v>
      </c>
      <c r="AZ16" s="834">
        <v>0</v>
      </c>
      <c r="BA16" s="834">
        <v>0</v>
      </c>
      <c r="BB16" s="834">
        <v>0</v>
      </c>
      <c r="BC16" s="834">
        <v>0</v>
      </c>
      <c r="BD16" s="834"/>
      <c r="BE16" s="834"/>
      <c r="BF16" s="834"/>
      <c r="BG16" s="834"/>
      <c r="BH16" s="834"/>
      <c r="BI16" s="834"/>
      <c r="BJ16" s="834"/>
      <c r="BK16" s="834"/>
      <c r="BL16" s="834"/>
      <c r="BM16" s="834"/>
      <c r="BN16" s="834"/>
      <c r="BO16" s="834"/>
      <c r="BP16" s="834"/>
      <c r="BQ16" s="834"/>
      <c r="BR16" s="834"/>
      <c r="BS16" s="834"/>
      <c r="BT16" s="835"/>
    </row>
    <row r="17" spans="1:72" ht="21.95" customHeight="1">
      <c r="A17" s="2616"/>
      <c r="B17" s="2585"/>
      <c r="C17" s="814" t="s">
        <v>1558</v>
      </c>
      <c r="D17" s="833">
        <v>0</v>
      </c>
      <c r="E17" s="834">
        <v>0</v>
      </c>
      <c r="F17" s="834">
        <v>0</v>
      </c>
      <c r="G17" s="834">
        <v>0</v>
      </c>
      <c r="H17" s="834">
        <v>0</v>
      </c>
      <c r="I17" s="834">
        <v>0</v>
      </c>
      <c r="J17" s="834">
        <v>0</v>
      </c>
      <c r="K17" s="834">
        <v>0</v>
      </c>
      <c r="L17" s="834">
        <v>0</v>
      </c>
      <c r="M17" s="834">
        <v>0</v>
      </c>
      <c r="N17" s="834">
        <v>0</v>
      </c>
      <c r="O17" s="834">
        <v>0</v>
      </c>
      <c r="P17" s="834">
        <v>0</v>
      </c>
      <c r="Q17" s="834">
        <v>0</v>
      </c>
      <c r="R17" s="834">
        <v>0</v>
      </c>
      <c r="S17" s="834">
        <v>0</v>
      </c>
      <c r="T17" s="834">
        <v>0</v>
      </c>
      <c r="U17" s="834">
        <v>0</v>
      </c>
      <c r="V17" s="834">
        <v>0</v>
      </c>
      <c r="W17" s="834">
        <v>0</v>
      </c>
      <c r="X17" s="834">
        <v>0</v>
      </c>
      <c r="Y17" s="834">
        <v>0</v>
      </c>
      <c r="Z17" s="834">
        <v>0</v>
      </c>
      <c r="AA17" s="834">
        <v>0</v>
      </c>
      <c r="AB17" s="834">
        <v>0</v>
      </c>
      <c r="AC17" s="834">
        <v>0</v>
      </c>
      <c r="AD17" s="834">
        <v>0</v>
      </c>
      <c r="AE17" s="834">
        <v>0</v>
      </c>
      <c r="AF17" s="834">
        <v>0</v>
      </c>
      <c r="AG17" s="834">
        <v>0</v>
      </c>
      <c r="AH17" s="834">
        <v>0</v>
      </c>
      <c r="AI17" s="834">
        <v>0</v>
      </c>
      <c r="AJ17" s="834">
        <v>0</v>
      </c>
      <c r="AK17" s="834">
        <v>0</v>
      </c>
      <c r="AL17" s="834">
        <v>0</v>
      </c>
      <c r="AM17" s="834">
        <v>0</v>
      </c>
      <c r="AN17" s="834">
        <v>0</v>
      </c>
      <c r="AO17" s="834">
        <v>0</v>
      </c>
      <c r="AP17" s="834">
        <v>0</v>
      </c>
      <c r="AQ17" s="834">
        <v>0</v>
      </c>
      <c r="AR17" s="834">
        <v>0</v>
      </c>
      <c r="AS17" s="834">
        <v>0</v>
      </c>
      <c r="AT17" s="834">
        <v>0</v>
      </c>
      <c r="AU17" s="834">
        <v>0</v>
      </c>
      <c r="AV17" s="834">
        <v>0</v>
      </c>
      <c r="AW17" s="834">
        <v>0</v>
      </c>
      <c r="AX17" s="834">
        <v>0</v>
      </c>
      <c r="AY17" s="834">
        <v>0</v>
      </c>
      <c r="AZ17" s="834">
        <v>0</v>
      </c>
      <c r="BA17" s="834">
        <v>0</v>
      </c>
      <c r="BB17" s="834">
        <v>0</v>
      </c>
      <c r="BC17" s="834">
        <v>0</v>
      </c>
      <c r="BD17" s="834"/>
      <c r="BE17" s="834"/>
      <c r="BF17" s="834"/>
      <c r="BG17" s="834"/>
      <c r="BH17" s="834"/>
      <c r="BI17" s="834"/>
      <c r="BJ17" s="834"/>
      <c r="BK17" s="834"/>
      <c r="BL17" s="834"/>
      <c r="BM17" s="834"/>
      <c r="BN17" s="834"/>
      <c r="BO17" s="834"/>
      <c r="BP17" s="834"/>
      <c r="BQ17" s="834"/>
      <c r="BR17" s="834"/>
      <c r="BS17" s="834"/>
    </row>
    <row r="18" spans="1:72" ht="21.95" customHeight="1">
      <c r="A18" s="2616"/>
      <c r="B18" s="2585"/>
      <c r="C18" s="814" t="s">
        <v>1559</v>
      </c>
      <c r="D18" s="833">
        <v>0</v>
      </c>
      <c r="E18" s="836">
        <v>0</v>
      </c>
      <c r="F18" s="836">
        <v>0</v>
      </c>
      <c r="G18" s="836">
        <v>0</v>
      </c>
      <c r="H18" s="836">
        <v>0</v>
      </c>
      <c r="I18" s="836">
        <v>0</v>
      </c>
      <c r="J18" s="836">
        <v>0</v>
      </c>
      <c r="K18" s="836">
        <v>0</v>
      </c>
      <c r="L18" s="836">
        <v>0</v>
      </c>
      <c r="M18" s="836">
        <v>0</v>
      </c>
      <c r="N18" s="836">
        <v>0</v>
      </c>
      <c r="O18" s="836">
        <v>0</v>
      </c>
      <c r="P18" s="836">
        <v>0</v>
      </c>
      <c r="Q18" s="836">
        <v>0</v>
      </c>
      <c r="R18" s="836">
        <v>0</v>
      </c>
      <c r="S18" s="836">
        <v>0</v>
      </c>
      <c r="T18" s="836">
        <v>0</v>
      </c>
      <c r="U18" s="836">
        <v>0</v>
      </c>
      <c r="V18" s="836">
        <v>0</v>
      </c>
      <c r="W18" s="836">
        <v>0</v>
      </c>
      <c r="X18" s="836">
        <v>0</v>
      </c>
      <c r="Y18" s="836">
        <v>0</v>
      </c>
      <c r="Z18" s="836">
        <v>0</v>
      </c>
      <c r="AA18" s="836">
        <v>0</v>
      </c>
      <c r="AB18" s="836">
        <v>0</v>
      </c>
      <c r="AC18" s="836">
        <v>0</v>
      </c>
      <c r="AD18" s="836">
        <v>0</v>
      </c>
      <c r="AE18" s="836">
        <v>0</v>
      </c>
      <c r="AF18" s="836">
        <v>0</v>
      </c>
      <c r="AG18" s="836">
        <v>0</v>
      </c>
      <c r="AH18" s="836">
        <v>0</v>
      </c>
      <c r="AI18" s="836">
        <v>0</v>
      </c>
      <c r="AJ18" s="836">
        <v>0</v>
      </c>
      <c r="AK18" s="836">
        <v>0</v>
      </c>
      <c r="AL18" s="836">
        <v>0</v>
      </c>
      <c r="AM18" s="836">
        <v>0</v>
      </c>
      <c r="AN18" s="836">
        <v>0</v>
      </c>
      <c r="AO18" s="836">
        <v>0</v>
      </c>
      <c r="AP18" s="836">
        <v>0</v>
      </c>
      <c r="AQ18" s="836">
        <v>0</v>
      </c>
      <c r="AR18" s="836">
        <v>0</v>
      </c>
      <c r="AS18" s="836">
        <v>0</v>
      </c>
      <c r="AT18" s="836">
        <v>0</v>
      </c>
      <c r="AU18" s="836">
        <v>0</v>
      </c>
      <c r="AV18" s="836">
        <v>0</v>
      </c>
      <c r="AW18" s="836">
        <v>0</v>
      </c>
      <c r="AX18" s="836">
        <v>0</v>
      </c>
      <c r="AY18" s="836">
        <v>0</v>
      </c>
      <c r="AZ18" s="836">
        <v>0</v>
      </c>
      <c r="BA18" s="836">
        <v>0</v>
      </c>
      <c r="BB18" s="836">
        <v>0</v>
      </c>
      <c r="BC18" s="836">
        <v>0</v>
      </c>
      <c r="BD18" s="836"/>
      <c r="BE18" s="816"/>
      <c r="BF18" s="816"/>
      <c r="BG18" s="816"/>
      <c r="BH18" s="816"/>
      <c r="BI18" s="816"/>
      <c r="BJ18" s="816"/>
      <c r="BK18" s="816"/>
      <c r="BL18" s="816"/>
      <c r="BM18" s="816"/>
      <c r="BN18" s="816"/>
      <c r="BO18" s="816"/>
      <c r="BP18" s="816"/>
      <c r="BQ18" s="816"/>
      <c r="BR18" s="816"/>
      <c r="BS18" s="816"/>
    </row>
    <row r="19" spans="1:72" ht="21.95" customHeight="1">
      <c r="A19" s="2616"/>
      <c r="B19" s="2585"/>
      <c r="C19" s="814" t="s">
        <v>1560</v>
      </c>
      <c r="D19" s="837">
        <v>0</v>
      </c>
      <c r="E19" s="834">
        <v>0</v>
      </c>
      <c r="F19" s="834">
        <v>0</v>
      </c>
      <c r="G19" s="834">
        <v>0</v>
      </c>
      <c r="H19" s="834">
        <v>0</v>
      </c>
      <c r="I19" s="834">
        <v>0</v>
      </c>
      <c r="J19" s="834">
        <v>0</v>
      </c>
      <c r="K19" s="834">
        <v>0</v>
      </c>
      <c r="L19" s="834">
        <v>0</v>
      </c>
      <c r="M19" s="834">
        <v>0</v>
      </c>
      <c r="N19" s="834">
        <v>0</v>
      </c>
      <c r="O19" s="834">
        <v>0</v>
      </c>
      <c r="P19" s="834">
        <v>0</v>
      </c>
      <c r="Q19" s="834">
        <v>0</v>
      </c>
      <c r="R19" s="834">
        <v>0</v>
      </c>
      <c r="S19" s="834">
        <v>0</v>
      </c>
      <c r="T19" s="834">
        <v>0</v>
      </c>
      <c r="U19" s="834">
        <v>0</v>
      </c>
      <c r="V19" s="834">
        <v>0</v>
      </c>
      <c r="W19" s="834">
        <v>0</v>
      </c>
      <c r="X19" s="834">
        <v>0</v>
      </c>
      <c r="Y19" s="834">
        <v>0</v>
      </c>
      <c r="Z19" s="834">
        <v>0</v>
      </c>
      <c r="AA19" s="834">
        <v>0</v>
      </c>
      <c r="AB19" s="834">
        <v>0</v>
      </c>
      <c r="AC19" s="834">
        <v>0</v>
      </c>
      <c r="AD19" s="834">
        <v>0</v>
      </c>
      <c r="AE19" s="834">
        <v>0</v>
      </c>
      <c r="AF19" s="834">
        <v>0</v>
      </c>
      <c r="AG19" s="834">
        <v>0</v>
      </c>
      <c r="AH19" s="834">
        <v>0</v>
      </c>
      <c r="AI19" s="834">
        <v>0</v>
      </c>
      <c r="AJ19" s="834">
        <v>0</v>
      </c>
      <c r="AK19" s="834">
        <v>0</v>
      </c>
      <c r="AL19" s="834">
        <v>0</v>
      </c>
      <c r="AM19" s="834">
        <v>0</v>
      </c>
      <c r="AN19" s="834">
        <v>0</v>
      </c>
      <c r="AO19" s="834">
        <v>0</v>
      </c>
      <c r="AP19" s="834">
        <v>0</v>
      </c>
      <c r="AQ19" s="834">
        <v>0</v>
      </c>
      <c r="AR19" s="834">
        <v>0</v>
      </c>
      <c r="AS19" s="834">
        <v>0</v>
      </c>
      <c r="AT19" s="834">
        <v>0</v>
      </c>
      <c r="AU19" s="834">
        <v>0</v>
      </c>
      <c r="AV19" s="834">
        <v>0</v>
      </c>
      <c r="AW19" s="834">
        <v>0</v>
      </c>
      <c r="AX19" s="834">
        <v>0</v>
      </c>
      <c r="AY19" s="834">
        <v>0</v>
      </c>
      <c r="AZ19" s="834">
        <v>0</v>
      </c>
      <c r="BA19" s="834">
        <v>0</v>
      </c>
      <c r="BB19" s="834">
        <v>0</v>
      </c>
      <c r="BC19" s="834">
        <v>0</v>
      </c>
      <c r="BD19" s="834"/>
      <c r="BE19" s="834"/>
      <c r="BF19" s="834"/>
      <c r="BG19" s="834"/>
      <c r="BH19" s="834"/>
      <c r="BI19" s="834"/>
      <c r="BJ19" s="834"/>
      <c r="BK19" s="834"/>
      <c r="BL19" s="834"/>
      <c r="BM19" s="834"/>
      <c r="BN19" s="834"/>
      <c r="BO19" s="834"/>
      <c r="BP19" s="834"/>
      <c r="BQ19" s="834"/>
      <c r="BR19" s="834"/>
      <c r="BS19" s="834"/>
    </row>
    <row r="20" spans="1:72" ht="21.95" customHeight="1">
      <c r="A20" s="2616"/>
      <c r="B20" s="2585"/>
      <c r="C20" s="814" t="s">
        <v>1561</v>
      </c>
      <c r="D20" s="838">
        <f>IF(D19=0,0,D4)</f>
        <v>0</v>
      </c>
      <c r="E20" s="815">
        <f t="shared" ref="E20:BC20" si="8">IF(E19=0,0,E4)</f>
        <v>0</v>
      </c>
      <c r="F20" s="815">
        <f t="shared" si="8"/>
        <v>0</v>
      </c>
      <c r="G20" s="815">
        <f t="shared" si="8"/>
        <v>0</v>
      </c>
      <c r="H20" s="815">
        <f t="shared" si="8"/>
        <v>0</v>
      </c>
      <c r="I20" s="815">
        <f t="shared" si="8"/>
        <v>0</v>
      </c>
      <c r="J20" s="815">
        <f t="shared" si="8"/>
        <v>0</v>
      </c>
      <c r="K20" s="815">
        <f t="shared" si="8"/>
        <v>0</v>
      </c>
      <c r="L20" s="815">
        <f t="shared" si="8"/>
        <v>0</v>
      </c>
      <c r="M20" s="815">
        <f t="shared" si="8"/>
        <v>0</v>
      </c>
      <c r="N20" s="815">
        <f t="shared" si="8"/>
        <v>0</v>
      </c>
      <c r="O20" s="815">
        <f t="shared" si="8"/>
        <v>0</v>
      </c>
      <c r="P20" s="815">
        <f t="shared" si="8"/>
        <v>0</v>
      </c>
      <c r="Q20" s="815">
        <f t="shared" si="8"/>
        <v>0</v>
      </c>
      <c r="R20" s="815">
        <f t="shared" si="8"/>
        <v>0</v>
      </c>
      <c r="S20" s="815">
        <f t="shared" si="8"/>
        <v>0</v>
      </c>
      <c r="T20" s="815">
        <f t="shared" si="8"/>
        <v>0</v>
      </c>
      <c r="U20" s="815">
        <f t="shared" si="8"/>
        <v>0</v>
      </c>
      <c r="V20" s="815">
        <f t="shared" si="8"/>
        <v>0</v>
      </c>
      <c r="W20" s="815">
        <f t="shared" si="8"/>
        <v>0</v>
      </c>
      <c r="X20" s="815">
        <f t="shared" si="8"/>
        <v>0</v>
      </c>
      <c r="Y20" s="815">
        <f t="shared" si="8"/>
        <v>0</v>
      </c>
      <c r="Z20" s="815">
        <f t="shared" si="8"/>
        <v>0</v>
      </c>
      <c r="AA20" s="815">
        <f t="shared" si="8"/>
        <v>0</v>
      </c>
      <c r="AB20" s="815">
        <f t="shared" si="8"/>
        <v>0</v>
      </c>
      <c r="AC20" s="815">
        <f t="shared" si="8"/>
        <v>0</v>
      </c>
      <c r="AD20" s="815">
        <f t="shared" si="8"/>
        <v>0</v>
      </c>
      <c r="AE20" s="815">
        <f t="shared" si="8"/>
        <v>0</v>
      </c>
      <c r="AF20" s="815">
        <f t="shared" si="8"/>
        <v>0</v>
      </c>
      <c r="AG20" s="815">
        <f t="shared" si="8"/>
        <v>0</v>
      </c>
      <c r="AH20" s="815">
        <f t="shared" si="8"/>
        <v>0</v>
      </c>
      <c r="AI20" s="815">
        <f t="shared" si="8"/>
        <v>0</v>
      </c>
      <c r="AJ20" s="815">
        <f t="shared" si="8"/>
        <v>0</v>
      </c>
      <c r="AK20" s="815">
        <f t="shared" si="8"/>
        <v>0</v>
      </c>
      <c r="AL20" s="815">
        <f t="shared" si="8"/>
        <v>0</v>
      </c>
      <c r="AM20" s="815">
        <f t="shared" si="8"/>
        <v>0</v>
      </c>
      <c r="AN20" s="815">
        <f t="shared" si="8"/>
        <v>0</v>
      </c>
      <c r="AO20" s="815">
        <f t="shared" si="8"/>
        <v>0</v>
      </c>
      <c r="AP20" s="815">
        <f t="shared" si="8"/>
        <v>0</v>
      </c>
      <c r="AQ20" s="815">
        <f t="shared" si="8"/>
        <v>0</v>
      </c>
      <c r="AR20" s="815">
        <f t="shared" si="8"/>
        <v>0</v>
      </c>
      <c r="AS20" s="815">
        <f t="shared" si="8"/>
        <v>0</v>
      </c>
      <c r="AT20" s="815">
        <f t="shared" si="8"/>
        <v>0</v>
      </c>
      <c r="AU20" s="815">
        <f t="shared" si="8"/>
        <v>0</v>
      </c>
      <c r="AV20" s="815">
        <f t="shared" si="8"/>
        <v>0</v>
      </c>
      <c r="AW20" s="815">
        <f t="shared" si="8"/>
        <v>0</v>
      </c>
      <c r="AX20" s="815">
        <f t="shared" si="8"/>
        <v>0</v>
      </c>
      <c r="AY20" s="815">
        <f t="shared" si="8"/>
        <v>0</v>
      </c>
      <c r="AZ20" s="815">
        <f t="shared" si="8"/>
        <v>0</v>
      </c>
      <c r="BA20" s="815">
        <f t="shared" si="8"/>
        <v>0</v>
      </c>
      <c r="BB20" s="815">
        <f t="shared" si="8"/>
        <v>0</v>
      </c>
      <c r="BC20" s="815">
        <f t="shared" si="8"/>
        <v>0</v>
      </c>
      <c r="BD20" s="815"/>
      <c r="BE20" s="815">
        <f>IF(BE19=0,0,BE4)</f>
        <v>0</v>
      </c>
      <c r="BF20" s="815">
        <f t="shared" ref="BF20:BP20" si="9">IF(BF19=0,0,BF4)</f>
        <v>0</v>
      </c>
      <c r="BG20" s="815">
        <f t="shared" si="9"/>
        <v>0</v>
      </c>
      <c r="BH20" s="815">
        <f t="shared" si="9"/>
        <v>0</v>
      </c>
      <c r="BI20" s="815">
        <f t="shared" si="9"/>
        <v>0</v>
      </c>
      <c r="BJ20" s="815">
        <f t="shared" si="9"/>
        <v>0</v>
      </c>
      <c r="BK20" s="815">
        <f t="shared" si="9"/>
        <v>0</v>
      </c>
      <c r="BL20" s="815">
        <f t="shared" si="9"/>
        <v>0</v>
      </c>
      <c r="BM20" s="815">
        <f t="shared" si="9"/>
        <v>0</v>
      </c>
      <c r="BN20" s="815">
        <f t="shared" si="9"/>
        <v>0</v>
      </c>
      <c r="BO20" s="815">
        <f t="shared" si="9"/>
        <v>0</v>
      </c>
      <c r="BP20" s="815">
        <f t="shared" si="9"/>
        <v>0</v>
      </c>
      <c r="BQ20" s="834"/>
      <c r="BR20" s="834"/>
      <c r="BS20" s="834"/>
    </row>
    <row r="21" spans="1:72" ht="21.95" customHeight="1">
      <c r="A21" s="2616"/>
      <c r="B21" s="2585"/>
      <c r="C21" s="814" t="s">
        <v>1562</v>
      </c>
      <c r="D21" s="837">
        <v>0</v>
      </c>
      <c r="E21" s="834">
        <v>0</v>
      </c>
      <c r="F21" s="834">
        <v>0</v>
      </c>
      <c r="G21" s="834">
        <v>0</v>
      </c>
      <c r="H21" s="834">
        <v>0</v>
      </c>
      <c r="I21" s="834">
        <v>0</v>
      </c>
      <c r="J21" s="834">
        <v>0</v>
      </c>
      <c r="K21" s="834">
        <v>0</v>
      </c>
      <c r="L21" s="834">
        <v>0</v>
      </c>
      <c r="M21" s="834">
        <v>0</v>
      </c>
      <c r="N21" s="834">
        <v>0</v>
      </c>
      <c r="O21" s="834">
        <v>0</v>
      </c>
      <c r="P21" s="834">
        <v>0</v>
      </c>
      <c r="Q21" s="834">
        <v>0</v>
      </c>
      <c r="R21" s="834">
        <v>0</v>
      </c>
      <c r="S21" s="834">
        <v>0</v>
      </c>
      <c r="T21" s="834">
        <v>0</v>
      </c>
      <c r="U21" s="834">
        <v>0</v>
      </c>
      <c r="V21" s="834">
        <v>0</v>
      </c>
      <c r="W21" s="834">
        <v>0</v>
      </c>
      <c r="X21" s="834">
        <v>0</v>
      </c>
      <c r="Y21" s="834">
        <v>0</v>
      </c>
      <c r="Z21" s="834">
        <v>0</v>
      </c>
      <c r="AA21" s="834">
        <v>0</v>
      </c>
      <c r="AB21" s="834">
        <v>0</v>
      </c>
      <c r="AC21" s="834">
        <v>0</v>
      </c>
      <c r="AD21" s="834">
        <v>0</v>
      </c>
      <c r="AE21" s="834">
        <v>0</v>
      </c>
      <c r="AF21" s="834">
        <v>0</v>
      </c>
      <c r="AG21" s="834">
        <v>0</v>
      </c>
      <c r="AH21" s="834">
        <v>0</v>
      </c>
      <c r="AI21" s="834">
        <v>0</v>
      </c>
      <c r="AJ21" s="834">
        <v>0</v>
      </c>
      <c r="AK21" s="834">
        <v>0</v>
      </c>
      <c r="AL21" s="834">
        <v>0</v>
      </c>
      <c r="AM21" s="834">
        <v>0</v>
      </c>
      <c r="AN21" s="834">
        <v>0</v>
      </c>
      <c r="AO21" s="834">
        <v>0</v>
      </c>
      <c r="AP21" s="834">
        <v>0</v>
      </c>
      <c r="AQ21" s="834">
        <v>0</v>
      </c>
      <c r="AR21" s="834">
        <v>0</v>
      </c>
      <c r="AS21" s="834">
        <v>0</v>
      </c>
      <c r="AT21" s="834">
        <v>0</v>
      </c>
      <c r="AU21" s="834">
        <v>0</v>
      </c>
      <c r="AV21" s="834">
        <v>0</v>
      </c>
      <c r="AW21" s="834">
        <v>0</v>
      </c>
      <c r="AX21" s="834">
        <v>0</v>
      </c>
      <c r="AY21" s="834">
        <v>0</v>
      </c>
      <c r="AZ21" s="834">
        <v>0</v>
      </c>
      <c r="BA21" s="834">
        <v>0</v>
      </c>
      <c r="BB21" s="834">
        <v>0</v>
      </c>
      <c r="BC21" s="834">
        <v>0</v>
      </c>
      <c r="BD21" s="834"/>
      <c r="BE21" s="834"/>
      <c r="BF21" s="834"/>
      <c r="BG21" s="834"/>
      <c r="BH21" s="834"/>
      <c r="BI21" s="834"/>
      <c r="BJ21" s="834"/>
      <c r="BK21" s="834"/>
      <c r="BL21" s="834"/>
      <c r="BM21" s="834"/>
      <c r="BN21" s="834"/>
      <c r="BO21" s="834"/>
      <c r="BP21" s="834"/>
      <c r="BQ21" s="834"/>
      <c r="BR21" s="834"/>
      <c r="BS21" s="834"/>
    </row>
    <row r="22" spans="1:72" s="818" customFormat="1" ht="21.95" customHeight="1">
      <c r="A22" s="2616"/>
      <c r="B22" s="2585"/>
      <c r="C22" s="814" t="s">
        <v>1563</v>
      </c>
      <c r="D22" s="838">
        <f>IF(D21=0,0,D4)</f>
        <v>0</v>
      </c>
      <c r="E22" s="815">
        <f t="shared" ref="E22:BC22" si="10">IF(E21=0,0,E4)</f>
        <v>0</v>
      </c>
      <c r="F22" s="815">
        <f t="shared" si="10"/>
        <v>0</v>
      </c>
      <c r="G22" s="815">
        <f t="shared" si="10"/>
        <v>0</v>
      </c>
      <c r="H22" s="815">
        <f t="shared" si="10"/>
        <v>0</v>
      </c>
      <c r="I22" s="815">
        <f t="shared" si="10"/>
        <v>0</v>
      </c>
      <c r="J22" s="815">
        <f t="shared" si="10"/>
        <v>0</v>
      </c>
      <c r="K22" s="815">
        <f t="shared" si="10"/>
        <v>0</v>
      </c>
      <c r="L22" s="815">
        <f t="shared" si="10"/>
        <v>0</v>
      </c>
      <c r="M22" s="815">
        <f t="shared" si="10"/>
        <v>0</v>
      </c>
      <c r="N22" s="815">
        <f t="shared" si="10"/>
        <v>0</v>
      </c>
      <c r="O22" s="815">
        <f t="shared" si="10"/>
        <v>0</v>
      </c>
      <c r="P22" s="815">
        <f t="shared" si="10"/>
        <v>0</v>
      </c>
      <c r="Q22" s="815">
        <f t="shared" si="10"/>
        <v>0</v>
      </c>
      <c r="R22" s="815">
        <f t="shared" si="10"/>
        <v>0</v>
      </c>
      <c r="S22" s="815">
        <f t="shared" si="10"/>
        <v>0</v>
      </c>
      <c r="T22" s="815">
        <f t="shared" si="10"/>
        <v>0</v>
      </c>
      <c r="U22" s="815">
        <f t="shared" si="10"/>
        <v>0</v>
      </c>
      <c r="V22" s="815">
        <f t="shared" si="10"/>
        <v>0</v>
      </c>
      <c r="W22" s="815">
        <f t="shared" si="10"/>
        <v>0</v>
      </c>
      <c r="X22" s="815">
        <f t="shared" si="10"/>
        <v>0</v>
      </c>
      <c r="Y22" s="815">
        <f t="shared" si="10"/>
        <v>0</v>
      </c>
      <c r="Z22" s="815">
        <f t="shared" si="10"/>
        <v>0</v>
      </c>
      <c r="AA22" s="815">
        <f t="shared" si="10"/>
        <v>0</v>
      </c>
      <c r="AB22" s="815">
        <f t="shared" si="10"/>
        <v>0</v>
      </c>
      <c r="AC22" s="815">
        <f t="shared" si="10"/>
        <v>0</v>
      </c>
      <c r="AD22" s="815">
        <f t="shared" si="10"/>
        <v>0</v>
      </c>
      <c r="AE22" s="815">
        <f t="shared" si="10"/>
        <v>0</v>
      </c>
      <c r="AF22" s="815">
        <f t="shared" si="10"/>
        <v>0</v>
      </c>
      <c r="AG22" s="815">
        <f t="shared" si="10"/>
        <v>0</v>
      </c>
      <c r="AH22" s="815">
        <f t="shared" si="10"/>
        <v>0</v>
      </c>
      <c r="AI22" s="815">
        <f t="shared" si="10"/>
        <v>0</v>
      </c>
      <c r="AJ22" s="815">
        <f t="shared" si="10"/>
        <v>0</v>
      </c>
      <c r="AK22" s="815">
        <f t="shared" si="10"/>
        <v>0</v>
      </c>
      <c r="AL22" s="815">
        <f t="shared" si="10"/>
        <v>0</v>
      </c>
      <c r="AM22" s="815">
        <f t="shared" si="10"/>
        <v>0</v>
      </c>
      <c r="AN22" s="815">
        <f t="shared" si="10"/>
        <v>0</v>
      </c>
      <c r="AO22" s="815">
        <f t="shared" si="10"/>
        <v>0</v>
      </c>
      <c r="AP22" s="815">
        <f t="shared" si="10"/>
        <v>0</v>
      </c>
      <c r="AQ22" s="815">
        <f t="shared" si="10"/>
        <v>0</v>
      </c>
      <c r="AR22" s="815">
        <f t="shared" si="10"/>
        <v>0</v>
      </c>
      <c r="AS22" s="815">
        <f t="shared" si="10"/>
        <v>0</v>
      </c>
      <c r="AT22" s="815">
        <f t="shared" si="10"/>
        <v>0</v>
      </c>
      <c r="AU22" s="815">
        <f t="shared" si="10"/>
        <v>0</v>
      </c>
      <c r="AV22" s="815">
        <f t="shared" si="10"/>
        <v>0</v>
      </c>
      <c r="AW22" s="815">
        <f t="shared" si="10"/>
        <v>0</v>
      </c>
      <c r="AX22" s="815">
        <f t="shared" si="10"/>
        <v>0</v>
      </c>
      <c r="AY22" s="815">
        <f t="shared" si="10"/>
        <v>0</v>
      </c>
      <c r="AZ22" s="815">
        <f t="shared" si="10"/>
        <v>0</v>
      </c>
      <c r="BA22" s="815">
        <f t="shared" si="10"/>
        <v>0</v>
      </c>
      <c r="BB22" s="815">
        <f t="shared" si="10"/>
        <v>0</v>
      </c>
      <c r="BC22" s="815">
        <f t="shared" si="10"/>
        <v>0</v>
      </c>
      <c r="BD22" s="815"/>
      <c r="BE22" s="815">
        <f>IF(BE21=0,0,BE4)</f>
        <v>0</v>
      </c>
      <c r="BF22" s="815">
        <f t="shared" ref="BF22:BP22" si="11">IF(BF21=0,0,BF4)</f>
        <v>0</v>
      </c>
      <c r="BG22" s="815">
        <f t="shared" si="11"/>
        <v>0</v>
      </c>
      <c r="BH22" s="815">
        <f t="shared" si="11"/>
        <v>0</v>
      </c>
      <c r="BI22" s="815">
        <f t="shared" si="11"/>
        <v>0</v>
      </c>
      <c r="BJ22" s="815">
        <f t="shared" si="11"/>
        <v>0</v>
      </c>
      <c r="BK22" s="815">
        <f t="shared" si="11"/>
        <v>0</v>
      </c>
      <c r="BL22" s="815">
        <f t="shared" si="11"/>
        <v>0</v>
      </c>
      <c r="BM22" s="815">
        <f t="shared" si="11"/>
        <v>0</v>
      </c>
      <c r="BN22" s="815">
        <f t="shared" si="11"/>
        <v>0</v>
      </c>
      <c r="BO22" s="815">
        <f t="shared" si="11"/>
        <v>0</v>
      </c>
      <c r="BP22" s="815">
        <f t="shared" si="11"/>
        <v>0</v>
      </c>
      <c r="BQ22" s="834"/>
      <c r="BR22" s="834"/>
      <c r="BS22" s="834"/>
      <c r="BT22" s="817"/>
    </row>
    <row r="23" spans="1:72" ht="21.95" customHeight="1">
      <c r="A23" s="2616"/>
      <c r="B23" s="2585"/>
      <c r="C23" s="814" t="s">
        <v>1564</v>
      </c>
      <c r="D23" s="837">
        <v>0</v>
      </c>
      <c r="E23" s="834">
        <v>0</v>
      </c>
      <c r="F23" s="834">
        <v>0</v>
      </c>
      <c r="G23" s="834">
        <v>0</v>
      </c>
      <c r="H23" s="834">
        <v>0</v>
      </c>
      <c r="I23" s="834">
        <v>0</v>
      </c>
      <c r="J23" s="834">
        <v>0</v>
      </c>
      <c r="K23" s="834">
        <v>0</v>
      </c>
      <c r="L23" s="834">
        <v>0</v>
      </c>
      <c r="M23" s="834">
        <v>0</v>
      </c>
      <c r="N23" s="834">
        <v>0</v>
      </c>
      <c r="O23" s="834">
        <v>0</v>
      </c>
      <c r="P23" s="834">
        <v>0</v>
      </c>
      <c r="Q23" s="834">
        <v>0</v>
      </c>
      <c r="R23" s="834">
        <v>0</v>
      </c>
      <c r="S23" s="834">
        <v>0</v>
      </c>
      <c r="T23" s="834">
        <v>0</v>
      </c>
      <c r="U23" s="834">
        <v>0</v>
      </c>
      <c r="V23" s="834">
        <v>0</v>
      </c>
      <c r="W23" s="834">
        <v>0</v>
      </c>
      <c r="X23" s="834">
        <v>0</v>
      </c>
      <c r="Y23" s="834">
        <v>0</v>
      </c>
      <c r="Z23" s="834">
        <v>0</v>
      </c>
      <c r="AA23" s="834">
        <v>0</v>
      </c>
      <c r="AB23" s="834">
        <v>0</v>
      </c>
      <c r="AC23" s="834">
        <v>0</v>
      </c>
      <c r="AD23" s="834">
        <v>0</v>
      </c>
      <c r="AE23" s="834">
        <v>0</v>
      </c>
      <c r="AF23" s="834">
        <v>0</v>
      </c>
      <c r="AG23" s="834">
        <v>0</v>
      </c>
      <c r="AH23" s="834">
        <v>0</v>
      </c>
      <c r="AI23" s="834">
        <v>0</v>
      </c>
      <c r="AJ23" s="834">
        <v>0</v>
      </c>
      <c r="AK23" s="834">
        <v>0</v>
      </c>
      <c r="AL23" s="834">
        <v>0</v>
      </c>
      <c r="AM23" s="834">
        <v>0</v>
      </c>
      <c r="AN23" s="834">
        <v>0</v>
      </c>
      <c r="AO23" s="834">
        <v>0</v>
      </c>
      <c r="AP23" s="834">
        <v>0</v>
      </c>
      <c r="AQ23" s="834">
        <v>0</v>
      </c>
      <c r="AR23" s="834">
        <v>0</v>
      </c>
      <c r="AS23" s="834">
        <v>0</v>
      </c>
      <c r="AT23" s="834">
        <v>0</v>
      </c>
      <c r="AU23" s="834">
        <v>0</v>
      </c>
      <c r="AV23" s="834">
        <v>0</v>
      </c>
      <c r="AW23" s="834">
        <v>0</v>
      </c>
      <c r="AX23" s="834">
        <v>0</v>
      </c>
      <c r="AY23" s="834">
        <v>0</v>
      </c>
      <c r="AZ23" s="834">
        <v>0</v>
      </c>
      <c r="BA23" s="834">
        <v>0</v>
      </c>
      <c r="BB23" s="834">
        <v>0</v>
      </c>
      <c r="BC23" s="834">
        <v>0</v>
      </c>
      <c r="BD23" s="834"/>
      <c r="BE23" s="834"/>
      <c r="BF23" s="834"/>
      <c r="BG23" s="834"/>
      <c r="BH23" s="834"/>
      <c r="BI23" s="834"/>
      <c r="BJ23" s="834"/>
      <c r="BK23" s="834"/>
      <c r="BL23" s="834"/>
      <c r="BM23" s="834"/>
      <c r="BN23" s="834"/>
      <c r="BO23" s="834"/>
      <c r="BP23" s="834"/>
      <c r="BQ23" s="834"/>
      <c r="BR23" s="834"/>
      <c r="BS23" s="834"/>
    </row>
    <row r="24" spans="1:72" s="818" customFormat="1" ht="21.95" customHeight="1">
      <c r="A24" s="2616"/>
      <c r="B24" s="2602"/>
      <c r="C24" s="814" t="s">
        <v>1565</v>
      </c>
      <c r="D24" s="839">
        <f>IF(D23=0,0,D4)</f>
        <v>0</v>
      </c>
      <c r="E24" s="815">
        <f t="shared" ref="E24:BC24" si="12">IF(E23=0,0,E4)</f>
        <v>0</v>
      </c>
      <c r="F24" s="815">
        <f t="shared" si="12"/>
        <v>0</v>
      </c>
      <c r="G24" s="815">
        <f t="shared" si="12"/>
        <v>0</v>
      </c>
      <c r="H24" s="815">
        <f t="shared" si="12"/>
        <v>0</v>
      </c>
      <c r="I24" s="815">
        <f t="shared" si="12"/>
        <v>0</v>
      </c>
      <c r="J24" s="815">
        <f t="shared" si="12"/>
        <v>0</v>
      </c>
      <c r="K24" s="815">
        <f t="shared" si="12"/>
        <v>0</v>
      </c>
      <c r="L24" s="815">
        <f t="shared" si="12"/>
        <v>0</v>
      </c>
      <c r="M24" s="815">
        <f t="shared" si="12"/>
        <v>0</v>
      </c>
      <c r="N24" s="815">
        <f t="shared" si="12"/>
        <v>0</v>
      </c>
      <c r="O24" s="815">
        <f t="shared" si="12"/>
        <v>0</v>
      </c>
      <c r="P24" s="815">
        <f t="shared" si="12"/>
        <v>0</v>
      </c>
      <c r="Q24" s="815">
        <f t="shared" si="12"/>
        <v>0</v>
      </c>
      <c r="R24" s="815">
        <f t="shared" si="12"/>
        <v>0</v>
      </c>
      <c r="S24" s="815">
        <f t="shared" si="12"/>
        <v>0</v>
      </c>
      <c r="T24" s="815">
        <f t="shared" si="12"/>
        <v>0</v>
      </c>
      <c r="U24" s="815">
        <f t="shared" si="12"/>
        <v>0</v>
      </c>
      <c r="V24" s="815">
        <f t="shared" si="12"/>
        <v>0</v>
      </c>
      <c r="W24" s="815">
        <f t="shared" si="12"/>
        <v>0</v>
      </c>
      <c r="X24" s="815">
        <f t="shared" si="12"/>
        <v>0</v>
      </c>
      <c r="Y24" s="815">
        <f t="shared" si="12"/>
        <v>0</v>
      </c>
      <c r="Z24" s="815">
        <f t="shared" si="12"/>
        <v>0</v>
      </c>
      <c r="AA24" s="815">
        <f t="shared" si="12"/>
        <v>0</v>
      </c>
      <c r="AB24" s="815">
        <f t="shared" si="12"/>
        <v>0</v>
      </c>
      <c r="AC24" s="815">
        <f t="shared" si="12"/>
        <v>0</v>
      </c>
      <c r="AD24" s="815">
        <f t="shared" si="12"/>
        <v>0</v>
      </c>
      <c r="AE24" s="815">
        <f t="shared" si="12"/>
        <v>0</v>
      </c>
      <c r="AF24" s="815">
        <f t="shared" si="12"/>
        <v>0</v>
      </c>
      <c r="AG24" s="815">
        <f t="shared" si="12"/>
        <v>0</v>
      </c>
      <c r="AH24" s="815">
        <f t="shared" si="12"/>
        <v>0</v>
      </c>
      <c r="AI24" s="815">
        <f t="shared" si="12"/>
        <v>0</v>
      </c>
      <c r="AJ24" s="815">
        <f t="shared" si="12"/>
        <v>0</v>
      </c>
      <c r="AK24" s="815">
        <f t="shared" si="12"/>
        <v>0</v>
      </c>
      <c r="AL24" s="815">
        <f t="shared" si="12"/>
        <v>0</v>
      </c>
      <c r="AM24" s="815">
        <f t="shared" si="12"/>
        <v>0</v>
      </c>
      <c r="AN24" s="815">
        <f t="shared" si="12"/>
        <v>0</v>
      </c>
      <c r="AO24" s="815">
        <f t="shared" si="12"/>
        <v>0</v>
      </c>
      <c r="AP24" s="815">
        <f t="shared" si="12"/>
        <v>0</v>
      </c>
      <c r="AQ24" s="815">
        <f t="shared" si="12"/>
        <v>0</v>
      </c>
      <c r="AR24" s="815">
        <f t="shared" si="12"/>
        <v>0</v>
      </c>
      <c r="AS24" s="815">
        <f t="shared" si="12"/>
        <v>0</v>
      </c>
      <c r="AT24" s="815">
        <f t="shared" si="12"/>
        <v>0</v>
      </c>
      <c r="AU24" s="815">
        <f t="shared" si="12"/>
        <v>0</v>
      </c>
      <c r="AV24" s="815">
        <f t="shared" si="12"/>
        <v>0</v>
      </c>
      <c r="AW24" s="815">
        <f t="shared" si="12"/>
        <v>0</v>
      </c>
      <c r="AX24" s="815">
        <f t="shared" si="12"/>
        <v>0</v>
      </c>
      <c r="AY24" s="815">
        <f t="shared" si="12"/>
        <v>0</v>
      </c>
      <c r="AZ24" s="815">
        <f t="shared" si="12"/>
        <v>0</v>
      </c>
      <c r="BA24" s="815">
        <f t="shared" si="12"/>
        <v>0</v>
      </c>
      <c r="BB24" s="815">
        <f t="shared" si="12"/>
        <v>0</v>
      </c>
      <c r="BC24" s="815">
        <f t="shared" si="12"/>
        <v>0</v>
      </c>
      <c r="BD24" s="815"/>
      <c r="BE24" s="815">
        <f>IF(BE23=0,0,BE4)</f>
        <v>0</v>
      </c>
      <c r="BF24" s="815">
        <f t="shared" ref="BF24:BP24" si="13">IF(BF23=0,0,BF4)</f>
        <v>0</v>
      </c>
      <c r="BG24" s="815">
        <f t="shared" si="13"/>
        <v>0</v>
      </c>
      <c r="BH24" s="815">
        <f t="shared" si="13"/>
        <v>0</v>
      </c>
      <c r="BI24" s="815">
        <f t="shared" si="13"/>
        <v>0</v>
      </c>
      <c r="BJ24" s="815">
        <f t="shared" si="13"/>
        <v>0</v>
      </c>
      <c r="BK24" s="815">
        <f t="shared" si="13"/>
        <v>0</v>
      </c>
      <c r="BL24" s="815">
        <f t="shared" si="13"/>
        <v>0</v>
      </c>
      <c r="BM24" s="815">
        <f t="shared" si="13"/>
        <v>0</v>
      </c>
      <c r="BN24" s="815">
        <f t="shared" si="13"/>
        <v>0</v>
      </c>
      <c r="BO24" s="815">
        <f t="shared" si="13"/>
        <v>0</v>
      </c>
      <c r="BP24" s="815">
        <f t="shared" si="13"/>
        <v>0</v>
      </c>
      <c r="BQ24" s="840"/>
      <c r="BR24" s="840"/>
      <c r="BS24" s="840"/>
      <c r="BT24" s="817"/>
    </row>
    <row r="25" spans="1:72" s="818" customFormat="1" ht="21.95" customHeight="1">
      <c r="A25" s="2616"/>
      <c r="B25" s="2601" t="s">
        <v>1566</v>
      </c>
      <c r="C25" s="814" t="s">
        <v>1567</v>
      </c>
      <c r="D25" s="841">
        <v>0</v>
      </c>
      <c r="E25" s="841">
        <v>0</v>
      </c>
      <c r="F25" s="841">
        <v>0</v>
      </c>
      <c r="G25" s="841">
        <v>0</v>
      </c>
      <c r="H25" s="841">
        <v>0</v>
      </c>
      <c r="I25" s="841">
        <v>0</v>
      </c>
      <c r="J25" s="841">
        <v>0</v>
      </c>
      <c r="K25" s="841">
        <v>0</v>
      </c>
      <c r="L25" s="841">
        <v>0</v>
      </c>
      <c r="M25" s="841">
        <v>0</v>
      </c>
      <c r="N25" s="841">
        <v>0</v>
      </c>
      <c r="O25" s="841">
        <v>0</v>
      </c>
      <c r="P25" s="841">
        <v>0</v>
      </c>
      <c r="Q25" s="841">
        <v>0</v>
      </c>
      <c r="R25" s="841">
        <v>0</v>
      </c>
      <c r="S25" s="841">
        <v>0</v>
      </c>
      <c r="T25" s="841">
        <v>0</v>
      </c>
      <c r="U25" s="841">
        <v>0</v>
      </c>
      <c r="V25" s="841">
        <v>0</v>
      </c>
      <c r="W25" s="841">
        <v>0</v>
      </c>
      <c r="X25" s="841">
        <v>0</v>
      </c>
      <c r="Y25" s="841">
        <v>0</v>
      </c>
      <c r="Z25" s="841">
        <v>0</v>
      </c>
      <c r="AA25" s="841">
        <v>0</v>
      </c>
      <c r="AB25" s="841">
        <v>0</v>
      </c>
      <c r="AC25" s="841">
        <v>0</v>
      </c>
      <c r="AD25" s="841">
        <v>0</v>
      </c>
      <c r="AE25" s="841">
        <v>0</v>
      </c>
      <c r="AF25" s="841">
        <v>0</v>
      </c>
      <c r="AG25" s="841">
        <v>0</v>
      </c>
      <c r="AH25" s="841">
        <v>0</v>
      </c>
      <c r="AI25" s="841">
        <v>0</v>
      </c>
      <c r="AJ25" s="841">
        <v>0</v>
      </c>
      <c r="AK25" s="841">
        <v>0</v>
      </c>
      <c r="AL25" s="841">
        <v>0</v>
      </c>
      <c r="AM25" s="841">
        <v>0</v>
      </c>
      <c r="AN25" s="841">
        <v>0</v>
      </c>
      <c r="AO25" s="841">
        <v>0</v>
      </c>
      <c r="AP25" s="841">
        <v>0</v>
      </c>
      <c r="AQ25" s="841">
        <v>0</v>
      </c>
      <c r="AR25" s="841">
        <v>0</v>
      </c>
      <c r="AS25" s="841">
        <v>0</v>
      </c>
      <c r="AT25" s="841">
        <v>0</v>
      </c>
      <c r="AU25" s="841">
        <v>0</v>
      </c>
      <c r="AV25" s="841">
        <v>0</v>
      </c>
      <c r="AW25" s="841">
        <v>0</v>
      </c>
      <c r="AX25" s="841">
        <v>0</v>
      </c>
      <c r="AY25" s="841">
        <v>0</v>
      </c>
      <c r="AZ25" s="841">
        <v>0</v>
      </c>
      <c r="BA25" s="841">
        <v>0</v>
      </c>
      <c r="BB25" s="841">
        <v>0</v>
      </c>
      <c r="BC25" s="841">
        <v>0</v>
      </c>
      <c r="BD25" s="841"/>
      <c r="BE25" s="821"/>
      <c r="BF25" s="821"/>
      <c r="BG25" s="821"/>
      <c r="BH25" s="821"/>
      <c r="BI25" s="821"/>
      <c r="BJ25" s="821"/>
      <c r="BK25" s="821"/>
      <c r="BL25" s="821"/>
      <c r="BM25" s="821"/>
      <c r="BN25" s="821"/>
      <c r="BO25" s="821"/>
      <c r="BP25" s="821"/>
      <c r="BQ25" s="821"/>
      <c r="BR25" s="821"/>
      <c r="BS25" s="821"/>
      <c r="BT25" s="817"/>
    </row>
    <row r="26" spans="1:72" s="818" customFormat="1" ht="21.95" customHeight="1">
      <c r="A26" s="2616"/>
      <c r="B26" s="2602"/>
      <c r="C26" s="814" t="s">
        <v>1568</v>
      </c>
      <c r="D26" s="842">
        <v>0</v>
      </c>
      <c r="E26" s="842">
        <v>0</v>
      </c>
      <c r="F26" s="842">
        <v>0</v>
      </c>
      <c r="G26" s="842">
        <v>0</v>
      </c>
      <c r="H26" s="842">
        <v>0</v>
      </c>
      <c r="I26" s="842">
        <v>0</v>
      </c>
      <c r="J26" s="842">
        <v>0</v>
      </c>
      <c r="K26" s="842">
        <v>0</v>
      </c>
      <c r="L26" s="842">
        <v>0</v>
      </c>
      <c r="M26" s="842">
        <v>0</v>
      </c>
      <c r="N26" s="842">
        <v>0</v>
      </c>
      <c r="O26" s="842">
        <v>0</v>
      </c>
      <c r="P26" s="842">
        <v>0</v>
      </c>
      <c r="Q26" s="842">
        <v>0</v>
      </c>
      <c r="R26" s="842">
        <v>0</v>
      </c>
      <c r="S26" s="842">
        <v>0</v>
      </c>
      <c r="T26" s="842">
        <v>0</v>
      </c>
      <c r="U26" s="842">
        <v>0</v>
      </c>
      <c r="V26" s="842">
        <v>0</v>
      </c>
      <c r="W26" s="842">
        <v>0</v>
      </c>
      <c r="X26" s="842">
        <v>0</v>
      </c>
      <c r="Y26" s="842">
        <v>0</v>
      </c>
      <c r="Z26" s="842">
        <v>0</v>
      </c>
      <c r="AA26" s="842">
        <v>0</v>
      </c>
      <c r="AB26" s="842">
        <v>0</v>
      </c>
      <c r="AC26" s="842">
        <v>0</v>
      </c>
      <c r="AD26" s="842">
        <v>0</v>
      </c>
      <c r="AE26" s="842">
        <v>0</v>
      </c>
      <c r="AF26" s="842">
        <v>0</v>
      </c>
      <c r="AG26" s="842">
        <v>0</v>
      </c>
      <c r="AH26" s="842">
        <v>0</v>
      </c>
      <c r="AI26" s="842">
        <v>0</v>
      </c>
      <c r="AJ26" s="842">
        <v>0</v>
      </c>
      <c r="AK26" s="842">
        <v>0</v>
      </c>
      <c r="AL26" s="842">
        <v>0</v>
      </c>
      <c r="AM26" s="842">
        <v>0</v>
      </c>
      <c r="AN26" s="842">
        <v>0</v>
      </c>
      <c r="AO26" s="842">
        <v>0</v>
      </c>
      <c r="AP26" s="842">
        <v>0</v>
      </c>
      <c r="AQ26" s="842">
        <v>0</v>
      </c>
      <c r="AR26" s="842">
        <v>0</v>
      </c>
      <c r="AS26" s="842">
        <v>0</v>
      </c>
      <c r="AT26" s="842">
        <v>0</v>
      </c>
      <c r="AU26" s="842">
        <v>0</v>
      </c>
      <c r="AV26" s="842">
        <v>0</v>
      </c>
      <c r="AW26" s="842">
        <v>0</v>
      </c>
      <c r="AX26" s="842">
        <v>0</v>
      </c>
      <c r="AY26" s="842">
        <v>0</v>
      </c>
      <c r="AZ26" s="842">
        <v>0</v>
      </c>
      <c r="BA26" s="842">
        <v>0</v>
      </c>
      <c r="BB26" s="842">
        <v>0</v>
      </c>
      <c r="BC26" s="842">
        <v>0</v>
      </c>
      <c r="BD26" s="842"/>
      <c r="BE26" s="816"/>
      <c r="BF26" s="816"/>
      <c r="BG26" s="816"/>
      <c r="BH26" s="816"/>
      <c r="BI26" s="816"/>
      <c r="BJ26" s="816"/>
      <c r="BK26" s="816"/>
      <c r="BL26" s="816"/>
      <c r="BM26" s="816"/>
      <c r="BN26" s="816"/>
      <c r="BO26" s="816"/>
      <c r="BP26" s="816"/>
      <c r="BQ26" s="816"/>
      <c r="BR26" s="816"/>
      <c r="BS26" s="816"/>
      <c r="BT26" s="817"/>
    </row>
    <row r="27" spans="1:72" ht="21.95" customHeight="1">
      <c r="A27" s="2616"/>
      <c r="B27" s="2601" t="s">
        <v>1569</v>
      </c>
      <c r="C27" s="814" t="s">
        <v>1570</v>
      </c>
      <c r="D27" s="843">
        <v>0</v>
      </c>
      <c r="E27" s="843">
        <v>0</v>
      </c>
      <c r="F27" s="843">
        <v>0</v>
      </c>
      <c r="G27" s="843">
        <v>0</v>
      </c>
      <c r="H27" s="843">
        <v>0</v>
      </c>
      <c r="I27" s="843">
        <v>0</v>
      </c>
      <c r="J27" s="843">
        <v>0</v>
      </c>
      <c r="K27" s="843">
        <v>0</v>
      </c>
      <c r="L27" s="843">
        <v>0</v>
      </c>
      <c r="M27" s="843">
        <v>0</v>
      </c>
      <c r="N27" s="843">
        <v>0</v>
      </c>
      <c r="O27" s="843">
        <v>0</v>
      </c>
      <c r="P27" s="843">
        <v>0</v>
      </c>
      <c r="Q27" s="843">
        <v>0</v>
      </c>
      <c r="R27" s="843">
        <v>0</v>
      </c>
      <c r="S27" s="843">
        <v>0</v>
      </c>
      <c r="T27" s="843">
        <v>0</v>
      </c>
      <c r="U27" s="843">
        <v>0</v>
      </c>
      <c r="V27" s="843">
        <v>0</v>
      </c>
      <c r="W27" s="843">
        <v>0</v>
      </c>
      <c r="X27" s="843">
        <v>0</v>
      </c>
      <c r="Y27" s="843">
        <v>0</v>
      </c>
      <c r="Z27" s="843">
        <v>0</v>
      </c>
      <c r="AA27" s="843">
        <v>0</v>
      </c>
      <c r="AB27" s="843">
        <v>0</v>
      </c>
      <c r="AC27" s="843">
        <v>0</v>
      </c>
      <c r="AD27" s="843">
        <v>0</v>
      </c>
      <c r="AE27" s="843">
        <v>0</v>
      </c>
      <c r="AF27" s="843">
        <v>0</v>
      </c>
      <c r="AG27" s="843">
        <v>0</v>
      </c>
      <c r="AH27" s="843">
        <v>0</v>
      </c>
      <c r="AI27" s="843">
        <v>0</v>
      </c>
      <c r="AJ27" s="843">
        <v>0</v>
      </c>
      <c r="AK27" s="843">
        <v>0</v>
      </c>
      <c r="AL27" s="843">
        <v>0</v>
      </c>
      <c r="AM27" s="843">
        <v>0</v>
      </c>
      <c r="AN27" s="843">
        <v>0</v>
      </c>
      <c r="AO27" s="843">
        <v>0</v>
      </c>
      <c r="AP27" s="843">
        <v>0</v>
      </c>
      <c r="AQ27" s="843">
        <v>0</v>
      </c>
      <c r="AR27" s="843">
        <v>0</v>
      </c>
      <c r="AS27" s="843">
        <v>0</v>
      </c>
      <c r="AT27" s="843">
        <v>0</v>
      </c>
      <c r="AU27" s="843">
        <v>0</v>
      </c>
      <c r="AV27" s="843">
        <v>0</v>
      </c>
      <c r="AW27" s="843">
        <v>0</v>
      </c>
      <c r="AX27" s="843">
        <v>0</v>
      </c>
      <c r="AY27" s="843">
        <v>0</v>
      </c>
      <c r="AZ27" s="843">
        <v>0</v>
      </c>
      <c r="BA27" s="843">
        <v>0</v>
      </c>
      <c r="BB27" s="843">
        <v>0</v>
      </c>
      <c r="BC27" s="843">
        <v>0</v>
      </c>
      <c r="BD27" s="843"/>
      <c r="BE27" s="821"/>
      <c r="BF27" s="821"/>
      <c r="BG27" s="821"/>
      <c r="BH27" s="821"/>
      <c r="BI27" s="821"/>
      <c r="BJ27" s="821"/>
      <c r="BK27" s="821"/>
      <c r="BL27" s="821"/>
      <c r="BM27" s="821"/>
      <c r="BN27" s="821"/>
      <c r="BO27" s="821"/>
      <c r="BP27" s="821"/>
      <c r="BQ27" s="821"/>
      <c r="BR27" s="821"/>
      <c r="BS27" s="821"/>
    </row>
    <row r="28" spans="1:72" ht="21.95" customHeight="1">
      <c r="A28" s="2616"/>
      <c r="B28" s="2585"/>
      <c r="C28" s="814" t="s">
        <v>1571</v>
      </c>
      <c r="D28" s="834">
        <v>0</v>
      </c>
      <c r="E28" s="834">
        <v>0</v>
      </c>
      <c r="F28" s="834">
        <v>0</v>
      </c>
      <c r="G28" s="834">
        <v>0</v>
      </c>
      <c r="H28" s="834">
        <v>0</v>
      </c>
      <c r="I28" s="834">
        <v>0</v>
      </c>
      <c r="J28" s="834">
        <v>0</v>
      </c>
      <c r="K28" s="834">
        <v>0</v>
      </c>
      <c r="L28" s="834">
        <v>0</v>
      </c>
      <c r="M28" s="834">
        <v>0</v>
      </c>
      <c r="N28" s="834">
        <v>0</v>
      </c>
      <c r="O28" s="834">
        <v>0</v>
      </c>
      <c r="P28" s="834">
        <v>0</v>
      </c>
      <c r="Q28" s="834">
        <v>0</v>
      </c>
      <c r="R28" s="834">
        <v>0</v>
      </c>
      <c r="S28" s="834">
        <v>0</v>
      </c>
      <c r="T28" s="834">
        <v>0</v>
      </c>
      <c r="U28" s="834">
        <v>0</v>
      </c>
      <c r="V28" s="834">
        <v>0</v>
      </c>
      <c r="W28" s="834">
        <v>0</v>
      </c>
      <c r="X28" s="834">
        <v>0</v>
      </c>
      <c r="Y28" s="834">
        <v>0</v>
      </c>
      <c r="Z28" s="834">
        <v>0</v>
      </c>
      <c r="AA28" s="834">
        <v>0</v>
      </c>
      <c r="AB28" s="834">
        <v>0</v>
      </c>
      <c r="AC28" s="834">
        <v>0</v>
      </c>
      <c r="AD28" s="834">
        <v>0</v>
      </c>
      <c r="AE28" s="834">
        <v>0</v>
      </c>
      <c r="AF28" s="834">
        <v>0</v>
      </c>
      <c r="AG28" s="834">
        <v>0</v>
      </c>
      <c r="AH28" s="834">
        <v>0</v>
      </c>
      <c r="AI28" s="834">
        <v>0</v>
      </c>
      <c r="AJ28" s="834">
        <v>0</v>
      </c>
      <c r="AK28" s="834">
        <v>0</v>
      </c>
      <c r="AL28" s="834">
        <v>0</v>
      </c>
      <c r="AM28" s="834">
        <v>0</v>
      </c>
      <c r="AN28" s="834">
        <v>0</v>
      </c>
      <c r="AO28" s="834">
        <v>0</v>
      </c>
      <c r="AP28" s="834">
        <v>0</v>
      </c>
      <c r="AQ28" s="834">
        <v>0</v>
      </c>
      <c r="AR28" s="834">
        <v>0</v>
      </c>
      <c r="AS28" s="834">
        <v>0</v>
      </c>
      <c r="AT28" s="834">
        <v>0</v>
      </c>
      <c r="AU28" s="834">
        <v>0</v>
      </c>
      <c r="AV28" s="834">
        <v>0</v>
      </c>
      <c r="AW28" s="834">
        <v>0</v>
      </c>
      <c r="AX28" s="834">
        <v>0</v>
      </c>
      <c r="AY28" s="834">
        <v>0</v>
      </c>
      <c r="AZ28" s="834">
        <v>0</v>
      </c>
      <c r="BA28" s="834">
        <v>0</v>
      </c>
      <c r="BB28" s="834">
        <v>0</v>
      </c>
      <c r="BC28" s="834">
        <v>0</v>
      </c>
      <c r="BD28" s="834"/>
      <c r="BE28" s="816"/>
      <c r="BF28" s="816"/>
      <c r="BG28" s="816"/>
      <c r="BH28" s="816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</row>
    <row r="29" spans="1:72" ht="21.95" customHeight="1">
      <c r="A29" s="2616"/>
      <c r="B29" s="2585"/>
      <c r="C29" s="814" t="s">
        <v>1572</v>
      </c>
      <c r="D29" s="834">
        <v>0</v>
      </c>
      <c r="E29" s="834">
        <v>0</v>
      </c>
      <c r="F29" s="834">
        <v>0</v>
      </c>
      <c r="G29" s="834">
        <v>0</v>
      </c>
      <c r="H29" s="834">
        <v>0</v>
      </c>
      <c r="I29" s="834">
        <v>0</v>
      </c>
      <c r="J29" s="834">
        <v>0</v>
      </c>
      <c r="K29" s="834">
        <v>0</v>
      </c>
      <c r="L29" s="834">
        <v>0</v>
      </c>
      <c r="M29" s="834">
        <v>0</v>
      </c>
      <c r="N29" s="834">
        <v>0</v>
      </c>
      <c r="O29" s="834">
        <v>0</v>
      </c>
      <c r="P29" s="834">
        <v>0</v>
      </c>
      <c r="Q29" s="834">
        <v>0</v>
      </c>
      <c r="R29" s="834">
        <v>0</v>
      </c>
      <c r="S29" s="834">
        <v>0</v>
      </c>
      <c r="T29" s="834">
        <v>0</v>
      </c>
      <c r="U29" s="834">
        <v>0</v>
      </c>
      <c r="V29" s="834">
        <v>0</v>
      </c>
      <c r="W29" s="834">
        <v>0</v>
      </c>
      <c r="X29" s="834">
        <v>0</v>
      </c>
      <c r="Y29" s="834">
        <v>0</v>
      </c>
      <c r="Z29" s="834">
        <v>0</v>
      </c>
      <c r="AA29" s="834">
        <v>0</v>
      </c>
      <c r="AB29" s="834">
        <v>0</v>
      </c>
      <c r="AC29" s="834">
        <v>0</v>
      </c>
      <c r="AD29" s="834">
        <v>0</v>
      </c>
      <c r="AE29" s="834">
        <v>0</v>
      </c>
      <c r="AF29" s="834">
        <v>0</v>
      </c>
      <c r="AG29" s="834">
        <v>0</v>
      </c>
      <c r="AH29" s="834">
        <v>0</v>
      </c>
      <c r="AI29" s="834">
        <v>0</v>
      </c>
      <c r="AJ29" s="834">
        <v>0</v>
      </c>
      <c r="AK29" s="834">
        <v>0</v>
      </c>
      <c r="AL29" s="834">
        <v>0</v>
      </c>
      <c r="AM29" s="834">
        <v>0</v>
      </c>
      <c r="AN29" s="834">
        <v>0</v>
      </c>
      <c r="AO29" s="834">
        <v>0</v>
      </c>
      <c r="AP29" s="834">
        <v>0</v>
      </c>
      <c r="AQ29" s="834">
        <v>0</v>
      </c>
      <c r="AR29" s="834">
        <v>0</v>
      </c>
      <c r="AS29" s="834">
        <v>0</v>
      </c>
      <c r="AT29" s="834">
        <v>0</v>
      </c>
      <c r="AU29" s="834">
        <v>0</v>
      </c>
      <c r="AV29" s="834">
        <v>0</v>
      </c>
      <c r="AW29" s="834">
        <v>0</v>
      </c>
      <c r="AX29" s="834">
        <v>0</v>
      </c>
      <c r="AY29" s="834">
        <v>0</v>
      </c>
      <c r="AZ29" s="834">
        <v>0</v>
      </c>
      <c r="BA29" s="834">
        <v>0</v>
      </c>
      <c r="BB29" s="834">
        <v>0</v>
      </c>
      <c r="BC29" s="834">
        <v>0</v>
      </c>
      <c r="BD29" s="834"/>
      <c r="BE29" s="816"/>
      <c r="BF29" s="816"/>
      <c r="BG29" s="816"/>
      <c r="BH29" s="816"/>
      <c r="BI29" s="816"/>
      <c r="BJ29" s="816"/>
      <c r="BK29" s="816"/>
      <c r="BL29" s="816"/>
      <c r="BM29" s="816"/>
      <c r="BN29" s="816"/>
      <c r="BO29" s="816"/>
      <c r="BP29" s="816"/>
      <c r="BQ29" s="816"/>
      <c r="BR29" s="816"/>
      <c r="BS29" s="816"/>
    </row>
    <row r="30" spans="1:72" ht="21.95" customHeight="1">
      <c r="A30" s="2616"/>
      <c r="B30" s="2585"/>
      <c r="C30" s="814" t="s">
        <v>1573</v>
      </c>
      <c r="D30" s="834">
        <v>0</v>
      </c>
      <c r="E30" s="834">
        <v>0</v>
      </c>
      <c r="F30" s="834">
        <v>0</v>
      </c>
      <c r="G30" s="834">
        <v>0</v>
      </c>
      <c r="H30" s="834">
        <v>0</v>
      </c>
      <c r="I30" s="834">
        <v>0</v>
      </c>
      <c r="J30" s="834">
        <v>0</v>
      </c>
      <c r="K30" s="834">
        <v>0</v>
      </c>
      <c r="L30" s="834">
        <v>0</v>
      </c>
      <c r="M30" s="834">
        <v>0</v>
      </c>
      <c r="N30" s="834">
        <v>0</v>
      </c>
      <c r="O30" s="834">
        <v>0</v>
      </c>
      <c r="P30" s="834">
        <v>0</v>
      </c>
      <c r="Q30" s="834">
        <v>0</v>
      </c>
      <c r="R30" s="834">
        <v>0</v>
      </c>
      <c r="S30" s="834">
        <v>0</v>
      </c>
      <c r="T30" s="834">
        <v>0</v>
      </c>
      <c r="U30" s="834">
        <v>0</v>
      </c>
      <c r="V30" s="834">
        <v>0</v>
      </c>
      <c r="W30" s="834">
        <v>0</v>
      </c>
      <c r="X30" s="834">
        <v>0</v>
      </c>
      <c r="Y30" s="834">
        <v>0</v>
      </c>
      <c r="Z30" s="834">
        <v>0</v>
      </c>
      <c r="AA30" s="834">
        <v>0</v>
      </c>
      <c r="AB30" s="834">
        <v>0</v>
      </c>
      <c r="AC30" s="834">
        <v>0</v>
      </c>
      <c r="AD30" s="834">
        <v>0</v>
      </c>
      <c r="AE30" s="834">
        <v>0</v>
      </c>
      <c r="AF30" s="834">
        <v>0</v>
      </c>
      <c r="AG30" s="834">
        <v>0</v>
      </c>
      <c r="AH30" s="834">
        <v>0</v>
      </c>
      <c r="AI30" s="834">
        <v>0</v>
      </c>
      <c r="AJ30" s="834">
        <v>0</v>
      </c>
      <c r="AK30" s="834">
        <v>0</v>
      </c>
      <c r="AL30" s="834">
        <v>0</v>
      </c>
      <c r="AM30" s="834">
        <v>0</v>
      </c>
      <c r="AN30" s="834">
        <v>0</v>
      </c>
      <c r="AO30" s="834">
        <v>0</v>
      </c>
      <c r="AP30" s="834">
        <v>0</v>
      </c>
      <c r="AQ30" s="834">
        <v>0</v>
      </c>
      <c r="AR30" s="834">
        <v>0</v>
      </c>
      <c r="AS30" s="834">
        <v>0</v>
      </c>
      <c r="AT30" s="834">
        <v>0</v>
      </c>
      <c r="AU30" s="834">
        <v>0</v>
      </c>
      <c r="AV30" s="834">
        <v>0</v>
      </c>
      <c r="AW30" s="834">
        <v>0</v>
      </c>
      <c r="AX30" s="834">
        <v>0</v>
      </c>
      <c r="AY30" s="834">
        <v>0</v>
      </c>
      <c r="AZ30" s="834">
        <v>0</v>
      </c>
      <c r="BA30" s="834">
        <v>0</v>
      </c>
      <c r="BB30" s="834">
        <v>0</v>
      </c>
      <c r="BC30" s="834">
        <v>0</v>
      </c>
      <c r="BD30" s="834"/>
      <c r="BE30" s="816"/>
      <c r="BF30" s="816"/>
      <c r="BG30" s="816"/>
      <c r="BH30" s="816"/>
      <c r="BI30" s="816"/>
      <c r="BJ30" s="816"/>
      <c r="BK30" s="816"/>
      <c r="BL30" s="816"/>
      <c r="BM30" s="816"/>
      <c r="BN30" s="816"/>
      <c r="BO30" s="816"/>
      <c r="BP30" s="816"/>
      <c r="BQ30" s="816"/>
      <c r="BR30" s="816"/>
      <c r="BS30" s="816"/>
    </row>
    <row r="31" spans="1:72" ht="21.95" customHeight="1">
      <c r="A31" s="2616"/>
      <c r="B31" s="2585"/>
      <c r="C31" s="814" t="s">
        <v>1574</v>
      </c>
      <c r="D31" s="834">
        <v>0</v>
      </c>
      <c r="E31" s="834">
        <v>0</v>
      </c>
      <c r="F31" s="834">
        <v>0</v>
      </c>
      <c r="G31" s="834">
        <v>0</v>
      </c>
      <c r="H31" s="834">
        <v>0</v>
      </c>
      <c r="I31" s="834">
        <v>0</v>
      </c>
      <c r="J31" s="834">
        <v>0</v>
      </c>
      <c r="K31" s="834">
        <v>0</v>
      </c>
      <c r="L31" s="834">
        <v>0</v>
      </c>
      <c r="M31" s="834">
        <v>0</v>
      </c>
      <c r="N31" s="834">
        <v>0</v>
      </c>
      <c r="O31" s="834">
        <v>0</v>
      </c>
      <c r="P31" s="834">
        <v>0</v>
      </c>
      <c r="Q31" s="834">
        <v>0</v>
      </c>
      <c r="R31" s="834">
        <v>0</v>
      </c>
      <c r="S31" s="834">
        <v>0</v>
      </c>
      <c r="T31" s="834">
        <v>0</v>
      </c>
      <c r="U31" s="834">
        <v>0</v>
      </c>
      <c r="V31" s="834">
        <v>0</v>
      </c>
      <c r="W31" s="834">
        <v>0</v>
      </c>
      <c r="X31" s="834">
        <v>0</v>
      </c>
      <c r="Y31" s="834">
        <v>0</v>
      </c>
      <c r="Z31" s="834">
        <v>0</v>
      </c>
      <c r="AA31" s="834">
        <v>0</v>
      </c>
      <c r="AB31" s="834">
        <v>0</v>
      </c>
      <c r="AC31" s="834">
        <v>0</v>
      </c>
      <c r="AD31" s="834">
        <v>0</v>
      </c>
      <c r="AE31" s="834">
        <v>0</v>
      </c>
      <c r="AF31" s="834">
        <v>0</v>
      </c>
      <c r="AG31" s="834">
        <v>0</v>
      </c>
      <c r="AH31" s="834">
        <v>0</v>
      </c>
      <c r="AI31" s="834">
        <v>0</v>
      </c>
      <c r="AJ31" s="834">
        <v>0</v>
      </c>
      <c r="AK31" s="834">
        <v>0</v>
      </c>
      <c r="AL31" s="834">
        <v>0</v>
      </c>
      <c r="AM31" s="834">
        <v>0</v>
      </c>
      <c r="AN31" s="834">
        <v>0</v>
      </c>
      <c r="AO31" s="834">
        <v>0</v>
      </c>
      <c r="AP31" s="834">
        <v>0</v>
      </c>
      <c r="AQ31" s="834">
        <v>0</v>
      </c>
      <c r="AR31" s="834">
        <v>0</v>
      </c>
      <c r="AS31" s="834">
        <v>0</v>
      </c>
      <c r="AT31" s="834">
        <v>0</v>
      </c>
      <c r="AU31" s="834">
        <v>0</v>
      </c>
      <c r="AV31" s="834">
        <v>0</v>
      </c>
      <c r="AW31" s="834">
        <v>0</v>
      </c>
      <c r="AX31" s="834">
        <v>0</v>
      </c>
      <c r="AY31" s="834">
        <v>0</v>
      </c>
      <c r="AZ31" s="834">
        <v>0</v>
      </c>
      <c r="BA31" s="834">
        <v>0</v>
      </c>
      <c r="BB31" s="834">
        <v>0</v>
      </c>
      <c r="BC31" s="834">
        <v>0</v>
      </c>
      <c r="BD31" s="834"/>
      <c r="BE31" s="816"/>
      <c r="BF31" s="816"/>
      <c r="BG31" s="816"/>
      <c r="BH31" s="816"/>
      <c r="BI31" s="816"/>
      <c r="BJ31" s="816"/>
      <c r="BK31" s="816"/>
      <c r="BL31" s="816"/>
      <c r="BM31" s="816"/>
      <c r="BN31" s="816"/>
      <c r="BO31" s="816"/>
      <c r="BP31" s="816"/>
      <c r="BQ31" s="816"/>
      <c r="BR31" s="816"/>
      <c r="BS31" s="816"/>
    </row>
    <row r="32" spans="1:72" ht="21.95" customHeight="1">
      <c r="A32" s="2616"/>
      <c r="B32" s="2585"/>
      <c r="C32" s="814" t="s">
        <v>1575</v>
      </c>
      <c r="D32" s="834">
        <v>0</v>
      </c>
      <c r="E32" s="834">
        <v>0</v>
      </c>
      <c r="F32" s="834">
        <v>0</v>
      </c>
      <c r="G32" s="834">
        <v>0</v>
      </c>
      <c r="H32" s="834">
        <v>0</v>
      </c>
      <c r="I32" s="834">
        <v>0</v>
      </c>
      <c r="J32" s="834">
        <v>0</v>
      </c>
      <c r="K32" s="834">
        <v>0</v>
      </c>
      <c r="L32" s="834">
        <v>0</v>
      </c>
      <c r="M32" s="834">
        <v>0</v>
      </c>
      <c r="N32" s="834">
        <v>0</v>
      </c>
      <c r="O32" s="834">
        <v>0</v>
      </c>
      <c r="P32" s="834">
        <v>0</v>
      </c>
      <c r="Q32" s="834">
        <v>0</v>
      </c>
      <c r="R32" s="834">
        <v>0</v>
      </c>
      <c r="S32" s="834">
        <v>0</v>
      </c>
      <c r="T32" s="834">
        <v>0</v>
      </c>
      <c r="U32" s="834">
        <v>0</v>
      </c>
      <c r="V32" s="834">
        <v>0</v>
      </c>
      <c r="W32" s="834">
        <v>0</v>
      </c>
      <c r="X32" s="834">
        <v>0</v>
      </c>
      <c r="Y32" s="834">
        <v>0</v>
      </c>
      <c r="Z32" s="834">
        <v>0</v>
      </c>
      <c r="AA32" s="834">
        <v>0</v>
      </c>
      <c r="AB32" s="834">
        <v>0</v>
      </c>
      <c r="AC32" s="834">
        <v>0</v>
      </c>
      <c r="AD32" s="834">
        <v>0</v>
      </c>
      <c r="AE32" s="834">
        <v>0</v>
      </c>
      <c r="AF32" s="834">
        <v>0</v>
      </c>
      <c r="AG32" s="834">
        <v>0</v>
      </c>
      <c r="AH32" s="834">
        <v>0</v>
      </c>
      <c r="AI32" s="834">
        <v>0</v>
      </c>
      <c r="AJ32" s="834">
        <v>0</v>
      </c>
      <c r="AK32" s="834">
        <v>0</v>
      </c>
      <c r="AL32" s="834">
        <v>0</v>
      </c>
      <c r="AM32" s="834">
        <v>0</v>
      </c>
      <c r="AN32" s="834">
        <v>0</v>
      </c>
      <c r="AO32" s="834">
        <v>0</v>
      </c>
      <c r="AP32" s="834">
        <v>0</v>
      </c>
      <c r="AQ32" s="834">
        <v>0</v>
      </c>
      <c r="AR32" s="834">
        <v>0</v>
      </c>
      <c r="AS32" s="834">
        <v>0</v>
      </c>
      <c r="AT32" s="834">
        <v>0</v>
      </c>
      <c r="AU32" s="834">
        <v>0</v>
      </c>
      <c r="AV32" s="834">
        <v>0</v>
      </c>
      <c r="AW32" s="834">
        <v>0</v>
      </c>
      <c r="AX32" s="834">
        <v>0</v>
      </c>
      <c r="AY32" s="834">
        <v>0</v>
      </c>
      <c r="AZ32" s="834">
        <v>0</v>
      </c>
      <c r="BA32" s="834">
        <v>0</v>
      </c>
      <c r="BB32" s="834">
        <v>0</v>
      </c>
      <c r="BC32" s="834">
        <v>0</v>
      </c>
      <c r="BD32" s="834"/>
      <c r="BE32" s="816"/>
      <c r="BF32" s="816"/>
      <c r="BG32" s="816"/>
      <c r="BH32" s="816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</row>
    <row r="33" spans="1:72" s="846" customFormat="1" ht="21.95" customHeight="1">
      <c r="A33" s="2616"/>
      <c r="B33" s="2585"/>
      <c r="C33" s="814" t="s">
        <v>1576</v>
      </c>
      <c r="D33" s="842">
        <v>0</v>
      </c>
      <c r="E33" s="842">
        <v>0</v>
      </c>
      <c r="F33" s="842">
        <v>0</v>
      </c>
      <c r="G33" s="842">
        <v>0</v>
      </c>
      <c r="H33" s="842">
        <v>0</v>
      </c>
      <c r="I33" s="842">
        <v>0</v>
      </c>
      <c r="J33" s="842">
        <v>0</v>
      </c>
      <c r="K33" s="842">
        <v>0</v>
      </c>
      <c r="L33" s="842">
        <v>0</v>
      </c>
      <c r="M33" s="842">
        <v>0</v>
      </c>
      <c r="N33" s="842">
        <v>0</v>
      </c>
      <c r="O33" s="842">
        <v>0</v>
      </c>
      <c r="P33" s="842">
        <v>0</v>
      </c>
      <c r="Q33" s="842">
        <v>0</v>
      </c>
      <c r="R33" s="842">
        <v>0</v>
      </c>
      <c r="S33" s="842">
        <v>0</v>
      </c>
      <c r="T33" s="842">
        <v>0</v>
      </c>
      <c r="U33" s="842">
        <v>0</v>
      </c>
      <c r="V33" s="842">
        <v>0</v>
      </c>
      <c r="W33" s="842">
        <v>0</v>
      </c>
      <c r="X33" s="842">
        <v>0</v>
      </c>
      <c r="Y33" s="842">
        <v>0</v>
      </c>
      <c r="Z33" s="842">
        <v>0</v>
      </c>
      <c r="AA33" s="842">
        <v>0</v>
      </c>
      <c r="AB33" s="842">
        <v>0</v>
      </c>
      <c r="AC33" s="842">
        <v>0</v>
      </c>
      <c r="AD33" s="842">
        <v>0</v>
      </c>
      <c r="AE33" s="842">
        <v>0</v>
      </c>
      <c r="AF33" s="842">
        <v>0</v>
      </c>
      <c r="AG33" s="842">
        <v>0</v>
      </c>
      <c r="AH33" s="842">
        <v>0</v>
      </c>
      <c r="AI33" s="842">
        <v>0</v>
      </c>
      <c r="AJ33" s="842">
        <v>0</v>
      </c>
      <c r="AK33" s="842">
        <v>0</v>
      </c>
      <c r="AL33" s="842">
        <v>0</v>
      </c>
      <c r="AM33" s="842">
        <v>0</v>
      </c>
      <c r="AN33" s="842">
        <v>0</v>
      </c>
      <c r="AO33" s="842">
        <v>0</v>
      </c>
      <c r="AP33" s="842">
        <v>0</v>
      </c>
      <c r="AQ33" s="842">
        <v>0</v>
      </c>
      <c r="AR33" s="842">
        <v>0</v>
      </c>
      <c r="AS33" s="842">
        <v>0</v>
      </c>
      <c r="AT33" s="842">
        <v>0</v>
      </c>
      <c r="AU33" s="842">
        <v>0</v>
      </c>
      <c r="AV33" s="842">
        <v>0</v>
      </c>
      <c r="AW33" s="842">
        <v>0</v>
      </c>
      <c r="AX33" s="842">
        <v>0</v>
      </c>
      <c r="AY33" s="842">
        <v>0</v>
      </c>
      <c r="AZ33" s="842">
        <v>0</v>
      </c>
      <c r="BA33" s="842">
        <v>0</v>
      </c>
      <c r="BB33" s="842">
        <v>0</v>
      </c>
      <c r="BC33" s="842">
        <v>0</v>
      </c>
      <c r="BD33" s="842"/>
      <c r="BE33" s="844"/>
      <c r="BF33" s="844"/>
      <c r="BG33" s="844"/>
      <c r="BH33" s="844"/>
      <c r="BI33" s="844"/>
      <c r="BJ33" s="844"/>
      <c r="BK33" s="844"/>
      <c r="BL33" s="844"/>
      <c r="BM33" s="844"/>
      <c r="BN33" s="844"/>
      <c r="BO33" s="844"/>
      <c r="BP33" s="844"/>
      <c r="BQ33" s="844"/>
      <c r="BR33" s="844"/>
      <c r="BS33" s="844"/>
      <c r="BT33" s="845"/>
    </row>
    <row r="34" spans="1:72" s="846" customFormat="1" ht="21.95" customHeight="1">
      <c r="A34" s="2616"/>
      <c r="B34" s="2585"/>
      <c r="C34" s="814" t="s">
        <v>1577</v>
      </c>
      <c r="D34" s="842">
        <v>0</v>
      </c>
      <c r="E34" s="842">
        <v>0</v>
      </c>
      <c r="F34" s="842">
        <v>0</v>
      </c>
      <c r="G34" s="842">
        <v>0</v>
      </c>
      <c r="H34" s="842">
        <v>0</v>
      </c>
      <c r="I34" s="842">
        <v>0</v>
      </c>
      <c r="J34" s="842">
        <v>0</v>
      </c>
      <c r="K34" s="842">
        <v>0</v>
      </c>
      <c r="L34" s="842">
        <v>0</v>
      </c>
      <c r="M34" s="842">
        <v>0</v>
      </c>
      <c r="N34" s="842">
        <v>0</v>
      </c>
      <c r="O34" s="842">
        <v>0</v>
      </c>
      <c r="P34" s="842">
        <v>0</v>
      </c>
      <c r="Q34" s="842">
        <v>0</v>
      </c>
      <c r="R34" s="842">
        <v>0</v>
      </c>
      <c r="S34" s="842">
        <v>0</v>
      </c>
      <c r="T34" s="842">
        <v>0</v>
      </c>
      <c r="U34" s="842">
        <v>0</v>
      </c>
      <c r="V34" s="842">
        <v>0</v>
      </c>
      <c r="W34" s="842">
        <v>0</v>
      </c>
      <c r="X34" s="842">
        <v>0</v>
      </c>
      <c r="Y34" s="842">
        <v>0</v>
      </c>
      <c r="Z34" s="842">
        <v>0</v>
      </c>
      <c r="AA34" s="842">
        <v>0</v>
      </c>
      <c r="AB34" s="842">
        <v>0</v>
      </c>
      <c r="AC34" s="842">
        <v>0</v>
      </c>
      <c r="AD34" s="842">
        <v>0</v>
      </c>
      <c r="AE34" s="842">
        <v>0</v>
      </c>
      <c r="AF34" s="842">
        <v>0</v>
      </c>
      <c r="AG34" s="842">
        <v>0</v>
      </c>
      <c r="AH34" s="842">
        <v>0</v>
      </c>
      <c r="AI34" s="842">
        <v>0</v>
      </c>
      <c r="AJ34" s="842">
        <v>0</v>
      </c>
      <c r="AK34" s="842">
        <v>0</v>
      </c>
      <c r="AL34" s="842">
        <v>0</v>
      </c>
      <c r="AM34" s="842">
        <v>0</v>
      </c>
      <c r="AN34" s="842">
        <v>0</v>
      </c>
      <c r="AO34" s="842">
        <v>0</v>
      </c>
      <c r="AP34" s="842">
        <v>0</v>
      </c>
      <c r="AQ34" s="842">
        <v>0</v>
      </c>
      <c r="AR34" s="842">
        <v>0</v>
      </c>
      <c r="AS34" s="842">
        <v>0</v>
      </c>
      <c r="AT34" s="842">
        <v>0</v>
      </c>
      <c r="AU34" s="842">
        <v>0</v>
      </c>
      <c r="AV34" s="842">
        <v>0</v>
      </c>
      <c r="AW34" s="842">
        <v>0</v>
      </c>
      <c r="AX34" s="842">
        <v>0</v>
      </c>
      <c r="AY34" s="842">
        <v>0</v>
      </c>
      <c r="AZ34" s="842">
        <v>0</v>
      </c>
      <c r="BA34" s="842">
        <v>0</v>
      </c>
      <c r="BB34" s="842">
        <v>0</v>
      </c>
      <c r="BC34" s="842">
        <v>0</v>
      </c>
      <c r="BD34" s="842"/>
      <c r="BE34" s="844"/>
      <c r="BF34" s="844"/>
      <c r="BG34" s="844"/>
      <c r="BH34" s="844"/>
      <c r="BI34" s="844"/>
      <c r="BJ34" s="844"/>
      <c r="BK34" s="844"/>
      <c r="BL34" s="844"/>
      <c r="BM34" s="844"/>
      <c r="BN34" s="844"/>
      <c r="BO34" s="844"/>
      <c r="BP34" s="844"/>
      <c r="BQ34" s="844"/>
      <c r="BR34" s="844"/>
      <c r="BS34" s="844"/>
      <c r="BT34" s="845"/>
    </row>
    <row r="35" spans="1:72" s="846" customFormat="1" ht="21.95" customHeight="1">
      <c r="A35" s="2616"/>
      <c r="B35" s="2585"/>
      <c r="C35" s="814" t="s">
        <v>1578</v>
      </c>
      <c r="D35" s="842">
        <v>0</v>
      </c>
      <c r="E35" s="842">
        <v>0</v>
      </c>
      <c r="F35" s="842">
        <v>0</v>
      </c>
      <c r="G35" s="842">
        <v>0</v>
      </c>
      <c r="H35" s="842">
        <v>0</v>
      </c>
      <c r="I35" s="842">
        <v>0</v>
      </c>
      <c r="J35" s="842">
        <v>0</v>
      </c>
      <c r="K35" s="842">
        <v>0</v>
      </c>
      <c r="L35" s="842">
        <v>0</v>
      </c>
      <c r="M35" s="842">
        <v>0</v>
      </c>
      <c r="N35" s="842">
        <v>0</v>
      </c>
      <c r="O35" s="842">
        <v>0</v>
      </c>
      <c r="P35" s="842">
        <v>0</v>
      </c>
      <c r="Q35" s="842">
        <v>0</v>
      </c>
      <c r="R35" s="842">
        <v>0</v>
      </c>
      <c r="S35" s="842">
        <v>0</v>
      </c>
      <c r="T35" s="842">
        <v>0</v>
      </c>
      <c r="U35" s="842">
        <v>0</v>
      </c>
      <c r="V35" s="842">
        <v>0</v>
      </c>
      <c r="W35" s="842">
        <v>0</v>
      </c>
      <c r="X35" s="842">
        <v>0</v>
      </c>
      <c r="Y35" s="842">
        <v>0</v>
      </c>
      <c r="Z35" s="842">
        <v>0</v>
      </c>
      <c r="AA35" s="842">
        <v>0</v>
      </c>
      <c r="AB35" s="842">
        <v>0</v>
      </c>
      <c r="AC35" s="842">
        <v>0</v>
      </c>
      <c r="AD35" s="842">
        <v>0</v>
      </c>
      <c r="AE35" s="842">
        <v>0</v>
      </c>
      <c r="AF35" s="842">
        <v>0</v>
      </c>
      <c r="AG35" s="842">
        <v>0</v>
      </c>
      <c r="AH35" s="842">
        <v>0</v>
      </c>
      <c r="AI35" s="842">
        <v>0</v>
      </c>
      <c r="AJ35" s="842">
        <v>0</v>
      </c>
      <c r="AK35" s="842">
        <v>0</v>
      </c>
      <c r="AL35" s="842">
        <v>0</v>
      </c>
      <c r="AM35" s="842">
        <v>0</v>
      </c>
      <c r="AN35" s="842">
        <v>0</v>
      </c>
      <c r="AO35" s="842">
        <v>0</v>
      </c>
      <c r="AP35" s="842">
        <v>0</v>
      </c>
      <c r="AQ35" s="842">
        <v>0</v>
      </c>
      <c r="AR35" s="842">
        <v>0</v>
      </c>
      <c r="AS35" s="842">
        <v>0</v>
      </c>
      <c r="AT35" s="842">
        <v>0</v>
      </c>
      <c r="AU35" s="842">
        <v>0</v>
      </c>
      <c r="AV35" s="842">
        <v>0</v>
      </c>
      <c r="AW35" s="842">
        <v>0</v>
      </c>
      <c r="AX35" s="842">
        <v>0</v>
      </c>
      <c r="AY35" s="842">
        <v>0</v>
      </c>
      <c r="AZ35" s="842">
        <v>0</v>
      </c>
      <c r="BA35" s="842">
        <v>0</v>
      </c>
      <c r="BB35" s="842">
        <v>0</v>
      </c>
      <c r="BC35" s="842">
        <v>0</v>
      </c>
      <c r="BD35" s="842"/>
      <c r="BE35" s="844"/>
      <c r="BF35" s="844"/>
      <c r="BG35" s="844"/>
      <c r="BH35" s="844"/>
      <c r="BI35" s="844"/>
      <c r="BJ35" s="844"/>
      <c r="BK35" s="844"/>
      <c r="BL35" s="844"/>
      <c r="BM35" s="844"/>
      <c r="BN35" s="844"/>
      <c r="BO35" s="844"/>
      <c r="BP35" s="844"/>
      <c r="BQ35" s="844"/>
      <c r="BR35" s="844"/>
      <c r="BS35" s="844"/>
      <c r="BT35" s="845"/>
    </row>
    <row r="36" spans="1:72" s="846" customFormat="1" ht="21.95" customHeight="1">
      <c r="A36" s="2616"/>
      <c r="B36" s="2585"/>
      <c r="C36" s="814" t="s">
        <v>1579</v>
      </c>
      <c r="D36" s="842">
        <v>0</v>
      </c>
      <c r="E36" s="842">
        <v>0</v>
      </c>
      <c r="F36" s="842">
        <v>0</v>
      </c>
      <c r="G36" s="842">
        <v>0</v>
      </c>
      <c r="H36" s="842">
        <v>0</v>
      </c>
      <c r="I36" s="842">
        <v>0</v>
      </c>
      <c r="J36" s="842">
        <v>0</v>
      </c>
      <c r="K36" s="842">
        <v>0</v>
      </c>
      <c r="L36" s="842">
        <v>0</v>
      </c>
      <c r="M36" s="842">
        <v>0</v>
      </c>
      <c r="N36" s="842">
        <v>0</v>
      </c>
      <c r="O36" s="842">
        <v>0</v>
      </c>
      <c r="P36" s="842">
        <v>0</v>
      </c>
      <c r="Q36" s="842">
        <v>0</v>
      </c>
      <c r="R36" s="842">
        <v>0</v>
      </c>
      <c r="S36" s="842">
        <v>0</v>
      </c>
      <c r="T36" s="842">
        <v>0</v>
      </c>
      <c r="U36" s="842">
        <v>0</v>
      </c>
      <c r="V36" s="842">
        <v>0</v>
      </c>
      <c r="W36" s="842">
        <v>0</v>
      </c>
      <c r="X36" s="842">
        <v>0</v>
      </c>
      <c r="Y36" s="842">
        <v>0</v>
      </c>
      <c r="Z36" s="842">
        <v>0</v>
      </c>
      <c r="AA36" s="842">
        <v>0</v>
      </c>
      <c r="AB36" s="842">
        <v>0</v>
      </c>
      <c r="AC36" s="842">
        <v>0</v>
      </c>
      <c r="AD36" s="842">
        <v>0</v>
      </c>
      <c r="AE36" s="842">
        <v>0</v>
      </c>
      <c r="AF36" s="842">
        <v>0</v>
      </c>
      <c r="AG36" s="842">
        <v>0</v>
      </c>
      <c r="AH36" s="842">
        <v>0</v>
      </c>
      <c r="AI36" s="842">
        <v>0</v>
      </c>
      <c r="AJ36" s="842">
        <v>0</v>
      </c>
      <c r="AK36" s="842">
        <v>0</v>
      </c>
      <c r="AL36" s="842">
        <v>0</v>
      </c>
      <c r="AM36" s="842">
        <v>0</v>
      </c>
      <c r="AN36" s="842">
        <v>0</v>
      </c>
      <c r="AO36" s="842">
        <v>0</v>
      </c>
      <c r="AP36" s="842">
        <v>0</v>
      </c>
      <c r="AQ36" s="842">
        <v>0</v>
      </c>
      <c r="AR36" s="842">
        <v>0</v>
      </c>
      <c r="AS36" s="842">
        <v>0</v>
      </c>
      <c r="AT36" s="842">
        <v>0</v>
      </c>
      <c r="AU36" s="842">
        <v>0</v>
      </c>
      <c r="AV36" s="842">
        <v>0</v>
      </c>
      <c r="AW36" s="842">
        <v>0</v>
      </c>
      <c r="AX36" s="842">
        <v>0</v>
      </c>
      <c r="AY36" s="842">
        <v>0</v>
      </c>
      <c r="AZ36" s="842">
        <v>0</v>
      </c>
      <c r="BA36" s="842">
        <v>0</v>
      </c>
      <c r="BB36" s="842">
        <v>0</v>
      </c>
      <c r="BC36" s="842">
        <v>0</v>
      </c>
      <c r="BD36" s="842"/>
      <c r="BE36" s="844"/>
      <c r="BF36" s="844"/>
      <c r="BG36" s="844"/>
      <c r="BH36" s="844"/>
      <c r="BI36" s="844"/>
      <c r="BJ36" s="844"/>
      <c r="BK36" s="844"/>
      <c r="BL36" s="844"/>
      <c r="BM36" s="844"/>
      <c r="BN36" s="844"/>
      <c r="BO36" s="844"/>
      <c r="BP36" s="844"/>
      <c r="BQ36" s="844"/>
      <c r="BR36" s="844"/>
      <c r="BS36" s="844"/>
      <c r="BT36" s="845"/>
    </row>
    <row r="37" spans="1:72" s="846" customFormat="1" ht="21.95" customHeight="1">
      <c r="A37" s="2616"/>
      <c r="B37" s="2602"/>
      <c r="C37" s="814" t="s">
        <v>1580</v>
      </c>
      <c r="D37" s="847">
        <v>0</v>
      </c>
      <c r="E37" s="847">
        <v>0</v>
      </c>
      <c r="F37" s="847">
        <v>0</v>
      </c>
      <c r="G37" s="847">
        <v>0</v>
      </c>
      <c r="H37" s="847">
        <v>0</v>
      </c>
      <c r="I37" s="847">
        <v>0</v>
      </c>
      <c r="J37" s="847">
        <v>0</v>
      </c>
      <c r="K37" s="847">
        <v>0</v>
      </c>
      <c r="L37" s="847">
        <v>0</v>
      </c>
      <c r="M37" s="847">
        <v>0</v>
      </c>
      <c r="N37" s="847">
        <v>0</v>
      </c>
      <c r="O37" s="847">
        <v>0</v>
      </c>
      <c r="P37" s="847">
        <v>0</v>
      </c>
      <c r="Q37" s="847">
        <v>0</v>
      </c>
      <c r="R37" s="847">
        <v>0</v>
      </c>
      <c r="S37" s="847">
        <v>0</v>
      </c>
      <c r="T37" s="847">
        <v>0</v>
      </c>
      <c r="U37" s="847">
        <v>0</v>
      </c>
      <c r="V37" s="847">
        <v>0</v>
      </c>
      <c r="W37" s="847">
        <v>0</v>
      </c>
      <c r="X37" s="847">
        <v>0</v>
      </c>
      <c r="Y37" s="847">
        <v>0</v>
      </c>
      <c r="Z37" s="847">
        <v>0</v>
      </c>
      <c r="AA37" s="847">
        <v>0</v>
      </c>
      <c r="AB37" s="847">
        <v>0</v>
      </c>
      <c r="AC37" s="847">
        <v>0</v>
      </c>
      <c r="AD37" s="847">
        <v>0</v>
      </c>
      <c r="AE37" s="847">
        <v>0</v>
      </c>
      <c r="AF37" s="847">
        <v>0</v>
      </c>
      <c r="AG37" s="847">
        <v>0</v>
      </c>
      <c r="AH37" s="847">
        <v>0</v>
      </c>
      <c r="AI37" s="847">
        <v>0</v>
      </c>
      <c r="AJ37" s="847">
        <v>0</v>
      </c>
      <c r="AK37" s="847">
        <v>0</v>
      </c>
      <c r="AL37" s="847">
        <v>0</v>
      </c>
      <c r="AM37" s="847">
        <v>0</v>
      </c>
      <c r="AN37" s="847">
        <v>0</v>
      </c>
      <c r="AO37" s="847">
        <v>0</v>
      </c>
      <c r="AP37" s="847">
        <v>0</v>
      </c>
      <c r="AQ37" s="847">
        <v>0</v>
      </c>
      <c r="AR37" s="847">
        <v>0</v>
      </c>
      <c r="AS37" s="847">
        <v>0</v>
      </c>
      <c r="AT37" s="847">
        <v>0</v>
      </c>
      <c r="AU37" s="847">
        <v>0</v>
      </c>
      <c r="AV37" s="847">
        <v>0</v>
      </c>
      <c r="AW37" s="847">
        <v>0</v>
      </c>
      <c r="AX37" s="847">
        <v>0</v>
      </c>
      <c r="AY37" s="847">
        <v>0</v>
      </c>
      <c r="AZ37" s="847">
        <v>0</v>
      </c>
      <c r="BA37" s="847">
        <v>0</v>
      </c>
      <c r="BB37" s="847">
        <v>0</v>
      </c>
      <c r="BC37" s="847">
        <v>0</v>
      </c>
      <c r="BD37" s="847"/>
      <c r="BE37" s="848"/>
      <c r="BF37" s="848"/>
      <c r="BG37" s="848"/>
      <c r="BH37" s="848"/>
      <c r="BI37" s="848"/>
      <c r="BJ37" s="848"/>
      <c r="BK37" s="848"/>
      <c r="BL37" s="848"/>
      <c r="BM37" s="848"/>
      <c r="BN37" s="848"/>
      <c r="BO37" s="848"/>
      <c r="BP37" s="848"/>
      <c r="BQ37" s="848"/>
      <c r="BR37" s="848"/>
      <c r="BS37" s="848"/>
      <c r="BT37" s="845"/>
    </row>
    <row r="38" spans="1:72" ht="21.95" customHeight="1">
      <c r="A38" s="2616"/>
      <c r="B38" s="2605" t="s">
        <v>1581</v>
      </c>
      <c r="C38" s="814">
        <v>0.4</v>
      </c>
      <c r="D38" s="834">
        <v>0</v>
      </c>
      <c r="E38" s="834">
        <v>0</v>
      </c>
      <c r="F38" s="834">
        <v>0</v>
      </c>
      <c r="G38" s="834">
        <v>0</v>
      </c>
      <c r="H38" s="834">
        <v>0</v>
      </c>
      <c r="I38" s="834">
        <v>0</v>
      </c>
      <c r="J38" s="834">
        <v>0</v>
      </c>
      <c r="K38" s="834">
        <v>0</v>
      </c>
      <c r="L38" s="834">
        <v>0</v>
      </c>
      <c r="M38" s="834">
        <v>0</v>
      </c>
      <c r="N38" s="834">
        <v>0</v>
      </c>
      <c r="O38" s="834">
        <v>0</v>
      </c>
      <c r="P38" s="834">
        <v>0</v>
      </c>
      <c r="Q38" s="834">
        <v>0</v>
      </c>
      <c r="R38" s="834">
        <v>0</v>
      </c>
      <c r="S38" s="834">
        <v>0</v>
      </c>
      <c r="T38" s="834">
        <v>0</v>
      </c>
      <c r="U38" s="834">
        <v>0</v>
      </c>
      <c r="V38" s="834">
        <v>0</v>
      </c>
      <c r="W38" s="834">
        <v>0</v>
      </c>
      <c r="X38" s="834">
        <v>0</v>
      </c>
      <c r="Y38" s="834">
        <v>0</v>
      </c>
      <c r="Z38" s="834">
        <v>0</v>
      </c>
      <c r="AA38" s="834">
        <v>0</v>
      </c>
      <c r="AB38" s="834">
        <v>0</v>
      </c>
      <c r="AC38" s="834">
        <v>0</v>
      </c>
      <c r="AD38" s="834">
        <v>0</v>
      </c>
      <c r="AE38" s="834">
        <v>0</v>
      </c>
      <c r="AF38" s="834">
        <v>0</v>
      </c>
      <c r="AG38" s="834">
        <v>0</v>
      </c>
      <c r="AH38" s="834">
        <v>0</v>
      </c>
      <c r="AI38" s="834">
        <v>0</v>
      </c>
      <c r="AJ38" s="834">
        <v>0</v>
      </c>
      <c r="AK38" s="834">
        <v>0</v>
      </c>
      <c r="AL38" s="834">
        <v>0</v>
      </c>
      <c r="AM38" s="834">
        <v>0</v>
      </c>
      <c r="AN38" s="834">
        <v>0</v>
      </c>
      <c r="AO38" s="834">
        <v>0</v>
      </c>
      <c r="AP38" s="834">
        <v>0</v>
      </c>
      <c r="AQ38" s="834">
        <v>0</v>
      </c>
      <c r="AR38" s="834">
        <v>0</v>
      </c>
      <c r="AS38" s="834">
        <v>0</v>
      </c>
      <c r="AT38" s="834">
        <v>0</v>
      </c>
      <c r="AU38" s="834">
        <v>0</v>
      </c>
      <c r="AV38" s="834">
        <v>0</v>
      </c>
      <c r="AW38" s="834">
        <v>0</v>
      </c>
      <c r="AX38" s="834">
        <v>0</v>
      </c>
      <c r="AY38" s="834">
        <v>0</v>
      </c>
      <c r="AZ38" s="834">
        <v>0</v>
      </c>
      <c r="BA38" s="834">
        <v>0</v>
      </c>
      <c r="BB38" s="834">
        <v>0</v>
      </c>
      <c r="BC38" s="834">
        <v>0</v>
      </c>
      <c r="BD38" s="834"/>
      <c r="BE38" s="821"/>
      <c r="BF38" s="821"/>
      <c r="BG38" s="821"/>
      <c r="BH38" s="821"/>
      <c r="BI38" s="821"/>
      <c r="BJ38" s="821"/>
      <c r="BK38" s="821"/>
      <c r="BL38" s="821"/>
      <c r="BM38" s="821"/>
      <c r="BN38" s="821"/>
      <c r="BO38" s="821"/>
      <c r="BP38" s="821"/>
      <c r="BQ38" s="821"/>
      <c r="BR38" s="821"/>
      <c r="BS38" s="821"/>
    </row>
    <row r="39" spans="1:72" ht="21.95" customHeight="1">
      <c r="A39" s="2616"/>
      <c r="B39" s="2605"/>
      <c r="C39" s="814">
        <v>0.6</v>
      </c>
      <c r="D39" s="840">
        <v>0</v>
      </c>
      <c r="E39" s="840">
        <v>0</v>
      </c>
      <c r="F39" s="840">
        <v>0</v>
      </c>
      <c r="G39" s="840">
        <v>0</v>
      </c>
      <c r="H39" s="840">
        <v>0</v>
      </c>
      <c r="I39" s="840">
        <v>0</v>
      </c>
      <c r="J39" s="840">
        <v>0</v>
      </c>
      <c r="K39" s="840">
        <v>0</v>
      </c>
      <c r="L39" s="840">
        <v>0</v>
      </c>
      <c r="M39" s="840">
        <v>0</v>
      </c>
      <c r="N39" s="840">
        <v>0</v>
      </c>
      <c r="O39" s="840">
        <v>0</v>
      </c>
      <c r="P39" s="840">
        <v>0</v>
      </c>
      <c r="Q39" s="840">
        <v>0</v>
      </c>
      <c r="R39" s="840">
        <v>0</v>
      </c>
      <c r="S39" s="840">
        <v>0</v>
      </c>
      <c r="T39" s="840">
        <v>0</v>
      </c>
      <c r="U39" s="840">
        <v>0</v>
      </c>
      <c r="V39" s="840">
        <v>0</v>
      </c>
      <c r="W39" s="840">
        <v>0</v>
      </c>
      <c r="X39" s="840">
        <v>0</v>
      </c>
      <c r="Y39" s="840">
        <v>0</v>
      </c>
      <c r="Z39" s="840">
        <v>0</v>
      </c>
      <c r="AA39" s="840">
        <v>0</v>
      </c>
      <c r="AB39" s="840">
        <v>0</v>
      </c>
      <c r="AC39" s="840">
        <v>0</v>
      </c>
      <c r="AD39" s="840">
        <v>0</v>
      </c>
      <c r="AE39" s="840">
        <v>0</v>
      </c>
      <c r="AF39" s="840">
        <v>0</v>
      </c>
      <c r="AG39" s="840">
        <v>0</v>
      </c>
      <c r="AH39" s="840">
        <v>0</v>
      </c>
      <c r="AI39" s="840">
        <v>0</v>
      </c>
      <c r="AJ39" s="840">
        <v>0</v>
      </c>
      <c r="AK39" s="840">
        <v>0</v>
      </c>
      <c r="AL39" s="840">
        <v>0</v>
      </c>
      <c r="AM39" s="840">
        <v>0</v>
      </c>
      <c r="AN39" s="840">
        <v>0</v>
      </c>
      <c r="AO39" s="840">
        <v>0</v>
      </c>
      <c r="AP39" s="840">
        <v>0</v>
      </c>
      <c r="AQ39" s="840">
        <v>0</v>
      </c>
      <c r="AR39" s="840">
        <v>0</v>
      </c>
      <c r="AS39" s="840">
        <v>0</v>
      </c>
      <c r="AT39" s="840">
        <v>0</v>
      </c>
      <c r="AU39" s="840">
        <v>0</v>
      </c>
      <c r="AV39" s="840">
        <v>0</v>
      </c>
      <c r="AW39" s="840">
        <v>0</v>
      </c>
      <c r="AX39" s="840">
        <v>0</v>
      </c>
      <c r="AY39" s="840">
        <v>0</v>
      </c>
      <c r="AZ39" s="840">
        <v>0</v>
      </c>
      <c r="BA39" s="840">
        <v>0</v>
      </c>
      <c r="BB39" s="840">
        <v>0</v>
      </c>
      <c r="BC39" s="840">
        <v>0</v>
      </c>
      <c r="BD39" s="840"/>
      <c r="BE39" s="819"/>
      <c r="BF39" s="819"/>
      <c r="BG39" s="819"/>
      <c r="BH39" s="819"/>
      <c r="BI39" s="819"/>
      <c r="BJ39" s="819"/>
      <c r="BK39" s="819"/>
      <c r="BL39" s="819"/>
      <c r="BM39" s="819"/>
      <c r="BN39" s="819"/>
      <c r="BO39" s="819"/>
      <c r="BP39" s="819"/>
      <c r="BQ39" s="819"/>
      <c r="BR39" s="819"/>
      <c r="BS39" s="819"/>
    </row>
    <row r="40" spans="1:72" ht="21.95" customHeight="1">
      <c r="A40" s="2616"/>
      <c r="B40" s="2605" t="s">
        <v>1582</v>
      </c>
      <c r="C40" s="814">
        <v>0.4</v>
      </c>
      <c r="D40" s="834">
        <v>0</v>
      </c>
      <c r="E40" s="834">
        <v>0</v>
      </c>
      <c r="F40" s="834">
        <v>0</v>
      </c>
      <c r="G40" s="834">
        <v>0</v>
      </c>
      <c r="H40" s="834">
        <v>0</v>
      </c>
      <c r="I40" s="834">
        <v>0</v>
      </c>
      <c r="J40" s="834">
        <v>0</v>
      </c>
      <c r="K40" s="834">
        <v>0</v>
      </c>
      <c r="L40" s="834">
        <v>0</v>
      </c>
      <c r="M40" s="834">
        <v>0</v>
      </c>
      <c r="N40" s="834">
        <v>0</v>
      </c>
      <c r="O40" s="834">
        <v>0</v>
      </c>
      <c r="P40" s="834">
        <v>0</v>
      </c>
      <c r="Q40" s="834">
        <v>0</v>
      </c>
      <c r="R40" s="834">
        <v>0</v>
      </c>
      <c r="S40" s="834">
        <v>0</v>
      </c>
      <c r="T40" s="834">
        <v>0</v>
      </c>
      <c r="U40" s="834">
        <v>0</v>
      </c>
      <c r="V40" s="834">
        <v>0</v>
      </c>
      <c r="W40" s="834">
        <v>0</v>
      </c>
      <c r="X40" s="834">
        <v>0</v>
      </c>
      <c r="Y40" s="834">
        <v>0</v>
      </c>
      <c r="Z40" s="834">
        <v>0</v>
      </c>
      <c r="AA40" s="834">
        <v>0</v>
      </c>
      <c r="AB40" s="834">
        <v>0</v>
      </c>
      <c r="AC40" s="834">
        <v>0</v>
      </c>
      <c r="AD40" s="834">
        <v>0</v>
      </c>
      <c r="AE40" s="834">
        <v>0</v>
      </c>
      <c r="AF40" s="834">
        <v>0</v>
      </c>
      <c r="AG40" s="834">
        <v>0</v>
      </c>
      <c r="AH40" s="834">
        <v>0</v>
      </c>
      <c r="AI40" s="834">
        <v>0</v>
      </c>
      <c r="AJ40" s="834">
        <v>0</v>
      </c>
      <c r="AK40" s="834">
        <v>0</v>
      </c>
      <c r="AL40" s="834">
        <v>0</v>
      </c>
      <c r="AM40" s="834">
        <v>0</v>
      </c>
      <c r="AN40" s="834">
        <v>0</v>
      </c>
      <c r="AO40" s="834">
        <v>0</v>
      </c>
      <c r="AP40" s="834">
        <v>0</v>
      </c>
      <c r="AQ40" s="834">
        <v>0</v>
      </c>
      <c r="AR40" s="834">
        <v>0</v>
      </c>
      <c r="AS40" s="834">
        <v>0</v>
      </c>
      <c r="AT40" s="834">
        <v>0</v>
      </c>
      <c r="AU40" s="834">
        <v>0</v>
      </c>
      <c r="AV40" s="834">
        <v>0</v>
      </c>
      <c r="AW40" s="834">
        <v>0</v>
      </c>
      <c r="AX40" s="834">
        <v>0</v>
      </c>
      <c r="AY40" s="834">
        <v>0</v>
      </c>
      <c r="AZ40" s="834">
        <v>0</v>
      </c>
      <c r="BA40" s="834">
        <v>0</v>
      </c>
      <c r="BB40" s="834">
        <v>0</v>
      </c>
      <c r="BC40" s="834">
        <v>0</v>
      </c>
      <c r="BD40" s="834"/>
      <c r="BE40" s="816"/>
      <c r="BF40" s="816"/>
      <c r="BG40" s="816"/>
      <c r="BH40" s="816"/>
      <c r="BI40" s="816"/>
      <c r="BJ40" s="816"/>
      <c r="BK40" s="816"/>
      <c r="BL40" s="816"/>
      <c r="BM40" s="816"/>
      <c r="BN40" s="816"/>
      <c r="BO40" s="816"/>
      <c r="BP40" s="816"/>
      <c r="BQ40" s="816"/>
      <c r="BR40" s="816"/>
      <c r="BS40" s="816"/>
    </row>
    <row r="41" spans="1:72" ht="21.95" customHeight="1">
      <c r="A41" s="2616"/>
      <c r="B41" s="2605"/>
      <c r="C41" s="814">
        <v>0.5</v>
      </c>
      <c r="D41" s="834">
        <v>0</v>
      </c>
      <c r="E41" s="834">
        <v>0</v>
      </c>
      <c r="F41" s="834">
        <v>0</v>
      </c>
      <c r="G41" s="834">
        <v>0</v>
      </c>
      <c r="H41" s="834">
        <v>0</v>
      </c>
      <c r="I41" s="834">
        <v>0</v>
      </c>
      <c r="J41" s="834">
        <v>0</v>
      </c>
      <c r="K41" s="834">
        <v>0</v>
      </c>
      <c r="L41" s="834">
        <v>0</v>
      </c>
      <c r="M41" s="834">
        <v>0</v>
      </c>
      <c r="N41" s="834">
        <v>0</v>
      </c>
      <c r="O41" s="834">
        <v>0</v>
      </c>
      <c r="P41" s="834">
        <v>0</v>
      </c>
      <c r="Q41" s="834">
        <v>0</v>
      </c>
      <c r="R41" s="834">
        <v>0</v>
      </c>
      <c r="S41" s="834">
        <v>0</v>
      </c>
      <c r="T41" s="834">
        <v>0</v>
      </c>
      <c r="U41" s="834">
        <v>0</v>
      </c>
      <c r="V41" s="834">
        <v>0</v>
      </c>
      <c r="W41" s="834">
        <v>0</v>
      </c>
      <c r="X41" s="834">
        <v>0</v>
      </c>
      <c r="Y41" s="834">
        <v>0</v>
      </c>
      <c r="Z41" s="834">
        <v>0</v>
      </c>
      <c r="AA41" s="834">
        <v>0</v>
      </c>
      <c r="AB41" s="834">
        <v>0</v>
      </c>
      <c r="AC41" s="834">
        <v>0</v>
      </c>
      <c r="AD41" s="834">
        <v>0</v>
      </c>
      <c r="AE41" s="834">
        <v>0</v>
      </c>
      <c r="AF41" s="834">
        <v>0</v>
      </c>
      <c r="AG41" s="834">
        <v>0</v>
      </c>
      <c r="AH41" s="834">
        <v>0</v>
      </c>
      <c r="AI41" s="834">
        <v>0</v>
      </c>
      <c r="AJ41" s="834">
        <v>0</v>
      </c>
      <c r="AK41" s="834">
        <v>0</v>
      </c>
      <c r="AL41" s="834">
        <v>0</v>
      </c>
      <c r="AM41" s="834">
        <v>0</v>
      </c>
      <c r="AN41" s="834">
        <v>0</v>
      </c>
      <c r="AO41" s="834">
        <v>0</v>
      </c>
      <c r="AP41" s="834">
        <v>0</v>
      </c>
      <c r="AQ41" s="834">
        <v>0</v>
      </c>
      <c r="AR41" s="834">
        <v>0</v>
      </c>
      <c r="AS41" s="834">
        <v>0</v>
      </c>
      <c r="AT41" s="834">
        <v>0</v>
      </c>
      <c r="AU41" s="834">
        <v>0</v>
      </c>
      <c r="AV41" s="834">
        <v>0</v>
      </c>
      <c r="AW41" s="834">
        <v>0</v>
      </c>
      <c r="AX41" s="834">
        <v>0</v>
      </c>
      <c r="AY41" s="834">
        <v>0</v>
      </c>
      <c r="AZ41" s="834">
        <v>0</v>
      </c>
      <c r="BA41" s="834">
        <v>0</v>
      </c>
      <c r="BB41" s="834">
        <v>0</v>
      </c>
      <c r="BC41" s="834">
        <v>0</v>
      </c>
      <c r="BD41" s="834"/>
      <c r="BE41" s="816"/>
      <c r="BF41" s="816"/>
      <c r="BG41" s="816"/>
      <c r="BH41" s="816"/>
      <c r="BI41" s="816"/>
      <c r="BJ41" s="816"/>
      <c r="BK41" s="816"/>
      <c r="BL41" s="816"/>
      <c r="BM41" s="816"/>
      <c r="BN41" s="816"/>
      <c r="BO41" s="816"/>
      <c r="BP41" s="816"/>
      <c r="BQ41" s="816"/>
      <c r="BR41" s="816"/>
      <c r="BS41" s="816"/>
    </row>
    <row r="42" spans="1:72" s="714" customFormat="1" ht="21.95" customHeight="1">
      <c r="A42" s="2616"/>
      <c r="B42" s="2609" t="s">
        <v>1583</v>
      </c>
      <c r="C42" s="849" t="s">
        <v>1584</v>
      </c>
      <c r="D42" s="850">
        <v>0</v>
      </c>
      <c r="E42" s="850">
        <v>0</v>
      </c>
      <c r="F42" s="850">
        <v>0</v>
      </c>
      <c r="G42" s="850">
        <v>0</v>
      </c>
      <c r="H42" s="850">
        <v>0</v>
      </c>
      <c r="I42" s="850">
        <v>0</v>
      </c>
      <c r="J42" s="850">
        <v>0</v>
      </c>
      <c r="K42" s="850">
        <v>0</v>
      </c>
      <c r="L42" s="850">
        <v>0</v>
      </c>
      <c r="M42" s="850">
        <v>0</v>
      </c>
      <c r="N42" s="850">
        <v>0</v>
      </c>
      <c r="O42" s="850">
        <v>0</v>
      </c>
      <c r="P42" s="850">
        <v>0</v>
      </c>
      <c r="Q42" s="850">
        <v>0</v>
      </c>
      <c r="R42" s="850">
        <v>0</v>
      </c>
      <c r="S42" s="850">
        <v>0</v>
      </c>
      <c r="T42" s="850">
        <v>0</v>
      </c>
      <c r="U42" s="850">
        <v>0</v>
      </c>
      <c r="V42" s="850">
        <v>0</v>
      </c>
      <c r="W42" s="850">
        <v>0</v>
      </c>
      <c r="X42" s="850">
        <v>0</v>
      </c>
      <c r="Y42" s="850">
        <v>0</v>
      </c>
      <c r="Z42" s="850">
        <v>0</v>
      </c>
      <c r="AA42" s="850">
        <v>0</v>
      </c>
      <c r="AB42" s="850">
        <v>0</v>
      </c>
      <c r="AC42" s="850">
        <v>0</v>
      </c>
      <c r="AD42" s="850">
        <v>0</v>
      </c>
      <c r="AE42" s="850">
        <v>0</v>
      </c>
      <c r="AF42" s="850">
        <v>0</v>
      </c>
      <c r="AG42" s="850">
        <v>0</v>
      </c>
      <c r="AH42" s="850">
        <v>0</v>
      </c>
      <c r="AI42" s="850">
        <v>0</v>
      </c>
      <c r="AJ42" s="850">
        <v>0</v>
      </c>
      <c r="AK42" s="850">
        <v>0</v>
      </c>
      <c r="AL42" s="850">
        <v>0</v>
      </c>
      <c r="AM42" s="850">
        <v>0</v>
      </c>
      <c r="AN42" s="850">
        <v>0</v>
      </c>
      <c r="AO42" s="850">
        <v>0</v>
      </c>
      <c r="AP42" s="850">
        <v>0</v>
      </c>
      <c r="AQ42" s="850">
        <v>0</v>
      </c>
      <c r="AR42" s="850">
        <v>0</v>
      </c>
      <c r="AS42" s="850">
        <v>0</v>
      </c>
      <c r="AT42" s="850">
        <v>0</v>
      </c>
      <c r="AU42" s="850">
        <v>0</v>
      </c>
      <c r="AV42" s="850">
        <v>0</v>
      </c>
      <c r="AW42" s="850">
        <v>0</v>
      </c>
      <c r="AX42" s="850">
        <v>0</v>
      </c>
      <c r="AY42" s="850">
        <v>0</v>
      </c>
      <c r="AZ42" s="850">
        <v>0</v>
      </c>
      <c r="BA42" s="850">
        <v>0</v>
      </c>
      <c r="BB42" s="850">
        <v>0</v>
      </c>
      <c r="BC42" s="850">
        <v>0</v>
      </c>
      <c r="BD42" s="850"/>
      <c r="BE42" s="821"/>
      <c r="BF42" s="821"/>
      <c r="BG42" s="821"/>
      <c r="BH42" s="821"/>
      <c r="BI42" s="821"/>
      <c r="BJ42" s="821"/>
      <c r="BK42" s="821"/>
      <c r="BL42" s="821"/>
      <c r="BM42" s="821"/>
      <c r="BN42" s="821"/>
      <c r="BO42" s="821"/>
      <c r="BP42" s="821"/>
      <c r="BQ42" s="821"/>
      <c r="BR42" s="821"/>
      <c r="BS42" s="821"/>
      <c r="BT42" s="835"/>
    </row>
    <row r="43" spans="1:72" s="714" customFormat="1" ht="21.95" customHeight="1">
      <c r="A43" s="2616"/>
      <c r="B43" s="2609"/>
      <c r="C43" s="832" t="s">
        <v>1585</v>
      </c>
      <c r="D43" s="851">
        <v>0</v>
      </c>
      <c r="E43" s="851">
        <v>0</v>
      </c>
      <c r="F43" s="851">
        <v>0</v>
      </c>
      <c r="G43" s="851">
        <v>0</v>
      </c>
      <c r="H43" s="851">
        <v>0</v>
      </c>
      <c r="I43" s="851">
        <v>0</v>
      </c>
      <c r="J43" s="851">
        <v>0</v>
      </c>
      <c r="K43" s="851">
        <v>0</v>
      </c>
      <c r="L43" s="851">
        <v>0</v>
      </c>
      <c r="M43" s="851">
        <v>0</v>
      </c>
      <c r="N43" s="851">
        <v>0</v>
      </c>
      <c r="O43" s="851">
        <v>0</v>
      </c>
      <c r="P43" s="851">
        <v>0</v>
      </c>
      <c r="Q43" s="851">
        <v>0</v>
      </c>
      <c r="R43" s="851">
        <v>0</v>
      </c>
      <c r="S43" s="851">
        <v>0</v>
      </c>
      <c r="T43" s="851">
        <v>0</v>
      </c>
      <c r="U43" s="851">
        <v>0</v>
      </c>
      <c r="V43" s="851">
        <v>0</v>
      </c>
      <c r="W43" s="851">
        <v>0</v>
      </c>
      <c r="X43" s="851">
        <v>0</v>
      </c>
      <c r="Y43" s="851">
        <v>0</v>
      </c>
      <c r="Z43" s="851">
        <v>0</v>
      </c>
      <c r="AA43" s="851">
        <v>0</v>
      </c>
      <c r="AB43" s="851">
        <v>0</v>
      </c>
      <c r="AC43" s="851">
        <v>0</v>
      </c>
      <c r="AD43" s="851">
        <v>0</v>
      </c>
      <c r="AE43" s="851">
        <v>0</v>
      </c>
      <c r="AF43" s="851">
        <v>0</v>
      </c>
      <c r="AG43" s="851">
        <v>0</v>
      </c>
      <c r="AH43" s="851">
        <v>0</v>
      </c>
      <c r="AI43" s="851">
        <v>0</v>
      </c>
      <c r="AJ43" s="851">
        <v>0</v>
      </c>
      <c r="AK43" s="851">
        <v>0</v>
      </c>
      <c r="AL43" s="851">
        <v>0</v>
      </c>
      <c r="AM43" s="851">
        <v>0</v>
      </c>
      <c r="AN43" s="851">
        <v>0</v>
      </c>
      <c r="AO43" s="851">
        <v>0</v>
      </c>
      <c r="AP43" s="851">
        <v>0</v>
      </c>
      <c r="AQ43" s="851">
        <v>0</v>
      </c>
      <c r="AR43" s="851">
        <v>0</v>
      </c>
      <c r="AS43" s="851">
        <v>0</v>
      </c>
      <c r="AT43" s="851">
        <v>0</v>
      </c>
      <c r="AU43" s="851">
        <v>0</v>
      </c>
      <c r="AV43" s="851">
        <v>0</v>
      </c>
      <c r="AW43" s="851">
        <v>0</v>
      </c>
      <c r="AX43" s="851">
        <v>0</v>
      </c>
      <c r="AY43" s="851">
        <v>0</v>
      </c>
      <c r="AZ43" s="851">
        <v>0</v>
      </c>
      <c r="BA43" s="851">
        <v>0</v>
      </c>
      <c r="BB43" s="851">
        <v>0</v>
      </c>
      <c r="BC43" s="851">
        <v>0</v>
      </c>
      <c r="BD43" s="851"/>
      <c r="BE43" s="816"/>
      <c r="BF43" s="816"/>
      <c r="BG43" s="816"/>
      <c r="BH43" s="816"/>
      <c r="BI43" s="816"/>
      <c r="BJ43" s="816"/>
      <c r="BK43" s="816"/>
      <c r="BL43" s="816"/>
      <c r="BM43" s="816"/>
      <c r="BN43" s="816"/>
      <c r="BO43" s="816"/>
      <c r="BP43" s="816"/>
      <c r="BQ43" s="816"/>
      <c r="BR43" s="816"/>
      <c r="BS43" s="816"/>
      <c r="BT43" s="835"/>
    </row>
    <row r="44" spans="1:72" s="714" customFormat="1" ht="21.95" customHeight="1">
      <c r="A44" s="2616"/>
      <c r="B44" s="2609"/>
      <c r="C44" s="832" t="s">
        <v>1586</v>
      </c>
      <c r="D44" s="851">
        <v>0</v>
      </c>
      <c r="E44" s="851">
        <v>0</v>
      </c>
      <c r="F44" s="851">
        <v>0</v>
      </c>
      <c r="G44" s="851">
        <v>0</v>
      </c>
      <c r="H44" s="851">
        <v>0</v>
      </c>
      <c r="I44" s="851">
        <v>0</v>
      </c>
      <c r="J44" s="851">
        <v>0</v>
      </c>
      <c r="K44" s="851">
        <v>0</v>
      </c>
      <c r="L44" s="851">
        <v>0</v>
      </c>
      <c r="M44" s="851">
        <v>0</v>
      </c>
      <c r="N44" s="851">
        <v>0</v>
      </c>
      <c r="O44" s="851">
        <v>0</v>
      </c>
      <c r="P44" s="851">
        <v>0</v>
      </c>
      <c r="Q44" s="851">
        <v>0</v>
      </c>
      <c r="R44" s="851">
        <v>0</v>
      </c>
      <c r="S44" s="851">
        <v>0</v>
      </c>
      <c r="T44" s="851">
        <v>0</v>
      </c>
      <c r="U44" s="851">
        <v>0</v>
      </c>
      <c r="V44" s="851">
        <v>0</v>
      </c>
      <c r="W44" s="851">
        <v>0</v>
      </c>
      <c r="X44" s="851">
        <v>0</v>
      </c>
      <c r="Y44" s="851">
        <v>0</v>
      </c>
      <c r="Z44" s="851">
        <v>0</v>
      </c>
      <c r="AA44" s="851">
        <v>0</v>
      </c>
      <c r="AB44" s="851">
        <v>0</v>
      </c>
      <c r="AC44" s="851">
        <v>0</v>
      </c>
      <c r="AD44" s="851">
        <v>0</v>
      </c>
      <c r="AE44" s="851">
        <v>0</v>
      </c>
      <c r="AF44" s="851">
        <v>0</v>
      </c>
      <c r="AG44" s="851">
        <v>0</v>
      </c>
      <c r="AH44" s="851">
        <v>0</v>
      </c>
      <c r="AI44" s="851">
        <v>0</v>
      </c>
      <c r="AJ44" s="851">
        <v>0</v>
      </c>
      <c r="AK44" s="851">
        <v>0</v>
      </c>
      <c r="AL44" s="851">
        <v>0</v>
      </c>
      <c r="AM44" s="851">
        <v>0</v>
      </c>
      <c r="AN44" s="851">
        <v>0</v>
      </c>
      <c r="AO44" s="851">
        <v>0</v>
      </c>
      <c r="AP44" s="851">
        <v>0</v>
      </c>
      <c r="AQ44" s="851">
        <v>0</v>
      </c>
      <c r="AR44" s="851">
        <v>0</v>
      </c>
      <c r="AS44" s="851">
        <v>0</v>
      </c>
      <c r="AT44" s="851">
        <v>0</v>
      </c>
      <c r="AU44" s="851">
        <v>0</v>
      </c>
      <c r="AV44" s="851">
        <v>0</v>
      </c>
      <c r="AW44" s="851">
        <v>0</v>
      </c>
      <c r="AX44" s="851">
        <v>0</v>
      </c>
      <c r="AY44" s="851">
        <v>0</v>
      </c>
      <c r="AZ44" s="851">
        <v>0</v>
      </c>
      <c r="BA44" s="851">
        <v>0</v>
      </c>
      <c r="BB44" s="851">
        <v>0</v>
      </c>
      <c r="BC44" s="851">
        <v>0</v>
      </c>
      <c r="BD44" s="851"/>
      <c r="BE44" s="816"/>
      <c r="BF44" s="816"/>
      <c r="BG44" s="816"/>
      <c r="BH44" s="816"/>
      <c r="BI44" s="816"/>
      <c r="BJ44" s="816"/>
      <c r="BK44" s="816"/>
      <c r="BL44" s="816"/>
      <c r="BM44" s="816"/>
      <c r="BN44" s="816"/>
      <c r="BO44" s="816"/>
      <c r="BP44" s="816"/>
      <c r="BQ44" s="816"/>
      <c r="BR44" s="816"/>
      <c r="BS44" s="816"/>
      <c r="BT44" s="835"/>
    </row>
    <row r="45" spans="1:72" s="714" customFormat="1" ht="21.95" customHeight="1">
      <c r="A45" s="2616"/>
      <c r="B45" s="2609"/>
      <c r="C45" s="832" t="s">
        <v>1587</v>
      </c>
      <c r="D45" s="851">
        <v>0</v>
      </c>
      <c r="E45" s="851">
        <v>0</v>
      </c>
      <c r="F45" s="851">
        <v>0</v>
      </c>
      <c r="G45" s="851">
        <v>0</v>
      </c>
      <c r="H45" s="851">
        <v>0</v>
      </c>
      <c r="I45" s="851">
        <v>0</v>
      </c>
      <c r="J45" s="851">
        <v>0</v>
      </c>
      <c r="K45" s="851">
        <v>0</v>
      </c>
      <c r="L45" s="851">
        <v>0</v>
      </c>
      <c r="M45" s="851">
        <v>0</v>
      </c>
      <c r="N45" s="851">
        <v>0</v>
      </c>
      <c r="O45" s="851">
        <v>0</v>
      </c>
      <c r="P45" s="851">
        <v>0</v>
      </c>
      <c r="Q45" s="851">
        <v>0</v>
      </c>
      <c r="R45" s="851">
        <v>0</v>
      </c>
      <c r="S45" s="851">
        <v>0</v>
      </c>
      <c r="T45" s="851">
        <v>0</v>
      </c>
      <c r="U45" s="851">
        <v>0</v>
      </c>
      <c r="V45" s="851">
        <v>0</v>
      </c>
      <c r="W45" s="851">
        <v>0</v>
      </c>
      <c r="X45" s="851">
        <v>0</v>
      </c>
      <c r="Y45" s="851">
        <v>0</v>
      </c>
      <c r="Z45" s="851">
        <v>0</v>
      </c>
      <c r="AA45" s="851">
        <v>0</v>
      </c>
      <c r="AB45" s="851">
        <v>0</v>
      </c>
      <c r="AC45" s="851">
        <v>0</v>
      </c>
      <c r="AD45" s="851">
        <v>0</v>
      </c>
      <c r="AE45" s="851">
        <v>0</v>
      </c>
      <c r="AF45" s="851">
        <v>0</v>
      </c>
      <c r="AG45" s="851">
        <v>0</v>
      </c>
      <c r="AH45" s="851">
        <v>0</v>
      </c>
      <c r="AI45" s="851">
        <v>0</v>
      </c>
      <c r="AJ45" s="851">
        <v>0</v>
      </c>
      <c r="AK45" s="851">
        <v>0</v>
      </c>
      <c r="AL45" s="851">
        <v>0</v>
      </c>
      <c r="AM45" s="851">
        <v>0</v>
      </c>
      <c r="AN45" s="851">
        <v>0</v>
      </c>
      <c r="AO45" s="851">
        <v>0</v>
      </c>
      <c r="AP45" s="851">
        <v>0</v>
      </c>
      <c r="AQ45" s="851">
        <v>0</v>
      </c>
      <c r="AR45" s="851">
        <v>0</v>
      </c>
      <c r="AS45" s="851">
        <v>0</v>
      </c>
      <c r="AT45" s="851">
        <v>0</v>
      </c>
      <c r="AU45" s="851">
        <v>0</v>
      </c>
      <c r="AV45" s="851">
        <v>0</v>
      </c>
      <c r="AW45" s="851">
        <v>0</v>
      </c>
      <c r="AX45" s="851">
        <v>0</v>
      </c>
      <c r="AY45" s="851">
        <v>0</v>
      </c>
      <c r="AZ45" s="851">
        <v>0</v>
      </c>
      <c r="BA45" s="851">
        <v>0</v>
      </c>
      <c r="BB45" s="851">
        <v>0</v>
      </c>
      <c r="BC45" s="851">
        <v>0</v>
      </c>
      <c r="BD45" s="851"/>
      <c r="BE45" s="816"/>
      <c r="BF45" s="816"/>
      <c r="BG45" s="816"/>
      <c r="BH45" s="816"/>
      <c r="BI45" s="816"/>
      <c r="BJ45" s="816"/>
      <c r="BK45" s="816"/>
      <c r="BL45" s="816"/>
      <c r="BM45" s="816"/>
      <c r="BN45" s="816"/>
      <c r="BO45" s="816"/>
      <c r="BP45" s="816"/>
      <c r="BQ45" s="816"/>
      <c r="BR45" s="816"/>
      <c r="BS45" s="816"/>
      <c r="BT45" s="835"/>
    </row>
    <row r="46" spans="1:72" s="714" customFormat="1" ht="21.95" customHeight="1">
      <c r="A46" s="2616"/>
      <c r="B46" s="2609"/>
      <c r="C46" s="832" t="s">
        <v>1588</v>
      </c>
      <c r="D46" s="851">
        <v>0</v>
      </c>
      <c r="E46" s="851">
        <v>0</v>
      </c>
      <c r="F46" s="851">
        <v>0</v>
      </c>
      <c r="G46" s="851">
        <v>0</v>
      </c>
      <c r="H46" s="851">
        <v>0</v>
      </c>
      <c r="I46" s="851">
        <v>0</v>
      </c>
      <c r="J46" s="851">
        <v>0</v>
      </c>
      <c r="K46" s="851">
        <v>0</v>
      </c>
      <c r="L46" s="851">
        <v>0</v>
      </c>
      <c r="M46" s="851">
        <v>0</v>
      </c>
      <c r="N46" s="851">
        <v>0</v>
      </c>
      <c r="O46" s="851">
        <v>0</v>
      </c>
      <c r="P46" s="851">
        <v>0</v>
      </c>
      <c r="Q46" s="851">
        <v>0</v>
      </c>
      <c r="R46" s="851">
        <v>0</v>
      </c>
      <c r="S46" s="851">
        <v>0</v>
      </c>
      <c r="T46" s="851">
        <v>0</v>
      </c>
      <c r="U46" s="851">
        <v>0</v>
      </c>
      <c r="V46" s="851">
        <v>0</v>
      </c>
      <c r="W46" s="851">
        <v>0</v>
      </c>
      <c r="X46" s="851">
        <v>0</v>
      </c>
      <c r="Y46" s="851">
        <v>0</v>
      </c>
      <c r="Z46" s="851">
        <v>0</v>
      </c>
      <c r="AA46" s="851">
        <v>0</v>
      </c>
      <c r="AB46" s="851">
        <v>0</v>
      </c>
      <c r="AC46" s="851">
        <v>0</v>
      </c>
      <c r="AD46" s="851">
        <v>0</v>
      </c>
      <c r="AE46" s="851">
        <v>0</v>
      </c>
      <c r="AF46" s="851">
        <v>0</v>
      </c>
      <c r="AG46" s="851">
        <v>0</v>
      </c>
      <c r="AH46" s="851">
        <v>0</v>
      </c>
      <c r="AI46" s="851">
        <v>0</v>
      </c>
      <c r="AJ46" s="851">
        <v>0</v>
      </c>
      <c r="AK46" s="851">
        <v>0</v>
      </c>
      <c r="AL46" s="851">
        <v>0</v>
      </c>
      <c r="AM46" s="851">
        <v>0</v>
      </c>
      <c r="AN46" s="851">
        <v>0</v>
      </c>
      <c r="AO46" s="851">
        <v>0</v>
      </c>
      <c r="AP46" s="851">
        <v>0</v>
      </c>
      <c r="AQ46" s="851">
        <v>0</v>
      </c>
      <c r="AR46" s="851">
        <v>0</v>
      </c>
      <c r="AS46" s="851">
        <v>0</v>
      </c>
      <c r="AT46" s="851">
        <v>0</v>
      </c>
      <c r="AU46" s="851">
        <v>0</v>
      </c>
      <c r="AV46" s="851">
        <v>0</v>
      </c>
      <c r="AW46" s="851">
        <v>0</v>
      </c>
      <c r="AX46" s="851">
        <v>0</v>
      </c>
      <c r="AY46" s="851">
        <v>0</v>
      </c>
      <c r="AZ46" s="851">
        <v>0</v>
      </c>
      <c r="BA46" s="851">
        <v>0</v>
      </c>
      <c r="BB46" s="851">
        <v>0</v>
      </c>
      <c r="BC46" s="851">
        <v>0</v>
      </c>
      <c r="BD46" s="851"/>
      <c r="BE46" s="816"/>
      <c r="BF46" s="816"/>
      <c r="BG46" s="816"/>
      <c r="BH46" s="816"/>
      <c r="BI46" s="816"/>
      <c r="BJ46" s="816"/>
      <c r="BK46" s="816"/>
      <c r="BL46" s="816"/>
      <c r="BM46" s="816"/>
      <c r="BN46" s="816"/>
      <c r="BO46" s="816"/>
      <c r="BP46" s="816"/>
      <c r="BQ46" s="816"/>
      <c r="BR46" s="816"/>
      <c r="BS46" s="816"/>
      <c r="BT46" s="835"/>
    </row>
    <row r="47" spans="1:72" s="714" customFormat="1" ht="21.95" customHeight="1">
      <c r="A47" s="2616"/>
      <c r="B47" s="2609"/>
      <c r="C47" s="832" t="s">
        <v>1589</v>
      </c>
      <c r="D47" s="851">
        <v>0</v>
      </c>
      <c r="E47" s="851">
        <v>0</v>
      </c>
      <c r="F47" s="851">
        <v>0</v>
      </c>
      <c r="G47" s="851">
        <v>0</v>
      </c>
      <c r="H47" s="851">
        <v>0</v>
      </c>
      <c r="I47" s="851">
        <v>0</v>
      </c>
      <c r="J47" s="851">
        <v>0</v>
      </c>
      <c r="K47" s="851">
        <v>0</v>
      </c>
      <c r="L47" s="851">
        <v>0</v>
      </c>
      <c r="M47" s="851">
        <v>0</v>
      </c>
      <c r="N47" s="851">
        <v>0</v>
      </c>
      <c r="O47" s="851">
        <v>0</v>
      </c>
      <c r="P47" s="851">
        <v>0</v>
      </c>
      <c r="Q47" s="851">
        <v>0</v>
      </c>
      <c r="R47" s="851">
        <v>0</v>
      </c>
      <c r="S47" s="851">
        <v>0</v>
      </c>
      <c r="T47" s="851">
        <v>0</v>
      </c>
      <c r="U47" s="851">
        <v>0</v>
      </c>
      <c r="V47" s="851">
        <v>0</v>
      </c>
      <c r="W47" s="851">
        <v>0</v>
      </c>
      <c r="X47" s="851">
        <v>0</v>
      </c>
      <c r="Y47" s="851">
        <v>0</v>
      </c>
      <c r="Z47" s="851">
        <v>0</v>
      </c>
      <c r="AA47" s="851">
        <v>0</v>
      </c>
      <c r="AB47" s="851">
        <v>0</v>
      </c>
      <c r="AC47" s="851">
        <v>0</v>
      </c>
      <c r="AD47" s="851">
        <v>0</v>
      </c>
      <c r="AE47" s="851">
        <v>0</v>
      </c>
      <c r="AF47" s="851">
        <v>0</v>
      </c>
      <c r="AG47" s="851">
        <v>0</v>
      </c>
      <c r="AH47" s="851">
        <v>0</v>
      </c>
      <c r="AI47" s="851">
        <v>0</v>
      </c>
      <c r="AJ47" s="851">
        <v>0</v>
      </c>
      <c r="AK47" s="851">
        <v>0</v>
      </c>
      <c r="AL47" s="851">
        <v>0</v>
      </c>
      <c r="AM47" s="851">
        <v>0</v>
      </c>
      <c r="AN47" s="851">
        <v>0</v>
      </c>
      <c r="AO47" s="851">
        <v>0</v>
      </c>
      <c r="AP47" s="851">
        <v>0</v>
      </c>
      <c r="AQ47" s="851">
        <v>0</v>
      </c>
      <c r="AR47" s="851">
        <v>0</v>
      </c>
      <c r="AS47" s="851">
        <v>0</v>
      </c>
      <c r="AT47" s="851">
        <v>0</v>
      </c>
      <c r="AU47" s="851">
        <v>0</v>
      </c>
      <c r="AV47" s="851">
        <v>0</v>
      </c>
      <c r="AW47" s="851">
        <v>0</v>
      </c>
      <c r="AX47" s="851">
        <v>0</v>
      </c>
      <c r="AY47" s="851">
        <v>0</v>
      </c>
      <c r="AZ47" s="851">
        <v>0</v>
      </c>
      <c r="BA47" s="851">
        <v>0</v>
      </c>
      <c r="BB47" s="851">
        <v>0</v>
      </c>
      <c r="BC47" s="851">
        <v>0</v>
      </c>
      <c r="BD47" s="851"/>
      <c r="BE47" s="816"/>
      <c r="BF47" s="816"/>
      <c r="BG47" s="816"/>
      <c r="BH47" s="816"/>
      <c r="BI47" s="816"/>
      <c r="BJ47" s="816"/>
      <c r="BK47" s="816"/>
      <c r="BL47" s="816"/>
      <c r="BM47" s="816"/>
      <c r="BN47" s="816"/>
      <c r="BO47" s="816"/>
      <c r="BP47" s="816"/>
      <c r="BQ47" s="816"/>
      <c r="BR47" s="816"/>
      <c r="BS47" s="816"/>
      <c r="BT47" s="835"/>
    </row>
    <row r="48" spans="1:72" s="714" customFormat="1" ht="21.95" customHeight="1">
      <c r="A48" s="2616"/>
      <c r="B48" s="2607"/>
      <c r="C48" s="832" t="s">
        <v>1590</v>
      </c>
      <c r="D48" s="851">
        <v>0</v>
      </c>
      <c r="E48" s="851">
        <v>0</v>
      </c>
      <c r="F48" s="851">
        <v>0</v>
      </c>
      <c r="G48" s="851">
        <v>0</v>
      </c>
      <c r="H48" s="851">
        <v>0</v>
      </c>
      <c r="I48" s="851">
        <v>0</v>
      </c>
      <c r="J48" s="851">
        <v>0</v>
      </c>
      <c r="K48" s="851">
        <v>0</v>
      </c>
      <c r="L48" s="851">
        <v>0</v>
      </c>
      <c r="M48" s="851">
        <v>0</v>
      </c>
      <c r="N48" s="851">
        <v>0</v>
      </c>
      <c r="O48" s="851">
        <v>0</v>
      </c>
      <c r="P48" s="851">
        <v>0</v>
      </c>
      <c r="Q48" s="851">
        <v>0</v>
      </c>
      <c r="R48" s="851">
        <v>0</v>
      </c>
      <c r="S48" s="851">
        <v>0</v>
      </c>
      <c r="T48" s="851">
        <v>0</v>
      </c>
      <c r="U48" s="851">
        <v>0</v>
      </c>
      <c r="V48" s="851">
        <v>0</v>
      </c>
      <c r="W48" s="851">
        <v>0</v>
      </c>
      <c r="X48" s="851">
        <v>0</v>
      </c>
      <c r="Y48" s="851">
        <v>0</v>
      </c>
      <c r="Z48" s="851">
        <v>0</v>
      </c>
      <c r="AA48" s="851">
        <v>0</v>
      </c>
      <c r="AB48" s="851">
        <v>0</v>
      </c>
      <c r="AC48" s="851">
        <v>0</v>
      </c>
      <c r="AD48" s="851">
        <v>0</v>
      </c>
      <c r="AE48" s="851">
        <v>0</v>
      </c>
      <c r="AF48" s="851">
        <v>0</v>
      </c>
      <c r="AG48" s="851">
        <v>0</v>
      </c>
      <c r="AH48" s="851">
        <v>0</v>
      </c>
      <c r="AI48" s="851">
        <v>0</v>
      </c>
      <c r="AJ48" s="851">
        <v>0</v>
      </c>
      <c r="AK48" s="851">
        <v>0</v>
      </c>
      <c r="AL48" s="851">
        <v>0</v>
      </c>
      <c r="AM48" s="851">
        <v>0</v>
      </c>
      <c r="AN48" s="851">
        <v>0</v>
      </c>
      <c r="AO48" s="851">
        <v>0</v>
      </c>
      <c r="AP48" s="851">
        <v>0</v>
      </c>
      <c r="AQ48" s="851">
        <v>0</v>
      </c>
      <c r="AR48" s="851">
        <v>0</v>
      </c>
      <c r="AS48" s="851">
        <v>0</v>
      </c>
      <c r="AT48" s="851">
        <v>0</v>
      </c>
      <c r="AU48" s="851">
        <v>0</v>
      </c>
      <c r="AV48" s="851">
        <v>0</v>
      </c>
      <c r="AW48" s="851">
        <v>0</v>
      </c>
      <c r="AX48" s="851">
        <v>0</v>
      </c>
      <c r="AY48" s="851">
        <v>0</v>
      </c>
      <c r="AZ48" s="851">
        <v>0</v>
      </c>
      <c r="BA48" s="851">
        <v>0</v>
      </c>
      <c r="BB48" s="851">
        <v>0</v>
      </c>
      <c r="BC48" s="851">
        <v>0</v>
      </c>
      <c r="BD48" s="851"/>
      <c r="BE48" s="816"/>
      <c r="BF48" s="819"/>
      <c r="BG48" s="819"/>
      <c r="BH48" s="819"/>
      <c r="BI48" s="819"/>
      <c r="BJ48" s="819"/>
      <c r="BK48" s="819"/>
      <c r="BL48" s="819"/>
      <c r="BM48" s="819"/>
      <c r="BN48" s="819"/>
      <c r="BO48" s="819"/>
      <c r="BP48" s="819"/>
      <c r="BQ48" s="819"/>
      <c r="BR48" s="819"/>
      <c r="BS48" s="819"/>
      <c r="BT48" s="835"/>
    </row>
    <row r="49" spans="1:72" s="714" customFormat="1" ht="32.1" customHeight="1">
      <c r="A49" s="2616"/>
      <c r="B49" s="2609" t="s">
        <v>1591</v>
      </c>
      <c r="C49" s="2612"/>
      <c r="D49" s="850">
        <v>0</v>
      </c>
      <c r="E49" s="850">
        <v>0</v>
      </c>
      <c r="F49" s="850">
        <v>0</v>
      </c>
      <c r="G49" s="850">
        <v>0</v>
      </c>
      <c r="H49" s="850">
        <v>0</v>
      </c>
      <c r="I49" s="850">
        <v>0</v>
      </c>
      <c r="J49" s="850">
        <v>0</v>
      </c>
      <c r="K49" s="850">
        <v>0</v>
      </c>
      <c r="L49" s="850">
        <v>0</v>
      </c>
      <c r="M49" s="850">
        <v>0</v>
      </c>
      <c r="N49" s="850">
        <v>0</v>
      </c>
      <c r="O49" s="850">
        <v>0</v>
      </c>
      <c r="P49" s="850">
        <v>0</v>
      </c>
      <c r="Q49" s="850">
        <v>0</v>
      </c>
      <c r="R49" s="850">
        <v>0</v>
      </c>
      <c r="S49" s="850">
        <v>0</v>
      </c>
      <c r="T49" s="850">
        <v>0</v>
      </c>
      <c r="U49" s="850">
        <v>0</v>
      </c>
      <c r="V49" s="850">
        <v>0</v>
      </c>
      <c r="W49" s="850">
        <v>0</v>
      </c>
      <c r="X49" s="850">
        <v>0</v>
      </c>
      <c r="Y49" s="850">
        <v>0</v>
      </c>
      <c r="Z49" s="850">
        <v>0</v>
      </c>
      <c r="AA49" s="850">
        <v>0</v>
      </c>
      <c r="AB49" s="850">
        <v>0</v>
      </c>
      <c r="AC49" s="850">
        <v>0</v>
      </c>
      <c r="AD49" s="850">
        <v>0</v>
      </c>
      <c r="AE49" s="850">
        <v>0</v>
      </c>
      <c r="AF49" s="850">
        <v>0</v>
      </c>
      <c r="AG49" s="850">
        <v>0</v>
      </c>
      <c r="AH49" s="850">
        <v>0</v>
      </c>
      <c r="AI49" s="850">
        <v>0</v>
      </c>
      <c r="AJ49" s="850">
        <v>0</v>
      </c>
      <c r="AK49" s="850">
        <v>0</v>
      </c>
      <c r="AL49" s="850">
        <v>0</v>
      </c>
      <c r="AM49" s="850">
        <v>0</v>
      </c>
      <c r="AN49" s="850">
        <v>0</v>
      </c>
      <c r="AO49" s="850">
        <v>0</v>
      </c>
      <c r="AP49" s="850">
        <v>0</v>
      </c>
      <c r="AQ49" s="850">
        <v>0</v>
      </c>
      <c r="AR49" s="850">
        <v>0</v>
      </c>
      <c r="AS49" s="850">
        <v>0</v>
      </c>
      <c r="AT49" s="850">
        <v>0</v>
      </c>
      <c r="AU49" s="850">
        <v>0</v>
      </c>
      <c r="AV49" s="850">
        <v>0</v>
      </c>
      <c r="AW49" s="850">
        <v>0</v>
      </c>
      <c r="AX49" s="850">
        <v>0</v>
      </c>
      <c r="AY49" s="850">
        <v>0</v>
      </c>
      <c r="AZ49" s="850">
        <v>0</v>
      </c>
      <c r="BA49" s="850">
        <v>0</v>
      </c>
      <c r="BB49" s="850">
        <v>0</v>
      </c>
      <c r="BC49" s="850">
        <v>0</v>
      </c>
      <c r="BD49" s="850"/>
      <c r="BE49" s="821"/>
      <c r="BF49" s="816"/>
      <c r="BG49" s="816"/>
      <c r="BH49" s="816"/>
      <c r="BI49" s="816"/>
      <c r="BJ49" s="816"/>
      <c r="BK49" s="816"/>
      <c r="BL49" s="816"/>
      <c r="BM49" s="816"/>
      <c r="BN49" s="816"/>
      <c r="BO49" s="816"/>
      <c r="BP49" s="816"/>
      <c r="BQ49" s="816"/>
      <c r="BR49" s="816"/>
      <c r="BS49" s="816"/>
      <c r="BT49" s="835"/>
    </row>
    <row r="50" spans="1:72" s="714" customFormat="1" ht="32.1" customHeight="1">
      <c r="A50" s="2616"/>
      <c r="B50" s="2609" t="s">
        <v>1592</v>
      </c>
      <c r="C50" s="2612"/>
      <c r="D50" s="851">
        <v>0</v>
      </c>
      <c r="E50" s="851">
        <v>0</v>
      </c>
      <c r="F50" s="851">
        <v>0</v>
      </c>
      <c r="G50" s="851">
        <v>0</v>
      </c>
      <c r="H50" s="851">
        <v>0</v>
      </c>
      <c r="I50" s="851">
        <v>0</v>
      </c>
      <c r="J50" s="851">
        <v>0</v>
      </c>
      <c r="K50" s="851">
        <v>0</v>
      </c>
      <c r="L50" s="851">
        <v>0</v>
      </c>
      <c r="M50" s="851">
        <v>0</v>
      </c>
      <c r="N50" s="851">
        <v>0</v>
      </c>
      <c r="O50" s="851">
        <v>0</v>
      </c>
      <c r="P50" s="851">
        <v>0</v>
      </c>
      <c r="Q50" s="851">
        <v>0</v>
      </c>
      <c r="R50" s="851">
        <v>0</v>
      </c>
      <c r="S50" s="851">
        <v>0</v>
      </c>
      <c r="T50" s="851">
        <v>0</v>
      </c>
      <c r="U50" s="851">
        <v>0</v>
      </c>
      <c r="V50" s="851">
        <v>0</v>
      </c>
      <c r="W50" s="851">
        <v>0</v>
      </c>
      <c r="X50" s="851">
        <v>0</v>
      </c>
      <c r="Y50" s="851">
        <v>0</v>
      </c>
      <c r="Z50" s="851">
        <v>0</v>
      </c>
      <c r="AA50" s="851">
        <v>0</v>
      </c>
      <c r="AB50" s="851">
        <v>0</v>
      </c>
      <c r="AC50" s="851">
        <v>0</v>
      </c>
      <c r="AD50" s="851">
        <v>0</v>
      </c>
      <c r="AE50" s="851">
        <v>0</v>
      </c>
      <c r="AF50" s="851">
        <v>0</v>
      </c>
      <c r="AG50" s="851">
        <v>0</v>
      </c>
      <c r="AH50" s="851">
        <v>0</v>
      </c>
      <c r="AI50" s="851">
        <v>0</v>
      </c>
      <c r="AJ50" s="851">
        <v>0</v>
      </c>
      <c r="AK50" s="851">
        <v>0</v>
      </c>
      <c r="AL50" s="851">
        <v>0</v>
      </c>
      <c r="AM50" s="851">
        <v>0</v>
      </c>
      <c r="AN50" s="851">
        <v>0</v>
      </c>
      <c r="AO50" s="851">
        <v>0</v>
      </c>
      <c r="AP50" s="851">
        <v>0</v>
      </c>
      <c r="AQ50" s="851">
        <v>0</v>
      </c>
      <c r="AR50" s="851">
        <v>0</v>
      </c>
      <c r="AS50" s="851">
        <v>0</v>
      </c>
      <c r="AT50" s="851">
        <v>0</v>
      </c>
      <c r="AU50" s="851">
        <v>0</v>
      </c>
      <c r="AV50" s="851">
        <v>0</v>
      </c>
      <c r="AW50" s="851">
        <v>0</v>
      </c>
      <c r="AX50" s="851">
        <v>0</v>
      </c>
      <c r="AY50" s="851">
        <v>0</v>
      </c>
      <c r="AZ50" s="851">
        <v>0</v>
      </c>
      <c r="BA50" s="851">
        <v>0</v>
      </c>
      <c r="BB50" s="851">
        <v>0</v>
      </c>
      <c r="BC50" s="851">
        <v>0</v>
      </c>
      <c r="BD50" s="851"/>
      <c r="BE50" s="816"/>
      <c r="BF50" s="816"/>
      <c r="BG50" s="816"/>
      <c r="BH50" s="816"/>
      <c r="BI50" s="816"/>
      <c r="BJ50" s="816"/>
      <c r="BK50" s="816"/>
      <c r="BL50" s="816"/>
      <c r="BM50" s="816"/>
      <c r="BN50" s="816"/>
      <c r="BO50" s="816"/>
      <c r="BP50" s="816"/>
      <c r="BQ50" s="816"/>
      <c r="BR50" s="816"/>
      <c r="BS50" s="816"/>
      <c r="BT50" s="835"/>
    </row>
    <row r="51" spans="1:72" s="714" customFormat="1" ht="32.1" customHeight="1">
      <c r="A51" s="2616"/>
      <c r="B51" s="2609" t="s">
        <v>1593</v>
      </c>
      <c r="C51" s="2612"/>
      <c r="D51" s="851">
        <v>0</v>
      </c>
      <c r="E51" s="851">
        <v>0</v>
      </c>
      <c r="F51" s="851">
        <v>0</v>
      </c>
      <c r="G51" s="851">
        <v>0</v>
      </c>
      <c r="H51" s="851">
        <v>0</v>
      </c>
      <c r="I51" s="851">
        <v>0</v>
      </c>
      <c r="J51" s="851">
        <v>0</v>
      </c>
      <c r="K51" s="851">
        <v>0</v>
      </c>
      <c r="L51" s="851">
        <v>0</v>
      </c>
      <c r="M51" s="851">
        <v>0</v>
      </c>
      <c r="N51" s="851">
        <v>0</v>
      </c>
      <c r="O51" s="851">
        <v>0</v>
      </c>
      <c r="P51" s="851">
        <v>0</v>
      </c>
      <c r="Q51" s="851">
        <v>0</v>
      </c>
      <c r="R51" s="851">
        <v>0</v>
      </c>
      <c r="S51" s="851">
        <v>0</v>
      </c>
      <c r="T51" s="851">
        <v>0</v>
      </c>
      <c r="U51" s="851">
        <v>0</v>
      </c>
      <c r="V51" s="851">
        <v>0</v>
      </c>
      <c r="W51" s="851">
        <v>0</v>
      </c>
      <c r="X51" s="851">
        <v>0</v>
      </c>
      <c r="Y51" s="851">
        <v>0</v>
      </c>
      <c r="Z51" s="851">
        <v>0</v>
      </c>
      <c r="AA51" s="851">
        <v>0</v>
      </c>
      <c r="AB51" s="851">
        <v>0</v>
      </c>
      <c r="AC51" s="851">
        <v>0</v>
      </c>
      <c r="AD51" s="851">
        <v>0</v>
      </c>
      <c r="AE51" s="851">
        <v>0</v>
      </c>
      <c r="AF51" s="851">
        <v>0</v>
      </c>
      <c r="AG51" s="851">
        <v>0</v>
      </c>
      <c r="AH51" s="851">
        <v>0</v>
      </c>
      <c r="AI51" s="851">
        <v>0</v>
      </c>
      <c r="AJ51" s="851">
        <v>0</v>
      </c>
      <c r="AK51" s="851">
        <v>0</v>
      </c>
      <c r="AL51" s="851">
        <v>0</v>
      </c>
      <c r="AM51" s="851">
        <v>0</v>
      </c>
      <c r="AN51" s="851">
        <v>0</v>
      </c>
      <c r="AO51" s="851">
        <v>0</v>
      </c>
      <c r="AP51" s="851">
        <v>0</v>
      </c>
      <c r="AQ51" s="851">
        <v>0</v>
      </c>
      <c r="AR51" s="851">
        <v>0</v>
      </c>
      <c r="AS51" s="851">
        <v>0</v>
      </c>
      <c r="AT51" s="851">
        <v>0</v>
      </c>
      <c r="AU51" s="851">
        <v>0</v>
      </c>
      <c r="AV51" s="851">
        <v>0</v>
      </c>
      <c r="AW51" s="851">
        <v>0</v>
      </c>
      <c r="AX51" s="851">
        <v>0</v>
      </c>
      <c r="AY51" s="851">
        <v>0</v>
      </c>
      <c r="AZ51" s="851">
        <v>0</v>
      </c>
      <c r="BA51" s="851">
        <v>0</v>
      </c>
      <c r="BB51" s="851">
        <v>0</v>
      </c>
      <c r="BC51" s="851">
        <v>0</v>
      </c>
      <c r="BD51" s="851"/>
      <c r="BE51" s="816"/>
      <c r="BF51" s="816"/>
      <c r="BG51" s="816"/>
      <c r="BH51" s="816"/>
      <c r="BI51" s="816"/>
      <c r="BJ51" s="816"/>
      <c r="BK51" s="816"/>
      <c r="BL51" s="816"/>
      <c r="BM51" s="816"/>
      <c r="BN51" s="816"/>
      <c r="BO51" s="816"/>
      <c r="BP51" s="816"/>
      <c r="BQ51" s="816"/>
      <c r="BR51" s="816"/>
      <c r="BS51" s="816"/>
      <c r="BT51" s="835"/>
    </row>
    <row r="52" spans="1:72" s="714" customFormat="1" ht="32.1" customHeight="1">
      <c r="A52" s="2616"/>
      <c r="B52" s="2609" t="s">
        <v>1594</v>
      </c>
      <c r="C52" s="2612"/>
      <c r="D52" s="851">
        <v>0</v>
      </c>
      <c r="E52" s="851">
        <v>0</v>
      </c>
      <c r="F52" s="851">
        <v>0</v>
      </c>
      <c r="G52" s="851">
        <v>0</v>
      </c>
      <c r="H52" s="851">
        <v>0</v>
      </c>
      <c r="I52" s="851">
        <v>0</v>
      </c>
      <c r="J52" s="851">
        <v>0</v>
      </c>
      <c r="K52" s="851">
        <v>0</v>
      </c>
      <c r="L52" s="851">
        <v>0</v>
      </c>
      <c r="M52" s="851">
        <v>0</v>
      </c>
      <c r="N52" s="851">
        <v>0</v>
      </c>
      <c r="O52" s="851">
        <v>0</v>
      </c>
      <c r="P52" s="851">
        <v>0</v>
      </c>
      <c r="Q52" s="851">
        <v>0</v>
      </c>
      <c r="R52" s="851">
        <v>0</v>
      </c>
      <c r="S52" s="851">
        <v>0</v>
      </c>
      <c r="T52" s="851">
        <v>0</v>
      </c>
      <c r="U52" s="851">
        <v>0</v>
      </c>
      <c r="V52" s="851">
        <v>0</v>
      </c>
      <c r="W52" s="851">
        <v>0</v>
      </c>
      <c r="X52" s="851">
        <v>0</v>
      </c>
      <c r="Y52" s="851">
        <v>0</v>
      </c>
      <c r="Z52" s="851">
        <v>0</v>
      </c>
      <c r="AA52" s="851">
        <v>0</v>
      </c>
      <c r="AB52" s="851">
        <v>0</v>
      </c>
      <c r="AC52" s="851">
        <v>0</v>
      </c>
      <c r="AD52" s="851">
        <v>0</v>
      </c>
      <c r="AE52" s="851">
        <v>0</v>
      </c>
      <c r="AF52" s="851">
        <v>0</v>
      </c>
      <c r="AG52" s="851">
        <v>0</v>
      </c>
      <c r="AH52" s="851">
        <v>0</v>
      </c>
      <c r="AI52" s="851">
        <v>0</v>
      </c>
      <c r="AJ52" s="851">
        <v>0</v>
      </c>
      <c r="AK52" s="851">
        <v>0</v>
      </c>
      <c r="AL52" s="851">
        <v>0</v>
      </c>
      <c r="AM52" s="851">
        <v>0</v>
      </c>
      <c r="AN52" s="851">
        <v>0</v>
      </c>
      <c r="AO52" s="851">
        <v>0</v>
      </c>
      <c r="AP52" s="851">
        <v>0</v>
      </c>
      <c r="AQ52" s="851">
        <v>0</v>
      </c>
      <c r="AR52" s="851">
        <v>0</v>
      </c>
      <c r="AS52" s="851">
        <v>0</v>
      </c>
      <c r="AT52" s="851">
        <v>0</v>
      </c>
      <c r="AU52" s="851">
        <v>0</v>
      </c>
      <c r="AV52" s="851">
        <v>0</v>
      </c>
      <c r="AW52" s="851">
        <v>0</v>
      </c>
      <c r="AX52" s="851">
        <v>0</v>
      </c>
      <c r="AY52" s="851">
        <v>0</v>
      </c>
      <c r="AZ52" s="851">
        <v>0</v>
      </c>
      <c r="BA52" s="851">
        <v>0</v>
      </c>
      <c r="BB52" s="851">
        <v>0</v>
      </c>
      <c r="BC52" s="851">
        <v>0</v>
      </c>
      <c r="BD52" s="851"/>
      <c r="BE52" s="816"/>
      <c r="BF52" s="816"/>
      <c r="BG52" s="816"/>
      <c r="BH52" s="816"/>
      <c r="BI52" s="816"/>
      <c r="BJ52" s="816"/>
      <c r="BK52" s="816"/>
      <c r="BL52" s="816"/>
      <c r="BM52" s="816"/>
      <c r="BN52" s="816"/>
      <c r="BO52" s="816"/>
      <c r="BP52" s="816"/>
      <c r="BQ52" s="816"/>
      <c r="BR52" s="816"/>
      <c r="BS52" s="816"/>
      <c r="BT52" s="835"/>
    </row>
    <row r="53" spans="1:72" s="714" customFormat="1" ht="32.1" customHeight="1">
      <c r="A53" s="2616"/>
      <c r="B53" s="2609" t="s">
        <v>1595</v>
      </c>
      <c r="C53" s="2612"/>
      <c r="D53" s="851">
        <v>0</v>
      </c>
      <c r="E53" s="851">
        <v>0</v>
      </c>
      <c r="F53" s="851">
        <v>0</v>
      </c>
      <c r="G53" s="851">
        <v>0</v>
      </c>
      <c r="H53" s="851">
        <v>0</v>
      </c>
      <c r="I53" s="851">
        <v>0</v>
      </c>
      <c r="J53" s="851">
        <v>0</v>
      </c>
      <c r="K53" s="851">
        <v>0</v>
      </c>
      <c r="L53" s="851">
        <v>0</v>
      </c>
      <c r="M53" s="851">
        <v>0</v>
      </c>
      <c r="N53" s="851">
        <v>0</v>
      </c>
      <c r="O53" s="851">
        <v>0</v>
      </c>
      <c r="P53" s="851">
        <v>0</v>
      </c>
      <c r="Q53" s="851">
        <v>0</v>
      </c>
      <c r="R53" s="851">
        <v>0</v>
      </c>
      <c r="S53" s="851">
        <v>0</v>
      </c>
      <c r="T53" s="851">
        <v>0</v>
      </c>
      <c r="U53" s="851">
        <v>0</v>
      </c>
      <c r="V53" s="851">
        <v>0</v>
      </c>
      <c r="W53" s="851">
        <v>0</v>
      </c>
      <c r="X53" s="851">
        <v>0</v>
      </c>
      <c r="Y53" s="851">
        <v>0</v>
      </c>
      <c r="Z53" s="851">
        <v>0</v>
      </c>
      <c r="AA53" s="851">
        <v>0</v>
      </c>
      <c r="AB53" s="851">
        <v>0</v>
      </c>
      <c r="AC53" s="851">
        <v>0</v>
      </c>
      <c r="AD53" s="851">
        <v>0</v>
      </c>
      <c r="AE53" s="851">
        <v>0</v>
      </c>
      <c r="AF53" s="851">
        <v>0</v>
      </c>
      <c r="AG53" s="851">
        <v>0</v>
      </c>
      <c r="AH53" s="851">
        <v>0</v>
      </c>
      <c r="AI53" s="851">
        <v>0</v>
      </c>
      <c r="AJ53" s="851">
        <v>0</v>
      </c>
      <c r="AK53" s="851">
        <v>0</v>
      </c>
      <c r="AL53" s="851">
        <v>0</v>
      </c>
      <c r="AM53" s="851">
        <v>0</v>
      </c>
      <c r="AN53" s="851">
        <v>0</v>
      </c>
      <c r="AO53" s="851">
        <v>0</v>
      </c>
      <c r="AP53" s="851">
        <v>0</v>
      </c>
      <c r="AQ53" s="851">
        <v>0</v>
      </c>
      <c r="AR53" s="851">
        <v>0</v>
      </c>
      <c r="AS53" s="851">
        <v>0</v>
      </c>
      <c r="AT53" s="851">
        <v>0</v>
      </c>
      <c r="AU53" s="851">
        <v>0</v>
      </c>
      <c r="AV53" s="851">
        <v>0</v>
      </c>
      <c r="AW53" s="851">
        <v>0</v>
      </c>
      <c r="AX53" s="851">
        <v>0</v>
      </c>
      <c r="AY53" s="851">
        <v>0</v>
      </c>
      <c r="AZ53" s="851">
        <v>0</v>
      </c>
      <c r="BA53" s="851">
        <v>0</v>
      </c>
      <c r="BB53" s="851">
        <v>0</v>
      </c>
      <c r="BC53" s="851">
        <v>0</v>
      </c>
      <c r="BD53" s="851"/>
      <c r="BE53" s="816"/>
      <c r="BF53" s="816"/>
      <c r="BG53" s="816"/>
      <c r="BH53" s="816"/>
      <c r="BI53" s="816"/>
      <c r="BJ53" s="816"/>
      <c r="BK53" s="816"/>
      <c r="BL53" s="816"/>
      <c r="BM53" s="816"/>
      <c r="BN53" s="816"/>
      <c r="BO53" s="816"/>
      <c r="BP53" s="816"/>
      <c r="BQ53" s="816"/>
      <c r="BR53" s="816"/>
      <c r="BS53" s="816"/>
      <c r="BT53" s="835"/>
    </row>
    <row r="54" spans="1:72" s="714" customFormat="1" ht="21.95" customHeight="1">
      <c r="A54" s="2616"/>
      <c r="B54" s="2609" t="s">
        <v>1596</v>
      </c>
      <c r="C54" s="2612"/>
      <c r="D54" s="851">
        <v>0</v>
      </c>
      <c r="E54" s="851">
        <v>0</v>
      </c>
      <c r="F54" s="851">
        <v>0</v>
      </c>
      <c r="G54" s="851">
        <v>0</v>
      </c>
      <c r="H54" s="851">
        <v>0</v>
      </c>
      <c r="I54" s="851">
        <v>0</v>
      </c>
      <c r="J54" s="851">
        <v>0</v>
      </c>
      <c r="K54" s="851">
        <v>0</v>
      </c>
      <c r="L54" s="851">
        <v>0</v>
      </c>
      <c r="M54" s="851">
        <v>0</v>
      </c>
      <c r="N54" s="851">
        <v>0</v>
      </c>
      <c r="O54" s="851">
        <v>0</v>
      </c>
      <c r="P54" s="851">
        <v>0</v>
      </c>
      <c r="Q54" s="851">
        <v>0</v>
      </c>
      <c r="R54" s="851">
        <v>0</v>
      </c>
      <c r="S54" s="851">
        <v>0</v>
      </c>
      <c r="T54" s="851">
        <v>0</v>
      </c>
      <c r="U54" s="851">
        <v>0</v>
      </c>
      <c r="V54" s="851">
        <v>0</v>
      </c>
      <c r="W54" s="851">
        <v>0</v>
      </c>
      <c r="X54" s="851">
        <v>0</v>
      </c>
      <c r="Y54" s="851">
        <v>0</v>
      </c>
      <c r="Z54" s="851">
        <v>0</v>
      </c>
      <c r="AA54" s="851">
        <v>0</v>
      </c>
      <c r="AB54" s="851">
        <v>0</v>
      </c>
      <c r="AC54" s="851">
        <v>0</v>
      </c>
      <c r="AD54" s="851">
        <v>0</v>
      </c>
      <c r="AE54" s="851">
        <v>0</v>
      </c>
      <c r="AF54" s="851">
        <v>0</v>
      </c>
      <c r="AG54" s="851">
        <v>0</v>
      </c>
      <c r="AH54" s="851">
        <v>0</v>
      </c>
      <c r="AI54" s="851">
        <v>0</v>
      </c>
      <c r="AJ54" s="851">
        <v>0</v>
      </c>
      <c r="AK54" s="851">
        <v>0</v>
      </c>
      <c r="AL54" s="851">
        <v>0</v>
      </c>
      <c r="AM54" s="851">
        <v>0</v>
      </c>
      <c r="AN54" s="851">
        <v>0</v>
      </c>
      <c r="AO54" s="851">
        <v>0</v>
      </c>
      <c r="AP54" s="851">
        <v>0</v>
      </c>
      <c r="AQ54" s="851">
        <v>0</v>
      </c>
      <c r="AR54" s="851">
        <v>0</v>
      </c>
      <c r="AS54" s="851">
        <v>0</v>
      </c>
      <c r="AT54" s="851">
        <v>0</v>
      </c>
      <c r="AU54" s="851">
        <v>0</v>
      </c>
      <c r="AV54" s="851">
        <v>0</v>
      </c>
      <c r="AW54" s="851">
        <v>0</v>
      </c>
      <c r="AX54" s="851">
        <v>0</v>
      </c>
      <c r="AY54" s="851">
        <v>0</v>
      </c>
      <c r="AZ54" s="851">
        <v>0</v>
      </c>
      <c r="BA54" s="851">
        <v>0</v>
      </c>
      <c r="BB54" s="851">
        <v>0</v>
      </c>
      <c r="BC54" s="851">
        <v>0</v>
      </c>
      <c r="BD54" s="851"/>
      <c r="BE54" s="816"/>
      <c r="BF54" s="816"/>
      <c r="BG54" s="816"/>
      <c r="BH54" s="816"/>
      <c r="BI54" s="816"/>
      <c r="BJ54" s="816"/>
      <c r="BK54" s="816"/>
      <c r="BL54" s="816"/>
      <c r="BM54" s="816"/>
      <c r="BN54" s="816"/>
      <c r="BO54" s="816"/>
      <c r="BP54" s="816"/>
      <c r="BQ54" s="816"/>
      <c r="BR54" s="816"/>
      <c r="BS54" s="816"/>
      <c r="BT54" s="835"/>
    </row>
    <row r="55" spans="1:72" s="714" customFormat="1" ht="21.95" customHeight="1">
      <c r="A55" s="2616"/>
      <c r="B55" s="2607" t="s">
        <v>1597</v>
      </c>
      <c r="C55" s="832" t="s">
        <v>1598</v>
      </c>
      <c r="D55" s="850">
        <v>0</v>
      </c>
      <c r="E55" s="850">
        <v>0</v>
      </c>
      <c r="F55" s="850">
        <v>0</v>
      </c>
      <c r="G55" s="850">
        <v>0</v>
      </c>
      <c r="H55" s="850">
        <v>0</v>
      </c>
      <c r="I55" s="850">
        <v>0</v>
      </c>
      <c r="J55" s="850">
        <v>0</v>
      </c>
      <c r="K55" s="850">
        <v>0</v>
      </c>
      <c r="L55" s="850">
        <v>0</v>
      </c>
      <c r="M55" s="850">
        <v>0</v>
      </c>
      <c r="N55" s="850">
        <v>0</v>
      </c>
      <c r="O55" s="850">
        <v>0</v>
      </c>
      <c r="P55" s="850">
        <v>0</v>
      </c>
      <c r="Q55" s="850">
        <v>0</v>
      </c>
      <c r="R55" s="850">
        <v>0</v>
      </c>
      <c r="S55" s="850">
        <v>0</v>
      </c>
      <c r="T55" s="850">
        <v>0</v>
      </c>
      <c r="U55" s="850">
        <v>0</v>
      </c>
      <c r="V55" s="850">
        <v>0</v>
      </c>
      <c r="W55" s="850">
        <v>0</v>
      </c>
      <c r="X55" s="850">
        <v>0</v>
      </c>
      <c r="Y55" s="850">
        <v>0</v>
      </c>
      <c r="Z55" s="850">
        <v>0</v>
      </c>
      <c r="AA55" s="850">
        <v>0</v>
      </c>
      <c r="AB55" s="850">
        <v>0</v>
      </c>
      <c r="AC55" s="850">
        <v>0</v>
      </c>
      <c r="AD55" s="850">
        <v>0</v>
      </c>
      <c r="AE55" s="850">
        <v>0</v>
      </c>
      <c r="AF55" s="850">
        <v>0</v>
      </c>
      <c r="AG55" s="850">
        <v>0</v>
      </c>
      <c r="AH55" s="850">
        <v>0</v>
      </c>
      <c r="AI55" s="850">
        <v>0</v>
      </c>
      <c r="AJ55" s="850">
        <v>0</v>
      </c>
      <c r="AK55" s="850">
        <v>0</v>
      </c>
      <c r="AL55" s="850">
        <v>0</v>
      </c>
      <c r="AM55" s="850">
        <v>0</v>
      </c>
      <c r="AN55" s="850">
        <v>0</v>
      </c>
      <c r="AO55" s="850">
        <v>0</v>
      </c>
      <c r="AP55" s="850">
        <v>0</v>
      </c>
      <c r="AQ55" s="850">
        <v>0</v>
      </c>
      <c r="AR55" s="850">
        <v>0</v>
      </c>
      <c r="AS55" s="850">
        <v>0</v>
      </c>
      <c r="AT55" s="850">
        <v>0</v>
      </c>
      <c r="AU55" s="850">
        <v>0</v>
      </c>
      <c r="AV55" s="850">
        <v>0</v>
      </c>
      <c r="AW55" s="850">
        <v>0</v>
      </c>
      <c r="AX55" s="850">
        <v>0</v>
      </c>
      <c r="AY55" s="850">
        <v>0</v>
      </c>
      <c r="AZ55" s="850">
        <v>0</v>
      </c>
      <c r="BA55" s="850">
        <v>0</v>
      </c>
      <c r="BB55" s="850">
        <v>0</v>
      </c>
      <c r="BC55" s="850">
        <v>0</v>
      </c>
      <c r="BD55" s="850"/>
      <c r="BE55" s="821"/>
      <c r="BF55" s="821"/>
      <c r="BG55" s="821"/>
      <c r="BH55" s="821"/>
      <c r="BI55" s="821"/>
      <c r="BJ55" s="821"/>
      <c r="BK55" s="821"/>
      <c r="BL55" s="821"/>
      <c r="BM55" s="821"/>
      <c r="BN55" s="821"/>
      <c r="BO55" s="821"/>
      <c r="BP55" s="821"/>
      <c r="BQ55" s="821"/>
      <c r="BR55" s="821"/>
      <c r="BS55" s="821"/>
      <c r="BT55" s="835"/>
    </row>
    <row r="56" spans="1:72" s="714" customFormat="1" ht="21.95" customHeight="1">
      <c r="A56" s="2616"/>
      <c r="B56" s="2610"/>
      <c r="C56" s="832" t="s">
        <v>1599</v>
      </c>
      <c r="D56" s="851">
        <v>0</v>
      </c>
      <c r="E56" s="851">
        <v>0</v>
      </c>
      <c r="F56" s="851">
        <v>0</v>
      </c>
      <c r="G56" s="851">
        <v>0</v>
      </c>
      <c r="H56" s="851">
        <v>0</v>
      </c>
      <c r="I56" s="851">
        <v>0</v>
      </c>
      <c r="J56" s="851">
        <v>0</v>
      </c>
      <c r="K56" s="851">
        <v>0</v>
      </c>
      <c r="L56" s="851">
        <v>0</v>
      </c>
      <c r="M56" s="851">
        <v>0</v>
      </c>
      <c r="N56" s="851">
        <v>0</v>
      </c>
      <c r="O56" s="851">
        <v>0</v>
      </c>
      <c r="P56" s="851">
        <v>0</v>
      </c>
      <c r="Q56" s="851">
        <v>0</v>
      </c>
      <c r="R56" s="851">
        <v>0</v>
      </c>
      <c r="S56" s="851">
        <v>0</v>
      </c>
      <c r="T56" s="851">
        <v>0</v>
      </c>
      <c r="U56" s="851">
        <v>0</v>
      </c>
      <c r="V56" s="851">
        <v>0</v>
      </c>
      <c r="W56" s="851">
        <v>0</v>
      </c>
      <c r="X56" s="851">
        <v>0</v>
      </c>
      <c r="Y56" s="851">
        <v>0</v>
      </c>
      <c r="Z56" s="851">
        <v>0</v>
      </c>
      <c r="AA56" s="851">
        <v>0</v>
      </c>
      <c r="AB56" s="851">
        <v>0</v>
      </c>
      <c r="AC56" s="851">
        <v>0</v>
      </c>
      <c r="AD56" s="851">
        <v>0</v>
      </c>
      <c r="AE56" s="851">
        <v>0</v>
      </c>
      <c r="AF56" s="851">
        <v>0</v>
      </c>
      <c r="AG56" s="851">
        <v>0</v>
      </c>
      <c r="AH56" s="851">
        <v>0</v>
      </c>
      <c r="AI56" s="851">
        <v>0</v>
      </c>
      <c r="AJ56" s="851">
        <v>0</v>
      </c>
      <c r="AK56" s="851">
        <v>0</v>
      </c>
      <c r="AL56" s="851">
        <v>0</v>
      </c>
      <c r="AM56" s="851">
        <v>0</v>
      </c>
      <c r="AN56" s="851">
        <v>0</v>
      </c>
      <c r="AO56" s="851">
        <v>0</v>
      </c>
      <c r="AP56" s="851">
        <v>0</v>
      </c>
      <c r="AQ56" s="851">
        <v>0</v>
      </c>
      <c r="AR56" s="851">
        <v>0</v>
      </c>
      <c r="AS56" s="851">
        <v>0</v>
      </c>
      <c r="AT56" s="851">
        <v>0</v>
      </c>
      <c r="AU56" s="851">
        <v>0</v>
      </c>
      <c r="AV56" s="851">
        <v>0</v>
      </c>
      <c r="AW56" s="851">
        <v>0</v>
      </c>
      <c r="AX56" s="851">
        <v>0</v>
      </c>
      <c r="AY56" s="851">
        <v>0</v>
      </c>
      <c r="AZ56" s="851">
        <v>0</v>
      </c>
      <c r="BA56" s="851">
        <v>0</v>
      </c>
      <c r="BB56" s="851">
        <v>0</v>
      </c>
      <c r="BC56" s="851">
        <v>0</v>
      </c>
      <c r="BD56" s="851"/>
      <c r="BE56" s="816"/>
      <c r="BF56" s="816"/>
      <c r="BG56" s="816"/>
      <c r="BH56" s="816"/>
      <c r="BI56" s="816"/>
      <c r="BJ56" s="816"/>
      <c r="BK56" s="816"/>
      <c r="BL56" s="816"/>
      <c r="BM56" s="816"/>
      <c r="BN56" s="816"/>
      <c r="BO56" s="816"/>
      <c r="BP56" s="816"/>
      <c r="BQ56" s="816"/>
      <c r="BR56" s="816"/>
      <c r="BS56" s="816"/>
      <c r="BT56" s="835"/>
    </row>
    <row r="57" spans="1:72" s="714" customFormat="1" ht="21.95" customHeight="1">
      <c r="A57" s="2616"/>
      <c r="B57" s="2610"/>
      <c r="C57" s="832" t="s">
        <v>1600</v>
      </c>
      <c r="D57" s="852">
        <v>0</v>
      </c>
      <c r="E57" s="852">
        <v>0</v>
      </c>
      <c r="F57" s="852">
        <v>0</v>
      </c>
      <c r="G57" s="852">
        <v>0</v>
      </c>
      <c r="H57" s="852">
        <v>0</v>
      </c>
      <c r="I57" s="852">
        <v>0</v>
      </c>
      <c r="J57" s="852">
        <v>0</v>
      </c>
      <c r="K57" s="852">
        <v>0</v>
      </c>
      <c r="L57" s="852">
        <v>0</v>
      </c>
      <c r="M57" s="852">
        <v>0</v>
      </c>
      <c r="N57" s="852">
        <v>0</v>
      </c>
      <c r="O57" s="852">
        <v>0</v>
      </c>
      <c r="P57" s="852">
        <v>0</v>
      </c>
      <c r="Q57" s="852">
        <v>0</v>
      </c>
      <c r="R57" s="852">
        <v>0</v>
      </c>
      <c r="S57" s="852">
        <v>0</v>
      </c>
      <c r="T57" s="852">
        <v>0</v>
      </c>
      <c r="U57" s="852">
        <v>0</v>
      </c>
      <c r="V57" s="852">
        <v>0</v>
      </c>
      <c r="W57" s="852">
        <v>0</v>
      </c>
      <c r="X57" s="852">
        <v>0</v>
      </c>
      <c r="Y57" s="852">
        <v>0</v>
      </c>
      <c r="Z57" s="852">
        <v>0</v>
      </c>
      <c r="AA57" s="852">
        <v>0</v>
      </c>
      <c r="AB57" s="852">
        <v>0</v>
      </c>
      <c r="AC57" s="852">
        <v>0</v>
      </c>
      <c r="AD57" s="852">
        <v>0</v>
      </c>
      <c r="AE57" s="852">
        <v>0</v>
      </c>
      <c r="AF57" s="852">
        <v>0</v>
      </c>
      <c r="AG57" s="852">
        <v>0</v>
      </c>
      <c r="AH57" s="852">
        <v>0</v>
      </c>
      <c r="AI57" s="852">
        <v>0</v>
      </c>
      <c r="AJ57" s="852">
        <v>0</v>
      </c>
      <c r="AK57" s="852">
        <v>0</v>
      </c>
      <c r="AL57" s="852">
        <v>0</v>
      </c>
      <c r="AM57" s="852">
        <v>0</v>
      </c>
      <c r="AN57" s="852">
        <v>0</v>
      </c>
      <c r="AO57" s="852">
        <v>0</v>
      </c>
      <c r="AP57" s="852">
        <v>0</v>
      </c>
      <c r="AQ57" s="852">
        <v>0</v>
      </c>
      <c r="AR57" s="852">
        <v>0</v>
      </c>
      <c r="AS57" s="852">
        <v>0</v>
      </c>
      <c r="AT57" s="852">
        <v>0</v>
      </c>
      <c r="AU57" s="852">
        <v>0</v>
      </c>
      <c r="AV57" s="852">
        <v>0</v>
      </c>
      <c r="AW57" s="852">
        <v>0</v>
      </c>
      <c r="AX57" s="852">
        <v>0</v>
      </c>
      <c r="AY57" s="852">
        <v>0</v>
      </c>
      <c r="AZ57" s="852">
        <v>0</v>
      </c>
      <c r="BA57" s="852">
        <v>0</v>
      </c>
      <c r="BB57" s="852">
        <v>0</v>
      </c>
      <c r="BC57" s="852">
        <v>0</v>
      </c>
      <c r="BD57" s="852"/>
      <c r="BE57" s="819"/>
      <c r="BF57" s="819"/>
      <c r="BG57" s="819"/>
      <c r="BH57" s="819"/>
      <c r="BI57" s="819"/>
      <c r="BJ57" s="819"/>
      <c r="BK57" s="819"/>
      <c r="BL57" s="819"/>
      <c r="BM57" s="819"/>
      <c r="BN57" s="819"/>
      <c r="BO57" s="819"/>
      <c r="BP57" s="819"/>
      <c r="BQ57" s="819"/>
      <c r="BR57" s="819"/>
      <c r="BS57" s="819"/>
      <c r="BT57" s="835"/>
    </row>
    <row r="58" spans="1:72" s="714" customFormat="1" ht="21.95" customHeight="1">
      <c r="A58" s="2616"/>
      <c r="B58" s="2610"/>
      <c r="C58" s="832" t="s">
        <v>1601</v>
      </c>
      <c r="D58" s="850">
        <v>0</v>
      </c>
      <c r="E58" s="850">
        <v>0</v>
      </c>
      <c r="F58" s="850">
        <v>0</v>
      </c>
      <c r="G58" s="850">
        <v>0</v>
      </c>
      <c r="H58" s="850">
        <v>0</v>
      </c>
      <c r="I58" s="850">
        <v>0</v>
      </c>
      <c r="J58" s="850">
        <v>0</v>
      </c>
      <c r="K58" s="850">
        <v>0</v>
      </c>
      <c r="L58" s="850">
        <v>0</v>
      </c>
      <c r="M58" s="850">
        <v>0</v>
      </c>
      <c r="N58" s="850">
        <v>0</v>
      </c>
      <c r="O58" s="850">
        <v>0</v>
      </c>
      <c r="P58" s="850">
        <v>0</v>
      </c>
      <c r="Q58" s="850">
        <v>0</v>
      </c>
      <c r="R58" s="850">
        <v>0</v>
      </c>
      <c r="S58" s="850">
        <v>0</v>
      </c>
      <c r="T58" s="850">
        <v>0</v>
      </c>
      <c r="U58" s="850">
        <v>0</v>
      </c>
      <c r="V58" s="850">
        <v>0</v>
      </c>
      <c r="W58" s="850">
        <v>0</v>
      </c>
      <c r="X58" s="850">
        <v>0</v>
      </c>
      <c r="Y58" s="850">
        <v>0</v>
      </c>
      <c r="Z58" s="850">
        <v>0</v>
      </c>
      <c r="AA58" s="850">
        <v>0</v>
      </c>
      <c r="AB58" s="850">
        <v>0</v>
      </c>
      <c r="AC58" s="850">
        <v>0</v>
      </c>
      <c r="AD58" s="850">
        <v>0</v>
      </c>
      <c r="AE58" s="850">
        <v>0</v>
      </c>
      <c r="AF58" s="850">
        <v>0</v>
      </c>
      <c r="AG58" s="850">
        <v>0</v>
      </c>
      <c r="AH58" s="850">
        <v>0</v>
      </c>
      <c r="AI58" s="850">
        <v>0</v>
      </c>
      <c r="AJ58" s="850">
        <v>0</v>
      </c>
      <c r="AK58" s="850">
        <v>0</v>
      </c>
      <c r="AL58" s="850">
        <v>0</v>
      </c>
      <c r="AM58" s="850">
        <v>0</v>
      </c>
      <c r="AN58" s="850">
        <v>0</v>
      </c>
      <c r="AO58" s="850">
        <v>0</v>
      </c>
      <c r="AP58" s="850">
        <v>0</v>
      </c>
      <c r="AQ58" s="850">
        <v>0</v>
      </c>
      <c r="AR58" s="850">
        <v>0</v>
      </c>
      <c r="AS58" s="850">
        <v>0</v>
      </c>
      <c r="AT58" s="850">
        <v>0</v>
      </c>
      <c r="AU58" s="850">
        <v>0</v>
      </c>
      <c r="AV58" s="850">
        <v>0</v>
      </c>
      <c r="AW58" s="850">
        <v>0</v>
      </c>
      <c r="AX58" s="850">
        <v>0</v>
      </c>
      <c r="AY58" s="850">
        <v>0</v>
      </c>
      <c r="AZ58" s="850">
        <v>0</v>
      </c>
      <c r="BA58" s="850">
        <v>0</v>
      </c>
      <c r="BB58" s="850">
        <v>0</v>
      </c>
      <c r="BC58" s="850">
        <v>0</v>
      </c>
      <c r="BD58" s="850"/>
      <c r="BE58" s="821"/>
      <c r="BF58" s="821"/>
      <c r="BG58" s="821"/>
      <c r="BH58" s="821"/>
      <c r="BI58" s="821"/>
      <c r="BJ58" s="821"/>
      <c r="BK58" s="821"/>
      <c r="BL58" s="821"/>
      <c r="BM58" s="821"/>
      <c r="BN58" s="821"/>
      <c r="BO58" s="821"/>
      <c r="BP58" s="821"/>
      <c r="BQ58" s="821"/>
      <c r="BR58" s="821"/>
      <c r="BS58" s="821"/>
      <c r="BT58" s="835"/>
    </row>
    <row r="59" spans="1:72" s="714" customFormat="1" ht="21.95" customHeight="1">
      <c r="A59" s="2616"/>
      <c r="B59" s="2610"/>
      <c r="C59" s="832" t="s">
        <v>1602</v>
      </c>
      <c r="D59" s="851">
        <v>0</v>
      </c>
      <c r="E59" s="851">
        <v>0</v>
      </c>
      <c r="F59" s="851">
        <v>0</v>
      </c>
      <c r="G59" s="851">
        <v>0</v>
      </c>
      <c r="H59" s="851">
        <v>0</v>
      </c>
      <c r="I59" s="851">
        <v>0</v>
      </c>
      <c r="J59" s="851">
        <v>0</v>
      </c>
      <c r="K59" s="851">
        <v>0</v>
      </c>
      <c r="L59" s="851">
        <v>0</v>
      </c>
      <c r="M59" s="851">
        <v>0</v>
      </c>
      <c r="N59" s="851">
        <v>0</v>
      </c>
      <c r="O59" s="851">
        <v>0</v>
      </c>
      <c r="P59" s="851">
        <v>0</v>
      </c>
      <c r="Q59" s="851">
        <v>0</v>
      </c>
      <c r="R59" s="851">
        <v>0</v>
      </c>
      <c r="S59" s="851">
        <v>0</v>
      </c>
      <c r="T59" s="851">
        <v>0</v>
      </c>
      <c r="U59" s="851">
        <v>0</v>
      </c>
      <c r="V59" s="851">
        <v>0</v>
      </c>
      <c r="W59" s="851">
        <v>0</v>
      </c>
      <c r="X59" s="851">
        <v>0</v>
      </c>
      <c r="Y59" s="851">
        <v>0</v>
      </c>
      <c r="Z59" s="851">
        <v>0</v>
      </c>
      <c r="AA59" s="851">
        <v>0</v>
      </c>
      <c r="AB59" s="851">
        <v>0</v>
      </c>
      <c r="AC59" s="851">
        <v>0</v>
      </c>
      <c r="AD59" s="851">
        <v>0</v>
      </c>
      <c r="AE59" s="851">
        <v>0</v>
      </c>
      <c r="AF59" s="851">
        <v>0</v>
      </c>
      <c r="AG59" s="851">
        <v>0</v>
      </c>
      <c r="AH59" s="851">
        <v>0</v>
      </c>
      <c r="AI59" s="851">
        <v>0</v>
      </c>
      <c r="AJ59" s="851">
        <v>0</v>
      </c>
      <c r="AK59" s="851">
        <v>0</v>
      </c>
      <c r="AL59" s="851">
        <v>0</v>
      </c>
      <c r="AM59" s="851">
        <v>0</v>
      </c>
      <c r="AN59" s="851">
        <v>0</v>
      </c>
      <c r="AO59" s="851">
        <v>0</v>
      </c>
      <c r="AP59" s="851">
        <v>0</v>
      </c>
      <c r="AQ59" s="851">
        <v>0</v>
      </c>
      <c r="AR59" s="851">
        <v>0</v>
      </c>
      <c r="AS59" s="851">
        <v>0</v>
      </c>
      <c r="AT59" s="851">
        <v>0</v>
      </c>
      <c r="AU59" s="851">
        <v>0</v>
      </c>
      <c r="AV59" s="851">
        <v>0</v>
      </c>
      <c r="AW59" s="851">
        <v>0</v>
      </c>
      <c r="AX59" s="851">
        <v>0</v>
      </c>
      <c r="AY59" s="851">
        <v>0</v>
      </c>
      <c r="AZ59" s="851">
        <v>0</v>
      </c>
      <c r="BA59" s="851">
        <v>0</v>
      </c>
      <c r="BB59" s="851">
        <v>0</v>
      </c>
      <c r="BC59" s="851">
        <v>0</v>
      </c>
      <c r="BD59" s="851"/>
      <c r="BE59" s="816"/>
      <c r="BF59" s="816"/>
      <c r="BG59" s="816"/>
      <c r="BH59" s="816"/>
      <c r="BI59" s="816"/>
      <c r="BJ59" s="816"/>
      <c r="BK59" s="816"/>
      <c r="BL59" s="816"/>
      <c r="BM59" s="816"/>
      <c r="BN59" s="816"/>
      <c r="BO59" s="816"/>
      <c r="BP59" s="816"/>
      <c r="BQ59" s="816"/>
      <c r="BR59" s="816"/>
      <c r="BS59" s="816"/>
      <c r="BT59" s="835"/>
    </row>
    <row r="60" spans="1:72" s="714" customFormat="1" ht="21.95" customHeight="1">
      <c r="A60" s="2616"/>
      <c r="B60" s="2610"/>
      <c r="C60" s="832" t="s">
        <v>1603</v>
      </c>
      <c r="D60" s="852">
        <v>0</v>
      </c>
      <c r="E60" s="852">
        <v>0</v>
      </c>
      <c r="F60" s="852">
        <v>0</v>
      </c>
      <c r="G60" s="852">
        <v>0</v>
      </c>
      <c r="H60" s="852">
        <v>0</v>
      </c>
      <c r="I60" s="852">
        <v>0</v>
      </c>
      <c r="J60" s="852">
        <v>0</v>
      </c>
      <c r="K60" s="852">
        <v>0</v>
      </c>
      <c r="L60" s="852">
        <v>0</v>
      </c>
      <c r="M60" s="852">
        <v>0</v>
      </c>
      <c r="N60" s="852">
        <v>0</v>
      </c>
      <c r="O60" s="852">
        <v>0</v>
      </c>
      <c r="P60" s="852">
        <v>0</v>
      </c>
      <c r="Q60" s="852">
        <v>0</v>
      </c>
      <c r="R60" s="852">
        <v>0</v>
      </c>
      <c r="S60" s="852">
        <v>0</v>
      </c>
      <c r="T60" s="852">
        <v>0</v>
      </c>
      <c r="U60" s="852">
        <v>0</v>
      </c>
      <c r="V60" s="852">
        <v>0</v>
      </c>
      <c r="W60" s="852">
        <v>0</v>
      </c>
      <c r="X60" s="852">
        <v>0</v>
      </c>
      <c r="Y60" s="852">
        <v>0</v>
      </c>
      <c r="Z60" s="852">
        <v>0</v>
      </c>
      <c r="AA60" s="852">
        <v>0</v>
      </c>
      <c r="AB60" s="852">
        <v>0</v>
      </c>
      <c r="AC60" s="852">
        <v>0</v>
      </c>
      <c r="AD60" s="852">
        <v>0</v>
      </c>
      <c r="AE60" s="852">
        <v>0</v>
      </c>
      <c r="AF60" s="852">
        <v>0</v>
      </c>
      <c r="AG60" s="852">
        <v>0</v>
      </c>
      <c r="AH60" s="852">
        <v>0</v>
      </c>
      <c r="AI60" s="852">
        <v>0</v>
      </c>
      <c r="AJ60" s="852">
        <v>0</v>
      </c>
      <c r="AK60" s="852">
        <v>0</v>
      </c>
      <c r="AL60" s="852">
        <v>0</v>
      </c>
      <c r="AM60" s="852">
        <v>0</v>
      </c>
      <c r="AN60" s="852">
        <v>0</v>
      </c>
      <c r="AO60" s="852">
        <v>0</v>
      </c>
      <c r="AP60" s="852">
        <v>0</v>
      </c>
      <c r="AQ60" s="852">
        <v>0</v>
      </c>
      <c r="AR60" s="852">
        <v>0</v>
      </c>
      <c r="AS60" s="852">
        <v>0</v>
      </c>
      <c r="AT60" s="852">
        <v>0</v>
      </c>
      <c r="AU60" s="852">
        <v>0</v>
      </c>
      <c r="AV60" s="852">
        <v>0</v>
      </c>
      <c r="AW60" s="852">
        <v>0</v>
      </c>
      <c r="AX60" s="852">
        <v>0</v>
      </c>
      <c r="AY60" s="852">
        <v>0</v>
      </c>
      <c r="AZ60" s="852">
        <v>0</v>
      </c>
      <c r="BA60" s="852">
        <v>0</v>
      </c>
      <c r="BB60" s="852">
        <v>0</v>
      </c>
      <c r="BC60" s="852">
        <v>0</v>
      </c>
      <c r="BD60" s="852"/>
      <c r="BE60" s="819"/>
      <c r="BF60" s="819"/>
      <c r="BG60" s="819"/>
      <c r="BH60" s="819"/>
      <c r="BI60" s="819"/>
      <c r="BJ60" s="819"/>
      <c r="BK60" s="819"/>
      <c r="BL60" s="819"/>
      <c r="BM60" s="819"/>
      <c r="BN60" s="819"/>
      <c r="BO60" s="819"/>
      <c r="BP60" s="819"/>
      <c r="BQ60" s="819"/>
      <c r="BR60" s="819"/>
      <c r="BS60" s="819"/>
      <c r="BT60" s="835"/>
    </row>
    <row r="61" spans="1:72" s="714" customFormat="1" ht="21.95" customHeight="1">
      <c r="A61" s="2616"/>
      <c r="B61" s="2610"/>
      <c r="C61" s="832" t="s">
        <v>1604</v>
      </c>
      <c r="D61" s="850">
        <v>0</v>
      </c>
      <c r="E61" s="850">
        <v>0</v>
      </c>
      <c r="F61" s="850">
        <v>0</v>
      </c>
      <c r="G61" s="850">
        <v>0</v>
      </c>
      <c r="H61" s="850">
        <v>0</v>
      </c>
      <c r="I61" s="850">
        <v>0</v>
      </c>
      <c r="J61" s="850">
        <v>0</v>
      </c>
      <c r="K61" s="850">
        <v>0</v>
      </c>
      <c r="L61" s="850">
        <v>0</v>
      </c>
      <c r="M61" s="850">
        <v>0</v>
      </c>
      <c r="N61" s="850">
        <v>0</v>
      </c>
      <c r="O61" s="850">
        <v>0</v>
      </c>
      <c r="P61" s="850">
        <v>0</v>
      </c>
      <c r="Q61" s="850">
        <v>0</v>
      </c>
      <c r="R61" s="850">
        <v>0</v>
      </c>
      <c r="S61" s="850">
        <v>0</v>
      </c>
      <c r="T61" s="850">
        <v>0</v>
      </c>
      <c r="U61" s="850">
        <v>0</v>
      </c>
      <c r="V61" s="850">
        <v>0</v>
      </c>
      <c r="W61" s="850">
        <v>0</v>
      </c>
      <c r="X61" s="850">
        <v>0</v>
      </c>
      <c r="Y61" s="850">
        <v>0</v>
      </c>
      <c r="Z61" s="850">
        <v>0</v>
      </c>
      <c r="AA61" s="850">
        <v>0</v>
      </c>
      <c r="AB61" s="850">
        <v>0</v>
      </c>
      <c r="AC61" s="850">
        <v>0</v>
      </c>
      <c r="AD61" s="850">
        <v>0</v>
      </c>
      <c r="AE61" s="850">
        <v>0</v>
      </c>
      <c r="AF61" s="850">
        <v>0</v>
      </c>
      <c r="AG61" s="850">
        <v>0</v>
      </c>
      <c r="AH61" s="850">
        <v>0</v>
      </c>
      <c r="AI61" s="850">
        <v>0</v>
      </c>
      <c r="AJ61" s="850">
        <v>0</v>
      </c>
      <c r="AK61" s="850">
        <v>0</v>
      </c>
      <c r="AL61" s="850">
        <v>0</v>
      </c>
      <c r="AM61" s="850">
        <v>0</v>
      </c>
      <c r="AN61" s="850">
        <v>0</v>
      </c>
      <c r="AO61" s="850">
        <v>0</v>
      </c>
      <c r="AP61" s="850">
        <v>0</v>
      </c>
      <c r="AQ61" s="850">
        <v>0</v>
      </c>
      <c r="AR61" s="850">
        <v>0</v>
      </c>
      <c r="AS61" s="850">
        <v>0</v>
      </c>
      <c r="AT61" s="850">
        <v>0</v>
      </c>
      <c r="AU61" s="850">
        <v>0</v>
      </c>
      <c r="AV61" s="850">
        <v>0</v>
      </c>
      <c r="AW61" s="850">
        <v>0</v>
      </c>
      <c r="AX61" s="850">
        <v>0</v>
      </c>
      <c r="AY61" s="850">
        <v>0</v>
      </c>
      <c r="AZ61" s="850">
        <v>0</v>
      </c>
      <c r="BA61" s="850">
        <v>0</v>
      </c>
      <c r="BB61" s="850">
        <v>0</v>
      </c>
      <c r="BC61" s="850">
        <v>0</v>
      </c>
      <c r="BD61" s="850"/>
      <c r="BE61" s="821"/>
      <c r="BF61" s="821"/>
      <c r="BG61" s="821"/>
      <c r="BH61" s="821"/>
      <c r="BI61" s="821"/>
      <c r="BJ61" s="821"/>
      <c r="BK61" s="821"/>
      <c r="BL61" s="821"/>
      <c r="BM61" s="821"/>
      <c r="BN61" s="821"/>
      <c r="BO61" s="821"/>
      <c r="BP61" s="821"/>
      <c r="BQ61" s="821"/>
      <c r="BR61" s="821"/>
      <c r="BS61" s="821"/>
    </row>
    <row r="62" spans="1:72" s="714" customFormat="1" ht="21.95" customHeight="1">
      <c r="A62" s="2616"/>
      <c r="B62" s="2610"/>
      <c r="C62" s="832" t="s">
        <v>1605</v>
      </c>
      <c r="D62" s="714">
        <v>0</v>
      </c>
      <c r="E62" s="851">
        <v>0</v>
      </c>
      <c r="F62" s="851">
        <v>0</v>
      </c>
      <c r="G62" s="851">
        <v>0</v>
      </c>
      <c r="H62" s="851">
        <v>0</v>
      </c>
      <c r="I62" s="851">
        <v>0</v>
      </c>
      <c r="J62" s="851">
        <v>0</v>
      </c>
      <c r="K62" s="851">
        <v>0</v>
      </c>
      <c r="L62" s="851">
        <v>0</v>
      </c>
      <c r="M62" s="851">
        <v>0</v>
      </c>
      <c r="N62" s="851">
        <v>0</v>
      </c>
      <c r="O62" s="851">
        <v>0</v>
      </c>
      <c r="P62" s="851">
        <v>0</v>
      </c>
      <c r="Q62" s="851">
        <v>0</v>
      </c>
      <c r="R62" s="851">
        <v>0</v>
      </c>
      <c r="S62" s="851">
        <v>0</v>
      </c>
      <c r="T62" s="851">
        <v>0</v>
      </c>
      <c r="U62" s="851">
        <v>0</v>
      </c>
      <c r="V62" s="851">
        <v>0</v>
      </c>
      <c r="W62" s="851">
        <v>0</v>
      </c>
      <c r="X62" s="851">
        <v>0</v>
      </c>
      <c r="Y62" s="851">
        <v>0</v>
      </c>
      <c r="Z62" s="851">
        <v>0</v>
      </c>
      <c r="AA62" s="851">
        <v>0</v>
      </c>
      <c r="AB62" s="851">
        <v>0</v>
      </c>
      <c r="AC62" s="851">
        <v>0</v>
      </c>
      <c r="AD62" s="851">
        <v>0</v>
      </c>
      <c r="AE62" s="851">
        <v>0</v>
      </c>
      <c r="AF62" s="851">
        <v>0</v>
      </c>
      <c r="AG62" s="851">
        <v>0</v>
      </c>
      <c r="AH62" s="851">
        <v>0</v>
      </c>
      <c r="AI62" s="851">
        <v>0</v>
      </c>
      <c r="AJ62" s="851">
        <v>0</v>
      </c>
      <c r="AK62" s="851">
        <v>0</v>
      </c>
      <c r="AL62" s="851">
        <v>0</v>
      </c>
      <c r="AM62" s="851">
        <v>0</v>
      </c>
      <c r="AN62" s="851">
        <v>0</v>
      </c>
      <c r="AO62" s="851">
        <v>0</v>
      </c>
      <c r="AP62" s="851">
        <v>0</v>
      </c>
      <c r="AQ62" s="851">
        <v>0</v>
      </c>
      <c r="AR62" s="851">
        <v>0</v>
      </c>
      <c r="AS62" s="851">
        <v>0</v>
      </c>
      <c r="AT62" s="851">
        <v>0</v>
      </c>
      <c r="AU62" s="851">
        <v>0</v>
      </c>
      <c r="AV62" s="851">
        <v>0</v>
      </c>
      <c r="AW62" s="851">
        <v>0</v>
      </c>
      <c r="AX62" s="851">
        <v>0</v>
      </c>
      <c r="AY62" s="851">
        <v>0</v>
      </c>
      <c r="AZ62" s="851">
        <v>0</v>
      </c>
      <c r="BA62" s="851">
        <v>0</v>
      </c>
      <c r="BB62" s="851">
        <v>0</v>
      </c>
      <c r="BC62" s="851">
        <v>0</v>
      </c>
      <c r="BD62" s="851"/>
      <c r="BE62" s="816"/>
      <c r="BF62" s="816"/>
      <c r="BG62" s="816"/>
      <c r="BH62" s="816"/>
      <c r="BI62" s="816"/>
      <c r="BJ62" s="816"/>
      <c r="BK62" s="816"/>
      <c r="BL62" s="816"/>
      <c r="BM62" s="816"/>
      <c r="BN62" s="816"/>
      <c r="BO62" s="816"/>
      <c r="BP62" s="816"/>
      <c r="BQ62" s="816"/>
      <c r="BR62" s="816"/>
      <c r="BS62" s="816"/>
    </row>
    <row r="63" spans="1:72" s="714" customFormat="1" ht="21.95" customHeight="1">
      <c r="A63" s="2616"/>
      <c r="B63" s="2608"/>
      <c r="C63" s="832" t="s">
        <v>1606</v>
      </c>
      <c r="D63" s="851">
        <v>0</v>
      </c>
      <c r="E63" s="852">
        <v>0</v>
      </c>
      <c r="F63" s="852">
        <v>0</v>
      </c>
      <c r="G63" s="852">
        <v>0</v>
      </c>
      <c r="H63" s="852">
        <v>0</v>
      </c>
      <c r="I63" s="852">
        <v>0</v>
      </c>
      <c r="J63" s="852">
        <v>0</v>
      </c>
      <c r="K63" s="852">
        <v>0</v>
      </c>
      <c r="L63" s="852">
        <v>0</v>
      </c>
      <c r="M63" s="852">
        <v>0</v>
      </c>
      <c r="N63" s="852">
        <v>0</v>
      </c>
      <c r="O63" s="852">
        <v>0</v>
      </c>
      <c r="P63" s="852">
        <v>0</v>
      </c>
      <c r="Q63" s="852">
        <v>0</v>
      </c>
      <c r="R63" s="852">
        <v>0</v>
      </c>
      <c r="S63" s="852">
        <v>0</v>
      </c>
      <c r="T63" s="852">
        <v>0</v>
      </c>
      <c r="U63" s="852">
        <v>0</v>
      </c>
      <c r="V63" s="852">
        <v>0</v>
      </c>
      <c r="W63" s="852">
        <v>0</v>
      </c>
      <c r="X63" s="852">
        <v>0</v>
      </c>
      <c r="Y63" s="852">
        <v>0</v>
      </c>
      <c r="Z63" s="852">
        <v>0</v>
      </c>
      <c r="AA63" s="852">
        <v>0</v>
      </c>
      <c r="AB63" s="852">
        <v>0</v>
      </c>
      <c r="AC63" s="852">
        <v>0</v>
      </c>
      <c r="AD63" s="852">
        <v>0</v>
      </c>
      <c r="AE63" s="852">
        <v>0</v>
      </c>
      <c r="AF63" s="852">
        <v>0</v>
      </c>
      <c r="AG63" s="852">
        <v>0</v>
      </c>
      <c r="AH63" s="852">
        <v>0</v>
      </c>
      <c r="AI63" s="852">
        <v>0</v>
      </c>
      <c r="AJ63" s="852">
        <v>0</v>
      </c>
      <c r="AK63" s="852">
        <v>0</v>
      </c>
      <c r="AL63" s="852">
        <v>0</v>
      </c>
      <c r="AM63" s="852">
        <v>0</v>
      </c>
      <c r="AN63" s="852">
        <v>0</v>
      </c>
      <c r="AO63" s="852">
        <v>0</v>
      </c>
      <c r="AP63" s="852">
        <v>0</v>
      </c>
      <c r="AQ63" s="852">
        <v>0</v>
      </c>
      <c r="AR63" s="852">
        <v>0</v>
      </c>
      <c r="AS63" s="852">
        <v>0</v>
      </c>
      <c r="AT63" s="852">
        <v>0</v>
      </c>
      <c r="AU63" s="852">
        <v>0</v>
      </c>
      <c r="AV63" s="852">
        <v>0</v>
      </c>
      <c r="AW63" s="852">
        <v>0</v>
      </c>
      <c r="AX63" s="852">
        <v>0</v>
      </c>
      <c r="AY63" s="852">
        <v>0</v>
      </c>
      <c r="AZ63" s="852">
        <v>0</v>
      </c>
      <c r="BA63" s="852">
        <v>0</v>
      </c>
      <c r="BB63" s="852">
        <v>0</v>
      </c>
      <c r="BC63" s="852">
        <v>0</v>
      </c>
      <c r="BD63" s="852"/>
      <c r="BE63" s="819"/>
      <c r="BF63" s="819"/>
      <c r="BG63" s="819"/>
      <c r="BH63" s="819"/>
      <c r="BI63" s="819"/>
      <c r="BJ63" s="819"/>
      <c r="BK63" s="819"/>
      <c r="BL63" s="819"/>
      <c r="BM63" s="819"/>
      <c r="BN63" s="819"/>
      <c r="BO63" s="819"/>
      <c r="BP63" s="819"/>
      <c r="BQ63" s="819"/>
      <c r="BR63" s="819"/>
      <c r="BS63" s="819"/>
    </row>
    <row r="64" spans="1:72" s="714" customFormat="1" ht="21.95" customHeight="1">
      <c r="A64" s="2616"/>
      <c r="B64" s="2614" t="s">
        <v>1607</v>
      </c>
      <c r="C64" s="2615"/>
      <c r="D64" s="853" cm="1">
        <f t="array" ref="D64:BC64">TRANSPOSE(_xlfn._xlws.FILTER(Dren_Dim!$C$11:$C$210,(Dren_Dim!$B$11:$B$210="X")*(Dren_Dim!$A$11:$A$210&lt;&gt;"")))</f>
        <v>509.3</v>
      </c>
      <c r="E64" s="853">
        <v>508.8</v>
      </c>
      <c r="F64" s="853">
        <v>509.4</v>
      </c>
      <c r="G64" s="853">
        <v>508</v>
      </c>
      <c r="H64" s="853">
        <v>509.1</v>
      </c>
      <c r="I64" s="853">
        <v>507.4</v>
      </c>
      <c r="J64" s="853">
        <v>506.4</v>
      </c>
      <c r="K64" s="853">
        <v>505.6</v>
      </c>
      <c r="L64" s="853">
        <v>505.4</v>
      </c>
      <c r="M64" s="853">
        <v>504.8</v>
      </c>
      <c r="N64" s="853">
        <v>506.2</v>
      </c>
      <c r="O64" s="853">
        <v>505.8</v>
      </c>
      <c r="P64" s="853">
        <v>504.7</v>
      </c>
      <c r="Q64" s="853">
        <v>505.5</v>
      </c>
      <c r="R64" s="853">
        <v>504.4</v>
      </c>
      <c r="S64" s="853">
        <v>503.9</v>
      </c>
      <c r="T64" s="853">
        <v>504.9</v>
      </c>
      <c r="U64" s="853">
        <v>504.9</v>
      </c>
      <c r="V64" s="853">
        <v>505.8</v>
      </c>
      <c r="W64" s="853">
        <v>505.2</v>
      </c>
      <c r="X64" s="853">
        <v>504.2</v>
      </c>
      <c r="Y64" s="853">
        <v>504</v>
      </c>
      <c r="Z64" s="853">
        <v>504</v>
      </c>
      <c r="AA64" s="853">
        <v>504</v>
      </c>
      <c r="AB64" s="853">
        <v>504</v>
      </c>
      <c r="AC64" s="853">
        <v>504</v>
      </c>
      <c r="AD64" s="853">
        <v>504</v>
      </c>
      <c r="AE64" s="853">
        <v>503.9</v>
      </c>
      <c r="AF64" s="853">
        <v>503</v>
      </c>
      <c r="AG64" s="853">
        <v>504.1</v>
      </c>
      <c r="AH64" s="853">
        <v>501</v>
      </c>
      <c r="AI64" s="853">
        <v>503</v>
      </c>
      <c r="AJ64" s="853">
        <v>504.5</v>
      </c>
      <c r="AK64" s="853">
        <v>504</v>
      </c>
      <c r="AL64" s="853">
        <v>506</v>
      </c>
      <c r="AM64" s="853">
        <v>505</v>
      </c>
      <c r="AN64" s="853">
        <v>528.4</v>
      </c>
      <c r="AO64" s="853">
        <v>526.20000000000005</v>
      </c>
      <c r="AP64" s="853">
        <v>524.5</v>
      </c>
      <c r="AQ64" s="853">
        <v>523.1</v>
      </c>
      <c r="AR64" s="853">
        <v>522</v>
      </c>
      <c r="AS64" s="853">
        <v>521.4</v>
      </c>
      <c r="AT64" s="853">
        <v>519</v>
      </c>
      <c r="AU64" s="853">
        <v>517.6</v>
      </c>
      <c r="AV64" s="853">
        <v>515.9</v>
      </c>
      <c r="AW64" s="853">
        <v>514.70000000000005</v>
      </c>
      <c r="AX64" s="853">
        <v>513</v>
      </c>
      <c r="AY64" s="853">
        <v>511.3</v>
      </c>
      <c r="AZ64" s="853">
        <v>509.9</v>
      </c>
      <c r="BA64" s="853">
        <v>508.8</v>
      </c>
      <c r="BB64" s="853">
        <v>507</v>
      </c>
      <c r="BC64" s="853">
        <v>505.3</v>
      </c>
      <c r="BD64" s="853"/>
      <c r="BE64" s="819"/>
      <c r="BF64" s="819"/>
      <c r="BG64" s="819"/>
      <c r="BH64" s="819"/>
      <c r="BI64" s="819"/>
      <c r="BJ64" s="819"/>
      <c r="BK64" s="819"/>
      <c r="BL64" s="819"/>
      <c r="BM64" s="819"/>
      <c r="BN64" s="819"/>
      <c r="BO64" s="819"/>
      <c r="BP64" s="819"/>
      <c r="BQ64" s="819"/>
      <c r="BR64" s="819"/>
      <c r="BS64" s="819"/>
      <c r="BT64" s="835"/>
    </row>
    <row r="65" spans="1:72" s="714" customFormat="1" ht="21.95" customHeight="1">
      <c r="A65" s="2616"/>
      <c r="B65" s="2614" t="s">
        <v>1608</v>
      </c>
      <c r="C65" s="2615"/>
      <c r="D65" s="853" cm="1">
        <f t="array" ref="D65:BC65">TRANSPOSE(_xlfn._xlws.FILTER(Dren_Dim!$C$11:$C$210,(Dren_Dim!$B$11:$B$210="X")*(Dren_Dim!$A$11:$A$210&lt;&gt;"")))</f>
        <v>509.3</v>
      </c>
      <c r="E65" s="853">
        <v>508.8</v>
      </c>
      <c r="F65" s="853">
        <v>509.4</v>
      </c>
      <c r="G65" s="853">
        <v>508</v>
      </c>
      <c r="H65" s="853">
        <v>509.1</v>
      </c>
      <c r="I65" s="853">
        <v>507.4</v>
      </c>
      <c r="J65" s="853">
        <v>506.4</v>
      </c>
      <c r="K65" s="853">
        <v>505.6</v>
      </c>
      <c r="L65" s="853">
        <v>505.4</v>
      </c>
      <c r="M65" s="853">
        <v>504.8</v>
      </c>
      <c r="N65" s="853">
        <v>506.2</v>
      </c>
      <c r="O65" s="853">
        <v>505.8</v>
      </c>
      <c r="P65" s="853">
        <v>504.7</v>
      </c>
      <c r="Q65" s="853">
        <v>505.5</v>
      </c>
      <c r="R65" s="853">
        <v>504.4</v>
      </c>
      <c r="S65" s="853">
        <v>503.9</v>
      </c>
      <c r="T65" s="853">
        <v>504.9</v>
      </c>
      <c r="U65" s="853">
        <v>504.9</v>
      </c>
      <c r="V65" s="853">
        <v>505.8</v>
      </c>
      <c r="W65" s="853">
        <v>505.2</v>
      </c>
      <c r="X65" s="853">
        <v>504.2</v>
      </c>
      <c r="Y65" s="853">
        <v>504</v>
      </c>
      <c r="Z65" s="853">
        <v>504</v>
      </c>
      <c r="AA65" s="853">
        <v>504</v>
      </c>
      <c r="AB65" s="853">
        <v>504</v>
      </c>
      <c r="AC65" s="853">
        <v>504</v>
      </c>
      <c r="AD65" s="853">
        <v>504</v>
      </c>
      <c r="AE65" s="853">
        <v>503.9</v>
      </c>
      <c r="AF65" s="853">
        <v>503</v>
      </c>
      <c r="AG65" s="853">
        <v>504.1</v>
      </c>
      <c r="AH65" s="853">
        <v>501</v>
      </c>
      <c r="AI65" s="853">
        <v>503</v>
      </c>
      <c r="AJ65" s="853">
        <v>504.5</v>
      </c>
      <c r="AK65" s="853">
        <v>504</v>
      </c>
      <c r="AL65" s="853">
        <v>506</v>
      </c>
      <c r="AM65" s="853">
        <v>505</v>
      </c>
      <c r="AN65" s="853">
        <v>528.4</v>
      </c>
      <c r="AO65" s="853">
        <v>526.20000000000005</v>
      </c>
      <c r="AP65" s="853">
        <v>524.5</v>
      </c>
      <c r="AQ65" s="853">
        <v>523.1</v>
      </c>
      <c r="AR65" s="853">
        <v>522</v>
      </c>
      <c r="AS65" s="853">
        <v>521.4</v>
      </c>
      <c r="AT65" s="853">
        <v>519</v>
      </c>
      <c r="AU65" s="853">
        <v>517.6</v>
      </c>
      <c r="AV65" s="853">
        <v>515.9</v>
      </c>
      <c r="AW65" s="853">
        <v>514.70000000000005</v>
      </c>
      <c r="AX65" s="853">
        <v>513</v>
      </c>
      <c r="AY65" s="853">
        <v>511.3</v>
      </c>
      <c r="AZ65" s="853">
        <v>509.9</v>
      </c>
      <c r="BA65" s="853">
        <v>508.8</v>
      </c>
      <c r="BB65" s="853">
        <v>507</v>
      </c>
      <c r="BC65" s="853">
        <v>505.3</v>
      </c>
      <c r="BD65" s="853"/>
      <c r="BE65" s="819"/>
      <c r="BF65" s="819"/>
      <c r="BG65" s="819"/>
      <c r="BH65" s="819"/>
      <c r="BI65" s="819"/>
      <c r="BJ65" s="819"/>
      <c r="BK65" s="819"/>
      <c r="BL65" s="819"/>
      <c r="BM65" s="819"/>
      <c r="BN65" s="819"/>
      <c r="BO65" s="819"/>
      <c r="BP65" s="819"/>
      <c r="BQ65" s="819"/>
      <c r="BR65" s="819"/>
      <c r="BS65" s="819"/>
      <c r="BT65" s="835"/>
    </row>
    <row r="66" spans="1:72" s="714" customFormat="1" ht="21.95" customHeight="1">
      <c r="A66" s="2616"/>
      <c r="B66" s="2614" t="s">
        <v>1609</v>
      </c>
      <c r="C66" s="2615"/>
      <c r="D66" s="853" cm="1">
        <f t="array" ref="D66:BC66">TRANSPOSE(_xlfn._xlws.FILTER(Dren_Dim!$E$11:$E$210,(Dren_Dim!$B$11:$B$210="X")*(Dren_Dim!$A$11:$A$210&lt;&gt;"")))</f>
        <v>507.2</v>
      </c>
      <c r="E66" s="853">
        <v>506.69</v>
      </c>
      <c r="F66" s="853">
        <v>507.29999999999995</v>
      </c>
      <c r="G66" s="853">
        <v>505.89</v>
      </c>
      <c r="H66" s="853">
        <v>507</v>
      </c>
      <c r="I66" s="853">
        <v>505.28500000000003</v>
      </c>
      <c r="J66" s="853">
        <v>504.29999999999995</v>
      </c>
      <c r="K66" s="853">
        <v>503.49999999999994</v>
      </c>
      <c r="L66" s="853">
        <v>503.29999999999995</v>
      </c>
      <c r="M66" s="853">
        <v>502.69999999999993</v>
      </c>
      <c r="N66" s="853">
        <v>504.09999999999997</v>
      </c>
      <c r="O66" s="853">
        <v>503.69499999999999</v>
      </c>
      <c r="P66" s="853">
        <v>502.61500000000001</v>
      </c>
      <c r="Q66" s="853">
        <v>503.4</v>
      </c>
      <c r="R66" s="853">
        <v>502.29999999999995</v>
      </c>
      <c r="S66" s="853">
        <v>501.80499999999995</v>
      </c>
      <c r="T66" s="853">
        <v>502.79999999999995</v>
      </c>
      <c r="U66" s="853">
        <v>501.60499999999996</v>
      </c>
      <c r="V66" s="853">
        <v>503.3</v>
      </c>
      <c r="W66" s="853">
        <v>502.7</v>
      </c>
      <c r="X66" s="853">
        <v>502.09999999999997</v>
      </c>
      <c r="Y66" s="853">
        <v>501.9</v>
      </c>
      <c r="Z66" s="853">
        <v>501.625</v>
      </c>
      <c r="AA66" s="853">
        <v>501.35</v>
      </c>
      <c r="AB66" s="853">
        <v>501.9</v>
      </c>
      <c r="AC66" s="853">
        <v>501.5</v>
      </c>
      <c r="AD66" s="853">
        <v>501.1</v>
      </c>
      <c r="AE66" s="853">
        <v>500.70000000000005</v>
      </c>
      <c r="AF66" s="853">
        <v>499.76500000000004</v>
      </c>
      <c r="AG66" s="853">
        <v>502</v>
      </c>
      <c r="AH66" s="853">
        <v>498</v>
      </c>
      <c r="AI66" s="853">
        <v>497.92500000000001</v>
      </c>
      <c r="AJ66" s="853">
        <v>502.48100000000005</v>
      </c>
      <c r="AK66" s="853">
        <v>501.98100000000005</v>
      </c>
      <c r="AL66" s="853">
        <v>503.7</v>
      </c>
      <c r="AM66" s="853">
        <v>501.67600000000004</v>
      </c>
      <c r="AN66" s="853">
        <v>526.29999999999995</v>
      </c>
      <c r="AO66" s="853">
        <v>524.14</v>
      </c>
      <c r="AP66" s="853">
        <v>522.46</v>
      </c>
      <c r="AQ66" s="853">
        <v>521.1</v>
      </c>
      <c r="AR66" s="853">
        <v>519.98</v>
      </c>
      <c r="AS66" s="853">
        <v>519.35</v>
      </c>
      <c r="AT66" s="853">
        <v>516.97</v>
      </c>
      <c r="AU66" s="853">
        <v>515.57000000000005</v>
      </c>
      <c r="AV66" s="853">
        <v>513.8900000000001</v>
      </c>
      <c r="AW66" s="853">
        <v>512.70000000000005</v>
      </c>
      <c r="AX66" s="853">
        <v>511.02000000000004</v>
      </c>
      <c r="AY66" s="853">
        <v>509.34000000000003</v>
      </c>
      <c r="AZ66" s="853">
        <v>507.94000000000005</v>
      </c>
      <c r="BA66" s="853">
        <v>506.82000000000005</v>
      </c>
      <c r="BB66" s="853">
        <v>505.00000000000006</v>
      </c>
      <c r="BC66" s="853">
        <v>503.29500000000007</v>
      </c>
      <c r="BD66" s="853"/>
      <c r="BE66" s="819"/>
      <c r="BF66" s="819"/>
      <c r="BG66" s="819"/>
      <c r="BH66" s="819"/>
      <c r="BI66" s="819"/>
      <c r="BJ66" s="819"/>
      <c r="BK66" s="819"/>
      <c r="BL66" s="819"/>
      <c r="BM66" s="819"/>
      <c r="BN66" s="819"/>
      <c r="BO66" s="819"/>
      <c r="BP66" s="819"/>
      <c r="BQ66" s="819"/>
      <c r="BR66" s="819"/>
      <c r="BS66" s="819"/>
      <c r="BT66" s="835"/>
    </row>
    <row r="67" spans="1:72" s="714" customFormat="1" ht="21.95" customHeight="1">
      <c r="A67" s="2616"/>
      <c r="B67" s="2614" t="s">
        <v>1610</v>
      </c>
      <c r="C67" s="2615"/>
      <c r="D67" s="853" cm="1">
        <f t="array" ref="D67:BC67">TRANSPOSE(_xlfn._xlws.FILTER(Dren_Dim!$BP$11:$BP$210,(Dren_Dim!$B$11:$B$210="X")*(Dren_Dim!$A$11:$A$210&lt;&gt;"")))</f>
        <v>507.92599999999999</v>
      </c>
      <c r="E67" s="853">
        <v>507.416</v>
      </c>
      <c r="F67" s="853">
        <v>508.02599999999995</v>
      </c>
      <c r="G67" s="853">
        <v>506.61599999999999</v>
      </c>
      <c r="H67" s="853">
        <v>507.726</v>
      </c>
      <c r="I67" s="853">
        <v>506.01100000000002</v>
      </c>
      <c r="J67" s="853">
        <v>505.02599999999995</v>
      </c>
      <c r="K67" s="853">
        <v>504.22599999999994</v>
      </c>
      <c r="L67" s="853">
        <v>504.02599999999995</v>
      </c>
      <c r="M67" s="853">
        <v>503.42599999999993</v>
      </c>
      <c r="N67" s="853">
        <v>504.82599999999996</v>
      </c>
      <c r="O67" s="853">
        <v>504.42099999999999</v>
      </c>
      <c r="P67" s="853">
        <v>503.58300000000003</v>
      </c>
      <c r="Q67" s="853">
        <v>504.12599999999998</v>
      </c>
      <c r="R67" s="853">
        <v>503.26799999999997</v>
      </c>
      <c r="S67" s="853">
        <v>503.01499999999993</v>
      </c>
      <c r="T67" s="853">
        <v>503.52599999999995</v>
      </c>
      <c r="U67" s="853">
        <v>502.81499999999994</v>
      </c>
      <c r="V67" s="853">
        <v>504.51</v>
      </c>
      <c r="W67" s="853">
        <v>503.90999999999997</v>
      </c>
      <c r="X67" s="853">
        <v>502.82599999999996</v>
      </c>
      <c r="Y67" s="853">
        <v>502.62599999999998</v>
      </c>
      <c r="Z67" s="853">
        <v>502.351</v>
      </c>
      <c r="AA67" s="853">
        <v>502.31800000000004</v>
      </c>
      <c r="AB67" s="853">
        <v>502.62599999999998</v>
      </c>
      <c r="AC67" s="853">
        <v>502.226</v>
      </c>
      <c r="AD67" s="853">
        <v>502.06800000000004</v>
      </c>
      <c r="AE67" s="853">
        <v>501.66800000000006</v>
      </c>
      <c r="AF67" s="853">
        <v>500.97500000000002</v>
      </c>
      <c r="AG67" s="853">
        <v>502.726</v>
      </c>
      <c r="AH67" s="853">
        <v>499.815</v>
      </c>
      <c r="AI67" s="853">
        <v>499.74</v>
      </c>
      <c r="AJ67" s="853">
        <v>503.69100000000003</v>
      </c>
      <c r="AK67" s="853">
        <v>503.43300000000005</v>
      </c>
      <c r="AL67" s="853">
        <v>504.66800000000001</v>
      </c>
      <c r="AM67" s="853">
        <v>503.12800000000004</v>
      </c>
      <c r="AN67" s="853">
        <v>527.02599999999995</v>
      </c>
      <c r="AO67" s="853">
        <v>524.86599999999999</v>
      </c>
      <c r="AP67" s="853">
        <v>523.18600000000004</v>
      </c>
      <c r="AQ67" s="853">
        <v>522.06799999999998</v>
      </c>
      <c r="AR67" s="853">
        <v>520.94799999999998</v>
      </c>
      <c r="AS67" s="853">
        <v>520.31799999999998</v>
      </c>
      <c r="AT67" s="853">
        <v>517.93799999999999</v>
      </c>
      <c r="AU67" s="853">
        <v>516.53800000000001</v>
      </c>
      <c r="AV67" s="853">
        <v>515.10000000000014</v>
      </c>
      <c r="AW67" s="853">
        <v>513.91000000000008</v>
      </c>
      <c r="AX67" s="853">
        <v>512.23</v>
      </c>
      <c r="AY67" s="853">
        <v>510.55</v>
      </c>
      <c r="AZ67" s="853">
        <v>509.15000000000003</v>
      </c>
      <c r="BA67" s="853">
        <v>508.03000000000003</v>
      </c>
      <c r="BB67" s="853">
        <v>506.21000000000004</v>
      </c>
      <c r="BC67" s="853">
        <v>504.50500000000005</v>
      </c>
      <c r="BD67" s="853"/>
      <c r="BE67" s="819"/>
      <c r="BF67" s="819"/>
      <c r="BG67" s="819"/>
      <c r="BH67" s="819"/>
      <c r="BI67" s="819"/>
      <c r="BJ67" s="819"/>
      <c r="BK67" s="819"/>
      <c r="BL67" s="819"/>
      <c r="BM67" s="819"/>
      <c r="BN67" s="819"/>
      <c r="BO67" s="819"/>
      <c r="BP67" s="819"/>
      <c r="BQ67" s="819"/>
      <c r="BR67" s="819"/>
      <c r="BS67" s="819"/>
      <c r="BT67" s="835"/>
    </row>
    <row r="68" spans="1:72" s="714" customFormat="1" ht="21.95" customHeight="1">
      <c r="A68" s="2616"/>
      <c r="B68" s="2614" t="s">
        <v>1611</v>
      </c>
      <c r="C68" s="2615"/>
      <c r="D68" s="853" cm="1">
        <f t="array" ref="D68:BC68">TRANSPOSE(_xlfn._xlws.FILTER(Dren_Dim!$BQ$11:$BQ$210,(Dren_Dim!$B$11:$B$210="X")*(Dren_Dim!$A$11:$A$210&lt;&gt;"")))</f>
        <v>0</v>
      </c>
      <c r="E68" s="853">
        <v>507.416</v>
      </c>
      <c r="F68" s="853">
        <v>0</v>
      </c>
      <c r="G68" s="853">
        <v>506.61599999999999</v>
      </c>
      <c r="H68" s="853">
        <v>0</v>
      </c>
      <c r="I68" s="853">
        <v>506.03100000000001</v>
      </c>
      <c r="J68" s="853">
        <v>0</v>
      </c>
      <c r="K68" s="853">
        <v>504.22599999999994</v>
      </c>
      <c r="L68" s="853">
        <v>0</v>
      </c>
      <c r="M68" s="853">
        <v>503.42599999999993</v>
      </c>
      <c r="N68" s="853">
        <v>0</v>
      </c>
      <c r="O68" s="853">
        <v>504.42099999999999</v>
      </c>
      <c r="P68" s="853">
        <v>503.34100000000001</v>
      </c>
      <c r="Q68" s="853">
        <v>0</v>
      </c>
      <c r="R68" s="853">
        <v>503.02599999999995</v>
      </c>
      <c r="S68" s="853">
        <v>502.77299999999997</v>
      </c>
      <c r="T68" s="853">
        <v>0</v>
      </c>
      <c r="U68" s="853">
        <v>503.358</v>
      </c>
      <c r="V68" s="853">
        <v>0</v>
      </c>
      <c r="W68" s="853">
        <v>503.90999999999997</v>
      </c>
      <c r="X68" s="853">
        <v>0</v>
      </c>
      <c r="Y68" s="853">
        <v>0</v>
      </c>
      <c r="Z68" s="853">
        <v>502.351</v>
      </c>
      <c r="AA68" s="853">
        <v>502.55099999999999</v>
      </c>
      <c r="AB68" s="853">
        <v>0</v>
      </c>
      <c r="AC68" s="853">
        <v>502.226</v>
      </c>
      <c r="AD68" s="853">
        <v>501.82600000000002</v>
      </c>
      <c r="AE68" s="853">
        <v>501.66800000000006</v>
      </c>
      <c r="AF68" s="853">
        <v>500.73300000000006</v>
      </c>
      <c r="AG68" s="853">
        <v>0</v>
      </c>
      <c r="AH68" s="853">
        <v>0</v>
      </c>
      <c r="AI68" s="853">
        <v>500.76000000000005</v>
      </c>
      <c r="AJ68" s="853">
        <v>503.69100000000003</v>
      </c>
      <c r="AK68" s="853">
        <v>503.19100000000003</v>
      </c>
      <c r="AL68" s="853">
        <v>0</v>
      </c>
      <c r="AM68" s="853">
        <v>503.12800000000004</v>
      </c>
      <c r="AN68" s="853">
        <v>0</v>
      </c>
      <c r="AO68" s="853">
        <v>524.86599999999999</v>
      </c>
      <c r="AP68" s="853">
        <v>523.18600000000004</v>
      </c>
      <c r="AQ68" s="853">
        <v>521.82600000000002</v>
      </c>
      <c r="AR68" s="853">
        <v>520.94799999999998</v>
      </c>
      <c r="AS68" s="853">
        <v>520.31799999999998</v>
      </c>
      <c r="AT68" s="853">
        <v>517.93799999999999</v>
      </c>
      <c r="AU68" s="853">
        <v>516.53800000000001</v>
      </c>
      <c r="AV68" s="853">
        <v>514.85800000000006</v>
      </c>
      <c r="AW68" s="853">
        <v>513.91000000000008</v>
      </c>
      <c r="AX68" s="853">
        <v>512.23</v>
      </c>
      <c r="AY68" s="853">
        <v>510.55</v>
      </c>
      <c r="AZ68" s="853">
        <v>509.15000000000003</v>
      </c>
      <c r="BA68" s="853">
        <v>508.03000000000003</v>
      </c>
      <c r="BB68" s="853">
        <v>506.21000000000004</v>
      </c>
      <c r="BC68" s="853">
        <v>504.50500000000005</v>
      </c>
      <c r="BD68" s="853"/>
      <c r="BE68" s="819"/>
      <c r="BF68" s="819"/>
      <c r="BG68" s="819"/>
      <c r="BH68" s="819"/>
      <c r="BI68" s="819"/>
      <c r="BJ68" s="819"/>
      <c r="BK68" s="819"/>
      <c r="BL68" s="819"/>
      <c r="BM68" s="819"/>
      <c r="BN68" s="819"/>
      <c r="BO68" s="819"/>
      <c r="BP68" s="819"/>
      <c r="BQ68" s="819"/>
      <c r="BR68" s="819"/>
      <c r="BS68" s="819"/>
      <c r="BT68" s="835"/>
    </row>
    <row r="69" spans="1:72" s="714" customFormat="1" ht="21.95" customHeight="1">
      <c r="A69" s="2616"/>
      <c r="B69" s="2614" t="s">
        <v>1612</v>
      </c>
      <c r="C69" s="2615"/>
      <c r="D69" s="853" cm="1">
        <f t="array" ref="D69:BC69">TRANSPOSE(_xlfn._xlws.FILTER(Dren_Dim!$BR$11:$BR$210,(Dren_Dim!$B$11:$B$210="X")*(Dren_Dim!$A$11:$A$210&lt;&gt;"")))</f>
        <v>0</v>
      </c>
      <c r="E69" s="853">
        <v>0</v>
      </c>
      <c r="F69" s="853">
        <v>0</v>
      </c>
      <c r="G69" s="853">
        <v>506.77599999999995</v>
      </c>
      <c r="H69" s="853">
        <v>0</v>
      </c>
      <c r="I69" s="853">
        <v>506.01100000000002</v>
      </c>
      <c r="J69" s="853">
        <v>0</v>
      </c>
      <c r="K69" s="853">
        <v>0</v>
      </c>
      <c r="L69" s="853">
        <v>0</v>
      </c>
      <c r="M69" s="853">
        <v>503.42599999999993</v>
      </c>
      <c r="N69" s="853">
        <v>0</v>
      </c>
      <c r="O69" s="853">
        <v>0</v>
      </c>
      <c r="P69" s="853">
        <v>0</v>
      </c>
      <c r="Q69" s="853">
        <v>0</v>
      </c>
      <c r="R69" s="853">
        <v>0</v>
      </c>
      <c r="S69" s="853">
        <v>0</v>
      </c>
      <c r="T69" s="853">
        <v>0</v>
      </c>
      <c r="U69" s="853">
        <v>502.81499999999994</v>
      </c>
      <c r="V69" s="853">
        <v>0</v>
      </c>
      <c r="W69" s="853">
        <v>0</v>
      </c>
      <c r="X69" s="853">
        <v>0</v>
      </c>
      <c r="Y69" s="853">
        <v>0</v>
      </c>
      <c r="Z69" s="853">
        <v>0</v>
      </c>
      <c r="AA69" s="853">
        <v>502.07600000000002</v>
      </c>
      <c r="AB69" s="853">
        <v>0</v>
      </c>
      <c r="AC69" s="853">
        <v>0</v>
      </c>
      <c r="AD69" s="853">
        <v>0</v>
      </c>
      <c r="AE69" s="853">
        <v>0</v>
      </c>
      <c r="AF69" s="853">
        <v>0</v>
      </c>
      <c r="AG69" s="853">
        <v>0</v>
      </c>
      <c r="AH69" s="853">
        <v>0</v>
      </c>
      <c r="AI69" s="853">
        <v>501.60599999999999</v>
      </c>
      <c r="AJ69" s="853">
        <v>0</v>
      </c>
      <c r="AK69" s="853">
        <v>0</v>
      </c>
      <c r="AL69" s="853">
        <v>0</v>
      </c>
      <c r="AM69" s="853">
        <v>503.67599999999999</v>
      </c>
      <c r="AN69" s="853">
        <v>0</v>
      </c>
      <c r="AO69" s="853">
        <v>0</v>
      </c>
      <c r="AP69" s="853">
        <v>0</v>
      </c>
      <c r="AQ69" s="853">
        <v>0</v>
      </c>
      <c r="AR69" s="853">
        <v>0</v>
      </c>
      <c r="AS69" s="853">
        <v>0</v>
      </c>
      <c r="AT69" s="853">
        <v>0</v>
      </c>
      <c r="AU69" s="853">
        <v>0</v>
      </c>
      <c r="AV69" s="853">
        <v>0</v>
      </c>
      <c r="AW69" s="853">
        <v>0</v>
      </c>
      <c r="AX69" s="853">
        <v>0</v>
      </c>
      <c r="AY69" s="853">
        <v>0</v>
      </c>
      <c r="AZ69" s="853">
        <v>0</v>
      </c>
      <c r="BA69" s="853">
        <v>0</v>
      </c>
      <c r="BB69" s="853">
        <v>0</v>
      </c>
      <c r="BC69" s="853">
        <v>0</v>
      </c>
      <c r="BD69" s="853"/>
      <c r="BE69" s="819"/>
      <c r="BF69" s="819"/>
      <c r="BG69" s="819"/>
      <c r="BH69" s="819"/>
      <c r="BI69" s="819"/>
      <c r="BJ69" s="819"/>
      <c r="BK69" s="819"/>
      <c r="BL69" s="819"/>
      <c r="BM69" s="819"/>
      <c r="BN69" s="819"/>
      <c r="BO69" s="819"/>
      <c r="BP69" s="819"/>
      <c r="BQ69" s="819"/>
      <c r="BR69" s="819"/>
      <c r="BS69" s="819"/>
      <c r="BT69" s="835"/>
    </row>
    <row r="70" spans="1:72" s="714" customFormat="1" ht="21.95" customHeight="1">
      <c r="A70" s="2616"/>
      <c r="B70" s="2614" t="s">
        <v>1613</v>
      </c>
      <c r="C70" s="2615"/>
      <c r="D70" s="853" cm="1">
        <f t="array" ref="D70:BC70">TRANSPOSE(_xlfn._xlws.FILTER(Dren_Dim!$BS$11:$BS$210,(Dren_Dim!$B$11:$B$210="X")*(Dren_Dim!$A$11:$A$210&lt;&gt;"")))</f>
        <v>0</v>
      </c>
      <c r="E70" s="853">
        <v>0</v>
      </c>
      <c r="F70" s="853">
        <v>0</v>
      </c>
      <c r="G70" s="853">
        <v>0</v>
      </c>
      <c r="H70" s="853">
        <v>0</v>
      </c>
      <c r="I70" s="853">
        <v>0</v>
      </c>
      <c r="J70" s="853">
        <v>0</v>
      </c>
      <c r="K70" s="853">
        <v>0</v>
      </c>
      <c r="L70" s="853">
        <v>0</v>
      </c>
      <c r="M70" s="853">
        <v>0</v>
      </c>
      <c r="N70" s="853">
        <v>0</v>
      </c>
      <c r="O70" s="853">
        <v>0</v>
      </c>
      <c r="P70" s="853">
        <v>0</v>
      </c>
      <c r="Q70" s="853">
        <v>0</v>
      </c>
      <c r="R70" s="853">
        <v>0</v>
      </c>
      <c r="S70" s="853">
        <v>0</v>
      </c>
      <c r="T70" s="853">
        <v>0</v>
      </c>
      <c r="U70" s="853">
        <v>503.45099999999996</v>
      </c>
      <c r="V70" s="853">
        <v>0</v>
      </c>
      <c r="W70" s="853">
        <v>0</v>
      </c>
      <c r="X70" s="853">
        <v>0</v>
      </c>
      <c r="Y70" s="853">
        <v>0</v>
      </c>
      <c r="Z70" s="853">
        <v>0</v>
      </c>
      <c r="AA70" s="853">
        <v>0</v>
      </c>
      <c r="AB70" s="853">
        <v>0</v>
      </c>
      <c r="AC70" s="853">
        <v>0</v>
      </c>
      <c r="AD70" s="853">
        <v>0</v>
      </c>
      <c r="AE70" s="853">
        <v>0</v>
      </c>
      <c r="AF70" s="853">
        <v>0</v>
      </c>
      <c r="AG70" s="853">
        <v>0</v>
      </c>
      <c r="AH70" s="853">
        <v>0</v>
      </c>
      <c r="AI70" s="853">
        <v>499.74</v>
      </c>
      <c r="AJ70" s="853">
        <v>0</v>
      </c>
      <c r="AK70" s="853">
        <v>0</v>
      </c>
      <c r="AL70" s="853">
        <v>0</v>
      </c>
      <c r="AM70" s="853">
        <v>0</v>
      </c>
      <c r="AN70" s="853">
        <v>0</v>
      </c>
      <c r="AO70" s="853">
        <v>0</v>
      </c>
      <c r="AP70" s="853">
        <v>0</v>
      </c>
      <c r="AQ70" s="853">
        <v>0</v>
      </c>
      <c r="AR70" s="853">
        <v>0</v>
      </c>
      <c r="AS70" s="853">
        <v>0</v>
      </c>
      <c r="AT70" s="853">
        <v>0</v>
      </c>
      <c r="AU70" s="853">
        <v>0</v>
      </c>
      <c r="AV70" s="853">
        <v>0</v>
      </c>
      <c r="AW70" s="853">
        <v>0</v>
      </c>
      <c r="AX70" s="853">
        <v>0</v>
      </c>
      <c r="AY70" s="853">
        <v>0</v>
      </c>
      <c r="AZ70" s="853">
        <v>0</v>
      </c>
      <c r="BA70" s="853">
        <v>0</v>
      </c>
      <c r="BB70" s="853">
        <v>0</v>
      </c>
      <c r="BC70" s="853">
        <v>0</v>
      </c>
      <c r="BD70" s="853"/>
      <c r="BE70" s="819"/>
      <c r="BF70" s="819"/>
      <c r="BG70" s="819"/>
      <c r="BH70" s="819"/>
      <c r="BI70" s="819"/>
      <c r="BJ70" s="819"/>
      <c r="BK70" s="819"/>
      <c r="BL70" s="819"/>
      <c r="BM70" s="819"/>
      <c r="BN70" s="819"/>
      <c r="BO70" s="819"/>
      <c r="BP70" s="819"/>
      <c r="BQ70" s="819"/>
      <c r="BR70" s="819"/>
      <c r="BS70" s="819"/>
      <c r="BT70" s="835"/>
    </row>
    <row r="71" spans="1:72" s="714" customFormat="1" ht="21.95" customHeight="1">
      <c r="A71" s="2616"/>
      <c r="B71" s="2614" t="s">
        <v>1614</v>
      </c>
      <c r="C71" s="2615"/>
      <c r="D71" s="853" cm="1">
        <f t="array" ref="D71:BC71">TRANSPOSE(_xlfn._xlws.FILTER(Dren_Dim!$BV$11:$BV$210,(Dren_Dim!$B$11:$B$210="X")*(Dren_Dim!$A$11:$A$210&lt;&gt;"")))</f>
        <v>1.4</v>
      </c>
      <c r="E71" s="853">
        <v>1.4</v>
      </c>
      <c r="F71" s="853">
        <v>1.4</v>
      </c>
      <c r="G71" s="853">
        <v>1.4</v>
      </c>
      <c r="H71" s="853">
        <v>1.4</v>
      </c>
      <c r="I71" s="853">
        <v>1.4</v>
      </c>
      <c r="J71" s="853">
        <v>1.4</v>
      </c>
      <c r="K71" s="853">
        <v>1.4</v>
      </c>
      <c r="L71" s="853">
        <v>1.4</v>
      </c>
      <c r="M71" s="853">
        <v>1.4</v>
      </c>
      <c r="N71" s="853">
        <v>1.4</v>
      </c>
      <c r="O71" s="853">
        <v>1.4</v>
      </c>
      <c r="P71" s="853">
        <v>1.4</v>
      </c>
      <c r="Q71" s="853">
        <v>1.4</v>
      </c>
      <c r="R71" s="853">
        <v>1.4</v>
      </c>
      <c r="S71" s="853">
        <v>1.5999999999999999</v>
      </c>
      <c r="T71" s="853">
        <v>1.4</v>
      </c>
      <c r="U71" s="853">
        <v>2</v>
      </c>
      <c r="V71" s="853">
        <v>1.5999999999999999</v>
      </c>
      <c r="W71" s="853">
        <v>1.5999999999999999</v>
      </c>
      <c r="X71" s="853">
        <v>1.4</v>
      </c>
      <c r="Y71" s="853">
        <v>1.4</v>
      </c>
      <c r="Z71" s="853">
        <v>1.4</v>
      </c>
      <c r="AA71" s="853">
        <v>1.5999999999999999</v>
      </c>
      <c r="AB71" s="853">
        <v>1.4</v>
      </c>
      <c r="AC71" s="853">
        <v>1.4</v>
      </c>
      <c r="AD71" s="853">
        <v>1.5999999999999999</v>
      </c>
      <c r="AE71" s="853">
        <v>2</v>
      </c>
      <c r="AF71" s="853">
        <v>2</v>
      </c>
      <c r="AG71" s="853">
        <v>1.4</v>
      </c>
      <c r="AH71" s="853">
        <v>2.2000000000000002</v>
      </c>
      <c r="AI71" s="853">
        <v>3.8</v>
      </c>
      <c r="AJ71" s="853">
        <v>1.5999999999999999</v>
      </c>
      <c r="AK71" s="853">
        <v>1.7999999999999998</v>
      </c>
      <c r="AL71" s="853">
        <v>1.4</v>
      </c>
      <c r="AM71" s="853">
        <v>2</v>
      </c>
      <c r="AN71" s="853">
        <v>1.4</v>
      </c>
      <c r="AO71" s="853">
        <v>1.4</v>
      </c>
      <c r="AP71" s="853">
        <v>1.4</v>
      </c>
      <c r="AQ71" s="853">
        <v>1.4</v>
      </c>
      <c r="AR71" s="853">
        <v>1.4</v>
      </c>
      <c r="AS71" s="853">
        <v>1.4</v>
      </c>
      <c r="AT71" s="853">
        <v>1.4</v>
      </c>
      <c r="AU71" s="853">
        <v>1.4</v>
      </c>
      <c r="AV71" s="853">
        <v>1.5999999999999999</v>
      </c>
      <c r="AW71" s="853">
        <v>1.5999999999999999</v>
      </c>
      <c r="AX71" s="853">
        <v>1.5999999999999999</v>
      </c>
      <c r="AY71" s="853">
        <v>1.5999999999999999</v>
      </c>
      <c r="AZ71" s="853">
        <v>1.5999999999999999</v>
      </c>
      <c r="BA71" s="853">
        <v>1.5999999999999999</v>
      </c>
      <c r="BB71" s="853">
        <v>1.5999999999999999</v>
      </c>
      <c r="BC71" s="853">
        <v>1.5999999999999999</v>
      </c>
      <c r="BD71" s="853"/>
      <c r="BE71" s="819"/>
      <c r="BF71" s="819"/>
      <c r="BG71" s="819"/>
      <c r="BH71" s="819"/>
      <c r="BI71" s="819"/>
      <c r="BJ71" s="819"/>
      <c r="BK71" s="819"/>
      <c r="BL71" s="819"/>
      <c r="BM71" s="819"/>
      <c r="BN71" s="819"/>
      <c r="BO71" s="819"/>
      <c r="BP71" s="819"/>
      <c r="BQ71" s="819"/>
      <c r="BR71" s="819"/>
      <c r="BS71" s="819"/>
      <c r="BT71" s="835"/>
    </row>
    <row r="72" spans="1:72" s="714" customFormat="1" ht="21.95" customHeight="1">
      <c r="A72" s="2616"/>
      <c r="B72" s="2613" t="s">
        <v>1615</v>
      </c>
      <c r="C72" s="2613" t="s">
        <v>1585</v>
      </c>
      <c r="D72" s="854" cm="1">
        <f t="array" ref="D72:BC72">TRANSPOSE(_xlfn._xlws.FILTER(Dren_Dim!$BW$11:$BW$210/0.2,(Dren_Dim!$B$11:$B$210="X")*(Dren_Dim!$A$11:$A$210&lt;&gt;"")))</f>
        <v>0</v>
      </c>
      <c r="E72" s="854">
        <v>0</v>
      </c>
      <c r="F72" s="854">
        <v>0</v>
      </c>
      <c r="G72" s="854">
        <v>0</v>
      </c>
      <c r="H72" s="854">
        <v>0</v>
      </c>
      <c r="I72" s="854">
        <v>0</v>
      </c>
      <c r="J72" s="854">
        <v>0</v>
      </c>
      <c r="K72" s="854">
        <v>0</v>
      </c>
      <c r="L72" s="854">
        <v>0</v>
      </c>
      <c r="M72" s="854">
        <v>0</v>
      </c>
      <c r="N72" s="854">
        <v>0</v>
      </c>
      <c r="O72" s="854">
        <v>0</v>
      </c>
      <c r="P72" s="854">
        <v>0</v>
      </c>
      <c r="Q72" s="854">
        <v>0</v>
      </c>
      <c r="R72" s="854">
        <v>0</v>
      </c>
      <c r="S72" s="854">
        <v>1</v>
      </c>
      <c r="T72" s="854">
        <v>0</v>
      </c>
      <c r="U72" s="854">
        <v>3.0000000000000004</v>
      </c>
      <c r="V72" s="854">
        <v>1</v>
      </c>
      <c r="W72" s="854">
        <v>1</v>
      </c>
      <c r="X72" s="854">
        <v>0</v>
      </c>
      <c r="Y72" s="854">
        <v>0</v>
      </c>
      <c r="Z72" s="854">
        <v>0</v>
      </c>
      <c r="AA72" s="854">
        <v>1</v>
      </c>
      <c r="AB72" s="854">
        <v>0</v>
      </c>
      <c r="AC72" s="854">
        <v>0</v>
      </c>
      <c r="AD72" s="854">
        <v>1</v>
      </c>
      <c r="AE72" s="854">
        <v>3.0000000000000004</v>
      </c>
      <c r="AF72" s="854">
        <v>3.0000000000000004</v>
      </c>
      <c r="AG72" s="854">
        <v>0</v>
      </c>
      <c r="AH72" s="854">
        <v>1</v>
      </c>
      <c r="AI72" s="854">
        <v>9</v>
      </c>
      <c r="AJ72" s="854">
        <v>1</v>
      </c>
      <c r="AK72" s="854">
        <v>2</v>
      </c>
      <c r="AL72" s="854">
        <v>0</v>
      </c>
      <c r="AM72" s="854">
        <v>3.0000000000000004</v>
      </c>
      <c r="AN72" s="854">
        <v>0</v>
      </c>
      <c r="AO72" s="854">
        <v>0</v>
      </c>
      <c r="AP72" s="854">
        <v>0</v>
      </c>
      <c r="AQ72" s="854">
        <v>0</v>
      </c>
      <c r="AR72" s="854">
        <v>0</v>
      </c>
      <c r="AS72" s="854">
        <v>0</v>
      </c>
      <c r="AT72" s="854">
        <v>0</v>
      </c>
      <c r="AU72" s="854">
        <v>0</v>
      </c>
      <c r="AV72" s="854">
        <v>1</v>
      </c>
      <c r="AW72" s="854">
        <v>1</v>
      </c>
      <c r="AX72" s="854">
        <v>1</v>
      </c>
      <c r="AY72" s="854">
        <v>1</v>
      </c>
      <c r="AZ72" s="854">
        <v>1</v>
      </c>
      <c r="BA72" s="854">
        <v>1</v>
      </c>
      <c r="BB72" s="854">
        <v>1</v>
      </c>
      <c r="BC72" s="854">
        <v>1</v>
      </c>
      <c r="BD72" s="854"/>
      <c r="BE72" s="819"/>
      <c r="BF72" s="819"/>
      <c r="BG72" s="819"/>
      <c r="BH72" s="819"/>
      <c r="BI72" s="819"/>
      <c r="BJ72" s="819"/>
      <c r="BK72" s="819"/>
      <c r="BL72" s="819"/>
      <c r="BM72" s="819"/>
      <c r="BN72" s="819"/>
      <c r="BO72" s="819"/>
      <c r="BP72" s="819"/>
      <c r="BQ72" s="819"/>
      <c r="BR72" s="819"/>
      <c r="BS72" s="819"/>
      <c r="BT72" s="835"/>
    </row>
    <row r="73" spans="1:72" s="714" customFormat="1" ht="21.95" customHeight="1">
      <c r="A73" s="2616"/>
      <c r="B73" s="2613" t="s">
        <v>1616</v>
      </c>
      <c r="C73" s="2613"/>
      <c r="D73" s="854" cm="1">
        <f t="array" ref="D73:BC73">TRANSPOSE(_xlfn._xlws.FILTER(Dren_Dim!$BX$11:$BX$210,(Dren_Dim!$B$11:$B$210="X")*(Dren_Dim!$A$11:$A$210&lt;&gt;"")))</f>
        <v>0</v>
      </c>
      <c r="E73" s="854">
        <v>0</v>
      </c>
      <c r="F73" s="854">
        <v>0</v>
      </c>
      <c r="G73" s="854">
        <v>0</v>
      </c>
      <c r="H73" s="854">
        <v>0</v>
      </c>
      <c r="I73" s="854">
        <v>0</v>
      </c>
      <c r="J73" s="854">
        <v>0</v>
      </c>
      <c r="K73" s="854">
        <v>0</v>
      </c>
      <c r="L73" s="854">
        <v>0</v>
      </c>
      <c r="M73" s="854">
        <v>0</v>
      </c>
      <c r="N73" s="854">
        <v>0</v>
      </c>
      <c r="O73" s="854">
        <v>0</v>
      </c>
      <c r="P73" s="854">
        <v>0</v>
      </c>
      <c r="Q73" s="854">
        <v>0</v>
      </c>
      <c r="R73" s="854">
        <v>0</v>
      </c>
      <c r="S73" s="854">
        <v>0</v>
      </c>
      <c r="T73" s="854">
        <v>0</v>
      </c>
      <c r="U73" s="854">
        <v>0</v>
      </c>
      <c r="V73" s="854">
        <v>0</v>
      </c>
      <c r="W73" s="854">
        <v>0</v>
      </c>
      <c r="X73" s="854">
        <v>0</v>
      </c>
      <c r="Y73" s="854">
        <v>0</v>
      </c>
      <c r="Z73" s="854">
        <v>0</v>
      </c>
      <c r="AA73" s="854">
        <v>0</v>
      </c>
      <c r="AB73" s="854">
        <v>0</v>
      </c>
      <c r="AC73" s="854">
        <v>0</v>
      </c>
      <c r="AD73" s="854">
        <v>0</v>
      </c>
      <c r="AE73" s="854">
        <v>0</v>
      </c>
      <c r="AF73" s="854">
        <v>0</v>
      </c>
      <c r="AG73" s="854">
        <v>0</v>
      </c>
      <c r="AH73" s="854">
        <v>0</v>
      </c>
      <c r="AI73" s="854">
        <v>0</v>
      </c>
      <c r="AJ73" s="854">
        <v>0</v>
      </c>
      <c r="AK73" s="854">
        <v>0</v>
      </c>
      <c r="AL73" s="854">
        <v>0</v>
      </c>
      <c r="AM73" s="854">
        <v>0</v>
      </c>
      <c r="AN73" s="854">
        <v>0</v>
      </c>
      <c r="AO73" s="854">
        <v>0</v>
      </c>
      <c r="AP73" s="854">
        <v>0</v>
      </c>
      <c r="AQ73" s="854">
        <v>0</v>
      </c>
      <c r="AR73" s="854">
        <v>0</v>
      </c>
      <c r="AS73" s="854">
        <v>0</v>
      </c>
      <c r="AT73" s="854">
        <v>0</v>
      </c>
      <c r="AU73" s="854">
        <v>0</v>
      </c>
      <c r="AV73" s="854">
        <v>0</v>
      </c>
      <c r="AW73" s="854">
        <v>0</v>
      </c>
      <c r="AX73" s="854">
        <v>0</v>
      </c>
      <c r="AY73" s="854">
        <v>0</v>
      </c>
      <c r="AZ73" s="854">
        <v>0</v>
      </c>
      <c r="BA73" s="854">
        <v>0</v>
      </c>
      <c r="BB73" s="854">
        <v>0</v>
      </c>
      <c r="BC73" s="854">
        <v>0</v>
      </c>
      <c r="BD73" s="854"/>
      <c r="BE73" s="819"/>
      <c r="BF73" s="819"/>
      <c r="BG73" s="819"/>
      <c r="BH73" s="819"/>
      <c r="BI73" s="819"/>
      <c r="BJ73" s="819"/>
      <c r="BK73" s="819"/>
      <c r="BL73" s="819"/>
      <c r="BM73" s="819"/>
      <c r="BN73" s="819"/>
      <c r="BO73" s="819"/>
      <c r="BP73" s="819"/>
      <c r="BQ73" s="819"/>
      <c r="BR73" s="819"/>
      <c r="BS73" s="819"/>
      <c r="BT73" s="835"/>
    </row>
    <row r="74" spans="1:72" s="714" customFormat="1" ht="21.95" customHeight="1">
      <c r="A74" s="2616"/>
      <c r="B74" s="2613" t="s">
        <v>1617</v>
      </c>
      <c r="C74" s="2613"/>
      <c r="D74" s="854" cm="1">
        <f t="array" ref="D74:BC74">TRANSPOSE(_xlfn._xlws.FILTER(Dren_Dim!$BZ$11:$BZ$210,(Dren_Dim!$B$11:$B$210="X")*(Dren_Dim!$A$11:$A$210&lt;&gt;"")))</f>
        <v>0.34000000000002284</v>
      </c>
      <c r="E74" s="854">
        <v>0.35000000000001374</v>
      </c>
      <c r="F74" s="854">
        <v>0.34000000000002284</v>
      </c>
      <c r="G74" s="854">
        <v>0.35000000000001374</v>
      </c>
      <c r="H74" s="854">
        <v>0.34000000000002284</v>
      </c>
      <c r="I74" s="854">
        <v>0.35499999999995235</v>
      </c>
      <c r="J74" s="854">
        <v>0.34000000000002284</v>
      </c>
      <c r="K74" s="854">
        <v>0.34000000000007968</v>
      </c>
      <c r="L74" s="854">
        <v>0.34000000000002284</v>
      </c>
      <c r="M74" s="854">
        <v>0.34000000000007968</v>
      </c>
      <c r="N74" s="854">
        <v>0.34000000000002284</v>
      </c>
      <c r="O74" s="854">
        <v>0.34500000000001829</v>
      </c>
      <c r="P74" s="854">
        <v>0.32499999999997964</v>
      </c>
      <c r="Q74" s="854">
        <v>0.34000000000002284</v>
      </c>
      <c r="R74" s="854">
        <v>0.34000000000002284</v>
      </c>
      <c r="S74" s="854">
        <v>0.13500000000002743</v>
      </c>
      <c r="T74" s="854">
        <v>0.34000000000002284</v>
      </c>
      <c r="U74" s="854">
        <v>0.93500000000001593</v>
      </c>
      <c r="V74" s="854">
        <v>0.54000000000000015</v>
      </c>
      <c r="W74" s="854">
        <v>0.54000000000000015</v>
      </c>
      <c r="X74" s="854">
        <v>0.34000000000002284</v>
      </c>
      <c r="Y74" s="854">
        <v>0.34000000000002284</v>
      </c>
      <c r="Z74" s="854">
        <v>0.6150000000000001</v>
      </c>
      <c r="AA74" s="854">
        <v>0.68999999999997741</v>
      </c>
      <c r="AB74" s="854">
        <v>0.34000000000002284</v>
      </c>
      <c r="AC74" s="854">
        <v>0.7400000000000001</v>
      </c>
      <c r="AD74" s="854">
        <v>0.93999999999997741</v>
      </c>
      <c r="AE74" s="854">
        <v>0.8399999999999318</v>
      </c>
      <c r="AF74" s="854">
        <v>0.87499999999995681</v>
      </c>
      <c r="AG74" s="854">
        <v>0.34000000000002284</v>
      </c>
      <c r="AH74" s="854">
        <v>0.43999999999999984</v>
      </c>
      <c r="AI74" s="854">
        <v>0.91499999999998882</v>
      </c>
      <c r="AJ74" s="854">
        <v>5.899999999994876E-2</v>
      </c>
      <c r="AK74" s="854">
        <v>0</v>
      </c>
      <c r="AL74" s="854">
        <v>0.54000000000001147</v>
      </c>
      <c r="AM74" s="854">
        <v>0.96399999999995545</v>
      </c>
      <c r="AN74" s="854">
        <v>0.34000000000002284</v>
      </c>
      <c r="AO74" s="854">
        <v>0.30000000000005922</v>
      </c>
      <c r="AP74" s="854">
        <v>0.27999999999996372</v>
      </c>
      <c r="AQ74" s="854">
        <v>0.2400000000000001</v>
      </c>
      <c r="AR74" s="854">
        <v>0.25999999999998191</v>
      </c>
      <c r="AS74" s="854">
        <v>0.28999999999995463</v>
      </c>
      <c r="AT74" s="854">
        <v>0.26999999999997282</v>
      </c>
      <c r="AU74" s="854">
        <v>0.26999999999997282</v>
      </c>
      <c r="AV74" s="854">
        <v>4.9999999999877365E-2</v>
      </c>
      <c r="AW74" s="854">
        <v>4.0000000000000147E-2</v>
      </c>
      <c r="AX74" s="854">
        <v>1.9999999999961493E-2</v>
      </c>
      <c r="AY74" s="854">
        <v>0</v>
      </c>
      <c r="AZ74" s="854">
        <v>0</v>
      </c>
      <c r="BA74" s="854">
        <v>1.9999999999961493E-2</v>
      </c>
      <c r="BB74" s="854">
        <v>3.9999999999943303E-2</v>
      </c>
      <c r="BC74" s="854">
        <v>4.4999999999938756E-2</v>
      </c>
      <c r="BD74" s="854"/>
      <c r="BE74" s="819"/>
      <c r="BF74" s="819"/>
      <c r="BG74" s="819"/>
      <c r="BH74" s="819"/>
      <c r="BI74" s="819"/>
      <c r="BJ74" s="819"/>
      <c r="BK74" s="819"/>
      <c r="BL74" s="819"/>
      <c r="BM74" s="819"/>
      <c r="BN74" s="819"/>
      <c r="BO74" s="819"/>
      <c r="BP74" s="819"/>
      <c r="BQ74" s="819"/>
      <c r="BR74" s="819"/>
      <c r="BS74" s="819"/>
      <c r="BT74" s="835"/>
    </row>
    <row r="75" spans="1:72" s="714" customFormat="1" ht="21.95" customHeight="1">
      <c r="A75" s="2616"/>
      <c r="B75" s="2604" t="s">
        <v>1618</v>
      </c>
      <c r="C75" s="2604"/>
      <c r="D75" s="689">
        <v>0</v>
      </c>
      <c r="E75" s="689">
        <v>0</v>
      </c>
      <c r="F75" s="689">
        <v>0</v>
      </c>
      <c r="G75" s="689">
        <v>0</v>
      </c>
      <c r="H75" s="689">
        <v>0</v>
      </c>
      <c r="I75" s="689">
        <v>0</v>
      </c>
      <c r="J75" s="689">
        <v>0</v>
      </c>
      <c r="K75" s="689">
        <v>0</v>
      </c>
      <c r="L75" s="689">
        <v>0</v>
      </c>
      <c r="M75" s="689">
        <v>0</v>
      </c>
      <c r="N75" s="689">
        <v>0</v>
      </c>
      <c r="O75" s="689">
        <v>0</v>
      </c>
      <c r="P75" s="689">
        <v>0</v>
      </c>
      <c r="Q75" s="689">
        <v>0</v>
      </c>
      <c r="R75" s="689">
        <v>0</v>
      </c>
      <c r="S75" s="689">
        <v>0</v>
      </c>
      <c r="T75" s="689">
        <v>0</v>
      </c>
      <c r="U75" s="689">
        <v>0</v>
      </c>
      <c r="V75" s="689">
        <v>0</v>
      </c>
      <c r="W75" s="689">
        <v>0</v>
      </c>
      <c r="X75" s="689">
        <v>0</v>
      </c>
      <c r="Y75" s="689">
        <v>0</v>
      </c>
      <c r="Z75" s="689">
        <v>0</v>
      </c>
      <c r="AA75" s="689">
        <v>0</v>
      </c>
      <c r="AB75" s="689">
        <v>0</v>
      </c>
      <c r="AC75" s="689">
        <v>0</v>
      </c>
      <c r="AD75" s="689">
        <v>0</v>
      </c>
      <c r="AE75" s="689">
        <v>0</v>
      </c>
      <c r="AF75" s="689">
        <v>0</v>
      </c>
      <c r="AG75" s="689">
        <v>0</v>
      </c>
      <c r="AH75" s="689">
        <v>0</v>
      </c>
      <c r="AI75" s="689">
        <v>0</v>
      </c>
      <c r="AJ75" s="689">
        <v>0</v>
      </c>
      <c r="AK75" s="689">
        <v>0</v>
      </c>
      <c r="AL75" s="689">
        <v>0</v>
      </c>
      <c r="AM75" s="689">
        <v>0</v>
      </c>
      <c r="AN75" s="689">
        <v>0</v>
      </c>
      <c r="AO75" s="689">
        <v>0</v>
      </c>
      <c r="AP75" s="689">
        <v>0</v>
      </c>
      <c r="AQ75" s="689">
        <v>0</v>
      </c>
      <c r="AR75" s="689">
        <v>0</v>
      </c>
      <c r="AS75" s="689">
        <v>0</v>
      </c>
      <c r="AT75" s="689">
        <v>0</v>
      </c>
      <c r="AU75" s="689">
        <v>0</v>
      </c>
      <c r="AV75" s="689">
        <v>0</v>
      </c>
      <c r="AW75" s="689">
        <v>0</v>
      </c>
      <c r="AX75" s="689">
        <v>0</v>
      </c>
      <c r="AY75" s="689">
        <v>0</v>
      </c>
      <c r="AZ75" s="689">
        <v>0</v>
      </c>
      <c r="BA75" s="689">
        <v>0</v>
      </c>
      <c r="BB75" s="689">
        <v>0</v>
      </c>
      <c r="BC75" s="689">
        <v>0</v>
      </c>
      <c r="BD75" s="689"/>
      <c r="BE75" s="819"/>
      <c r="BF75" s="819"/>
      <c r="BG75" s="819"/>
      <c r="BH75" s="819"/>
      <c r="BI75" s="819"/>
      <c r="BJ75" s="819"/>
      <c r="BK75" s="819"/>
      <c r="BL75" s="819"/>
      <c r="BM75" s="819"/>
      <c r="BN75" s="819"/>
      <c r="BO75" s="819"/>
      <c r="BP75" s="819"/>
      <c r="BQ75" s="819"/>
      <c r="BR75" s="819"/>
      <c r="BS75" s="819"/>
      <c r="BT75" s="835"/>
    </row>
    <row r="76" spans="1:72" s="714" customFormat="1" ht="21.95" customHeight="1">
      <c r="A76" s="2616"/>
      <c r="B76" s="2605" t="s">
        <v>1619</v>
      </c>
      <c r="C76" s="2606"/>
      <c r="D76" s="840">
        <v>0</v>
      </c>
      <c r="E76" s="840">
        <v>0</v>
      </c>
      <c r="F76" s="840">
        <v>0</v>
      </c>
      <c r="G76" s="840">
        <v>0</v>
      </c>
      <c r="H76" s="840">
        <v>0</v>
      </c>
      <c r="I76" s="840">
        <v>0</v>
      </c>
      <c r="J76" s="840">
        <v>0</v>
      </c>
      <c r="K76" s="840">
        <v>0</v>
      </c>
      <c r="L76" s="840">
        <v>0</v>
      </c>
      <c r="M76" s="840">
        <v>0</v>
      </c>
      <c r="N76" s="840">
        <v>0</v>
      </c>
      <c r="O76" s="840">
        <v>0</v>
      </c>
      <c r="P76" s="840">
        <v>0</v>
      </c>
      <c r="Q76" s="840">
        <v>0</v>
      </c>
      <c r="R76" s="840">
        <v>0</v>
      </c>
      <c r="S76" s="840">
        <v>0</v>
      </c>
      <c r="T76" s="840">
        <v>0</v>
      </c>
      <c r="U76" s="840">
        <v>0</v>
      </c>
      <c r="V76" s="840">
        <v>0</v>
      </c>
      <c r="W76" s="840">
        <v>0</v>
      </c>
      <c r="X76" s="840">
        <v>0</v>
      </c>
      <c r="Y76" s="840">
        <v>0</v>
      </c>
      <c r="Z76" s="840">
        <v>0</v>
      </c>
      <c r="AA76" s="840">
        <v>0</v>
      </c>
      <c r="AB76" s="840">
        <v>0</v>
      </c>
      <c r="AC76" s="840">
        <v>0</v>
      </c>
      <c r="AD76" s="840">
        <v>0</v>
      </c>
      <c r="AE76" s="840">
        <v>0</v>
      </c>
      <c r="AF76" s="840">
        <v>0</v>
      </c>
      <c r="AG76" s="840">
        <v>0</v>
      </c>
      <c r="AH76" s="840">
        <v>0</v>
      </c>
      <c r="AI76" s="840">
        <v>0</v>
      </c>
      <c r="AJ76" s="840">
        <v>0</v>
      </c>
      <c r="AK76" s="840">
        <v>0</v>
      </c>
      <c r="AL76" s="840">
        <v>0</v>
      </c>
      <c r="AM76" s="840">
        <v>0</v>
      </c>
      <c r="AN76" s="840">
        <v>0</v>
      </c>
      <c r="AO76" s="840">
        <v>0</v>
      </c>
      <c r="AP76" s="840">
        <v>0</v>
      </c>
      <c r="AQ76" s="840">
        <v>0</v>
      </c>
      <c r="AR76" s="840">
        <v>0</v>
      </c>
      <c r="AS76" s="840">
        <v>0</v>
      </c>
      <c r="AT76" s="840">
        <v>0</v>
      </c>
      <c r="AU76" s="840">
        <v>0</v>
      </c>
      <c r="AV76" s="840">
        <v>0</v>
      </c>
      <c r="AW76" s="840">
        <v>0</v>
      </c>
      <c r="AX76" s="840">
        <v>0</v>
      </c>
      <c r="AY76" s="840">
        <v>0</v>
      </c>
      <c r="AZ76" s="840">
        <v>0</v>
      </c>
      <c r="BA76" s="840">
        <v>0</v>
      </c>
      <c r="BB76" s="840">
        <v>0</v>
      </c>
      <c r="BC76" s="840">
        <v>0</v>
      </c>
      <c r="BD76" s="840"/>
      <c r="BE76" s="819"/>
      <c r="BF76" s="819"/>
      <c r="BG76" s="819"/>
      <c r="BH76" s="819"/>
      <c r="BI76" s="819"/>
      <c r="BJ76" s="819"/>
      <c r="BK76" s="819"/>
      <c r="BL76" s="819"/>
      <c r="BM76" s="819"/>
      <c r="BN76" s="819"/>
      <c r="BO76" s="819"/>
      <c r="BP76" s="819"/>
      <c r="BQ76" s="819"/>
      <c r="BR76" s="819"/>
      <c r="BS76" s="819"/>
      <c r="BT76" s="835"/>
    </row>
    <row r="77" spans="1:72" s="714" customFormat="1" ht="21.95" customHeight="1">
      <c r="A77" s="2616"/>
      <c r="B77" s="2607" t="s">
        <v>1620</v>
      </c>
      <c r="C77" s="832" t="s">
        <v>1621</v>
      </c>
      <c r="D77" s="851">
        <v>0</v>
      </c>
      <c r="E77" s="851">
        <v>0</v>
      </c>
      <c r="F77" s="851">
        <v>0</v>
      </c>
      <c r="G77" s="851">
        <v>0</v>
      </c>
      <c r="H77" s="851">
        <v>0</v>
      </c>
      <c r="I77" s="851">
        <v>0</v>
      </c>
      <c r="J77" s="851">
        <v>0</v>
      </c>
      <c r="K77" s="851">
        <v>0</v>
      </c>
      <c r="L77" s="851">
        <v>0</v>
      </c>
      <c r="M77" s="851">
        <v>0</v>
      </c>
      <c r="N77" s="851">
        <v>0</v>
      </c>
      <c r="O77" s="851">
        <v>0</v>
      </c>
      <c r="P77" s="851">
        <v>0</v>
      </c>
      <c r="Q77" s="851">
        <v>0</v>
      </c>
      <c r="R77" s="851">
        <v>0</v>
      </c>
      <c r="S77" s="851">
        <v>0</v>
      </c>
      <c r="T77" s="851">
        <v>0</v>
      </c>
      <c r="U77" s="851">
        <v>0</v>
      </c>
      <c r="V77" s="851">
        <v>0</v>
      </c>
      <c r="W77" s="851">
        <v>0</v>
      </c>
      <c r="X77" s="851">
        <v>0</v>
      </c>
      <c r="Y77" s="851">
        <v>0</v>
      </c>
      <c r="Z77" s="851">
        <v>0</v>
      </c>
      <c r="AA77" s="851">
        <v>0</v>
      </c>
      <c r="AB77" s="851">
        <v>0</v>
      </c>
      <c r="AC77" s="851">
        <v>0</v>
      </c>
      <c r="AD77" s="851">
        <v>0</v>
      </c>
      <c r="AE77" s="851">
        <v>0</v>
      </c>
      <c r="AF77" s="851">
        <v>0</v>
      </c>
      <c r="AG77" s="851">
        <v>0</v>
      </c>
      <c r="AH77" s="851">
        <v>0</v>
      </c>
      <c r="AI77" s="851">
        <v>0</v>
      </c>
      <c r="AJ77" s="851">
        <v>0</v>
      </c>
      <c r="AK77" s="851">
        <v>0</v>
      </c>
      <c r="AL77" s="851">
        <v>0</v>
      </c>
      <c r="AM77" s="851">
        <v>0</v>
      </c>
      <c r="AN77" s="851">
        <v>0</v>
      </c>
      <c r="AO77" s="851">
        <v>0</v>
      </c>
      <c r="AP77" s="851">
        <v>0</v>
      </c>
      <c r="AQ77" s="851">
        <v>0</v>
      </c>
      <c r="AR77" s="851">
        <v>0</v>
      </c>
      <c r="AS77" s="851">
        <v>0</v>
      </c>
      <c r="AT77" s="851">
        <v>0</v>
      </c>
      <c r="AU77" s="851">
        <v>0</v>
      </c>
      <c r="AV77" s="851">
        <v>0</v>
      </c>
      <c r="AW77" s="851">
        <v>0</v>
      </c>
      <c r="AX77" s="851">
        <v>0</v>
      </c>
      <c r="AY77" s="851">
        <v>0</v>
      </c>
      <c r="AZ77" s="851">
        <v>0</v>
      </c>
      <c r="BA77" s="851">
        <v>0</v>
      </c>
      <c r="BB77" s="851">
        <v>0</v>
      </c>
      <c r="BC77" s="851">
        <v>0</v>
      </c>
      <c r="BD77" s="851"/>
      <c r="BE77" s="816"/>
      <c r="BF77" s="816"/>
      <c r="BG77" s="816"/>
      <c r="BH77" s="816"/>
      <c r="BI77" s="816"/>
      <c r="BJ77" s="816"/>
      <c r="BK77" s="816"/>
      <c r="BL77" s="816"/>
      <c r="BM77" s="816"/>
      <c r="BN77" s="816"/>
      <c r="BO77" s="816"/>
      <c r="BP77" s="816"/>
      <c r="BQ77" s="816"/>
      <c r="BR77" s="816"/>
      <c r="BS77" s="816"/>
      <c r="BT77" s="835"/>
    </row>
    <row r="78" spans="1:72" s="714" customFormat="1" ht="21.95" customHeight="1">
      <c r="A78" s="2616"/>
      <c r="B78" s="2608"/>
      <c r="C78" s="832" t="s">
        <v>1622</v>
      </c>
      <c r="D78" s="852">
        <v>0</v>
      </c>
      <c r="E78" s="852">
        <v>0</v>
      </c>
      <c r="F78" s="852">
        <v>0</v>
      </c>
      <c r="G78" s="852">
        <v>0</v>
      </c>
      <c r="H78" s="852">
        <v>0</v>
      </c>
      <c r="I78" s="852">
        <v>0</v>
      </c>
      <c r="J78" s="852">
        <v>0</v>
      </c>
      <c r="K78" s="852">
        <v>0</v>
      </c>
      <c r="L78" s="852">
        <v>0</v>
      </c>
      <c r="M78" s="852">
        <v>0</v>
      </c>
      <c r="N78" s="852">
        <v>0</v>
      </c>
      <c r="O78" s="852">
        <v>0</v>
      </c>
      <c r="P78" s="852">
        <v>0</v>
      </c>
      <c r="Q78" s="852">
        <v>0</v>
      </c>
      <c r="R78" s="852">
        <v>0</v>
      </c>
      <c r="S78" s="852">
        <v>0</v>
      </c>
      <c r="T78" s="852">
        <v>0</v>
      </c>
      <c r="U78" s="852">
        <v>0</v>
      </c>
      <c r="V78" s="852">
        <v>0</v>
      </c>
      <c r="W78" s="852">
        <v>0</v>
      </c>
      <c r="X78" s="852">
        <v>0</v>
      </c>
      <c r="Y78" s="852">
        <v>0</v>
      </c>
      <c r="Z78" s="852">
        <v>0</v>
      </c>
      <c r="AA78" s="852">
        <v>0</v>
      </c>
      <c r="AB78" s="852">
        <v>0</v>
      </c>
      <c r="AC78" s="852">
        <v>0</v>
      </c>
      <c r="AD78" s="852">
        <v>0</v>
      </c>
      <c r="AE78" s="852">
        <v>0</v>
      </c>
      <c r="AF78" s="852">
        <v>0</v>
      </c>
      <c r="AG78" s="852">
        <v>0</v>
      </c>
      <c r="AH78" s="852">
        <v>0</v>
      </c>
      <c r="AI78" s="852">
        <v>0</v>
      </c>
      <c r="AJ78" s="852">
        <v>0</v>
      </c>
      <c r="AK78" s="852">
        <v>0</v>
      </c>
      <c r="AL78" s="852">
        <v>0</v>
      </c>
      <c r="AM78" s="852">
        <v>0</v>
      </c>
      <c r="AN78" s="852">
        <v>0</v>
      </c>
      <c r="AO78" s="852">
        <v>0</v>
      </c>
      <c r="AP78" s="852">
        <v>0</v>
      </c>
      <c r="AQ78" s="852">
        <v>0</v>
      </c>
      <c r="AR78" s="852">
        <v>0</v>
      </c>
      <c r="AS78" s="852">
        <v>0</v>
      </c>
      <c r="AT78" s="852">
        <v>0</v>
      </c>
      <c r="AU78" s="852">
        <v>0</v>
      </c>
      <c r="AV78" s="852">
        <v>0</v>
      </c>
      <c r="AW78" s="852">
        <v>0</v>
      </c>
      <c r="AX78" s="852">
        <v>0</v>
      </c>
      <c r="AY78" s="852">
        <v>0</v>
      </c>
      <c r="AZ78" s="852">
        <v>0</v>
      </c>
      <c r="BA78" s="852">
        <v>0</v>
      </c>
      <c r="BB78" s="852">
        <v>0</v>
      </c>
      <c r="BC78" s="852">
        <v>0</v>
      </c>
      <c r="BD78" s="852"/>
      <c r="BE78" s="819"/>
      <c r="BF78" s="819"/>
      <c r="BG78" s="819"/>
      <c r="BH78" s="819"/>
      <c r="BI78" s="819"/>
      <c r="BJ78" s="819"/>
      <c r="BK78" s="819"/>
      <c r="BL78" s="819"/>
      <c r="BM78" s="819"/>
      <c r="BN78" s="819"/>
      <c r="BO78" s="819"/>
      <c r="BP78" s="819"/>
      <c r="BQ78" s="819"/>
      <c r="BR78" s="819"/>
      <c r="BS78" s="819"/>
      <c r="BT78" s="835"/>
    </row>
    <row r="79" spans="1:72" s="714" customFormat="1" ht="21.95" customHeight="1">
      <c r="A79" s="2616"/>
      <c r="B79" s="2607" t="s">
        <v>1623</v>
      </c>
      <c r="C79" s="832" t="s">
        <v>1621</v>
      </c>
      <c r="D79" s="851">
        <v>0</v>
      </c>
      <c r="E79" s="851">
        <v>0</v>
      </c>
      <c r="F79" s="851">
        <v>0</v>
      </c>
      <c r="G79" s="851">
        <v>0</v>
      </c>
      <c r="H79" s="851">
        <v>0</v>
      </c>
      <c r="I79" s="851">
        <v>0</v>
      </c>
      <c r="J79" s="851">
        <v>0</v>
      </c>
      <c r="K79" s="851">
        <v>0</v>
      </c>
      <c r="L79" s="851">
        <v>0</v>
      </c>
      <c r="M79" s="851">
        <v>0</v>
      </c>
      <c r="N79" s="851">
        <v>0</v>
      </c>
      <c r="O79" s="851">
        <v>0</v>
      </c>
      <c r="P79" s="851">
        <v>0</v>
      </c>
      <c r="Q79" s="851">
        <v>0</v>
      </c>
      <c r="R79" s="851">
        <v>0</v>
      </c>
      <c r="S79" s="851">
        <v>0</v>
      </c>
      <c r="T79" s="851">
        <v>0</v>
      </c>
      <c r="U79" s="851">
        <v>0</v>
      </c>
      <c r="V79" s="851">
        <v>0</v>
      </c>
      <c r="W79" s="851">
        <v>0</v>
      </c>
      <c r="X79" s="851">
        <v>0</v>
      </c>
      <c r="Y79" s="851">
        <v>0</v>
      </c>
      <c r="Z79" s="851">
        <v>0</v>
      </c>
      <c r="AA79" s="851">
        <v>0</v>
      </c>
      <c r="AB79" s="851">
        <v>0</v>
      </c>
      <c r="AC79" s="851">
        <v>0</v>
      </c>
      <c r="AD79" s="851">
        <v>0</v>
      </c>
      <c r="AE79" s="851">
        <v>0</v>
      </c>
      <c r="AF79" s="851">
        <v>0</v>
      </c>
      <c r="AG79" s="851">
        <v>0</v>
      </c>
      <c r="AH79" s="851">
        <v>0</v>
      </c>
      <c r="AI79" s="851">
        <v>0</v>
      </c>
      <c r="AJ79" s="851">
        <v>0</v>
      </c>
      <c r="AK79" s="851">
        <v>0</v>
      </c>
      <c r="AL79" s="851">
        <v>0</v>
      </c>
      <c r="AM79" s="851">
        <v>0</v>
      </c>
      <c r="AN79" s="851">
        <v>0</v>
      </c>
      <c r="AO79" s="851">
        <v>0</v>
      </c>
      <c r="AP79" s="851">
        <v>0</v>
      </c>
      <c r="AQ79" s="851">
        <v>0</v>
      </c>
      <c r="AR79" s="851">
        <v>0</v>
      </c>
      <c r="AS79" s="851">
        <v>0</v>
      </c>
      <c r="AT79" s="851">
        <v>0</v>
      </c>
      <c r="AU79" s="851">
        <v>0</v>
      </c>
      <c r="AV79" s="851">
        <v>0</v>
      </c>
      <c r="AW79" s="851">
        <v>0</v>
      </c>
      <c r="AX79" s="851">
        <v>0</v>
      </c>
      <c r="AY79" s="851">
        <v>0</v>
      </c>
      <c r="AZ79" s="851">
        <v>0</v>
      </c>
      <c r="BA79" s="851">
        <v>0</v>
      </c>
      <c r="BB79" s="851">
        <v>0</v>
      </c>
      <c r="BC79" s="851">
        <v>0</v>
      </c>
      <c r="BD79" s="851"/>
      <c r="BE79" s="816"/>
      <c r="BF79" s="816"/>
      <c r="BG79" s="816"/>
      <c r="BH79" s="816"/>
      <c r="BI79" s="816"/>
      <c r="BJ79" s="816"/>
      <c r="BK79" s="816"/>
      <c r="BL79" s="816"/>
      <c r="BM79" s="816"/>
      <c r="BN79" s="816"/>
      <c r="BO79" s="816"/>
      <c r="BP79" s="816"/>
      <c r="BQ79" s="816"/>
      <c r="BR79" s="816"/>
      <c r="BS79" s="816"/>
      <c r="BT79" s="835"/>
    </row>
    <row r="80" spans="1:72" s="714" customFormat="1" ht="21.95" customHeight="1">
      <c r="A80" s="2616"/>
      <c r="B80" s="2608"/>
      <c r="C80" s="832" t="s">
        <v>1622</v>
      </c>
      <c r="D80" s="851">
        <v>0</v>
      </c>
      <c r="E80" s="851">
        <v>0</v>
      </c>
      <c r="F80" s="851">
        <v>0</v>
      </c>
      <c r="G80" s="851">
        <v>0</v>
      </c>
      <c r="H80" s="851">
        <v>0</v>
      </c>
      <c r="I80" s="851">
        <v>0</v>
      </c>
      <c r="J80" s="851">
        <v>0</v>
      </c>
      <c r="K80" s="851">
        <v>0</v>
      </c>
      <c r="L80" s="851">
        <v>0</v>
      </c>
      <c r="M80" s="851">
        <v>0</v>
      </c>
      <c r="N80" s="851">
        <v>0</v>
      </c>
      <c r="O80" s="851">
        <v>0</v>
      </c>
      <c r="P80" s="851">
        <v>0</v>
      </c>
      <c r="Q80" s="851">
        <v>0</v>
      </c>
      <c r="R80" s="851">
        <v>0</v>
      </c>
      <c r="S80" s="851">
        <v>0</v>
      </c>
      <c r="T80" s="851">
        <v>0</v>
      </c>
      <c r="U80" s="851">
        <v>0</v>
      </c>
      <c r="V80" s="851">
        <v>0</v>
      </c>
      <c r="W80" s="851">
        <v>0</v>
      </c>
      <c r="X80" s="851">
        <v>0</v>
      </c>
      <c r="Y80" s="851">
        <v>0</v>
      </c>
      <c r="Z80" s="851">
        <v>0</v>
      </c>
      <c r="AA80" s="851">
        <v>0</v>
      </c>
      <c r="AB80" s="851">
        <v>0</v>
      </c>
      <c r="AC80" s="851">
        <v>0</v>
      </c>
      <c r="AD80" s="851">
        <v>0</v>
      </c>
      <c r="AE80" s="851">
        <v>0</v>
      </c>
      <c r="AF80" s="851">
        <v>0</v>
      </c>
      <c r="AG80" s="851">
        <v>0</v>
      </c>
      <c r="AH80" s="851">
        <v>0</v>
      </c>
      <c r="AI80" s="851">
        <v>0</v>
      </c>
      <c r="AJ80" s="851">
        <v>0</v>
      </c>
      <c r="AK80" s="851">
        <v>0</v>
      </c>
      <c r="AL80" s="851">
        <v>0</v>
      </c>
      <c r="AM80" s="851">
        <v>0</v>
      </c>
      <c r="AN80" s="851">
        <v>0</v>
      </c>
      <c r="AO80" s="851">
        <v>0</v>
      </c>
      <c r="AP80" s="851">
        <v>0</v>
      </c>
      <c r="AQ80" s="851">
        <v>0</v>
      </c>
      <c r="AR80" s="851">
        <v>0</v>
      </c>
      <c r="AS80" s="851">
        <v>0</v>
      </c>
      <c r="AT80" s="851">
        <v>0</v>
      </c>
      <c r="AU80" s="851">
        <v>0</v>
      </c>
      <c r="AV80" s="851">
        <v>0</v>
      </c>
      <c r="AW80" s="851">
        <v>0</v>
      </c>
      <c r="AX80" s="851">
        <v>0</v>
      </c>
      <c r="AY80" s="851">
        <v>0</v>
      </c>
      <c r="AZ80" s="851">
        <v>0</v>
      </c>
      <c r="BA80" s="851">
        <v>0</v>
      </c>
      <c r="BB80" s="851">
        <v>0</v>
      </c>
      <c r="BC80" s="851">
        <v>0</v>
      </c>
      <c r="BD80" s="851"/>
      <c r="BE80" s="816"/>
      <c r="BF80" s="816"/>
      <c r="BG80" s="816"/>
      <c r="BH80" s="816"/>
      <c r="BI80" s="816"/>
      <c r="BJ80" s="816"/>
      <c r="BK80" s="816"/>
      <c r="BL80" s="816"/>
      <c r="BM80" s="816"/>
      <c r="BN80" s="816"/>
      <c r="BO80" s="816"/>
      <c r="BP80" s="816"/>
      <c r="BQ80" s="816"/>
      <c r="BR80" s="816"/>
      <c r="BS80" s="816"/>
      <c r="BT80" s="835"/>
    </row>
    <row r="81" spans="1:72" s="714" customFormat="1" ht="21.95" customHeight="1">
      <c r="A81" s="2616"/>
      <c r="B81" s="2609" t="s">
        <v>1624</v>
      </c>
      <c r="C81" s="832" t="s">
        <v>1625</v>
      </c>
      <c r="D81" s="850">
        <v>0</v>
      </c>
      <c r="E81" s="850">
        <v>0</v>
      </c>
      <c r="F81" s="850">
        <v>0</v>
      </c>
      <c r="G81" s="850">
        <v>0</v>
      </c>
      <c r="H81" s="850">
        <v>0</v>
      </c>
      <c r="I81" s="850">
        <v>0</v>
      </c>
      <c r="J81" s="850">
        <v>0</v>
      </c>
      <c r="K81" s="850">
        <v>0</v>
      </c>
      <c r="L81" s="850">
        <v>0</v>
      </c>
      <c r="M81" s="850">
        <v>0</v>
      </c>
      <c r="N81" s="850">
        <v>0</v>
      </c>
      <c r="O81" s="850">
        <v>0</v>
      </c>
      <c r="P81" s="850">
        <v>0</v>
      </c>
      <c r="Q81" s="850">
        <v>0</v>
      </c>
      <c r="R81" s="850">
        <v>0</v>
      </c>
      <c r="S81" s="850">
        <v>0</v>
      </c>
      <c r="T81" s="850">
        <v>0</v>
      </c>
      <c r="U81" s="850">
        <v>0</v>
      </c>
      <c r="V81" s="850">
        <v>0</v>
      </c>
      <c r="W81" s="850">
        <v>0</v>
      </c>
      <c r="X81" s="850">
        <v>0</v>
      </c>
      <c r="Y81" s="850">
        <v>0</v>
      </c>
      <c r="Z81" s="850">
        <v>0</v>
      </c>
      <c r="AA81" s="850">
        <v>0</v>
      </c>
      <c r="AB81" s="850">
        <v>0</v>
      </c>
      <c r="AC81" s="850">
        <v>0</v>
      </c>
      <c r="AD81" s="850">
        <v>0</v>
      </c>
      <c r="AE81" s="850">
        <v>0</v>
      </c>
      <c r="AF81" s="850">
        <v>0</v>
      </c>
      <c r="AG81" s="850">
        <v>0</v>
      </c>
      <c r="AH81" s="850">
        <v>0</v>
      </c>
      <c r="AI81" s="850">
        <v>0</v>
      </c>
      <c r="AJ81" s="850">
        <v>0</v>
      </c>
      <c r="AK81" s="850">
        <v>0</v>
      </c>
      <c r="AL81" s="850">
        <v>0</v>
      </c>
      <c r="AM81" s="850">
        <v>0</v>
      </c>
      <c r="AN81" s="850">
        <v>0</v>
      </c>
      <c r="AO81" s="850">
        <v>0</v>
      </c>
      <c r="AP81" s="850">
        <v>0</v>
      </c>
      <c r="AQ81" s="850">
        <v>0</v>
      </c>
      <c r="AR81" s="850">
        <v>0</v>
      </c>
      <c r="AS81" s="850">
        <v>0</v>
      </c>
      <c r="AT81" s="850">
        <v>0</v>
      </c>
      <c r="AU81" s="850">
        <v>0</v>
      </c>
      <c r="AV81" s="850">
        <v>0</v>
      </c>
      <c r="AW81" s="850">
        <v>0</v>
      </c>
      <c r="AX81" s="850">
        <v>0</v>
      </c>
      <c r="AY81" s="850">
        <v>0</v>
      </c>
      <c r="AZ81" s="850">
        <v>0</v>
      </c>
      <c r="BA81" s="850">
        <v>0</v>
      </c>
      <c r="BB81" s="850">
        <v>0</v>
      </c>
      <c r="BC81" s="850">
        <v>0</v>
      </c>
      <c r="BD81" s="850"/>
      <c r="BE81" s="821"/>
      <c r="BF81" s="821"/>
      <c r="BG81" s="821"/>
      <c r="BH81" s="821"/>
      <c r="BI81" s="821"/>
      <c r="BJ81" s="821"/>
      <c r="BK81" s="821"/>
      <c r="BL81" s="821"/>
      <c r="BM81" s="821"/>
      <c r="BN81" s="821"/>
      <c r="BO81" s="821"/>
      <c r="BP81" s="821"/>
      <c r="BQ81" s="821"/>
      <c r="BR81" s="821"/>
      <c r="BS81" s="821"/>
      <c r="BT81" s="835"/>
    </row>
    <row r="82" spans="1:72" s="714" customFormat="1" ht="21.95" customHeight="1">
      <c r="A82" s="2616"/>
      <c r="B82" s="2609"/>
      <c r="C82" s="832" t="s">
        <v>1626</v>
      </c>
      <c r="D82" s="851">
        <v>0</v>
      </c>
      <c r="E82" s="851">
        <v>0</v>
      </c>
      <c r="F82" s="851">
        <v>0</v>
      </c>
      <c r="G82" s="851">
        <v>0</v>
      </c>
      <c r="H82" s="851">
        <v>0</v>
      </c>
      <c r="I82" s="851">
        <v>0</v>
      </c>
      <c r="J82" s="851">
        <v>0</v>
      </c>
      <c r="K82" s="851">
        <v>0</v>
      </c>
      <c r="L82" s="851">
        <v>0</v>
      </c>
      <c r="M82" s="851">
        <v>0</v>
      </c>
      <c r="N82" s="851">
        <v>0</v>
      </c>
      <c r="O82" s="851">
        <v>0</v>
      </c>
      <c r="P82" s="851">
        <v>0</v>
      </c>
      <c r="Q82" s="851">
        <v>0</v>
      </c>
      <c r="R82" s="851">
        <v>0</v>
      </c>
      <c r="S82" s="851">
        <v>0</v>
      </c>
      <c r="T82" s="851">
        <v>0</v>
      </c>
      <c r="U82" s="851">
        <v>0</v>
      </c>
      <c r="V82" s="851">
        <v>0</v>
      </c>
      <c r="W82" s="851">
        <v>0</v>
      </c>
      <c r="X82" s="851">
        <v>0</v>
      </c>
      <c r="Y82" s="851">
        <v>0</v>
      </c>
      <c r="Z82" s="851">
        <v>0</v>
      </c>
      <c r="AA82" s="851">
        <v>0</v>
      </c>
      <c r="AB82" s="851">
        <v>0</v>
      </c>
      <c r="AC82" s="851">
        <v>0</v>
      </c>
      <c r="AD82" s="851">
        <v>0</v>
      </c>
      <c r="AE82" s="851">
        <v>0</v>
      </c>
      <c r="AF82" s="851">
        <v>0</v>
      </c>
      <c r="AG82" s="851">
        <v>0</v>
      </c>
      <c r="AH82" s="851">
        <v>0</v>
      </c>
      <c r="AI82" s="851">
        <v>0</v>
      </c>
      <c r="AJ82" s="851">
        <v>0</v>
      </c>
      <c r="AK82" s="851">
        <v>0</v>
      </c>
      <c r="AL82" s="851">
        <v>0</v>
      </c>
      <c r="AM82" s="851">
        <v>0</v>
      </c>
      <c r="AN82" s="851">
        <v>0</v>
      </c>
      <c r="AO82" s="851">
        <v>0</v>
      </c>
      <c r="AP82" s="851">
        <v>0</v>
      </c>
      <c r="AQ82" s="851">
        <v>0</v>
      </c>
      <c r="AR82" s="851">
        <v>0</v>
      </c>
      <c r="AS82" s="851">
        <v>0</v>
      </c>
      <c r="AT82" s="851">
        <v>0</v>
      </c>
      <c r="AU82" s="851">
        <v>0</v>
      </c>
      <c r="AV82" s="851">
        <v>0</v>
      </c>
      <c r="AW82" s="851">
        <v>0</v>
      </c>
      <c r="AX82" s="851">
        <v>0</v>
      </c>
      <c r="AY82" s="851">
        <v>0</v>
      </c>
      <c r="AZ82" s="851">
        <v>0</v>
      </c>
      <c r="BA82" s="851">
        <v>0</v>
      </c>
      <c r="BB82" s="851">
        <v>0</v>
      </c>
      <c r="BC82" s="851">
        <v>0</v>
      </c>
      <c r="BD82" s="851"/>
      <c r="BE82" s="816"/>
      <c r="BF82" s="816"/>
      <c r="BG82" s="816"/>
      <c r="BH82" s="816"/>
      <c r="BI82" s="816"/>
      <c r="BJ82" s="816"/>
      <c r="BK82" s="816"/>
      <c r="BL82" s="816"/>
      <c r="BM82" s="816"/>
      <c r="BN82" s="816"/>
      <c r="BO82" s="816"/>
      <c r="BP82" s="816"/>
      <c r="BQ82" s="816"/>
      <c r="BR82" s="816"/>
      <c r="BS82" s="816"/>
      <c r="BT82" s="835"/>
    </row>
    <row r="83" spans="1:72" s="714" customFormat="1" ht="21.95" customHeight="1">
      <c r="A83" s="2616"/>
      <c r="B83" s="2609"/>
      <c r="C83" s="832" t="s">
        <v>1627</v>
      </c>
      <c r="D83" s="851">
        <v>0</v>
      </c>
      <c r="E83" s="851">
        <v>0</v>
      </c>
      <c r="F83" s="851">
        <v>0</v>
      </c>
      <c r="G83" s="851">
        <v>0</v>
      </c>
      <c r="H83" s="851">
        <v>0</v>
      </c>
      <c r="I83" s="851">
        <v>0</v>
      </c>
      <c r="J83" s="851">
        <v>0</v>
      </c>
      <c r="K83" s="851">
        <v>0</v>
      </c>
      <c r="L83" s="851">
        <v>0</v>
      </c>
      <c r="M83" s="851">
        <v>0</v>
      </c>
      <c r="N83" s="851">
        <v>0</v>
      </c>
      <c r="O83" s="851">
        <v>0</v>
      </c>
      <c r="P83" s="851">
        <v>0</v>
      </c>
      <c r="Q83" s="851">
        <v>0</v>
      </c>
      <c r="R83" s="851">
        <v>0</v>
      </c>
      <c r="S83" s="851">
        <v>0</v>
      </c>
      <c r="T83" s="851">
        <v>0</v>
      </c>
      <c r="U83" s="851">
        <v>0</v>
      </c>
      <c r="V83" s="851">
        <v>0</v>
      </c>
      <c r="W83" s="851">
        <v>0</v>
      </c>
      <c r="X83" s="851">
        <v>0</v>
      </c>
      <c r="Y83" s="851">
        <v>0</v>
      </c>
      <c r="Z83" s="851">
        <v>0</v>
      </c>
      <c r="AA83" s="851">
        <v>0</v>
      </c>
      <c r="AB83" s="851">
        <v>0</v>
      </c>
      <c r="AC83" s="851">
        <v>0</v>
      </c>
      <c r="AD83" s="851">
        <v>0</v>
      </c>
      <c r="AE83" s="851">
        <v>0</v>
      </c>
      <c r="AF83" s="851">
        <v>0</v>
      </c>
      <c r="AG83" s="851">
        <v>0</v>
      </c>
      <c r="AH83" s="851">
        <v>0</v>
      </c>
      <c r="AI83" s="851">
        <v>0</v>
      </c>
      <c r="AJ83" s="851">
        <v>0</v>
      </c>
      <c r="AK83" s="851">
        <v>0</v>
      </c>
      <c r="AL83" s="851">
        <v>0</v>
      </c>
      <c r="AM83" s="851">
        <v>0</v>
      </c>
      <c r="AN83" s="851">
        <v>0</v>
      </c>
      <c r="AO83" s="851">
        <v>0</v>
      </c>
      <c r="AP83" s="851">
        <v>0</v>
      </c>
      <c r="AQ83" s="851">
        <v>0</v>
      </c>
      <c r="AR83" s="851">
        <v>0</v>
      </c>
      <c r="AS83" s="851">
        <v>0</v>
      </c>
      <c r="AT83" s="851">
        <v>0</v>
      </c>
      <c r="AU83" s="851">
        <v>0</v>
      </c>
      <c r="AV83" s="851">
        <v>0</v>
      </c>
      <c r="AW83" s="851">
        <v>0</v>
      </c>
      <c r="AX83" s="851">
        <v>0</v>
      </c>
      <c r="AY83" s="851">
        <v>0</v>
      </c>
      <c r="AZ83" s="851">
        <v>0</v>
      </c>
      <c r="BA83" s="851">
        <v>0</v>
      </c>
      <c r="BB83" s="851">
        <v>0</v>
      </c>
      <c r="BC83" s="851">
        <v>0</v>
      </c>
      <c r="BD83" s="851"/>
      <c r="BE83" s="816"/>
      <c r="BF83" s="816"/>
      <c r="BG83" s="816"/>
      <c r="BH83" s="816"/>
      <c r="BI83" s="816"/>
      <c r="BJ83" s="816"/>
      <c r="BK83" s="816"/>
      <c r="BL83" s="816"/>
      <c r="BM83" s="816"/>
      <c r="BN83" s="816"/>
      <c r="BO83" s="816"/>
      <c r="BP83" s="816"/>
      <c r="BQ83" s="816"/>
      <c r="BR83" s="816"/>
      <c r="BS83" s="816"/>
      <c r="BT83" s="835"/>
    </row>
    <row r="84" spans="1:72" s="714" customFormat="1" ht="21.95" customHeight="1">
      <c r="A84" s="2616"/>
      <c r="B84" s="2609"/>
      <c r="C84" s="832" t="s">
        <v>1628</v>
      </c>
      <c r="D84" s="851">
        <v>0</v>
      </c>
      <c r="E84" s="851">
        <v>0</v>
      </c>
      <c r="F84" s="851">
        <v>0</v>
      </c>
      <c r="G84" s="851">
        <v>0</v>
      </c>
      <c r="H84" s="851">
        <v>0</v>
      </c>
      <c r="I84" s="851">
        <v>0</v>
      </c>
      <c r="J84" s="851">
        <v>0</v>
      </c>
      <c r="K84" s="851">
        <v>0</v>
      </c>
      <c r="L84" s="851">
        <v>0</v>
      </c>
      <c r="M84" s="851">
        <v>0</v>
      </c>
      <c r="N84" s="851">
        <v>0</v>
      </c>
      <c r="O84" s="851">
        <v>0</v>
      </c>
      <c r="P84" s="851">
        <v>0</v>
      </c>
      <c r="Q84" s="851">
        <v>0</v>
      </c>
      <c r="R84" s="851">
        <v>0</v>
      </c>
      <c r="S84" s="851">
        <v>0</v>
      </c>
      <c r="T84" s="851">
        <v>0</v>
      </c>
      <c r="U84" s="851">
        <v>0</v>
      </c>
      <c r="V84" s="851">
        <v>0</v>
      </c>
      <c r="W84" s="851">
        <v>0</v>
      </c>
      <c r="X84" s="851">
        <v>0</v>
      </c>
      <c r="Y84" s="851">
        <v>0</v>
      </c>
      <c r="Z84" s="851">
        <v>0</v>
      </c>
      <c r="AA84" s="851">
        <v>0</v>
      </c>
      <c r="AB84" s="851">
        <v>0</v>
      </c>
      <c r="AC84" s="851">
        <v>0</v>
      </c>
      <c r="AD84" s="851">
        <v>0</v>
      </c>
      <c r="AE84" s="851">
        <v>0</v>
      </c>
      <c r="AF84" s="851">
        <v>0</v>
      </c>
      <c r="AG84" s="851">
        <v>0</v>
      </c>
      <c r="AH84" s="851">
        <v>0</v>
      </c>
      <c r="AI84" s="851">
        <v>0</v>
      </c>
      <c r="AJ84" s="851">
        <v>0</v>
      </c>
      <c r="AK84" s="851">
        <v>0</v>
      </c>
      <c r="AL84" s="851">
        <v>0</v>
      </c>
      <c r="AM84" s="851">
        <v>0</v>
      </c>
      <c r="AN84" s="851">
        <v>0</v>
      </c>
      <c r="AO84" s="851">
        <v>0</v>
      </c>
      <c r="AP84" s="851">
        <v>0</v>
      </c>
      <c r="AQ84" s="851">
        <v>0</v>
      </c>
      <c r="AR84" s="851">
        <v>0</v>
      </c>
      <c r="AS84" s="851">
        <v>0</v>
      </c>
      <c r="AT84" s="851">
        <v>0</v>
      </c>
      <c r="AU84" s="851">
        <v>0</v>
      </c>
      <c r="AV84" s="851">
        <v>0</v>
      </c>
      <c r="AW84" s="851">
        <v>0</v>
      </c>
      <c r="AX84" s="851">
        <v>0</v>
      </c>
      <c r="AY84" s="851">
        <v>0</v>
      </c>
      <c r="AZ84" s="851">
        <v>0</v>
      </c>
      <c r="BA84" s="851">
        <v>0</v>
      </c>
      <c r="BB84" s="851">
        <v>0</v>
      </c>
      <c r="BC84" s="851">
        <v>0</v>
      </c>
      <c r="BD84" s="851"/>
      <c r="BE84" s="816"/>
      <c r="BF84" s="816"/>
      <c r="BG84" s="816"/>
      <c r="BH84" s="816"/>
      <c r="BI84" s="816"/>
      <c r="BJ84" s="816"/>
      <c r="BK84" s="816"/>
      <c r="BL84" s="816"/>
      <c r="BM84" s="816"/>
      <c r="BN84" s="816"/>
      <c r="BO84" s="816"/>
      <c r="BP84" s="816"/>
      <c r="BQ84" s="816"/>
      <c r="BR84" s="816"/>
      <c r="BS84" s="816"/>
      <c r="BT84" s="835"/>
    </row>
    <row r="85" spans="1:72" s="714" customFormat="1" ht="21.95" customHeight="1">
      <c r="A85" s="2616"/>
      <c r="B85" s="2609"/>
      <c r="C85" s="832" t="s">
        <v>1629</v>
      </c>
      <c r="D85" s="852">
        <v>0</v>
      </c>
      <c r="E85" s="852">
        <v>0</v>
      </c>
      <c r="F85" s="852">
        <v>0</v>
      </c>
      <c r="G85" s="852">
        <v>0</v>
      </c>
      <c r="H85" s="852">
        <v>0</v>
      </c>
      <c r="I85" s="852">
        <v>0</v>
      </c>
      <c r="J85" s="852">
        <v>0</v>
      </c>
      <c r="K85" s="852">
        <v>0</v>
      </c>
      <c r="L85" s="852">
        <v>0</v>
      </c>
      <c r="M85" s="852">
        <v>0</v>
      </c>
      <c r="N85" s="852">
        <v>0</v>
      </c>
      <c r="O85" s="852">
        <v>0</v>
      </c>
      <c r="P85" s="852">
        <v>0</v>
      </c>
      <c r="Q85" s="852">
        <v>0</v>
      </c>
      <c r="R85" s="852">
        <v>0</v>
      </c>
      <c r="S85" s="852">
        <v>0</v>
      </c>
      <c r="T85" s="852">
        <v>0</v>
      </c>
      <c r="U85" s="852">
        <v>0</v>
      </c>
      <c r="V85" s="852">
        <v>0</v>
      </c>
      <c r="W85" s="852">
        <v>0</v>
      </c>
      <c r="X85" s="852">
        <v>0</v>
      </c>
      <c r="Y85" s="852">
        <v>0</v>
      </c>
      <c r="Z85" s="852">
        <v>0</v>
      </c>
      <c r="AA85" s="852">
        <v>0</v>
      </c>
      <c r="AB85" s="852">
        <v>0</v>
      </c>
      <c r="AC85" s="852">
        <v>0</v>
      </c>
      <c r="AD85" s="852">
        <v>0</v>
      </c>
      <c r="AE85" s="852">
        <v>0</v>
      </c>
      <c r="AF85" s="852">
        <v>0</v>
      </c>
      <c r="AG85" s="852">
        <v>0</v>
      </c>
      <c r="AH85" s="852">
        <v>0</v>
      </c>
      <c r="AI85" s="852">
        <v>0</v>
      </c>
      <c r="AJ85" s="852">
        <v>0</v>
      </c>
      <c r="AK85" s="852">
        <v>0</v>
      </c>
      <c r="AL85" s="852">
        <v>0</v>
      </c>
      <c r="AM85" s="852">
        <v>0</v>
      </c>
      <c r="AN85" s="852">
        <v>0</v>
      </c>
      <c r="AO85" s="852">
        <v>0</v>
      </c>
      <c r="AP85" s="852">
        <v>0</v>
      </c>
      <c r="AQ85" s="852">
        <v>0</v>
      </c>
      <c r="AR85" s="852">
        <v>0</v>
      </c>
      <c r="AS85" s="852">
        <v>0</v>
      </c>
      <c r="AT85" s="852">
        <v>0</v>
      </c>
      <c r="AU85" s="852">
        <v>0</v>
      </c>
      <c r="AV85" s="852">
        <v>0</v>
      </c>
      <c r="AW85" s="852">
        <v>0</v>
      </c>
      <c r="AX85" s="852">
        <v>0</v>
      </c>
      <c r="AY85" s="852">
        <v>0</v>
      </c>
      <c r="AZ85" s="852">
        <v>0</v>
      </c>
      <c r="BA85" s="852">
        <v>0</v>
      </c>
      <c r="BB85" s="852">
        <v>0</v>
      </c>
      <c r="BC85" s="852">
        <v>0</v>
      </c>
      <c r="BD85" s="852"/>
      <c r="BE85" s="819"/>
      <c r="BF85" s="819"/>
      <c r="BG85" s="819"/>
      <c r="BH85" s="819"/>
      <c r="BI85" s="819"/>
      <c r="BJ85" s="819"/>
      <c r="BK85" s="819"/>
      <c r="BL85" s="819"/>
      <c r="BM85" s="819"/>
      <c r="BN85" s="819"/>
      <c r="BO85" s="819"/>
      <c r="BP85" s="819"/>
      <c r="BQ85" s="819"/>
      <c r="BR85" s="819"/>
      <c r="BS85" s="819"/>
      <c r="BT85" s="835"/>
    </row>
    <row r="86" spans="1:72" s="714" customFormat="1" ht="21.95" customHeight="1">
      <c r="A86" s="2616"/>
      <c r="B86" s="2607" t="s">
        <v>1630</v>
      </c>
      <c r="C86" s="814">
        <v>0.4</v>
      </c>
      <c r="D86" s="850">
        <v>0</v>
      </c>
      <c r="E86" s="850">
        <v>0</v>
      </c>
      <c r="F86" s="850">
        <v>0</v>
      </c>
      <c r="G86" s="850">
        <v>0</v>
      </c>
      <c r="H86" s="850">
        <v>0</v>
      </c>
      <c r="I86" s="850">
        <v>0</v>
      </c>
      <c r="J86" s="850">
        <v>0</v>
      </c>
      <c r="K86" s="850">
        <v>0</v>
      </c>
      <c r="L86" s="850">
        <v>0</v>
      </c>
      <c r="M86" s="850">
        <v>0</v>
      </c>
      <c r="N86" s="850">
        <v>0</v>
      </c>
      <c r="O86" s="850">
        <v>0</v>
      </c>
      <c r="P86" s="850">
        <v>0</v>
      </c>
      <c r="Q86" s="850">
        <v>0</v>
      </c>
      <c r="R86" s="850">
        <v>0</v>
      </c>
      <c r="S86" s="850">
        <v>0</v>
      </c>
      <c r="T86" s="850">
        <v>0</v>
      </c>
      <c r="U86" s="850">
        <v>0</v>
      </c>
      <c r="V86" s="850">
        <v>0</v>
      </c>
      <c r="W86" s="850">
        <v>0</v>
      </c>
      <c r="X86" s="850">
        <v>0</v>
      </c>
      <c r="Y86" s="850">
        <v>0</v>
      </c>
      <c r="Z86" s="850">
        <v>0</v>
      </c>
      <c r="AA86" s="850">
        <v>0</v>
      </c>
      <c r="AB86" s="850">
        <v>0</v>
      </c>
      <c r="AC86" s="850">
        <v>0</v>
      </c>
      <c r="AD86" s="850">
        <v>0</v>
      </c>
      <c r="AE86" s="850">
        <v>0</v>
      </c>
      <c r="AF86" s="850">
        <v>0</v>
      </c>
      <c r="AG86" s="850">
        <v>0</v>
      </c>
      <c r="AH86" s="850">
        <v>0</v>
      </c>
      <c r="AI86" s="850">
        <v>0</v>
      </c>
      <c r="AJ86" s="850">
        <v>0</v>
      </c>
      <c r="AK86" s="850">
        <v>0</v>
      </c>
      <c r="AL86" s="850">
        <v>0</v>
      </c>
      <c r="AM86" s="850">
        <v>0</v>
      </c>
      <c r="AN86" s="850">
        <v>0</v>
      </c>
      <c r="AO86" s="850">
        <v>0</v>
      </c>
      <c r="AP86" s="850">
        <v>0</v>
      </c>
      <c r="AQ86" s="850">
        <v>0</v>
      </c>
      <c r="AR86" s="850">
        <v>0</v>
      </c>
      <c r="AS86" s="850">
        <v>0</v>
      </c>
      <c r="AT86" s="850">
        <v>0</v>
      </c>
      <c r="AU86" s="850">
        <v>0</v>
      </c>
      <c r="AV86" s="850">
        <v>0</v>
      </c>
      <c r="AW86" s="850">
        <v>0</v>
      </c>
      <c r="AX86" s="850">
        <v>0</v>
      </c>
      <c r="AY86" s="850">
        <v>0</v>
      </c>
      <c r="AZ86" s="850">
        <v>0</v>
      </c>
      <c r="BA86" s="850">
        <v>0</v>
      </c>
      <c r="BB86" s="850">
        <v>0</v>
      </c>
      <c r="BC86" s="850">
        <v>0</v>
      </c>
      <c r="BD86" s="850"/>
      <c r="BE86" s="821"/>
      <c r="BF86" s="821"/>
      <c r="BG86" s="821"/>
      <c r="BH86" s="821"/>
      <c r="BI86" s="821"/>
      <c r="BJ86" s="821"/>
      <c r="BK86" s="821"/>
      <c r="BL86" s="821"/>
      <c r="BM86" s="821"/>
      <c r="BN86" s="821"/>
      <c r="BO86" s="821"/>
      <c r="BP86" s="821"/>
      <c r="BQ86" s="821"/>
      <c r="BR86" s="821"/>
      <c r="BS86" s="821"/>
      <c r="BT86" s="835"/>
    </row>
    <row r="87" spans="1:72" s="714" customFormat="1" ht="21.95" customHeight="1">
      <c r="A87" s="2616"/>
      <c r="B87" s="2610"/>
      <c r="C87" s="814">
        <v>0.6</v>
      </c>
      <c r="D87" s="851">
        <v>0</v>
      </c>
      <c r="E87" s="851">
        <v>0</v>
      </c>
      <c r="F87" s="851">
        <v>0</v>
      </c>
      <c r="G87" s="851">
        <v>0</v>
      </c>
      <c r="H87" s="851">
        <v>0</v>
      </c>
      <c r="I87" s="851">
        <v>0</v>
      </c>
      <c r="J87" s="851">
        <v>0</v>
      </c>
      <c r="K87" s="851">
        <v>0</v>
      </c>
      <c r="L87" s="851">
        <v>0</v>
      </c>
      <c r="M87" s="851">
        <v>0</v>
      </c>
      <c r="N87" s="851">
        <v>0</v>
      </c>
      <c r="O87" s="851">
        <v>0</v>
      </c>
      <c r="P87" s="851">
        <v>0</v>
      </c>
      <c r="Q87" s="851">
        <v>0</v>
      </c>
      <c r="R87" s="851">
        <v>0</v>
      </c>
      <c r="S87" s="851">
        <v>0</v>
      </c>
      <c r="T87" s="851">
        <v>0</v>
      </c>
      <c r="U87" s="851">
        <v>0</v>
      </c>
      <c r="V87" s="851">
        <v>0</v>
      </c>
      <c r="W87" s="851">
        <v>0</v>
      </c>
      <c r="X87" s="851">
        <v>0</v>
      </c>
      <c r="Y87" s="851">
        <v>0</v>
      </c>
      <c r="Z87" s="851">
        <v>0</v>
      </c>
      <c r="AA87" s="851">
        <v>0</v>
      </c>
      <c r="AB87" s="851">
        <v>0</v>
      </c>
      <c r="AC87" s="851">
        <v>0</v>
      </c>
      <c r="AD87" s="851">
        <v>0</v>
      </c>
      <c r="AE87" s="851">
        <v>0</v>
      </c>
      <c r="AF87" s="851">
        <v>0</v>
      </c>
      <c r="AG87" s="851">
        <v>0</v>
      </c>
      <c r="AH87" s="851">
        <v>0</v>
      </c>
      <c r="AI87" s="851">
        <v>0</v>
      </c>
      <c r="AJ87" s="851">
        <v>0</v>
      </c>
      <c r="AK87" s="851">
        <v>0</v>
      </c>
      <c r="AL87" s="851">
        <v>0</v>
      </c>
      <c r="AM87" s="851">
        <v>0</v>
      </c>
      <c r="AN87" s="851">
        <v>0</v>
      </c>
      <c r="AO87" s="851">
        <v>0</v>
      </c>
      <c r="AP87" s="851">
        <v>0</v>
      </c>
      <c r="AQ87" s="851">
        <v>0</v>
      </c>
      <c r="AR87" s="851">
        <v>0</v>
      </c>
      <c r="AS87" s="851">
        <v>0</v>
      </c>
      <c r="AT87" s="851">
        <v>0</v>
      </c>
      <c r="AU87" s="851">
        <v>0</v>
      </c>
      <c r="AV87" s="851">
        <v>0</v>
      </c>
      <c r="AW87" s="851">
        <v>0</v>
      </c>
      <c r="AX87" s="851">
        <v>0</v>
      </c>
      <c r="AY87" s="851">
        <v>0</v>
      </c>
      <c r="AZ87" s="851">
        <v>0</v>
      </c>
      <c r="BA87" s="851">
        <v>0</v>
      </c>
      <c r="BB87" s="851">
        <v>0</v>
      </c>
      <c r="BC87" s="851">
        <v>0</v>
      </c>
      <c r="BD87" s="851"/>
      <c r="BE87" s="816"/>
      <c r="BF87" s="816"/>
      <c r="BG87" s="816"/>
      <c r="BH87" s="816"/>
      <c r="BI87" s="816"/>
      <c r="BJ87" s="816"/>
      <c r="BK87" s="816"/>
      <c r="BL87" s="816"/>
      <c r="BM87" s="816"/>
      <c r="BN87" s="816"/>
      <c r="BO87" s="816"/>
      <c r="BP87" s="816"/>
      <c r="BQ87" s="816"/>
      <c r="BR87" s="816"/>
      <c r="BS87" s="816"/>
      <c r="BT87" s="835"/>
    </row>
    <row r="88" spans="1:72" s="714" customFormat="1" ht="21.95" customHeight="1">
      <c r="A88" s="2616"/>
      <c r="B88" s="2610"/>
      <c r="C88" s="814">
        <v>0.8</v>
      </c>
      <c r="D88" s="851">
        <v>0</v>
      </c>
      <c r="E88" s="851">
        <v>0</v>
      </c>
      <c r="F88" s="851">
        <v>0</v>
      </c>
      <c r="G88" s="851">
        <v>0</v>
      </c>
      <c r="H88" s="851">
        <v>0</v>
      </c>
      <c r="I88" s="851">
        <v>0</v>
      </c>
      <c r="J88" s="851">
        <v>0</v>
      </c>
      <c r="K88" s="851">
        <v>0</v>
      </c>
      <c r="L88" s="851">
        <v>0</v>
      </c>
      <c r="M88" s="851">
        <v>0</v>
      </c>
      <c r="N88" s="851">
        <v>0</v>
      </c>
      <c r="O88" s="851">
        <v>0</v>
      </c>
      <c r="P88" s="851">
        <v>0</v>
      </c>
      <c r="Q88" s="851">
        <v>0</v>
      </c>
      <c r="R88" s="851">
        <v>0</v>
      </c>
      <c r="S88" s="851">
        <v>0</v>
      </c>
      <c r="T88" s="851">
        <v>0</v>
      </c>
      <c r="U88" s="851">
        <v>0</v>
      </c>
      <c r="V88" s="851">
        <v>0</v>
      </c>
      <c r="W88" s="851">
        <v>0</v>
      </c>
      <c r="X88" s="851">
        <v>0</v>
      </c>
      <c r="Y88" s="851">
        <v>0</v>
      </c>
      <c r="Z88" s="851">
        <v>0</v>
      </c>
      <c r="AA88" s="851">
        <v>0</v>
      </c>
      <c r="AB88" s="851">
        <v>0</v>
      </c>
      <c r="AC88" s="851">
        <v>0</v>
      </c>
      <c r="AD88" s="851">
        <v>0</v>
      </c>
      <c r="AE88" s="851">
        <v>0</v>
      </c>
      <c r="AF88" s="851">
        <v>0</v>
      </c>
      <c r="AG88" s="851">
        <v>0</v>
      </c>
      <c r="AH88" s="851">
        <v>0</v>
      </c>
      <c r="AI88" s="851">
        <v>0</v>
      </c>
      <c r="AJ88" s="851">
        <v>0</v>
      </c>
      <c r="AK88" s="851">
        <v>0</v>
      </c>
      <c r="AL88" s="851">
        <v>0</v>
      </c>
      <c r="AM88" s="851">
        <v>0</v>
      </c>
      <c r="AN88" s="851">
        <v>0</v>
      </c>
      <c r="AO88" s="851">
        <v>0</v>
      </c>
      <c r="AP88" s="851">
        <v>0</v>
      </c>
      <c r="AQ88" s="851">
        <v>0</v>
      </c>
      <c r="AR88" s="851">
        <v>0</v>
      </c>
      <c r="AS88" s="851">
        <v>0</v>
      </c>
      <c r="AT88" s="851">
        <v>0</v>
      </c>
      <c r="AU88" s="851">
        <v>0</v>
      </c>
      <c r="AV88" s="851">
        <v>0</v>
      </c>
      <c r="AW88" s="851">
        <v>0</v>
      </c>
      <c r="AX88" s="851">
        <v>0</v>
      </c>
      <c r="AY88" s="851">
        <v>0</v>
      </c>
      <c r="AZ88" s="851">
        <v>0</v>
      </c>
      <c r="BA88" s="851">
        <v>0</v>
      </c>
      <c r="BB88" s="851">
        <v>0</v>
      </c>
      <c r="BC88" s="851">
        <v>0</v>
      </c>
      <c r="BD88" s="851"/>
      <c r="BE88" s="816"/>
      <c r="BF88" s="816"/>
      <c r="BG88" s="816"/>
      <c r="BH88" s="816"/>
      <c r="BI88" s="816"/>
      <c r="BJ88" s="816"/>
      <c r="BK88" s="816"/>
      <c r="BL88" s="816"/>
      <c r="BM88" s="816"/>
      <c r="BN88" s="816"/>
      <c r="BO88" s="816"/>
      <c r="BP88" s="816"/>
      <c r="BQ88" s="816"/>
      <c r="BR88" s="816"/>
      <c r="BS88" s="816"/>
      <c r="BT88" s="835"/>
    </row>
    <row r="89" spans="1:72" s="714" customFormat="1" ht="21.95" customHeight="1">
      <c r="A89" s="2616"/>
      <c r="B89" s="2610"/>
      <c r="C89" s="814">
        <v>1</v>
      </c>
      <c r="D89" s="851">
        <v>0</v>
      </c>
      <c r="E89" s="851">
        <v>0</v>
      </c>
      <c r="F89" s="851">
        <v>0</v>
      </c>
      <c r="G89" s="851">
        <v>0</v>
      </c>
      <c r="H89" s="851">
        <v>0</v>
      </c>
      <c r="I89" s="851">
        <v>0</v>
      </c>
      <c r="J89" s="851">
        <v>0</v>
      </c>
      <c r="K89" s="851">
        <v>0</v>
      </c>
      <c r="L89" s="851">
        <v>0</v>
      </c>
      <c r="M89" s="851">
        <v>0</v>
      </c>
      <c r="N89" s="851">
        <v>0</v>
      </c>
      <c r="O89" s="851">
        <v>0</v>
      </c>
      <c r="P89" s="851">
        <v>0</v>
      </c>
      <c r="Q89" s="851">
        <v>0</v>
      </c>
      <c r="R89" s="851">
        <v>0</v>
      </c>
      <c r="S89" s="851">
        <v>0</v>
      </c>
      <c r="T89" s="851">
        <v>0</v>
      </c>
      <c r="U89" s="851">
        <v>0</v>
      </c>
      <c r="V89" s="851">
        <v>0</v>
      </c>
      <c r="W89" s="851">
        <v>0</v>
      </c>
      <c r="X89" s="851">
        <v>0</v>
      </c>
      <c r="Y89" s="851">
        <v>0</v>
      </c>
      <c r="Z89" s="851">
        <v>0</v>
      </c>
      <c r="AA89" s="851">
        <v>0</v>
      </c>
      <c r="AB89" s="851">
        <v>0</v>
      </c>
      <c r="AC89" s="851">
        <v>0</v>
      </c>
      <c r="AD89" s="851">
        <v>0</v>
      </c>
      <c r="AE89" s="851">
        <v>0</v>
      </c>
      <c r="AF89" s="851">
        <v>0</v>
      </c>
      <c r="AG89" s="851">
        <v>0</v>
      </c>
      <c r="AH89" s="851">
        <v>0</v>
      </c>
      <c r="AI89" s="851">
        <v>0</v>
      </c>
      <c r="AJ89" s="851">
        <v>0</v>
      </c>
      <c r="AK89" s="851">
        <v>0</v>
      </c>
      <c r="AL89" s="851">
        <v>0</v>
      </c>
      <c r="AM89" s="851">
        <v>0</v>
      </c>
      <c r="AN89" s="851">
        <v>0</v>
      </c>
      <c r="AO89" s="851">
        <v>0</v>
      </c>
      <c r="AP89" s="851">
        <v>0</v>
      </c>
      <c r="AQ89" s="851">
        <v>0</v>
      </c>
      <c r="AR89" s="851">
        <v>0</v>
      </c>
      <c r="AS89" s="851">
        <v>0</v>
      </c>
      <c r="AT89" s="851">
        <v>0</v>
      </c>
      <c r="AU89" s="851">
        <v>0</v>
      </c>
      <c r="AV89" s="851">
        <v>0</v>
      </c>
      <c r="AW89" s="851">
        <v>0</v>
      </c>
      <c r="AX89" s="851">
        <v>0</v>
      </c>
      <c r="AY89" s="851">
        <v>0</v>
      </c>
      <c r="AZ89" s="851">
        <v>0</v>
      </c>
      <c r="BA89" s="851">
        <v>0</v>
      </c>
      <c r="BB89" s="851">
        <v>0</v>
      </c>
      <c r="BC89" s="851">
        <v>0</v>
      </c>
      <c r="BD89" s="851"/>
      <c r="BE89" s="816"/>
      <c r="BF89" s="816"/>
      <c r="BG89" s="816"/>
      <c r="BH89" s="816"/>
      <c r="BI89" s="816"/>
      <c r="BJ89" s="816"/>
      <c r="BK89" s="816"/>
      <c r="BL89" s="816"/>
      <c r="BM89" s="816"/>
      <c r="BN89" s="816"/>
      <c r="BO89" s="816"/>
      <c r="BP89" s="816"/>
      <c r="BQ89" s="816"/>
      <c r="BR89" s="816"/>
      <c r="BS89" s="816"/>
      <c r="BT89" s="835"/>
    </row>
    <row r="90" spans="1:72" s="714" customFormat="1" ht="21.95" customHeight="1">
      <c r="A90" s="2616"/>
      <c r="B90" s="2610"/>
      <c r="C90" s="814">
        <v>1.2</v>
      </c>
      <c r="D90" s="851">
        <v>0</v>
      </c>
      <c r="E90" s="851">
        <v>0</v>
      </c>
      <c r="F90" s="851">
        <v>0</v>
      </c>
      <c r="G90" s="851">
        <v>0</v>
      </c>
      <c r="H90" s="851">
        <v>0</v>
      </c>
      <c r="I90" s="851">
        <v>0</v>
      </c>
      <c r="J90" s="851">
        <v>0</v>
      </c>
      <c r="K90" s="851">
        <v>0</v>
      </c>
      <c r="L90" s="851">
        <v>0</v>
      </c>
      <c r="M90" s="851">
        <v>0</v>
      </c>
      <c r="N90" s="851">
        <v>0</v>
      </c>
      <c r="O90" s="851">
        <v>0</v>
      </c>
      <c r="P90" s="851">
        <v>0</v>
      </c>
      <c r="Q90" s="851">
        <v>0</v>
      </c>
      <c r="R90" s="851">
        <v>0</v>
      </c>
      <c r="S90" s="851">
        <v>0</v>
      </c>
      <c r="T90" s="851">
        <v>0</v>
      </c>
      <c r="U90" s="851">
        <v>0</v>
      </c>
      <c r="V90" s="851">
        <v>0</v>
      </c>
      <c r="W90" s="851">
        <v>0</v>
      </c>
      <c r="X90" s="851">
        <v>0</v>
      </c>
      <c r="Y90" s="851">
        <v>0</v>
      </c>
      <c r="Z90" s="851">
        <v>0</v>
      </c>
      <c r="AA90" s="851">
        <v>0</v>
      </c>
      <c r="AB90" s="851">
        <v>0</v>
      </c>
      <c r="AC90" s="851">
        <v>0</v>
      </c>
      <c r="AD90" s="851">
        <v>0</v>
      </c>
      <c r="AE90" s="851">
        <v>0</v>
      </c>
      <c r="AF90" s="851">
        <v>0</v>
      </c>
      <c r="AG90" s="851">
        <v>0</v>
      </c>
      <c r="AH90" s="851">
        <v>0</v>
      </c>
      <c r="AI90" s="851">
        <v>0</v>
      </c>
      <c r="AJ90" s="851">
        <v>0</v>
      </c>
      <c r="AK90" s="851">
        <v>0</v>
      </c>
      <c r="AL90" s="851">
        <v>0</v>
      </c>
      <c r="AM90" s="851">
        <v>0</v>
      </c>
      <c r="AN90" s="851">
        <v>0</v>
      </c>
      <c r="AO90" s="851">
        <v>0</v>
      </c>
      <c r="AP90" s="851">
        <v>0</v>
      </c>
      <c r="AQ90" s="851">
        <v>0</v>
      </c>
      <c r="AR90" s="851">
        <v>0</v>
      </c>
      <c r="AS90" s="851">
        <v>0</v>
      </c>
      <c r="AT90" s="851">
        <v>0</v>
      </c>
      <c r="AU90" s="851">
        <v>0</v>
      </c>
      <c r="AV90" s="851">
        <v>0</v>
      </c>
      <c r="AW90" s="851">
        <v>0</v>
      </c>
      <c r="AX90" s="851">
        <v>0</v>
      </c>
      <c r="AY90" s="851">
        <v>0</v>
      </c>
      <c r="AZ90" s="851">
        <v>0</v>
      </c>
      <c r="BA90" s="851">
        <v>0</v>
      </c>
      <c r="BB90" s="851">
        <v>0</v>
      </c>
      <c r="BC90" s="851">
        <v>0</v>
      </c>
      <c r="BD90" s="851"/>
      <c r="BE90" s="816"/>
      <c r="BF90" s="816"/>
      <c r="BG90" s="816"/>
      <c r="BH90" s="816"/>
      <c r="BI90" s="816"/>
      <c r="BJ90" s="816"/>
      <c r="BK90" s="816"/>
      <c r="BL90" s="816"/>
      <c r="BM90" s="816"/>
      <c r="BN90" s="816"/>
      <c r="BO90" s="816"/>
      <c r="BP90" s="816"/>
      <c r="BQ90" s="816"/>
      <c r="BR90" s="816"/>
      <c r="BS90" s="816"/>
      <c r="BT90" s="835"/>
    </row>
    <row r="91" spans="1:72" s="714" customFormat="1" ht="21.95" customHeight="1">
      <c r="A91" s="2616"/>
      <c r="B91" s="2610"/>
      <c r="C91" s="814">
        <v>1.5</v>
      </c>
      <c r="D91" s="852">
        <v>0</v>
      </c>
      <c r="E91" s="852">
        <v>0</v>
      </c>
      <c r="F91" s="852">
        <v>0</v>
      </c>
      <c r="G91" s="852">
        <v>0</v>
      </c>
      <c r="H91" s="852">
        <v>0</v>
      </c>
      <c r="I91" s="852">
        <v>0</v>
      </c>
      <c r="J91" s="852">
        <v>0</v>
      </c>
      <c r="K91" s="852">
        <v>0</v>
      </c>
      <c r="L91" s="852">
        <v>0</v>
      </c>
      <c r="M91" s="852">
        <v>0</v>
      </c>
      <c r="N91" s="852">
        <v>0</v>
      </c>
      <c r="O91" s="852">
        <v>0</v>
      </c>
      <c r="P91" s="852">
        <v>0</v>
      </c>
      <c r="Q91" s="852">
        <v>0</v>
      </c>
      <c r="R91" s="852">
        <v>0</v>
      </c>
      <c r="S91" s="852">
        <v>0</v>
      </c>
      <c r="T91" s="852">
        <v>0</v>
      </c>
      <c r="U91" s="852">
        <v>0</v>
      </c>
      <c r="V91" s="852">
        <v>0</v>
      </c>
      <c r="W91" s="852">
        <v>0</v>
      </c>
      <c r="X91" s="852">
        <v>0</v>
      </c>
      <c r="Y91" s="852">
        <v>0</v>
      </c>
      <c r="Z91" s="852">
        <v>0</v>
      </c>
      <c r="AA91" s="852">
        <v>0</v>
      </c>
      <c r="AB91" s="852">
        <v>0</v>
      </c>
      <c r="AC91" s="852">
        <v>0</v>
      </c>
      <c r="AD91" s="852">
        <v>0</v>
      </c>
      <c r="AE91" s="852">
        <v>0</v>
      </c>
      <c r="AF91" s="852">
        <v>0</v>
      </c>
      <c r="AG91" s="852">
        <v>0</v>
      </c>
      <c r="AH91" s="852">
        <v>0</v>
      </c>
      <c r="AI91" s="852">
        <v>0</v>
      </c>
      <c r="AJ91" s="852">
        <v>0</v>
      </c>
      <c r="AK91" s="852">
        <v>0</v>
      </c>
      <c r="AL91" s="852">
        <v>0</v>
      </c>
      <c r="AM91" s="852">
        <v>0</v>
      </c>
      <c r="AN91" s="852">
        <v>0</v>
      </c>
      <c r="AO91" s="852">
        <v>0</v>
      </c>
      <c r="AP91" s="852">
        <v>0</v>
      </c>
      <c r="AQ91" s="852">
        <v>0</v>
      </c>
      <c r="AR91" s="852">
        <v>0</v>
      </c>
      <c r="AS91" s="852">
        <v>0</v>
      </c>
      <c r="AT91" s="852">
        <v>0</v>
      </c>
      <c r="AU91" s="852">
        <v>0</v>
      </c>
      <c r="AV91" s="852">
        <v>0</v>
      </c>
      <c r="AW91" s="852">
        <v>0</v>
      </c>
      <c r="AX91" s="852">
        <v>0</v>
      </c>
      <c r="AY91" s="852">
        <v>0</v>
      </c>
      <c r="AZ91" s="852">
        <v>0</v>
      </c>
      <c r="BA91" s="852">
        <v>0</v>
      </c>
      <c r="BB91" s="852">
        <v>0</v>
      </c>
      <c r="BC91" s="852">
        <v>0</v>
      </c>
      <c r="BD91" s="852"/>
      <c r="BE91" s="819"/>
      <c r="BF91" s="819"/>
      <c r="BG91" s="819"/>
      <c r="BH91" s="819"/>
      <c r="BI91" s="819"/>
      <c r="BJ91" s="819"/>
      <c r="BK91" s="819"/>
      <c r="BL91" s="819"/>
      <c r="BM91" s="819"/>
      <c r="BN91" s="819"/>
      <c r="BO91" s="819"/>
      <c r="BP91" s="819"/>
      <c r="BQ91" s="819"/>
      <c r="BR91" s="819"/>
      <c r="BS91" s="819"/>
      <c r="BT91" s="835"/>
    </row>
    <row r="92" spans="1:72" s="714" customFormat="1" ht="21.95" customHeight="1">
      <c r="A92" s="2616"/>
      <c r="B92" s="2610"/>
      <c r="C92" s="814" t="s">
        <v>1631</v>
      </c>
      <c r="D92" s="851">
        <v>0</v>
      </c>
      <c r="E92" s="851">
        <v>0</v>
      </c>
      <c r="F92" s="851">
        <v>0</v>
      </c>
      <c r="G92" s="851">
        <v>0</v>
      </c>
      <c r="H92" s="851">
        <v>0</v>
      </c>
      <c r="I92" s="851">
        <v>0</v>
      </c>
      <c r="J92" s="851">
        <v>0</v>
      </c>
      <c r="K92" s="851">
        <v>0</v>
      </c>
      <c r="L92" s="851">
        <v>0</v>
      </c>
      <c r="M92" s="851">
        <v>0</v>
      </c>
      <c r="N92" s="851">
        <v>0</v>
      </c>
      <c r="O92" s="851">
        <v>0</v>
      </c>
      <c r="P92" s="851">
        <v>0</v>
      </c>
      <c r="Q92" s="851">
        <v>0</v>
      </c>
      <c r="R92" s="851">
        <v>0</v>
      </c>
      <c r="S92" s="851">
        <v>0</v>
      </c>
      <c r="T92" s="851">
        <v>0</v>
      </c>
      <c r="U92" s="851">
        <v>0</v>
      </c>
      <c r="V92" s="851">
        <v>0</v>
      </c>
      <c r="W92" s="851">
        <v>0</v>
      </c>
      <c r="X92" s="851">
        <v>0</v>
      </c>
      <c r="Y92" s="851">
        <v>0</v>
      </c>
      <c r="Z92" s="851">
        <v>0</v>
      </c>
      <c r="AA92" s="851">
        <v>0</v>
      </c>
      <c r="AB92" s="851">
        <v>0</v>
      </c>
      <c r="AC92" s="851">
        <v>0</v>
      </c>
      <c r="AD92" s="851">
        <v>0</v>
      </c>
      <c r="AE92" s="851">
        <v>0</v>
      </c>
      <c r="AF92" s="851">
        <v>0</v>
      </c>
      <c r="AG92" s="851">
        <v>0</v>
      </c>
      <c r="AH92" s="851">
        <v>0</v>
      </c>
      <c r="AI92" s="851">
        <v>0</v>
      </c>
      <c r="AJ92" s="851">
        <v>0</v>
      </c>
      <c r="AK92" s="851">
        <v>0</v>
      </c>
      <c r="AL92" s="851">
        <v>0</v>
      </c>
      <c r="AM92" s="851">
        <v>0</v>
      </c>
      <c r="AN92" s="851">
        <v>0</v>
      </c>
      <c r="AO92" s="851">
        <v>0</v>
      </c>
      <c r="AP92" s="851">
        <v>0</v>
      </c>
      <c r="AQ92" s="851">
        <v>0</v>
      </c>
      <c r="AR92" s="851">
        <v>0</v>
      </c>
      <c r="AS92" s="851">
        <v>0</v>
      </c>
      <c r="AT92" s="851">
        <v>0</v>
      </c>
      <c r="AU92" s="851">
        <v>0</v>
      </c>
      <c r="AV92" s="851">
        <v>0</v>
      </c>
      <c r="AW92" s="851">
        <v>0</v>
      </c>
      <c r="AX92" s="851">
        <v>0</v>
      </c>
      <c r="AY92" s="851">
        <v>0</v>
      </c>
      <c r="AZ92" s="851">
        <v>0</v>
      </c>
      <c r="BA92" s="851">
        <v>0</v>
      </c>
      <c r="BB92" s="851">
        <v>0</v>
      </c>
      <c r="BC92" s="851">
        <v>0</v>
      </c>
      <c r="BD92" s="851"/>
      <c r="BE92" s="816"/>
      <c r="BF92" s="816"/>
      <c r="BG92" s="816"/>
      <c r="BH92" s="816"/>
      <c r="BI92" s="816"/>
      <c r="BJ92" s="816"/>
      <c r="BK92" s="816"/>
      <c r="BL92" s="816"/>
      <c r="BM92" s="816"/>
      <c r="BN92" s="816"/>
      <c r="BO92" s="816"/>
      <c r="BP92" s="816"/>
      <c r="BQ92" s="816"/>
      <c r="BR92" s="816"/>
      <c r="BS92" s="816"/>
      <c r="BT92" s="835"/>
    </row>
    <row r="93" spans="1:72" s="714" customFormat="1" ht="21.95" customHeight="1">
      <c r="A93" s="2616"/>
      <c r="B93" s="2610"/>
      <c r="C93" s="814" t="s">
        <v>1632</v>
      </c>
      <c r="D93" s="851">
        <v>0</v>
      </c>
      <c r="E93" s="851">
        <v>0</v>
      </c>
      <c r="F93" s="851">
        <v>0</v>
      </c>
      <c r="G93" s="851">
        <v>0</v>
      </c>
      <c r="H93" s="851">
        <v>0</v>
      </c>
      <c r="I93" s="851">
        <v>0</v>
      </c>
      <c r="J93" s="851">
        <v>0</v>
      </c>
      <c r="K93" s="851">
        <v>0</v>
      </c>
      <c r="L93" s="851">
        <v>0</v>
      </c>
      <c r="M93" s="851">
        <v>0</v>
      </c>
      <c r="N93" s="851">
        <v>0</v>
      </c>
      <c r="O93" s="851">
        <v>0</v>
      </c>
      <c r="P93" s="851">
        <v>0</v>
      </c>
      <c r="Q93" s="851">
        <v>0</v>
      </c>
      <c r="R93" s="851">
        <v>0</v>
      </c>
      <c r="S93" s="851">
        <v>0</v>
      </c>
      <c r="T93" s="851">
        <v>0</v>
      </c>
      <c r="U93" s="851">
        <v>0</v>
      </c>
      <c r="V93" s="851">
        <v>0</v>
      </c>
      <c r="W93" s="851">
        <v>0</v>
      </c>
      <c r="X93" s="851">
        <v>0</v>
      </c>
      <c r="Y93" s="851">
        <v>0</v>
      </c>
      <c r="Z93" s="851">
        <v>0</v>
      </c>
      <c r="AA93" s="851">
        <v>0</v>
      </c>
      <c r="AB93" s="851">
        <v>0</v>
      </c>
      <c r="AC93" s="851">
        <v>0</v>
      </c>
      <c r="AD93" s="851">
        <v>0</v>
      </c>
      <c r="AE93" s="851">
        <v>0</v>
      </c>
      <c r="AF93" s="851">
        <v>0</v>
      </c>
      <c r="AG93" s="851">
        <v>0</v>
      </c>
      <c r="AH93" s="851">
        <v>0</v>
      </c>
      <c r="AI93" s="851">
        <v>0</v>
      </c>
      <c r="AJ93" s="851">
        <v>0</v>
      </c>
      <c r="AK93" s="851">
        <v>0</v>
      </c>
      <c r="AL93" s="851">
        <v>0</v>
      </c>
      <c r="AM93" s="851">
        <v>0</v>
      </c>
      <c r="AN93" s="851">
        <v>0</v>
      </c>
      <c r="AO93" s="851">
        <v>0</v>
      </c>
      <c r="AP93" s="851">
        <v>0</v>
      </c>
      <c r="AQ93" s="851">
        <v>0</v>
      </c>
      <c r="AR93" s="851">
        <v>0</v>
      </c>
      <c r="AS93" s="851">
        <v>0</v>
      </c>
      <c r="AT93" s="851">
        <v>0</v>
      </c>
      <c r="AU93" s="851">
        <v>0</v>
      </c>
      <c r="AV93" s="851">
        <v>0</v>
      </c>
      <c r="AW93" s="851">
        <v>0</v>
      </c>
      <c r="AX93" s="851">
        <v>0</v>
      </c>
      <c r="AY93" s="851">
        <v>0</v>
      </c>
      <c r="AZ93" s="851">
        <v>0</v>
      </c>
      <c r="BA93" s="851">
        <v>0</v>
      </c>
      <c r="BB93" s="851">
        <v>0</v>
      </c>
      <c r="BC93" s="851">
        <v>0</v>
      </c>
      <c r="BD93" s="851"/>
      <c r="BE93" s="816"/>
      <c r="BF93" s="816"/>
      <c r="BG93" s="816"/>
      <c r="BH93" s="816"/>
      <c r="BI93" s="816"/>
      <c r="BJ93" s="816"/>
      <c r="BK93" s="816"/>
      <c r="BL93" s="816"/>
      <c r="BM93" s="816"/>
      <c r="BN93" s="816"/>
      <c r="BO93" s="816"/>
      <c r="BP93" s="816"/>
      <c r="BQ93" s="816"/>
      <c r="BR93" s="816"/>
      <c r="BS93" s="816"/>
      <c r="BT93" s="835"/>
    </row>
    <row r="94" spans="1:72" s="714" customFormat="1" ht="21.95" customHeight="1">
      <c r="A94" s="2616"/>
      <c r="B94" s="2610"/>
      <c r="C94" s="814" t="s">
        <v>1633</v>
      </c>
      <c r="D94" s="851">
        <v>0</v>
      </c>
      <c r="E94" s="851">
        <v>0</v>
      </c>
      <c r="F94" s="851">
        <v>0</v>
      </c>
      <c r="G94" s="851">
        <v>0</v>
      </c>
      <c r="H94" s="851">
        <v>0</v>
      </c>
      <c r="I94" s="851">
        <v>0</v>
      </c>
      <c r="J94" s="851">
        <v>0</v>
      </c>
      <c r="K94" s="851">
        <v>0</v>
      </c>
      <c r="L94" s="851">
        <v>0</v>
      </c>
      <c r="M94" s="851">
        <v>0</v>
      </c>
      <c r="N94" s="851">
        <v>0</v>
      </c>
      <c r="O94" s="851">
        <v>0</v>
      </c>
      <c r="P94" s="851">
        <v>0</v>
      </c>
      <c r="Q94" s="851">
        <v>0</v>
      </c>
      <c r="R94" s="851">
        <v>0</v>
      </c>
      <c r="S94" s="851">
        <v>0</v>
      </c>
      <c r="T94" s="851">
        <v>0</v>
      </c>
      <c r="U94" s="851">
        <v>0</v>
      </c>
      <c r="V94" s="851">
        <v>0</v>
      </c>
      <c r="W94" s="851">
        <v>0</v>
      </c>
      <c r="X94" s="851">
        <v>0</v>
      </c>
      <c r="Y94" s="851">
        <v>0</v>
      </c>
      <c r="Z94" s="851">
        <v>0</v>
      </c>
      <c r="AA94" s="851">
        <v>0</v>
      </c>
      <c r="AB94" s="851">
        <v>0</v>
      </c>
      <c r="AC94" s="851">
        <v>0</v>
      </c>
      <c r="AD94" s="851">
        <v>0</v>
      </c>
      <c r="AE94" s="851">
        <v>0</v>
      </c>
      <c r="AF94" s="851">
        <v>0</v>
      </c>
      <c r="AG94" s="851">
        <v>0</v>
      </c>
      <c r="AH94" s="851">
        <v>0</v>
      </c>
      <c r="AI94" s="851">
        <v>0</v>
      </c>
      <c r="AJ94" s="851">
        <v>0</v>
      </c>
      <c r="AK94" s="851">
        <v>0</v>
      </c>
      <c r="AL94" s="851">
        <v>0</v>
      </c>
      <c r="AM94" s="851">
        <v>0</v>
      </c>
      <c r="AN94" s="851">
        <v>0</v>
      </c>
      <c r="AO94" s="851">
        <v>0</v>
      </c>
      <c r="AP94" s="851">
        <v>0</v>
      </c>
      <c r="AQ94" s="851">
        <v>0</v>
      </c>
      <c r="AR94" s="851">
        <v>0</v>
      </c>
      <c r="AS94" s="851">
        <v>0</v>
      </c>
      <c r="AT94" s="851">
        <v>0</v>
      </c>
      <c r="AU94" s="851">
        <v>0</v>
      </c>
      <c r="AV94" s="851">
        <v>0</v>
      </c>
      <c r="AW94" s="851">
        <v>0</v>
      </c>
      <c r="AX94" s="851">
        <v>0</v>
      </c>
      <c r="AY94" s="851">
        <v>0</v>
      </c>
      <c r="AZ94" s="851">
        <v>0</v>
      </c>
      <c r="BA94" s="851">
        <v>0</v>
      </c>
      <c r="BB94" s="851">
        <v>0</v>
      </c>
      <c r="BC94" s="851">
        <v>0</v>
      </c>
      <c r="BD94" s="851"/>
      <c r="BE94" s="816"/>
      <c r="BF94" s="816"/>
      <c r="BG94" s="816"/>
      <c r="BH94" s="816"/>
      <c r="BI94" s="816"/>
      <c r="BJ94" s="816"/>
      <c r="BK94" s="816"/>
      <c r="BL94" s="816"/>
      <c r="BM94" s="816"/>
      <c r="BN94" s="816"/>
      <c r="BO94" s="816"/>
      <c r="BP94" s="816"/>
      <c r="BQ94" s="816"/>
      <c r="BR94" s="816"/>
      <c r="BS94" s="816"/>
      <c r="BT94" s="835"/>
    </row>
    <row r="95" spans="1:72" s="714" customFormat="1" ht="21.95" customHeight="1">
      <c r="A95" s="2616"/>
      <c r="B95" s="2608"/>
      <c r="C95" s="814" t="s">
        <v>1634</v>
      </c>
      <c r="D95" s="851">
        <v>0</v>
      </c>
      <c r="E95" s="851">
        <v>0</v>
      </c>
      <c r="F95" s="851">
        <v>0</v>
      </c>
      <c r="G95" s="851">
        <v>0</v>
      </c>
      <c r="H95" s="851">
        <v>0</v>
      </c>
      <c r="I95" s="851">
        <v>0</v>
      </c>
      <c r="J95" s="851">
        <v>0</v>
      </c>
      <c r="K95" s="851">
        <v>0</v>
      </c>
      <c r="L95" s="851">
        <v>0</v>
      </c>
      <c r="M95" s="851">
        <v>0</v>
      </c>
      <c r="N95" s="851">
        <v>0</v>
      </c>
      <c r="O95" s="851">
        <v>0</v>
      </c>
      <c r="P95" s="851">
        <v>0</v>
      </c>
      <c r="Q95" s="851">
        <v>0</v>
      </c>
      <c r="R95" s="851">
        <v>0</v>
      </c>
      <c r="S95" s="851">
        <v>0</v>
      </c>
      <c r="T95" s="851">
        <v>0</v>
      </c>
      <c r="U95" s="851">
        <v>0</v>
      </c>
      <c r="V95" s="851">
        <v>0</v>
      </c>
      <c r="W95" s="851">
        <v>0</v>
      </c>
      <c r="X95" s="851">
        <v>0</v>
      </c>
      <c r="Y95" s="851">
        <v>0</v>
      </c>
      <c r="Z95" s="851">
        <v>0</v>
      </c>
      <c r="AA95" s="851">
        <v>0</v>
      </c>
      <c r="AB95" s="851">
        <v>0</v>
      </c>
      <c r="AC95" s="851">
        <v>0</v>
      </c>
      <c r="AD95" s="851">
        <v>0</v>
      </c>
      <c r="AE95" s="851">
        <v>0</v>
      </c>
      <c r="AF95" s="851">
        <v>0</v>
      </c>
      <c r="AG95" s="851">
        <v>0</v>
      </c>
      <c r="AH95" s="851">
        <v>0</v>
      </c>
      <c r="AI95" s="851">
        <v>0</v>
      </c>
      <c r="AJ95" s="851">
        <v>0</v>
      </c>
      <c r="AK95" s="851">
        <v>0</v>
      </c>
      <c r="AL95" s="851">
        <v>0</v>
      </c>
      <c r="AM95" s="851">
        <v>0</v>
      </c>
      <c r="AN95" s="851">
        <v>0</v>
      </c>
      <c r="AO95" s="851">
        <v>0</v>
      </c>
      <c r="AP95" s="851">
        <v>0</v>
      </c>
      <c r="AQ95" s="851">
        <v>0</v>
      </c>
      <c r="AR95" s="851">
        <v>0</v>
      </c>
      <c r="AS95" s="851">
        <v>0</v>
      </c>
      <c r="AT95" s="851">
        <v>0</v>
      </c>
      <c r="AU95" s="851">
        <v>0</v>
      </c>
      <c r="AV95" s="851">
        <v>0</v>
      </c>
      <c r="AW95" s="851">
        <v>0</v>
      </c>
      <c r="AX95" s="851">
        <v>0</v>
      </c>
      <c r="AY95" s="851">
        <v>0</v>
      </c>
      <c r="AZ95" s="851">
        <v>0</v>
      </c>
      <c r="BA95" s="851">
        <v>0</v>
      </c>
      <c r="BB95" s="851">
        <v>0</v>
      </c>
      <c r="BC95" s="851">
        <v>0</v>
      </c>
      <c r="BD95" s="851"/>
      <c r="BE95" s="816"/>
      <c r="BF95" s="816"/>
      <c r="BG95" s="816"/>
      <c r="BH95" s="816"/>
      <c r="BI95" s="816"/>
      <c r="BJ95" s="816"/>
      <c r="BK95" s="816"/>
      <c r="BL95" s="816"/>
      <c r="BM95" s="816"/>
      <c r="BN95" s="816"/>
      <c r="BO95" s="816"/>
      <c r="BP95" s="816"/>
      <c r="BQ95" s="816"/>
      <c r="BR95" s="816"/>
      <c r="BS95" s="816"/>
      <c r="BT95" s="835"/>
    </row>
    <row r="96" spans="1:72" s="714" customFormat="1" ht="21.95" customHeight="1">
      <c r="A96" s="2616"/>
      <c r="B96" s="2611" t="s">
        <v>1635</v>
      </c>
      <c r="C96" s="832" t="s">
        <v>1636</v>
      </c>
      <c r="D96" s="850">
        <v>0</v>
      </c>
      <c r="E96" s="850">
        <v>0</v>
      </c>
      <c r="F96" s="850">
        <v>0</v>
      </c>
      <c r="G96" s="850">
        <v>0</v>
      </c>
      <c r="H96" s="850">
        <v>0</v>
      </c>
      <c r="I96" s="850">
        <v>0</v>
      </c>
      <c r="J96" s="850">
        <v>0</v>
      </c>
      <c r="K96" s="850">
        <v>0</v>
      </c>
      <c r="L96" s="850">
        <v>0</v>
      </c>
      <c r="M96" s="850">
        <v>0</v>
      </c>
      <c r="N96" s="850">
        <v>0</v>
      </c>
      <c r="O96" s="850">
        <v>0</v>
      </c>
      <c r="P96" s="850">
        <v>0</v>
      </c>
      <c r="Q96" s="850">
        <v>0</v>
      </c>
      <c r="R96" s="850">
        <v>0</v>
      </c>
      <c r="S96" s="850">
        <v>0</v>
      </c>
      <c r="T96" s="850">
        <v>0</v>
      </c>
      <c r="U96" s="850">
        <v>0</v>
      </c>
      <c r="V96" s="850">
        <v>0</v>
      </c>
      <c r="W96" s="850">
        <v>0</v>
      </c>
      <c r="X96" s="850">
        <v>0</v>
      </c>
      <c r="Y96" s="850">
        <v>0</v>
      </c>
      <c r="Z96" s="850">
        <v>0</v>
      </c>
      <c r="AA96" s="850">
        <v>0</v>
      </c>
      <c r="AB96" s="850">
        <v>0</v>
      </c>
      <c r="AC96" s="850">
        <v>0</v>
      </c>
      <c r="AD96" s="850">
        <v>0</v>
      </c>
      <c r="AE96" s="850">
        <v>0</v>
      </c>
      <c r="AF96" s="850">
        <v>0</v>
      </c>
      <c r="AG96" s="850">
        <v>0</v>
      </c>
      <c r="AH96" s="850">
        <v>0</v>
      </c>
      <c r="AI96" s="850">
        <v>0</v>
      </c>
      <c r="AJ96" s="850">
        <v>0</v>
      </c>
      <c r="AK96" s="850">
        <v>0</v>
      </c>
      <c r="AL96" s="850">
        <v>0</v>
      </c>
      <c r="AM96" s="850">
        <v>0</v>
      </c>
      <c r="AN96" s="850">
        <v>0</v>
      </c>
      <c r="AO96" s="850">
        <v>0</v>
      </c>
      <c r="AP96" s="850">
        <v>0</v>
      </c>
      <c r="AQ96" s="850">
        <v>0</v>
      </c>
      <c r="AR96" s="850">
        <v>0</v>
      </c>
      <c r="AS96" s="850">
        <v>0</v>
      </c>
      <c r="AT96" s="850">
        <v>0</v>
      </c>
      <c r="AU96" s="850">
        <v>0</v>
      </c>
      <c r="AV96" s="850">
        <v>0</v>
      </c>
      <c r="AW96" s="850">
        <v>0</v>
      </c>
      <c r="AX96" s="850">
        <v>0</v>
      </c>
      <c r="AY96" s="850">
        <v>0</v>
      </c>
      <c r="AZ96" s="850">
        <v>0</v>
      </c>
      <c r="BA96" s="850">
        <v>0</v>
      </c>
      <c r="BB96" s="850">
        <v>0</v>
      </c>
      <c r="BC96" s="850">
        <v>0</v>
      </c>
      <c r="BD96" s="850"/>
      <c r="BE96" s="821"/>
      <c r="BF96" s="821"/>
      <c r="BG96" s="821"/>
      <c r="BH96" s="821"/>
      <c r="BI96" s="821"/>
      <c r="BJ96" s="821"/>
      <c r="BK96" s="821"/>
      <c r="BL96" s="821"/>
      <c r="BM96" s="821"/>
      <c r="BN96" s="821"/>
      <c r="BO96" s="821"/>
      <c r="BP96" s="821"/>
      <c r="BQ96" s="821"/>
      <c r="BR96" s="821"/>
      <c r="BS96" s="821"/>
      <c r="BT96" s="835"/>
    </row>
    <row r="97" spans="1:72" s="714" customFormat="1" ht="21.95" customHeight="1">
      <c r="A97" s="2616"/>
      <c r="B97" s="2611"/>
      <c r="C97" s="832" t="s">
        <v>1637</v>
      </c>
      <c r="D97" s="851">
        <v>0</v>
      </c>
      <c r="E97" s="851">
        <v>0</v>
      </c>
      <c r="F97" s="851">
        <v>0</v>
      </c>
      <c r="G97" s="851">
        <v>0</v>
      </c>
      <c r="H97" s="851">
        <v>0</v>
      </c>
      <c r="I97" s="851">
        <v>0</v>
      </c>
      <c r="J97" s="851">
        <v>0</v>
      </c>
      <c r="K97" s="851">
        <v>0</v>
      </c>
      <c r="L97" s="851">
        <v>0</v>
      </c>
      <c r="M97" s="851">
        <v>0</v>
      </c>
      <c r="N97" s="851">
        <v>0</v>
      </c>
      <c r="O97" s="851">
        <v>0</v>
      </c>
      <c r="P97" s="851">
        <v>0</v>
      </c>
      <c r="Q97" s="851">
        <v>0</v>
      </c>
      <c r="R97" s="851">
        <v>0</v>
      </c>
      <c r="S97" s="851">
        <v>0</v>
      </c>
      <c r="T97" s="851">
        <v>0</v>
      </c>
      <c r="U97" s="851">
        <v>0</v>
      </c>
      <c r="V97" s="851">
        <v>0</v>
      </c>
      <c r="W97" s="851">
        <v>0</v>
      </c>
      <c r="X97" s="851">
        <v>0</v>
      </c>
      <c r="Y97" s="851">
        <v>0</v>
      </c>
      <c r="Z97" s="851">
        <v>0</v>
      </c>
      <c r="AA97" s="851">
        <v>0</v>
      </c>
      <c r="AB97" s="851">
        <v>0</v>
      </c>
      <c r="AC97" s="851">
        <v>0</v>
      </c>
      <c r="AD97" s="851">
        <v>0</v>
      </c>
      <c r="AE97" s="851">
        <v>0</v>
      </c>
      <c r="AF97" s="851">
        <v>0</v>
      </c>
      <c r="AG97" s="851">
        <v>0</v>
      </c>
      <c r="AH97" s="851">
        <v>0</v>
      </c>
      <c r="AI97" s="851">
        <v>0</v>
      </c>
      <c r="AJ97" s="851">
        <v>0</v>
      </c>
      <c r="AK97" s="851">
        <v>0</v>
      </c>
      <c r="AL97" s="851">
        <v>0</v>
      </c>
      <c r="AM97" s="851">
        <v>0</v>
      </c>
      <c r="AN97" s="851">
        <v>0</v>
      </c>
      <c r="AO97" s="851">
        <v>0</v>
      </c>
      <c r="AP97" s="851">
        <v>0</v>
      </c>
      <c r="AQ97" s="851">
        <v>0</v>
      </c>
      <c r="AR97" s="851">
        <v>0</v>
      </c>
      <c r="AS97" s="851">
        <v>0</v>
      </c>
      <c r="AT97" s="851">
        <v>0</v>
      </c>
      <c r="AU97" s="851">
        <v>0</v>
      </c>
      <c r="AV97" s="851">
        <v>0</v>
      </c>
      <c r="AW97" s="851">
        <v>0</v>
      </c>
      <c r="AX97" s="851">
        <v>0</v>
      </c>
      <c r="AY97" s="851">
        <v>0</v>
      </c>
      <c r="AZ97" s="851">
        <v>0</v>
      </c>
      <c r="BA97" s="851">
        <v>0</v>
      </c>
      <c r="BB97" s="851">
        <v>0</v>
      </c>
      <c r="BC97" s="851">
        <v>0</v>
      </c>
      <c r="BD97" s="851"/>
      <c r="BE97" s="816"/>
      <c r="BF97" s="816"/>
      <c r="BG97" s="816"/>
      <c r="BH97" s="816"/>
      <c r="BI97" s="816"/>
      <c r="BJ97" s="816"/>
      <c r="BK97" s="816"/>
      <c r="BL97" s="816"/>
      <c r="BM97" s="816"/>
      <c r="BN97" s="816"/>
      <c r="BO97" s="816"/>
      <c r="BP97" s="816"/>
      <c r="BQ97" s="816"/>
      <c r="BR97" s="816"/>
      <c r="BS97" s="816"/>
      <c r="BT97" s="835"/>
    </row>
    <row r="98" spans="1:72" s="714" customFormat="1" ht="21.95" customHeight="1">
      <c r="A98" s="2616"/>
      <c r="B98" s="2611"/>
      <c r="C98" s="832" t="s">
        <v>1638</v>
      </c>
      <c r="D98" s="851">
        <v>0</v>
      </c>
      <c r="E98" s="851">
        <v>0</v>
      </c>
      <c r="F98" s="851">
        <v>0</v>
      </c>
      <c r="G98" s="851">
        <v>0</v>
      </c>
      <c r="H98" s="851">
        <v>0</v>
      </c>
      <c r="I98" s="851">
        <v>0</v>
      </c>
      <c r="J98" s="851">
        <v>0</v>
      </c>
      <c r="K98" s="851">
        <v>0</v>
      </c>
      <c r="L98" s="851">
        <v>0</v>
      </c>
      <c r="M98" s="851">
        <v>0</v>
      </c>
      <c r="N98" s="851">
        <v>0</v>
      </c>
      <c r="O98" s="851">
        <v>0</v>
      </c>
      <c r="P98" s="851">
        <v>0</v>
      </c>
      <c r="Q98" s="851">
        <v>0</v>
      </c>
      <c r="R98" s="851">
        <v>0</v>
      </c>
      <c r="S98" s="851">
        <v>0</v>
      </c>
      <c r="T98" s="851">
        <v>0</v>
      </c>
      <c r="U98" s="851">
        <v>0</v>
      </c>
      <c r="V98" s="851">
        <v>0</v>
      </c>
      <c r="W98" s="851">
        <v>0</v>
      </c>
      <c r="X98" s="851">
        <v>0</v>
      </c>
      <c r="Y98" s="851">
        <v>0</v>
      </c>
      <c r="Z98" s="851">
        <v>0</v>
      </c>
      <c r="AA98" s="851">
        <v>0</v>
      </c>
      <c r="AB98" s="851">
        <v>0</v>
      </c>
      <c r="AC98" s="851">
        <v>0</v>
      </c>
      <c r="AD98" s="851">
        <v>0</v>
      </c>
      <c r="AE98" s="851">
        <v>0</v>
      </c>
      <c r="AF98" s="851">
        <v>0</v>
      </c>
      <c r="AG98" s="851">
        <v>0</v>
      </c>
      <c r="AH98" s="851">
        <v>0</v>
      </c>
      <c r="AI98" s="851">
        <v>0</v>
      </c>
      <c r="AJ98" s="851">
        <v>0</v>
      </c>
      <c r="AK98" s="851">
        <v>0</v>
      </c>
      <c r="AL98" s="851">
        <v>0</v>
      </c>
      <c r="AM98" s="851">
        <v>0</v>
      </c>
      <c r="AN98" s="851">
        <v>0</v>
      </c>
      <c r="AO98" s="851">
        <v>0</v>
      </c>
      <c r="AP98" s="851">
        <v>0</v>
      </c>
      <c r="AQ98" s="851">
        <v>0</v>
      </c>
      <c r="AR98" s="851">
        <v>0</v>
      </c>
      <c r="AS98" s="851">
        <v>0</v>
      </c>
      <c r="AT98" s="851">
        <v>0</v>
      </c>
      <c r="AU98" s="851">
        <v>0</v>
      </c>
      <c r="AV98" s="851">
        <v>0</v>
      </c>
      <c r="AW98" s="851">
        <v>0</v>
      </c>
      <c r="AX98" s="851">
        <v>0</v>
      </c>
      <c r="AY98" s="851">
        <v>0</v>
      </c>
      <c r="AZ98" s="851">
        <v>0</v>
      </c>
      <c r="BA98" s="851">
        <v>0</v>
      </c>
      <c r="BB98" s="851">
        <v>0</v>
      </c>
      <c r="BC98" s="851">
        <v>0</v>
      </c>
      <c r="BD98" s="851"/>
      <c r="BE98" s="816"/>
      <c r="BF98" s="816"/>
      <c r="BG98" s="816"/>
      <c r="BH98" s="816"/>
      <c r="BI98" s="816"/>
      <c r="BJ98" s="816"/>
      <c r="BK98" s="816"/>
      <c r="BL98" s="816"/>
      <c r="BM98" s="816"/>
      <c r="BN98" s="816"/>
      <c r="BO98" s="816"/>
      <c r="BP98" s="816"/>
      <c r="BQ98" s="816"/>
      <c r="BR98" s="816"/>
      <c r="BS98" s="816"/>
      <c r="BT98" s="835"/>
    </row>
    <row r="99" spans="1:72" s="714" customFormat="1" ht="21.95" customHeight="1">
      <c r="A99" s="2616"/>
      <c r="B99" s="2611"/>
      <c r="C99" s="832" t="s">
        <v>1639</v>
      </c>
      <c r="D99" s="851">
        <v>0</v>
      </c>
      <c r="E99" s="851">
        <v>0</v>
      </c>
      <c r="F99" s="851">
        <v>0</v>
      </c>
      <c r="G99" s="851">
        <v>0</v>
      </c>
      <c r="H99" s="851">
        <v>0</v>
      </c>
      <c r="I99" s="851">
        <v>0</v>
      </c>
      <c r="J99" s="851">
        <v>0</v>
      </c>
      <c r="K99" s="851">
        <v>0</v>
      </c>
      <c r="L99" s="851">
        <v>0</v>
      </c>
      <c r="M99" s="851">
        <v>0</v>
      </c>
      <c r="N99" s="851">
        <v>0</v>
      </c>
      <c r="O99" s="851">
        <v>0</v>
      </c>
      <c r="P99" s="851">
        <v>0</v>
      </c>
      <c r="Q99" s="851">
        <v>0</v>
      </c>
      <c r="R99" s="851">
        <v>0</v>
      </c>
      <c r="S99" s="851">
        <v>0</v>
      </c>
      <c r="T99" s="851">
        <v>0</v>
      </c>
      <c r="U99" s="851">
        <v>0</v>
      </c>
      <c r="V99" s="851">
        <v>0</v>
      </c>
      <c r="W99" s="851">
        <v>0</v>
      </c>
      <c r="X99" s="851">
        <v>0</v>
      </c>
      <c r="Y99" s="851">
        <v>0</v>
      </c>
      <c r="Z99" s="851">
        <v>0</v>
      </c>
      <c r="AA99" s="851">
        <v>0</v>
      </c>
      <c r="AB99" s="851">
        <v>0</v>
      </c>
      <c r="AC99" s="851">
        <v>0</v>
      </c>
      <c r="AD99" s="851">
        <v>0</v>
      </c>
      <c r="AE99" s="851">
        <v>0</v>
      </c>
      <c r="AF99" s="851">
        <v>0</v>
      </c>
      <c r="AG99" s="851">
        <v>0</v>
      </c>
      <c r="AH99" s="851">
        <v>0</v>
      </c>
      <c r="AI99" s="851">
        <v>0</v>
      </c>
      <c r="AJ99" s="851">
        <v>0</v>
      </c>
      <c r="AK99" s="851">
        <v>0</v>
      </c>
      <c r="AL99" s="851">
        <v>0</v>
      </c>
      <c r="AM99" s="851">
        <v>0</v>
      </c>
      <c r="AN99" s="851">
        <v>0</v>
      </c>
      <c r="AO99" s="851">
        <v>0</v>
      </c>
      <c r="AP99" s="851">
        <v>0</v>
      </c>
      <c r="AQ99" s="851">
        <v>0</v>
      </c>
      <c r="AR99" s="851">
        <v>0</v>
      </c>
      <c r="AS99" s="851">
        <v>0</v>
      </c>
      <c r="AT99" s="851">
        <v>0</v>
      </c>
      <c r="AU99" s="851">
        <v>0</v>
      </c>
      <c r="AV99" s="851">
        <v>0</v>
      </c>
      <c r="AW99" s="851">
        <v>0</v>
      </c>
      <c r="AX99" s="851">
        <v>0</v>
      </c>
      <c r="AY99" s="851">
        <v>0</v>
      </c>
      <c r="AZ99" s="851">
        <v>0</v>
      </c>
      <c r="BA99" s="851">
        <v>0</v>
      </c>
      <c r="BB99" s="851">
        <v>0</v>
      </c>
      <c r="BC99" s="851">
        <v>0</v>
      </c>
      <c r="BD99" s="851"/>
      <c r="BE99" s="816"/>
      <c r="BF99" s="816"/>
      <c r="BG99" s="816"/>
      <c r="BH99" s="816"/>
      <c r="BI99" s="816"/>
      <c r="BJ99" s="816"/>
      <c r="BK99" s="816"/>
      <c r="BL99" s="816"/>
      <c r="BM99" s="816"/>
      <c r="BN99" s="816"/>
      <c r="BO99" s="816"/>
      <c r="BP99" s="816"/>
      <c r="BQ99" s="816"/>
      <c r="BR99" s="816"/>
      <c r="BS99" s="816"/>
      <c r="BT99" s="835"/>
    </row>
    <row r="100" spans="1:72" s="714" customFormat="1" ht="21.95" customHeight="1">
      <c r="A100" s="2616"/>
      <c r="B100" s="2611"/>
      <c r="C100" s="832" t="s">
        <v>1640</v>
      </c>
      <c r="D100" s="851">
        <v>0</v>
      </c>
      <c r="E100" s="851">
        <v>0</v>
      </c>
      <c r="F100" s="851">
        <v>0</v>
      </c>
      <c r="G100" s="851">
        <v>0</v>
      </c>
      <c r="H100" s="851">
        <v>0</v>
      </c>
      <c r="I100" s="851">
        <v>0</v>
      </c>
      <c r="J100" s="851">
        <v>0</v>
      </c>
      <c r="K100" s="851">
        <v>0</v>
      </c>
      <c r="L100" s="851">
        <v>0</v>
      </c>
      <c r="M100" s="851">
        <v>0</v>
      </c>
      <c r="N100" s="851">
        <v>0</v>
      </c>
      <c r="O100" s="851">
        <v>0</v>
      </c>
      <c r="P100" s="851">
        <v>0</v>
      </c>
      <c r="Q100" s="851">
        <v>0</v>
      </c>
      <c r="R100" s="851">
        <v>0</v>
      </c>
      <c r="S100" s="851">
        <v>0</v>
      </c>
      <c r="T100" s="851">
        <v>0</v>
      </c>
      <c r="U100" s="851">
        <v>0</v>
      </c>
      <c r="V100" s="851">
        <v>0</v>
      </c>
      <c r="W100" s="851">
        <v>0</v>
      </c>
      <c r="X100" s="851">
        <v>0</v>
      </c>
      <c r="Y100" s="851">
        <v>0</v>
      </c>
      <c r="Z100" s="851">
        <v>0</v>
      </c>
      <c r="AA100" s="851">
        <v>0</v>
      </c>
      <c r="AB100" s="851">
        <v>0</v>
      </c>
      <c r="AC100" s="851">
        <v>0</v>
      </c>
      <c r="AD100" s="851">
        <v>0</v>
      </c>
      <c r="AE100" s="851">
        <v>0</v>
      </c>
      <c r="AF100" s="851">
        <v>0</v>
      </c>
      <c r="AG100" s="851">
        <v>0</v>
      </c>
      <c r="AH100" s="851">
        <v>0</v>
      </c>
      <c r="AI100" s="851">
        <v>0</v>
      </c>
      <c r="AJ100" s="851">
        <v>0</v>
      </c>
      <c r="AK100" s="851">
        <v>0</v>
      </c>
      <c r="AL100" s="851">
        <v>0</v>
      </c>
      <c r="AM100" s="851">
        <v>0</v>
      </c>
      <c r="AN100" s="851">
        <v>0</v>
      </c>
      <c r="AO100" s="851">
        <v>0</v>
      </c>
      <c r="AP100" s="851">
        <v>0</v>
      </c>
      <c r="AQ100" s="851">
        <v>0</v>
      </c>
      <c r="AR100" s="851">
        <v>0</v>
      </c>
      <c r="AS100" s="851">
        <v>0</v>
      </c>
      <c r="AT100" s="851">
        <v>0</v>
      </c>
      <c r="AU100" s="851">
        <v>0</v>
      </c>
      <c r="AV100" s="851">
        <v>0</v>
      </c>
      <c r="AW100" s="851">
        <v>0</v>
      </c>
      <c r="AX100" s="851">
        <v>0</v>
      </c>
      <c r="AY100" s="851">
        <v>0</v>
      </c>
      <c r="AZ100" s="851">
        <v>0</v>
      </c>
      <c r="BA100" s="851">
        <v>0</v>
      </c>
      <c r="BB100" s="851">
        <v>0</v>
      </c>
      <c r="BC100" s="851">
        <v>0</v>
      </c>
      <c r="BD100" s="851"/>
      <c r="BE100" s="816"/>
      <c r="BF100" s="816"/>
      <c r="BG100" s="816"/>
      <c r="BH100" s="816"/>
      <c r="BI100" s="816"/>
      <c r="BJ100" s="816"/>
      <c r="BK100" s="816"/>
      <c r="BL100" s="816"/>
      <c r="BM100" s="816"/>
      <c r="BN100" s="816"/>
      <c r="BO100" s="816"/>
      <c r="BP100" s="816"/>
      <c r="BQ100" s="816"/>
      <c r="BR100" s="816"/>
      <c r="BS100" s="816"/>
      <c r="BT100" s="835"/>
    </row>
    <row r="101" spans="1:72" s="714" customFormat="1" ht="21.95" customHeight="1">
      <c r="A101" s="2616"/>
      <c r="B101" s="2611"/>
      <c r="C101" s="832" t="s">
        <v>1641</v>
      </c>
      <c r="D101" s="852">
        <v>0</v>
      </c>
      <c r="E101" s="852">
        <v>0</v>
      </c>
      <c r="F101" s="852">
        <v>0</v>
      </c>
      <c r="G101" s="852">
        <v>0</v>
      </c>
      <c r="H101" s="852">
        <v>0</v>
      </c>
      <c r="I101" s="852">
        <v>0</v>
      </c>
      <c r="J101" s="852">
        <v>0</v>
      </c>
      <c r="K101" s="852">
        <v>0</v>
      </c>
      <c r="L101" s="852">
        <v>0</v>
      </c>
      <c r="M101" s="852">
        <v>0</v>
      </c>
      <c r="N101" s="852">
        <v>0</v>
      </c>
      <c r="O101" s="852">
        <v>0</v>
      </c>
      <c r="P101" s="852">
        <v>0</v>
      </c>
      <c r="Q101" s="852">
        <v>0</v>
      </c>
      <c r="R101" s="852">
        <v>0</v>
      </c>
      <c r="S101" s="852">
        <v>0</v>
      </c>
      <c r="T101" s="852">
        <v>0</v>
      </c>
      <c r="U101" s="852">
        <v>0</v>
      </c>
      <c r="V101" s="852">
        <v>0</v>
      </c>
      <c r="W101" s="852">
        <v>0</v>
      </c>
      <c r="X101" s="852">
        <v>0</v>
      </c>
      <c r="Y101" s="852">
        <v>0</v>
      </c>
      <c r="Z101" s="852">
        <v>0</v>
      </c>
      <c r="AA101" s="852">
        <v>0</v>
      </c>
      <c r="AB101" s="852">
        <v>0</v>
      </c>
      <c r="AC101" s="852">
        <v>0</v>
      </c>
      <c r="AD101" s="852">
        <v>0</v>
      </c>
      <c r="AE101" s="852">
        <v>0</v>
      </c>
      <c r="AF101" s="852">
        <v>0</v>
      </c>
      <c r="AG101" s="852">
        <v>0</v>
      </c>
      <c r="AH101" s="852">
        <v>0</v>
      </c>
      <c r="AI101" s="852">
        <v>0</v>
      </c>
      <c r="AJ101" s="852">
        <v>0</v>
      </c>
      <c r="AK101" s="852">
        <v>0</v>
      </c>
      <c r="AL101" s="852">
        <v>0</v>
      </c>
      <c r="AM101" s="852">
        <v>0</v>
      </c>
      <c r="AN101" s="852">
        <v>0</v>
      </c>
      <c r="AO101" s="852">
        <v>0</v>
      </c>
      <c r="AP101" s="852">
        <v>0</v>
      </c>
      <c r="AQ101" s="852">
        <v>0</v>
      </c>
      <c r="AR101" s="852">
        <v>0</v>
      </c>
      <c r="AS101" s="852">
        <v>0</v>
      </c>
      <c r="AT101" s="852">
        <v>0</v>
      </c>
      <c r="AU101" s="852">
        <v>0</v>
      </c>
      <c r="AV101" s="852">
        <v>0</v>
      </c>
      <c r="AW101" s="852">
        <v>0</v>
      </c>
      <c r="AX101" s="852">
        <v>0</v>
      </c>
      <c r="AY101" s="852">
        <v>0</v>
      </c>
      <c r="AZ101" s="852">
        <v>0</v>
      </c>
      <c r="BA101" s="852">
        <v>0</v>
      </c>
      <c r="BB101" s="852">
        <v>0</v>
      </c>
      <c r="BC101" s="852">
        <v>0</v>
      </c>
      <c r="BD101" s="852"/>
      <c r="BE101" s="819"/>
      <c r="BF101" s="819"/>
      <c r="BG101" s="819"/>
      <c r="BH101" s="819"/>
      <c r="BI101" s="819"/>
      <c r="BJ101" s="819"/>
      <c r="BK101" s="819"/>
      <c r="BL101" s="819"/>
      <c r="BM101" s="819"/>
      <c r="BN101" s="819"/>
      <c r="BO101" s="819"/>
      <c r="BP101" s="819"/>
      <c r="BQ101" s="819"/>
      <c r="BR101" s="819"/>
      <c r="BS101" s="819"/>
      <c r="BT101" s="835"/>
    </row>
    <row r="102" spans="1:72" ht="21.95" customHeight="1">
      <c r="A102" s="2616"/>
      <c r="B102" s="2605" t="s">
        <v>1642</v>
      </c>
      <c r="C102" s="814" t="s">
        <v>1539</v>
      </c>
      <c r="D102" s="843">
        <v>0</v>
      </c>
      <c r="E102" s="843">
        <v>0</v>
      </c>
      <c r="F102" s="843">
        <v>0</v>
      </c>
      <c r="G102" s="843">
        <v>0</v>
      </c>
      <c r="H102" s="843">
        <v>0</v>
      </c>
      <c r="I102" s="843">
        <v>0</v>
      </c>
      <c r="J102" s="843">
        <v>0</v>
      </c>
      <c r="K102" s="843">
        <v>0</v>
      </c>
      <c r="L102" s="843">
        <v>0</v>
      </c>
      <c r="M102" s="843">
        <v>0</v>
      </c>
      <c r="N102" s="843">
        <v>0</v>
      </c>
      <c r="O102" s="843">
        <v>0</v>
      </c>
      <c r="P102" s="843">
        <v>0</v>
      </c>
      <c r="Q102" s="843">
        <v>0</v>
      </c>
      <c r="R102" s="843">
        <v>0</v>
      </c>
      <c r="S102" s="843">
        <v>0</v>
      </c>
      <c r="T102" s="843">
        <v>0</v>
      </c>
      <c r="U102" s="843">
        <v>0</v>
      </c>
      <c r="V102" s="843">
        <v>0</v>
      </c>
      <c r="W102" s="843">
        <v>0</v>
      </c>
      <c r="X102" s="843">
        <v>0</v>
      </c>
      <c r="Y102" s="843">
        <v>0</v>
      </c>
      <c r="Z102" s="843">
        <v>0</v>
      </c>
      <c r="AA102" s="843">
        <v>0</v>
      </c>
      <c r="AB102" s="843">
        <v>0</v>
      </c>
      <c r="AC102" s="843">
        <v>0</v>
      </c>
      <c r="AD102" s="843">
        <v>0</v>
      </c>
      <c r="AE102" s="843">
        <v>0</v>
      </c>
      <c r="AF102" s="843">
        <v>0</v>
      </c>
      <c r="AG102" s="843">
        <v>0</v>
      </c>
      <c r="AH102" s="843">
        <v>0</v>
      </c>
      <c r="AI102" s="843">
        <v>0</v>
      </c>
      <c r="AJ102" s="843">
        <v>0</v>
      </c>
      <c r="AK102" s="843">
        <v>0</v>
      </c>
      <c r="AL102" s="843">
        <v>0</v>
      </c>
      <c r="AM102" s="843">
        <v>0</v>
      </c>
      <c r="AN102" s="843">
        <v>0</v>
      </c>
      <c r="AO102" s="843">
        <v>0</v>
      </c>
      <c r="AP102" s="843">
        <v>0</v>
      </c>
      <c r="AQ102" s="843">
        <v>0</v>
      </c>
      <c r="AR102" s="843">
        <v>0</v>
      </c>
      <c r="AS102" s="843">
        <v>0</v>
      </c>
      <c r="AT102" s="843">
        <v>0</v>
      </c>
      <c r="AU102" s="843">
        <v>0</v>
      </c>
      <c r="AV102" s="843">
        <v>0</v>
      </c>
      <c r="AW102" s="843">
        <v>0</v>
      </c>
      <c r="AX102" s="843">
        <v>0</v>
      </c>
      <c r="AY102" s="843">
        <v>0</v>
      </c>
      <c r="AZ102" s="843">
        <v>0</v>
      </c>
      <c r="BA102" s="843">
        <v>0</v>
      </c>
      <c r="BB102" s="843">
        <v>0</v>
      </c>
      <c r="BC102" s="843">
        <v>0</v>
      </c>
      <c r="BD102" s="843"/>
      <c r="BE102" s="821"/>
      <c r="BF102" s="821"/>
      <c r="BG102" s="821"/>
      <c r="BH102" s="821"/>
      <c r="BI102" s="821"/>
      <c r="BJ102" s="821"/>
      <c r="BK102" s="821"/>
      <c r="BL102" s="821"/>
      <c r="BM102" s="821"/>
      <c r="BN102" s="821"/>
      <c r="BO102" s="821"/>
      <c r="BP102" s="821"/>
      <c r="BQ102" s="843"/>
      <c r="BR102" s="843"/>
      <c r="BS102" s="843"/>
    </row>
    <row r="103" spans="1:72" ht="21.95" customHeight="1">
      <c r="A103" s="2616"/>
      <c r="B103" s="2605"/>
      <c r="C103" s="814" t="s">
        <v>1355</v>
      </c>
      <c r="D103" s="852">
        <v>0</v>
      </c>
      <c r="E103" s="852">
        <v>0</v>
      </c>
      <c r="F103" s="852">
        <v>0</v>
      </c>
      <c r="G103" s="852">
        <v>0</v>
      </c>
      <c r="H103" s="852">
        <v>0</v>
      </c>
      <c r="I103" s="852">
        <v>0</v>
      </c>
      <c r="J103" s="852">
        <v>0</v>
      </c>
      <c r="K103" s="852">
        <v>0</v>
      </c>
      <c r="L103" s="852">
        <v>0</v>
      </c>
      <c r="M103" s="852">
        <v>0</v>
      </c>
      <c r="N103" s="852">
        <v>0</v>
      </c>
      <c r="O103" s="852">
        <v>0</v>
      </c>
      <c r="P103" s="852">
        <v>0</v>
      </c>
      <c r="Q103" s="852">
        <v>0</v>
      </c>
      <c r="R103" s="852">
        <v>0</v>
      </c>
      <c r="S103" s="852">
        <v>0</v>
      </c>
      <c r="T103" s="852">
        <v>0</v>
      </c>
      <c r="U103" s="852">
        <v>0</v>
      </c>
      <c r="V103" s="852">
        <v>0</v>
      </c>
      <c r="W103" s="852">
        <v>0</v>
      </c>
      <c r="X103" s="852">
        <v>0</v>
      </c>
      <c r="Y103" s="852">
        <v>0</v>
      </c>
      <c r="Z103" s="852">
        <v>0</v>
      </c>
      <c r="AA103" s="852">
        <v>0</v>
      </c>
      <c r="AB103" s="852">
        <v>0</v>
      </c>
      <c r="AC103" s="852">
        <v>0</v>
      </c>
      <c r="AD103" s="852">
        <v>0</v>
      </c>
      <c r="AE103" s="852">
        <v>0</v>
      </c>
      <c r="AF103" s="852">
        <v>0</v>
      </c>
      <c r="AG103" s="852">
        <v>0</v>
      </c>
      <c r="AH103" s="852">
        <v>0</v>
      </c>
      <c r="AI103" s="852">
        <v>0</v>
      </c>
      <c r="AJ103" s="852">
        <v>0</v>
      </c>
      <c r="AK103" s="852">
        <v>0</v>
      </c>
      <c r="AL103" s="852">
        <v>0</v>
      </c>
      <c r="AM103" s="852">
        <v>0</v>
      </c>
      <c r="AN103" s="852">
        <v>0</v>
      </c>
      <c r="AO103" s="852">
        <v>0</v>
      </c>
      <c r="AP103" s="852">
        <v>0</v>
      </c>
      <c r="AQ103" s="852">
        <v>0</v>
      </c>
      <c r="AR103" s="852">
        <v>0</v>
      </c>
      <c r="AS103" s="852">
        <v>0</v>
      </c>
      <c r="AT103" s="852">
        <v>0</v>
      </c>
      <c r="AU103" s="852">
        <v>0</v>
      </c>
      <c r="AV103" s="852">
        <v>0</v>
      </c>
      <c r="AW103" s="852">
        <v>0</v>
      </c>
      <c r="AX103" s="852">
        <v>0</v>
      </c>
      <c r="AY103" s="852">
        <v>0</v>
      </c>
      <c r="AZ103" s="852">
        <v>0</v>
      </c>
      <c r="BA103" s="852">
        <v>0</v>
      </c>
      <c r="BB103" s="852">
        <v>0</v>
      </c>
      <c r="BC103" s="852">
        <v>0</v>
      </c>
      <c r="BD103" s="852"/>
      <c r="BE103" s="819"/>
      <c r="BF103" s="819"/>
      <c r="BG103" s="819"/>
      <c r="BH103" s="819"/>
      <c r="BI103" s="819"/>
      <c r="BJ103" s="819"/>
      <c r="BK103" s="819"/>
      <c r="BL103" s="819"/>
      <c r="BM103" s="819"/>
      <c r="BN103" s="819"/>
      <c r="BO103" s="819"/>
      <c r="BP103" s="819"/>
      <c r="BQ103" s="840"/>
      <c r="BR103" s="840"/>
      <c r="BS103" s="840"/>
    </row>
    <row r="104" spans="1:72" ht="21.95" customHeight="1">
      <c r="A104" s="2616"/>
      <c r="B104" s="2599" t="s">
        <v>1643</v>
      </c>
      <c r="C104" s="814" t="s">
        <v>1644</v>
      </c>
      <c r="D104" s="843">
        <v>0</v>
      </c>
      <c r="E104" s="843">
        <v>0</v>
      </c>
      <c r="F104" s="843">
        <v>0</v>
      </c>
      <c r="G104" s="843">
        <v>0</v>
      </c>
      <c r="H104" s="843">
        <v>0</v>
      </c>
      <c r="I104" s="843">
        <v>0</v>
      </c>
      <c r="J104" s="843">
        <v>0</v>
      </c>
      <c r="K104" s="843">
        <v>0</v>
      </c>
      <c r="L104" s="843">
        <v>0</v>
      </c>
      <c r="M104" s="843">
        <v>0</v>
      </c>
      <c r="N104" s="843">
        <v>0</v>
      </c>
      <c r="O104" s="843">
        <v>0</v>
      </c>
      <c r="P104" s="843">
        <v>0</v>
      </c>
      <c r="Q104" s="843">
        <v>0</v>
      </c>
      <c r="R104" s="843">
        <v>0</v>
      </c>
      <c r="S104" s="843">
        <v>0</v>
      </c>
      <c r="T104" s="843">
        <v>0</v>
      </c>
      <c r="U104" s="843">
        <v>0</v>
      </c>
      <c r="V104" s="843">
        <v>0</v>
      </c>
      <c r="W104" s="843">
        <v>0</v>
      </c>
      <c r="X104" s="843">
        <v>0</v>
      </c>
      <c r="Y104" s="843">
        <v>0</v>
      </c>
      <c r="Z104" s="843">
        <v>0</v>
      </c>
      <c r="AA104" s="843">
        <v>0</v>
      </c>
      <c r="AB104" s="843">
        <v>0</v>
      </c>
      <c r="AC104" s="843">
        <v>0</v>
      </c>
      <c r="AD104" s="843">
        <v>0</v>
      </c>
      <c r="AE104" s="843">
        <v>0</v>
      </c>
      <c r="AF104" s="843">
        <v>0</v>
      </c>
      <c r="AG104" s="843">
        <v>0</v>
      </c>
      <c r="AH104" s="843">
        <v>0</v>
      </c>
      <c r="AI104" s="843">
        <v>0</v>
      </c>
      <c r="AJ104" s="843">
        <v>0</v>
      </c>
      <c r="AK104" s="843">
        <v>0</v>
      </c>
      <c r="AL104" s="843">
        <v>0</v>
      </c>
      <c r="AM104" s="843">
        <v>0</v>
      </c>
      <c r="AN104" s="843">
        <v>0</v>
      </c>
      <c r="AO104" s="843">
        <v>0</v>
      </c>
      <c r="AP104" s="843">
        <v>0</v>
      </c>
      <c r="AQ104" s="843">
        <v>0</v>
      </c>
      <c r="AR104" s="843">
        <v>0</v>
      </c>
      <c r="AS104" s="843">
        <v>0</v>
      </c>
      <c r="AT104" s="843">
        <v>0</v>
      </c>
      <c r="AU104" s="843">
        <v>0</v>
      </c>
      <c r="AV104" s="843">
        <v>0</v>
      </c>
      <c r="AW104" s="843">
        <v>0</v>
      </c>
      <c r="AX104" s="843">
        <v>0</v>
      </c>
      <c r="AY104" s="843">
        <v>0</v>
      </c>
      <c r="AZ104" s="843">
        <v>0</v>
      </c>
      <c r="BA104" s="843">
        <v>0</v>
      </c>
      <c r="BB104" s="843">
        <v>0</v>
      </c>
      <c r="BC104" s="843">
        <v>0</v>
      </c>
      <c r="BD104" s="843"/>
      <c r="BE104" s="821"/>
      <c r="BF104" s="821"/>
      <c r="BG104" s="821"/>
      <c r="BH104" s="821"/>
      <c r="BI104" s="821"/>
      <c r="BJ104" s="821"/>
      <c r="BK104" s="821"/>
      <c r="BL104" s="821"/>
      <c r="BM104" s="821"/>
      <c r="BN104" s="821"/>
      <c r="BO104" s="821"/>
      <c r="BP104" s="821"/>
      <c r="BQ104" s="843"/>
      <c r="BR104" s="843"/>
      <c r="BS104" s="843"/>
    </row>
    <row r="105" spans="1:72" ht="21.95" customHeight="1">
      <c r="A105" s="2616"/>
      <c r="B105" s="2600"/>
      <c r="C105" s="814" t="s">
        <v>1645</v>
      </c>
      <c r="D105" s="852">
        <v>0</v>
      </c>
      <c r="E105" s="852">
        <v>0</v>
      </c>
      <c r="F105" s="852">
        <v>0</v>
      </c>
      <c r="G105" s="852">
        <v>0</v>
      </c>
      <c r="H105" s="852">
        <v>0</v>
      </c>
      <c r="I105" s="852">
        <v>0</v>
      </c>
      <c r="J105" s="852">
        <v>0</v>
      </c>
      <c r="K105" s="852">
        <v>0</v>
      </c>
      <c r="L105" s="852">
        <v>0</v>
      </c>
      <c r="M105" s="852">
        <v>0</v>
      </c>
      <c r="N105" s="852">
        <v>0</v>
      </c>
      <c r="O105" s="852">
        <v>0</v>
      </c>
      <c r="P105" s="852">
        <v>0</v>
      </c>
      <c r="Q105" s="852">
        <v>0</v>
      </c>
      <c r="R105" s="852">
        <v>0</v>
      </c>
      <c r="S105" s="852">
        <v>0</v>
      </c>
      <c r="T105" s="852">
        <v>0</v>
      </c>
      <c r="U105" s="852">
        <v>0</v>
      </c>
      <c r="V105" s="852">
        <v>0</v>
      </c>
      <c r="W105" s="852">
        <v>0</v>
      </c>
      <c r="X105" s="852">
        <v>0</v>
      </c>
      <c r="Y105" s="852">
        <v>0</v>
      </c>
      <c r="Z105" s="852">
        <v>0</v>
      </c>
      <c r="AA105" s="852">
        <v>0</v>
      </c>
      <c r="AB105" s="852">
        <v>0</v>
      </c>
      <c r="AC105" s="852">
        <v>0</v>
      </c>
      <c r="AD105" s="852">
        <v>0</v>
      </c>
      <c r="AE105" s="852">
        <v>0</v>
      </c>
      <c r="AF105" s="852">
        <v>0</v>
      </c>
      <c r="AG105" s="852">
        <v>0</v>
      </c>
      <c r="AH105" s="852">
        <v>0</v>
      </c>
      <c r="AI105" s="852">
        <v>0</v>
      </c>
      <c r="AJ105" s="852">
        <v>0</v>
      </c>
      <c r="AK105" s="852">
        <v>0</v>
      </c>
      <c r="AL105" s="852">
        <v>0</v>
      </c>
      <c r="AM105" s="852">
        <v>0</v>
      </c>
      <c r="AN105" s="852">
        <v>0</v>
      </c>
      <c r="AO105" s="852">
        <v>0</v>
      </c>
      <c r="AP105" s="852">
        <v>0</v>
      </c>
      <c r="AQ105" s="852">
        <v>0</v>
      </c>
      <c r="AR105" s="852">
        <v>0</v>
      </c>
      <c r="AS105" s="852">
        <v>0</v>
      </c>
      <c r="AT105" s="852">
        <v>0</v>
      </c>
      <c r="AU105" s="852">
        <v>0</v>
      </c>
      <c r="AV105" s="852">
        <v>0</v>
      </c>
      <c r="AW105" s="852">
        <v>0</v>
      </c>
      <c r="AX105" s="852">
        <v>0</v>
      </c>
      <c r="AY105" s="852">
        <v>0</v>
      </c>
      <c r="AZ105" s="852">
        <v>0</v>
      </c>
      <c r="BA105" s="852">
        <v>0</v>
      </c>
      <c r="BB105" s="852">
        <v>0</v>
      </c>
      <c r="BC105" s="852">
        <v>0</v>
      </c>
      <c r="BD105" s="852"/>
      <c r="BE105" s="819"/>
      <c r="BF105" s="819"/>
      <c r="BG105" s="819"/>
      <c r="BH105" s="819"/>
      <c r="BI105" s="819"/>
      <c r="BJ105" s="819"/>
      <c r="BK105" s="819"/>
      <c r="BL105" s="819"/>
      <c r="BM105" s="819"/>
      <c r="BN105" s="819"/>
      <c r="BO105" s="819"/>
      <c r="BP105" s="819"/>
      <c r="BQ105" s="840"/>
      <c r="BR105" s="840"/>
      <c r="BS105" s="840"/>
    </row>
    <row r="106" spans="1:72" ht="21.95" customHeight="1">
      <c r="A106" s="2616"/>
      <c r="B106" s="2605" t="s">
        <v>1646</v>
      </c>
      <c r="C106" s="814" t="s">
        <v>1647</v>
      </c>
      <c r="D106" s="834">
        <v>0</v>
      </c>
      <c r="E106" s="834">
        <v>0</v>
      </c>
      <c r="F106" s="834">
        <v>0</v>
      </c>
      <c r="G106" s="834">
        <v>0</v>
      </c>
      <c r="H106" s="834">
        <v>0</v>
      </c>
      <c r="I106" s="834">
        <v>0</v>
      </c>
      <c r="J106" s="834">
        <v>0</v>
      </c>
      <c r="K106" s="834">
        <v>0</v>
      </c>
      <c r="L106" s="834">
        <v>0</v>
      </c>
      <c r="M106" s="834">
        <v>0</v>
      </c>
      <c r="N106" s="834">
        <v>0</v>
      </c>
      <c r="O106" s="834">
        <v>0</v>
      </c>
      <c r="P106" s="834">
        <v>0</v>
      </c>
      <c r="Q106" s="834">
        <v>0</v>
      </c>
      <c r="R106" s="834">
        <v>0</v>
      </c>
      <c r="S106" s="834">
        <v>0</v>
      </c>
      <c r="T106" s="834">
        <v>0</v>
      </c>
      <c r="U106" s="834">
        <v>0</v>
      </c>
      <c r="V106" s="834">
        <v>0</v>
      </c>
      <c r="W106" s="834">
        <v>0</v>
      </c>
      <c r="X106" s="834">
        <v>0</v>
      </c>
      <c r="Y106" s="834">
        <v>0</v>
      </c>
      <c r="Z106" s="834">
        <v>0</v>
      </c>
      <c r="AA106" s="834">
        <v>0</v>
      </c>
      <c r="AB106" s="834">
        <v>0</v>
      </c>
      <c r="AC106" s="834">
        <v>0</v>
      </c>
      <c r="AD106" s="834">
        <v>0</v>
      </c>
      <c r="AE106" s="834">
        <v>0</v>
      </c>
      <c r="AF106" s="834">
        <v>0</v>
      </c>
      <c r="AG106" s="834">
        <v>0</v>
      </c>
      <c r="AH106" s="834">
        <v>0</v>
      </c>
      <c r="AI106" s="834">
        <v>0</v>
      </c>
      <c r="AJ106" s="834">
        <v>0</v>
      </c>
      <c r="AK106" s="834">
        <v>0</v>
      </c>
      <c r="AL106" s="834">
        <v>0</v>
      </c>
      <c r="AM106" s="834">
        <v>0</v>
      </c>
      <c r="AN106" s="834">
        <v>0</v>
      </c>
      <c r="AO106" s="834">
        <v>0</v>
      </c>
      <c r="AP106" s="834">
        <v>0</v>
      </c>
      <c r="AQ106" s="834">
        <v>0</v>
      </c>
      <c r="AR106" s="834">
        <v>0</v>
      </c>
      <c r="AS106" s="834">
        <v>0</v>
      </c>
      <c r="AT106" s="834">
        <v>0</v>
      </c>
      <c r="AU106" s="834">
        <v>0</v>
      </c>
      <c r="AV106" s="834">
        <v>0</v>
      </c>
      <c r="AW106" s="834">
        <v>0</v>
      </c>
      <c r="AX106" s="834">
        <v>0</v>
      </c>
      <c r="AY106" s="834">
        <v>0</v>
      </c>
      <c r="AZ106" s="834">
        <v>0</v>
      </c>
      <c r="BA106" s="834">
        <v>0</v>
      </c>
      <c r="BB106" s="834">
        <v>0</v>
      </c>
      <c r="BC106" s="834">
        <v>0</v>
      </c>
      <c r="BD106" s="834"/>
      <c r="BE106" s="816"/>
      <c r="BF106" s="816"/>
      <c r="BG106" s="816"/>
      <c r="BH106" s="816"/>
      <c r="BI106" s="816"/>
      <c r="BJ106" s="816"/>
      <c r="BK106" s="816"/>
      <c r="BL106" s="816"/>
      <c r="BM106" s="816"/>
      <c r="BN106" s="816"/>
      <c r="BO106" s="816"/>
      <c r="BP106" s="816"/>
      <c r="BQ106" s="834"/>
      <c r="BR106" s="834"/>
      <c r="BS106" s="834"/>
    </row>
    <row r="107" spans="1:72" ht="21.95" customHeight="1">
      <c r="A107" s="2616"/>
      <c r="B107" s="2605"/>
      <c r="C107" s="814" t="s">
        <v>1539</v>
      </c>
      <c r="D107" s="834">
        <v>0</v>
      </c>
      <c r="E107" s="834">
        <v>0</v>
      </c>
      <c r="F107" s="834">
        <v>0</v>
      </c>
      <c r="G107" s="834">
        <v>0</v>
      </c>
      <c r="H107" s="834">
        <v>0</v>
      </c>
      <c r="I107" s="834">
        <v>0</v>
      </c>
      <c r="J107" s="834">
        <v>0</v>
      </c>
      <c r="K107" s="834">
        <v>0</v>
      </c>
      <c r="L107" s="834">
        <v>0</v>
      </c>
      <c r="M107" s="834">
        <v>0</v>
      </c>
      <c r="N107" s="834">
        <v>0</v>
      </c>
      <c r="O107" s="834">
        <v>0</v>
      </c>
      <c r="P107" s="834">
        <v>0</v>
      </c>
      <c r="Q107" s="834">
        <v>0</v>
      </c>
      <c r="R107" s="834">
        <v>0</v>
      </c>
      <c r="S107" s="834">
        <v>0</v>
      </c>
      <c r="T107" s="834">
        <v>0</v>
      </c>
      <c r="U107" s="834">
        <v>0</v>
      </c>
      <c r="V107" s="834">
        <v>0</v>
      </c>
      <c r="W107" s="834">
        <v>0</v>
      </c>
      <c r="X107" s="834">
        <v>0</v>
      </c>
      <c r="Y107" s="834">
        <v>0</v>
      </c>
      <c r="Z107" s="834">
        <v>0</v>
      </c>
      <c r="AA107" s="834">
        <v>0</v>
      </c>
      <c r="AB107" s="834">
        <v>0</v>
      </c>
      <c r="AC107" s="834">
        <v>0</v>
      </c>
      <c r="AD107" s="834">
        <v>0</v>
      </c>
      <c r="AE107" s="834">
        <v>0</v>
      </c>
      <c r="AF107" s="834">
        <v>0</v>
      </c>
      <c r="AG107" s="834">
        <v>0</v>
      </c>
      <c r="AH107" s="834">
        <v>0</v>
      </c>
      <c r="AI107" s="834">
        <v>0</v>
      </c>
      <c r="AJ107" s="834">
        <v>0</v>
      </c>
      <c r="AK107" s="834">
        <v>0</v>
      </c>
      <c r="AL107" s="834">
        <v>0</v>
      </c>
      <c r="AM107" s="834">
        <v>0</v>
      </c>
      <c r="AN107" s="834">
        <v>0</v>
      </c>
      <c r="AO107" s="834">
        <v>0</v>
      </c>
      <c r="AP107" s="834">
        <v>0</v>
      </c>
      <c r="AQ107" s="834">
        <v>0</v>
      </c>
      <c r="AR107" s="834">
        <v>0</v>
      </c>
      <c r="AS107" s="834">
        <v>0</v>
      </c>
      <c r="AT107" s="834">
        <v>0</v>
      </c>
      <c r="AU107" s="834">
        <v>0</v>
      </c>
      <c r="AV107" s="834">
        <v>0</v>
      </c>
      <c r="AW107" s="834">
        <v>0</v>
      </c>
      <c r="AX107" s="834">
        <v>0</v>
      </c>
      <c r="AY107" s="834">
        <v>0</v>
      </c>
      <c r="AZ107" s="834">
        <v>0</v>
      </c>
      <c r="BA107" s="834">
        <v>0</v>
      </c>
      <c r="BB107" s="834">
        <v>0</v>
      </c>
      <c r="BC107" s="834">
        <v>0</v>
      </c>
      <c r="BD107" s="834"/>
      <c r="BE107" s="816"/>
      <c r="BF107" s="816"/>
      <c r="BG107" s="816"/>
      <c r="BH107" s="816"/>
      <c r="BI107" s="816"/>
      <c r="BJ107" s="816"/>
      <c r="BK107" s="816"/>
      <c r="BL107" s="816"/>
      <c r="BM107" s="816"/>
      <c r="BN107" s="816"/>
      <c r="BO107" s="816"/>
      <c r="BP107" s="816"/>
      <c r="BQ107" s="834"/>
      <c r="BR107" s="834"/>
      <c r="BS107" s="834"/>
    </row>
    <row r="108" spans="1:72" ht="21.95" customHeight="1">
      <c r="A108" s="2616"/>
      <c r="B108" s="2605"/>
      <c r="C108" s="814" t="s">
        <v>1355</v>
      </c>
      <c r="D108" s="834">
        <v>0</v>
      </c>
      <c r="E108" s="834">
        <v>0</v>
      </c>
      <c r="F108" s="834">
        <v>0</v>
      </c>
      <c r="G108" s="834">
        <v>0</v>
      </c>
      <c r="H108" s="834">
        <v>0</v>
      </c>
      <c r="I108" s="834">
        <v>0</v>
      </c>
      <c r="J108" s="834">
        <v>0</v>
      </c>
      <c r="K108" s="834">
        <v>0</v>
      </c>
      <c r="L108" s="834">
        <v>0</v>
      </c>
      <c r="M108" s="834">
        <v>0</v>
      </c>
      <c r="N108" s="834">
        <v>0</v>
      </c>
      <c r="O108" s="834">
        <v>0</v>
      </c>
      <c r="P108" s="834">
        <v>0</v>
      </c>
      <c r="Q108" s="834">
        <v>0</v>
      </c>
      <c r="R108" s="834">
        <v>0</v>
      </c>
      <c r="S108" s="834">
        <v>0</v>
      </c>
      <c r="T108" s="834">
        <v>0</v>
      </c>
      <c r="U108" s="834">
        <v>0</v>
      </c>
      <c r="V108" s="834">
        <v>0</v>
      </c>
      <c r="W108" s="834">
        <v>0</v>
      </c>
      <c r="X108" s="834">
        <v>0</v>
      </c>
      <c r="Y108" s="834">
        <v>0</v>
      </c>
      <c r="Z108" s="834">
        <v>0</v>
      </c>
      <c r="AA108" s="834">
        <v>0</v>
      </c>
      <c r="AB108" s="834">
        <v>0</v>
      </c>
      <c r="AC108" s="834">
        <v>0</v>
      </c>
      <c r="AD108" s="834">
        <v>0</v>
      </c>
      <c r="AE108" s="834">
        <v>0</v>
      </c>
      <c r="AF108" s="834">
        <v>0</v>
      </c>
      <c r="AG108" s="834">
        <v>0</v>
      </c>
      <c r="AH108" s="834">
        <v>0</v>
      </c>
      <c r="AI108" s="834">
        <v>0</v>
      </c>
      <c r="AJ108" s="834">
        <v>0</v>
      </c>
      <c r="AK108" s="834">
        <v>0</v>
      </c>
      <c r="AL108" s="834">
        <v>0</v>
      </c>
      <c r="AM108" s="834">
        <v>0</v>
      </c>
      <c r="AN108" s="834">
        <v>0</v>
      </c>
      <c r="AO108" s="834">
        <v>0</v>
      </c>
      <c r="AP108" s="834">
        <v>0</v>
      </c>
      <c r="AQ108" s="834">
        <v>0</v>
      </c>
      <c r="AR108" s="834">
        <v>0</v>
      </c>
      <c r="AS108" s="834">
        <v>0</v>
      </c>
      <c r="AT108" s="834">
        <v>0</v>
      </c>
      <c r="AU108" s="834">
        <v>0</v>
      </c>
      <c r="AV108" s="834">
        <v>0</v>
      </c>
      <c r="AW108" s="834">
        <v>0</v>
      </c>
      <c r="AX108" s="834">
        <v>0</v>
      </c>
      <c r="AY108" s="834">
        <v>0</v>
      </c>
      <c r="AZ108" s="834">
        <v>0</v>
      </c>
      <c r="BA108" s="834">
        <v>0</v>
      </c>
      <c r="BB108" s="834">
        <v>0</v>
      </c>
      <c r="BC108" s="834">
        <v>0</v>
      </c>
      <c r="BD108" s="834"/>
      <c r="BE108" s="816"/>
      <c r="BF108" s="816"/>
      <c r="BG108" s="816"/>
      <c r="BH108" s="816"/>
      <c r="BI108" s="816"/>
      <c r="BJ108" s="816"/>
      <c r="BK108" s="816"/>
      <c r="BL108" s="816"/>
      <c r="BM108" s="816"/>
      <c r="BN108" s="816"/>
      <c r="BO108" s="816"/>
      <c r="BP108" s="816"/>
      <c r="BQ108" s="834"/>
      <c r="BR108" s="834"/>
      <c r="BS108" s="834"/>
    </row>
    <row r="109" spans="1:72" ht="21.95" customHeight="1">
      <c r="A109" s="2616"/>
      <c r="B109" s="2605" t="s">
        <v>1648</v>
      </c>
      <c r="C109" s="814" t="s">
        <v>1647</v>
      </c>
      <c r="D109" s="843">
        <v>0</v>
      </c>
      <c r="E109" s="843">
        <v>0</v>
      </c>
      <c r="F109" s="843">
        <v>0</v>
      </c>
      <c r="G109" s="843">
        <v>0</v>
      </c>
      <c r="H109" s="843">
        <v>0</v>
      </c>
      <c r="I109" s="843">
        <v>0</v>
      </c>
      <c r="J109" s="843">
        <v>0</v>
      </c>
      <c r="K109" s="843">
        <v>0</v>
      </c>
      <c r="L109" s="843">
        <v>0</v>
      </c>
      <c r="M109" s="843">
        <v>0</v>
      </c>
      <c r="N109" s="843">
        <v>0</v>
      </c>
      <c r="O109" s="843">
        <v>0</v>
      </c>
      <c r="P109" s="843">
        <v>0</v>
      </c>
      <c r="Q109" s="843">
        <v>0</v>
      </c>
      <c r="R109" s="843">
        <v>0</v>
      </c>
      <c r="S109" s="843">
        <v>0</v>
      </c>
      <c r="T109" s="843">
        <v>0</v>
      </c>
      <c r="U109" s="843">
        <v>0</v>
      </c>
      <c r="V109" s="843">
        <v>0</v>
      </c>
      <c r="W109" s="843">
        <v>0</v>
      </c>
      <c r="X109" s="843">
        <v>0</v>
      </c>
      <c r="Y109" s="843">
        <v>0</v>
      </c>
      <c r="Z109" s="843">
        <v>0</v>
      </c>
      <c r="AA109" s="843">
        <v>0</v>
      </c>
      <c r="AB109" s="843">
        <v>0</v>
      </c>
      <c r="AC109" s="843">
        <v>0</v>
      </c>
      <c r="AD109" s="843">
        <v>0</v>
      </c>
      <c r="AE109" s="843">
        <v>0</v>
      </c>
      <c r="AF109" s="843">
        <v>0</v>
      </c>
      <c r="AG109" s="843">
        <v>0</v>
      </c>
      <c r="AH109" s="843">
        <v>0</v>
      </c>
      <c r="AI109" s="843">
        <v>0</v>
      </c>
      <c r="AJ109" s="843">
        <v>0</v>
      </c>
      <c r="AK109" s="843">
        <v>0</v>
      </c>
      <c r="AL109" s="843">
        <v>0</v>
      </c>
      <c r="AM109" s="843">
        <v>0</v>
      </c>
      <c r="AN109" s="843">
        <v>0</v>
      </c>
      <c r="AO109" s="843">
        <v>0</v>
      </c>
      <c r="AP109" s="843">
        <v>0</v>
      </c>
      <c r="AQ109" s="843">
        <v>0</v>
      </c>
      <c r="AR109" s="843">
        <v>0</v>
      </c>
      <c r="AS109" s="843">
        <v>0</v>
      </c>
      <c r="AT109" s="843">
        <v>0</v>
      </c>
      <c r="AU109" s="843">
        <v>0</v>
      </c>
      <c r="AV109" s="843">
        <v>0</v>
      </c>
      <c r="AW109" s="843">
        <v>0</v>
      </c>
      <c r="AX109" s="843">
        <v>0</v>
      </c>
      <c r="AY109" s="843">
        <v>0</v>
      </c>
      <c r="AZ109" s="843">
        <v>0</v>
      </c>
      <c r="BA109" s="843">
        <v>0</v>
      </c>
      <c r="BB109" s="843">
        <v>0</v>
      </c>
      <c r="BC109" s="843">
        <v>0</v>
      </c>
      <c r="BD109" s="843"/>
      <c r="BE109" s="855"/>
      <c r="BF109" s="855"/>
      <c r="BG109" s="855"/>
      <c r="BH109" s="855"/>
      <c r="BI109" s="855"/>
      <c r="BJ109" s="855"/>
      <c r="BK109" s="855"/>
      <c r="BL109" s="855"/>
      <c r="BM109" s="855"/>
      <c r="BN109" s="855"/>
      <c r="BO109" s="855"/>
      <c r="BP109" s="855"/>
      <c r="BQ109" s="843"/>
      <c r="BR109" s="843"/>
      <c r="BS109" s="843"/>
    </row>
    <row r="110" spans="1:72" ht="21.95" customHeight="1">
      <c r="A110" s="2616"/>
      <c r="B110" s="2605"/>
      <c r="C110" s="814" t="s">
        <v>1539</v>
      </c>
      <c r="D110" s="834">
        <v>0</v>
      </c>
      <c r="E110" s="834">
        <v>0</v>
      </c>
      <c r="F110" s="834">
        <v>0</v>
      </c>
      <c r="G110" s="834">
        <v>0</v>
      </c>
      <c r="H110" s="834">
        <v>0</v>
      </c>
      <c r="I110" s="834">
        <v>0</v>
      </c>
      <c r="J110" s="834">
        <v>0</v>
      </c>
      <c r="K110" s="834">
        <v>0</v>
      </c>
      <c r="L110" s="834">
        <v>0</v>
      </c>
      <c r="M110" s="834">
        <v>0</v>
      </c>
      <c r="N110" s="834">
        <v>0</v>
      </c>
      <c r="O110" s="834">
        <v>0</v>
      </c>
      <c r="P110" s="834">
        <v>0</v>
      </c>
      <c r="Q110" s="834">
        <v>0</v>
      </c>
      <c r="R110" s="834">
        <v>0</v>
      </c>
      <c r="S110" s="834">
        <v>0</v>
      </c>
      <c r="T110" s="834">
        <v>0</v>
      </c>
      <c r="U110" s="834">
        <v>0</v>
      </c>
      <c r="V110" s="834">
        <v>0</v>
      </c>
      <c r="W110" s="834">
        <v>0</v>
      </c>
      <c r="X110" s="834">
        <v>0</v>
      </c>
      <c r="Y110" s="834">
        <v>0</v>
      </c>
      <c r="Z110" s="834">
        <v>0</v>
      </c>
      <c r="AA110" s="834">
        <v>0</v>
      </c>
      <c r="AB110" s="834">
        <v>0</v>
      </c>
      <c r="AC110" s="834">
        <v>0</v>
      </c>
      <c r="AD110" s="834">
        <v>0</v>
      </c>
      <c r="AE110" s="834">
        <v>0</v>
      </c>
      <c r="AF110" s="834">
        <v>0</v>
      </c>
      <c r="AG110" s="834">
        <v>0</v>
      </c>
      <c r="AH110" s="834">
        <v>0</v>
      </c>
      <c r="AI110" s="834">
        <v>0</v>
      </c>
      <c r="AJ110" s="834">
        <v>0</v>
      </c>
      <c r="AK110" s="834">
        <v>0</v>
      </c>
      <c r="AL110" s="834">
        <v>0</v>
      </c>
      <c r="AM110" s="834">
        <v>0</v>
      </c>
      <c r="AN110" s="834">
        <v>0</v>
      </c>
      <c r="AO110" s="834">
        <v>0</v>
      </c>
      <c r="AP110" s="834">
        <v>0</v>
      </c>
      <c r="AQ110" s="834">
        <v>0</v>
      </c>
      <c r="AR110" s="834">
        <v>0</v>
      </c>
      <c r="AS110" s="834">
        <v>0</v>
      </c>
      <c r="AT110" s="834">
        <v>0</v>
      </c>
      <c r="AU110" s="834">
        <v>0</v>
      </c>
      <c r="AV110" s="834">
        <v>0</v>
      </c>
      <c r="AW110" s="834">
        <v>0</v>
      </c>
      <c r="AX110" s="834">
        <v>0</v>
      </c>
      <c r="AY110" s="834">
        <v>0</v>
      </c>
      <c r="AZ110" s="834">
        <v>0</v>
      </c>
      <c r="BA110" s="834">
        <v>0</v>
      </c>
      <c r="BB110" s="834">
        <v>0</v>
      </c>
      <c r="BC110" s="834">
        <v>0</v>
      </c>
      <c r="BD110" s="834"/>
      <c r="BE110" s="856"/>
      <c r="BF110" s="856"/>
      <c r="BG110" s="856"/>
      <c r="BH110" s="856"/>
      <c r="BI110" s="856"/>
      <c r="BJ110" s="856"/>
      <c r="BK110" s="856"/>
      <c r="BL110" s="856"/>
      <c r="BM110" s="856"/>
      <c r="BN110" s="856"/>
      <c r="BO110" s="856"/>
      <c r="BP110" s="856"/>
      <c r="BQ110" s="834"/>
      <c r="BR110" s="834"/>
      <c r="BS110" s="834"/>
    </row>
    <row r="111" spans="1:72" ht="21.95" customHeight="1">
      <c r="A111" s="2616"/>
      <c r="B111" s="2605"/>
      <c r="C111" s="814" t="s">
        <v>1355</v>
      </c>
      <c r="D111" s="840">
        <v>0</v>
      </c>
      <c r="E111" s="840">
        <v>0</v>
      </c>
      <c r="F111" s="840">
        <v>0</v>
      </c>
      <c r="G111" s="840">
        <v>0</v>
      </c>
      <c r="H111" s="840">
        <v>0</v>
      </c>
      <c r="I111" s="840">
        <v>0</v>
      </c>
      <c r="J111" s="840">
        <v>0</v>
      </c>
      <c r="K111" s="840">
        <v>0</v>
      </c>
      <c r="L111" s="840">
        <v>0</v>
      </c>
      <c r="M111" s="840">
        <v>0</v>
      </c>
      <c r="N111" s="840">
        <v>0</v>
      </c>
      <c r="O111" s="840">
        <v>0</v>
      </c>
      <c r="P111" s="840">
        <v>0</v>
      </c>
      <c r="Q111" s="840">
        <v>0</v>
      </c>
      <c r="R111" s="840">
        <v>0</v>
      </c>
      <c r="S111" s="840">
        <v>0</v>
      </c>
      <c r="T111" s="840">
        <v>0</v>
      </c>
      <c r="U111" s="840">
        <v>0</v>
      </c>
      <c r="V111" s="840">
        <v>0</v>
      </c>
      <c r="W111" s="840">
        <v>0</v>
      </c>
      <c r="X111" s="840">
        <v>0</v>
      </c>
      <c r="Y111" s="840">
        <v>0</v>
      </c>
      <c r="Z111" s="840">
        <v>0</v>
      </c>
      <c r="AA111" s="840">
        <v>0</v>
      </c>
      <c r="AB111" s="840">
        <v>0</v>
      </c>
      <c r="AC111" s="840">
        <v>0</v>
      </c>
      <c r="AD111" s="840">
        <v>0</v>
      </c>
      <c r="AE111" s="840">
        <v>0</v>
      </c>
      <c r="AF111" s="840">
        <v>0</v>
      </c>
      <c r="AG111" s="840">
        <v>0</v>
      </c>
      <c r="AH111" s="840">
        <v>0</v>
      </c>
      <c r="AI111" s="840">
        <v>0</v>
      </c>
      <c r="AJ111" s="840">
        <v>0</v>
      </c>
      <c r="AK111" s="840">
        <v>0</v>
      </c>
      <c r="AL111" s="840">
        <v>0</v>
      </c>
      <c r="AM111" s="840">
        <v>0</v>
      </c>
      <c r="AN111" s="840">
        <v>0</v>
      </c>
      <c r="AO111" s="840">
        <v>0</v>
      </c>
      <c r="AP111" s="840">
        <v>0</v>
      </c>
      <c r="AQ111" s="840">
        <v>0</v>
      </c>
      <c r="AR111" s="840">
        <v>0</v>
      </c>
      <c r="AS111" s="840">
        <v>0</v>
      </c>
      <c r="AT111" s="840">
        <v>0</v>
      </c>
      <c r="AU111" s="840">
        <v>0</v>
      </c>
      <c r="AV111" s="840">
        <v>0</v>
      </c>
      <c r="AW111" s="840">
        <v>0</v>
      </c>
      <c r="AX111" s="840">
        <v>0</v>
      </c>
      <c r="AY111" s="840">
        <v>0</v>
      </c>
      <c r="AZ111" s="840">
        <v>0</v>
      </c>
      <c r="BA111" s="840">
        <v>0</v>
      </c>
      <c r="BB111" s="840">
        <v>0</v>
      </c>
      <c r="BC111" s="840">
        <v>0</v>
      </c>
      <c r="BD111" s="840"/>
      <c r="BE111" s="857"/>
      <c r="BF111" s="857"/>
      <c r="BG111" s="857"/>
      <c r="BH111" s="857"/>
      <c r="BI111" s="857"/>
      <c r="BJ111" s="857"/>
      <c r="BK111" s="857"/>
      <c r="BL111" s="857"/>
      <c r="BM111" s="857"/>
      <c r="BN111" s="857"/>
      <c r="BO111" s="857"/>
      <c r="BP111" s="857"/>
      <c r="BQ111" s="840"/>
      <c r="BR111" s="840"/>
      <c r="BS111" s="840"/>
    </row>
    <row r="112" spans="1:72" ht="21.95" customHeight="1">
      <c r="A112" s="2616"/>
      <c r="B112" s="2601" t="s">
        <v>1649</v>
      </c>
      <c r="C112" s="814" t="s">
        <v>1650</v>
      </c>
      <c r="D112" s="843">
        <v>0</v>
      </c>
      <c r="E112" s="843">
        <v>0</v>
      </c>
      <c r="F112" s="843">
        <v>0</v>
      </c>
      <c r="G112" s="843">
        <v>0</v>
      </c>
      <c r="H112" s="843">
        <v>0</v>
      </c>
      <c r="I112" s="843">
        <v>0</v>
      </c>
      <c r="J112" s="843">
        <v>0</v>
      </c>
      <c r="K112" s="843">
        <v>0</v>
      </c>
      <c r="L112" s="843">
        <v>0</v>
      </c>
      <c r="M112" s="843">
        <v>0</v>
      </c>
      <c r="N112" s="843">
        <v>0</v>
      </c>
      <c r="O112" s="843">
        <v>0</v>
      </c>
      <c r="P112" s="843">
        <v>0</v>
      </c>
      <c r="Q112" s="843">
        <v>0</v>
      </c>
      <c r="R112" s="843">
        <v>0</v>
      </c>
      <c r="S112" s="843">
        <v>0</v>
      </c>
      <c r="T112" s="843">
        <v>0</v>
      </c>
      <c r="U112" s="843">
        <v>0</v>
      </c>
      <c r="V112" s="843">
        <v>0</v>
      </c>
      <c r="W112" s="843">
        <v>0</v>
      </c>
      <c r="X112" s="843">
        <v>0</v>
      </c>
      <c r="Y112" s="843">
        <v>0</v>
      </c>
      <c r="Z112" s="843">
        <v>0</v>
      </c>
      <c r="AA112" s="843">
        <v>0</v>
      </c>
      <c r="AB112" s="843">
        <v>0</v>
      </c>
      <c r="AC112" s="843">
        <v>0</v>
      </c>
      <c r="AD112" s="843">
        <v>0</v>
      </c>
      <c r="AE112" s="843">
        <v>0</v>
      </c>
      <c r="AF112" s="843">
        <v>0</v>
      </c>
      <c r="AG112" s="843">
        <v>0</v>
      </c>
      <c r="AH112" s="843">
        <v>0</v>
      </c>
      <c r="AI112" s="843">
        <v>0</v>
      </c>
      <c r="AJ112" s="843">
        <v>0</v>
      </c>
      <c r="AK112" s="843">
        <v>0</v>
      </c>
      <c r="AL112" s="843">
        <v>0</v>
      </c>
      <c r="AM112" s="843">
        <v>0</v>
      </c>
      <c r="AN112" s="843">
        <v>0</v>
      </c>
      <c r="AO112" s="843">
        <v>0</v>
      </c>
      <c r="AP112" s="843">
        <v>0</v>
      </c>
      <c r="AQ112" s="843">
        <v>0</v>
      </c>
      <c r="AR112" s="843">
        <v>0</v>
      </c>
      <c r="AS112" s="843">
        <v>0</v>
      </c>
      <c r="AT112" s="843">
        <v>0</v>
      </c>
      <c r="AU112" s="843">
        <v>0</v>
      </c>
      <c r="AV112" s="843">
        <v>0</v>
      </c>
      <c r="AW112" s="843">
        <v>0</v>
      </c>
      <c r="AX112" s="843">
        <v>0</v>
      </c>
      <c r="AY112" s="843">
        <v>0</v>
      </c>
      <c r="AZ112" s="843">
        <v>0</v>
      </c>
      <c r="BA112" s="843">
        <v>0</v>
      </c>
      <c r="BB112" s="843">
        <v>0</v>
      </c>
      <c r="BC112" s="843">
        <v>0</v>
      </c>
      <c r="BD112" s="843"/>
      <c r="BE112" s="855"/>
      <c r="BF112" s="855"/>
      <c r="BG112" s="855"/>
      <c r="BH112" s="855"/>
      <c r="BI112" s="855"/>
      <c r="BJ112" s="855"/>
      <c r="BK112" s="855"/>
      <c r="BL112" s="855"/>
      <c r="BM112" s="855"/>
      <c r="BN112" s="855"/>
      <c r="BO112" s="855"/>
      <c r="BP112" s="855"/>
      <c r="BQ112" s="843"/>
      <c r="BR112" s="843"/>
      <c r="BS112" s="843"/>
    </row>
    <row r="113" spans="1:78" ht="21.95" customHeight="1">
      <c r="A113" s="2616"/>
      <c r="B113" s="2585"/>
      <c r="C113" s="814" t="s">
        <v>1651</v>
      </c>
      <c r="D113" s="834">
        <v>0</v>
      </c>
      <c r="E113" s="834">
        <v>0</v>
      </c>
      <c r="F113" s="834">
        <v>0</v>
      </c>
      <c r="G113" s="834">
        <v>0</v>
      </c>
      <c r="H113" s="834">
        <v>0</v>
      </c>
      <c r="I113" s="834">
        <v>0</v>
      </c>
      <c r="J113" s="834">
        <v>0</v>
      </c>
      <c r="K113" s="834">
        <v>0</v>
      </c>
      <c r="L113" s="834">
        <v>0</v>
      </c>
      <c r="M113" s="834">
        <v>0</v>
      </c>
      <c r="N113" s="834">
        <v>0</v>
      </c>
      <c r="O113" s="834">
        <v>0</v>
      </c>
      <c r="P113" s="834">
        <v>0</v>
      </c>
      <c r="Q113" s="834">
        <v>0</v>
      </c>
      <c r="R113" s="834">
        <v>0</v>
      </c>
      <c r="S113" s="834">
        <v>0</v>
      </c>
      <c r="T113" s="834">
        <v>0</v>
      </c>
      <c r="U113" s="834">
        <v>0</v>
      </c>
      <c r="V113" s="834">
        <v>0</v>
      </c>
      <c r="W113" s="834">
        <v>0</v>
      </c>
      <c r="X113" s="834">
        <v>0</v>
      </c>
      <c r="Y113" s="834">
        <v>0</v>
      </c>
      <c r="Z113" s="834">
        <v>0</v>
      </c>
      <c r="AA113" s="834">
        <v>0</v>
      </c>
      <c r="AB113" s="834">
        <v>0</v>
      </c>
      <c r="AC113" s="834">
        <v>0</v>
      </c>
      <c r="AD113" s="834">
        <v>0</v>
      </c>
      <c r="AE113" s="834">
        <v>0</v>
      </c>
      <c r="AF113" s="834">
        <v>0</v>
      </c>
      <c r="AG113" s="834">
        <v>0</v>
      </c>
      <c r="AH113" s="834">
        <v>0</v>
      </c>
      <c r="AI113" s="834">
        <v>0</v>
      </c>
      <c r="AJ113" s="834">
        <v>0</v>
      </c>
      <c r="AK113" s="834">
        <v>0</v>
      </c>
      <c r="AL113" s="834">
        <v>0</v>
      </c>
      <c r="AM113" s="834">
        <v>0</v>
      </c>
      <c r="AN113" s="834">
        <v>0</v>
      </c>
      <c r="AO113" s="834">
        <v>0</v>
      </c>
      <c r="AP113" s="834">
        <v>0</v>
      </c>
      <c r="AQ113" s="834">
        <v>0</v>
      </c>
      <c r="AR113" s="834">
        <v>0</v>
      </c>
      <c r="AS113" s="834">
        <v>0</v>
      </c>
      <c r="AT113" s="834">
        <v>0</v>
      </c>
      <c r="AU113" s="834">
        <v>0</v>
      </c>
      <c r="AV113" s="834">
        <v>0</v>
      </c>
      <c r="AW113" s="834">
        <v>0</v>
      </c>
      <c r="AX113" s="834">
        <v>0</v>
      </c>
      <c r="AY113" s="834">
        <v>0</v>
      </c>
      <c r="AZ113" s="834">
        <v>0</v>
      </c>
      <c r="BA113" s="834">
        <v>0</v>
      </c>
      <c r="BB113" s="834">
        <v>0</v>
      </c>
      <c r="BC113" s="834">
        <v>0</v>
      </c>
      <c r="BD113" s="834"/>
      <c r="BE113" s="856"/>
      <c r="BF113" s="856"/>
      <c r="BG113" s="856"/>
      <c r="BH113" s="856"/>
      <c r="BI113" s="856"/>
      <c r="BJ113" s="856"/>
      <c r="BK113" s="856"/>
      <c r="BL113" s="856"/>
      <c r="BM113" s="856"/>
      <c r="BN113" s="856"/>
      <c r="BO113" s="856"/>
      <c r="BP113" s="856"/>
      <c r="BQ113" s="834"/>
      <c r="BR113" s="834"/>
      <c r="BS113" s="834"/>
    </row>
    <row r="114" spans="1:78" ht="21.95" customHeight="1">
      <c r="A114" s="2616"/>
      <c r="B114" s="2602"/>
      <c r="C114" s="814" t="s">
        <v>1539</v>
      </c>
      <c r="D114" s="840">
        <v>0</v>
      </c>
      <c r="E114" s="840">
        <v>0</v>
      </c>
      <c r="F114" s="840">
        <v>0</v>
      </c>
      <c r="G114" s="840">
        <v>0</v>
      </c>
      <c r="H114" s="840">
        <v>0</v>
      </c>
      <c r="I114" s="840">
        <v>0</v>
      </c>
      <c r="J114" s="840">
        <v>0</v>
      </c>
      <c r="K114" s="840">
        <v>0</v>
      </c>
      <c r="L114" s="840">
        <v>0</v>
      </c>
      <c r="M114" s="840">
        <v>0</v>
      </c>
      <c r="N114" s="840">
        <v>0</v>
      </c>
      <c r="O114" s="840">
        <v>0</v>
      </c>
      <c r="P114" s="840">
        <v>0</v>
      </c>
      <c r="Q114" s="840">
        <v>0</v>
      </c>
      <c r="R114" s="840">
        <v>0</v>
      </c>
      <c r="S114" s="840">
        <v>0</v>
      </c>
      <c r="T114" s="840">
        <v>0</v>
      </c>
      <c r="U114" s="840">
        <v>0</v>
      </c>
      <c r="V114" s="840">
        <v>0</v>
      </c>
      <c r="W114" s="840">
        <v>0</v>
      </c>
      <c r="X114" s="840">
        <v>0</v>
      </c>
      <c r="Y114" s="840">
        <v>0</v>
      </c>
      <c r="Z114" s="840">
        <v>0</v>
      </c>
      <c r="AA114" s="840">
        <v>0</v>
      </c>
      <c r="AB114" s="840">
        <v>0</v>
      </c>
      <c r="AC114" s="840">
        <v>0</v>
      </c>
      <c r="AD114" s="840">
        <v>0</v>
      </c>
      <c r="AE114" s="840">
        <v>0</v>
      </c>
      <c r="AF114" s="840">
        <v>0</v>
      </c>
      <c r="AG114" s="840">
        <v>0</v>
      </c>
      <c r="AH114" s="840">
        <v>0</v>
      </c>
      <c r="AI114" s="840">
        <v>0</v>
      </c>
      <c r="AJ114" s="840">
        <v>0</v>
      </c>
      <c r="AK114" s="840">
        <v>0</v>
      </c>
      <c r="AL114" s="840">
        <v>0</v>
      </c>
      <c r="AM114" s="840">
        <v>0</v>
      </c>
      <c r="AN114" s="840">
        <v>0</v>
      </c>
      <c r="AO114" s="840">
        <v>0</v>
      </c>
      <c r="AP114" s="840">
        <v>0</v>
      </c>
      <c r="AQ114" s="840">
        <v>0</v>
      </c>
      <c r="AR114" s="840">
        <v>0</v>
      </c>
      <c r="AS114" s="840">
        <v>0</v>
      </c>
      <c r="AT114" s="840">
        <v>0</v>
      </c>
      <c r="AU114" s="840">
        <v>0</v>
      </c>
      <c r="AV114" s="840">
        <v>0</v>
      </c>
      <c r="AW114" s="840">
        <v>0</v>
      </c>
      <c r="AX114" s="840">
        <v>0</v>
      </c>
      <c r="AY114" s="840">
        <v>0</v>
      </c>
      <c r="AZ114" s="840">
        <v>0</v>
      </c>
      <c r="BA114" s="840">
        <v>0</v>
      </c>
      <c r="BB114" s="840">
        <v>0</v>
      </c>
      <c r="BC114" s="840">
        <v>0</v>
      </c>
      <c r="BD114" s="840"/>
      <c r="BE114" s="857"/>
      <c r="BF114" s="857"/>
      <c r="BG114" s="857"/>
      <c r="BH114" s="857"/>
      <c r="BI114" s="857"/>
      <c r="BJ114" s="857"/>
      <c r="BK114" s="857"/>
      <c r="BL114" s="857"/>
      <c r="BM114" s="857"/>
      <c r="BN114" s="857"/>
      <c r="BO114" s="857"/>
      <c r="BP114" s="857"/>
      <c r="BQ114" s="840"/>
      <c r="BR114" s="840"/>
      <c r="BS114" s="840"/>
    </row>
    <row r="115" spans="1:78" ht="21.95" customHeight="1">
      <c r="A115" s="2616"/>
      <c r="B115" s="2599" t="s">
        <v>1652</v>
      </c>
      <c r="C115" s="814" t="s">
        <v>1650</v>
      </c>
      <c r="D115" s="843">
        <v>0</v>
      </c>
      <c r="E115" s="843">
        <v>0</v>
      </c>
      <c r="F115" s="843">
        <v>0</v>
      </c>
      <c r="G115" s="843">
        <v>0</v>
      </c>
      <c r="H115" s="843">
        <v>0</v>
      </c>
      <c r="I115" s="843">
        <v>0</v>
      </c>
      <c r="J115" s="843">
        <v>0</v>
      </c>
      <c r="K115" s="843">
        <v>0</v>
      </c>
      <c r="L115" s="843">
        <v>0</v>
      </c>
      <c r="M115" s="843">
        <v>0</v>
      </c>
      <c r="N115" s="843">
        <v>0</v>
      </c>
      <c r="O115" s="843">
        <v>0</v>
      </c>
      <c r="P115" s="843">
        <v>0</v>
      </c>
      <c r="Q115" s="843">
        <v>0</v>
      </c>
      <c r="R115" s="843">
        <v>0</v>
      </c>
      <c r="S115" s="843">
        <v>0</v>
      </c>
      <c r="T115" s="843">
        <v>0</v>
      </c>
      <c r="U115" s="843">
        <v>0</v>
      </c>
      <c r="V115" s="843">
        <v>0</v>
      </c>
      <c r="W115" s="843">
        <v>0</v>
      </c>
      <c r="X115" s="843">
        <v>0</v>
      </c>
      <c r="Y115" s="843">
        <v>0</v>
      </c>
      <c r="Z115" s="843">
        <v>0</v>
      </c>
      <c r="AA115" s="843">
        <v>0</v>
      </c>
      <c r="AB115" s="843">
        <v>0</v>
      </c>
      <c r="AC115" s="843">
        <v>0</v>
      </c>
      <c r="AD115" s="843">
        <v>0</v>
      </c>
      <c r="AE115" s="843">
        <v>0</v>
      </c>
      <c r="AF115" s="843">
        <v>0</v>
      </c>
      <c r="AG115" s="843">
        <v>0</v>
      </c>
      <c r="AH115" s="843">
        <v>0</v>
      </c>
      <c r="AI115" s="843">
        <v>0</v>
      </c>
      <c r="AJ115" s="843">
        <v>0</v>
      </c>
      <c r="AK115" s="843">
        <v>0</v>
      </c>
      <c r="AL115" s="843">
        <v>0</v>
      </c>
      <c r="AM115" s="843">
        <v>0</v>
      </c>
      <c r="AN115" s="843">
        <v>0</v>
      </c>
      <c r="AO115" s="843">
        <v>0</v>
      </c>
      <c r="AP115" s="843">
        <v>0</v>
      </c>
      <c r="AQ115" s="843">
        <v>0</v>
      </c>
      <c r="AR115" s="843">
        <v>0</v>
      </c>
      <c r="AS115" s="843">
        <v>0</v>
      </c>
      <c r="AT115" s="843">
        <v>0</v>
      </c>
      <c r="AU115" s="843">
        <v>0</v>
      </c>
      <c r="AV115" s="843">
        <v>0</v>
      </c>
      <c r="AW115" s="843">
        <v>0</v>
      </c>
      <c r="AX115" s="843">
        <v>0</v>
      </c>
      <c r="AY115" s="843">
        <v>0</v>
      </c>
      <c r="AZ115" s="843">
        <v>0</v>
      </c>
      <c r="BA115" s="843">
        <v>0</v>
      </c>
      <c r="BB115" s="843">
        <v>0</v>
      </c>
      <c r="BC115" s="843">
        <v>0</v>
      </c>
      <c r="BD115" s="843"/>
      <c r="BE115" s="855"/>
      <c r="BF115" s="855"/>
      <c r="BG115" s="855"/>
      <c r="BH115" s="855"/>
      <c r="BI115" s="855"/>
      <c r="BJ115" s="855"/>
      <c r="BK115" s="855"/>
      <c r="BL115" s="855"/>
      <c r="BM115" s="855"/>
      <c r="BN115" s="855"/>
      <c r="BO115" s="855"/>
      <c r="BP115" s="855"/>
      <c r="BQ115" s="843"/>
      <c r="BR115" s="843"/>
      <c r="BS115" s="843"/>
    </row>
    <row r="116" spans="1:78" ht="21.95" customHeight="1">
      <c r="A116" s="2616"/>
      <c r="B116" s="2593"/>
      <c r="C116" s="814" t="s">
        <v>1477</v>
      </c>
      <c r="D116" s="834">
        <v>0</v>
      </c>
      <c r="E116" s="834">
        <v>0</v>
      </c>
      <c r="F116" s="834">
        <v>0</v>
      </c>
      <c r="G116" s="834">
        <v>0</v>
      </c>
      <c r="H116" s="834">
        <v>0</v>
      </c>
      <c r="I116" s="834">
        <v>0</v>
      </c>
      <c r="J116" s="834">
        <v>0</v>
      </c>
      <c r="K116" s="834">
        <v>0</v>
      </c>
      <c r="L116" s="834">
        <v>0</v>
      </c>
      <c r="M116" s="834">
        <v>0</v>
      </c>
      <c r="N116" s="834">
        <v>0</v>
      </c>
      <c r="O116" s="834">
        <v>0</v>
      </c>
      <c r="P116" s="834">
        <v>0</v>
      </c>
      <c r="Q116" s="834">
        <v>0</v>
      </c>
      <c r="R116" s="834">
        <v>0</v>
      </c>
      <c r="S116" s="834">
        <v>0</v>
      </c>
      <c r="T116" s="834">
        <v>0</v>
      </c>
      <c r="U116" s="834">
        <v>0</v>
      </c>
      <c r="V116" s="834">
        <v>0</v>
      </c>
      <c r="W116" s="834">
        <v>0</v>
      </c>
      <c r="X116" s="834">
        <v>0</v>
      </c>
      <c r="Y116" s="834">
        <v>0</v>
      </c>
      <c r="Z116" s="834">
        <v>0</v>
      </c>
      <c r="AA116" s="834">
        <v>0</v>
      </c>
      <c r="AB116" s="834">
        <v>0</v>
      </c>
      <c r="AC116" s="834">
        <v>0</v>
      </c>
      <c r="AD116" s="834">
        <v>0</v>
      </c>
      <c r="AE116" s="834">
        <v>0</v>
      </c>
      <c r="AF116" s="834">
        <v>0</v>
      </c>
      <c r="AG116" s="834">
        <v>0</v>
      </c>
      <c r="AH116" s="834">
        <v>0</v>
      </c>
      <c r="AI116" s="834">
        <v>0</v>
      </c>
      <c r="AJ116" s="834">
        <v>0</v>
      </c>
      <c r="AK116" s="834">
        <v>0</v>
      </c>
      <c r="AL116" s="834">
        <v>0</v>
      </c>
      <c r="AM116" s="834">
        <v>0</v>
      </c>
      <c r="AN116" s="834">
        <v>0</v>
      </c>
      <c r="AO116" s="834">
        <v>0</v>
      </c>
      <c r="AP116" s="834">
        <v>0</v>
      </c>
      <c r="AQ116" s="834">
        <v>0</v>
      </c>
      <c r="AR116" s="834">
        <v>0</v>
      </c>
      <c r="AS116" s="834">
        <v>0</v>
      </c>
      <c r="AT116" s="834">
        <v>0</v>
      </c>
      <c r="AU116" s="834">
        <v>0</v>
      </c>
      <c r="AV116" s="834">
        <v>0</v>
      </c>
      <c r="AW116" s="834">
        <v>0</v>
      </c>
      <c r="AX116" s="834">
        <v>0</v>
      </c>
      <c r="AY116" s="834">
        <v>0</v>
      </c>
      <c r="AZ116" s="834">
        <v>0</v>
      </c>
      <c r="BA116" s="834">
        <v>0</v>
      </c>
      <c r="BB116" s="834">
        <v>0</v>
      </c>
      <c r="BC116" s="834">
        <v>0</v>
      </c>
      <c r="BD116" s="834"/>
      <c r="BE116" s="856"/>
      <c r="BF116" s="856"/>
      <c r="BG116" s="856"/>
      <c r="BH116" s="856"/>
      <c r="BI116" s="856"/>
      <c r="BJ116" s="856"/>
      <c r="BK116" s="856"/>
      <c r="BL116" s="856"/>
      <c r="BM116" s="856"/>
      <c r="BN116" s="856"/>
      <c r="BO116" s="856"/>
      <c r="BP116" s="856"/>
      <c r="BQ116" s="834"/>
      <c r="BR116" s="834"/>
      <c r="BS116" s="834"/>
    </row>
    <row r="117" spans="1:78" ht="21.95" customHeight="1">
      <c r="A117" s="2616"/>
      <c r="B117" s="2600"/>
      <c r="C117" s="814" t="s">
        <v>1539</v>
      </c>
      <c r="D117" s="840">
        <v>0</v>
      </c>
      <c r="E117" s="840">
        <v>0</v>
      </c>
      <c r="F117" s="840">
        <v>0</v>
      </c>
      <c r="G117" s="840">
        <v>0</v>
      </c>
      <c r="H117" s="840">
        <v>0</v>
      </c>
      <c r="I117" s="840">
        <v>0</v>
      </c>
      <c r="J117" s="840">
        <v>0</v>
      </c>
      <c r="K117" s="840">
        <v>0</v>
      </c>
      <c r="L117" s="840">
        <v>0</v>
      </c>
      <c r="M117" s="840">
        <v>0</v>
      </c>
      <c r="N117" s="840">
        <v>0</v>
      </c>
      <c r="O117" s="840">
        <v>0</v>
      </c>
      <c r="P117" s="840">
        <v>0</v>
      </c>
      <c r="Q117" s="840">
        <v>0</v>
      </c>
      <c r="R117" s="840">
        <v>0</v>
      </c>
      <c r="S117" s="840">
        <v>0</v>
      </c>
      <c r="T117" s="840">
        <v>0</v>
      </c>
      <c r="U117" s="840">
        <v>0</v>
      </c>
      <c r="V117" s="840">
        <v>0</v>
      </c>
      <c r="W117" s="840">
        <v>0</v>
      </c>
      <c r="X117" s="840">
        <v>0</v>
      </c>
      <c r="Y117" s="840">
        <v>0</v>
      </c>
      <c r="Z117" s="840">
        <v>0</v>
      </c>
      <c r="AA117" s="840">
        <v>0</v>
      </c>
      <c r="AB117" s="840">
        <v>0</v>
      </c>
      <c r="AC117" s="840">
        <v>0</v>
      </c>
      <c r="AD117" s="840">
        <v>0</v>
      </c>
      <c r="AE117" s="840">
        <v>0</v>
      </c>
      <c r="AF117" s="840">
        <v>0</v>
      </c>
      <c r="AG117" s="840">
        <v>0</v>
      </c>
      <c r="AH117" s="840">
        <v>0</v>
      </c>
      <c r="AI117" s="840">
        <v>0</v>
      </c>
      <c r="AJ117" s="840">
        <v>0</v>
      </c>
      <c r="AK117" s="840">
        <v>0</v>
      </c>
      <c r="AL117" s="840">
        <v>0</v>
      </c>
      <c r="AM117" s="840">
        <v>0</v>
      </c>
      <c r="AN117" s="840">
        <v>0</v>
      </c>
      <c r="AO117" s="840">
        <v>0</v>
      </c>
      <c r="AP117" s="840">
        <v>0</v>
      </c>
      <c r="AQ117" s="840">
        <v>0</v>
      </c>
      <c r="AR117" s="840">
        <v>0</v>
      </c>
      <c r="AS117" s="840">
        <v>0</v>
      </c>
      <c r="AT117" s="840">
        <v>0</v>
      </c>
      <c r="AU117" s="840">
        <v>0</v>
      </c>
      <c r="AV117" s="840">
        <v>0</v>
      </c>
      <c r="AW117" s="840">
        <v>0</v>
      </c>
      <c r="AX117" s="840">
        <v>0</v>
      </c>
      <c r="AY117" s="840">
        <v>0</v>
      </c>
      <c r="AZ117" s="840">
        <v>0</v>
      </c>
      <c r="BA117" s="840">
        <v>0</v>
      </c>
      <c r="BB117" s="840">
        <v>0</v>
      </c>
      <c r="BC117" s="840">
        <v>0</v>
      </c>
      <c r="BD117" s="840"/>
      <c r="BE117" s="857"/>
      <c r="BF117" s="857"/>
      <c r="BG117" s="857"/>
      <c r="BH117" s="857"/>
      <c r="BI117" s="857"/>
      <c r="BJ117" s="857"/>
      <c r="BK117" s="857"/>
      <c r="BL117" s="857"/>
      <c r="BM117" s="857"/>
      <c r="BN117" s="857"/>
      <c r="BO117" s="857"/>
      <c r="BP117" s="857"/>
      <c r="BQ117" s="840"/>
      <c r="BR117" s="840"/>
      <c r="BS117" s="840"/>
    </row>
    <row r="118" spans="1:78" ht="21.95" customHeight="1">
      <c r="A118" s="2616"/>
      <c r="B118" s="2601" t="s">
        <v>1653</v>
      </c>
      <c r="C118" s="814" t="s">
        <v>1654</v>
      </c>
      <c r="D118" s="843">
        <v>0</v>
      </c>
      <c r="E118" s="843">
        <v>0</v>
      </c>
      <c r="F118" s="843">
        <v>0</v>
      </c>
      <c r="G118" s="843">
        <v>0</v>
      </c>
      <c r="H118" s="843">
        <v>0</v>
      </c>
      <c r="I118" s="843">
        <v>0</v>
      </c>
      <c r="J118" s="843">
        <v>0</v>
      </c>
      <c r="K118" s="843">
        <v>0</v>
      </c>
      <c r="L118" s="843">
        <v>0</v>
      </c>
      <c r="M118" s="843">
        <v>0</v>
      </c>
      <c r="N118" s="843">
        <v>0</v>
      </c>
      <c r="O118" s="843">
        <v>0</v>
      </c>
      <c r="P118" s="843">
        <v>0</v>
      </c>
      <c r="Q118" s="843">
        <v>0</v>
      </c>
      <c r="R118" s="843">
        <v>0</v>
      </c>
      <c r="S118" s="843">
        <v>0</v>
      </c>
      <c r="T118" s="843">
        <v>0</v>
      </c>
      <c r="U118" s="843">
        <v>0</v>
      </c>
      <c r="V118" s="843">
        <v>0</v>
      </c>
      <c r="W118" s="843">
        <v>0</v>
      </c>
      <c r="X118" s="843">
        <v>0</v>
      </c>
      <c r="Y118" s="843">
        <v>0</v>
      </c>
      <c r="Z118" s="843">
        <v>0</v>
      </c>
      <c r="AA118" s="843">
        <v>0</v>
      </c>
      <c r="AB118" s="843">
        <v>0</v>
      </c>
      <c r="AC118" s="843">
        <v>0</v>
      </c>
      <c r="AD118" s="843">
        <v>0</v>
      </c>
      <c r="AE118" s="843">
        <v>0</v>
      </c>
      <c r="AF118" s="843">
        <v>0</v>
      </c>
      <c r="AG118" s="843">
        <v>0</v>
      </c>
      <c r="AH118" s="843">
        <v>0</v>
      </c>
      <c r="AI118" s="843">
        <v>0</v>
      </c>
      <c r="AJ118" s="843">
        <v>0</v>
      </c>
      <c r="AK118" s="843">
        <v>0</v>
      </c>
      <c r="AL118" s="843">
        <v>0</v>
      </c>
      <c r="AM118" s="843">
        <v>0</v>
      </c>
      <c r="AN118" s="843">
        <v>0</v>
      </c>
      <c r="AO118" s="843">
        <v>0</v>
      </c>
      <c r="AP118" s="843">
        <v>0</v>
      </c>
      <c r="AQ118" s="843">
        <v>0</v>
      </c>
      <c r="AR118" s="843">
        <v>0</v>
      </c>
      <c r="AS118" s="843">
        <v>0</v>
      </c>
      <c r="AT118" s="843">
        <v>0</v>
      </c>
      <c r="AU118" s="843">
        <v>0</v>
      </c>
      <c r="AV118" s="843">
        <v>0</v>
      </c>
      <c r="AW118" s="843">
        <v>0</v>
      </c>
      <c r="AX118" s="843">
        <v>0</v>
      </c>
      <c r="AY118" s="843">
        <v>0</v>
      </c>
      <c r="AZ118" s="843">
        <v>0</v>
      </c>
      <c r="BA118" s="843">
        <v>0</v>
      </c>
      <c r="BB118" s="843">
        <v>0</v>
      </c>
      <c r="BC118" s="843">
        <v>0</v>
      </c>
      <c r="BD118" s="843"/>
      <c r="BE118" s="855"/>
      <c r="BF118" s="855"/>
      <c r="BG118" s="855"/>
      <c r="BH118" s="855"/>
      <c r="BI118" s="855"/>
      <c r="BJ118" s="855"/>
      <c r="BK118" s="855"/>
      <c r="BL118" s="855"/>
      <c r="BM118" s="855"/>
      <c r="BN118" s="855"/>
      <c r="BO118" s="855"/>
      <c r="BP118" s="855"/>
      <c r="BQ118" s="843"/>
      <c r="BR118" s="843"/>
      <c r="BS118" s="843"/>
    </row>
    <row r="119" spans="1:78" ht="21.95" customHeight="1">
      <c r="A119" s="2616"/>
      <c r="B119" s="2585"/>
      <c r="C119" s="814" t="s">
        <v>1655</v>
      </c>
      <c r="D119" s="858">
        <f>0.74942*D43+1.36528*D44+1.70448*D45+2.38288*D46+3.40048*D47+4.24848*D48+D42*0.294</f>
        <v>0</v>
      </c>
      <c r="E119" s="858">
        <f t="shared" ref="E119:BC119" si="14">0.74942*E43+1.36528*E44+1.70448*E45+2.38288*E46+3.40048*E47+4.24848*E48+E42*0.294</f>
        <v>0</v>
      </c>
      <c r="F119" s="858">
        <f t="shared" si="14"/>
        <v>0</v>
      </c>
      <c r="G119" s="858">
        <f t="shared" si="14"/>
        <v>0</v>
      </c>
      <c r="H119" s="858">
        <f t="shared" si="14"/>
        <v>0</v>
      </c>
      <c r="I119" s="858">
        <f t="shared" si="14"/>
        <v>0</v>
      </c>
      <c r="J119" s="858">
        <f t="shared" si="14"/>
        <v>0</v>
      </c>
      <c r="K119" s="858">
        <f t="shared" si="14"/>
        <v>0</v>
      </c>
      <c r="L119" s="858">
        <f t="shared" si="14"/>
        <v>0</v>
      </c>
      <c r="M119" s="858">
        <f t="shared" si="14"/>
        <v>0</v>
      </c>
      <c r="N119" s="858">
        <f t="shared" si="14"/>
        <v>0</v>
      </c>
      <c r="O119" s="858">
        <f t="shared" si="14"/>
        <v>0</v>
      </c>
      <c r="P119" s="858">
        <f t="shared" si="14"/>
        <v>0</v>
      </c>
      <c r="Q119" s="858">
        <f t="shared" si="14"/>
        <v>0</v>
      </c>
      <c r="R119" s="858">
        <f t="shared" si="14"/>
        <v>0</v>
      </c>
      <c r="S119" s="858">
        <f t="shared" si="14"/>
        <v>0</v>
      </c>
      <c r="T119" s="858">
        <f t="shared" si="14"/>
        <v>0</v>
      </c>
      <c r="U119" s="858">
        <f t="shared" si="14"/>
        <v>0</v>
      </c>
      <c r="V119" s="858">
        <f t="shared" si="14"/>
        <v>0</v>
      </c>
      <c r="W119" s="858">
        <f t="shared" si="14"/>
        <v>0</v>
      </c>
      <c r="X119" s="858">
        <f t="shared" si="14"/>
        <v>0</v>
      </c>
      <c r="Y119" s="858">
        <f t="shared" si="14"/>
        <v>0</v>
      </c>
      <c r="Z119" s="858">
        <f t="shared" si="14"/>
        <v>0</v>
      </c>
      <c r="AA119" s="858">
        <f t="shared" si="14"/>
        <v>0</v>
      </c>
      <c r="AB119" s="858">
        <f t="shared" si="14"/>
        <v>0</v>
      </c>
      <c r="AC119" s="858">
        <f t="shared" si="14"/>
        <v>0</v>
      </c>
      <c r="AD119" s="858">
        <f t="shared" si="14"/>
        <v>0</v>
      </c>
      <c r="AE119" s="858">
        <f t="shared" si="14"/>
        <v>0</v>
      </c>
      <c r="AF119" s="858">
        <f t="shared" si="14"/>
        <v>0</v>
      </c>
      <c r="AG119" s="858">
        <f t="shared" si="14"/>
        <v>0</v>
      </c>
      <c r="AH119" s="858">
        <f t="shared" si="14"/>
        <v>0</v>
      </c>
      <c r="AI119" s="858">
        <f t="shared" si="14"/>
        <v>0</v>
      </c>
      <c r="AJ119" s="858">
        <f t="shared" si="14"/>
        <v>0</v>
      </c>
      <c r="AK119" s="858">
        <f t="shared" si="14"/>
        <v>0</v>
      </c>
      <c r="AL119" s="858">
        <f t="shared" si="14"/>
        <v>0</v>
      </c>
      <c r="AM119" s="858">
        <f t="shared" si="14"/>
        <v>0</v>
      </c>
      <c r="AN119" s="858">
        <f t="shared" si="14"/>
        <v>0</v>
      </c>
      <c r="AO119" s="858">
        <f t="shared" si="14"/>
        <v>0</v>
      </c>
      <c r="AP119" s="858">
        <f t="shared" si="14"/>
        <v>0</v>
      </c>
      <c r="AQ119" s="858">
        <f t="shared" si="14"/>
        <v>0</v>
      </c>
      <c r="AR119" s="858">
        <f t="shared" si="14"/>
        <v>0</v>
      </c>
      <c r="AS119" s="858">
        <f t="shared" si="14"/>
        <v>0</v>
      </c>
      <c r="AT119" s="858">
        <f t="shared" si="14"/>
        <v>0</v>
      </c>
      <c r="AU119" s="858">
        <f t="shared" si="14"/>
        <v>0</v>
      </c>
      <c r="AV119" s="858">
        <f t="shared" si="14"/>
        <v>0</v>
      </c>
      <c r="AW119" s="858">
        <f t="shared" si="14"/>
        <v>0</v>
      </c>
      <c r="AX119" s="858">
        <f t="shared" si="14"/>
        <v>0</v>
      </c>
      <c r="AY119" s="858">
        <f t="shared" si="14"/>
        <v>0</v>
      </c>
      <c r="AZ119" s="858">
        <f t="shared" si="14"/>
        <v>0</v>
      </c>
      <c r="BA119" s="858">
        <f t="shared" si="14"/>
        <v>0</v>
      </c>
      <c r="BB119" s="858">
        <f t="shared" si="14"/>
        <v>0</v>
      </c>
      <c r="BC119" s="858">
        <f t="shared" si="14"/>
        <v>0</v>
      </c>
      <c r="BD119" s="858"/>
      <c r="BE119" s="856"/>
      <c r="BF119" s="856"/>
      <c r="BG119" s="856"/>
      <c r="BH119" s="856"/>
      <c r="BI119" s="856"/>
      <c r="BJ119" s="856"/>
      <c r="BK119" s="856"/>
      <c r="BL119" s="856"/>
      <c r="BM119" s="856"/>
      <c r="BN119" s="856"/>
      <c r="BO119" s="856"/>
      <c r="BP119" s="856"/>
      <c r="BQ119" s="834"/>
      <c r="BR119" s="834"/>
      <c r="BS119" s="834"/>
    </row>
    <row r="120" spans="1:78" s="714" customFormat="1" ht="21.95" customHeight="1">
      <c r="A120" s="2616"/>
      <c r="B120" s="2585"/>
      <c r="C120" s="814" t="s">
        <v>1656</v>
      </c>
      <c r="D120" s="834">
        <v>0</v>
      </c>
      <c r="E120" s="834">
        <v>0</v>
      </c>
      <c r="F120" s="834">
        <v>0</v>
      </c>
      <c r="G120" s="834">
        <v>0</v>
      </c>
      <c r="H120" s="834">
        <v>0</v>
      </c>
      <c r="I120" s="834">
        <v>0</v>
      </c>
      <c r="J120" s="834">
        <v>0</v>
      </c>
      <c r="K120" s="834">
        <v>0</v>
      </c>
      <c r="L120" s="834">
        <v>0</v>
      </c>
      <c r="M120" s="834">
        <v>0</v>
      </c>
      <c r="N120" s="834">
        <v>0</v>
      </c>
      <c r="O120" s="834">
        <v>0</v>
      </c>
      <c r="P120" s="834">
        <v>0</v>
      </c>
      <c r="Q120" s="834">
        <v>0</v>
      </c>
      <c r="R120" s="834">
        <v>0</v>
      </c>
      <c r="S120" s="834">
        <v>0</v>
      </c>
      <c r="T120" s="834">
        <v>0</v>
      </c>
      <c r="U120" s="834">
        <v>0</v>
      </c>
      <c r="V120" s="834">
        <v>0</v>
      </c>
      <c r="W120" s="834">
        <v>0</v>
      </c>
      <c r="X120" s="834">
        <v>0</v>
      </c>
      <c r="Y120" s="834">
        <v>0</v>
      </c>
      <c r="Z120" s="834">
        <v>0</v>
      </c>
      <c r="AA120" s="834">
        <v>0</v>
      </c>
      <c r="AB120" s="834">
        <v>0</v>
      </c>
      <c r="AC120" s="834">
        <v>0</v>
      </c>
      <c r="AD120" s="834">
        <v>0</v>
      </c>
      <c r="AE120" s="834">
        <v>0</v>
      </c>
      <c r="AF120" s="834">
        <v>0</v>
      </c>
      <c r="AG120" s="834">
        <v>0</v>
      </c>
      <c r="AH120" s="834">
        <v>0</v>
      </c>
      <c r="AI120" s="834">
        <v>0</v>
      </c>
      <c r="AJ120" s="834">
        <v>0</v>
      </c>
      <c r="AK120" s="834">
        <v>0</v>
      </c>
      <c r="AL120" s="834">
        <v>0</v>
      </c>
      <c r="AM120" s="834">
        <v>0</v>
      </c>
      <c r="AN120" s="834">
        <v>0</v>
      </c>
      <c r="AO120" s="834">
        <v>0</v>
      </c>
      <c r="AP120" s="834">
        <v>0</v>
      </c>
      <c r="AQ120" s="834">
        <v>0</v>
      </c>
      <c r="AR120" s="834">
        <v>0</v>
      </c>
      <c r="AS120" s="834">
        <v>0</v>
      </c>
      <c r="AT120" s="834">
        <v>0</v>
      </c>
      <c r="AU120" s="834">
        <v>0</v>
      </c>
      <c r="AV120" s="834">
        <v>0</v>
      </c>
      <c r="AW120" s="834">
        <v>0</v>
      </c>
      <c r="AX120" s="834">
        <v>0</v>
      </c>
      <c r="AY120" s="834">
        <v>0</v>
      </c>
      <c r="AZ120" s="834">
        <v>0</v>
      </c>
      <c r="BA120" s="834">
        <v>0</v>
      </c>
      <c r="BB120" s="834">
        <v>0</v>
      </c>
      <c r="BC120" s="834">
        <v>0</v>
      </c>
      <c r="BD120" s="834"/>
      <c r="BE120" s="856"/>
      <c r="BF120" s="856"/>
      <c r="BG120" s="856"/>
      <c r="BH120" s="856"/>
      <c r="BI120" s="856"/>
      <c r="BJ120" s="856"/>
      <c r="BK120" s="856"/>
      <c r="BL120" s="856"/>
      <c r="BM120" s="856"/>
      <c r="BN120" s="856"/>
      <c r="BO120" s="856"/>
      <c r="BP120" s="856"/>
      <c r="BQ120" s="834"/>
      <c r="BR120" s="834"/>
      <c r="BS120" s="834"/>
      <c r="BT120" s="826"/>
      <c r="BU120" s="746"/>
      <c r="BV120" s="746"/>
      <c r="BW120" s="746"/>
      <c r="BX120" s="746"/>
      <c r="BY120" s="746"/>
      <c r="BZ120" s="746"/>
    </row>
    <row r="121" spans="1:78" s="714" customFormat="1" ht="21.95" customHeight="1">
      <c r="A121" s="2616"/>
      <c r="B121" s="2585"/>
      <c r="C121" s="814" t="s">
        <v>1657</v>
      </c>
      <c r="D121" s="834">
        <v>0</v>
      </c>
      <c r="E121" s="834">
        <v>0</v>
      </c>
      <c r="F121" s="834">
        <v>0</v>
      </c>
      <c r="G121" s="834">
        <v>0</v>
      </c>
      <c r="H121" s="834">
        <v>0</v>
      </c>
      <c r="I121" s="834">
        <v>0</v>
      </c>
      <c r="J121" s="834">
        <v>0</v>
      </c>
      <c r="K121" s="834">
        <v>0</v>
      </c>
      <c r="L121" s="834">
        <v>0</v>
      </c>
      <c r="M121" s="834">
        <v>0</v>
      </c>
      <c r="N121" s="834">
        <v>0</v>
      </c>
      <c r="O121" s="834">
        <v>0</v>
      </c>
      <c r="P121" s="834">
        <v>0</v>
      </c>
      <c r="Q121" s="834">
        <v>0</v>
      </c>
      <c r="R121" s="834">
        <v>0</v>
      </c>
      <c r="S121" s="834">
        <v>0</v>
      </c>
      <c r="T121" s="834">
        <v>0</v>
      </c>
      <c r="U121" s="834">
        <v>0</v>
      </c>
      <c r="V121" s="834">
        <v>0</v>
      </c>
      <c r="W121" s="834">
        <v>0</v>
      </c>
      <c r="X121" s="834">
        <v>0</v>
      </c>
      <c r="Y121" s="834">
        <v>0</v>
      </c>
      <c r="Z121" s="834">
        <v>0</v>
      </c>
      <c r="AA121" s="834">
        <v>0</v>
      </c>
      <c r="AB121" s="834">
        <v>0</v>
      </c>
      <c r="AC121" s="834">
        <v>0</v>
      </c>
      <c r="AD121" s="834">
        <v>0</v>
      </c>
      <c r="AE121" s="834">
        <v>0</v>
      </c>
      <c r="AF121" s="834">
        <v>0</v>
      </c>
      <c r="AG121" s="834">
        <v>0</v>
      </c>
      <c r="AH121" s="834">
        <v>0</v>
      </c>
      <c r="AI121" s="834">
        <v>0</v>
      </c>
      <c r="AJ121" s="834">
        <v>0</v>
      </c>
      <c r="AK121" s="834">
        <v>0</v>
      </c>
      <c r="AL121" s="834">
        <v>0</v>
      </c>
      <c r="AM121" s="834">
        <v>0</v>
      </c>
      <c r="AN121" s="834">
        <v>0</v>
      </c>
      <c r="AO121" s="834">
        <v>0</v>
      </c>
      <c r="AP121" s="834">
        <v>0</v>
      </c>
      <c r="AQ121" s="834">
        <v>0</v>
      </c>
      <c r="AR121" s="834">
        <v>0</v>
      </c>
      <c r="AS121" s="834">
        <v>0</v>
      </c>
      <c r="AT121" s="834">
        <v>0</v>
      </c>
      <c r="AU121" s="834">
        <v>0</v>
      </c>
      <c r="AV121" s="834">
        <v>0</v>
      </c>
      <c r="AW121" s="834">
        <v>0</v>
      </c>
      <c r="AX121" s="834">
        <v>0</v>
      </c>
      <c r="AY121" s="834">
        <v>0</v>
      </c>
      <c r="AZ121" s="834">
        <v>0</v>
      </c>
      <c r="BA121" s="834">
        <v>0</v>
      </c>
      <c r="BB121" s="834">
        <v>0</v>
      </c>
      <c r="BC121" s="834">
        <v>0</v>
      </c>
      <c r="BD121" s="834"/>
      <c r="BE121" s="856"/>
      <c r="BF121" s="856"/>
      <c r="BG121" s="856"/>
      <c r="BH121" s="856"/>
      <c r="BI121" s="856"/>
      <c r="BJ121" s="856"/>
      <c r="BK121" s="856"/>
      <c r="BL121" s="856"/>
      <c r="BM121" s="856"/>
      <c r="BN121" s="856"/>
      <c r="BO121" s="856"/>
      <c r="BP121" s="856"/>
      <c r="BQ121" s="834"/>
      <c r="BR121" s="834"/>
      <c r="BS121" s="834"/>
      <c r="BT121" s="826"/>
      <c r="BU121" s="746"/>
      <c r="BV121" s="746"/>
      <c r="BW121" s="746"/>
      <c r="BX121" s="746"/>
      <c r="BY121" s="746"/>
      <c r="BZ121" s="746"/>
    </row>
    <row r="122" spans="1:78" s="714" customFormat="1" ht="21.95" customHeight="1">
      <c r="A122" s="2616"/>
      <c r="B122" s="2585"/>
      <c r="C122" s="814" t="s">
        <v>1658</v>
      </c>
      <c r="D122" s="834">
        <v>0</v>
      </c>
      <c r="E122" s="834">
        <v>0</v>
      </c>
      <c r="F122" s="834">
        <v>0</v>
      </c>
      <c r="G122" s="834">
        <v>0</v>
      </c>
      <c r="H122" s="834">
        <v>0</v>
      </c>
      <c r="I122" s="834">
        <v>0</v>
      </c>
      <c r="J122" s="834">
        <v>0</v>
      </c>
      <c r="K122" s="834">
        <v>0</v>
      </c>
      <c r="L122" s="834">
        <v>0</v>
      </c>
      <c r="M122" s="834">
        <v>0</v>
      </c>
      <c r="N122" s="834">
        <v>0</v>
      </c>
      <c r="O122" s="834">
        <v>0</v>
      </c>
      <c r="P122" s="834">
        <v>0</v>
      </c>
      <c r="Q122" s="834">
        <v>0</v>
      </c>
      <c r="R122" s="834">
        <v>0</v>
      </c>
      <c r="S122" s="834">
        <v>0</v>
      </c>
      <c r="T122" s="834">
        <v>0</v>
      </c>
      <c r="U122" s="834">
        <v>0</v>
      </c>
      <c r="V122" s="834">
        <v>0</v>
      </c>
      <c r="W122" s="834">
        <v>0</v>
      </c>
      <c r="X122" s="834">
        <v>0</v>
      </c>
      <c r="Y122" s="834">
        <v>0</v>
      </c>
      <c r="Z122" s="834">
        <v>0</v>
      </c>
      <c r="AA122" s="834">
        <v>0</v>
      </c>
      <c r="AB122" s="834">
        <v>0</v>
      </c>
      <c r="AC122" s="834">
        <v>0</v>
      </c>
      <c r="AD122" s="834">
        <v>0</v>
      </c>
      <c r="AE122" s="834">
        <v>0</v>
      </c>
      <c r="AF122" s="834">
        <v>0</v>
      </c>
      <c r="AG122" s="834">
        <v>0</v>
      </c>
      <c r="AH122" s="834">
        <v>0</v>
      </c>
      <c r="AI122" s="834">
        <v>0</v>
      </c>
      <c r="AJ122" s="834">
        <v>0</v>
      </c>
      <c r="AK122" s="834">
        <v>0</v>
      </c>
      <c r="AL122" s="834">
        <v>0</v>
      </c>
      <c r="AM122" s="834">
        <v>0</v>
      </c>
      <c r="AN122" s="834">
        <v>0</v>
      </c>
      <c r="AO122" s="834">
        <v>0</v>
      </c>
      <c r="AP122" s="834">
        <v>0</v>
      </c>
      <c r="AQ122" s="834">
        <v>0</v>
      </c>
      <c r="AR122" s="834">
        <v>0</v>
      </c>
      <c r="AS122" s="834">
        <v>0</v>
      </c>
      <c r="AT122" s="834">
        <v>0</v>
      </c>
      <c r="AU122" s="834">
        <v>0</v>
      </c>
      <c r="AV122" s="834">
        <v>0</v>
      </c>
      <c r="AW122" s="834">
        <v>0</v>
      </c>
      <c r="AX122" s="834">
        <v>0</v>
      </c>
      <c r="AY122" s="834">
        <v>0</v>
      </c>
      <c r="AZ122" s="834">
        <v>0</v>
      </c>
      <c r="BA122" s="834">
        <v>0</v>
      </c>
      <c r="BB122" s="834">
        <v>0</v>
      </c>
      <c r="BC122" s="834">
        <v>0</v>
      </c>
      <c r="BD122" s="834"/>
      <c r="BE122" s="856"/>
      <c r="BF122" s="856"/>
      <c r="BG122" s="856"/>
      <c r="BH122" s="856"/>
      <c r="BI122" s="856"/>
      <c r="BJ122" s="856"/>
      <c r="BK122" s="856"/>
      <c r="BL122" s="856"/>
      <c r="BM122" s="856"/>
      <c r="BN122" s="856"/>
      <c r="BO122" s="856"/>
      <c r="BP122" s="856"/>
      <c r="BQ122" s="834"/>
      <c r="BR122" s="834"/>
      <c r="BS122" s="834"/>
      <c r="BT122" s="826"/>
      <c r="BU122" s="746"/>
      <c r="BV122" s="746"/>
      <c r="BW122" s="746"/>
      <c r="BX122" s="746"/>
      <c r="BY122" s="746"/>
      <c r="BZ122" s="746"/>
    </row>
    <row r="123" spans="1:78" s="714" customFormat="1" ht="21.95" customHeight="1">
      <c r="A123" s="2616"/>
      <c r="B123" s="2585"/>
      <c r="C123" s="814" t="s">
        <v>1659</v>
      </c>
      <c r="D123" s="834">
        <v>0</v>
      </c>
      <c r="E123" s="834">
        <v>0</v>
      </c>
      <c r="F123" s="834">
        <v>0</v>
      </c>
      <c r="G123" s="834">
        <v>0</v>
      </c>
      <c r="H123" s="834">
        <v>0</v>
      </c>
      <c r="I123" s="834">
        <v>0</v>
      </c>
      <c r="J123" s="834">
        <v>0</v>
      </c>
      <c r="K123" s="834">
        <v>0</v>
      </c>
      <c r="L123" s="834">
        <v>0</v>
      </c>
      <c r="M123" s="834">
        <v>0</v>
      </c>
      <c r="N123" s="834">
        <v>0</v>
      </c>
      <c r="O123" s="834">
        <v>0</v>
      </c>
      <c r="P123" s="834">
        <v>0</v>
      </c>
      <c r="Q123" s="834">
        <v>0</v>
      </c>
      <c r="R123" s="834">
        <v>0</v>
      </c>
      <c r="S123" s="834">
        <v>0</v>
      </c>
      <c r="T123" s="834">
        <v>0</v>
      </c>
      <c r="U123" s="834">
        <v>0</v>
      </c>
      <c r="V123" s="834">
        <v>0</v>
      </c>
      <c r="W123" s="834">
        <v>0</v>
      </c>
      <c r="X123" s="834">
        <v>0</v>
      </c>
      <c r="Y123" s="834">
        <v>0</v>
      </c>
      <c r="Z123" s="834">
        <v>0</v>
      </c>
      <c r="AA123" s="834">
        <v>0</v>
      </c>
      <c r="AB123" s="834">
        <v>0</v>
      </c>
      <c r="AC123" s="834">
        <v>0</v>
      </c>
      <c r="AD123" s="834">
        <v>0</v>
      </c>
      <c r="AE123" s="834">
        <v>0</v>
      </c>
      <c r="AF123" s="834">
        <v>0</v>
      </c>
      <c r="AG123" s="834">
        <v>0</v>
      </c>
      <c r="AH123" s="834">
        <v>0</v>
      </c>
      <c r="AI123" s="834">
        <v>0</v>
      </c>
      <c r="AJ123" s="834">
        <v>0</v>
      </c>
      <c r="AK123" s="834">
        <v>0</v>
      </c>
      <c r="AL123" s="834">
        <v>0</v>
      </c>
      <c r="AM123" s="834">
        <v>0</v>
      </c>
      <c r="AN123" s="834">
        <v>0</v>
      </c>
      <c r="AO123" s="834">
        <v>0</v>
      </c>
      <c r="AP123" s="834">
        <v>0</v>
      </c>
      <c r="AQ123" s="834">
        <v>0</v>
      </c>
      <c r="AR123" s="834">
        <v>0</v>
      </c>
      <c r="AS123" s="834">
        <v>0</v>
      </c>
      <c r="AT123" s="834">
        <v>0</v>
      </c>
      <c r="AU123" s="834">
        <v>0</v>
      </c>
      <c r="AV123" s="834">
        <v>0</v>
      </c>
      <c r="AW123" s="834">
        <v>0</v>
      </c>
      <c r="AX123" s="834">
        <v>0</v>
      </c>
      <c r="AY123" s="834">
        <v>0</v>
      </c>
      <c r="AZ123" s="834">
        <v>0</v>
      </c>
      <c r="BA123" s="834">
        <v>0</v>
      </c>
      <c r="BB123" s="834">
        <v>0</v>
      </c>
      <c r="BC123" s="834">
        <v>0</v>
      </c>
      <c r="BD123" s="834"/>
      <c r="BE123" s="856"/>
      <c r="BF123" s="856"/>
      <c r="BG123" s="856"/>
      <c r="BH123" s="856"/>
      <c r="BI123" s="856"/>
      <c r="BJ123" s="856"/>
      <c r="BK123" s="856"/>
      <c r="BL123" s="856"/>
      <c r="BM123" s="856"/>
      <c r="BN123" s="856"/>
      <c r="BO123" s="856"/>
      <c r="BP123" s="856"/>
      <c r="BQ123" s="834"/>
      <c r="BR123" s="834"/>
      <c r="BS123" s="834"/>
      <c r="BT123" s="826"/>
      <c r="BU123" s="746"/>
      <c r="BV123" s="746"/>
      <c r="BW123" s="746"/>
      <c r="BX123" s="746"/>
      <c r="BY123" s="746"/>
      <c r="BZ123" s="746"/>
    </row>
    <row r="124" spans="1:78" s="714" customFormat="1" ht="21.95" customHeight="1">
      <c r="A124" s="2616"/>
      <c r="B124" s="2585"/>
      <c r="C124" s="814" t="s">
        <v>1660</v>
      </c>
      <c r="D124" s="834">
        <v>0</v>
      </c>
      <c r="E124" s="834">
        <v>0</v>
      </c>
      <c r="F124" s="834">
        <v>0</v>
      </c>
      <c r="G124" s="834">
        <v>0</v>
      </c>
      <c r="H124" s="834">
        <v>0</v>
      </c>
      <c r="I124" s="834">
        <v>0</v>
      </c>
      <c r="J124" s="834">
        <v>0</v>
      </c>
      <c r="K124" s="834">
        <v>0</v>
      </c>
      <c r="L124" s="834">
        <v>0</v>
      </c>
      <c r="M124" s="834">
        <v>0</v>
      </c>
      <c r="N124" s="834">
        <v>0</v>
      </c>
      <c r="O124" s="834">
        <v>0</v>
      </c>
      <c r="P124" s="834">
        <v>0</v>
      </c>
      <c r="Q124" s="834">
        <v>0</v>
      </c>
      <c r="R124" s="834">
        <v>0</v>
      </c>
      <c r="S124" s="834">
        <v>0</v>
      </c>
      <c r="T124" s="834">
        <v>0</v>
      </c>
      <c r="U124" s="834">
        <v>0</v>
      </c>
      <c r="V124" s="834">
        <v>0</v>
      </c>
      <c r="W124" s="834">
        <v>0</v>
      </c>
      <c r="X124" s="834">
        <v>0</v>
      </c>
      <c r="Y124" s="834">
        <v>0</v>
      </c>
      <c r="Z124" s="834">
        <v>0</v>
      </c>
      <c r="AA124" s="834">
        <v>0</v>
      </c>
      <c r="AB124" s="834">
        <v>0</v>
      </c>
      <c r="AC124" s="834">
        <v>0</v>
      </c>
      <c r="AD124" s="834">
        <v>0</v>
      </c>
      <c r="AE124" s="834">
        <v>0</v>
      </c>
      <c r="AF124" s="834">
        <v>0</v>
      </c>
      <c r="AG124" s="834">
        <v>0</v>
      </c>
      <c r="AH124" s="834">
        <v>0</v>
      </c>
      <c r="AI124" s="834">
        <v>0</v>
      </c>
      <c r="AJ124" s="834">
        <v>0</v>
      </c>
      <c r="AK124" s="834">
        <v>0</v>
      </c>
      <c r="AL124" s="834">
        <v>0</v>
      </c>
      <c r="AM124" s="834">
        <v>0</v>
      </c>
      <c r="AN124" s="834">
        <v>0</v>
      </c>
      <c r="AO124" s="834">
        <v>0</v>
      </c>
      <c r="AP124" s="834">
        <v>0</v>
      </c>
      <c r="AQ124" s="834">
        <v>0</v>
      </c>
      <c r="AR124" s="834">
        <v>0</v>
      </c>
      <c r="AS124" s="834">
        <v>0</v>
      </c>
      <c r="AT124" s="834">
        <v>0</v>
      </c>
      <c r="AU124" s="834">
        <v>0</v>
      </c>
      <c r="AV124" s="834">
        <v>0</v>
      </c>
      <c r="AW124" s="834">
        <v>0</v>
      </c>
      <c r="AX124" s="834">
        <v>0</v>
      </c>
      <c r="AY124" s="834">
        <v>0</v>
      </c>
      <c r="AZ124" s="834">
        <v>0</v>
      </c>
      <c r="BA124" s="834">
        <v>0</v>
      </c>
      <c r="BB124" s="834">
        <v>0</v>
      </c>
      <c r="BC124" s="834">
        <v>0</v>
      </c>
      <c r="BD124" s="834"/>
      <c r="BE124" s="856"/>
      <c r="BF124" s="856"/>
      <c r="BG124" s="856"/>
      <c r="BH124" s="856"/>
      <c r="BI124" s="856"/>
      <c r="BJ124" s="856"/>
      <c r="BK124" s="856"/>
      <c r="BL124" s="856"/>
      <c r="BM124" s="856"/>
      <c r="BN124" s="856"/>
      <c r="BO124" s="856"/>
      <c r="BP124" s="856"/>
      <c r="BQ124" s="834"/>
      <c r="BR124" s="834"/>
      <c r="BS124" s="834"/>
      <c r="BT124" s="826"/>
      <c r="BU124" s="746"/>
      <c r="BV124" s="746"/>
      <c r="BW124" s="746"/>
      <c r="BX124" s="746"/>
      <c r="BY124" s="746"/>
      <c r="BZ124" s="746"/>
    </row>
    <row r="125" spans="1:78" s="714" customFormat="1" ht="21.95" customHeight="1">
      <c r="A125" s="2616"/>
      <c r="B125" s="2585"/>
      <c r="C125" s="814" t="s">
        <v>1661</v>
      </c>
      <c r="D125" s="834">
        <v>0</v>
      </c>
      <c r="E125" s="834">
        <v>0</v>
      </c>
      <c r="F125" s="834">
        <v>0</v>
      </c>
      <c r="G125" s="834">
        <v>0</v>
      </c>
      <c r="H125" s="834">
        <v>0</v>
      </c>
      <c r="I125" s="834">
        <v>0</v>
      </c>
      <c r="J125" s="834">
        <v>0</v>
      </c>
      <c r="K125" s="834">
        <v>0</v>
      </c>
      <c r="L125" s="834">
        <v>0</v>
      </c>
      <c r="M125" s="834">
        <v>0</v>
      </c>
      <c r="N125" s="834">
        <v>0</v>
      </c>
      <c r="O125" s="834">
        <v>0</v>
      </c>
      <c r="P125" s="834">
        <v>0</v>
      </c>
      <c r="Q125" s="834">
        <v>0</v>
      </c>
      <c r="R125" s="834">
        <v>0</v>
      </c>
      <c r="S125" s="834">
        <v>0</v>
      </c>
      <c r="T125" s="834">
        <v>0</v>
      </c>
      <c r="U125" s="834">
        <v>0</v>
      </c>
      <c r="V125" s="834">
        <v>0</v>
      </c>
      <c r="W125" s="834">
        <v>0</v>
      </c>
      <c r="X125" s="834">
        <v>0</v>
      </c>
      <c r="Y125" s="834">
        <v>0</v>
      </c>
      <c r="Z125" s="834">
        <v>0</v>
      </c>
      <c r="AA125" s="834">
        <v>0</v>
      </c>
      <c r="AB125" s="834">
        <v>0</v>
      </c>
      <c r="AC125" s="834">
        <v>0</v>
      </c>
      <c r="AD125" s="834">
        <v>0</v>
      </c>
      <c r="AE125" s="834">
        <v>0</v>
      </c>
      <c r="AF125" s="834">
        <v>0</v>
      </c>
      <c r="AG125" s="834">
        <v>0</v>
      </c>
      <c r="AH125" s="834">
        <v>0</v>
      </c>
      <c r="AI125" s="834">
        <v>0</v>
      </c>
      <c r="AJ125" s="834">
        <v>0</v>
      </c>
      <c r="AK125" s="834">
        <v>0</v>
      </c>
      <c r="AL125" s="834">
        <v>0</v>
      </c>
      <c r="AM125" s="834">
        <v>0</v>
      </c>
      <c r="AN125" s="834">
        <v>0</v>
      </c>
      <c r="AO125" s="834">
        <v>0</v>
      </c>
      <c r="AP125" s="834">
        <v>0</v>
      </c>
      <c r="AQ125" s="834">
        <v>0</v>
      </c>
      <c r="AR125" s="834">
        <v>0</v>
      </c>
      <c r="AS125" s="834">
        <v>0</v>
      </c>
      <c r="AT125" s="834">
        <v>0</v>
      </c>
      <c r="AU125" s="834">
        <v>0</v>
      </c>
      <c r="AV125" s="834">
        <v>0</v>
      </c>
      <c r="AW125" s="834">
        <v>0</v>
      </c>
      <c r="AX125" s="834">
        <v>0</v>
      </c>
      <c r="AY125" s="834">
        <v>0</v>
      </c>
      <c r="AZ125" s="834">
        <v>0</v>
      </c>
      <c r="BA125" s="834">
        <v>0</v>
      </c>
      <c r="BB125" s="834">
        <v>0</v>
      </c>
      <c r="BC125" s="834">
        <v>0</v>
      </c>
      <c r="BD125" s="834"/>
      <c r="BE125" s="856"/>
      <c r="BF125" s="856"/>
      <c r="BG125" s="856"/>
      <c r="BH125" s="856"/>
      <c r="BI125" s="856"/>
      <c r="BJ125" s="856"/>
      <c r="BK125" s="856"/>
      <c r="BL125" s="856"/>
      <c r="BM125" s="856"/>
      <c r="BN125" s="856"/>
      <c r="BO125" s="856"/>
      <c r="BP125" s="856"/>
      <c r="BQ125" s="834"/>
      <c r="BR125" s="834"/>
      <c r="BS125" s="834"/>
      <c r="BT125" s="826"/>
      <c r="BU125" s="746"/>
      <c r="BV125" s="746"/>
      <c r="BW125" s="746"/>
      <c r="BX125" s="746"/>
      <c r="BY125" s="746"/>
      <c r="BZ125" s="746"/>
    </row>
    <row r="126" spans="1:78" s="714" customFormat="1" ht="21.95" customHeight="1">
      <c r="A126" s="2616"/>
      <c r="B126" s="2585"/>
      <c r="C126" s="814" t="s">
        <v>1662</v>
      </c>
      <c r="D126" s="834">
        <v>0</v>
      </c>
      <c r="E126" s="834">
        <v>0</v>
      </c>
      <c r="F126" s="834">
        <v>0</v>
      </c>
      <c r="G126" s="834">
        <v>0</v>
      </c>
      <c r="H126" s="834">
        <v>0</v>
      </c>
      <c r="I126" s="834">
        <v>0</v>
      </c>
      <c r="J126" s="834">
        <v>0</v>
      </c>
      <c r="K126" s="834">
        <v>0</v>
      </c>
      <c r="L126" s="834">
        <v>0</v>
      </c>
      <c r="M126" s="834">
        <v>0</v>
      </c>
      <c r="N126" s="834">
        <v>0</v>
      </c>
      <c r="O126" s="834">
        <v>0</v>
      </c>
      <c r="P126" s="834">
        <v>0</v>
      </c>
      <c r="Q126" s="834">
        <v>0</v>
      </c>
      <c r="R126" s="834">
        <v>0</v>
      </c>
      <c r="S126" s="834">
        <v>0</v>
      </c>
      <c r="T126" s="834">
        <v>0</v>
      </c>
      <c r="U126" s="834">
        <v>0</v>
      </c>
      <c r="V126" s="834">
        <v>0</v>
      </c>
      <c r="W126" s="834">
        <v>0</v>
      </c>
      <c r="X126" s="834">
        <v>0</v>
      </c>
      <c r="Y126" s="834">
        <v>0</v>
      </c>
      <c r="Z126" s="834">
        <v>0</v>
      </c>
      <c r="AA126" s="834">
        <v>0</v>
      </c>
      <c r="AB126" s="834">
        <v>0</v>
      </c>
      <c r="AC126" s="834">
        <v>0</v>
      </c>
      <c r="AD126" s="834">
        <v>0</v>
      </c>
      <c r="AE126" s="834">
        <v>0</v>
      </c>
      <c r="AF126" s="834">
        <v>0</v>
      </c>
      <c r="AG126" s="834">
        <v>0</v>
      </c>
      <c r="AH126" s="834">
        <v>0</v>
      </c>
      <c r="AI126" s="834">
        <v>0</v>
      </c>
      <c r="AJ126" s="834">
        <v>0</v>
      </c>
      <c r="AK126" s="834">
        <v>0</v>
      </c>
      <c r="AL126" s="834">
        <v>0</v>
      </c>
      <c r="AM126" s="834">
        <v>0</v>
      </c>
      <c r="AN126" s="834">
        <v>0</v>
      </c>
      <c r="AO126" s="834">
        <v>0</v>
      </c>
      <c r="AP126" s="834">
        <v>0</v>
      </c>
      <c r="AQ126" s="834">
        <v>0</v>
      </c>
      <c r="AR126" s="834">
        <v>0</v>
      </c>
      <c r="AS126" s="834">
        <v>0</v>
      </c>
      <c r="AT126" s="834">
        <v>0</v>
      </c>
      <c r="AU126" s="834">
        <v>0</v>
      </c>
      <c r="AV126" s="834">
        <v>0</v>
      </c>
      <c r="AW126" s="834">
        <v>0</v>
      </c>
      <c r="AX126" s="834">
        <v>0</v>
      </c>
      <c r="AY126" s="834">
        <v>0</v>
      </c>
      <c r="AZ126" s="834">
        <v>0</v>
      </c>
      <c r="BA126" s="834">
        <v>0</v>
      </c>
      <c r="BB126" s="834">
        <v>0</v>
      </c>
      <c r="BC126" s="834">
        <v>0</v>
      </c>
      <c r="BD126" s="834"/>
      <c r="BE126" s="856"/>
      <c r="BF126" s="856"/>
      <c r="BG126" s="856"/>
      <c r="BH126" s="856"/>
      <c r="BI126" s="856"/>
      <c r="BJ126" s="856"/>
      <c r="BK126" s="856"/>
      <c r="BL126" s="856"/>
      <c r="BM126" s="856"/>
      <c r="BN126" s="856"/>
      <c r="BO126" s="856"/>
      <c r="BP126" s="856"/>
      <c r="BQ126" s="834"/>
      <c r="BR126" s="834"/>
      <c r="BS126" s="834"/>
      <c r="BT126" s="826"/>
      <c r="BU126" s="746"/>
      <c r="BV126" s="746"/>
      <c r="BW126" s="746"/>
      <c r="BX126" s="746"/>
      <c r="BY126" s="746"/>
      <c r="BZ126" s="746"/>
    </row>
    <row r="127" spans="1:78" s="714" customFormat="1" ht="21.95" customHeight="1">
      <c r="A127" s="2616"/>
      <c r="B127" s="2585"/>
      <c r="C127" s="814" t="s">
        <v>1663</v>
      </c>
      <c r="D127" s="834">
        <v>0</v>
      </c>
      <c r="E127" s="834">
        <v>0</v>
      </c>
      <c r="F127" s="834">
        <v>0</v>
      </c>
      <c r="G127" s="834">
        <v>0</v>
      </c>
      <c r="H127" s="834">
        <v>0</v>
      </c>
      <c r="I127" s="834">
        <v>0</v>
      </c>
      <c r="J127" s="834">
        <v>0</v>
      </c>
      <c r="K127" s="834">
        <v>0</v>
      </c>
      <c r="L127" s="834">
        <v>0</v>
      </c>
      <c r="M127" s="834">
        <v>0</v>
      </c>
      <c r="N127" s="834">
        <v>0</v>
      </c>
      <c r="O127" s="834">
        <v>0</v>
      </c>
      <c r="P127" s="834">
        <v>0</v>
      </c>
      <c r="Q127" s="834">
        <v>0</v>
      </c>
      <c r="R127" s="834">
        <v>0</v>
      </c>
      <c r="S127" s="834">
        <v>0</v>
      </c>
      <c r="T127" s="834">
        <v>0</v>
      </c>
      <c r="U127" s="834">
        <v>0</v>
      </c>
      <c r="V127" s="834">
        <v>0</v>
      </c>
      <c r="W127" s="834">
        <v>0</v>
      </c>
      <c r="X127" s="834">
        <v>0</v>
      </c>
      <c r="Y127" s="834">
        <v>0</v>
      </c>
      <c r="Z127" s="834">
        <v>0</v>
      </c>
      <c r="AA127" s="834">
        <v>0</v>
      </c>
      <c r="AB127" s="834">
        <v>0</v>
      </c>
      <c r="AC127" s="834">
        <v>0</v>
      </c>
      <c r="AD127" s="834">
        <v>0</v>
      </c>
      <c r="AE127" s="834">
        <v>0</v>
      </c>
      <c r="AF127" s="834">
        <v>0</v>
      </c>
      <c r="AG127" s="834">
        <v>0</v>
      </c>
      <c r="AH127" s="834">
        <v>0</v>
      </c>
      <c r="AI127" s="834">
        <v>0</v>
      </c>
      <c r="AJ127" s="834">
        <v>0</v>
      </c>
      <c r="AK127" s="834">
        <v>0</v>
      </c>
      <c r="AL127" s="834">
        <v>0</v>
      </c>
      <c r="AM127" s="834">
        <v>0</v>
      </c>
      <c r="AN127" s="834">
        <v>0</v>
      </c>
      <c r="AO127" s="834">
        <v>0</v>
      </c>
      <c r="AP127" s="834">
        <v>0</v>
      </c>
      <c r="AQ127" s="834">
        <v>0</v>
      </c>
      <c r="AR127" s="834">
        <v>0</v>
      </c>
      <c r="AS127" s="834">
        <v>0</v>
      </c>
      <c r="AT127" s="834">
        <v>0</v>
      </c>
      <c r="AU127" s="834">
        <v>0</v>
      </c>
      <c r="AV127" s="834">
        <v>0</v>
      </c>
      <c r="AW127" s="834">
        <v>0</v>
      </c>
      <c r="AX127" s="834">
        <v>0</v>
      </c>
      <c r="AY127" s="834">
        <v>0</v>
      </c>
      <c r="AZ127" s="834">
        <v>0</v>
      </c>
      <c r="BA127" s="834">
        <v>0</v>
      </c>
      <c r="BB127" s="834">
        <v>0</v>
      </c>
      <c r="BC127" s="834">
        <v>0</v>
      </c>
      <c r="BD127" s="834"/>
      <c r="BE127" s="856"/>
      <c r="BF127" s="856"/>
      <c r="BG127" s="856"/>
      <c r="BH127" s="856"/>
      <c r="BI127" s="856"/>
      <c r="BJ127" s="856"/>
      <c r="BK127" s="856"/>
      <c r="BL127" s="856"/>
      <c r="BM127" s="856"/>
      <c r="BN127" s="856"/>
      <c r="BO127" s="856"/>
      <c r="BP127" s="856"/>
      <c r="BQ127" s="834"/>
      <c r="BR127" s="834"/>
      <c r="BS127" s="834"/>
      <c r="BT127" s="826"/>
      <c r="BU127" s="746"/>
      <c r="BV127" s="746"/>
      <c r="BW127" s="746"/>
      <c r="BX127" s="746"/>
      <c r="BY127" s="746"/>
      <c r="BZ127" s="746"/>
    </row>
    <row r="128" spans="1:78" s="714" customFormat="1" ht="21.95" customHeight="1">
      <c r="A128" s="2616"/>
      <c r="B128" s="2602"/>
      <c r="C128" s="814" t="s">
        <v>1664</v>
      </c>
      <c r="D128" s="840">
        <v>0</v>
      </c>
      <c r="E128" s="840">
        <v>0</v>
      </c>
      <c r="F128" s="840">
        <v>0</v>
      </c>
      <c r="G128" s="840">
        <v>0</v>
      </c>
      <c r="H128" s="840">
        <v>0</v>
      </c>
      <c r="I128" s="840">
        <v>0</v>
      </c>
      <c r="J128" s="840">
        <v>0</v>
      </c>
      <c r="K128" s="840">
        <v>0</v>
      </c>
      <c r="L128" s="840">
        <v>0</v>
      </c>
      <c r="M128" s="840">
        <v>0</v>
      </c>
      <c r="N128" s="840">
        <v>0</v>
      </c>
      <c r="O128" s="840">
        <v>0</v>
      </c>
      <c r="P128" s="840">
        <v>0</v>
      </c>
      <c r="Q128" s="840">
        <v>0</v>
      </c>
      <c r="R128" s="840">
        <v>0</v>
      </c>
      <c r="S128" s="840">
        <v>0</v>
      </c>
      <c r="T128" s="840">
        <v>0</v>
      </c>
      <c r="U128" s="840">
        <v>0</v>
      </c>
      <c r="V128" s="840">
        <v>0</v>
      </c>
      <c r="W128" s="840">
        <v>0</v>
      </c>
      <c r="X128" s="840">
        <v>0</v>
      </c>
      <c r="Y128" s="840">
        <v>0</v>
      </c>
      <c r="Z128" s="840">
        <v>0</v>
      </c>
      <c r="AA128" s="840">
        <v>0</v>
      </c>
      <c r="AB128" s="840">
        <v>0</v>
      </c>
      <c r="AC128" s="840">
        <v>0</v>
      </c>
      <c r="AD128" s="840">
        <v>0</v>
      </c>
      <c r="AE128" s="840">
        <v>0</v>
      </c>
      <c r="AF128" s="840">
        <v>0</v>
      </c>
      <c r="AG128" s="840">
        <v>0</v>
      </c>
      <c r="AH128" s="840">
        <v>0</v>
      </c>
      <c r="AI128" s="840">
        <v>0</v>
      </c>
      <c r="AJ128" s="840">
        <v>0</v>
      </c>
      <c r="AK128" s="840">
        <v>0</v>
      </c>
      <c r="AL128" s="840">
        <v>0</v>
      </c>
      <c r="AM128" s="840">
        <v>0</v>
      </c>
      <c r="AN128" s="840">
        <v>0</v>
      </c>
      <c r="AO128" s="840">
        <v>0</v>
      </c>
      <c r="AP128" s="840">
        <v>0</v>
      </c>
      <c r="AQ128" s="840">
        <v>0</v>
      </c>
      <c r="AR128" s="840">
        <v>0</v>
      </c>
      <c r="AS128" s="840">
        <v>0</v>
      </c>
      <c r="AT128" s="840">
        <v>0</v>
      </c>
      <c r="AU128" s="840">
        <v>0</v>
      </c>
      <c r="AV128" s="840">
        <v>0</v>
      </c>
      <c r="AW128" s="840">
        <v>0</v>
      </c>
      <c r="AX128" s="840">
        <v>0</v>
      </c>
      <c r="AY128" s="840">
        <v>0</v>
      </c>
      <c r="AZ128" s="840">
        <v>0</v>
      </c>
      <c r="BA128" s="840">
        <v>0</v>
      </c>
      <c r="BB128" s="840">
        <v>0</v>
      </c>
      <c r="BC128" s="840">
        <v>0</v>
      </c>
      <c r="BD128" s="840"/>
      <c r="BE128" s="857"/>
      <c r="BF128" s="857"/>
      <c r="BG128" s="857"/>
      <c r="BH128" s="857"/>
      <c r="BI128" s="857"/>
      <c r="BJ128" s="857"/>
      <c r="BK128" s="857"/>
      <c r="BL128" s="857"/>
      <c r="BM128" s="857"/>
      <c r="BN128" s="857"/>
      <c r="BO128" s="857"/>
      <c r="BP128" s="857"/>
      <c r="BQ128" s="840"/>
      <c r="BR128" s="840"/>
      <c r="BS128" s="840"/>
      <c r="BT128" s="826"/>
      <c r="BU128" s="746"/>
      <c r="BV128" s="746"/>
      <c r="BW128" s="746"/>
      <c r="BX128" s="746"/>
      <c r="BY128" s="746"/>
      <c r="BZ128" s="746"/>
    </row>
    <row r="129" spans="1:78" s="714" customFormat="1" ht="21.95" customHeight="1">
      <c r="A129" s="2616"/>
      <c r="B129" s="2601" t="s">
        <v>1665</v>
      </c>
      <c r="C129" s="814" t="s">
        <v>1355</v>
      </c>
      <c r="D129" s="843">
        <v>0</v>
      </c>
      <c r="E129" s="843">
        <v>0</v>
      </c>
      <c r="F129" s="843">
        <v>0</v>
      </c>
      <c r="G129" s="843">
        <v>0</v>
      </c>
      <c r="H129" s="843">
        <v>0</v>
      </c>
      <c r="I129" s="843">
        <v>0</v>
      </c>
      <c r="J129" s="843">
        <v>0</v>
      </c>
      <c r="K129" s="843">
        <v>0</v>
      </c>
      <c r="L129" s="843">
        <v>0</v>
      </c>
      <c r="M129" s="843">
        <v>0</v>
      </c>
      <c r="N129" s="843">
        <v>0</v>
      </c>
      <c r="O129" s="843">
        <v>0</v>
      </c>
      <c r="P129" s="843">
        <v>0</v>
      </c>
      <c r="Q129" s="843">
        <v>0</v>
      </c>
      <c r="R129" s="843">
        <v>0</v>
      </c>
      <c r="S129" s="843">
        <v>0</v>
      </c>
      <c r="T129" s="843">
        <v>0</v>
      </c>
      <c r="U129" s="843">
        <v>0</v>
      </c>
      <c r="V129" s="843">
        <v>0</v>
      </c>
      <c r="W129" s="843">
        <v>0</v>
      </c>
      <c r="X129" s="843">
        <v>0</v>
      </c>
      <c r="Y129" s="843">
        <v>0</v>
      </c>
      <c r="Z129" s="843">
        <v>0</v>
      </c>
      <c r="AA129" s="843">
        <v>0</v>
      </c>
      <c r="AB129" s="843">
        <v>0</v>
      </c>
      <c r="AC129" s="843">
        <v>0</v>
      </c>
      <c r="AD129" s="843">
        <v>0</v>
      </c>
      <c r="AE129" s="843">
        <v>0</v>
      </c>
      <c r="AF129" s="843">
        <v>0</v>
      </c>
      <c r="AG129" s="843">
        <v>0</v>
      </c>
      <c r="AH129" s="843">
        <v>0</v>
      </c>
      <c r="AI129" s="843">
        <v>0</v>
      </c>
      <c r="AJ129" s="843">
        <v>0</v>
      </c>
      <c r="AK129" s="843">
        <v>0</v>
      </c>
      <c r="AL129" s="843">
        <v>0</v>
      </c>
      <c r="AM129" s="843">
        <v>0</v>
      </c>
      <c r="AN129" s="843">
        <v>0</v>
      </c>
      <c r="AO129" s="843">
        <v>0</v>
      </c>
      <c r="AP129" s="843">
        <v>0</v>
      </c>
      <c r="AQ129" s="843">
        <v>0</v>
      </c>
      <c r="AR129" s="843">
        <v>0</v>
      </c>
      <c r="AS129" s="843">
        <v>0</v>
      </c>
      <c r="AT129" s="843">
        <v>0</v>
      </c>
      <c r="AU129" s="843">
        <v>0</v>
      </c>
      <c r="AV129" s="843">
        <v>0</v>
      </c>
      <c r="AW129" s="843">
        <v>0</v>
      </c>
      <c r="AX129" s="843">
        <v>0</v>
      </c>
      <c r="AY129" s="843">
        <v>0</v>
      </c>
      <c r="AZ129" s="843">
        <v>0</v>
      </c>
      <c r="BA129" s="843">
        <v>0</v>
      </c>
      <c r="BB129" s="843">
        <v>0</v>
      </c>
      <c r="BC129" s="843">
        <v>0</v>
      </c>
      <c r="BD129" s="843"/>
      <c r="BE129" s="855"/>
      <c r="BF129" s="855"/>
      <c r="BG129" s="855"/>
      <c r="BH129" s="855"/>
      <c r="BI129" s="855"/>
      <c r="BJ129" s="855"/>
      <c r="BK129" s="855"/>
      <c r="BL129" s="855"/>
      <c r="BM129" s="855"/>
      <c r="BN129" s="855"/>
      <c r="BO129" s="855"/>
      <c r="BP129" s="855"/>
      <c r="BQ129" s="843"/>
      <c r="BR129" s="843"/>
      <c r="BS129" s="843"/>
      <c r="BT129" s="826"/>
      <c r="BU129" s="746"/>
      <c r="BV129" s="746"/>
      <c r="BW129" s="746"/>
      <c r="BX129" s="746"/>
      <c r="BY129" s="746"/>
      <c r="BZ129" s="746"/>
    </row>
    <row r="130" spans="1:78" s="714" customFormat="1" ht="21.95" customHeight="1">
      <c r="A130" s="2616"/>
      <c r="B130" s="2585"/>
      <c r="C130" s="814" t="s">
        <v>1539</v>
      </c>
      <c r="D130" s="834">
        <v>0</v>
      </c>
      <c r="E130" s="834">
        <v>0</v>
      </c>
      <c r="F130" s="834">
        <v>0</v>
      </c>
      <c r="G130" s="834">
        <v>0</v>
      </c>
      <c r="H130" s="834">
        <v>0</v>
      </c>
      <c r="I130" s="834">
        <v>0</v>
      </c>
      <c r="J130" s="834">
        <v>0</v>
      </c>
      <c r="K130" s="834">
        <v>0</v>
      </c>
      <c r="L130" s="834">
        <v>0</v>
      </c>
      <c r="M130" s="834">
        <v>0</v>
      </c>
      <c r="N130" s="834">
        <v>0</v>
      </c>
      <c r="O130" s="834">
        <v>0</v>
      </c>
      <c r="P130" s="834">
        <v>0</v>
      </c>
      <c r="Q130" s="834">
        <v>0</v>
      </c>
      <c r="R130" s="834">
        <v>0</v>
      </c>
      <c r="S130" s="834">
        <v>0</v>
      </c>
      <c r="T130" s="834">
        <v>0</v>
      </c>
      <c r="U130" s="834">
        <v>0</v>
      </c>
      <c r="V130" s="834">
        <v>0</v>
      </c>
      <c r="W130" s="834">
        <v>0</v>
      </c>
      <c r="X130" s="834">
        <v>0</v>
      </c>
      <c r="Y130" s="834">
        <v>0</v>
      </c>
      <c r="Z130" s="834">
        <v>0</v>
      </c>
      <c r="AA130" s="834">
        <v>0</v>
      </c>
      <c r="AB130" s="834">
        <v>0</v>
      </c>
      <c r="AC130" s="834">
        <v>0</v>
      </c>
      <c r="AD130" s="834">
        <v>0</v>
      </c>
      <c r="AE130" s="834">
        <v>0</v>
      </c>
      <c r="AF130" s="834">
        <v>0</v>
      </c>
      <c r="AG130" s="834">
        <v>0</v>
      </c>
      <c r="AH130" s="834">
        <v>0</v>
      </c>
      <c r="AI130" s="834">
        <v>0</v>
      </c>
      <c r="AJ130" s="834">
        <v>0</v>
      </c>
      <c r="AK130" s="834">
        <v>0</v>
      </c>
      <c r="AL130" s="834">
        <v>0</v>
      </c>
      <c r="AM130" s="834">
        <v>0</v>
      </c>
      <c r="AN130" s="834">
        <v>0</v>
      </c>
      <c r="AO130" s="834">
        <v>0</v>
      </c>
      <c r="AP130" s="834">
        <v>0</v>
      </c>
      <c r="AQ130" s="834">
        <v>0</v>
      </c>
      <c r="AR130" s="834">
        <v>0</v>
      </c>
      <c r="AS130" s="834">
        <v>0</v>
      </c>
      <c r="AT130" s="834">
        <v>0</v>
      </c>
      <c r="AU130" s="834">
        <v>0</v>
      </c>
      <c r="AV130" s="834">
        <v>0</v>
      </c>
      <c r="AW130" s="834">
        <v>0</v>
      </c>
      <c r="AX130" s="834">
        <v>0</v>
      </c>
      <c r="AY130" s="834">
        <v>0</v>
      </c>
      <c r="AZ130" s="834">
        <v>0</v>
      </c>
      <c r="BA130" s="834">
        <v>0</v>
      </c>
      <c r="BB130" s="834">
        <v>0</v>
      </c>
      <c r="BC130" s="834">
        <v>0</v>
      </c>
      <c r="BD130" s="834"/>
      <c r="BE130" s="856"/>
      <c r="BF130" s="856"/>
      <c r="BG130" s="856"/>
      <c r="BH130" s="856"/>
      <c r="BI130" s="856"/>
      <c r="BJ130" s="856"/>
      <c r="BK130" s="856"/>
      <c r="BL130" s="856"/>
      <c r="BM130" s="856"/>
      <c r="BN130" s="856"/>
      <c r="BO130" s="856"/>
      <c r="BP130" s="856"/>
      <c r="BQ130" s="834"/>
      <c r="BR130" s="834"/>
      <c r="BS130" s="834"/>
      <c r="BT130" s="826"/>
      <c r="BU130" s="746"/>
      <c r="BV130" s="746"/>
      <c r="BW130" s="746"/>
      <c r="BX130" s="746"/>
      <c r="BY130" s="746"/>
      <c r="BZ130" s="746"/>
    </row>
    <row r="131" spans="1:78" s="714" customFormat="1" ht="21.95" customHeight="1">
      <c r="A131" s="2616"/>
      <c r="B131" s="2585"/>
      <c r="C131" s="814" t="s">
        <v>1647</v>
      </c>
      <c r="D131" s="840">
        <v>0</v>
      </c>
      <c r="E131" s="840">
        <v>0</v>
      </c>
      <c r="F131" s="840">
        <v>0</v>
      </c>
      <c r="G131" s="840">
        <v>0</v>
      </c>
      <c r="H131" s="840">
        <v>0</v>
      </c>
      <c r="I131" s="840">
        <v>0</v>
      </c>
      <c r="J131" s="840">
        <v>0</v>
      </c>
      <c r="K131" s="840">
        <v>0</v>
      </c>
      <c r="L131" s="840">
        <v>0</v>
      </c>
      <c r="M131" s="840">
        <v>0</v>
      </c>
      <c r="N131" s="840">
        <v>0</v>
      </c>
      <c r="O131" s="840">
        <v>0</v>
      </c>
      <c r="P131" s="840">
        <v>0</v>
      </c>
      <c r="Q131" s="840">
        <v>0</v>
      </c>
      <c r="R131" s="840">
        <v>0</v>
      </c>
      <c r="S131" s="840">
        <v>0</v>
      </c>
      <c r="T131" s="840">
        <v>0</v>
      </c>
      <c r="U131" s="840">
        <v>0</v>
      </c>
      <c r="V131" s="840">
        <v>0</v>
      </c>
      <c r="W131" s="840">
        <v>0</v>
      </c>
      <c r="X131" s="840">
        <v>0</v>
      </c>
      <c r="Y131" s="840">
        <v>0</v>
      </c>
      <c r="Z131" s="840">
        <v>0</v>
      </c>
      <c r="AA131" s="840">
        <v>0</v>
      </c>
      <c r="AB131" s="840">
        <v>0</v>
      </c>
      <c r="AC131" s="840">
        <v>0</v>
      </c>
      <c r="AD131" s="840">
        <v>0</v>
      </c>
      <c r="AE131" s="840">
        <v>0</v>
      </c>
      <c r="AF131" s="840">
        <v>0</v>
      </c>
      <c r="AG131" s="840">
        <v>0</v>
      </c>
      <c r="AH131" s="840">
        <v>0</v>
      </c>
      <c r="AI131" s="840">
        <v>0</v>
      </c>
      <c r="AJ131" s="840">
        <v>0</v>
      </c>
      <c r="AK131" s="840">
        <v>0</v>
      </c>
      <c r="AL131" s="840">
        <v>0</v>
      </c>
      <c r="AM131" s="840">
        <v>0</v>
      </c>
      <c r="AN131" s="840">
        <v>0</v>
      </c>
      <c r="AO131" s="840">
        <v>0</v>
      </c>
      <c r="AP131" s="840">
        <v>0</v>
      </c>
      <c r="AQ131" s="840">
        <v>0</v>
      </c>
      <c r="AR131" s="840">
        <v>0</v>
      </c>
      <c r="AS131" s="840">
        <v>0</v>
      </c>
      <c r="AT131" s="840">
        <v>0</v>
      </c>
      <c r="AU131" s="840">
        <v>0</v>
      </c>
      <c r="AV131" s="840">
        <v>0</v>
      </c>
      <c r="AW131" s="840">
        <v>0</v>
      </c>
      <c r="AX131" s="840">
        <v>0</v>
      </c>
      <c r="AY131" s="840">
        <v>0</v>
      </c>
      <c r="AZ131" s="840">
        <v>0</v>
      </c>
      <c r="BA131" s="840">
        <v>0</v>
      </c>
      <c r="BB131" s="840">
        <v>0</v>
      </c>
      <c r="BC131" s="840">
        <v>0</v>
      </c>
      <c r="BD131" s="840"/>
      <c r="BE131" s="857"/>
      <c r="BF131" s="857"/>
      <c r="BG131" s="857"/>
      <c r="BH131" s="857"/>
      <c r="BI131" s="857"/>
      <c r="BJ131" s="857"/>
      <c r="BK131" s="857"/>
      <c r="BL131" s="857"/>
      <c r="BM131" s="857"/>
      <c r="BN131" s="857"/>
      <c r="BO131" s="857"/>
      <c r="BP131" s="857"/>
      <c r="BQ131" s="840"/>
      <c r="BR131" s="840"/>
      <c r="BS131" s="840"/>
      <c r="BT131" s="826"/>
      <c r="BU131" s="746"/>
      <c r="BV131" s="746"/>
      <c r="BW131" s="746"/>
      <c r="BX131" s="746"/>
      <c r="BY131" s="746"/>
      <c r="BZ131" s="746"/>
    </row>
    <row r="132" spans="1:78" s="714" customFormat="1" ht="21.95" customHeight="1">
      <c r="A132" s="2616"/>
      <c r="B132" s="2601" t="s">
        <v>1486</v>
      </c>
      <c r="C132" s="814" t="s">
        <v>1355</v>
      </c>
      <c r="D132" s="834">
        <v>0</v>
      </c>
      <c r="E132" s="834">
        <v>0</v>
      </c>
      <c r="F132" s="834">
        <v>0</v>
      </c>
      <c r="G132" s="834">
        <v>0</v>
      </c>
      <c r="H132" s="834">
        <v>0</v>
      </c>
      <c r="I132" s="834">
        <v>0</v>
      </c>
      <c r="J132" s="834">
        <v>0</v>
      </c>
      <c r="K132" s="834">
        <v>0</v>
      </c>
      <c r="L132" s="834">
        <v>0</v>
      </c>
      <c r="M132" s="834">
        <v>0</v>
      </c>
      <c r="N132" s="834">
        <v>0</v>
      </c>
      <c r="O132" s="834">
        <v>0</v>
      </c>
      <c r="P132" s="834">
        <v>0</v>
      </c>
      <c r="Q132" s="834">
        <v>0</v>
      </c>
      <c r="R132" s="834">
        <v>0</v>
      </c>
      <c r="S132" s="834">
        <v>0</v>
      </c>
      <c r="T132" s="834">
        <v>0</v>
      </c>
      <c r="U132" s="834">
        <v>0</v>
      </c>
      <c r="V132" s="834">
        <v>0</v>
      </c>
      <c r="W132" s="834">
        <v>0</v>
      </c>
      <c r="X132" s="834">
        <v>0</v>
      </c>
      <c r="Y132" s="834">
        <v>0</v>
      </c>
      <c r="Z132" s="834">
        <v>0</v>
      </c>
      <c r="AA132" s="834">
        <v>0</v>
      </c>
      <c r="AB132" s="834">
        <v>0</v>
      </c>
      <c r="AC132" s="834">
        <v>0</v>
      </c>
      <c r="AD132" s="834">
        <v>0</v>
      </c>
      <c r="AE132" s="834">
        <v>0</v>
      </c>
      <c r="AF132" s="834">
        <v>0</v>
      </c>
      <c r="AG132" s="834">
        <v>0</v>
      </c>
      <c r="AH132" s="834">
        <v>0</v>
      </c>
      <c r="AI132" s="834">
        <v>0</v>
      </c>
      <c r="AJ132" s="834">
        <v>0</v>
      </c>
      <c r="AK132" s="834">
        <v>0</v>
      </c>
      <c r="AL132" s="834">
        <v>0</v>
      </c>
      <c r="AM132" s="834">
        <v>0</v>
      </c>
      <c r="AN132" s="834">
        <v>0</v>
      </c>
      <c r="AO132" s="834">
        <v>0</v>
      </c>
      <c r="AP132" s="834">
        <v>0</v>
      </c>
      <c r="AQ132" s="834">
        <v>0</v>
      </c>
      <c r="AR132" s="834">
        <v>0</v>
      </c>
      <c r="AS132" s="834">
        <v>0</v>
      </c>
      <c r="AT132" s="834">
        <v>0</v>
      </c>
      <c r="AU132" s="834">
        <v>0</v>
      </c>
      <c r="AV132" s="834">
        <v>0</v>
      </c>
      <c r="AW132" s="834">
        <v>0</v>
      </c>
      <c r="AX132" s="834">
        <v>0</v>
      </c>
      <c r="AY132" s="834">
        <v>0</v>
      </c>
      <c r="AZ132" s="834">
        <v>0</v>
      </c>
      <c r="BA132" s="834">
        <v>0</v>
      </c>
      <c r="BB132" s="834">
        <v>0</v>
      </c>
      <c r="BC132" s="834">
        <v>0</v>
      </c>
      <c r="BD132" s="834"/>
      <c r="BE132" s="856"/>
      <c r="BF132" s="856"/>
      <c r="BG132" s="856"/>
      <c r="BH132" s="856"/>
      <c r="BI132" s="856"/>
      <c r="BJ132" s="856"/>
      <c r="BK132" s="856"/>
      <c r="BL132" s="856"/>
      <c r="BM132" s="856"/>
      <c r="BN132" s="856"/>
      <c r="BO132" s="856"/>
      <c r="BP132" s="856"/>
      <c r="BQ132" s="834"/>
      <c r="BR132" s="834"/>
      <c r="BS132" s="834"/>
      <c r="BT132" s="826"/>
      <c r="BU132" s="746"/>
      <c r="BV132" s="746"/>
      <c r="BW132" s="746"/>
      <c r="BX132" s="746"/>
      <c r="BY132" s="746"/>
      <c r="BZ132" s="746"/>
    </row>
    <row r="133" spans="1:78" s="714" customFormat="1" ht="21.95" customHeight="1">
      <c r="A133" s="2616"/>
      <c r="B133" s="2585"/>
      <c r="C133" s="814" t="s">
        <v>1539</v>
      </c>
      <c r="D133" s="834">
        <v>0</v>
      </c>
      <c r="E133" s="834">
        <v>0</v>
      </c>
      <c r="F133" s="834">
        <v>0</v>
      </c>
      <c r="G133" s="834">
        <v>0</v>
      </c>
      <c r="H133" s="834">
        <v>0</v>
      </c>
      <c r="I133" s="834">
        <v>0</v>
      </c>
      <c r="J133" s="834">
        <v>0</v>
      </c>
      <c r="K133" s="834">
        <v>0</v>
      </c>
      <c r="L133" s="834">
        <v>0</v>
      </c>
      <c r="M133" s="834">
        <v>0</v>
      </c>
      <c r="N133" s="834">
        <v>0</v>
      </c>
      <c r="O133" s="834">
        <v>0</v>
      </c>
      <c r="P133" s="834">
        <v>0</v>
      </c>
      <c r="Q133" s="834">
        <v>0</v>
      </c>
      <c r="R133" s="834">
        <v>0</v>
      </c>
      <c r="S133" s="834">
        <v>0</v>
      </c>
      <c r="T133" s="834">
        <v>0</v>
      </c>
      <c r="U133" s="834">
        <v>0</v>
      </c>
      <c r="V133" s="834">
        <v>0</v>
      </c>
      <c r="W133" s="834">
        <v>0</v>
      </c>
      <c r="X133" s="834">
        <v>0</v>
      </c>
      <c r="Y133" s="834">
        <v>0</v>
      </c>
      <c r="Z133" s="834">
        <v>0</v>
      </c>
      <c r="AA133" s="834">
        <v>0</v>
      </c>
      <c r="AB133" s="834">
        <v>0</v>
      </c>
      <c r="AC133" s="834">
        <v>0</v>
      </c>
      <c r="AD133" s="834">
        <v>0</v>
      </c>
      <c r="AE133" s="834">
        <v>0</v>
      </c>
      <c r="AF133" s="834">
        <v>0</v>
      </c>
      <c r="AG133" s="834">
        <v>0</v>
      </c>
      <c r="AH133" s="834">
        <v>0</v>
      </c>
      <c r="AI133" s="834">
        <v>0</v>
      </c>
      <c r="AJ133" s="834">
        <v>0</v>
      </c>
      <c r="AK133" s="834">
        <v>0</v>
      </c>
      <c r="AL133" s="834">
        <v>0</v>
      </c>
      <c r="AM133" s="834">
        <v>0</v>
      </c>
      <c r="AN133" s="834">
        <v>0</v>
      </c>
      <c r="AO133" s="834">
        <v>0</v>
      </c>
      <c r="AP133" s="834">
        <v>0</v>
      </c>
      <c r="AQ133" s="834">
        <v>0</v>
      </c>
      <c r="AR133" s="834">
        <v>0</v>
      </c>
      <c r="AS133" s="834">
        <v>0</v>
      </c>
      <c r="AT133" s="834">
        <v>0</v>
      </c>
      <c r="AU133" s="834">
        <v>0</v>
      </c>
      <c r="AV133" s="834">
        <v>0</v>
      </c>
      <c r="AW133" s="834">
        <v>0</v>
      </c>
      <c r="AX133" s="834">
        <v>0</v>
      </c>
      <c r="AY133" s="834">
        <v>0</v>
      </c>
      <c r="AZ133" s="834">
        <v>0</v>
      </c>
      <c r="BA133" s="834">
        <v>0</v>
      </c>
      <c r="BB133" s="834">
        <v>0</v>
      </c>
      <c r="BC133" s="834">
        <v>0</v>
      </c>
      <c r="BD133" s="834"/>
      <c r="BE133" s="856"/>
      <c r="BF133" s="856"/>
      <c r="BG133" s="856"/>
      <c r="BH133" s="856"/>
      <c r="BI133" s="856"/>
      <c r="BJ133" s="856"/>
      <c r="BK133" s="856"/>
      <c r="BL133" s="856"/>
      <c r="BM133" s="856"/>
      <c r="BN133" s="856"/>
      <c r="BO133" s="856"/>
      <c r="BP133" s="856"/>
      <c r="BQ133" s="834"/>
      <c r="BR133" s="834"/>
      <c r="BS133" s="834"/>
      <c r="BT133" s="826"/>
      <c r="BU133" s="746"/>
      <c r="BV133" s="746"/>
      <c r="BW133" s="746"/>
      <c r="BX133" s="746"/>
      <c r="BY133" s="746"/>
      <c r="BZ133" s="746"/>
    </row>
    <row r="134" spans="1:78" s="714" customFormat="1" ht="21.95" customHeight="1">
      <c r="A134" s="2616"/>
      <c r="B134" s="2585"/>
      <c r="C134" s="814" t="s">
        <v>1647</v>
      </c>
      <c r="D134" s="834">
        <v>0</v>
      </c>
      <c r="E134" s="834">
        <v>0</v>
      </c>
      <c r="F134" s="834">
        <v>0</v>
      </c>
      <c r="G134" s="834">
        <v>0</v>
      </c>
      <c r="H134" s="834">
        <v>0</v>
      </c>
      <c r="I134" s="834">
        <v>0</v>
      </c>
      <c r="J134" s="834">
        <v>0</v>
      </c>
      <c r="K134" s="834">
        <v>0</v>
      </c>
      <c r="L134" s="834">
        <v>0</v>
      </c>
      <c r="M134" s="834">
        <v>0</v>
      </c>
      <c r="N134" s="834">
        <v>0</v>
      </c>
      <c r="O134" s="834">
        <v>0</v>
      </c>
      <c r="P134" s="834">
        <v>0</v>
      </c>
      <c r="Q134" s="834">
        <v>0</v>
      </c>
      <c r="R134" s="834">
        <v>0</v>
      </c>
      <c r="S134" s="834">
        <v>0</v>
      </c>
      <c r="T134" s="834">
        <v>0</v>
      </c>
      <c r="U134" s="834">
        <v>0</v>
      </c>
      <c r="V134" s="834">
        <v>0</v>
      </c>
      <c r="W134" s="834">
        <v>0</v>
      </c>
      <c r="X134" s="834">
        <v>0</v>
      </c>
      <c r="Y134" s="834">
        <v>0</v>
      </c>
      <c r="Z134" s="834">
        <v>0</v>
      </c>
      <c r="AA134" s="834">
        <v>0</v>
      </c>
      <c r="AB134" s="834">
        <v>0</v>
      </c>
      <c r="AC134" s="834">
        <v>0</v>
      </c>
      <c r="AD134" s="834">
        <v>0</v>
      </c>
      <c r="AE134" s="834">
        <v>0</v>
      </c>
      <c r="AF134" s="834">
        <v>0</v>
      </c>
      <c r="AG134" s="834">
        <v>0</v>
      </c>
      <c r="AH134" s="834">
        <v>0</v>
      </c>
      <c r="AI134" s="834">
        <v>0</v>
      </c>
      <c r="AJ134" s="834">
        <v>0</v>
      </c>
      <c r="AK134" s="834">
        <v>0</v>
      </c>
      <c r="AL134" s="834">
        <v>0</v>
      </c>
      <c r="AM134" s="834">
        <v>0</v>
      </c>
      <c r="AN134" s="834">
        <v>0</v>
      </c>
      <c r="AO134" s="834">
        <v>0</v>
      </c>
      <c r="AP134" s="834">
        <v>0</v>
      </c>
      <c r="AQ134" s="834">
        <v>0</v>
      </c>
      <c r="AR134" s="834">
        <v>0</v>
      </c>
      <c r="AS134" s="834">
        <v>0</v>
      </c>
      <c r="AT134" s="834">
        <v>0</v>
      </c>
      <c r="AU134" s="834">
        <v>0</v>
      </c>
      <c r="AV134" s="834">
        <v>0</v>
      </c>
      <c r="AW134" s="834">
        <v>0</v>
      </c>
      <c r="AX134" s="834">
        <v>0</v>
      </c>
      <c r="AY134" s="834">
        <v>0</v>
      </c>
      <c r="AZ134" s="834">
        <v>0</v>
      </c>
      <c r="BA134" s="834">
        <v>0</v>
      </c>
      <c r="BB134" s="834">
        <v>0</v>
      </c>
      <c r="BC134" s="834">
        <v>0</v>
      </c>
      <c r="BD134" s="834"/>
      <c r="BE134" s="856"/>
      <c r="BF134" s="856"/>
      <c r="BG134" s="856"/>
      <c r="BH134" s="856"/>
      <c r="BI134" s="856"/>
      <c r="BJ134" s="856"/>
      <c r="BK134" s="856"/>
      <c r="BL134" s="856"/>
      <c r="BM134" s="856"/>
      <c r="BN134" s="856"/>
      <c r="BO134" s="856"/>
      <c r="BP134" s="856"/>
      <c r="BQ134" s="834"/>
      <c r="BR134" s="834"/>
      <c r="BS134" s="834"/>
      <c r="BT134" s="826"/>
      <c r="BU134" s="746"/>
      <c r="BV134" s="746"/>
      <c r="BW134" s="746"/>
      <c r="BX134" s="746"/>
      <c r="BY134" s="746"/>
      <c r="BZ134" s="746"/>
    </row>
    <row r="135" spans="1:78" s="714" customFormat="1" ht="21.95" customHeight="1">
      <c r="A135" s="2616"/>
      <c r="B135" s="2601" t="s">
        <v>1487</v>
      </c>
      <c r="C135" s="814" t="s">
        <v>1355</v>
      </c>
      <c r="D135" s="843">
        <v>0</v>
      </c>
      <c r="E135" s="843">
        <v>0</v>
      </c>
      <c r="F135" s="843">
        <v>0</v>
      </c>
      <c r="G135" s="843">
        <v>0</v>
      </c>
      <c r="H135" s="843">
        <v>0</v>
      </c>
      <c r="I135" s="843">
        <v>0</v>
      </c>
      <c r="J135" s="843">
        <v>0</v>
      </c>
      <c r="K135" s="843">
        <v>0</v>
      </c>
      <c r="L135" s="843">
        <v>0</v>
      </c>
      <c r="M135" s="843">
        <v>0</v>
      </c>
      <c r="N135" s="843">
        <v>0</v>
      </c>
      <c r="O135" s="843">
        <v>0</v>
      </c>
      <c r="P135" s="843">
        <v>0</v>
      </c>
      <c r="Q135" s="843">
        <v>0</v>
      </c>
      <c r="R135" s="843">
        <v>0</v>
      </c>
      <c r="S135" s="843">
        <v>0</v>
      </c>
      <c r="T135" s="843">
        <v>0</v>
      </c>
      <c r="U135" s="843">
        <v>0</v>
      </c>
      <c r="V135" s="843">
        <v>0</v>
      </c>
      <c r="W135" s="843">
        <v>0</v>
      </c>
      <c r="X135" s="843">
        <v>0</v>
      </c>
      <c r="Y135" s="843">
        <v>0</v>
      </c>
      <c r="Z135" s="843">
        <v>0</v>
      </c>
      <c r="AA135" s="843">
        <v>0</v>
      </c>
      <c r="AB135" s="843">
        <v>0</v>
      </c>
      <c r="AC135" s="843">
        <v>0</v>
      </c>
      <c r="AD135" s="843">
        <v>0</v>
      </c>
      <c r="AE135" s="843">
        <v>0</v>
      </c>
      <c r="AF135" s="843">
        <v>0</v>
      </c>
      <c r="AG135" s="843">
        <v>0</v>
      </c>
      <c r="AH135" s="843">
        <v>0</v>
      </c>
      <c r="AI135" s="843">
        <v>0</v>
      </c>
      <c r="AJ135" s="843">
        <v>0</v>
      </c>
      <c r="AK135" s="843">
        <v>0</v>
      </c>
      <c r="AL135" s="843">
        <v>0</v>
      </c>
      <c r="AM135" s="843">
        <v>0</v>
      </c>
      <c r="AN135" s="843">
        <v>0</v>
      </c>
      <c r="AO135" s="843">
        <v>0</v>
      </c>
      <c r="AP135" s="843">
        <v>0</v>
      </c>
      <c r="AQ135" s="843">
        <v>0</v>
      </c>
      <c r="AR135" s="843">
        <v>0</v>
      </c>
      <c r="AS135" s="843">
        <v>0</v>
      </c>
      <c r="AT135" s="843">
        <v>0</v>
      </c>
      <c r="AU135" s="843">
        <v>0</v>
      </c>
      <c r="AV135" s="843">
        <v>0</v>
      </c>
      <c r="AW135" s="843">
        <v>0</v>
      </c>
      <c r="AX135" s="843">
        <v>0</v>
      </c>
      <c r="AY135" s="843">
        <v>0</v>
      </c>
      <c r="AZ135" s="843">
        <v>0</v>
      </c>
      <c r="BA135" s="843">
        <v>0</v>
      </c>
      <c r="BB135" s="843">
        <v>0</v>
      </c>
      <c r="BC135" s="843">
        <v>0</v>
      </c>
      <c r="BD135" s="843"/>
      <c r="BE135" s="855"/>
      <c r="BF135" s="855"/>
      <c r="BG135" s="855"/>
      <c r="BH135" s="855"/>
      <c r="BI135" s="855"/>
      <c r="BJ135" s="855"/>
      <c r="BK135" s="855"/>
      <c r="BL135" s="855"/>
      <c r="BM135" s="855"/>
      <c r="BN135" s="855"/>
      <c r="BO135" s="855"/>
      <c r="BP135" s="855"/>
      <c r="BQ135" s="843"/>
      <c r="BR135" s="843"/>
      <c r="BS135" s="843"/>
      <c r="BT135" s="826"/>
      <c r="BU135" s="746"/>
      <c r="BV135" s="746"/>
      <c r="BW135" s="746"/>
      <c r="BX135" s="746"/>
      <c r="BY135" s="746"/>
      <c r="BZ135" s="746"/>
    </row>
    <row r="136" spans="1:78" s="714" customFormat="1" ht="21.95" customHeight="1">
      <c r="A136" s="2616"/>
      <c r="B136" s="2585"/>
      <c r="C136" s="814" t="s">
        <v>1539</v>
      </c>
      <c r="D136" s="834">
        <v>0</v>
      </c>
      <c r="E136" s="834">
        <v>0</v>
      </c>
      <c r="F136" s="834">
        <v>0</v>
      </c>
      <c r="G136" s="834">
        <v>0</v>
      </c>
      <c r="H136" s="834">
        <v>0</v>
      </c>
      <c r="I136" s="834">
        <v>0</v>
      </c>
      <c r="J136" s="834">
        <v>0</v>
      </c>
      <c r="K136" s="834">
        <v>0</v>
      </c>
      <c r="L136" s="834">
        <v>0</v>
      </c>
      <c r="M136" s="834">
        <v>0</v>
      </c>
      <c r="N136" s="834">
        <v>0</v>
      </c>
      <c r="O136" s="834">
        <v>0</v>
      </c>
      <c r="P136" s="834">
        <v>0</v>
      </c>
      <c r="Q136" s="834">
        <v>0</v>
      </c>
      <c r="R136" s="834">
        <v>0</v>
      </c>
      <c r="S136" s="834">
        <v>0</v>
      </c>
      <c r="T136" s="834">
        <v>0</v>
      </c>
      <c r="U136" s="834">
        <v>0</v>
      </c>
      <c r="V136" s="834">
        <v>0</v>
      </c>
      <c r="W136" s="834">
        <v>0</v>
      </c>
      <c r="X136" s="834">
        <v>0</v>
      </c>
      <c r="Y136" s="834">
        <v>0</v>
      </c>
      <c r="Z136" s="834">
        <v>0</v>
      </c>
      <c r="AA136" s="834">
        <v>0</v>
      </c>
      <c r="AB136" s="834">
        <v>0</v>
      </c>
      <c r="AC136" s="834">
        <v>0</v>
      </c>
      <c r="AD136" s="834">
        <v>0</v>
      </c>
      <c r="AE136" s="834">
        <v>0</v>
      </c>
      <c r="AF136" s="834">
        <v>0</v>
      </c>
      <c r="AG136" s="834">
        <v>0</v>
      </c>
      <c r="AH136" s="834">
        <v>0</v>
      </c>
      <c r="AI136" s="834">
        <v>0</v>
      </c>
      <c r="AJ136" s="834">
        <v>0</v>
      </c>
      <c r="AK136" s="834">
        <v>0</v>
      </c>
      <c r="AL136" s="834">
        <v>0</v>
      </c>
      <c r="AM136" s="834">
        <v>0</v>
      </c>
      <c r="AN136" s="834">
        <v>0</v>
      </c>
      <c r="AO136" s="834">
        <v>0</v>
      </c>
      <c r="AP136" s="834">
        <v>0</v>
      </c>
      <c r="AQ136" s="834">
        <v>0</v>
      </c>
      <c r="AR136" s="834">
        <v>0</v>
      </c>
      <c r="AS136" s="834">
        <v>0</v>
      </c>
      <c r="AT136" s="834">
        <v>0</v>
      </c>
      <c r="AU136" s="834">
        <v>0</v>
      </c>
      <c r="AV136" s="834">
        <v>0</v>
      </c>
      <c r="AW136" s="834">
        <v>0</v>
      </c>
      <c r="AX136" s="834">
        <v>0</v>
      </c>
      <c r="AY136" s="834">
        <v>0</v>
      </c>
      <c r="AZ136" s="834">
        <v>0</v>
      </c>
      <c r="BA136" s="834">
        <v>0</v>
      </c>
      <c r="BB136" s="834">
        <v>0</v>
      </c>
      <c r="BC136" s="834">
        <v>0</v>
      </c>
      <c r="BD136" s="834"/>
      <c r="BE136" s="856"/>
      <c r="BF136" s="856"/>
      <c r="BG136" s="856"/>
      <c r="BH136" s="856"/>
      <c r="BI136" s="856"/>
      <c r="BJ136" s="856"/>
      <c r="BK136" s="856"/>
      <c r="BL136" s="856"/>
      <c r="BM136" s="856"/>
      <c r="BN136" s="856"/>
      <c r="BO136" s="856"/>
      <c r="BP136" s="856"/>
      <c r="BQ136" s="834"/>
      <c r="BR136" s="834"/>
      <c r="BS136" s="834"/>
      <c r="BT136" s="826"/>
      <c r="BU136" s="746"/>
      <c r="BV136" s="746"/>
      <c r="BW136" s="746"/>
      <c r="BX136" s="746"/>
      <c r="BY136" s="746"/>
      <c r="BZ136" s="746"/>
    </row>
    <row r="137" spans="1:78" s="714" customFormat="1" ht="21.95" customHeight="1">
      <c r="A137" s="2616"/>
      <c r="B137" s="2585"/>
      <c r="C137" s="814" t="s">
        <v>1647</v>
      </c>
      <c r="D137" s="840">
        <v>0</v>
      </c>
      <c r="E137" s="840">
        <v>0</v>
      </c>
      <c r="F137" s="840">
        <v>0</v>
      </c>
      <c r="G137" s="840">
        <v>0</v>
      </c>
      <c r="H137" s="840">
        <v>0</v>
      </c>
      <c r="I137" s="840">
        <v>0</v>
      </c>
      <c r="J137" s="840">
        <v>0</v>
      </c>
      <c r="K137" s="840">
        <v>0</v>
      </c>
      <c r="L137" s="840">
        <v>0</v>
      </c>
      <c r="M137" s="840">
        <v>0</v>
      </c>
      <c r="N137" s="840">
        <v>0</v>
      </c>
      <c r="O137" s="840">
        <v>0</v>
      </c>
      <c r="P137" s="840">
        <v>0</v>
      </c>
      <c r="Q137" s="840">
        <v>0</v>
      </c>
      <c r="R137" s="840">
        <v>0</v>
      </c>
      <c r="S137" s="840">
        <v>0</v>
      </c>
      <c r="T137" s="840">
        <v>0</v>
      </c>
      <c r="U137" s="840">
        <v>0</v>
      </c>
      <c r="V137" s="840">
        <v>0</v>
      </c>
      <c r="W137" s="840">
        <v>0</v>
      </c>
      <c r="X137" s="840">
        <v>0</v>
      </c>
      <c r="Y137" s="840">
        <v>0</v>
      </c>
      <c r="Z137" s="840">
        <v>0</v>
      </c>
      <c r="AA137" s="840">
        <v>0</v>
      </c>
      <c r="AB137" s="840">
        <v>0</v>
      </c>
      <c r="AC137" s="840">
        <v>0</v>
      </c>
      <c r="AD137" s="840">
        <v>0</v>
      </c>
      <c r="AE137" s="840">
        <v>0</v>
      </c>
      <c r="AF137" s="840">
        <v>0</v>
      </c>
      <c r="AG137" s="840">
        <v>0</v>
      </c>
      <c r="AH137" s="840">
        <v>0</v>
      </c>
      <c r="AI137" s="840">
        <v>0</v>
      </c>
      <c r="AJ137" s="840">
        <v>0</v>
      </c>
      <c r="AK137" s="840">
        <v>0</v>
      </c>
      <c r="AL137" s="840">
        <v>0</v>
      </c>
      <c r="AM137" s="840">
        <v>0</v>
      </c>
      <c r="AN137" s="840">
        <v>0</v>
      </c>
      <c r="AO137" s="840">
        <v>0</v>
      </c>
      <c r="AP137" s="840">
        <v>0</v>
      </c>
      <c r="AQ137" s="840">
        <v>0</v>
      </c>
      <c r="AR137" s="840">
        <v>0</v>
      </c>
      <c r="AS137" s="840">
        <v>0</v>
      </c>
      <c r="AT137" s="840">
        <v>0</v>
      </c>
      <c r="AU137" s="840">
        <v>0</v>
      </c>
      <c r="AV137" s="840">
        <v>0</v>
      </c>
      <c r="AW137" s="840">
        <v>0</v>
      </c>
      <c r="AX137" s="840">
        <v>0</v>
      </c>
      <c r="AY137" s="840">
        <v>0</v>
      </c>
      <c r="AZ137" s="840">
        <v>0</v>
      </c>
      <c r="BA137" s="840">
        <v>0</v>
      </c>
      <c r="BB137" s="840">
        <v>0</v>
      </c>
      <c r="BC137" s="840">
        <v>0</v>
      </c>
      <c r="BD137" s="840"/>
      <c r="BE137" s="857"/>
      <c r="BF137" s="857"/>
      <c r="BG137" s="857"/>
      <c r="BH137" s="857"/>
      <c r="BI137" s="857"/>
      <c r="BJ137" s="857"/>
      <c r="BK137" s="857"/>
      <c r="BL137" s="857"/>
      <c r="BM137" s="857"/>
      <c r="BN137" s="857"/>
      <c r="BO137" s="857"/>
      <c r="BP137" s="857"/>
      <c r="BQ137" s="840"/>
      <c r="BR137" s="840"/>
      <c r="BS137" s="840"/>
      <c r="BT137" s="826"/>
      <c r="BU137" s="746"/>
      <c r="BV137" s="746"/>
      <c r="BW137" s="746"/>
      <c r="BX137" s="746"/>
      <c r="BY137" s="746"/>
      <c r="BZ137" s="746"/>
    </row>
    <row r="138" spans="1:78" s="714" customFormat="1" ht="21.95" customHeight="1">
      <c r="A138" s="2616"/>
      <c r="B138" s="2601" t="s">
        <v>1666</v>
      </c>
      <c r="C138" s="814" t="s">
        <v>1355</v>
      </c>
      <c r="D138" s="843">
        <v>0</v>
      </c>
      <c r="E138" s="843">
        <v>0</v>
      </c>
      <c r="F138" s="843">
        <v>0</v>
      </c>
      <c r="G138" s="843">
        <v>0</v>
      </c>
      <c r="H138" s="843">
        <v>0</v>
      </c>
      <c r="I138" s="843">
        <v>0</v>
      </c>
      <c r="J138" s="843">
        <v>0</v>
      </c>
      <c r="K138" s="843">
        <v>0</v>
      </c>
      <c r="L138" s="843">
        <v>0</v>
      </c>
      <c r="M138" s="843">
        <v>0</v>
      </c>
      <c r="N138" s="843">
        <v>0</v>
      </c>
      <c r="O138" s="843">
        <v>0</v>
      </c>
      <c r="P138" s="843">
        <v>0</v>
      </c>
      <c r="Q138" s="843">
        <v>0</v>
      </c>
      <c r="R138" s="843">
        <v>0</v>
      </c>
      <c r="S138" s="843">
        <v>0</v>
      </c>
      <c r="T138" s="843">
        <v>0</v>
      </c>
      <c r="U138" s="843">
        <v>0</v>
      </c>
      <c r="V138" s="843">
        <v>0</v>
      </c>
      <c r="W138" s="843">
        <v>0</v>
      </c>
      <c r="X138" s="843">
        <v>0</v>
      </c>
      <c r="Y138" s="843">
        <v>0</v>
      </c>
      <c r="Z138" s="843">
        <v>0</v>
      </c>
      <c r="AA138" s="843">
        <v>0</v>
      </c>
      <c r="AB138" s="843">
        <v>0</v>
      </c>
      <c r="AC138" s="843">
        <v>0</v>
      </c>
      <c r="AD138" s="843">
        <v>0</v>
      </c>
      <c r="AE138" s="843">
        <v>0</v>
      </c>
      <c r="AF138" s="843">
        <v>0</v>
      </c>
      <c r="AG138" s="843">
        <v>0</v>
      </c>
      <c r="AH138" s="843">
        <v>0</v>
      </c>
      <c r="AI138" s="843">
        <v>0</v>
      </c>
      <c r="AJ138" s="843">
        <v>0</v>
      </c>
      <c r="AK138" s="843">
        <v>0</v>
      </c>
      <c r="AL138" s="843">
        <v>0</v>
      </c>
      <c r="AM138" s="843">
        <v>0</v>
      </c>
      <c r="AN138" s="843">
        <v>0</v>
      </c>
      <c r="AO138" s="843">
        <v>0</v>
      </c>
      <c r="AP138" s="843">
        <v>0</v>
      </c>
      <c r="AQ138" s="843">
        <v>0</v>
      </c>
      <c r="AR138" s="843">
        <v>0</v>
      </c>
      <c r="AS138" s="843">
        <v>0</v>
      </c>
      <c r="AT138" s="843">
        <v>0</v>
      </c>
      <c r="AU138" s="843">
        <v>0</v>
      </c>
      <c r="AV138" s="843">
        <v>0</v>
      </c>
      <c r="AW138" s="843">
        <v>0</v>
      </c>
      <c r="AX138" s="843">
        <v>0</v>
      </c>
      <c r="AY138" s="843">
        <v>0</v>
      </c>
      <c r="AZ138" s="843">
        <v>0</v>
      </c>
      <c r="BA138" s="843">
        <v>0</v>
      </c>
      <c r="BB138" s="843">
        <v>0</v>
      </c>
      <c r="BC138" s="843">
        <v>0</v>
      </c>
      <c r="BD138" s="843"/>
      <c r="BE138" s="855"/>
      <c r="BF138" s="855"/>
      <c r="BG138" s="855"/>
      <c r="BH138" s="855"/>
      <c r="BI138" s="855"/>
      <c r="BJ138" s="855"/>
      <c r="BK138" s="855"/>
      <c r="BL138" s="855"/>
      <c r="BM138" s="855"/>
      <c r="BN138" s="855"/>
      <c r="BO138" s="855"/>
      <c r="BP138" s="855"/>
      <c r="BQ138" s="843"/>
      <c r="BR138" s="843"/>
      <c r="BS138" s="843"/>
      <c r="BT138" s="826"/>
      <c r="BU138" s="746"/>
      <c r="BV138" s="746"/>
      <c r="BW138" s="746"/>
      <c r="BX138" s="746"/>
      <c r="BY138" s="746"/>
      <c r="BZ138" s="746"/>
    </row>
    <row r="139" spans="1:78" s="714" customFormat="1" ht="21.95" customHeight="1">
      <c r="A139" s="2616"/>
      <c r="B139" s="2585"/>
      <c r="C139" s="814" t="s">
        <v>1539</v>
      </c>
      <c r="D139" s="834">
        <v>0</v>
      </c>
      <c r="E139" s="834">
        <v>0</v>
      </c>
      <c r="F139" s="834">
        <v>0</v>
      </c>
      <c r="G139" s="834">
        <v>0</v>
      </c>
      <c r="H139" s="834">
        <v>0</v>
      </c>
      <c r="I139" s="834">
        <v>0</v>
      </c>
      <c r="J139" s="834">
        <v>0</v>
      </c>
      <c r="K139" s="834">
        <v>0</v>
      </c>
      <c r="L139" s="834">
        <v>0</v>
      </c>
      <c r="M139" s="834">
        <v>0</v>
      </c>
      <c r="N139" s="834">
        <v>0</v>
      </c>
      <c r="O139" s="834">
        <v>0</v>
      </c>
      <c r="P139" s="834">
        <v>0</v>
      </c>
      <c r="Q139" s="834">
        <v>0</v>
      </c>
      <c r="R139" s="834">
        <v>0</v>
      </c>
      <c r="S139" s="834">
        <v>0</v>
      </c>
      <c r="T139" s="834">
        <v>0</v>
      </c>
      <c r="U139" s="834">
        <v>0</v>
      </c>
      <c r="V139" s="834">
        <v>0</v>
      </c>
      <c r="W139" s="834">
        <v>0</v>
      </c>
      <c r="X139" s="834">
        <v>0</v>
      </c>
      <c r="Y139" s="834">
        <v>0</v>
      </c>
      <c r="Z139" s="834">
        <v>0</v>
      </c>
      <c r="AA139" s="834">
        <v>0</v>
      </c>
      <c r="AB139" s="834">
        <v>0</v>
      </c>
      <c r="AC139" s="834">
        <v>0</v>
      </c>
      <c r="AD139" s="834">
        <v>0</v>
      </c>
      <c r="AE139" s="834">
        <v>0</v>
      </c>
      <c r="AF139" s="834">
        <v>0</v>
      </c>
      <c r="AG139" s="834">
        <v>0</v>
      </c>
      <c r="AH139" s="834">
        <v>0</v>
      </c>
      <c r="AI139" s="834">
        <v>0</v>
      </c>
      <c r="AJ139" s="834">
        <v>0</v>
      </c>
      <c r="AK139" s="834">
        <v>0</v>
      </c>
      <c r="AL139" s="834">
        <v>0</v>
      </c>
      <c r="AM139" s="834">
        <v>0</v>
      </c>
      <c r="AN139" s="834">
        <v>0</v>
      </c>
      <c r="AO139" s="834">
        <v>0</v>
      </c>
      <c r="AP139" s="834">
        <v>0</v>
      </c>
      <c r="AQ139" s="834">
        <v>0</v>
      </c>
      <c r="AR139" s="834">
        <v>0</v>
      </c>
      <c r="AS139" s="834">
        <v>0</v>
      </c>
      <c r="AT139" s="834">
        <v>0</v>
      </c>
      <c r="AU139" s="834">
        <v>0</v>
      </c>
      <c r="AV139" s="834">
        <v>0</v>
      </c>
      <c r="AW139" s="834">
        <v>0</v>
      </c>
      <c r="AX139" s="834">
        <v>0</v>
      </c>
      <c r="AY139" s="834">
        <v>0</v>
      </c>
      <c r="AZ139" s="834">
        <v>0</v>
      </c>
      <c r="BA139" s="834">
        <v>0</v>
      </c>
      <c r="BB139" s="834">
        <v>0</v>
      </c>
      <c r="BC139" s="834">
        <v>0</v>
      </c>
      <c r="BD139" s="834"/>
      <c r="BE139" s="856"/>
      <c r="BF139" s="856"/>
      <c r="BG139" s="856"/>
      <c r="BH139" s="856"/>
      <c r="BI139" s="856"/>
      <c r="BJ139" s="856"/>
      <c r="BK139" s="856"/>
      <c r="BL139" s="856"/>
      <c r="BM139" s="856"/>
      <c r="BN139" s="856"/>
      <c r="BO139" s="856"/>
      <c r="BP139" s="856"/>
      <c r="BQ139" s="834"/>
      <c r="BR139" s="834"/>
      <c r="BS139" s="834"/>
      <c r="BT139" s="826"/>
      <c r="BU139" s="746"/>
      <c r="BV139" s="746"/>
      <c r="BW139" s="746"/>
      <c r="BX139" s="746"/>
      <c r="BY139" s="746"/>
      <c r="BZ139" s="746"/>
    </row>
    <row r="140" spans="1:78" s="714" customFormat="1" ht="21.95" customHeight="1">
      <c r="A140" s="2616"/>
      <c r="B140" s="2602"/>
      <c r="C140" s="814" t="s">
        <v>1647</v>
      </c>
      <c r="D140" s="840">
        <v>0</v>
      </c>
      <c r="E140" s="840">
        <v>0</v>
      </c>
      <c r="F140" s="840">
        <v>0</v>
      </c>
      <c r="G140" s="840">
        <v>0</v>
      </c>
      <c r="H140" s="840">
        <v>0</v>
      </c>
      <c r="I140" s="840">
        <v>0</v>
      </c>
      <c r="J140" s="840">
        <v>0</v>
      </c>
      <c r="K140" s="840">
        <v>0</v>
      </c>
      <c r="L140" s="840">
        <v>0</v>
      </c>
      <c r="M140" s="840">
        <v>0</v>
      </c>
      <c r="N140" s="840">
        <v>0</v>
      </c>
      <c r="O140" s="840">
        <v>0</v>
      </c>
      <c r="P140" s="840">
        <v>0</v>
      </c>
      <c r="Q140" s="840">
        <v>0</v>
      </c>
      <c r="R140" s="840">
        <v>0</v>
      </c>
      <c r="S140" s="840">
        <v>0</v>
      </c>
      <c r="T140" s="840">
        <v>0</v>
      </c>
      <c r="U140" s="840">
        <v>0</v>
      </c>
      <c r="V140" s="840">
        <v>0</v>
      </c>
      <c r="W140" s="840">
        <v>0</v>
      </c>
      <c r="X140" s="840">
        <v>0</v>
      </c>
      <c r="Y140" s="840">
        <v>0</v>
      </c>
      <c r="Z140" s="840">
        <v>0</v>
      </c>
      <c r="AA140" s="840">
        <v>0</v>
      </c>
      <c r="AB140" s="840">
        <v>0</v>
      </c>
      <c r="AC140" s="840">
        <v>0</v>
      </c>
      <c r="AD140" s="840">
        <v>0</v>
      </c>
      <c r="AE140" s="840">
        <v>0</v>
      </c>
      <c r="AF140" s="840">
        <v>0</v>
      </c>
      <c r="AG140" s="840">
        <v>0</v>
      </c>
      <c r="AH140" s="840">
        <v>0</v>
      </c>
      <c r="AI140" s="840">
        <v>0</v>
      </c>
      <c r="AJ140" s="840">
        <v>0</v>
      </c>
      <c r="AK140" s="840">
        <v>0</v>
      </c>
      <c r="AL140" s="840">
        <v>0</v>
      </c>
      <c r="AM140" s="840">
        <v>0</v>
      </c>
      <c r="AN140" s="840">
        <v>0</v>
      </c>
      <c r="AO140" s="840">
        <v>0</v>
      </c>
      <c r="AP140" s="840">
        <v>0</v>
      </c>
      <c r="AQ140" s="840">
        <v>0</v>
      </c>
      <c r="AR140" s="840">
        <v>0</v>
      </c>
      <c r="AS140" s="840">
        <v>0</v>
      </c>
      <c r="AT140" s="840">
        <v>0</v>
      </c>
      <c r="AU140" s="840">
        <v>0</v>
      </c>
      <c r="AV140" s="840">
        <v>0</v>
      </c>
      <c r="AW140" s="840">
        <v>0</v>
      </c>
      <c r="AX140" s="840">
        <v>0</v>
      </c>
      <c r="AY140" s="840">
        <v>0</v>
      </c>
      <c r="AZ140" s="840">
        <v>0</v>
      </c>
      <c r="BA140" s="840">
        <v>0</v>
      </c>
      <c r="BB140" s="840">
        <v>0</v>
      </c>
      <c r="BC140" s="840">
        <v>0</v>
      </c>
      <c r="BD140" s="840"/>
      <c r="BE140" s="857"/>
      <c r="BF140" s="857"/>
      <c r="BG140" s="857"/>
      <c r="BH140" s="857"/>
      <c r="BI140" s="857"/>
      <c r="BJ140" s="857"/>
      <c r="BK140" s="857"/>
      <c r="BL140" s="857"/>
      <c r="BM140" s="857"/>
      <c r="BN140" s="857"/>
      <c r="BO140" s="857"/>
      <c r="BP140" s="857"/>
      <c r="BQ140" s="840"/>
      <c r="BR140" s="840"/>
      <c r="BS140" s="840"/>
      <c r="BT140" s="826"/>
      <c r="BU140" s="746"/>
      <c r="BV140" s="746"/>
      <c r="BW140" s="746"/>
      <c r="BX140" s="746"/>
      <c r="BY140" s="746"/>
      <c r="BZ140" s="746"/>
    </row>
    <row r="141" spans="1:78" s="714" customFormat="1" ht="21.95" customHeight="1">
      <c r="A141" s="2616"/>
      <c r="B141" s="2599" t="s">
        <v>1502</v>
      </c>
      <c r="C141" s="2603"/>
      <c r="D141" s="834">
        <v>0</v>
      </c>
      <c r="E141" s="834">
        <v>0</v>
      </c>
      <c r="F141" s="834">
        <v>0</v>
      </c>
      <c r="G141" s="834">
        <v>0</v>
      </c>
      <c r="H141" s="834">
        <v>0</v>
      </c>
      <c r="I141" s="834">
        <v>0</v>
      </c>
      <c r="J141" s="834">
        <v>0</v>
      </c>
      <c r="K141" s="834">
        <v>0</v>
      </c>
      <c r="L141" s="834">
        <v>0</v>
      </c>
      <c r="M141" s="834">
        <v>0</v>
      </c>
      <c r="N141" s="834">
        <v>0</v>
      </c>
      <c r="O141" s="834">
        <v>0</v>
      </c>
      <c r="P141" s="834">
        <v>0</v>
      </c>
      <c r="Q141" s="834">
        <v>0</v>
      </c>
      <c r="R141" s="834">
        <v>0</v>
      </c>
      <c r="S141" s="834">
        <v>0</v>
      </c>
      <c r="T141" s="834">
        <v>0</v>
      </c>
      <c r="U141" s="834">
        <v>0</v>
      </c>
      <c r="V141" s="834">
        <v>0</v>
      </c>
      <c r="W141" s="834">
        <v>0</v>
      </c>
      <c r="X141" s="834">
        <v>0</v>
      </c>
      <c r="Y141" s="834">
        <v>0</v>
      </c>
      <c r="Z141" s="834">
        <v>0</v>
      </c>
      <c r="AA141" s="834">
        <v>0</v>
      </c>
      <c r="AB141" s="834">
        <v>0</v>
      </c>
      <c r="AC141" s="834">
        <v>0</v>
      </c>
      <c r="AD141" s="834">
        <v>0</v>
      </c>
      <c r="AE141" s="834">
        <v>0</v>
      </c>
      <c r="AF141" s="834">
        <v>0</v>
      </c>
      <c r="AG141" s="834">
        <v>0</v>
      </c>
      <c r="AH141" s="834">
        <v>0</v>
      </c>
      <c r="AI141" s="834">
        <v>0</v>
      </c>
      <c r="AJ141" s="834">
        <v>0</v>
      </c>
      <c r="AK141" s="834">
        <v>0</v>
      </c>
      <c r="AL141" s="834">
        <v>0</v>
      </c>
      <c r="AM141" s="834">
        <v>0</v>
      </c>
      <c r="AN141" s="834">
        <v>0</v>
      </c>
      <c r="AO141" s="834">
        <v>0</v>
      </c>
      <c r="AP141" s="834">
        <v>0</v>
      </c>
      <c r="AQ141" s="834">
        <v>0</v>
      </c>
      <c r="AR141" s="834">
        <v>0</v>
      </c>
      <c r="AS141" s="834">
        <v>0</v>
      </c>
      <c r="AT141" s="834">
        <v>0</v>
      </c>
      <c r="AU141" s="834">
        <v>0</v>
      </c>
      <c r="AV141" s="834">
        <v>0</v>
      </c>
      <c r="AW141" s="834">
        <v>0</v>
      </c>
      <c r="AX141" s="834">
        <v>0</v>
      </c>
      <c r="AY141" s="834">
        <v>0</v>
      </c>
      <c r="AZ141" s="834">
        <v>0</v>
      </c>
      <c r="BA141" s="834">
        <v>0</v>
      </c>
      <c r="BB141" s="834">
        <v>0</v>
      </c>
      <c r="BC141" s="834">
        <v>0</v>
      </c>
      <c r="BD141" s="834"/>
      <c r="BE141" s="856"/>
      <c r="BF141" s="856"/>
      <c r="BG141" s="856"/>
      <c r="BH141" s="856"/>
      <c r="BI141" s="856"/>
      <c r="BJ141" s="856"/>
      <c r="BK141" s="856"/>
      <c r="BL141" s="856"/>
      <c r="BM141" s="856"/>
      <c r="BN141" s="856"/>
      <c r="BO141" s="856"/>
      <c r="BP141" s="856"/>
      <c r="BQ141" s="834"/>
      <c r="BR141" s="834"/>
      <c r="BS141" s="834"/>
      <c r="BT141" s="826"/>
      <c r="BU141" s="746"/>
      <c r="BV141" s="746"/>
      <c r="BW141" s="746"/>
      <c r="BX141" s="746"/>
      <c r="BY141" s="746"/>
      <c r="BZ141" s="746"/>
    </row>
    <row r="142" spans="1:78" s="714" customFormat="1" ht="21.95" customHeight="1">
      <c r="A142" s="2616"/>
      <c r="B142" s="2599" t="s">
        <v>1503</v>
      </c>
      <c r="C142" s="2603"/>
      <c r="D142" s="834">
        <v>0</v>
      </c>
      <c r="E142" s="834">
        <v>0</v>
      </c>
      <c r="F142" s="834">
        <v>0</v>
      </c>
      <c r="G142" s="834">
        <v>0</v>
      </c>
      <c r="H142" s="834">
        <v>0</v>
      </c>
      <c r="I142" s="834">
        <v>0</v>
      </c>
      <c r="J142" s="834">
        <v>0</v>
      </c>
      <c r="K142" s="834">
        <v>0</v>
      </c>
      <c r="L142" s="834">
        <v>0</v>
      </c>
      <c r="M142" s="834">
        <v>0</v>
      </c>
      <c r="N142" s="834">
        <v>0</v>
      </c>
      <c r="O142" s="834">
        <v>0</v>
      </c>
      <c r="P142" s="834">
        <v>0</v>
      </c>
      <c r="Q142" s="834">
        <v>0</v>
      </c>
      <c r="R142" s="834">
        <v>0</v>
      </c>
      <c r="S142" s="834">
        <v>0</v>
      </c>
      <c r="T142" s="834">
        <v>0</v>
      </c>
      <c r="U142" s="834">
        <v>0</v>
      </c>
      <c r="V142" s="834">
        <v>0</v>
      </c>
      <c r="W142" s="834">
        <v>0</v>
      </c>
      <c r="X142" s="834">
        <v>0</v>
      </c>
      <c r="Y142" s="834">
        <v>0</v>
      </c>
      <c r="Z142" s="834">
        <v>0</v>
      </c>
      <c r="AA142" s="834">
        <v>0</v>
      </c>
      <c r="AB142" s="834">
        <v>0</v>
      </c>
      <c r="AC142" s="834">
        <v>0</v>
      </c>
      <c r="AD142" s="834">
        <v>0</v>
      </c>
      <c r="AE142" s="834">
        <v>0</v>
      </c>
      <c r="AF142" s="834">
        <v>0</v>
      </c>
      <c r="AG142" s="834">
        <v>0</v>
      </c>
      <c r="AH142" s="834">
        <v>0</v>
      </c>
      <c r="AI142" s="834">
        <v>0</v>
      </c>
      <c r="AJ142" s="834">
        <v>0</v>
      </c>
      <c r="AK142" s="834">
        <v>0</v>
      </c>
      <c r="AL142" s="834">
        <v>0</v>
      </c>
      <c r="AM142" s="834">
        <v>0</v>
      </c>
      <c r="AN142" s="834">
        <v>0</v>
      </c>
      <c r="AO142" s="834">
        <v>0</v>
      </c>
      <c r="AP142" s="834">
        <v>0</v>
      </c>
      <c r="AQ142" s="834">
        <v>0</v>
      </c>
      <c r="AR142" s="834">
        <v>0</v>
      </c>
      <c r="AS142" s="834">
        <v>0</v>
      </c>
      <c r="AT142" s="834">
        <v>0</v>
      </c>
      <c r="AU142" s="834">
        <v>0</v>
      </c>
      <c r="AV142" s="834">
        <v>0</v>
      </c>
      <c r="AW142" s="834">
        <v>0</v>
      </c>
      <c r="AX142" s="834">
        <v>0</v>
      </c>
      <c r="AY142" s="834">
        <v>0</v>
      </c>
      <c r="AZ142" s="834">
        <v>0</v>
      </c>
      <c r="BA142" s="834">
        <v>0</v>
      </c>
      <c r="BB142" s="834">
        <v>0</v>
      </c>
      <c r="BC142" s="834">
        <v>0</v>
      </c>
      <c r="BD142" s="834"/>
      <c r="BE142" s="856"/>
      <c r="BF142" s="856"/>
      <c r="BG142" s="856"/>
      <c r="BH142" s="856"/>
      <c r="BI142" s="856"/>
      <c r="BJ142" s="856"/>
      <c r="BK142" s="856"/>
      <c r="BL142" s="856"/>
      <c r="BM142" s="856"/>
      <c r="BN142" s="856"/>
      <c r="BO142" s="856"/>
      <c r="BP142" s="856"/>
      <c r="BQ142" s="834"/>
      <c r="BR142" s="834"/>
      <c r="BS142" s="834"/>
      <c r="BT142" s="826"/>
      <c r="BU142" s="746"/>
      <c r="BV142" s="746"/>
      <c r="BW142" s="746"/>
      <c r="BX142" s="746"/>
      <c r="BY142" s="746"/>
      <c r="BZ142" s="746"/>
    </row>
    <row r="143" spans="1:78" s="714" customFormat="1" ht="21.95" customHeight="1">
      <c r="A143" s="2616"/>
      <c r="B143" s="2601" t="s">
        <v>1667</v>
      </c>
      <c r="C143" s="814" t="s">
        <v>1668</v>
      </c>
      <c r="D143" s="843">
        <v>0</v>
      </c>
      <c r="E143" s="843">
        <v>0</v>
      </c>
      <c r="F143" s="843">
        <v>0</v>
      </c>
      <c r="G143" s="843">
        <v>0</v>
      </c>
      <c r="H143" s="843">
        <v>0</v>
      </c>
      <c r="I143" s="843">
        <v>0</v>
      </c>
      <c r="J143" s="843">
        <v>0</v>
      </c>
      <c r="K143" s="843">
        <v>0</v>
      </c>
      <c r="L143" s="843">
        <v>0</v>
      </c>
      <c r="M143" s="843">
        <v>0</v>
      </c>
      <c r="N143" s="843">
        <v>0</v>
      </c>
      <c r="O143" s="843">
        <v>0</v>
      </c>
      <c r="P143" s="843">
        <v>0</v>
      </c>
      <c r="Q143" s="843">
        <v>0</v>
      </c>
      <c r="R143" s="843">
        <v>0</v>
      </c>
      <c r="S143" s="843">
        <v>0</v>
      </c>
      <c r="T143" s="843">
        <v>0</v>
      </c>
      <c r="U143" s="843">
        <v>0</v>
      </c>
      <c r="V143" s="843">
        <v>0</v>
      </c>
      <c r="W143" s="843">
        <v>0</v>
      </c>
      <c r="X143" s="843">
        <v>0</v>
      </c>
      <c r="Y143" s="843">
        <v>0</v>
      </c>
      <c r="Z143" s="843">
        <v>0</v>
      </c>
      <c r="AA143" s="843">
        <v>0</v>
      </c>
      <c r="AB143" s="843">
        <v>0</v>
      </c>
      <c r="AC143" s="843">
        <v>0</v>
      </c>
      <c r="AD143" s="843">
        <v>0</v>
      </c>
      <c r="AE143" s="843">
        <v>0</v>
      </c>
      <c r="AF143" s="843">
        <v>0</v>
      </c>
      <c r="AG143" s="843">
        <v>0</v>
      </c>
      <c r="AH143" s="843">
        <v>0</v>
      </c>
      <c r="AI143" s="843">
        <v>0</v>
      </c>
      <c r="AJ143" s="843">
        <v>0</v>
      </c>
      <c r="AK143" s="843">
        <v>0</v>
      </c>
      <c r="AL143" s="843">
        <v>0</v>
      </c>
      <c r="AM143" s="843">
        <v>0</v>
      </c>
      <c r="AN143" s="843">
        <v>0</v>
      </c>
      <c r="AO143" s="843">
        <v>0</v>
      </c>
      <c r="AP143" s="843">
        <v>0</v>
      </c>
      <c r="AQ143" s="843">
        <v>0</v>
      </c>
      <c r="AR143" s="843">
        <v>0</v>
      </c>
      <c r="AS143" s="843">
        <v>0</v>
      </c>
      <c r="AT143" s="843">
        <v>0</v>
      </c>
      <c r="AU143" s="843">
        <v>0</v>
      </c>
      <c r="AV143" s="843">
        <v>0</v>
      </c>
      <c r="AW143" s="843">
        <v>0</v>
      </c>
      <c r="AX143" s="843">
        <v>0</v>
      </c>
      <c r="AY143" s="843">
        <v>0</v>
      </c>
      <c r="AZ143" s="843">
        <v>0</v>
      </c>
      <c r="BA143" s="843">
        <v>0</v>
      </c>
      <c r="BB143" s="843">
        <v>0</v>
      </c>
      <c r="BC143" s="843">
        <v>0</v>
      </c>
      <c r="BD143" s="843"/>
      <c r="BE143" s="856"/>
      <c r="BF143" s="856"/>
      <c r="BG143" s="856"/>
      <c r="BH143" s="856"/>
      <c r="BI143" s="856"/>
      <c r="BJ143" s="856"/>
      <c r="BK143" s="856"/>
      <c r="BL143" s="856"/>
      <c r="BM143" s="856"/>
      <c r="BN143" s="856"/>
      <c r="BO143" s="856"/>
      <c r="BP143" s="856"/>
      <c r="BQ143" s="834"/>
      <c r="BR143" s="834"/>
      <c r="BS143" s="834"/>
      <c r="BT143" s="826"/>
      <c r="BU143" s="746"/>
      <c r="BV143" s="746"/>
      <c r="BW143" s="746"/>
      <c r="BX143" s="746"/>
      <c r="BY143" s="746"/>
      <c r="BZ143" s="746"/>
    </row>
    <row r="144" spans="1:78" s="714" customFormat="1" ht="21.95" customHeight="1">
      <c r="A144" s="2616"/>
      <c r="B144" s="2602"/>
      <c r="C144" s="814" t="s">
        <v>1669</v>
      </c>
      <c r="D144" s="840">
        <v>0</v>
      </c>
      <c r="E144" s="840">
        <v>0</v>
      </c>
      <c r="F144" s="840">
        <v>0</v>
      </c>
      <c r="G144" s="840">
        <v>0</v>
      </c>
      <c r="H144" s="840">
        <v>0</v>
      </c>
      <c r="I144" s="840">
        <v>0</v>
      </c>
      <c r="J144" s="840">
        <v>0</v>
      </c>
      <c r="K144" s="840">
        <v>0</v>
      </c>
      <c r="L144" s="840">
        <v>0</v>
      </c>
      <c r="M144" s="840">
        <v>0</v>
      </c>
      <c r="N144" s="840">
        <v>0</v>
      </c>
      <c r="O144" s="840">
        <v>0</v>
      </c>
      <c r="P144" s="840">
        <v>0</v>
      </c>
      <c r="Q144" s="840">
        <v>0</v>
      </c>
      <c r="R144" s="840">
        <v>0</v>
      </c>
      <c r="S144" s="840">
        <v>0</v>
      </c>
      <c r="T144" s="840">
        <v>0</v>
      </c>
      <c r="U144" s="840">
        <v>0</v>
      </c>
      <c r="V144" s="840">
        <v>0</v>
      </c>
      <c r="W144" s="840">
        <v>0</v>
      </c>
      <c r="X144" s="840">
        <v>0</v>
      </c>
      <c r="Y144" s="840">
        <v>0</v>
      </c>
      <c r="Z144" s="840">
        <v>0</v>
      </c>
      <c r="AA144" s="840">
        <v>0</v>
      </c>
      <c r="AB144" s="840">
        <v>0</v>
      </c>
      <c r="AC144" s="840">
        <v>0</v>
      </c>
      <c r="AD144" s="840">
        <v>0</v>
      </c>
      <c r="AE144" s="840">
        <v>0</v>
      </c>
      <c r="AF144" s="840">
        <v>0</v>
      </c>
      <c r="AG144" s="840">
        <v>0</v>
      </c>
      <c r="AH144" s="840">
        <v>0</v>
      </c>
      <c r="AI144" s="840">
        <v>0</v>
      </c>
      <c r="AJ144" s="840">
        <v>0</v>
      </c>
      <c r="AK144" s="840">
        <v>0</v>
      </c>
      <c r="AL144" s="840">
        <v>0</v>
      </c>
      <c r="AM144" s="840">
        <v>0</v>
      </c>
      <c r="AN144" s="840">
        <v>0</v>
      </c>
      <c r="AO144" s="840">
        <v>0</v>
      </c>
      <c r="AP144" s="840">
        <v>0</v>
      </c>
      <c r="AQ144" s="840">
        <v>0</v>
      </c>
      <c r="AR144" s="840">
        <v>0</v>
      </c>
      <c r="AS144" s="840">
        <v>0</v>
      </c>
      <c r="AT144" s="840">
        <v>0</v>
      </c>
      <c r="AU144" s="840">
        <v>0</v>
      </c>
      <c r="AV144" s="840">
        <v>0</v>
      </c>
      <c r="AW144" s="840">
        <v>0</v>
      </c>
      <c r="AX144" s="840">
        <v>0</v>
      </c>
      <c r="AY144" s="840">
        <v>0</v>
      </c>
      <c r="AZ144" s="840">
        <v>0</v>
      </c>
      <c r="BA144" s="840">
        <v>0</v>
      </c>
      <c r="BB144" s="840">
        <v>0</v>
      </c>
      <c r="BC144" s="840">
        <v>0</v>
      </c>
      <c r="BD144" s="840"/>
      <c r="BE144" s="856"/>
      <c r="BF144" s="856"/>
      <c r="BG144" s="856"/>
      <c r="BH144" s="856"/>
      <c r="BI144" s="856"/>
      <c r="BJ144" s="856"/>
      <c r="BK144" s="856"/>
      <c r="BL144" s="856"/>
      <c r="BM144" s="856"/>
      <c r="BN144" s="856"/>
      <c r="BO144" s="856"/>
      <c r="BP144" s="856"/>
      <c r="BQ144" s="834"/>
      <c r="BR144" s="834"/>
      <c r="BS144" s="834"/>
      <c r="BT144" s="826"/>
      <c r="BU144" s="746"/>
      <c r="BV144" s="746"/>
      <c r="BW144" s="746"/>
      <c r="BX144" s="746"/>
      <c r="BY144" s="746"/>
      <c r="BZ144" s="746"/>
    </row>
    <row r="145" spans="1:78" ht="21.95" customHeight="1">
      <c r="A145" s="2616"/>
      <c r="B145" s="2601" t="s">
        <v>1670</v>
      </c>
      <c r="C145" s="814" t="s">
        <v>1671</v>
      </c>
      <c r="D145" s="858">
        <f t="shared" ref="D145:BC145" si="15">IF(D$15="ROCHA",0,IF(D$14=2,D$38,0))</f>
        <v>0</v>
      </c>
      <c r="E145" s="858">
        <f t="shared" si="15"/>
        <v>0</v>
      </c>
      <c r="F145" s="858">
        <f t="shared" si="15"/>
        <v>0</v>
      </c>
      <c r="G145" s="858">
        <f t="shared" si="15"/>
        <v>0</v>
      </c>
      <c r="H145" s="858">
        <f t="shared" si="15"/>
        <v>0</v>
      </c>
      <c r="I145" s="858">
        <f t="shared" si="15"/>
        <v>0</v>
      </c>
      <c r="J145" s="858">
        <f t="shared" si="15"/>
        <v>0</v>
      </c>
      <c r="K145" s="858">
        <f t="shared" si="15"/>
        <v>0</v>
      </c>
      <c r="L145" s="858">
        <f t="shared" si="15"/>
        <v>0</v>
      </c>
      <c r="M145" s="858">
        <f t="shared" si="15"/>
        <v>0</v>
      </c>
      <c r="N145" s="858">
        <f t="shared" si="15"/>
        <v>0</v>
      </c>
      <c r="O145" s="858">
        <f t="shared" si="15"/>
        <v>0</v>
      </c>
      <c r="P145" s="858">
        <f t="shared" si="15"/>
        <v>0</v>
      </c>
      <c r="Q145" s="858">
        <f t="shared" si="15"/>
        <v>0</v>
      </c>
      <c r="R145" s="858">
        <f t="shared" si="15"/>
        <v>0</v>
      </c>
      <c r="S145" s="858">
        <f t="shared" si="15"/>
        <v>0</v>
      </c>
      <c r="T145" s="858">
        <f t="shared" si="15"/>
        <v>0</v>
      </c>
      <c r="U145" s="858">
        <f t="shared" si="15"/>
        <v>0</v>
      </c>
      <c r="V145" s="858">
        <f t="shared" si="15"/>
        <v>0</v>
      </c>
      <c r="W145" s="858">
        <f t="shared" si="15"/>
        <v>0</v>
      </c>
      <c r="X145" s="858">
        <f t="shared" si="15"/>
        <v>0</v>
      </c>
      <c r="Y145" s="858">
        <f t="shared" si="15"/>
        <v>0</v>
      </c>
      <c r="Z145" s="858">
        <f t="shared" si="15"/>
        <v>0</v>
      </c>
      <c r="AA145" s="858">
        <f t="shared" si="15"/>
        <v>0</v>
      </c>
      <c r="AB145" s="858">
        <f t="shared" si="15"/>
        <v>0</v>
      </c>
      <c r="AC145" s="858">
        <f t="shared" si="15"/>
        <v>0</v>
      </c>
      <c r="AD145" s="858">
        <f t="shared" si="15"/>
        <v>0</v>
      </c>
      <c r="AE145" s="858">
        <f t="shared" si="15"/>
        <v>0</v>
      </c>
      <c r="AF145" s="858">
        <f t="shared" si="15"/>
        <v>0</v>
      </c>
      <c r="AG145" s="858">
        <f t="shared" si="15"/>
        <v>0</v>
      </c>
      <c r="AH145" s="858">
        <f t="shared" si="15"/>
        <v>0</v>
      </c>
      <c r="AI145" s="858">
        <f t="shared" si="15"/>
        <v>0</v>
      </c>
      <c r="AJ145" s="858">
        <f t="shared" si="15"/>
        <v>0</v>
      </c>
      <c r="AK145" s="858">
        <f t="shared" si="15"/>
        <v>0</v>
      </c>
      <c r="AL145" s="858">
        <f t="shared" si="15"/>
        <v>0</v>
      </c>
      <c r="AM145" s="858">
        <f t="shared" si="15"/>
        <v>0</v>
      </c>
      <c r="AN145" s="858">
        <f t="shared" si="15"/>
        <v>0</v>
      </c>
      <c r="AO145" s="858">
        <f t="shared" si="15"/>
        <v>0</v>
      </c>
      <c r="AP145" s="858">
        <f t="shared" si="15"/>
        <v>0</v>
      </c>
      <c r="AQ145" s="858">
        <f t="shared" si="15"/>
        <v>0</v>
      </c>
      <c r="AR145" s="858">
        <f t="shared" si="15"/>
        <v>0</v>
      </c>
      <c r="AS145" s="858">
        <f t="shared" si="15"/>
        <v>0</v>
      </c>
      <c r="AT145" s="858">
        <f t="shared" si="15"/>
        <v>0</v>
      </c>
      <c r="AU145" s="858">
        <f t="shared" si="15"/>
        <v>0</v>
      </c>
      <c r="AV145" s="858">
        <f t="shared" si="15"/>
        <v>0</v>
      </c>
      <c r="AW145" s="858">
        <f t="shared" si="15"/>
        <v>0</v>
      </c>
      <c r="AX145" s="858">
        <f t="shared" si="15"/>
        <v>0</v>
      </c>
      <c r="AY145" s="858">
        <f t="shared" si="15"/>
        <v>0</v>
      </c>
      <c r="AZ145" s="858">
        <f t="shared" si="15"/>
        <v>0</v>
      </c>
      <c r="BA145" s="858">
        <f t="shared" si="15"/>
        <v>0</v>
      </c>
      <c r="BB145" s="858">
        <f t="shared" si="15"/>
        <v>0</v>
      </c>
      <c r="BC145" s="858">
        <f t="shared" si="15"/>
        <v>0</v>
      </c>
      <c r="BD145" s="858"/>
      <c r="BE145" s="859">
        <f>SUM(D145:BD145)</f>
        <v>0</v>
      </c>
      <c r="BF145" s="855"/>
      <c r="BG145" s="855"/>
      <c r="BH145" s="855"/>
      <c r="BI145" s="855"/>
      <c r="BJ145" s="855"/>
      <c r="BK145" s="855"/>
      <c r="BL145" s="855"/>
      <c r="BM145" s="855"/>
      <c r="BN145" s="855"/>
      <c r="BO145" s="855"/>
      <c r="BP145" s="855"/>
      <c r="BQ145" s="821"/>
      <c r="BR145" s="821"/>
      <c r="BS145" s="821"/>
    </row>
    <row r="146" spans="1:78" ht="21.95" customHeight="1">
      <c r="A146" s="2616"/>
      <c r="B146" s="2585"/>
      <c r="C146" s="814" t="s">
        <v>1672</v>
      </c>
      <c r="D146" s="860">
        <f t="shared" ref="D146:BC146" si="16">IF(D$15="ROCHA",0,IF(D$14=1,D$38,0))</f>
        <v>0</v>
      </c>
      <c r="E146" s="860">
        <f t="shared" si="16"/>
        <v>0</v>
      </c>
      <c r="F146" s="860">
        <f t="shared" si="16"/>
        <v>0</v>
      </c>
      <c r="G146" s="860">
        <f t="shared" si="16"/>
        <v>0</v>
      </c>
      <c r="H146" s="860">
        <f t="shared" si="16"/>
        <v>0</v>
      </c>
      <c r="I146" s="860">
        <f t="shared" si="16"/>
        <v>0</v>
      </c>
      <c r="J146" s="860">
        <f t="shared" si="16"/>
        <v>0</v>
      </c>
      <c r="K146" s="860">
        <f t="shared" si="16"/>
        <v>0</v>
      </c>
      <c r="L146" s="860">
        <f t="shared" si="16"/>
        <v>0</v>
      </c>
      <c r="M146" s="860">
        <f t="shared" si="16"/>
        <v>0</v>
      </c>
      <c r="N146" s="860">
        <f t="shared" si="16"/>
        <v>0</v>
      </c>
      <c r="O146" s="860">
        <f t="shared" si="16"/>
        <v>0</v>
      </c>
      <c r="P146" s="860">
        <f t="shared" si="16"/>
        <v>0</v>
      </c>
      <c r="Q146" s="860">
        <f t="shared" si="16"/>
        <v>0</v>
      </c>
      <c r="R146" s="860">
        <f t="shared" si="16"/>
        <v>0</v>
      </c>
      <c r="S146" s="860">
        <f t="shared" si="16"/>
        <v>0</v>
      </c>
      <c r="T146" s="860">
        <f t="shared" si="16"/>
        <v>0</v>
      </c>
      <c r="U146" s="860">
        <f t="shared" si="16"/>
        <v>0</v>
      </c>
      <c r="V146" s="860">
        <f t="shared" si="16"/>
        <v>0</v>
      </c>
      <c r="W146" s="860">
        <f t="shared" si="16"/>
        <v>0</v>
      </c>
      <c r="X146" s="860">
        <f t="shared" si="16"/>
        <v>0</v>
      </c>
      <c r="Y146" s="860">
        <f t="shared" si="16"/>
        <v>0</v>
      </c>
      <c r="Z146" s="860">
        <f t="shared" si="16"/>
        <v>0</v>
      </c>
      <c r="AA146" s="860">
        <f t="shared" si="16"/>
        <v>0</v>
      </c>
      <c r="AB146" s="860">
        <f t="shared" si="16"/>
        <v>0</v>
      </c>
      <c r="AC146" s="860">
        <f t="shared" si="16"/>
        <v>0</v>
      </c>
      <c r="AD146" s="860">
        <f t="shared" si="16"/>
        <v>0</v>
      </c>
      <c r="AE146" s="860">
        <f t="shared" si="16"/>
        <v>0</v>
      </c>
      <c r="AF146" s="860">
        <f t="shared" si="16"/>
        <v>0</v>
      </c>
      <c r="AG146" s="860">
        <f t="shared" si="16"/>
        <v>0</v>
      </c>
      <c r="AH146" s="860">
        <f t="shared" si="16"/>
        <v>0</v>
      </c>
      <c r="AI146" s="860">
        <f t="shared" si="16"/>
        <v>0</v>
      </c>
      <c r="AJ146" s="860">
        <f t="shared" si="16"/>
        <v>0</v>
      </c>
      <c r="AK146" s="860">
        <f t="shared" si="16"/>
        <v>0</v>
      </c>
      <c r="AL146" s="860">
        <f t="shared" si="16"/>
        <v>0</v>
      </c>
      <c r="AM146" s="860">
        <f t="shared" si="16"/>
        <v>0</v>
      </c>
      <c r="AN146" s="860">
        <f t="shared" si="16"/>
        <v>0</v>
      </c>
      <c r="AO146" s="860">
        <f t="shared" si="16"/>
        <v>0</v>
      </c>
      <c r="AP146" s="860">
        <f t="shared" si="16"/>
        <v>0</v>
      </c>
      <c r="AQ146" s="860">
        <f t="shared" si="16"/>
        <v>0</v>
      </c>
      <c r="AR146" s="860">
        <f t="shared" si="16"/>
        <v>0</v>
      </c>
      <c r="AS146" s="860">
        <f t="shared" si="16"/>
        <v>0</v>
      </c>
      <c r="AT146" s="860">
        <f t="shared" si="16"/>
        <v>0</v>
      </c>
      <c r="AU146" s="860">
        <f t="shared" si="16"/>
        <v>0</v>
      </c>
      <c r="AV146" s="860">
        <f t="shared" si="16"/>
        <v>0</v>
      </c>
      <c r="AW146" s="860">
        <f t="shared" si="16"/>
        <v>0</v>
      </c>
      <c r="AX146" s="860">
        <f t="shared" si="16"/>
        <v>0</v>
      </c>
      <c r="AY146" s="860">
        <f t="shared" si="16"/>
        <v>0</v>
      </c>
      <c r="AZ146" s="860">
        <f t="shared" si="16"/>
        <v>0</v>
      </c>
      <c r="BA146" s="860">
        <f t="shared" si="16"/>
        <v>0</v>
      </c>
      <c r="BB146" s="860">
        <f t="shared" si="16"/>
        <v>0</v>
      </c>
      <c r="BC146" s="860">
        <f t="shared" si="16"/>
        <v>0</v>
      </c>
      <c r="BD146" s="860"/>
      <c r="BE146" s="856"/>
      <c r="BF146" s="861">
        <f>SUM(D146:BD146)</f>
        <v>0</v>
      </c>
      <c r="BG146" s="856"/>
      <c r="BH146" s="856"/>
      <c r="BI146" s="856"/>
      <c r="BJ146" s="856"/>
      <c r="BK146" s="856"/>
      <c r="BL146" s="856"/>
      <c r="BM146" s="856"/>
      <c r="BN146" s="856"/>
      <c r="BO146" s="856"/>
      <c r="BP146" s="856"/>
      <c r="BQ146" s="816"/>
      <c r="BR146" s="816"/>
      <c r="BS146" s="816"/>
    </row>
    <row r="147" spans="1:78" ht="21.95" customHeight="1">
      <c r="A147" s="2616"/>
      <c r="B147" s="2585"/>
      <c r="C147" s="814" t="s">
        <v>1673</v>
      </c>
      <c r="D147" s="858">
        <f t="shared" ref="D147:BC147" si="17">IF(D$15="ROCHA",0,IF(D$14=2,D$39,0))</f>
        <v>0</v>
      </c>
      <c r="E147" s="858">
        <f t="shared" si="17"/>
        <v>0</v>
      </c>
      <c r="F147" s="858">
        <f t="shared" si="17"/>
        <v>0</v>
      </c>
      <c r="G147" s="858">
        <f t="shared" si="17"/>
        <v>0</v>
      </c>
      <c r="H147" s="858">
        <f t="shared" si="17"/>
        <v>0</v>
      </c>
      <c r="I147" s="858">
        <f t="shared" si="17"/>
        <v>0</v>
      </c>
      <c r="J147" s="858">
        <f t="shared" si="17"/>
        <v>0</v>
      </c>
      <c r="K147" s="858">
        <f t="shared" si="17"/>
        <v>0</v>
      </c>
      <c r="L147" s="858">
        <f t="shared" si="17"/>
        <v>0</v>
      </c>
      <c r="M147" s="858">
        <f t="shared" si="17"/>
        <v>0</v>
      </c>
      <c r="N147" s="858">
        <f t="shared" si="17"/>
        <v>0</v>
      </c>
      <c r="O147" s="858">
        <f t="shared" si="17"/>
        <v>0</v>
      </c>
      <c r="P147" s="858">
        <f t="shared" si="17"/>
        <v>0</v>
      </c>
      <c r="Q147" s="858">
        <f t="shared" si="17"/>
        <v>0</v>
      </c>
      <c r="R147" s="858">
        <f t="shared" si="17"/>
        <v>0</v>
      </c>
      <c r="S147" s="858">
        <f t="shared" si="17"/>
        <v>0</v>
      </c>
      <c r="T147" s="858">
        <f t="shared" si="17"/>
        <v>0</v>
      </c>
      <c r="U147" s="858">
        <f t="shared" si="17"/>
        <v>0</v>
      </c>
      <c r="V147" s="858">
        <f t="shared" si="17"/>
        <v>0</v>
      </c>
      <c r="W147" s="858">
        <f t="shared" si="17"/>
        <v>0</v>
      </c>
      <c r="X147" s="858">
        <f t="shared" si="17"/>
        <v>0</v>
      </c>
      <c r="Y147" s="858">
        <f t="shared" si="17"/>
        <v>0</v>
      </c>
      <c r="Z147" s="858">
        <f t="shared" si="17"/>
        <v>0</v>
      </c>
      <c r="AA147" s="858">
        <f t="shared" si="17"/>
        <v>0</v>
      </c>
      <c r="AB147" s="858">
        <f t="shared" si="17"/>
        <v>0</v>
      </c>
      <c r="AC147" s="858">
        <f t="shared" si="17"/>
        <v>0</v>
      </c>
      <c r="AD147" s="858">
        <f t="shared" si="17"/>
        <v>0</v>
      </c>
      <c r="AE147" s="858">
        <f t="shared" si="17"/>
        <v>0</v>
      </c>
      <c r="AF147" s="858">
        <f t="shared" si="17"/>
        <v>0</v>
      </c>
      <c r="AG147" s="858">
        <f t="shared" si="17"/>
        <v>0</v>
      </c>
      <c r="AH147" s="858">
        <f t="shared" si="17"/>
        <v>0</v>
      </c>
      <c r="AI147" s="858">
        <f t="shared" si="17"/>
        <v>0</v>
      </c>
      <c r="AJ147" s="858">
        <f t="shared" si="17"/>
        <v>0</v>
      </c>
      <c r="AK147" s="858">
        <f t="shared" si="17"/>
        <v>0</v>
      </c>
      <c r="AL147" s="858">
        <f t="shared" si="17"/>
        <v>0</v>
      </c>
      <c r="AM147" s="858">
        <f t="shared" si="17"/>
        <v>0</v>
      </c>
      <c r="AN147" s="858">
        <f t="shared" si="17"/>
        <v>0</v>
      </c>
      <c r="AO147" s="858">
        <f t="shared" si="17"/>
        <v>0</v>
      </c>
      <c r="AP147" s="858">
        <f t="shared" si="17"/>
        <v>0</v>
      </c>
      <c r="AQ147" s="858">
        <f t="shared" si="17"/>
        <v>0</v>
      </c>
      <c r="AR147" s="858">
        <f t="shared" si="17"/>
        <v>0</v>
      </c>
      <c r="AS147" s="858">
        <f t="shared" si="17"/>
        <v>0</v>
      </c>
      <c r="AT147" s="858">
        <f t="shared" si="17"/>
        <v>0</v>
      </c>
      <c r="AU147" s="858">
        <f t="shared" si="17"/>
        <v>0</v>
      </c>
      <c r="AV147" s="858">
        <f t="shared" si="17"/>
        <v>0</v>
      </c>
      <c r="AW147" s="858">
        <f t="shared" si="17"/>
        <v>0</v>
      </c>
      <c r="AX147" s="858">
        <f t="shared" si="17"/>
        <v>0</v>
      </c>
      <c r="AY147" s="858">
        <f t="shared" si="17"/>
        <v>0</v>
      </c>
      <c r="AZ147" s="858">
        <f t="shared" si="17"/>
        <v>0</v>
      </c>
      <c r="BA147" s="858">
        <f t="shared" si="17"/>
        <v>0</v>
      </c>
      <c r="BB147" s="858">
        <f t="shared" si="17"/>
        <v>0</v>
      </c>
      <c r="BC147" s="858">
        <f t="shared" si="17"/>
        <v>0</v>
      </c>
      <c r="BD147" s="858"/>
      <c r="BE147" s="856"/>
      <c r="BF147" s="856"/>
      <c r="BG147" s="861">
        <f>SUM(D147:BD147)</f>
        <v>0</v>
      </c>
      <c r="BH147" s="856"/>
      <c r="BI147" s="856"/>
      <c r="BJ147" s="856"/>
      <c r="BK147" s="856"/>
      <c r="BL147" s="856"/>
      <c r="BM147" s="856"/>
      <c r="BN147" s="856"/>
      <c r="BO147" s="856"/>
      <c r="BP147" s="856"/>
      <c r="BQ147" s="816"/>
      <c r="BR147" s="816"/>
      <c r="BS147" s="816"/>
    </row>
    <row r="148" spans="1:78" ht="21.95" customHeight="1">
      <c r="A148" s="2616"/>
      <c r="B148" s="2585"/>
      <c r="C148" s="814" t="s">
        <v>1674</v>
      </c>
      <c r="D148" s="860">
        <f t="shared" ref="D148:BC148" si="18">IF(D$15="ROCHA",0,IF(D$14=1,D$39,0))</f>
        <v>0</v>
      </c>
      <c r="E148" s="860">
        <f t="shared" si="18"/>
        <v>0</v>
      </c>
      <c r="F148" s="860">
        <f t="shared" si="18"/>
        <v>0</v>
      </c>
      <c r="G148" s="860">
        <f t="shared" si="18"/>
        <v>0</v>
      </c>
      <c r="H148" s="860">
        <f t="shared" si="18"/>
        <v>0</v>
      </c>
      <c r="I148" s="860">
        <f t="shared" si="18"/>
        <v>0</v>
      </c>
      <c r="J148" s="860">
        <f t="shared" si="18"/>
        <v>0</v>
      </c>
      <c r="K148" s="860">
        <f t="shared" si="18"/>
        <v>0</v>
      </c>
      <c r="L148" s="860">
        <f t="shared" si="18"/>
        <v>0</v>
      </c>
      <c r="M148" s="860">
        <f t="shared" si="18"/>
        <v>0</v>
      </c>
      <c r="N148" s="860">
        <f t="shared" si="18"/>
        <v>0</v>
      </c>
      <c r="O148" s="860">
        <f t="shared" si="18"/>
        <v>0</v>
      </c>
      <c r="P148" s="860">
        <f t="shared" si="18"/>
        <v>0</v>
      </c>
      <c r="Q148" s="860">
        <f t="shared" si="18"/>
        <v>0</v>
      </c>
      <c r="R148" s="860">
        <f t="shared" si="18"/>
        <v>0</v>
      </c>
      <c r="S148" s="860">
        <f t="shared" si="18"/>
        <v>0</v>
      </c>
      <c r="T148" s="860">
        <f t="shared" si="18"/>
        <v>0</v>
      </c>
      <c r="U148" s="860">
        <f t="shared" si="18"/>
        <v>0</v>
      </c>
      <c r="V148" s="860">
        <f t="shared" si="18"/>
        <v>0</v>
      </c>
      <c r="W148" s="860">
        <f t="shared" si="18"/>
        <v>0</v>
      </c>
      <c r="X148" s="860">
        <f t="shared" si="18"/>
        <v>0</v>
      </c>
      <c r="Y148" s="860">
        <f t="shared" si="18"/>
        <v>0</v>
      </c>
      <c r="Z148" s="860">
        <f t="shared" si="18"/>
        <v>0</v>
      </c>
      <c r="AA148" s="860">
        <f t="shared" si="18"/>
        <v>0</v>
      </c>
      <c r="AB148" s="860">
        <f t="shared" si="18"/>
        <v>0</v>
      </c>
      <c r="AC148" s="860">
        <f t="shared" si="18"/>
        <v>0</v>
      </c>
      <c r="AD148" s="860">
        <f t="shared" si="18"/>
        <v>0</v>
      </c>
      <c r="AE148" s="860">
        <f t="shared" si="18"/>
        <v>0</v>
      </c>
      <c r="AF148" s="860">
        <f t="shared" si="18"/>
        <v>0</v>
      </c>
      <c r="AG148" s="860">
        <f t="shared" si="18"/>
        <v>0</v>
      </c>
      <c r="AH148" s="860">
        <f t="shared" si="18"/>
        <v>0</v>
      </c>
      <c r="AI148" s="860">
        <f t="shared" si="18"/>
        <v>0</v>
      </c>
      <c r="AJ148" s="860">
        <f t="shared" si="18"/>
        <v>0</v>
      </c>
      <c r="AK148" s="860">
        <f t="shared" si="18"/>
        <v>0</v>
      </c>
      <c r="AL148" s="860">
        <f t="shared" si="18"/>
        <v>0</v>
      </c>
      <c r="AM148" s="860">
        <f t="shared" si="18"/>
        <v>0</v>
      </c>
      <c r="AN148" s="860">
        <f t="shared" si="18"/>
        <v>0</v>
      </c>
      <c r="AO148" s="860">
        <f t="shared" si="18"/>
        <v>0</v>
      </c>
      <c r="AP148" s="860">
        <f t="shared" si="18"/>
        <v>0</v>
      </c>
      <c r="AQ148" s="860">
        <f t="shared" si="18"/>
        <v>0</v>
      </c>
      <c r="AR148" s="860">
        <f t="shared" si="18"/>
        <v>0</v>
      </c>
      <c r="AS148" s="860">
        <f t="shared" si="18"/>
        <v>0</v>
      </c>
      <c r="AT148" s="860">
        <f t="shared" si="18"/>
        <v>0</v>
      </c>
      <c r="AU148" s="860">
        <f t="shared" si="18"/>
        <v>0</v>
      </c>
      <c r="AV148" s="860">
        <f t="shared" si="18"/>
        <v>0</v>
      </c>
      <c r="AW148" s="860">
        <f t="shared" si="18"/>
        <v>0</v>
      </c>
      <c r="AX148" s="860">
        <f t="shared" si="18"/>
        <v>0</v>
      </c>
      <c r="AY148" s="860">
        <f t="shared" si="18"/>
        <v>0</v>
      </c>
      <c r="AZ148" s="860">
        <f t="shared" si="18"/>
        <v>0</v>
      </c>
      <c r="BA148" s="860">
        <f t="shared" si="18"/>
        <v>0</v>
      </c>
      <c r="BB148" s="860">
        <f t="shared" si="18"/>
        <v>0</v>
      </c>
      <c r="BC148" s="860">
        <f t="shared" si="18"/>
        <v>0</v>
      </c>
      <c r="BD148" s="860"/>
      <c r="BE148" s="856"/>
      <c r="BF148" s="856"/>
      <c r="BG148" s="856"/>
      <c r="BH148" s="861">
        <f>SUM(D148:BD148)</f>
        <v>0</v>
      </c>
      <c r="BI148" s="856"/>
      <c r="BJ148" s="856"/>
      <c r="BK148" s="856"/>
      <c r="BL148" s="856"/>
      <c r="BM148" s="856"/>
      <c r="BN148" s="856"/>
      <c r="BO148" s="856"/>
      <c r="BP148" s="856"/>
      <c r="BQ148" s="816"/>
      <c r="BR148" s="816"/>
      <c r="BS148" s="816"/>
    </row>
    <row r="149" spans="1:78" s="714" customFormat="1" ht="21.95" customHeight="1">
      <c r="A149" s="2616"/>
      <c r="B149" s="2585"/>
      <c r="C149" s="814" t="s">
        <v>1675</v>
      </c>
      <c r="D149" s="862">
        <f>IF(D15="ROCHA",D38,0)</f>
        <v>0</v>
      </c>
      <c r="E149" s="862">
        <f t="shared" ref="E149:BC149" si="19">IF(E15="ROCHA",E38,0)</f>
        <v>0</v>
      </c>
      <c r="F149" s="862">
        <f t="shared" si="19"/>
        <v>0</v>
      </c>
      <c r="G149" s="862">
        <f t="shared" si="19"/>
        <v>0</v>
      </c>
      <c r="H149" s="862">
        <f t="shared" si="19"/>
        <v>0</v>
      </c>
      <c r="I149" s="862">
        <f t="shared" si="19"/>
        <v>0</v>
      </c>
      <c r="J149" s="862">
        <f t="shared" si="19"/>
        <v>0</v>
      </c>
      <c r="K149" s="862">
        <f t="shared" si="19"/>
        <v>0</v>
      </c>
      <c r="L149" s="862">
        <f t="shared" si="19"/>
        <v>0</v>
      </c>
      <c r="M149" s="862">
        <f t="shared" si="19"/>
        <v>0</v>
      </c>
      <c r="N149" s="862">
        <f t="shared" si="19"/>
        <v>0</v>
      </c>
      <c r="O149" s="862">
        <f t="shared" si="19"/>
        <v>0</v>
      </c>
      <c r="P149" s="862">
        <f t="shared" si="19"/>
        <v>0</v>
      </c>
      <c r="Q149" s="862">
        <f t="shared" si="19"/>
        <v>0</v>
      </c>
      <c r="R149" s="862">
        <f t="shared" si="19"/>
        <v>0</v>
      </c>
      <c r="S149" s="862">
        <f t="shared" si="19"/>
        <v>0</v>
      </c>
      <c r="T149" s="862">
        <f t="shared" si="19"/>
        <v>0</v>
      </c>
      <c r="U149" s="862">
        <f t="shared" si="19"/>
        <v>0</v>
      </c>
      <c r="V149" s="862">
        <f t="shared" si="19"/>
        <v>0</v>
      </c>
      <c r="W149" s="862">
        <f t="shared" si="19"/>
        <v>0</v>
      </c>
      <c r="X149" s="862">
        <f t="shared" si="19"/>
        <v>0</v>
      </c>
      <c r="Y149" s="862">
        <f t="shared" si="19"/>
        <v>0</v>
      </c>
      <c r="Z149" s="862">
        <f t="shared" si="19"/>
        <v>0</v>
      </c>
      <c r="AA149" s="862">
        <f t="shared" si="19"/>
        <v>0</v>
      </c>
      <c r="AB149" s="862">
        <f t="shared" si="19"/>
        <v>0</v>
      </c>
      <c r="AC149" s="862">
        <f t="shared" si="19"/>
        <v>0</v>
      </c>
      <c r="AD149" s="862">
        <f t="shared" si="19"/>
        <v>0</v>
      </c>
      <c r="AE149" s="862">
        <f t="shared" si="19"/>
        <v>0</v>
      </c>
      <c r="AF149" s="862">
        <f t="shared" si="19"/>
        <v>0</v>
      </c>
      <c r="AG149" s="862">
        <f t="shared" si="19"/>
        <v>0</v>
      </c>
      <c r="AH149" s="862">
        <f t="shared" si="19"/>
        <v>0</v>
      </c>
      <c r="AI149" s="862">
        <f t="shared" si="19"/>
        <v>0</v>
      </c>
      <c r="AJ149" s="862">
        <f t="shared" si="19"/>
        <v>0</v>
      </c>
      <c r="AK149" s="862">
        <f t="shared" si="19"/>
        <v>0</v>
      </c>
      <c r="AL149" s="862">
        <f t="shared" si="19"/>
        <v>0</v>
      </c>
      <c r="AM149" s="862">
        <f t="shared" si="19"/>
        <v>0</v>
      </c>
      <c r="AN149" s="862">
        <f t="shared" si="19"/>
        <v>0</v>
      </c>
      <c r="AO149" s="862">
        <f t="shared" si="19"/>
        <v>0</v>
      </c>
      <c r="AP149" s="862">
        <f t="shared" si="19"/>
        <v>0</v>
      </c>
      <c r="AQ149" s="862">
        <f t="shared" si="19"/>
        <v>0</v>
      </c>
      <c r="AR149" s="862">
        <f t="shared" si="19"/>
        <v>0</v>
      </c>
      <c r="AS149" s="862">
        <f t="shared" si="19"/>
        <v>0</v>
      </c>
      <c r="AT149" s="862">
        <f t="shared" si="19"/>
        <v>0</v>
      </c>
      <c r="AU149" s="862">
        <f t="shared" si="19"/>
        <v>0</v>
      </c>
      <c r="AV149" s="862">
        <f t="shared" si="19"/>
        <v>0</v>
      </c>
      <c r="AW149" s="862">
        <f t="shared" si="19"/>
        <v>0</v>
      </c>
      <c r="AX149" s="862">
        <f t="shared" si="19"/>
        <v>0</v>
      </c>
      <c r="AY149" s="862">
        <f t="shared" si="19"/>
        <v>0</v>
      </c>
      <c r="AZ149" s="862">
        <f t="shared" si="19"/>
        <v>0</v>
      </c>
      <c r="BA149" s="862">
        <f t="shared" si="19"/>
        <v>0</v>
      </c>
      <c r="BB149" s="862">
        <f t="shared" si="19"/>
        <v>0</v>
      </c>
      <c r="BC149" s="862">
        <f t="shared" si="19"/>
        <v>0</v>
      </c>
      <c r="BD149" s="862"/>
      <c r="BE149" s="856"/>
      <c r="BF149" s="856"/>
      <c r="BG149" s="856"/>
      <c r="BH149" s="856"/>
      <c r="BI149" s="861">
        <f>SUM(D149:BD149)</f>
        <v>0</v>
      </c>
      <c r="BJ149" s="856"/>
      <c r="BK149" s="856"/>
      <c r="BL149" s="856"/>
      <c r="BM149" s="856"/>
      <c r="BN149" s="856"/>
      <c r="BO149" s="856"/>
      <c r="BP149" s="856"/>
      <c r="BQ149" s="816"/>
      <c r="BR149" s="816"/>
      <c r="BS149" s="816"/>
      <c r="BT149" s="826"/>
      <c r="BU149" s="746"/>
      <c r="BV149" s="746"/>
      <c r="BW149" s="746"/>
      <c r="BX149" s="746"/>
      <c r="BY149" s="746"/>
      <c r="BZ149" s="746"/>
    </row>
    <row r="150" spans="1:78" s="714" customFormat="1" ht="21.95" customHeight="1">
      <c r="A150" s="2616"/>
      <c r="B150" s="2602"/>
      <c r="C150" s="814" t="s">
        <v>1676</v>
      </c>
      <c r="D150" s="863">
        <f>IF(D15="ROCHA",D39,0)</f>
        <v>0</v>
      </c>
      <c r="E150" s="863">
        <f t="shared" ref="E150:BC150" si="20">IF(E15="ROCHA",E39,0)</f>
        <v>0</v>
      </c>
      <c r="F150" s="863">
        <f t="shared" si="20"/>
        <v>0</v>
      </c>
      <c r="G150" s="863">
        <f t="shared" si="20"/>
        <v>0</v>
      </c>
      <c r="H150" s="863">
        <f t="shared" si="20"/>
        <v>0</v>
      </c>
      <c r="I150" s="863">
        <f t="shared" si="20"/>
        <v>0</v>
      </c>
      <c r="J150" s="863">
        <f t="shared" si="20"/>
        <v>0</v>
      </c>
      <c r="K150" s="863">
        <f t="shared" si="20"/>
        <v>0</v>
      </c>
      <c r="L150" s="863">
        <f t="shared" si="20"/>
        <v>0</v>
      </c>
      <c r="M150" s="863">
        <f t="shared" si="20"/>
        <v>0</v>
      </c>
      <c r="N150" s="863">
        <f t="shared" si="20"/>
        <v>0</v>
      </c>
      <c r="O150" s="863">
        <f t="shared" si="20"/>
        <v>0</v>
      </c>
      <c r="P150" s="863">
        <f t="shared" si="20"/>
        <v>0</v>
      </c>
      <c r="Q150" s="863">
        <f t="shared" si="20"/>
        <v>0</v>
      </c>
      <c r="R150" s="863">
        <f t="shared" si="20"/>
        <v>0</v>
      </c>
      <c r="S150" s="863">
        <f t="shared" si="20"/>
        <v>0</v>
      </c>
      <c r="T150" s="863">
        <f t="shared" si="20"/>
        <v>0</v>
      </c>
      <c r="U150" s="863">
        <f t="shared" si="20"/>
        <v>0</v>
      </c>
      <c r="V150" s="863">
        <f t="shared" si="20"/>
        <v>0</v>
      </c>
      <c r="W150" s="863">
        <f t="shared" si="20"/>
        <v>0</v>
      </c>
      <c r="X150" s="863">
        <f t="shared" si="20"/>
        <v>0</v>
      </c>
      <c r="Y150" s="863">
        <f t="shared" si="20"/>
        <v>0</v>
      </c>
      <c r="Z150" s="863">
        <f t="shared" si="20"/>
        <v>0</v>
      </c>
      <c r="AA150" s="863">
        <f t="shared" si="20"/>
        <v>0</v>
      </c>
      <c r="AB150" s="863">
        <f t="shared" si="20"/>
        <v>0</v>
      </c>
      <c r="AC150" s="863">
        <f t="shared" si="20"/>
        <v>0</v>
      </c>
      <c r="AD150" s="863">
        <f t="shared" si="20"/>
        <v>0</v>
      </c>
      <c r="AE150" s="863">
        <f t="shared" si="20"/>
        <v>0</v>
      </c>
      <c r="AF150" s="863">
        <f t="shared" si="20"/>
        <v>0</v>
      </c>
      <c r="AG150" s="863">
        <f t="shared" si="20"/>
        <v>0</v>
      </c>
      <c r="AH150" s="863">
        <f t="shared" si="20"/>
        <v>0</v>
      </c>
      <c r="AI150" s="863">
        <f t="shared" si="20"/>
        <v>0</v>
      </c>
      <c r="AJ150" s="863">
        <f t="shared" si="20"/>
        <v>0</v>
      </c>
      <c r="AK150" s="863">
        <f t="shared" si="20"/>
        <v>0</v>
      </c>
      <c r="AL150" s="863">
        <f t="shared" si="20"/>
        <v>0</v>
      </c>
      <c r="AM150" s="863">
        <f t="shared" si="20"/>
        <v>0</v>
      </c>
      <c r="AN150" s="863">
        <f t="shared" si="20"/>
        <v>0</v>
      </c>
      <c r="AO150" s="863">
        <f t="shared" si="20"/>
        <v>0</v>
      </c>
      <c r="AP150" s="863">
        <f t="shared" si="20"/>
        <v>0</v>
      </c>
      <c r="AQ150" s="863">
        <f t="shared" si="20"/>
        <v>0</v>
      </c>
      <c r="AR150" s="863">
        <f t="shared" si="20"/>
        <v>0</v>
      </c>
      <c r="AS150" s="863">
        <f t="shared" si="20"/>
        <v>0</v>
      </c>
      <c r="AT150" s="863">
        <f t="shared" si="20"/>
        <v>0</v>
      </c>
      <c r="AU150" s="863">
        <f t="shared" si="20"/>
        <v>0</v>
      </c>
      <c r="AV150" s="863">
        <f t="shared" si="20"/>
        <v>0</v>
      </c>
      <c r="AW150" s="863">
        <f t="shared" si="20"/>
        <v>0</v>
      </c>
      <c r="AX150" s="863">
        <f t="shared" si="20"/>
        <v>0</v>
      </c>
      <c r="AY150" s="863">
        <f t="shared" si="20"/>
        <v>0</v>
      </c>
      <c r="AZ150" s="863">
        <f t="shared" si="20"/>
        <v>0</v>
      </c>
      <c r="BA150" s="863">
        <f t="shared" si="20"/>
        <v>0</v>
      </c>
      <c r="BB150" s="863">
        <f t="shared" si="20"/>
        <v>0</v>
      </c>
      <c r="BC150" s="863">
        <f t="shared" si="20"/>
        <v>0</v>
      </c>
      <c r="BD150" s="863"/>
      <c r="BE150" s="856"/>
      <c r="BF150" s="856"/>
      <c r="BG150" s="856"/>
      <c r="BH150" s="856"/>
      <c r="BI150" s="856"/>
      <c r="BJ150" s="861">
        <f>SUM(D150:BD150)</f>
        <v>0</v>
      </c>
      <c r="BK150" s="856"/>
      <c r="BL150" s="856"/>
      <c r="BM150" s="856"/>
      <c r="BN150" s="856"/>
      <c r="BO150" s="856"/>
      <c r="BP150" s="856"/>
      <c r="BQ150" s="816"/>
      <c r="BR150" s="816"/>
      <c r="BS150" s="816"/>
      <c r="BT150" s="826"/>
      <c r="BU150" s="746"/>
      <c r="BV150" s="746"/>
      <c r="BW150" s="746"/>
      <c r="BX150" s="746"/>
      <c r="BY150" s="746"/>
      <c r="BZ150" s="746"/>
    </row>
    <row r="151" spans="1:78" ht="21.95" customHeight="1">
      <c r="A151" s="2616"/>
      <c r="B151" s="2601" t="s">
        <v>1582</v>
      </c>
      <c r="C151" s="814" t="s">
        <v>1671</v>
      </c>
      <c r="D151" s="858">
        <f t="shared" ref="D151:BC151" si="21">IF(D$15="ROCHA",0,IF(D$14=2,D$40,0))</f>
        <v>0</v>
      </c>
      <c r="E151" s="858">
        <f t="shared" si="21"/>
        <v>0</v>
      </c>
      <c r="F151" s="858">
        <f t="shared" si="21"/>
        <v>0</v>
      </c>
      <c r="G151" s="858">
        <f t="shared" si="21"/>
        <v>0</v>
      </c>
      <c r="H151" s="858">
        <f t="shared" si="21"/>
        <v>0</v>
      </c>
      <c r="I151" s="858">
        <f t="shared" si="21"/>
        <v>0</v>
      </c>
      <c r="J151" s="858">
        <f t="shared" si="21"/>
        <v>0</v>
      </c>
      <c r="K151" s="858">
        <f t="shared" si="21"/>
        <v>0</v>
      </c>
      <c r="L151" s="858">
        <f t="shared" si="21"/>
        <v>0</v>
      </c>
      <c r="M151" s="858">
        <f t="shared" si="21"/>
        <v>0</v>
      </c>
      <c r="N151" s="858">
        <f t="shared" si="21"/>
        <v>0</v>
      </c>
      <c r="O151" s="858">
        <f t="shared" si="21"/>
        <v>0</v>
      </c>
      <c r="P151" s="858">
        <f t="shared" si="21"/>
        <v>0</v>
      </c>
      <c r="Q151" s="858">
        <f t="shared" si="21"/>
        <v>0</v>
      </c>
      <c r="R151" s="858">
        <f t="shared" si="21"/>
        <v>0</v>
      </c>
      <c r="S151" s="858">
        <f t="shared" si="21"/>
        <v>0</v>
      </c>
      <c r="T151" s="858">
        <f t="shared" si="21"/>
        <v>0</v>
      </c>
      <c r="U151" s="858">
        <f t="shared" si="21"/>
        <v>0</v>
      </c>
      <c r="V151" s="858">
        <f t="shared" si="21"/>
        <v>0</v>
      </c>
      <c r="W151" s="858">
        <f t="shared" si="21"/>
        <v>0</v>
      </c>
      <c r="X151" s="858">
        <f t="shared" si="21"/>
        <v>0</v>
      </c>
      <c r="Y151" s="858">
        <f t="shared" si="21"/>
        <v>0</v>
      </c>
      <c r="Z151" s="858">
        <f t="shared" si="21"/>
        <v>0</v>
      </c>
      <c r="AA151" s="858">
        <f t="shared" si="21"/>
        <v>0</v>
      </c>
      <c r="AB151" s="858">
        <f t="shared" si="21"/>
        <v>0</v>
      </c>
      <c r="AC151" s="858">
        <f t="shared" si="21"/>
        <v>0</v>
      </c>
      <c r="AD151" s="858">
        <f t="shared" si="21"/>
        <v>0</v>
      </c>
      <c r="AE151" s="858">
        <f t="shared" si="21"/>
        <v>0</v>
      </c>
      <c r="AF151" s="858">
        <f t="shared" si="21"/>
        <v>0</v>
      </c>
      <c r="AG151" s="858">
        <f t="shared" si="21"/>
        <v>0</v>
      </c>
      <c r="AH151" s="858">
        <f t="shared" si="21"/>
        <v>0</v>
      </c>
      <c r="AI151" s="858">
        <f t="shared" si="21"/>
        <v>0</v>
      </c>
      <c r="AJ151" s="858">
        <f t="shared" si="21"/>
        <v>0</v>
      </c>
      <c r="AK151" s="858">
        <f t="shared" si="21"/>
        <v>0</v>
      </c>
      <c r="AL151" s="858">
        <f t="shared" si="21"/>
        <v>0</v>
      </c>
      <c r="AM151" s="858">
        <f t="shared" si="21"/>
        <v>0</v>
      </c>
      <c r="AN151" s="858">
        <f t="shared" si="21"/>
        <v>0</v>
      </c>
      <c r="AO151" s="858">
        <f t="shared" si="21"/>
        <v>0</v>
      </c>
      <c r="AP151" s="858">
        <f t="shared" si="21"/>
        <v>0</v>
      </c>
      <c r="AQ151" s="858">
        <f t="shared" si="21"/>
        <v>0</v>
      </c>
      <c r="AR151" s="858">
        <f t="shared" si="21"/>
        <v>0</v>
      </c>
      <c r="AS151" s="858">
        <f t="shared" si="21"/>
        <v>0</v>
      </c>
      <c r="AT151" s="858">
        <f t="shared" si="21"/>
        <v>0</v>
      </c>
      <c r="AU151" s="858">
        <f t="shared" si="21"/>
        <v>0</v>
      </c>
      <c r="AV151" s="858">
        <f t="shared" si="21"/>
        <v>0</v>
      </c>
      <c r="AW151" s="858">
        <f t="shared" si="21"/>
        <v>0</v>
      </c>
      <c r="AX151" s="858">
        <f t="shared" si="21"/>
        <v>0</v>
      </c>
      <c r="AY151" s="858">
        <f t="shared" si="21"/>
        <v>0</v>
      </c>
      <c r="AZ151" s="858">
        <f t="shared" si="21"/>
        <v>0</v>
      </c>
      <c r="BA151" s="858">
        <f t="shared" si="21"/>
        <v>0</v>
      </c>
      <c r="BB151" s="858">
        <f t="shared" si="21"/>
        <v>0</v>
      </c>
      <c r="BC151" s="858">
        <f t="shared" si="21"/>
        <v>0</v>
      </c>
      <c r="BD151" s="858"/>
      <c r="BE151" s="856"/>
      <c r="BF151" s="856"/>
      <c r="BG151" s="856"/>
      <c r="BH151" s="856"/>
      <c r="BI151" s="856"/>
      <c r="BJ151" s="856"/>
      <c r="BK151" s="861">
        <f>SUM(D151:BD151)</f>
        <v>0</v>
      </c>
      <c r="BL151" s="856"/>
      <c r="BM151" s="856"/>
      <c r="BN151" s="856"/>
      <c r="BO151" s="856"/>
      <c r="BP151" s="856"/>
      <c r="BQ151" s="816"/>
      <c r="BR151" s="816"/>
      <c r="BS151" s="816"/>
    </row>
    <row r="152" spans="1:78" ht="21.95" customHeight="1">
      <c r="A152" s="2616"/>
      <c r="B152" s="2585"/>
      <c r="C152" s="814" t="s">
        <v>1672</v>
      </c>
      <c r="D152" s="860">
        <f t="shared" ref="D152:BC152" si="22">IF(D$15="ROCHA",0,IF(D$14=1,D$40,0))</f>
        <v>0</v>
      </c>
      <c r="E152" s="860">
        <f t="shared" si="22"/>
        <v>0</v>
      </c>
      <c r="F152" s="860">
        <f t="shared" si="22"/>
        <v>0</v>
      </c>
      <c r="G152" s="860">
        <f t="shared" si="22"/>
        <v>0</v>
      </c>
      <c r="H152" s="860">
        <f t="shared" si="22"/>
        <v>0</v>
      </c>
      <c r="I152" s="860">
        <f t="shared" si="22"/>
        <v>0</v>
      </c>
      <c r="J152" s="860">
        <f t="shared" si="22"/>
        <v>0</v>
      </c>
      <c r="K152" s="860">
        <f t="shared" si="22"/>
        <v>0</v>
      </c>
      <c r="L152" s="860">
        <f t="shared" si="22"/>
        <v>0</v>
      </c>
      <c r="M152" s="860">
        <f t="shared" si="22"/>
        <v>0</v>
      </c>
      <c r="N152" s="860">
        <f t="shared" si="22"/>
        <v>0</v>
      </c>
      <c r="O152" s="860">
        <f t="shared" si="22"/>
        <v>0</v>
      </c>
      <c r="P152" s="860">
        <f t="shared" si="22"/>
        <v>0</v>
      </c>
      <c r="Q152" s="860">
        <f t="shared" si="22"/>
        <v>0</v>
      </c>
      <c r="R152" s="860">
        <f t="shared" si="22"/>
        <v>0</v>
      </c>
      <c r="S152" s="860">
        <f t="shared" si="22"/>
        <v>0</v>
      </c>
      <c r="T152" s="860">
        <f t="shared" si="22"/>
        <v>0</v>
      </c>
      <c r="U152" s="860">
        <f t="shared" si="22"/>
        <v>0</v>
      </c>
      <c r="V152" s="860">
        <f t="shared" si="22"/>
        <v>0</v>
      </c>
      <c r="W152" s="860">
        <f t="shared" si="22"/>
        <v>0</v>
      </c>
      <c r="X152" s="860">
        <f t="shared" si="22"/>
        <v>0</v>
      </c>
      <c r="Y152" s="860">
        <f t="shared" si="22"/>
        <v>0</v>
      </c>
      <c r="Z152" s="860">
        <f t="shared" si="22"/>
        <v>0</v>
      </c>
      <c r="AA152" s="860">
        <f t="shared" si="22"/>
        <v>0</v>
      </c>
      <c r="AB152" s="860">
        <f t="shared" si="22"/>
        <v>0</v>
      </c>
      <c r="AC152" s="860">
        <f t="shared" si="22"/>
        <v>0</v>
      </c>
      <c r="AD152" s="860">
        <f t="shared" si="22"/>
        <v>0</v>
      </c>
      <c r="AE152" s="860">
        <f t="shared" si="22"/>
        <v>0</v>
      </c>
      <c r="AF152" s="860">
        <f t="shared" si="22"/>
        <v>0</v>
      </c>
      <c r="AG152" s="860">
        <f t="shared" si="22"/>
        <v>0</v>
      </c>
      <c r="AH152" s="860">
        <f t="shared" si="22"/>
        <v>0</v>
      </c>
      <c r="AI152" s="860">
        <f t="shared" si="22"/>
        <v>0</v>
      </c>
      <c r="AJ152" s="860">
        <f t="shared" si="22"/>
        <v>0</v>
      </c>
      <c r="AK152" s="860">
        <f t="shared" si="22"/>
        <v>0</v>
      </c>
      <c r="AL152" s="860">
        <f t="shared" si="22"/>
        <v>0</v>
      </c>
      <c r="AM152" s="860">
        <f t="shared" si="22"/>
        <v>0</v>
      </c>
      <c r="AN152" s="860">
        <f t="shared" si="22"/>
        <v>0</v>
      </c>
      <c r="AO152" s="860">
        <f t="shared" si="22"/>
        <v>0</v>
      </c>
      <c r="AP152" s="860">
        <f t="shared" si="22"/>
        <v>0</v>
      </c>
      <c r="AQ152" s="860">
        <f t="shared" si="22"/>
        <v>0</v>
      </c>
      <c r="AR152" s="860">
        <f t="shared" si="22"/>
        <v>0</v>
      </c>
      <c r="AS152" s="860">
        <f t="shared" si="22"/>
        <v>0</v>
      </c>
      <c r="AT152" s="860">
        <f t="shared" si="22"/>
        <v>0</v>
      </c>
      <c r="AU152" s="860">
        <f t="shared" si="22"/>
        <v>0</v>
      </c>
      <c r="AV152" s="860">
        <f t="shared" si="22"/>
        <v>0</v>
      </c>
      <c r="AW152" s="860">
        <f t="shared" si="22"/>
        <v>0</v>
      </c>
      <c r="AX152" s="860">
        <f t="shared" si="22"/>
        <v>0</v>
      </c>
      <c r="AY152" s="860">
        <f t="shared" si="22"/>
        <v>0</v>
      </c>
      <c r="AZ152" s="860">
        <f t="shared" si="22"/>
        <v>0</v>
      </c>
      <c r="BA152" s="860">
        <f t="shared" si="22"/>
        <v>0</v>
      </c>
      <c r="BB152" s="860">
        <f t="shared" si="22"/>
        <v>0</v>
      </c>
      <c r="BC152" s="860">
        <f t="shared" si="22"/>
        <v>0</v>
      </c>
      <c r="BD152" s="860"/>
      <c r="BE152" s="856"/>
      <c r="BF152" s="856"/>
      <c r="BG152" s="856"/>
      <c r="BH152" s="856"/>
      <c r="BI152" s="856"/>
      <c r="BJ152" s="856"/>
      <c r="BK152" s="856"/>
      <c r="BL152" s="861">
        <f>SUM(D152:BD152)</f>
        <v>0</v>
      </c>
      <c r="BM152" s="856"/>
      <c r="BN152" s="856"/>
      <c r="BO152" s="856"/>
      <c r="BP152" s="856"/>
      <c r="BQ152" s="816"/>
      <c r="BR152" s="816"/>
      <c r="BS152" s="816"/>
    </row>
    <row r="153" spans="1:78" ht="21.95" customHeight="1">
      <c r="A153" s="2616"/>
      <c r="B153" s="2585"/>
      <c r="C153" s="814" t="s">
        <v>1677</v>
      </c>
      <c r="D153" s="858">
        <f t="shared" ref="D153:BC153" si="23">IF(D$15="ROCHA",0,IF(D$14=2,D$41,0))</f>
        <v>0</v>
      </c>
      <c r="E153" s="858">
        <f t="shared" si="23"/>
        <v>0</v>
      </c>
      <c r="F153" s="858">
        <f t="shared" si="23"/>
        <v>0</v>
      </c>
      <c r="G153" s="858">
        <f t="shared" si="23"/>
        <v>0</v>
      </c>
      <c r="H153" s="858">
        <f t="shared" si="23"/>
        <v>0</v>
      </c>
      <c r="I153" s="858">
        <f t="shared" si="23"/>
        <v>0</v>
      </c>
      <c r="J153" s="858">
        <f t="shared" si="23"/>
        <v>0</v>
      </c>
      <c r="K153" s="858">
        <f t="shared" si="23"/>
        <v>0</v>
      </c>
      <c r="L153" s="858">
        <f t="shared" si="23"/>
        <v>0</v>
      </c>
      <c r="M153" s="858">
        <f t="shared" si="23"/>
        <v>0</v>
      </c>
      <c r="N153" s="858">
        <f t="shared" si="23"/>
        <v>0</v>
      </c>
      <c r="O153" s="858">
        <f t="shared" si="23"/>
        <v>0</v>
      </c>
      <c r="P153" s="858">
        <f t="shared" si="23"/>
        <v>0</v>
      </c>
      <c r="Q153" s="858">
        <f t="shared" si="23"/>
        <v>0</v>
      </c>
      <c r="R153" s="858">
        <f t="shared" si="23"/>
        <v>0</v>
      </c>
      <c r="S153" s="858">
        <f t="shared" si="23"/>
        <v>0</v>
      </c>
      <c r="T153" s="858">
        <f t="shared" si="23"/>
        <v>0</v>
      </c>
      <c r="U153" s="858">
        <f t="shared" si="23"/>
        <v>0</v>
      </c>
      <c r="V153" s="858">
        <f t="shared" si="23"/>
        <v>0</v>
      </c>
      <c r="W153" s="858">
        <f t="shared" si="23"/>
        <v>0</v>
      </c>
      <c r="X153" s="858">
        <f t="shared" si="23"/>
        <v>0</v>
      </c>
      <c r="Y153" s="858">
        <f t="shared" si="23"/>
        <v>0</v>
      </c>
      <c r="Z153" s="858">
        <f t="shared" si="23"/>
        <v>0</v>
      </c>
      <c r="AA153" s="858">
        <f t="shared" si="23"/>
        <v>0</v>
      </c>
      <c r="AB153" s="858">
        <f t="shared" si="23"/>
        <v>0</v>
      </c>
      <c r="AC153" s="858">
        <f t="shared" si="23"/>
        <v>0</v>
      </c>
      <c r="AD153" s="858">
        <f t="shared" si="23"/>
        <v>0</v>
      </c>
      <c r="AE153" s="858">
        <f t="shared" si="23"/>
        <v>0</v>
      </c>
      <c r="AF153" s="858">
        <f t="shared" si="23"/>
        <v>0</v>
      </c>
      <c r="AG153" s="858">
        <f t="shared" si="23"/>
        <v>0</v>
      </c>
      <c r="AH153" s="858">
        <f t="shared" si="23"/>
        <v>0</v>
      </c>
      <c r="AI153" s="858">
        <f t="shared" si="23"/>
        <v>0</v>
      </c>
      <c r="AJ153" s="858">
        <f t="shared" si="23"/>
        <v>0</v>
      </c>
      <c r="AK153" s="858">
        <f t="shared" si="23"/>
        <v>0</v>
      </c>
      <c r="AL153" s="858">
        <f t="shared" si="23"/>
        <v>0</v>
      </c>
      <c r="AM153" s="858">
        <f t="shared" si="23"/>
        <v>0</v>
      </c>
      <c r="AN153" s="858">
        <f t="shared" si="23"/>
        <v>0</v>
      </c>
      <c r="AO153" s="858">
        <f t="shared" si="23"/>
        <v>0</v>
      </c>
      <c r="AP153" s="858">
        <f t="shared" si="23"/>
        <v>0</v>
      </c>
      <c r="AQ153" s="858">
        <f t="shared" si="23"/>
        <v>0</v>
      </c>
      <c r="AR153" s="858">
        <f t="shared" si="23"/>
        <v>0</v>
      </c>
      <c r="AS153" s="858">
        <f t="shared" si="23"/>
        <v>0</v>
      </c>
      <c r="AT153" s="858">
        <f t="shared" si="23"/>
        <v>0</v>
      </c>
      <c r="AU153" s="858">
        <f t="shared" si="23"/>
        <v>0</v>
      </c>
      <c r="AV153" s="858">
        <f t="shared" si="23"/>
        <v>0</v>
      </c>
      <c r="AW153" s="858">
        <f t="shared" si="23"/>
        <v>0</v>
      </c>
      <c r="AX153" s="858">
        <f t="shared" si="23"/>
        <v>0</v>
      </c>
      <c r="AY153" s="858">
        <f t="shared" si="23"/>
        <v>0</v>
      </c>
      <c r="AZ153" s="858">
        <f t="shared" si="23"/>
        <v>0</v>
      </c>
      <c r="BA153" s="858">
        <f t="shared" si="23"/>
        <v>0</v>
      </c>
      <c r="BB153" s="858">
        <f t="shared" si="23"/>
        <v>0</v>
      </c>
      <c r="BC153" s="858">
        <f t="shared" si="23"/>
        <v>0</v>
      </c>
      <c r="BD153" s="858"/>
      <c r="BE153" s="856"/>
      <c r="BF153" s="856"/>
      <c r="BG153" s="856"/>
      <c r="BH153" s="856"/>
      <c r="BI153" s="856"/>
      <c r="BJ153" s="856"/>
      <c r="BK153" s="856"/>
      <c r="BL153" s="856"/>
      <c r="BM153" s="861">
        <f>SUM(D153:BD153)</f>
        <v>0</v>
      </c>
      <c r="BN153" s="856"/>
      <c r="BO153" s="856"/>
      <c r="BP153" s="856"/>
      <c r="BQ153" s="816"/>
      <c r="BR153" s="816"/>
      <c r="BS153" s="816"/>
    </row>
    <row r="154" spans="1:78" ht="21.95" customHeight="1">
      <c r="A154" s="2616"/>
      <c r="B154" s="2585"/>
      <c r="C154" s="814" t="s">
        <v>1678</v>
      </c>
      <c r="D154" s="860">
        <f t="shared" ref="D154:BC154" si="24">IF(D$15="ROCHA",0,IF(D$14=1,D$41,0))</f>
        <v>0</v>
      </c>
      <c r="E154" s="860">
        <f t="shared" si="24"/>
        <v>0</v>
      </c>
      <c r="F154" s="860">
        <f t="shared" si="24"/>
        <v>0</v>
      </c>
      <c r="G154" s="860">
        <f t="shared" si="24"/>
        <v>0</v>
      </c>
      <c r="H154" s="860">
        <f t="shared" si="24"/>
        <v>0</v>
      </c>
      <c r="I154" s="860">
        <f t="shared" si="24"/>
        <v>0</v>
      </c>
      <c r="J154" s="860">
        <f t="shared" si="24"/>
        <v>0</v>
      </c>
      <c r="K154" s="860">
        <f t="shared" si="24"/>
        <v>0</v>
      </c>
      <c r="L154" s="860">
        <f t="shared" si="24"/>
        <v>0</v>
      </c>
      <c r="M154" s="860">
        <f t="shared" si="24"/>
        <v>0</v>
      </c>
      <c r="N154" s="860">
        <f t="shared" si="24"/>
        <v>0</v>
      </c>
      <c r="O154" s="860">
        <f t="shared" si="24"/>
        <v>0</v>
      </c>
      <c r="P154" s="860">
        <f t="shared" si="24"/>
        <v>0</v>
      </c>
      <c r="Q154" s="860">
        <f t="shared" si="24"/>
        <v>0</v>
      </c>
      <c r="R154" s="860">
        <f t="shared" si="24"/>
        <v>0</v>
      </c>
      <c r="S154" s="860">
        <f t="shared" si="24"/>
        <v>0</v>
      </c>
      <c r="T154" s="860">
        <f t="shared" si="24"/>
        <v>0</v>
      </c>
      <c r="U154" s="860">
        <f t="shared" si="24"/>
        <v>0</v>
      </c>
      <c r="V154" s="860">
        <f t="shared" si="24"/>
        <v>0</v>
      </c>
      <c r="W154" s="860">
        <f t="shared" si="24"/>
        <v>0</v>
      </c>
      <c r="X154" s="860">
        <f t="shared" si="24"/>
        <v>0</v>
      </c>
      <c r="Y154" s="860">
        <f t="shared" si="24"/>
        <v>0</v>
      </c>
      <c r="Z154" s="860">
        <f t="shared" si="24"/>
        <v>0</v>
      </c>
      <c r="AA154" s="860">
        <f t="shared" si="24"/>
        <v>0</v>
      </c>
      <c r="AB154" s="860">
        <f t="shared" si="24"/>
        <v>0</v>
      </c>
      <c r="AC154" s="860">
        <f t="shared" si="24"/>
        <v>0</v>
      </c>
      <c r="AD154" s="860">
        <f t="shared" si="24"/>
        <v>0</v>
      </c>
      <c r="AE154" s="860">
        <f t="shared" si="24"/>
        <v>0</v>
      </c>
      <c r="AF154" s="860">
        <f t="shared" si="24"/>
        <v>0</v>
      </c>
      <c r="AG154" s="860">
        <f t="shared" si="24"/>
        <v>0</v>
      </c>
      <c r="AH154" s="860">
        <f t="shared" si="24"/>
        <v>0</v>
      </c>
      <c r="AI154" s="860">
        <f t="shared" si="24"/>
        <v>0</v>
      </c>
      <c r="AJ154" s="860">
        <f t="shared" si="24"/>
        <v>0</v>
      </c>
      <c r="AK154" s="860">
        <f t="shared" si="24"/>
        <v>0</v>
      </c>
      <c r="AL154" s="860">
        <f t="shared" si="24"/>
        <v>0</v>
      </c>
      <c r="AM154" s="860">
        <f t="shared" si="24"/>
        <v>0</v>
      </c>
      <c r="AN154" s="860">
        <f t="shared" si="24"/>
        <v>0</v>
      </c>
      <c r="AO154" s="860">
        <f t="shared" si="24"/>
        <v>0</v>
      </c>
      <c r="AP154" s="860">
        <f t="shared" si="24"/>
        <v>0</v>
      </c>
      <c r="AQ154" s="860">
        <f t="shared" si="24"/>
        <v>0</v>
      </c>
      <c r="AR154" s="860">
        <f t="shared" si="24"/>
        <v>0</v>
      </c>
      <c r="AS154" s="860">
        <f t="shared" si="24"/>
        <v>0</v>
      </c>
      <c r="AT154" s="860">
        <f t="shared" si="24"/>
        <v>0</v>
      </c>
      <c r="AU154" s="860">
        <f t="shared" si="24"/>
        <v>0</v>
      </c>
      <c r="AV154" s="860">
        <f t="shared" si="24"/>
        <v>0</v>
      </c>
      <c r="AW154" s="860">
        <f t="shared" si="24"/>
        <v>0</v>
      </c>
      <c r="AX154" s="860">
        <f t="shared" si="24"/>
        <v>0</v>
      </c>
      <c r="AY154" s="860">
        <f t="shared" si="24"/>
        <v>0</v>
      </c>
      <c r="AZ154" s="860">
        <f t="shared" si="24"/>
        <v>0</v>
      </c>
      <c r="BA154" s="860">
        <f t="shared" si="24"/>
        <v>0</v>
      </c>
      <c r="BB154" s="860">
        <f t="shared" si="24"/>
        <v>0</v>
      </c>
      <c r="BC154" s="860">
        <f t="shared" si="24"/>
        <v>0</v>
      </c>
      <c r="BD154" s="860"/>
      <c r="BE154" s="856"/>
      <c r="BF154" s="856"/>
      <c r="BG154" s="856"/>
      <c r="BH154" s="856"/>
      <c r="BI154" s="856"/>
      <c r="BJ154" s="856"/>
      <c r="BK154" s="856"/>
      <c r="BL154" s="856"/>
      <c r="BM154" s="856"/>
      <c r="BN154" s="861">
        <f>SUM(D154:BD154)</f>
        <v>0</v>
      </c>
      <c r="BO154" s="856"/>
      <c r="BP154" s="856"/>
      <c r="BQ154" s="816"/>
      <c r="BR154" s="816"/>
      <c r="BS154" s="816"/>
    </row>
    <row r="155" spans="1:78" s="714" customFormat="1" ht="21.95" customHeight="1">
      <c r="A155" s="2616"/>
      <c r="B155" s="2585"/>
      <c r="C155" s="814" t="s">
        <v>1679</v>
      </c>
      <c r="D155" s="862">
        <f>IF(D15="ROCHA",D40,0)</f>
        <v>0</v>
      </c>
      <c r="E155" s="862">
        <f t="shared" ref="E155:BC155" si="25">IF(E15="ROCHA",E40,0)</f>
        <v>0</v>
      </c>
      <c r="F155" s="862">
        <f t="shared" si="25"/>
        <v>0</v>
      </c>
      <c r="G155" s="862">
        <f t="shared" si="25"/>
        <v>0</v>
      </c>
      <c r="H155" s="862">
        <f t="shared" si="25"/>
        <v>0</v>
      </c>
      <c r="I155" s="862">
        <f t="shared" si="25"/>
        <v>0</v>
      </c>
      <c r="J155" s="862">
        <f t="shared" si="25"/>
        <v>0</v>
      </c>
      <c r="K155" s="862">
        <f t="shared" si="25"/>
        <v>0</v>
      </c>
      <c r="L155" s="862">
        <f t="shared" si="25"/>
        <v>0</v>
      </c>
      <c r="M155" s="862">
        <f t="shared" si="25"/>
        <v>0</v>
      </c>
      <c r="N155" s="862">
        <f t="shared" si="25"/>
        <v>0</v>
      </c>
      <c r="O155" s="862">
        <f t="shared" si="25"/>
        <v>0</v>
      </c>
      <c r="P155" s="862">
        <f t="shared" si="25"/>
        <v>0</v>
      </c>
      <c r="Q155" s="862">
        <f t="shared" si="25"/>
        <v>0</v>
      </c>
      <c r="R155" s="862">
        <f t="shared" si="25"/>
        <v>0</v>
      </c>
      <c r="S155" s="862">
        <f t="shared" si="25"/>
        <v>0</v>
      </c>
      <c r="T155" s="862">
        <f t="shared" si="25"/>
        <v>0</v>
      </c>
      <c r="U155" s="862">
        <f t="shared" si="25"/>
        <v>0</v>
      </c>
      <c r="V155" s="862">
        <f t="shared" si="25"/>
        <v>0</v>
      </c>
      <c r="W155" s="862">
        <f t="shared" si="25"/>
        <v>0</v>
      </c>
      <c r="X155" s="862">
        <f t="shared" si="25"/>
        <v>0</v>
      </c>
      <c r="Y155" s="862">
        <f t="shared" si="25"/>
        <v>0</v>
      </c>
      <c r="Z155" s="862">
        <f t="shared" si="25"/>
        <v>0</v>
      </c>
      <c r="AA155" s="862">
        <f t="shared" si="25"/>
        <v>0</v>
      </c>
      <c r="AB155" s="862">
        <f t="shared" si="25"/>
        <v>0</v>
      </c>
      <c r="AC155" s="862">
        <f t="shared" si="25"/>
        <v>0</v>
      </c>
      <c r="AD155" s="862">
        <f t="shared" si="25"/>
        <v>0</v>
      </c>
      <c r="AE155" s="862">
        <f t="shared" si="25"/>
        <v>0</v>
      </c>
      <c r="AF155" s="862">
        <f t="shared" si="25"/>
        <v>0</v>
      </c>
      <c r="AG155" s="862">
        <f t="shared" si="25"/>
        <v>0</v>
      </c>
      <c r="AH155" s="862">
        <f t="shared" si="25"/>
        <v>0</v>
      </c>
      <c r="AI155" s="862">
        <f t="shared" si="25"/>
        <v>0</v>
      </c>
      <c r="AJ155" s="862">
        <f t="shared" si="25"/>
        <v>0</v>
      </c>
      <c r="AK155" s="862">
        <f t="shared" si="25"/>
        <v>0</v>
      </c>
      <c r="AL155" s="862">
        <f t="shared" si="25"/>
        <v>0</v>
      </c>
      <c r="AM155" s="862">
        <f t="shared" si="25"/>
        <v>0</v>
      </c>
      <c r="AN155" s="862">
        <f t="shared" si="25"/>
        <v>0</v>
      </c>
      <c r="AO155" s="862">
        <f t="shared" si="25"/>
        <v>0</v>
      </c>
      <c r="AP155" s="862">
        <f t="shared" si="25"/>
        <v>0</v>
      </c>
      <c r="AQ155" s="862">
        <f t="shared" si="25"/>
        <v>0</v>
      </c>
      <c r="AR155" s="862">
        <f t="shared" si="25"/>
        <v>0</v>
      </c>
      <c r="AS155" s="862">
        <f t="shared" si="25"/>
        <v>0</v>
      </c>
      <c r="AT155" s="862">
        <f t="shared" si="25"/>
        <v>0</v>
      </c>
      <c r="AU155" s="862">
        <f t="shared" si="25"/>
        <v>0</v>
      </c>
      <c r="AV155" s="862">
        <f t="shared" si="25"/>
        <v>0</v>
      </c>
      <c r="AW155" s="862">
        <f t="shared" si="25"/>
        <v>0</v>
      </c>
      <c r="AX155" s="862">
        <f t="shared" si="25"/>
        <v>0</v>
      </c>
      <c r="AY155" s="862">
        <f t="shared" si="25"/>
        <v>0</v>
      </c>
      <c r="AZ155" s="862">
        <f t="shared" si="25"/>
        <v>0</v>
      </c>
      <c r="BA155" s="862">
        <f t="shared" si="25"/>
        <v>0</v>
      </c>
      <c r="BB155" s="862">
        <f t="shared" si="25"/>
        <v>0</v>
      </c>
      <c r="BC155" s="862">
        <f t="shared" si="25"/>
        <v>0</v>
      </c>
      <c r="BD155" s="862"/>
      <c r="BE155" s="856"/>
      <c r="BF155" s="856"/>
      <c r="BG155" s="856"/>
      <c r="BH155" s="856"/>
      <c r="BI155" s="856"/>
      <c r="BJ155" s="856"/>
      <c r="BK155" s="856"/>
      <c r="BL155" s="856"/>
      <c r="BM155" s="856"/>
      <c r="BN155" s="856"/>
      <c r="BO155" s="861">
        <f>SUM(D155:BE155)</f>
        <v>0</v>
      </c>
      <c r="BP155" s="856"/>
      <c r="BQ155" s="816"/>
      <c r="BR155" s="816"/>
      <c r="BS155" s="816"/>
      <c r="BT155" s="826"/>
      <c r="BU155" s="746"/>
      <c r="BV155" s="746"/>
      <c r="BW155" s="746"/>
      <c r="BX155" s="746"/>
      <c r="BY155" s="746"/>
      <c r="BZ155" s="746"/>
    </row>
    <row r="156" spans="1:78" s="714" customFormat="1" ht="21.95" customHeight="1">
      <c r="A156" s="2616"/>
      <c r="B156" s="2602"/>
      <c r="C156" s="814" t="s">
        <v>1680</v>
      </c>
      <c r="D156" s="863">
        <f>IF(D15="ROCHA",D41,0)</f>
        <v>0</v>
      </c>
      <c r="E156" s="863">
        <f t="shared" ref="E156:BC156" si="26">IF(E15="ROCHA",E41,0)</f>
        <v>0</v>
      </c>
      <c r="F156" s="863">
        <f t="shared" si="26"/>
        <v>0</v>
      </c>
      <c r="G156" s="863">
        <f t="shared" si="26"/>
        <v>0</v>
      </c>
      <c r="H156" s="863">
        <f t="shared" si="26"/>
        <v>0</v>
      </c>
      <c r="I156" s="863">
        <f t="shared" si="26"/>
        <v>0</v>
      </c>
      <c r="J156" s="863">
        <f t="shared" si="26"/>
        <v>0</v>
      </c>
      <c r="K156" s="863">
        <f t="shared" si="26"/>
        <v>0</v>
      </c>
      <c r="L156" s="863">
        <f t="shared" si="26"/>
        <v>0</v>
      </c>
      <c r="M156" s="863">
        <f t="shared" si="26"/>
        <v>0</v>
      </c>
      <c r="N156" s="863">
        <f t="shared" si="26"/>
        <v>0</v>
      </c>
      <c r="O156" s="863">
        <f t="shared" si="26"/>
        <v>0</v>
      </c>
      <c r="P156" s="863">
        <f t="shared" si="26"/>
        <v>0</v>
      </c>
      <c r="Q156" s="863">
        <f t="shared" si="26"/>
        <v>0</v>
      </c>
      <c r="R156" s="863">
        <f t="shared" si="26"/>
        <v>0</v>
      </c>
      <c r="S156" s="863">
        <f t="shared" si="26"/>
        <v>0</v>
      </c>
      <c r="T156" s="863">
        <f t="shared" si="26"/>
        <v>0</v>
      </c>
      <c r="U156" s="863">
        <f t="shared" si="26"/>
        <v>0</v>
      </c>
      <c r="V156" s="863">
        <f t="shared" si="26"/>
        <v>0</v>
      </c>
      <c r="W156" s="863">
        <f t="shared" si="26"/>
        <v>0</v>
      </c>
      <c r="X156" s="863">
        <f t="shared" si="26"/>
        <v>0</v>
      </c>
      <c r="Y156" s="863">
        <f t="shared" si="26"/>
        <v>0</v>
      </c>
      <c r="Z156" s="863">
        <f t="shared" si="26"/>
        <v>0</v>
      </c>
      <c r="AA156" s="863">
        <f t="shared" si="26"/>
        <v>0</v>
      </c>
      <c r="AB156" s="863">
        <f t="shared" si="26"/>
        <v>0</v>
      </c>
      <c r="AC156" s="863">
        <f t="shared" si="26"/>
        <v>0</v>
      </c>
      <c r="AD156" s="863">
        <f t="shared" si="26"/>
        <v>0</v>
      </c>
      <c r="AE156" s="863">
        <f t="shared" si="26"/>
        <v>0</v>
      </c>
      <c r="AF156" s="863">
        <f t="shared" si="26"/>
        <v>0</v>
      </c>
      <c r="AG156" s="863">
        <f t="shared" si="26"/>
        <v>0</v>
      </c>
      <c r="AH156" s="863">
        <f t="shared" si="26"/>
        <v>0</v>
      </c>
      <c r="AI156" s="863">
        <f t="shared" si="26"/>
        <v>0</v>
      </c>
      <c r="AJ156" s="863">
        <f t="shared" si="26"/>
        <v>0</v>
      </c>
      <c r="AK156" s="863">
        <f t="shared" si="26"/>
        <v>0</v>
      </c>
      <c r="AL156" s="863">
        <f t="shared" si="26"/>
        <v>0</v>
      </c>
      <c r="AM156" s="863">
        <f t="shared" si="26"/>
        <v>0</v>
      </c>
      <c r="AN156" s="863">
        <f t="shared" si="26"/>
        <v>0</v>
      </c>
      <c r="AO156" s="863">
        <f t="shared" si="26"/>
        <v>0</v>
      </c>
      <c r="AP156" s="863">
        <f t="shared" si="26"/>
        <v>0</v>
      </c>
      <c r="AQ156" s="863">
        <f t="shared" si="26"/>
        <v>0</v>
      </c>
      <c r="AR156" s="863">
        <f t="shared" si="26"/>
        <v>0</v>
      </c>
      <c r="AS156" s="863">
        <f t="shared" si="26"/>
        <v>0</v>
      </c>
      <c r="AT156" s="863">
        <f t="shared" si="26"/>
        <v>0</v>
      </c>
      <c r="AU156" s="863">
        <f t="shared" si="26"/>
        <v>0</v>
      </c>
      <c r="AV156" s="863">
        <f t="shared" si="26"/>
        <v>0</v>
      </c>
      <c r="AW156" s="863">
        <f t="shared" si="26"/>
        <v>0</v>
      </c>
      <c r="AX156" s="863">
        <f t="shared" si="26"/>
        <v>0</v>
      </c>
      <c r="AY156" s="863">
        <f t="shared" si="26"/>
        <v>0</v>
      </c>
      <c r="AZ156" s="863">
        <f t="shared" si="26"/>
        <v>0</v>
      </c>
      <c r="BA156" s="863">
        <f t="shared" si="26"/>
        <v>0</v>
      </c>
      <c r="BB156" s="863">
        <f t="shared" si="26"/>
        <v>0</v>
      </c>
      <c r="BC156" s="863">
        <f t="shared" si="26"/>
        <v>0</v>
      </c>
      <c r="BD156" s="863"/>
      <c r="BE156" s="857"/>
      <c r="BF156" s="857"/>
      <c r="BG156" s="857"/>
      <c r="BH156" s="857"/>
      <c r="BI156" s="857"/>
      <c r="BJ156" s="857"/>
      <c r="BK156" s="857"/>
      <c r="BL156" s="857"/>
      <c r="BM156" s="857"/>
      <c r="BN156" s="857"/>
      <c r="BO156" s="857"/>
      <c r="BP156" s="864">
        <f>SUM(D156:BE156)</f>
        <v>0</v>
      </c>
      <c r="BQ156" s="819"/>
      <c r="BR156" s="819"/>
      <c r="BS156" s="819"/>
      <c r="BT156" s="826"/>
      <c r="BU156" s="746"/>
      <c r="BV156" s="746"/>
      <c r="BW156" s="746"/>
      <c r="BX156" s="746"/>
      <c r="BY156" s="746"/>
      <c r="BZ156" s="746"/>
    </row>
    <row r="157" spans="1:78" s="714" customFormat="1" ht="21.95" customHeight="1">
      <c r="A157" s="2616"/>
      <c r="B157" s="865"/>
      <c r="C157" s="814"/>
      <c r="D157" s="866"/>
      <c r="E157" s="866"/>
      <c r="F157" s="866"/>
      <c r="G157" s="866"/>
      <c r="H157" s="866"/>
      <c r="I157" s="866"/>
      <c r="J157" s="866"/>
      <c r="K157" s="866"/>
      <c r="L157" s="866"/>
      <c r="M157" s="866"/>
      <c r="N157" s="866"/>
      <c r="O157" s="866"/>
      <c r="P157" s="866"/>
      <c r="Q157" s="866"/>
      <c r="R157" s="866"/>
      <c r="S157" s="866"/>
      <c r="T157" s="866"/>
      <c r="U157" s="866"/>
      <c r="V157" s="866"/>
      <c r="W157" s="866"/>
      <c r="X157" s="866"/>
      <c r="Y157" s="866"/>
      <c r="Z157" s="866"/>
      <c r="AA157" s="866"/>
      <c r="AB157" s="866"/>
      <c r="AC157" s="866"/>
      <c r="AD157" s="866"/>
      <c r="AE157" s="866"/>
      <c r="AF157" s="866"/>
      <c r="AG157" s="866"/>
      <c r="AH157" s="866"/>
      <c r="AI157" s="866"/>
      <c r="AJ157" s="866"/>
      <c r="AK157" s="866"/>
      <c r="AL157" s="866"/>
      <c r="AM157" s="866"/>
      <c r="AN157" s="866"/>
      <c r="AO157" s="866"/>
      <c r="AP157" s="866"/>
      <c r="AQ157" s="866"/>
      <c r="AR157" s="866"/>
      <c r="AS157" s="866"/>
      <c r="AT157" s="866"/>
      <c r="AU157" s="866"/>
      <c r="AV157" s="866"/>
      <c r="AW157" s="866"/>
      <c r="AX157" s="866"/>
      <c r="AY157" s="866"/>
      <c r="AZ157" s="866"/>
      <c r="BA157" s="866"/>
      <c r="BB157" s="866"/>
      <c r="BC157" s="866"/>
      <c r="BD157" s="866"/>
      <c r="BE157" s="867"/>
      <c r="BF157" s="867"/>
      <c r="BG157" s="867"/>
      <c r="BH157" s="867"/>
      <c r="BI157" s="867"/>
      <c r="BJ157" s="867"/>
      <c r="BK157" s="867"/>
      <c r="BL157" s="867"/>
      <c r="BM157" s="867"/>
      <c r="BN157" s="867"/>
      <c r="BO157" s="867"/>
      <c r="BP157" s="867"/>
      <c r="BQ157" s="868"/>
      <c r="BR157" s="868"/>
      <c r="BS157" s="868"/>
      <c r="BT157" s="826"/>
      <c r="BU157" s="746"/>
      <c r="BV157" s="746"/>
      <c r="BW157" s="746"/>
      <c r="BX157" s="746"/>
      <c r="BY157" s="746"/>
      <c r="BZ157" s="746"/>
    </row>
    <row r="158" spans="1:78" s="714" customFormat="1" ht="21.95" customHeight="1" thickBot="1">
      <c r="A158" s="2616"/>
      <c r="B158" s="869"/>
      <c r="C158" s="870"/>
      <c r="D158" s="871"/>
      <c r="E158" s="871"/>
      <c r="F158" s="871"/>
      <c r="G158" s="871"/>
      <c r="H158" s="871"/>
      <c r="I158" s="871"/>
      <c r="J158" s="871"/>
      <c r="K158" s="871"/>
      <c r="L158" s="871"/>
      <c r="M158" s="871"/>
      <c r="N158" s="871"/>
      <c r="O158" s="871"/>
      <c r="P158" s="871"/>
      <c r="Q158" s="871"/>
      <c r="R158" s="871"/>
      <c r="S158" s="871"/>
      <c r="T158" s="871"/>
      <c r="U158" s="871"/>
      <c r="V158" s="871"/>
      <c r="W158" s="871"/>
      <c r="X158" s="871"/>
      <c r="Y158" s="871"/>
      <c r="Z158" s="871"/>
      <c r="AA158" s="871"/>
      <c r="AB158" s="871"/>
      <c r="AC158" s="871"/>
      <c r="AD158" s="871"/>
      <c r="AE158" s="871"/>
      <c r="AF158" s="871"/>
      <c r="AG158" s="871"/>
      <c r="AH158" s="871"/>
      <c r="AI158" s="871"/>
      <c r="AJ158" s="871"/>
      <c r="AK158" s="871"/>
      <c r="AL158" s="871"/>
      <c r="AM158" s="871"/>
      <c r="AN158" s="871"/>
      <c r="AO158" s="871"/>
      <c r="AP158" s="871"/>
      <c r="AQ158" s="871"/>
      <c r="AR158" s="871"/>
      <c r="AS158" s="871"/>
      <c r="AT158" s="871"/>
      <c r="AU158" s="871"/>
      <c r="AV158" s="871"/>
      <c r="AW158" s="871"/>
      <c r="AX158" s="871"/>
      <c r="AY158" s="871"/>
      <c r="AZ158" s="871"/>
      <c r="BA158" s="871"/>
      <c r="BB158" s="871"/>
      <c r="BC158" s="871"/>
      <c r="BD158" s="871"/>
      <c r="BE158" s="872"/>
      <c r="BF158" s="872"/>
      <c r="BG158" s="872"/>
      <c r="BH158" s="872"/>
      <c r="BI158" s="872"/>
      <c r="BJ158" s="872"/>
      <c r="BK158" s="872"/>
      <c r="BL158" s="872"/>
      <c r="BM158" s="872"/>
      <c r="BN158" s="872"/>
      <c r="BO158" s="872"/>
      <c r="BP158" s="872"/>
      <c r="BQ158" s="873"/>
      <c r="BR158" s="873"/>
      <c r="BS158" s="873"/>
      <c r="BT158" s="826"/>
      <c r="BU158" s="746"/>
      <c r="BV158" s="746"/>
      <c r="BW158" s="746"/>
      <c r="BX158" s="746"/>
      <c r="BY158" s="746"/>
      <c r="BZ158" s="746"/>
    </row>
    <row r="159" spans="1:78" ht="50.1" customHeight="1" thickBot="1">
      <c r="A159" s="2616"/>
      <c r="B159" s="2589" t="s">
        <v>1400</v>
      </c>
      <c r="C159" s="2598"/>
      <c r="D159" s="874">
        <v>0</v>
      </c>
      <c r="E159" s="874">
        <v>0</v>
      </c>
      <c r="F159" s="874">
        <v>0</v>
      </c>
      <c r="G159" s="874">
        <v>0</v>
      </c>
      <c r="H159" s="874">
        <v>0</v>
      </c>
      <c r="I159" s="874">
        <v>0</v>
      </c>
      <c r="J159" s="874">
        <v>0</v>
      </c>
      <c r="K159" s="874">
        <v>0</v>
      </c>
      <c r="L159" s="874">
        <v>0</v>
      </c>
      <c r="M159" s="874">
        <v>0</v>
      </c>
      <c r="N159" s="874">
        <v>0</v>
      </c>
      <c r="O159" s="874">
        <v>0</v>
      </c>
      <c r="P159" s="874">
        <v>0</v>
      </c>
      <c r="Q159" s="874">
        <v>0</v>
      </c>
      <c r="R159" s="874">
        <v>0</v>
      </c>
      <c r="S159" s="874">
        <v>0</v>
      </c>
      <c r="T159" s="874">
        <v>0</v>
      </c>
      <c r="U159" s="874">
        <v>0</v>
      </c>
      <c r="V159" s="874">
        <v>0</v>
      </c>
      <c r="W159" s="874">
        <v>0</v>
      </c>
      <c r="X159" s="874">
        <v>0</v>
      </c>
      <c r="Y159" s="874">
        <v>0</v>
      </c>
      <c r="Z159" s="874">
        <v>0</v>
      </c>
      <c r="AA159" s="874">
        <v>0</v>
      </c>
      <c r="AB159" s="874">
        <v>0</v>
      </c>
      <c r="AC159" s="874">
        <v>0</v>
      </c>
      <c r="AD159" s="874">
        <v>0</v>
      </c>
      <c r="AE159" s="874">
        <v>0</v>
      </c>
      <c r="AF159" s="874">
        <v>0</v>
      </c>
      <c r="AG159" s="874">
        <v>0</v>
      </c>
      <c r="AH159" s="874">
        <v>0</v>
      </c>
      <c r="AI159" s="874">
        <v>0</v>
      </c>
      <c r="AJ159" s="874">
        <v>0</v>
      </c>
      <c r="AK159" s="874">
        <v>0</v>
      </c>
      <c r="AL159" s="874">
        <v>0</v>
      </c>
      <c r="AM159" s="874">
        <v>0</v>
      </c>
      <c r="AN159" s="874">
        <v>0</v>
      </c>
      <c r="AO159" s="874">
        <v>0</v>
      </c>
      <c r="AP159" s="874">
        <v>0</v>
      </c>
      <c r="AQ159" s="874">
        <v>0</v>
      </c>
      <c r="AR159" s="874">
        <v>0</v>
      </c>
      <c r="AS159" s="874">
        <v>0</v>
      </c>
      <c r="AT159" s="874">
        <v>0</v>
      </c>
      <c r="AU159" s="874">
        <v>0</v>
      </c>
      <c r="AV159" s="874">
        <v>0</v>
      </c>
      <c r="AW159" s="874">
        <v>0</v>
      </c>
      <c r="AX159" s="874">
        <v>0</v>
      </c>
      <c r="AY159" s="874">
        <v>0</v>
      </c>
      <c r="AZ159" s="874">
        <v>0</v>
      </c>
      <c r="BA159" s="874">
        <v>0</v>
      </c>
      <c r="BB159" s="874">
        <v>0</v>
      </c>
      <c r="BC159" s="874">
        <v>0</v>
      </c>
      <c r="BD159" s="874"/>
      <c r="BE159" s="874"/>
      <c r="BF159" s="874"/>
      <c r="BG159" s="874"/>
      <c r="BH159" s="874"/>
      <c r="BI159" s="874"/>
      <c r="BJ159" s="874"/>
      <c r="BK159" s="874"/>
      <c r="BL159" s="874"/>
      <c r="BM159" s="874"/>
      <c r="BN159" s="874"/>
      <c r="BO159" s="874"/>
      <c r="BP159" s="874"/>
      <c r="BQ159" s="874"/>
      <c r="BR159" s="874"/>
      <c r="BS159" s="874"/>
    </row>
    <row r="160" spans="1:78" ht="22.5" thickTop="1">
      <c r="BT160" s="817"/>
      <c r="BU160" s="818"/>
      <c r="BV160" s="818"/>
      <c r="BW160" s="818"/>
      <c r="BX160" s="818"/>
      <c r="BY160" s="818"/>
      <c r="BZ160" s="818"/>
    </row>
    <row r="161" spans="2:3">
      <c r="B161" s="746"/>
      <c r="C161" s="746"/>
    </row>
    <row r="162" spans="2:3">
      <c r="B162" s="746"/>
      <c r="C162" s="746"/>
    </row>
    <row r="163" spans="2:3">
      <c r="B163" s="746"/>
      <c r="C163" s="746"/>
    </row>
  </sheetData>
  <mergeCells count="58">
    <mergeCell ref="A1:A159"/>
    <mergeCell ref="B1:C1"/>
    <mergeCell ref="B2:C2"/>
    <mergeCell ref="B3:C3"/>
    <mergeCell ref="B4:C4"/>
    <mergeCell ref="B5:B10"/>
    <mergeCell ref="B11:C11"/>
    <mergeCell ref="B12:C12"/>
    <mergeCell ref="B13:C13"/>
    <mergeCell ref="B14:C14"/>
    <mergeCell ref="B54:C54"/>
    <mergeCell ref="B15:B24"/>
    <mergeCell ref="B25:B26"/>
    <mergeCell ref="B27:B37"/>
    <mergeCell ref="B38:B39"/>
    <mergeCell ref="B40:B41"/>
    <mergeCell ref="B42:B48"/>
    <mergeCell ref="B49:C49"/>
    <mergeCell ref="B50:C50"/>
    <mergeCell ref="B51:C51"/>
    <mergeCell ref="B52:C52"/>
    <mergeCell ref="B53:C53"/>
    <mergeCell ref="B74:C74"/>
    <mergeCell ref="B55:B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112:B114"/>
    <mergeCell ref="B75:C75"/>
    <mergeCell ref="B76:C76"/>
    <mergeCell ref="B77:B78"/>
    <mergeCell ref="B79:B80"/>
    <mergeCell ref="B81:B85"/>
    <mergeCell ref="B86:B95"/>
    <mergeCell ref="B96:B101"/>
    <mergeCell ref="B102:B103"/>
    <mergeCell ref="B104:B105"/>
    <mergeCell ref="B106:B108"/>
    <mergeCell ref="B109:B111"/>
    <mergeCell ref="B159:C159"/>
    <mergeCell ref="B115:B117"/>
    <mergeCell ref="B118:B128"/>
    <mergeCell ref="B129:B131"/>
    <mergeCell ref="B132:B134"/>
    <mergeCell ref="B135:B137"/>
    <mergeCell ref="B138:B140"/>
    <mergeCell ref="B141:C141"/>
    <mergeCell ref="B142:C142"/>
    <mergeCell ref="B143:B144"/>
    <mergeCell ref="B145:B150"/>
    <mergeCell ref="B151:B156"/>
  </mergeCells>
  <conditionalFormatting sqref="D16:D18">
    <cfRule type="expression" dxfId="91" priority="1">
      <formula>D$15="rocha"</formula>
    </cfRule>
  </conditionalFormatting>
  <conditionalFormatting sqref="D7:BD7">
    <cfRule type="cellIs" dxfId="90" priority="4" operator="equal">
      <formula>"P"</formula>
    </cfRule>
  </conditionalFormatting>
  <conditionalFormatting sqref="D10:BD10">
    <cfRule type="cellIs" dxfId="89" priority="3" operator="equal">
      <formula>"PA-2"</formula>
    </cfRule>
  </conditionalFormatting>
  <conditionalFormatting sqref="D15:BH15">
    <cfRule type="expression" dxfId="88" priority="2">
      <formula>D$15="rocha"</formula>
    </cfRule>
  </conditionalFormatting>
  <conditionalFormatting sqref="BK7:BP7">
    <cfRule type="cellIs" dxfId="87" priority="5" operator="equal">
      <formula>"P"</formula>
    </cfRule>
  </conditionalFormatting>
  <hyperlinks>
    <hyperlink ref="B1:C1" location="PAINEL!A1" display="TRECHOS Nº" xr:uid="{79EAFADA-1EC1-4409-9AC5-6EE66DD8DBA7}"/>
  </hyperlinks>
  <pageMargins left="0.39370078740157477" right="0.59055118110236215" top="0.39370078740157477" bottom="0.59055118110236215" header="0.31496062992125984" footer="0.31496062992125984"/>
  <pageSetup paperSize="8" scale="10" orientation="portrait" horizontalDpi="300" verticalDpi="300" r:id="rId1"/>
  <headerFooter>
    <oddFooter>&amp;C&amp;8Página &amp;P/&amp;N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291D4-9DFF-4CED-90DB-5D300272E2E2}">
  <sheetPr codeName="Planilha25" filterMode="1">
    <tabColor rgb="FF92D050"/>
  </sheetPr>
  <dimension ref="A1:AK43"/>
  <sheetViews>
    <sheetView showZeros="0" topLeftCell="AA1" zoomScaleNormal="100" workbookViewId="0">
      <selection sqref="A1:A42"/>
    </sheetView>
  </sheetViews>
  <sheetFormatPr defaultColWidth="9" defaultRowHeight="18.75"/>
  <cols>
    <col min="1" max="1" width="13.25" style="746" customWidth="1"/>
    <col min="2" max="2" width="14.625" style="786" customWidth="1"/>
    <col min="3" max="3" width="35.625" style="786" customWidth="1"/>
    <col min="4" max="4" width="3.125" style="748" hidden="1" customWidth="1"/>
    <col min="5" max="5" width="8.375" style="786" hidden="1" customWidth="1"/>
    <col min="6" max="13" width="12.625" style="746" customWidth="1"/>
    <col min="14" max="14" width="2.625" style="746" customWidth="1"/>
    <col min="15" max="34" width="12.625" style="746" customWidth="1"/>
    <col min="35" max="35" width="12.625" style="948" customWidth="1"/>
    <col min="36" max="36" width="18.125" style="746" customWidth="1"/>
    <col min="37" max="40" width="10.75" style="746" customWidth="1"/>
    <col min="41" max="41" width="15.625" style="746" customWidth="1"/>
    <col min="42" max="16384" width="9" style="746"/>
  </cols>
  <sheetData>
    <row r="1" spans="1:37" s="739" customFormat="1" ht="60" customHeight="1" thickTop="1" thickBot="1">
      <c r="A1" s="2571" t="s">
        <v>1681</v>
      </c>
      <c r="B1" s="2591" t="s">
        <v>1467</v>
      </c>
      <c r="C1" s="2592"/>
      <c r="D1" s="734"/>
      <c r="E1" s="735" t="s">
        <v>1468</v>
      </c>
      <c r="F1" s="671">
        <f>Dren_Quantificacao!D1</f>
        <v>1</v>
      </c>
      <c r="G1" s="671">
        <f>Dren_Quantificacao!E1</f>
        <v>2</v>
      </c>
      <c r="H1" s="671">
        <f>Dren_Quantificacao!F1</f>
        <v>3</v>
      </c>
      <c r="I1" s="671">
        <f>Dren_Quantificacao!G1</f>
        <v>4</v>
      </c>
      <c r="J1" s="671"/>
      <c r="K1" s="671"/>
      <c r="L1" s="671"/>
      <c r="M1" s="671"/>
      <c r="N1" s="875"/>
      <c r="O1" s="671">
        <f>Dren_Quantificacao!L1</f>
        <v>9</v>
      </c>
      <c r="P1" s="671">
        <f>Dren_Quantificacao!M1</f>
        <v>10</v>
      </c>
      <c r="Q1" s="671">
        <f>Dren_Quantificacao!N1</f>
        <v>11</v>
      </c>
      <c r="R1" s="671">
        <f>Dren_Quantificacao!O1</f>
        <v>12</v>
      </c>
      <c r="S1" s="671" t="str">
        <f>Dren_Quantificacao!BD1</f>
        <v>DRENAGEM EXISTENTE</v>
      </c>
      <c r="T1" s="671" t="str">
        <f>Dren_Quantificacao!BE1</f>
        <v>RAMAL CONCRETO Ø 0,40 (m) SOLO baixa inter.</v>
      </c>
      <c r="U1" s="671" t="str">
        <f>Dren_Quantificacao!BF1</f>
        <v>RAMAL CONCRETO Ø 0,40 (m) SOLO alta inter.</v>
      </c>
      <c r="V1" s="671" t="str">
        <f>Dren_Quantificacao!BG1</f>
        <v>RAMAL CONCRETO Ø 0,60 (m) SOLO baixa inter.</v>
      </c>
      <c r="W1" s="671" t="str">
        <f>Dren_Quantificacao!BH1</f>
        <v>RAMAL CONCRETO Ø 0,60 (m) SOLO alta inter.</v>
      </c>
      <c r="X1" s="671" t="str">
        <f>Dren_Quantificacao!BI1</f>
        <v>RAMAL CONCRETO Ø 0,40 (m) ROCHA</v>
      </c>
      <c r="Y1" s="671" t="str">
        <f>Dren_Quantificacao!BJ1</f>
        <v>RAMAL CONCRETO Ø 0,60 (m) ROCHA</v>
      </c>
      <c r="Z1" s="671" t="str">
        <f>Dren_Quantificacao!BK1</f>
        <v>RAMAL PEAD Ø 0,40 (m) SOLO baixa inter.</v>
      </c>
      <c r="AA1" s="671" t="str">
        <f>Dren_Quantificacao!BL1</f>
        <v>RAMAL PEAD Ø 0,40 (m) SOLO alta inter.</v>
      </c>
      <c r="AB1" s="671" t="str">
        <f>Dren_Quantificacao!BM1</f>
        <v>RAMAL PEAD Ø 0,50 (m) SOLO baixa inter.</v>
      </c>
      <c r="AC1" s="671" t="str">
        <f>Dren_Quantificacao!BN1</f>
        <v>RAMAL PEAD Ø 0,50 (m) SOLO alta inter.</v>
      </c>
      <c r="AD1" s="671" t="str">
        <f>Dren_Quantificacao!BO1</f>
        <v>RAMAL PEAD Ø 0,40 (m) ROCHA</v>
      </c>
      <c r="AE1" s="671" t="str">
        <f>Dren_Quantificacao!BP1</f>
        <v>RAMAL PEAD Ø 0,50 (m) ROCHA</v>
      </c>
      <c r="AF1" s="671" t="str">
        <f>Dren_Quantificacao!BQ1</f>
        <v>LANÇAMENTO</v>
      </c>
      <c r="AG1" s="671" t="str">
        <f>Dren_Quantificacao!BR1</f>
        <v>LANÇAMENTO</v>
      </c>
      <c r="AH1" s="671" t="str">
        <f>Dren_Quantificacao!BS1</f>
        <v>LANÇAMENTO</v>
      </c>
      <c r="AI1" s="876"/>
      <c r="AJ1" s="738" t="s">
        <v>1475</v>
      </c>
      <c r="AK1" s="739">
        <f>SUBTOTAL(3,AJ:AJ)</f>
        <v>12</v>
      </c>
    </row>
    <row r="2" spans="1:37" ht="21.95" customHeight="1" thickTop="1" thickBot="1">
      <c r="A2" s="2572"/>
      <c r="B2" s="2626" t="s">
        <v>1539</v>
      </c>
      <c r="C2" s="2627"/>
      <c r="D2" s="877"/>
      <c r="E2" s="878"/>
      <c r="F2" s="879">
        <f>Dren_Quantificacao!D4</f>
        <v>30</v>
      </c>
      <c r="G2" s="879">
        <f>Dren_Quantificacao!E4</f>
        <v>50</v>
      </c>
      <c r="H2" s="879">
        <f>Dren_Quantificacao!F4</f>
        <v>25</v>
      </c>
      <c r="I2" s="879">
        <f>Dren_Quantificacao!G4</f>
        <v>45</v>
      </c>
      <c r="J2" s="879"/>
      <c r="K2" s="879"/>
      <c r="L2" s="879"/>
      <c r="M2" s="879"/>
      <c r="N2" s="880"/>
      <c r="O2" s="879">
        <f>Dren_Quantificacao!L4</f>
        <v>40</v>
      </c>
      <c r="P2" s="879">
        <f>Dren_Quantificacao!M4</f>
        <v>25</v>
      </c>
      <c r="Q2" s="879">
        <f>Dren_Quantificacao!N4</f>
        <v>45</v>
      </c>
      <c r="R2" s="879">
        <f>Dren_Quantificacao!O4</f>
        <v>45</v>
      </c>
      <c r="S2" s="879">
        <f>Dren_Quantificacao!BD4</f>
        <v>0</v>
      </c>
      <c r="T2" s="879">
        <f>Dren_Quantificacao!BE4</f>
        <v>0</v>
      </c>
      <c r="U2" s="879">
        <f>Dren_Quantificacao!BF4</f>
        <v>0</v>
      </c>
      <c r="V2" s="879">
        <f>Dren_Quantificacao!BG4</f>
        <v>0</v>
      </c>
      <c r="W2" s="879">
        <f>Dren_Quantificacao!BH4</f>
        <v>0</v>
      </c>
      <c r="X2" s="879">
        <f>Dren_Quantificacao!BI4</f>
        <v>0</v>
      </c>
      <c r="Y2" s="879">
        <f>Dren_Quantificacao!BJ4</f>
        <v>0</v>
      </c>
      <c r="Z2" s="879">
        <f>Dren_Quantificacao!BK4</f>
        <v>0</v>
      </c>
      <c r="AA2" s="879">
        <f>Dren_Quantificacao!BL4</f>
        <v>0</v>
      </c>
      <c r="AB2" s="879">
        <f>Dren_Quantificacao!BM4</f>
        <v>0</v>
      </c>
      <c r="AC2" s="879">
        <f>Dren_Quantificacao!BN4</f>
        <v>0</v>
      </c>
      <c r="AD2" s="879">
        <f>Dren_Quantificacao!BO4</f>
        <v>0</v>
      </c>
      <c r="AE2" s="879">
        <f>Dren_Quantificacao!BP4</f>
        <v>0</v>
      </c>
      <c r="AF2" s="879">
        <f>Dren_Quantificacao!BQ4</f>
        <v>0</v>
      </c>
      <c r="AG2" s="879">
        <f>Dren_Quantificacao!BR4</f>
        <v>0</v>
      </c>
      <c r="AH2" s="879">
        <f>Dren_Quantificacao!BS4</f>
        <v>0</v>
      </c>
      <c r="AI2" s="881"/>
      <c r="AJ2" s="745">
        <f t="shared" ref="AJ2:AJ41" si="0">SUM(F2:AI2)</f>
        <v>305</v>
      </c>
    </row>
    <row r="3" spans="1:37" s="714" customFormat="1" ht="21.95" customHeight="1">
      <c r="A3" s="2572"/>
      <c r="B3" s="2584" t="s">
        <v>1682</v>
      </c>
      <c r="C3" s="882" t="s">
        <v>1541</v>
      </c>
      <c r="D3" s="883"/>
      <c r="E3" s="884"/>
      <c r="F3" s="772">
        <f>Dren_Quantificacao!D5</f>
        <v>1</v>
      </c>
      <c r="G3" s="772">
        <f>Dren_Quantificacao!E5</f>
        <v>1</v>
      </c>
      <c r="H3" s="772">
        <f>Dren_Quantificacao!F5</f>
        <v>1</v>
      </c>
      <c r="I3" s="772">
        <f>Dren_Quantificacao!G5</f>
        <v>1</v>
      </c>
      <c r="J3" s="772"/>
      <c r="K3" s="772"/>
      <c r="L3" s="772"/>
      <c r="M3" s="772"/>
      <c r="N3" s="885"/>
      <c r="O3" s="772">
        <f>Dren_Quantificacao!L5</f>
        <v>1</v>
      </c>
      <c r="P3" s="772">
        <f>Dren_Quantificacao!M5</f>
        <v>1</v>
      </c>
      <c r="Q3" s="772">
        <f>Dren_Quantificacao!N5</f>
        <v>1</v>
      </c>
      <c r="R3" s="772">
        <f>Dren_Quantificacao!O5</f>
        <v>1</v>
      </c>
      <c r="S3" s="772">
        <f>Dren_Quantificacao!BD5</f>
        <v>0</v>
      </c>
      <c r="T3" s="772">
        <f>Dren_Quantificacao!BE5</f>
        <v>1</v>
      </c>
      <c r="U3" s="772">
        <f>Dren_Quantificacao!BF5</f>
        <v>1</v>
      </c>
      <c r="V3" s="772">
        <f>Dren_Quantificacao!BG5</f>
        <v>1</v>
      </c>
      <c r="W3" s="772">
        <f>Dren_Quantificacao!BH5</f>
        <v>1</v>
      </c>
      <c r="X3" s="772">
        <f>Dren_Quantificacao!BI5</f>
        <v>1</v>
      </c>
      <c r="Y3" s="772">
        <f>Dren_Quantificacao!BJ5</f>
        <v>1</v>
      </c>
      <c r="Z3" s="772">
        <f>Dren_Quantificacao!BK5</f>
        <v>1</v>
      </c>
      <c r="AA3" s="772">
        <f>Dren_Quantificacao!BL5</f>
        <v>1</v>
      </c>
      <c r="AB3" s="772">
        <f>Dren_Quantificacao!BM5</f>
        <v>1</v>
      </c>
      <c r="AC3" s="772">
        <f>Dren_Quantificacao!BN5</f>
        <v>1</v>
      </c>
      <c r="AD3" s="772">
        <f>Dren_Quantificacao!BO5</f>
        <v>1</v>
      </c>
      <c r="AE3" s="772">
        <f>Dren_Quantificacao!BP5</f>
        <v>1</v>
      </c>
      <c r="AF3" s="772">
        <f>Dren_Quantificacao!BQ5</f>
        <v>0</v>
      </c>
      <c r="AG3" s="772">
        <f>Dren_Quantificacao!BR5</f>
        <v>0</v>
      </c>
      <c r="AH3" s="772">
        <f>Dren_Quantificacao!BS5</f>
        <v>0</v>
      </c>
      <c r="AI3" s="886"/>
      <c r="AJ3" s="745">
        <f t="shared" si="0"/>
        <v>20</v>
      </c>
    </row>
    <row r="4" spans="1:37" ht="21.95" customHeight="1" thickBot="1">
      <c r="A4" s="2572"/>
      <c r="B4" s="2585"/>
      <c r="C4" s="747" t="s">
        <v>1542</v>
      </c>
      <c r="E4" s="887"/>
      <c r="F4" s="834">
        <f>Dren_Quantificacao!D6</f>
        <v>0.6</v>
      </c>
      <c r="G4" s="834">
        <f>Dren_Quantificacao!E6</f>
        <v>0.6</v>
      </c>
      <c r="H4" s="834">
        <f>Dren_Quantificacao!F6</f>
        <v>0.6</v>
      </c>
      <c r="I4" s="834">
        <f>Dren_Quantificacao!G6</f>
        <v>0.6</v>
      </c>
      <c r="J4" s="834"/>
      <c r="K4" s="834"/>
      <c r="L4" s="834"/>
      <c r="M4" s="834"/>
      <c r="N4" s="888"/>
      <c r="O4" s="834">
        <f>Dren_Quantificacao!L6</f>
        <v>0.6</v>
      </c>
      <c r="P4" s="834">
        <f>Dren_Quantificacao!M6</f>
        <v>0.6</v>
      </c>
      <c r="Q4" s="834">
        <f>Dren_Quantificacao!N6</f>
        <v>0.6</v>
      </c>
      <c r="R4" s="834">
        <f>Dren_Quantificacao!O6</f>
        <v>0.6</v>
      </c>
      <c r="S4" s="834">
        <f>Dren_Quantificacao!BD6</f>
        <v>0</v>
      </c>
      <c r="T4" s="834">
        <f>Dren_Quantificacao!BE6</f>
        <v>0.4</v>
      </c>
      <c r="U4" s="834">
        <f>Dren_Quantificacao!BF6</f>
        <v>0.4</v>
      </c>
      <c r="V4" s="834">
        <f>Dren_Quantificacao!BG6</f>
        <v>0.6</v>
      </c>
      <c r="W4" s="834">
        <f>Dren_Quantificacao!BH6</f>
        <v>0.6</v>
      </c>
      <c r="X4" s="834">
        <f>Dren_Quantificacao!BI6</f>
        <v>0.4</v>
      </c>
      <c r="Y4" s="834">
        <f>Dren_Quantificacao!BJ6</f>
        <v>0.6</v>
      </c>
      <c r="Z4" s="834">
        <f>Dren_Quantificacao!BK6</f>
        <v>0.4</v>
      </c>
      <c r="AA4" s="834">
        <f>Dren_Quantificacao!BL6</f>
        <v>0.4</v>
      </c>
      <c r="AB4" s="834">
        <f>Dren_Quantificacao!BM6</f>
        <v>0.5</v>
      </c>
      <c r="AC4" s="834">
        <f>Dren_Quantificacao!BN6</f>
        <v>0.5</v>
      </c>
      <c r="AD4" s="834">
        <f>Dren_Quantificacao!BO6</f>
        <v>0.4</v>
      </c>
      <c r="AE4" s="834">
        <f>Dren_Quantificacao!BP6</f>
        <v>0.5</v>
      </c>
      <c r="AF4" s="834">
        <f>Dren_Quantificacao!BQ6</f>
        <v>0</v>
      </c>
      <c r="AG4" s="834">
        <f>Dren_Quantificacao!BR6</f>
        <v>0</v>
      </c>
      <c r="AH4" s="834">
        <f>Dren_Quantificacao!BS6</f>
        <v>0</v>
      </c>
      <c r="AI4" s="889"/>
      <c r="AJ4" s="745">
        <f t="shared" si="0"/>
        <v>10.5</v>
      </c>
    </row>
    <row r="5" spans="1:37" ht="21.95" hidden="1" customHeight="1" thickBot="1">
      <c r="A5" s="2572"/>
      <c r="B5" s="2586"/>
      <c r="C5" s="754" t="s">
        <v>1683</v>
      </c>
      <c r="D5" s="755"/>
      <c r="E5" s="890"/>
      <c r="F5" s="891">
        <f>Dren_Quantificacao!D8</f>
        <v>0</v>
      </c>
      <c r="G5" s="891">
        <f>Dren_Quantificacao!E8</f>
        <v>0</v>
      </c>
      <c r="H5" s="891">
        <f>Dren_Quantificacao!F8</f>
        <v>0</v>
      </c>
      <c r="I5" s="891">
        <f>Dren_Quantificacao!G8</f>
        <v>0</v>
      </c>
      <c r="J5" s="891"/>
      <c r="K5" s="891"/>
      <c r="L5" s="891"/>
      <c r="M5" s="891"/>
      <c r="N5" s="892"/>
      <c r="O5" s="891">
        <f>Dren_Quantificacao!L8</f>
        <v>0</v>
      </c>
      <c r="P5" s="891">
        <f>Dren_Quantificacao!M8</f>
        <v>0</v>
      </c>
      <c r="Q5" s="891">
        <f>Dren_Quantificacao!N8</f>
        <v>0</v>
      </c>
      <c r="R5" s="891">
        <f>Dren_Quantificacao!O8</f>
        <v>0</v>
      </c>
      <c r="S5" s="891">
        <f>Dren_Quantificacao!BD8</f>
        <v>0</v>
      </c>
      <c r="T5" s="891">
        <f>Dren_Quantificacao!BE8</f>
        <v>0</v>
      </c>
      <c r="U5" s="891">
        <f>Dren_Quantificacao!BF8</f>
        <v>0</v>
      </c>
      <c r="V5" s="891">
        <f>Dren_Quantificacao!BG8</f>
        <v>0</v>
      </c>
      <c r="W5" s="891">
        <f>Dren_Quantificacao!BH8</f>
        <v>0</v>
      </c>
      <c r="X5" s="891">
        <f>Dren_Quantificacao!BI8</f>
        <v>0</v>
      </c>
      <c r="Y5" s="891">
        <f>Dren_Quantificacao!BJ8</f>
        <v>0</v>
      </c>
      <c r="Z5" s="891">
        <f>Dren_Quantificacao!BK8</f>
        <v>0</v>
      </c>
      <c r="AA5" s="891">
        <f>Dren_Quantificacao!BL8</f>
        <v>0</v>
      </c>
      <c r="AB5" s="891">
        <f>Dren_Quantificacao!BM8</f>
        <v>0</v>
      </c>
      <c r="AC5" s="891">
        <f>Dren_Quantificacao!BN8</f>
        <v>0</v>
      </c>
      <c r="AD5" s="891">
        <f>Dren_Quantificacao!BO8</f>
        <v>0</v>
      </c>
      <c r="AE5" s="891">
        <f>Dren_Quantificacao!BP8</f>
        <v>0</v>
      </c>
      <c r="AF5" s="891">
        <f>Dren_Quantificacao!BQ8</f>
        <v>0</v>
      </c>
      <c r="AG5" s="891">
        <f>Dren_Quantificacao!BR8</f>
        <v>0</v>
      </c>
      <c r="AH5" s="891">
        <f>Dren_Quantificacao!BS8</f>
        <v>0</v>
      </c>
      <c r="AI5" s="893"/>
      <c r="AJ5" s="745">
        <f t="shared" si="0"/>
        <v>0</v>
      </c>
    </row>
    <row r="6" spans="1:37" ht="21.95" customHeight="1">
      <c r="A6" s="2572"/>
      <c r="B6" s="2628" t="s">
        <v>1684</v>
      </c>
      <c r="C6" s="740" t="s">
        <v>1685</v>
      </c>
      <c r="D6" s="759"/>
      <c r="E6" s="884"/>
      <c r="F6" s="894">
        <v>0.5</v>
      </c>
      <c r="G6" s="894">
        <v>0.5</v>
      </c>
      <c r="H6" s="894">
        <v>0.5</v>
      </c>
      <c r="I6" s="894">
        <v>0.5</v>
      </c>
      <c r="J6" s="894"/>
      <c r="K6" s="894"/>
      <c r="L6" s="894"/>
      <c r="M6" s="894"/>
      <c r="N6" s="895"/>
      <c r="O6" s="894">
        <v>0.5</v>
      </c>
      <c r="P6" s="894">
        <v>0.5</v>
      </c>
      <c r="Q6" s="894">
        <v>0.5</v>
      </c>
      <c r="R6" s="894">
        <v>0.5</v>
      </c>
      <c r="S6" s="894">
        <v>0.5</v>
      </c>
      <c r="T6" s="894">
        <v>0.5</v>
      </c>
      <c r="U6" s="894">
        <v>0.5</v>
      </c>
      <c r="V6" s="894">
        <v>0.5</v>
      </c>
      <c r="W6" s="894">
        <v>0.5</v>
      </c>
      <c r="X6" s="894">
        <v>0.5</v>
      </c>
      <c r="Y6" s="894">
        <v>0.5</v>
      </c>
      <c r="Z6" s="894">
        <v>0.5</v>
      </c>
      <c r="AA6" s="894">
        <v>0.5</v>
      </c>
      <c r="AB6" s="894">
        <v>0.5</v>
      </c>
      <c r="AC6" s="894">
        <v>0.5</v>
      </c>
      <c r="AD6" s="894">
        <v>0.5</v>
      </c>
      <c r="AE6" s="894">
        <v>0.5</v>
      </c>
      <c r="AF6" s="894">
        <v>0.5</v>
      </c>
      <c r="AG6" s="894">
        <v>0.5</v>
      </c>
      <c r="AH6" s="894">
        <v>0.5</v>
      </c>
      <c r="AI6" s="886"/>
      <c r="AJ6" s="745">
        <f t="shared" si="0"/>
        <v>12</v>
      </c>
    </row>
    <row r="7" spans="1:37" ht="21.95" hidden="1" customHeight="1">
      <c r="A7" s="2572"/>
      <c r="B7" s="2629"/>
      <c r="C7" s="896" t="s">
        <v>1686</v>
      </c>
      <c r="E7" s="897"/>
      <c r="F7" s="898">
        <f>F13+F20</f>
        <v>0</v>
      </c>
      <c r="G7" s="898">
        <f>G13+G20</f>
        <v>0</v>
      </c>
      <c r="H7" s="898">
        <f>H13+H20</f>
        <v>0</v>
      </c>
      <c r="I7" s="898">
        <f>I13+I20</f>
        <v>0</v>
      </c>
      <c r="J7" s="898"/>
      <c r="K7" s="898"/>
      <c r="L7" s="898"/>
      <c r="M7" s="898"/>
      <c r="N7" s="899"/>
      <c r="O7" s="898">
        <f t="shared" ref="O7:AH7" si="1">O13+O20</f>
        <v>0</v>
      </c>
      <c r="P7" s="898">
        <f t="shared" si="1"/>
        <v>0</v>
      </c>
      <c r="Q7" s="898">
        <f t="shared" si="1"/>
        <v>0</v>
      </c>
      <c r="R7" s="898">
        <f t="shared" si="1"/>
        <v>0</v>
      </c>
      <c r="S7" s="898">
        <f t="shared" si="1"/>
        <v>0</v>
      </c>
      <c r="T7" s="898">
        <f t="shared" si="1"/>
        <v>0</v>
      </c>
      <c r="U7" s="898">
        <f t="shared" si="1"/>
        <v>0</v>
      </c>
      <c r="V7" s="898">
        <f t="shared" si="1"/>
        <v>0</v>
      </c>
      <c r="W7" s="898">
        <f t="shared" si="1"/>
        <v>0</v>
      </c>
      <c r="X7" s="898">
        <f t="shared" si="1"/>
        <v>0</v>
      </c>
      <c r="Y7" s="898">
        <f t="shared" si="1"/>
        <v>0</v>
      </c>
      <c r="Z7" s="898">
        <f t="shared" si="1"/>
        <v>0</v>
      </c>
      <c r="AA7" s="898">
        <f t="shared" si="1"/>
        <v>0</v>
      </c>
      <c r="AB7" s="898">
        <f t="shared" si="1"/>
        <v>0</v>
      </c>
      <c r="AC7" s="898">
        <f t="shared" si="1"/>
        <v>0</v>
      </c>
      <c r="AD7" s="898">
        <f t="shared" si="1"/>
        <v>0</v>
      </c>
      <c r="AE7" s="898">
        <f t="shared" si="1"/>
        <v>0</v>
      </c>
      <c r="AF7" s="898">
        <f t="shared" si="1"/>
        <v>0</v>
      </c>
      <c r="AG7" s="898">
        <f t="shared" si="1"/>
        <v>0</v>
      </c>
      <c r="AH7" s="898">
        <f t="shared" si="1"/>
        <v>0</v>
      </c>
      <c r="AI7" s="900"/>
      <c r="AJ7" s="745">
        <f t="shared" si="0"/>
        <v>0</v>
      </c>
    </row>
    <row r="8" spans="1:37" ht="21.95" customHeight="1" thickBot="1">
      <c r="A8" s="2572"/>
      <c r="B8" s="2630"/>
      <c r="C8" s="754" t="s">
        <v>1687</v>
      </c>
      <c r="D8" s="755"/>
      <c r="E8" s="890"/>
      <c r="F8" s="901">
        <f>F6*F2</f>
        <v>15</v>
      </c>
      <c r="G8" s="901">
        <f>G6*G2</f>
        <v>25</v>
      </c>
      <c r="H8" s="901">
        <f>H6*H2</f>
        <v>12.5</v>
      </c>
      <c r="I8" s="901">
        <f>I6*I2</f>
        <v>22.5</v>
      </c>
      <c r="J8" s="901"/>
      <c r="K8" s="901"/>
      <c r="L8" s="901"/>
      <c r="M8" s="901"/>
      <c r="N8" s="902"/>
      <c r="O8" s="901">
        <f t="shared" ref="O8:AH8" si="2">O6*O2</f>
        <v>20</v>
      </c>
      <c r="P8" s="901">
        <f t="shared" si="2"/>
        <v>12.5</v>
      </c>
      <c r="Q8" s="901">
        <f t="shared" si="2"/>
        <v>22.5</v>
      </c>
      <c r="R8" s="901">
        <f t="shared" si="2"/>
        <v>22.5</v>
      </c>
      <c r="S8" s="901">
        <f t="shared" si="2"/>
        <v>0</v>
      </c>
      <c r="T8" s="901">
        <f t="shared" si="2"/>
        <v>0</v>
      </c>
      <c r="U8" s="901">
        <f t="shared" si="2"/>
        <v>0</v>
      </c>
      <c r="V8" s="901">
        <f t="shared" si="2"/>
        <v>0</v>
      </c>
      <c r="W8" s="901">
        <f t="shared" si="2"/>
        <v>0</v>
      </c>
      <c r="X8" s="901">
        <f t="shared" si="2"/>
        <v>0</v>
      </c>
      <c r="Y8" s="901">
        <f t="shared" si="2"/>
        <v>0</v>
      </c>
      <c r="Z8" s="901">
        <f t="shared" si="2"/>
        <v>0</v>
      </c>
      <c r="AA8" s="901">
        <f t="shared" si="2"/>
        <v>0</v>
      </c>
      <c r="AB8" s="901">
        <f t="shared" si="2"/>
        <v>0</v>
      </c>
      <c r="AC8" s="901">
        <f t="shared" si="2"/>
        <v>0</v>
      </c>
      <c r="AD8" s="901">
        <f t="shared" si="2"/>
        <v>0</v>
      </c>
      <c r="AE8" s="901">
        <f t="shared" si="2"/>
        <v>0</v>
      </c>
      <c r="AF8" s="901">
        <f t="shared" si="2"/>
        <v>0</v>
      </c>
      <c r="AG8" s="901">
        <f t="shared" si="2"/>
        <v>0</v>
      </c>
      <c r="AH8" s="901">
        <f t="shared" si="2"/>
        <v>0</v>
      </c>
      <c r="AI8" s="903"/>
      <c r="AJ8" s="745">
        <f t="shared" si="0"/>
        <v>152.5</v>
      </c>
    </row>
    <row r="9" spans="1:37" ht="21.95" hidden="1" customHeight="1">
      <c r="A9" s="2572"/>
      <c r="B9" s="2631" t="s">
        <v>1688</v>
      </c>
      <c r="C9" s="740" t="s">
        <v>1689</v>
      </c>
      <c r="D9" s="759"/>
      <c r="E9" s="904"/>
      <c r="F9" s="905">
        <f>IF(F13&gt;0,0.8,0)</f>
        <v>0</v>
      </c>
      <c r="G9" s="905">
        <f>IF(G13&gt;0,0.8,0)</f>
        <v>0</v>
      </c>
      <c r="H9" s="905">
        <f>IF(H13&gt;0,0.8,0)</f>
        <v>0</v>
      </c>
      <c r="I9" s="905">
        <f>IF(I13&gt;0,0.8,0)</f>
        <v>0</v>
      </c>
      <c r="J9" s="905"/>
      <c r="K9" s="905"/>
      <c r="L9" s="905"/>
      <c r="M9" s="905"/>
      <c r="N9" s="906"/>
      <c r="O9" s="905">
        <f t="shared" ref="O9:AH9" si="3">IF(O13&gt;0,0.8,0)</f>
        <v>0</v>
      </c>
      <c r="P9" s="905">
        <f t="shared" si="3"/>
        <v>0</v>
      </c>
      <c r="Q9" s="905">
        <f t="shared" si="3"/>
        <v>0</v>
      </c>
      <c r="R9" s="905">
        <f t="shared" si="3"/>
        <v>0</v>
      </c>
      <c r="S9" s="905">
        <f t="shared" si="3"/>
        <v>0</v>
      </c>
      <c r="T9" s="905">
        <f t="shared" si="3"/>
        <v>0</v>
      </c>
      <c r="U9" s="905">
        <f t="shared" si="3"/>
        <v>0</v>
      </c>
      <c r="V9" s="905">
        <f t="shared" si="3"/>
        <v>0</v>
      </c>
      <c r="W9" s="905">
        <f t="shared" si="3"/>
        <v>0</v>
      </c>
      <c r="X9" s="905">
        <f t="shared" si="3"/>
        <v>0</v>
      </c>
      <c r="Y9" s="905">
        <f t="shared" si="3"/>
        <v>0</v>
      </c>
      <c r="Z9" s="905">
        <f t="shared" si="3"/>
        <v>0</v>
      </c>
      <c r="AA9" s="905">
        <f t="shared" si="3"/>
        <v>0</v>
      </c>
      <c r="AB9" s="905">
        <f t="shared" si="3"/>
        <v>0</v>
      </c>
      <c r="AC9" s="905">
        <f t="shared" si="3"/>
        <v>0</v>
      </c>
      <c r="AD9" s="905">
        <f t="shared" si="3"/>
        <v>0</v>
      </c>
      <c r="AE9" s="905">
        <f t="shared" si="3"/>
        <v>0</v>
      </c>
      <c r="AF9" s="905">
        <f t="shared" si="3"/>
        <v>0</v>
      </c>
      <c r="AG9" s="905">
        <f t="shared" si="3"/>
        <v>0</v>
      </c>
      <c r="AH9" s="905">
        <f t="shared" si="3"/>
        <v>0</v>
      </c>
      <c r="AI9" s="907"/>
      <c r="AJ9" s="745">
        <f t="shared" si="0"/>
        <v>0</v>
      </c>
    </row>
    <row r="10" spans="1:37" ht="21.95" hidden="1" customHeight="1">
      <c r="A10" s="2572"/>
      <c r="B10" s="2605"/>
      <c r="C10" s="747" t="s">
        <v>1690</v>
      </c>
      <c r="E10" s="887"/>
      <c r="F10" s="908">
        <f>IF(F9&gt;0,0.6,0)</f>
        <v>0</v>
      </c>
      <c r="G10" s="908">
        <f>IF(G9&gt;0,0.6,0)</f>
        <v>0</v>
      </c>
      <c r="H10" s="908">
        <f>IF(H9&gt;0,0.6,0)</f>
        <v>0</v>
      </c>
      <c r="I10" s="908">
        <f>IF(I9&gt;0,0.6,0)</f>
        <v>0</v>
      </c>
      <c r="J10" s="908"/>
      <c r="K10" s="908"/>
      <c r="L10" s="908"/>
      <c r="M10" s="908"/>
      <c r="N10" s="909"/>
      <c r="O10" s="908">
        <f t="shared" ref="O10:AH10" si="4">IF(O9&gt;0,0.6,0)</f>
        <v>0</v>
      </c>
      <c r="P10" s="908">
        <f t="shared" si="4"/>
        <v>0</v>
      </c>
      <c r="Q10" s="908">
        <f t="shared" si="4"/>
        <v>0</v>
      </c>
      <c r="R10" s="908">
        <f t="shared" si="4"/>
        <v>0</v>
      </c>
      <c r="S10" s="908">
        <f t="shared" si="4"/>
        <v>0</v>
      </c>
      <c r="T10" s="908">
        <f t="shared" si="4"/>
        <v>0</v>
      </c>
      <c r="U10" s="908">
        <f t="shared" si="4"/>
        <v>0</v>
      </c>
      <c r="V10" s="908">
        <f t="shared" si="4"/>
        <v>0</v>
      </c>
      <c r="W10" s="908">
        <f t="shared" si="4"/>
        <v>0</v>
      </c>
      <c r="X10" s="908">
        <f t="shared" si="4"/>
        <v>0</v>
      </c>
      <c r="Y10" s="908">
        <f t="shared" si="4"/>
        <v>0</v>
      </c>
      <c r="Z10" s="908">
        <f t="shared" si="4"/>
        <v>0</v>
      </c>
      <c r="AA10" s="908">
        <f t="shared" si="4"/>
        <v>0</v>
      </c>
      <c r="AB10" s="908">
        <f t="shared" si="4"/>
        <v>0</v>
      </c>
      <c r="AC10" s="908">
        <f t="shared" si="4"/>
        <v>0</v>
      </c>
      <c r="AD10" s="908">
        <f t="shared" si="4"/>
        <v>0</v>
      </c>
      <c r="AE10" s="908">
        <f t="shared" si="4"/>
        <v>0</v>
      </c>
      <c r="AF10" s="908">
        <f t="shared" si="4"/>
        <v>0</v>
      </c>
      <c r="AG10" s="908">
        <f t="shared" si="4"/>
        <v>0</v>
      </c>
      <c r="AH10" s="908">
        <f t="shared" si="4"/>
        <v>0</v>
      </c>
      <c r="AI10" s="900"/>
      <c r="AJ10" s="745">
        <f t="shared" si="0"/>
        <v>0</v>
      </c>
    </row>
    <row r="11" spans="1:37" ht="21.95" hidden="1" customHeight="1">
      <c r="A11" s="2572"/>
      <c r="B11" s="2605"/>
      <c r="C11" s="747" t="s">
        <v>1691</v>
      </c>
      <c r="E11" s="887"/>
      <c r="F11" s="908">
        <f>F10+F9</f>
        <v>0</v>
      </c>
      <c r="G11" s="908">
        <f>G10+G9</f>
        <v>0</v>
      </c>
      <c r="H11" s="908">
        <f>H10+H9</f>
        <v>0</v>
      </c>
      <c r="I11" s="908">
        <f>I10+I9</f>
        <v>0</v>
      </c>
      <c r="J11" s="908"/>
      <c r="K11" s="908"/>
      <c r="L11" s="908"/>
      <c r="M11" s="908"/>
      <c r="N11" s="909"/>
      <c r="O11" s="908">
        <f t="shared" ref="O11:AH11" si="5">O10+O9</f>
        <v>0</v>
      </c>
      <c r="P11" s="908">
        <f t="shared" si="5"/>
        <v>0</v>
      </c>
      <c r="Q11" s="908">
        <f t="shared" si="5"/>
        <v>0</v>
      </c>
      <c r="R11" s="908">
        <f t="shared" si="5"/>
        <v>0</v>
      </c>
      <c r="S11" s="908">
        <f t="shared" si="5"/>
        <v>0</v>
      </c>
      <c r="T11" s="908">
        <f t="shared" si="5"/>
        <v>0</v>
      </c>
      <c r="U11" s="908">
        <f t="shared" si="5"/>
        <v>0</v>
      </c>
      <c r="V11" s="908">
        <f t="shared" si="5"/>
        <v>0</v>
      </c>
      <c r="W11" s="908">
        <f t="shared" si="5"/>
        <v>0</v>
      </c>
      <c r="X11" s="908">
        <f t="shared" si="5"/>
        <v>0</v>
      </c>
      <c r="Y11" s="908">
        <f t="shared" si="5"/>
        <v>0</v>
      </c>
      <c r="Z11" s="908">
        <f t="shared" si="5"/>
        <v>0</v>
      </c>
      <c r="AA11" s="908">
        <f t="shared" si="5"/>
        <v>0</v>
      </c>
      <c r="AB11" s="908">
        <f t="shared" si="5"/>
        <v>0</v>
      </c>
      <c r="AC11" s="908">
        <f t="shared" si="5"/>
        <v>0</v>
      </c>
      <c r="AD11" s="908">
        <f t="shared" si="5"/>
        <v>0</v>
      </c>
      <c r="AE11" s="908">
        <f t="shared" si="5"/>
        <v>0</v>
      </c>
      <c r="AF11" s="908">
        <f t="shared" si="5"/>
        <v>0</v>
      </c>
      <c r="AG11" s="908">
        <f t="shared" si="5"/>
        <v>0</v>
      </c>
      <c r="AH11" s="908">
        <f t="shared" si="5"/>
        <v>0</v>
      </c>
      <c r="AI11" s="900"/>
      <c r="AJ11" s="745">
        <f t="shared" si="0"/>
        <v>0</v>
      </c>
    </row>
    <row r="12" spans="1:37" ht="21.95" hidden="1" customHeight="1">
      <c r="A12" s="2572"/>
      <c r="B12" s="2605"/>
      <c r="C12" s="747" t="s">
        <v>1692</v>
      </c>
      <c r="E12" s="887"/>
      <c r="F12" s="908">
        <f>IF(F9&gt;0,5,0)</f>
        <v>0</v>
      </c>
      <c r="G12" s="908">
        <f>IF(G9&gt;0,5,0)</f>
        <v>0</v>
      </c>
      <c r="H12" s="908">
        <f>IF(H9&gt;0,5,0)</f>
        <v>0</v>
      </c>
      <c r="I12" s="908">
        <f>IF(I9&gt;0,5,0)</f>
        <v>0</v>
      </c>
      <c r="J12" s="908"/>
      <c r="K12" s="908"/>
      <c r="L12" s="908"/>
      <c r="M12" s="908"/>
      <c r="N12" s="909"/>
      <c r="O12" s="908">
        <f t="shared" ref="O12:AH12" si="6">IF(O9&gt;0,5,0)</f>
        <v>0</v>
      </c>
      <c r="P12" s="908">
        <f t="shared" si="6"/>
        <v>0</v>
      </c>
      <c r="Q12" s="908">
        <f t="shared" si="6"/>
        <v>0</v>
      </c>
      <c r="R12" s="908">
        <f t="shared" si="6"/>
        <v>0</v>
      </c>
      <c r="S12" s="908">
        <f t="shared" si="6"/>
        <v>0</v>
      </c>
      <c r="T12" s="908">
        <f t="shared" si="6"/>
        <v>0</v>
      </c>
      <c r="U12" s="908">
        <f t="shared" si="6"/>
        <v>0</v>
      </c>
      <c r="V12" s="908">
        <f t="shared" si="6"/>
        <v>0</v>
      </c>
      <c r="W12" s="908">
        <f t="shared" si="6"/>
        <v>0</v>
      </c>
      <c r="X12" s="908">
        <f t="shared" si="6"/>
        <v>0</v>
      </c>
      <c r="Y12" s="908">
        <f t="shared" si="6"/>
        <v>0</v>
      </c>
      <c r="Z12" s="908">
        <f t="shared" si="6"/>
        <v>0</v>
      </c>
      <c r="AA12" s="908">
        <f t="shared" si="6"/>
        <v>0</v>
      </c>
      <c r="AB12" s="908">
        <f t="shared" si="6"/>
        <v>0</v>
      </c>
      <c r="AC12" s="908">
        <f t="shared" si="6"/>
        <v>0</v>
      </c>
      <c r="AD12" s="908">
        <f t="shared" si="6"/>
        <v>0</v>
      </c>
      <c r="AE12" s="908">
        <f t="shared" si="6"/>
        <v>0</v>
      </c>
      <c r="AF12" s="908">
        <f t="shared" si="6"/>
        <v>0</v>
      </c>
      <c r="AG12" s="908">
        <f t="shared" si="6"/>
        <v>0</v>
      </c>
      <c r="AH12" s="908">
        <f t="shared" si="6"/>
        <v>0</v>
      </c>
      <c r="AI12" s="900"/>
      <c r="AJ12" s="745">
        <f t="shared" si="0"/>
        <v>0</v>
      </c>
    </row>
    <row r="13" spans="1:37" ht="21.95" hidden="1" customHeight="1">
      <c r="A13" s="2572"/>
      <c r="B13" s="2605"/>
      <c r="C13" s="747" t="s">
        <v>1539</v>
      </c>
      <c r="E13" s="887"/>
      <c r="F13" s="908">
        <f>Dren_Quantificacao!D27</f>
        <v>0</v>
      </c>
      <c r="G13" s="908">
        <f>Dren_Quantificacao!E27</f>
        <v>0</v>
      </c>
      <c r="H13" s="908">
        <f>Dren_Quantificacao!F27</f>
        <v>0</v>
      </c>
      <c r="I13" s="908">
        <f>Dren_Quantificacao!G27</f>
        <v>0</v>
      </c>
      <c r="J13" s="908"/>
      <c r="K13" s="908"/>
      <c r="L13" s="908"/>
      <c r="M13" s="908"/>
      <c r="N13" s="909"/>
      <c r="O13" s="908">
        <f>Dren_Quantificacao!L27</f>
        <v>0</v>
      </c>
      <c r="P13" s="908">
        <f>Dren_Quantificacao!M27</f>
        <v>0</v>
      </c>
      <c r="Q13" s="908">
        <f>Dren_Quantificacao!N27</f>
        <v>0</v>
      </c>
      <c r="R13" s="908">
        <f>Dren_Quantificacao!O27</f>
        <v>0</v>
      </c>
      <c r="S13" s="908">
        <f>Dren_Quantificacao!BD27</f>
        <v>0</v>
      </c>
      <c r="T13" s="908">
        <f>Dren_Quantificacao!BE27</f>
        <v>0</v>
      </c>
      <c r="U13" s="908">
        <f>Dren_Quantificacao!BF27</f>
        <v>0</v>
      </c>
      <c r="V13" s="908">
        <f>Dren_Quantificacao!BG27</f>
        <v>0</v>
      </c>
      <c r="W13" s="908">
        <f>Dren_Quantificacao!BH27</f>
        <v>0</v>
      </c>
      <c r="X13" s="908">
        <f>Dren_Quantificacao!BI27</f>
        <v>0</v>
      </c>
      <c r="Y13" s="908">
        <f>Dren_Quantificacao!BJ27</f>
        <v>0</v>
      </c>
      <c r="Z13" s="908">
        <f>Dren_Quantificacao!BK27</f>
        <v>0</v>
      </c>
      <c r="AA13" s="908">
        <f>Dren_Quantificacao!BL27</f>
        <v>0</v>
      </c>
      <c r="AB13" s="908">
        <f>Dren_Quantificacao!BM27</f>
        <v>0</v>
      </c>
      <c r="AC13" s="908">
        <f>Dren_Quantificacao!BN27</f>
        <v>0</v>
      </c>
      <c r="AD13" s="908">
        <f>Dren_Quantificacao!BO27</f>
        <v>0</v>
      </c>
      <c r="AE13" s="908">
        <f>Dren_Quantificacao!BP27</f>
        <v>0</v>
      </c>
      <c r="AF13" s="908">
        <f>Dren_Quantificacao!BQ27</f>
        <v>0</v>
      </c>
      <c r="AG13" s="908">
        <f>Dren_Quantificacao!BR27</f>
        <v>0</v>
      </c>
      <c r="AH13" s="908">
        <f>Dren_Quantificacao!BS27</f>
        <v>0</v>
      </c>
      <c r="AI13" s="910"/>
      <c r="AJ13" s="745">
        <f t="shared" si="0"/>
        <v>0</v>
      </c>
    </row>
    <row r="14" spans="1:37" ht="21.95" hidden="1" customHeight="1">
      <c r="A14" s="2572"/>
      <c r="B14" s="2601"/>
      <c r="C14" s="911" t="s">
        <v>1693</v>
      </c>
      <c r="E14" s="887"/>
      <c r="F14" s="908">
        <f>F13*F11</f>
        <v>0</v>
      </c>
      <c r="G14" s="908">
        <f>G13*G11</f>
        <v>0</v>
      </c>
      <c r="H14" s="908">
        <f>H13*H11</f>
        <v>0</v>
      </c>
      <c r="I14" s="908">
        <f>I13*I11</f>
        <v>0</v>
      </c>
      <c r="J14" s="908"/>
      <c r="K14" s="908"/>
      <c r="L14" s="908"/>
      <c r="M14" s="908"/>
      <c r="N14" s="909"/>
      <c r="O14" s="908">
        <f t="shared" ref="O14:AH14" si="7">O13*O11</f>
        <v>0</v>
      </c>
      <c r="P14" s="908">
        <f t="shared" si="7"/>
        <v>0</v>
      </c>
      <c r="Q14" s="908">
        <f t="shared" si="7"/>
        <v>0</v>
      </c>
      <c r="R14" s="908">
        <f t="shared" si="7"/>
        <v>0</v>
      </c>
      <c r="S14" s="908">
        <f t="shared" si="7"/>
        <v>0</v>
      </c>
      <c r="T14" s="908">
        <f t="shared" si="7"/>
        <v>0</v>
      </c>
      <c r="U14" s="908">
        <f t="shared" si="7"/>
        <v>0</v>
      </c>
      <c r="V14" s="908">
        <f t="shared" si="7"/>
        <v>0</v>
      </c>
      <c r="W14" s="908">
        <f t="shared" si="7"/>
        <v>0</v>
      </c>
      <c r="X14" s="908">
        <f t="shared" si="7"/>
        <v>0</v>
      </c>
      <c r="Y14" s="908">
        <f t="shared" si="7"/>
        <v>0</v>
      </c>
      <c r="Z14" s="908">
        <f t="shared" si="7"/>
        <v>0</v>
      </c>
      <c r="AA14" s="908">
        <f t="shared" si="7"/>
        <v>0</v>
      </c>
      <c r="AB14" s="908">
        <f t="shared" si="7"/>
        <v>0</v>
      </c>
      <c r="AC14" s="908">
        <f t="shared" si="7"/>
        <v>0</v>
      </c>
      <c r="AD14" s="908">
        <f t="shared" si="7"/>
        <v>0</v>
      </c>
      <c r="AE14" s="908">
        <f t="shared" si="7"/>
        <v>0</v>
      </c>
      <c r="AF14" s="908">
        <f t="shared" si="7"/>
        <v>0</v>
      </c>
      <c r="AG14" s="908">
        <f t="shared" si="7"/>
        <v>0</v>
      </c>
      <c r="AH14" s="908">
        <f t="shared" si="7"/>
        <v>0</v>
      </c>
      <c r="AI14" s="910"/>
      <c r="AJ14" s="745">
        <f t="shared" si="0"/>
        <v>0</v>
      </c>
    </row>
    <row r="15" spans="1:37" ht="21.95" hidden="1" customHeight="1" thickBot="1">
      <c r="A15" s="2572"/>
      <c r="B15" s="2632"/>
      <c r="C15" s="754" t="s">
        <v>1480</v>
      </c>
      <c r="D15" s="755"/>
      <c r="E15" s="890"/>
      <c r="F15" s="901">
        <f>F13*F12*F11/100</f>
        <v>0</v>
      </c>
      <c r="G15" s="901">
        <f>G13*G12*G11/100</f>
        <v>0</v>
      </c>
      <c r="H15" s="901">
        <f>H13*H12*H11/100</f>
        <v>0</v>
      </c>
      <c r="I15" s="901">
        <f>I13*I12*I11/100</f>
        <v>0</v>
      </c>
      <c r="J15" s="901"/>
      <c r="K15" s="901"/>
      <c r="L15" s="901"/>
      <c r="M15" s="901"/>
      <c r="N15" s="902"/>
      <c r="O15" s="901">
        <f t="shared" ref="O15:AH15" si="8">O13*O12*O11/100</f>
        <v>0</v>
      </c>
      <c r="P15" s="901">
        <f t="shared" si="8"/>
        <v>0</v>
      </c>
      <c r="Q15" s="901">
        <f t="shared" si="8"/>
        <v>0</v>
      </c>
      <c r="R15" s="901">
        <f t="shared" si="8"/>
        <v>0</v>
      </c>
      <c r="S15" s="901">
        <f t="shared" si="8"/>
        <v>0</v>
      </c>
      <c r="T15" s="901">
        <f t="shared" si="8"/>
        <v>0</v>
      </c>
      <c r="U15" s="901">
        <f t="shared" si="8"/>
        <v>0</v>
      </c>
      <c r="V15" s="901">
        <f t="shared" si="8"/>
        <v>0</v>
      </c>
      <c r="W15" s="901">
        <f t="shared" si="8"/>
        <v>0</v>
      </c>
      <c r="X15" s="901">
        <f t="shared" si="8"/>
        <v>0</v>
      </c>
      <c r="Y15" s="901">
        <f t="shared" si="8"/>
        <v>0</v>
      </c>
      <c r="Z15" s="901">
        <f t="shared" si="8"/>
        <v>0</v>
      </c>
      <c r="AA15" s="901">
        <f t="shared" si="8"/>
        <v>0</v>
      </c>
      <c r="AB15" s="901">
        <f t="shared" si="8"/>
        <v>0</v>
      </c>
      <c r="AC15" s="901">
        <f t="shared" si="8"/>
        <v>0</v>
      </c>
      <c r="AD15" s="901">
        <f t="shared" si="8"/>
        <v>0</v>
      </c>
      <c r="AE15" s="901">
        <f t="shared" si="8"/>
        <v>0</v>
      </c>
      <c r="AF15" s="901">
        <f t="shared" si="8"/>
        <v>0</v>
      </c>
      <c r="AG15" s="901">
        <f t="shared" si="8"/>
        <v>0</v>
      </c>
      <c r="AH15" s="901">
        <f t="shared" si="8"/>
        <v>0</v>
      </c>
      <c r="AI15" s="912"/>
      <c r="AJ15" s="745">
        <f t="shared" si="0"/>
        <v>0</v>
      </c>
    </row>
    <row r="16" spans="1:37" ht="21.95" hidden="1" customHeight="1">
      <c r="A16" s="2572"/>
      <c r="B16" s="2631" t="s">
        <v>1694</v>
      </c>
      <c r="C16" s="740" t="s">
        <v>1689</v>
      </c>
      <c r="D16" s="759"/>
      <c r="E16" s="904"/>
      <c r="F16" s="905">
        <f>IF(F20&gt;0,1.2,0)</f>
        <v>0</v>
      </c>
      <c r="G16" s="905">
        <f>IF(G20&gt;0,1.2,0)</f>
        <v>0</v>
      </c>
      <c r="H16" s="905">
        <f>IF(H20&gt;0,1.2,0)</f>
        <v>0</v>
      </c>
      <c r="I16" s="905">
        <f>IF(I20&gt;0,1.2,0)</f>
        <v>0</v>
      </c>
      <c r="J16" s="905"/>
      <c r="K16" s="905"/>
      <c r="L16" s="905"/>
      <c r="M16" s="905"/>
      <c r="N16" s="906"/>
      <c r="O16" s="905">
        <f t="shared" ref="O16:AH16" si="9">IF(O20&gt;0,1.2,0)</f>
        <v>0</v>
      </c>
      <c r="P16" s="905">
        <f t="shared" si="9"/>
        <v>0</v>
      </c>
      <c r="Q16" s="905">
        <f t="shared" si="9"/>
        <v>0</v>
      </c>
      <c r="R16" s="905">
        <f t="shared" si="9"/>
        <v>0</v>
      </c>
      <c r="S16" s="905">
        <f t="shared" si="9"/>
        <v>0</v>
      </c>
      <c r="T16" s="905">
        <f t="shared" si="9"/>
        <v>0</v>
      </c>
      <c r="U16" s="905">
        <f t="shared" si="9"/>
        <v>0</v>
      </c>
      <c r="V16" s="905">
        <f t="shared" si="9"/>
        <v>0</v>
      </c>
      <c r="W16" s="905">
        <f t="shared" si="9"/>
        <v>0</v>
      </c>
      <c r="X16" s="905">
        <f t="shared" si="9"/>
        <v>0</v>
      </c>
      <c r="Y16" s="905">
        <f t="shared" si="9"/>
        <v>0</v>
      </c>
      <c r="Z16" s="905">
        <f t="shared" si="9"/>
        <v>0</v>
      </c>
      <c r="AA16" s="905">
        <f t="shared" si="9"/>
        <v>0</v>
      </c>
      <c r="AB16" s="905">
        <f t="shared" si="9"/>
        <v>0</v>
      </c>
      <c r="AC16" s="905">
        <f t="shared" si="9"/>
        <v>0</v>
      </c>
      <c r="AD16" s="905">
        <f t="shared" si="9"/>
        <v>0</v>
      </c>
      <c r="AE16" s="905">
        <f t="shared" si="9"/>
        <v>0</v>
      </c>
      <c r="AF16" s="905">
        <f t="shared" si="9"/>
        <v>0</v>
      </c>
      <c r="AG16" s="905">
        <f t="shared" si="9"/>
        <v>0</v>
      </c>
      <c r="AH16" s="905">
        <f t="shared" si="9"/>
        <v>0</v>
      </c>
      <c r="AI16" s="907"/>
      <c r="AJ16" s="745">
        <f t="shared" si="0"/>
        <v>0</v>
      </c>
    </row>
    <row r="17" spans="1:36" ht="21.95" hidden="1" customHeight="1">
      <c r="A17" s="2572"/>
      <c r="B17" s="2605"/>
      <c r="C17" s="747" t="s">
        <v>1690</v>
      </c>
      <c r="E17" s="887"/>
      <c r="F17" s="908">
        <f>IF(F16&gt;0,0.6,0)</f>
        <v>0</v>
      </c>
      <c r="G17" s="908">
        <f>IF(G16&gt;0,0.6,0)</f>
        <v>0</v>
      </c>
      <c r="H17" s="908">
        <f>IF(H16&gt;0,0.6,0)</f>
        <v>0</v>
      </c>
      <c r="I17" s="908">
        <f>IF(I16&gt;0,0.6,0)</f>
        <v>0</v>
      </c>
      <c r="J17" s="908"/>
      <c r="K17" s="908"/>
      <c r="L17" s="908"/>
      <c r="M17" s="908"/>
      <c r="N17" s="909"/>
      <c r="O17" s="908">
        <f t="shared" ref="O17:AH17" si="10">IF(O16&gt;0,0.6,0)</f>
        <v>0</v>
      </c>
      <c r="P17" s="908">
        <f t="shared" si="10"/>
        <v>0</v>
      </c>
      <c r="Q17" s="908">
        <f t="shared" si="10"/>
        <v>0</v>
      </c>
      <c r="R17" s="908">
        <f t="shared" si="10"/>
        <v>0</v>
      </c>
      <c r="S17" s="908">
        <f t="shared" si="10"/>
        <v>0</v>
      </c>
      <c r="T17" s="908">
        <f t="shared" si="10"/>
        <v>0</v>
      </c>
      <c r="U17" s="908">
        <f t="shared" si="10"/>
        <v>0</v>
      </c>
      <c r="V17" s="908">
        <f t="shared" si="10"/>
        <v>0</v>
      </c>
      <c r="W17" s="908">
        <f t="shared" si="10"/>
        <v>0</v>
      </c>
      <c r="X17" s="908">
        <f t="shared" si="10"/>
        <v>0</v>
      </c>
      <c r="Y17" s="908">
        <f t="shared" si="10"/>
        <v>0</v>
      </c>
      <c r="Z17" s="908">
        <f t="shared" si="10"/>
        <v>0</v>
      </c>
      <c r="AA17" s="908">
        <f t="shared" si="10"/>
        <v>0</v>
      </c>
      <c r="AB17" s="908">
        <f t="shared" si="10"/>
        <v>0</v>
      </c>
      <c r="AC17" s="908">
        <f t="shared" si="10"/>
        <v>0</v>
      </c>
      <c r="AD17" s="908">
        <f t="shared" si="10"/>
        <v>0</v>
      </c>
      <c r="AE17" s="908">
        <f t="shared" si="10"/>
        <v>0</v>
      </c>
      <c r="AF17" s="908">
        <f t="shared" si="10"/>
        <v>0</v>
      </c>
      <c r="AG17" s="908">
        <f t="shared" si="10"/>
        <v>0</v>
      </c>
      <c r="AH17" s="908">
        <f t="shared" si="10"/>
        <v>0</v>
      </c>
      <c r="AI17" s="900"/>
      <c r="AJ17" s="745">
        <f t="shared" si="0"/>
        <v>0</v>
      </c>
    </row>
    <row r="18" spans="1:36" ht="21.95" hidden="1" customHeight="1">
      <c r="A18" s="2572"/>
      <c r="B18" s="2605"/>
      <c r="C18" s="747" t="s">
        <v>1691</v>
      </c>
      <c r="E18" s="887"/>
      <c r="F18" s="908">
        <f>F17+F16</f>
        <v>0</v>
      </c>
      <c r="G18" s="908">
        <f>G17+G16</f>
        <v>0</v>
      </c>
      <c r="H18" s="908">
        <f>H17+H16</f>
        <v>0</v>
      </c>
      <c r="I18" s="908">
        <f>I17+I16</f>
        <v>0</v>
      </c>
      <c r="J18" s="908"/>
      <c r="K18" s="908"/>
      <c r="L18" s="908"/>
      <c r="M18" s="908"/>
      <c r="N18" s="909"/>
      <c r="O18" s="908">
        <f t="shared" ref="O18:AH18" si="11">O17+O16</f>
        <v>0</v>
      </c>
      <c r="P18" s="908">
        <f t="shared" si="11"/>
        <v>0</v>
      </c>
      <c r="Q18" s="908">
        <f t="shared" si="11"/>
        <v>0</v>
      </c>
      <c r="R18" s="908">
        <f t="shared" si="11"/>
        <v>0</v>
      </c>
      <c r="S18" s="908">
        <f t="shared" si="11"/>
        <v>0</v>
      </c>
      <c r="T18" s="908">
        <f t="shared" si="11"/>
        <v>0</v>
      </c>
      <c r="U18" s="908">
        <f t="shared" si="11"/>
        <v>0</v>
      </c>
      <c r="V18" s="908">
        <f t="shared" si="11"/>
        <v>0</v>
      </c>
      <c r="W18" s="908">
        <f t="shared" si="11"/>
        <v>0</v>
      </c>
      <c r="X18" s="908">
        <f t="shared" si="11"/>
        <v>0</v>
      </c>
      <c r="Y18" s="908">
        <f t="shared" si="11"/>
        <v>0</v>
      </c>
      <c r="Z18" s="908">
        <f t="shared" si="11"/>
        <v>0</v>
      </c>
      <c r="AA18" s="908">
        <f t="shared" si="11"/>
        <v>0</v>
      </c>
      <c r="AB18" s="908">
        <f t="shared" si="11"/>
        <v>0</v>
      </c>
      <c r="AC18" s="908">
        <f t="shared" si="11"/>
        <v>0</v>
      </c>
      <c r="AD18" s="908">
        <f t="shared" si="11"/>
        <v>0</v>
      </c>
      <c r="AE18" s="908">
        <f t="shared" si="11"/>
        <v>0</v>
      </c>
      <c r="AF18" s="908">
        <f t="shared" si="11"/>
        <v>0</v>
      </c>
      <c r="AG18" s="908">
        <f t="shared" si="11"/>
        <v>0</v>
      </c>
      <c r="AH18" s="908">
        <f t="shared" si="11"/>
        <v>0</v>
      </c>
      <c r="AI18" s="900"/>
      <c r="AJ18" s="745">
        <f t="shared" si="0"/>
        <v>0</v>
      </c>
    </row>
    <row r="19" spans="1:36" ht="21.95" hidden="1" customHeight="1">
      <c r="A19" s="2572"/>
      <c r="B19" s="2605"/>
      <c r="C19" s="747" t="s">
        <v>1692</v>
      </c>
      <c r="E19" s="887"/>
      <c r="F19" s="908">
        <f>IF(F16&gt;0,5,0)</f>
        <v>0</v>
      </c>
      <c r="G19" s="908">
        <f>IF(G16&gt;0,5,0)</f>
        <v>0</v>
      </c>
      <c r="H19" s="908">
        <f>IF(H16&gt;0,5,0)</f>
        <v>0</v>
      </c>
      <c r="I19" s="908">
        <f>IF(I16&gt;0,5,0)</f>
        <v>0</v>
      </c>
      <c r="J19" s="908"/>
      <c r="K19" s="908"/>
      <c r="L19" s="908"/>
      <c r="M19" s="908"/>
      <c r="N19" s="909"/>
      <c r="O19" s="908">
        <f t="shared" ref="O19:AH19" si="12">IF(O16&gt;0,5,0)</f>
        <v>0</v>
      </c>
      <c r="P19" s="908">
        <f t="shared" si="12"/>
        <v>0</v>
      </c>
      <c r="Q19" s="908">
        <f t="shared" si="12"/>
        <v>0</v>
      </c>
      <c r="R19" s="908">
        <f t="shared" si="12"/>
        <v>0</v>
      </c>
      <c r="S19" s="908">
        <f t="shared" si="12"/>
        <v>0</v>
      </c>
      <c r="T19" s="908">
        <f t="shared" si="12"/>
        <v>0</v>
      </c>
      <c r="U19" s="908">
        <f t="shared" si="12"/>
        <v>0</v>
      </c>
      <c r="V19" s="908">
        <f t="shared" si="12"/>
        <v>0</v>
      </c>
      <c r="W19" s="908">
        <f t="shared" si="12"/>
        <v>0</v>
      </c>
      <c r="X19" s="908">
        <f t="shared" si="12"/>
        <v>0</v>
      </c>
      <c r="Y19" s="908">
        <f t="shared" si="12"/>
        <v>0</v>
      </c>
      <c r="Z19" s="908">
        <f t="shared" si="12"/>
        <v>0</v>
      </c>
      <c r="AA19" s="908">
        <f t="shared" si="12"/>
        <v>0</v>
      </c>
      <c r="AB19" s="908">
        <f t="shared" si="12"/>
        <v>0</v>
      </c>
      <c r="AC19" s="908">
        <f t="shared" si="12"/>
        <v>0</v>
      </c>
      <c r="AD19" s="908">
        <f t="shared" si="12"/>
        <v>0</v>
      </c>
      <c r="AE19" s="908">
        <f t="shared" si="12"/>
        <v>0</v>
      </c>
      <c r="AF19" s="908">
        <f t="shared" si="12"/>
        <v>0</v>
      </c>
      <c r="AG19" s="908">
        <f t="shared" si="12"/>
        <v>0</v>
      </c>
      <c r="AH19" s="908">
        <f t="shared" si="12"/>
        <v>0</v>
      </c>
      <c r="AI19" s="900"/>
      <c r="AJ19" s="745">
        <f t="shared" si="0"/>
        <v>0</v>
      </c>
    </row>
    <row r="20" spans="1:36" ht="21.95" hidden="1" customHeight="1">
      <c r="A20" s="2572"/>
      <c r="B20" s="2605"/>
      <c r="C20" s="747" t="s">
        <v>1539</v>
      </c>
      <c r="E20" s="887"/>
      <c r="F20" s="908">
        <f>Dren_Quantificacao!D28</f>
        <v>0</v>
      </c>
      <c r="G20" s="908">
        <f>Dren_Quantificacao!E28</f>
        <v>0</v>
      </c>
      <c r="H20" s="908">
        <f>Dren_Quantificacao!F28</f>
        <v>0</v>
      </c>
      <c r="I20" s="908">
        <f>Dren_Quantificacao!G28</f>
        <v>0</v>
      </c>
      <c r="J20" s="908"/>
      <c r="K20" s="908"/>
      <c r="L20" s="908"/>
      <c r="M20" s="908"/>
      <c r="N20" s="909"/>
      <c r="O20" s="908">
        <f>Dren_Quantificacao!L28</f>
        <v>0</v>
      </c>
      <c r="P20" s="908">
        <f>Dren_Quantificacao!M28</f>
        <v>0</v>
      </c>
      <c r="Q20" s="908">
        <f>Dren_Quantificacao!N28</f>
        <v>0</v>
      </c>
      <c r="R20" s="908">
        <f>Dren_Quantificacao!O28</f>
        <v>0</v>
      </c>
      <c r="S20" s="908">
        <f>Dren_Quantificacao!BD28</f>
        <v>0</v>
      </c>
      <c r="T20" s="908">
        <f>Dren_Quantificacao!BE28</f>
        <v>0</v>
      </c>
      <c r="U20" s="908">
        <f>Dren_Quantificacao!BF28</f>
        <v>0</v>
      </c>
      <c r="V20" s="908">
        <f>Dren_Quantificacao!BG28</f>
        <v>0</v>
      </c>
      <c r="W20" s="908">
        <f>Dren_Quantificacao!BH28</f>
        <v>0</v>
      </c>
      <c r="X20" s="908">
        <f>Dren_Quantificacao!BI28</f>
        <v>0</v>
      </c>
      <c r="Y20" s="908">
        <f>Dren_Quantificacao!BJ28</f>
        <v>0</v>
      </c>
      <c r="Z20" s="908">
        <f>Dren_Quantificacao!BK28</f>
        <v>0</v>
      </c>
      <c r="AA20" s="908">
        <f>Dren_Quantificacao!BL28</f>
        <v>0</v>
      </c>
      <c r="AB20" s="908">
        <f>Dren_Quantificacao!BM28</f>
        <v>0</v>
      </c>
      <c r="AC20" s="908">
        <f>Dren_Quantificacao!BN28</f>
        <v>0</v>
      </c>
      <c r="AD20" s="908">
        <f>Dren_Quantificacao!BO28</f>
        <v>0</v>
      </c>
      <c r="AE20" s="908">
        <f>Dren_Quantificacao!BP28</f>
        <v>0</v>
      </c>
      <c r="AF20" s="908">
        <f>Dren_Quantificacao!BQ28</f>
        <v>0</v>
      </c>
      <c r="AG20" s="908">
        <f>Dren_Quantificacao!BR28</f>
        <v>0</v>
      </c>
      <c r="AH20" s="908">
        <f>Dren_Quantificacao!BS28</f>
        <v>0</v>
      </c>
      <c r="AI20" s="910"/>
      <c r="AJ20" s="745">
        <f t="shared" si="0"/>
        <v>0</v>
      </c>
    </row>
    <row r="21" spans="1:36" ht="21.95" hidden="1" customHeight="1">
      <c r="A21" s="2572"/>
      <c r="B21" s="2601"/>
      <c r="C21" s="911" t="s">
        <v>1693</v>
      </c>
      <c r="E21" s="887"/>
      <c r="F21" s="908">
        <f>F20*F18</f>
        <v>0</v>
      </c>
      <c r="G21" s="908">
        <f>G20*G18</f>
        <v>0</v>
      </c>
      <c r="H21" s="908">
        <f>H20*H18</f>
        <v>0</v>
      </c>
      <c r="I21" s="908">
        <f>I20*I18</f>
        <v>0</v>
      </c>
      <c r="J21" s="908"/>
      <c r="K21" s="908"/>
      <c r="L21" s="908"/>
      <c r="M21" s="908"/>
      <c r="N21" s="909"/>
      <c r="O21" s="908">
        <f t="shared" ref="O21:AH21" si="13">O20*O18</f>
        <v>0</v>
      </c>
      <c r="P21" s="908">
        <f t="shared" si="13"/>
        <v>0</v>
      </c>
      <c r="Q21" s="908">
        <f t="shared" si="13"/>
        <v>0</v>
      </c>
      <c r="R21" s="908">
        <f t="shared" si="13"/>
        <v>0</v>
      </c>
      <c r="S21" s="908">
        <f t="shared" si="13"/>
        <v>0</v>
      </c>
      <c r="T21" s="908">
        <f t="shared" si="13"/>
        <v>0</v>
      </c>
      <c r="U21" s="908">
        <f t="shared" si="13"/>
        <v>0</v>
      </c>
      <c r="V21" s="908">
        <f t="shared" si="13"/>
        <v>0</v>
      </c>
      <c r="W21" s="908">
        <f t="shared" si="13"/>
        <v>0</v>
      </c>
      <c r="X21" s="908">
        <f t="shared" si="13"/>
        <v>0</v>
      </c>
      <c r="Y21" s="908">
        <f t="shared" si="13"/>
        <v>0</v>
      </c>
      <c r="Z21" s="908">
        <f t="shared" si="13"/>
        <v>0</v>
      </c>
      <c r="AA21" s="908">
        <f t="shared" si="13"/>
        <v>0</v>
      </c>
      <c r="AB21" s="908">
        <f t="shared" si="13"/>
        <v>0</v>
      </c>
      <c r="AC21" s="908">
        <f t="shared" si="13"/>
        <v>0</v>
      </c>
      <c r="AD21" s="908">
        <f t="shared" si="13"/>
        <v>0</v>
      </c>
      <c r="AE21" s="908">
        <f t="shared" si="13"/>
        <v>0</v>
      </c>
      <c r="AF21" s="908">
        <f t="shared" si="13"/>
        <v>0</v>
      </c>
      <c r="AG21" s="908">
        <f t="shared" si="13"/>
        <v>0</v>
      </c>
      <c r="AH21" s="908">
        <f t="shared" si="13"/>
        <v>0</v>
      </c>
      <c r="AI21" s="910"/>
      <c r="AJ21" s="745">
        <f t="shared" si="0"/>
        <v>0</v>
      </c>
    </row>
    <row r="22" spans="1:36" ht="21.95" hidden="1" customHeight="1" thickBot="1">
      <c r="A22" s="2572"/>
      <c r="B22" s="2632"/>
      <c r="C22" s="754" t="s">
        <v>1480</v>
      </c>
      <c r="D22" s="755"/>
      <c r="E22" s="890"/>
      <c r="F22" s="901">
        <f>F20*F19*F18/100</f>
        <v>0</v>
      </c>
      <c r="G22" s="901">
        <f>G20*G19*G18/100</f>
        <v>0</v>
      </c>
      <c r="H22" s="901">
        <f>H20*H19*H18/100</f>
        <v>0</v>
      </c>
      <c r="I22" s="901">
        <f>I20*I19*I18/100</f>
        <v>0</v>
      </c>
      <c r="J22" s="901"/>
      <c r="K22" s="901"/>
      <c r="L22" s="901"/>
      <c r="M22" s="901"/>
      <c r="N22" s="902"/>
      <c r="O22" s="901">
        <f t="shared" ref="O22:AH22" si="14">O20*O19*O18/100</f>
        <v>0</v>
      </c>
      <c r="P22" s="901">
        <f t="shared" si="14"/>
        <v>0</v>
      </c>
      <c r="Q22" s="901">
        <f t="shared" si="14"/>
        <v>0</v>
      </c>
      <c r="R22" s="901">
        <f t="shared" si="14"/>
        <v>0</v>
      </c>
      <c r="S22" s="901">
        <f t="shared" si="14"/>
        <v>0</v>
      </c>
      <c r="T22" s="901">
        <f t="shared" si="14"/>
        <v>0</v>
      </c>
      <c r="U22" s="901">
        <f t="shared" si="14"/>
        <v>0</v>
      </c>
      <c r="V22" s="901">
        <f t="shared" si="14"/>
        <v>0</v>
      </c>
      <c r="W22" s="901">
        <f t="shared" si="14"/>
        <v>0</v>
      </c>
      <c r="X22" s="901">
        <f t="shared" si="14"/>
        <v>0</v>
      </c>
      <c r="Y22" s="901">
        <f t="shared" si="14"/>
        <v>0</v>
      </c>
      <c r="Z22" s="901">
        <f t="shared" si="14"/>
        <v>0</v>
      </c>
      <c r="AA22" s="901">
        <f t="shared" si="14"/>
        <v>0</v>
      </c>
      <c r="AB22" s="901">
        <f t="shared" si="14"/>
        <v>0</v>
      </c>
      <c r="AC22" s="901">
        <f t="shared" si="14"/>
        <v>0</v>
      </c>
      <c r="AD22" s="901">
        <f t="shared" si="14"/>
        <v>0</v>
      </c>
      <c r="AE22" s="901">
        <f t="shared" si="14"/>
        <v>0</v>
      </c>
      <c r="AF22" s="901">
        <f t="shared" si="14"/>
        <v>0</v>
      </c>
      <c r="AG22" s="901">
        <f t="shared" si="14"/>
        <v>0</v>
      </c>
      <c r="AH22" s="901">
        <f t="shared" si="14"/>
        <v>0</v>
      </c>
      <c r="AI22" s="912"/>
      <c r="AJ22" s="745">
        <f t="shared" si="0"/>
        <v>0</v>
      </c>
    </row>
    <row r="23" spans="1:36" ht="21.95" hidden="1" customHeight="1">
      <c r="A23" s="2572"/>
      <c r="B23" s="2631" t="s">
        <v>1695</v>
      </c>
      <c r="C23" s="740" t="s">
        <v>1689</v>
      </c>
      <c r="D23" s="759"/>
      <c r="E23" s="904"/>
      <c r="F23" s="905">
        <f>IF(F27=0,0,+Dre_Terraplenagem!F39)</f>
        <v>0</v>
      </c>
      <c r="G23" s="905">
        <f>IF(G27=0,0,+Dre_Terraplenagem!G39)</f>
        <v>0</v>
      </c>
      <c r="H23" s="905">
        <f>IF(H27=0,0,+Dre_Terraplenagem!H39)</f>
        <v>0</v>
      </c>
      <c r="I23" s="905">
        <f>IF(I27=0,0,+Dre_Terraplenagem!I39)</f>
        <v>0</v>
      </c>
      <c r="J23" s="905"/>
      <c r="K23" s="905"/>
      <c r="L23" s="905"/>
      <c r="M23" s="905"/>
      <c r="N23" s="906"/>
      <c r="O23" s="905">
        <f>IF(O27=0,0,+Dre_Terraplenagem!O39)</f>
        <v>0</v>
      </c>
      <c r="P23" s="905">
        <f>IF(P27=0,0,+Dre_Terraplenagem!P39)</f>
        <v>0</v>
      </c>
      <c r="Q23" s="905">
        <f>IF(Q27=0,0,+Dre_Terraplenagem!Q39)</f>
        <v>0</v>
      </c>
      <c r="R23" s="905">
        <f>IF(R27=0,0,+Dre_Terraplenagem!R39)</f>
        <v>0</v>
      </c>
      <c r="S23" s="905">
        <f>IF(S27=0,0,+Dre_Terraplenagem!T39)</f>
        <v>0</v>
      </c>
      <c r="T23" s="905">
        <f>IF(T27=0,0,+Dre_Terraplenagem!V39)</f>
        <v>0</v>
      </c>
      <c r="U23" s="905">
        <f>IF(U27=0,0,+Dre_Terraplenagem!U39)</f>
        <v>0</v>
      </c>
      <c r="V23" s="905">
        <f>IF(V27=0,0,+Dre_Terraplenagem!V39)</f>
        <v>0</v>
      </c>
      <c r="W23" s="905">
        <f>IF(W27=0,0,+Dre_Terraplenagem!W39)</f>
        <v>0</v>
      </c>
      <c r="X23" s="905">
        <f>IF(X27=0,0,+Dre_Terraplenagem!X39)</f>
        <v>0</v>
      </c>
      <c r="Y23" s="905">
        <f>IF(Y27=0,0,+Dre_Terraplenagem!Y39)</f>
        <v>0</v>
      </c>
      <c r="Z23" s="905">
        <f>IF(Z27=0,0,+Dre_Terraplenagem!Z39)</f>
        <v>0</v>
      </c>
      <c r="AA23" s="905">
        <f>IF(AA27=0,0,+Dre_Terraplenagem!AA39)</f>
        <v>0</v>
      </c>
      <c r="AB23" s="905">
        <f>IF(AB27=0,0,+Dre_Terraplenagem!AB39)</f>
        <v>0</v>
      </c>
      <c r="AC23" s="905">
        <f>IF(AC27=0,0,+Dre_Terraplenagem!AC39)</f>
        <v>0</v>
      </c>
      <c r="AD23" s="905">
        <f>IF(AD27=0,0,+Dre_Terraplenagem!AD39)</f>
        <v>0</v>
      </c>
      <c r="AE23" s="905">
        <f>IF(AE27=0,0,+Dre_Terraplenagem!AE39)</f>
        <v>0</v>
      </c>
      <c r="AF23" s="905">
        <f>IF(AF27=0,0,+Dre_Terraplenagem!AF39)</f>
        <v>0</v>
      </c>
      <c r="AG23" s="905">
        <f>IF(AG27=0,0,+Dre_Terraplenagem!AG39)</f>
        <v>0</v>
      </c>
      <c r="AH23" s="905">
        <f>IF(AH27=0,0,+Dre_Terraplenagem!AH39)</f>
        <v>0</v>
      </c>
      <c r="AI23" s="907"/>
      <c r="AJ23" s="745">
        <f t="shared" si="0"/>
        <v>0</v>
      </c>
    </row>
    <row r="24" spans="1:36" ht="21.95" hidden="1" customHeight="1">
      <c r="A24" s="2572"/>
      <c r="B24" s="2605"/>
      <c r="C24" s="747" t="s">
        <v>1690</v>
      </c>
      <c r="E24" s="887"/>
      <c r="F24" s="908">
        <f>IF(F23&gt;0,0.6,0)</f>
        <v>0</v>
      </c>
      <c r="G24" s="908">
        <f>IF(G23&gt;0,0.6,0)</f>
        <v>0</v>
      </c>
      <c r="H24" s="908">
        <f>IF(H23&gt;0,0.6,0)</f>
        <v>0</v>
      </c>
      <c r="I24" s="908">
        <f>IF(I23&gt;0,0.6,0)</f>
        <v>0</v>
      </c>
      <c r="J24" s="908"/>
      <c r="K24" s="908"/>
      <c r="L24" s="908"/>
      <c r="M24" s="908"/>
      <c r="N24" s="909"/>
      <c r="O24" s="908">
        <f t="shared" ref="O24:AH24" si="15">IF(O23&gt;0,0.6,0)</f>
        <v>0</v>
      </c>
      <c r="P24" s="908">
        <f t="shared" si="15"/>
        <v>0</v>
      </c>
      <c r="Q24" s="908">
        <f t="shared" si="15"/>
        <v>0</v>
      </c>
      <c r="R24" s="908">
        <f t="shared" si="15"/>
        <v>0</v>
      </c>
      <c r="S24" s="908">
        <f t="shared" si="15"/>
        <v>0</v>
      </c>
      <c r="T24" s="908">
        <f t="shared" si="15"/>
        <v>0</v>
      </c>
      <c r="U24" s="908">
        <f t="shared" si="15"/>
        <v>0</v>
      </c>
      <c r="V24" s="908">
        <f t="shared" si="15"/>
        <v>0</v>
      </c>
      <c r="W24" s="908">
        <f t="shared" si="15"/>
        <v>0</v>
      </c>
      <c r="X24" s="908">
        <f t="shared" si="15"/>
        <v>0</v>
      </c>
      <c r="Y24" s="908">
        <f t="shared" si="15"/>
        <v>0</v>
      </c>
      <c r="Z24" s="908">
        <f t="shared" si="15"/>
        <v>0</v>
      </c>
      <c r="AA24" s="908">
        <f t="shared" si="15"/>
        <v>0</v>
      </c>
      <c r="AB24" s="908">
        <f t="shared" si="15"/>
        <v>0</v>
      </c>
      <c r="AC24" s="908">
        <f t="shared" si="15"/>
        <v>0</v>
      </c>
      <c r="AD24" s="908">
        <f t="shared" si="15"/>
        <v>0</v>
      </c>
      <c r="AE24" s="908">
        <f t="shared" si="15"/>
        <v>0</v>
      </c>
      <c r="AF24" s="908">
        <f t="shared" si="15"/>
        <v>0</v>
      </c>
      <c r="AG24" s="908">
        <f t="shared" si="15"/>
        <v>0</v>
      </c>
      <c r="AH24" s="908">
        <f t="shared" si="15"/>
        <v>0</v>
      </c>
      <c r="AI24" s="900"/>
      <c r="AJ24" s="745">
        <f t="shared" si="0"/>
        <v>0</v>
      </c>
    </row>
    <row r="25" spans="1:36" ht="21.95" hidden="1" customHeight="1">
      <c r="A25" s="2572"/>
      <c r="B25" s="2605"/>
      <c r="C25" s="747" t="s">
        <v>1691</v>
      </c>
      <c r="E25" s="887"/>
      <c r="F25" s="908">
        <f>F24+F23</f>
        <v>0</v>
      </c>
      <c r="G25" s="908">
        <f>G24+G23</f>
        <v>0</v>
      </c>
      <c r="H25" s="908">
        <f>H24+H23</f>
        <v>0</v>
      </c>
      <c r="I25" s="908">
        <f>I24+I23</f>
        <v>0</v>
      </c>
      <c r="J25" s="908"/>
      <c r="K25" s="908"/>
      <c r="L25" s="908"/>
      <c r="M25" s="908"/>
      <c r="N25" s="909"/>
      <c r="O25" s="908">
        <f t="shared" ref="O25:AH25" si="16">O24+O23</f>
        <v>0</v>
      </c>
      <c r="P25" s="908">
        <f t="shared" si="16"/>
        <v>0</v>
      </c>
      <c r="Q25" s="908">
        <f t="shared" si="16"/>
        <v>0</v>
      </c>
      <c r="R25" s="908">
        <f t="shared" si="16"/>
        <v>0</v>
      </c>
      <c r="S25" s="908">
        <f t="shared" si="16"/>
        <v>0</v>
      </c>
      <c r="T25" s="908">
        <f t="shared" si="16"/>
        <v>0</v>
      </c>
      <c r="U25" s="908">
        <f t="shared" si="16"/>
        <v>0</v>
      </c>
      <c r="V25" s="908">
        <f t="shared" si="16"/>
        <v>0</v>
      </c>
      <c r="W25" s="908">
        <f t="shared" si="16"/>
        <v>0</v>
      </c>
      <c r="X25" s="908">
        <f t="shared" si="16"/>
        <v>0</v>
      </c>
      <c r="Y25" s="908">
        <f t="shared" si="16"/>
        <v>0</v>
      </c>
      <c r="Z25" s="908">
        <f t="shared" si="16"/>
        <v>0</v>
      </c>
      <c r="AA25" s="908">
        <f t="shared" si="16"/>
        <v>0</v>
      </c>
      <c r="AB25" s="908">
        <f t="shared" si="16"/>
        <v>0</v>
      </c>
      <c r="AC25" s="908">
        <f t="shared" si="16"/>
        <v>0</v>
      </c>
      <c r="AD25" s="908">
        <f t="shared" si="16"/>
        <v>0</v>
      </c>
      <c r="AE25" s="908">
        <f t="shared" si="16"/>
        <v>0</v>
      </c>
      <c r="AF25" s="908">
        <f t="shared" si="16"/>
        <v>0</v>
      </c>
      <c r="AG25" s="908">
        <f t="shared" si="16"/>
        <v>0</v>
      </c>
      <c r="AH25" s="908">
        <f t="shared" si="16"/>
        <v>0</v>
      </c>
      <c r="AI25" s="900"/>
      <c r="AJ25" s="745">
        <f t="shared" si="0"/>
        <v>0</v>
      </c>
    </row>
    <row r="26" spans="1:36" ht="21.95" hidden="1" customHeight="1">
      <c r="A26" s="2572"/>
      <c r="B26" s="2605"/>
      <c r="C26" s="747" t="s">
        <v>1692</v>
      </c>
      <c r="E26" s="887"/>
      <c r="F26" s="908">
        <f>IF(F23&gt;0,5,0)</f>
        <v>0</v>
      </c>
      <c r="G26" s="908">
        <f>IF(G23&gt;0,5,0)</f>
        <v>0</v>
      </c>
      <c r="H26" s="908">
        <f>IF(H23&gt;0,5,0)</f>
        <v>0</v>
      </c>
      <c r="I26" s="908">
        <f>IF(I23&gt;0,5,0)</f>
        <v>0</v>
      </c>
      <c r="J26" s="908"/>
      <c r="K26" s="908"/>
      <c r="L26" s="908"/>
      <c r="M26" s="908"/>
      <c r="N26" s="909"/>
      <c r="O26" s="908">
        <f t="shared" ref="O26:AH26" si="17">IF(O23&gt;0,5,0)</f>
        <v>0</v>
      </c>
      <c r="P26" s="908">
        <f t="shared" si="17"/>
        <v>0</v>
      </c>
      <c r="Q26" s="908">
        <f t="shared" si="17"/>
        <v>0</v>
      </c>
      <c r="R26" s="908">
        <f t="shared" si="17"/>
        <v>0</v>
      </c>
      <c r="S26" s="908">
        <f t="shared" si="17"/>
        <v>0</v>
      </c>
      <c r="T26" s="908">
        <f t="shared" si="17"/>
        <v>0</v>
      </c>
      <c r="U26" s="908">
        <f t="shared" si="17"/>
        <v>0</v>
      </c>
      <c r="V26" s="908">
        <f t="shared" si="17"/>
        <v>0</v>
      </c>
      <c r="W26" s="908">
        <f t="shared" si="17"/>
        <v>0</v>
      </c>
      <c r="X26" s="908">
        <f t="shared" si="17"/>
        <v>0</v>
      </c>
      <c r="Y26" s="908">
        <f t="shared" si="17"/>
        <v>0</v>
      </c>
      <c r="Z26" s="908">
        <f t="shared" si="17"/>
        <v>0</v>
      </c>
      <c r="AA26" s="908">
        <f t="shared" si="17"/>
        <v>0</v>
      </c>
      <c r="AB26" s="908">
        <f t="shared" si="17"/>
        <v>0</v>
      </c>
      <c r="AC26" s="908">
        <f t="shared" si="17"/>
        <v>0</v>
      </c>
      <c r="AD26" s="908">
        <f t="shared" si="17"/>
        <v>0</v>
      </c>
      <c r="AE26" s="908">
        <f t="shared" si="17"/>
        <v>0</v>
      </c>
      <c r="AF26" s="908">
        <f t="shared" si="17"/>
        <v>0</v>
      </c>
      <c r="AG26" s="908">
        <f t="shared" si="17"/>
        <v>0</v>
      </c>
      <c r="AH26" s="908">
        <f t="shared" si="17"/>
        <v>0</v>
      </c>
      <c r="AI26" s="900"/>
      <c r="AJ26" s="745">
        <f t="shared" si="0"/>
        <v>0</v>
      </c>
    </row>
    <row r="27" spans="1:36" ht="21.95" hidden="1" customHeight="1">
      <c r="A27" s="2572"/>
      <c r="B27" s="2605"/>
      <c r="C27" s="747" t="s">
        <v>1539</v>
      </c>
      <c r="E27" s="887"/>
      <c r="F27" s="908">
        <f>Dren_Quantificacao!D29</f>
        <v>0</v>
      </c>
      <c r="G27" s="908">
        <f>Dren_Quantificacao!E29</f>
        <v>0</v>
      </c>
      <c r="H27" s="908">
        <f>Dren_Quantificacao!F29</f>
        <v>0</v>
      </c>
      <c r="I27" s="908">
        <f>Dren_Quantificacao!G29</f>
        <v>0</v>
      </c>
      <c r="J27" s="908"/>
      <c r="K27" s="908"/>
      <c r="L27" s="908"/>
      <c r="M27" s="908"/>
      <c r="N27" s="909"/>
      <c r="O27" s="908">
        <f>Dren_Quantificacao!L29</f>
        <v>0</v>
      </c>
      <c r="P27" s="908">
        <f>Dren_Quantificacao!M29</f>
        <v>0</v>
      </c>
      <c r="Q27" s="908">
        <f>Dren_Quantificacao!N29</f>
        <v>0</v>
      </c>
      <c r="R27" s="908">
        <f>Dren_Quantificacao!O29</f>
        <v>0</v>
      </c>
      <c r="S27" s="908">
        <f>Dren_Quantificacao!BD29</f>
        <v>0</v>
      </c>
      <c r="T27" s="908">
        <f>Dren_Quantificacao!BE29</f>
        <v>0</v>
      </c>
      <c r="U27" s="908">
        <f>Dren_Quantificacao!BF29</f>
        <v>0</v>
      </c>
      <c r="V27" s="908">
        <f>Dren_Quantificacao!BG29</f>
        <v>0</v>
      </c>
      <c r="W27" s="908">
        <f>Dren_Quantificacao!BH29</f>
        <v>0</v>
      </c>
      <c r="X27" s="908">
        <f>Dren_Quantificacao!BI29</f>
        <v>0</v>
      </c>
      <c r="Y27" s="908">
        <f>Dren_Quantificacao!BJ29</f>
        <v>0</v>
      </c>
      <c r="Z27" s="908">
        <f>Dren_Quantificacao!BK29</f>
        <v>0</v>
      </c>
      <c r="AA27" s="908">
        <f>Dren_Quantificacao!BL29</f>
        <v>0</v>
      </c>
      <c r="AB27" s="908">
        <f>Dren_Quantificacao!BM29</f>
        <v>0</v>
      </c>
      <c r="AC27" s="908">
        <f>Dren_Quantificacao!BN29</f>
        <v>0</v>
      </c>
      <c r="AD27" s="908">
        <f>Dren_Quantificacao!BO29</f>
        <v>0</v>
      </c>
      <c r="AE27" s="908">
        <f>Dren_Quantificacao!BP29</f>
        <v>0</v>
      </c>
      <c r="AF27" s="908">
        <f>Dren_Quantificacao!BQ29</f>
        <v>0</v>
      </c>
      <c r="AG27" s="908">
        <f>Dren_Quantificacao!BR29</f>
        <v>0</v>
      </c>
      <c r="AH27" s="908">
        <f>Dren_Quantificacao!BS29</f>
        <v>0</v>
      </c>
      <c r="AI27" s="910"/>
      <c r="AJ27" s="745">
        <f t="shared" si="0"/>
        <v>0</v>
      </c>
    </row>
    <row r="28" spans="1:36" ht="21.95" hidden="1" customHeight="1">
      <c r="A28" s="2572"/>
      <c r="B28" s="2601"/>
      <c r="C28" s="911" t="s">
        <v>1693</v>
      </c>
      <c r="E28" s="887"/>
      <c r="F28" s="908">
        <f>F27*F25</f>
        <v>0</v>
      </c>
      <c r="G28" s="908">
        <f>G27*G25</f>
        <v>0</v>
      </c>
      <c r="H28" s="908">
        <f>H27*H25</f>
        <v>0</v>
      </c>
      <c r="I28" s="908">
        <f>I27*I25</f>
        <v>0</v>
      </c>
      <c r="J28" s="908"/>
      <c r="K28" s="908"/>
      <c r="L28" s="908"/>
      <c r="M28" s="908"/>
      <c r="N28" s="909"/>
      <c r="O28" s="908">
        <f t="shared" ref="O28:AH28" si="18">O27*O25</f>
        <v>0</v>
      </c>
      <c r="P28" s="908">
        <f t="shared" si="18"/>
        <v>0</v>
      </c>
      <c r="Q28" s="908">
        <f t="shared" si="18"/>
        <v>0</v>
      </c>
      <c r="R28" s="908">
        <f t="shared" si="18"/>
        <v>0</v>
      </c>
      <c r="S28" s="908">
        <f t="shared" si="18"/>
        <v>0</v>
      </c>
      <c r="T28" s="908">
        <f t="shared" si="18"/>
        <v>0</v>
      </c>
      <c r="U28" s="908">
        <f t="shared" si="18"/>
        <v>0</v>
      </c>
      <c r="V28" s="908">
        <f t="shared" si="18"/>
        <v>0</v>
      </c>
      <c r="W28" s="908">
        <f t="shared" si="18"/>
        <v>0</v>
      </c>
      <c r="X28" s="908">
        <f t="shared" si="18"/>
        <v>0</v>
      </c>
      <c r="Y28" s="908">
        <f t="shared" si="18"/>
        <v>0</v>
      </c>
      <c r="Z28" s="908">
        <f t="shared" si="18"/>
        <v>0</v>
      </c>
      <c r="AA28" s="908">
        <f t="shared" si="18"/>
        <v>0</v>
      </c>
      <c r="AB28" s="908">
        <f t="shared" si="18"/>
        <v>0</v>
      </c>
      <c r="AC28" s="908">
        <f t="shared" si="18"/>
        <v>0</v>
      </c>
      <c r="AD28" s="908">
        <f t="shared" si="18"/>
        <v>0</v>
      </c>
      <c r="AE28" s="908">
        <f t="shared" si="18"/>
        <v>0</v>
      </c>
      <c r="AF28" s="908">
        <f t="shared" si="18"/>
        <v>0</v>
      </c>
      <c r="AG28" s="908">
        <f t="shared" si="18"/>
        <v>0</v>
      </c>
      <c r="AH28" s="908">
        <f t="shared" si="18"/>
        <v>0</v>
      </c>
      <c r="AI28" s="910"/>
      <c r="AJ28" s="745">
        <f t="shared" si="0"/>
        <v>0</v>
      </c>
    </row>
    <row r="29" spans="1:36" ht="21.95" hidden="1" customHeight="1" thickBot="1">
      <c r="A29" s="2572"/>
      <c r="B29" s="2632"/>
      <c r="C29" s="754" t="s">
        <v>1480</v>
      </c>
      <c r="D29" s="755"/>
      <c r="E29" s="890"/>
      <c r="F29" s="901">
        <f>F27*F26*F25/100</f>
        <v>0</v>
      </c>
      <c r="G29" s="901">
        <f>G27*G26*G25/100</f>
        <v>0</v>
      </c>
      <c r="H29" s="901">
        <f>H27*H26*H25/100</f>
        <v>0</v>
      </c>
      <c r="I29" s="901">
        <f>I27*I26*I25/100</f>
        <v>0</v>
      </c>
      <c r="J29" s="901"/>
      <c r="K29" s="901"/>
      <c r="L29" s="901"/>
      <c r="M29" s="901"/>
      <c r="N29" s="902"/>
      <c r="O29" s="901">
        <f t="shared" ref="O29:AH29" si="19">O27*O26*O25/100</f>
        <v>0</v>
      </c>
      <c r="P29" s="901">
        <f t="shared" si="19"/>
        <v>0</v>
      </c>
      <c r="Q29" s="901">
        <f t="shared" si="19"/>
        <v>0</v>
      </c>
      <c r="R29" s="901">
        <f t="shared" si="19"/>
        <v>0</v>
      </c>
      <c r="S29" s="901">
        <f t="shared" si="19"/>
        <v>0</v>
      </c>
      <c r="T29" s="901">
        <f t="shared" si="19"/>
        <v>0</v>
      </c>
      <c r="U29" s="901">
        <f t="shared" si="19"/>
        <v>0</v>
      </c>
      <c r="V29" s="901">
        <f t="shared" si="19"/>
        <v>0</v>
      </c>
      <c r="W29" s="901">
        <f t="shared" si="19"/>
        <v>0</v>
      </c>
      <c r="X29" s="901">
        <f t="shared" si="19"/>
        <v>0</v>
      </c>
      <c r="Y29" s="901">
        <f t="shared" si="19"/>
        <v>0</v>
      </c>
      <c r="Z29" s="901">
        <f t="shared" si="19"/>
        <v>0</v>
      </c>
      <c r="AA29" s="901">
        <f t="shared" si="19"/>
        <v>0</v>
      </c>
      <c r="AB29" s="901">
        <f t="shared" si="19"/>
        <v>0</v>
      </c>
      <c r="AC29" s="901">
        <f t="shared" si="19"/>
        <v>0</v>
      </c>
      <c r="AD29" s="901">
        <f t="shared" si="19"/>
        <v>0</v>
      </c>
      <c r="AE29" s="901">
        <f t="shared" si="19"/>
        <v>0</v>
      </c>
      <c r="AF29" s="901">
        <f t="shared" si="19"/>
        <v>0</v>
      </c>
      <c r="AG29" s="901">
        <f t="shared" si="19"/>
        <v>0</v>
      </c>
      <c r="AH29" s="901">
        <f t="shared" si="19"/>
        <v>0</v>
      </c>
      <c r="AI29" s="912"/>
      <c r="AJ29" s="745">
        <f t="shared" si="0"/>
        <v>0</v>
      </c>
    </row>
    <row r="30" spans="1:36" ht="21.95" hidden="1" customHeight="1" thickBot="1">
      <c r="A30" s="2572"/>
      <c r="B30" s="2587" t="s">
        <v>1696</v>
      </c>
      <c r="C30" s="2588"/>
      <c r="D30" s="755"/>
      <c r="E30" s="890"/>
      <c r="F30" s="913">
        <f>2*(F13+F20+F27)</f>
        <v>0</v>
      </c>
      <c r="G30" s="913">
        <f>2*(G13+G20+G27)</f>
        <v>0</v>
      </c>
      <c r="H30" s="913">
        <f>2*(H13+H20+H27)</f>
        <v>0</v>
      </c>
      <c r="I30" s="913">
        <f>2*(I13+I20+I27)</f>
        <v>0</v>
      </c>
      <c r="J30" s="913"/>
      <c r="K30" s="913"/>
      <c r="L30" s="913"/>
      <c r="M30" s="913"/>
      <c r="N30" s="914"/>
      <c r="O30" s="913">
        <f t="shared" ref="O30:AH30" si="20">2*(O13+O20+O27)</f>
        <v>0</v>
      </c>
      <c r="P30" s="913">
        <f t="shared" si="20"/>
        <v>0</v>
      </c>
      <c r="Q30" s="913">
        <f t="shared" si="20"/>
        <v>0</v>
      </c>
      <c r="R30" s="913">
        <f t="shared" si="20"/>
        <v>0</v>
      </c>
      <c r="S30" s="913">
        <f t="shared" si="20"/>
        <v>0</v>
      </c>
      <c r="T30" s="913">
        <f t="shared" si="20"/>
        <v>0</v>
      </c>
      <c r="U30" s="913">
        <f t="shared" si="20"/>
        <v>0</v>
      </c>
      <c r="V30" s="913">
        <f t="shared" si="20"/>
        <v>0</v>
      </c>
      <c r="W30" s="913">
        <f t="shared" si="20"/>
        <v>0</v>
      </c>
      <c r="X30" s="913">
        <f t="shared" si="20"/>
        <v>0</v>
      </c>
      <c r="Y30" s="913">
        <f t="shared" si="20"/>
        <v>0</v>
      </c>
      <c r="Z30" s="913">
        <f t="shared" si="20"/>
        <v>0</v>
      </c>
      <c r="AA30" s="913">
        <f t="shared" si="20"/>
        <v>0</v>
      </c>
      <c r="AB30" s="913">
        <f t="shared" si="20"/>
        <v>0</v>
      </c>
      <c r="AC30" s="913">
        <f t="shared" si="20"/>
        <v>0</v>
      </c>
      <c r="AD30" s="913">
        <f t="shared" si="20"/>
        <v>0</v>
      </c>
      <c r="AE30" s="913">
        <f t="shared" si="20"/>
        <v>0</v>
      </c>
      <c r="AF30" s="913">
        <f t="shared" si="20"/>
        <v>0</v>
      </c>
      <c r="AG30" s="913">
        <f t="shared" si="20"/>
        <v>0</v>
      </c>
      <c r="AH30" s="913">
        <f t="shared" si="20"/>
        <v>0</v>
      </c>
      <c r="AI30" s="915"/>
      <c r="AJ30" s="745">
        <f t="shared" si="0"/>
        <v>0</v>
      </c>
    </row>
    <row r="31" spans="1:36" ht="21.95" hidden="1" customHeight="1" thickBot="1">
      <c r="A31" s="2572"/>
      <c r="B31" s="2596" t="s">
        <v>1697</v>
      </c>
      <c r="C31" s="2597"/>
      <c r="D31" s="755"/>
      <c r="E31" s="890"/>
      <c r="F31" s="913">
        <f t="shared" ref="F31:I32" si="21">F28+F21+F14</f>
        <v>0</v>
      </c>
      <c r="G31" s="913">
        <f t="shared" si="21"/>
        <v>0</v>
      </c>
      <c r="H31" s="913">
        <f t="shared" si="21"/>
        <v>0</v>
      </c>
      <c r="I31" s="913">
        <f t="shared" si="21"/>
        <v>0</v>
      </c>
      <c r="J31" s="913"/>
      <c r="K31" s="913"/>
      <c r="L31" s="913"/>
      <c r="M31" s="913"/>
      <c r="N31" s="914"/>
      <c r="O31" s="913">
        <f t="shared" ref="O31:AH32" si="22">O28+O21+O14</f>
        <v>0</v>
      </c>
      <c r="P31" s="913">
        <f t="shared" si="22"/>
        <v>0</v>
      </c>
      <c r="Q31" s="913">
        <f t="shared" si="22"/>
        <v>0</v>
      </c>
      <c r="R31" s="913">
        <f t="shared" si="22"/>
        <v>0</v>
      </c>
      <c r="S31" s="913">
        <f t="shared" si="22"/>
        <v>0</v>
      </c>
      <c r="T31" s="913">
        <f t="shared" si="22"/>
        <v>0</v>
      </c>
      <c r="U31" s="913">
        <f t="shared" si="22"/>
        <v>0</v>
      </c>
      <c r="V31" s="913">
        <f t="shared" si="22"/>
        <v>0</v>
      </c>
      <c r="W31" s="913">
        <f t="shared" si="22"/>
        <v>0</v>
      </c>
      <c r="X31" s="913">
        <f t="shared" si="22"/>
        <v>0</v>
      </c>
      <c r="Y31" s="913">
        <f t="shared" si="22"/>
        <v>0</v>
      </c>
      <c r="Z31" s="913">
        <f t="shared" si="22"/>
        <v>0</v>
      </c>
      <c r="AA31" s="913">
        <f t="shared" si="22"/>
        <v>0</v>
      </c>
      <c r="AB31" s="913">
        <f t="shared" si="22"/>
        <v>0</v>
      </c>
      <c r="AC31" s="913">
        <f t="shared" si="22"/>
        <v>0</v>
      </c>
      <c r="AD31" s="913">
        <f t="shared" si="22"/>
        <v>0</v>
      </c>
      <c r="AE31" s="913">
        <f t="shared" si="22"/>
        <v>0</v>
      </c>
      <c r="AF31" s="913">
        <f t="shared" si="22"/>
        <v>0</v>
      </c>
      <c r="AG31" s="913">
        <f t="shared" si="22"/>
        <v>0</v>
      </c>
      <c r="AH31" s="913">
        <f t="shared" si="22"/>
        <v>0</v>
      </c>
      <c r="AI31" s="915"/>
      <c r="AJ31" s="745">
        <f t="shared" si="0"/>
        <v>0</v>
      </c>
    </row>
    <row r="32" spans="1:36" ht="21.95" hidden="1" customHeight="1" thickBot="1">
      <c r="A32" s="2572"/>
      <c r="B32" s="2596" t="s">
        <v>1698</v>
      </c>
      <c r="C32" s="2597"/>
      <c r="D32" s="770"/>
      <c r="E32" s="916"/>
      <c r="F32" s="913">
        <f t="shared" si="21"/>
        <v>0</v>
      </c>
      <c r="G32" s="913">
        <f t="shared" si="21"/>
        <v>0</v>
      </c>
      <c r="H32" s="913">
        <f t="shared" si="21"/>
        <v>0</v>
      </c>
      <c r="I32" s="913">
        <f t="shared" si="21"/>
        <v>0</v>
      </c>
      <c r="J32" s="913"/>
      <c r="K32" s="913"/>
      <c r="L32" s="913"/>
      <c r="M32" s="913"/>
      <c r="N32" s="914"/>
      <c r="O32" s="913">
        <f t="shared" si="22"/>
        <v>0</v>
      </c>
      <c r="P32" s="913">
        <f t="shared" si="22"/>
        <v>0</v>
      </c>
      <c r="Q32" s="913">
        <f t="shared" si="22"/>
        <v>0</v>
      </c>
      <c r="R32" s="913">
        <f t="shared" si="22"/>
        <v>0</v>
      </c>
      <c r="S32" s="913">
        <f t="shared" si="22"/>
        <v>0</v>
      </c>
      <c r="T32" s="913">
        <f t="shared" si="22"/>
        <v>0</v>
      </c>
      <c r="U32" s="913">
        <f t="shared" si="22"/>
        <v>0</v>
      </c>
      <c r="V32" s="913">
        <f t="shared" si="22"/>
        <v>0</v>
      </c>
      <c r="W32" s="913">
        <f t="shared" si="22"/>
        <v>0</v>
      </c>
      <c r="X32" s="913">
        <f t="shared" si="22"/>
        <v>0</v>
      </c>
      <c r="Y32" s="913">
        <f t="shared" si="22"/>
        <v>0</v>
      </c>
      <c r="Z32" s="913">
        <f t="shared" si="22"/>
        <v>0</v>
      </c>
      <c r="AA32" s="913">
        <f t="shared" si="22"/>
        <v>0</v>
      </c>
      <c r="AB32" s="913">
        <f t="shared" si="22"/>
        <v>0</v>
      </c>
      <c r="AC32" s="913">
        <f t="shared" si="22"/>
        <v>0</v>
      </c>
      <c r="AD32" s="913">
        <f t="shared" si="22"/>
        <v>0</v>
      </c>
      <c r="AE32" s="913">
        <f t="shared" si="22"/>
        <v>0</v>
      </c>
      <c r="AF32" s="913">
        <f t="shared" si="22"/>
        <v>0</v>
      </c>
      <c r="AG32" s="913">
        <f t="shared" si="22"/>
        <v>0</v>
      </c>
      <c r="AH32" s="913">
        <f t="shared" si="22"/>
        <v>0</v>
      </c>
      <c r="AI32" s="915"/>
      <c r="AJ32" s="745">
        <f t="shared" si="0"/>
        <v>0</v>
      </c>
    </row>
    <row r="33" spans="1:36" ht="21.95" hidden="1" customHeight="1" thickBot="1">
      <c r="A33" s="2572"/>
      <c r="B33" s="2596" t="s">
        <v>1502</v>
      </c>
      <c r="C33" s="2597"/>
      <c r="D33" s="755"/>
      <c r="E33" s="890"/>
      <c r="F33" s="917">
        <f>Dren_Quantificacao!D141</f>
        <v>0</v>
      </c>
      <c r="G33" s="917">
        <f>Dren_Quantificacao!E141</f>
        <v>0</v>
      </c>
      <c r="H33" s="917">
        <f>Dren_Quantificacao!F141</f>
        <v>0</v>
      </c>
      <c r="I33" s="917">
        <f>Dren_Quantificacao!G141</f>
        <v>0</v>
      </c>
      <c r="J33" s="917"/>
      <c r="K33" s="917"/>
      <c r="L33" s="917"/>
      <c r="M33" s="917"/>
      <c r="N33" s="918"/>
      <c r="O33" s="917">
        <f>Dren_Quantificacao!L141</f>
        <v>0</v>
      </c>
      <c r="P33" s="917">
        <f>Dren_Quantificacao!M141</f>
        <v>0</v>
      </c>
      <c r="Q33" s="917">
        <f>Dren_Quantificacao!N141</f>
        <v>0</v>
      </c>
      <c r="R33" s="917">
        <f>Dren_Quantificacao!O141</f>
        <v>0</v>
      </c>
      <c r="S33" s="917">
        <f>Dren_Quantificacao!BD141</f>
        <v>0</v>
      </c>
      <c r="T33" s="917">
        <f>Dren_Quantificacao!BE141</f>
        <v>0</v>
      </c>
      <c r="U33" s="919"/>
      <c r="V33" s="919"/>
      <c r="W33" s="919"/>
      <c r="X33" s="919"/>
      <c r="Y33" s="919"/>
      <c r="Z33" s="919"/>
      <c r="AA33" s="919"/>
      <c r="AB33" s="919"/>
      <c r="AC33" s="919"/>
      <c r="AD33" s="919"/>
      <c r="AE33" s="919"/>
      <c r="AF33" s="919"/>
      <c r="AG33" s="919"/>
      <c r="AH33" s="919"/>
      <c r="AI33" s="915"/>
      <c r="AJ33" s="745">
        <f t="shared" si="0"/>
        <v>0</v>
      </c>
    </row>
    <row r="34" spans="1:36" ht="21.95" hidden="1" customHeight="1" thickBot="1">
      <c r="A34" s="2572"/>
      <c r="B34" s="2596" t="s">
        <v>1503</v>
      </c>
      <c r="C34" s="2597"/>
      <c r="D34" s="770"/>
      <c r="E34" s="916"/>
      <c r="F34" s="917">
        <f>Dren_Quantificacao!D142</f>
        <v>0</v>
      </c>
      <c r="G34" s="917">
        <f>Dren_Quantificacao!E142</f>
        <v>0</v>
      </c>
      <c r="H34" s="917">
        <f>Dren_Quantificacao!F142</f>
        <v>0</v>
      </c>
      <c r="I34" s="917">
        <f>Dren_Quantificacao!G142</f>
        <v>0</v>
      </c>
      <c r="J34" s="917"/>
      <c r="K34" s="917"/>
      <c r="L34" s="917"/>
      <c r="M34" s="917"/>
      <c r="N34" s="918"/>
      <c r="O34" s="917">
        <f>Dren_Quantificacao!L142</f>
        <v>0</v>
      </c>
      <c r="P34" s="917">
        <f>Dren_Quantificacao!M142</f>
        <v>0</v>
      </c>
      <c r="Q34" s="917">
        <f>Dren_Quantificacao!N142</f>
        <v>0</v>
      </c>
      <c r="R34" s="917">
        <f>Dren_Quantificacao!O142</f>
        <v>0</v>
      </c>
      <c r="S34" s="917">
        <f>Dren_Quantificacao!BD142</f>
        <v>0</v>
      </c>
      <c r="T34" s="917">
        <f>Dren_Quantificacao!BE142</f>
        <v>0</v>
      </c>
      <c r="U34" s="919"/>
      <c r="V34" s="919"/>
      <c r="W34" s="919"/>
      <c r="X34" s="919"/>
      <c r="Y34" s="919"/>
      <c r="Z34" s="919"/>
      <c r="AA34" s="919"/>
      <c r="AB34" s="919"/>
      <c r="AC34" s="919"/>
      <c r="AD34" s="919"/>
      <c r="AE34" s="919"/>
      <c r="AF34" s="919"/>
      <c r="AG34" s="919"/>
      <c r="AH34" s="919"/>
      <c r="AI34" s="915"/>
      <c r="AJ34" s="745">
        <f t="shared" si="0"/>
        <v>0</v>
      </c>
    </row>
    <row r="35" spans="1:36" ht="21.95" hidden="1" customHeight="1">
      <c r="A35" s="2572"/>
      <c r="B35" s="2584" t="s">
        <v>1699</v>
      </c>
      <c r="C35" s="740" t="s">
        <v>1700</v>
      </c>
      <c r="E35" s="887"/>
      <c r="F35" s="905">
        <f>Dren_Quantificacao!D143</f>
        <v>0</v>
      </c>
      <c r="G35" s="905">
        <f>Dren_Quantificacao!E143</f>
        <v>0</v>
      </c>
      <c r="H35" s="905">
        <f>Dren_Quantificacao!F143</f>
        <v>0</v>
      </c>
      <c r="I35" s="905">
        <f>Dren_Quantificacao!G143</f>
        <v>0</v>
      </c>
      <c r="J35" s="905"/>
      <c r="K35" s="905"/>
      <c r="L35" s="905"/>
      <c r="M35" s="905"/>
      <c r="N35" s="906"/>
      <c r="O35" s="905">
        <f>Dren_Quantificacao!L143</f>
        <v>0</v>
      </c>
      <c r="P35" s="905">
        <f>Dren_Quantificacao!M143</f>
        <v>0</v>
      </c>
      <c r="Q35" s="905">
        <f>Dren_Quantificacao!N143</f>
        <v>0</v>
      </c>
      <c r="R35" s="905">
        <f>Dren_Quantificacao!O143</f>
        <v>0</v>
      </c>
      <c r="S35" s="905">
        <f>Dren_Quantificacao!BD143</f>
        <v>0</v>
      </c>
      <c r="T35" s="905">
        <f>Dren_Quantificacao!BE143</f>
        <v>0</v>
      </c>
      <c r="U35" s="905">
        <f>Dren_Quantificacao!BF143</f>
        <v>0</v>
      </c>
      <c r="V35" s="905">
        <f>Dren_Quantificacao!BG143</f>
        <v>0</v>
      </c>
      <c r="W35" s="905">
        <f>Dren_Quantificacao!BH143</f>
        <v>0</v>
      </c>
      <c r="X35" s="905">
        <f>Dren_Quantificacao!BI143</f>
        <v>0</v>
      </c>
      <c r="Y35" s="905">
        <f>Dren_Quantificacao!BJ143</f>
        <v>0</v>
      </c>
      <c r="Z35" s="905">
        <f>Dren_Quantificacao!BK143</f>
        <v>0</v>
      </c>
      <c r="AA35" s="905">
        <f>Dren_Quantificacao!BL143</f>
        <v>0</v>
      </c>
      <c r="AB35" s="905">
        <f>Dren_Quantificacao!BM143</f>
        <v>0</v>
      </c>
      <c r="AC35" s="905">
        <f>Dren_Quantificacao!BN143</f>
        <v>0</v>
      </c>
      <c r="AD35" s="905">
        <f>Dren_Quantificacao!BO143</f>
        <v>0</v>
      </c>
      <c r="AE35" s="905">
        <f>Dren_Quantificacao!BP143</f>
        <v>0</v>
      </c>
      <c r="AF35" s="905">
        <f>Dren_Quantificacao!BQ143</f>
        <v>0</v>
      </c>
      <c r="AG35" s="905">
        <f>Dren_Quantificacao!BR143</f>
        <v>0</v>
      </c>
      <c r="AH35" s="905">
        <f>Dren_Quantificacao!BS143</f>
        <v>0</v>
      </c>
      <c r="AI35" s="910"/>
      <c r="AJ35" s="745">
        <f t="shared" si="0"/>
        <v>0</v>
      </c>
    </row>
    <row r="36" spans="1:36" ht="21.95" hidden="1" customHeight="1" thickBot="1">
      <c r="A36" s="2572"/>
      <c r="B36" s="2586"/>
      <c r="C36" s="754" t="s">
        <v>1669</v>
      </c>
      <c r="D36" s="755"/>
      <c r="E36" s="890"/>
      <c r="F36" s="901">
        <f>Dren_Quantificacao!D144</f>
        <v>0</v>
      </c>
      <c r="G36" s="901">
        <f>Dren_Quantificacao!E144</f>
        <v>0</v>
      </c>
      <c r="H36" s="901">
        <f>Dren_Quantificacao!F144</f>
        <v>0</v>
      </c>
      <c r="I36" s="901">
        <f>Dren_Quantificacao!G144</f>
        <v>0</v>
      </c>
      <c r="J36" s="901"/>
      <c r="K36" s="901"/>
      <c r="L36" s="901"/>
      <c r="M36" s="901"/>
      <c r="N36" s="902"/>
      <c r="O36" s="901">
        <f>Dren_Quantificacao!L144</f>
        <v>0</v>
      </c>
      <c r="P36" s="901">
        <f>Dren_Quantificacao!M144</f>
        <v>0</v>
      </c>
      <c r="Q36" s="901">
        <f>Dren_Quantificacao!N144</f>
        <v>0</v>
      </c>
      <c r="R36" s="901">
        <f>Dren_Quantificacao!O144</f>
        <v>0</v>
      </c>
      <c r="S36" s="901">
        <f>Dren_Quantificacao!BD144</f>
        <v>0</v>
      </c>
      <c r="T36" s="901">
        <f>Dren_Quantificacao!BE144</f>
        <v>0</v>
      </c>
      <c r="U36" s="901">
        <f>Dren_Quantificacao!BF144</f>
        <v>0</v>
      </c>
      <c r="V36" s="901">
        <f>Dren_Quantificacao!BG144</f>
        <v>0</v>
      </c>
      <c r="W36" s="901">
        <f>Dren_Quantificacao!BH144</f>
        <v>0</v>
      </c>
      <c r="X36" s="901">
        <f>Dren_Quantificacao!BI144</f>
        <v>0</v>
      </c>
      <c r="Y36" s="901">
        <f>Dren_Quantificacao!BJ144</f>
        <v>0</v>
      </c>
      <c r="Z36" s="901">
        <f>Dren_Quantificacao!BK144</f>
        <v>0</v>
      </c>
      <c r="AA36" s="901">
        <f>Dren_Quantificacao!BL144</f>
        <v>0</v>
      </c>
      <c r="AB36" s="901">
        <f>Dren_Quantificacao!BM144</f>
        <v>0</v>
      </c>
      <c r="AC36" s="901">
        <f>Dren_Quantificacao!BN144</f>
        <v>0</v>
      </c>
      <c r="AD36" s="901">
        <f>Dren_Quantificacao!BO144</f>
        <v>0</v>
      </c>
      <c r="AE36" s="901">
        <f>Dren_Quantificacao!BP144</f>
        <v>0</v>
      </c>
      <c r="AF36" s="901">
        <f>Dren_Quantificacao!BQ144</f>
        <v>0</v>
      </c>
      <c r="AG36" s="901">
        <f>Dren_Quantificacao!BR144</f>
        <v>0</v>
      </c>
      <c r="AH36" s="901">
        <f>Dren_Quantificacao!BS144</f>
        <v>0</v>
      </c>
      <c r="AI36" s="912"/>
      <c r="AJ36" s="745">
        <f t="shared" si="0"/>
        <v>0</v>
      </c>
    </row>
    <row r="37" spans="1:36" ht="32.1" customHeight="1">
      <c r="A37" s="2572"/>
      <c r="B37" s="2584" t="s">
        <v>1701</v>
      </c>
      <c r="C37" s="740" t="s">
        <v>1702</v>
      </c>
      <c r="D37" s="920"/>
      <c r="E37" s="775"/>
      <c r="F37" s="921">
        <f>IF(F2-F27&gt;0,(F2-F27),0)</f>
        <v>30</v>
      </c>
      <c r="G37" s="921">
        <f>IF(G2-G27&gt;0,(G2-G27),0)</f>
        <v>50</v>
      </c>
      <c r="H37" s="921">
        <f>IF(H2-H27&gt;0,(H2-H27),0)</f>
        <v>25</v>
      </c>
      <c r="I37" s="921">
        <f>IF(I2-I27&gt;0,(I2-I27),0)</f>
        <v>45</v>
      </c>
      <c r="J37" s="922"/>
      <c r="K37" s="922"/>
      <c r="L37" s="922"/>
      <c r="M37" s="922"/>
      <c r="N37" s="923"/>
      <c r="O37" s="921">
        <f t="shared" ref="O37:S37" si="23">IF(O2-O27&gt;0,(O2-O27),0)</f>
        <v>40</v>
      </c>
      <c r="P37" s="921">
        <f t="shared" si="23"/>
        <v>25</v>
      </c>
      <c r="Q37" s="921">
        <f t="shared" si="23"/>
        <v>45</v>
      </c>
      <c r="R37" s="921">
        <f t="shared" si="23"/>
        <v>45</v>
      </c>
      <c r="S37" s="924">
        <f t="shared" si="23"/>
        <v>0</v>
      </c>
      <c r="T37" s="922"/>
      <c r="U37" s="925"/>
      <c r="V37" s="926"/>
      <c r="W37" s="925"/>
      <c r="X37" s="926"/>
      <c r="Y37" s="926"/>
      <c r="Z37" s="926"/>
      <c r="AA37" s="926"/>
      <c r="AB37" s="926"/>
      <c r="AC37" s="926"/>
      <c r="AD37" s="926"/>
      <c r="AE37" s="926"/>
      <c r="AF37" s="926"/>
      <c r="AG37" s="926"/>
      <c r="AH37" s="926"/>
      <c r="AI37" s="927"/>
      <c r="AJ37" s="745">
        <f t="shared" si="0"/>
        <v>305</v>
      </c>
    </row>
    <row r="38" spans="1:36" ht="32.1" customHeight="1">
      <c r="A38" s="2572"/>
      <c r="B38" s="2585"/>
      <c r="C38" s="747" t="s">
        <v>1703</v>
      </c>
      <c r="D38" s="920"/>
      <c r="E38" s="775"/>
      <c r="F38" s="928">
        <f>IF(F37&gt;0,7,0)</f>
        <v>7</v>
      </c>
      <c r="G38" s="928">
        <f>IF(G37&gt;0,7,0)</f>
        <v>7</v>
      </c>
      <c r="H38" s="928">
        <f>IF(H37&gt;0,7,0)</f>
        <v>7</v>
      </c>
      <c r="I38" s="928">
        <f>IF(I37&gt;0,7,0)</f>
        <v>7</v>
      </c>
      <c r="J38" s="928"/>
      <c r="K38" s="928"/>
      <c r="L38" s="928"/>
      <c r="M38" s="928"/>
      <c r="N38" s="929"/>
      <c r="O38" s="928">
        <f t="shared" ref="O38:T38" si="24">IF(O37&gt;0,7,0)</f>
        <v>7</v>
      </c>
      <c r="P38" s="928">
        <f t="shared" si="24"/>
        <v>7</v>
      </c>
      <c r="Q38" s="928">
        <f t="shared" si="24"/>
        <v>7</v>
      </c>
      <c r="R38" s="928">
        <f t="shared" si="24"/>
        <v>7</v>
      </c>
      <c r="S38" s="928">
        <f t="shared" si="24"/>
        <v>0</v>
      </c>
      <c r="T38" s="930">
        <f t="shared" si="24"/>
        <v>0</v>
      </c>
      <c r="U38" s="931"/>
      <c r="V38" s="931"/>
      <c r="W38" s="931"/>
      <c r="X38" s="931"/>
      <c r="Y38" s="931"/>
      <c r="Z38" s="931"/>
      <c r="AA38" s="931"/>
      <c r="AB38" s="931"/>
      <c r="AC38" s="931"/>
      <c r="AD38" s="931"/>
      <c r="AE38" s="931"/>
      <c r="AF38" s="931"/>
      <c r="AG38" s="931"/>
      <c r="AH38" s="931"/>
      <c r="AI38" s="932"/>
      <c r="AJ38" s="745">
        <f t="shared" si="0"/>
        <v>56</v>
      </c>
    </row>
    <row r="39" spans="1:36" ht="32.1" customHeight="1">
      <c r="A39" s="2572"/>
      <c r="B39" s="2585"/>
      <c r="C39" s="747" t="s">
        <v>1704</v>
      </c>
      <c r="D39" s="920"/>
      <c r="E39" s="775"/>
      <c r="F39" s="922">
        <f>F38*F37</f>
        <v>210</v>
      </c>
      <c r="G39" s="922">
        <f>G38*G37</f>
        <v>350</v>
      </c>
      <c r="H39" s="922">
        <f>H38*H37</f>
        <v>175</v>
      </c>
      <c r="I39" s="922">
        <f>I38*I37</f>
        <v>315</v>
      </c>
      <c r="J39" s="922"/>
      <c r="K39" s="922"/>
      <c r="L39" s="922"/>
      <c r="M39" s="922"/>
      <c r="N39" s="933"/>
      <c r="O39" s="922">
        <f t="shared" ref="O39:T39" si="25">O38*O37</f>
        <v>280</v>
      </c>
      <c r="P39" s="922">
        <f t="shared" si="25"/>
        <v>175</v>
      </c>
      <c r="Q39" s="922">
        <f t="shared" si="25"/>
        <v>315</v>
      </c>
      <c r="R39" s="922">
        <f t="shared" si="25"/>
        <v>315</v>
      </c>
      <c r="S39" s="922">
        <f t="shared" si="25"/>
        <v>0</v>
      </c>
      <c r="T39" s="922">
        <f t="shared" si="25"/>
        <v>0</v>
      </c>
      <c r="U39" s="926"/>
      <c r="V39" s="926"/>
      <c r="W39" s="926"/>
      <c r="X39" s="926"/>
      <c r="Y39" s="926"/>
      <c r="Z39" s="926"/>
      <c r="AA39" s="926"/>
      <c r="AB39" s="926"/>
      <c r="AC39" s="926"/>
      <c r="AD39" s="926"/>
      <c r="AE39" s="926"/>
      <c r="AF39" s="926"/>
      <c r="AG39" s="926"/>
      <c r="AH39" s="926"/>
      <c r="AI39" s="910"/>
      <c r="AJ39" s="745">
        <f t="shared" si="0"/>
        <v>2135</v>
      </c>
    </row>
    <row r="40" spans="1:36" ht="32.1" customHeight="1">
      <c r="A40" s="2572"/>
      <c r="B40" s="2585"/>
      <c r="C40" s="747" t="s">
        <v>1705</v>
      </c>
      <c r="D40" s="920"/>
      <c r="E40" s="775"/>
      <c r="F40" s="689">
        <f>IF(F2=0,0,IF(F2&lt;100,1,2))</f>
        <v>1</v>
      </c>
      <c r="G40" s="689">
        <f>IF(G2=0,0,IF(G2&lt;100,1,2))</f>
        <v>1</v>
      </c>
      <c r="H40" s="689">
        <f>IF(H2=0,0,IF(H2&lt;100,1,2))</f>
        <v>1</v>
      </c>
      <c r="I40" s="689">
        <f>IF(I2=0,0,IF(I2&lt;100,1,2))</f>
        <v>1</v>
      </c>
      <c r="J40" s="689"/>
      <c r="K40" s="689"/>
      <c r="L40" s="689"/>
      <c r="M40" s="689"/>
      <c r="N40" s="934"/>
      <c r="O40" s="689">
        <f t="shared" ref="O40:S40" si="26">IF(O2=0,0,IF(O2&lt;100,1,2))</f>
        <v>1</v>
      </c>
      <c r="P40" s="689">
        <f t="shared" si="26"/>
        <v>1</v>
      </c>
      <c r="Q40" s="689">
        <f t="shared" si="26"/>
        <v>1</v>
      </c>
      <c r="R40" s="689">
        <f t="shared" si="26"/>
        <v>1</v>
      </c>
      <c r="S40" s="689">
        <f t="shared" si="26"/>
        <v>0</v>
      </c>
      <c r="T40" s="689"/>
      <c r="U40" s="935"/>
      <c r="V40" s="935"/>
      <c r="W40" s="935"/>
      <c r="X40" s="935"/>
      <c r="Y40" s="935"/>
      <c r="Z40" s="935"/>
      <c r="AA40" s="935"/>
      <c r="AB40" s="935"/>
      <c r="AC40" s="935"/>
      <c r="AD40" s="935"/>
      <c r="AE40" s="935"/>
      <c r="AF40" s="935"/>
      <c r="AG40" s="935"/>
      <c r="AH40" s="935"/>
      <c r="AI40" s="690"/>
      <c r="AJ40" s="745">
        <f t="shared" si="0"/>
        <v>8</v>
      </c>
    </row>
    <row r="41" spans="1:36" ht="21.95" customHeight="1" thickBot="1">
      <c r="A41" s="2572"/>
      <c r="B41" s="2586"/>
      <c r="C41" s="936" t="s">
        <v>1706</v>
      </c>
      <c r="D41" s="937"/>
      <c r="E41" s="768"/>
      <c r="F41" s="938">
        <f>IF(F2&gt;0,2,0)</f>
        <v>2</v>
      </c>
      <c r="G41" s="938">
        <f>IF(G2&gt;0,2,0)</f>
        <v>2</v>
      </c>
      <c r="H41" s="938">
        <f>IF(H2&gt;0,2,0)</f>
        <v>2</v>
      </c>
      <c r="I41" s="938">
        <f>IF(I2&gt;0,2,0)</f>
        <v>2</v>
      </c>
      <c r="J41" s="938"/>
      <c r="K41" s="938"/>
      <c r="L41" s="938"/>
      <c r="M41" s="938"/>
      <c r="N41" s="939"/>
      <c r="O41" s="938">
        <f t="shared" ref="O41:S41" si="27">IF(O2&gt;0,2,0)</f>
        <v>2</v>
      </c>
      <c r="P41" s="938">
        <f t="shared" si="27"/>
        <v>2</v>
      </c>
      <c r="Q41" s="938">
        <f t="shared" si="27"/>
        <v>2</v>
      </c>
      <c r="R41" s="938">
        <f t="shared" si="27"/>
        <v>2</v>
      </c>
      <c r="S41" s="938">
        <f t="shared" si="27"/>
        <v>0</v>
      </c>
      <c r="T41" s="938"/>
      <c r="U41" s="940"/>
      <c r="V41" s="940"/>
      <c r="W41" s="940"/>
      <c r="X41" s="940"/>
      <c r="Y41" s="940"/>
      <c r="Z41" s="940"/>
      <c r="AA41" s="940"/>
      <c r="AB41" s="940"/>
      <c r="AC41" s="940"/>
      <c r="AD41" s="940"/>
      <c r="AE41" s="940"/>
      <c r="AF41" s="940"/>
      <c r="AG41" s="940"/>
      <c r="AH41" s="940"/>
      <c r="AI41" s="941"/>
      <c r="AJ41" s="745">
        <f t="shared" si="0"/>
        <v>16</v>
      </c>
    </row>
    <row r="42" spans="1:36" ht="50.1" customHeight="1" thickBot="1">
      <c r="A42" s="2573"/>
      <c r="B42" s="2624" t="s">
        <v>1400</v>
      </c>
      <c r="C42" s="2625"/>
      <c r="D42" s="790"/>
      <c r="E42" s="942"/>
      <c r="F42" s="943"/>
      <c r="G42" s="943"/>
      <c r="H42" s="943"/>
      <c r="I42" s="943"/>
      <c r="J42" s="943"/>
      <c r="K42" s="943"/>
      <c r="L42" s="943"/>
      <c r="M42" s="943"/>
      <c r="N42" s="944"/>
      <c r="O42" s="943"/>
      <c r="P42" s="943"/>
      <c r="Q42" s="943"/>
      <c r="R42" s="943"/>
      <c r="S42" s="943"/>
      <c r="T42" s="943"/>
      <c r="U42" s="945"/>
      <c r="V42" s="945"/>
      <c r="W42" s="945"/>
      <c r="X42" s="946"/>
      <c r="Y42" s="946"/>
      <c r="Z42" s="946"/>
      <c r="AA42" s="946"/>
      <c r="AB42" s="946"/>
      <c r="AC42" s="946"/>
      <c r="AD42" s="946"/>
      <c r="AE42" s="946"/>
      <c r="AF42" s="946"/>
      <c r="AG42" s="946"/>
      <c r="AH42" s="946"/>
      <c r="AI42" s="947"/>
      <c r="AJ42" s="794">
        <v>1</v>
      </c>
    </row>
    <row r="43" spans="1:36" ht="19.5" thickTop="1"/>
  </sheetData>
  <autoFilter ref="A1:AJ42" xr:uid="{00000000-0001-0000-1100-000000000000}">
    <filterColumn colId="1" showButton="0"/>
    <filterColumn colId="35">
      <customFilters>
        <customFilter operator="notEqual" val=" "/>
      </customFilters>
    </filterColumn>
  </autoFilter>
  <mergeCells count="16">
    <mergeCell ref="B42:C42"/>
    <mergeCell ref="A1:A42"/>
    <mergeCell ref="B1:C1"/>
    <mergeCell ref="B2:C2"/>
    <mergeCell ref="B3:B5"/>
    <mergeCell ref="B6:B8"/>
    <mergeCell ref="B9:B15"/>
    <mergeCell ref="B16:B22"/>
    <mergeCell ref="B23:B29"/>
    <mergeCell ref="B30:C30"/>
    <mergeCell ref="B31:C31"/>
    <mergeCell ref="B32:C32"/>
    <mergeCell ref="B33:C33"/>
    <mergeCell ref="B34:C34"/>
    <mergeCell ref="B35:B36"/>
    <mergeCell ref="B37:B41"/>
  </mergeCells>
  <conditionalFormatting sqref="F6:R6">
    <cfRule type="expression" dxfId="86" priority="1">
      <formula>E$27&gt;0</formula>
    </cfRule>
  </conditionalFormatting>
  <conditionalFormatting sqref="S6">
    <cfRule type="expression" dxfId="85" priority="5">
      <formula>#REF!&gt;0</formula>
    </cfRule>
  </conditionalFormatting>
  <conditionalFormatting sqref="T6">
    <cfRule type="expression" dxfId="84" priority="2">
      <formula>#REF!&gt;0</formula>
    </cfRule>
  </conditionalFormatting>
  <conditionalFormatting sqref="U6:AH6">
    <cfRule type="expression" dxfId="83" priority="3">
      <formula>#REF!&gt;0</formula>
    </cfRule>
  </conditionalFormatting>
  <hyperlinks>
    <hyperlink ref="B1:C1" location="PAINEL!A1" display="TRECHOS" xr:uid="{7337FC30-9BD7-495B-9CAB-4B4F6FA8126E}"/>
  </hyperlinks>
  <pageMargins left="0.39370078740157477" right="0.59055118110236215" top="0.39370078740157477" bottom="0.59055118110236227" header="0.23622047244094491" footer="0.23622047244094491"/>
  <pageSetup paperSize="9" scale="80" fitToWidth="6" orientation="landscape" r:id="rId1"/>
  <headerFooter>
    <oddFooter>&amp;C&amp;8Página &amp;P/&amp;N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172BB-6F51-47B9-9BE4-FAA8860D8601}">
  <sheetPr codeName="Planilha26" filterMode="1">
    <tabColor rgb="FF92D050"/>
  </sheetPr>
  <dimension ref="A1:AW223"/>
  <sheetViews>
    <sheetView showZeros="0" topLeftCell="X1" zoomScaleNormal="100" workbookViewId="0">
      <selection sqref="A1:A222"/>
    </sheetView>
  </sheetViews>
  <sheetFormatPr defaultColWidth="9" defaultRowHeight="18.75"/>
  <cols>
    <col min="1" max="1" width="9.75" style="746" customWidth="1"/>
    <col min="2" max="2" width="14.625" style="786" customWidth="1"/>
    <col min="3" max="3" width="35.625" style="786" customWidth="1"/>
    <col min="4" max="4" width="3.75" style="1097" hidden="1" customWidth="1"/>
    <col min="5" max="5" width="13.625" style="786" hidden="1" customWidth="1"/>
    <col min="6" max="13" width="12.625" style="746" customWidth="1"/>
    <col min="14" max="14" width="2.625" style="746" customWidth="1"/>
    <col min="15" max="34" width="12.625" style="746" customWidth="1"/>
    <col min="35" max="35" width="12.625" style="948" customWidth="1"/>
    <col min="36" max="36" width="17.375" style="746" customWidth="1"/>
    <col min="37" max="40" width="10.75" style="955" customWidth="1"/>
    <col min="41" max="41" width="15.625" style="955" customWidth="1"/>
    <col min="42" max="48" width="9" style="955"/>
    <col min="49" max="16384" width="9" style="746"/>
  </cols>
  <sheetData>
    <row r="1" spans="1:48" s="739" customFormat="1" ht="60" customHeight="1" thickTop="1" thickBot="1">
      <c r="A1" s="2571" t="s">
        <v>1707</v>
      </c>
      <c r="B1" s="2591" t="s">
        <v>1467</v>
      </c>
      <c r="C1" s="2592"/>
      <c r="D1" s="949"/>
      <c r="E1" s="735" t="s">
        <v>1468</v>
      </c>
      <c r="F1" s="671">
        <f>Dren_Quantificacao!D1</f>
        <v>1</v>
      </c>
      <c r="G1" s="671">
        <f>Dren_Quantificacao!E1</f>
        <v>2</v>
      </c>
      <c r="H1" s="671">
        <f>Dren_Quantificacao!F1</f>
        <v>3</v>
      </c>
      <c r="I1" s="671">
        <f>Dren_Quantificacao!G1</f>
        <v>4</v>
      </c>
      <c r="J1" s="671"/>
      <c r="K1" s="671"/>
      <c r="L1" s="671"/>
      <c r="M1" s="671"/>
      <c r="N1" s="875"/>
      <c r="O1" s="671">
        <f>Dren_Quantificacao!L1</f>
        <v>9</v>
      </c>
      <c r="P1" s="671">
        <f>Dren_Quantificacao!M1</f>
        <v>10</v>
      </c>
      <c r="Q1" s="671">
        <f>Dren_Quantificacao!N1</f>
        <v>11</v>
      </c>
      <c r="R1" s="671">
        <f>Dren_Quantificacao!O1</f>
        <v>12</v>
      </c>
      <c r="S1" s="671" t="str">
        <f>Dren_Quantificacao!BD1</f>
        <v>DRENAGEM EXISTENTE</v>
      </c>
      <c r="T1" s="671" t="str">
        <f>Dren_Quantificacao!BE1</f>
        <v>RAMAL CONCRETO Ø 0,40 (m) SOLO baixa inter.</v>
      </c>
      <c r="U1" s="671" t="str">
        <f>Dren_Quantificacao!BF1</f>
        <v>RAMAL CONCRETO Ø 0,40 (m) SOLO alta inter.</v>
      </c>
      <c r="V1" s="671" t="str">
        <f>Dren_Quantificacao!BG1</f>
        <v>RAMAL CONCRETO Ø 0,60 (m) SOLO baixa inter.</v>
      </c>
      <c r="W1" s="671" t="str">
        <f>Dren_Quantificacao!BH1</f>
        <v>RAMAL CONCRETO Ø 0,60 (m) SOLO alta inter.</v>
      </c>
      <c r="X1" s="671" t="str">
        <f>Dren_Quantificacao!BI1</f>
        <v>RAMAL CONCRETO Ø 0,40 (m) ROCHA</v>
      </c>
      <c r="Y1" s="671" t="str">
        <f>+Dren_Quantificacao!BJ1</f>
        <v>RAMAL CONCRETO Ø 0,60 (m) ROCHA</v>
      </c>
      <c r="Z1" s="671" t="str">
        <f>+Dren_Quantificacao!BK1</f>
        <v>RAMAL PEAD Ø 0,40 (m) SOLO baixa inter.</v>
      </c>
      <c r="AA1" s="671" t="str">
        <f>+Dren_Quantificacao!BL1</f>
        <v>RAMAL PEAD Ø 0,40 (m) SOLO alta inter.</v>
      </c>
      <c r="AB1" s="671" t="str">
        <f>+Dren_Quantificacao!BM1</f>
        <v>RAMAL PEAD Ø 0,50 (m) SOLO baixa inter.</v>
      </c>
      <c r="AC1" s="671" t="str">
        <f>+Dren_Quantificacao!BN1</f>
        <v>RAMAL PEAD Ø 0,50 (m) SOLO alta inter.</v>
      </c>
      <c r="AD1" s="671" t="str">
        <f>+Dren_Quantificacao!BO1</f>
        <v>RAMAL PEAD Ø 0,40 (m) ROCHA</v>
      </c>
      <c r="AE1" s="671" t="str">
        <f>+Dren_Quantificacao!BP1</f>
        <v>RAMAL PEAD Ø 0,50 (m) ROCHA</v>
      </c>
      <c r="AF1" s="671" t="s">
        <v>1536</v>
      </c>
      <c r="AG1" s="671" t="s">
        <v>1536</v>
      </c>
      <c r="AH1" s="671" t="s">
        <v>1536</v>
      </c>
      <c r="AI1" s="876"/>
      <c r="AJ1" s="738" t="s">
        <v>1708</v>
      </c>
      <c r="AK1" s="739">
        <f>SUBTOTAL(3,AJ:AJ)</f>
        <v>31</v>
      </c>
      <c r="AL1" s="950"/>
      <c r="AM1" s="950"/>
      <c r="AN1" s="950"/>
      <c r="AO1" s="950"/>
      <c r="AP1" s="950"/>
      <c r="AQ1" s="950"/>
      <c r="AR1" s="950"/>
      <c r="AS1" s="950"/>
      <c r="AT1" s="950"/>
      <c r="AU1" s="950"/>
      <c r="AV1" s="950"/>
    </row>
    <row r="2" spans="1:48" ht="21.95" customHeight="1" thickTop="1" thickBot="1">
      <c r="A2" s="2572"/>
      <c r="B2" s="2658" t="s">
        <v>1539</v>
      </c>
      <c r="C2" s="2659"/>
      <c r="D2" s="951"/>
      <c r="E2" s="742"/>
      <c r="F2" s="952">
        <f>Dren_Quantificacao!D4</f>
        <v>30</v>
      </c>
      <c r="G2" s="952">
        <f>Dren_Quantificacao!E4</f>
        <v>50</v>
      </c>
      <c r="H2" s="952">
        <f>Dren_Quantificacao!F4</f>
        <v>25</v>
      </c>
      <c r="I2" s="952">
        <f>Dren_Quantificacao!G4</f>
        <v>45</v>
      </c>
      <c r="J2" s="952"/>
      <c r="K2" s="952"/>
      <c r="L2" s="952"/>
      <c r="M2" s="952"/>
      <c r="N2" s="953"/>
      <c r="O2" s="952">
        <f>Dren_Quantificacao!L4</f>
        <v>40</v>
      </c>
      <c r="P2" s="952">
        <f>Dren_Quantificacao!M4</f>
        <v>25</v>
      </c>
      <c r="Q2" s="952">
        <f>Dren_Quantificacao!N4</f>
        <v>45</v>
      </c>
      <c r="R2" s="952">
        <f>Dren_Quantificacao!O4</f>
        <v>45</v>
      </c>
      <c r="S2" s="952">
        <f>Dren_Quantificacao!BD4</f>
        <v>0</v>
      </c>
      <c r="T2" s="952">
        <f>Dren_Quantificacao!BE4</f>
        <v>0</v>
      </c>
      <c r="U2" s="952">
        <f>Dren_Quantificacao!BF4</f>
        <v>0</v>
      </c>
      <c r="V2" s="952">
        <f>Dren_Quantificacao!BG4</f>
        <v>0</v>
      </c>
      <c r="W2" s="952">
        <f>Dren_Quantificacao!BH4</f>
        <v>0</v>
      </c>
      <c r="X2" s="952">
        <f>Dren_Quantificacao!BI4</f>
        <v>0</v>
      </c>
      <c r="Y2" s="952">
        <f>Dren_Quantificacao!BJ4</f>
        <v>0</v>
      </c>
      <c r="Z2" s="952">
        <f>Dren_Quantificacao!BK4</f>
        <v>0</v>
      </c>
      <c r="AA2" s="952">
        <f>Dren_Quantificacao!BL4</f>
        <v>0</v>
      </c>
      <c r="AB2" s="952">
        <f>Dren_Quantificacao!BM4</f>
        <v>0</v>
      </c>
      <c r="AC2" s="952">
        <f>Dren_Quantificacao!BN4</f>
        <v>0</v>
      </c>
      <c r="AD2" s="952">
        <f>Dren_Quantificacao!BO4</f>
        <v>0</v>
      </c>
      <c r="AE2" s="952">
        <f>Dren_Quantificacao!BP4</f>
        <v>0</v>
      </c>
      <c r="AF2" s="952"/>
      <c r="AG2" s="952"/>
      <c r="AH2" s="952"/>
      <c r="AI2" s="954"/>
      <c r="AJ2" s="745">
        <f t="shared" ref="AJ2:AJ27" si="0">SUM(F2:AI2)</f>
        <v>305</v>
      </c>
    </row>
    <row r="3" spans="1:48" s="714" customFormat="1" ht="21.95" customHeight="1">
      <c r="A3" s="2572"/>
      <c r="B3" s="2660" t="s">
        <v>1540</v>
      </c>
      <c r="C3" s="882" t="s">
        <v>1541</v>
      </c>
      <c r="D3" s="956"/>
      <c r="E3" s="957"/>
      <c r="F3" s="772">
        <f>Dren_Quantificacao!D5</f>
        <v>1</v>
      </c>
      <c r="G3" s="772">
        <f>Dren_Quantificacao!E5</f>
        <v>1</v>
      </c>
      <c r="H3" s="772">
        <f>Dren_Quantificacao!F5</f>
        <v>1</v>
      </c>
      <c r="I3" s="772">
        <f>Dren_Quantificacao!G5</f>
        <v>1</v>
      </c>
      <c r="J3" s="772"/>
      <c r="K3" s="772"/>
      <c r="L3" s="772"/>
      <c r="M3" s="772"/>
      <c r="N3" s="885"/>
      <c r="O3" s="772">
        <f>Dren_Quantificacao!L5</f>
        <v>1</v>
      </c>
      <c r="P3" s="772">
        <f>Dren_Quantificacao!M5</f>
        <v>1</v>
      </c>
      <c r="Q3" s="772">
        <f>Dren_Quantificacao!N5</f>
        <v>1</v>
      </c>
      <c r="R3" s="772">
        <f>Dren_Quantificacao!O5</f>
        <v>1</v>
      </c>
      <c r="S3" s="772">
        <f>Dren_Quantificacao!BD5</f>
        <v>0</v>
      </c>
      <c r="T3" s="772">
        <f>Dren_Quantificacao!BE5</f>
        <v>1</v>
      </c>
      <c r="U3" s="772">
        <f>Dren_Quantificacao!BF5</f>
        <v>1</v>
      </c>
      <c r="V3" s="772">
        <f>Dren_Quantificacao!BG5</f>
        <v>1</v>
      </c>
      <c r="W3" s="772">
        <f>Dren_Quantificacao!BH5</f>
        <v>1</v>
      </c>
      <c r="X3" s="772">
        <f>Dren_Quantificacao!BI5</f>
        <v>1</v>
      </c>
      <c r="Y3" s="772">
        <f>Dren_Quantificacao!BJ5</f>
        <v>1</v>
      </c>
      <c r="Z3" s="772">
        <f>Dren_Quantificacao!BK5</f>
        <v>1</v>
      </c>
      <c r="AA3" s="772">
        <f>Dren_Quantificacao!BL5</f>
        <v>1</v>
      </c>
      <c r="AB3" s="772">
        <f>Dren_Quantificacao!BM5</f>
        <v>1</v>
      </c>
      <c r="AC3" s="772">
        <f>Dren_Quantificacao!BN5</f>
        <v>1</v>
      </c>
      <c r="AD3" s="772">
        <f>Dren_Quantificacao!BO5</f>
        <v>1</v>
      </c>
      <c r="AE3" s="772">
        <f>Dren_Quantificacao!BP5</f>
        <v>1</v>
      </c>
      <c r="AF3" s="958"/>
      <c r="AG3" s="958"/>
      <c r="AH3" s="958"/>
      <c r="AI3" s="959"/>
      <c r="AJ3" s="745">
        <f t="shared" si="0"/>
        <v>20</v>
      </c>
      <c r="AK3" s="960"/>
      <c r="AL3" s="960"/>
      <c r="AM3" s="960"/>
      <c r="AN3" s="960"/>
      <c r="AO3" s="960"/>
      <c r="AP3" s="960"/>
      <c r="AQ3" s="960"/>
      <c r="AR3" s="960"/>
      <c r="AS3" s="960"/>
      <c r="AT3" s="960"/>
      <c r="AU3" s="960"/>
      <c r="AV3" s="960"/>
    </row>
    <row r="4" spans="1:48" ht="21.95" customHeight="1" thickBot="1">
      <c r="A4" s="2572"/>
      <c r="B4" s="2661"/>
      <c r="C4" s="747" t="s">
        <v>1542</v>
      </c>
      <c r="D4" s="961"/>
      <c r="E4" s="749"/>
      <c r="F4" s="834">
        <f>Dren_Quantificacao!D6</f>
        <v>0.6</v>
      </c>
      <c r="G4" s="834">
        <f>Dren_Quantificacao!E6</f>
        <v>0.6</v>
      </c>
      <c r="H4" s="834">
        <f>Dren_Quantificacao!F6</f>
        <v>0.6</v>
      </c>
      <c r="I4" s="834">
        <f>Dren_Quantificacao!G6</f>
        <v>0.6</v>
      </c>
      <c r="J4" s="834"/>
      <c r="K4" s="834"/>
      <c r="L4" s="834"/>
      <c r="M4" s="834"/>
      <c r="N4" s="888"/>
      <c r="O4" s="834">
        <f>Dren_Quantificacao!L6</f>
        <v>0.6</v>
      </c>
      <c r="P4" s="834">
        <f>Dren_Quantificacao!M6</f>
        <v>0.6</v>
      </c>
      <c r="Q4" s="834">
        <f>Dren_Quantificacao!N6</f>
        <v>0.6</v>
      </c>
      <c r="R4" s="834">
        <f>Dren_Quantificacao!O6</f>
        <v>0.6</v>
      </c>
      <c r="S4" s="834">
        <f>Dren_Quantificacao!BD6</f>
        <v>0</v>
      </c>
      <c r="T4" s="834">
        <f>Dren_Quantificacao!BE6</f>
        <v>0.4</v>
      </c>
      <c r="U4" s="834">
        <f>Dren_Quantificacao!BF6</f>
        <v>0.4</v>
      </c>
      <c r="V4" s="834">
        <f>Dren_Quantificacao!BG6</f>
        <v>0.6</v>
      </c>
      <c r="W4" s="834">
        <f>Dren_Quantificacao!BH6</f>
        <v>0.6</v>
      </c>
      <c r="X4" s="834">
        <f>Dren_Quantificacao!BI6</f>
        <v>0.4</v>
      </c>
      <c r="Y4" s="834">
        <f>Dren_Quantificacao!BJ6</f>
        <v>0.6</v>
      </c>
      <c r="Z4" s="834">
        <f>Dren_Quantificacao!BK6</f>
        <v>0.4</v>
      </c>
      <c r="AA4" s="834">
        <f>Dren_Quantificacao!BL6</f>
        <v>0.4</v>
      </c>
      <c r="AB4" s="834">
        <f>Dren_Quantificacao!BM6</f>
        <v>0.5</v>
      </c>
      <c r="AC4" s="834">
        <f>Dren_Quantificacao!BN6</f>
        <v>0.5</v>
      </c>
      <c r="AD4" s="834">
        <f>Dren_Quantificacao!BO6</f>
        <v>0.4</v>
      </c>
      <c r="AE4" s="834">
        <f>Dren_Quantificacao!BP6</f>
        <v>0.5</v>
      </c>
      <c r="AF4" s="816"/>
      <c r="AG4" s="816"/>
      <c r="AH4" s="816"/>
      <c r="AI4" s="962"/>
      <c r="AJ4" s="745">
        <f t="shared" si="0"/>
        <v>10.5</v>
      </c>
    </row>
    <row r="5" spans="1:48" ht="21.95" hidden="1" customHeight="1" thickBot="1">
      <c r="A5" s="2572"/>
      <c r="B5" s="2662"/>
      <c r="C5" s="754" t="s">
        <v>1709</v>
      </c>
      <c r="D5" s="963"/>
      <c r="E5" s="756"/>
      <c r="F5" s="890" t="str">
        <f>Dren_Quantificacao!D10</f>
        <v>PS-1</v>
      </c>
      <c r="G5" s="890" t="str">
        <f>Dren_Quantificacao!E10</f>
        <v>PS-1</v>
      </c>
      <c r="H5" s="890" t="str">
        <f>Dren_Quantificacao!F10</f>
        <v>PS-1</v>
      </c>
      <c r="I5" s="890" t="str">
        <f>Dren_Quantificacao!G10</f>
        <v>PS-1</v>
      </c>
      <c r="J5" s="890"/>
      <c r="K5" s="890"/>
      <c r="L5" s="890"/>
      <c r="M5" s="890"/>
      <c r="N5" s="964"/>
      <c r="O5" s="890" t="str">
        <f>Dren_Quantificacao!L10</f>
        <v>PS-1</v>
      </c>
      <c r="P5" s="890" t="str">
        <f>Dren_Quantificacao!M10</f>
        <v>PS-1</v>
      </c>
      <c r="Q5" s="890" t="str">
        <f>Dren_Quantificacao!N10</f>
        <v>PS-1</v>
      </c>
      <c r="R5" s="890" t="str">
        <f>Dren_Quantificacao!O10</f>
        <v>PS-1</v>
      </c>
      <c r="S5" s="890">
        <f>Dren_Quantificacao!BD10</f>
        <v>0</v>
      </c>
      <c r="T5" s="890" t="str">
        <f>Dren_Quantificacao!BE10</f>
        <v>PS-1</v>
      </c>
      <c r="U5" s="890" t="str">
        <f>Dren_Quantificacao!BF10</f>
        <v>PS-1</v>
      </c>
      <c r="V5" s="890" t="str">
        <f>Dren_Quantificacao!BG10</f>
        <v>PS-1</v>
      </c>
      <c r="W5" s="890" t="str">
        <f>Dren_Quantificacao!BH10</f>
        <v>PS-1</v>
      </c>
      <c r="X5" s="890" t="str">
        <f>Dren_Quantificacao!BI10</f>
        <v>PS-1</v>
      </c>
      <c r="Y5" s="890" t="str">
        <f>Dren_Quantificacao!BJ10</f>
        <v>PS-1</v>
      </c>
      <c r="Z5" s="890" t="str">
        <f>Dren_Quantificacao!BK10</f>
        <v>PEAD</v>
      </c>
      <c r="AA5" s="890" t="str">
        <f>Dren_Quantificacao!BL10</f>
        <v>PEAD</v>
      </c>
      <c r="AB5" s="890" t="str">
        <f>Dren_Quantificacao!BM10</f>
        <v>PEAD</v>
      </c>
      <c r="AC5" s="890" t="str">
        <f>Dren_Quantificacao!BN10</f>
        <v>PEAD</v>
      </c>
      <c r="AD5" s="890" t="str">
        <f>Dren_Quantificacao!BO10</f>
        <v>PEAD</v>
      </c>
      <c r="AE5" s="890" t="str">
        <f>Dren_Quantificacao!BP10</f>
        <v>PEAD</v>
      </c>
      <c r="AF5" s="965"/>
      <c r="AG5" s="965"/>
      <c r="AH5" s="965"/>
      <c r="AI5" s="966"/>
      <c r="AJ5" s="745">
        <f t="shared" si="0"/>
        <v>0</v>
      </c>
    </row>
    <row r="6" spans="1:48" ht="21.95" hidden="1" customHeight="1">
      <c r="A6" s="2572"/>
      <c r="B6" s="2663" t="s">
        <v>1710</v>
      </c>
      <c r="C6" s="2664"/>
      <c r="D6" s="961"/>
      <c r="E6" s="749"/>
      <c r="F6" s="834">
        <f>Dren_Quantificacao!D8</f>
        <v>0</v>
      </c>
      <c r="G6" s="834">
        <f>Dren_Quantificacao!E8</f>
        <v>0</v>
      </c>
      <c r="H6" s="834">
        <f>Dren_Quantificacao!F8</f>
        <v>0</v>
      </c>
      <c r="I6" s="834">
        <f>Dren_Quantificacao!G8</f>
        <v>0</v>
      </c>
      <c r="J6" s="834"/>
      <c r="K6" s="834"/>
      <c r="L6" s="834"/>
      <c r="M6" s="834"/>
      <c r="N6" s="888"/>
      <c r="O6" s="834">
        <f>Dren_Quantificacao!L8</f>
        <v>0</v>
      </c>
      <c r="P6" s="834">
        <f>Dren_Quantificacao!M8</f>
        <v>0</v>
      </c>
      <c r="Q6" s="834">
        <f>Dren_Quantificacao!N8</f>
        <v>0</v>
      </c>
      <c r="R6" s="834">
        <f>Dren_Quantificacao!O8</f>
        <v>0</v>
      </c>
      <c r="S6" s="834">
        <f>Dren_Quantificacao!BD8</f>
        <v>0</v>
      </c>
      <c r="T6" s="834">
        <f>Dren_Quantificacao!BE8</f>
        <v>0</v>
      </c>
      <c r="U6" s="834">
        <f>Dren_Quantificacao!BF8</f>
        <v>0</v>
      </c>
      <c r="V6" s="834">
        <f>Dren_Quantificacao!BG8</f>
        <v>0</v>
      </c>
      <c r="W6" s="834">
        <f>Dren_Quantificacao!BH8</f>
        <v>0</v>
      </c>
      <c r="X6" s="834">
        <f>Dren_Quantificacao!BI8</f>
        <v>0</v>
      </c>
      <c r="Y6" s="834">
        <f>Dren_Quantificacao!BJ8</f>
        <v>0</v>
      </c>
      <c r="Z6" s="834">
        <f>Dren_Quantificacao!BK8</f>
        <v>0</v>
      </c>
      <c r="AA6" s="834">
        <f>Dren_Quantificacao!BL8</f>
        <v>0</v>
      </c>
      <c r="AB6" s="834">
        <f>Dren_Quantificacao!BM8</f>
        <v>0</v>
      </c>
      <c r="AC6" s="834">
        <f>Dren_Quantificacao!BN8</f>
        <v>0</v>
      </c>
      <c r="AD6" s="834">
        <f>Dren_Quantificacao!BO8</f>
        <v>0</v>
      </c>
      <c r="AE6" s="834">
        <f>Dren_Quantificacao!BP8</f>
        <v>0</v>
      </c>
      <c r="AF6" s="856"/>
      <c r="AG6" s="856"/>
      <c r="AH6" s="856"/>
      <c r="AI6" s="967"/>
      <c r="AJ6" s="745">
        <f t="shared" si="0"/>
        <v>0</v>
      </c>
    </row>
    <row r="7" spans="1:48" ht="21.95" hidden="1" customHeight="1" thickBot="1">
      <c r="A7" s="2572"/>
      <c r="B7" s="2665" t="s">
        <v>1711</v>
      </c>
      <c r="C7" s="2666"/>
      <c r="D7" s="963"/>
      <c r="E7" s="756"/>
      <c r="F7" s="891">
        <f>Dren_Quantificacao!D9</f>
        <v>0</v>
      </c>
      <c r="G7" s="891">
        <f>Dren_Quantificacao!E9</f>
        <v>0</v>
      </c>
      <c r="H7" s="891">
        <f>Dren_Quantificacao!F9</f>
        <v>0</v>
      </c>
      <c r="I7" s="891">
        <f>Dren_Quantificacao!G9</f>
        <v>0</v>
      </c>
      <c r="J7" s="891"/>
      <c r="K7" s="891"/>
      <c r="L7" s="891"/>
      <c r="M7" s="891"/>
      <c r="N7" s="892"/>
      <c r="O7" s="891">
        <f>Dren_Quantificacao!L9</f>
        <v>0</v>
      </c>
      <c r="P7" s="891">
        <f>Dren_Quantificacao!M9</f>
        <v>0</v>
      </c>
      <c r="Q7" s="891">
        <f>Dren_Quantificacao!N9</f>
        <v>0</v>
      </c>
      <c r="R7" s="891">
        <f>Dren_Quantificacao!O9</f>
        <v>0</v>
      </c>
      <c r="S7" s="891">
        <f>Dren_Quantificacao!BD9</f>
        <v>0</v>
      </c>
      <c r="T7" s="891">
        <f>Dren_Quantificacao!BE9</f>
        <v>0</v>
      </c>
      <c r="U7" s="891">
        <f>Dren_Quantificacao!BF9</f>
        <v>0</v>
      </c>
      <c r="V7" s="891">
        <f>Dren_Quantificacao!BG9</f>
        <v>0</v>
      </c>
      <c r="W7" s="891">
        <f>Dren_Quantificacao!BH9</f>
        <v>0</v>
      </c>
      <c r="X7" s="891">
        <f>Dren_Quantificacao!BI9</f>
        <v>0</v>
      </c>
      <c r="Y7" s="891">
        <f>Dren_Quantificacao!BJ9</f>
        <v>0</v>
      </c>
      <c r="Z7" s="891">
        <f>Dren_Quantificacao!BK9</f>
        <v>0</v>
      </c>
      <c r="AA7" s="891">
        <f>Dren_Quantificacao!BL9</f>
        <v>0</v>
      </c>
      <c r="AB7" s="891">
        <f>Dren_Quantificacao!BM9</f>
        <v>0</v>
      </c>
      <c r="AC7" s="891">
        <f>Dren_Quantificacao!BN9</f>
        <v>0</v>
      </c>
      <c r="AD7" s="891">
        <f>Dren_Quantificacao!BO9</f>
        <v>0</v>
      </c>
      <c r="AE7" s="891">
        <f>Dren_Quantificacao!BP9</f>
        <v>0</v>
      </c>
      <c r="AF7" s="968"/>
      <c r="AG7" s="968"/>
      <c r="AH7" s="968"/>
      <c r="AI7" s="969"/>
      <c r="AJ7" s="745">
        <f t="shared" si="0"/>
        <v>0</v>
      </c>
    </row>
    <row r="8" spans="1:48" s="795" customFormat="1" ht="21.95" customHeight="1">
      <c r="A8" s="2572"/>
      <c r="B8" s="2667" t="s">
        <v>1712</v>
      </c>
      <c r="C8" s="970" t="s">
        <v>1713</v>
      </c>
      <c r="D8" s="971"/>
      <c r="E8" s="972"/>
      <c r="F8" s="743">
        <f>IF(F2=0,0,Dren_Quantificacao!D11)</f>
        <v>2.1000000000000227</v>
      </c>
      <c r="G8" s="743">
        <f>IF(G2=0,0,Dren_Quantificacao!E11)</f>
        <v>2.1100000000000136</v>
      </c>
      <c r="H8" s="743">
        <f>IF(H2=0,0,Dren_Quantificacao!F11)</f>
        <v>2.1000000000000227</v>
      </c>
      <c r="I8" s="743">
        <f>IF(I2=0,0,Dren_Quantificacao!G11)</f>
        <v>2.1100000000000136</v>
      </c>
      <c r="J8" s="743"/>
      <c r="K8" s="743"/>
      <c r="L8" s="743"/>
      <c r="M8" s="743"/>
      <c r="N8" s="973"/>
      <c r="O8" s="743">
        <f>IF(O2=0,0,Dren_Quantificacao!L11)</f>
        <v>2.1000000000000227</v>
      </c>
      <c r="P8" s="743">
        <f>IF(P2=0,0,Dren_Quantificacao!M11)</f>
        <v>2.1000000000000796</v>
      </c>
      <c r="Q8" s="743">
        <f>IF(Q2=0,0,Dren_Quantificacao!N11)</f>
        <v>2.1000000000000227</v>
      </c>
      <c r="R8" s="743">
        <f>IF(R2=0,0,Dren_Quantificacao!O11)</f>
        <v>2.1050000000000182</v>
      </c>
      <c r="S8" s="743">
        <f>IF(S2=0,0,Dren_Quantificacao!BD11)</f>
        <v>0</v>
      </c>
      <c r="T8" s="743">
        <f>IF(T2=0,0,Dren_Quantificacao!BE11)</f>
        <v>0</v>
      </c>
      <c r="U8" s="743">
        <f>IF(U2=0,0,Dren_Quantificacao!BF11)</f>
        <v>0</v>
      </c>
      <c r="V8" s="743">
        <f>IF(V2=0,0,Dren_Quantificacao!BG11)</f>
        <v>0</v>
      </c>
      <c r="W8" s="743">
        <f>IF(W2=0,0,Dren_Quantificacao!BH11)</f>
        <v>0</v>
      </c>
      <c r="X8" s="743">
        <f>IF(X2=0,0,Dren_Quantificacao!BI11)</f>
        <v>0</v>
      </c>
      <c r="Y8" s="743">
        <f>IF(Y2=0,0,Dren_Quantificacao!BJ11)</f>
        <v>0</v>
      </c>
      <c r="Z8" s="743">
        <f>IF(Z2=0,0,Dren_Quantificacao!BK11)</f>
        <v>0</v>
      </c>
      <c r="AA8" s="743">
        <f>IF(AA2=0,0,Dren_Quantificacao!BL11)</f>
        <v>0</v>
      </c>
      <c r="AB8" s="743">
        <f>IF(AB2=0,0,Dren_Quantificacao!BM11)</f>
        <v>0</v>
      </c>
      <c r="AC8" s="743">
        <f>IF(AC2=0,0,Dren_Quantificacao!BN11)</f>
        <v>0</v>
      </c>
      <c r="AD8" s="743">
        <f>IF(AD2=0,0,Dren_Quantificacao!BO11)</f>
        <v>0</v>
      </c>
      <c r="AE8" s="743">
        <f>IF(AE2=0,0,Dren_Quantificacao!BP11)</f>
        <v>0</v>
      </c>
      <c r="AF8" s="974"/>
      <c r="AG8" s="974"/>
      <c r="AH8" s="974"/>
      <c r="AI8" s="975"/>
      <c r="AJ8" s="745">
        <f t="shared" si="0"/>
        <v>16.825000000000216</v>
      </c>
      <c r="AK8" s="976"/>
      <c r="AL8" s="976"/>
      <c r="AM8" s="976"/>
      <c r="AN8" s="976"/>
      <c r="AO8" s="976"/>
      <c r="AP8" s="976"/>
      <c r="AQ8" s="976"/>
      <c r="AR8" s="976"/>
      <c r="AS8" s="976"/>
      <c r="AT8" s="976"/>
      <c r="AU8" s="976"/>
      <c r="AV8" s="976"/>
    </row>
    <row r="9" spans="1:48" s="795" customFormat="1" ht="21.95" customHeight="1">
      <c r="A9" s="2572"/>
      <c r="B9" s="2668"/>
      <c r="C9" s="977" t="s">
        <v>1714</v>
      </c>
      <c r="D9" s="978"/>
      <c r="E9" s="979"/>
      <c r="F9" s="752">
        <f>IF(F8=0,0,Dren_Quantificacao!D12)</f>
        <v>2.1100000000000136</v>
      </c>
      <c r="G9" s="752">
        <f>IF(G8=0,0,Dren_Quantificacao!E12)</f>
        <v>2.1100000000000136</v>
      </c>
      <c r="H9" s="752">
        <f>IF(H8=0,0,Dren_Quantificacao!F12)</f>
        <v>1.9500000000000455</v>
      </c>
      <c r="I9" s="752">
        <f>IF(I8=0,0,Dren_Quantificacao!G12)</f>
        <v>2.0949999999999704</v>
      </c>
      <c r="J9" s="752"/>
      <c r="K9" s="752"/>
      <c r="L9" s="752"/>
      <c r="M9" s="752"/>
      <c r="N9" s="980"/>
      <c r="O9" s="752">
        <f>IF(O8=0,0,Dren_Quantificacao!L12)</f>
        <v>2.1000000000000796</v>
      </c>
      <c r="P9" s="752">
        <f>IF(P8=0,0,Dren_Quantificacao!M12)</f>
        <v>2.1000000000000796</v>
      </c>
      <c r="Q9" s="752">
        <f>IF(Q8=0,0,Dren_Quantificacao!N12)</f>
        <v>2.1050000000000182</v>
      </c>
      <c r="R9" s="752">
        <f>IF(R8=0,0,Dren_Quantificacao!O12)</f>
        <v>2.0849999999999795</v>
      </c>
      <c r="S9" s="752">
        <f>IF(S8=0,0,Dren_Quantificacao!BD12)</f>
        <v>0</v>
      </c>
      <c r="T9" s="752">
        <f>IF(T8=0,0,Dren_Quantificacao!BE12)</f>
        <v>0</v>
      </c>
      <c r="U9" s="752">
        <f>IF(U8=0,0,Dren_Quantificacao!BF12)</f>
        <v>0</v>
      </c>
      <c r="V9" s="752">
        <f>IF(V8=0,0,Dren_Quantificacao!BG12)</f>
        <v>0</v>
      </c>
      <c r="W9" s="752">
        <f>IF(W8=0,0,Dren_Quantificacao!BH12)</f>
        <v>0</v>
      </c>
      <c r="X9" s="752">
        <f>IF(X8=0,0,Dren_Quantificacao!BI12)</f>
        <v>0</v>
      </c>
      <c r="Y9" s="752">
        <f>IF(Y8=0,0,Dren_Quantificacao!BJ12)</f>
        <v>0</v>
      </c>
      <c r="Z9" s="752">
        <f>IF(Z8=0,0,Dren_Quantificacao!BK12)</f>
        <v>0</v>
      </c>
      <c r="AA9" s="752">
        <f>IF(AA8=0,0,Dren_Quantificacao!BL12)</f>
        <v>0</v>
      </c>
      <c r="AB9" s="752">
        <f>IF(AB8=0,0,Dren_Quantificacao!BM12)</f>
        <v>0</v>
      </c>
      <c r="AC9" s="752">
        <f>IF(AC8=0,0,Dren_Quantificacao!BN12)</f>
        <v>0</v>
      </c>
      <c r="AD9" s="752">
        <f>IF(AD8=0,0,Dren_Quantificacao!BO12)</f>
        <v>0</v>
      </c>
      <c r="AE9" s="752">
        <f>IF(AE8=0,0,Dren_Quantificacao!BP12)</f>
        <v>0</v>
      </c>
      <c r="AF9" s="926"/>
      <c r="AG9" s="926"/>
      <c r="AH9" s="926"/>
      <c r="AI9" s="981"/>
      <c r="AJ9" s="745">
        <f t="shared" si="0"/>
        <v>16.6550000000002</v>
      </c>
      <c r="AK9" s="976"/>
      <c r="AL9" s="976"/>
      <c r="AM9" s="976"/>
      <c r="AN9" s="976"/>
      <c r="AO9" s="976"/>
      <c r="AP9" s="976"/>
      <c r="AQ9" s="976"/>
      <c r="AR9" s="976"/>
      <c r="AS9" s="976"/>
      <c r="AT9" s="976"/>
      <c r="AU9" s="976"/>
      <c r="AV9" s="976"/>
    </row>
    <row r="10" spans="1:48" s="795" customFormat="1" ht="21.95" customHeight="1" thickBot="1">
      <c r="A10" s="2572"/>
      <c r="B10" s="2669"/>
      <c r="C10" s="982" t="s">
        <v>1715</v>
      </c>
      <c r="D10" s="983"/>
      <c r="E10" s="984"/>
      <c r="F10" s="761">
        <f t="shared" ref="F10:R10" si="1">SUM(F8:F9)/2</f>
        <v>2.1050000000000182</v>
      </c>
      <c r="G10" s="761">
        <f t="shared" si="1"/>
        <v>2.1100000000000136</v>
      </c>
      <c r="H10" s="761">
        <f t="shared" si="1"/>
        <v>2.0250000000000341</v>
      </c>
      <c r="I10" s="761">
        <f t="shared" si="1"/>
        <v>2.102499999999992</v>
      </c>
      <c r="J10" s="761"/>
      <c r="K10" s="761"/>
      <c r="L10" s="761"/>
      <c r="M10" s="761"/>
      <c r="N10" s="985"/>
      <c r="O10" s="761">
        <f t="shared" si="1"/>
        <v>2.1000000000000512</v>
      </c>
      <c r="P10" s="761">
        <f t="shared" si="1"/>
        <v>2.1000000000000796</v>
      </c>
      <c r="Q10" s="761">
        <f t="shared" si="1"/>
        <v>2.1025000000000205</v>
      </c>
      <c r="R10" s="761">
        <f t="shared" si="1"/>
        <v>2.0949999999999989</v>
      </c>
      <c r="S10" s="761">
        <f>SUM(S8:S9)/2</f>
        <v>0</v>
      </c>
      <c r="T10" s="761">
        <f>SUM(T8:T9)/2</f>
        <v>0</v>
      </c>
      <c r="U10" s="761">
        <f t="shared" ref="U10:AE10" si="2">SUM(U8:U9)/2</f>
        <v>0</v>
      </c>
      <c r="V10" s="761">
        <f>SUM(V8:V9)/2</f>
        <v>0</v>
      </c>
      <c r="W10" s="761">
        <f t="shared" si="2"/>
        <v>0</v>
      </c>
      <c r="X10" s="761">
        <f t="shared" si="2"/>
        <v>0</v>
      </c>
      <c r="Y10" s="761">
        <f t="shared" si="2"/>
        <v>0</v>
      </c>
      <c r="Z10" s="761">
        <f t="shared" si="2"/>
        <v>0</v>
      </c>
      <c r="AA10" s="761">
        <f t="shared" si="2"/>
        <v>0</v>
      </c>
      <c r="AB10" s="761">
        <f t="shared" si="2"/>
        <v>0</v>
      </c>
      <c r="AC10" s="761">
        <f t="shared" si="2"/>
        <v>0</v>
      </c>
      <c r="AD10" s="761">
        <f t="shared" si="2"/>
        <v>0</v>
      </c>
      <c r="AE10" s="761">
        <f t="shared" si="2"/>
        <v>0</v>
      </c>
      <c r="AF10" s="986"/>
      <c r="AG10" s="986"/>
      <c r="AH10" s="986"/>
      <c r="AI10" s="987"/>
      <c r="AJ10" s="745">
        <f t="shared" si="0"/>
        <v>16.740000000000208</v>
      </c>
      <c r="AK10" s="976"/>
      <c r="AL10" s="976"/>
      <c r="AM10" s="976"/>
      <c r="AN10" s="976"/>
      <c r="AO10" s="976"/>
      <c r="AP10" s="976"/>
      <c r="AQ10" s="976"/>
      <c r="AR10" s="976"/>
      <c r="AS10" s="976"/>
      <c r="AT10" s="976"/>
      <c r="AU10" s="976"/>
      <c r="AV10" s="976"/>
    </row>
    <row r="11" spans="1:48" s="795" customFormat="1" ht="21.95" customHeight="1">
      <c r="A11" s="2572"/>
      <c r="B11" s="2633" t="s">
        <v>1716</v>
      </c>
      <c r="C11" s="970" t="s">
        <v>1717</v>
      </c>
      <c r="D11" s="971"/>
      <c r="E11" s="972"/>
      <c r="F11" s="743">
        <f t="shared" ref="F11:R11" si="3">IF(F4+F6=0,0,F10+F12)</f>
        <v>2.2310000000000181</v>
      </c>
      <c r="G11" s="743">
        <f t="shared" si="3"/>
        <v>2.2360000000000135</v>
      </c>
      <c r="H11" s="743">
        <f t="shared" si="3"/>
        <v>2.151000000000034</v>
      </c>
      <c r="I11" s="743">
        <f t="shared" si="3"/>
        <v>2.2284999999999919</v>
      </c>
      <c r="J11" s="743"/>
      <c r="K11" s="743"/>
      <c r="L11" s="743"/>
      <c r="M11" s="743"/>
      <c r="N11" s="973"/>
      <c r="O11" s="743">
        <f t="shared" si="3"/>
        <v>2.226000000000051</v>
      </c>
      <c r="P11" s="743">
        <f t="shared" si="3"/>
        <v>2.2260000000000795</v>
      </c>
      <c r="Q11" s="743">
        <f t="shared" si="3"/>
        <v>2.2285000000000204</v>
      </c>
      <c r="R11" s="743">
        <f t="shared" si="3"/>
        <v>2.2209999999999988</v>
      </c>
      <c r="S11" s="743">
        <f>IF(S4+S6=0,0,S10+S12)</f>
        <v>0</v>
      </c>
      <c r="T11" s="743">
        <f>IF(T4+T6=0,0,T10+T12)</f>
        <v>8.4000000000000005E-2</v>
      </c>
      <c r="U11" s="743">
        <f t="shared" ref="U11:AE11" si="4">IF(U4+U6=0,0,U10+U12)</f>
        <v>8.4000000000000005E-2</v>
      </c>
      <c r="V11" s="743">
        <f>IF(V4+V6=0,0,V10+V12)</f>
        <v>0.126</v>
      </c>
      <c r="W11" s="743">
        <f t="shared" si="4"/>
        <v>0.126</v>
      </c>
      <c r="X11" s="743">
        <f t="shared" si="4"/>
        <v>8.4000000000000005E-2</v>
      </c>
      <c r="Y11" s="743">
        <f t="shared" si="4"/>
        <v>0.126</v>
      </c>
      <c r="Z11" s="743">
        <f t="shared" si="4"/>
        <v>8.4000000000000005E-2</v>
      </c>
      <c r="AA11" s="743">
        <f t="shared" si="4"/>
        <v>8.4000000000000005E-2</v>
      </c>
      <c r="AB11" s="743">
        <f t="shared" si="4"/>
        <v>0.105</v>
      </c>
      <c r="AC11" s="743">
        <f t="shared" si="4"/>
        <v>0.105</v>
      </c>
      <c r="AD11" s="743">
        <f t="shared" si="4"/>
        <v>8.4000000000000005E-2</v>
      </c>
      <c r="AE11" s="743">
        <f t="shared" si="4"/>
        <v>0.105</v>
      </c>
      <c r="AF11" s="743"/>
      <c r="AG11" s="743"/>
      <c r="AH11" s="743"/>
      <c r="AI11" s="975"/>
      <c r="AJ11" s="745">
        <f t="shared" si="0"/>
        <v>18.94500000000021</v>
      </c>
      <c r="AK11" s="976"/>
      <c r="AL11" s="976"/>
      <c r="AM11" s="976"/>
      <c r="AN11" s="976"/>
      <c r="AO11" s="976"/>
      <c r="AP11" s="976"/>
      <c r="AQ11" s="976"/>
      <c r="AR11" s="976"/>
      <c r="AS11" s="976"/>
      <c r="AT11" s="976"/>
      <c r="AU11" s="976"/>
      <c r="AV11" s="976"/>
    </row>
    <row r="12" spans="1:48" s="795" customFormat="1" ht="21.95" customHeight="1">
      <c r="A12" s="2572"/>
      <c r="B12" s="2634"/>
      <c r="C12" s="977" t="s">
        <v>1718</v>
      </c>
      <c r="D12" s="978"/>
      <c r="E12" s="979"/>
      <c r="F12" s="752">
        <f t="shared" ref="F12:R12" si="5">IF(F4+F6=0,0,IF(F5="P",0,F4*0.21+F7*0.1))</f>
        <v>0.126</v>
      </c>
      <c r="G12" s="752">
        <f t="shared" si="5"/>
        <v>0.126</v>
      </c>
      <c r="H12" s="752">
        <f t="shared" si="5"/>
        <v>0.126</v>
      </c>
      <c r="I12" s="752">
        <f t="shared" si="5"/>
        <v>0.126</v>
      </c>
      <c r="J12" s="752"/>
      <c r="K12" s="752"/>
      <c r="L12" s="752"/>
      <c r="M12" s="752"/>
      <c r="N12" s="980"/>
      <c r="O12" s="752">
        <f t="shared" si="5"/>
        <v>0.126</v>
      </c>
      <c r="P12" s="752">
        <f t="shared" si="5"/>
        <v>0.126</v>
      </c>
      <c r="Q12" s="752">
        <f t="shared" si="5"/>
        <v>0.126</v>
      </c>
      <c r="R12" s="752">
        <f t="shared" si="5"/>
        <v>0.126</v>
      </c>
      <c r="S12" s="752">
        <f>IF(S4+S6=0,0,IF(S5="P",0,S4*0.21+S7*0.1))</f>
        <v>0</v>
      </c>
      <c r="T12" s="752">
        <f>IF(T4+T6=0,0,IF(T5="P",0,T4*0.21+T7*0.1))</f>
        <v>8.4000000000000005E-2</v>
      </c>
      <c r="U12" s="752">
        <f t="shared" ref="U12:AE12" si="6">IF(U4+U6=0,0,IF(U5="P",0,U4*0.21+U7*0.1))</f>
        <v>8.4000000000000005E-2</v>
      </c>
      <c r="V12" s="752">
        <f>IF(V4+V6=0,0,IF(V5="P",0,V4*0.21+V7*0.1))</f>
        <v>0.126</v>
      </c>
      <c r="W12" s="752">
        <f t="shared" si="6"/>
        <v>0.126</v>
      </c>
      <c r="X12" s="752">
        <f t="shared" si="6"/>
        <v>8.4000000000000005E-2</v>
      </c>
      <c r="Y12" s="752">
        <f t="shared" si="6"/>
        <v>0.126</v>
      </c>
      <c r="Z12" s="752">
        <f t="shared" si="6"/>
        <v>8.4000000000000005E-2</v>
      </c>
      <c r="AA12" s="752">
        <f t="shared" si="6"/>
        <v>8.4000000000000005E-2</v>
      </c>
      <c r="AB12" s="752">
        <f t="shared" si="6"/>
        <v>0.105</v>
      </c>
      <c r="AC12" s="752">
        <f t="shared" si="6"/>
        <v>0.105</v>
      </c>
      <c r="AD12" s="752">
        <f t="shared" si="6"/>
        <v>8.4000000000000005E-2</v>
      </c>
      <c r="AE12" s="752">
        <f t="shared" si="6"/>
        <v>0.105</v>
      </c>
      <c r="AF12" s="926"/>
      <c r="AG12" s="926"/>
      <c r="AH12" s="926"/>
      <c r="AI12" s="981"/>
      <c r="AJ12" s="745">
        <f t="shared" si="0"/>
        <v>2.2050000000000001</v>
      </c>
      <c r="AK12" s="976"/>
      <c r="AL12" s="976"/>
      <c r="AM12" s="976"/>
      <c r="AN12" s="976"/>
      <c r="AO12" s="976"/>
      <c r="AP12" s="976"/>
      <c r="AQ12" s="976"/>
      <c r="AR12" s="976"/>
      <c r="AS12" s="976"/>
      <c r="AT12" s="976"/>
      <c r="AU12" s="976"/>
      <c r="AV12" s="976"/>
    </row>
    <row r="13" spans="1:48" s="795" customFormat="1" ht="21.95" customHeight="1">
      <c r="A13" s="2572"/>
      <c r="B13" s="2634"/>
      <c r="C13" s="977" t="s">
        <v>1719</v>
      </c>
      <c r="D13" s="978"/>
      <c r="E13" s="979"/>
      <c r="F13" s="752">
        <f t="shared" ref="F13:R13" si="7">F11-F14</f>
        <v>2.2310000000000181</v>
      </c>
      <c r="G13" s="752">
        <f t="shared" si="7"/>
        <v>2.2360000000000135</v>
      </c>
      <c r="H13" s="752">
        <f t="shared" si="7"/>
        <v>2.151000000000034</v>
      </c>
      <c r="I13" s="752">
        <f t="shared" si="7"/>
        <v>2.2284999999999919</v>
      </c>
      <c r="J13" s="752"/>
      <c r="K13" s="752"/>
      <c r="L13" s="752"/>
      <c r="M13" s="752"/>
      <c r="N13" s="980"/>
      <c r="O13" s="752">
        <f t="shared" si="7"/>
        <v>2.226000000000051</v>
      </c>
      <c r="P13" s="752">
        <f t="shared" si="7"/>
        <v>2.2260000000000795</v>
      </c>
      <c r="Q13" s="752">
        <f t="shared" si="7"/>
        <v>2.2285000000000204</v>
      </c>
      <c r="R13" s="752">
        <f t="shared" si="7"/>
        <v>2.2209999999999988</v>
      </c>
      <c r="S13" s="752">
        <f>S11-S14</f>
        <v>0</v>
      </c>
      <c r="T13" s="752">
        <f>T11-T14</f>
        <v>8.4000000000000005E-2</v>
      </c>
      <c r="U13" s="752">
        <f t="shared" ref="U13:AE13" si="8">U11-U14</f>
        <v>8.4000000000000005E-2</v>
      </c>
      <c r="V13" s="752">
        <f>V11-V14</f>
        <v>0.126</v>
      </c>
      <c r="W13" s="752">
        <f t="shared" si="8"/>
        <v>0.126</v>
      </c>
      <c r="X13" s="752">
        <f t="shared" si="8"/>
        <v>8.4000000000000005E-2</v>
      </c>
      <c r="Y13" s="752">
        <f t="shared" si="8"/>
        <v>0.126</v>
      </c>
      <c r="Z13" s="752">
        <f t="shared" si="8"/>
        <v>8.4000000000000005E-2</v>
      </c>
      <c r="AA13" s="752">
        <f t="shared" si="8"/>
        <v>8.4000000000000005E-2</v>
      </c>
      <c r="AB13" s="752">
        <f t="shared" si="8"/>
        <v>0.105</v>
      </c>
      <c r="AC13" s="752">
        <f t="shared" si="8"/>
        <v>0.105</v>
      </c>
      <c r="AD13" s="752">
        <f t="shared" si="8"/>
        <v>8.4000000000000005E-2</v>
      </c>
      <c r="AE13" s="752">
        <f t="shared" si="8"/>
        <v>0.105</v>
      </c>
      <c r="AF13" s="926"/>
      <c r="AG13" s="926"/>
      <c r="AH13" s="926"/>
      <c r="AI13" s="981"/>
      <c r="AJ13" s="745">
        <f t="shared" si="0"/>
        <v>18.94500000000021</v>
      </c>
      <c r="AK13" s="976"/>
      <c r="AL13" s="976"/>
      <c r="AM13" s="976"/>
      <c r="AN13" s="976"/>
      <c r="AO13" s="976"/>
      <c r="AP13" s="976"/>
      <c r="AQ13" s="976"/>
      <c r="AR13" s="976"/>
      <c r="AS13" s="976"/>
      <c r="AT13" s="976"/>
      <c r="AU13" s="976"/>
      <c r="AV13" s="976"/>
    </row>
    <row r="14" spans="1:48" s="795" customFormat="1" ht="21.95" hidden="1" customHeight="1">
      <c r="A14" s="2572"/>
      <c r="B14" s="2634"/>
      <c r="C14" s="977" t="s">
        <v>1555</v>
      </c>
      <c r="D14" s="978"/>
      <c r="E14" s="979"/>
      <c r="F14" s="752">
        <f>IF(Dren_Quantificacao!D17=0,0,+F11-Dren_Quantificacao!D17)</f>
        <v>0</v>
      </c>
      <c r="G14" s="752">
        <f>IF(Dren_Quantificacao!E17=0,0,+G11-Dren_Quantificacao!E17)</f>
        <v>0</v>
      </c>
      <c r="H14" s="752">
        <f>IF(Dren_Quantificacao!F17=0,0,+H11-Dren_Quantificacao!F17)</f>
        <v>0</v>
      </c>
      <c r="I14" s="752">
        <f>IF(Dren_Quantificacao!G17=0,0,+I11-Dren_Quantificacao!G17)</f>
        <v>0</v>
      </c>
      <c r="J14" s="752"/>
      <c r="K14" s="752"/>
      <c r="L14" s="752"/>
      <c r="M14" s="752"/>
      <c r="N14" s="980"/>
      <c r="O14" s="752">
        <f>IF(Dren_Quantificacao!L17=0,0,+O11-Dren_Quantificacao!L17)</f>
        <v>0</v>
      </c>
      <c r="P14" s="752">
        <f>IF(Dren_Quantificacao!M17=0,0,+P11-Dren_Quantificacao!M17)</f>
        <v>0</v>
      </c>
      <c r="Q14" s="752">
        <f>IF(Dren_Quantificacao!N17=0,0,+Q11-Dren_Quantificacao!N17)</f>
        <v>0</v>
      </c>
      <c r="R14" s="752">
        <f>IF(Dren_Quantificacao!O17=0,0,+R11-Dren_Quantificacao!O17)</f>
        <v>0</v>
      </c>
      <c r="S14" s="752">
        <f>IF(Dren_Quantificacao!BD17=0,0,+S11-Dren_Quantificacao!BD17)</f>
        <v>0</v>
      </c>
      <c r="T14" s="752">
        <f>IF(Dren_Quantificacao!BE17=0,0,+T11-Dren_Quantificacao!BE17)</f>
        <v>0</v>
      </c>
      <c r="U14" s="752">
        <f>IF(Dren_Quantificacao!BF17=0,0,+U11-Dren_Quantificacao!BF17)</f>
        <v>0</v>
      </c>
      <c r="V14" s="752">
        <f>IF(Dren_Quantificacao!BG17=0,0,+V11-Dren_Quantificacao!BG17)</f>
        <v>0</v>
      </c>
      <c r="W14" s="752">
        <f>IF(Dren_Quantificacao!BH17=0,0,+W11-Dren_Quantificacao!BH17)</f>
        <v>0</v>
      </c>
      <c r="X14" s="752">
        <f>IF(Dren_Quantificacao!BI17=0,0,+X11-Dren_Quantificacao!BI17)</f>
        <v>0</v>
      </c>
      <c r="Y14" s="752">
        <f>IF(Dren_Quantificacao!BJ17=0,0,+Y11-Dren_Quantificacao!BJ17)</f>
        <v>0</v>
      </c>
      <c r="Z14" s="752">
        <f>IF(Dren_Quantificacao!BK17=0,0,+Z11-Dren_Quantificacao!BK17)</f>
        <v>0</v>
      </c>
      <c r="AA14" s="752">
        <f>IF(Dren_Quantificacao!BL17=0,0,+AA11-Dren_Quantificacao!BL17)</f>
        <v>0</v>
      </c>
      <c r="AB14" s="752">
        <f>IF(Dren_Quantificacao!BM17=0,0,+AB11-Dren_Quantificacao!BM17)</f>
        <v>0</v>
      </c>
      <c r="AC14" s="752">
        <f>IF(Dren_Quantificacao!BN17=0,0,+AC11-Dren_Quantificacao!BN17)</f>
        <v>0</v>
      </c>
      <c r="AD14" s="752">
        <f>IF(Dren_Quantificacao!BO17=0,0,+AD11-Dren_Quantificacao!BO17)</f>
        <v>0</v>
      </c>
      <c r="AE14" s="752">
        <f>IF(Dren_Quantificacao!BP17=0,0,+AE11-Dren_Quantificacao!BP17)</f>
        <v>0</v>
      </c>
      <c r="AF14" s="926"/>
      <c r="AG14" s="926"/>
      <c r="AH14" s="926"/>
      <c r="AI14" s="981"/>
      <c r="AJ14" s="745">
        <f t="shared" si="0"/>
        <v>0</v>
      </c>
      <c r="AK14" s="976"/>
      <c r="AL14" s="976"/>
      <c r="AM14" s="976"/>
      <c r="AN14" s="976"/>
      <c r="AO14" s="976"/>
      <c r="AP14" s="976"/>
      <c r="AQ14" s="976"/>
      <c r="AR14" s="976"/>
      <c r="AS14" s="976"/>
      <c r="AT14" s="976"/>
      <c r="AU14" s="976"/>
      <c r="AV14" s="976"/>
    </row>
    <row r="15" spans="1:48" s="795" customFormat="1" ht="21.95" hidden="1" customHeight="1">
      <c r="A15" s="2572"/>
      <c r="B15" s="2634"/>
      <c r="C15" s="977" t="s">
        <v>1720</v>
      </c>
      <c r="D15" s="978"/>
      <c r="E15" s="979"/>
      <c r="F15" s="752">
        <f t="shared" ref="F15:R15" si="9">IF(F30="B",2.4,0)</f>
        <v>0</v>
      </c>
      <c r="G15" s="752">
        <f t="shared" si="9"/>
        <v>0</v>
      </c>
      <c r="H15" s="752">
        <f t="shared" si="9"/>
        <v>0</v>
      </c>
      <c r="I15" s="752">
        <f t="shared" si="9"/>
        <v>0</v>
      </c>
      <c r="J15" s="752"/>
      <c r="K15" s="752"/>
      <c r="L15" s="752"/>
      <c r="M15" s="752"/>
      <c r="N15" s="980"/>
      <c r="O15" s="752">
        <f t="shared" si="9"/>
        <v>0</v>
      </c>
      <c r="P15" s="752">
        <f t="shared" si="9"/>
        <v>0</v>
      </c>
      <c r="Q15" s="752">
        <f t="shared" si="9"/>
        <v>0</v>
      </c>
      <c r="R15" s="752">
        <f t="shared" si="9"/>
        <v>0</v>
      </c>
      <c r="S15" s="752">
        <f>IF(S30="B",2.4,0)</f>
        <v>0</v>
      </c>
      <c r="T15" s="752">
        <f>IF(T30="B",2.4,0)</f>
        <v>0</v>
      </c>
      <c r="U15" s="752">
        <f t="shared" ref="U15:AE15" si="10">IF(U30="B",2.4,0)</f>
        <v>0</v>
      </c>
      <c r="V15" s="752">
        <f>IF(V30="B",2.4,0)</f>
        <v>0</v>
      </c>
      <c r="W15" s="752">
        <f t="shared" si="10"/>
        <v>0</v>
      </c>
      <c r="X15" s="752">
        <f t="shared" si="10"/>
        <v>0</v>
      </c>
      <c r="Y15" s="752">
        <f t="shared" si="10"/>
        <v>0</v>
      </c>
      <c r="Z15" s="752">
        <f t="shared" si="10"/>
        <v>0</v>
      </c>
      <c r="AA15" s="752">
        <f t="shared" si="10"/>
        <v>0</v>
      </c>
      <c r="AB15" s="752">
        <f t="shared" si="10"/>
        <v>0</v>
      </c>
      <c r="AC15" s="752">
        <f t="shared" si="10"/>
        <v>0</v>
      </c>
      <c r="AD15" s="752">
        <f t="shared" si="10"/>
        <v>0</v>
      </c>
      <c r="AE15" s="752">
        <f t="shared" si="10"/>
        <v>0</v>
      </c>
      <c r="AF15" s="926"/>
      <c r="AG15" s="926"/>
      <c r="AH15" s="926"/>
      <c r="AI15" s="981"/>
      <c r="AJ15" s="745">
        <f t="shared" si="0"/>
        <v>0</v>
      </c>
      <c r="AK15" s="976"/>
      <c r="AL15" s="976"/>
      <c r="AM15" s="976"/>
      <c r="AN15" s="976"/>
      <c r="AO15" s="976"/>
      <c r="AP15" s="976"/>
      <c r="AQ15" s="976"/>
      <c r="AR15" s="976"/>
      <c r="AS15" s="976"/>
      <c r="AT15" s="976"/>
      <c r="AU15" s="976"/>
      <c r="AV15" s="976"/>
    </row>
    <row r="16" spans="1:48" s="795" customFormat="1" ht="21.95" hidden="1" customHeight="1">
      <c r="A16" s="2572"/>
      <c r="B16" s="2634"/>
      <c r="C16" s="977" t="s">
        <v>1721</v>
      </c>
      <c r="D16" s="978"/>
      <c r="E16" s="979"/>
      <c r="F16" s="752">
        <f>IF(Dren_Quantificacao!D25=0,0,+IF(F19=0,F13*Dren_Quantificacao!D25,F18))</f>
        <v>0</v>
      </c>
      <c r="G16" s="752">
        <f>IF(Dren_Quantificacao!E25=0,0,+IF(G19=0,G13*Dren_Quantificacao!E25,G18))</f>
        <v>0</v>
      </c>
      <c r="H16" s="752">
        <f>IF(Dren_Quantificacao!F25=0,0,+IF(H19=0,H13*Dren_Quantificacao!F25,H18))</f>
        <v>0</v>
      </c>
      <c r="I16" s="752">
        <f>IF(Dren_Quantificacao!G25=0,0,+IF(I19=0,I13*Dren_Quantificacao!G25,I18))</f>
        <v>0</v>
      </c>
      <c r="J16" s="752"/>
      <c r="K16" s="752"/>
      <c r="L16" s="752"/>
      <c r="M16" s="752"/>
      <c r="N16" s="980"/>
      <c r="O16" s="752">
        <f>IF(Dren_Quantificacao!L25=0,0,+IF(O19=0,O13*Dren_Quantificacao!L25,O18))</f>
        <v>0</v>
      </c>
      <c r="P16" s="752">
        <f>IF(Dren_Quantificacao!M25=0,0,+IF(P19=0,P13*Dren_Quantificacao!M25,P18))</f>
        <v>0</v>
      </c>
      <c r="Q16" s="752">
        <f>IF(Dren_Quantificacao!N25=0,0,+IF(Q19=0,Q13*Dren_Quantificacao!N25,Q18))</f>
        <v>0</v>
      </c>
      <c r="R16" s="752">
        <f>IF(Dren_Quantificacao!O25=0,0,+IF(R19=0,R13*Dren_Quantificacao!O25,R18))</f>
        <v>0</v>
      </c>
      <c r="S16" s="752">
        <f>IF(Dren_Quantificacao!BD25=0,0,+IF(S19=0,S13*Dren_Quantificacao!BD25,S18))</f>
        <v>0</v>
      </c>
      <c r="T16" s="752">
        <f>IF(Dren_Quantificacao!BE25=0,0,+IF(T19=0,T13*Dren_Quantificacao!BE25,T18))</f>
        <v>0</v>
      </c>
      <c r="U16" s="752">
        <f>IF(Dren_Quantificacao!BF25=0,0,+IF(U19=0,U13*Dren_Quantificacao!BF25,U18))</f>
        <v>0</v>
      </c>
      <c r="V16" s="752">
        <f>IF(Dren_Quantificacao!BG25=0,0,+IF(V19=0,V13*Dren_Quantificacao!BG25,V18))</f>
        <v>0</v>
      </c>
      <c r="W16" s="752">
        <f>IF(Dren_Quantificacao!BH25=0,0,+IF(W19=0,W13*Dren_Quantificacao!BH25,W18))</f>
        <v>0</v>
      </c>
      <c r="X16" s="752">
        <f>IF(Dren_Quantificacao!BI25=0,0,+IF(X19=0,X13*Dren_Quantificacao!BI25,X18))</f>
        <v>0</v>
      </c>
      <c r="Y16" s="752">
        <f>IF(Dren_Quantificacao!BJ25=0,0,+IF(Y19=0,Y13*Dren_Quantificacao!BJ25,Y18))</f>
        <v>0</v>
      </c>
      <c r="Z16" s="752">
        <f>IF(Dren_Quantificacao!BK25=0,0,+IF(Z19=0,Z13*Dren_Quantificacao!BK25,Z18))</f>
        <v>0</v>
      </c>
      <c r="AA16" s="752">
        <f>IF(Dren_Quantificacao!BL25=0,0,+IF(AA19=0,AA13*Dren_Quantificacao!BL25,AA18))</f>
        <v>0</v>
      </c>
      <c r="AB16" s="752">
        <f>IF(Dren_Quantificacao!BM25=0,0,+IF(AB19=0,AB13*Dren_Quantificacao!BM25,AB18))</f>
        <v>0</v>
      </c>
      <c r="AC16" s="752">
        <f>IF(Dren_Quantificacao!BN25=0,0,+IF(AC19=0,AC13*Dren_Quantificacao!BN25,AC18))</f>
        <v>0</v>
      </c>
      <c r="AD16" s="752">
        <f>IF(Dren_Quantificacao!BO25=0,0,+IF(AD19=0,AD13*Dren_Quantificacao!BO25,AD18))</f>
        <v>0</v>
      </c>
      <c r="AE16" s="752">
        <f>IF(Dren_Quantificacao!BP25=0,0,+IF(AE19=0,AE13*Dren_Quantificacao!BP25,AE18))</f>
        <v>0</v>
      </c>
      <c r="AF16" s="926"/>
      <c r="AG16" s="926"/>
      <c r="AH16" s="926"/>
      <c r="AI16" s="981"/>
      <c r="AJ16" s="745">
        <f t="shared" si="0"/>
        <v>0</v>
      </c>
      <c r="AK16" s="976"/>
      <c r="AL16" s="976"/>
      <c r="AM16" s="976"/>
      <c r="AN16" s="976"/>
      <c r="AO16" s="976"/>
      <c r="AP16" s="976"/>
      <c r="AQ16" s="976"/>
      <c r="AR16" s="976"/>
      <c r="AS16" s="976"/>
      <c r="AT16" s="976"/>
      <c r="AU16" s="976"/>
      <c r="AV16" s="976"/>
    </row>
    <row r="17" spans="1:48" s="795" customFormat="1" ht="21.95" customHeight="1">
      <c r="A17" s="2572"/>
      <c r="B17" s="2634"/>
      <c r="C17" s="977" t="s">
        <v>1722</v>
      </c>
      <c r="D17" s="978"/>
      <c r="E17" s="979"/>
      <c r="F17" s="752">
        <f t="shared" ref="F17:R17" si="11">IF(0.3+(F4+F7+F12*2)&gt;F11,F11,0.3+F4+F7+F12*2)</f>
        <v>1.1519999999999999</v>
      </c>
      <c r="G17" s="752">
        <f t="shared" si="11"/>
        <v>1.1519999999999999</v>
      </c>
      <c r="H17" s="752">
        <f t="shared" si="11"/>
        <v>1.1519999999999999</v>
      </c>
      <c r="I17" s="752">
        <f t="shared" si="11"/>
        <v>1.1519999999999999</v>
      </c>
      <c r="J17" s="752"/>
      <c r="K17" s="752"/>
      <c r="L17" s="752"/>
      <c r="M17" s="752"/>
      <c r="N17" s="980"/>
      <c r="O17" s="752">
        <f t="shared" si="11"/>
        <v>1.1519999999999999</v>
      </c>
      <c r="P17" s="752">
        <f t="shared" si="11"/>
        <v>1.1519999999999999</v>
      </c>
      <c r="Q17" s="752">
        <f t="shared" si="11"/>
        <v>1.1519999999999999</v>
      </c>
      <c r="R17" s="752">
        <f t="shared" si="11"/>
        <v>1.1519999999999999</v>
      </c>
      <c r="S17" s="752">
        <f>IF(0.3+(S4+S7+S12*2)&gt;S11,S11,0.3+S4+S7+S12*2)</f>
        <v>0</v>
      </c>
      <c r="T17" s="752">
        <f>IF(0.3+(T4+T7+T12*2)&gt;T11,T11,0.3+T4+T7+T12*2)</f>
        <v>8.4000000000000005E-2</v>
      </c>
      <c r="U17" s="752">
        <f t="shared" ref="U17:AE17" si="12">IF(0.3+(U4+U7+U12*2)&gt;U11,U11,0.3+U4+U7+U12*2)</f>
        <v>8.4000000000000005E-2</v>
      </c>
      <c r="V17" s="752">
        <f>IF(0.3+(V4+V7+V12*2)&gt;V11,V11,0.3+V4+V7+V12*2)</f>
        <v>0.126</v>
      </c>
      <c r="W17" s="752">
        <f t="shared" si="12"/>
        <v>0.126</v>
      </c>
      <c r="X17" s="752">
        <f t="shared" si="12"/>
        <v>8.4000000000000005E-2</v>
      </c>
      <c r="Y17" s="752">
        <f t="shared" si="12"/>
        <v>0.126</v>
      </c>
      <c r="Z17" s="752">
        <f t="shared" si="12"/>
        <v>8.4000000000000005E-2</v>
      </c>
      <c r="AA17" s="752">
        <f t="shared" si="12"/>
        <v>8.4000000000000005E-2</v>
      </c>
      <c r="AB17" s="752">
        <f t="shared" si="12"/>
        <v>0.105</v>
      </c>
      <c r="AC17" s="752">
        <f t="shared" si="12"/>
        <v>0.105</v>
      </c>
      <c r="AD17" s="752">
        <f t="shared" si="12"/>
        <v>8.4000000000000005E-2</v>
      </c>
      <c r="AE17" s="752">
        <f t="shared" si="12"/>
        <v>0.105</v>
      </c>
      <c r="AF17" s="926"/>
      <c r="AG17" s="926"/>
      <c r="AH17" s="926"/>
      <c r="AI17" s="981"/>
      <c r="AJ17" s="745">
        <f t="shared" si="0"/>
        <v>10.412999999999997</v>
      </c>
      <c r="AK17" s="976"/>
      <c r="AL17" s="976"/>
      <c r="AM17" s="976"/>
      <c r="AN17" s="976"/>
      <c r="AO17" s="976"/>
      <c r="AP17" s="976"/>
      <c r="AQ17" s="976"/>
      <c r="AR17" s="976"/>
      <c r="AS17" s="976"/>
      <c r="AT17" s="976"/>
      <c r="AU17" s="976"/>
      <c r="AV17" s="976"/>
    </row>
    <row r="18" spans="1:48" s="795" customFormat="1" ht="21.95" customHeight="1">
      <c r="A18" s="2572"/>
      <c r="B18" s="2634"/>
      <c r="C18" s="977" t="s">
        <v>1723</v>
      </c>
      <c r="D18" s="978"/>
      <c r="E18" s="979"/>
      <c r="F18" s="752">
        <f t="shared" ref="F18:R18" si="13">F11-F17</f>
        <v>1.0790000000000182</v>
      </c>
      <c r="G18" s="752">
        <f t="shared" si="13"/>
        <v>1.0840000000000136</v>
      </c>
      <c r="H18" s="752">
        <f t="shared" si="13"/>
        <v>0.99900000000003408</v>
      </c>
      <c r="I18" s="752">
        <f t="shared" si="13"/>
        <v>1.076499999999992</v>
      </c>
      <c r="J18" s="752"/>
      <c r="K18" s="752"/>
      <c r="L18" s="752"/>
      <c r="M18" s="752"/>
      <c r="N18" s="980"/>
      <c r="O18" s="752">
        <f t="shared" si="13"/>
        <v>1.0740000000000511</v>
      </c>
      <c r="P18" s="752">
        <f t="shared" si="13"/>
        <v>1.0740000000000796</v>
      </c>
      <c r="Q18" s="752">
        <f t="shared" si="13"/>
        <v>1.0765000000000204</v>
      </c>
      <c r="R18" s="752">
        <f t="shared" si="13"/>
        <v>1.0689999999999988</v>
      </c>
      <c r="S18" s="752">
        <f>S11-S17</f>
        <v>0</v>
      </c>
      <c r="T18" s="752">
        <f>T11-T17</f>
        <v>0</v>
      </c>
      <c r="U18" s="752">
        <f t="shared" ref="U18:AE18" si="14">U11-U17</f>
        <v>0</v>
      </c>
      <c r="V18" s="752">
        <f>V11-V17</f>
        <v>0</v>
      </c>
      <c r="W18" s="752">
        <f t="shared" si="14"/>
        <v>0</v>
      </c>
      <c r="X18" s="752">
        <f t="shared" si="14"/>
        <v>0</v>
      </c>
      <c r="Y18" s="752">
        <f t="shared" si="14"/>
        <v>0</v>
      </c>
      <c r="Z18" s="752">
        <f t="shared" si="14"/>
        <v>0</v>
      </c>
      <c r="AA18" s="752">
        <f t="shared" si="14"/>
        <v>0</v>
      </c>
      <c r="AB18" s="752">
        <f t="shared" si="14"/>
        <v>0</v>
      </c>
      <c r="AC18" s="752">
        <f t="shared" si="14"/>
        <v>0</v>
      </c>
      <c r="AD18" s="752">
        <f t="shared" si="14"/>
        <v>0</v>
      </c>
      <c r="AE18" s="752">
        <f t="shared" si="14"/>
        <v>0</v>
      </c>
      <c r="AF18" s="926"/>
      <c r="AG18" s="926"/>
      <c r="AH18" s="926"/>
      <c r="AI18" s="981"/>
      <c r="AJ18" s="745">
        <f t="shared" si="0"/>
        <v>8.5320000000002079</v>
      </c>
      <c r="AK18" s="976"/>
      <c r="AL18" s="976"/>
      <c r="AM18" s="976"/>
      <c r="AN18" s="976"/>
      <c r="AO18" s="976"/>
      <c r="AP18" s="976"/>
      <c r="AQ18" s="976"/>
      <c r="AR18" s="976"/>
      <c r="AS18" s="976"/>
      <c r="AT18" s="976"/>
      <c r="AU18" s="976"/>
      <c r="AV18" s="976"/>
    </row>
    <row r="19" spans="1:48" s="795" customFormat="1" ht="21.95" hidden="1" customHeight="1">
      <c r="A19" s="2572"/>
      <c r="B19" s="2634"/>
      <c r="C19" s="977" t="s">
        <v>1724</v>
      </c>
      <c r="D19" s="978"/>
      <c r="E19" s="979"/>
      <c r="F19" s="752">
        <f>IF(Dren_Quantificacao!D18="SIM",F17,0)</f>
        <v>0</v>
      </c>
      <c r="G19" s="752">
        <f>IF(Dren_Quantificacao!E18="SIM",G17,0)</f>
        <v>0</v>
      </c>
      <c r="H19" s="752">
        <f>IF(Dren_Quantificacao!F18="SIM",H17,0)</f>
        <v>0</v>
      </c>
      <c r="I19" s="752">
        <f>IF(Dren_Quantificacao!G18="SIM",I17,0)</f>
        <v>0</v>
      </c>
      <c r="J19" s="752"/>
      <c r="K19" s="752"/>
      <c r="L19" s="752"/>
      <c r="M19" s="752"/>
      <c r="N19" s="980"/>
      <c r="O19" s="752">
        <f>IF(Dren_Quantificacao!L18="SIM",O17,0)</f>
        <v>0</v>
      </c>
      <c r="P19" s="752">
        <f>IF(Dren_Quantificacao!M18="SIM",P17,0)</f>
        <v>0</v>
      </c>
      <c r="Q19" s="752">
        <f>IF(Dren_Quantificacao!N18="SIM",Q17,0)</f>
        <v>0</v>
      </c>
      <c r="R19" s="752">
        <f>IF(Dren_Quantificacao!O18="SIM",R17,0)</f>
        <v>0</v>
      </c>
      <c r="S19" s="752">
        <f>IF(Dren_Quantificacao!BD18="SIM",S17,0)</f>
        <v>0</v>
      </c>
      <c r="T19" s="752">
        <f>IF(Dren_Quantificacao!BE18="SIM",T17,0)</f>
        <v>0</v>
      </c>
      <c r="U19" s="752">
        <f>IF(Dren_Quantificacao!BF18="SIM",U17,0)</f>
        <v>0</v>
      </c>
      <c r="V19" s="752">
        <f>IF(Dren_Quantificacao!BG18="SIM",V17,0)</f>
        <v>0</v>
      </c>
      <c r="W19" s="752">
        <f>IF(Dren_Quantificacao!BH18="SIM",W17,0)</f>
        <v>0</v>
      </c>
      <c r="X19" s="752">
        <f>IF(Dren_Quantificacao!BI18="SIM",X17,0)</f>
        <v>0</v>
      </c>
      <c r="Y19" s="752">
        <f>IF(Dren_Quantificacao!BJ18="SIM",Y17,0)</f>
        <v>0</v>
      </c>
      <c r="Z19" s="752">
        <f>IF(Dren_Quantificacao!BK18="SIM",Z17,0)</f>
        <v>0</v>
      </c>
      <c r="AA19" s="752">
        <f>IF(Dren_Quantificacao!BL18="SIM",AA17,0)</f>
        <v>0</v>
      </c>
      <c r="AB19" s="752">
        <f>IF(Dren_Quantificacao!BM18="SIM",AB17,0)</f>
        <v>0</v>
      </c>
      <c r="AC19" s="752">
        <f>IF(Dren_Quantificacao!BN18="SIM",AC17,0)</f>
        <v>0</v>
      </c>
      <c r="AD19" s="752">
        <f>IF(Dren_Quantificacao!BO18="SIM",AD17,0)</f>
        <v>0</v>
      </c>
      <c r="AE19" s="752">
        <f>IF(Dren_Quantificacao!BP18="SIM",AE17,0)</f>
        <v>0</v>
      </c>
      <c r="AF19" s="926"/>
      <c r="AG19" s="926"/>
      <c r="AH19" s="926"/>
      <c r="AI19" s="981"/>
      <c r="AJ19" s="745">
        <f t="shared" si="0"/>
        <v>0</v>
      </c>
      <c r="AK19" s="976"/>
      <c r="AL19" s="976"/>
      <c r="AM19" s="976"/>
      <c r="AN19" s="976"/>
      <c r="AO19" s="976"/>
      <c r="AP19" s="976"/>
      <c r="AQ19" s="976"/>
      <c r="AR19" s="976"/>
      <c r="AS19" s="976"/>
      <c r="AT19" s="976"/>
      <c r="AU19" s="976"/>
      <c r="AV19" s="976"/>
    </row>
    <row r="20" spans="1:48" s="795" customFormat="1" ht="21.95" hidden="1" customHeight="1">
      <c r="A20" s="2572"/>
      <c r="B20" s="2634"/>
      <c r="C20" s="977" t="s">
        <v>1725</v>
      </c>
      <c r="D20" s="978"/>
      <c r="E20" s="979"/>
      <c r="F20" s="752">
        <f t="shared" ref="F20:R20" si="15">IF(F13&gt;4.5,F13,0)</f>
        <v>0</v>
      </c>
      <c r="G20" s="752">
        <f t="shared" si="15"/>
        <v>0</v>
      </c>
      <c r="H20" s="752">
        <f t="shared" si="15"/>
        <v>0</v>
      </c>
      <c r="I20" s="752">
        <f t="shared" si="15"/>
        <v>0</v>
      </c>
      <c r="J20" s="752"/>
      <c r="K20" s="752"/>
      <c r="L20" s="752"/>
      <c r="M20" s="752"/>
      <c r="N20" s="980"/>
      <c r="O20" s="752">
        <f t="shared" si="15"/>
        <v>0</v>
      </c>
      <c r="P20" s="752">
        <f t="shared" si="15"/>
        <v>0</v>
      </c>
      <c r="Q20" s="752">
        <f t="shared" si="15"/>
        <v>0</v>
      </c>
      <c r="R20" s="752">
        <f t="shared" si="15"/>
        <v>0</v>
      </c>
      <c r="S20" s="752">
        <f>IF(S13&gt;4.5,S13,0)</f>
        <v>0</v>
      </c>
      <c r="T20" s="752">
        <f>IF(T13&gt;4.5,T13,0)</f>
        <v>0</v>
      </c>
      <c r="U20" s="752">
        <f t="shared" ref="U20:AE20" si="16">IF(U13&gt;4.5,U13,0)</f>
        <v>0</v>
      </c>
      <c r="V20" s="752">
        <f>IF(V13&gt;4.5,V13,0)</f>
        <v>0</v>
      </c>
      <c r="W20" s="752">
        <f t="shared" si="16"/>
        <v>0</v>
      </c>
      <c r="X20" s="752">
        <f t="shared" si="16"/>
        <v>0</v>
      </c>
      <c r="Y20" s="752">
        <f t="shared" si="16"/>
        <v>0</v>
      </c>
      <c r="Z20" s="752">
        <f t="shared" si="16"/>
        <v>0</v>
      </c>
      <c r="AA20" s="752">
        <f t="shared" si="16"/>
        <v>0</v>
      </c>
      <c r="AB20" s="752">
        <f t="shared" si="16"/>
        <v>0</v>
      </c>
      <c r="AC20" s="752">
        <f t="shared" si="16"/>
        <v>0</v>
      </c>
      <c r="AD20" s="752">
        <f t="shared" si="16"/>
        <v>0</v>
      </c>
      <c r="AE20" s="752">
        <f t="shared" si="16"/>
        <v>0</v>
      </c>
      <c r="AF20" s="926"/>
      <c r="AG20" s="926"/>
      <c r="AH20" s="926"/>
      <c r="AI20" s="981"/>
      <c r="AJ20" s="745">
        <f t="shared" si="0"/>
        <v>0</v>
      </c>
      <c r="AK20" s="976"/>
      <c r="AL20" s="976"/>
      <c r="AM20" s="976"/>
      <c r="AN20" s="976"/>
      <c r="AO20" s="976"/>
      <c r="AP20" s="976"/>
      <c r="AQ20" s="976"/>
      <c r="AR20" s="976"/>
      <c r="AS20" s="976"/>
      <c r="AT20" s="976"/>
      <c r="AU20" s="976"/>
      <c r="AV20" s="976"/>
    </row>
    <row r="21" spans="1:48" s="795" customFormat="1" ht="21.95" hidden="1" customHeight="1">
      <c r="A21" s="2572"/>
      <c r="B21" s="2634"/>
      <c r="C21" s="977" t="s">
        <v>1726</v>
      </c>
      <c r="D21" s="978"/>
      <c r="E21" s="979"/>
      <c r="F21" s="752">
        <f t="shared" ref="F21:R21" si="17">IF(F20&gt;0,0,IF(F13&gt;3,F13,0))</f>
        <v>0</v>
      </c>
      <c r="G21" s="752">
        <f t="shared" si="17"/>
        <v>0</v>
      </c>
      <c r="H21" s="752">
        <f t="shared" si="17"/>
        <v>0</v>
      </c>
      <c r="I21" s="752">
        <f t="shared" si="17"/>
        <v>0</v>
      </c>
      <c r="J21" s="752"/>
      <c r="K21" s="752"/>
      <c r="L21" s="752"/>
      <c r="M21" s="752"/>
      <c r="N21" s="980"/>
      <c r="O21" s="752">
        <f t="shared" si="17"/>
        <v>0</v>
      </c>
      <c r="P21" s="752">
        <f t="shared" si="17"/>
        <v>0</v>
      </c>
      <c r="Q21" s="752">
        <f t="shared" si="17"/>
        <v>0</v>
      </c>
      <c r="R21" s="752">
        <f t="shared" si="17"/>
        <v>0</v>
      </c>
      <c r="S21" s="752">
        <f>IF(S20&gt;0,0,IF(S13&gt;3,S13,0))</f>
        <v>0</v>
      </c>
      <c r="T21" s="752">
        <f>IF(T20&gt;0,0,IF(T13&gt;3,T13,0))</f>
        <v>0</v>
      </c>
      <c r="U21" s="752">
        <f t="shared" ref="U21:AE21" si="18">IF(U20&gt;0,0,IF(U13&gt;3,U13,0))</f>
        <v>0</v>
      </c>
      <c r="V21" s="752">
        <f>IF(V20&gt;0,0,IF(V13&gt;3,V13,0))</f>
        <v>0</v>
      </c>
      <c r="W21" s="752">
        <f t="shared" si="18"/>
        <v>0</v>
      </c>
      <c r="X21" s="752">
        <f t="shared" si="18"/>
        <v>0</v>
      </c>
      <c r="Y21" s="752">
        <f t="shared" si="18"/>
        <v>0</v>
      </c>
      <c r="Z21" s="752">
        <f t="shared" si="18"/>
        <v>0</v>
      </c>
      <c r="AA21" s="752">
        <f t="shared" si="18"/>
        <v>0</v>
      </c>
      <c r="AB21" s="752">
        <f t="shared" si="18"/>
        <v>0</v>
      </c>
      <c r="AC21" s="752">
        <f t="shared" si="18"/>
        <v>0</v>
      </c>
      <c r="AD21" s="752">
        <f t="shared" si="18"/>
        <v>0</v>
      </c>
      <c r="AE21" s="752">
        <f t="shared" si="18"/>
        <v>0</v>
      </c>
      <c r="AF21" s="926"/>
      <c r="AG21" s="926"/>
      <c r="AH21" s="926"/>
      <c r="AI21" s="981"/>
      <c r="AJ21" s="745">
        <f t="shared" si="0"/>
        <v>0</v>
      </c>
      <c r="AK21" s="976"/>
      <c r="AL21" s="976"/>
      <c r="AM21" s="976"/>
      <c r="AN21" s="976"/>
      <c r="AO21" s="976"/>
      <c r="AP21" s="976"/>
      <c r="AQ21" s="976"/>
      <c r="AR21" s="976"/>
      <c r="AS21" s="976"/>
      <c r="AT21" s="976"/>
      <c r="AU21" s="976"/>
      <c r="AV21" s="976"/>
    </row>
    <row r="22" spans="1:48" s="795" customFormat="1" ht="21.95" customHeight="1">
      <c r="A22" s="2572"/>
      <c r="B22" s="2634"/>
      <c r="C22" s="977" t="s">
        <v>1727</v>
      </c>
      <c r="D22" s="978"/>
      <c r="E22" s="979"/>
      <c r="F22" s="752">
        <f t="shared" ref="F22:R22" si="19">IF(F20+F21&gt;0,0,IF(F13&gt;1.5,F13,0))</f>
        <v>2.2310000000000181</v>
      </c>
      <c r="G22" s="752">
        <f t="shared" si="19"/>
        <v>2.2360000000000135</v>
      </c>
      <c r="H22" s="752">
        <f t="shared" si="19"/>
        <v>2.151000000000034</v>
      </c>
      <c r="I22" s="752">
        <f t="shared" si="19"/>
        <v>2.2284999999999919</v>
      </c>
      <c r="J22" s="752"/>
      <c r="K22" s="752"/>
      <c r="L22" s="752"/>
      <c r="M22" s="752"/>
      <c r="N22" s="980"/>
      <c r="O22" s="752">
        <f t="shared" si="19"/>
        <v>2.226000000000051</v>
      </c>
      <c r="P22" s="752">
        <f t="shared" si="19"/>
        <v>2.2260000000000795</v>
      </c>
      <c r="Q22" s="752">
        <f t="shared" si="19"/>
        <v>2.2285000000000204</v>
      </c>
      <c r="R22" s="752">
        <f t="shared" si="19"/>
        <v>2.2209999999999988</v>
      </c>
      <c r="S22" s="752">
        <f>IF(S20+S21&gt;0,0,IF(S13&gt;1.5,S13,0))</f>
        <v>0</v>
      </c>
      <c r="T22" s="752">
        <f>IF(T20+T21&gt;0,0,IF(T13&gt;1.5,T13,0))</f>
        <v>0</v>
      </c>
      <c r="U22" s="752">
        <f t="shared" ref="U22:AE22" si="20">IF(U20+U21&gt;0,0,IF(U13&gt;1.5,U13,0))</f>
        <v>0</v>
      </c>
      <c r="V22" s="752">
        <f>IF(V20+V21&gt;0,0,IF(V13&gt;1.5,V13,0))</f>
        <v>0</v>
      </c>
      <c r="W22" s="752">
        <f t="shared" si="20"/>
        <v>0</v>
      </c>
      <c r="X22" s="752">
        <f t="shared" si="20"/>
        <v>0</v>
      </c>
      <c r="Y22" s="752">
        <f t="shared" si="20"/>
        <v>0</v>
      </c>
      <c r="Z22" s="752">
        <f t="shared" si="20"/>
        <v>0</v>
      </c>
      <c r="AA22" s="752">
        <f t="shared" si="20"/>
        <v>0</v>
      </c>
      <c r="AB22" s="752">
        <f t="shared" si="20"/>
        <v>0</v>
      </c>
      <c r="AC22" s="752">
        <f t="shared" si="20"/>
        <v>0</v>
      </c>
      <c r="AD22" s="752">
        <f t="shared" si="20"/>
        <v>0</v>
      </c>
      <c r="AE22" s="752">
        <f t="shared" si="20"/>
        <v>0</v>
      </c>
      <c r="AF22" s="926"/>
      <c r="AG22" s="926"/>
      <c r="AH22" s="926"/>
      <c r="AI22" s="981"/>
      <c r="AJ22" s="745">
        <f t="shared" si="0"/>
        <v>17.748000000000207</v>
      </c>
      <c r="AK22" s="976"/>
      <c r="AL22" s="976"/>
      <c r="AM22" s="976"/>
      <c r="AN22" s="976"/>
      <c r="AO22" s="976"/>
      <c r="AP22" s="976"/>
      <c r="AQ22" s="976"/>
      <c r="AR22" s="976"/>
      <c r="AS22" s="976"/>
      <c r="AT22" s="976"/>
      <c r="AU22" s="976"/>
      <c r="AV22" s="976"/>
    </row>
    <row r="23" spans="1:48" s="795" customFormat="1" ht="21.95" customHeight="1">
      <c r="A23" s="2572"/>
      <c r="B23" s="2634"/>
      <c r="C23" s="977" t="s">
        <v>1728</v>
      </c>
      <c r="D23" s="978"/>
      <c r="E23" s="979"/>
      <c r="F23" s="752">
        <f t="shared" ref="F23:R23" si="21">IF(SUM(F20:F22)&gt;0,0,F13)</f>
        <v>0</v>
      </c>
      <c r="G23" s="752">
        <f t="shared" si="21"/>
        <v>0</v>
      </c>
      <c r="H23" s="752">
        <f t="shared" si="21"/>
        <v>0</v>
      </c>
      <c r="I23" s="752">
        <f t="shared" si="21"/>
        <v>0</v>
      </c>
      <c r="J23" s="752"/>
      <c r="K23" s="752"/>
      <c r="L23" s="752"/>
      <c r="M23" s="752"/>
      <c r="N23" s="980"/>
      <c r="O23" s="752">
        <f t="shared" si="21"/>
        <v>0</v>
      </c>
      <c r="P23" s="752">
        <f t="shared" si="21"/>
        <v>0</v>
      </c>
      <c r="Q23" s="752">
        <f t="shared" si="21"/>
        <v>0</v>
      </c>
      <c r="R23" s="752">
        <f t="shared" si="21"/>
        <v>0</v>
      </c>
      <c r="S23" s="752">
        <f>IF(SUM(S20:S22)&gt;0,0,S13)</f>
        <v>0</v>
      </c>
      <c r="T23" s="752">
        <f>IF(SUM(T20:T22)&gt;0,0,T13)</f>
        <v>8.4000000000000005E-2</v>
      </c>
      <c r="U23" s="752">
        <f t="shared" ref="U23:AE23" si="22">IF(SUM(U20:U22)&gt;0,0,U13)</f>
        <v>8.4000000000000005E-2</v>
      </c>
      <c r="V23" s="752">
        <f>IF(SUM(V20:V22)&gt;0,0,V13)</f>
        <v>0.126</v>
      </c>
      <c r="W23" s="752">
        <f t="shared" si="22"/>
        <v>0.126</v>
      </c>
      <c r="X23" s="752">
        <f t="shared" si="22"/>
        <v>8.4000000000000005E-2</v>
      </c>
      <c r="Y23" s="752">
        <f t="shared" si="22"/>
        <v>0.126</v>
      </c>
      <c r="Z23" s="752">
        <f t="shared" si="22"/>
        <v>8.4000000000000005E-2</v>
      </c>
      <c r="AA23" s="752">
        <f t="shared" si="22"/>
        <v>8.4000000000000005E-2</v>
      </c>
      <c r="AB23" s="752">
        <f t="shared" si="22"/>
        <v>0.105</v>
      </c>
      <c r="AC23" s="752">
        <f t="shared" si="22"/>
        <v>0.105</v>
      </c>
      <c r="AD23" s="752">
        <f t="shared" si="22"/>
        <v>8.4000000000000005E-2</v>
      </c>
      <c r="AE23" s="752">
        <f t="shared" si="22"/>
        <v>0.105</v>
      </c>
      <c r="AF23" s="752"/>
      <c r="AG23" s="752"/>
      <c r="AH23" s="752"/>
      <c r="AI23" s="981"/>
      <c r="AJ23" s="745">
        <f t="shared" si="0"/>
        <v>1.1970000000000001</v>
      </c>
      <c r="AK23" s="976"/>
      <c r="AL23" s="976"/>
      <c r="AM23" s="976"/>
      <c r="AN23" s="976"/>
      <c r="AO23" s="976"/>
      <c r="AP23" s="976"/>
      <c r="AQ23" s="976"/>
      <c r="AR23" s="976"/>
      <c r="AS23" s="976"/>
      <c r="AT23" s="976"/>
      <c r="AU23" s="976"/>
      <c r="AV23" s="976"/>
    </row>
    <row r="24" spans="1:48" s="795" customFormat="1" ht="21.95" hidden="1" customHeight="1">
      <c r="A24" s="2572"/>
      <c r="B24" s="2634"/>
      <c r="C24" s="977" t="s">
        <v>1729</v>
      </c>
      <c r="D24" s="978"/>
      <c r="E24" s="979"/>
      <c r="F24" s="752">
        <f t="shared" ref="F24:R24" si="23">IF(F18&gt;4.5,F18,0)</f>
        <v>0</v>
      </c>
      <c r="G24" s="752">
        <f t="shared" si="23"/>
        <v>0</v>
      </c>
      <c r="H24" s="752">
        <f t="shared" si="23"/>
        <v>0</v>
      </c>
      <c r="I24" s="752">
        <f t="shared" si="23"/>
        <v>0</v>
      </c>
      <c r="J24" s="752"/>
      <c r="K24" s="752"/>
      <c r="L24" s="752"/>
      <c r="M24" s="752"/>
      <c r="N24" s="980"/>
      <c r="O24" s="752">
        <f t="shared" si="23"/>
        <v>0</v>
      </c>
      <c r="P24" s="752">
        <f t="shared" si="23"/>
        <v>0</v>
      </c>
      <c r="Q24" s="752">
        <f t="shared" si="23"/>
        <v>0</v>
      </c>
      <c r="R24" s="752">
        <f t="shared" si="23"/>
        <v>0</v>
      </c>
      <c r="S24" s="752">
        <f>IF(S18&gt;4.5,S18,0)</f>
        <v>0</v>
      </c>
      <c r="T24" s="752">
        <f>IF(T18&gt;4.5,T18,0)</f>
        <v>0</v>
      </c>
      <c r="U24" s="752">
        <f t="shared" ref="U24:AE24" si="24">IF(U18&gt;4.5,U18,0)</f>
        <v>0</v>
      </c>
      <c r="V24" s="752">
        <f>IF(V18&gt;4.5,V18,0)</f>
        <v>0</v>
      </c>
      <c r="W24" s="752">
        <f t="shared" si="24"/>
        <v>0</v>
      </c>
      <c r="X24" s="752">
        <f t="shared" si="24"/>
        <v>0</v>
      </c>
      <c r="Y24" s="752">
        <f t="shared" si="24"/>
        <v>0</v>
      </c>
      <c r="Z24" s="752">
        <f t="shared" si="24"/>
        <v>0</v>
      </c>
      <c r="AA24" s="752">
        <f t="shared" si="24"/>
        <v>0</v>
      </c>
      <c r="AB24" s="752">
        <f t="shared" si="24"/>
        <v>0</v>
      </c>
      <c r="AC24" s="752">
        <f t="shared" si="24"/>
        <v>0</v>
      </c>
      <c r="AD24" s="752">
        <f t="shared" si="24"/>
        <v>0</v>
      </c>
      <c r="AE24" s="752">
        <f t="shared" si="24"/>
        <v>0</v>
      </c>
      <c r="AF24" s="926"/>
      <c r="AG24" s="926"/>
      <c r="AH24" s="926"/>
      <c r="AI24" s="981"/>
      <c r="AJ24" s="745">
        <f t="shared" si="0"/>
        <v>0</v>
      </c>
      <c r="AK24" s="976"/>
      <c r="AL24" s="976"/>
      <c r="AM24" s="976"/>
      <c r="AN24" s="976"/>
      <c r="AO24" s="976"/>
      <c r="AP24" s="976"/>
      <c r="AQ24" s="976"/>
      <c r="AR24" s="976"/>
      <c r="AS24" s="976"/>
      <c r="AT24" s="976"/>
      <c r="AU24" s="976"/>
      <c r="AV24" s="976"/>
    </row>
    <row r="25" spans="1:48" s="795" customFormat="1" ht="21.95" hidden="1" customHeight="1">
      <c r="A25" s="2572"/>
      <c r="B25" s="2634"/>
      <c r="C25" s="977" t="s">
        <v>1730</v>
      </c>
      <c r="D25" s="978"/>
      <c r="E25" s="979"/>
      <c r="F25" s="752">
        <f t="shared" ref="F25:R25" si="25">IF(F24&gt;0,0,IF(F18&gt;3,F18,0))</f>
        <v>0</v>
      </c>
      <c r="G25" s="752">
        <f t="shared" si="25"/>
        <v>0</v>
      </c>
      <c r="H25" s="752">
        <f t="shared" si="25"/>
        <v>0</v>
      </c>
      <c r="I25" s="752">
        <f t="shared" si="25"/>
        <v>0</v>
      </c>
      <c r="J25" s="752"/>
      <c r="K25" s="752"/>
      <c r="L25" s="752"/>
      <c r="M25" s="752"/>
      <c r="N25" s="980"/>
      <c r="O25" s="752">
        <f t="shared" si="25"/>
        <v>0</v>
      </c>
      <c r="P25" s="752">
        <f t="shared" si="25"/>
        <v>0</v>
      </c>
      <c r="Q25" s="752">
        <f t="shared" si="25"/>
        <v>0</v>
      </c>
      <c r="R25" s="752">
        <f t="shared" si="25"/>
        <v>0</v>
      </c>
      <c r="S25" s="752">
        <f>IF(S24&gt;0,0,IF(S18&gt;3,S18,0))</f>
        <v>0</v>
      </c>
      <c r="T25" s="752">
        <f>IF(T24&gt;0,0,IF(T18&gt;3,T18,0))</f>
        <v>0</v>
      </c>
      <c r="U25" s="752">
        <f t="shared" ref="U25:AE25" si="26">IF(U24&gt;0,0,IF(U18&gt;3,U18,0))</f>
        <v>0</v>
      </c>
      <c r="V25" s="752">
        <f>IF(V24&gt;0,0,IF(V18&gt;3,V18,0))</f>
        <v>0</v>
      </c>
      <c r="W25" s="752">
        <f t="shared" si="26"/>
        <v>0</v>
      </c>
      <c r="X25" s="752">
        <f t="shared" si="26"/>
        <v>0</v>
      </c>
      <c r="Y25" s="752">
        <f t="shared" si="26"/>
        <v>0</v>
      </c>
      <c r="Z25" s="752">
        <f t="shared" si="26"/>
        <v>0</v>
      </c>
      <c r="AA25" s="752">
        <f t="shared" si="26"/>
        <v>0</v>
      </c>
      <c r="AB25" s="752">
        <f t="shared" si="26"/>
        <v>0</v>
      </c>
      <c r="AC25" s="752">
        <f t="shared" si="26"/>
        <v>0</v>
      </c>
      <c r="AD25" s="752">
        <f t="shared" si="26"/>
        <v>0</v>
      </c>
      <c r="AE25" s="752">
        <f t="shared" si="26"/>
        <v>0</v>
      </c>
      <c r="AF25" s="926"/>
      <c r="AG25" s="926"/>
      <c r="AH25" s="926"/>
      <c r="AI25" s="981"/>
      <c r="AJ25" s="745">
        <f t="shared" si="0"/>
        <v>0</v>
      </c>
      <c r="AK25" s="976"/>
      <c r="AL25" s="976"/>
      <c r="AM25" s="976"/>
      <c r="AN25" s="976"/>
      <c r="AO25" s="976"/>
      <c r="AP25" s="976"/>
      <c r="AQ25" s="976"/>
      <c r="AR25" s="976"/>
      <c r="AS25" s="976"/>
      <c r="AT25" s="976"/>
      <c r="AU25" s="976"/>
      <c r="AV25" s="976"/>
    </row>
    <row r="26" spans="1:48" s="795" customFormat="1" ht="21.95" hidden="1" customHeight="1">
      <c r="A26" s="2572"/>
      <c r="B26" s="2634"/>
      <c r="C26" s="977" t="s">
        <v>1731</v>
      </c>
      <c r="D26" s="978"/>
      <c r="E26" s="979"/>
      <c r="F26" s="752">
        <f t="shared" ref="F26:R26" si="27">IF(F24+F25&gt;0,0,IF(F18&gt;1.5,F18,0))</f>
        <v>0</v>
      </c>
      <c r="G26" s="752">
        <f t="shared" si="27"/>
        <v>0</v>
      </c>
      <c r="H26" s="752">
        <f t="shared" si="27"/>
        <v>0</v>
      </c>
      <c r="I26" s="752">
        <f t="shared" si="27"/>
        <v>0</v>
      </c>
      <c r="J26" s="752"/>
      <c r="K26" s="752"/>
      <c r="L26" s="752"/>
      <c r="M26" s="752"/>
      <c r="N26" s="980"/>
      <c r="O26" s="752">
        <f t="shared" si="27"/>
        <v>0</v>
      </c>
      <c r="P26" s="752">
        <f t="shared" si="27"/>
        <v>0</v>
      </c>
      <c r="Q26" s="752">
        <f t="shared" si="27"/>
        <v>0</v>
      </c>
      <c r="R26" s="752">
        <f t="shared" si="27"/>
        <v>0</v>
      </c>
      <c r="S26" s="752">
        <f>IF(S24+S25&gt;0,0,IF(S18&gt;1.5,S18,0))</f>
        <v>0</v>
      </c>
      <c r="T26" s="752">
        <f>IF(T24+T25&gt;0,0,IF(T18&gt;1.5,T18,0))</f>
        <v>0</v>
      </c>
      <c r="U26" s="752">
        <f t="shared" ref="U26:AE26" si="28">IF(U24+U25&gt;0,0,IF(U18&gt;1.5,U18,0))</f>
        <v>0</v>
      </c>
      <c r="V26" s="752">
        <f>IF(V24+V25&gt;0,0,IF(V18&gt;1.5,V18,0))</f>
        <v>0</v>
      </c>
      <c r="W26" s="752">
        <f t="shared" si="28"/>
        <v>0</v>
      </c>
      <c r="X26" s="752">
        <f t="shared" si="28"/>
        <v>0</v>
      </c>
      <c r="Y26" s="752">
        <f t="shared" si="28"/>
        <v>0</v>
      </c>
      <c r="Z26" s="752">
        <f t="shared" si="28"/>
        <v>0</v>
      </c>
      <c r="AA26" s="752">
        <f t="shared" si="28"/>
        <v>0</v>
      </c>
      <c r="AB26" s="752">
        <f t="shared" si="28"/>
        <v>0</v>
      </c>
      <c r="AC26" s="752">
        <f t="shared" si="28"/>
        <v>0</v>
      </c>
      <c r="AD26" s="752">
        <f t="shared" si="28"/>
        <v>0</v>
      </c>
      <c r="AE26" s="752">
        <f t="shared" si="28"/>
        <v>0</v>
      </c>
      <c r="AF26" s="926"/>
      <c r="AG26" s="926"/>
      <c r="AH26" s="926"/>
      <c r="AI26" s="981"/>
      <c r="AJ26" s="745">
        <f t="shared" si="0"/>
        <v>0</v>
      </c>
      <c r="AK26" s="976"/>
      <c r="AL26" s="976"/>
      <c r="AM26" s="976"/>
      <c r="AN26" s="976"/>
      <c r="AO26" s="976"/>
      <c r="AP26" s="976"/>
      <c r="AQ26" s="976"/>
      <c r="AR26" s="976"/>
      <c r="AS26" s="976"/>
      <c r="AT26" s="976"/>
      <c r="AU26" s="976"/>
      <c r="AV26" s="976"/>
    </row>
    <row r="27" spans="1:48" s="795" customFormat="1" ht="21.95" customHeight="1" thickBot="1">
      <c r="A27" s="2572"/>
      <c r="B27" s="2635"/>
      <c r="C27" s="977" t="s">
        <v>1732</v>
      </c>
      <c r="D27" s="983"/>
      <c r="E27" s="984"/>
      <c r="F27" s="761">
        <f t="shared" ref="F27:R27" si="29">IF(SUM(F24:F26)&gt;0,0,F18)</f>
        <v>1.0790000000000182</v>
      </c>
      <c r="G27" s="761">
        <f t="shared" si="29"/>
        <v>1.0840000000000136</v>
      </c>
      <c r="H27" s="761">
        <f t="shared" si="29"/>
        <v>0.99900000000003408</v>
      </c>
      <c r="I27" s="761">
        <f t="shared" si="29"/>
        <v>1.076499999999992</v>
      </c>
      <c r="J27" s="761"/>
      <c r="K27" s="761"/>
      <c r="L27" s="761"/>
      <c r="M27" s="761"/>
      <c r="N27" s="985"/>
      <c r="O27" s="761">
        <f t="shared" si="29"/>
        <v>1.0740000000000511</v>
      </c>
      <c r="P27" s="761">
        <f t="shared" si="29"/>
        <v>1.0740000000000796</v>
      </c>
      <c r="Q27" s="761">
        <f t="shared" si="29"/>
        <v>1.0765000000000204</v>
      </c>
      <c r="R27" s="761">
        <f t="shared" si="29"/>
        <v>1.0689999999999988</v>
      </c>
      <c r="S27" s="761">
        <f>IF(SUM(S24:S26)&gt;0,0,S18)</f>
        <v>0</v>
      </c>
      <c r="T27" s="761">
        <f>IF(SUM(T24:T26)&gt;0,0,T18)</f>
        <v>0</v>
      </c>
      <c r="U27" s="761">
        <f t="shared" ref="U27:AE27" si="30">IF(SUM(U24:U26)&gt;0,0,U18)</f>
        <v>0</v>
      </c>
      <c r="V27" s="761">
        <f>IF(SUM(V24:V26)&gt;0,0,V18)</f>
        <v>0</v>
      </c>
      <c r="W27" s="761">
        <f t="shared" si="30"/>
        <v>0</v>
      </c>
      <c r="X27" s="761">
        <f t="shared" si="30"/>
        <v>0</v>
      </c>
      <c r="Y27" s="761">
        <f t="shared" si="30"/>
        <v>0</v>
      </c>
      <c r="Z27" s="761">
        <f t="shared" si="30"/>
        <v>0</v>
      </c>
      <c r="AA27" s="761">
        <f t="shared" si="30"/>
        <v>0</v>
      </c>
      <c r="AB27" s="761">
        <f t="shared" si="30"/>
        <v>0</v>
      </c>
      <c r="AC27" s="761">
        <f t="shared" si="30"/>
        <v>0</v>
      </c>
      <c r="AD27" s="761">
        <f t="shared" si="30"/>
        <v>0</v>
      </c>
      <c r="AE27" s="761">
        <f t="shared" si="30"/>
        <v>0</v>
      </c>
      <c r="AF27" s="761"/>
      <c r="AG27" s="761"/>
      <c r="AH27" s="761"/>
      <c r="AI27" s="987"/>
      <c r="AJ27" s="745">
        <f t="shared" si="0"/>
        <v>8.5320000000002079</v>
      </c>
      <c r="AK27" s="976"/>
      <c r="AL27" s="976"/>
      <c r="AM27" s="976"/>
      <c r="AN27" s="976"/>
      <c r="AO27" s="976"/>
      <c r="AP27" s="976"/>
      <c r="AQ27" s="976"/>
      <c r="AR27" s="976"/>
      <c r="AS27" s="976"/>
      <c r="AT27" s="976"/>
      <c r="AU27" s="976"/>
      <c r="AV27" s="976"/>
    </row>
    <row r="28" spans="1:48" ht="21.95" hidden="1" customHeight="1" thickBot="1">
      <c r="A28" s="2572"/>
      <c r="B28" s="2670" t="s">
        <v>1554</v>
      </c>
      <c r="C28" s="2671"/>
      <c r="D28" s="963"/>
      <c r="E28" s="756"/>
      <c r="F28" s="891" t="str">
        <f>Dren_Quantificacao!D15</f>
        <v>argiloso</v>
      </c>
      <c r="G28" s="891" t="str">
        <f>Dren_Quantificacao!E15</f>
        <v>argiloso</v>
      </c>
      <c r="H28" s="891" t="str">
        <f>Dren_Quantificacao!F15</f>
        <v>argiloso</v>
      </c>
      <c r="I28" s="891" t="str">
        <f>Dren_Quantificacao!G15</f>
        <v>argiloso</v>
      </c>
      <c r="J28" s="891"/>
      <c r="K28" s="891"/>
      <c r="L28" s="891"/>
      <c r="M28" s="891"/>
      <c r="N28" s="892"/>
      <c r="O28" s="891" t="str">
        <f>Dren_Quantificacao!L15</f>
        <v>argiloso</v>
      </c>
      <c r="P28" s="891" t="str">
        <f>Dren_Quantificacao!M15</f>
        <v>argiloso</v>
      </c>
      <c r="Q28" s="891" t="str">
        <f>Dren_Quantificacao!N15</f>
        <v>argiloso</v>
      </c>
      <c r="R28" s="891" t="str">
        <f>Dren_Quantificacao!O15</f>
        <v>argiloso</v>
      </c>
      <c r="S28" s="891">
        <f>Dren_Quantificacao!BD15</f>
        <v>0</v>
      </c>
      <c r="T28" s="891" t="str">
        <f>Dren_Quantificacao!BE15</f>
        <v>argiloso</v>
      </c>
      <c r="U28" s="891" t="str">
        <f>Dren_Quantificacao!BF15</f>
        <v>argiloso</v>
      </c>
      <c r="V28" s="891" t="str">
        <f>Dren_Quantificacao!BG15</f>
        <v>argiloso</v>
      </c>
      <c r="W28" s="891" t="str">
        <f>Dren_Quantificacao!BH15</f>
        <v>argiloso</v>
      </c>
      <c r="X28" s="891" t="str">
        <f>Dren_Quantificacao!BI15</f>
        <v>ROCHA</v>
      </c>
      <c r="Y28" s="891" t="str">
        <f>Dren_Quantificacao!BJ15</f>
        <v>ROCHA</v>
      </c>
      <c r="Z28" s="891" t="str">
        <f>Dren_Quantificacao!BK15</f>
        <v>arenoso</v>
      </c>
      <c r="AA28" s="891" t="str">
        <f>Dren_Quantificacao!BL15</f>
        <v>arenoso</v>
      </c>
      <c r="AB28" s="891" t="str">
        <f>Dren_Quantificacao!BM15</f>
        <v>arenoso</v>
      </c>
      <c r="AC28" s="891" t="str">
        <f>Dren_Quantificacao!BN15</f>
        <v>arenoso</v>
      </c>
      <c r="AD28" s="891" t="str">
        <f>Dren_Quantificacao!BO15</f>
        <v>ROCHA</v>
      </c>
      <c r="AE28" s="891" t="str">
        <f>Dren_Quantificacao!BP15</f>
        <v>ROCHA</v>
      </c>
      <c r="AF28" s="761"/>
      <c r="AG28" s="761"/>
      <c r="AH28" s="761"/>
      <c r="AI28" s="966"/>
      <c r="AJ28" s="745"/>
    </row>
    <row r="29" spans="1:48" ht="21.95" customHeight="1" thickBot="1">
      <c r="A29" s="2572"/>
      <c r="B29" s="2670" t="s">
        <v>1552</v>
      </c>
      <c r="C29" s="2671"/>
      <c r="D29" s="988"/>
      <c r="E29" s="756"/>
      <c r="F29" s="989">
        <f>Dren_Quantificacao!D14</f>
        <v>1</v>
      </c>
      <c r="G29" s="989">
        <f>Dren_Quantificacao!E14</f>
        <v>1</v>
      </c>
      <c r="H29" s="989">
        <f>Dren_Quantificacao!F14</f>
        <v>1</v>
      </c>
      <c r="I29" s="989">
        <f>Dren_Quantificacao!G14</f>
        <v>1</v>
      </c>
      <c r="J29" s="989"/>
      <c r="K29" s="989"/>
      <c r="L29" s="989"/>
      <c r="M29" s="989"/>
      <c r="N29" s="990"/>
      <c r="O29" s="989">
        <f>Dren_Quantificacao!L14</f>
        <v>1</v>
      </c>
      <c r="P29" s="989">
        <f>Dren_Quantificacao!M14</f>
        <v>1</v>
      </c>
      <c r="Q29" s="989">
        <f>Dren_Quantificacao!N14</f>
        <v>1</v>
      </c>
      <c r="R29" s="989">
        <f>Dren_Quantificacao!O14</f>
        <v>1</v>
      </c>
      <c r="S29" s="989">
        <f>Dren_Quantificacao!BD14</f>
        <v>0</v>
      </c>
      <c r="T29" s="989">
        <f>Dren_Quantificacao!BE14</f>
        <v>2</v>
      </c>
      <c r="U29" s="989">
        <f>Dren_Quantificacao!BF14</f>
        <v>1</v>
      </c>
      <c r="V29" s="989">
        <f>Dren_Quantificacao!BG14</f>
        <v>2</v>
      </c>
      <c r="W29" s="989">
        <f>Dren_Quantificacao!BH14</f>
        <v>1</v>
      </c>
      <c r="X29" s="989">
        <f>Dren_Quantificacao!BI14</f>
        <v>1</v>
      </c>
      <c r="Y29" s="989">
        <f>Dren_Quantificacao!BJ14</f>
        <v>1</v>
      </c>
      <c r="Z29" s="989">
        <f>Dren_Quantificacao!BK14</f>
        <v>1</v>
      </c>
      <c r="AA29" s="989">
        <f>Dren_Quantificacao!BL14</f>
        <v>1</v>
      </c>
      <c r="AB29" s="989">
        <f>Dren_Quantificacao!BM14</f>
        <v>1</v>
      </c>
      <c r="AC29" s="989">
        <f>Dren_Quantificacao!BN14</f>
        <v>1</v>
      </c>
      <c r="AD29" s="989">
        <f>Dren_Quantificacao!BO14</f>
        <v>1</v>
      </c>
      <c r="AE29" s="989">
        <f>Dren_Quantificacao!BP14</f>
        <v>1</v>
      </c>
      <c r="AF29" s="761"/>
      <c r="AG29" s="761"/>
      <c r="AH29" s="761"/>
      <c r="AI29" s="966"/>
      <c r="AJ29" s="745">
        <f>SUM(F29:AI29)</f>
        <v>22</v>
      </c>
    </row>
    <row r="30" spans="1:48" s="714" customFormat="1" ht="21.95" customHeight="1" thickBot="1">
      <c r="A30" s="2572"/>
      <c r="B30" s="2670" t="s">
        <v>1733</v>
      </c>
      <c r="C30" s="2671"/>
      <c r="D30" s="991"/>
      <c r="E30" s="756"/>
      <c r="F30" s="992">
        <v>1</v>
      </c>
      <c r="G30" s="992">
        <v>1</v>
      </c>
      <c r="H30" s="992">
        <v>1</v>
      </c>
      <c r="I30" s="992">
        <v>1</v>
      </c>
      <c r="J30" s="992">
        <v>1</v>
      </c>
      <c r="K30" s="992">
        <v>1</v>
      </c>
      <c r="L30" s="992">
        <v>1</v>
      </c>
      <c r="M30" s="992">
        <v>1</v>
      </c>
      <c r="N30" s="993">
        <v>1</v>
      </c>
      <c r="O30" s="992">
        <v>1</v>
      </c>
      <c r="P30" s="992">
        <v>1</v>
      </c>
      <c r="Q30" s="992">
        <v>1</v>
      </c>
      <c r="R30" s="992">
        <v>1</v>
      </c>
      <c r="S30" s="992">
        <v>5</v>
      </c>
      <c r="T30" s="992">
        <v>5</v>
      </c>
      <c r="U30" s="992">
        <v>5</v>
      </c>
      <c r="V30" s="992">
        <v>5</v>
      </c>
      <c r="W30" s="992">
        <v>5</v>
      </c>
      <c r="X30" s="992">
        <v>10</v>
      </c>
      <c r="Y30" s="992">
        <v>10</v>
      </c>
      <c r="Z30" s="992">
        <v>3</v>
      </c>
      <c r="AA30" s="992">
        <v>3</v>
      </c>
      <c r="AB30" s="992">
        <v>3</v>
      </c>
      <c r="AC30" s="992">
        <v>3</v>
      </c>
      <c r="AD30" s="992">
        <v>10</v>
      </c>
      <c r="AE30" s="992">
        <v>10</v>
      </c>
      <c r="AF30" s="992"/>
      <c r="AG30" s="992"/>
      <c r="AH30" s="992"/>
      <c r="AI30" s="966"/>
      <c r="AJ30" s="745">
        <v>1</v>
      </c>
      <c r="AK30" s="960"/>
      <c r="AL30" s="960"/>
      <c r="AM30" s="960"/>
      <c r="AN30" s="960"/>
      <c r="AO30" s="960"/>
      <c r="AP30" s="960"/>
      <c r="AQ30" s="960"/>
      <c r="AR30" s="960"/>
      <c r="AS30" s="960"/>
      <c r="AT30" s="960"/>
      <c r="AU30" s="960"/>
      <c r="AV30" s="960"/>
    </row>
    <row r="31" spans="1:48" s="813" customFormat="1" ht="21.95" hidden="1" customHeight="1">
      <c r="A31" s="2572"/>
      <c r="B31" s="2672" t="s">
        <v>1734</v>
      </c>
      <c r="C31" s="994" t="s">
        <v>1735</v>
      </c>
      <c r="D31" s="995"/>
      <c r="E31" s="996"/>
      <c r="F31" s="997">
        <f t="shared" ref="F31:R31" si="31">IF(F11&lt;=4.5,+IF(OR(F5="P",F28="ROCHA"),0.4*2+F4*IF(F3=1,1,IF(F3=2,3,5)),(F4+F6)*IF(F3=1,2,IF(F3=2,3.5,5))),0)</f>
        <v>1.2</v>
      </c>
      <c r="G31" s="997">
        <f t="shared" si="31"/>
        <v>1.2</v>
      </c>
      <c r="H31" s="997">
        <f t="shared" si="31"/>
        <v>1.2</v>
      </c>
      <c r="I31" s="997">
        <f t="shared" si="31"/>
        <v>1.2</v>
      </c>
      <c r="J31" s="997"/>
      <c r="K31" s="997"/>
      <c r="L31" s="997"/>
      <c r="M31" s="997"/>
      <c r="N31" s="998"/>
      <c r="O31" s="997">
        <f t="shared" si="31"/>
        <v>1.2</v>
      </c>
      <c r="P31" s="997">
        <f t="shared" si="31"/>
        <v>1.2</v>
      </c>
      <c r="Q31" s="997">
        <f t="shared" si="31"/>
        <v>1.2</v>
      </c>
      <c r="R31" s="997">
        <f t="shared" si="31"/>
        <v>1.2</v>
      </c>
      <c r="S31" s="997">
        <f>IF(S11&lt;=4.5,+IF(OR(S5="P",S28="ROCHA"),0.4*2+S4*IF(S3=1,1,IF(S3=2,3,5)),(S4+S6)*IF(S3=1,2,IF(S3=2,3.5,5))),0)</f>
        <v>0</v>
      </c>
      <c r="T31" s="997">
        <f>IF(T11&lt;=4.5,+IF(OR(T5="P",T28="ROCHA"),0.4*2+T4*IF(T3=1,1,IF(T3=2,3,5)),(T4+T6)*IF(T3=1,2,IF(T3=2,3.5,5))),0)</f>
        <v>0.8</v>
      </c>
      <c r="U31" s="997">
        <f t="shared" ref="U31:AE31" si="32">IF(U11&lt;=4.5,+IF(OR(U5="P",U28="ROCHA"),0.4*2+U4*IF(U3=1,1,IF(U3=2,3,5)),(U4+U6)*IF(U3=1,2,IF(U3=2,3.5,5))),0)</f>
        <v>0.8</v>
      </c>
      <c r="V31" s="997">
        <f>IF(V11&lt;=4.5,+IF(OR(V5="P",V28="ROCHA"),0.4*2+V4*IF(V3=1,1,IF(V3=2,3,5)),(V4+V6)*IF(V3=1,2,IF(V3=2,3.5,5))),0)</f>
        <v>1.2</v>
      </c>
      <c r="W31" s="997">
        <f t="shared" si="32"/>
        <v>1.2</v>
      </c>
      <c r="X31" s="997">
        <f t="shared" si="32"/>
        <v>1.2000000000000002</v>
      </c>
      <c r="Y31" s="997">
        <f t="shared" si="32"/>
        <v>1.4</v>
      </c>
      <c r="Z31" s="997">
        <f t="shared" si="32"/>
        <v>0.8</v>
      </c>
      <c r="AA31" s="997">
        <f t="shared" si="32"/>
        <v>0.8</v>
      </c>
      <c r="AB31" s="997">
        <f t="shared" si="32"/>
        <v>1</v>
      </c>
      <c r="AC31" s="997">
        <f t="shared" si="32"/>
        <v>1</v>
      </c>
      <c r="AD31" s="997">
        <f t="shared" si="32"/>
        <v>1.2000000000000002</v>
      </c>
      <c r="AE31" s="997">
        <f t="shared" si="32"/>
        <v>1.3</v>
      </c>
      <c r="AI31" s="999"/>
      <c r="AJ31" s="1000"/>
      <c r="AK31" s="1001"/>
      <c r="AL31" s="1001"/>
      <c r="AM31" s="1001"/>
      <c r="AN31" s="1001"/>
      <c r="AO31" s="1001"/>
      <c r="AP31" s="1001"/>
      <c r="AQ31" s="1001"/>
      <c r="AR31" s="1001"/>
      <c r="AS31" s="1001"/>
      <c r="AT31" s="1001"/>
      <c r="AU31" s="1001"/>
      <c r="AV31" s="1001"/>
    </row>
    <row r="32" spans="1:48" s="813" customFormat="1" ht="21.95" hidden="1" customHeight="1" thickBot="1">
      <c r="A32" s="2572"/>
      <c r="B32" s="2673"/>
      <c r="C32" s="1002" t="s">
        <v>1736</v>
      </c>
      <c r="D32" s="1003"/>
      <c r="E32" s="996"/>
      <c r="F32" s="1004">
        <f t="shared" ref="F32:R32" si="33">IF(F31=0,+IF(F5="P",0.8*2+F4*IF(F3=1,1,IF(F3=2,3,5)),(F4+F6)*IF(F3=1,3,IF(F3=2,4.5,6))),0)</f>
        <v>0</v>
      </c>
      <c r="G32" s="1004">
        <f t="shared" si="33"/>
        <v>0</v>
      </c>
      <c r="H32" s="1004">
        <f t="shared" si="33"/>
        <v>0</v>
      </c>
      <c r="I32" s="1004">
        <f t="shared" si="33"/>
        <v>0</v>
      </c>
      <c r="J32" s="1004"/>
      <c r="K32" s="1004"/>
      <c r="L32" s="1004"/>
      <c r="M32" s="1004"/>
      <c r="N32" s="1005"/>
      <c r="O32" s="1004">
        <f t="shared" si="33"/>
        <v>0</v>
      </c>
      <c r="P32" s="1004">
        <f t="shared" si="33"/>
        <v>0</v>
      </c>
      <c r="Q32" s="1004">
        <f t="shared" si="33"/>
        <v>0</v>
      </c>
      <c r="R32" s="1004">
        <f t="shared" si="33"/>
        <v>0</v>
      </c>
      <c r="S32" s="1004">
        <f>IF(S31=0,+IF(S5="P",0.8*2+S4*IF(S3=1,1,IF(S3=2,3,5)),(S4+S6)*IF(S3=1,3,IF(S3=2,4.5,6))),0)</f>
        <v>0</v>
      </c>
      <c r="T32" s="1004">
        <f>IF(T31=0,+IF(T5="P",0.8*2+T4*IF(T3=1,1,IF(T3=2,3,5)),(T4+T6)*IF(T3=1,3,IF(T3=2,4.5,6))),0)</f>
        <v>0</v>
      </c>
      <c r="U32" s="1004">
        <f t="shared" ref="U32:AE32" si="34">IF(U31=0,+IF(U5="P",0.8*2+U4*IF(U3=1,1,IF(U3=2,3,5)),(U4+U6)*IF(U3=1,3,IF(U3=2,4.5,6))),0)</f>
        <v>0</v>
      </c>
      <c r="V32" s="1004">
        <f>IF(V31=0,+IF(V5="P",0.8*2+V4*IF(V3=1,1,IF(V3=2,3,5)),(V4+V6)*IF(V3=1,3,IF(V3=2,4.5,6))),0)</f>
        <v>0</v>
      </c>
      <c r="W32" s="1004">
        <f t="shared" si="34"/>
        <v>0</v>
      </c>
      <c r="X32" s="1004">
        <f t="shared" si="34"/>
        <v>0</v>
      </c>
      <c r="Y32" s="1004">
        <f t="shared" si="34"/>
        <v>0</v>
      </c>
      <c r="Z32" s="1004">
        <f t="shared" si="34"/>
        <v>0</v>
      </c>
      <c r="AA32" s="1004">
        <f t="shared" si="34"/>
        <v>0</v>
      </c>
      <c r="AB32" s="1004">
        <f t="shared" si="34"/>
        <v>0</v>
      </c>
      <c r="AC32" s="1004">
        <f t="shared" si="34"/>
        <v>0</v>
      </c>
      <c r="AD32" s="1004">
        <f t="shared" si="34"/>
        <v>0</v>
      </c>
      <c r="AE32" s="1004">
        <f t="shared" si="34"/>
        <v>0</v>
      </c>
      <c r="AI32" s="1006"/>
      <c r="AJ32" s="1000"/>
      <c r="AK32" s="1001"/>
      <c r="AL32" s="1001"/>
      <c r="AM32" s="1001"/>
      <c r="AN32" s="1001"/>
      <c r="AO32" s="1001"/>
      <c r="AP32" s="1001"/>
      <c r="AQ32" s="1001"/>
      <c r="AR32" s="1001"/>
      <c r="AS32" s="1001"/>
      <c r="AT32" s="1001"/>
      <c r="AU32" s="1001"/>
      <c r="AV32" s="1001"/>
    </row>
    <row r="33" spans="1:49" s="795" customFormat="1" ht="21.95" customHeight="1" thickBot="1">
      <c r="A33" s="2572"/>
      <c r="B33" s="2651" t="s">
        <v>1737</v>
      </c>
      <c r="C33" s="970" t="s">
        <v>1738</v>
      </c>
      <c r="D33" s="971"/>
      <c r="E33" s="972"/>
      <c r="F33" s="743">
        <f t="shared" ref="F33:R33" si="35">IF(F31=0,0,IF(AND(F30="B",F31&lt;1.499),1.5,F31))</f>
        <v>1.2</v>
      </c>
      <c r="G33" s="743">
        <f t="shared" si="35"/>
        <v>1.2</v>
      </c>
      <c r="H33" s="743">
        <f t="shared" si="35"/>
        <v>1.2</v>
      </c>
      <c r="I33" s="743">
        <f t="shared" si="35"/>
        <v>1.2</v>
      </c>
      <c r="J33" s="743"/>
      <c r="K33" s="743"/>
      <c r="L33" s="743"/>
      <c r="M33" s="743"/>
      <c r="N33" s="973"/>
      <c r="O33" s="743">
        <f t="shared" si="35"/>
        <v>1.2</v>
      </c>
      <c r="P33" s="743">
        <f t="shared" si="35"/>
        <v>1.2</v>
      </c>
      <c r="Q33" s="743">
        <f t="shared" si="35"/>
        <v>1.2</v>
      </c>
      <c r="R33" s="743">
        <f t="shared" si="35"/>
        <v>1.2</v>
      </c>
      <c r="S33" s="743">
        <f>IF(S31=0,0,IF(AND(S30="B",S31&lt;1.499),1.5,S31))</f>
        <v>0</v>
      </c>
      <c r="T33" s="743">
        <f>IF(T31=0,0,IF(AND(T30="B",T31&lt;1.499),1.5,T31))</f>
        <v>0.8</v>
      </c>
      <c r="U33" s="743">
        <f t="shared" ref="U33:AE33" si="36">IF(U31=0,0,IF(AND(U30="B",U31&lt;1.499),1.5,U31))</f>
        <v>0.8</v>
      </c>
      <c r="V33" s="743">
        <f>IF(V31=0,0,IF(AND(V30="B",V31&lt;1.499),1.5,V31))</f>
        <v>1.2</v>
      </c>
      <c r="W33" s="743">
        <f t="shared" si="36"/>
        <v>1.2</v>
      </c>
      <c r="X33" s="743">
        <f t="shared" si="36"/>
        <v>1.2000000000000002</v>
      </c>
      <c r="Y33" s="743">
        <f t="shared" si="36"/>
        <v>1.4</v>
      </c>
      <c r="Z33" s="743">
        <f t="shared" si="36"/>
        <v>0.8</v>
      </c>
      <c r="AA33" s="743">
        <f t="shared" si="36"/>
        <v>0.8</v>
      </c>
      <c r="AB33" s="743">
        <f t="shared" si="36"/>
        <v>1</v>
      </c>
      <c r="AC33" s="743">
        <f t="shared" si="36"/>
        <v>1</v>
      </c>
      <c r="AD33" s="743">
        <f t="shared" si="36"/>
        <v>1.2000000000000002</v>
      </c>
      <c r="AE33" s="743">
        <f t="shared" si="36"/>
        <v>1.3</v>
      </c>
      <c r="AF33" s="743"/>
      <c r="AG33" s="743"/>
      <c r="AH33" s="743"/>
      <c r="AI33" s="975"/>
      <c r="AJ33" s="745">
        <f t="shared" ref="AJ33:AJ39" si="37">SUM(F33:AI33)</f>
        <v>22.3</v>
      </c>
      <c r="AK33" s="976"/>
      <c r="AL33" s="976"/>
      <c r="AM33" s="976"/>
      <c r="AN33" s="976"/>
      <c r="AO33" s="976"/>
      <c r="AP33" s="976"/>
      <c r="AQ33" s="976"/>
      <c r="AR33" s="976"/>
      <c r="AS33" s="976"/>
      <c r="AT33" s="976"/>
      <c r="AU33" s="976"/>
      <c r="AV33" s="976"/>
    </row>
    <row r="34" spans="1:49" s="795" customFormat="1" ht="21.95" hidden="1" customHeight="1">
      <c r="A34" s="2572"/>
      <c r="B34" s="2643"/>
      <c r="C34" s="977" t="s">
        <v>1739</v>
      </c>
      <c r="D34" s="978"/>
      <c r="E34" s="979"/>
      <c r="F34" s="752">
        <f t="shared" ref="F34:R34" si="38">IF(F32=0,0,IF(AND(F30="B",F32&lt;1.499),1.5,F32))</f>
        <v>0</v>
      </c>
      <c r="G34" s="752">
        <f t="shared" si="38"/>
        <v>0</v>
      </c>
      <c r="H34" s="752">
        <f t="shared" si="38"/>
        <v>0</v>
      </c>
      <c r="I34" s="752">
        <f t="shared" si="38"/>
        <v>0</v>
      </c>
      <c r="J34" s="752"/>
      <c r="K34" s="752"/>
      <c r="L34" s="752"/>
      <c r="M34" s="752"/>
      <c r="N34" s="980"/>
      <c r="O34" s="752">
        <f t="shared" si="38"/>
        <v>0</v>
      </c>
      <c r="P34" s="752">
        <f t="shared" si="38"/>
        <v>0</v>
      </c>
      <c r="Q34" s="752">
        <f t="shared" si="38"/>
        <v>0</v>
      </c>
      <c r="R34" s="752">
        <f t="shared" si="38"/>
        <v>0</v>
      </c>
      <c r="S34" s="752">
        <f>IF(S32=0,0,IF(AND(S30="B",S32&lt;1.499),1.5,S32))</f>
        <v>0</v>
      </c>
      <c r="T34" s="752">
        <f>IF(T32=0,0,IF(AND(T30="B",T32&lt;1.499),1.5,T32))</f>
        <v>0</v>
      </c>
      <c r="U34" s="752">
        <f t="shared" ref="U34:AE34" si="39">IF(U32=0,0,IF(AND(U30="B",U32&lt;1.499),1.5,U32))</f>
        <v>0</v>
      </c>
      <c r="V34" s="752">
        <f>IF(V32=0,0,IF(AND(V30="B",V32&lt;1.499),1.5,V32))</f>
        <v>0</v>
      </c>
      <c r="W34" s="752">
        <f t="shared" si="39"/>
        <v>0</v>
      </c>
      <c r="X34" s="752">
        <f t="shared" si="39"/>
        <v>0</v>
      </c>
      <c r="Y34" s="752">
        <f t="shared" si="39"/>
        <v>0</v>
      </c>
      <c r="Z34" s="752">
        <f t="shared" si="39"/>
        <v>0</v>
      </c>
      <c r="AA34" s="752">
        <f t="shared" si="39"/>
        <v>0</v>
      </c>
      <c r="AB34" s="752">
        <f t="shared" si="39"/>
        <v>0</v>
      </c>
      <c r="AC34" s="752">
        <f t="shared" si="39"/>
        <v>0</v>
      </c>
      <c r="AD34" s="752">
        <f t="shared" si="39"/>
        <v>0</v>
      </c>
      <c r="AE34" s="752">
        <f t="shared" si="39"/>
        <v>0</v>
      </c>
      <c r="AF34" s="926"/>
      <c r="AG34" s="926"/>
      <c r="AH34" s="926"/>
      <c r="AI34" s="981"/>
      <c r="AJ34" s="745">
        <f t="shared" si="37"/>
        <v>0</v>
      </c>
      <c r="AK34" s="976"/>
      <c r="AL34" s="976"/>
      <c r="AM34" s="976"/>
      <c r="AN34" s="976"/>
      <c r="AO34" s="976"/>
      <c r="AP34" s="976"/>
      <c r="AQ34" s="976"/>
      <c r="AR34" s="976"/>
      <c r="AS34" s="976"/>
      <c r="AT34" s="976"/>
      <c r="AU34" s="976"/>
      <c r="AV34" s="976"/>
    </row>
    <row r="35" spans="1:49" s="795" customFormat="1" ht="21.95" customHeight="1">
      <c r="A35" s="2572"/>
      <c r="B35" s="2637"/>
      <c r="C35" s="977" t="s">
        <v>1740</v>
      </c>
      <c r="D35" s="978"/>
      <c r="E35" s="979"/>
      <c r="F35" s="752">
        <f t="shared" ref="F35:R35" si="40">IF(OR(F30="V",F30="B"),F33+F34,F33+F34+F17/F30*2)</f>
        <v>3.5039999999999996</v>
      </c>
      <c r="G35" s="752">
        <f t="shared" si="40"/>
        <v>3.5039999999999996</v>
      </c>
      <c r="H35" s="752">
        <f t="shared" si="40"/>
        <v>3.5039999999999996</v>
      </c>
      <c r="I35" s="752">
        <f t="shared" si="40"/>
        <v>3.5039999999999996</v>
      </c>
      <c r="J35" s="752"/>
      <c r="K35" s="752"/>
      <c r="L35" s="752"/>
      <c r="M35" s="752"/>
      <c r="N35" s="980"/>
      <c r="O35" s="752">
        <f t="shared" si="40"/>
        <v>3.5039999999999996</v>
      </c>
      <c r="P35" s="752">
        <f t="shared" si="40"/>
        <v>3.5039999999999996</v>
      </c>
      <c r="Q35" s="752">
        <f t="shared" si="40"/>
        <v>3.5039999999999996</v>
      </c>
      <c r="R35" s="752">
        <f t="shared" si="40"/>
        <v>3.5039999999999996</v>
      </c>
      <c r="S35" s="752">
        <f>IF(OR(S30="V",S30="B"),S33+S34,S33+S34+S17/S30*2)</f>
        <v>0</v>
      </c>
      <c r="T35" s="752">
        <f>IF(OR(T30="V",T30="B"),T33+T34,T33+T34+T17/T30*2)</f>
        <v>0.83360000000000001</v>
      </c>
      <c r="U35" s="752">
        <f t="shared" ref="U35:AE35" si="41">IF(OR(U30="V",U30="B"),U33+U34,U33+U34+U17/U30*2)</f>
        <v>0.83360000000000001</v>
      </c>
      <c r="V35" s="752">
        <f>IF(OR(V30="V",V30="B"),V33+V34,V33+V34+V17/V30*2)</f>
        <v>1.2504</v>
      </c>
      <c r="W35" s="752">
        <f t="shared" si="41"/>
        <v>1.2504</v>
      </c>
      <c r="X35" s="752">
        <f t="shared" si="41"/>
        <v>1.2168000000000001</v>
      </c>
      <c r="Y35" s="752">
        <f t="shared" si="41"/>
        <v>1.4251999999999998</v>
      </c>
      <c r="Z35" s="752">
        <f t="shared" si="41"/>
        <v>0.85600000000000009</v>
      </c>
      <c r="AA35" s="752">
        <f t="shared" si="41"/>
        <v>0.85600000000000009</v>
      </c>
      <c r="AB35" s="752">
        <f t="shared" si="41"/>
        <v>1.07</v>
      </c>
      <c r="AC35" s="752">
        <f t="shared" si="41"/>
        <v>1.07</v>
      </c>
      <c r="AD35" s="752">
        <f t="shared" si="41"/>
        <v>1.2168000000000001</v>
      </c>
      <c r="AE35" s="752">
        <f t="shared" si="41"/>
        <v>1.321</v>
      </c>
      <c r="AF35" s="926"/>
      <c r="AG35" s="926"/>
      <c r="AH35" s="926"/>
      <c r="AI35" s="981"/>
      <c r="AJ35" s="745">
        <f t="shared" si="37"/>
        <v>41.231799999999986</v>
      </c>
      <c r="AK35" s="976"/>
      <c r="AL35" s="976"/>
      <c r="AM35" s="976"/>
      <c r="AN35" s="976"/>
      <c r="AO35" s="976"/>
      <c r="AP35" s="976"/>
      <c r="AQ35" s="976"/>
      <c r="AR35" s="976"/>
      <c r="AS35" s="976"/>
      <c r="AT35" s="976"/>
      <c r="AU35" s="976"/>
      <c r="AV35" s="976"/>
    </row>
    <row r="36" spans="1:49" s="795" customFormat="1" ht="21.95" hidden="1" customHeight="1" thickBot="1">
      <c r="A36" s="2572"/>
      <c r="B36" s="2635"/>
      <c r="C36" s="977" t="s">
        <v>1741</v>
      </c>
      <c r="D36" s="978"/>
      <c r="E36" s="979"/>
      <c r="F36" s="752">
        <f t="shared" ref="F36:R36" si="42">IF(F30="B",F33+F34,0)</f>
        <v>0</v>
      </c>
      <c r="G36" s="752">
        <f t="shared" si="42"/>
        <v>0</v>
      </c>
      <c r="H36" s="752">
        <f t="shared" si="42"/>
        <v>0</v>
      </c>
      <c r="I36" s="752">
        <f t="shared" si="42"/>
        <v>0</v>
      </c>
      <c r="J36" s="752"/>
      <c r="K36" s="752"/>
      <c r="L36" s="752"/>
      <c r="M36" s="752"/>
      <c r="N36" s="980"/>
      <c r="O36" s="752">
        <f t="shared" si="42"/>
        <v>0</v>
      </c>
      <c r="P36" s="752">
        <f t="shared" si="42"/>
        <v>0</v>
      </c>
      <c r="Q36" s="752">
        <f t="shared" si="42"/>
        <v>0</v>
      </c>
      <c r="R36" s="752">
        <f t="shared" si="42"/>
        <v>0</v>
      </c>
      <c r="S36" s="752">
        <f>IF(S30="B",S33+S34,0)</f>
        <v>0</v>
      </c>
      <c r="T36" s="752">
        <f>IF(T30="B",T33+T34,0)</f>
        <v>0</v>
      </c>
      <c r="U36" s="752">
        <f t="shared" ref="U36:AE36" si="43">IF(U30="B",U33+U34,0)</f>
        <v>0</v>
      </c>
      <c r="V36" s="752">
        <f>IF(V30="B",V33+V34,0)</f>
        <v>0</v>
      </c>
      <c r="W36" s="752">
        <f t="shared" si="43"/>
        <v>0</v>
      </c>
      <c r="X36" s="752">
        <f t="shared" si="43"/>
        <v>0</v>
      </c>
      <c r="Y36" s="752">
        <f t="shared" si="43"/>
        <v>0</v>
      </c>
      <c r="Z36" s="752">
        <f t="shared" si="43"/>
        <v>0</v>
      </c>
      <c r="AA36" s="752">
        <f t="shared" si="43"/>
        <v>0</v>
      </c>
      <c r="AB36" s="752">
        <f t="shared" si="43"/>
        <v>0</v>
      </c>
      <c r="AC36" s="752">
        <f t="shared" si="43"/>
        <v>0</v>
      </c>
      <c r="AD36" s="752">
        <f t="shared" si="43"/>
        <v>0</v>
      </c>
      <c r="AE36" s="752">
        <f t="shared" si="43"/>
        <v>0</v>
      </c>
      <c r="AF36" s="926"/>
      <c r="AG36" s="926"/>
      <c r="AH36" s="926"/>
      <c r="AI36" s="981"/>
      <c r="AJ36" s="745">
        <f t="shared" si="37"/>
        <v>0</v>
      </c>
      <c r="AK36" s="976"/>
      <c r="AL36" s="976"/>
      <c r="AM36" s="976"/>
      <c r="AN36" s="976"/>
      <c r="AO36" s="976"/>
      <c r="AP36" s="976"/>
      <c r="AQ36" s="976"/>
      <c r="AR36" s="976"/>
      <c r="AS36" s="976"/>
      <c r="AT36" s="976"/>
      <c r="AU36" s="976"/>
      <c r="AV36" s="976"/>
    </row>
    <row r="37" spans="1:49" s="795" customFormat="1" ht="21.95" hidden="1" customHeight="1">
      <c r="A37" s="2572"/>
      <c r="B37" s="2643"/>
      <c r="C37" s="977" t="s">
        <v>1742</v>
      </c>
      <c r="D37" s="978"/>
      <c r="E37" s="979"/>
      <c r="F37" s="752">
        <f t="shared" ref="F37:R37" si="44">IF(F16=0,0,IF(F30="V",F39,-F16/F30*2+F39))</f>
        <v>0</v>
      </c>
      <c r="G37" s="752">
        <f t="shared" si="44"/>
        <v>0</v>
      </c>
      <c r="H37" s="752">
        <f t="shared" si="44"/>
        <v>0</v>
      </c>
      <c r="I37" s="752">
        <f t="shared" si="44"/>
        <v>0</v>
      </c>
      <c r="J37" s="752"/>
      <c r="K37" s="752"/>
      <c r="L37" s="752"/>
      <c r="M37" s="752"/>
      <c r="N37" s="980"/>
      <c r="O37" s="752">
        <f t="shared" si="44"/>
        <v>0</v>
      </c>
      <c r="P37" s="752">
        <f t="shared" si="44"/>
        <v>0</v>
      </c>
      <c r="Q37" s="752">
        <f t="shared" si="44"/>
        <v>0</v>
      </c>
      <c r="R37" s="752">
        <f t="shared" si="44"/>
        <v>0</v>
      </c>
      <c r="S37" s="752">
        <f>IF(S16=0,0,IF(S30="V",S39,-S16/S30*2+S39))</f>
        <v>0</v>
      </c>
      <c r="T37" s="752">
        <f>IF(T16=0,0,IF(T30="V",T39,-T16/T30*2+T39))</f>
        <v>0</v>
      </c>
      <c r="U37" s="752">
        <f t="shared" ref="U37:AE37" si="45">IF(U16=0,0,IF(U30="V",U39,-U16/U30*2+U39))</f>
        <v>0</v>
      </c>
      <c r="V37" s="752">
        <f>IF(V16=0,0,IF(V30="V",V39,-V16/V30*2+V39))</f>
        <v>0</v>
      </c>
      <c r="W37" s="752">
        <f t="shared" si="45"/>
        <v>0</v>
      </c>
      <c r="X37" s="752">
        <f t="shared" si="45"/>
        <v>0</v>
      </c>
      <c r="Y37" s="752">
        <f t="shared" si="45"/>
        <v>0</v>
      </c>
      <c r="Z37" s="752">
        <f t="shared" si="45"/>
        <v>0</v>
      </c>
      <c r="AA37" s="752">
        <f t="shared" si="45"/>
        <v>0</v>
      </c>
      <c r="AB37" s="752">
        <f t="shared" si="45"/>
        <v>0</v>
      </c>
      <c r="AC37" s="752">
        <f t="shared" si="45"/>
        <v>0</v>
      </c>
      <c r="AD37" s="752">
        <f t="shared" si="45"/>
        <v>0</v>
      </c>
      <c r="AE37" s="752">
        <f t="shared" si="45"/>
        <v>0</v>
      </c>
      <c r="AF37" s="926"/>
      <c r="AG37" s="926"/>
      <c r="AH37" s="926"/>
      <c r="AI37" s="981"/>
      <c r="AJ37" s="745">
        <f t="shared" si="37"/>
        <v>0</v>
      </c>
      <c r="AK37" s="976"/>
      <c r="AL37" s="976"/>
      <c r="AM37" s="976"/>
      <c r="AN37" s="976"/>
      <c r="AO37" s="976"/>
      <c r="AP37" s="976"/>
      <c r="AQ37" s="976"/>
      <c r="AR37" s="976"/>
      <c r="AS37" s="976"/>
      <c r="AT37" s="976"/>
      <c r="AU37" s="976"/>
      <c r="AV37" s="976"/>
    </row>
    <row r="38" spans="1:49" s="795" customFormat="1" ht="21.95" hidden="1" customHeight="1">
      <c r="A38" s="2572"/>
      <c r="B38" s="2643"/>
      <c r="C38" s="977" t="s">
        <v>1743</v>
      </c>
      <c r="D38" s="978"/>
      <c r="E38" s="979"/>
      <c r="F38" s="752">
        <f t="shared" ref="F38:R38" si="46">IF(F14=0,0,IF(OR(F30="V",F30="B"),F33+F34,F14/F30*2+F33+F34))</f>
        <v>0</v>
      </c>
      <c r="G38" s="752">
        <f t="shared" si="46"/>
        <v>0</v>
      </c>
      <c r="H38" s="752">
        <f t="shared" si="46"/>
        <v>0</v>
      </c>
      <c r="I38" s="752">
        <f t="shared" si="46"/>
        <v>0</v>
      </c>
      <c r="J38" s="752"/>
      <c r="K38" s="752"/>
      <c r="L38" s="752"/>
      <c r="M38" s="752"/>
      <c r="N38" s="980"/>
      <c r="O38" s="752">
        <f t="shared" si="46"/>
        <v>0</v>
      </c>
      <c r="P38" s="752">
        <f t="shared" si="46"/>
        <v>0</v>
      </c>
      <c r="Q38" s="752">
        <f t="shared" si="46"/>
        <v>0</v>
      </c>
      <c r="R38" s="752">
        <f t="shared" si="46"/>
        <v>0</v>
      </c>
      <c r="S38" s="752">
        <f>IF(S14=0,0,IF(OR(S30="V",S30="B"),S33+S34,S14/S30*2+S33+S34))</f>
        <v>0</v>
      </c>
      <c r="T38" s="752">
        <f>IF(T14=0,0,IF(OR(T30="V",T30="B"),T33+T34,T14/T30*2+T33+T34))</f>
        <v>0</v>
      </c>
      <c r="U38" s="752">
        <f t="shared" ref="U38:AE38" si="47">IF(U14=0,0,IF(OR(U30="V",U30="B"),U33+U34,U14/U30*2+U33+U34))</f>
        <v>0</v>
      </c>
      <c r="V38" s="752">
        <f>IF(V14=0,0,IF(OR(V30="V",V30="B"),V33+V34,V14/V30*2+V33+V34))</f>
        <v>0</v>
      </c>
      <c r="W38" s="752">
        <f t="shared" si="47"/>
        <v>0</v>
      </c>
      <c r="X38" s="752">
        <f t="shared" si="47"/>
        <v>0</v>
      </c>
      <c r="Y38" s="752">
        <f t="shared" si="47"/>
        <v>0</v>
      </c>
      <c r="Z38" s="752">
        <f t="shared" si="47"/>
        <v>0</v>
      </c>
      <c r="AA38" s="752">
        <f t="shared" si="47"/>
        <v>0</v>
      </c>
      <c r="AB38" s="752">
        <f t="shared" si="47"/>
        <v>0</v>
      </c>
      <c r="AC38" s="752">
        <f t="shared" si="47"/>
        <v>0</v>
      </c>
      <c r="AD38" s="752">
        <f t="shared" si="47"/>
        <v>0</v>
      </c>
      <c r="AE38" s="752">
        <f t="shared" si="47"/>
        <v>0</v>
      </c>
      <c r="AF38" s="926"/>
      <c r="AG38" s="926"/>
      <c r="AH38" s="926"/>
      <c r="AI38" s="981"/>
      <c r="AJ38" s="745">
        <f t="shared" si="37"/>
        <v>0</v>
      </c>
      <c r="AK38" s="976"/>
      <c r="AL38" s="976"/>
      <c r="AM38" s="976"/>
      <c r="AN38" s="976"/>
      <c r="AO38" s="976"/>
      <c r="AP38" s="976"/>
      <c r="AQ38" s="976"/>
      <c r="AR38" s="976"/>
      <c r="AS38" s="976"/>
      <c r="AT38" s="976"/>
      <c r="AU38" s="976"/>
      <c r="AV38" s="976"/>
    </row>
    <row r="39" spans="1:49" s="795" customFormat="1" ht="21.95" customHeight="1" thickBot="1">
      <c r="A39" s="2572"/>
      <c r="B39" s="2635"/>
      <c r="C39" s="1007" t="s">
        <v>1744</v>
      </c>
      <c r="D39" s="1008"/>
      <c r="E39" s="979"/>
      <c r="F39" s="752">
        <f>MAX(F36,IF(F30="V",F33+F34,IF(F30="B",(F11-F15)/3*2+F33+F34,F11/F30*2+F33+F34)))</f>
        <v>5.6620000000000363</v>
      </c>
      <c r="G39" s="752">
        <f t="shared" ref="G39:R39" si="48">MAX(G36,IF(G30="V",G33+G34,IF(G30="B",(G11-G15)/3*2+G33+G34,G11/G30*2+G33+G34)))</f>
        <v>5.6720000000000272</v>
      </c>
      <c r="H39" s="752">
        <f t="shared" si="48"/>
        <v>5.5020000000000682</v>
      </c>
      <c r="I39" s="752">
        <f t="shared" si="48"/>
        <v>5.656999999999984</v>
      </c>
      <c r="J39" s="752"/>
      <c r="K39" s="752"/>
      <c r="L39" s="752"/>
      <c r="M39" s="752"/>
      <c r="N39" s="980"/>
      <c r="O39" s="752">
        <f t="shared" si="48"/>
        <v>5.6520000000001023</v>
      </c>
      <c r="P39" s="752">
        <f t="shared" si="48"/>
        <v>5.6520000000001591</v>
      </c>
      <c r="Q39" s="752">
        <f t="shared" si="48"/>
        <v>5.6570000000000409</v>
      </c>
      <c r="R39" s="752">
        <f t="shared" si="48"/>
        <v>5.6419999999999977</v>
      </c>
      <c r="S39" s="752">
        <f>MAX(S36,IF(S30="V",S33+S34,IF(S30="B",(S11-S15)/3*2+S33+S34,S11/S30*2+S33+S34)))</f>
        <v>0</v>
      </c>
      <c r="T39" s="752">
        <f t="shared" ref="T39:AE39" si="49">MAX(T36,IF(T30="V",T33+T34,IF(T30="B",(T11-T15)/3*2+T33+T34,T11/T30*2+T33+T34)))</f>
        <v>0.83360000000000001</v>
      </c>
      <c r="U39" s="752">
        <f t="shared" si="49"/>
        <v>0.83360000000000001</v>
      </c>
      <c r="V39" s="752">
        <f t="shared" si="49"/>
        <v>1.2504</v>
      </c>
      <c r="W39" s="752">
        <f t="shared" si="49"/>
        <v>1.2504</v>
      </c>
      <c r="X39" s="752">
        <f t="shared" si="49"/>
        <v>1.2168000000000001</v>
      </c>
      <c r="Y39" s="752">
        <f t="shared" si="49"/>
        <v>1.4251999999999998</v>
      </c>
      <c r="Z39" s="752">
        <f t="shared" si="49"/>
        <v>0.85600000000000009</v>
      </c>
      <c r="AA39" s="752">
        <f t="shared" si="49"/>
        <v>0.85600000000000009</v>
      </c>
      <c r="AB39" s="752">
        <f t="shared" si="49"/>
        <v>1.07</v>
      </c>
      <c r="AC39" s="752">
        <f t="shared" si="49"/>
        <v>1.07</v>
      </c>
      <c r="AD39" s="752">
        <f t="shared" si="49"/>
        <v>1.2168000000000001</v>
      </c>
      <c r="AE39" s="752">
        <f t="shared" si="49"/>
        <v>1.321</v>
      </c>
      <c r="AF39" s="752"/>
      <c r="AG39" s="752"/>
      <c r="AH39" s="752"/>
      <c r="AI39" s="981"/>
      <c r="AJ39" s="745">
        <f t="shared" si="37"/>
        <v>58.295800000000398</v>
      </c>
      <c r="AK39" s="976"/>
      <c r="AL39" s="976"/>
      <c r="AM39" s="976"/>
      <c r="AN39" s="976"/>
      <c r="AO39" s="976"/>
      <c r="AP39" s="976"/>
      <c r="AQ39" s="976"/>
      <c r="AR39" s="976"/>
      <c r="AS39" s="976"/>
      <c r="AT39" s="976"/>
      <c r="AU39" s="976"/>
      <c r="AV39" s="976"/>
    </row>
    <row r="40" spans="1:49" s="795" customFormat="1" ht="32.1" hidden="1" customHeight="1">
      <c r="A40" s="2572"/>
      <c r="B40" s="2655" t="s">
        <v>1745</v>
      </c>
      <c r="C40" s="1009" t="s">
        <v>1746</v>
      </c>
      <c r="D40" s="971"/>
      <c r="E40" s="972"/>
      <c r="F40" s="1010">
        <f t="shared" ref="F40:R40" si="50">SUM(F157:F158)+F163+SUM(F167:F168)+F179</f>
        <v>0</v>
      </c>
      <c r="G40" s="1010">
        <f t="shared" si="50"/>
        <v>0</v>
      </c>
      <c r="H40" s="1010">
        <f t="shared" si="50"/>
        <v>0</v>
      </c>
      <c r="I40" s="1010">
        <f t="shared" si="50"/>
        <v>0</v>
      </c>
      <c r="J40" s="1010"/>
      <c r="K40" s="1010"/>
      <c r="L40" s="1010"/>
      <c r="M40" s="1010"/>
      <c r="N40" s="1011"/>
      <c r="O40" s="1010">
        <f t="shared" si="50"/>
        <v>0</v>
      </c>
      <c r="P40" s="1010">
        <f t="shared" si="50"/>
        <v>0</v>
      </c>
      <c r="Q40" s="1010">
        <f t="shared" si="50"/>
        <v>0</v>
      </c>
      <c r="R40" s="1010">
        <f t="shared" si="50"/>
        <v>0</v>
      </c>
      <c r="S40" s="1010">
        <f>SUM(S157:S158)+S163+SUM(S167:S168)+S179</f>
        <v>0</v>
      </c>
      <c r="T40" s="1010">
        <f>SUM(T157:T158)+T163+SUM(T167:T168)+T179</f>
        <v>0</v>
      </c>
      <c r="U40" s="1010">
        <f t="shared" ref="U40:AE40" si="51">SUM(U157:U158)+U163+SUM(U167:U168)+U179</f>
        <v>0</v>
      </c>
      <c r="V40" s="1010">
        <f>SUM(V157:V158)+V163+SUM(V167:V168)+V179</f>
        <v>0</v>
      </c>
      <c r="W40" s="1010">
        <f t="shared" si="51"/>
        <v>0</v>
      </c>
      <c r="X40" s="1010">
        <f t="shared" si="51"/>
        <v>0</v>
      </c>
      <c r="Y40" s="1010">
        <f t="shared" si="51"/>
        <v>0</v>
      </c>
      <c r="Z40" s="1010">
        <f t="shared" si="51"/>
        <v>0</v>
      </c>
      <c r="AA40" s="1010">
        <f t="shared" si="51"/>
        <v>0</v>
      </c>
      <c r="AB40" s="1010">
        <f t="shared" si="51"/>
        <v>0</v>
      </c>
      <c r="AC40" s="1010">
        <f t="shared" si="51"/>
        <v>0</v>
      </c>
      <c r="AD40" s="1010">
        <f t="shared" si="51"/>
        <v>0</v>
      </c>
      <c r="AE40" s="1010">
        <f t="shared" si="51"/>
        <v>0</v>
      </c>
      <c r="AF40" s="1010"/>
      <c r="AG40" s="1010"/>
      <c r="AH40" s="1010"/>
      <c r="AI40" s="1012"/>
      <c r="AJ40" s="1000"/>
      <c r="AK40" s="976"/>
      <c r="AL40" s="976"/>
      <c r="AM40" s="976"/>
      <c r="AN40" s="976"/>
      <c r="AO40" s="976"/>
      <c r="AP40" s="976"/>
      <c r="AQ40" s="976"/>
      <c r="AR40" s="976"/>
      <c r="AS40" s="976"/>
      <c r="AT40" s="976"/>
      <c r="AU40" s="976"/>
      <c r="AV40" s="976"/>
    </row>
    <row r="41" spans="1:49" s="795" customFormat="1" ht="21.95" hidden="1" customHeight="1">
      <c r="A41" s="2572"/>
      <c r="B41" s="2656"/>
      <c r="C41" s="1013" t="s">
        <v>1555</v>
      </c>
      <c r="D41" s="978"/>
      <c r="E41" s="979"/>
      <c r="F41" s="778">
        <f t="shared" ref="F41:R41" si="52">IF(F38=0,0,(F38+F33+F34)/2*F14*F2)</f>
        <v>0</v>
      </c>
      <c r="G41" s="778">
        <f t="shared" si="52"/>
        <v>0</v>
      </c>
      <c r="H41" s="778">
        <f t="shared" si="52"/>
        <v>0</v>
      </c>
      <c r="I41" s="778">
        <f t="shared" si="52"/>
        <v>0</v>
      </c>
      <c r="J41" s="778"/>
      <c r="K41" s="778"/>
      <c r="L41" s="778"/>
      <c r="M41" s="778"/>
      <c r="N41" s="1014"/>
      <c r="O41" s="778">
        <f t="shared" si="52"/>
        <v>0</v>
      </c>
      <c r="P41" s="778">
        <f t="shared" si="52"/>
        <v>0</v>
      </c>
      <c r="Q41" s="778">
        <f t="shared" si="52"/>
        <v>0</v>
      </c>
      <c r="R41" s="778">
        <f t="shared" si="52"/>
        <v>0</v>
      </c>
      <c r="S41" s="778">
        <f>IF(S38=0,0,(S38+S33+S34)/2*S14*S2)</f>
        <v>0</v>
      </c>
      <c r="T41" s="778">
        <f>IF(T38=0,0,(T38+T33+T34)/2*T14*T2)</f>
        <v>0</v>
      </c>
      <c r="U41" s="778">
        <f t="shared" ref="U41:AE41" si="53">IF(U38=0,0,(U38+U33+U34)/2*U14*U2)</f>
        <v>0</v>
      </c>
      <c r="V41" s="778">
        <f>IF(V38=0,0,(V38+V33+V34)/2*V14*V2)</f>
        <v>0</v>
      </c>
      <c r="W41" s="778">
        <f t="shared" si="53"/>
        <v>0</v>
      </c>
      <c r="X41" s="778">
        <f t="shared" si="53"/>
        <v>0</v>
      </c>
      <c r="Y41" s="778">
        <f t="shared" si="53"/>
        <v>0</v>
      </c>
      <c r="Z41" s="778">
        <f t="shared" si="53"/>
        <v>0</v>
      </c>
      <c r="AA41" s="778">
        <f t="shared" si="53"/>
        <v>0</v>
      </c>
      <c r="AB41" s="778">
        <f t="shared" si="53"/>
        <v>0</v>
      </c>
      <c r="AC41" s="778">
        <f t="shared" si="53"/>
        <v>0</v>
      </c>
      <c r="AD41" s="778">
        <f t="shared" si="53"/>
        <v>0</v>
      </c>
      <c r="AE41" s="778">
        <f t="shared" si="53"/>
        <v>0</v>
      </c>
      <c r="AF41" s="778"/>
      <c r="AG41" s="778"/>
      <c r="AH41" s="778"/>
      <c r="AI41" s="1015"/>
      <c r="AJ41" s="1000"/>
      <c r="AK41" s="976"/>
      <c r="AL41" s="976"/>
      <c r="AM41" s="976"/>
      <c r="AN41" s="976"/>
      <c r="AO41" s="976"/>
      <c r="AP41" s="976"/>
      <c r="AQ41" s="976"/>
      <c r="AR41" s="976"/>
      <c r="AS41" s="976"/>
      <c r="AT41" s="976"/>
      <c r="AU41" s="976"/>
      <c r="AV41" s="976"/>
    </row>
    <row r="42" spans="1:49" s="795" customFormat="1" ht="21.95" hidden="1" customHeight="1">
      <c r="A42" s="2572"/>
      <c r="B42" s="2656"/>
      <c r="C42" s="1016" t="s">
        <v>1747</v>
      </c>
      <c r="D42" s="978"/>
      <c r="E42" s="979"/>
      <c r="F42" s="778">
        <f t="shared" ref="F42:R42" si="54">IF(F20=0,0,IF(F36=0,(F33+F34+F39)/2*F11*F2-F41,((F33+F34)*F15+(F36+F39)/2*(F11-F15))*F2-F41))</f>
        <v>0</v>
      </c>
      <c r="G42" s="778">
        <f t="shared" si="54"/>
        <v>0</v>
      </c>
      <c r="H42" s="778">
        <f t="shared" si="54"/>
        <v>0</v>
      </c>
      <c r="I42" s="778">
        <f t="shared" si="54"/>
        <v>0</v>
      </c>
      <c r="J42" s="778"/>
      <c r="K42" s="778"/>
      <c r="L42" s="778"/>
      <c r="M42" s="778"/>
      <c r="N42" s="1014"/>
      <c r="O42" s="778">
        <f t="shared" si="54"/>
        <v>0</v>
      </c>
      <c r="P42" s="778">
        <f t="shared" si="54"/>
        <v>0</v>
      </c>
      <c r="Q42" s="778">
        <f t="shared" si="54"/>
        <v>0</v>
      </c>
      <c r="R42" s="778">
        <f t="shared" si="54"/>
        <v>0</v>
      </c>
      <c r="S42" s="778">
        <f>IF(S20=0,0,IF(S36=0,(S33+S34+S39)/2*S11*S2-S41,((S33+S34)*S15+(S36+S39)/2*(S11-S15))*S2-S41))</f>
        <v>0</v>
      </c>
      <c r="T42" s="778">
        <f>IF(T20=0,0,IF(T36=0,(T33+T34+T39)/2*T11*T2-T41,((T33+T34)*T15+(T36+T39)/2*(T11-T15))*T2-T41))</f>
        <v>0</v>
      </c>
      <c r="U42" s="778">
        <f t="shared" ref="U42:AE42" si="55">IF(U20=0,0,IF(U36=0,(U33+U34+U39)/2*U11*U2-U41,((U33+U34)*U15+(U36+U39)/2*(U11-U15))*U2-U41))</f>
        <v>0</v>
      </c>
      <c r="V42" s="778">
        <f>IF(V20=0,0,IF(V36=0,(V33+V34+V39)/2*V11*V2-V41,((V33+V34)*V15+(V36+V39)/2*(V11-V15))*V2-V41))</f>
        <v>0</v>
      </c>
      <c r="W42" s="778">
        <f t="shared" si="55"/>
        <v>0</v>
      </c>
      <c r="X42" s="778">
        <f t="shared" si="55"/>
        <v>0</v>
      </c>
      <c r="Y42" s="778">
        <f t="shared" si="55"/>
        <v>0</v>
      </c>
      <c r="Z42" s="778">
        <f t="shared" si="55"/>
        <v>0</v>
      </c>
      <c r="AA42" s="778">
        <f t="shared" si="55"/>
        <v>0</v>
      </c>
      <c r="AB42" s="778">
        <f t="shared" si="55"/>
        <v>0</v>
      </c>
      <c r="AC42" s="778">
        <f t="shared" si="55"/>
        <v>0</v>
      </c>
      <c r="AD42" s="778">
        <f t="shared" si="55"/>
        <v>0</v>
      </c>
      <c r="AE42" s="778">
        <f t="shared" si="55"/>
        <v>0</v>
      </c>
      <c r="AF42" s="778"/>
      <c r="AG42" s="778"/>
      <c r="AH42" s="778"/>
      <c r="AI42" s="1015"/>
      <c r="AJ42" s="1000"/>
      <c r="AK42" s="976"/>
      <c r="AL42" s="976"/>
      <c r="AM42" s="976"/>
      <c r="AN42" s="976"/>
      <c r="AO42" s="976"/>
      <c r="AP42" s="976"/>
      <c r="AQ42" s="976"/>
      <c r="AR42" s="976"/>
      <c r="AS42" s="976"/>
      <c r="AT42" s="976"/>
      <c r="AU42" s="976"/>
      <c r="AV42" s="976"/>
    </row>
    <row r="43" spans="1:49" s="795" customFormat="1" ht="21.95" hidden="1" customHeight="1">
      <c r="A43" s="2572"/>
      <c r="B43" s="2656"/>
      <c r="C43" s="1016" t="s">
        <v>1748</v>
      </c>
      <c r="D43" s="978"/>
      <c r="E43" s="979"/>
      <c r="F43" s="778">
        <f t="shared" ref="F43:R43" si="56">IF(F21=0,0,IF(F36=0,(F33+F34+F39)/2*F11*F2-F41,((F33+F34)*F15+(F36+F39)/2*(F11-F15))*F2-F41))</f>
        <v>0</v>
      </c>
      <c r="G43" s="778">
        <f t="shared" si="56"/>
        <v>0</v>
      </c>
      <c r="H43" s="778">
        <f t="shared" si="56"/>
        <v>0</v>
      </c>
      <c r="I43" s="778">
        <f t="shared" si="56"/>
        <v>0</v>
      </c>
      <c r="J43" s="778"/>
      <c r="K43" s="778"/>
      <c r="L43" s="778"/>
      <c r="M43" s="778"/>
      <c r="N43" s="1014"/>
      <c r="O43" s="778">
        <f t="shared" si="56"/>
        <v>0</v>
      </c>
      <c r="P43" s="778">
        <f t="shared" si="56"/>
        <v>0</v>
      </c>
      <c r="Q43" s="778">
        <f t="shared" si="56"/>
        <v>0</v>
      </c>
      <c r="R43" s="778">
        <f t="shared" si="56"/>
        <v>0</v>
      </c>
      <c r="S43" s="778">
        <f>IF(S21=0,0,IF(S36=0,(S33+S34+S39)/2*S11*S2-S41,((S33+S34)*S15+(S36+S39)/2*(S11-S15))*S2-S41))</f>
        <v>0</v>
      </c>
      <c r="T43" s="778">
        <f>IF(T21=0,0,IF(T36=0,(T33+T34+T39)/2*T11*T2-T41,((T33+T34)*T15+(T36+T39)/2*(T11-T15))*T2-T41))</f>
        <v>0</v>
      </c>
      <c r="U43" s="778">
        <f t="shared" ref="U43:AE43" si="57">IF(U21=0,0,IF(U36=0,(U33+U34+U39)/2*U11*U2-U41,((U33+U34)*U15+(U36+U39)/2*(U11-U15))*U2-U41))</f>
        <v>0</v>
      </c>
      <c r="V43" s="778">
        <f>IF(V21=0,0,IF(V36=0,(V33+V34+V39)/2*V11*V2-V41,((V33+V34)*V15+(V36+V39)/2*(V11-V15))*V2-V41))</f>
        <v>0</v>
      </c>
      <c r="W43" s="778">
        <f t="shared" si="57"/>
        <v>0</v>
      </c>
      <c r="X43" s="778">
        <f t="shared" si="57"/>
        <v>0</v>
      </c>
      <c r="Y43" s="778">
        <f t="shared" si="57"/>
        <v>0</v>
      </c>
      <c r="Z43" s="778">
        <f t="shared" si="57"/>
        <v>0</v>
      </c>
      <c r="AA43" s="778">
        <f t="shared" si="57"/>
        <v>0</v>
      </c>
      <c r="AB43" s="778">
        <f t="shared" si="57"/>
        <v>0</v>
      </c>
      <c r="AC43" s="778">
        <f t="shared" si="57"/>
        <v>0</v>
      </c>
      <c r="AD43" s="778">
        <f t="shared" si="57"/>
        <v>0</v>
      </c>
      <c r="AE43" s="778">
        <f t="shared" si="57"/>
        <v>0</v>
      </c>
      <c r="AF43" s="778"/>
      <c r="AG43" s="778"/>
      <c r="AH43" s="778"/>
      <c r="AI43" s="1015"/>
      <c r="AJ43" s="1000"/>
      <c r="AK43" s="976"/>
      <c r="AL43" s="976"/>
      <c r="AM43" s="976"/>
      <c r="AN43" s="976"/>
      <c r="AO43" s="976"/>
      <c r="AP43" s="976"/>
      <c r="AQ43" s="976"/>
      <c r="AR43" s="976"/>
      <c r="AS43" s="976"/>
      <c r="AT43" s="976"/>
      <c r="AU43" s="976"/>
      <c r="AV43" s="976"/>
    </row>
    <row r="44" spans="1:49" s="795" customFormat="1" ht="21.95" hidden="1" customHeight="1">
      <c r="A44" s="2572"/>
      <c r="B44" s="2656"/>
      <c r="C44" s="1016" t="s">
        <v>1749</v>
      </c>
      <c r="D44" s="978"/>
      <c r="E44" s="979"/>
      <c r="F44" s="778">
        <f t="shared" ref="F44:R44" si="58">IF(F22=0,0,(F33+F34+F39)/2*F11*F2-F41)</f>
        <v>229.6368300000031</v>
      </c>
      <c r="G44" s="778">
        <f t="shared" si="58"/>
        <v>384.14480000000384</v>
      </c>
      <c r="H44" s="778">
        <f t="shared" si="58"/>
        <v>180.2000250000047</v>
      </c>
      <c r="I44" s="778">
        <f t="shared" si="58"/>
        <v>343.81855124999794</v>
      </c>
      <c r="J44" s="778"/>
      <c r="K44" s="778"/>
      <c r="L44" s="778"/>
      <c r="M44" s="778"/>
      <c r="N44" s="1014"/>
      <c r="O44" s="778">
        <f t="shared" si="58"/>
        <v>305.05104000001154</v>
      </c>
      <c r="P44" s="778">
        <f t="shared" si="58"/>
        <v>190.65690000001123</v>
      </c>
      <c r="Q44" s="778">
        <f t="shared" si="58"/>
        <v>343.81855125000521</v>
      </c>
      <c r="R44" s="778">
        <f t="shared" si="58"/>
        <v>341.91184499999969</v>
      </c>
      <c r="S44" s="778">
        <f>IF(S22=0,0,(S33+S34+S39)/2*S11*S2-S41)</f>
        <v>0</v>
      </c>
      <c r="T44" s="778">
        <f>IF(T22=0,0,(T33+T34+T39)/2*T11*T2-T41)</f>
        <v>0</v>
      </c>
      <c r="U44" s="778">
        <f t="shared" ref="U44:AE44" si="59">IF(U22=0,0,(U33+U34+U39)/2*U11*U2-U41)</f>
        <v>0</v>
      </c>
      <c r="V44" s="778">
        <f>IF(V22=0,0,(V33+V34+V39)/2*V11*V2-V41)</f>
        <v>0</v>
      </c>
      <c r="W44" s="778">
        <f t="shared" si="59"/>
        <v>0</v>
      </c>
      <c r="X44" s="778">
        <f t="shared" si="59"/>
        <v>0</v>
      </c>
      <c r="Y44" s="778">
        <f t="shared" si="59"/>
        <v>0</v>
      </c>
      <c r="Z44" s="778">
        <f t="shared" si="59"/>
        <v>0</v>
      </c>
      <c r="AA44" s="778">
        <f t="shared" si="59"/>
        <v>0</v>
      </c>
      <c r="AB44" s="778">
        <f t="shared" si="59"/>
        <v>0</v>
      </c>
      <c r="AC44" s="778">
        <f t="shared" si="59"/>
        <v>0</v>
      </c>
      <c r="AD44" s="778">
        <f t="shared" si="59"/>
        <v>0</v>
      </c>
      <c r="AE44" s="778">
        <f t="shared" si="59"/>
        <v>0</v>
      </c>
      <c r="AF44" s="778"/>
      <c r="AG44" s="778"/>
      <c r="AH44" s="778"/>
      <c r="AI44" s="1015"/>
      <c r="AJ44" s="1000"/>
      <c r="AK44" s="976"/>
      <c r="AL44" s="976"/>
      <c r="AM44" s="976"/>
      <c r="AN44" s="976"/>
      <c r="AO44" s="976"/>
      <c r="AP44" s="976"/>
      <c r="AQ44" s="976"/>
      <c r="AR44" s="976"/>
      <c r="AS44" s="976"/>
      <c r="AT44" s="976"/>
      <c r="AU44" s="976"/>
      <c r="AV44" s="976"/>
    </row>
    <row r="45" spans="1:49" s="795" customFormat="1" ht="21.95" hidden="1" customHeight="1">
      <c r="A45" s="2572"/>
      <c r="B45" s="2656"/>
      <c r="C45" s="1016" t="s">
        <v>1750</v>
      </c>
      <c r="D45" s="978"/>
      <c r="E45" s="979"/>
      <c r="F45" s="778">
        <f t="shared" ref="F45:R45" si="60">IF(F23=0,0,(F33+F34+F39)/2*F11*F2-F41)</f>
        <v>0</v>
      </c>
      <c r="G45" s="778">
        <f t="shared" si="60"/>
        <v>0</v>
      </c>
      <c r="H45" s="778">
        <f t="shared" si="60"/>
        <v>0</v>
      </c>
      <c r="I45" s="778">
        <f t="shared" si="60"/>
        <v>0</v>
      </c>
      <c r="J45" s="778"/>
      <c r="K45" s="778"/>
      <c r="L45" s="778"/>
      <c r="M45" s="778"/>
      <c r="N45" s="1014"/>
      <c r="O45" s="778">
        <f t="shared" si="60"/>
        <v>0</v>
      </c>
      <c r="P45" s="778">
        <f t="shared" si="60"/>
        <v>0</v>
      </c>
      <c r="Q45" s="778">
        <f t="shared" si="60"/>
        <v>0</v>
      </c>
      <c r="R45" s="778">
        <f t="shared" si="60"/>
        <v>0</v>
      </c>
      <c r="S45" s="778">
        <f>IF(S23=0,0,(S33+S34+S39)/2*S11*S2-S41)</f>
        <v>0</v>
      </c>
      <c r="T45" s="778">
        <f>IF(T23=0,0,(T33+T34+T39)/2*T11*T2-T41)</f>
        <v>0</v>
      </c>
      <c r="U45" s="778">
        <f t="shared" ref="U45:AE45" si="61">IF(U23=0,0,(U33+U34+U39)/2*U11*U2-U41)</f>
        <v>0</v>
      </c>
      <c r="V45" s="778">
        <f>IF(V23=0,0,(V33+V34+V39)/2*V11*V2-V41)</f>
        <v>0</v>
      </c>
      <c r="W45" s="778">
        <f t="shared" si="61"/>
        <v>0</v>
      </c>
      <c r="X45" s="778">
        <f t="shared" si="61"/>
        <v>0</v>
      </c>
      <c r="Y45" s="778">
        <f t="shared" si="61"/>
        <v>0</v>
      </c>
      <c r="Z45" s="778">
        <f t="shared" si="61"/>
        <v>0</v>
      </c>
      <c r="AA45" s="778">
        <f t="shared" si="61"/>
        <v>0</v>
      </c>
      <c r="AB45" s="778">
        <f t="shared" si="61"/>
        <v>0</v>
      </c>
      <c r="AC45" s="778">
        <f t="shared" si="61"/>
        <v>0</v>
      </c>
      <c r="AD45" s="778">
        <f t="shared" si="61"/>
        <v>0</v>
      </c>
      <c r="AE45" s="778">
        <f t="shared" si="61"/>
        <v>0</v>
      </c>
      <c r="AF45" s="778"/>
      <c r="AG45" s="778"/>
      <c r="AH45" s="778"/>
      <c r="AI45" s="1015"/>
      <c r="AJ45" s="1000"/>
      <c r="AK45" s="976"/>
      <c r="AL45" s="976"/>
      <c r="AM45" s="976"/>
      <c r="AN45" s="976"/>
      <c r="AO45" s="976"/>
      <c r="AP45" s="976"/>
      <c r="AQ45" s="976"/>
      <c r="AR45" s="976"/>
      <c r="AS45" s="976"/>
      <c r="AT45" s="976"/>
      <c r="AU45" s="976"/>
      <c r="AV45" s="976"/>
    </row>
    <row r="46" spans="1:49" s="795" customFormat="1" ht="21.95" hidden="1" customHeight="1">
      <c r="A46" s="2572"/>
      <c r="B46" s="2656"/>
      <c r="C46" s="1013" t="s">
        <v>1751</v>
      </c>
      <c r="D46" s="978"/>
      <c r="E46" s="979"/>
      <c r="F46" s="778">
        <f t="shared" ref="F46:R46" si="62">SUM(F40:F45)</f>
        <v>229.6368300000031</v>
      </c>
      <c r="G46" s="778">
        <f t="shared" si="62"/>
        <v>384.14480000000384</v>
      </c>
      <c r="H46" s="778">
        <f t="shared" si="62"/>
        <v>180.2000250000047</v>
      </c>
      <c r="I46" s="778">
        <f t="shared" si="62"/>
        <v>343.81855124999794</v>
      </c>
      <c r="J46" s="778"/>
      <c r="K46" s="778"/>
      <c r="L46" s="778"/>
      <c r="M46" s="778"/>
      <c r="N46" s="1014"/>
      <c r="O46" s="778">
        <f t="shared" si="62"/>
        <v>305.05104000001154</v>
      </c>
      <c r="P46" s="778">
        <f t="shared" si="62"/>
        <v>190.65690000001123</v>
      </c>
      <c r="Q46" s="778">
        <f t="shared" si="62"/>
        <v>343.81855125000521</v>
      </c>
      <c r="R46" s="778">
        <f t="shared" si="62"/>
        <v>341.91184499999969</v>
      </c>
      <c r="S46" s="778">
        <f>SUM(S40:S45)</f>
        <v>0</v>
      </c>
      <c r="T46" s="778">
        <f>SUM(T40:T45)</f>
        <v>0</v>
      </c>
      <c r="U46" s="778">
        <f t="shared" ref="U46:AE46" si="63">SUM(U40:U45)</f>
        <v>0</v>
      </c>
      <c r="V46" s="778">
        <f>SUM(V40:V45)</f>
        <v>0</v>
      </c>
      <c r="W46" s="778">
        <f t="shared" si="63"/>
        <v>0</v>
      </c>
      <c r="X46" s="778">
        <f t="shared" si="63"/>
        <v>0</v>
      </c>
      <c r="Y46" s="778">
        <f t="shared" si="63"/>
        <v>0</v>
      </c>
      <c r="Z46" s="778">
        <f t="shared" si="63"/>
        <v>0</v>
      </c>
      <c r="AA46" s="778">
        <f t="shared" si="63"/>
        <v>0</v>
      </c>
      <c r="AB46" s="778">
        <f t="shared" si="63"/>
        <v>0</v>
      </c>
      <c r="AC46" s="778">
        <f t="shared" si="63"/>
        <v>0</v>
      </c>
      <c r="AD46" s="778">
        <f t="shared" si="63"/>
        <v>0</v>
      </c>
      <c r="AE46" s="778">
        <f t="shared" si="63"/>
        <v>0</v>
      </c>
      <c r="AF46" s="778"/>
      <c r="AG46" s="778"/>
      <c r="AH46" s="778"/>
      <c r="AI46" s="1015"/>
      <c r="AJ46" s="1000"/>
      <c r="AK46" s="976"/>
      <c r="AL46" s="976"/>
      <c r="AM46" s="976"/>
      <c r="AN46" s="976"/>
      <c r="AO46" s="976"/>
      <c r="AP46" s="976"/>
      <c r="AQ46" s="976"/>
      <c r="AR46" s="976"/>
      <c r="AS46" s="976"/>
      <c r="AT46" s="976"/>
      <c r="AU46" s="976"/>
      <c r="AV46" s="976"/>
    </row>
    <row r="47" spans="1:49" s="795" customFormat="1" ht="21.95" hidden="1" customHeight="1" thickBot="1">
      <c r="A47" s="2572"/>
      <c r="B47" s="2657"/>
      <c r="C47" s="1017" t="s">
        <v>1752</v>
      </c>
      <c r="D47" s="983"/>
      <c r="E47" s="1018"/>
      <c r="F47" s="1019" t="str">
        <f t="shared" ref="F47:R47" si="64">IF(TRUNC(SUM(F59:F79),2)=TRUNC(SUM(F40:F45),2),"OK","ERRO")</f>
        <v>OK</v>
      </c>
      <c r="G47" s="1019" t="str">
        <f t="shared" si="64"/>
        <v>OK</v>
      </c>
      <c r="H47" s="1019" t="str">
        <f t="shared" si="64"/>
        <v>OK</v>
      </c>
      <c r="I47" s="1019" t="str">
        <f t="shared" si="64"/>
        <v>OK</v>
      </c>
      <c r="J47" s="1019"/>
      <c r="K47" s="1019"/>
      <c r="L47" s="1019"/>
      <c r="M47" s="1019"/>
      <c r="N47" s="1020"/>
      <c r="O47" s="1019" t="str">
        <f t="shared" si="64"/>
        <v>OK</v>
      </c>
      <c r="P47" s="1019" t="str">
        <f t="shared" si="64"/>
        <v>OK</v>
      </c>
      <c r="Q47" s="1019" t="str">
        <f t="shared" si="64"/>
        <v>OK</v>
      </c>
      <c r="R47" s="1019" t="str">
        <f t="shared" si="64"/>
        <v>OK</v>
      </c>
      <c r="S47" s="1019" t="str">
        <f>IF(TRUNC(SUM(S59:S79),2)=TRUNC(SUM(S40:S45),2),"OK","ERRO")</f>
        <v>OK</v>
      </c>
      <c r="T47" s="1019" t="str">
        <f>IF(TRUNC(SUM(T59:T79),2)=TRUNC(SUM(T40:T45),2),"OK","ERRO")</f>
        <v>OK</v>
      </c>
      <c r="U47" s="1019" t="str">
        <f t="shared" ref="U47:AE47" si="65">IF(TRUNC(SUM(U59:U79),2)=TRUNC(SUM(U40:U45),2),"OK","ERRO")</f>
        <v>OK</v>
      </c>
      <c r="V47" s="1019" t="str">
        <f>IF(TRUNC(SUM(V59:V79),2)=TRUNC(SUM(V40:V45),2),"OK","ERRO")</f>
        <v>OK</v>
      </c>
      <c r="W47" s="1019" t="str">
        <f t="shared" si="65"/>
        <v>OK</v>
      </c>
      <c r="X47" s="1019" t="str">
        <f t="shared" si="65"/>
        <v>OK</v>
      </c>
      <c r="Y47" s="1019" t="str">
        <f t="shared" si="65"/>
        <v>OK</v>
      </c>
      <c r="Z47" s="1019" t="str">
        <f t="shared" si="65"/>
        <v>OK</v>
      </c>
      <c r="AA47" s="1019" t="str">
        <f t="shared" si="65"/>
        <v>OK</v>
      </c>
      <c r="AB47" s="1019" t="str">
        <f t="shared" si="65"/>
        <v>OK</v>
      </c>
      <c r="AC47" s="1019" t="str">
        <f t="shared" si="65"/>
        <v>OK</v>
      </c>
      <c r="AD47" s="1019" t="str">
        <f t="shared" si="65"/>
        <v>OK</v>
      </c>
      <c r="AE47" s="1019" t="str">
        <f t="shared" si="65"/>
        <v>OK</v>
      </c>
      <c r="AF47" s="1019"/>
      <c r="AG47" s="1019"/>
      <c r="AH47" s="1019"/>
      <c r="AI47" s="1021"/>
      <c r="AJ47" s="1000"/>
      <c r="AK47" s="976"/>
      <c r="AL47" s="976"/>
      <c r="AM47" s="976"/>
      <c r="AN47" s="976"/>
      <c r="AO47" s="976"/>
      <c r="AP47" s="976"/>
      <c r="AQ47" s="976"/>
      <c r="AR47" s="976"/>
      <c r="AS47" s="976"/>
      <c r="AT47" s="976"/>
      <c r="AU47" s="976"/>
      <c r="AV47" s="976"/>
    </row>
    <row r="48" spans="1:49" s="1004" customFormat="1" ht="21.95" hidden="1" customHeight="1">
      <c r="A48" s="2572"/>
      <c r="B48" s="2652" t="s">
        <v>1753</v>
      </c>
      <c r="C48" s="1009" t="s">
        <v>1754</v>
      </c>
      <c r="D48" s="971"/>
      <c r="E48" s="1022"/>
      <c r="F48" s="1010">
        <f t="shared" ref="F48:R48" si="66">IF(F23=0,0,IF(F39&lt;=0.8,F45+IF(F41=0,F40,0),0))</f>
        <v>0</v>
      </c>
      <c r="G48" s="1010">
        <f t="shared" si="66"/>
        <v>0</v>
      </c>
      <c r="H48" s="1010">
        <f t="shared" si="66"/>
        <v>0</v>
      </c>
      <c r="I48" s="1010">
        <f t="shared" si="66"/>
        <v>0</v>
      </c>
      <c r="J48" s="1010"/>
      <c r="K48" s="1010"/>
      <c r="L48" s="1010"/>
      <c r="M48" s="1010"/>
      <c r="N48" s="1011"/>
      <c r="O48" s="1010">
        <f t="shared" si="66"/>
        <v>0</v>
      </c>
      <c r="P48" s="1010">
        <f t="shared" si="66"/>
        <v>0</v>
      </c>
      <c r="Q48" s="1010">
        <f t="shared" si="66"/>
        <v>0</v>
      </c>
      <c r="R48" s="1010">
        <f t="shared" si="66"/>
        <v>0</v>
      </c>
      <c r="S48" s="1010">
        <f>IF(S23=0,0,IF(S39&lt;=0.8,S45+IF(S41=0,S40,0),0))</f>
        <v>0</v>
      </c>
      <c r="T48" s="1010">
        <f>IF(T23=0,0,IF(T39&lt;=0.8,T45+IF(T41=0,T40,0),0))</f>
        <v>0</v>
      </c>
      <c r="U48" s="1010">
        <f t="shared" ref="U48:AE48" si="67">IF(U23=0,0,IF(U39&lt;=0.8,U45+IF(U41=0,U40,0),0))</f>
        <v>0</v>
      </c>
      <c r="V48" s="1010">
        <f>IF(V23=0,0,IF(V39&lt;=0.8,V45+IF(V41=0,V40,0),0))</f>
        <v>0</v>
      </c>
      <c r="W48" s="1010">
        <f t="shared" si="67"/>
        <v>0</v>
      </c>
      <c r="X48" s="1010">
        <f t="shared" si="67"/>
        <v>0</v>
      </c>
      <c r="Y48" s="1010">
        <f t="shared" si="67"/>
        <v>0</v>
      </c>
      <c r="Z48" s="1010">
        <f t="shared" si="67"/>
        <v>0</v>
      </c>
      <c r="AA48" s="1010">
        <f t="shared" si="67"/>
        <v>0</v>
      </c>
      <c r="AB48" s="1010">
        <f t="shared" si="67"/>
        <v>0</v>
      </c>
      <c r="AC48" s="1010">
        <f t="shared" si="67"/>
        <v>0</v>
      </c>
      <c r="AD48" s="1010">
        <f t="shared" si="67"/>
        <v>0</v>
      </c>
      <c r="AE48" s="1010">
        <f t="shared" si="67"/>
        <v>0</v>
      </c>
      <c r="AF48" s="1010"/>
      <c r="AG48" s="1010"/>
      <c r="AH48" s="1010"/>
      <c r="AI48" s="1023"/>
      <c r="AJ48" s="1000"/>
      <c r="AK48" s="976"/>
      <c r="AL48" s="976"/>
      <c r="AM48" s="976"/>
      <c r="AN48" s="976"/>
      <c r="AO48" s="976"/>
      <c r="AP48" s="976"/>
      <c r="AQ48" s="976"/>
      <c r="AR48" s="976"/>
      <c r="AS48" s="976"/>
      <c r="AT48" s="976"/>
      <c r="AU48" s="976"/>
      <c r="AV48" s="976"/>
      <c r="AW48" s="795"/>
    </row>
    <row r="49" spans="1:49" s="1004" customFormat="1" ht="21.95" hidden="1" customHeight="1">
      <c r="A49" s="2572"/>
      <c r="B49" s="2653"/>
      <c r="C49" s="1016" t="s">
        <v>1755</v>
      </c>
      <c r="D49" s="978"/>
      <c r="E49" s="1024"/>
      <c r="F49" s="778">
        <f t="shared" ref="F49:R49" si="68">IF(F23=0,0,IF(F50+F48=0,F45+IF(F41=0,F40,0),0))</f>
        <v>0</v>
      </c>
      <c r="G49" s="778">
        <f t="shared" si="68"/>
        <v>0</v>
      </c>
      <c r="H49" s="778">
        <f t="shared" si="68"/>
        <v>0</v>
      </c>
      <c r="I49" s="778">
        <f t="shared" si="68"/>
        <v>0</v>
      </c>
      <c r="J49" s="778"/>
      <c r="K49" s="778"/>
      <c r="L49" s="778"/>
      <c r="M49" s="778"/>
      <c r="N49" s="1014"/>
      <c r="O49" s="778">
        <f t="shared" si="68"/>
        <v>0</v>
      </c>
      <c r="P49" s="778">
        <f t="shared" si="68"/>
        <v>0</v>
      </c>
      <c r="Q49" s="778">
        <f t="shared" si="68"/>
        <v>0</v>
      </c>
      <c r="R49" s="778">
        <f t="shared" si="68"/>
        <v>0</v>
      </c>
      <c r="S49" s="778">
        <f>IF(S23=0,0,IF(S50+S48=0,S45+IF(S41=0,S40,0),0))</f>
        <v>0</v>
      </c>
      <c r="T49" s="778">
        <f>IF(T23=0,0,IF(T50+T48=0,T45+IF(T41=0,T40,0),0))</f>
        <v>0</v>
      </c>
      <c r="U49" s="778">
        <f t="shared" ref="U49:AE49" si="69">IF(U23=0,0,IF(U50+U48=0,U45+IF(U41=0,U40,0),0))</f>
        <v>0</v>
      </c>
      <c r="V49" s="778">
        <f>IF(V23=0,0,IF(V50+V48=0,V45+IF(V41=0,V40,0),0))</f>
        <v>0</v>
      </c>
      <c r="W49" s="778">
        <f t="shared" si="69"/>
        <v>0</v>
      </c>
      <c r="X49" s="778">
        <f t="shared" si="69"/>
        <v>0</v>
      </c>
      <c r="Y49" s="778">
        <f t="shared" si="69"/>
        <v>0</v>
      </c>
      <c r="Z49" s="778">
        <f t="shared" si="69"/>
        <v>0</v>
      </c>
      <c r="AA49" s="778">
        <f t="shared" si="69"/>
        <v>0</v>
      </c>
      <c r="AB49" s="778">
        <f t="shared" si="69"/>
        <v>0</v>
      </c>
      <c r="AC49" s="778">
        <f t="shared" si="69"/>
        <v>0</v>
      </c>
      <c r="AD49" s="778">
        <f t="shared" si="69"/>
        <v>0</v>
      </c>
      <c r="AE49" s="778">
        <f t="shared" si="69"/>
        <v>0</v>
      </c>
      <c r="AF49" s="778"/>
      <c r="AG49" s="778"/>
      <c r="AH49" s="778"/>
      <c r="AI49" s="1025"/>
      <c r="AJ49" s="1000"/>
      <c r="AK49" s="976"/>
      <c r="AL49" s="976"/>
      <c r="AM49" s="976"/>
      <c r="AN49" s="976"/>
      <c r="AO49" s="976"/>
      <c r="AP49" s="976"/>
      <c r="AQ49" s="976"/>
      <c r="AR49" s="976"/>
      <c r="AS49" s="976"/>
      <c r="AT49" s="976"/>
      <c r="AU49" s="976"/>
      <c r="AV49" s="976"/>
      <c r="AW49" s="795"/>
    </row>
    <row r="50" spans="1:49" s="1004" customFormat="1" ht="21.95" hidden="1" customHeight="1">
      <c r="A50" s="2572"/>
      <c r="B50" s="2653"/>
      <c r="C50" s="1026" t="s">
        <v>1756</v>
      </c>
      <c r="D50" s="978"/>
      <c r="E50" s="1024"/>
      <c r="F50" s="778">
        <f t="shared" ref="F50:R50" si="70">IF(F23=0,0,IF(F39&gt;1.5,F45+IF(F41=0,F40,0),0))</f>
        <v>0</v>
      </c>
      <c r="G50" s="778">
        <f t="shared" si="70"/>
        <v>0</v>
      </c>
      <c r="H50" s="778">
        <f t="shared" si="70"/>
        <v>0</v>
      </c>
      <c r="I50" s="778">
        <f t="shared" si="70"/>
        <v>0</v>
      </c>
      <c r="J50" s="778"/>
      <c r="K50" s="778"/>
      <c r="L50" s="778"/>
      <c r="M50" s="778"/>
      <c r="N50" s="1014"/>
      <c r="O50" s="778">
        <f t="shared" si="70"/>
        <v>0</v>
      </c>
      <c r="P50" s="778">
        <f t="shared" si="70"/>
        <v>0</v>
      </c>
      <c r="Q50" s="778">
        <f t="shared" si="70"/>
        <v>0</v>
      </c>
      <c r="R50" s="778">
        <f t="shared" si="70"/>
        <v>0</v>
      </c>
      <c r="S50" s="778">
        <f>IF(S23=0,0,IF(S39&gt;1.5,S45+IF(S41=0,S40,0),0))</f>
        <v>0</v>
      </c>
      <c r="T50" s="778">
        <f>IF(T23=0,0,IF(T39&gt;1.5,T45+IF(T41=0,T40,0),0))</f>
        <v>0</v>
      </c>
      <c r="U50" s="778">
        <f t="shared" ref="U50:AE50" si="71">IF(U23=0,0,IF(U39&gt;1.5,U45+IF(U41=0,U40,0),0))</f>
        <v>0</v>
      </c>
      <c r="V50" s="778">
        <f>IF(V23=0,0,IF(V39&gt;1.5,V45+IF(V41=0,V40,0),0))</f>
        <v>0</v>
      </c>
      <c r="W50" s="778">
        <f t="shared" si="71"/>
        <v>0</v>
      </c>
      <c r="X50" s="778">
        <f t="shared" si="71"/>
        <v>0</v>
      </c>
      <c r="Y50" s="778">
        <f t="shared" si="71"/>
        <v>0</v>
      </c>
      <c r="Z50" s="778">
        <f t="shared" si="71"/>
        <v>0</v>
      </c>
      <c r="AA50" s="778">
        <f t="shared" si="71"/>
        <v>0</v>
      </c>
      <c r="AB50" s="778">
        <f t="shared" si="71"/>
        <v>0</v>
      </c>
      <c r="AC50" s="778">
        <f t="shared" si="71"/>
        <v>0</v>
      </c>
      <c r="AD50" s="778">
        <f t="shared" si="71"/>
        <v>0</v>
      </c>
      <c r="AE50" s="778">
        <f t="shared" si="71"/>
        <v>0</v>
      </c>
      <c r="AF50" s="1027"/>
      <c r="AG50" s="1027"/>
      <c r="AH50" s="1027"/>
      <c r="AI50" s="1025"/>
      <c r="AJ50" s="1000"/>
      <c r="AK50" s="1028"/>
      <c r="AL50" s="1028"/>
      <c r="AM50" s="1028"/>
      <c r="AN50" s="1028"/>
      <c r="AO50" s="1028"/>
      <c r="AP50" s="1028"/>
      <c r="AQ50" s="1028"/>
      <c r="AR50" s="1028"/>
      <c r="AS50" s="1028"/>
      <c r="AT50" s="1028"/>
      <c r="AU50" s="1028"/>
      <c r="AV50" s="1028"/>
    </row>
    <row r="51" spans="1:49" s="1004" customFormat="1" ht="21.95" hidden="1" customHeight="1">
      <c r="A51" s="2572"/>
      <c r="B51" s="2653"/>
      <c r="C51" s="1016" t="s">
        <v>1757</v>
      </c>
      <c r="D51" s="1029"/>
      <c r="E51" s="1030"/>
      <c r="F51" s="1031">
        <f t="shared" ref="F51:R51" si="72">IF(F22=0,0,IF(F39&lt;=0.8,F44+IF(F41=0,F40,0),0))</f>
        <v>0</v>
      </c>
      <c r="G51" s="1031">
        <f t="shared" si="72"/>
        <v>0</v>
      </c>
      <c r="H51" s="1031">
        <f t="shared" si="72"/>
        <v>0</v>
      </c>
      <c r="I51" s="1031">
        <f t="shared" si="72"/>
        <v>0</v>
      </c>
      <c r="J51" s="1031"/>
      <c r="K51" s="1031"/>
      <c r="L51" s="1031"/>
      <c r="M51" s="1031"/>
      <c r="N51" s="1032"/>
      <c r="O51" s="1031">
        <f t="shared" si="72"/>
        <v>0</v>
      </c>
      <c r="P51" s="1031">
        <f t="shared" si="72"/>
        <v>0</v>
      </c>
      <c r="Q51" s="1031">
        <f t="shared" si="72"/>
        <v>0</v>
      </c>
      <c r="R51" s="1031">
        <f t="shared" si="72"/>
        <v>0</v>
      </c>
      <c r="S51" s="1031">
        <f>IF(S22=0,0,IF(S39&lt;=0.8,S44+IF(S41=0,S40,0),0))</f>
        <v>0</v>
      </c>
      <c r="T51" s="1031">
        <f>IF(T22=0,0,IF(T39&lt;=0.8,T44+IF(T41=0,T40,0),0))</f>
        <v>0</v>
      </c>
      <c r="U51" s="1031">
        <f t="shared" ref="U51:AE51" si="73">IF(U22=0,0,IF(U39&lt;=0.8,U44+IF(U41=0,U40,0),0))</f>
        <v>0</v>
      </c>
      <c r="V51" s="1031">
        <f>IF(V22=0,0,IF(V39&lt;=0.8,V44+IF(V41=0,V40,0),0))</f>
        <v>0</v>
      </c>
      <c r="W51" s="1031">
        <f t="shared" si="73"/>
        <v>0</v>
      </c>
      <c r="X51" s="1031">
        <f t="shared" si="73"/>
        <v>0</v>
      </c>
      <c r="Y51" s="1031">
        <f t="shared" si="73"/>
        <v>0</v>
      </c>
      <c r="Z51" s="1031">
        <f t="shared" si="73"/>
        <v>0</v>
      </c>
      <c r="AA51" s="1031">
        <f t="shared" si="73"/>
        <v>0</v>
      </c>
      <c r="AB51" s="1031">
        <f t="shared" si="73"/>
        <v>0</v>
      </c>
      <c r="AC51" s="1031">
        <f t="shared" si="73"/>
        <v>0</v>
      </c>
      <c r="AD51" s="1031">
        <f t="shared" si="73"/>
        <v>0</v>
      </c>
      <c r="AE51" s="1031">
        <f t="shared" si="73"/>
        <v>0</v>
      </c>
      <c r="AF51" s="1033"/>
      <c r="AG51" s="1033"/>
      <c r="AH51" s="1033"/>
      <c r="AI51" s="1034"/>
      <c r="AJ51" s="1000"/>
      <c r="AK51" s="1028"/>
      <c r="AL51" s="1028"/>
      <c r="AM51" s="1028"/>
      <c r="AN51" s="1028"/>
      <c r="AO51" s="1028"/>
      <c r="AP51" s="1028"/>
      <c r="AQ51" s="1028"/>
      <c r="AR51" s="1028"/>
      <c r="AS51" s="1028"/>
      <c r="AT51" s="1028"/>
      <c r="AU51" s="1028"/>
      <c r="AV51" s="1028"/>
    </row>
    <row r="52" spans="1:49" s="1004" customFormat="1" ht="21.95" hidden="1" customHeight="1">
      <c r="A52" s="2572"/>
      <c r="B52" s="2653"/>
      <c r="C52" s="1016" t="s">
        <v>1758</v>
      </c>
      <c r="D52" s="978"/>
      <c r="E52" s="1024"/>
      <c r="F52" s="778">
        <f t="shared" ref="F52:R52" si="74">IF(F22=0,0,IF(F51+F53=0,F44+IF(F41=0,F40,0),0))</f>
        <v>0</v>
      </c>
      <c r="G52" s="778">
        <f t="shared" si="74"/>
        <v>0</v>
      </c>
      <c r="H52" s="778">
        <f t="shared" si="74"/>
        <v>0</v>
      </c>
      <c r="I52" s="778">
        <f t="shared" si="74"/>
        <v>0</v>
      </c>
      <c r="J52" s="778"/>
      <c r="K52" s="778"/>
      <c r="L52" s="778"/>
      <c r="M52" s="778"/>
      <c r="N52" s="1014"/>
      <c r="O52" s="778">
        <f t="shared" si="74"/>
        <v>0</v>
      </c>
      <c r="P52" s="778">
        <f t="shared" si="74"/>
        <v>0</v>
      </c>
      <c r="Q52" s="778">
        <f t="shared" si="74"/>
        <v>0</v>
      </c>
      <c r="R52" s="778">
        <f t="shared" si="74"/>
        <v>0</v>
      </c>
      <c r="S52" s="778">
        <f>IF(S22=0,0,IF(S51+S53=0,S44+IF(S41=0,S40,0),0))</f>
        <v>0</v>
      </c>
      <c r="T52" s="778">
        <f>IF(T22=0,0,IF(T51+T53=0,T44+IF(T41=0,T40,0),0))</f>
        <v>0</v>
      </c>
      <c r="U52" s="778">
        <f t="shared" ref="U52:AE52" si="75">IF(U22=0,0,IF(U51+U53=0,U44+IF(U41=0,U40,0),0))</f>
        <v>0</v>
      </c>
      <c r="V52" s="778">
        <f>IF(V22=0,0,IF(V51+V53=0,V44+IF(V41=0,V40,0),0))</f>
        <v>0</v>
      </c>
      <c r="W52" s="778">
        <f t="shared" si="75"/>
        <v>0</v>
      </c>
      <c r="X52" s="778">
        <f t="shared" si="75"/>
        <v>0</v>
      </c>
      <c r="Y52" s="778">
        <f t="shared" si="75"/>
        <v>0</v>
      </c>
      <c r="Z52" s="778">
        <f t="shared" si="75"/>
        <v>0</v>
      </c>
      <c r="AA52" s="778">
        <f t="shared" si="75"/>
        <v>0</v>
      </c>
      <c r="AB52" s="778">
        <f t="shared" si="75"/>
        <v>0</v>
      </c>
      <c r="AC52" s="778">
        <f t="shared" si="75"/>
        <v>0</v>
      </c>
      <c r="AD52" s="778">
        <f t="shared" si="75"/>
        <v>0</v>
      </c>
      <c r="AE52" s="778">
        <f t="shared" si="75"/>
        <v>0</v>
      </c>
      <c r="AF52" s="1027"/>
      <c r="AG52" s="1027"/>
      <c r="AH52" s="1027"/>
      <c r="AI52" s="1025"/>
      <c r="AJ52" s="1000"/>
      <c r="AK52" s="1028"/>
      <c r="AL52" s="1028"/>
      <c r="AM52" s="1028"/>
      <c r="AN52" s="1028"/>
      <c r="AO52" s="1028"/>
      <c r="AP52" s="1028"/>
      <c r="AQ52" s="1028"/>
      <c r="AR52" s="1028"/>
      <c r="AS52" s="1028"/>
      <c r="AT52" s="1028"/>
      <c r="AU52" s="1028"/>
      <c r="AV52" s="1028"/>
    </row>
    <row r="53" spans="1:49" s="1004" customFormat="1" ht="21.95" hidden="1" customHeight="1">
      <c r="A53" s="2572"/>
      <c r="B53" s="2653"/>
      <c r="C53" s="1016" t="s">
        <v>1759</v>
      </c>
      <c r="D53" s="1035"/>
      <c r="E53" s="1036"/>
      <c r="F53" s="783">
        <f t="shared" ref="F53:R53" si="76">IF(F22=0,0,IF(F39&gt;1.5,F44+IF(F41=0,F40,0),0))</f>
        <v>229.6368300000031</v>
      </c>
      <c r="G53" s="783">
        <f t="shared" si="76"/>
        <v>384.14480000000384</v>
      </c>
      <c r="H53" s="783">
        <f t="shared" si="76"/>
        <v>180.2000250000047</v>
      </c>
      <c r="I53" s="783">
        <f t="shared" si="76"/>
        <v>343.81855124999794</v>
      </c>
      <c r="J53" s="783"/>
      <c r="K53" s="783"/>
      <c r="L53" s="783"/>
      <c r="M53" s="783"/>
      <c r="N53" s="1037"/>
      <c r="O53" s="783">
        <f t="shared" si="76"/>
        <v>305.05104000001154</v>
      </c>
      <c r="P53" s="783">
        <f t="shared" si="76"/>
        <v>190.65690000001123</v>
      </c>
      <c r="Q53" s="783">
        <f t="shared" si="76"/>
        <v>343.81855125000521</v>
      </c>
      <c r="R53" s="783">
        <f t="shared" si="76"/>
        <v>341.91184499999969</v>
      </c>
      <c r="S53" s="783">
        <f>IF(S22=0,0,IF(S39&gt;1.5,S44+IF(S41=0,S40,0),0))</f>
        <v>0</v>
      </c>
      <c r="T53" s="783">
        <f>IF(T22=0,0,IF(T39&gt;1.5,T44+IF(T41=0,T40,0),0))</f>
        <v>0</v>
      </c>
      <c r="U53" s="783">
        <f t="shared" ref="U53:AE53" si="77">IF(U22=0,0,IF(U39&gt;1.5,U44+IF(U41=0,U40,0),0))</f>
        <v>0</v>
      </c>
      <c r="V53" s="783">
        <f>IF(V22=0,0,IF(V39&gt;1.5,V44+IF(V41=0,V40,0),0))</f>
        <v>0</v>
      </c>
      <c r="W53" s="783">
        <f t="shared" si="77"/>
        <v>0</v>
      </c>
      <c r="X53" s="783">
        <f t="shared" si="77"/>
        <v>0</v>
      </c>
      <c r="Y53" s="783">
        <f t="shared" si="77"/>
        <v>0</v>
      </c>
      <c r="Z53" s="783">
        <f t="shared" si="77"/>
        <v>0</v>
      </c>
      <c r="AA53" s="783">
        <f t="shared" si="77"/>
        <v>0</v>
      </c>
      <c r="AB53" s="783">
        <f t="shared" si="77"/>
        <v>0</v>
      </c>
      <c r="AC53" s="783">
        <f t="shared" si="77"/>
        <v>0</v>
      </c>
      <c r="AD53" s="783">
        <f t="shared" si="77"/>
        <v>0</v>
      </c>
      <c r="AE53" s="783">
        <f t="shared" si="77"/>
        <v>0</v>
      </c>
      <c r="AF53" s="1038"/>
      <c r="AG53" s="1038"/>
      <c r="AH53" s="1038"/>
      <c r="AI53" s="1039"/>
      <c r="AJ53" s="1000"/>
      <c r="AK53" s="1028"/>
      <c r="AL53" s="1028"/>
      <c r="AM53" s="1028"/>
      <c r="AN53" s="1028"/>
      <c r="AO53" s="1028"/>
      <c r="AP53" s="1028"/>
      <c r="AQ53" s="1028"/>
      <c r="AR53" s="1028"/>
      <c r="AS53" s="1028"/>
      <c r="AT53" s="1028"/>
      <c r="AU53" s="1028"/>
      <c r="AV53" s="1028"/>
    </row>
    <row r="54" spans="1:49" s="1004" customFormat="1" ht="21.95" hidden="1" customHeight="1">
      <c r="A54" s="2572"/>
      <c r="B54" s="2653"/>
      <c r="C54" s="1013" t="s">
        <v>1760</v>
      </c>
      <c r="D54" s="1029"/>
      <c r="E54" s="1030"/>
      <c r="F54" s="1031">
        <f t="shared" ref="F54:R54" si="78">IF(F21=0,0,IF(F55=0,F43+IF(F41=0,F40,0),0))</f>
        <v>0</v>
      </c>
      <c r="G54" s="1031">
        <f t="shared" si="78"/>
        <v>0</v>
      </c>
      <c r="H54" s="1031">
        <f t="shared" si="78"/>
        <v>0</v>
      </c>
      <c r="I54" s="1031">
        <f t="shared" si="78"/>
        <v>0</v>
      </c>
      <c r="J54" s="1031"/>
      <c r="K54" s="1031"/>
      <c r="L54" s="1031"/>
      <c r="M54" s="1031"/>
      <c r="N54" s="1032"/>
      <c r="O54" s="1031">
        <f t="shared" si="78"/>
        <v>0</v>
      </c>
      <c r="P54" s="1031">
        <f t="shared" si="78"/>
        <v>0</v>
      </c>
      <c r="Q54" s="1031">
        <f t="shared" si="78"/>
        <v>0</v>
      </c>
      <c r="R54" s="1031">
        <f t="shared" si="78"/>
        <v>0</v>
      </c>
      <c r="S54" s="1031">
        <f>IF(S21=0,0,IF(S55=0,S43+IF(S41=0,S40,0),0))</f>
        <v>0</v>
      </c>
      <c r="T54" s="1031">
        <f>IF(T21=0,0,IF(T55=0,T43+IF(T41=0,T40,0),0))</f>
        <v>0</v>
      </c>
      <c r="U54" s="1031">
        <f t="shared" ref="U54:AE54" si="79">IF(U21=0,0,IF(U55=0,U43+IF(U41=0,U40,0),0))</f>
        <v>0</v>
      </c>
      <c r="V54" s="1031">
        <f>IF(V21=0,0,IF(V55=0,V43+IF(V41=0,V40,0),0))</f>
        <v>0</v>
      </c>
      <c r="W54" s="1031">
        <f t="shared" si="79"/>
        <v>0</v>
      </c>
      <c r="X54" s="1031">
        <f t="shared" si="79"/>
        <v>0</v>
      </c>
      <c r="Y54" s="1031">
        <f t="shared" si="79"/>
        <v>0</v>
      </c>
      <c r="Z54" s="1031">
        <f t="shared" si="79"/>
        <v>0</v>
      </c>
      <c r="AA54" s="1031">
        <f t="shared" si="79"/>
        <v>0</v>
      </c>
      <c r="AB54" s="1031">
        <f t="shared" si="79"/>
        <v>0</v>
      </c>
      <c r="AC54" s="1031">
        <f t="shared" si="79"/>
        <v>0</v>
      </c>
      <c r="AD54" s="1031">
        <f t="shared" si="79"/>
        <v>0</v>
      </c>
      <c r="AE54" s="1031">
        <f t="shared" si="79"/>
        <v>0</v>
      </c>
      <c r="AF54" s="1027"/>
      <c r="AG54" s="1027"/>
      <c r="AH54" s="1027"/>
      <c r="AI54" s="1025"/>
      <c r="AJ54" s="1000"/>
      <c r="AK54" s="1028"/>
      <c r="AL54" s="1028"/>
      <c r="AM54" s="1028"/>
      <c r="AN54" s="1028"/>
      <c r="AO54" s="1028"/>
      <c r="AP54" s="1028"/>
      <c r="AQ54" s="1028"/>
      <c r="AR54" s="1028"/>
      <c r="AS54" s="1028"/>
      <c r="AT54" s="1028"/>
      <c r="AU54" s="1028"/>
      <c r="AV54" s="1028"/>
    </row>
    <row r="55" spans="1:49" s="1004" customFormat="1" ht="21.95" hidden="1" customHeight="1">
      <c r="A55" s="2572"/>
      <c r="B55" s="2653"/>
      <c r="C55" s="1016" t="s">
        <v>1761</v>
      </c>
      <c r="D55" s="1035"/>
      <c r="E55" s="1036"/>
      <c r="F55" s="783">
        <f t="shared" ref="F55:R55" si="80">IF(F21=0,0,IF(F39&gt;1.5,F43+IF(F41=0,F40,0),0))</f>
        <v>0</v>
      </c>
      <c r="G55" s="783">
        <f t="shared" si="80"/>
        <v>0</v>
      </c>
      <c r="H55" s="783">
        <f t="shared" si="80"/>
        <v>0</v>
      </c>
      <c r="I55" s="783">
        <f t="shared" si="80"/>
        <v>0</v>
      </c>
      <c r="J55" s="783"/>
      <c r="K55" s="783"/>
      <c r="L55" s="783"/>
      <c r="M55" s="783"/>
      <c r="N55" s="1037"/>
      <c r="O55" s="783">
        <f t="shared" si="80"/>
        <v>0</v>
      </c>
      <c r="P55" s="783">
        <f t="shared" si="80"/>
        <v>0</v>
      </c>
      <c r="Q55" s="783">
        <f t="shared" si="80"/>
        <v>0</v>
      </c>
      <c r="R55" s="783">
        <f t="shared" si="80"/>
        <v>0</v>
      </c>
      <c r="S55" s="783">
        <f>IF(S21=0,0,IF(S39&gt;1.5,S43+IF(S41=0,S40,0),0))</f>
        <v>0</v>
      </c>
      <c r="T55" s="783">
        <f>IF(T21=0,0,IF(T39&gt;1.5,T43+IF(T41=0,T40,0),0))</f>
        <v>0</v>
      </c>
      <c r="U55" s="783">
        <f t="shared" ref="U55:AE55" si="81">IF(U21=0,0,IF(U39&gt;1.5,U43+IF(U41=0,U40,0),0))</f>
        <v>0</v>
      </c>
      <c r="V55" s="783">
        <f>IF(V21=0,0,IF(V39&gt;1.5,V43+IF(V41=0,V40,0),0))</f>
        <v>0</v>
      </c>
      <c r="W55" s="783">
        <f t="shared" si="81"/>
        <v>0</v>
      </c>
      <c r="X55" s="783">
        <f t="shared" si="81"/>
        <v>0</v>
      </c>
      <c r="Y55" s="783">
        <f t="shared" si="81"/>
        <v>0</v>
      </c>
      <c r="Z55" s="783">
        <f t="shared" si="81"/>
        <v>0</v>
      </c>
      <c r="AA55" s="783">
        <f t="shared" si="81"/>
        <v>0</v>
      </c>
      <c r="AB55" s="783">
        <f t="shared" si="81"/>
        <v>0</v>
      </c>
      <c r="AC55" s="783">
        <f t="shared" si="81"/>
        <v>0</v>
      </c>
      <c r="AD55" s="783">
        <f t="shared" si="81"/>
        <v>0</v>
      </c>
      <c r="AE55" s="783">
        <f t="shared" si="81"/>
        <v>0</v>
      </c>
      <c r="AF55" s="1038"/>
      <c r="AG55" s="1038"/>
      <c r="AH55" s="1038"/>
      <c r="AI55" s="1039"/>
      <c r="AJ55" s="1000"/>
      <c r="AK55" s="1028"/>
      <c r="AL55" s="1028"/>
      <c r="AM55" s="1028"/>
      <c r="AN55" s="1028"/>
      <c r="AO55" s="1028"/>
      <c r="AP55" s="1028"/>
      <c r="AQ55" s="1028"/>
      <c r="AR55" s="1028"/>
      <c r="AS55" s="1028"/>
      <c r="AT55" s="1028"/>
      <c r="AU55" s="1028"/>
      <c r="AV55" s="1028"/>
    </row>
    <row r="56" spans="1:49" s="1004" customFormat="1" ht="21.95" hidden="1" customHeight="1">
      <c r="A56" s="2572"/>
      <c r="B56" s="2653"/>
      <c r="C56" s="1016" t="s">
        <v>1762</v>
      </c>
      <c r="D56" s="1029"/>
      <c r="E56" s="1030"/>
      <c r="F56" s="1031">
        <f t="shared" ref="F56:R56" si="82">IF(F20=0,0,IF(F57=0,F42+IF(F41=0,F40,0),0))</f>
        <v>0</v>
      </c>
      <c r="G56" s="1031">
        <f t="shared" si="82"/>
        <v>0</v>
      </c>
      <c r="H56" s="1031">
        <f t="shared" si="82"/>
        <v>0</v>
      </c>
      <c r="I56" s="1031">
        <f t="shared" si="82"/>
        <v>0</v>
      </c>
      <c r="J56" s="1031"/>
      <c r="K56" s="1031"/>
      <c r="L56" s="1031"/>
      <c r="M56" s="1031"/>
      <c r="N56" s="1032"/>
      <c r="O56" s="1031">
        <f t="shared" si="82"/>
        <v>0</v>
      </c>
      <c r="P56" s="1031">
        <f t="shared" si="82"/>
        <v>0</v>
      </c>
      <c r="Q56" s="1031">
        <f t="shared" si="82"/>
        <v>0</v>
      </c>
      <c r="R56" s="1031">
        <f t="shared" si="82"/>
        <v>0</v>
      </c>
      <c r="S56" s="1031">
        <f>IF(S20=0,0,IF(S57=0,S42+IF(S41=0,S40,0),0))</f>
        <v>0</v>
      </c>
      <c r="T56" s="1031">
        <f>IF(T20=0,0,IF(T57=0,T42+IF(T41=0,T40,0),0))</f>
        <v>0</v>
      </c>
      <c r="U56" s="1031">
        <f t="shared" ref="U56:AE56" si="83">IF(U20=0,0,IF(U57=0,U42+IF(U41=0,U40,0),0))</f>
        <v>0</v>
      </c>
      <c r="V56" s="1031">
        <f>IF(V20=0,0,IF(V57=0,V42+IF(V41=0,V40,0),0))</f>
        <v>0</v>
      </c>
      <c r="W56" s="1031">
        <f t="shared" si="83"/>
        <v>0</v>
      </c>
      <c r="X56" s="1031">
        <f t="shared" si="83"/>
        <v>0</v>
      </c>
      <c r="Y56" s="1031">
        <f t="shared" si="83"/>
        <v>0</v>
      </c>
      <c r="Z56" s="1031">
        <f t="shared" si="83"/>
        <v>0</v>
      </c>
      <c r="AA56" s="1031">
        <f t="shared" si="83"/>
        <v>0</v>
      </c>
      <c r="AB56" s="1031">
        <f t="shared" si="83"/>
        <v>0</v>
      </c>
      <c r="AC56" s="1031">
        <f t="shared" si="83"/>
        <v>0</v>
      </c>
      <c r="AD56" s="1031">
        <f t="shared" si="83"/>
        <v>0</v>
      </c>
      <c r="AE56" s="1031">
        <f t="shared" si="83"/>
        <v>0</v>
      </c>
      <c r="AF56" s="1033"/>
      <c r="AG56" s="1033"/>
      <c r="AH56" s="1033"/>
      <c r="AI56" s="1034"/>
      <c r="AJ56" s="1000"/>
      <c r="AK56" s="1028"/>
      <c r="AL56" s="1028"/>
      <c r="AM56" s="1028"/>
      <c r="AN56" s="1028"/>
      <c r="AO56" s="1028"/>
      <c r="AP56" s="1028"/>
      <c r="AQ56" s="1028"/>
      <c r="AR56" s="1028"/>
      <c r="AS56" s="1028"/>
      <c r="AT56" s="1028"/>
      <c r="AU56" s="1028"/>
      <c r="AV56" s="1028"/>
    </row>
    <row r="57" spans="1:49" s="1004" customFormat="1" ht="21.95" hidden="1" customHeight="1">
      <c r="A57" s="2572"/>
      <c r="B57" s="2653"/>
      <c r="C57" s="1016" t="s">
        <v>1763</v>
      </c>
      <c r="D57" s="1035"/>
      <c r="E57" s="1036"/>
      <c r="F57" s="783">
        <f t="shared" ref="F57:R57" si="84">IF(F20=0,0,IF(F39&gt;1.5,F42+IF(F41=0,F40,0),0))</f>
        <v>0</v>
      </c>
      <c r="G57" s="783">
        <f t="shared" si="84"/>
        <v>0</v>
      </c>
      <c r="H57" s="783">
        <f t="shared" si="84"/>
        <v>0</v>
      </c>
      <c r="I57" s="783">
        <f t="shared" si="84"/>
        <v>0</v>
      </c>
      <c r="J57" s="783"/>
      <c r="K57" s="783"/>
      <c r="L57" s="783"/>
      <c r="M57" s="783"/>
      <c r="N57" s="1037"/>
      <c r="O57" s="783">
        <f t="shared" si="84"/>
        <v>0</v>
      </c>
      <c r="P57" s="783">
        <f t="shared" si="84"/>
        <v>0</v>
      </c>
      <c r="Q57" s="783">
        <f t="shared" si="84"/>
        <v>0</v>
      </c>
      <c r="R57" s="783">
        <f t="shared" si="84"/>
        <v>0</v>
      </c>
      <c r="S57" s="783">
        <f>IF(S20=0,0,IF(S39&gt;1.5,S42+IF(S41=0,S40,0),0))</f>
        <v>0</v>
      </c>
      <c r="T57" s="783">
        <f>IF(T20=0,0,IF(T39&gt;1.5,T42+IF(T41=0,T40,0),0))</f>
        <v>0</v>
      </c>
      <c r="U57" s="783">
        <f t="shared" ref="U57:AE57" si="85">IF(U20=0,0,IF(U39&gt;1.5,U42+IF(U41=0,U40,0),0))</f>
        <v>0</v>
      </c>
      <c r="V57" s="783">
        <f>IF(V20=0,0,IF(V39&gt;1.5,V42+IF(V41=0,V40,0),0))</f>
        <v>0</v>
      </c>
      <c r="W57" s="783">
        <f t="shared" si="85"/>
        <v>0</v>
      </c>
      <c r="X57" s="783">
        <f t="shared" si="85"/>
        <v>0</v>
      </c>
      <c r="Y57" s="783">
        <f t="shared" si="85"/>
        <v>0</v>
      </c>
      <c r="Z57" s="783">
        <f t="shared" si="85"/>
        <v>0</v>
      </c>
      <c r="AA57" s="783">
        <f t="shared" si="85"/>
        <v>0</v>
      </c>
      <c r="AB57" s="783">
        <f t="shared" si="85"/>
        <v>0</v>
      </c>
      <c r="AC57" s="783">
        <f t="shared" si="85"/>
        <v>0</v>
      </c>
      <c r="AD57" s="783">
        <f t="shared" si="85"/>
        <v>0</v>
      </c>
      <c r="AE57" s="783">
        <f t="shared" si="85"/>
        <v>0</v>
      </c>
      <c r="AF57" s="1038"/>
      <c r="AG57" s="1038"/>
      <c r="AH57" s="1038"/>
      <c r="AI57" s="1039"/>
      <c r="AJ57" s="1000"/>
      <c r="AK57" s="1028"/>
      <c r="AL57" s="1028"/>
      <c r="AM57" s="1028"/>
      <c r="AN57" s="1028"/>
      <c r="AO57" s="1028"/>
      <c r="AP57" s="1028"/>
      <c r="AQ57" s="1028"/>
      <c r="AR57" s="1028"/>
      <c r="AS57" s="1028"/>
      <c r="AT57" s="1028"/>
      <c r="AU57" s="1028"/>
      <c r="AV57" s="1028"/>
    </row>
    <row r="58" spans="1:49" s="1004" customFormat="1" ht="21.95" hidden="1" customHeight="1" thickBot="1">
      <c r="A58" s="2572"/>
      <c r="B58" s="2654"/>
      <c r="C58" s="1017" t="s">
        <v>1752</v>
      </c>
      <c r="D58" s="983"/>
      <c r="E58" s="1018"/>
      <c r="F58" s="1019" t="str">
        <f t="shared" ref="F58:R58" si="86">IF(TRUNC(SUM(F59:F79),0)=TRUNC(SUM(F40:F45),0),"OK","ERRO")</f>
        <v>OK</v>
      </c>
      <c r="G58" s="1019" t="str">
        <f t="shared" si="86"/>
        <v>OK</v>
      </c>
      <c r="H58" s="1019" t="str">
        <f t="shared" si="86"/>
        <v>OK</v>
      </c>
      <c r="I58" s="1019" t="str">
        <f t="shared" si="86"/>
        <v>OK</v>
      </c>
      <c r="J58" s="1019"/>
      <c r="K58" s="1019"/>
      <c r="L58" s="1019"/>
      <c r="M58" s="1019"/>
      <c r="N58" s="1020"/>
      <c r="O58" s="1019" t="str">
        <f t="shared" si="86"/>
        <v>OK</v>
      </c>
      <c r="P58" s="1019" t="str">
        <f t="shared" si="86"/>
        <v>OK</v>
      </c>
      <c r="Q58" s="1019" t="str">
        <f t="shared" si="86"/>
        <v>OK</v>
      </c>
      <c r="R58" s="1019" t="str">
        <f t="shared" si="86"/>
        <v>OK</v>
      </c>
      <c r="S58" s="1019" t="str">
        <f>IF(TRUNC(SUM(S59:S79),0)=TRUNC(SUM(S40:S45),0),"OK","ERRO")</f>
        <v>OK</v>
      </c>
      <c r="T58" s="1019" t="str">
        <f>IF(TRUNC(SUM(T59:T79),0)=TRUNC(SUM(T40:T45),0),"OK","ERRO")</f>
        <v>OK</v>
      </c>
      <c r="U58" s="1019" t="str">
        <f t="shared" ref="U58:AE58" si="87">IF(TRUNC(SUM(U59:U79),0)=TRUNC(SUM(U40:U45),0),"OK","ERRO")</f>
        <v>OK</v>
      </c>
      <c r="V58" s="1019" t="str">
        <f>IF(TRUNC(SUM(V59:V79),0)=TRUNC(SUM(V40:V45),0),"OK","ERRO")</f>
        <v>OK</v>
      </c>
      <c r="W58" s="1019" t="str">
        <f t="shared" si="87"/>
        <v>OK</v>
      </c>
      <c r="X58" s="1019" t="str">
        <f t="shared" si="87"/>
        <v>OK</v>
      </c>
      <c r="Y58" s="1019" t="str">
        <f t="shared" si="87"/>
        <v>OK</v>
      </c>
      <c r="Z58" s="1019" t="str">
        <f t="shared" si="87"/>
        <v>OK</v>
      </c>
      <c r="AA58" s="1019" t="str">
        <f t="shared" si="87"/>
        <v>OK</v>
      </c>
      <c r="AB58" s="1019" t="str">
        <f t="shared" si="87"/>
        <v>OK</v>
      </c>
      <c r="AC58" s="1019" t="str">
        <f t="shared" si="87"/>
        <v>OK</v>
      </c>
      <c r="AD58" s="1019" t="str">
        <f t="shared" si="87"/>
        <v>OK</v>
      </c>
      <c r="AE58" s="1019" t="str">
        <f t="shared" si="87"/>
        <v>OK</v>
      </c>
      <c r="AF58" s="1019"/>
      <c r="AG58" s="1019"/>
      <c r="AH58" s="1019"/>
      <c r="AI58" s="1021"/>
      <c r="AJ58" s="1000"/>
      <c r="AK58" s="1028"/>
      <c r="AL58" s="1028"/>
      <c r="AM58" s="1028"/>
      <c r="AN58" s="1028"/>
      <c r="AO58" s="1028"/>
      <c r="AP58" s="1028"/>
      <c r="AQ58" s="1028"/>
      <c r="AR58" s="1028"/>
      <c r="AS58" s="1028"/>
      <c r="AT58" s="1028"/>
      <c r="AU58" s="1028"/>
      <c r="AV58" s="1028"/>
    </row>
    <row r="59" spans="1:49" s="1004" customFormat="1" ht="21.95" hidden="1" customHeight="1">
      <c r="A59" s="2572"/>
      <c r="B59" s="2655" t="s">
        <v>1764</v>
      </c>
      <c r="C59" s="1040" t="s">
        <v>1555</v>
      </c>
      <c r="D59" s="978"/>
      <c r="E59" s="1041"/>
      <c r="F59" s="752">
        <f t="shared" ref="F59:R59" si="88">IF(F41&gt;0,F40+F41,0)</f>
        <v>0</v>
      </c>
      <c r="G59" s="752">
        <f t="shared" si="88"/>
        <v>0</v>
      </c>
      <c r="H59" s="752">
        <f t="shared" si="88"/>
        <v>0</v>
      </c>
      <c r="I59" s="752">
        <f t="shared" si="88"/>
        <v>0</v>
      </c>
      <c r="J59" s="752"/>
      <c r="K59" s="752"/>
      <c r="L59" s="752"/>
      <c r="M59" s="752"/>
      <c r="N59" s="980"/>
      <c r="O59" s="752">
        <f t="shared" si="88"/>
        <v>0</v>
      </c>
      <c r="P59" s="752">
        <f t="shared" si="88"/>
        <v>0</v>
      </c>
      <c r="Q59" s="752">
        <f t="shared" si="88"/>
        <v>0</v>
      </c>
      <c r="R59" s="752">
        <f t="shared" si="88"/>
        <v>0</v>
      </c>
      <c r="S59" s="752">
        <f>IF(S41&gt;0,S40+S41,0)</f>
        <v>0</v>
      </c>
      <c r="T59" s="752">
        <f>IF(T41&gt;0,T40+T41,0)</f>
        <v>0</v>
      </c>
      <c r="U59" s="752">
        <f t="shared" ref="U59:AE59" si="89">IF(U41&gt;0,U40+U41,0)</f>
        <v>0</v>
      </c>
      <c r="V59" s="752">
        <f>IF(V41&gt;0,V40+V41,0)</f>
        <v>0</v>
      </c>
      <c r="W59" s="752">
        <f t="shared" si="89"/>
        <v>0</v>
      </c>
      <c r="X59" s="752">
        <f t="shared" si="89"/>
        <v>0</v>
      </c>
      <c r="Y59" s="752">
        <f t="shared" si="89"/>
        <v>0</v>
      </c>
      <c r="Z59" s="752">
        <f t="shared" si="89"/>
        <v>0</v>
      </c>
      <c r="AA59" s="752">
        <f t="shared" si="89"/>
        <v>0</v>
      </c>
      <c r="AB59" s="752">
        <f t="shared" si="89"/>
        <v>0</v>
      </c>
      <c r="AC59" s="752">
        <f t="shared" si="89"/>
        <v>0</v>
      </c>
      <c r="AD59" s="752">
        <f t="shared" si="89"/>
        <v>0</v>
      </c>
      <c r="AE59" s="752">
        <f t="shared" si="89"/>
        <v>0</v>
      </c>
      <c r="AF59" s="1042"/>
      <c r="AG59" s="1042"/>
      <c r="AH59" s="1042"/>
      <c r="AI59" s="753"/>
      <c r="AJ59" s="745">
        <f t="shared" ref="AJ59:AJ90" si="90">SUM(F59:AI59)</f>
        <v>0</v>
      </c>
      <c r="AK59" s="1028"/>
      <c r="AL59" s="1028"/>
      <c r="AM59" s="1028"/>
      <c r="AN59" s="1028"/>
      <c r="AO59" s="1028"/>
      <c r="AP59" s="1028"/>
      <c r="AQ59" s="1028"/>
      <c r="AR59" s="1028"/>
      <c r="AS59" s="1028"/>
      <c r="AT59" s="1028"/>
      <c r="AU59" s="1028"/>
      <c r="AV59" s="1028"/>
    </row>
    <row r="60" spans="1:49" s="795" customFormat="1" ht="21.95" hidden="1" customHeight="1" thickBot="1">
      <c r="A60" s="2572"/>
      <c r="B60" s="2656"/>
      <c r="C60" s="1007" t="s">
        <v>1754</v>
      </c>
      <c r="D60" s="1029"/>
      <c r="E60" s="1043"/>
      <c r="F60" s="785">
        <f>IF(F$29=1,F48,0)</f>
        <v>0</v>
      </c>
      <c r="G60" s="785">
        <f>IF(G$29=1,G48,0)</f>
        <v>0</v>
      </c>
      <c r="H60" s="785">
        <f>IF(H$29=1,H48,0)</f>
        <v>0</v>
      </c>
      <c r="I60" s="785">
        <f>IF(I$29=1,I48,0)</f>
        <v>0</v>
      </c>
      <c r="J60" s="785"/>
      <c r="K60" s="785"/>
      <c r="L60" s="785"/>
      <c r="M60" s="785"/>
      <c r="N60" s="1044"/>
      <c r="O60" s="785">
        <f t="shared" ref="O60:AE69" si="91">IF(O$29=1,O48,0)</f>
        <v>0</v>
      </c>
      <c r="P60" s="785">
        <f t="shared" si="91"/>
        <v>0</v>
      </c>
      <c r="Q60" s="785">
        <f t="shared" si="91"/>
        <v>0</v>
      </c>
      <c r="R60" s="785">
        <f t="shared" si="91"/>
        <v>0</v>
      </c>
      <c r="S60" s="785">
        <f t="shared" si="91"/>
        <v>0</v>
      </c>
      <c r="T60" s="785">
        <f t="shared" si="91"/>
        <v>0</v>
      </c>
      <c r="U60" s="785">
        <f t="shared" si="91"/>
        <v>0</v>
      </c>
      <c r="V60" s="785">
        <f t="shared" si="91"/>
        <v>0</v>
      </c>
      <c r="W60" s="785">
        <f t="shared" si="91"/>
        <v>0</v>
      </c>
      <c r="X60" s="785">
        <f t="shared" si="91"/>
        <v>0</v>
      </c>
      <c r="Y60" s="785">
        <f t="shared" si="91"/>
        <v>0</v>
      </c>
      <c r="Z60" s="785">
        <f t="shared" si="91"/>
        <v>0</v>
      </c>
      <c r="AA60" s="785">
        <f t="shared" si="91"/>
        <v>0</v>
      </c>
      <c r="AB60" s="785">
        <f t="shared" si="91"/>
        <v>0</v>
      </c>
      <c r="AC60" s="785">
        <f t="shared" si="91"/>
        <v>0</v>
      </c>
      <c r="AD60" s="785">
        <f t="shared" si="91"/>
        <v>0</v>
      </c>
      <c r="AE60" s="785">
        <f t="shared" si="91"/>
        <v>0</v>
      </c>
      <c r="AF60" s="785"/>
      <c r="AG60" s="785"/>
      <c r="AH60" s="785"/>
      <c r="AI60" s="1045"/>
      <c r="AJ60" s="745">
        <f t="shared" si="90"/>
        <v>0</v>
      </c>
      <c r="AK60" s="976"/>
      <c r="AL60" s="976"/>
      <c r="AM60" s="976"/>
      <c r="AN60" s="976"/>
      <c r="AO60" s="976"/>
      <c r="AP60" s="976"/>
      <c r="AQ60" s="976"/>
      <c r="AR60" s="976"/>
      <c r="AS60" s="976"/>
      <c r="AT60" s="976"/>
      <c r="AU60" s="976"/>
      <c r="AV60" s="976"/>
    </row>
    <row r="61" spans="1:49" s="795" customFormat="1" ht="21.95" hidden="1" customHeight="1">
      <c r="A61" s="2572"/>
      <c r="B61" s="2655"/>
      <c r="C61" s="970" t="s">
        <v>1755</v>
      </c>
      <c r="D61" s="1029"/>
      <c r="E61" s="1043"/>
      <c r="F61" s="743">
        <f t="shared" ref="F61:R69" si="92">IF(F$29=1,F49,0)</f>
        <v>0</v>
      </c>
      <c r="G61" s="743">
        <f t="shared" si="92"/>
        <v>0</v>
      </c>
      <c r="H61" s="743">
        <f t="shared" si="92"/>
        <v>0</v>
      </c>
      <c r="I61" s="743">
        <f t="shared" si="92"/>
        <v>0</v>
      </c>
      <c r="J61" s="785"/>
      <c r="K61" s="785"/>
      <c r="L61" s="785"/>
      <c r="M61" s="785"/>
      <c r="N61" s="973"/>
      <c r="O61" s="743">
        <f t="shared" si="92"/>
        <v>0</v>
      </c>
      <c r="P61" s="743">
        <f t="shared" si="92"/>
        <v>0</v>
      </c>
      <c r="Q61" s="743">
        <f t="shared" si="92"/>
        <v>0</v>
      </c>
      <c r="R61" s="743">
        <f t="shared" si="92"/>
        <v>0</v>
      </c>
      <c r="S61" s="743">
        <f t="shared" si="91"/>
        <v>0</v>
      </c>
      <c r="T61" s="785">
        <f t="shared" si="91"/>
        <v>0</v>
      </c>
      <c r="U61" s="743">
        <f t="shared" si="91"/>
        <v>0</v>
      </c>
      <c r="V61" s="785">
        <f t="shared" si="91"/>
        <v>0</v>
      </c>
      <c r="W61" s="743">
        <f t="shared" si="91"/>
        <v>0</v>
      </c>
      <c r="X61" s="785">
        <f t="shared" si="91"/>
        <v>0</v>
      </c>
      <c r="Y61" s="785">
        <f t="shared" si="91"/>
        <v>0</v>
      </c>
      <c r="Z61" s="785">
        <f t="shared" si="91"/>
        <v>0</v>
      </c>
      <c r="AA61" s="785">
        <f t="shared" si="91"/>
        <v>0</v>
      </c>
      <c r="AB61" s="785">
        <f t="shared" si="91"/>
        <v>0</v>
      </c>
      <c r="AC61" s="785">
        <f t="shared" si="91"/>
        <v>0</v>
      </c>
      <c r="AD61" s="785">
        <f t="shared" si="91"/>
        <v>0</v>
      </c>
      <c r="AE61" s="785">
        <f t="shared" si="91"/>
        <v>0</v>
      </c>
      <c r="AF61" s="785"/>
      <c r="AG61" s="785"/>
      <c r="AH61" s="785"/>
      <c r="AI61" s="767"/>
      <c r="AJ61" s="745">
        <f t="shared" si="90"/>
        <v>0</v>
      </c>
      <c r="AK61" s="976"/>
      <c r="AL61" s="976"/>
      <c r="AM61" s="976"/>
      <c r="AN61" s="976"/>
      <c r="AO61" s="976"/>
      <c r="AP61" s="976"/>
      <c r="AQ61" s="976"/>
      <c r="AR61" s="976"/>
      <c r="AS61" s="976"/>
      <c r="AT61" s="976"/>
      <c r="AU61" s="976"/>
      <c r="AV61" s="976"/>
    </row>
    <row r="62" spans="1:49" s="795" customFormat="1" ht="21.95" hidden="1" customHeight="1">
      <c r="A62" s="2572"/>
      <c r="B62" s="2656"/>
      <c r="C62" s="1007" t="s">
        <v>1756</v>
      </c>
      <c r="D62" s="978"/>
      <c r="E62" s="979"/>
      <c r="F62" s="752">
        <f t="shared" si="92"/>
        <v>0</v>
      </c>
      <c r="G62" s="752">
        <f t="shared" si="92"/>
        <v>0</v>
      </c>
      <c r="H62" s="752">
        <f t="shared" si="92"/>
        <v>0</v>
      </c>
      <c r="I62" s="752">
        <f t="shared" si="92"/>
        <v>0</v>
      </c>
      <c r="J62" s="752"/>
      <c r="K62" s="752"/>
      <c r="L62" s="752"/>
      <c r="M62" s="752"/>
      <c r="N62" s="980"/>
      <c r="O62" s="752">
        <f t="shared" si="92"/>
        <v>0</v>
      </c>
      <c r="P62" s="752">
        <f t="shared" si="92"/>
        <v>0</v>
      </c>
      <c r="Q62" s="752">
        <f t="shared" si="92"/>
        <v>0</v>
      </c>
      <c r="R62" s="752">
        <f t="shared" si="92"/>
        <v>0</v>
      </c>
      <c r="S62" s="752">
        <f t="shared" si="91"/>
        <v>0</v>
      </c>
      <c r="T62" s="752">
        <f t="shared" si="91"/>
        <v>0</v>
      </c>
      <c r="U62" s="752">
        <f t="shared" si="91"/>
        <v>0</v>
      </c>
      <c r="V62" s="752">
        <f t="shared" si="91"/>
        <v>0</v>
      </c>
      <c r="W62" s="752">
        <f t="shared" si="91"/>
        <v>0</v>
      </c>
      <c r="X62" s="752">
        <f t="shared" si="91"/>
        <v>0</v>
      </c>
      <c r="Y62" s="752">
        <f t="shared" si="91"/>
        <v>0</v>
      </c>
      <c r="Z62" s="752">
        <f t="shared" si="91"/>
        <v>0</v>
      </c>
      <c r="AA62" s="752">
        <f t="shared" si="91"/>
        <v>0</v>
      </c>
      <c r="AB62" s="752">
        <f t="shared" si="91"/>
        <v>0</v>
      </c>
      <c r="AC62" s="752">
        <f t="shared" si="91"/>
        <v>0</v>
      </c>
      <c r="AD62" s="752">
        <f t="shared" si="91"/>
        <v>0</v>
      </c>
      <c r="AE62" s="752">
        <f t="shared" si="91"/>
        <v>0</v>
      </c>
      <c r="AF62" s="926"/>
      <c r="AG62" s="926"/>
      <c r="AH62" s="926"/>
      <c r="AI62" s="753"/>
      <c r="AJ62" s="745">
        <f t="shared" si="90"/>
        <v>0</v>
      </c>
      <c r="AK62" s="976"/>
      <c r="AL62" s="976"/>
      <c r="AM62" s="976"/>
      <c r="AN62" s="976"/>
      <c r="AO62" s="976"/>
      <c r="AP62" s="976"/>
      <c r="AQ62" s="976"/>
      <c r="AR62" s="976"/>
      <c r="AS62" s="976"/>
      <c r="AT62" s="976"/>
      <c r="AU62" s="976"/>
      <c r="AV62" s="976"/>
    </row>
    <row r="63" spans="1:49" s="795" customFormat="1" ht="21.95" hidden="1" customHeight="1">
      <c r="A63" s="2572"/>
      <c r="B63" s="2656"/>
      <c r="C63" s="977" t="s">
        <v>1757</v>
      </c>
      <c r="D63" s="1029"/>
      <c r="E63" s="1043"/>
      <c r="F63" s="785">
        <f t="shared" si="92"/>
        <v>0</v>
      </c>
      <c r="G63" s="785">
        <f t="shared" si="92"/>
        <v>0</v>
      </c>
      <c r="H63" s="785">
        <f t="shared" si="92"/>
        <v>0</v>
      </c>
      <c r="I63" s="785">
        <f t="shared" si="92"/>
        <v>0</v>
      </c>
      <c r="J63" s="785"/>
      <c r="K63" s="785"/>
      <c r="L63" s="785"/>
      <c r="M63" s="785"/>
      <c r="N63" s="1044"/>
      <c r="O63" s="785">
        <f t="shared" si="92"/>
        <v>0</v>
      </c>
      <c r="P63" s="785">
        <f t="shared" si="92"/>
        <v>0</v>
      </c>
      <c r="Q63" s="785">
        <f t="shared" si="92"/>
        <v>0</v>
      </c>
      <c r="R63" s="785">
        <f t="shared" si="92"/>
        <v>0</v>
      </c>
      <c r="S63" s="785">
        <f t="shared" si="91"/>
        <v>0</v>
      </c>
      <c r="T63" s="785">
        <f t="shared" si="91"/>
        <v>0</v>
      </c>
      <c r="U63" s="785">
        <f t="shared" si="91"/>
        <v>0</v>
      </c>
      <c r="V63" s="785">
        <f t="shared" si="91"/>
        <v>0</v>
      </c>
      <c r="W63" s="785">
        <f t="shared" si="91"/>
        <v>0</v>
      </c>
      <c r="X63" s="785">
        <f t="shared" si="91"/>
        <v>0</v>
      </c>
      <c r="Y63" s="785">
        <f t="shared" si="91"/>
        <v>0</v>
      </c>
      <c r="Z63" s="785">
        <f t="shared" si="91"/>
        <v>0</v>
      </c>
      <c r="AA63" s="785">
        <f t="shared" si="91"/>
        <v>0</v>
      </c>
      <c r="AB63" s="785">
        <f t="shared" si="91"/>
        <v>0</v>
      </c>
      <c r="AC63" s="785">
        <f t="shared" si="91"/>
        <v>0</v>
      </c>
      <c r="AD63" s="785">
        <f t="shared" si="91"/>
        <v>0</v>
      </c>
      <c r="AE63" s="785">
        <f t="shared" si="91"/>
        <v>0</v>
      </c>
      <c r="AF63" s="1046"/>
      <c r="AG63" s="1046"/>
      <c r="AH63" s="1046"/>
      <c r="AI63" s="1045"/>
      <c r="AJ63" s="745">
        <f t="shared" si="90"/>
        <v>0</v>
      </c>
      <c r="AK63" s="976"/>
      <c r="AL63" s="976"/>
      <c r="AM63" s="976"/>
      <c r="AN63" s="976"/>
      <c r="AO63" s="976"/>
      <c r="AP63" s="976"/>
      <c r="AQ63" s="976"/>
      <c r="AR63" s="976"/>
      <c r="AS63" s="976"/>
      <c r="AT63" s="976"/>
      <c r="AU63" s="976"/>
      <c r="AV63" s="976"/>
    </row>
    <row r="64" spans="1:49" s="795" customFormat="1" ht="21.95" hidden="1" customHeight="1" thickBot="1">
      <c r="A64" s="2572"/>
      <c r="B64" s="2656"/>
      <c r="C64" s="977" t="s">
        <v>1758</v>
      </c>
      <c r="D64" s="978"/>
      <c r="E64" s="979"/>
      <c r="F64" s="752">
        <f t="shared" si="92"/>
        <v>0</v>
      </c>
      <c r="G64" s="752">
        <f t="shared" si="92"/>
        <v>0</v>
      </c>
      <c r="H64" s="752">
        <f t="shared" si="92"/>
        <v>0</v>
      </c>
      <c r="I64" s="752">
        <f t="shared" si="92"/>
        <v>0</v>
      </c>
      <c r="J64" s="752"/>
      <c r="K64" s="752"/>
      <c r="L64" s="752"/>
      <c r="M64" s="752"/>
      <c r="N64" s="980"/>
      <c r="O64" s="752">
        <f t="shared" si="92"/>
        <v>0</v>
      </c>
      <c r="P64" s="752">
        <f t="shared" si="92"/>
        <v>0</v>
      </c>
      <c r="Q64" s="752">
        <f t="shared" si="92"/>
        <v>0</v>
      </c>
      <c r="R64" s="752">
        <f t="shared" si="92"/>
        <v>0</v>
      </c>
      <c r="S64" s="752">
        <f t="shared" si="91"/>
        <v>0</v>
      </c>
      <c r="T64" s="752">
        <f t="shared" si="91"/>
        <v>0</v>
      </c>
      <c r="U64" s="752">
        <f t="shared" si="91"/>
        <v>0</v>
      </c>
      <c r="V64" s="752">
        <f t="shared" si="91"/>
        <v>0</v>
      </c>
      <c r="W64" s="752">
        <f t="shared" si="91"/>
        <v>0</v>
      </c>
      <c r="X64" s="752">
        <f t="shared" si="91"/>
        <v>0</v>
      </c>
      <c r="Y64" s="752">
        <f t="shared" si="91"/>
        <v>0</v>
      </c>
      <c r="Z64" s="752">
        <f t="shared" si="91"/>
        <v>0</v>
      </c>
      <c r="AA64" s="752">
        <f t="shared" si="91"/>
        <v>0</v>
      </c>
      <c r="AB64" s="752">
        <f t="shared" si="91"/>
        <v>0</v>
      </c>
      <c r="AC64" s="752">
        <f t="shared" si="91"/>
        <v>0</v>
      </c>
      <c r="AD64" s="752">
        <f t="shared" si="91"/>
        <v>0</v>
      </c>
      <c r="AE64" s="752">
        <f t="shared" si="91"/>
        <v>0</v>
      </c>
      <c r="AF64" s="926"/>
      <c r="AG64" s="926"/>
      <c r="AH64" s="926"/>
      <c r="AI64" s="753"/>
      <c r="AJ64" s="745">
        <f t="shared" si="90"/>
        <v>0</v>
      </c>
      <c r="AK64" s="976"/>
      <c r="AL64" s="976"/>
      <c r="AM64" s="976"/>
      <c r="AN64" s="976"/>
      <c r="AO64" s="976"/>
      <c r="AP64" s="976"/>
      <c r="AQ64" s="976"/>
      <c r="AR64" s="976"/>
      <c r="AS64" s="976"/>
      <c r="AT64" s="976"/>
      <c r="AU64" s="976"/>
      <c r="AV64" s="976"/>
    </row>
    <row r="65" spans="1:48" s="795" customFormat="1" ht="21.95" customHeight="1" thickBot="1">
      <c r="A65" s="2572"/>
      <c r="B65" s="2655"/>
      <c r="C65" s="977" t="s">
        <v>1759</v>
      </c>
      <c r="D65" s="1035"/>
      <c r="E65" s="1047"/>
      <c r="F65" s="1048">
        <f t="shared" si="92"/>
        <v>229.6368300000031</v>
      </c>
      <c r="G65" s="1048">
        <f t="shared" si="92"/>
        <v>384.14480000000384</v>
      </c>
      <c r="H65" s="1048">
        <f t="shared" si="92"/>
        <v>180.2000250000047</v>
      </c>
      <c r="I65" s="1048">
        <f t="shared" si="92"/>
        <v>343.81855124999794</v>
      </c>
      <c r="J65" s="1048"/>
      <c r="K65" s="1048"/>
      <c r="L65" s="1048"/>
      <c r="M65" s="1048"/>
      <c r="N65" s="1049"/>
      <c r="O65" s="1048">
        <f t="shared" si="92"/>
        <v>305.05104000001154</v>
      </c>
      <c r="P65" s="1048">
        <f t="shared" si="92"/>
        <v>190.65690000001123</v>
      </c>
      <c r="Q65" s="1048">
        <f t="shared" si="92"/>
        <v>343.81855125000521</v>
      </c>
      <c r="R65" s="1048">
        <f t="shared" si="92"/>
        <v>341.91184499999969</v>
      </c>
      <c r="S65" s="1048">
        <f t="shared" si="91"/>
        <v>0</v>
      </c>
      <c r="T65" s="1048">
        <f t="shared" si="91"/>
        <v>0</v>
      </c>
      <c r="U65" s="1048">
        <f t="shared" si="91"/>
        <v>0</v>
      </c>
      <c r="V65" s="1048">
        <f t="shared" si="91"/>
        <v>0</v>
      </c>
      <c r="W65" s="1048">
        <f t="shared" si="91"/>
        <v>0</v>
      </c>
      <c r="X65" s="1048">
        <f t="shared" si="91"/>
        <v>0</v>
      </c>
      <c r="Y65" s="1048">
        <f t="shared" si="91"/>
        <v>0</v>
      </c>
      <c r="Z65" s="1048">
        <f t="shared" si="91"/>
        <v>0</v>
      </c>
      <c r="AA65" s="1048">
        <f t="shared" si="91"/>
        <v>0</v>
      </c>
      <c r="AB65" s="1048">
        <f t="shared" si="91"/>
        <v>0</v>
      </c>
      <c r="AC65" s="1048">
        <f t="shared" si="91"/>
        <v>0</v>
      </c>
      <c r="AD65" s="1048">
        <f t="shared" si="91"/>
        <v>0</v>
      </c>
      <c r="AE65" s="1048">
        <f t="shared" si="91"/>
        <v>0</v>
      </c>
      <c r="AF65" s="1050"/>
      <c r="AG65" s="1050"/>
      <c r="AH65" s="1050"/>
      <c r="AI65" s="1051"/>
      <c r="AJ65" s="745">
        <f t="shared" si="90"/>
        <v>2319.2385425000375</v>
      </c>
      <c r="AK65" s="976"/>
      <c r="AL65" s="976"/>
      <c r="AM65" s="976"/>
      <c r="AN65" s="976"/>
      <c r="AO65" s="976"/>
      <c r="AP65" s="976"/>
      <c r="AQ65" s="976"/>
      <c r="AR65" s="976"/>
      <c r="AS65" s="976"/>
      <c r="AT65" s="976"/>
      <c r="AU65" s="976"/>
      <c r="AV65" s="976"/>
    </row>
    <row r="66" spans="1:48" s="795" customFormat="1" ht="21.95" hidden="1" customHeight="1" thickBot="1">
      <c r="A66" s="2572"/>
      <c r="B66" s="2656"/>
      <c r="C66" s="1040" t="s">
        <v>1760</v>
      </c>
      <c r="D66" s="1029"/>
      <c r="E66" s="1043"/>
      <c r="F66" s="785">
        <f t="shared" si="92"/>
        <v>0</v>
      </c>
      <c r="G66" s="785">
        <f t="shared" si="92"/>
        <v>0</v>
      </c>
      <c r="H66" s="785">
        <f t="shared" si="92"/>
        <v>0</v>
      </c>
      <c r="I66" s="785">
        <f t="shared" si="92"/>
        <v>0</v>
      </c>
      <c r="J66" s="785"/>
      <c r="K66" s="785"/>
      <c r="L66" s="785"/>
      <c r="M66" s="785"/>
      <c r="N66" s="1044"/>
      <c r="O66" s="785">
        <f t="shared" si="92"/>
        <v>0</v>
      </c>
      <c r="P66" s="785">
        <f t="shared" si="92"/>
        <v>0</v>
      </c>
      <c r="Q66" s="785">
        <f t="shared" si="92"/>
        <v>0</v>
      </c>
      <c r="R66" s="785">
        <f t="shared" si="92"/>
        <v>0</v>
      </c>
      <c r="S66" s="785">
        <f t="shared" si="91"/>
        <v>0</v>
      </c>
      <c r="T66" s="785">
        <f t="shared" si="91"/>
        <v>0</v>
      </c>
      <c r="U66" s="785">
        <f t="shared" si="91"/>
        <v>0</v>
      </c>
      <c r="V66" s="785">
        <f t="shared" si="91"/>
        <v>0</v>
      </c>
      <c r="W66" s="785">
        <f t="shared" si="91"/>
        <v>0</v>
      </c>
      <c r="X66" s="785">
        <f t="shared" si="91"/>
        <v>0</v>
      </c>
      <c r="Y66" s="785">
        <f t="shared" si="91"/>
        <v>0</v>
      </c>
      <c r="Z66" s="785">
        <f t="shared" si="91"/>
        <v>0</v>
      </c>
      <c r="AA66" s="785">
        <f t="shared" si="91"/>
        <v>0</v>
      </c>
      <c r="AB66" s="785">
        <f t="shared" si="91"/>
        <v>0</v>
      </c>
      <c r="AC66" s="785">
        <f t="shared" si="91"/>
        <v>0</v>
      </c>
      <c r="AD66" s="785">
        <f t="shared" si="91"/>
        <v>0</v>
      </c>
      <c r="AE66" s="785">
        <f t="shared" si="91"/>
        <v>0</v>
      </c>
      <c r="AF66" s="926"/>
      <c r="AG66" s="926"/>
      <c r="AH66" s="926"/>
      <c r="AI66" s="753"/>
      <c r="AJ66" s="745">
        <f t="shared" si="90"/>
        <v>0</v>
      </c>
      <c r="AK66" s="976"/>
      <c r="AL66" s="976"/>
      <c r="AM66" s="976"/>
      <c r="AN66" s="976"/>
      <c r="AO66" s="976"/>
      <c r="AP66" s="976"/>
      <c r="AQ66" s="976"/>
      <c r="AR66" s="976"/>
      <c r="AS66" s="976"/>
      <c r="AT66" s="976"/>
      <c r="AU66" s="976"/>
      <c r="AV66" s="976"/>
    </row>
    <row r="67" spans="1:48" s="795" customFormat="1" ht="21.95" hidden="1" customHeight="1">
      <c r="A67" s="2572"/>
      <c r="B67" s="2655"/>
      <c r="C67" s="977" t="s">
        <v>1761</v>
      </c>
      <c r="D67" s="1035"/>
      <c r="E67" s="1047"/>
      <c r="F67" s="1048">
        <f t="shared" si="92"/>
        <v>0</v>
      </c>
      <c r="G67" s="1048">
        <f t="shared" si="92"/>
        <v>0</v>
      </c>
      <c r="H67" s="1048">
        <f t="shared" si="92"/>
        <v>0</v>
      </c>
      <c r="I67" s="1048">
        <f t="shared" si="92"/>
        <v>0</v>
      </c>
      <c r="J67" s="1048"/>
      <c r="K67" s="1048"/>
      <c r="L67" s="1048"/>
      <c r="M67" s="1048"/>
      <c r="N67" s="1049"/>
      <c r="O67" s="1048">
        <f t="shared" si="92"/>
        <v>0</v>
      </c>
      <c r="P67" s="1048">
        <f t="shared" si="92"/>
        <v>0</v>
      </c>
      <c r="Q67" s="1048">
        <f t="shared" si="92"/>
        <v>0</v>
      </c>
      <c r="R67" s="1048">
        <f t="shared" si="92"/>
        <v>0</v>
      </c>
      <c r="S67" s="1048">
        <f t="shared" si="91"/>
        <v>0</v>
      </c>
      <c r="T67" s="1048">
        <f t="shared" si="91"/>
        <v>0</v>
      </c>
      <c r="U67" s="1048">
        <f t="shared" si="91"/>
        <v>0</v>
      </c>
      <c r="V67" s="1048">
        <f t="shared" si="91"/>
        <v>0</v>
      </c>
      <c r="W67" s="1048">
        <f t="shared" si="91"/>
        <v>0</v>
      </c>
      <c r="X67" s="1048">
        <f t="shared" si="91"/>
        <v>0</v>
      </c>
      <c r="Y67" s="1048">
        <f t="shared" si="91"/>
        <v>0</v>
      </c>
      <c r="Z67" s="1048">
        <f t="shared" si="91"/>
        <v>0</v>
      </c>
      <c r="AA67" s="1048">
        <f t="shared" si="91"/>
        <v>0</v>
      </c>
      <c r="AB67" s="1048">
        <f t="shared" si="91"/>
        <v>0</v>
      </c>
      <c r="AC67" s="1048">
        <f t="shared" si="91"/>
        <v>0</v>
      </c>
      <c r="AD67" s="1048">
        <f t="shared" si="91"/>
        <v>0</v>
      </c>
      <c r="AE67" s="1048">
        <f t="shared" si="91"/>
        <v>0</v>
      </c>
      <c r="AF67" s="1050"/>
      <c r="AG67" s="1050"/>
      <c r="AH67" s="1050"/>
      <c r="AI67" s="1051"/>
      <c r="AJ67" s="745">
        <f t="shared" si="90"/>
        <v>0</v>
      </c>
      <c r="AK67" s="976"/>
      <c r="AL67" s="976"/>
      <c r="AM67" s="976"/>
      <c r="AN67" s="976"/>
      <c r="AO67" s="976"/>
      <c r="AP67" s="976"/>
      <c r="AQ67" s="976"/>
      <c r="AR67" s="976"/>
      <c r="AS67" s="976"/>
      <c r="AT67" s="976"/>
      <c r="AU67" s="976"/>
      <c r="AV67" s="976"/>
    </row>
    <row r="68" spans="1:48" s="795" customFormat="1" ht="21.95" hidden="1" customHeight="1">
      <c r="A68" s="2572"/>
      <c r="B68" s="2656"/>
      <c r="C68" s="977" t="s">
        <v>1762</v>
      </c>
      <c r="D68" s="1029"/>
      <c r="E68" s="1043"/>
      <c r="F68" s="785">
        <f t="shared" si="92"/>
        <v>0</v>
      </c>
      <c r="G68" s="785">
        <f t="shared" si="92"/>
        <v>0</v>
      </c>
      <c r="H68" s="785">
        <f t="shared" si="92"/>
        <v>0</v>
      </c>
      <c r="I68" s="785">
        <f t="shared" si="92"/>
        <v>0</v>
      </c>
      <c r="J68" s="785"/>
      <c r="K68" s="785"/>
      <c r="L68" s="785"/>
      <c r="M68" s="785"/>
      <c r="N68" s="1044"/>
      <c r="O68" s="785">
        <f t="shared" si="92"/>
        <v>0</v>
      </c>
      <c r="P68" s="785">
        <f t="shared" si="92"/>
        <v>0</v>
      </c>
      <c r="Q68" s="785">
        <f t="shared" si="92"/>
        <v>0</v>
      </c>
      <c r="R68" s="785">
        <f t="shared" si="92"/>
        <v>0</v>
      </c>
      <c r="S68" s="785">
        <f t="shared" si="91"/>
        <v>0</v>
      </c>
      <c r="T68" s="785">
        <f t="shared" si="91"/>
        <v>0</v>
      </c>
      <c r="U68" s="785">
        <f t="shared" si="91"/>
        <v>0</v>
      </c>
      <c r="V68" s="785">
        <f t="shared" si="91"/>
        <v>0</v>
      </c>
      <c r="W68" s="785">
        <f t="shared" si="91"/>
        <v>0</v>
      </c>
      <c r="X68" s="785">
        <f t="shared" si="91"/>
        <v>0</v>
      </c>
      <c r="Y68" s="785">
        <f t="shared" si="91"/>
        <v>0</v>
      </c>
      <c r="Z68" s="785">
        <f t="shared" si="91"/>
        <v>0</v>
      </c>
      <c r="AA68" s="785">
        <f t="shared" si="91"/>
        <v>0</v>
      </c>
      <c r="AB68" s="785">
        <f t="shared" si="91"/>
        <v>0</v>
      </c>
      <c r="AC68" s="785">
        <f t="shared" si="91"/>
        <v>0</v>
      </c>
      <c r="AD68" s="785">
        <f t="shared" si="91"/>
        <v>0</v>
      </c>
      <c r="AE68" s="785">
        <f t="shared" si="91"/>
        <v>0</v>
      </c>
      <c r="AF68" s="1046"/>
      <c r="AG68" s="1046"/>
      <c r="AH68" s="1046"/>
      <c r="AI68" s="1045"/>
      <c r="AJ68" s="745">
        <f t="shared" si="90"/>
        <v>0</v>
      </c>
      <c r="AK68" s="976"/>
      <c r="AL68" s="976"/>
      <c r="AM68" s="976"/>
      <c r="AN68" s="976"/>
      <c r="AO68" s="976"/>
      <c r="AP68" s="976"/>
      <c r="AQ68" s="976"/>
      <c r="AR68" s="976"/>
      <c r="AS68" s="976"/>
      <c r="AT68" s="976"/>
      <c r="AU68" s="976"/>
      <c r="AV68" s="976"/>
    </row>
    <row r="69" spans="1:48" s="795" customFormat="1" ht="21.95" hidden="1" customHeight="1" thickBot="1">
      <c r="A69" s="2572"/>
      <c r="B69" s="2657"/>
      <c r="C69" s="982" t="s">
        <v>1763</v>
      </c>
      <c r="D69" s="983"/>
      <c r="E69" s="984"/>
      <c r="F69" s="761">
        <f t="shared" si="92"/>
        <v>0</v>
      </c>
      <c r="G69" s="761">
        <f t="shared" si="92"/>
        <v>0</v>
      </c>
      <c r="H69" s="761">
        <f t="shared" si="92"/>
        <v>0</v>
      </c>
      <c r="I69" s="761">
        <f t="shared" si="92"/>
        <v>0</v>
      </c>
      <c r="J69" s="761"/>
      <c r="K69" s="761"/>
      <c r="L69" s="761"/>
      <c r="M69" s="761"/>
      <c r="N69" s="985"/>
      <c r="O69" s="761">
        <f t="shared" si="92"/>
        <v>0</v>
      </c>
      <c r="P69" s="761">
        <f t="shared" si="92"/>
        <v>0</v>
      </c>
      <c r="Q69" s="761">
        <f t="shared" si="92"/>
        <v>0</v>
      </c>
      <c r="R69" s="761">
        <f t="shared" si="92"/>
        <v>0</v>
      </c>
      <c r="S69" s="761">
        <f t="shared" si="91"/>
        <v>0</v>
      </c>
      <c r="T69" s="761">
        <f t="shared" si="91"/>
        <v>0</v>
      </c>
      <c r="U69" s="761">
        <f t="shared" si="91"/>
        <v>0</v>
      </c>
      <c r="V69" s="761">
        <f t="shared" si="91"/>
        <v>0</v>
      </c>
      <c r="W69" s="761">
        <f t="shared" si="91"/>
        <v>0</v>
      </c>
      <c r="X69" s="761">
        <f t="shared" si="91"/>
        <v>0</v>
      </c>
      <c r="Y69" s="761">
        <f t="shared" si="91"/>
        <v>0</v>
      </c>
      <c r="Z69" s="761">
        <f t="shared" si="91"/>
        <v>0</v>
      </c>
      <c r="AA69" s="761">
        <f t="shared" si="91"/>
        <v>0</v>
      </c>
      <c r="AB69" s="761">
        <f t="shared" si="91"/>
        <v>0</v>
      </c>
      <c r="AC69" s="761">
        <f t="shared" si="91"/>
        <v>0</v>
      </c>
      <c r="AD69" s="761">
        <f t="shared" si="91"/>
        <v>0</v>
      </c>
      <c r="AE69" s="761">
        <f t="shared" si="91"/>
        <v>0</v>
      </c>
      <c r="AF69" s="986"/>
      <c r="AG69" s="986"/>
      <c r="AH69" s="986"/>
      <c r="AI69" s="769"/>
      <c r="AJ69" s="745">
        <f t="shared" si="90"/>
        <v>0</v>
      </c>
      <c r="AK69" s="976"/>
      <c r="AL69" s="976"/>
      <c r="AM69" s="976"/>
      <c r="AN69" s="976"/>
      <c r="AO69" s="976"/>
      <c r="AP69" s="976"/>
      <c r="AQ69" s="976"/>
      <c r="AR69" s="976"/>
      <c r="AS69" s="976"/>
      <c r="AT69" s="976"/>
      <c r="AU69" s="976"/>
      <c r="AV69" s="976"/>
    </row>
    <row r="70" spans="1:48" s="795" customFormat="1" ht="21.95" hidden="1" customHeight="1">
      <c r="A70" s="2572"/>
      <c r="B70" s="2655" t="s">
        <v>1765</v>
      </c>
      <c r="C70" s="1007" t="s">
        <v>1754</v>
      </c>
      <c r="D70" s="1029"/>
      <c r="E70" s="1043"/>
      <c r="F70" s="785">
        <f>IF(F$29=2,F48,0)</f>
        <v>0</v>
      </c>
      <c r="G70" s="785">
        <f>IF(G$29=2,G48,0)</f>
        <v>0</v>
      </c>
      <c r="H70" s="785">
        <f>IF(H$29=2,H48,0)</f>
        <v>0</v>
      </c>
      <c r="I70" s="785">
        <f>IF(I$29=2,I48,0)</f>
        <v>0</v>
      </c>
      <c r="J70" s="785"/>
      <c r="K70" s="785"/>
      <c r="L70" s="785"/>
      <c r="M70" s="785"/>
      <c r="N70" s="1044"/>
      <c r="O70" s="785">
        <f t="shared" ref="O70:AE79" si="93">IF(O$29=2,O48,0)</f>
        <v>0</v>
      </c>
      <c r="P70" s="785">
        <f t="shared" si="93"/>
        <v>0</v>
      </c>
      <c r="Q70" s="785">
        <f t="shared" si="93"/>
        <v>0</v>
      </c>
      <c r="R70" s="785">
        <f t="shared" si="93"/>
        <v>0</v>
      </c>
      <c r="S70" s="785">
        <f t="shared" si="93"/>
        <v>0</v>
      </c>
      <c r="T70" s="785">
        <f t="shared" si="93"/>
        <v>0</v>
      </c>
      <c r="U70" s="785">
        <f t="shared" si="93"/>
        <v>0</v>
      </c>
      <c r="V70" s="785">
        <f t="shared" si="93"/>
        <v>0</v>
      </c>
      <c r="W70" s="785">
        <f t="shared" si="93"/>
        <v>0</v>
      </c>
      <c r="X70" s="785">
        <f t="shared" si="93"/>
        <v>0</v>
      </c>
      <c r="Y70" s="785">
        <f t="shared" si="93"/>
        <v>0</v>
      </c>
      <c r="Z70" s="785">
        <f t="shared" si="93"/>
        <v>0</v>
      </c>
      <c r="AA70" s="785">
        <f t="shared" si="93"/>
        <v>0</v>
      </c>
      <c r="AB70" s="785">
        <f t="shared" si="93"/>
        <v>0</v>
      </c>
      <c r="AC70" s="785">
        <f t="shared" si="93"/>
        <v>0</v>
      </c>
      <c r="AD70" s="785">
        <f t="shared" si="93"/>
        <v>0</v>
      </c>
      <c r="AE70" s="785">
        <f t="shared" si="93"/>
        <v>0</v>
      </c>
      <c r="AF70" s="785"/>
      <c r="AG70" s="785"/>
      <c r="AH70" s="785"/>
      <c r="AI70" s="1045"/>
      <c r="AJ70" s="745">
        <f t="shared" si="90"/>
        <v>0</v>
      </c>
      <c r="AK70" s="976"/>
      <c r="AL70" s="976"/>
      <c r="AM70" s="976"/>
      <c r="AN70" s="976"/>
      <c r="AO70" s="976"/>
      <c r="AP70" s="976"/>
      <c r="AQ70" s="976"/>
      <c r="AR70" s="976"/>
      <c r="AS70" s="976"/>
      <c r="AT70" s="976"/>
      <c r="AU70" s="976"/>
      <c r="AV70" s="976"/>
    </row>
    <row r="71" spans="1:48" s="795" customFormat="1" ht="21.95" hidden="1" customHeight="1">
      <c r="A71" s="2572"/>
      <c r="B71" s="2656"/>
      <c r="C71" s="977" t="s">
        <v>1755</v>
      </c>
      <c r="D71" s="1029"/>
      <c r="E71" s="1043"/>
      <c r="F71" s="785">
        <f t="shared" ref="F71:R79" si="94">IF(F$29=2,F49,0)</f>
        <v>0</v>
      </c>
      <c r="G71" s="785">
        <f t="shared" si="94"/>
        <v>0</v>
      </c>
      <c r="H71" s="785">
        <f t="shared" si="94"/>
        <v>0</v>
      </c>
      <c r="I71" s="785">
        <f t="shared" si="94"/>
        <v>0</v>
      </c>
      <c r="J71" s="785"/>
      <c r="K71" s="785"/>
      <c r="L71" s="785"/>
      <c r="M71" s="785"/>
      <c r="N71" s="1044"/>
      <c r="O71" s="785">
        <f t="shared" si="94"/>
        <v>0</v>
      </c>
      <c r="P71" s="785">
        <f t="shared" si="94"/>
        <v>0</v>
      </c>
      <c r="Q71" s="785">
        <f t="shared" si="94"/>
        <v>0</v>
      </c>
      <c r="R71" s="785">
        <f t="shared" si="94"/>
        <v>0</v>
      </c>
      <c r="S71" s="785">
        <f t="shared" si="93"/>
        <v>0</v>
      </c>
      <c r="T71" s="785">
        <f t="shared" si="93"/>
        <v>0</v>
      </c>
      <c r="U71" s="785">
        <f t="shared" si="93"/>
        <v>0</v>
      </c>
      <c r="V71" s="785">
        <f t="shared" si="93"/>
        <v>0</v>
      </c>
      <c r="W71" s="785">
        <f t="shared" si="93"/>
        <v>0</v>
      </c>
      <c r="X71" s="785">
        <f t="shared" si="93"/>
        <v>0</v>
      </c>
      <c r="Y71" s="785">
        <f t="shared" si="93"/>
        <v>0</v>
      </c>
      <c r="Z71" s="785">
        <f t="shared" si="93"/>
        <v>0</v>
      </c>
      <c r="AA71" s="785">
        <f t="shared" si="93"/>
        <v>0</v>
      </c>
      <c r="AB71" s="785">
        <f t="shared" si="93"/>
        <v>0</v>
      </c>
      <c r="AC71" s="785">
        <f t="shared" si="93"/>
        <v>0</v>
      </c>
      <c r="AD71" s="785">
        <f t="shared" si="93"/>
        <v>0</v>
      </c>
      <c r="AE71" s="785">
        <f t="shared" si="93"/>
        <v>0</v>
      </c>
      <c r="AF71" s="785"/>
      <c r="AG71" s="785"/>
      <c r="AH71" s="785"/>
      <c r="AI71" s="1045"/>
      <c r="AJ71" s="745">
        <f t="shared" si="90"/>
        <v>0</v>
      </c>
      <c r="AK71" s="976"/>
      <c r="AL71" s="976"/>
      <c r="AM71" s="976"/>
      <c r="AN71" s="976"/>
      <c r="AO71" s="976"/>
      <c r="AP71" s="976"/>
      <c r="AQ71" s="976"/>
      <c r="AR71" s="976"/>
      <c r="AS71" s="976"/>
      <c r="AT71" s="976"/>
      <c r="AU71" s="976"/>
      <c r="AV71" s="976"/>
    </row>
    <row r="72" spans="1:48" s="795" customFormat="1" ht="21.95" hidden="1" customHeight="1">
      <c r="A72" s="2572"/>
      <c r="B72" s="2656"/>
      <c r="C72" s="1007" t="s">
        <v>1756</v>
      </c>
      <c r="D72" s="978"/>
      <c r="E72" s="979"/>
      <c r="F72" s="752">
        <f t="shared" si="94"/>
        <v>0</v>
      </c>
      <c r="G72" s="752">
        <f t="shared" si="94"/>
        <v>0</v>
      </c>
      <c r="H72" s="752">
        <f t="shared" si="94"/>
        <v>0</v>
      </c>
      <c r="I72" s="752">
        <f t="shared" si="94"/>
        <v>0</v>
      </c>
      <c r="J72" s="752"/>
      <c r="K72" s="752"/>
      <c r="L72" s="752"/>
      <c r="M72" s="752"/>
      <c r="N72" s="980"/>
      <c r="O72" s="752">
        <f t="shared" si="94"/>
        <v>0</v>
      </c>
      <c r="P72" s="752">
        <f t="shared" si="94"/>
        <v>0</v>
      </c>
      <c r="Q72" s="752">
        <f t="shared" si="94"/>
        <v>0</v>
      </c>
      <c r="R72" s="752">
        <f t="shared" si="94"/>
        <v>0</v>
      </c>
      <c r="S72" s="752">
        <f t="shared" si="93"/>
        <v>0</v>
      </c>
      <c r="T72" s="752">
        <f t="shared" si="93"/>
        <v>0</v>
      </c>
      <c r="U72" s="752">
        <f t="shared" si="93"/>
        <v>0</v>
      </c>
      <c r="V72" s="752">
        <f t="shared" si="93"/>
        <v>0</v>
      </c>
      <c r="W72" s="752">
        <f t="shared" si="93"/>
        <v>0</v>
      </c>
      <c r="X72" s="752">
        <f t="shared" si="93"/>
        <v>0</v>
      </c>
      <c r="Y72" s="752">
        <f t="shared" si="93"/>
        <v>0</v>
      </c>
      <c r="Z72" s="752">
        <f t="shared" si="93"/>
        <v>0</v>
      </c>
      <c r="AA72" s="752">
        <f t="shared" si="93"/>
        <v>0</v>
      </c>
      <c r="AB72" s="752">
        <f t="shared" si="93"/>
        <v>0</v>
      </c>
      <c r="AC72" s="752">
        <f t="shared" si="93"/>
        <v>0</v>
      </c>
      <c r="AD72" s="752">
        <f t="shared" si="93"/>
        <v>0</v>
      </c>
      <c r="AE72" s="752">
        <f t="shared" si="93"/>
        <v>0</v>
      </c>
      <c r="AF72" s="926"/>
      <c r="AG72" s="926"/>
      <c r="AH72" s="926"/>
      <c r="AI72" s="753"/>
      <c r="AJ72" s="745">
        <f t="shared" si="90"/>
        <v>0</v>
      </c>
      <c r="AK72" s="976"/>
      <c r="AL72" s="976"/>
      <c r="AM72" s="976"/>
      <c r="AN72" s="976"/>
      <c r="AO72" s="976"/>
      <c r="AP72" s="976"/>
      <c r="AQ72" s="976"/>
      <c r="AR72" s="976"/>
      <c r="AS72" s="976"/>
      <c r="AT72" s="976"/>
      <c r="AU72" s="976"/>
      <c r="AV72" s="976"/>
    </row>
    <row r="73" spans="1:48" s="795" customFormat="1" ht="21.95" hidden="1" customHeight="1">
      <c r="A73" s="2572"/>
      <c r="B73" s="2656"/>
      <c r="C73" s="977" t="s">
        <v>1757</v>
      </c>
      <c r="D73" s="1029"/>
      <c r="E73" s="1043"/>
      <c r="F73" s="785">
        <f t="shared" si="94"/>
        <v>0</v>
      </c>
      <c r="G73" s="785">
        <f t="shared" si="94"/>
        <v>0</v>
      </c>
      <c r="H73" s="785">
        <f t="shared" si="94"/>
        <v>0</v>
      </c>
      <c r="I73" s="785">
        <f t="shared" si="94"/>
        <v>0</v>
      </c>
      <c r="J73" s="785"/>
      <c r="K73" s="785"/>
      <c r="L73" s="785"/>
      <c r="M73" s="785"/>
      <c r="N73" s="1044"/>
      <c r="O73" s="785">
        <f t="shared" si="94"/>
        <v>0</v>
      </c>
      <c r="P73" s="785">
        <f t="shared" si="94"/>
        <v>0</v>
      </c>
      <c r="Q73" s="785">
        <f t="shared" si="94"/>
        <v>0</v>
      </c>
      <c r="R73" s="785">
        <f t="shared" si="94"/>
        <v>0</v>
      </c>
      <c r="S73" s="785">
        <f t="shared" si="93"/>
        <v>0</v>
      </c>
      <c r="T73" s="785">
        <f t="shared" si="93"/>
        <v>0</v>
      </c>
      <c r="U73" s="785">
        <f t="shared" si="93"/>
        <v>0</v>
      </c>
      <c r="V73" s="785">
        <f t="shared" si="93"/>
        <v>0</v>
      </c>
      <c r="W73" s="785">
        <f t="shared" si="93"/>
        <v>0</v>
      </c>
      <c r="X73" s="785">
        <f t="shared" si="93"/>
        <v>0</v>
      </c>
      <c r="Y73" s="785">
        <f t="shared" si="93"/>
        <v>0</v>
      </c>
      <c r="Z73" s="785">
        <f t="shared" si="93"/>
        <v>0</v>
      </c>
      <c r="AA73" s="785">
        <f t="shared" si="93"/>
        <v>0</v>
      </c>
      <c r="AB73" s="785">
        <f t="shared" si="93"/>
        <v>0</v>
      </c>
      <c r="AC73" s="785">
        <f t="shared" si="93"/>
        <v>0</v>
      </c>
      <c r="AD73" s="785">
        <f t="shared" si="93"/>
        <v>0</v>
      </c>
      <c r="AE73" s="785">
        <f t="shared" si="93"/>
        <v>0</v>
      </c>
      <c r="AF73" s="1046"/>
      <c r="AG73" s="1046"/>
      <c r="AH73" s="1046"/>
      <c r="AI73" s="1045"/>
      <c r="AJ73" s="745">
        <f t="shared" si="90"/>
        <v>0</v>
      </c>
      <c r="AK73" s="976"/>
      <c r="AL73" s="976"/>
      <c r="AM73" s="976"/>
      <c r="AN73" s="976"/>
      <c r="AO73" s="976"/>
      <c r="AP73" s="976"/>
      <c r="AQ73" s="976"/>
      <c r="AR73" s="976"/>
      <c r="AS73" s="976"/>
      <c r="AT73" s="976"/>
      <c r="AU73" s="976"/>
      <c r="AV73" s="976"/>
    </row>
    <row r="74" spans="1:48" s="795" customFormat="1" ht="21.95" hidden="1" customHeight="1">
      <c r="A74" s="2572"/>
      <c r="B74" s="2656"/>
      <c r="C74" s="977" t="s">
        <v>1758</v>
      </c>
      <c r="D74" s="978"/>
      <c r="E74" s="979"/>
      <c r="F74" s="752">
        <f t="shared" si="94"/>
        <v>0</v>
      </c>
      <c r="G74" s="752">
        <f t="shared" si="94"/>
        <v>0</v>
      </c>
      <c r="H74" s="752">
        <f t="shared" si="94"/>
        <v>0</v>
      </c>
      <c r="I74" s="752">
        <f t="shared" si="94"/>
        <v>0</v>
      </c>
      <c r="J74" s="752"/>
      <c r="K74" s="752"/>
      <c r="L74" s="752"/>
      <c r="M74" s="752"/>
      <c r="N74" s="980"/>
      <c r="O74" s="752">
        <f t="shared" si="94"/>
        <v>0</v>
      </c>
      <c r="P74" s="752">
        <f t="shared" si="94"/>
        <v>0</v>
      </c>
      <c r="Q74" s="752">
        <f t="shared" si="94"/>
        <v>0</v>
      </c>
      <c r="R74" s="752">
        <f t="shared" si="94"/>
        <v>0</v>
      </c>
      <c r="S74" s="752">
        <f t="shared" si="93"/>
        <v>0</v>
      </c>
      <c r="T74" s="752">
        <f t="shared" si="93"/>
        <v>0</v>
      </c>
      <c r="U74" s="752">
        <f t="shared" si="93"/>
        <v>0</v>
      </c>
      <c r="V74" s="752">
        <f t="shared" si="93"/>
        <v>0</v>
      </c>
      <c r="W74" s="752">
        <f t="shared" si="93"/>
        <v>0</v>
      </c>
      <c r="X74" s="752">
        <f t="shared" si="93"/>
        <v>0</v>
      </c>
      <c r="Y74" s="752">
        <f t="shared" si="93"/>
        <v>0</v>
      </c>
      <c r="Z74" s="752">
        <f t="shared" si="93"/>
        <v>0</v>
      </c>
      <c r="AA74" s="752">
        <f t="shared" si="93"/>
        <v>0</v>
      </c>
      <c r="AB74" s="752">
        <f t="shared" si="93"/>
        <v>0</v>
      </c>
      <c r="AC74" s="752">
        <f t="shared" si="93"/>
        <v>0</v>
      </c>
      <c r="AD74" s="752">
        <f t="shared" si="93"/>
        <v>0</v>
      </c>
      <c r="AE74" s="752">
        <f t="shared" si="93"/>
        <v>0</v>
      </c>
      <c r="AF74" s="926"/>
      <c r="AG74" s="926"/>
      <c r="AH74" s="926"/>
      <c r="AI74" s="753"/>
      <c r="AJ74" s="745">
        <f t="shared" si="90"/>
        <v>0</v>
      </c>
      <c r="AK74" s="976"/>
      <c r="AL74" s="976"/>
      <c r="AM74" s="976"/>
      <c r="AN74" s="976"/>
      <c r="AO74" s="976"/>
      <c r="AP74" s="976"/>
      <c r="AQ74" s="976"/>
      <c r="AR74" s="976"/>
      <c r="AS74" s="976"/>
      <c r="AT74" s="976"/>
      <c r="AU74" s="976"/>
      <c r="AV74" s="976"/>
    </row>
    <row r="75" spans="1:48" s="795" customFormat="1" ht="21.95" hidden="1" customHeight="1">
      <c r="A75" s="2572"/>
      <c r="B75" s="2656"/>
      <c r="C75" s="977" t="s">
        <v>1759</v>
      </c>
      <c r="D75" s="1035"/>
      <c r="E75" s="1047"/>
      <c r="F75" s="1048">
        <f t="shared" si="94"/>
        <v>0</v>
      </c>
      <c r="G75" s="1048">
        <f t="shared" si="94"/>
        <v>0</v>
      </c>
      <c r="H75" s="1048">
        <f t="shared" si="94"/>
        <v>0</v>
      </c>
      <c r="I75" s="1048">
        <f t="shared" si="94"/>
        <v>0</v>
      </c>
      <c r="J75" s="1048"/>
      <c r="K75" s="1048"/>
      <c r="L75" s="1048"/>
      <c r="M75" s="1048"/>
      <c r="N75" s="1049"/>
      <c r="O75" s="1048">
        <f t="shared" si="94"/>
        <v>0</v>
      </c>
      <c r="P75" s="1048">
        <f t="shared" si="94"/>
        <v>0</v>
      </c>
      <c r="Q75" s="1048">
        <f t="shared" si="94"/>
        <v>0</v>
      </c>
      <c r="R75" s="1048">
        <f t="shared" si="94"/>
        <v>0</v>
      </c>
      <c r="S75" s="1048">
        <f t="shared" si="93"/>
        <v>0</v>
      </c>
      <c r="T75" s="1048">
        <f t="shared" si="93"/>
        <v>0</v>
      </c>
      <c r="U75" s="1048">
        <f t="shared" si="93"/>
        <v>0</v>
      </c>
      <c r="V75" s="1048">
        <f t="shared" si="93"/>
        <v>0</v>
      </c>
      <c r="W75" s="1048">
        <f t="shared" si="93"/>
        <v>0</v>
      </c>
      <c r="X75" s="1048">
        <f t="shared" si="93"/>
        <v>0</v>
      </c>
      <c r="Y75" s="1048">
        <f t="shared" si="93"/>
        <v>0</v>
      </c>
      <c r="Z75" s="1048">
        <f t="shared" si="93"/>
        <v>0</v>
      </c>
      <c r="AA75" s="1048">
        <f t="shared" si="93"/>
        <v>0</v>
      </c>
      <c r="AB75" s="1048">
        <f t="shared" si="93"/>
        <v>0</v>
      </c>
      <c r="AC75" s="1048">
        <f t="shared" si="93"/>
        <v>0</v>
      </c>
      <c r="AD75" s="1048">
        <f t="shared" si="93"/>
        <v>0</v>
      </c>
      <c r="AE75" s="1048">
        <f t="shared" si="93"/>
        <v>0</v>
      </c>
      <c r="AF75" s="1050"/>
      <c r="AG75" s="1050"/>
      <c r="AH75" s="1050"/>
      <c r="AI75" s="1051"/>
      <c r="AJ75" s="745">
        <f t="shared" si="90"/>
        <v>0</v>
      </c>
      <c r="AK75" s="976"/>
      <c r="AL75" s="976"/>
      <c r="AM75" s="976"/>
      <c r="AN75" s="976"/>
      <c r="AO75" s="976"/>
      <c r="AP75" s="976"/>
      <c r="AQ75" s="976"/>
      <c r="AR75" s="976"/>
      <c r="AS75" s="976"/>
      <c r="AT75" s="976"/>
      <c r="AU75" s="976"/>
      <c r="AV75" s="976"/>
    </row>
    <row r="76" spans="1:48" s="795" customFormat="1" ht="21.95" hidden="1" customHeight="1">
      <c r="A76" s="2572"/>
      <c r="B76" s="2656"/>
      <c r="C76" s="1040" t="s">
        <v>1760</v>
      </c>
      <c r="D76" s="1029"/>
      <c r="E76" s="1043"/>
      <c r="F76" s="785">
        <f t="shared" si="94"/>
        <v>0</v>
      </c>
      <c r="G76" s="785">
        <f t="shared" si="94"/>
        <v>0</v>
      </c>
      <c r="H76" s="785">
        <f t="shared" si="94"/>
        <v>0</v>
      </c>
      <c r="I76" s="785">
        <f t="shared" si="94"/>
        <v>0</v>
      </c>
      <c r="J76" s="785"/>
      <c r="K76" s="785"/>
      <c r="L76" s="785"/>
      <c r="M76" s="785"/>
      <c r="N76" s="1044"/>
      <c r="O76" s="785">
        <f t="shared" si="94"/>
        <v>0</v>
      </c>
      <c r="P76" s="785">
        <f t="shared" si="94"/>
        <v>0</v>
      </c>
      <c r="Q76" s="785">
        <f t="shared" si="94"/>
        <v>0</v>
      </c>
      <c r="R76" s="785">
        <f t="shared" si="94"/>
        <v>0</v>
      </c>
      <c r="S76" s="785">
        <f t="shared" si="93"/>
        <v>0</v>
      </c>
      <c r="T76" s="785">
        <f t="shared" si="93"/>
        <v>0</v>
      </c>
      <c r="U76" s="785">
        <f t="shared" si="93"/>
        <v>0</v>
      </c>
      <c r="V76" s="785">
        <f t="shared" si="93"/>
        <v>0</v>
      </c>
      <c r="W76" s="785">
        <f t="shared" si="93"/>
        <v>0</v>
      </c>
      <c r="X76" s="785">
        <f t="shared" si="93"/>
        <v>0</v>
      </c>
      <c r="Y76" s="785">
        <f t="shared" si="93"/>
        <v>0</v>
      </c>
      <c r="Z76" s="785">
        <f t="shared" si="93"/>
        <v>0</v>
      </c>
      <c r="AA76" s="785">
        <f t="shared" si="93"/>
        <v>0</v>
      </c>
      <c r="AB76" s="785">
        <f t="shared" si="93"/>
        <v>0</v>
      </c>
      <c r="AC76" s="785">
        <f t="shared" si="93"/>
        <v>0</v>
      </c>
      <c r="AD76" s="785">
        <f t="shared" si="93"/>
        <v>0</v>
      </c>
      <c r="AE76" s="785">
        <f t="shared" si="93"/>
        <v>0</v>
      </c>
      <c r="AF76" s="926"/>
      <c r="AG76" s="926"/>
      <c r="AH76" s="926"/>
      <c r="AI76" s="753"/>
      <c r="AJ76" s="745">
        <f t="shared" si="90"/>
        <v>0</v>
      </c>
      <c r="AK76" s="976"/>
      <c r="AL76" s="976"/>
      <c r="AM76" s="976"/>
      <c r="AN76" s="976"/>
      <c r="AO76" s="976"/>
      <c r="AP76" s="976"/>
      <c r="AQ76" s="976"/>
      <c r="AR76" s="976"/>
      <c r="AS76" s="976"/>
      <c r="AT76" s="976"/>
      <c r="AU76" s="976"/>
      <c r="AV76" s="976"/>
    </row>
    <row r="77" spans="1:48" s="795" customFormat="1" ht="21.95" hidden="1" customHeight="1">
      <c r="A77" s="2572"/>
      <c r="B77" s="2656"/>
      <c r="C77" s="977" t="s">
        <v>1761</v>
      </c>
      <c r="D77" s="1035"/>
      <c r="E77" s="1047"/>
      <c r="F77" s="1048">
        <f t="shared" si="94"/>
        <v>0</v>
      </c>
      <c r="G77" s="1048">
        <f t="shared" si="94"/>
        <v>0</v>
      </c>
      <c r="H77" s="1048">
        <f t="shared" si="94"/>
        <v>0</v>
      </c>
      <c r="I77" s="1048">
        <f t="shared" si="94"/>
        <v>0</v>
      </c>
      <c r="J77" s="1048"/>
      <c r="K77" s="1048"/>
      <c r="L77" s="1048"/>
      <c r="M77" s="1048"/>
      <c r="N77" s="1049"/>
      <c r="O77" s="1048">
        <f t="shared" si="94"/>
        <v>0</v>
      </c>
      <c r="P77" s="1048">
        <f t="shared" si="94"/>
        <v>0</v>
      </c>
      <c r="Q77" s="1048">
        <f t="shared" si="94"/>
        <v>0</v>
      </c>
      <c r="R77" s="1048">
        <f t="shared" si="94"/>
        <v>0</v>
      </c>
      <c r="S77" s="1048">
        <f t="shared" si="93"/>
        <v>0</v>
      </c>
      <c r="T77" s="1048">
        <f t="shared" si="93"/>
        <v>0</v>
      </c>
      <c r="U77" s="1048">
        <f t="shared" si="93"/>
        <v>0</v>
      </c>
      <c r="V77" s="1048">
        <f t="shared" si="93"/>
        <v>0</v>
      </c>
      <c r="W77" s="1048">
        <f t="shared" si="93"/>
        <v>0</v>
      </c>
      <c r="X77" s="1048">
        <f t="shared" si="93"/>
        <v>0</v>
      </c>
      <c r="Y77" s="1048">
        <f t="shared" si="93"/>
        <v>0</v>
      </c>
      <c r="Z77" s="1048">
        <f t="shared" si="93"/>
        <v>0</v>
      </c>
      <c r="AA77" s="1048">
        <f t="shared" si="93"/>
        <v>0</v>
      </c>
      <c r="AB77" s="1048">
        <f t="shared" si="93"/>
        <v>0</v>
      </c>
      <c r="AC77" s="1048">
        <f t="shared" si="93"/>
        <v>0</v>
      </c>
      <c r="AD77" s="1048">
        <f t="shared" si="93"/>
        <v>0</v>
      </c>
      <c r="AE77" s="1048">
        <f t="shared" si="93"/>
        <v>0</v>
      </c>
      <c r="AF77" s="1050"/>
      <c r="AG77" s="1050"/>
      <c r="AH77" s="1050"/>
      <c r="AI77" s="1051"/>
      <c r="AJ77" s="745">
        <f t="shared" si="90"/>
        <v>0</v>
      </c>
      <c r="AK77" s="976"/>
      <c r="AL77" s="976"/>
      <c r="AM77" s="976"/>
      <c r="AN77" s="976"/>
      <c r="AO77" s="976"/>
      <c r="AP77" s="976"/>
      <c r="AQ77" s="976"/>
      <c r="AR77" s="976"/>
      <c r="AS77" s="976"/>
      <c r="AT77" s="976"/>
      <c r="AU77" s="976"/>
      <c r="AV77" s="976"/>
    </row>
    <row r="78" spans="1:48" s="795" customFormat="1" ht="21.95" hidden="1" customHeight="1">
      <c r="A78" s="2572"/>
      <c r="B78" s="2656"/>
      <c r="C78" s="977" t="s">
        <v>1762</v>
      </c>
      <c r="D78" s="1029"/>
      <c r="E78" s="1043"/>
      <c r="F78" s="785">
        <f t="shared" si="94"/>
        <v>0</v>
      </c>
      <c r="G78" s="785">
        <f t="shared" si="94"/>
        <v>0</v>
      </c>
      <c r="H78" s="785">
        <f t="shared" si="94"/>
        <v>0</v>
      </c>
      <c r="I78" s="785">
        <f t="shared" si="94"/>
        <v>0</v>
      </c>
      <c r="J78" s="785"/>
      <c r="K78" s="785"/>
      <c r="L78" s="785"/>
      <c r="M78" s="785"/>
      <c r="N78" s="1044"/>
      <c r="O78" s="785">
        <f t="shared" si="94"/>
        <v>0</v>
      </c>
      <c r="P78" s="785">
        <f t="shared" si="94"/>
        <v>0</v>
      </c>
      <c r="Q78" s="785">
        <f t="shared" si="94"/>
        <v>0</v>
      </c>
      <c r="R78" s="785">
        <f t="shared" si="94"/>
        <v>0</v>
      </c>
      <c r="S78" s="785">
        <f t="shared" si="93"/>
        <v>0</v>
      </c>
      <c r="T78" s="785">
        <f t="shared" si="93"/>
        <v>0</v>
      </c>
      <c r="U78" s="785">
        <f t="shared" si="93"/>
        <v>0</v>
      </c>
      <c r="V78" s="785">
        <f t="shared" si="93"/>
        <v>0</v>
      </c>
      <c r="W78" s="785">
        <f t="shared" si="93"/>
        <v>0</v>
      </c>
      <c r="X78" s="785">
        <f t="shared" si="93"/>
        <v>0</v>
      </c>
      <c r="Y78" s="785">
        <f t="shared" si="93"/>
        <v>0</v>
      </c>
      <c r="Z78" s="785">
        <f t="shared" si="93"/>
        <v>0</v>
      </c>
      <c r="AA78" s="785">
        <f t="shared" si="93"/>
        <v>0</v>
      </c>
      <c r="AB78" s="785">
        <f t="shared" si="93"/>
        <v>0</v>
      </c>
      <c r="AC78" s="785">
        <f t="shared" si="93"/>
        <v>0</v>
      </c>
      <c r="AD78" s="785">
        <f t="shared" si="93"/>
        <v>0</v>
      </c>
      <c r="AE78" s="785">
        <f t="shared" si="93"/>
        <v>0</v>
      </c>
      <c r="AF78" s="1046"/>
      <c r="AG78" s="1046"/>
      <c r="AH78" s="1046"/>
      <c r="AI78" s="1045"/>
      <c r="AJ78" s="745">
        <f t="shared" si="90"/>
        <v>0</v>
      </c>
      <c r="AK78" s="976"/>
      <c r="AL78" s="976"/>
      <c r="AM78" s="976"/>
      <c r="AN78" s="976"/>
      <c r="AO78" s="976"/>
      <c r="AP78" s="976"/>
      <c r="AQ78" s="976"/>
      <c r="AR78" s="976"/>
      <c r="AS78" s="976"/>
      <c r="AT78" s="976"/>
      <c r="AU78" s="976"/>
      <c r="AV78" s="976"/>
    </row>
    <row r="79" spans="1:48" s="795" customFormat="1" ht="21.95" hidden="1" customHeight="1" thickBot="1">
      <c r="A79" s="2572"/>
      <c r="B79" s="2657"/>
      <c r="C79" s="982" t="s">
        <v>1763</v>
      </c>
      <c r="D79" s="983"/>
      <c r="E79" s="984"/>
      <c r="F79" s="761">
        <f t="shared" si="94"/>
        <v>0</v>
      </c>
      <c r="G79" s="761">
        <f t="shared" si="94"/>
        <v>0</v>
      </c>
      <c r="H79" s="761">
        <f t="shared" si="94"/>
        <v>0</v>
      </c>
      <c r="I79" s="761">
        <f t="shared" si="94"/>
        <v>0</v>
      </c>
      <c r="J79" s="761"/>
      <c r="K79" s="761"/>
      <c r="L79" s="761"/>
      <c r="M79" s="761"/>
      <c r="N79" s="985"/>
      <c r="O79" s="761">
        <f t="shared" si="94"/>
        <v>0</v>
      </c>
      <c r="P79" s="761">
        <f t="shared" si="94"/>
        <v>0</v>
      </c>
      <c r="Q79" s="761">
        <f t="shared" si="94"/>
        <v>0</v>
      </c>
      <c r="R79" s="761">
        <f t="shared" si="94"/>
        <v>0</v>
      </c>
      <c r="S79" s="761">
        <f t="shared" si="93"/>
        <v>0</v>
      </c>
      <c r="T79" s="761">
        <f t="shared" si="93"/>
        <v>0</v>
      </c>
      <c r="U79" s="761">
        <f t="shared" si="93"/>
        <v>0</v>
      </c>
      <c r="V79" s="761">
        <f t="shared" si="93"/>
        <v>0</v>
      </c>
      <c r="W79" s="761">
        <f t="shared" si="93"/>
        <v>0</v>
      </c>
      <c r="X79" s="761">
        <f t="shared" si="93"/>
        <v>0</v>
      </c>
      <c r="Y79" s="761">
        <f t="shared" si="93"/>
        <v>0</v>
      </c>
      <c r="Z79" s="761">
        <f t="shared" si="93"/>
        <v>0</v>
      </c>
      <c r="AA79" s="761">
        <f t="shared" si="93"/>
        <v>0</v>
      </c>
      <c r="AB79" s="761">
        <f t="shared" si="93"/>
        <v>0</v>
      </c>
      <c r="AC79" s="761">
        <f t="shared" si="93"/>
        <v>0</v>
      </c>
      <c r="AD79" s="761">
        <f t="shared" si="93"/>
        <v>0</v>
      </c>
      <c r="AE79" s="761">
        <f t="shared" si="93"/>
        <v>0</v>
      </c>
      <c r="AF79" s="986"/>
      <c r="AG79" s="986"/>
      <c r="AH79" s="986"/>
      <c r="AI79" s="769"/>
      <c r="AJ79" s="745">
        <f t="shared" si="90"/>
        <v>0</v>
      </c>
      <c r="AK79" s="976"/>
      <c r="AL79" s="976"/>
      <c r="AM79" s="976"/>
      <c r="AN79" s="976"/>
      <c r="AO79" s="976"/>
      <c r="AP79" s="976"/>
      <c r="AQ79" s="976"/>
      <c r="AR79" s="976"/>
      <c r="AS79" s="976"/>
      <c r="AT79" s="976"/>
      <c r="AU79" s="976"/>
      <c r="AV79" s="976"/>
    </row>
    <row r="80" spans="1:48" s="795" customFormat="1" ht="21.95" customHeight="1">
      <c r="A80" s="2572"/>
      <c r="B80" s="2633" t="s">
        <v>1766</v>
      </c>
      <c r="C80" s="970" t="s">
        <v>1767</v>
      </c>
      <c r="D80" s="978"/>
      <c r="E80" s="979"/>
      <c r="F80" s="743">
        <f t="shared" ref="F80:R80" si="95">SUM(F48:F57)</f>
        <v>229.6368300000031</v>
      </c>
      <c r="G80" s="743">
        <f t="shared" si="95"/>
        <v>384.14480000000384</v>
      </c>
      <c r="H80" s="743">
        <f t="shared" si="95"/>
        <v>180.2000250000047</v>
      </c>
      <c r="I80" s="743">
        <f t="shared" si="95"/>
        <v>343.81855124999794</v>
      </c>
      <c r="J80" s="743"/>
      <c r="K80" s="743"/>
      <c r="L80" s="743"/>
      <c r="M80" s="743"/>
      <c r="N80" s="973"/>
      <c r="O80" s="743">
        <f t="shared" si="95"/>
        <v>305.05104000001154</v>
      </c>
      <c r="P80" s="743">
        <f t="shared" si="95"/>
        <v>190.65690000001123</v>
      </c>
      <c r="Q80" s="743">
        <f t="shared" si="95"/>
        <v>343.81855125000521</v>
      </c>
      <c r="R80" s="743">
        <f t="shared" si="95"/>
        <v>341.91184499999969</v>
      </c>
      <c r="S80" s="743">
        <f>SUM(S48:S57)</f>
        <v>0</v>
      </c>
      <c r="T80" s="743">
        <f>SUM(T48:T57)</f>
        <v>0</v>
      </c>
      <c r="U80" s="743">
        <f t="shared" ref="U80:AE80" si="96">SUM(U48:U57)</f>
        <v>0</v>
      </c>
      <c r="V80" s="743">
        <f>SUM(V48:V57)</f>
        <v>0</v>
      </c>
      <c r="W80" s="743">
        <f t="shared" si="96"/>
        <v>0</v>
      </c>
      <c r="X80" s="752">
        <f t="shared" si="96"/>
        <v>0</v>
      </c>
      <c r="Y80" s="752">
        <f t="shared" si="96"/>
        <v>0</v>
      </c>
      <c r="Z80" s="752">
        <f t="shared" si="96"/>
        <v>0</v>
      </c>
      <c r="AA80" s="752">
        <f t="shared" si="96"/>
        <v>0</v>
      </c>
      <c r="AB80" s="752">
        <f t="shared" si="96"/>
        <v>0</v>
      </c>
      <c r="AC80" s="752">
        <f t="shared" si="96"/>
        <v>0</v>
      </c>
      <c r="AD80" s="752">
        <f t="shared" si="96"/>
        <v>0</v>
      </c>
      <c r="AE80" s="752">
        <f t="shared" si="96"/>
        <v>0</v>
      </c>
      <c r="AF80" s="1052"/>
      <c r="AG80" s="1052"/>
      <c r="AH80" s="1052"/>
      <c r="AI80" s="767"/>
      <c r="AJ80" s="745">
        <f t="shared" si="90"/>
        <v>2319.2385425000375</v>
      </c>
      <c r="AK80" s="976"/>
      <c r="AL80" s="976"/>
      <c r="AM80" s="976"/>
      <c r="AN80" s="976"/>
      <c r="AO80" s="976"/>
      <c r="AP80" s="976"/>
      <c r="AQ80" s="976"/>
      <c r="AR80" s="976"/>
      <c r="AS80" s="976"/>
      <c r="AT80" s="976"/>
      <c r="AU80" s="976"/>
      <c r="AV80" s="976"/>
    </row>
    <row r="81" spans="1:48" s="795" customFormat="1" ht="21.95" customHeight="1" thickBot="1">
      <c r="A81" s="2572"/>
      <c r="B81" s="2635"/>
      <c r="C81" s="1053" t="s">
        <v>1768</v>
      </c>
      <c r="D81" s="983"/>
      <c r="E81" s="984"/>
      <c r="F81" s="761">
        <f t="shared" ref="F81:R81" si="97">F80*5%</f>
        <v>11.481841500000156</v>
      </c>
      <c r="G81" s="761">
        <f t="shared" si="97"/>
        <v>19.207240000000194</v>
      </c>
      <c r="H81" s="761">
        <f t="shared" si="97"/>
        <v>9.0100012500002347</v>
      </c>
      <c r="I81" s="761">
        <f t="shared" si="97"/>
        <v>17.190927562499898</v>
      </c>
      <c r="J81" s="761"/>
      <c r="K81" s="761"/>
      <c r="L81" s="761"/>
      <c r="M81" s="761"/>
      <c r="N81" s="985"/>
      <c r="O81" s="761">
        <f t="shared" si="97"/>
        <v>15.252552000000577</v>
      </c>
      <c r="P81" s="761">
        <f t="shared" si="97"/>
        <v>9.5328450000005613</v>
      </c>
      <c r="Q81" s="761">
        <f t="shared" si="97"/>
        <v>17.19092756250026</v>
      </c>
      <c r="R81" s="761">
        <f t="shared" si="97"/>
        <v>17.095592249999985</v>
      </c>
      <c r="S81" s="761">
        <f>S80*5%</f>
        <v>0</v>
      </c>
      <c r="T81" s="761">
        <f>T80*5%</f>
        <v>0</v>
      </c>
      <c r="U81" s="761">
        <f t="shared" ref="U81:AE81" si="98">U80*5%</f>
        <v>0</v>
      </c>
      <c r="V81" s="761">
        <f>V80*5%</f>
        <v>0</v>
      </c>
      <c r="W81" s="761">
        <f t="shared" si="98"/>
        <v>0</v>
      </c>
      <c r="X81" s="761">
        <f t="shared" si="98"/>
        <v>0</v>
      </c>
      <c r="Y81" s="761">
        <f t="shared" si="98"/>
        <v>0</v>
      </c>
      <c r="Z81" s="761">
        <f t="shared" si="98"/>
        <v>0</v>
      </c>
      <c r="AA81" s="761">
        <f t="shared" si="98"/>
        <v>0</v>
      </c>
      <c r="AB81" s="761">
        <f t="shared" si="98"/>
        <v>0</v>
      </c>
      <c r="AC81" s="761">
        <f t="shared" si="98"/>
        <v>0</v>
      </c>
      <c r="AD81" s="761">
        <f t="shared" si="98"/>
        <v>0</v>
      </c>
      <c r="AE81" s="761">
        <f t="shared" si="98"/>
        <v>0</v>
      </c>
      <c r="AF81" s="986"/>
      <c r="AG81" s="986"/>
      <c r="AH81" s="986"/>
      <c r="AI81" s="769"/>
      <c r="AJ81" s="745">
        <f t="shared" si="90"/>
        <v>115.96192712500186</v>
      </c>
      <c r="AK81" s="976"/>
      <c r="AL81" s="976"/>
      <c r="AM81" s="976"/>
      <c r="AN81" s="976"/>
      <c r="AO81" s="976"/>
      <c r="AP81" s="976"/>
      <c r="AQ81" s="976"/>
      <c r="AR81" s="976"/>
      <c r="AS81" s="976"/>
      <c r="AT81" s="976"/>
      <c r="AU81" s="976"/>
      <c r="AV81" s="976"/>
    </row>
    <row r="82" spans="1:48" s="795" customFormat="1" ht="21.95" customHeight="1">
      <c r="A82" s="2572"/>
      <c r="B82" s="2642" t="s">
        <v>1769</v>
      </c>
      <c r="C82" s="970" t="s">
        <v>1770</v>
      </c>
      <c r="D82" s="971"/>
      <c r="E82" s="972"/>
      <c r="F82" s="743">
        <f t="shared" ref="F82:R82" si="99">IF(F6&gt;0,((2*F12+F6)*(2*F12+F7))*F2*F3,(F4*1.2)^2*PI()/4*F2*F3)</f>
        <v>12.214512237157114</v>
      </c>
      <c r="G82" s="743">
        <f t="shared" si="99"/>
        <v>20.357520395261858</v>
      </c>
      <c r="H82" s="743">
        <f t="shared" si="99"/>
        <v>10.178760197630929</v>
      </c>
      <c r="I82" s="743">
        <f t="shared" si="99"/>
        <v>18.321768355735671</v>
      </c>
      <c r="J82" s="743"/>
      <c r="K82" s="743"/>
      <c r="L82" s="743"/>
      <c r="M82" s="743"/>
      <c r="N82" s="973"/>
      <c r="O82" s="743">
        <f t="shared" si="99"/>
        <v>16.286016316209487</v>
      </c>
      <c r="P82" s="743">
        <f t="shared" si="99"/>
        <v>10.178760197630929</v>
      </c>
      <c r="Q82" s="743">
        <f t="shared" si="99"/>
        <v>18.321768355735671</v>
      </c>
      <c r="R82" s="743">
        <f t="shared" si="99"/>
        <v>18.321768355735671</v>
      </c>
      <c r="S82" s="743">
        <f>IF(S6&gt;0,((2*S12+S6)*(2*S12+S7))*S2*S3,(S4*1.2)^2*PI()/4*S2*S3)</f>
        <v>0</v>
      </c>
      <c r="T82" s="743">
        <f>IF(T6&gt;0,((2*T12+T6)*(2*T12+T7))*T2*T3,(T4*1.2)^2*PI()/4*T2*T3)</f>
        <v>0</v>
      </c>
      <c r="U82" s="743">
        <f t="shared" ref="U82:AE82" si="100">IF(U6&gt;0,((2*U12+U6)*(2*U12+U7))*U2*U3,(U4*1.2)^2*PI()/4*U2*U3)</f>
        <v>0</v>
      </c>
      <c r="V82" s="743">
        <f>IF(V6&gt;0,((2*V12+V6)*(2*V12+V7))*V2*V3,(V4*1.2)^2*PI()/4*V2*V3)</f>
        <v>0</v>
      </c>
      <c r="W82" s="743">
        <f t="shared" si="100"/>
        <v>0</v>
      </c>
      <c r="X82" s="743">
        <f t="shared" si="100"/>
        <v>0</v>
      </c>
      <c r="Y82" s="743">
        <f t="shared" si="100"/>
        <v>0</v>
      </c>
      <c r="Z82" s="743">
        <f t="shared" si="100"/>
        <v>0</v>
      </c>
      <c r="AA82" s="743">
        <f t="shared" si="100"/>
        <v>0</v>
      </c>
      <c r="AB82" s="743">
        <f t="shared" si="100"/>
        <v>0</v>
      </c>
      <c r="AC82" s="743">
        <f t="shared" si="100"/>
        <v>0</v>
      </c>
      <c r="AD82" s="743">
        <f t="shared" si="100"/>
        <v>0</v>
      </c>
      <c r="AE82" s="743">
        <f t="shared" si="100"/>
        <v>0</v>
      </c>
      <c r="AF82" s="974"/>
      <c r="AG82" s="974"/>
      <c r="AH82" s="974"/>
      <c r="AI82" s="744"/>
      <c r="AJ82" s="745">
        <f t="shared" si="90"/>
        <v>124.18087441109734</v>
      </c>
      <c r="AK82" s="976"/>
      <c r="AL82" s="976"/>
      <c r="AM82" s="976"/>
      <c r="AN82" s="976"/>
      <c r="AO82" s="976"/>
      <c r="AP82" s="976"/>
      <c r="AQ82" s="976"/>
      <c r="AR82" s="976"/>
      <c r="AS82" s="976"/>
      <c r="AT82" s="976"/>
      <c r="AU82" s="976"/>
      <c r="AV82" s="976"/>
    </row>
    <row r="83" spans="1:48" s="795" customFormat="1" ht="21.95" hidden="1" customHeight="1">
      <c r="A83" s="2572"/>
      <c r="B83" s="2643"/>
      <c r="C83" s="977" t="s">
        <v>1721</v>
      </c>
      <c r="D83" s="978"/>
      <c r="E83" s="979"/>
      <c r="F83" s="752">
        <f t="shared" ref="F83:R83" si="101">(F39+F37)/2*F16*F2</f>
        <v>0</v>
      </c>
      <c r="G83" s="752">
        <f t="shared" si="101"/>
        <v>0</v>
      </c>
      <c r="H83" s="752">
        <f t="shared" si="101"/>
        <v>0</v>
      </c>
      <c r="I83" s="752">
        <f t="shared" si="101"/>
        <v>0</v>
      </c>
      <c r="J83" s="752"/>
      <c r="K83" s="752"/>
      <c r="L83" s="752"/>
      <c r="M83" s="752"/>
      <c r="N83" s="980"/>
      <c r="O83" s="752">
        <f t="shared" si="101"/>
        <v>0</v>
      </c>
      <c r="P83" s="752">
        <f t="shared" si="101"/>
        <v>0</v>
      </c>
      <c r="Q83" s="752">
        <f t="shared" si="101"/>
        <v>0</v>
      </c>
      <c r="R83" s="752">
        <f t="shared" si="101"/>
        <v>0</v>
      </c>
      <c r="S83" s="752">
        <f>(S39+S37)/2*S16*S2</f>
        <v>0</v>
      </c>
      <c r="T83" s="752">
        <f>(T39+T37)/2*T16*T2</f>
        <v>0</v>
      </c>
      <c r="U83" s="752">
        <f t="shared" ref="U83:AE83" si="102">(U39+U37)/2*U16*U2</f>
        <v>0</v>
      </c>
      <c r="V83" s="752">
        <f>(V39+V37)/2*V16*V2</f>
        <v>0</v>
      </c>
      <c r="W83" s="752">
        <f t="shared" si="102"/>
        <v>0</v>
      </c>
      <c r="X83" s="752">
        <f t="shared" si="102"/>
        <v>0</v>
      </c>
      <c r="Y83" s="752">
        <f t="shared" si="102"/>
        <v>0</v>
      </c>
      <c r="Z83" s="752">
        <f t="shared" si="102"/>
        <v>0</v>
      </c>
      <c r="AA83" s="752">
        <f t="shared" si="102"/>
        <v>0</v>
      </c>
      <c r="AB83" s="752">
        <f t="shared" si="102"/>
        <v>0</v>
      </c>
      <c r="AC83" s="752">
        <f t="shared" si="102"/>
        <v>0</v>
      </c>
      <c r="AD83" s="752">
        <f t="shared" si="102"/>
        <v>0</v>
      </c>
      <c r="AE83" s="752">
        <f t="shared" si="102"/>
        <v>0</v>
      </c>
      <c r="AF83" s="926"/>
      <c r="AG83" s="926"/>
      <c r="AH83" s="926"/>
      <c r="AI83" s="751"/>
      <c r="AJ83" s="745">
        <f t="shared" si="90"/>
        <v>0</v>
      </c>
      <c r="AK83" s="976"/>
      <c r="AL83" s="976"/>
      <c r="AM83" s="976"/>
      <c r="AN83" s="976"/>
      <c r="AO83" s="976"/>
      <c r="AP83" s="976"/>
      <c r="AQ83" s="976"/>
      <c r="AR83" s="976"/>
      <c r="AS83" s="976"/>
      <c r="AT83" s="976"/>
      <c r="AU83" s="976"/>
      <c r="AV83" s="976"/>
    </row>
    <row r="84" spans="1:48" s="795" customFormat="1" ht="32.1" hidden="1" customHeight="1">
      <c r="A84" s="2572"/>
      <c r="B84" s="2643"/>
      <c r="C84" s="1007" t="s">
        <v>1771</v>
      </c>
      <c r="D84" s="978"/>
      <c r="E84" s="979"/>
      <c r="F84" s="752">
        <f t="shared" ref="F84:R84" si="103">IF(F41&gt;F122,F41*1.4,F122)</f>
        <v>0</v>
      </c>
      <c r="G84" s="752">
        <f t="shared" si="103"/>
        <v>0</v>
      </c>
      <c r="H84" s="752">
        <f t="shared" si="103"/>
        <v>0</v>
      </c>
      <c r="I84" s="752">
        <f t="shared" si="103"/>
        <v>0</v>
      </c>
      <c r="J84" s="752"/>
      <c r="K84" s="752"/>
      <c r="L84" s="752"/>
      <c r="M84" s="752"/>
      <c r="N84" s="980"/>
      <c r="O84" s="752">
        <f t="shared" si="103"/>
        <v>0</v>
      </c>
      <c r="P84" s="752">
        <f t="shared" si="103"/>
        <v>0</v>
      </c>
      <c r="Q84" s="752">
        <f t="shared" si="103"/>
        <v>0</v>
      </c>
      <c r="R84" s="752">
        <f t="shared" si="103"/>
        <v>0</v>
      </c>
      <c r="S84" s="752">
        <f>IF(S41&gt;S122,S41*1.4,S122)</f>
        <v>0</v>
      </c>
      <c r="T84" s="752">
        <f>IF(T41&gt;T122,T41*1.4,T122)</f>
        <v>0</v>
      </c>
      <c r="U84" s="752">
        <f t="shared" ref="U84:AE84" si="104">IF(U41&gt;U122,U41*1.4,U122)</f>
        <v>0</v>
      </c>
      <c r="V84" s="752">
        <f>IF(V41&gt;V122,V41*1.4,V122)</f>
        <v>0</v>
      </c>
      <c r="W84" s="752">
        <f t="shared" si="104"/>
        <v>0</v>
      </c>
      <c r="X84" s="752">
        <f t="shared" si="104"/>
        <v>0</v>
      </c>
      <c r="Y84" s="752">
        <f t="shared" si="104"/>
        <v>0</v>
      </c>
      <c r="Z84" s="752">
        <f t="shared" si="104"/>
        <v>0</v>
      </c>
      <c r="AA84" s="752">
        <f t="shared" si="104"/>
        <v>0</v>
      </c>
      <c r="AB84" s="752">
        <f t="shared" si="104"/>
        <v>0</v>
      </c>
      <c r="AC84" s="752">
        <f t="shared" si="104"/>
        <v>0</v>
      </c>
      <c r="AD84" s="752">
        <f t="shared" si="104"/>
        <v>0</v>
      </c>
      <c r="AE84" s="752">
        <f t="shared" si="104"/>
        <v>0</v>
      </c>
      <c r="AF84" s="926"/>
      <c r="AG84" s="926"/>
      <c r="AH84" s="926"/>
      <c r="AI84" s="751"/>
      <c r="AJ84" s="745">
        <f t="shared" si="90"/>
        <v>0</v>
      </c>
      <c r="AK84" s="976"/>
      <c r="AL84" s="976"/>
      <c r="AM84" s="976"/>
      <c r="AN84" s="976"/>
      <c r="AO84" s="976"/>
      <c r="AP84" s="976"/>
      <c r="AQ84" s="976"/>
      <c r="AR84" s="976"/>
      <c r="AS84" s="976"/>
      <c r="AT84" s="976"/>
      <c r="AU84" s="976"/>
      <c r="AV84" s="976"/>
    </row>
    <row r="85" spans="1:48" s="795" customFormat="1" ht="21.95" customHeight="1">
      <c r="A85" s="2572"/>
      <c r="B85" s="2643"/>
      <c r="C85" s="1007" t="s">
        <v>1772</v>
      </c>
      <c r="D85" s="978"/>
      <c r="E85" s="979"/>
      <c r="F85" s="752">
        <f t="shared" ref="F85:R85" si="105">IF(+F83+F82&gt;F46,F46,F83+F82)+F84</f>
        <v>12.214512237157114</v>
      </c>
      <c r="G85" s="752">
        <f t="shared" si="105"/>
        <v>20.357520395261858</v>
      </c>
      <c r="H85" s="752">
        <f t="shared" si="105"/>
        <v>10.178760197630929</v>
      </c>
      <c r="I85" s="752">
        <f t="shared" si="105"/>
        <v>18.321768355735671</v>
      </c>
      <c r="J85" s="752"/>
      <c r="K85" s="752"/>
      <c r="L85" s="752"/>
      <c r="M85" s="752"/>
      <c r="N85" s="980"/>
      <c r="O85" s="752">
        <f t="shared" si="105"/>
        <v>16.286016316209487</v>
      </c>
      <c r="P85" s="752">
        <f t="shared" si="105"/>
        <v>10.178760197630929</v>
      </c>
      <c r="Q85" s="752">
        <f t="shared" si="105"/>
        <v>18.321768355735671</v>
      </c>
      <c r="R85" s="752">
        <f t="shared" si="105"/>
        <v>18.321768355735671</v>
      </c>
      <c r="S85" s="752">
        <f>IF(+S83+S82&gt;S46,S46,S83+S82)+S84</f>
        <v>0</v>
      </c>
      <c r="T85" s="752">
        <f>IF(+T83+T82&gt;T46,T46,T83+T82)+T84</f>
        <v>0</v>
      </c>
      <c r="U85" s="752">
        <f t="shared" ref="U85:AE85" si="106">IF(+U83+U82&gt;U46,U46,U83+U82)+U84</f>
        <v>0</v>
      </c>
      <c r="V85" s="752">
        <f>IF(+V83+V82&gt;V46,V46,V83+V82)+V84</f>
        <v>0</v>
      </c>
      <c r="W85" s="752">
        <f t="shared" si="106"/>
        <v>0</v>
      </c>
      <c r="X85" s="752">
        <f t="shared" si="106"/>
        <v>0</v>
      </c>
      <c r="Y85" s="752">
        <f t="shared" si="106"/>
        <v>0</v>
      </c>
      <c r="Z85" s="752">
        <f t="shared" si="106"/>
        <v>0</v>
      </c>
      <c r="AA85" s="752">
        <f t="shared" si="106"/>
        <v>0</v>
      </c>
      <c r="AB85" s="752">
        <f t="shared" si="106"/>
        <v>0</v>
      </c>
      <c r="AC85" s="752">
        <f t="shared" si="106"/>
        <v>0</v>
      </c>
      <c r="AD85" s="752">
        <f t="shared" si="106"/>
        <v>0</v>
      </c>
      <c r="AE85" s="752">
        <f t="shared" si="106"/>
        <v>0</v>
      </c>
      <c r="AF85" s="926"/>
      <c r="AG85" s="926"/>
      <c r="AH85" s="926"/>
      <c r="AI85" s="751"/>
      <c r="AJ85" s="745">
        <f t="shared" si="90"/>
        <v>124.18087441109734</v>
      </c>
      <c r="AK85" s="976"/>
      <c r="AL85" s="976"/>
      <c r="AM85" s="976"/>
      <c r="AN85" s="976"/>
      <c r="AO85" s="976"/>
      <c r="AP85" s="976"/>
      <c r="AQ85" s="976"/>
      <c r="AR85" s="976"/>
      <c r="AS85" s="976"/>
      <c r="AT85" s="976"/>
      <c r="AU85" s="976"/>
      <c r="AV85" s="976"/>
    </row>
    <row r="86" spans="1:48" s="795" customFormat="1" ht="32.1" customHeight="1" thickBot="1">
      <c r="A86" s="2572"/>
      <c r="B86" s="2644"/>
      <c r="C86" s="1007" t="s">
        <v>1773</v>
      </c>
      <c r="D86" s="978"/>
      <c r="E86" s="979"/>
      <c r="F86" s="752">
        <f t="shared" ref="F86:R86" si="107">IF(F85&lt;F46,F85,F46)</f>
        <v>12.214512237157114</v>
      </c>
      <c r="G86" s="752">
        <f t="shared" si="107"/>
        <v>20.357520395261858</v>
      </c>
      <c r="H86" s="752">
        <f t="shared" si="107"/>
        <v>10.178760197630929</v>
      </c>
      <c r="I86" s="752">
        <f t="shared" si="107"/>
        <v>18.321768355735671</v>
      </c>
      <c r="J86" s="752"/>
      <c r="K86" s="752"/>
      <c r="L86" s="752"/>
      <c r="M86" s="752"/>
      <c r="N86" s="980"/>
      <c r="O86" s="752">
        <f t="shared" si="107"/>
        <v>16.286016316209487</v>
      </c>
      <c r="P86" s="752">
        <f t="shared" si="107"/>
        <v>10.178760197630929</v>
      </c>
      <c r="Q86" s="752">
        <f t="shared" si="107"/>
        <v>18.321768355735671</v>
      </c>
      <c r="R86" s="752">
        <f t="shared" si="107"/>
        <v>18.321768355735671</v>
      </c>
      <c r="S86" s="752">
        <f>IF(S85&lt;S46,S85,S46)</f>
        <v>0</v>
      </c>
      <c r="T86" s="752">
        <f>IF(T85&lt;T46,T85,T46)</f>
        <v>0</v>
      </c>
      <c r="U86" s="752">
        <f t="shared" ref="U86:AE86" si="108">IF(U85&lt;U46,U85,U46)</f>
        <v>0</v>
      </c>
      <c r="V86" s="752">
        <f>IF(V85&lt;V46,V85,V46)</f>
        <v>0</v>
      </c>
      <c r="W86" s="752">
        <f t="shared" si="108"/>
        <v>0</v>
      </c>
      <c r="X86" s="752">
        <f t="shared" si="108"/>
        <v>0</v>
      </c>
      <c r="Y86" s="752">
        <f t="shared" si="108"/>
        <v>0</v>
      </c>
      <c r="Z86" s="752">
        <f t="shared" si="108"/>
        <v>0</v>
      </c>
      <c r="AA86" s="752">
        <f t="shared" si="108"/>
        <v>0</v>
      </c>
      <c r="AB86" s="752">
        <f t="shared" si="108"/>
        <v>0</v>
      </c>
      <c r="AC86" s="752">
        <f t="shared" si="108"/>
        <v>0</v>
      </c>
      <c r="AD86" s="752">
        <f t="shared" si="108"/>
        <v>0</v>
      </c>
      <c r="AE86" s="752">
        <f t="shared" si="108"/>
        <v>0</v>
      </c>
      <c r="AF86" s="926"/>
      <c r="AG86" s="926"/>
      <c r="AH86" s="926"/>
      <c r="AI86" s="769"/>
      <c r="AJ86" s="745">
        <f t="shared" si="90"/>
        <v>124.18087441109734</v>
      </c>
      <c r="AK86" s="976"/>
      <c r="AL86" s="976"/>
      <c r="AM86" s="976"/>
      <c r="AN86" s="976"/>
      <c r="AO86" s="976"/>
      <c r="AP86" s="976"/>
      <c r="AQ86" s="976"/>
      <c r="AR86" s="976"/>
      <c r="AS86" s="976"/>
      <c r="AT86" s="976"/>
      <c r="AU86" s="976"/>
      <c r="AV86" s="976"/>
    </row>
    <row r="87" spans="1:48" s="846" customFormat="1" ht="21.95" hidden="1" customHeight="1" thickBot="1">
      <c r="A87" s="2572"/>
      <c r="B87" s="2633" t="s">
        <v>1774</v>
      </c>
      <c r="C87" s="1054" t="s">
        <v>1775</v>
      </c>
      <c r="D87" s="1055"/>
      <c r="E87" s="1056"/>
      <c r="F87" s="1057">
        <f>IF(F88=1,0,+Dren_Quantificacao!D26)</f>
        <v>0</v>
      </c>
      <c r="G87" s="1057">
        <f>IF(G88=1,0,+Dren_Quantificacao!E26)</f>
        <v>0</v>
      </c>
      <c r="H87" s="1057">
        <f>IF(H88=1,0,+Dren_Quantificacao!F26)</f>
        <v>0</v>
      </c>
      <c r="I87" s="1057">
        <f>IF(I88=1,0,+Dren_Quantificacao!G26)</f>
        <v>0</v>
      </c>
      <c r="J87" s="1057"/>
      <c r="K87" s="1057"/>
      <c r="L87" s="1057"/>
      <c r="M87" s="1057"/>
      <c r="N87" s="895"/>
      <c r="O87" s="1057">
        <f>IF(O88=1,0,+Dren_Quantificacao!L26)</f>
        <v>0</v>
      </c>
      <c r="P87" s="1057">
        <f>IF(P88=1,0,+Dren_Quantificacao!M26)</f>
        <v>0</v>
      </c>
      <c r="Q87" s="1057">
        <f>IF(Q88=1,0,+Dren_Quantificacao!N26)</f>
        <v>0</v>
      </c>
      <c r="R87" s="1057">
        <f>IF(R88=1,0,+Dren_Quantificacao!O26)</f>
        <v>0</v>
      </c>
      <c r="S87" s="1057">
        <f>IF(S88=1,0,+Dren_Quantificacao!BD26)</f>
        <v>0</v>
      </c>
      <c r="T87" s="1057">
        <f>IF(T88=1,0,+Dren_Quantificacao!BE26)</f>
        <v>0</v>
      </c>
      <c r="U87" s="1057">
        <f>IF(U88=1,0,+Dren_Quantificacao!BF26)</f>
        <v>0</v>
      </c>
      <c r="V87" s="1057">
        <f>IF(V88=1,0,+Dren_Quantificacao!BG26)</f>
        <v>0</v>
      </c>
      <c r="W87" s="1057">
        <f>IF(W88=1,0,+Dren_Quantificacao!BH26)</f>
        <v>0</v>
      </c>
      <c r="X87" s="1057">
        <f>IF(X88=1,0,+Dren_Quantificacao!BI26)</f>
        <v>0</v>
      </c>
      <c r="Y87" s="1057">
        <f>IF(Y88=1,0,+Dren_Quantificacao!BJ26)</f>
        <v>0</v>
      </c>
      <c r="Z87" s="1057">
        <f>IF(Z88=1,0,+Dren_Quantificacao!BK26)</f>
        <v>0</v>
      </c>
      <c r="AA87" s="1057">
        <f>IF(AA88=1,0,+Dren_Quantificacao!BL26)</f>
        <v>0</v>
      </c>
      <c r="AB87" s="1057">
        <f>IF(AB88=1,0,+Dren_Quantificacao!BM26)</f>
        <v>0</v>
      </c>
      <c r="AC87" s="1057">
        <f>IF(AC88=1,0,+Dren_Quantificacao!BN26)</f>
        <v>0</v>
      </c>
      <c r="AD87" s="1057">
        <f>IF(AD88=1,0,+Dren_Quantificacao!BO26)</f>
        <v>0</v>
      </c>
      <c r="AE87" s="1057">
        <f>IF(AE88=1,0,+Dren_Quantificacao!BP26)</f>
        <v>0</v>
      </c>
      <c r="AF87" s="1052"/>
      <c r="AG87" s="1052"/>
      <c r="AH87" s="1052"/>
      <c r="AI87" s="1058"/>
      <c r="AJ87" s="745">
        <f t="shared" si="90"/>
        <v>0</v>
      </c>
      <c r="AK87" s="976"/>
      <c r="AL87" s="976"/>
      <c r="AM87" s="976"/>
      <c r="AN87" s="1059"/>
      <c r="AO87" s="1059"/>
      <c r="AP87" s="1059"/>
      <c r="AQ87" s="1059"/>
      <c r="AR87" s="1059"/>
      <c r="AS87" s="1059"/>
      <c r="AT87" s="1059"/>
      <c r="AU87" s="1059"/>
      <c r="AV87" s="1059"/>
    </row>
    <row r="88" spans="1:48" s="846" customFormat="1" ht="21.95" hidden="1" customHeight="1">
      <c r="A88" s="2572"/>
      <c r="B88" s="2634"/>
      <c r="C88" s="1060" t="s">
        <v>1776</v>
      </c>
      <c r="D88" s="1061"/>
      <c r="E88" s="1062"/>
      <c r="F88" s="1057">
        <f>IF(F28="ROCHA",0,IF(F11+F160+F164+F176&gt;=3,0.5,0))</f>
        <v>0</v>
      </c>
      <c r="G88" s="1057">
        <f t="shared" ref="G88:R88" si="109">IF(G28="ROCHA",0,IF(G11+G160+G164+G176&gt;=3,0.5,0))</f>
        <v>0</v>
      </c>
      <c r="H88" s="1057">
        <f t="shared" si="109"/>
        <v>0</v>
      </c>
      <c r="I88" s="1057">
        <f t="shared" si="109"/>
        <v>0</v>
      </c>
      <c r="J88" s="1063"/>
      <c r="K88" s="1063"/>
      <c r="L88" s="1063"/>
      <c r="M88" s="1063"/>
      <c r="N88" s="895"/>
      <c r="O88" s="1057">
        <f t="shared" si="109"/>
        <v>0</v>
      </c>
      <c r="P88" s="1057">
        <f t="shared" si="109"/>
        <v>0</v>
      </c>
      <c r="Q88" s="1057">
        <f t="shared" si="109"/>
        <v>0</v>
      </c>
      <c r="R88" s="1057">
        <f t="shared" si="109"/>
        <v>0</v>
      </c>
      <c r="S88" s="1057">
        <f>IF(S28="ROCHA",0,IF(S11+S160+S164+S176&gt;=3,0.5,0))</f>
        <v>0</v>
      </c>
      <c r="T88" s="1063">
        <f>IF(T28="ROCHA",0,IF(T11+T160+T164+T176&gt;=3,0.5,0))</f>
        <v>0</v>
      </c>
      <c r="U88" s="1057">
        <f t="shared" ref="U88:AE88" si="110">IF(U28="ROCHA",0,IF(U11+U160+U164+U176&gt;=3,0.5,0))</f>
        <v>0</v>
      </c>
      <c r="V88" s="1063">
        <f>IF(V28="ROCHA",0,IF(V11+V160+V164+V176&gt;=3,0.5,0))</f>
        <v>0</v>
      </c>
      <c r="W88" s="1057">
        <f t="shared" si="110"/>
        <v>0</v>
      </c>
      <c r="X88" s="1063">
        <f t="shared" si="110"/>
        <v>0</v>
      </c>
      <c r="Y88" s="1063">
        <f t="shared" si="110"/>
        <v>0</v>
      </c>
      <c r="Z88" s="1063">
        <f t="shared" si="110"/>
        <v>0</v>
      </c>
      <c r="AA88" s="1063">
        <f t="shared" si="110"/>
        <v>0</v>
      </c>
      <c r="AB88" s="1063">
        <f t="shared" si="110"/>
        <v>0</v>
      </c>
      <c r="AC88" s="1063">
        <f t="shared" si="110"/>
        <v>0</v>
      </c>
      <c r="AD88" s="1063">
        <f t="shared" si="110"/>
        <v>0</v>
      </c>
      <c r="AE88" s="1063">
        <f t="shared" si="110"/>
        <v>0</v>
      </c>
      <c r="AF88" s="844"/>
      <c r="AG88" s="844"/>
      <c r="AH88" s="844"/>
      <c r="AI88" s="1058"/>
      <c r="AJ88" s="745">
        <f t="shared" si="90"/>
        <v>0</v>
      </c>
      <c r="AK88" s="976"/>
      <c r="AL88" s="976"/>
      <c r="AM88" s="976"/>
      <c r="AN88" s="1059"/>
      <c r="AO88" s="1059"/>
      <c r="AP88" s="1059"/>
      <c r="AQ88" s="1059"/>
      <c r="AR88" s="1059"/>
      <c r="AS88" s="1059"/>
      <c r="AT88" s="1059"/>
      <c r="AU88" s="1059"/>
      <c r="AV88" s="1059"/>
    </row>
    <row r="89" spans="1:48" s="795" customFormat="1" ht="21.95" hidden="1" customHeight="1">
      <c r="A89" s="2572"/>
      <c r="B89" s="2634"/>
      <c r="C89" s="977" t="s">
        <v>1777</v>
      </c>
      <c r="D89" s="978"/>
      <c r="E89" s="979"/>
      <c r="F89" s="752">
        <f t="shared" ref="F89:R89" si="111">F120*MAX(F87:F88)</f>
        <v>0</v>
      </c>
      <c r="G89" s="752">
        <f t="shared" si="111"/>
        <v>0</v>
      </c>
      <c r="H89" s="752">
        <f t="shared" si="111"/>
        <v>0</v>
      </c>
      <c r="I89" s="752">
        <f t="shared" si="111"/>
        <v>0</v>
      </c>
      <c r="J89" s="752"/>
      <c r="K89" s="752"/>
      <c r="L89" s="752"/>
      <c r="M89" s="752"/>
      <c r="N89" s="980"/>
      <c r="O89" s="752">
        <f t="shared" si="111"/>
        <v>0</v>
      </c>
      <c r="P89" s="752">
        <f t="shared" si="111"/>
        <v>0</v>
      </c>
      <c r="Q89" s="752">
        <f t="shared" si="111"/>
        <v>0</v>
      </c>
      <c r="R89" s="752">
        <f t="shared" si="111"/>
        <v>0</v>
      </c>
      <c r="S89" s="752">
        <f>S120*MAX(S87:S88)</f>
        <v>0</v>
      </c>
      <c r="T89" s="752">
        <f>T120*MAX(T87:T88)</f>
        <v>0</v>
      </c>
      <c r="U89" s="752">
        <f t="shared" ref="U89:AE89" si="112">U120*MAX(U87:U88)</f>
        <v>0</v>
      </c>
      <c r="V89" s="752">
        <f>V120*MAX(V87:V88)</f>
        <v>0</v>
      </c>
      <c r="W89" s="752">
        <f t="shared" si="112"/>
        <v>0</v>
      </c>
      <c r="X89" s="752">
        <f t="shared" si="112"/>
        <v>0</v>
      </c>
      <c r="Y89" s="752">
        <f t="shared" si="112"/>
        <v>0</v>
      </c>
      <c r="Z89" s="752">
        <f t="shared" si="112"/>
        <v>0</v>
      </c>
      <c r="AA89" s="752">
        <f t="shared" si="112"/>
        <v>0</v>
      </c>
      <c r="AB89" s="752">
        <f t="shared" si="112"/>
        <v>0</v>
      </c>
      <c r="AC89" s="752">
        <f t="shared" si="112"/>
        <v>0</v>
      </c>
      <c r="AD89" s="752">
        <f t="shared" si="112"/>
        <v>0</v>
      </c>
      <c r="AE89" s="752">
        <f t="shared" si="112"/>
        <v>0</v>
      </c>
      <c r="AF89" s="926"/>
      <c r="AG89" s="926"/>
      <c r="AH89" s="926"/>
      <c r="AI89" s="753"/>
      <c r="AJ89" s="745">
        <f t="shared" si="90"/>
        <v>0</v>
      </c>
      <c r="AK89" s="976"/>
      <c r="AL89" s="976"/>
      <c r="AM89" s="976"/>
      <c r="AN89" s="976"/>
      <c r="AO89" s="976"/>
      <c r="AP89" s="976"/>
      <c r="AQ89" s="976"/>
      <c r="AR89" s="976"/>
      <c r="AS89" s="976"/>
      <c r="AT89" s="976"/>
      <c r="AU89" s="976"/>
      <c r="AV89" s="976"/>
    </row>
    <row r="90" spans="1:48" s="795" customFormat="1" ht="21.95" hidden="1" customHeight="1">
      <c r="A90" s="2572"/>
      <c r="B90" s="2634"/>
      <c r="C90" s="977" t="s">
        <v>1778</v>
      </c>
      <c r="D90" s="1064"/>
      <c r="E90" s="979"/>
      <c r="F90" s="1065">
        <f t="shared" ref="F90:R90" si="113">F89*1.25</f>
        <v>0</v>
      </c>
      <c r="G90" s="1065">
        <f t="shared" si="113"/>
        <v>0</v>
      </c>
      <c r="H90" s="1065">
        <f t="shared" si="113"/>
        <v>0</v>
      </c>
      <c r="I90" s="1065">
        <f t="shared" si="113"/>
        <v>0</v>
      </c>
      <c r="J90" s="1065"/>
      <c r="K90" s="1065"/>
      <c r="L90" s="1065"/>
      <c r="M90" s="1065"/>
      <c r="N90" s="1066"/>
      <c r="O90" s="1065">
        <f t="shared" si="113"/>
        <v>0</v>
      </c>
      <c r="P90" s="1065">
        <f t="shared" si="113"/>
        <v>0</v>
      </c>
      <c r="Q90" s="1065">
        <f t="shared" si="113"/>
        <v>0</v>
      </c>
      <c r="R90" s="1065">
        <f t="shared" si="113"/>
        <v>0</v>
      </c>
      <c r="S90" s="1065">
        <f>S89*1.25</f>
        <v>0</v>
      </c>
      <c r="T90" s="1065">
        <f>T89*1.25</f>
        <v>0</v>
      </c>
      <c r="U90" s="1065">
        <f t="shared" ref="U90:AE90" si="114">U89*1.25</f>
        <v>0</v>
      </c>
      <c r="V90" s="1065">
        <f>V89*1.25</f>
        <v>0</v>
      </c>
      <c r="W90" s="1065">
        <f t="shared" si="114"/>
        <v>0</v>
      </c>
      <c r="X90" s="1065">
        <f t="shared" si="114"/>
        <v>0</v>
      </c>
      <c r="Y90" s="1065">
        <f t="shared" si="114"/>
        <v>0</v>
      </c>
      <c r="Z90" s="1065">
        <f t="shared" si="114"/>
        <v>0</v>
      </c>
      <c r="AA90" s="1065">
        <f t="shared" si="114"/>
        <v>0</v>
      </c>
      <c r="AB90" s="1065">
        <f t="shared" si="114"/>
        <v>0</v>
      </c>
      <c r="AC90" s="1065">
        <f t="shared" si="114"/>
        <v>0</v>
      </c>
      <c r="AD90" s="1065">
        <f t="shared" si="114"/>
        <v>0</v>
      </c>
      <c r="AE90" s="1065">
        <f t="shared" si="114"/>
        <v>0</v>
      </c>
      <c r="AF90" s="926"/>
      <c r="AG90" s="926"/>
      <c r="AH90" s="926"/>
      <c r="AI90" s="753"/>
      <c r="AJ90" s="745">
        <f t="shared" si="90"/>
        <v>0</v>
      </c>
      <c r="AK90" s="976"/>
      <c r="AL90" s="976"/>
      <c r="AM90" s="976"/>
      <c r="AN90" s="976"/>
      <c r="AO90" s="976"/>
      <c r="AP90" s="976"/>
      <c r="AQ90" s="976"/>
      <c r="AR90" s="976"/>
      <c r="AS90" s="976"/>
      <c r="AT90" s="976"/>
      <c r="AU90" s="976"/>
      <c r="AV90" s="976"/>
    </row>
    <row r="91" spans="1:48" s="795" customFormat="1" ht="32.1" hidden="1" customHeight="1" thickBot="1">
      <c r="A91" s="2572"/>
      <c r="B91" s="2635"/>
      <c r="C91" s="982" t="s">
        <v>1779</v>
      </c>
      <c r="D91" s="983"/>
      <c r="E91" s="984"/>
      <c r="F91" s="761">
        <f t="shared" ref="F91:R91" si="115">F90</f>
        <v>0</v>
      </c>
      <c r="G91" s="761">
        <f t="shared" si="115"/>
        <v>0</v>
      </c>
      <c r="H91" s="761">
        <f t="shared" si="115"/>
        <v>0</v>
      </c>
      <c r="I91" s="761">
        <f t="shared" si="115"/>
        <v>0</v>
      </c>
      <c r="J91" s="761"/>
      <c r="K91" s="761"/>
      <c r="L91" s="761"/>
      <c r="M91" s="761"/>
      <c r="N91" s="985"/>
      <c r="O91" s="761">
        <f t="shared" si="115"/>
        <v>0</v>
      </c>
      <c r="P91" s="761">
        <f t="shared" si="115"/>
        <v>0</v>
      </c>
      <c r="Q91" s="761">
        <f t="shared" si="115"/>
        <v>0</v>
      </c>
      <c r="R91" s="761">
        <f t="shared" si="115"/>
        <v>0</v>
      </c>
      <c r="S91" s="761">
        <f>S90</f>
        <v>0</v>
      </c>
      <c r="T91" s="761">
        <f>T90</f>
        <v>0</v>
      </c>
      <c r="U91" s="761">
        <f t="shared" ref="U91:AE91" si="116">U90</f>
        <v>0</v>
      </c>
      <c r="V91" s="761">
        <f>V90</f>
        <v>0</v>
      </c>
      <c r="W91" s="761">
        <f t="shared" si="116"/>
        <v>0</v>
      </c>
      <c r="X91" s="761">
        <f t="shared" si="116"/>
        <v>0</v>
      </c>
      <c r="Y91" s="761">
        <f t="shared" si="116"/>
        <v>0</v>
      </c>
      <c r="Z91" s="761">
        <f t="shared" si="116"/>
        <v>0</v>
      </c>
      <c r="AA91" s="761">
        <f t="shared" si="116"/>
        <v>0</v>
      </c>
      <c r="AB91" s="761">
        <f t="shared" si="116"/>
        <v>0</v>
      </c>
      <c r="AC91" s="761">
        <f t="shared" si="116"/>
        <v>0</v>
      </c>
      <c r="AD91" s="761">
        <f t="shared" si="116"/>
        <v>0</v>
      </c>
      <c r="AE91" s="761">
        <f t="shared" si="116"/>
        <v>0</v>
      </c>
      <c r="AF91" s="986"/>
      <c r="AG91" s="986"/>
      <c r="AH91" s="986"/>
      <c r="AI91" s="769"/>
      <c r="AJ91" s="745">
        <f t="shared" ref="AJ91:AJ110" si="117">SUM(F91:AI91)</f>
        <v>0</v>
      </c>
      <c r="AK91" s="976"/>
      <c r="AL91" s="976"/>
      <c r="AM91" s="976"/>
      <c r="AN91" s="976"/>
      <c r="AO91" s="976"/>
      <c r="AP91" s="976"/>
      <c r="AQ91" s="976"/>
      <c r="AR91" s="976"/>
      <c r="AS91" s="976"/>
      <c r="AT91" s="976"/>
      <c r="AU91" s="976"/>
      <c r="AV91" s="976"/>
    </row>
    <row r="92" spans="1:48" s="795" customFormat="1" ht="21.95" hidden="1" customHeight="1">
      <c r="A92" s="2572"/>
      <c r="B92" s="2642" t="s">
        <v>1780</v>
      </c>
      <c r="C92" s="970" t="s">
        <v>1781</v>
      </c>
      <c r="D92" s="971"/>
      <c r="E92" s="972"/>
      <c r="F92" s="743">
        <f t="shared" ref="F92:R92" si="118">IF(F93=0,0,SUM(F40:F45))</f>
        <v>0</v>
      </c>
      <c r="G92" s="743">
        <f t="shared" si="118"/>
        <v>0</v>
      </c>
      <c r="H92" s="743">
        <f t="shared" si="118"/>
        <v>0</v>
      </c>
      <c r="I92" s="743">
        <f t="shared" si="118"/>
        <v>0</v>
      </c>
      <c r="J92" s="743"/>
      <c r="K92" s="743"/>
      <c r="L92" s="743"/>
      <c r="M92" s="743"/>
      <c r="N92" s="973"/>
      <c r="O92" s="743">
        <f t="shared" si="118"/>
        <v>0</v>
      </c>
      <c r="P92" s="743">
        <f t="shared" si="118"/>
        <v>0</v>
      </c>
      <c r="Q92" s="743">
        <f t="shared" si="118"/>
        <v>0</v>
      </c>
      <c r="R92" s="743">
        <f t="shared" si="118"/>
        <v>0</v>
      </c>
      <c r="S92" s="743">
        <f>IF(S93=0,0,SUM(S40:S45))</f>
        <v>0</v>
      </c>
      <c r="T92" s="743">
        <f>IF(T93=0,0,SUM(T40:T45))</f>
        <v>0</v>
      </c>
      <c r="U92" s="743">
        <f t="shared" ref="U92:AE92" si="119">IF(U93=0,0,SUM(U40:U45))</f>
        <v>0</v>
      </c>
      <c r="V92" s="743">
        <f>IF(V93=0,0,SUM(V40:V45))</f>
        <v>0</v>
      </c>
      <c r="W92" s="743">
        <f t="shared" si="119"/>
        <v>0</v>
      </c>
      <c r="X92" s="743">
        <f t="shared" si="119"/>
        <v>0</v>
      </c>
      <c r="Y92" s="743">
        <f t="shared" si="119"/>
        <v>0</v>
      </c>
      <c r="Z92" s="743">
        <f t="shared" si="119"/>
        <v>0</v>
      </c>
      <c r="AA92" s="743">
        <f t="shared" si="119"/>
        <v>0</v>
      </c>
      <c r="AB92" s="743">
        <f t="shared" si="119"/>
        <v>0</v>
      </c>
      <c r="AC92" s="743">
        <f t="shared" si="119"/>
        <v>0</v>
      </c>
      <c r="AD92" s="743">
        <f t="shared" si="119"/>
        <v>0</v>
      </c>
      <c r="AE92" s="743">
        <f t="shared" si="119"/>
        <v>0</v>
      </c>
      <c r="AF92" s="974"/>
      <c r="AG92" s="974"/>
      <c r="AH92" s="974"/>
      <c r="AI92" s="744"/>
      <c r="AJ92" s="745">
        <f t="shared" si="117"/>
        <v>0</v>
      </c>
      <c r="AK92" s="976"/>
      <c r="AL92" s="976"/>
      <c r="AM92" s="976"/>
      <c r="AN92" s="976"/>
      <c r="AO92" s="976"/>
      <c r="AP92" s="976"/>
      <c r="AQ92" s="976"/>
      <c r="AR92" s="976"/>
      <c r="AS92" s="976"/>
      <c r="AT92" s="976"/>
      <c r="AU92" s="976"/>
      <c r="AV92" s="976"/>
    </row>
    <row r="93" spans="1:48" s="795" customFormat="1" ht="21.95" hidden="1" customHeight="1">
      <c r="A93" s="2572"/>
      <c r="B93" s="2643"/>
      <c r="C93" s="977" t="s">
        <v>1782</v>
      </c>
      <c r="D93" s="978"/>
      <c r="E93" s="979"/>
      <c r="F93" s="752">
        <f t="shared" ref="F93:R93" si="120">F83+F84</f>
        <v>0</v>
      </c>
      <c r="G93" s="752">
        <f t="shared" si="120"/>
        <v>0</v>
      </c>
      <c r="H93" s="752">
        <f t="shared" si="120"/>
        <v>0</v>
      </c>
      <c r="I93" s="752">
        <f t="shared" si="120"/>
        <v>0</v>
      </c>
      <c r="J93" s="752"/>
      <c r="K93" s="752"/>
      <c r="L93" s="752"/>
      <c r="M93" s="752"/>
      <c r="N93" s="980"/>
      <c r="O93" s="752">
        <f t="shared" si="120"/>
        <v>0</v>
      </c>
      <c r="P93" s="752">
        <f t="shared" si="120"/>
        <v>0</v>
      </c>
      <c r="Q93" s="752">
        <f t="shared" si="120"/>
        <v>0</v>
      </c>
      <c r="R93" s="752">
        <f t="shared" si="120"/>
        <v>0</v>
      </c>
      <c r="S93" s="752">
        <f>S83+S84</f>
        <v>0</v>
      </c>
      <c r="T93" s="752">
        <f>T83+T84</f>
        <v>0</v>
      </c>
      <c r="U93" s="752">
        <f t="shared" ref="U93:AE93" si="121">U83+U84</f>
        <v>0</v>
      </c>
      <c r="V93" s="752">
        <f>V83+V84</f>
        <v>0</v>
      </c>
      <c r="W93" s="752">
        <f t="shared" si="121"/>
        <v>0</v>
      </c>
      <c r="X93" s="752">
        <f t="shared" si="121"/>
        <v>0</v>
      </c>
      <c r="Y93" s="752">
        <f t="shared" si="121"/>
        <v>0</v>
      </c>
      <c r="Z93" s="752">
        <f t="shared" si="121"/>
        <v>0</v>
      </c>
      <c r="AA93" s="752">
        <f t="shared" si="121"/>
        <v>0</v>
      </c>
      <c r="AB93" s="752">
        <f t="shared" si="121"/>
        <v>0</v>
      </c>
      <c r="AC93" s="752">
        <f t="shared" si="121"/>
        <v>0</v>
      </c>
      <c r="AD93" s="752">
        <f t="shared" si="121"/>
        <v>0</v>
      </c>
      <c r="AE93" s="752">
        <f t="shared" si="121"/>
        <v>0</v>
      </c>
      <c r="AF93" s="926"/>
      <c r="AG93" s="926"/>
      <c r="AH93" s="926"/>
      <c r="AI93" s="751"/>
      <c r="AJ93" s="745">
        <f t="shared" si="117"/>
        <v>0</v>
      </c>
      <c r="AK93" s="976"/>
      <c r="AL93" s="976"/>
      <c r="AM93" s="976"/>
      <c r="AN93" s="976"/>
      <c r="AO93" s="976"/>
      <c r="AP93" s="976"/>
      <c r="AQ93" s="976"/>
      <c r="AR93" s="976"/>
      <c r="AS93" s="976"/>
      <c r="AT93" s="976"/>
      <c r="AU93" s="976"/>
      <c r="AV93" s="976"/>
    </row>
    <row r="94" spans="1:48" s="795" customFormat="1" ht="21.95" hidden="1" customHeight="1">
      <c r="A94" s="2572"/>
      <c r="B94" s="2643"/>
      <c r="C94" s="977" t="s">
        <v>1783</v>
      </c>
      <c r="D94" s="978"/>
      <c r="E94" s="979"/>
      <c r="F94" s="752">
        <f t="shared" ref="F94:R94" si="122">IF(F93=0,0,+F120)</f>
        <v>0</v>
      </c>
      <c r="G94" s="752">
        <f t="shared" si="122"/>
        <v>0</v>
      </c>
      <c r="H94" s="752">
        <f t="shared" si="122"/>
        <v>0</v>
      </c>
      <c r="I94" s="752">
        <f t="shared" si="122"/>
        <v>0</v>
      </c>
      <c r="J94" s="752"/>
      <c r="K94" s="752"/>
      <c r="L94" s="752"/>
      <c r="M94" s="752"/>
      <c r="N94" s="980"/>
      <c r="O94" s="752">
        <f t="shared" si="122"/>
        <v>0</v>
      </c>
      <c r="P94" s="752">
        <f t="shared" si="122"/>
        <v>0</v>
      </c>
      <c r="Q94" s="752">
        <f t="shared" si="122"/>
        <v>0</v>
      </c>
      <c r="R94" s="752">
        <f t="shared" si="122"/>
        <v>0</v>
      </c>
      <c r="S94" s="752">
        <f>IF(S93=0,0,+S120)</f>
        <v>0</v>
      </c>
      <c r="T94" s="752">
        <f>IF(T93=0,0,+T120)</f>
        <v>0</v>
      </c>
      <c r="U94" s="752">
        <f t="shared" ref="U94:AE94" si="123">IF(U93=0,0,+U120)</f>
        <v>0</v>
      </c>
      <c r="V94" s="752">
        <f>IF(V93=0,0,+V120)</f>
        <v>0</v>
      </c>
      <c r="W94" s="752">
        <f t="shared" si="123"/>
        <v>0</v>
      </c>
      <c r="X94" s="752">
        <f t="shared" si="123"/>
        <v>0</v>
      </c>
      <c r="Y94" s="752">
        <f t="shared" si="123"/>
        <v>0</v>
      </c>
      <c r="Z94" s="752">
        <f t="shared" si="123"/>
        <v>0</v>
      </c>
      <c r="AA94" s="752">
        <f t="shared" si="123"/>
        <v>0</v>
      </c>
      <c r="AB94" s="752">
        <f t="shared" si="123"/>
        <v>0</v>
      </c>
      <c r="AC94" s="752">
        <f t="shared" si="123"/>
        <v>0</v>
      </c>
      <c r="AD94" s="752">
        <f t="shared" si="123"/>
        <v>0</v>
      </c>
      <c r="AE94" s="752">
        <f t="shared" si="123"/>
        <v>0</v>
      </c>
      <c r="AF94" s="926"/>
      <c r="AG94" s="926"/>
      <c r="AH94" s="926"/>
      <c r="AI94" s="751"/>
      <c r="AJ94" s="745">
        <f t="shared" si="117"/>
        <v>0</v>
      </c>
      <c r="AK94" s="976"/>
      <c r="AL94" s="976"/>
      <c r="AM94" s="976"/>
      <c r="AN94" s="976"/>
      <c r="AO94" s="976"/>
      <c r="AP94" s="976"/>
      <c r="AQ94" s="976"/>
      <c r="AR94" s="976"/>
      <c r="AS94" s="976"/>
      <c r="AT94" s="976"/>
      <c r="AU94" s="976"/>
      <c r="AV94" s="976"/>
    </row>
    <row r="95" spans="1:48" s="795" customFormat="1" ht="21.95" hidden="1" customHeight="1">
      <c r="A95" s="2572"/>
      <c r="B95" s="2643"/>
      <c r="C95" s="977" t="s">
        <v>1784</v>
      </c>
      <c r="D95" s="978"/>
      <c r="E95" s="979"/>
      <c r="F95" s="752">
        <f t="shared" ref="F95:R95" si="124">IF(F92-F93&gt;F94,0,F94-(F92-F93))</f>
        <v>0</v>
      </c>
      <c r="G95" s="752">
        <f t="shared" si="124"/>
        <v>0</v>
      </c>
      <c r="H95" s="752">
        <f t="shared" si="124"/>
        <v>0</v>
      </c>
      <c r="I95" s="752">
        <f t="shared" si="124"/>
        <v>0</v>
      </c>
      <c r="J95" s="752"/>
      <c r="K95" s="752"/>
      <c r="L95" s="752"/>
      <c r="M95" s="752"/>
      <c r="N95" s="980"/>
      <c r="O95" s="752">
        <f t="shared" si="124"/>
        <v>0</v>
      </c>
      <c r="P95" s="752">
        <f t="shared" si="124"/>
        <v>0</v>
      </c>
      <c r="Q95" s="752">
        <f t="shared" si="124"/>
        <v>0</v>
      </c>
      <c r="R95" s="752">
        <f t="shared" si="124"/>
        <v>0</v>
      </c>
      <c r="S95" s="752">
        <f>IF(S92-S93&gt;S94,0,S94-(S92-S93))</f>
        <v>0</v>
      </c>
      <c r="T95" s="752">
        <f>IF(T92-T93&gt;T94,0,T94-(T92-T93))</f>
        <v>0</v>
      </c>
      <c r="U95" s="752">
        <f t="shared" ref="U95:AE95" si="125">IF(U92-U93&gt;U94,0,U94-(U92-U93))</f>
        <v>0</v>
      </c>
      <c r="V95" s="752">
        <f>IF(V92-V93&gt;V94,0,V94-(V92-V93))</f>
        <v>0</v>
      </c>
      <c r="W95" s="752">
        <f t="shared" si="125"/>
        <v>0</v>
      </c>
      <c r="X95" s="752">
        <f t="shared" si="125"/>
        <v>0</v>
      </c>
      <c r="Y95" s="752">
        <f t="shared" si="125"/>
        <v>0</v>
      </c>
      <c r="Z95" s="752">
        <f t="shared" si="125"/>
        <v>0</v>
      </c>
      <c r="AA95" s="752">
        <f t="shared" si="125"/>
        <v>0</v>
      </c>
      <c r="AB95" s="752">
        <f t="shared" si="125"/>
        <v>0</v>
      </c>
      <c r="AC95" s="752">
        <f t="shared" si="125"/>
        <v>0</v>
      </c>
      <c r="AD95" s="752">
        <f t="shared" si="125"/>
        <v>0</v>
      </c>
      <c r="AE95" s="752">
        <f t="shared" si="125"/>
        <v>0</v>
      </c>
      <c r="AF95" s="926"/>
      <c r="AG95" s="926"/>
      <c r="AH95" s="926"/>
      <c r="AI95" s="751"/>
      <c r="AJ95" s="745">
        <f t="shared" si="117"/>
        <v>0</v>
      </c>
      <c r="AK95" s="976"/>
      <c r="AL95" s="976"/>
      <c r="AM95" s="976"/>
      <c r="AN95" s="976"/>
      <c r="AO95" s="976"/>
      <c r="AP95" s="976"/>
      <c r="AQ95" s="976"/>
      <c r="AR95" s="976"/>
      <c r="AS95" s="976"/>
      <c r="AT95" s="976"/>
      <c r="AU95" s="976"/>
      <c r="AV95" s="976"/>
    </row>
    <row r="96" spans="1:48" s="795" customFormat="1" ht="21.95" hidden="1" customHeight="1" thickBot="1">
      <c r="A96" s="2572"/>
      <c r="B96" s="2644"/>
      <c r="C96" s="982" t="s">
        <v>1785</v>
      </c>
      <c r="D96" s="983"/>
      <c r="E96" s="984"/>
      <c r="F96" s="761">
        <f t="shared" ref="F96:R96" si="126">F95*1.25</f>
        <v>0</v>
      </c>
      <c r="G96" s="761">
        <f t="shared" si="126"/>
        <v>0</v>
      </c>
      <c r="H96" s="761">
        <f t="shared" si="126"/>
        <v>0</v>
      </c>
      <c r="I96" s="761">
        <f t="shared" si="126"/>
        <v>0</v>
      </c>
      <c r="J96" s="761"/>
      <c r="K96" s="761"/>
      <c r="L96" s="761"/>
      <c r="M96" s="761"/>
      <c r="N96" s="985"/>
      <c r="O96" s="761">
        <f t="shared" si="126"/>
        <v>0</v>
      </c>
      <c r="P96" s="761">
        <f t="shared" si="126"/>
        <v>0</v>
      </c>
      <c r="Q96" s="761">
        <f t="shared" si="126"/>
        <v>0</v>
      </c>
      <c r="R96" s="761">
        <f t="shared" si="126"/>
        <v>0</v>
      </c>
      <c r="S96" s="761">
        <f>S95*1.25</f>
        <v>0</v>
      </c>
      <c r="T96" s="761">
        <f>T95*1.25</f>
        <v>0</v>
      </c>
      <c r="U96" s="761">
        <f t="shared" ref="U96:AE96" si="127">U95*1.25</f>
        <v>0</v>
      </c>
      <c r="V96" s="761">
        <f>V95*1.25</f>
        <v>0</v>
      </c>
      <c r="W96" s="761">
        <f t="shared" si="127"/>
        <v>0</v>
      </c>
      <c r="X96" s="761">
        <f t="shared" si="127"/>
        <v>0</v>
      </c>
      <c r="Y96" s="761">
        <f t="shared" si="127"/>
        <v>0</v>
      </c>
      <c r="Z96" s="761">
        <f t="shared" si="127"/>
        <v>0</v>
      </c>
      <c r="AA96" s="761">
        <f t="shared" si="127"/>
        <v>0</v>
      </c>
      <c r="AB96" s="761">
        <f t="shared" si="127"/>
        <v>0</v>
      </c>
      <c r="AC96" s="761">
        <f t="shared" si="127"/>
        <v>0</v>
      </c>
      <c r="AD96" s="761">
        <f t="shared" si="127"/>
        <v>0</v>
      </c>
      <c r="AE96" s="761">
        <f t="shared" si="127"/>
        <v>0</v>
      </c>
      <c r="AF96" s="986"/>
      <c r="AG96" s="986"/>
      <c r="AH96" s="986"/>
      <c r="AI96" s="769"/>
      <c r="AJ96" s="745">
        <f t="shared" si="117"/>
        <v>0</v>
      </c>
      <c r="AK96" s="976"/>
      <c r="AL96" s="976"/>
      <c r="AM96" s="976"/>
      <c r="AN96" s="976"/>
      <c r="AO96" s="976"/>
      <c r="AP96" s="976"/>
      <c r="AQ96" s="976"/>
      <c r="AR96" s="976"/>
      <c r="AS96" s="976"/>
      <c r="AT96" s="976"/>
      <c r="AU96" s="976"/>
      <c r="AV96" s="976"/>
    </row>
    <row r="97" spans="1:48" s="795" customFormat="1" ht="21.95" hidden="1" customHeight="1">
      <c r="A97" s="2572"/>
      <c r="B97" s="2633" t="s">
        <v>1786</v>
      </c>
      <c r="C97" s="970" t="s">
        <v>1539</v>
      </c>
      <c r="D97" s="971"/>
      <c r="E97" s="972"/>
      <c r="F97" s="743">
        <f>IF(AND(F11&gt;1.25,F11&lt;=2.5,F30=5,F113=0),F2,0)</f>
        <v>0</v>
      </c>
      <c r="G97" s="743">
        <f t="shared" ref="G97:R97" si="128">IF(AND(G11&gt;1.25,G11&lt;=2.5,G30=5,G113=0),G2,0)</f>
        <v>0</v>
      </c>
      <c r="H97" s="743">
        <f t="shared" si="128"/>
        <v>0</v>
      </c>
      <c r="I97" s="743">
        <f t="shared" si="128"/>
        <v>0</v>
      </c>
      <c r="J97" s="743"/>
      <c r="K97" s="743"/>
      <c r="L97" s="743"/>
      <c r="M97" s="743"/>
      <c r="N97" s="973"/>
      <c r="O97" s="743">
        <f t="shared" si="128"/>
        <v>0</v>
      </c>
      <c r="P97" s="743">
        <f t="shared" si="128"/>
        <v>0</v>
      </c>
      <c r="Q97" s="743">
        <f t="shared" si="128"/>
        <v>0</v>
      </c>
      <c r="R97" s="743">
        <f t="shared" si="128"/>
        <v>0</v>
      </c>
      <c r="S97" s="743">
        <f>IF(AND(S11&gt;1.25,S11&lt;=2.5,S30=5,S113=0),S2,0)</f>
        <v>0</v>
      </c>
      <c r="T97" s="743">
        <f>IF(AND(T11&gt;1.25,T11&lt;=2.5,T30=5,T113=0),T2,0)</f>
        <v>0</v>
      </c>
      <c r="U97" s="743">
        <f>IF(AND(U11&gt;1.25,U11&lt;=2.5,U30=5,U113=0),U2,0)</f>
        <v>0</v>
      </c>
      <c r="V97" s="743">
        <f>IF(AND(V11&gt;1.25,V11&lt;=2.5,V30=5,V113=0),V2,0)</f>
        <v>0</v>
      </c>
      <c r="W97" s="743">
        <f>IF(AND(W11&gt;1.25,W11&lt;=2.5,W30=5,W113=0),W2,0)</f>
        <v>0</v>
      </c>
      <c r="X97" s="743">
        <f t="shared" ref="X97:AE97" si="129">IF(AND(X11&gt;1.25,X11&lt;=2.5,X30="v",X29=1,X113=0),X2,0)</f>
        <v>0</v>
      </c>
      <c r="Y97" s="743">
        <f t="shared" si="129"/>
        <v>0</v>
      </c>
      <c r="Z97" s="743">
        <f t="shared" si="129"/>
        <v>0</v>
      </c>
      <c r="AA97" s="743">
        <f t="shared" si="129"/>
        <v>0</v>
      </c>
      <c r="AB97" s="743">
        <f t="shared" si="129"/>
        <v>0</v>
      </c>
      <c r="AC97" s="743">
        <f t="shared" si="129"/>
        <v>0</v>
      </c>
      <c r="AD97" s="743">
        <f t="shared" si="129"/>
        <v>0</v>
      </c>
      <c r="AE97" s="743">
        <f t="shared" si="129"/>
        <v>0</v>
      </c>
      <c r="AF97" s="974"/>
      <c r="AG97" s="974"/>
      <c r="AH97" s="974"/>
      <c r="AI97" s="744"/>
      <c r="AJ97" s="745">
        <f t="shared" si="117"/>
        <v>0</v>
      </c>
      <c r="AK97" s="976"/>
      <c r="AL97" s="976"/>
      <c r="AM97" s="976"/>
      <c r="AN97" s="976"/>
      <c r="AO97" s="976"/>
      <c r="AP97" s="976"/>
      <c r="AQ97" s="976"/>
      <c r="AR97" s="976"/>
      <c r="AS97" s="976"/>
      <c r="AT97" s="976"/>
      <c r="AU97" s="976"/>
      <c r="AV97" s="976"/>
    </row>
    <row r="98" spans="1:48" s="795" customFormat="1" ht="21.95" hidden="1" customHeight="1">
      <c r="A98" s="2572"/>
      <c r="B98" s="2634"/>
      <c r="C98" s="977" t="s">
        <v>1787</v>
      </c>
      <c r="D98" s="978"/>
      <c r="E98" s="979"/>
      <c r="F98" s="752">
        <f t="shared" ref="F98:R98" si="130">IF(F97&gt;0,F11,0)</f>
        <v>0</v>
      </c>
      <c r="G98" s="752">
        <f t="shared" si="130"/>
        <v>0</v>
      </c>
      <c r="H98" s="752">
        <f t="shared" si="130"/>
        <v>0</v>
      </c>
      <c r="I98" s="752">
        <f t="shared" si="130"/>
        <v>0</v>
      </c>
      <c r="J98" s="752"/>
      <c r="K98" s="752"/>
      <c r="L98" s="752"/>
      <c r="M98" s="752"/>
      <c r="N98" s="980"/>
      <c r="O98" s="752">
        <f t="shared" si="130"/>
        <v>0</v>
      </c>
      <c r="P98" s="752">
        <f t="shared" si="130"/>
        <v>0</v>
      </c>
      <c r="Q98" s="752">
        <f t="shared" si="130"/>
        <v>0</v>
      </c>
      <c r="R98" s="752">
        <f t="shared" si="130"/>
        <v>0</v>
      </c>
      <c r="S98" s="752">
        <f>IF(S97&gt;0,S11,0)</f>
        <v>0</v>
      </c>
      <c r="T98" s="752">
        <f>IF(T97&gt;0,T11,0)</f>
        <v>0</v>
      </c>
      <c r="U98" s="752">
        <f t="shared" ref="U98:AE98" si="131">IF(U97&gt;0,U11,0)</f>
        <v>0</v>
      </c>
      <c r="V98" s="752">
        <f>IF(V97&gt;0,V11,0)</f>
        <v>0</v>
      </c>
      <c r="W98" s="752">
        <f t="shared" si="131"/>
        <v>0</v>
      </c>
      <c r="X98" s="752">
        <f t="shared" si="131"/>
        <v>0</v>
      </c>
      <c r="Y98" s="752">
        <f t="shared" si="131"/>
        <v>0</v>
      </c>
      <c r="Z98" s="752">
        <f t="shared" si="131"/>
        <v>0</v>
      </c>
      <c r="AA98" s="752">
        <f t="shared" si="131"/>
        <v>0</v>
      </c>
      <c r="AB98" s="752">
        <f t="shared" si="131"/>
        <v>0</v>
      </c>
      <c r="AC98" s="752">
        <f t="shared" si="131"/>
        <v>0</v>
      </c>
      <c r="AD98" s="752">
        <f t="shared" si="131"/>
        <v>0</v>
      </c>
      <c r="AE98" s="752">
        <f t="shared" si="131"/>
        <v>0</v>
      </c>
      <c r="AF98" s="926"/>
      <c r="AG98" s="926"/>
      <c r="AH98" s="926"/>
      <c r="AI98" s="981"/>
      <c r="AJ98" s="745">
        <f t="shared" si="117"/>
        <v>0</v>
      </c>
      <c r="AK98" s="976"/>
      <c r="AL98" s="976"/>
      <c r="AM98" s="976"/>
      <c r="AN98" s="976"/>
      <c r="AO98" s="976"/>
      <c r="AP98" s="976"/>
      <c r="AQ98" s="976"/>
      <c r="AR98" s="976"/>
      <c r="AS98" s="976"/>
      <c r="AT98" s="976"/>
      <c r="AU98" s="976"/>
      <c r="AV98" s="976"/>
    </row>
    <row r="99" spans="1:48" s="795" customFormat="1" ht="21.95" hidden="1" customHeight="1">
      <c r="A99" s="2572"/>
      <c r="B99" s="2634"/>
      <c r="C99" s="1007" t="s">
        <v>1788</v>
      </c>
      <c r="D99" s="978"/>
      <c r="E99" s="979"/>
      <c r="F99" s="752">
        <f t="shared" ref="F99:R99" si="132">IF(F97&gt;0,F39,0)</f>
        <v>0</v>
      </c>
      <c r="G99" s="752">
        <f t="shared" si="132"/>
        <v>0</v>
      </c>
      <c r="H99" s="752">
        <f t="shared" si="132"/>
        <v>0</v>
      </c>
      <c r="I99" s="752">
        <f t="shared" si="132"/>
        <v>0</v>
      </c>
      <c r="J99" s="752"/>
      <c r="K99" s="752"/>
      <c r="L99" s="752"/>
      <c r="M99" s="752"/>
      <c r="N99" s="980"/>
      <c r="O99" s="752">
        <f t="shared" si="132"/>
        <v>0</v>
      </c>
      <c r="P99" s="752">
        <f t="shared" si="132"/>
        <v>0</v>
      </c>
      <c r="Q99" s="752">
        <f t="shared" si="132"/>
        <v>0</v>
      </c>
      <c r="R99" s="752">
        <f t="shared" si="132"/>
        <v>0</v>
      </c>
      <c r="S99" s="752">
        <f>IF(S97&gt;0,S39,0)</f>
        <v>0</v>
      </c>
      <c r="T99" s="752">
        <f>IF(T97&gt;0,T39,0)</f>
        <v>0</v>
      </c>
      <c r="U99" s="752">
        <f t="shared" ref="U99:AE99" si="133">IF(U97&gt;0,U39,0)</f>
        <v>0</v>
      </c>
      <c r="V99" s="752">
        <f>IF(V97&gt;0,V39,0)</f>
        <v>0</v>
      </c>
      <c r="W99" s="752">
        <f t="shared" si="133"/>
        <v>0</v>
      </c>
      <c r="X99" s="752">
        <f t="shared" si="133"/>
        <v>0</v>
      </c>
      <c r="Y99" s="752">
        <f t="shared" si="133"/>
        <v>0</v>
      </c>
      <c r="Z99" s="752">
        <f t="shared" si="133"/>
        <v>0</v>
      </c>
      <c r="AA99" s="752">
        <f t="shared" si="133"/>
        <v>0</v>
      </c>
      <c r="AB99" s="752">
        <f t="shared" si="133"/>
        <v>0</v>
      </c>
      <c r="AC99" s="752">
        <f t="shared" si="133"/>
        <v>0</v>
      </c>
      <c r="AD99" s="752">
        <f t="shared" si="133"/>
        <v>0</v>
      </c>
      <c r="AE99" s="752">
        <f t="shared" si="133"/>
        <v>0</v>
      </c>
      <c r="AF99" s="926"/>
      <c r="AG99" s="926"/>
      <c r="AH99" s="926"/>
      <c r="AI99" s="981"/>
      <c r="AJ99" s="745">
        <f t="shared" si="117"/>
        <v>0</v>
      </c>
      <c r="AK99" s="976"/>
      <c r="AL99" s="976"/>
      <c r="AM99" s="976"/>
      <c r="AN99" s="976"/>
      <c r="AO99" s="976"/>
      <c r="AP99" s="976"/>
      <c r="AQ99" s="976"/>
      <c r="AR99" s="976"/>
      <c r="AS99" s="976"/>
      <c r="AT99" s="976"/>
      <c r="AU99" s="976"/>
      <c r="AV99" s="976"/>
    </row>
    <row r="100" spans="1:48" s="795" customFormat="1" ht="21.95" hidden="1" customHeight="1">
      <c r="A100" s="2572"/>
      <c r="B100" s="2634"/>
      <c r="C100" s="1007" t="s">
        <v>1789</v>
      </c>
      <c r="D100" s="978"/>
      <c r="E100" s="979"/>
      <c r="F100" s="752">
        <f t="shared" ref="F100:R100" si="134">IF(AND(F98&lt;=1.5,F99&lt;=1.5),F97*2*F98,0)</f>
        <v>0</v>
      </c>
      <c r="G100" s="752">
        <f t="shared" si="134"/>
        <v>0</v>
      </c>
      <c r="H100" s="752">
        <f t="shared" si="134"/>
        <v>0</v>
      </c>
      <c r="I100" s="752">
        <f t="shared" si="134"/>
        <v>0</v>
      </c>
      <c r="J100" s="752"/>
      <c r="K100" s="752"/>
      <c r="L100" s="752"/>
      <c r="M100" s="752"/>
      <c r="N100" s="980"/>
      <c r="O100" s="752">
        <f t="shared" si="134"/>
        <v>0</v>
      </c>
      <c r="P100" s="752">
        <f t="shared" si="134"/>
        <v>0</v>
      </c>
      <c r="Q100" s="752">
        <f t="shared" si="134"/>
        <v>0</v>
      </c>
      <c r="R100" s="752">
        <f t="shared" si="134"/>
        <v>0</v>
      </c>
      <c r="S100" s="752">
        <f>IF(AND(S98&lt;=1.5,S99&lt;=1.5),S97*2*S98,0)</f>
        <v>0</v>
      </c>
      <c r="T100" s="752">
        <f>IF(AND(T98&lt;=1.5,T99&lt;=1.5),T97*2*T98,0)</f>
        <v>0</v>
      </c>
      <c r="U100" s="752">
        <f t="shared" ref="U100:AE100" si="135">IF(AND(U98&lt;=1.5,U99&lt;=1.5),U97*2*U98,0)</f>
        <v>0</v>
      </c>
      <c r="V100" s="752">
        <f>IF(AND(V98&lt;=1.5,V99&lt;=1.5),V97*2*V98,0)</f>
        <v>0</v>
      </c>
      <c r="W100" s="752">
        <f t="shared" si="135"/>
        <v>0</v>
      </c>
      <c r="X100" s="752">
        <f t="shared" si="135"/>
        <v>0</v>
      </c>
      <c r="Y100" s="752">
        <f t="shared" si="135"/>
        <v>0</v>
      </c>
      <c r="Z100" s="752">
        <f t="shared" si="135"/>
        <v>0</v>
      </c>
      <c r="AA100" s="752">
        <f t="shared" si="135"/>
        <v>0</v>
      </c>
      <c r="AB100" s="752">
        <f t="shared" si="135"/>
        <v>0</v>
      </c>
      <c r="AC100" s="752">
        <f t="shared" si="135"/>
        <v>0</v>
      </c>
      <c r="AD100" s="752">
        <f t="shared" si="135"/>
        <v>0</v>
      </c>
      <c r="AE100" s="752">
        <f t="shared" si="135"/>
        <v>0</v>
      </c>
      <c r="AF100" s="926"/>
      <c r="AG100" s="926"/>
      <c r="AH100" s="926"/>
      <c r="AI100" s="753"/>
      <c r="AJ100" s="745">
        <f t="shared" si="117"/>
        <v>0</v>
      </c>
      <c r="AK100" s="976"/>
      <c r="AL100" s="976"/>
      <c r="AM100" s="976"/>
      <c r="AN100" s="976"/>
      <c r="AO100" s="976"/>
      <c r="AP100" s="976"/>
      <c r="AQ100" s="976"/>
      <c r="AR100" s="976"/>
      <c r="AS100" s="976"/>
      <c r="AT100" s="976"/>
      <c r="AU100" s="976"/>
      <c r="AV100" s="976"/>
    </row>
    <row r="101" spans="1:48" s="795" customFormat="1" ht="21.95" hidden="1" customHeight="1">
      <c r="A101" s="2572"/>
      <c r="B101" s="2634"/>
      <c r="C101" s="1007" t="s">
        <v>1790</v>
      </c>
      <c r="D101" s="978"/>
      <c r="E101" s="979"/>
      <c r="F101" s="752">
        <f t="shared" ref="F101:R101" si="136">IF(AND(F98&lt;=1.5,F99&gt;1.5),F97*2*F98,0)</f>
        <v>0</v>
      </c>
      <c r="G101" s="752">
        <f t="shared" si="136"/>
        <v>0</v>
      </c>
      <c r="H101" s="752">
        <f t="shared" si="136"/>
        <v>0</v>
      </c>
      <c r="I101" s="752">
        <f t="shared" si="136"/>
        <v>0</v>
      </c>
      <c r="J101" s="752"/>
      <c r="K101" s="752"/>
      <c r="L101" s="752"/>
      <c r="M101" s="752"/>
      <c r="N101" s="980"/>
      <c r="O101" s="752">
        <f t="shared" si="136"/>
        <v>0</v>
      </c>
      <c r="P101" s="752">
        <f t="shared" si="136"/>
        <v>0</v>
      </c>
      <c r="Q101" s="752">
        <f t="shared" si="136"/>
        <v>0</v>
      </c>
      <c r="R101" s="752">
        <f t="shared" si="136"/>
        <v>0</v>
      </c>
      <c r="S101" s="752">
        <f>IF(AND(S98&lt;=1.5,S99&gt;1.5),S97*2*S98,0)</f>
        <v>0</v>
      </c>
      <c r="T101" s="752">
        <f>IF(AND(T98&lt;=1.5,T99&gt;1.5),T97*2*T98,0)</f>
        <v>0</v>
      </c>
      <c r="U101" s="752">
        <f t="shared" ref="U101:AE101" si="137">IF(AND(U98&lt;=1.5,U99&gt;1.5),U97*2*U98,0)</f>
        <v>0</v>
      </c>
      <c r="V101" s="752">
        <f>IF(AND(V98&lt;=1.5,V99&gt;1.5),V97*2*V98,0)</f>
        <v>0</v>
      </c>
      <c r="W101" s="752">
        <f t="shared" si="137"/>
        <v>0</v>
      </c>
      <c r="X101" s="752">
        <f t="shared" si="137"/>
        <v>0</v>
      </c>
      <c r="Y101" s="752">
        <f t="shared" si="137"/>
        <v>0</v>
      </c>
      <c r="Z101" s="752">
        <f t="shared" si="137"/>
        <v>0</v>
      </c>
      <c r="AA101" s="752">
        <f t="shared" si="137"/>
        <v>0</v>
      </c>
      <c r="AB101" s="752">
        <f t="shared" si="137"/>
        <v>0</v>
      </c>
      <c r="AC101" s="752">
        <f t="shared" si="137"/>
        <v>0</v>
      </c>
      <c r="AD101" s="752">
        <f t="shared" si="137"/>
        <v>0</v>
      </c>
      <c r="AE101" s="752">
        <f t="shared" si="137"/>
        <v>0</v>
      </c>
      <c r="AF101" s="926"/>
      <c r="AG101" s="926"/>
      <c r="AH101" s="926"/>
      <c r="AI101" s="753"/>
      <c r="AJ101" s="745">
        <f t="shared" si="117"/>
        <v>0</v>
      </c>
      <c r="AK101" s="976"/>
      <c r="AL101" s="976"/>
      <c r="AM101" s="976"/>
      <c r="AN101" s="976"/>
      <c r="AO101" s="976"/>
      <c r="AP101" s="976"/>
      <c r="AQ101" s="976"/>
      <c r="AR101" s="976"/>
      <c r="AS101" s="976"/>
      <c r="AT101" s="976"/>
      <c r="AU101" s="976"/>
      <c r="AV101" s="976"/>
    </row>
    <row r="102" spans="1:48" s="795" customFormat="1" ht="21.95" hidden="1" customHeight="1">
      <c r="A102" s="2572"/>
      <c r="B102" s="2634"/>
      <c r="C102" s="1007" t="s">
        <v>1791</v>
      </c>
      <c r="D102" s="978"/>
      <c r="E102" s="979"/>
      <c r="F102" s="752">
        <f t="shared" ref="F102:R102" si="138">IF(AND(F98&gt;1.5,F99&lt;=1.5),F97*2*F98,0)</f>
        <v>0</v>
      </c>
      <c r="G102" s="752">
        <f t="shared" si="138"/>
        <v>0</v>
      </c>
      <c r="H102" s="752">
        <f t="shared" si="138"/>
        <v>0</v>
      </c>
      <c r="I102" s="752">
        <f t="shared" si="138"/>
        <v>0</v>
      </c>
      <c r="J102" s="752"/>
      <c r="K102" s="752"/>
      <c r="L102" s="752"/>
      <c r="M102" s="752"/>
      <c r="N102" s="980"/>
      <c r="O102" s="752">
        <f t="shared" si="138"/>
        <v>0</v>
      </c>
      <c r="P102" s="752">
        <f t="shared" si="138"/>
        <v>0</v>
      </c>
      <c r="Q102" s="752">
        <f t="shared" si="138"/>
        <v>0</v>
      </c>
      <c r="R102" s="752">
        <f t="shared" si="138"/>
        <v>0</v>
      </c>
      <c r="S102" s="752">
        <f>IF(AND(S98&gt;1.5,S99&lt;=1.5),S97*2*S98,0)</f>
        <v>0</v>
      </c>
      <c r="T102" s="752">
        <f>IF(AND(T98&gt;1.5,T99&lt;=1.5),T97*2*T98,0)</f>
        <v>0</v>
      </c>
      <c r="U102" s="752">
        <f t="shared" ref="U102:AE102" si="139">IF(AND(U98&gt;1.5,U99&lt;=1.5),U97*2*U98,0)</f>
        <v>0</v>
      </c>
      <c r="V102" s="752">
        <f>IF(AND(V98&gt;1.5,V99&lt;=1.5),V97*2*V98,0)</f>
        <v>0</v>
      </c>
      <c r="W102" s="752">
        <f t="shared" si="139"/>
        <v>0</v>
      </c>
      <c r="X102" s="752">
        <f t="shared" si="139"/>
        <v>0</v>
      </c>
      <c r="Y102" s="752">
        <f t="shared" si="139"/>
        <v>0</v>
      </c>
      <c r="Z102" s="752">
        <f t="shared" si="139"/>
        <v>0</v>
      </c>
      <c r="AA102" s="752">
        <f t="shared" si="139"/>
        <v>0</v>
      </c>
      <c r="AB102" s="752">
        <f t="shared" si="139"/>
        <v>0</v>
      </c>
      <c r="AC102" s="752">
        <f t="shared" si="139"/>
        <v>0</v>
      </c>
      <c r="AD102" s="752">
        <f t="shared" si="139"/>
        <v>0</v>
      </c>
      <c r="AE102" s="752">
        <f t="shared" si="139"/>
        <v>0</v>
      </c>
      <c r="AF102" s="926"/>
      <c r="AG102" s="926"/>
      <c r="AH102" s="926"/>
      <c r="AI102" s="753"/>
      <c r="AJ102" s="745">
        <f t="shared" si="117"/>
        <v>0</v>
      </c>
      <c r="AK102" s="976"/>
      <c r="AL102" s="976"/>
      <c r="AM102" s="976"/>
      <c r="AN102" s="976"/>
      <c r="AO102" s="976"/>
      <c r="AP102" s="976"/>
      <c r="AQ102" s="976"/>
      <c r="AR102" s="976"/>
      <c r="AS102" s="976"/>
      <c r="AT102" s="976"/>
      <c r="AU102" s="976"/>
      <c r="AV102" s="976"/>
    </row>
    <row r="103" spans="1:48" s="795" customFormat="1" ht="21.95" hidden="1" customHeight="1" thickBot="1">
      <c r="A103" s="2572"/>
      <c r="B103" s="2635"/>
      <c r="C103" s="982" t="s">
        <v>1792</v>
      </c>
      <c r="D103" s="983"/>
      <c r="E103" s="984"/>
      <c r="F103" s="761">
        <f t="shared" ref="F103:R103" si="140">IF(AND(F98&gt;1.5,F99&gt;1.5),F97*2*F98,0)</f>
        <v>0</v>
      </c>
      <c r="G103" s="761">
        <f t="shared" si="140"/>
        <v>0</v>
      </c>
      <c r="H103" s="761">
        <f t="shared" si="140"/>
        <v>0</v>
      </c>
      <c r="I103" s="761">
        <f t="shared" si="140"/>
        <v>0</v>
      </c>
      <c r="J103" s="761"/>
      <c r="K103" s="761"/>
      <c r="L103" s="761"/>
      <c r="M103" s="761"/>
      <c r="N103" s="985"/>
      <c r="O103" s="761">
        <f t="shared" si="140"/>
        <v>0</v>
      </c>
      <c r="P103" s="761">
        <f t="shared" si="140"/>
        <v>0</v>
      </c>
      <c r="Q103" s="761">
        <f t="shared" si="140"/>
        <v>0</v>
      </c>
      <c r="R103" s="761">
        <f t="shared" si="140"/>
        <v>0</v>
      </c>
      <c r="S103" s="761">
        <f>IF(AND(S98&gt;1.5,S99&gt;1.5),S97*2*S98,0)</f>
        <v>0</v>
      </c>
      <c r="T103" s="761">
        <f>IF(AND(T98&gt;1.5,T99&gt;1.5),T97*2*T98,0)</f>
        <v>0</v>
      </c>
      <c r="U103" s="761">
        <f t="shared" ref="U103:AE103" si="141">IF(AND(U98&gt;1.5,U99&gt;1.5),U97*2*U98,0)</f>
        <v>0</v>
      </c>
      <c r="V103" s="761">
        <f>IF(AND(V98&gt;1.5,V99&gt;1.5),V97*2*V98,0)</f>
        <v>0</v>
      </c>
      <c r="W103" s="761">
        <f t="shared" si="141"/>
        <v>0</v>
      </c>
      <c r="X103" s="761">
        <f t="shared" si="141"/>
        <v>0</v>
      </c>
      <c r="Y103" s="761">
        <f t="shared" si="141"/>
        <v>0</v>
      </c>
      <c r="Z103" s="761">
        <f t="shared" si="141"/>
        <v>0</v>
      </c>
      <c r="AA103" s="761">
        <f t="shared" si="141"/>
        <v>0</v>
      </c>
      <c r="AB103" s="761">
        <f t="shared" si="141"/>
        <v>0</v>
      </c>
      <c r="AC103" s="761">
        <f t="shared" si="141"/>
        <v>0</v>
      </c>
      <c r="AD103" s="761">
        <f t="shared" si="141"/>
        <v>0</v>
      </c>
      <c r="AE103" s="761">
        <f t="shared" si="141"/>
        <v>0</v>
      </c>
      <c r="AF103" s="986"/>
      <c r="AG103" s="986"/>
      <c r="AH103" s="986"/>
      <c r="AI103" s="769"/>
      <c r="AJ103" s="745">
        <f t="shared" si="117"/>
        <v>0</v>
      </c>
      <c r="AK103" s="976"/>
      <c r="AL103" s="976"/>
      <c r="AM103" s="976"/>
      <c r="AN103" s="976"/>
      <c r="AO103" s="976"/>
      <c r="AP103" s="976"/>
      <c r="AQ103" s="976"/>
      <c r="AR103" s="976"/>
      <c r="AS103" s="976"/>
      <c r="AT103" s="976"/>
      <c r="AU103" s="976"/>
      <c r="AV103" s="976"/>
    </row>
    <row r="104" spans="1:48" s="795" customFormat="1" ht="21.95" hidden="1" customHeight="1">
      <c r="A104" s="2572"/>
      <c r="B104" s="2633" t="s">
        <v>1793</v>
      </c>
      <c r="C104" s="970" t="s">
        <v>1539</v>
      </c>
      <c r="D104" s="971"/>
      <c r="E104" s="972"/>
      <c r="F104" s="743">
        <f t="shared" ref="F104:R104" si="142">IF(AND(F97=0,F11&lt;=3,F30=5,F113=0),F2,0)</f>
        <v>0</v>
      </c>
      <c r="G104" s="743">
        <f t="shared" si="142"/>
        <v>0</v>
      </c>
      <c r="H104" s="743">
        <f t="shared" si="142"/>
        <v>0</v>
      </c>
      <c r="I104" s="743">
        <f t="shared" si="142"/>
        <v>0</v>
      </c>
      <c r="J104" s="743"/>
      <c r="K104" s="743"/>
      <c r="L104" s="743"/>
      <c r="M104" s="743"/>
      <c r="N104" s="973"/>
      <c r="O104" s="743">
        <f t="shared" si="142"/>
        <v>0</v>
      </c>
      <c r="P104" s="743">
        <f t="shared" si="142"/>
        <v>0</v>
      </c>
      <c r="Q104" s="743">
        <f t="shared" si="142"/>
        <v>0</v>
      </c>
      <c r="R104" s="743">
        <f t="shared" si="142"/>
        <v>0</v>
      </c>
      <c r="S104" s="743">
        <f>IF(AND(S97=0,S11&lt;=3,S30=5,S113=0),S2,0)</f>
        <v>0</v>
      </c>
      <c r="T104" s="743">
        <f>IF(AND(T97=0,T11&lt;=3,T30=5,T113=0),T2,0)</f>
        <v>0</v>
      </c>
      <c r="U104" s="743">
        <f>IF(AND(U97=0,U11&lt;=3,U30=5,U113=0),U2,0)</f>
        <v>0</v>
      </c>
      <c r="V104" s="743">
        <f>IF(AND(V97=0,V11&lt;=3,V30=5,V113=0),V2,0)</f>
        <v>0</v>
      </c>
      <c r="W104" s="743">
        <f>IF(AND(W97=0,W11&lt;=3,W30=5,W113=0),W2,0)</f>
        <v>0</v>
      </c>
      <c r="X104" s="743">
        <f t="shared" ref="X104:AE104" si="143">IF(AND(X97=0,X11&lt;=3,X30="v",X29=1,X113=0),X2,0)</f>
        <v>0</v>
      </c>
      <c r="Y104" s="743">
        <f t="shared" si="143"/>
        <v>0</v>
      </c>
      <c r="Z104" s="743">
        <f t="shared" si="143"/>
        <v>0</v>
      </c>
      <c r="AA104" s="743">
        <f t="shared" si="143"/>
        <v>0</v>
      </c>
      <c r="AB104" s="743">
        <f t="shared" si="143"/>
        <v>0</v>
      </c>
      <c r="AC104" s="743">
        <f t="shared" si="143"/>
        <v>0</v>
      </c>
      <c r="AD104" s="743">
        <f t="shared" si="143"/>
        <v>0</v>
      </c>
      <c r="AE104" s="743">
        <f t="shared" si="143"/>
        <v>0</v>
      </c>
      <c r="AF104" s="974"/>
      <c r="AG104" s="974"/>
      <c r="AH104" s="974"/>
      <c r="AI104" s="744"/>
      <c r="AJ104" s="745">
        <f t="shared" si="117"/>
        <v>0</v>
      </c>
      <c r="AK104" s="976"/>
      <c r="AL104" s="976"/>
      <c r="AM104" s="976"/>
      <c r="AN104" s="976"/>
      <c r="AO104" s="976"/>
      <c r="AP104" s="976"/>
      <c r="AQ104" s="976"/>
      <c r="AR104" s="976"/>
      <c r="AS104" s="976"/>
      <c r="AT104" s="976"/>
      <c r="AU104" s="976"/>
      <c r="AV104" s="976"/>
    </row>
    <row r="105" spans="1:48" s="795" customFormat="1" ht="21.95" hidden="1" customHeight="1">
      <c r="A105" s="2572"/>
      <c r="B105" s="2634"/>
      <c r="C105" s="977" t="s">
        <v>1794</v>
      </c>
      <c r="D105" s="978"/>
      <c r="E105" s="979"/>
      <c r="F105" s="752">
        <f t="shared" ref="F105:R105" si="144">IF(F104&gt;0,F11,0)</f>
        <v>0</v>
      </c>
      <c r="G105" s="752">
        <f t="shared" si="144"/>
        <v>0</v>
      </c>
      <c r="H105" s="752">
        <f t="shared" si="144"/>
        <v>0</v>
      </c>
      <c r="I105" s="752">
        <f t="shared" si="144"/>
        <v>0</v>
      </c>
      <c r="J105" s="752"/>
      <c r="K105" s="752"/>
      <c r="L105" s="752"/>
      <c r="M105" s="752"/>
      <c r="N105" s="980"/>
      <c r="O105" s="752">
        <f t="shared" si="144"/>
        <v>0</v>
      </c>
      <c r="P105" s="752">
        <f t="shared" si="144"/>
        <v>0</v>
      </c>
      <c r="Q105" s="752">
        <f t="shared" si="144"/>
        <v>0</v>
      </c>
      <c r="R105" s="752">
        <f t="shared" si="144"/>
        <v>0</v>
      </c>
      <c r="S105" s="752">
        <f>IF(S104&gt;0,S11,0)</f>
        <v>0</v>
      </c>
      <c r="T105" s="752">
        <f>IF(T104&gt;0,T11,0)</f>
        <v>0</v>
      </c>
      <c r="U105" s="752">
        <f t="shared" ref="U105:AE105" si="145">IF(U104&gt;0,U11,0)</f>
        <v>0</v>
      </c>
      <c r="V105" s="752">
        <f>IF(V104&gt;0,V11,0)</f>
        <v>0</v>
      </c>
      <c r="W105" s="752">
        <f t="shared" si="145"/>
        <v>0</v>
      </c>
      <c r="X105" s="752">
        <f t="shared" si="145"/>
        <v>0</v>
      </c>
      <c r="Y105" s="752">
        <f t="shared" si="145"/>
        <v>0</v>
      </c>
      <c r="Z105" s="752">
        <f t="shared" si="145"/>
        <v>0</v>
      </c>
      <c r="AA105" s="752">
        <f t="shared" si="145"/>
        <v>0</v>
      </c>
      <c r="AB105" s="752">
        <f t="shared" si="145"/>
        <v>0</v>
      </c>
      <c r="AC105" s="752">
        <f t="shared" si="145"/>
        <v>0</v>
      </c>
      <c r="AD105" s="752">
        <f t="shared" si="145"/>
        <v>0</v>
      </c>
      <c r="AE105" s="752">
        <f t="shared" si="145"/>
        <v>0</v>
      </c>
      <c r="AF105" s="926"/>
      <c r="AG105" s="926"/>
      <c r="AH105" s="926"/>
      <c r="AI105" s="981"/>
      <c r="AJ105" s="745">
        <f t="shared" si="117"/>
        <v>0</v>
      </c>
      <c r="AK105" s="976"/>
      <c r="AL105" s="976"/>
      <c r="AM105" s="976"/>
      <c r="AN105" s="976"/>
      <c r="AO105" s="976"/>
      <c r="AP105" s="976"/>
      <c r="AQ105" s="976"/>
      <c r="AR105" s="976"/>
      <c r="AS105" s="976"/>
      <c r="AT105" s="976"/>
      <c r="AU105" s="976"/>
      <c r="AV105" s="976"/>
    </row>
    <row r="106" spans="1:48" s="795" customFormat="1" ht="21.95" hidden="1" customHeight="1">
      <c r="A106" s="2572"/>
      <c r="B106" s="2634"/>
      <c r="C106" s="1007" t="s">
        <v>1788</v>
      </c>
      <c r="D106" s="978"/>
      <c r="E106" s="979"/>
      <c r="F106" s="752">
        <f t="shared" ref="F106:R106" si="146">IF(F104&gt;0,F39,0)</f>
        <v>0</v>
      </c>
      <c r="G106" s="752">
        <f t="shared" si="146"/>
        <v>0</v>
      </c>
      <c r="H106" s="752">
        <f t="shared" si="146"/>
        <v>0</v>
      </c>
      <c r="I106" s="752">
        <f t="shared" si="146"/>
        <v>0</v>
      </c>
      <c r="J106" s="752"/>
      <c r="K106" s="752"/>
      <c r="L106" s="752"/>
      <c r="M106" s="752"/>
      <c r="N106" s="980"/>
      <c r="O106" s="752">
        <f t="shared" si="146"/>
        <v>0</v>
      </c>
      <c r="P106" s="752">
        <f t="shared" si="146"/>
        <v>0</v>
      </c>
      <c r="Q106" s="752">
        <f t="shared" si="146"/>
        <v>0</v>
      </c>
      <c r="R106" s="752">
        <f t="shared" si="146"/>
        <v>0</v>
      </c>
      <c r="S106" s="752">
        <f>IF(S104&gt;0,S39,0)</f>
        <v>0</v>
      </c>
      <c r="T106" s="752">
        <f>IF(T104&gt;0,T39,0)</f>
        <v>0</v>
      </c>
      <c r="U106" s="752">
        <f t="shared" ref="U106:AE106" si="147">IF(U104&gt;0,U39,0)</f>
        <v>0</v>
      </c>
      <c r="V106" s="752">
        <f>IF(V104&gt;0,V39,0)</f>
        <v>0</v>
      </c>
      <c r="W106" s="752">
        <f t="shared" si="147"/>
        <v>0</v>
      </c>
      <c r="X106" s="752">
        <f t="shared" si="147"/>
        <v>0</v>
      </c>
      <c r="Y106" s="752">
        <f t="shared" si="147"/>
        <v>0</v>
      </c>
      <c r="Z106" s="752">
        <f t="shared" si="147"/>
        <v>0</v>
      </c>
      <c r="AA106" s="752">
        <f t="shared" si="147"/>
        <v>0</v>
      </c>
      <c r="AB106" s="752">
        <f t="shared" si="147"/>
        <v>0</v>
      </c>
      <c r="AC106" s="752">
        <f t="shared" si="147"/>
        <v>0</v>
      </c>
      <c r="AD106" s="752">
        <f t="shared" si="147"/>
        <v>0</v>
      </c>
      <c r="AE106" s="752">
        <f t="shared" si="147"/>
        <v>0</v>
      </c>
      <c r="AF106" s="926"/>
      <c r="AG106" s="926"/>
      <c r="AH106" s="926"/>
      <c r="AI106" s="981"/>
      <c r="AJ106" s="745">
        <f t="shared" si="117"/>
        <v>0</v>
      </c>
      <c r="AK106" s="976"/>
      <c r="AL106" s="976"/>
      <c r="AM106" s="976"/>
      <c r="AN106" s="976"/>
      <c r="AO106" s="976"/>
      <c r="AP106" s="976"/>
      <c r="AQ106" s="976"/>
      <c r="AR106" s="976"/>
      <c r="AS106" s="976"/>
      <c r="AT106" s="976"/>
      <c r="AU106" s="976"/>
      <c r="AV106" s="976"/>
    </row>
    <row r="107" spans="1:48" s="795" customFormat="1" ht="21.95" hidden="1" customHeight="1">
      <c r="A107" s="2572"/>
      <c r="B107" s="2634"/>
      <c r="C107" s="1007" t="s">
        <v>1795</v>
      </c>
      <c r="D107" s="978"/>
      <c r="E107" s="979"/>
      <c r="F107" s="752">
        <f t="shared" ref="F107:R107" si="148">IF(F105&lt;=3.5,IF(F106&lt;=1.5,F104*2*F105,0),0)</f>
        <v>0</v>
      </c>
      <c r="G107" s="752">
        <f t="shared" si="148"/>
        <v>0</v>
      </c>
      <c r="H107" s="752">
        <f t="shared" si="148"/>
        <v>0</v>
      </c>
      <c r="I107" s="752">
        <f t="shared" si="148"/>
        <v>0</v>
      </c>
      <c r="J107" s="752"/>
      <c r="K107" s="752"/>
      <c r="L107" s="752"/>
      <c r="M107" s="752"/>
      <c r="N107" s="980"/>
      <c r="O107" s="752">
        <f t="shared" si="148"/>
        <v>0</v>
      </c>
      <c r="P107" s="752">
        <f t="shared" si="148"/>
        <v>0</v>
      </c>
      <c r="Q107" s="752">
        <f t="shared" si="148"/>
        <v>0</v>
      </c>
      <c r="R107" s="752">
        <f t="shared" si="148"/>
        <v>0</v>
      </c>
      <c r="S107" s="752">
        <f>IF(S105&lt;=3.5,IF(S106&lt;=1.5,S104*2*S105,0),0)</f>
        <v>0</v>
      </c>
      <c r="T107" s="752">
        <f>IF(T105&lt;=3.5,IF(T106&lt;=1.5,T104*2*T105,0),0)</f>
        <v>0</v>
      </c>
      <c r="U107" s="752">
        <f t="shared" ref="U107:AE107" si="149">IF(U105&lt;=3.5,IF(U106&lt;=1.5,U104*2*U105,0),0)</f>
        <v>0</v>
      </c>
      <c r="V107" s="752">
        <f>IF(V105&lt;=3.5,IF(V106&lt;=1.5,V104*2*V105,0),0)</f>
        <v>0</v>
      </c>
      <c r="W107" s="752">
        <f t="shared" si="149"/>
        <v>0</v>
      </c>
      <c r="X107" s="752">
        <f t="shared" si="149"/>
        <v>0</v>
      </c>
      <c r="Y107" s="752">
        <f t="shared" si="149"/>
        <v>0</v>
      </c>
      <c r="Z107" s="752">
        <f t="shared" si="149"/>
        <v>0</v>
      </c>
      <c r="AA107" s="752">
        <f t="shared" si="149"/>
        <v>0</v>
      </c>
      <c r="AB107" s="752">
        <f t="shared" si="149"/>
        <v>0</v>
      </c>
      <c r="AC107" s="752">
        <f t="shared" si="149"/>
        <v>0</v>
      </c>
      <c r="AD107" s="752">
        <f t="shared" si="149"/>
        <v>0</v>
      </c>
      <c r="AE107" s="752">
        <f t="shared" si="149"/>
        <v>0</v>
      </c>
      <c r="AF107" s="926"/>
      <c r="AG107" s="926"/>
      <c r="AH107" s="926"/>
      <c r="AI107" s="753"/>
      <c r="AJ107" s="745">
        <f t="shared" si="117"/>
        <v>0</v>
      </c>
      <c r="AK107" s="976"/>
      <c r="AL107" s="976"/>
      <c r="AM107" s="976"/>
      <c r="AN107" s="976"/>
      <c r="AO107" s="976"/>
      <c r="AP107" s="976"/>
      <c r="AQ107" s="976"/>
      <c r="AR107" s="976"/>
      <c r="AS107" s="976"/>
      <c r="AT107" s="976"/>
      <c r="AU107" s="976"/>
      <c r="AV107" s="976"/>
    </row>
    <row r="108" spans="1:48" s="795" customFormat="1" ht="21.95" hidden="1" customHeight="1" thickBot="1">
      <c r="A108" s="2572"/>
      <c r="B108" s="2635"/>
      <c r="C108" s="982" t="s">
        <v>1796</v>
      </c>
      <c r="D108" s="983"/>
      <c r="E108" s="984"/>
      <c r="F108" s="761">
        <f t="shared" ref="F108:R108" si="150">IF(F105&lt;=3.5,IF(F106&gt;1.5,F104*2*F105,0),0)</f>
        <v>0</v>
      </c>
      <c r="G108" s="761">
        <f t="shared" si="150"/>
        <v>0</v>
      </c>
      <c r="H108" s="761">
        <f t="shared" si="150"/>
        <v>0</v>
      </c>
      <c r="I108" s="761">
        <f t="shared" si="150"/>
        <v>0</v>
      </c>
      <c r="J108" s="761"/>
      <c r="K108" s="761"/>
      <c r="L108" s="761"/>
      <c r="M108" s="761"/>
      <c r="N108" s="985"/>
      <c r="O108" s="761">
        <f t="shared" si="150"/>
        <v>0</v>
      </c>
      <c r="P108" s="761">
        <f t="shared" si="150"/>
        <v>0</v>
      </c>
      <c r="Q108" s="761">
        <f t="shared" si="150"/>
        <v>0</v>
      </c>
      <c r="R108" s="761">
        <f t="shared" si="150"/>
        <v>0</v>
      </c>
      <c r="S108" s="761">
        <f>IF(S105&lt;=3.5,IF(S106&gt;1.5,S104*2*S105,0),0)</f>
        <v>0</v>
      </c>
      <c r="T108" s="761">
        <f>IF(T105&lt;=3.5,IF(T106&gt;1.5,T104*2*T105,0),0)</f>
        <v>0</v>
      </c>
      <c r="U108" s="761">
        <f t="shared" ref="U108:AE108" si="151">IF(U105&lt;=3.5,IF(U106&gt;1.5,U104*2*U105,0),0)</f>
        <v>0</v>
      </c>
      <c r="V108" s="761">
        <f>IF(V105&lt;=3.5,IF(V106&gt;1.5,V104*2*V105,0),0)</f>
        <v>0</v>
      </c>
      <c r="W108" s="761">
        <f t="shared" si="151"/>
        <v>0</v>
      </c>
      <c r="X108" s="761">
        <f t="shared" si="151"/>
        <v>0</v>
      </c>
      <c r="Y108" s="761">
        <f t="shared" si="151"/>
        <v>0</v>
      </c>
      <c r="Z108" s="761">
        <f t="shared" si="151"/>
        <v>0</v>
      </c>
      <c r="AA108" s="761">
        <f t="shared" si="151"/>
        <v>0</v>
      </c>
      <c r="AB108" s="761">
        <f t="shared" si="151"/>
        <v>0</v>
      </c>
      <c r="AC108" s="761">
        <f t="shared" si="151"/>
        <v>0</v>
      </c>
      <c r="AD108" s="761">
        <f t="shared" si="151"/>
        <v>0</v>
      </c>
      <c r="AE108" s="761">
        <f t="shared" si="151"/>
        <v>0</v>
      </c>
      <c r="AF108" s="986"/>
      <c r="AG108" s="986"/>
      <c r="AH108" s="986"/>
      <c r="AI108" s="769"/>
      <c r="AJ108" s="745">
        <f t="shared" si="117"/>
        <v>0</v>
      </c>
      <c r="AK108" s="976"/>
      <c r="AL108" s="976"/>
      <c r="AM108" s="976"/>
      <c r="AN108" s="976"/>
      <c r="AO108" s="976"/>
      <c r="AP108" s="976"/>
      <c r="AQ108" s="976"/>
      <c r="AR108" s="976"/>
      <c r="AS108" s="976"/>
      <c r="AT108" s="976"/>
      <c r="AU108" s="976"/>
      <c r="AV108" s="976"/>
    </row>
    <row r="109" spans="1:48" s="795" customFormat="1" ht="21.95" hidden="1" customHeight="1">
      <c r="A109" s="2572"/>
      <c r="B109" s="2642" t="s">
        <v>1797</v>
      </c>
      <c r="C109" s="1040" t="s">
        <v>1539</v>
      </c>
      <c r="D109" s="978"/>
      <c r="E109" s="979"/>
      <c r="F109" s="752">
        <f t="shared" ref="F109:R109" si="152">IF(AND(F113=0,F104=0,F11&gt;3,F30=5),F2,0)</f>
        <v>0</v>
      </c>
      <c r="G109" s="752">
        <f t="shared" si="152"/>
        <v>0</v>
      </c>
      <c r="H109" s="752">
        <f t="shared" si="152"/>
        <v>0</v>
      </c>
      <c r="I109" s="752">
        <f t="shared" si="152"/>
        <v>0</v>
      </c>
      <c r="J109" s="752"/>
      <c r="K109" s="752"/>
      <c r="L109" s="752"/>
      <c r="M109" s="752"/>
      <c r="N109" s="980"/>
      <c r="O109" s="752">
        <f t="shared" si="152"/>
        <v>0</v>
      </c>
      <c r="P109" s="752">
        <f t="shared" si="152"/>
        <v>0</v>
      </c>
      <c r="Q109" s="752">
        <f t="shared" si="152"/>
        <v>0</v>
      </c>
      <c r="R109" s="752">
        <f t="shared" si="152"/>
        <v>0</v>
      </c>
      <c r="S109" s="752">
        <f>IF(AND(S113=0,S104=0,S11&gt;3,S30=5),S2,0)</f>
        <v>0</v>
      </c>
      <c r="T109" s="752">
        <f>IF(AND(T113=0,T104=0,T11&gt;3,T30=5),T2,0)</f>
        <v>0</v>
      </c>
      <c r="U109" s="752">
        <f>IF(AND(U113=0,U104=0,U11&gt;3,U30=5),U2,0)</f>
        <v>0</v>
      </c>
      <c r="V109" s="752">
        <f>IF(AND(V113=0,V104=0,V11&gt;3,V30=5),V2,0)</f>
        <v>0</v>
      </c>
      <c r="W109" s="752">
        <f>IF(AND(W113=0,W104=0,W11&gt;3,W30=5),W2,0)</f>
        <v>0</v>
      </c>
      <c r="X109" s="752">
        <f t="shared" ref="X109:AE109" si="153">IF(AND(X113=0,X104=0,X11&gt;3,X30="v"),X2,0)</f>
        <v>0</v>
      </c>
      <c r="Y109" s="752">
        <f t="shared" si="153"/>
        <v>0</v>
      </c>
      <c r="Z109" s="752">
        <f t="shared" si="153"/>
        <v>0</v>
      </c>
      <c r="AA109" s="752">
        <f t="shared" si="153"/>
        <v>0</v>
      </c>
      <c r="AB109" s="752">
        <f t="shared" si="153"/>
        <v>0</v>
      </c>
      <c r="AC109" s="752">
        <f t="shared" si="153"/>
        <v>0</v>
      </c>
      <c r="AD109" s="752">
        <f t="shared" si="153"/>
        <v>0</v>
      </c>
      <c r="AE109" s="752">
        <f t="shared" si="153"/>
        <v>0</v>
      </c>
      <c r="AF109" s="926"/>
      <c r="AG109" s="974"/>
      <c r="AH109" s="974"/>
      <c r="AI109" s="744"/>
      <c r="AJ109" s="745">
        <f t="shared" si="117"/>
        <v>0</v>
      </c>
      <c r="AK109" s="976"/>
      <c r="AL109" s="976"/>
      <c r="AM109" s="976"/>
      <c r="AN109" s="976"/>
      <c r="AO109" s="976"/>
      <c r="AP109" s="976"/>
      <c r="AQ109" s="976"/>
      <c r="AR109" s="976"/>
      <c r="AS109" s="976"/>
      <c r="AT109" s="976"/>
      <c r="AU109" s="976"/>
      <c r="AV109" s="976"/>
    </row>
    <row r="110" spans="1:48" s="795" customFormat="1" ht="21.95" hidden="1" customHeight="1">
      <c r="A110" s="2572"/>
      <c r="B110" s="2643"/>
      <c r="C110" s="977" t="s">
        <v>1798</v>
      </c>
      <c r="D110" s="978"/>
      <c r="E110" s="979"/>
      <c r="F110" s="752">
        <f t="shared" ref="F110:R110" si="154">IF(F109&gt;0,F11,0)</f>
        <v>0</v>
      </c>
      <c r="G110" s="752">
        <f t="shared" si="154"/>
        <v>0</v>
      </c>
      <c r="H110" s="752">
        <f t="shared" si="154"/>
        <v>0</v>
      </c>
      <c r="I110" s="752">
        <f t="shared" si="154"/>
        <v>0</v>
      </c>
      <c r="J110" s="752"/>
      <c r="K110" s="752"/>
      <c r="L110" s="752"/>
      <c r="M110" s="752"/>
      <c r="N110" s="980"/>
      <c r="O110" s="752">
        <f t="shared" si="154"/>
        <v>0</v>
      </c>
      <c r="P110" s="752">
        <f t="shared" si="154"/>
        <v>0</v>
      </c>
      <c r="Q110" s="752">
        <f t="shared" si="154"/>
        <v>0</v>
      </c>
      <c r="R110" s="752">
        <f t="shared" si="154"/>
        <v>0</v>
      </c>
      <c r="S110" s="752">
        <f>IF(S109&gt;0,S11,0)</f>
        <v>0</v>
      </c>
      <c r="T110" s="752">
        <f>IF(T109&gt;0,T11,0)</f>
        <v>0</v>
      </c>
      <c r="U110" s="752">
        <f t="shared" ref="U110:AE110" si="155">IF(U109&gt;0,U11,0)</f>
        <v>0</v>
      </c>
      <c r="V110" s="752">
        <f>IF(V109&gt;0,V11,0)</f>
        <v>0</v>
      </c>
      <c r="W110" s="752">
        <f t="shared" si="155"/>
        <v>0</v>
      </c>
      <c r="X110" s="752">
        <f t="shared" si="155"/>
        <v>0</v>
      </c>
      <c r="Y110" s="752">
        <f t="shared" si="155"/>
        <v>0</v>
      </c>
      <c r="Z110" s="752">
        <f t="shared" si="155"/>
        <v>0</v>
      </c>
      <c r="AA110" s="752">
        <f t="shared" si="155"/>
        <v>0</v>
      </c>
      <c r="AB110" s="752">
        <f t="shared" si="155"/>
        <v>0</v>
      </c>
      <c r="AC110" s="752">
        <f t="shared" si="155"/>
        <v>0</v>
      </c>
      <c r="AD110" s="752">
        <f t="shared" si="155"/>
        <v>0</v>
      </c>
      <c r="AE110" s="752">
        <f t="shared" si="155"/>
        <v>0</v>
      </c>
      <c r="AF110" s="926"/>
      <c r="AG110" s="926"/>
      <c r="AH110" s="926"/>
      <c r="AI110" s="981"/>
      <c r="AJ110" s="745">
        <f t="shared" si="117"/>
        <v>0</v>
      </c>
      <c r="AK110" s="976"/>
      <c r="AL110" s="976"/>
      <c r="AM110" s="976"/>
      <c r="AN110" s="976"/>
      <c r="AO110" s="976"/>
      <c r="AP110" s="976"/>
      <c r="AQ110" s="976"/>
      <c r="AR110" s="976"/>
      <c r="AS110" s="976"/>
      <c r="AT110" s="976"/>
      <c r="AU110" s="976"/>
      <c r="AV110" s="976"/>
    </row>
    <row r="111" spans="1:48" s="795" customFormat="1" ht="21.95" hidden="1" customHeight="1">
      <c r="A111" s="2572"/>
      <c r="B111" s="2643"/>
      <c r="C111" s="1007" t="s">
        <v>1799</v>
      </c>
      <c r="D111" s="978"/>
      <c r="E111" s="979"/>
      <c r="F111" s="752">
        <f>IF(F106&lt;=1.5,F109*2*F110,0)</f>
        <v>0</v>
      </c>
      <c r="G111" s="752">
        <f t="shared" ref="G111:R111" si="156">IF(G106&lt;=1.5,G109*2*G110,0)</f>
        <v>0</v>
      </c>
      <c r="H111" s="752">
        <f t="shared" si="156"/>
        <v>0</v>
      </c>
      <c r="I111" s="752">
        <f t="shared" si="156"/>
        <v>0</v>
      </c>
      <c r="J111" s="752"/>
      <c r="K111" s="752"/>
      <c r="L111" s="752"/>
      <c r="M111" s="752"/>
      <c r="N111" s="980"/>
      <c r="O111" s="752">
        <f t="shared" si="156"/>
        <v>0</v>
      </c>
      <c r="P111" s="752">
        <f t="shared" si="156"/>
        <v>0</v>
      </c>
      <c r="Q111" s="752">
        <f t="shared" si="156"/>
        <v>0</v>
      </c>
      <c r="R111" s="752">
        <f t="shared" si="156"/>
        <v>0</v>
      </c>
      <c r="S111" s="752">
        <f>IF(S106&lt;=1.5,S109*2*S110,0)</f>
        <v>0</v>
      </c>
      <c r="T111" s="752"/>
      <c r="U111" s="752"/>
      <c r="V111" s="752"/>
      <c r="W111" s="752"/>
      <c r="X111" s="752"/>
      <c r="Y111" s="752"/>
      <c r="Z111" s="752"/>
      <c r="AA111" s="752"/>
      <c r="AB111" s="752"/>
      <c r="AC111" s="752"/>
      <c r="AD111" s="752"/>
      <c r="AE111" s="752"/>
      <c r="AF111" s="926"/>
      <c r="AG111" s="926"/>
      <c r="AH111" s="926"/>
      <c r="AI111" s="981"/>
      <c r="AJ111" s="745"/>
      <c r="AK111" s="976"/>
      <c r="AL111" s="976"/>
      <c r="AM111" s="976"/>
      <c r="AN111" s="976"/>
      <c r="AO111" s="976"/>
      <c r="AP111" s="976"/>
      <c r="AQ111" s="976"/>
      <c r="AR111" s="976"/>
      <c r="AS111" s="976"/>
      <c r="AT111" s="976"/>
      <c r="AU111" s="976"/>
      <c r="AV111" s="976"/>
    </row>
    <row r="112" spans="1:48" s="795" customFormat="1" ht="21.95" hidden="1" customHeight="1" thickBot="1">
      <c r="A112" s="2572"/>
      <c r="B112" s="2644"/>
      <c r="C112" s="982" t="s">
        <v>1800</v>
      </c>
      <c r="D112" s="983"/>
      <c r="E112" s="984"/>
      <c r="F112" s="761">
        <f>IF(F106&gt;1.5,F109*2*F110,0)</f>
        <v>0</v>
      </c>
      <c r="G112" s="761">
        <f t="shared" ref="G112:R112" si="157">IF(G106&gt;1.5,G109*2*G110,0)</f>
        <v>0</v>
      </c>
      <c r="H112" s="761">
        <f t="shared" si="157"/>
        <v>0</v>
      </c>
      <c r="I112" s="761">
        <f t="shared" si="157"/>
        <v>0</v>
      </c>
      <c r="J112" s="761"/>
      <c r="K112" s="761"/>
      <c r="L112" s="761"/>
      <c r="M112" s="761"/>
      <c r="N112" s="985"/>
      <c r="O112" s="761">
        <f t="shared" si="157"/>
        <v>0</v>
      </c>
      <c r="P112" s="761">
        <f t="shared" si="157"/>
        <v>0</v>
      </c>
      <c r="Q112" s="761">
        <f t="shared" si="157"/>
        <v>0</v>
      </c>
      <c r="R112" s="761">
        <f t="shared" si="157"/>
        <v>0</v>
      </c>
      <c r="S112" s="761">
        <f>IF(S106&gt;1.5,S109*2*S110,0)</f>
        <v>0</v>
      </c>
      <c r="T112" s="761">
        <f>T110*T109*2</f>
        <v>0</v>
      </c>
      <c r="U112" s="761">
        <f t="shared" ref="U112:AE112" si="158">U110*U109*2</f>
        <v>0</v>
      </c>
      <c r="V112" s="761">
        <f>V110*V109*2</f>
        <v>0</v>
      </c>
      <c r="W112" s="761">
        <f t="shared" si="158"/>
        <v>0</v>
      </c>
      <c r="X112" s="761">
        <f t="shared" si="158"/>
        <v>0</v>
      </c>
      <c r="Y112" s="761">
        <f t="shared" si="158"/>
        <v>0</v>
      </c>
      <c r="Z112" s="761">
        <f t="shared" si="158"/>
        <v>0</v>
      </c>
      <c r="AA112" s="761">
        <f t="shared" si="158"/>
        <v>0</v>
      </c>
      <c r="AB112" s="761">
        <f t="shared" si="158"/>
        <v>0</v>
      </c>
      <c r="AC112" s="761">
        <f t="shared" si="158"/>
        <v>0</v>
      </c>
      <c r="AD112" s="761">
        <f t="shared" si="158"/>
        <v>0</v>
      </c>
      <c r="AE112" s="761">
        <f t="shared" si="158"/>
        <v>0</v>
      </c>
      <c r="AF112" s="986"/>
      <c r="AG112" s="986"/>
      <c r="AH112" s="986"/>
      <c r="AI112" s="769"/>
      <c r="AJ112" s="745">
        <f t="shared" ref="AJ112:AJ119" si="159">SUM(F112:AI112)</f>
        <v>0</v>
      </c>
      <c r="AK112" s="976"/>
      <c r="AL112" s="976"/>
      <c r="AM112" s="976"/>
      <c r="AN112" s="976"/>
      <c r="AO112" s="976"/>
      <c r="AP112" s="976"/>
      <c r="AQ112" s="976"/>
      <c r="AR112" s="976"/>
      <c r="AS112" s="976"/>
      <c r="AT112" s="976"/>
      <c r="AU112" s="976"/>
      <c r="AV112" s="976"/>
    </row>
    <row r="113" spans="1:48" s="795" customFormat="1" ht="21.95" hidden="1" customHeight="1">
      <c r="A113" s="2572"/>
      <c r="B113" s="2633" t="s">
        <v>1801</v>
      </c>
      <c r="C113" s="970" t="s">
        <v>1539</v>
      </c>
      <c r="D113" s="978"/>
      <c r="E113" s="979"/>
      <c r="F113" s="752">
        <f>IF(AND(F30="B",F11&lt;2),"ERRO",IF(AND(F11&gt;2,F30="B"),F2,0))</f>
        <v>0</v>
      </c>
      <c r="G113" s="752">
        <f t="shared" ref="G113:W113" si="160">IF(AND(G30="B",G11&lt;2),"ERRO",IF(AND(G11&gt;2,G30="B"),G2,0))</f>
        <v>0</v>
      </c>
      <c r="H113" s="752">
        <f t="shared" si="160"/>
        <v>0</v>
      </c>
      <c r="I113" s="752">
        <f t="shared" si="160"/>
        <v>0</v>
      </c>
      <c r="J113" s="752">
        <f t="shared" si="160"/>
        <v>0</v>
      </c>
      <c r="K113" s="752">
        <f t="shared" si="160"/>
        <v>0</v>
      </c>
      <c r="L113" s="752">
        <f t="shared" si="160"/>
        <v>0</v>
      </c>
      <c r="M113" s="752">
        <f t="shared" si="160"/>
        <v>0</v>
      </c>
      <c r="N113" s="752">
        <f t="shared" si="160"/>
        <v>0</v>
      </c>
      <c r="O113" s="752">
        <f t="shared" si="160"/>
        <v>0</v>
      </c>
      <c r="P113" s="752">
        <f t="shared" si="160"/>
        <v>0</v>
      </c>
      <c r="Q113" s="752">
        <f t="shared" si="160"/>
        <v>0</v>
      </c>
      <c r="R113" s="752">
        <f t="shared" si="160"/>
        <v>0</v>
      </c>
      <c r="S113" s="752">
        <f>IF(AND(S30="B",S11&lt;2),"ERRO",IF(AND(S11&gt;2,S30="B"),S2,0))</f>
        <v>0</v>
      </c>
      <c r="T113" s="752">
        <f t="shared" si="160"/>
        <v>0</v>
      </c>
      <c r="U113" s="752">
        <f t="shared" si="160"/>
        <v>0</v>
      </c>
      <c r="V113" s="752">
        <f t="shared" si="160"/>
        <v>0</v>
      </c>
      <c r="W113" s="752">
        <f t="shared" si="160"/>
        <v>0</v>
      </c>
      <c r="X113" s="752">
        <f t="shared" ref="X113:AE113" si="161">IF(AND(X30="B",X11&lt;2.39999),"ERRO",IF(AND(X11&gt;2.3999,X30="B"),X2,0))</f>
        <v>0</v>
      </c>
      <c r="Y113" s="752">
        <f t="shared" si="161"/>
        <v>0</v>
      </c>
      <c r="Z113" s="752">
        <f t="shared" si="161"/>
        <v>0</v>
      </c>
      <c r="AA113" s="752">
        <f t="shared" si="161"/>
        <v>0</v>
      </c>
      <c r="AB113" s="752">
        <f t="shared" si="161"/>
        <v>0</v>
      </c>
      <c r="AC113" s="752">
        <f t="shared" si="161"/>
        <v>0</v>
      </c>
      <c r="AD113" s="752">
        <f t="shared" si="161"/>
        <v>0</v>
      </c>
      <c r="AE113" s="752">
        <f t="shared" si="161"/>
        <v>0</v>
      </c>
      <c r="AF113" s="926"/>
      <c r="AG113" s="926"/>
      <c r="AH113" s="926"/>
      <c r="AI113" s="744"/>
      <c r="AJ113" s="745">
        <f t="shared" si="159"/>
        <v>0</v>
      </c>
      <c r="AK113" s="976"/>
      <c r="AL113" s="976"/>
      <c r="AM113" s="976"/>
      <c r="AN113" s="976"/>
      <c r="AO113" s="976"/>
      <c r="AP113" s="976"/>
      <c r="AQ113" s="976"/>
      <c r="AR113" s="976"/>
      <c r="AS113" s="976"/>
      <c r="AT113" s="976"/>
      <c r="AU113" s="976"/>
      <c r="AV113" s="976"/>
    </row>
    <row r="114" spans="1:48" s="795" customFormat="1" ht="21.95" hidden="1" customHeight="1">
      <c r="A114" s="2572"/>
      <c r="B114" s="2634"/>
      <c r="C114" s="977" t="s">
        <v>1802</v>
      </c>
      <c r="D114" s="978"/>
      <c r="E114" s="979"/>
      <c r="F114" s="752">
        <f t="shared" ref="F114:R114" si="162">IF(F113=0,0,F11)</f>
        <v>0</v>
      </c>
      <c r="G114" s="752">
        <f t="shared" si="162"/>
        <v>0</v>
      </c>
      <c r="H114" s="752">
        <f t="shared" si="162"/>
        <v>0</v>
      </c>
      <c r="I114" s="752">
        <f t="shared" si="162"/>
        <v>0</v>
      </c>
      <c r="J114" s="752"/>
      <c r="K114" s="752"/>
      <c r="L114" s="752"/>
      <c r="M114" s="752"/>
      <c r="N114" s="980"/>
      <c r="O114" s="752">
        <f t="shared" si="162"/>
        <v>0</v>
      </c>
      <c r="P114" s="752">
        <f t="shared" si="162"/>
        <v>0</v>
      </c>
      <c r="Q114" s="752">
        <f t="shared" si="162"/>
        <v>0</v>
      </c>
      <c r="R114" s="752">
        <f t="shared" si="162"/>
        <v>0</v>
      </c>
      <c r="S114" s="752">
        <f>IF(S113=0,0,S11)</f>
        <v>0</v>
      </c>
      <c r="T114" s="752">
        <f>IF(T113=0,0,T11)</f>
        <v>0</v>
      </c>
      <c r="U114" s="752">
        <f t="shared" ref="U114:AE114" si="163">IF(U113=0,0,U11)</f>
        <v>0</v>
      </c>
      <c r="V114" s="752">
        <f>IF(V113=0,0,V11)</f>
        <v>0</v>
      </c>
      <c r="W114" s="752">
        <f t="shared" si="163"/>
        <v>0</v>
      </c>
      <c r="X114" s="752">
        <f t="shared" si="163"/>
        <v>0</v>
      </c>
      <c r="Y114" s="752">
        <f t="shared" si="163"/>
        <v>0</v>
      </c>
      <c r="Z114" s="752">
        <f t="shared" si="163"/>
        <v>0</v>
      </c>
      <c r="AA114" s="752">
        <f t="shared" si="163"/>
        <v>0</v>
      </c>
      <c r="AB114" s="752">
        <f t="shared" si="163"/>
        <v>0</v>
      </c>
      <c r="AC114" s="752">
        <f t="shared" si="163"/>
        <v>0</v>
      </c>
      <c r="AD114" s="752">
        <f t="shared" si="163"/>
        <v>0</v>
      </c>
      <c r="AE114" s="752">
        <f t="shared" si="163"/>
        <v>0</v>
      </c>
      <c r="AF114" s="926"/>
      <c r="AG114" s="926"/>
      <c r="AH114" s="926"/>
      <c r="AI114" s="981"/>
      <c r="AJ114" s="745">
        <f t="shared" si="159"/>
        <v>0</v>
      </c>
      <c r="AK114" s="976"/>
      <c r="AL114" s="976"/>
      <c r="AM114" s="976"/>
      <c r="AN114" s="976"/>
      <c r="AO114" s="976"/>
      <c r="AP114" s="976"/>
      <c r="AQ114" s="976"/>
      <c r="AR114" s="976"/>
      <c r="AS114" s="976"/>
      <c r="AT114" s="976"/>
      <c r="AU114" s="976"/>
      <c r="AV114" s="976"/>
    </row>
    <row r="115" spans="1:48" s="795" customFormat="1" ht="21.95" hidden="1" customHeight="1">
      <c r="A115" s="2572"/>
      <c r="B115" s="2634"/>
      <c r="C115" s="977" t="s">
        <v>1803</v>
      </c>
      <c r="D115" s="978"/>
      <c r="E115" s="979"/>
      <c r="F115" s="752">
        <f t="shared" ref="F115:R115" si="164">IF(F113=0,0,2.4)</f>
        <v>0</v>
      </c>
      <c r="G115" s="752">
        <f t="shared" si="164"/>
        <v>0</v>
      </c>
      <c r="H115" s="752">
        <f t="shared" si="164"/>
        <v>0</v>
      </c>
      <c r="I115" s="752">
        <f t="shared" si="164"/>
        <v>0</v>
      </c>
      <c r="J115" s="752"/>
      <c r="K115" s="752"/>
      <c r="L115" s="752"/>
      <c r="M115" s="752"/>
      <c r="N115" s="980"/>
      <c r="O115" s="752">
        <f t="shared" si="164"/>
        <v>0</v>
      </c>
      <c r="P115" s="752">
        <f t="shared" si="164"/>
        <v>0</v>
      </c>
      <c r="Q115" s="752">
        <f t="shared" si="164"/>
        <v>0</v>
      </c>
      <c r="R115" s="752">
        <f t="shared" si="164"/>
        <v>0</v>
      </c>
      <c r="S115" s="752">
        <f>IF(S113=0,0,2.4)</f>
        <v>0</v>
      </c>
      <c r="T115" s="752">
        <f>IF(T113=0,0,2.4)</f>
        <v>0</v>
      </c>
      <c r="U115" s="752">
        <f t="shared" ref="U115:AE115" si="165">IF(U113=0,0,2.4)</f>
        <v>0</v>
      </c>
      <c r="V115" s="752">
        <f>IF(V113=0,0,2.4)</f>
        <v>0</v>
      </c>
      <c r="W115" s="752">
        <f t="shared" si="165"/>
        <v>0</v>
      </c>
      <c r="X115" s="752">
        <f t="shared" si="165"/>
        <v>0</v>
      </c>
      <c r="Y115" s="752">
        <f t="shared" si="165"/>
        <v>0</v>
      </c>
      <c r="Z115" s="752">
        <f t="shared" si="165"/>
        <v>0</v>
      </c>
      <c r="AA115" s="752">
        <f t="shared" si="165"/>
        <v>0</v>
      </c>
      <c r="AB115" s="752">
        <f t="shared" si="165"/>
        <v>0</v>
      </c>
      <c r="AC115" s="752">
        <f t="shared" si="165"/>
        <v>0</v>
      </c>
      <c r="AD115" s="752">
        <f t="shared" si="165"/>
        <v>0</v>
      </c>
      <c r="AE115" s="752">
        <f t="shared" si="165"/>
        <v>0</v>
      </c>
      <c r="AF115" s="926"/>
      <c r="AG115" s="926"/>
      <c r="AH115" s="926"/>
      <c r="AI115" s="981"/>
      <c r="AJ115" s="745">
        <f t="shared" si="159"/>
        <v>0</v>
      </c>
      <c r="AK115" s="976"/>
      <c r="AL115" s="976"/>
      <c r="AM115" s="976"/>
      <c r="AN115" s="976"/>
      <c r="AO115" s="976"/>
      <c r="AP115" s="976"/>
      <c r="AQ115" s="976"/>
      <c r="AR115" s="976"/>
      <c r="AS115" s="976"/>
      <c r="AT115" s="976"/>
      <c r="AU115" s="976"/>
      <c r="AV115" s="976"/>
    </row>
    <row r="116" spans="1:48" s="795" customFormat="1" ht="21.95" hidden="1" customHeight="1">
      <c r="A116" s="2572"/>
      <c r="B116" s="2634"/>
      <c r="C116" s="1007" t="s">
        <v>1792</v>
      </c>
      <c r="D116" s="978"/>
      <c r="E116" s="979"/>
      <c r="F116" s="752">
        <f t="shared" ref="F116:R116" si="166">IF(F114&lt;=3,F113*F115*2,0)</f>
        <v>0</v>
      </c>
      <c r="G116" s="752">
        <f t="shared" si="166"/>
        <v>0</v>
      </c>
      <c r="H116" s="752">
        <f t="shared" si="166"/>
        <v>0</v>
      </c>
      <c r="I116" s="752">
        <f t="shared" si="166"/>
        <v>0</v>
      </c>
      <c r="J116" s="752"/>
      <c r="K116" s="752"/>
      <c r="L116" s="752"/>
      <c r="M116" s="752"/>
      <c r="N116" s="980"/>
      <c r="O116" s="752">
        <f t="shared" si="166"/>
        <v>0</v>
      </c>
      <c r="P116" s="752">
        <f t="shared" si="166"/>
        <v>0</v>
      </c>
      <c r="Q116" s="752">
        <f t="shared" si="166"/>
        <v>0</v>
      </c>
      <c r="R116" s="752">
        <f t="shared" si="166"/>
        <v>0</v>
      </c>
      <c r="S116" s="752">
        <f>IF(S114&lt;=3,S113*S115*2,0)</f>
        <v>0</v>
      </c>
      <c r="T116" s="752">
        <f>IF(T114&lt;=3,T113*T115*2,0)</f>
        <v>0</v>
      </c>
      <c r="U116" s="752">
        <f t="shared" ref="U116:AE116" si="167">IF(U114&lt;=3,U113*U115*2,0)</f>
        <v>0</v>
      </c>
      <c r="V116" s="752">
        <f>IF(V114&lt;=3,V113*V115*2,0)</f>
        <v>0</v>
      </c>
      <c r="W116" s="752">
        <f t="shared" si="167"/>
        <v>0</v>
      </c>
      <c r="X116" s="752">
        <f t="shared" si="167"/>
        <v>0</v>
      </c>
      <c r="Y116" s="752">
        <f t="shared" si="167"/>
        <v>0</v>
      </c>
      <c r="Z116" s="752">
        <f t="shared" si="167"/>
        <v>0</v>
      </c>
      <c r="AA116" s="752">
        <f t="shared" si="167"/>
        <v>0</v>
      </c>
      <c r="AB116" s="752">
        <f t="shared" si="167"/>
        <v>0</v>
      </c>
      <c r="AC116" s="752">
        <f t="shared" si="167"/>
        <v>0</v>
      </c>
      <c r="AD116" s="752">
        <f t="shared" si="167"/>
        <v>0</v>
      </c>
      <c r="AE116" s="752">
        <f t="shared" si="167"/>
        <v>0</v>
      </c>
      <c r="AF116" s="926"/>
      <c r="AG116" s="926"/>
      <c r="AH116" s="926"/>
      <c r="AI116" s="753"/>
      <c r="AJ116" s="745">
        <f t="shared" si="159"/>
        <v>0</v>
      </c>
      <c r="AK116" s="976"/>
      <c r="AL116" s="976"/>
      <c r="AM116" s="976"/>
      <c r="AN116" s="976"/>
      <c r="AO116" s="976"/>
      <c r="AP116" s="976"/>
      <c r="AQ116" s="976"/>
      <c r="AR116" s="976"/>
      <c r="AS116" s="976"/>
      <c r="AT116" s="976"/>
      <c r="AU116" s="976"/>
      <c r="AV116" s="976"/>
    </row>
    <row r="117" spans="1:48" s="795" customFormat="1" ht="21.95" hidden="1" customHeight="1" thickBot="1">
      <c r="A117" s="2572"/>
      <c r="B117" s="2635"/>
      <c r="C117" s="1007" t="s">
        <v>1800</v>
      </c>
      <c r="D117" s="978"/>
      <c r="E117" s="979"/>
      <c r="F117" s="752">
        <f t="shared" ref="F117:R117" si="168">IF(F114&gt;3,F113*F115*2,0)</f>
        <v>0</v>
      </c>
      <c r="G117" s="752">
        <f t="shared" si="168"/>
        <v>0</v>
      </c>
      <c r="H117" s="752">
        <f t="shared" si="168"/>
        <v>0</v>
      </c>
      <c r="I117" s="752">
        <f t="shared" si="168"/>
        <v>0</v>
      </c>
      <c r="J117" s="752"/>
      <c r="K117" s="752"/>
      <c r="L117" s="752"/>
      <c r="M117" s="752"/>
      <c r="N117" s="980"/>
      <c r="O117" s="752">
        <f t="shared" si="168"/>
        <v>0</v>
      </c>
      <c r="P117" s="752">
        <f t="shared" si="168"/>
        <v>0</v>
      </c>
      <c r="Q117" s="752">
        <f t="shared" si="168"/>
        <v>0</v>
      </c>
      <c r="R117" s="752">
        <f t="shared" si="168"/>
        <v>0</v>
      </c>
      <c r="S117" s="752">
        <f>IF(S114&gt;3,S113*S115*2,0)</f>
        <v>0</v>
      </c>
      <c r="T117" s="752">
        <f>IF(T114&gt;3,T113*T115*2,0)</f>
        <v>0</v>
      </c>
      <c r="U117" s="752">
        <f t="shared" ref="U117:AE117" si="169">IF(U114&gt;3,U113*U115*2,0)</f>
        <v>0</v>
      </c>
      <c r="V117" s="752">
        <f>IF(V114&gt;3,V113*V115*2,0)</f>
        <v>0</v>
      </c>
      <c r="W117" s="752">
        <f t="shared" si="169"/>
        <v>0</v>
      </c>
      <c r="X117" s="752">
        <f t="shared" si="169"/>
        <v>0</v>
      </c>
      <c r="Y117" s="752">
        <f t="shared" si="169"/>
        <v>0</v>
      </c>
      <c r="Z117" s="752">
        <f t="shared" si="169"/>
        <v>0</v>
      </c>
      <c r="AA117" s="752">
        <f t="shared" si="169"/>
        <v>0</v>
      </c>
      <c r="AB117" s="752">
        <f t="shared" si="169"/>
        <v>0</v>
      </c>
      <c r="AC117" s="752">
        <f t="shared" si="169"/>
        <v>0</v>
      </c>
      <c r="AD117" s="752">
        <f t="shared" si="169"/>
        <v>0</v>
      </c>
      <c r="AE117" s="752">
        <f t="shared" si="169"/>
        <v>0</v>
      </c>
      <c r="AF117" s="926"/>
      <c r="AG117" s="926"/>
      <c r="AH117" s="926"/>
      <c r="AI117" s="753"/>
      <c r="AJ117" s="745">
        <f t="shared" si="159"/>
        <v>0</v>
      </c>
      <c r="AK117" s="976"/>
      <c r="AL117" s="976"/>
      <c r="AM117" s="976"/>
      <c r="AN117" s="976"/>
      <c r="AO117" s="976"/>
      <c r="AP117" s="976"/>
      <c r="AQ117" s="976"/>
      <c r="AR117" s="976"/>
      <c r="AS117" s="976"/>
      <c r="AT117" s="976"/>
      <c r="AU117" s="976"/>
      <c r="AV117" s="976"/>
    </row>
    <row r="118" spans="1:48" s="795" customFormat="1" ht="21.95" customHeight="1" thickBot="1">
      <c r="A118" s="2572"/>
      <c r="B118" s="2651" t="s">
        <v>1804</v>
      </c>
      <c r="C118" s="1067" t="s">
        <v>1805</v>
      </c>
      <c r="D118" s="971"/>
      <c r="E118" s="972"/>
      <c r="F118" s="743">
        <f t="shared" ref="F118:R118" si="170">IF(F154+F160+F164+F170+F176&gt;0,0,IF(AND((F33+F34)&lt;=1.5),F2*(F33+F34),0))</f>
        <v>36</v>
      </c>
      <c r="G118" s="743">
        <f t="shared" si="170"/>
        <v>60</v>
      </c>
      <c r="H118" s="743">
        <f t="shared" si="170"/>
        <v>30</v>
      </c>
      <c r="I118" s="743">
        <f t="shared" si="170"/>
        <v>54</v>
      </c>
      <c r="J118" s="743"/>
      <c r="K118" s="743"/>
      <c r="L118" s="743"/>
      <c r="M118" s="743"/>
      <c r="N118" s="973"/>
      <c r="O118" s="743">
        <f t="shared" si="170"/>
        <v>48</v>
      </c>
      <c r="P118" s="743">
        <f t="shared" si="170"/>
        <v>30</v>
      </c>
      <c r="Q118" s="743">
        <f t="shared" si="170"/>
        <v>54</v>
      </c>
      <c r="R118" s="743">
        <f t="shared" si="170"/>
        <v>54</v>
      </c>
      <c r="S118" s="743">
        <f>IF(S154+S160+S164+S170+S176&gt;0,0,IF(AND((S33+S34)&lt;=1.5),S2*(S33+S34),0))</f>
        <v>0</v>
      </c>
      <c r="T118" s="743">
        <f>IF(T154+T160+T164+T170+T176&gt;0,0,IF(AND(T29=1,(T33+T34)&lt;=1.5),T2*(T33+T34),0))</f>
        <v>0</v>
      </c>
      <c r="U118" s="743">
        <f t="shared" ref="U118:AE118" si="171">IF(U154+U160+U164+U170+U176&gt;0,0,IF(AND(U29=1,(U33+U34)&lt;=1.5),U2*(U33+U34),0))</f>
        <v>0</v>
      </c>
      <c r="V118" s="743">
        <f>IF(V154+V160+V164+V170+V176&gt;0,0,IF(AND(V29=1,(V33+V34)&lt;=1.5),V2*(V33+V34),0))</f>
        <v>0</v>
      </c>
      <c r="W118" s="743">
        <f t="shared" si="171"/>
        <v>0</v>
      </c>
      <c r="X118" s="743">
        <f t="shared" si="171"/>
        <v>0</v>
      </c>
      <c r="Y118" s="743">
        <f t="shared" si="171"/>
        <v>0</v>
      </c>
      <c r="Z118" s="743">
        <f t="shared" si="171"/>
        <v>0</v>
      </c>
      <c r="AA118" s="743">
        <f t="shared" si="171"/>
        <v>0</v>
      </c>
      <c r="AB118" s="743">
        <f t="shared" si="171"/>
        <v>0</v>
      </c>
      <c r="AC118" s="743">
        <f t="shared" si="171"/>
        <v>0</v>
      </c>
      <c r="AD118" s="743">
        <f t="shared" si="171"/>
        <v>0</v>
      </c>
      <c r="AE118" s="743">
        <f t="shared" si="171"/>
        <v>0</v>
      </c>
      <c r="AF118" s="974"/>
      <c r="AG118" s="974"/>
      <c r="AH118" s="974"/>
      <c r="AI118" s="767"/>
      <c r="AJ118" s="745">
        <f t="shared" si="159"/>
        <v>366</v>
      </c>
      <c r="AK118" s="976"/>
      <c r="AL118" s="976"/>
      <c r="AM118" s="976"/>
      <c r="AN118" s="976"/>
      <c r="AO118" s="976"/>
      <c r="AP118" s="976"/>
      <c r="AQ118" s="976"/>
      <c r="AR118" s="976"/>
      <c r="AS118" s="976"/>
      <c r="AT118" s="976"/>
      <c r="AU118" s="976"/>
      <c r="AV118" s="976"/>
    </row>
    <row r="119" spans="1:48" s="795" customFormat="1" ht="21.95" hidden="1" customHeight="1" thickBot="1">
      <c r="A119" s="2572"/>
      <c r="B119" s="2635"/>
      <c r="C119" s="982" t="s">
        <v>1806</v>
      </c>
      <c r="D119" s="1068"/>
      <c r="E119" s="1069"/>
      <c r="F119" s="1070">
        <f t="shared" ref="F119:R119" si="172">IF(F154+F160+F164+F170+F176&gt;0,0,IF(AND(F29=1,(F33+F34)&gt;1.5),F2*(F33+F34),0))</f>
        <v>0</v>
      </c>
      <c r="G119" s="1070">
        <f t="shared" si="172"/>
        <v>0</v>
      </c>
      <c r="H119" s="1070">
        <f t="shared" si="172"/>
        <v>0</v>
      </c>
      <c r="I119" s="1070">
        <f t="shared" si="172"/>
        <v>0</v>
      </c>
      <c r="J119" s="1070"/>
      <c r="K119" s="1070"/>
      <c r="L119" s="1070"/>
      <c r="M119" s="1070"/>
      <c r="N119" s="1071"/>
      <c r="O119" s="1070">
        <f t="shared" si="172"/>
        <v>0</v>
      </c>
      <c r="P119" s="1070">
        <f t="shared" si="172"/>
        <v>0</v>
      </c>
      <c r="Q119" s="1070">
        <f t="shared" si="172"/>
        <v>0</v>
      </c>
      <c r="R119" s="1070">
        <f t="shared" si="172"/>
        <v>0</v>
      </c>
      <c r="S119" s="1070">
        <f>IF(S154+S160+S164+S170+S176&gt;0,0,IF(AND(S29=1,(S33+S34)&gt;1.5),S2*(S33+S34),0))</f>
        <v>0</v>
      </c>
      <c r="T119" s="1070">
        <f>IF(T154+T160+T164+T170+T176&gt;0,0,IF(AND(T29=1,(T33+T34)&gt;1.5),T2*(T33+T34),0))</f>
        <v>0</v>
      </c>
      <c r="U119" s="1070">
        <f t="shared" ref="U119:AE119" si="173">IF(U154+U160+U164+U170+U176&gt;0,0,IF(AND(U29=1,(U33+U34)&gt;1.5),U2*(U33+U34),0))</f>
        <v>0</v>
      </c>
      <c r="V119" s="1070">
        <f>IF(V154+V160+V164+V170+V176&gt;0,0,IF(AND(V29=1,(V33+V34)&gt;1.5),V2*(V33+V34),0))</f>
        <v>0</v>
      </c>
      <c r="W119" s="1070">
        <f t="shared" si="173"/>
        <v>0</v>
      </c>
      <c r="X119" s="1070">
        <f t="shared" si="173"/>
        <v>0</v>
      </c>
      <c r="Y119" s="1070">
        <f t="shared" si="173"/>
        <v>0</v>
      </c>
      <c r="Z119" s="1070">
        <f t="shared" si="173"/>
        <v>0</v>
      </c>
      <c r="AA119" s="1070">
        <f t="shared" si="173"/>
        <v>0</v>
      </c>
      <c r="AB119" s="1070">
        <f t="shared" si="173"/>
        <v>0</v>
      </c>
      <c r="AC119" s="1070">
        <f t="shared" si="173"/>
        <v>0</v>
      </c>
      <c r="AD119" s="1070">
        <f t="shared" si="173"/>
        <v>0</v>
      </c>
      <c r="AE119" s="1070">
        <f t="shared" si="173"/>
        <v>0</v>
      </c>
      <c r="AF119" s="1072"/>
      <c r="AG119" s="1072"/>
      <c r="AH119" s="1072"/>
      <c r="AI119" s="1073"/>
      <c r="AJ119" s="745">
        <f t="shared" si="159"/>
        <v>0</v>
      </c>
      <c r="AK119" s="976"/>
      <c r="AL119" s="976"/>
      <c r="AM119" s="976"/>
      <c r="AN119" s="976"/>
      <c r="AO119" s="976"/>
      <c r="AP119" s="976"/>
      <c r="AQ119" s="976"/>
      <c r="AR119" s="976"/>
      <c r="AS119" s="976"/>
      <c r="AT119" s="976"/>
      <c r="AU119" s="976"/>
      <c r="AV119" s="976"/>
    </row>
    <row r="120" spans="1:48" s="1004" customFormat="1" ht="21.95" hidden="1" customHeight="1">
      <c r="A120" s="2572"/>
      <c r="B120" s="2652" t="s">
        <v>1807</v>
      </c>
      <c r="C120" s="1016" t="s">
        <v>1808</v>
      </c>
      <c r="D120" s="1074"/>
      <c r="E120" s="1036"/>
      <c r="F120" s="1042">
        <f t="shared" ref="F120:R120" si="174">F46-F82-F40</f>
        <v>217.42231776284598</v>
      </c>
      <c r="G120" s="1042">
        <f t="shared" si="174"/>
        <v>363.78727960474197</v>
      </c>
      <c r="H120" s="1042">
        <f t="shared" si="174"/>
        <v>170.02126480237376</v>
      </c>
      <c r="I120" s="1042">
        <f t="shared" si="174"/>
        <v>325.49678289426225</v>
      </c>
      <c r="J120" s="1042"/>
      <c r="K120" s="1042"/>
      <c r="L120" s="1042"/>
      <c r="M120" s="1042"/>
      <c r="N120" s="1075"/>
      <c r="O120" s="1042">
        <f t="shared" si="174"/>
        <v>288.76502368380204</v>
      </c>
      <c r="P120" s="1042">
        <f t="shared" si="174"/>
        <v>180.4781398023803</v>
      </c>
      <c r="Q120" s="1042">
        <f t="shared" si="174"/>
        <v>325.49678289426953</v>
      </c>
      <c r="R120" s="1042">
        <f t="shared" si="174"/>
        <v>323.590076644264</v>
      </c>
      <c r="S120" s="1042">
        <f>S46-S82-S40</f>
        <v>0</v>
      </c>
      <c r="T120" s="1042">
        <f>T46-T82-T40</f>
        <v>0</v>
      </c>
      <c r="U120" s="1042">
        <f t="shared" ref="U120:AE120" si="175">U46-U82-U40</f>
        <v>0</v>
      </c>
      <c r="V120" s="1042">
        <f>V46-V82-V40</f>
        <v>0</v>
      </c>
      <c r="W120" s="1042">
        <f t="shared" si="175"/>
        <v>0</v>
      </c>
      <c r="X120" s="1042">
        <f t="shared" si="175"/>
        <v>0</v>
      </c>
      <c r="Y120" s="1042">
        <f t="shared" si="175"/>
        <v>0</v>
      </c>
      <c r="Z120" s="1042">
        <f t="shared" si="175"/>
        <v>0</v>
      </c>
      <c r="AA120" s="1042">
        <f t="shared" si="175"/>
        <v>0</v>
      </c>
      <c r="AB120" s="1042">
        <f t="shared" si="175"/>
        <v>0</v>
      </c>
      <c r="AC120" s="1042">
        <f t="shared" si="175"/>
        <v>0</v>
      </c>
      <c r="AD120" s="1042">
        <f t="shared" si="175"/>
        <v>0</v>
      </c>
      <c r="AE120" s="1042">
        <f t="shared" si="175"/>
        <v>0</v>
      </c>
      <c r="AF120" s="1076"/>
      <c r="AG120" s="1076"/>
      <c r="AH120" s="1076"/>
      <c r="AI120" s="1077"/>
      <c r="AJ120" s="1000"/>
      <c r="AK120" s="1028"/>
      <c r="AL120" s="1028"/>
      <c r="AM120" s="1028"/>
      <c r="AN120" s="1028"/>
      <c r="AO120" s="1028"/>
      <c r="AP120" s="1028"/>
      <c r="AQ120" s="1028"/>
      <c r="AR120" s="1028"/>
      <c r="AS120" s="1028"/>
      <c r="AT120" s="1028"/>
      <c r="AU120" s="1028"/>
      <c r="AV120" s="1028"/>
    </row>
    <row r="121" spans="1:48" s="1004" customFormat="1" ht="21.95" hidden="1" customHeight="1">
      <c r="A121" s="2572"/>
      <c r="B121" s="2653"/>
      <c r="C121" s="1078" t="s">
        <v>1752</v>
      </c>
      <c r="D121" s="978"/>
      <c r="E121" s="1024"/>
      <c r="F121" s="778" t="str">
        <f t="shared" ref="F121:R121" si="176">IF(TRUNC(SUM(F122:F153)/2,0)=TRUNC(F120,0),"OK","ERRO")</f>
        <v>OK</v>
      </c>
      <c r="G121" s="778" t="str">
        <f t="shared" si="176"/>
        <v>OK</v>
      </c>
      <c r="H121" s="778" t="str">
        <f t="shared" si="176"/>
        <v>OK</v>
      </c>
      <c r="I121" s="778" t="str">
        <f t="shared" si="176"/>
        <v>OK</v>
      </c>
      <c r="J121" s="778"/>
      <c r="K121" s="778"/>
      <c r="L121" s="778"/>
      <c r="M121" s="778"/>
      <c r="N121" s="1014"/>
      <c r="O121" s="778" t="str">
        <f t="shared" si="176"/>
        <v>OK</v>
      </c>
      <c r="P121" s="778" t="str">
        <f t="shared" si="176"/>
        <v>OK</v>
      </c>
      <c r="Q121" s="778" t="str">
        <f t="shared" si="176"/>
        <v>OK</v>
      </c>
      <c r="R121" s="778" t="str">
        <f t="shared" si="176"/>
        <v>OK</v>
      </c>
      <c r="S121" s="778" t="str">
        <f>IF(TRUNC(SUM(S122:S153)/2,0)=TRUNC(S120,0),"OK","ERRO")</f>
        <v>OK</v>
      </c>
      <c r="T121" s="778" t="str">
        <f>IF(TRUNC(SUM(T122:T153)/2,0)=TRUNC(T120,0),"OK","ERRO")</f>
        <v>OK</v>
      </c>
      <c r="U121" s="778" t="str">
        <f t="shared" ref="U121:AE121" si="177">IF(TRUNC(SUM(U122:U153)/2,0)=TRUNC(U120,0),"OK","ERRO")</f>
        <v>OK</v>
      </c>
      <c r="V121" s="778" t="str">
        <f>IF(TRUNC(SUM(V122:V153)/2,0)=TRUNC(V120,0),"OK","ERRO")</f>
        <v>OK</v>
      </c>
      <c r="W121" s="778" t="str">
        <f t="shared" si="177"/>
        <v>OK</v>
      </c>
      <c r="X121" s="778" t="str">
        <f t="shared" si="177"/>
        <v>OK</v>
      </c>
      <c r="Y121" s="778" t="str">
        <f t="shared" si="177"/>
        <v>OK</v>
      </c>
      <c r="Z121" s="778" t="str">
        <f t="shared" si="177"/>
        <v>OK</v>
      </c>
      <c r="AA121" s="778" t="str">
        <f t="shared" si="177"/>
        <v>OK</v>
      </c>
      <c r="AB121" s="778" t="str">
        <f t="shared" si="177"/>
        <v>OK</v>
      </c>
      <c r="AC121" s="778" t="str">
        <f t="shared" si="177"/>
        <v>OK</v>
      </c>
      <c r="AD121" s="778" t="str">
        <f t="shared" si="177"/>
        <v>OK</v>
      </c>
      <c r="AE121" s="778" t="str">
        <f t="shared" si="177"/>
        <v>OK</v>
      </c>
      <c r="AF121" s="1027"/>
      <c r="AG121" s="1027"/>
      <c r="AH121" s="1027"/>
      <c r="AI121" s="1015"/>
      <c r="AJ121" s="1000"/>
      <c r="AK121" s="1028"/>
      <c r="AL121" s="1028"/>
      <c r="AM121" s="1028"/>
      <c r="AN121" s="1028"/>
      <c r="AO121" s="1028"/>
      <c r="AP121" s="1028"/>
      <c r="AQ121" s="1028"/>
      <c r="AR121" s="1028"/>
      <c r="AS121" s="1028"/>
      <c r="AT121" s="1028"/>
      <c r="AU121" s="1028"/>
      <c r="AV121" s="1028"/>
    </row>
    <row r="122" spans="1:48" s="1004" customFormat="1" ht="32.1" hidden="1" customHeight="1">
      <c r="A122" s="2572"/>
      <c r="B122" s="2653"/>
      <c r="C122" s="1016" t="s">
        <v>1809</v>
      </c>
      <c r="D122" s="1079"/>
      <c r="E122" s="1080"/>
      <c r="F122" s="1081">
        <f>IF(Dren_Quantificacao!D18="SIM",(F33+F34+F35)/2*F17*F2-F82,0)</f>
        <v>0</v>
      </c>
      <c r="G122" s="1081">
        <f>IF(Dren_Quantificacao!E18="SIM",(G33+G34+G35)/2*G17*G2-G82,0)</f>
        <v>0</v>
      </c>
      <c r="H122" s="1081">
        <f>IF(Dren_Quantificacao!F18="SIM",(H33+H34+H35)/2*H17*H2-H82,0)</f>
        <v>0</v>
      </c>
      <c r="I122" s="1081">
        <f>IF(Dren_Quantificacao!G18="SIM",(I33+I34+I35)/2*I17*I2-I82,0)</f>
        <v>0</v>
      </c>
      <c r="J122" s="1081"/>
      <c r="K122" s="1081"/>
      <c r="L122" s="1081"/>
      <c r="M122" s="1081"/>
      <c r="N122" s="1082"/>
      <c r="O122" s="1081">
        <f>IF(Dren_Quantificacao!L18="SIM",(O33+O34+O35)/2*O17*O2-O82,0)</f>
        <v>0</v>
      </c>
      <c r="P122" s="1081">
        <f>IF(Dren_Quantificacao!M18="SIM",(P33+P34+P35)/2*P17*P2-P82,0)</f>
        <v>0</v>
      </c>
      <c r="Q122" s="1081">
        <f>IF(Dren_Quantificacao!N18="SIM",(Q33+Q34+Q35)/2*Q17*Q2-Q82,0)</f>
        <v>0</v>
      </c>
      <c r="R122" s="1081">
        <f>IF(Dren_Quantificacao!O18="SIM",(R33+R34+R35)/2*R17*R2-R82,0)</f>
        <v>0</v>
      </c>
      <c r="S122" s="1081">
        <f>IF(Dren_Quantificacao!BD18="SIM",(S33+S34+S35)/2*S17*S2-S82,0)</f>
        <v>0</v>
      </c>
      <c r="T122" s="1081">
        <f>IF(Dren_Quantificacao!BE18="SIM",(T33+T34+T35)/2*T17*T2-T82,0)</f>
        <v>0</v>
      </c>
      <c r="U122" s="1081">
        <f>IF(Dren_Quantificacao!BF18="SIM",(U33+U34+U35)/2*U17*U2-U82,0)</f>
        <v>0</v>
      </c>
      <c r="V122" s="1081">
        <f>IF(Dren_Quantificacao!BG18="SIM",(V33+V34+V35)/2*V17*V2-V82,0)</f>
        <v>0</v>
      </c>
      <c r="W122" s="1081">
        <f>IF(Dren_Quantificacao!BH18="SIM",(W33+W34+W35)/2*W17*W2-W82,0)</f>
        <v>0</v>
      </c>
      <c r="X122" s="1081">
        <f>IF(Dren_Quantificacao!BI18="SIM",(X33+X34+X35)/2*X17*X2-X82,0)</f>
        <v>0</v>
      </c>
      <c r="Y122" s="1081">
        <f>IF(Dren_Quantificacao!BJ18="SIM",(Y33+Y34+Y35)/2*Y17*Y2-Y82,0)</f>
        <v>0</v>
      </c>
      <c r="Z122" s="1081">
        <f>IF(Dren_Quantificacao!BK18="SIM",(Z33+Z34+Z35)/2*Z17*Z2-Z82,0)</f>
        <v>0</v>
      </c>
      <c r="AA122" s="1081">
        <f>IF(Dren_Quantificacao!BL18="SIM",(AA33+AA34+AA35)/2*AA17*AA2-AA82,0)</f>
        <v>0</v>
      </c>
      <c r="AB122" s="1081">
        <f>IF(Dren_Quantificacao!BM18="SIM",(AB33+AB34+AB35)/2*AB17*AB2-AB82,0)</f>
        <v>0</v>
      </c>
      <c r="AC122" s="1081">
        <f>IF(Dren_Quantificacao!BN18="SIM",(AC33+AC34+AC35)/2*AC17*AC2-AC82,0)</f>
        <v>0</v>
      </c>
      <c r="AD122" s="1081">
        <f>IF(Dren_Quantificacao!BO18="SIM",(AD33+AD34+AD35)/2*AD17*AD2-AD82,0)</f>
        <v>0</v>
      </c>
      <c r="AE122" s="1081">
        <f>IF(Dren_Quantificacao!BP18="SIM",(AE33+AE34+AE35)/2*AE17*AE2-AE82,0)</f>
        <v>0</v>
      </c>
      <c r="AF122" s="1083"/>
      <c r="AG122" s="1083"/>
      <c r="AH122" s="1083"/>
      <c r="AI122" s="1084"/>
      <c r="AJ122" s="1000"/>
      <c r="AK122" s="1028"/>
      <c r="AL122" s="1028"/>
      <c r="AM122" s="1028"/>
      <c r="AN122" s="1028"/>
      <c r="AO122" s="1028"/>
      <c r="AP122" s="1028"/>
      <c r="AQ122" s="1028"/>
      <c r="AR122" s="1028"/>
      <c r="AS122" s="1028"/>
      <c r="AT122" s="1028"/>
      <c r="AU122" s="1028"/>
      <c r="AV122" s="1028"/>
    </row>
    <row r="123" spans="1:48" s="1004" customFormat="1" ht="21.95" hidden="1" customHeight="1">
      <c r="A123" s="2572"/>
      <c r="B123" s="2653"/>
      <c r="C123" s="1016" t="s">
        <v>1810</v>
      </c>
      <c r="D123" s="1029"/>
      <c r="E123" s="1030"/>
      <c r="F123" s="1031">
        <f t="shared" ref="F123:R123" si="178">IF(F11&lt;=1.5,IF(F39&lt;=0.8,F120-F122,0),0)</f>
        <v>0</v>
      </c>
      <c r="G123" s="1031">
        <f t="shared" si="178"/>
        <v>0</v>
      </c>
      <c r="H123" s="1031">
        <f t="shared" si="178"/>
        <v>0</v>
      </c>
      <c r="I123" s="1031">
        <f t="shared" si="178"/>
        <v>0</v>
      </c>
      <c r="J123" s="1031"/>
      <c r="K123" s="1031"/>
      <c r="L123" s="1031"/>
      <c r="M123" s="1031"/>
      <c r="N123" s="1032"/>
      <c r="O123" s="1031">
        <f t="shared" si="178"/>
        <v>0</v>
      </c>
      <c r="P123" s="1031">
        <f t="shared" si="178"/>
        <v>0</v>
      </c>
      <c r="Q123" s="1031">
        <f t="shared" si="178"/>
        <v>0</v>
      </c>
      <c r="R123" s="1031">
        <f t="shared" si="178"/>
        <v>0</v>
      </c>
      <c r="S123" s="1031">
        <f>IF(S11&lt;=1.5,IF(S39&lt;=0.8,S120-S122,0),0)</f>
        <v>0</v>
      </c>
      <c r="T123" s="1031">
        <f>IF(T11&lt;=1.5,IF(T39&lt;=0.8,T120-T122,0),0)</f>
        <v>0</v>
      </c>
      <c r="U123" s="1031">
        <f t="shared" ref="U123:AE123" si="179">IF(U11&lt;=1.5,IF(U39&lt;=0.8,U120-U122,0),0)</f>
        <v>0</v>
      </c>
      <c r="V123" s="1031">
        <f>IF(V11&lt;=1.5,IF(V39&lt;=0.8,V120-V122,0),0)</f>
        <v>0</v>
      </c>
      <c r="W123" s="1031">
        <f t="shared" si="179"/>
        <v>0</v>
      </c>
      <c r="X123" s="1031">
        <f t="shared" si="179"/>
        <v>0</v>
      </c>
      <c r="Y123" s="1031">
        <f t="shared" si="179"/>
        <v>0</v>
      </c>
      <c r="Z123" s="1031">
        <f t="shared" si="179"/>
        <v>0</v>
      </c>
      <c r="AA123" s="1031">
        <f t="shared" si="179"/>
        <v>0</v>
      </c>
      <c r="AB123" s="1031">
        <f t="shared" si="179"/>
        <v>0</v>
      </c>
      <c r="AC123" s="1031">
        <f t="shared" si="179"/>
        <v>0</v>
      </c>
      <c r="AD123" s="1031">
        <f t="shared" si="179"/>
        <v>0</v>
      </c>
      <c r="AE123" s="1031">
        <f t="shared" si="179"/>
        <v>0</v>
      </c>
      <c r="AF123" s="1033"/>
      <c r="AG123" s="1033"/>
      <c r="AH123" s="1033"/>
      <c r="AI123" s="1034"/>
      <c r="AJ123" s="1000"/>
      <c r="AK123" s="1028"/>
      <c r="AL123" s="1028"/>
      <c r="AM123" s="1028"/>
      <c r="AN123" s="1028"/>
      <c r="AO123" s="1028"/>
      <c r="AP123" s="1028"/>
      <c r="AQ123" s="1028"/>
      <c r="AR123" s="1028"/>
      <c r="AS123" s="1028"/>
      <c r="AT123" s="1028"/>
      <c r="AU123" s="1028"/>
      <c r="AV123" s="1028"/>
    </row>
    <row r="124" spans="1:48" s="1004" customFormat="1" ht="21.95" hidden="1" customHeight="1">
      <c r="A124" s="2572"/>
      <c r="B124" s="2653"/>
      <c r="C124" s="1016" t="s">
        <v>1811</v>
      </c>
      <c r="D124" s="978"/>
      <c r="E124" s="1024"/>
      <c r="F124" s="778">
        <f t="shared" ref="F124:R124" si="180">IF(F11&lt;=1.5,IF(AND(F39&gt;0.8,F39&lt;=1.5),IF(F39&gt;0.8,F120-F122,0),0),0)</f>
        <v>0</v>
      </c>
      <c r="G124" s="778">
        <f t="shared" si="180"/>
        <v>0</v>
      </c>
      <c r="H124" s="778">
        <f t="shared" si="180"/>
        <v>0</v>
      </c>
      <c r="I124" s="778">
        <f t="shared" si="180"/>
        <v>0</v>
      </c>
      <c r="J124" s="778"/>
      <c r="K124" s="778"/>
      <c r="L124" s="778"/>
      <c r="M124" s="778"/>
      <c r="N124" s="1014"/>
      <c r="O124" s="778">
        <f t="shared" si="180"/>
        <v>0</v>
      </c>
      <c r="P124" s="778">
        <f t="shared" si="180"/>
        <v>0</v>
      </c>
      <c r="Q124" s="778">
        <f t="shared" si="180"/>
        <v>0</v>
      </c>
      <c r="R124" s="778">
        <f t="shared" si="180"/>
        <v>0</v>
      </c>
      <c r="S124" s="778">
        <f>IF(S11&lt;=1.5,IF(AND(S39&gt;0.8,S39&lt;=1.5),IF(S39&gt;0.8,S120-S122,0),0),0)</f>
        <v>0</v>
      </c>
      <c r="T124" s="778">
        <f>IF(T11&lt;=1.5,IF(AND(T39&gt;0.8,T39&lt;=1.5),IF(T39&gt;0.8,T120-T122,0),0),0)</f>
        <v>0</v>
      </c>
      <c r="U124" s="778">
        <f t="shared" ref="U124:AE124" si="181">IF(U11&lt;=1.5,IF(AND(U39&gt;0.8,U39&lt;=1.5),IF(U39&gt;0.8,U120-U122,0),0),0)</f>
        <v>0</v>
      </c>
      <c r="V124" s="778">
        <f>IF(V11&lt;=1.5,IF(AND(V39&gt;0.8,V39&lt;=1.5),IF(V39&gt;0.8,V120-V122,0),0),0)</f>
        <v>0</v>
      </c>
      <c r="W124" s="778">
        <f t="shared" si="181"/>
        <v>0</v>
      </c>
      <c r="X124" s="778">
        <f t="shared" si="181"/>
        <v>0</v>
      </c>
      <c r="Y124" s="778">
        <f t="shared" si="181"/>
        <v>0</v>
      </c>
      <c r="Z124" s="778">
        <f t="shared" si="181"/>
        <v>0</v>
      </c>
      <c r="AA124" s="778">
        <f t="shared" si="181"/>
        <v>0</v>
      </c>
      <c r="AB124" s="778">
        <f t="shared" si="181"/>
        <v>0</v>
      </c>
      <c r="AC124" s="778">
        <f t="shared" si="181"/>
        <v>0</v>
      </c>
      <c r="AD124" s="778">
        <f t="shared" si="181"/>
        <v>0</v>
      </c>
      <c r="AE124" s="778">
        <f t="shared" si="181"/>
        <v>0</v>
      </c>
      <c r="AF124" s="1027"/>
      <c r="AG124" s="1027"/>
      <c r="AH124" s="1027"/>
      <c r="AI124" s="1025"/>
      <c r="AJ124" s="1000"/>
      <c r="AK124" s="1028"/>
      <c r="AL124" s="1028"/>
      <c r="AM124" s="1028"/>
      <c r="AN124" s="1028"/>
      <c r="AO124" s="1028"/>
      <c r="AP124" s="1028"/>
      <c r="AQ124" s="1028"/>
      <c r="AR124" s="1028"/>
      <c r="AS124" s="1028"/>
      <c r="AT124" s="1028"/>
      <c r="AU124" s="1028"/>
      <c r="AV124" s="1028"/>
    </row>
    <row r="125" spans="1:48" s="1004" customFormat="1" ht="21.95" hidden="1" customHeight="1">
      <c r="A125" s="2572"/>
      <c r="B125" s="2653"/>
      <c r="C125" s="1016" t="s">
        <v>1812</v>
      </c>
      <c r="D125" s="1035"/>
      <c r="E125" s="1036"/>
      <c r="F125" s="783">
        <f t="shared" ref="F125:R125" si="182">IF(F11&lt;=1.5,IF(F39&gt;1.5,F120-F122,0),0)</f>
        <v>0</v>
      </c>
      <c r="G125" s="783">
        <f t="shared" si="182"/>
        <v>0</v>
      </c>
      <c r="H125" s="783">
        <f t="shared" si="182"/>
        <v>0</v>
      </c>
      <c r="I125" s="783">
        <f t="shared" si="182"/>
        <v>0</v>
      </c>
      <c r="J125" s="783"/>
      <c r="K125" s="783"/>
      <c r="L125" s="783"/>
      <c r="M125" s="783"/>
      <c r="N125" s="1037"/>
      <c r="O125" s="783">
        <f t="shared" si="182"/>
        <v>0</v>
      </c>
      <c r="P125" s="783">
        <f t="shared" si="182"/>
        <v>0</v>
      </c>
      <c r="Q125" s="783">
        <f t="shared" si="182"/>
        <v>0</v>
      </c>
      <c r="R125" s="783">
        <f t="shared" si="182"/>
        <v>0</v>
      </c>
      <c r="S125" s="783">
        <f>IF(S11&lt;=1.5,IF(S39&gt;1.5,S120-S122,0),0)</f>
        <v>0</v>
      </c>
      <c r="T125" s="783">
        <f>IF(T11&lt;=1.5,IF(T39&gt;1.5,T120-T122,0),0)</f>
        <v>0</v>
      </c>
      <c r="U125" s="783">
        <f t="shared" ref="U125:AE125" si="183">IF(U11&lt;=1.5,IF(U39&gt;1.5,U120-U122,0),0)</f>
        <v>0</v>
      </c>
      <c r="V125" s="783">
        <f>IF(V11&lt;=1.5,IF(V39&gt;1.5,V120-V122,0),0)</f>
        <v>0</v>
      </c>
      <c r="W125" s="783">
        <f t="shared" si="183"/>
        <v>0</v>
      </c>
      <c r="X125" s="783">
        <f t="shared" si="183"/>
        <v>0</v>
      </c>
      <c r="Y125" s="783">
        <f t="shared" si="183"/>
        <v>0</v>
      </c>
      <c r="Z125" s="783">
        <f t="shared" si="183"/>
        <v>0</v>
      </c>
      <c r="AA125" s="783">
        <f t="shared" si="183"/>
        <v>0</v>
      </c>
      <c r="AB125" s="783">
        <f t="shared" si="183"/>
        <v>0</v>
      </c>
      <c r="AC125" s="783">
        <f t="shared" si="183"/>
        <v>0</v>
      </c>
      <c r="AD125" s="783">
        <f t="shared" si="183"/>
        <v>0</v>
      </c>
      <c r="AE125" s="783">
        <f t="shared" si="183"/>
        <v>0</v>
      </c>
      <c r="AF125" s="1038"/>
      <c r="AG125" s="1038"/>
      <c r="AH125" s="1038"/>
      <c r="AI125" s="1039"/>
      <c r="AJ125" s="1000"/>
      <c r="AK125" s="1028"/>
      <c r="AL125" s="1028"/>
      <c r="AM125" s="1028"/>
      <c r="AN125" s="1028"/>
      <c r="AO125" s="1028"/>
      <c r="AP125" s="1028"/>
      <c r="AQ125" s="1028"/>
      <c r="AR125" s="1028"/>
      <c r="AS125" s="1028"/>
      <c r="AT125" s="1028"/>
      <c r="AU125" s="1028"/>
      <c r="AV125" s="1028"/>
    </row>
    <row r="126" spans="1:48" s="1004" customFormat="1" ht="21.95" hidden="1" customHeight="1">
      <c r="A126" s="2572"/>
      <c r="B126" s="2653"/>
      <c r="C126" s="1016" t="s">
        <v>1813</v>
      </c>
      <c r="D126" s="1029"/>
      <c r="E126" s="1030"/>
      <c r="F126" s="1031">
        <f t="shared" ref="F126:R126" si="184">IF(SUM(F123:F125)&gt;0,0,IF(F11&lt;3,IF(F39&lt;=0.8,F120-F122,0),0))</f>
        <v>0</v>
      </c>
      <c r="G126" s="1031">
        <f t="shared" si="184"/>
        <v>0</v>
      </c>
      <c r="H126" s="1031">
        <f t="shared" si="184"/>
        <v>0</v>
      </c>
      <c r="I126" s="1031">
        <f t="shared" si="184"/>
        <v>0</v>
      </c>
      <c r="J126" s="1031"/>
      <c r="K126" s="1031"/>
      <c r="L126" s="1031"/>
      <c r="M126" s="1031"/>
      <c r="N126" s="1032"/>
      <c r="O126" s="1031">
        <f t="shared" si="184"/>
        <v>0</v>
      </c>
      <c r="P126" s="1031">
        <f t="shared" si="184"/>
        <v>0</v>
      </c>
      <c r="Q126" s="1031">
        <f t="shared" si="184"/>
        <v>0</v>
      </c>
      <c r="R126" s="1031">
        <f t="shared" si="184"/>
        <v>0</v>
      </c>
      <c r="S126" s="1031">
        <f>IF(SUM(S123:S125)&gt;0,0,IF(S11&lt;3,IF(S39&lt;=0.8,S120-S122,0),0))</f>
        <v>0</v>
      </c>
      <c r="T126" s="1031">
        <f>IF(SUM(T123:T125)&gt;0,0,IF(T11&lt;3,IF(T39&lt;=0.8,T120-T122,0),0))</f>
        <v>0</v>
      </c>
      <c r="U126" s="1031">
        <f t="shared" ref="U126:AE126" si="185">IF(SUM(U123:U125)&gt;0,0,IF(U11&lt;3,IF(U39&lt;=0.8,U120-U122,0),0))</f>
        <v>0</v>
      </c>
      <c r="V126" s="1031">
        <f>IF(SUM(V123:V125)&gt;0,0,IF(V11&lt;3,IF(V39&lt;=0.8,V120-V122,0),0))</f>
        <v>0</v>
      </c>
      <c r="W126" s="1031">
        <f t="shared" si="185"/>
        <v>0</v>
      </c>
      <c r="X126" s="1031">
        <f t="shared" si="185"/>
        <v>0</v>
      </c>
      <c r="Y126" s="1031">
        <f t="shared" si="185"/>
        <v>0</v>
      </c>
      <c r="Z126" s="1031">
        <f t="shared" si="185"/>
        <v>0</v>
      </c>
      <c r="AA126" s="1031">
        <f t="shared" si="185"/>
        <v>0</v>
      </c>
      <c r="AB126" s="1031">
        <f t="shared" si="185"/>
        <v>0</v>
      </c>
      <c r="AC126" s="1031">
        <f t="shared" si="185"/>
        <v>0</v>
      </c>
      <c r="AD126" s="1031">
        <f t="shared" si="185"/>
        <v>0</v>
      </c>
      <c r="AE126" s="1031">
        <f t="shared" si="185"/>
        <v>0</v>
      </c>
      <c r="AF126" s="1033"/>
      <c r="AG126" s="1033"/>
      <c r="AH126" s="1033"/>
      <c r="AI126" s="1034"/>
      <c r="AJ126" s="1000"/>
      <c r="AK126" s="1028"/>
      <c r="AL126" s="1028"/>
      <c r="AM126" s="1028"/>
      <c r="AN126" s="1028"/>
      <c r="AO126" s="1028"/>
      <c r="AP126" s="1028"/>
      <c r="AQ126" s="1028"/>
      <c r="AR126" s="1028"/>
      <c r="AS126" s="1028"/>
      <c r="AT126" s="1028"/>
      <c r="AU126" s="1028"/>
      <c r="AV126" s="1028"/>
    </row>
    <row r="127" spans="1:48" s="1004" customFormat="1" ht="21.95" hidden="1" customHeight="1">
      <c r="A127" s="2572"/>
      <c r="B127" s="2653"/>
      <c r="C127" s="1016" t="s">
        <v>1814</v>
      </c>
      <c r="D127" s="978"/>
      <c r="E127" s="1024"/>
      <c r="F127" s="778">
        <f t="shared" ref="F127:R127" si="186">IF(SUM(F123:F126)&gt;0,0,IF(F11&lt;3,IF(AND(F39&gt;0.8,F39&lt;=1.5),F120-F122,0),0))</f>
        <v>0</v>
      </c>
      <c r="G127" s="778">
        <f t="shared" si="186"/>
        <v>0</v>
      </c>
      <c r="H127" s="778">
        <f t="shared" si="186"/>
        <v>0</v>
      </c>
      <c r="I127" s="778">
        <f t="shared" si="186"/>
        <v>0</v>
      </c>
      <c r="J127" s="778"/>
      <c r="K127" s="778"/>
      <c r="L127" s="778"/>
      <c r="M127" s="778"/>
      <c r="N127" s="1014"/>
      <c r="O127" s="778">
        <f t="shared" si="186"/>
        <v>0</v>
      </c>
      <c r="P127" s="778">
        <f t="shared" si="186"/>
        <v>0</v>
      </c>
      <c r="Q127" s="778">
        <f t="shared" si="186"/>
        <v>0</v>
      </c>
      <c r="R127" s="778">
        <f t="shared" si="186"/>
        <v>0</v>
      </c>
      <c r="S127" s="778">
        <f>IF(SUM(S123:S126)&gt;0,0,IF(S11&lt;3,IF(AND(S39&gt;0.8,S39&lt;=1.5),S120-S122,0),0))</f>
        <v>0</v>
      </c>
      <c r="T127" s="778">
        <f>IF(SUM(T123:T126)&gt;0,0,IF(T11&lt;3,IF(AND(T39&gt;0.8,T39&lt;=1.5),T120-T122,0),0))</f>
        <v>0</v>
      </c>
      <c r="U127" s="778">
        <f t="shared" ref="U127:AE127" si="187">IF(SUM(U123:U126)&gt;0,0,IF(U11&lt;3,IF(AND(U39&gt;0.8,U39&lt;=1.5),U120-U122,0),0))</f>
        <v>0</v>
      </c>
      <c r="V127" s="778">
        <f>IF(SUM(V123:V126)&gt;0,0,IF(V11&lt;3,IF(AND(V39&gt;0.8,V39&lt;=1.5),V120-V122,0),0))</f>
        <v>0</v>
      </c>
      <c r="W127" s="778">
        <f t="shared" si="187"/>
        <v>0</v>
      </c>
      <c r="X127" s="778">
        <f t="shared" si="187"/>
        <v>0</v>
      </c>
      <c r="Y127" s="778">
        <f t="shared" si="187"/>
        <v>0</v>
      </c>
      <c r="Z127" s="778">
        <f t="shared" si="187"/>
        <v>0</v>
      </c>
      <c r="AA127" s="778">
        <f t="shared" si="187"/>
        <v>0</v>
      </c>
      <c r="AB127" s="778">
        <f t="shared" si="187"/>
        <v>0</v>
      </c>
      <c r="AC127" s="778">
        <f t="shared" si="187"/>
        <v>0</v>
      </c>
      <c r="AD127" s="778">
        <f t="shared" si="187"/>
        <v>0</v>
      </c>
      <c r="AE127" s="778">
        <f t="shared" si="187"/>
        <v>0</v>
      </c>
      <c r="AF127" s="1027"/>
      <c r="AG127" s="1027"/>
      <c r="AH127" s="1027"/>
      <c r="AI127" s="1025"/>
      <c r="AJ127" s="1000"/>
      <c r="AK127" s="1028"/>
      <c r="AL127" s="1028"/>
      <c r="AM127" s="1028"/>
      <c r="AN127" s="1028"/>
      <c r="AO127" s="1028"/>
      <c r="AP127" s="1028"/>
      <c r="AQ127" s="1028"/>
      <c r="AR127" s="1028"/>
      <c r="AS127" s="1028"/>
      <c r="AT127" s="1028"/>
      <c r="AU127" s="1028"/>
      <c r="AV127" s="1028"/>
    </row>
    <row r="128" spans="1:48" s="1004" customFormat="1" ht="21.95" hidden="1" customHeight="1">
      <c r="A128" s="2572"/>
      <c r="B128" s="2653"/>
      <c r="C128" s="1016" t="s">
        <v>1815</v>
      </c>
      <c r="D128" s="1035"/>
      <c r="E128" s="1036"/>
      <c r="F128" s="783">
        <f t="shared" ref="F128:R128" si="188">IF(SUM(F123:F127)&gt;0,0,IF(F11&lt;=3,IF(F39&gt;1.5,F120-F122,0),0))</f>
        <v>217.42231776284598</v>
      </c>
      <c r="G128" s="783">
        <f t="shared" si="188"/>
        <v>363.78727960474197</v>
      </c>
      <c r="H128" s="783">
        <f t="shared" si="188"/>
        <v>170.02126480237376</v>
      </c>
      <c r="I128" s="783">
        <f t="shared" si="188"/>
        <v>325.49678289426225</v>
      </c>
      <c r="J128" s="783"/>
      <c r="K128" s="783"/>
      <c r="L128" s="783"/>
      <c r="M128" s="783"/>
      <c r="N128" s="1037"/>
      <c r="O128" s="783">
        <f t="shared" si="188"/>
        <v>288.76502368380204</v>
      </c>
      <c r="P128" s="783">
        <f t="shared" si="188"/>
        <v>180.4781398023803</v>
      </c>
      <c r="Q128" s="783">
        <f t="shared" si="188"/>
        <v>325.49678289426953</v>
      </c>
      <c r="R128" s="783">
        <f t="shared" si="188"/>
        <v>323.590076644264</v>
      </c>
      <c r="S128" s="783">
        <f>IF(SUM(S123:S127)&gt;0,0,IF(S11&lt;=3,IF(S39&gt;1.5,S120-S122,0),0))</f>
        <v>0</v>
      </c>
      <c r="T128" s="783">
        <f>IF(SUM(T123:T127)&gt;0,0,IF(T11&lt;=3,IF(T39&gt;1.5,T120-T122,0),0))</f>
        <v>0</v>
      </c>
      <c r="U128" s="783">
        <f t="shared" ref="U128:AE128" si="189">IF(SUM(U123:U127)&gt;0,0,IF(U11&lt;=3,IF(U39&gt;1.5,U120-U122,0),0))</f>
        <v>0</v>
      </c>
      <c r="V128" s="783">
        <f>IF(SUM(V123:V127)&gt;0,0,IF(V11&lt;=3,IF(V39&gt;1.5,V120-V122,0),0))</f>
        <v>0</v>
      </c>
      <c r="W128" s="783">
        <f t="shared" si="189"/>
        <v>0</v>
      </c>
      <c r="X128" s="783">
        <f t="shared" si="189"/>
        <v>0</v>
      </c>
      <c r="Y128" s="783">
        <f t="shared" si="189"/>
        <v>0</v>
      </c>
      <c r="Z128" s="783">
        <f t="shared" si="189"/>
        <v>0</v>
      </c>
      <c r="AA128" s="783">
        <f t="shared" si="189"/>
        <v>0</v>
      </c>
      <c r="AB128" s="783">
        <f t="shared" si="189"/>
        <v>0</v>
      </c>
      <c r="AC128" s="783">
        <f t="shared" si="189"/>
        <v>0</v>
      </c>
      <c r="AD128" s="783">
        <f t="shared" si="189"/>
        <v>0</v>
      </c>
      <c r="AE128" s="783">
        <f t="shared" si="189"/>
        <v>0</v>
      </c>
      <c r="AF128" s="1038"/>
      <c r="AG128" s="1038"/>
      <c r="AH128" s="1038"/>
      <c r="AI128" s="1039"/>
      <c r="AJ128" s="1000"/>
      <c r="AK128" s="1028"/>
      <c r="AL128" s="1028"/>
      <c r="AM128" s="1028"/>
      <c r="AN128" s="1028"/>
      <c r="AO128" s="1028"/>
      <c r="AP128" s="1028"/>
      <c r="AQ128" s="1028"/>
      <c r="AR128" s="1028"/>
      <c r="AS128" s="1028"/>
      <c r="AT128" s="1028"/>
      <c r="AU128" s="1028"/>
      <c r="AV128" s="1028"/>
    </row>
    <row r="129" spans="1:48" s="1004" customFormat="1" ht="21.95" hidden="1" customHeight="1">
      <c r="A129" s="2572"/>
      <c r="B129" s="2653"/>
      <c r="C129" s="1016" t="s">
        <v>1816</v>
      </c>
      <c r="D129" s="1029"/>
      <c r="E129" s="1030"/>
      <c r="F129" s="1031">
        <f t="shared" ref="F129:R129" si="190">IF(SUM(F123:F128)&gt;0,0,IF(AND(F11&gt;3,F11&lt;=4.5),IF(F39&lt;=1.5,F120-F122,0),0))</f>
        <v>0</v>
      </c>
      <c r="G129" s="1031">
        <f t="shared" si="190"/>
        <v>0</v>
      </c>
      <c r="H129" s="1031">
        <f t="shared" si="190"/>
        <v>0</v>
      </c>
      <c r="I129" s="1031">
        <f t="shared" si="190"/>
        <v>0</v>
      </c>
      <c r="J129" s="1031"/>
      <c r="K129" s="1031"/>
      <c r="L129" s="1031"/>
      <c r="M129" s="1031"/>
      <c r="N129" s="1032"/>
      <c r="O129" s="1031">
        <f t="shared" si="190"/>
        <v>0</v>
      </c>
      <c r="P129" s="1031">
        <f t="shared" si="190"/>
        <v>0</v>
      </c>
      <c r="Q129" s="1031">
        <f t="shared" si="190"/>
        <v>0</v>
      </c>
      <c r="R129" s="1031">
        <f t="shared" si="190"/>
        <v>0</v>
      </c>
      <c r="S129" s="1031">
        <f>IF(SUM(S123:S128)&gt;0,0,IF(AND(S11&gt;3,S11&lt;=4.5),IF(S39&lt;=1.5,S120-S122,0),0))</f>
        <v>0</v>
      </c>
      <c r="T129" s="1031">
        <f>IF(SUM(T123:T128)&gt;0,0,IF(AND(T11&gt;3,T11&lt;=4.5),IF(T39&lt;=1.5,T120-T122,0),0))</f>
        <v>0</v>
      </c>
      <c r="U129" s="1031">
        <f t="shared" ref="U129:AE129" si="191">IF(SUM(U123:U128)&gt;0,0,IF(AND(U11&gt;3,U11&lt;=4.5),IF(U39&lt;=1.5,U120-U122,0),0))</f>
        <v>0</v>
      </c>
      <c r="V129" s="1031">
        <f>IF(SUM(V123:V128)&gt;0,0,IF(AND(V11&gt;3,V11&lt;=4.5),IF(V39&lt;=1.5,V120-V122,0),0))</f>
        <v>0</v>
      </c>
      <c r="W129" s="1031">
        <f t="shared" si="191"/>
        <v>0</v>
      </c>
      <c r="X129" s="1031">
        <f t="shared" si="191"/>
        <v>0</v>
      </c>
      <c r="Y129" s="1031">
        <f t="shared" si="191"/>
        <v>0</v>
      </c>
      <c r="Z129" s="1031">
        <f t="shared" si="191"/>
        <v>0</v>
      </c>
      <c r="AA129" s="1031">
        <f t="shared" si="191"/>
        <v>0</v>
      </c>
      <c r="AB129" s="1031">
        <f t="shared" si="191"/>
        <v>0</v>
      </c>
      <c r="AC129" s="1031">
        <f t="shared" si="191"/>
        <v>0</v>
      </c>
      <c r="AD129" s="1031">
        <f t="shared" si="191"/>
        <v>0</v>
      </c>
      <c r="AE129" s="1031">
        <f t="shared" si="191"/>
        <v>0</v>
      </c>
      <c r="AF129" s="1033"/>
      <c r="AG129" s="1033"/>
      <c r="AH129" s="1033"/>
      <c r="AI129" s="1034"/>
      <c r="AJ129" s="1000"/>
      <c r="AK129" s="1028"/>
      <c r="AL129" s="1028"/>
      <c r="AM129" s="1028"/>
      <c r="AN129" s="1028"/>
      <c r="AO129" s="1028"/>
      <c r="AP129" s="1028"/>
      <c r="AQ129" s="1028"/>
      <c r="AR129" s="1028"/>
      <c r="AS129" s="1028"/>
      <c r="AT129" s="1028"/>
      <c r="AU129" s="1028"/>
      <c r="AV129" s="1028"/>
    </row>
    <row r="130" spans="1:48" s="1004" customFormat="1" ht="21.95" hidden="1" customHeight="1">
      <c r="A130" s="2572"/>
      <c r="B130" s="2653"/>
      <c r="C130" s="1016" t="s">
        <v>1817</v>
      </c>
      <c r="D130" s="1035"/>
      <c r="E130" s="1036"/>
      <c r="F130" s="783">
        <f t="shared" ref="F130:R130" si="192">IF(SUM(F123:F129)&gt;0,0,IF(AND(F11&gt;3,F11&lt;=4.5),IF(F39&gt;1.5,F120-F122,0),0))</f>
        <v>0</v>
      </c>
      <c r="G130" s="783">
        <f t="shared" si="192"/>
        <v>0</v>
      </c>
      <c r="H130" s="783">
        <f t="shared" si="192"/>
        <v>0</v>
      </c>
      <c r="I130" s="783">
        <f t="shared" si="192"/>
        <v>0</v>
      </c>
      <c r="J130" s="783"/>
      <c r="K130" s="783"/>
      <c r="L130" s="783"/>
      <c r="M130" s="783"/>
      <c r="N130" s="1037"/>
      <c r="O130" s="783">
        <f t="shared" si="192"/>
        <v>0</v>
      </c>
      <c r="P130" s="783">
        <f t="shared" si="192"/>
        <v>0</v>
      </c>
      <c r="Q130" s="783">
        <f t="shared" si="192"/>
        <v>0</v>
      </c>
      <c r="R130" s="783">
        <f t="shared" si="192"/>
        <v>0</v>
      </c>
      <c r="S130" s="783">
        <f>IF(SUM(S123:S129)&gt;0,0,IF(AND(S11&gt;3,S11&lt;=4.5),IF(S39&gt;1.5,S120-S122,0),0))</f>
        <v>0</v>
      </c>
      <c r="T130" s="783">
        <f>IF(SUM(T123:T129)&gt;0,0,IF(AND(T11&gt;3,T11&lt;=4.5),IF(T39&gt;1.5,T120-T122,0),0))</f>
        <v>0</v>
      </c>
      <c r="U130" s="783">
        <f t="shared" ref="U130:AE130" si="193">IF(SUM(U123:U129)&gt;0,0,IF(AND(U11&gt;3,U11&lt;=4.5),IF(U39&gt;1.5,U120-U122,0),0))</f>
        <v>0</v>
      </c>
      <c r="V130" s="783">
        <f>IF(SUM(V123:V129)&gt;0,0,IF(AND(V11&gt;3,V11&lt;=4.5),IF(V39&gt;1.5,V120-V122,0),0))</f>
        <v>0</v>
      </c>
      <c r="W130" s="783">
        <f t="shared" si="193"/>
        <v>0</v>
      </c>
      <c r="X130" s="783">
        <f t="shared" si="193"/>
        <v>0</v>
      </c>
      <c r="Y130" s="783">
        <f t="shared" si="193"/>
        <v>0</v>
      </c>
      <c r="Z130" s="783">
        <f t="shared" si="193"/>
        <v>0</v>
      </c>
      <c r="AA130" s="783">
        <f t="shared" si="193"/>
        <v>0</v>
      </c>
      <c r="AB130" s="783">
        <f t="shared" si="193"/>
        <v>0</v>
      </c>
      <c r="AC130" s="783">
        <f t="shared" si="193"/>
        <v>0</v>
      </c>
      <c r="AD130" s="783">
        <f t="shared" si="193"/>
        <v>0</v>
      </c>
      <c r="AE130" s="783">
        <f t="shared" si="193"/>
        <v>0</v>
      </c>
      <c r="AF130" s="1038"/>
      <c r="AG130" s="1038"/>
      <c r="AH130" s="1038"/>
      <c r="AI130" s="1039"/>
      <c r="AJ130" s="1000"/>
      <c r="AK130" s="1028"/>
      <c r="AL130" s="1028"/>
      <c r="AM130" s="1028"/>
      <c r="AN130" s="1028"/>
      <c r="AO130" s="1028"/>
      <c r="AP130" s="1028"/>
      <c r="AQ130" s="1028"/>
      <c r="AR130" s="1028"/>
      <c r="AS130" s="1028"/>
      <c r="AT130" s="1028"/>
      <c r="AU130" s="1028"/>
      <c r="AV130" s="1028"/>
    </row>
    <row r="131" spans="1:48" s="1004" customFormat="1" ht="21.95" hidden="1" customHeight="1">
      <c r="A131" s="2572"/>
      <c r="B131" s="2653"/>
      <c r="C131" s="1016" t="s">
        <v>1818</v>
      </c>
      <c r="D131" s="1029"/>
      <c r="E131" s="1030"/>
      <c r="F131" s="1031">
        <f t="shared" ref="F131:R131" si="194">IF(SUM(F123:F130)&gt;0,0,IF(F11&gt;3,IF(F39&lt;=1.5,F120-F122,0),0))</f>
        <v>0</v>
      </c>
      <c r="G131" s="1031">
        <f t="shared" si="194"/>
        <v>0</v>
      </c>
      <c r="H131" s="1031">
        <f t="shared" si="194"/>
        <v>0</v>
      </c>
      <c r="I131" s="1031">
        <f t="shared" si="194"/>
        <v>0</v>
      </c>
      <c r="J131" s="1031"/>
      <c r="K131" s="1031"/>
      <c r="L131" s="1031"/>
      <c r="M131" s="1031"/>
      <c r="N131" s="1032"/>
      <c r="O131" s="1031">
        <f t="shared" si="194"/>
        <v>0</v>
      </c>
      <c r="P131" s="1031">
        <f t="shared" si="194"/>
        <v>0</v>
      </c>
      <c r="Q131" s="1031">
        <f t="shared" si="194"/>
        <v>0</v>
      </c>
      <c r="R131" s="1031">
        <f t="shared" si="194"/>
        <v>0</v>
      </c>
      <c r="S131" s="1031">
        <f>IF(SUM(S123:S130)&gt;0,0,IF(S11&gt;3,IF(S39&lt;=1.5,S120-S122,0),0))</f>
        <v>0</v>
      </c>
      <c r="T131" s="1031">
        <f>IF(SUM(T123:T130)&gt;0,0,IF(T11&gt;3,IF(T39&lt;=1.5,T120-T122,0),0))</f>
        <v>0</v>
      </c>
      <c r="U131" s="1031">
        <f t="shared" ref="U131:AE131" si="195">IF(SUM(U123:U130)&gt;0,0,IF(U11&gt;3,IF(U39&lt;=1.5,U120-U122,0),0))</f>
        <v>0</v>
      </c>
      <c r="V131" s="1031">
        <f>IF(SUM(V123:V130)&gt;0,0,IF(V11&gt;3,IF(V39&lt;=1.5,V120-V122,0),0))</f>
        <v>0</v>
      </c>
      <c r="W131" s="1031">
        <f t="shared" si="195"/>
        <v>0</v>
      </c>
      <c r="X131" s="1031">
        <f t="shared" si="195"/>
        <v>0</v>
      </c>
      <c r="Y131" s="1031">
        <f t="shared" si="195"/>
        <v>0</v>
      </c>
      <c r="Z131" s="1031">
        <f t="shared" si="195"/>
        <v>0</v>
      </c>
      <c r="AA131" s="1031">
        <f t="shared" si="195"/>
        <v>0</v>
      </c>
      <c r="AB131" s="1031">
        <f t="shared" si="195"/>
        <v>0</v>
      </c>
      <c r="AC131" s="1031">
        <f t="shared" si="195"/>
        <v>0</v>
      </c>
      <c r="AD131" s="1031">
        <f t="shared" si="195"/>
        <v>0</v>
      </c>
      <c r="AE131" s="1031">
        <f t="shared" si="195"/>
        <v>0</v>
      </c>
      <c r="AF131" s="1033"/>
      <c r="AG131" s="1033"/>
      <c r="AH131" s="1033"/>
      <c r="AI131" s="1034"/>
      <c r="AJ131" s="1000"/>
      <c r="AK131" s="1028"/>
      <c r="AL131" s="1028"/>
      <c r="AM131" s="1028"/>
      <c r="AN131" s="1028"/>
      <c r="AO131" s="1028"/>
      <c r="AP131" s="1028"/>
      <c r="AQ131" s="1028"/>
      <c r="AR131" s="1028"/>
      <c r="AS131" s="1028"/>
      <c r="AT131" s="1028"/>
      <c r="AU131" s="1028"/>
      <c r="AV131" s="1028"/>
    </row>
    <row r="132" spans="1:48" s="1004" customFormat="1" ht="21.95" hidden="1" customHeight="1" thickBot="1">
      <c r="A132" s="2572"/>
      <c r="B132" s="2654"/>
      <c r="C132" s="1085" t="s">
        <v>1819</v>
      </c>
      <c r="D132" s="983"/>
      <c r="E132" s="1018"/>
      <c r="F132" s="1019">
        <f t="shared" ref="F132:R132" si="196">IF(SUM(F123:F131)&gt;0,0,IF(F11&gt;4.5,IF(F39&gt;1.5,F120-F122,0),0))</f>
        <v>0</v>
      </c>
      <c r="G132" s="1019">
        <f t="shared" si="196"/>
        <v>0</v>
      </c>
      <c r="H132" s="1019">
        <f t="shared" si="196"/>
        <v>0</v>
      </c>
      <c r="I132" s="1019">
        <f t="shared" si="196"/>
        <v>0</v>
      </c>
      <c r="J132" s="1019"/>
      <c r="K132" s="1019"/>
      <c r="L132" s="1019"/>
      <c r="M132" s="1019"/>
      <c r="N132" s="1020"/>
      <c r="O132" s="1019">
        <f t="shared" si="196"/>
        <v>0</v>
      </c>
      <c r="P132" s="1019">
        <f t="shared" si="196"/>
        <v>0</v>
      </c>
      <c r="Q132" s="1019">
        <f t="shared" si="196"/>
        <v>0</v>
      </c>
      <c r="R132" s="1019">
        <f t="shared" si="196"/>
        <v>0</v>
      </c>
      <c r="S132" s="1019">
        <f>IF(SUM(S123:S131)&gt;0,0,IF(S11&gt;4.5,IF(S39&gt;1.5,S120-S122,0),0))</f>
        <v>0</v>
      </c>
      <c r="T132" s="1019">
        <f>IF(SUM(T123:T131)&gt;0,0,IF(T11&gt;4.5,IF(T39&gt;1.5,T120-T122,0),0))</f>
        <v>0</v>
      </c>
      <c r="U132" s="1019">
        <f t="shared" ref="U132:AE132" si="197">IF(SUM(U123:U131)&gt;0,0,IF(U11&gt;4.5,IF(U39&gt;1.5,U120-U122,0),0))</f>
        <v>0</v>
      </c>
      <c r="V132" s="1019">
        <f>IF(SUM(V123:V131)&gt;0,0,IF(V11&gt;4.5,IF(V39&gt;1.5,V120-V122,0),0))</f>
        <v>0</v>
      </c>
      <c r="W132" s="1019">
        <f t="shared" si="197"/>
        <v>0</v>
      </c>
      <c r="X132" s="1019">
        <f t="shared" si="197"/>
        <v>0</v>
      </c>
      <c r="Y132" s="1019">
        <f t="shared" si="197"/>
        <v>0</v>
      </c>
      <c r="Z132" s="1019">
        <f t="shared" si="197"/>
        <v>0</v>
      </c>
      <c r="AA132" s="1019">
        <f t="shared" si="197"/>
        <v>0</v>
      </c>
      <c r="AB132" s="1019">
        <f t="shared" si="197"/>
        <v>0</v>
      </c>
      <c r="AC132" s="1019">
        <f t="shared" si="197"/>
        <v>0</v>
      </c>
      <c r="AD132" s="1019">
        <f t="shared" si="197"/>
        <v>0</v>
      </c>
      <c r="AE132" s="1019">
        <f t="shared" si="197"/>
        <v>0</v>
      </c>
      <c r="AF132" s="1086"/>
      <c r="AG132" s="1086"/>
      <c r="AH132" s="1086"/>
      <c r="AI132" s="1087"/>
      <c r="AJ132" s="1000"/>
      <c r="AK132" s="1028"/>
      <c r="AL132" s="1028"/>
      <c r="AM132" s="1028"/>
      <c r="AN132" s="1028"/>
      <c r="AO132" s="1028"/>
      <c r="AP132" s="1028"/>
      <c r="AQ132" s="1028"/>
      <c r="AR132" s="1028"/>
      <c r="AS132" s="1028"/>
      <c r="AT132" s="1028"/>
      <c r="AU132" s="1028"/>
      <c r="AV132" s="1028"/>
    </row>
    <row r="133" spans="1:48" s="795" customFormat="1" ht="32.1" hidden="1" customHeight="1">
      <c r="A133" s="2572"/>
      <c r="B133" s="2655" t="s">
        <v>1820</v>
      </c>
      <c r="C133" s="977" t="s">
        <v>1809</v>
      </c>
      <c r="D133" s="978"/>
      <c r="E133" s="979"/>
      <c r="F133" s="752">
        <f t="shared" ref="F133:R133" si="198">F122</f>
        <v>0</v>
      </c>
      <c r="G133" s="752">
        <f t="shared" si="198"/>
        <v>0</v>
      </c>
      <c r="H133" s="752">
        <f t="shared" si="198"/>
        <v>0</v>
      </c>
      <c r="I133" s="752">
        <f t="shared" si="198"/>
        <v>0</v>
      </c>
      <c r="J133" s="752"/>
      <c r="K133" s="752"/>
      <c r="L133" s="752"/>
      <c r="M133" s="752"/>
      <c r="N133" s="980"/>
      <c r="O133" s="752">
        <f t="shared" si="198"/>
        <v>0</v>
      </c>
      <c r="P133" s="752">
        <f t="shared" si="198"/>
        <v>0</v>
      </c>
      <c r="Q133" s="752">
        <f t="shared" si="198"/>
        <v>0</v>
      </c>
      <c r="R133" s="752">
        <f t="shared" si="198"/>
        <v>0</v>
      </c>
      <c r="S133" s="752">
        <f>S122</f>
        <v>0</v>
      </c>
      <c r="T133" s="752">
        <f>T122</f>
        <v>0</v>
      </c>
      <c r="U133" s="752">
        <f t="shared" ref="U133:AE133" si="199">U122</f>
        <v>0</v>
      </c>
      <c r="V133" s="752">
        <f>V122</f>
        <v>0</v>
      </c>
      <c r="W133" s="752">
        <f t="shared" si="199"/>
        <v>0</v>
      </c>
      <c r="X133" s="752">
        <f t="shared" si="199"/>
        <v>0</v>
      </c>
      <c r="Y133" s="752">
        <f t="shared" si="199"/>
        <v>0</v>
      </c>
      <c r="Z133" s="752">
        <f t="shared" si="199"/>
        <v>0</v>
      </c>
      <c r="AA133" s="752">
        <f t="shared" si="199"/>
        <v>0</v>
      </c>
      <c r="AB133" s="752">
        <f t="shared" si="199"/>
        <v>0</v>
      </c>
      <c r="AC133" s="752">
        <f t="shared" si="199"/>
        <v>0</v>
      </c>
      <c r="AD133" s="752">
        <f t="shared" si="199"/>
        <v>0</v>
      </c>
      <c r="AE133" s="752">
        <f t="shared" si="199"/>
        <v>0</v>
      </c>
      <c r="AF133" s="926"/>
      <c r="AG133" s="926"/>
      <c r="AH133" s="926"/>
      <c r="AI133" s="1051"/>
      <c r="AJ133" s="745">
        <f t="shared" ref="AJ133:AJ164" si="200">SUM(F133:AI133)</f>
        <v>0</v>
      </c>
      <c r="AK133" s="976"/>
      <c r="AL133" s="976"/>
      <c r="AM133" s="976"/>
      <c r="AN133" s="976"/>
      <c r="AO133" s="976"/>
      <c r="AP133" s="976"/>
      <c r="AQ133" s="976"/>
      <c r="AR133" s="976"/>
      <c r="AS133" s="976"/>
      <c r="AT133" s="976"/>
      <c r="AU133" s="976"/>
      <c r="AV133" s="976"/>
    </row>
    <row r="134" spans="1:48" s="795" customFormat="1" ht="21.95" hidden="1" customHeight="1">
      <c r="A134" s="2572"/>
      <c r="B134" s="2656"/>
      <c r="C134" s="977" t="s">
        <v>1810</v>
      </c>
      <c r="D134" s="1029"/>
      <c r="E134" s="1043"/>
      <c r="F134" s="785">
        <f>IF(F$29=1,F123,0)</f>
        <v>0</v>
      </c>
      <c r="G134" s="785">
        <f>IF(G$29=1,G123,0)</f>
        <v>0</v>
      </c>
      <c r="H134" s="785">
        <f>IF(H$29=1,H123,0)</f>
        <v>0</v>
      </c>
      <c r="I134" s="785">
        <f>IF(I$29=1,I123,0)</f>
        <v>0</v>
      </c>
      <c r="J134" s="785"/>
      <c r="K134" s="785"/>
      <c r="L134" s="785"/>
      <c r="M134" s="785"/>
      <c r="N134" s="1044"/>
      <c r="O134" s="785">
        <f t="shared" ref="O134:AE143" si="201">IF(O$29=1,O123,0)</f>
        <v>0</v>
      </c>
      <c r="P134" s="785">
        <f t="shared" si="201"/>
        <v>0</v>
      </c>
      <c r="Q134" s="785">
        <f t="shared" si="201"/>
        <v>0</v>
      </c>
      <c r="R134" s="785">
        <f t="shared" si="201"/>
        <v>0</v>
      </c>
      <c r="S134" s="785">
        <f t="shared" si="201"/>
        <v>0</v>
      </c>
      <c r="T134" s="785">
        <f t="shared" si="201"/>
        <v>0</v>
      </c>
      <c r="U134" s="785">
        <f t="shared" si="201"/>
        <v>0</v>
      </c>
      <c r="V134" s="785">
        <f t="shared" si="201"/>
        <v>0</v>
      </c>
      <c r="W134" s="785">
        <f t="shared" si="201"/>
        <v>0</v>
      </c>
      <c r="X134" s="785">
        <f t="shared" si="201"/>
        <v>0</v>
      </c>
      <c r="Y134" s="785">
        <f t="shared" si="201"/>
        <v>0</v>
      </c>
      <c r="Z134" s="785">
        <f t="shared" si="201"/>
        <v>0</v>
      </c>
      <c r="AA134" s="785">
        <f t="shared" si="201"/>
        <v>0</v>
      </c>
      <c r="AB134" s="785">
        <f t="shared" si="201"/>
        <v>0</v>
      </c>
      <c r="AC134" s="785">
        <f t="shared" si="201"/>
        <v>0</v>
      </c>
      <c r="AD134" s="785">
        <f t="shared" si="201"/>
        <v>0</v>
      </c>
      <c r="AE134" s="785">
        <f t="shared" si="201"/>
        <v>0</v>
      </c>
      <c r="AF134" s="1046"/>
      <c r="AG134" s="1046"/>
      <c r="AH134" s="1046"/>
      <c r="AI134" s="1045"/>
      <c r="AJ134" s="745">
        <f t="shared" si="200"/>
        <v>0</v>
      </c>
      <c r="AK134" s="976"/>
      <c r="AL134" s="976"/>
      <c r="AM134" s="976"/>
      <c r="AN134" s="976"/>
      <c r="AO134" s="976"/>
      <c r="AP134" s="976"/>
      <c r="AQ134" s="976"/>
      <c r="AR134" s="976"/>
      <c r="AS134" s="976"/>
      <c r="AT134" s="976"/>
      <c r="AU134" s="976"/>
      <c r="AV134" s="976"/>
    </row>
    <row r="135" spans="1:48" s="795" customFormat="1" ht="21.95" hidden="1" customHeight="1" thickBot="1">
      <c r="A135" s="2572"/>
      <c r="B135" s="2657"/>
      <c r="C135" s="977" t="s">
        <v>1811</v>
      </c>
      <c r="D135" s="978"/>
      <c r="E135" s="979"/>
      <c r="F135" s="752">
        <f t="shared" ref="F135:R143" si="202">IF(F$29=1,F124,0)</f>
        <v>0</v>
      </c>
      <c r="G135" s="752">
        <f t="shared" si="202"/>
        <v>0</v>
      </c>
      <c r="H135" s="752">
        <f t="shared" si="202"/>
        <v>0</v>
      </c>
      <c r="I135" s="752">
        <f t="shared" si="202"/>
        <v>0</v>
      </c>
      <c r="J135" s="752"/>
      <c r="K135" s="752"/>
      <c r="L135" s="752"/>
      <c r="M135" s="752"/>
      <c r="N135" s="980"/>
      <c r="O135" s="752">
        <f t="shared" si="202"/>
        <v>0</v>
      </c>
      <c r="P135" s="752">
        <f t="shared" si="202"/>
        <v>0</v>
      </c>
      <c r="Q135" s="752">
        <f t="shared" si="202"/>
        <v>0</v>
      </c>
      <c r="R135" s="752">
        <f t="shared" si="202"/>
        <v>0</v>
      </c>
      <c r="S135" s="752">
        <f t="shared" si="201"/>
        <v>0</v>
      </c>
      <c r="T135" s="752">
        <f t="shared" si="201"/>
        <v>0</v>
      </c>
      <c r="U135" s="752">
        <f t="shared" si="201"/>
        <v>0</v>
      </c>
      <c r="V135" s="752">
        <f t="shared" si="201"/>
        <v>0</v>
      </c>
      <c r="W135" s="752">
        <f t="shared" si="201"/>
        <v>0</v>
      </c>
      <c r="X135" s="752">
        <f t="shared" si="201"/>
        <v>0</v>
      </c>
      <c r="Y135" s="752">
        <f t="shared" si="201"/>
        <v>0</v>
      </c>
      <c r="Z135" s="752">
        <f t="shared" si="201"/>
        <v>0</v>
      </c>
      <c r="AA135" s="752">
        <f t="shared" si="201"/>
        <v>0</v>
      </c>
      <c r="AB135" s="752">
        <f t="shared" si="201"/>
        <v>0</v>
      </c>
      <c r="AC135" s="752">
        <f t="shared" si="201"/>
        <v>0</v>
      </c>
      <c r="AD135" s="752">
        <f t="shared" si="201"/>
        <v>0</v>
      </c>
      <c r="AE135" s="752">
        <f t="shared" si="201"/>
        <v>0</v>
      </c>
      <c r="AF135" s="926"/>
      <c r="AG135" s="926"/>
      <c r="AH135" s="926"/>
      <c r="AI135" s="753"/>
      <c r="AJ135" s="745">
        <f t="shared" si="200"/>
        <v>0</v>
      </c>
      <c r="AK135" s="976"/>
      <c r="AL135" s="976"/>
      <c r="AM135" s="976"/>
      <c r="AN135" s="976"/>
      <c r="AO135" s="976"/>
      <c r="AP135" s="976"/>
      <c r="AQ135" s="976"/>
      <c r="AR135" s="976"/>
      <c r="AS135" s="976"/>
      <c r="AT135" s="976"/>
      <c r="AU135" s="976"/>
      <c r="AV135" s="976"/>
    </row>
    <row r="136" spans="1:48" s="795" customFormat="1" ht="21.95" hidden="1" customHeight="1">
      <c r="A136" s="2572"/>
      <c r="B136" s="2656"/>
      <c r="C136" s="977" t="s">
        <v>1812</v>
      </c>
      <c r="D136" s="1035"/>
      <c r="E136" s="1047"/>
      <c r="F136" s="1048">
        <f t="shared" si="202"/>
        <v>0</v>
      </c>
      <c r="G136" s="1048">
        <f t="shared" si="202"/>
        <v>0</v>
      </c>
      <c r="H136" s="1048">
        <f t="shared" si="202"/>
        <v>0</v>
      </c>
      <c r="I136" s="1048">
        <f t="shared" si="202"/>
        <v>0</v>
      </c>
      <c r="J136" s="1048"/>
      <c r="K136" s="1048"/>
      <c r="L136" s="1048"/>
      <c r="M136" s="1048"/>
      <c r="N136" s="1049"/>
      <c r="O136" s="1048">
        <f t="shared" si="202"/>
        <v>0</v>
      </c>
      <c r="P136" s="1048">
        <f t="shared" si="202"/>
        <v>0</v>
      </c>
      <c r="Q136" s="1048">
        <f t="shared" si="202"/>
        <v>0</v>
      </c>
      <c r="R136" s="1048">
        <f t="shared" si="202"/>
        <v>0</v>
      </c>
      <c r="S136" s="1048">
        <f t="shared" si="201"/>
        <v>0</v>
      </c>
      <c r="T136" s="1048">
        <f t="shared" si="201"/>
        <v>0</v>
      </c>
      <c r="U136" s="1048">
        <f t="shared" si="201"/>
        <v>0</v>
      </c>
      <c r="V136" s="1048">
        <f t="shared" si="201"/>
        <v>0</v>
      </c>
      <c r="W136" s="1048">
        <f t="shared" si="201"/>
        <v>0</v>
      </c>
      <c r="X136" s="1048">
        <f t="shared" si="201"/>
        <v>0</v>
      </c>
      <c r="Y136" s="1048">
        <f t="shared" si="201"/>
        <v>0</v>
      </c>
      <c r="Z136" s="1048">
        <f t="shared" si="201"/>
        <v>0</v>
      </c>
      <c r="AA136" s="1048">
        <f t="shared" si="201"/>
        <v>0</v>
      </c>
      <c r="AB136" s="1048">
        <f t="shared" si="201"/>
        <v>0</v>
      </c>
      <c r="AC136" s="1048">
        <f t="shared" si="201"/>
        <v>0</v>
      </c>
      <c r="AD136" s="1048">
        <f t="shared" si="201"/>
        <v>0</v>
      </c>
      <c r="AE136" s="1048">
        <f t="shared" si="201"/>
        <v>0</v>
      </c>
      <c r="AF136" s="1050"/>
      <c r="AG136" s="1050"/>
      <c r="AH136" s="1050"/>
      <c r="AI136" s="1051"/>
      <c r="AJ136" s="745">
        <f t="shared" si="200"/>
        <v>0</v>
      </c>
      <c r="AK136" s="976"/>
      <c r="AL136" s="976"/>
      <c r="AM136" s="976"/>
      <c r="AN136" s="976"/>
      <c r="AO136" s="976"/>
      <c r="AP136" s="976"/>
      <c r="AQ136" s="976"/>
      <c r="AR136" s="976"/>
      <c r="AS136" s="976"/>
      <c r="AT136" s="976"/>
      <c r="AU136" s="976"/>
      <c r="AV136" s="976"/>
    </row>
    <row r="137" spans="1:48" s="795" customFormat="1" ht="21.95" hidden="1" customHeight="1">
      <c r="A137" s="2572"/>
      <c r="B137" s="2656"/>
      <c r="C137" s="977" t="s">
        <v>1813</v>
      </c>
      <c r="D137" s="1029"/>
      <c r="E137" s="1043"/>
      <c r="F137" s="785">
        <f t="shared" si="202"/>
        <v>0</v>
      </c>
      <c r="G137" s="785">
        <f t="shared" si="202"/>
        <v>0</v>
      </c>
      <c r="H137" s="785">
        <f t="shared" si="202"/>
        <v>0</v>
      </c>
      <c r="I137" s="785">
        <f t="shared" si="202"/>
        <v>0</v>
      </c>
      <c r="J137" s="785"/>
      <c r="K137" s="785"/>
      <c r="L137" s="785"/>
      <c r="M137" s="785"/>
      <c r="N137" s="1044"/>
      <c r="O137" s="785">
        <f t="shared" si="202"/>
        <v>0</v>
      </c>
      <c r="P137" s="785">
        <f t="shared" si="202"/>
        <v>0</v>
      </c>
      <c r="Q137" s="785">
        <f t="shared" si="202"/>
        <v>0</v>
      </c>
      <c r="R137" s="785">
        <f t="shared" si="202"/>
        <v>0</v>
      </c>
      <c r="S137" s="785">
        <f t="shared" si="201"/>
        <v>0</v>
      </c>
      <c r="T137" s="785">
        <f t="shared" si="201"/>
        <v>0</v>
      </c>
      <c r="U137" s="785">
        <f t="shared" si="201"/>
        <v>0</v>
      </c>
      <c r="V137" s="785">
        <f t="shared" si="201"/>
        <v>0</v>
      </c>
      <c r="W137" s="785">
        <f t="shared" si="201"/>
        <v>0</v>
      </c>
      <c r="X137" s="785">
        <f t="shared" si="201"/>
        <v>0</v>
      </c>
      <c r="Y137" s="785">
        <f t="shared" si="201"/>
        <v>0</v>
      </c>
      <c r="Z137" s="785">
        <f t="shared" si="201"/>
        <v>0</v>
      </c>
      <c r="AA137" s="785">
        <f t="shared" si="201"/>
        <v>0</v>
      </c>
      <c r="AB137" s="785">
        <f t="shared" si="201"/>
        <v>0</v>
      </c>
      <c r="AC137" s="785">
        <f t="shared" si="201"/>
        <v>0</v>
      </c>
      <c r="AD137" s="785">
        <f t="shared" si="201"/>
        <v>0</v>
      </c>
      <c r="AE137" s="785">
        <f t="shared" si="201"/>
        <v>0</v>
      </c>
      <c r="AF137" s="1046"/>
      <c r="AG137" s="1046"/>
      <c r="AH137" s="1046"/>
      <c r="AI137" s="1045"/>
      <c r="AJ137" s="745">
        <f t="shared" si="200"/>
        <v>0</v>
      </c>
      <c r="AK137" s="976"/>
      <c r="AL137" s="976"/>
      <c r="AM137" s="976"/>
      <c r="AN137" s="976"/>
      <c r="AO137" s="976"/>
      <c r="AP137" s="976"/>
      <c r="AQ137" s="976"/>
      <c r="AR137" s="976"/>
      <c r="AS137" s="976"/>
      <c r="AT137" s="976"/>
      <c r="AU137" s="976"/>
      <c r="AV137" s="976"/>
    </row>
    <row r="138" spans="1:48" s="795" customFormat="1" ht="21.95" hidden="1" customHeight="1">
      <c r="A138" s="2572"/>
      <c r="B138" s="2656"/>
      <c r="C138" s="977" t="s">
        <v>1814</v>
      </c>
      <c r="D138" s="978"/>
      <c r="E138" s="979"/>
      <c r="F138" s="752">
        <f t="shared" si="202"/>
        <v>0</v>
      </c>
      <c r="G138" s="752">
        <f t="shared" si="202"/>
        <v>0</v>
      </c>
      <c r="H138" s="752">
        <f t="shared" si="202"/>
        <v>0</v>
      </c>
      <c r="I138" s="752">
        <f t="shared" si="202"/>
        <v>0</v>
      </c>
      <c r="J138" s="752"/>
      <c r="K138" s="752"/>
      <c r="L138" s="752"/>
      <c r="M138" s="752"/>
      <c r="N138" s="980"/>
      <c r="O138" s="752">
        <f t="shared" si="202"/>
        <v>0</v>
      </c>
      <c r="P138" s="752">
        <f t="shared" si="202"/>
        <v>0</v>
      </c>
      <c r="Q138" s="752">
        <f t="shared" si="202"/>
        <v>0</v>
      </c>
      <c r="R138" s="752">
        <f t="shared" si="202"/>
        <v>0</v>
      </c>
      <c r="S138" s="752">
        <f t="shared" si="201"/>
        <v>0</v>
      </c>
      <c r="T138" s="752">
        <f t="shared" si="201"/>
        <v>0</v>
      </c>
      <c r="U138" s="752">
        <f t="shared" si="201"/>
        <v>0</v>
      </c>
      <c r="V138" s="752">
        <f t="shared" si="201"/>
        <v>0</v>
      </c>
      <c r="W138" s="752">
        <f t="shared" si="201"/>
        <v>0</v>
      </c>
      <c r="X138" s="752">
        <f t="shared" si="201"/>
        <v>0</v>
      </c>
      <c r="Y138" s="752">
        <f t="shared" si="201"/>
        <v>0</v>
      </c>
      <c r="Z138" s="752">
        <f t="shared" si="201"/>
        <v>0</v>
      </c>
      <c r="AA138" s="752">
        <f t="shared" si="201"/>
        <v>0</v>
      </c>
      <c r="AB138" s="752">
        <f t="shared" si="201"/>
        <v>0</v>
      </c>
      <c r="AC138" s="752">
        <f t="shared" si="201"/>
        <v>0</v>
      </c>
      <c r="AD138" s="752">
        <f t="shared" si="201"/>
        <v>0</v>
      </c>
      <c r="AE138" s="752">
        <f t="shared" si="201"/>
        <v>0</v>
      </c>
      <c r="AF138" s="926"/>
      <c r="AG138" s="926"/>
      <c r="AH138" s="926"/>
      <c r="AI138" s="753"/>
      <c r="AJ138" s="745">
        <f t="shared" si="200"/>
        <v>0</v>
      </c>
      <c r="AK138" s="976"/>
      <c r="AL138" s="976"/>
      <c r="AM138" s="976"/>
      <c r="AN138" s="976"/>
      <c r="AO138" s="976"/>
      <c r="AP138" s="976"/>
      <c r="AQ138" s="976"/>
      <c r="AR138" s="976"/>
      <c r="AS138" s="976"/>
      <c r="AT138" s="976"/>
      <c r="AU138" s="976"/>
      <c r="AV138" s="976"/>
    </row>
    <row r="139" spans="1:48" s="795" customFormat="1" ht="21.95" customHeight="1" thickBot="1">
      <c r="A139" s="2572"/>
      <c r="B139" s="2657"/>
      <c r="C139" s="977" t="s">
        <v>1815</v>
      </c>
      <c r="D139" s="1035"/>
      <c r="E139" s="1047"/>
      <c r="F139" s="1048">
        <f t="shared" si="202"/>
        <v>217.42231776284598</v>
      </c>
      <c r="G139" s="1048">
        <f t="shared" si="202"/>
        <v>363.78727960474197</v>
      </c>
      <c r="H139" s="1048">
        <f t="shared" si="202"/>
        <v>170.02126480237376</v>
      </c>
      <c r="I139" s="1048">
        <f t="shared" si="202"/>
        <v>325.49678289426225</v>
      </c>
      <c r="J139" s="1048"/>
      <c r="K139" s="1048"/>
      <c r="L139" s="1048"/>
      <c r="M139" s="1048"/>
      <c r="N139" s="1049"/>
      <c r="O139" s="1048">
        <f t="shared" si="202"/>
        <v>288.76502368380204</v>
      </c>
      <c r="P139" s="1048">
        <f t="shared" si="202"/>
        <v>180.4781398023803</v>
      </c>
      <c r="Q139" s="1048">
        <f t="shared" si="202"/>
        <v>325.49678289426953</v>
      </c>
      <c r="R139" s="1048">
        <f t="shared" si="202"/>
        <v>323.590076644264</v>
      </c>
      <c r="S139" s="1048">
        <f t="shared" si="201"/>
        <v>0</v>
      </c>
      <c r="T139" s="1048">
        <f t="shared" si="201"/>
        <v>0</v>
      </c>
      <c r="U139" s="1048">
        <f t="shared" si="201"/>
        <v>0</v>
      </c>
      <c r="V139" s="1048">
        <f t="shared" si="201"/>
        <v>0</v>
      </c>
      <c r="W139" s="1048">
        <f t="shared" si="201"/>
        <v>0</v>
      </c>
      <c r="X139" s="1048">
        <f t="shared" si="201"/>
        <v>0</v>
      </c>
      <c r="Y139" s="1048">
        <f t="shared" si="201"/>
        <v>0</v>
      </c>
      <c r="Z139" s="1048">
        <f t="shared" si="201"/>
        <v>0</v>
      </c>
      <c r="AA139" s="1048">
        <f t="shared" si="201"/>
        <v>0</v>
      </c>
      <c r="AB139" s="1048">
        <f t="shared" si="201"/>
        <v>0</v>
      </c>
      <c r="AC139" s="1048">
        <f t="shared" si="201"/>
        <v>0</v>
      </c>
      <c r="AD139" s="1048">
        <f t="shared" si="201"/>
        <v>0</v>
      </c>
      <c r="AE139" s="1048">
        <f t="shared" si="201"/>
        <v>0</v>
      </c>
      <c r="AF139" s="1050"/>
      <c r="AG139" s="1050"/>
      <c r="AH139" s="1050"/>
      <c r="AI139" s="1051"/>
      <c r="AJ139" s="745">
        <f t="shared" si="200"/>
        <v>2195.0576680889399</v>
      </c>
      <c r="AK139" s="976"/>
      <c r="AL139" s="976"/>
      <c r="AM139" s="976"/>
      <c r="AN139" s="976"/>
      <c r="AO139" s="976"/>
      <c r="AP139" s="976"/>
      <c r="AQ139" s="976"/>
      <c r="AR139" s="976"/>
      <c r="AS139" s="976"/>
      <c r="AT139" s="976"/>
      <c r="AU139" s="976"/>
      <c r="AV139" s="976"/>
    </row>
    <row r="140" spans="1:48" s="795" customFormat="1" ht="21.95" hidden="1" customHeight="1">
      <c r="A140" s="2572"/>
      <c r="B140" s="2656"/>
      <c r="C140" s="977" t="s">
        <v>1816</v>
      </c>
      <c r="D140" s="1029"/>
      <c r="E140" s="1043"/>
      <c r="F140" s="785">
        <f t="shared" si="202"/>
        <v>0</v>
      </c>
      <c r="G140" s="785">
        <f t="shared" si="202"/>
        <v>0</v>
      </c>
      <c r="H140" s="785">
        <f t="shared" si="202"/>
        <v>0</v>
      </c>
      <c r="I140" s="785">
        <f t="shared" si="202"/>
        <v>0</v>
      </c>
      <c r="J140" s="785"/>
      <c r="K140" s="785"/>
      <c r="L140" s="785"/>
      <c r="M140" s="785"/>
      <c r="N140" s="1044"/>
      <c r="O140" s="785">
        <f t="shared" si="202"/>
        <v>0</v>
      </c>
      <c r="P140" s="785">
        <f t="shared" si="202"/>
        <v>0</v>
      </c>
      <c r="Q140" s="785">
        <f t="shared" si="202"/>
        <v>0</v>
      </c>
      <c r="R140" s="785">
        <f t="shared" si="202"/>
        <v>0</v>
      </c>
      <c r="S140" s="785">
        <f t="shared" si="201"/>
        <v>0</v>
      </c>
      <c r="T140" s="785">
        <f t="shared" si="201"/>
        <v>0</v>
      </c>
      <c r="U140" s="785">
        <f t="shared" si="201"/>
        <v>0</v>
      </c>
      <c r="V140" s="785">
        <f t="shared" si="201"/>
        <v>0</v>
      </c>
      <c r="W140" s="785">
        <f t="shared" si="201"/>
        <v>0</v>
      </c>
      <c r="X140" s="785">
        <f t="shared" si="201"/>
        <v>0</v>
      </c>
      <c r="Y140" s="785">
        <f t="shared" si="201"/>
        <v>0</v>
      </c>
      <c r="Z140" s="785">
        <f t="shared" si="201"/>
        <v>0</v>
      </c>
      <c r="AA140" s="785">
        <f t="shared" si="201"/>
        <v>0</v>
      </c>
      <c r="AB140" s="785">
        <f t="shared" si="201"/>
        <v>0</v>
      </c>
      <c r="AC140" s="785">
        <f t="shared" si="201"/>
        <v>0</v>
      </c>
      <c r="AD140" s="785">
        <f t="shared" si="201"/>
        <v>0</v>
      </c>
      <c r="AE140" s="785">
        <f t="shared" si="201"/>
        <v>0</v>
      </c>
      <c r="AF140" s="1046"/>
      <c r="AG140" s="1046"/>
      <c r="AH140" s="1046"/>
      <c r="AI140" s="1045"/>
      <c r="AJ140" s="745">
        <f t="shared" si="200"/>
        <v>0</v>
      </c>
      <c r="AK140" s="976"/>
      <c r="AL140" s="976"/>
      <c r="AM140" s="976"/>
      <c r="AN140" s="976"/>
      <c r="AO140" s="976"/>
      <c r="AP140" s="976"/>
      <c r="AQ140" s="976"/>
      <c r="AR140" s="976"/>
      <c r="AS140" s="976"/>
      <c r="AT140" s="976"/>
      <c r="AU140" s="976"/>
      <c r="AV140" s="976"/>
    </row>
    <row r="141" spans="1:48" s="795" customFormat="1" ht="21.95" hidden="1" customHeight="1" thickBot="1">
      <c r="A141" s="2572"/>
      <c r="B141" s="2657"/>
      <c r="C141" s="977" t="s">
        <v>1817</v>
      </c>
      <c r="D141" s="1035"/>
      <c r="E141" s="1047"/>
      <c r="F141" s="1048">
        <f t="shared" si="202"/>
        <v>0</v>
      </c>
      <c r="G141" s="1048">
        <f t="shared" si="202"/>
        <v>0</v>
      </c>
      <c r="H141" s="1048">
        <f t="shared" si="202"/>
        <v>0</v>
      </c>
      <c r="I141" s="1048">
        <f t="shared" si="202"/>
        <v>0</v>
      </c>
      <c r="J141" s="1048"/>
      <c r="K141" s="1048"/>
      <c r="L141" s="1048"/>
      <c r="M141" s="1048"/>
      <c r="N141" s="1049"/>
      <c r="O141" s="1048">
        <f t="shared" si="202"/>
        <v>0</v>
      </c>
      <c r="P141" s="1048">
        <f t="shared" si="202"/>
        <v>0</v>
      </c>
      <c r="Q141" s="1048">
        <f t="shared" si="202"/>
        <v>0</v>
      </c>
      <c r="R141" s="1048">
        <f t="shared" si="202"/>
        <v>0</v>
      </c>
      <c r="S141" s="1048">
        <f t="shared" si="201"/>
        <v>0</v>
      </c>
      <c r="T141" s="1048">
        <f t="shared" si="201"/>
        <v>0</v>
      </c>
      <c r="U141" s="1048">
        <f t="shared" si="201"/>
        <v>0</v>
      </c>
      <c r="V141" s="1048">
        <f t="shared" si="201"/>
        <v>0</v>
      </c>
      <c r="W141" s="1048">
        <f t="shared" si="201"/>
        <v>0</v>
      </c>
      <c r="X141" s="1048">
        <f t="shared" si="201"/>
        <v>0</v>
      </c>
      <c r="Y141" s="1048">
        <f t="shared" si="201"/>
        <v>0</v>
      </c>
      <c r="Z141" s="1048">
        <f t="shared" si="201"/>
        <v>0</v>
      </c>
      <c r="AA141" s="1048">
        <f t="shared" si="201"/>
        <v>0</v>
      </c>
      <c r="AB141" s="1048">
        <f t="shared" si="201"/>
        <v>0</v>
      </c>
      <c r="AC141" s="1048">
        <f t="shared" si="201"/>
        <v>0</v>
      </c>
      <c r="AD141" s="1048">
        <f t="shared" si="201"/>
        <v>0</v>
      </c>
      <c r="AE141" s="1048">
        <f t="shared" si="201"/>
        <v>0</v>
      </c>
      <c r="AF141" s="1050"/>
      <c r="AG141" s="1050"/>
      <c r="AH141" s="1050"/>
      <c r="AI141" s="1051"/>
      <c r="AJ141" s="745">
        <f t="shared" si="200"/>
        <v>0</v>
      </c>
      <c r="AK141" s="976"/>
      <c r="AL141" s="976"/>
      <c r="AM141" s="976"/>
      <c r="AN141" s="976"/>
      <c r="AO141" s="976"/>
      <c r="AP141" s="976"/>
      <c r="AQ141" s="976"/>
      <c r="AR141" s="976"/>
      <c r="AS141" s="976"/>
      <c r="AT141" s="976"/>
      <c r="AU141" s="976"/>
      <c r="AV141" s="976"/>
    </row>
    <row r="142" spans="1:48" s="795" customFormat="1" ht="21.95" hidden="1" customHeight="1">
      <c r="A142" s="2572"/>
      <c r="B142" s="2656"/>
      <c r="C142" s="977" t="s">
        <v>1818</v>
      </c>
      <c r="D142" s="1029"/>
      <c r="E142" s="1043"/>
      <c r="F142" s="785">
        <f t="shared" si="202"/>
        <v>0</v>
      </c>
      <c r="G142" s="785">
        <f t="shared" si="202"/>
        <v>0</v>
      </c>
      <c r="H142" s="785">
        <f t="shared" si="202"/>
        <v>0</v>
      </c>
      <c r="I142" s="785">
        <f t="shared" si="202"/>
        <v>0</v>
      </c>
      <c r="J142" s="785"/>
      <c r="K142" s="785"/>
      <c r="L142" s="785"/>
      <c r="M142" s="785"/>
      <c r="N142" s="1044"/>
      <c r="O142" s="785">
        <f t="shared" si="202"/>
        <v>0</v>
      </c>
      <c r="P142" s="785">
        <f t="shared" si="202"/>
        <v>0</v>
      </c>
      <c r="Q142" s="785">
        <f t="shared" si="202"/>
        <v>0</v>
      </c>
      <c r="R142" s="785">
        <f t="shared" si="202"/>
        <v>0</v>
      </c>
      <c r="S142" s="785">
        <f t="shared" si="201"/>
        <v>0</v>
      </c>
      <c r="T142" s="785">
        <f t="shared" si="201"/>
        <v>0</v>
      </c>
      <c r="U142" s="785">
        <f t="shared" si="201"/>
        <v>0</v>
      </c>
      <c r="V142" s="785">
        <f t="shared" si="201"/>
        <v>0</v>
      </c>
      <c r="W142" s="785">
        <f t="shared" si="201"/>
        <v>0</v>
      </c>
      <c r="X142" s="785">
        <f t="shared" si="201"/>
        <v>0</v>
      </c>
      <c r="Y142" s="785">
        <f t="shared" si="201"/>
        <v>0</v>
      </c>
      <c r="Z142" s="785">
        <f t="shared" si="201"/>
        <v>0</v>
      </c>
      <c r="AA142" s="785">
        <f t="shared" si="201"/>
        <v>0</v>
      </c>
      <c r="AB142" s="785">
        <f t="shared" si="201"/>
        <v>0</v>
      </c>
      <c r="AC142" s="785">
        <f t="shared" si="201"/>
        <v>0</v>
      </c>
      <c r="AD142" s="785">
        <f t="shared" si="201"/>
        <v>0</v>
      </c>
      <c r="AE142" s="785">
        <f t="shared" si="201"/>
        <v>0</v>
      </c>
      <c r="AF142" s="1046"/>
      <c r="AG142" s="1046"/>
      <c r="AH142" s="1046"/>
      <c r="AI142" s="1045"/>
      <c r="AJ142" s="745">
        <f t="shared" si="200"/>
        <v>0</v>
      </c>
      <c r="AK142" s="976"/>
      <c r="AL142" s="976"/>
      <c r="AM142" s="976"/>
      <c r="AN142" s="976"/>
      <c r="AO142" s="976"/>
      <c r="AP142" s="976"/>
      <c r="AQ142" s="976"/>
      <c r="AR142" s="976"/>
      <c r="AS142" s="976"/>
      <c r="AT142" s="976"/>
      <c r="AU142" s="976"/>
      <c r="AV142" s="976"/>
    </row>
    <row r="143" spans="1:48" s="795" customFormat="1" ht="21.95" hidden="1" customHeight="1" thickBot="1">
      <c r="A143" s="2572"/>
      <c r="B143" s="2657"/>
      <c r="C143" s="982" t="s">
        <v>1819</v>
      </c>
      <c r="D143" s="983"/>
      <c r="E143" s="984"/>
      <c r="F143" s="761">
        <f t="shared" si="202"/>
        <v>0</v>
      </c>
      <c r="G143" s="761">
        <f t="shared" si="202"/>
        <v>0</v>
      </c>
      <c r="H143" s="761">
        <f t="shared" si="202"/>
        <v>0</v>
      </c>
      <c r="I143" s="761">
        <f t="shared" si="202"/>
        <v>0</v>
      </c>
      <c r="J143" s="761"/>
      <c r="K143" s="761"/>
      <c r="L143" s="761"/>
      <c r="M143" s="761"/>
      <c r="N143" s="985"/>
      <c r="O143" s="761">
        <f t="shared" si="202"/>
        <v>0</v>
      </c>
      <c r="P143" s="761">
        <f t="shared" si="202"/>
        <v>0</v>
      </c>
      <c r="Q143" s="761">
        <f t="shared" si="202"/>
        <v>0</v>
      </c>
      <c r="R143" s="761">
        <f t="shared" si="202"/>
        <v>0</v>
      </c>
      <c r="S143" s="761">
        <f t="shared" si="201"/>
        <v>0</v>
      </c>
      <c r="T143" s="761">
        <f t="shared" si="201"/>
        <v>0</v>
      </c>
      <c r="U143" s="761">
        <f t="shared" si="201"/>
        <v>0</v>
      </c>
      <c r="V143" s="761">
        <f t="shared" si="201"/>
        <v>0</v>
      </c>
      <c r="W143" s="761">
        <f t="shared" si="201"/>
        <v>0</v>
      </c>
      <c r="X143" s="761">
        <f t="shared" si="201"/>
        <v>0</v>
      </c>
      <c r="Y143" s="761">
        <f t="shared" si="201"/>
        <v>0</v>
      </c>
      <c r="Z143" s="761">
        <f t="shared" si="201"/>
        <v>0</v>
      </c>
      <c r="AA143" s="761">
        <f t="shared" si="201"/>
        <v>0</v>
      </c>
      <c r="AB143" s="761">
        <f t="shared" si="201"/>
        <v>0</v>
      </c>
      <c r="AC143" s="761">
        <f t="shared" si="201"/>
        <v>0</v>
      </c>
      <c r="AD143" s="761">
        <f t="shared" si="201"/>
        <v>0</v>
      </c>
      <c r="AE143" s="761">
        <f t="shared" si="201"/>
        <v>0</v>
      </c>
      <c r="AF143" s="986"/>
      <c r="AG143" s="986"/>
      <c r="AH143" s="986"/>
      <c r="AI143" s="769"/>
      <c r="AJ143" s="745">
        <f t="shared" si="200"/>
        <v>0</v>
      </c>
      <c r="AK143" s="976"/>
      <c r="AL143" s="976"/>
      <c r="AM143" s="976"/>
      <c r="AN143" s="976"/>
      <c r="AO143" s="976"/>
      <c r="AP143" s="976"/>
      <c r="AQ143" s="976"/>
      <c r="AR143" s="976"/>
      <c r="AS143" s="976"/>
      <c r="AT143" s="976"/>
      <c r="AU143" s="976"/>
      <c r="AV143" s="976"/>
    </row>
    <row r="144" spans="1:48" s="795" customFormat="1" ht="21.95" hidden="1" customHeight="1">
      <c r="A144" s="2572"/>
      <c r="B144" s="2655" t="s">
        <v>1821</v>
      </c>
      <c r="C144" s="977" t="s">
        <v>1810</v>
      </c>
      <c r="D144" s="1029"/>
      <c r="E144" s="1043"/>
      <c r="F144" s="785">
        <f>IF(F$29=2,F123,0)</f>
        <v>0</v>
      </c>
      <c r="G144" s="785">
        <f>IF(G$29=2,G123,0)</f>
        <v>0</v>
      </c>
      <c r="H144" s="785">
        <f>IF(H$29=2,H123,0)</f>
        <v>0</v>
      </c>
      <c r="I144" s="785">
        <f>IF(I$29=2,I123,0)</f>
        <v>0</v>
      </c>
      <c r="J144" s="785"/>
      <c r="K144" s="785"/>
      <c r="L144" s="785"/>
      <c r="M144" s="785"/>
      <c r="N144" s="1044"/>
      <c r="O144" s="785">
        <f t="shared" ref="O144:AE153" si="203">IF(O$29=2,O123,0)</f>
        <v>0</v>
      </c>
      <c r="P144" s="785">
        <f t="shared" si="203"/>
        <v>0</v>
      </c>
      <c r="Q144" s="785">
        <f t="shared" si="203"/>
        <v>0</v>
      </c>
      <c r="R144" s="785">
        <f t="shared" si="203"/>
        <v>0</v>
      </c>
      <c r="S144" s="785">
        <f t="shared" si="203"/>
        <v>0</v>
      </c>
      <c r="T144" s="785">
        <f t="shared" si="203"/>
        <v>0</v>
      </c>
      <c r="U144" s="785">
        <f t="shared" si="203"/>
        <v>0</v>
      </c>
      <c r="V144" s="785">
        <f t="shared" si="203"/>
        <v>0</v>
      </c>
      <c r="W144" s="785">
        <f t="shared" si="203"/>
        <v>0</v>
      </c>
      <c r="X144" s="785">
        <f t="shared" si="203"/>
        <v>0</v>
      </c>
      <c r="Y144" s="785">
        <f t="shared" si="203"/>
        <v>0</v>
      </c>
      <c r="Z144" s="785">
        <f t="shared" si="203"/>
        <v>0</v>
      </c>
      <c r="AA144" s="785">
        <f t="shared" si="203"/>
        <v>0</v>
      </c>
      <c r="AB144" s="785">
        <f t="shared" si="203"/>
        <v>0</v>
      </c>
      <c r="AC144" s="785">
        <f t="shared" si="203"/>
        <v>0</v>
      </c>
      <c r="AD144" s="785">
        <f t="shared" si="203"/>
        <v>0</v>
      </c>
      <c r="AE144" s="785">
        <f t="shared" si="203"/>
        <v>0</v>
      </c>
      <c r="AF144" s="1046"/>
      <c r="AG144" s="1046"/>
      <c r="AH144" s="1046"/>
      <c r="AI144" s="1045"/>
      <c r="AJ144" s="745">
        <f t="shared" si="200"/>
        <v>0</v>
      </c>
      <c r="AK144" s="976"/>
      <c r="AL144" s="976"/>
      <c r="AM144" s="976"/>
      <c r="AN144" s="976"/>
      <c r="AO144" s="976"/>
      <c r="AP144" s="976"/>
      <c r="AQ144" s="976"/>
      <c r="AR144" s="976"/>
      <c r="AS144" s="976"/>
      <c r="AT144" s="976"/>
      <c r="AU144" s="976"/>
      <c r="AV144" s="976"/>
    </row>
    <row r="145" spans="1:48" s="795" customFormat="1" ht="21.95" hidden="1" customHeight="1">
      <c r="A145" s="2572"/>
      <c r="B145" s="2656"/>
      <c r="C145" s="977" t="s">
        <v>1811</v>
      </c>
      <c r="D145" s="978"/>
      <c r="E145" s="979"/>
      <c r="F145" s="752">
        <f t="shared" ref="F145:R153" si="204">IF(F$29=2,F124,0)</f>
        <v>0</v>
      </c>
      <c r="G145" s="752">
        <f t="shared" si="204"/>
        <v>0</v>
      </c>
      <c r="H145" s="752">
        <f t="shared" si="204"/>
        <v>0</v>
      </c>
      <c r="I145" s="752">
        <f t="shared" si="204"/>
        <v>0</v>
      </c>
      <c r="J145" s="752"/>
      <c r="K145" s="752"/>
      <c r="L145" s="752"/>
      <c r="M145" s="752"/>
      <c r="N145" s="980"/>
      <c r="O145" s="752">
        <f t="shared" si="204"/>
        <v>0</v>
      </c>
      <c r="P145" s="752">
        <f t="shared" si="204"/>
        <v>0</v>
      </c>
      <c r="Q145" s="752">
        <f t="shared" si="204"/>
        <v>0</v>
      </c>
      <c r="R145" s="752">
        <f t="shared" si="204"/>
        <v>0</v>
      </c>
      <c r="S145" s="752">
        <f t="shared" si="203"/>
        <v>0</v>
      </c>
      <c r="T145" s="752">
        <f t="shared" si="203"/>
        <v>0</v>
      </c>
      <c r="U145" s="752">
        <f t="shared" si="203"/>
        <v>0</v>
      </c>
      <c r="V145" s="752">
        <f t="shared" si="203"/>
        <v>0</v>
      </c>
      <c r="W145" s="752">
        <f t="shared" si="203"/>
        <v>0</v>
      </c>
      <c r="X145" s="752">
        <f t="shared" si="203"/>
        <v>0</v>
      </c>
      <c r="Y145" s="752">
        <f t="shared" si="203"/>
        <v>0</v>
      </c>
      <c r="Z145" s="752">
        <f t="shared" si="203"/>
        <v>0</v>
      </c>
      <c r="AA145" s="752">
        <f t="shared" si="203"/>
        <v>0</v>
      </c>
      <c r="AB145" s="752">
        <f t="shared" si="203"/>
        <v>0</v>
      </c>
      <c r="AC145" s="752">
        <f t="shared" si="203"/>
        <v>0</v>
      </c>
      <c r="AD145" s="752">
        <f t="shared" si="203"/>
        <v>0</v>
      </c>
      <c r="AE145" s="752">
        <f t="shared" si="203"/>
        <v>0</v>
      </c>
      <c r="AF145" s="926"/>
      <c r="AG145" s="926"/>
      <c r="AH145" s="926"/>
      <c r="AI145" s="753"/>
      <c r="AJ145" s="745">
        <f t="shared" si="200"/>
        <v>0</v>
      </c>
      <c r="AK145" s="976"/>
      <c r="AL145" s="976"/>
      <c r="AM145" s="976"/>
      <c r="AN145" s="976"/>
      <c r="AO145" s="976"/>
      <c r="AP145" s="976"/>
      <c r="AQ145" s="976"/>
      <c r="AR145" s="976"/>
      <c r="AS145" s="976"/>
      <c r="AT145" s="976"/>
      <c r="AU145" s="976"/>
      <c r="AV145" s="976"/>
    </row>
    <row r="146" spans="1:48" s="795" customFormat="1" ht="21.95" hidden="1" customHeight="1">
      <c r="A146" s="2572"/>
      <c r="B146" s="2656"/>
      <c r="C146" s="977" t="s">
        <v>1812</v>
      </c>
      <c r="D146" s="1035"/>
      <c r="E146" s="1047"/>
      <c r="F146" s="1048">
        <f t="shared" si="204"/>
        <v>0</v>
      </c>
      <c r="G146" s="1048">
        <f t="shared" si="204"/>
        <v>0</v>
      </c>
      <c r="H146" s="1048">
        <f t="shared" si="204"/>
        <v>0</v>
      </c>
      <c r="I146" s="1048">
        <f t="shared" si="204"/>
        <v>0</v>
      </c>
      <c r="J146" s="1048"/>
      <c r="K146" s="1048"/>
      <c r="L146" s="1048"/>
      <c r="M146" s="1048"/>
      <c r="N146" s="1049"/>
      <c r="O146" s="1048">
        <f t="shared" si="204"/>
        <v>0</v>
      </c>
      <c r="P146" s="1048">
        <f t="shared" si="204"/>
        <v>0</v>
      </c>
      <c r="Q146" s="1048">
        <f t="shared" si="204"/>
        <v>0</v>
      </c>
      <c r="R146" s="1048">
        <f t="shared" si="204"/>
        <v>0</v>
      </c>
      <c r="S146" s="1048">
        <f t="shared" si="203"/>
        <v>0</v>
      </c>
      <c r="T146" s="1048">
        <f t="shared" si="203"/>
        <v>0</v>
      </c>
      <c r="U146" s="1048">
        <f t="shared" si="203"/>
        <v>0</v>
      </c>
      <c r="V146" s="1048">
        <f t="shared" si="203"/>
        <v>0</v>
      </c>
      <c r="W146" s="1048">
        <f t="shared" si="203"/>
        <v>0</v>
      </c>
      <c r="X146" s="1048">
        <f t="shared" si="203"/>
        <v>0</v>
      </c>
      <c r="Y146" s="1048">
        <f t="shared" si="203"/>
        <v>0</v>
      </c>
      <c r="Z146" s="1048">
        <f t="shared" si="203"/>
        <v>0</v>
      </c>
      <c r="AA146" s="1048">
        <f t="shared" si="203"/>
        <v>0</v>
      </c>
      <c r="AB146" s="1048">
        <f t="shared" si="203"/>
        <v>0</v>
      </c>
      <c r="AC146" s="1048">
        <f t="shared" si="203"/>
        <v>0</v>
      </c>
      <c r="AD146" s="1048">
        <f t="shared" si="203"/>
        <v>0</v>
      </c>
      <c r="AE146" s="1048">
        <f t="shared" si="203"/>
        <v>0</v>
      </c>
      <c r="AF146" s="1050"/>
      <c r="AG146" s="1050"/>
      <c r="AH146" s="1050"/>
      <c r="AI146" s="1051"/>
      <c r="AJ146" s="745">
        <f t="shared" si="200"/>
        <v>0</v>
      </c>
      <c r="AK146" s="976"/>
      <c r="AL146" s="976"/>
      <c r="AM146" s="976"/>
      <c r="AN146" s="976"/>
      <c r="AO146" s="976"/>
      <c r="AP146" s="976"/>
      <c r="AQ146" s="976"/>
      <c r="AR146" s="976"/>
      <c r="AS146" s="976"/>
      <c r="AT146" s="976"/>
      <c r="AU146" s="976"/>
      <c r="AV146" s="976"/>
    </row>
    <row r="147" spans="1:48" s="795" customFormat="1" ht="21.95" hidden="1" customHeight="1">
      <c r="A147" s="2572"/>
      <c r="B147" s="2656"/>
      <c r="C147" s="977" t="s">
        <v>1813</v>
      </c>
      <c r="D147" s="1029"/>
      <c r="E147" s="1043"/>
      <c r="F147" s="785">
        <f t="shared" si="204"/>
        <v>0</v>
      </c>
      <c r="G147" s="785">
        <f t="shared" si="204"/>
        <v>0</v>
      </c>
      <c r="H147" s="785">
        <f t="shared" si="204"/>
        <v>0</v>
      </c>
      <c r="I147" s="785">
        <f t="shared" si="204"/>
        <v>0</v>
      </c>
      <c r="J147" s="785"/>
      <c r="K147" s="785"/>
      <c r="L147" s="785"/>
      <c r="M147" s="785"/>
      <c r="N147" s="1044"/>
      <c r="O147" s="785">
        <f t="shared" si="204"/>
        <v>0</v>
      </c>
      <c r="P147" s="785">
        <f t="shared" si="204"/>
        <v>0</v>
      </c>
      <c r="Q147" s="785">
        <f t="shared" si="204"/>
        <v>0</v>
      </c>
      <c r="R147" s="785">
        <f t="shared" si="204"/>
        <v>0</v>
      </c>
      <c r="S147" s="785">
        <f t="shared" si="203"/>
        <v>0</v>
      </c>
      <c r="T147" s="785">
        <f t="shared" si="203"/>
        <v>0</v>
      </c>
      <c r="U147" s="785">
        <f t="shared" si="203"/>
        <v>0</v>
      </c>
      <c r="V147" s="785">
        <f t="shared" si="203"/>
        <v>0</v>
      </c>
      <c r="W147" s="785">
        <f t="shared" si="203"/>
        <v>0</v>
      </c>
      <c r="X147" s="785">
        <f t="shared" si="203"/>
        <v>0</v>
      </c>
      <c r="Y147" s="785">
        <f t="shared" si="203"/>
        <v>0</v>
      </c>
      <c r="Z147" s="785">
        <f t="shared" si="203"/>
        <v>0</v>
      </c>
      <c r="AA147" s="785">
        <f t="shared" si="203"/>
        <v>0</v>
      </c>
      <c r="AB147" s="785">
        <f t="shared" si="203"/>
        <v>0</v>
      </c>
      <c r="AC147" s="785">
        <f t="shared" si="203"/>
        <v>0</v>
      </c>
      <c r="AD147" s="785">
        <f t="shared" si="203"/>
        <v>0</v>
      </c>
      <c r="AE147" s="785">
        <f t="shared" si="203"/>
        <v>0</v>
      </c>
      <c r="AF147" s="1046"/>
      <c r="AG147" s="1046"/>
      <c r="AH147" s="1046"/>
      <c r="AI147" s="1045"/>
      <c r="AJ147" s="745">
        <f t="shared" si="200"/>
        <v>0</v>
      </c>
      <c r="AK147" s="976"/>
      <c r="AL147" s="976"/>
      <c r="AM147" s="976"/>
      <c r="AN147" s="976"/>
      <c r="AO147" s="976"/>
      <c r="AP147" s="976"/>
      <c r="AQ147" s="976"/>
      <c r="AR147" s="976"/>
      <c r="AS147" s="976"/>
      <c r="AT147" s="976"/>
      <c r="AU147" s="976"/>
      <c r="AV147" s="976"/>
    </row>
    <row r="148" spans="1:48" s="795" customFormat="1" ht="21.95" hidden="1" customHeight="1">
      <c r="A148" s="2572"/>
      <c r="B148" s="2656"/>
      <c r="C148" s="977" t="s">
        <v>1814</v>
      </c>
      <c r="D148" s="978"/>
      <c r="E148" s="979"/>
      <c r="F148" s="752">
        <f t="shared" si="204"/>
        <v>0</v>
      </c>
      <c r="G148" s="752">
        <f t="shared" si="204"/>
        <v>0</v>
      </c>
      <c r="H148" s="752">
        <f t="shared" si="204"/>
        <v>0</v>
      </c>
      <c r="I148" s="752">
        <f t="shared" si="204"/>
        <v>0</v>
      </c>
      <c r="J148" s="752"/>
      <c r="K148" s="752"/>
      <c r="L148" s="752"/>
      <c r="M148" s="752"/>
      <c r="N148" s="980"/>
      <c r="O148" s="752">
        <f t="shared" si="204"/>
        <v>0</v>
      </c>
      <c r="P148" s="752">
        <f t="shared" si="204"/>
        <v>0</v>
      </c>
      <c r="Q148" s="752">
        <f t="shared" si="204"/>
        <v>0</v>
      </c>
      <c r="R148" s="752">
        <f t="shared" si="204"/>
        <v>0</v>
      </c>
      <c r="S148" s="752">
        <f t="shared" si="203"/>
        <v>0</v>
      </c>
      <c r="T148" s="752">
        <f t="shared" si="203"/>
        <v>0</v>
      </c>
      <c r="U148" s="752">
        <f t="shared" si="203"/>
        <v>0</v>
      </c>
      <c r="V148" s="752">
        <f t="shared" si="203"/>
        <v>0</v>
      </c>
      <c r="W148" s="752">
        <f t="shared" si="203"/>
        <v>0</v>
      </c>
      <c r="X148" s="752">
        <f t="shared" si="203"/>
        <v>0</v>
      </c>
      <c r="Y148" s="752">
        <f t="shared" si="203"/>
        <v>0</v>
      </c>
      <c r="Z148" s="752">
        <f t="shared" si="203"/>
        <v>0</v>
      </c>
      <c r="AA148" s="752">
        <f t="shared" si="203"/>
        <v>0</v>
      </c>
      <c r="AB148" s="752">
        <f t="shared" si="203"/>
        <v>0</v>
      </c>
      <c r="AC148" s="752">
        <f t="shared" si="203"/>
        <v>0</v>
      </c>
      <c r="AD148" s="752">
        <f t="shared" si="203"/>
        <v>0</v>
      </c>
      <c r="AE148" s="752">
        <f t="shared" si="203"/>
        <v>0</v>
      </c>
      <c r="AF148" s="926"/>
      <c r="AG148" s="926"/>
      <c r="AH148" s="926"/>
      <c r="AI148" s="753"/>
      <c r="AJ148" s="745">
        <f t="shared" si="200"/>
        <v>0</v>
      </c>
      <c r="AK148" s="976"/>
      <c r="AL148" s="976"/>
      <c r="AM148" s="976"/>
      <c r="AN148" s="976"/>
      <c r="AO148" s="976"/>
      <c r="AP148" s="976"/>
      <c r="AQ148" s="976"/>
      <c r="AR148" s="976"/>
      <c r="AS148" s="976"/>
      <c r="AT148" s="976"/>
      <c r="AU148" s="976"/>
      <c r="AV148" s="976"/>
    </row>
    <row r="149" spans="1:48" s="795" customFormat="1" ht="21.95" hidden="1" customHeight="1">
      <c r="A149" s="2572"/>
      <c r="B149" s="2656"/>
      <c r="C149" s="977" t="s">
        <v>1815</v>
      </c>
      <c r="D149" s="1035"/>
      <c r="E149" s="1047"/>
      <c r="F149" s="752">
        <f t="shared" si="204"/>
        <v>0</v>
      </c>
      <c r="G149" s="752">
        <f t="shared" si="204"/>
        <v>0</v>
      </c>
      <c r="H149" s="752">
        <f t="shared" si="204"/>
        <v>0</v>
      </c>
      <c r="I149" s="752">
        <f t="shared" si="204"/>
        <v>0</v>
      </c>
      <c r="J149" s="752"/>
      <c r="K149" s="752"/>
      <c r="L149" s="752"/>
      <c r="M149" s="752"/>
      <c r="N149" s="980"/>
      <c r="O149" s="752">
        <f t="shared" si="204"/>
        <v>0</v>
      </c>
      <c r="P149" s="752">
        <f t="shared" si="204"/>
        <v>0</v>
      </c>
      <c r="Q149" s="752">
        <f t="shared" si="204"/>
        <v>0</v>
      </c>
      <c r="R149" s="752">
        <f t="shared" si="204"/>
        <v>0</v>
      </c>
      <c r="S149" s="752">
        <f t="shared" si="203"/>
        <v>0</v>
      </c>
      <c r="T149" s="752">
        <f t="shared" si="203"/>
        <v>0</v>
      </c>
      <c r="U149" s="752">
        <f t="shared" si="203"/>
        <v>0</v>
      </c>
      <c r="V149" s="752">
        <f t="shared" si="203"/>
        <v>0</v>
      </c>
      <c r="W149" s="1048">
        <f t="shared" si="203"/>
        <v>0</v>
      </c>
      <c r="X149" s="1048">
        <f t="shared" si="203"/>
        <v>0</v>
      </c>
      <c r="Y149" s="1048">
        <f t="shared" si="203"/>
        <v>0</v>
      </c>
      <c r="Z149" s="1048">
        <f t="shared" si="203"/>
        <v>0</v>
      </c>
      <c r="AA149" s="1048">
        <f t="shared" si="203"/>
        <v>0</v>
      </c>
      <c r="AB149" s="1048">
        <f t="shared" si="203"/>
        <v>0</v>
      </c>
      <c r="AC149" s="1048">
        <f t="shared" si="203"/>
        <v>0</v>
      </c>
      <c r="AD149" s="1048">
        <f t="shared" si="203"/>
        <v>0</v>
      </c>
      <c r="AE149" s="1048">
        <f t="shared" si="203"/>
        <v>0</v>
      </c>
      <c r="AF149" s="1050"/>
      <c r="AG149" s="1050"/>
      <c r="AH149" s="1050"/>
      <c r="AI149" s="753"/>
      <c r="AJ149" s="745">
        <f t="shared" si="200"/>
        <v>0</v>
      </c>
      <c r="AK149" s="976"/>
      <c r="AL149" s="976"/>
      <c r="AM149" s="976"/>
      <c r="AN149" s="976"/>
      <c r="AO149" s="976"/>
      <c r="AP149" s="976"/>
      <c r="AQ149" s="976"/>
      <c r="AR149" s="976"/>
      <c r="AS149" s="976"/>
      <c r="AT149" s="976"/>
      <c r="AU149" s="976"/>
      <c r="AV149" s="976"/>
    </row>
    <row r="150" spans="1:48" s="795" customFormat="1" ht="21.95" hidden="1" customHeight="1">
      <c r="A150" s="2572"/>
      <c r="B150" s="2656"/>
      <c r="C150" s="977" t="s">
        <v>1816</v>
      </c>
      <c r="D150" s="1029"/>
      <c r="E150" s="1043"/>
      <c r="F150" s="752">
        <f t="shared" si="204"/>
        <v>0</v>
      </c>
      <c r="G150" s="752">
        <f t="shared" si="204"/>
        <v>0</v>
      </c>
      <c r="H150" s="752">
        <f t="shared" si="204"/>
        <v>0</v>
      </c>
      <c r="I150" s="752">
        <f t="shared" si="204"/>
        <v>0</v>
      </c>
      <c r="J150" s="752"/>
      <c r="K150" s="752"/>
      <c r="L150" s="752"/>
      <c r="M150" s="752"/>
      <c r="N150" s="980"/>
      <c r="O150" s="752">
        <f t="shared" si="204"/>
        <v>0</v>
      </c>
      <c r="P150" s="752">
        <f t="shared" si="204"/>
        <v>0</v>
      </c>
      <c r="Q150" s="752">
        <f t="shared" si="204"/>
        <v>0</v>
      </c>
      <c r="R150" s="752">
        <f t="shared" si="204"/>
        <v>0</v>
      </c>
      <c r="S150" s="752">
        <f t="shared" si="203"/>
        <v>0</v>
      </c>
      <c r="T150" s="752">
        <f t="shared" si="203"/>
        <v>0</v>
      </c>
      <c r="U150" s="752">
        <f t="shared" si="203"/>
        <v>0</v>
      </c>
      <c r="V150" s="752">
        <f t="shared" si="203"/>
        <v>0</v>
      </c>
      <c r="W150" s="785">
        <f t="shared" si="203"/>
        <v>0</v>
      </c>
      <c r="X150" s="785">
        <f t="shared" si="203"/>
        <v>0</v>
      </c>
      <c r="Y150" s="785">
        <f t="shared" si="203"/>
        <v>0</v>
      </c>
      <c r="Z150" s="785">
        <f t="shared" si="203"/>
        <v>0</v>
      </c>
      <c r="AA150" s="785">
        <f t="shared" si="203"/>
        <v>0</v>
      </c>
      <c r="AB150" s="785">
        <f t="shared" si="203"/>
        <v>0</v>
      </c>
      <c r="AC150" s="785">
        <f t="shared" si="203"/>
        <v>0</v>
      </c>
      <c r="AD150" s="785">
        <f t="shared" si="203"/>
        <v>0</v>
      </c>
      <c r="AE150" s="785">
        <f t="shared" si="203"/>
        <v>0</v>
      </c>
      <c r="AF150" s="1046"/>
      <c r="AG150" s="1046"/>
      <c r="AH150" s="1046"/>
      <c r="AI150" s="753"/>
      <c r="AJ150" s="745">
        <f t="shared" si="200"/>
        <v>0</v>
      </c>
      <c r="AK150" s="976"/>
      <c r="AL150" s="976"/>
      <c r="AM150" s="976"/>
      <c r="AN150" s="976"/>
      <c r="AO150" s="976"/>
      <c r="AP150" s="976"/>
      <c r="AQ150" s="976"/>
      <c r="AR150" s="976"/>
      <c r="AS150" s="976"/>
      <c r="AT150" s="976"/>
      <c r="AU150" s="976"/>
      <c r="AV150" s="976"/>
    </row>
    <row r="151" spans="1:48" s="795" customFormat="1" ht="21.95" hidden="1" customHeight="1">
      <c r="A151" s="2572"/>
      <c r="B151" s="2656"/>
      <c r="C151" s="977" t="s">
        <v>1817</v>
      </c>
      <c r="D151" s="1035"/>
      <c r="E151" s="1047"/>
      <c r="F151" s="1048">
        <f t="shared" si="204"/>
        <v>0</v>
      </c>
      <c r="G151" s="1048">
        <f t="shared" si="204"/>
        <v>0</v>
      </c>
      <c r="H151" s="1048">
        <f t="shared" si="204"/>
        <v>0</v>
      </c>
      <c r="I151" s="1048">
        <f t="shared" si="204"/>
        <v>0</v>
      </c>
      <c r="J151" s="1048"/>
      <c r="K151" s="1048"/>
      <c r="L151" s="1048"/>
      <c r="M151" s="1048"/>
      <c r="N151" s="1049"/>
      <c r="O151" s="1048">
        <f t="shared" si="204"/>
        <v>0</v>
      </c>
      <c r="P151" s="1048">
        <f t="shared" si="204"/>
        <v>0</v>
      </c>
      <c r="Q151" s="1048">
        <f t="shared" si="204"/>
        <v>0</v>
      </c>
      <c r="R151" s="1048">
        <f t="shared" si="204"/>
        <v>0</v>
      </c>
      <c r="S151" s="1048">
        <f t="shared" si="203"/>
        <v>0</v>
      </c>
      <c r="T151" s="1048">
        <f t="shared" si="203"/>
        <v>0</v>
      </c>
      <c r="U151" s="1048">
        <f t="shared" si="203"/>
        <v>0</v>
      </c>
      <c r="V151" s="1048">
        <f t="shared" si="203"/>
        <v>0</v>
      </c>
      <c r="W151" s="1048">
        <f t="shared" si="203"/>
        <v>0</v>
      </c>
      <c r="X151" s="1048">
        <f t="shared" si="203"/>
        <v>0</v>
      </c>
      <c r="Y151" s="1048">
        <f t="shared" si="203"/>
        <v>0</v>
      </c>
      <c r="Z151" s="1048">
        <f t="shared" si="203"/>
        <v>0</v>
      </c>
      <c r="AA151" s="1048">
        <f t="shared" si="203"/>
        <v>0</v>
      </c>
      <c r="AB151" s="1048">
        <f t="shared" si="203"/>
        <v>0</v>
      </c>
      <c r="AC151" s="1048">
        <f t="shared" si="203"/>
        <v>0</v>
      </c>
      <c r="AD151" s="1048">
        <f t="shared" si="203"/>
        <v>0</v>
      </c>
      <c r="AE151" s="1048">
        <f t="shared" si="203"/>
        <v>0</v>
      </c>
      <c r="AF151" s="1050"/>
      <c r="AG151" s="1050"/>
      <c r="AH151" s="1050"/>
      <c r="AI151" s="1051"/>
      <c r="AJ151" s="745">
        <f t="shared" si="200"/>
        <v>0</v>
      </c>
      <c r="AK151" s="976"/>
      <c r="AL151" s="976"/>
      <c r="AM151" s="976"/>
      <c r="AN151" s="976"/>
      <c r="AO151" s="976"/>
      <c r="AP151" s="976"/>
      <c r="AQ151" s="976"/>
      <c r="AR151" s="976"/>
      <c r="AS151" s="976"/>
      <c r="AT151" s="976"/>
      <c r="AU151" s="976"/>
      <c r="AV151" s="976"/>
    </row>
    <row r="152" spans="1:48" s="795" customFormat="1" ht="21.95" hidden="1" customHeight="1">
      <c r="A152" s="2572"/>
      <c r="B152" s="2656"/>
      <c r="C152" s="977" t="s">
        <v>1818</v>
      </c>
      <c r="D152" s="1029"/>
      <c r="E152" s="1043"/>
      <c r="F152" s="785">
        <f t="shared" si="204"/>
        <v>0</v>
      </c>
      <c r="G152" s="785">
        <f t="shared" si="204"/>
        <v>0</v>
      </c>
      <c r="H152" s="785">
        <f t="shared" si="204"/>
        <v>0</v>
      </c>
      <c r="I152" s="785">
        <f t="shared" si="204"/>
        <v>0</v>
      </c>
      <c r="J152" s="785"/>
      <c r="K152" s="785"/>
      <c r="L152" s="785"/>
      <c r="M152" s="785"/>
      <c r="N152" s="1044"/>
      <c r="O152" s="785">
        <f t="shared" si="204"/>
        <v>0</v>
      </c>
      <c r="P152" s="785">
        <f t="shared" si="204"/>
        <v>0</v>
      </c>
      <c r="Q152" s="785">
        <f t="shared" si="204"/>
        <v>0</v>
      </c>
      <c r="R152" s="785">
        <f t="shared" si="204"/>
        <v>0</v>
      </c>
      <c r="S152" s="785">
        <f t="shared" si="203"/>
        <v>0</v>
      </c>
      <c r="T152" s="785">
        <f t="shared" si="203"/>
        <v>0</v>
      </c>
      <c r="U152" s="785">
        <f t="shared" si="203"/>
        <v>0</v>
      </c>
      <c r="V152" s="785">
        <f t="shared" si="203"/>
        <v>0</v>
      </c>
      <c r="W152" s="785">
        <f t="shared" si="203"/>
        <v>0</v>
      </c>
      <c r="X152" s="785">
        <f t="shared" si="203"/>
        <v>0</v>
      </c>
      <c r="Y152" s="785">
        <f t="shared" si="203"/>
        <v>0</v>
      </c>
      <c r="Z152" s="785">
        <f t="shared" si="203"/>
        <v>0</v>
      </c>
      <c r="AA152" s="785">
        <f t="shared" si="203"/>
        <v>0</v>
      </c>
      <c r="AB152" s="785">
        <f t="shared" si="203"/>
        <v>0</v>
      </c>
      <c r="AC152" s="785">
        <f t="shared" si="203"/>
        <v>0</v>
      </c>
      <c r="AD152" s="785">
        <f t="shared" si="203"/>
        <v>0</v>
      </c>
      <c r="AE152" s="785">
        <f t="shared" si="203"/>
        <v>0</v>
      </c>
      <c r="AF152" s="1046"/>
      <c r="AG152" s="1046"/>
      <c r="AH152" s="1046"/>
      <c r="AI152" s="1045"/>
      <c r="AJ152" s="745">
        <f t="shared" si="200"/>
        <v>0</v>
      </c>
      <c r="AK152" s="976"/>
      <c r="AL152" s="976"/>
      <c r="AM152" s="976"/>
      <c r="AN152" s="976"/>
      <c r="AO152" s="976"/>
      <c r="AP152" s="976"/>
      <c r="AQ152" s="976"/>
      <c r="AR152" s="976"/>
      <c r="AS152" s="976"/>
      <c r="AT152" s="976"/>
      <c r="AU152" s="976"/>
      <c r="AV152" s="976"/>
    </row>
    <row r="153" spans="1:48" s="795" customFormat="1" ht="21.95" hidden="1" customHeight="1" thickBot="1">
      <c r="A153" s="2572"/>
      <c r="B153" s="2657"/>
      <c r="C153" s="982" t="s">
        <v>1819</v>
      </c>
      <c r="D153" s="983"/>
      <c r="E153" s="984"/>
      <c r="F153" s="761">
        <f t="shared" si="204"/>
        <v>0</v>
      </c>
      <c r="G153" s="761">
        <f t="shared" si="204"/>
        <v>0</v>
      </c>
      <c r="H153" s="761">
        <f t="shared" si="204"/>
        <v>0</v>
      </c>
      <c r="I153" s="761">
        <f t="shared" si="204"/>
        <v>0</v>
      </c>
      <c r="J153" s="761"/>
      <c r="K153" s="761"/>
      <c r="L153" s="761"/>
      <c r="M153" s="761"/>
      <c r="N153" s="985"/>
      <c r="O153" s="761">
        <f t="shared" si="204"/>
        <v>0</v>
      </c>
      <c r="P153" s="761">
        <f t="shared" si="204"/>
        <v>0</v>
      </c>
      <c r="Q153" s="761">
        <f t="shared" si="204"/>
        <v>0</v>
      </c>
      <c r="R153" s="761">
        <f t="shared" si="204"/>
        <v>0</v>
      </c>
      <c r="S153" s="761">
        <f t="shared" si="203"/>
        <v>0</v>
      </c>
      <c r="T153" s="761">
        <f t="shared" si="203"/>
        <v>0</v>
      </c>
      <c r="U153" s="761">
        <f t="shared" si="203"/>
        <v>0</v>
      </c>
      <c r="V153" s="761">
        <f t="shared" si="203"/>
        <v>0</v>
      </c>
      <c r="W153" s="761">
        <f t="shared" si="203"/>
        <v>0</v>
      </c>
      <c r="X153" s="761">
        <f t="shared" si="203"/>
        <v>0</v>
      </c>
      <c r="Y153" s="761">
        <f t="shared" si="203"/>
        <v>0</v>
      </c>
      <c r="Z153" s="761">
        <f t="shared" si="203"/>
        <v>0</v>
      </c>
      <c r="AA153" s="761">
        <f t="shared" si="203"/>
        <v>0</v>
      </c>
      <c r="AB153" s="761">
        <f t="shared" si="203"/>
        <v>0</v>
      </c>
      <c r="AC153" s="761">
        <f t="shared" si="203"/>
        <v>0</v>
      </c>
      <c r="AD153" s="761">
        <f t="shared" si="203"/>
        <v>0</v>
      </c>
      <c r="AE153" s="761">
        <f t="shared" si="203"/>
        <v>0</v>
      </c>
      <c r="AF153" s="986"/>
      <c r="AG153" s="986"/>
      <c r="AH153" s="986"/>
      <c r="AI153" s="769"/>
      <c r="AJ153" s="745">
        <f t="shared" si="200"/>
        <v>0</v>
      </c>
      <c r="AK153" s="976"/>
      <c r="AL153" s="976"/>
      <c r="AM153" s="976"/>
      <c r="AN153" s="976"/>
      <c r="AO153" s="976"/>
      <c r="AP153" s="976"/>
      <c r="AQ153" s="976"/>
      <c r="AR153" s="976"/>
      <c r="AS153" s="976"/>
      <c r="AT153" s="976"/>
      <c r="AU153" s="976"/>
      <c r="AV153" s="976"/>
    </row>
    <row r="154" spans="1:48" s="795" customFormat="1" ht="21.95" hidden="1" customHeight="1">
      <c r="A154" s="2572"/>
      <c r="B154" s="2642" t="s">
        <v>1822</v>
      </c>
      <c r="C154" s="970" t="s">
        <v>1647</v>
      </c>
      <c r="D154" s="971"/>
      <c r="E154" s="972"/>
      <c r="F154" s="743">
        <f>Dren_Quantificacao!D19</f>
        <v>0</v>
      </c>
      <c r="G154" s="743">
        <f>Dren_Quantificacao!E19</f>
        <v>0</v>
      </c>
      <c r="H154" s="743">
        <f>Dren_Quantificacao!F19</f>
        <v>0</v>
      </c>
      <c r="I154" s="743">
        <f>Dren_Quantificacao!G19</f>
        <v>0</v>
      </c>
      <c r="J154" s="743"/>
      <c r="K154" s="743"/>
      <c r="L154" s="743"/>
      <c r="M154" s="743"/>
      <c r="N154" s="973"/>
      <c r="O154" s="743">
        <f>Dren_Quantificacao!L19</f>
        <v>0</v>
      </c>
      <c r="P154" s="743">
        <f>Dren_Quantificacao!M19</f>
        <v>0</v>
      </c>
      <c r="Q154" s="743">
        <f>Dren_Quantificacao!N19</f>
        <v>0</v>
      </c>
      <c r="R154" s="743">
        <f>Dren_Quantificacao!O19</f>
        <v>0</v>
      </c>
      <c r="S154" s="743">
        <f>Dren_Quantificacao!BD19</f>
        <v>0</v>
      </c>
      <c r="T154" s="743">
        <f>Dren_Quantificacao!BE19</f>
        <v>0</v>
      </c>
      <c r="U154" s="743">
        <f>Dren_Quantificacao!BF19</f>
        <v>0</v>
      </c>
      <c r="V154" s="743">
        <f>Dren_Quantificacao!BG19</f>
        <v>0</v>
      </c>
      <c r="W154" s="743">
        <f>Dren_Quantificacao!BH19</f>
        <v>0</v>
      </c>
      <c r="X154" s="743">
        <f>Dren_Quantificacao!BI19</f>
        <v>0</v>
      </c>
      <c r="Y154" s="743">
        <f>Dren_Quantificacao!BJ19</f>
        <v>0</v>
      </c>
      <c r="Z154" s="743">
        <f>Dren_Quantificacao!BK19</f>
        <v>0</v>
      </c>
      <c r="AA154" s="743">
        <f>Dren_Quantificacao!BL19</f>
        <v>0</v>
      </c>
      <c r="AB154" s="743">
        <f>Dren_Quantificacao!BM19</f>
        <v>0</v>
      </c>
      <c r="AC154" s="743">
        <f>Dren_Quantificacao!BN19</f>
        <v>0</v>
      </c>
      <c r="AD154" s="743">
        <f>Dren_Quantificacao!BO19</f>
        <v>0</v>
      </c>
      <c r="AE154" s="743">
        <f>Dren_Quantificacao!BP19</f>
        <v>0</v>
      </c>
      <c r="AF154" s="974"/>
      <c r="AG154" s="974"/>
      <c r="AH154" s="974"/>
      <c r="AI154" s="975"/>
      <c r="AJ154" s="745">
        <f t="shared" si="200"/>
        <v>0</v>
      </c>
      <c r="AK154" s="976"/>
      <c r="AL154" s="976"/>
      <c r="AM154" s="976"/>
      <c r="AN154" s="976"/>
      <c r="AO154" s="976"/>
      <c r="AP154" s="976"/>
      <c r="AQ154" s="976"/>
      <c r="AR154" s="976"/>
      <c r="AS154" s="976"/>
      <c r="AT154" s="976"/>
      <c r="AU154" s="976"/>
      <c r="AV154" s="976"/>
    </row>
    <row r="155" spans="1:48" s="795" customFormat="1" ht="21.95" hidden="1" customHeight="1">
      <c r="A155" s="2572"/>
      <c r="B155" s="2643"/>
      <c r="C155" s="977" t="s">
        <v>1539</v>
      </c>
      <c r="D155" s="978"/>
      <c r="E155" s="979"/>
      <c r="F155" s="752">
        <f>Dren_Quantificacao!D20</f>
        <v>0</v>
      </c>
      <c r="G155" s="752">
        <f>Dren_Quantificacao!E20</f>
        <v>0</v>
      </c>
      <c r="H155" s="752">
        <f>Dren_Quantificacao!F20</f>
        <v>0</v>
      </c>
      <c r="I155" s="752">
        <f>Dren_Quantificacao!G20</f>
        <v>0</v>
      </c>
      <c r="J155" s="752"/>
      <c r="K155" s="752"/>
      <c r="L155" s="752"/>
      <c r="M155" s="752"/>
      <c r="N155" s="980"/>
      <c r="O155" s="752">
        <f>Dren_Quantificacao!L20</f>
        <v>0</v>
      </c>
      <c r="P155" s="752">
        <f>Dren_Quantificacao!M20</f>
        <v>0</v>
      </c>
      <c r="Q155" s="752">
        <f>Dren_Quantificacao!N20</f>
        <v>0</v>
      </c>
      <c r="R155" s="752">
        <f>Dren_Quantificacao!O20</f>
        <v>0</v>
      </c>
      <c r="S155" s="752">
        <f>Dren_Quantificacao!BD20</f>
        <v>0</v>
      </c>
      <c r="T155" s="752">
        <f>Dren_Quantificacao!BE20</f>
        <v>0</v>
      </c>
      <c r="U155" s="752">
        <f>Dren_Quantificacao!BF20</f>
        <v>0</v>
      </c>
      <c r="V155" s="752">
        <f>Dren_Quantificacao!BG20</f>
        <v>0</v>
      </c>
      <c r="W155" s="752">
        <f>Dren_Quantificacao!BH20</f>
        <v>0</v>
      </c>
      <c r="X155" s="752">
        <f>Dren_Quantificacao!BI20</f>
        <v>0</v>
      </c>
      <c r="Y155" s="752">
        <f>Dren_Quantificacao!BJ20</f>
        <v>0</v>
      </c>
      <c r="Z155" s="752">
        <f>Dren_Quantificacao!BK20</f>
        <v>0</v>
      </c>
      <c r="AA155" s="752">
        <f>Dren_Quantificacao!BL20</f>
        <v>0</v>
      </c>
      <c r="AB155" s="752">
        <f>Dren_Quantificacao!BM20</f>
        <v>0</v>
      </c>
      <c r="AC155" s="752">
        <f>Dren_Quantificacao!BN20</f>
        <v>0</v>
      </c>
      <c r="AD155" s="752">
        <f>Dren_Quantificacao!BO20</f>
        <v>0</v>
      </c>
      <c r="AE155" s="752">
        <f>Dren_Quantificacao!BP20</f>
        <v>0</v>
      </c>
      <c r="AF155" s="926"/>
      <c r="AG155" s="926"/>
      <c r="AH155" s="926"/>
      <c r="AI155" s="751"/>
      <c r="AJ155" s="745">
        <f t="shared" si="200"/>
        <v>0</v>
      </c>
      <c r="AK155" s="976"/>
      <c r="AL155" s="976"/>
      <c r="AM155" s="976"/>
      <c r="AN155" s="976"/>
      <c r="AO155" s="976"/>
      <c r="AP155" s="976"/>
      <c r="AQ155" s="976"/>
      <c r="AR155" s="976"/>
      <c r="AS155" s="976"/>
      <c r="AT155" s="976"/>
      <c r="AU155" s="976"/>
      <c r="AV155" s="976"/>
    </row>
    <row r="156" spans="1:48" s="795" customFormat="1" ht="21.95" hidden="1" customHeight="1">
      <c r="A156" s="2572"/>
      <c r="B156" s="2643"/>
      <c r="C156" s="977" t="s">
        <v>1355</v>
      </c>
      <c r="D156" s="978"/>
      <c r="E156" s="979"/>
      <c r="F156" s="752">
        <f t="shared" ref="F156:R156" si="205">IF(F154&gt;0,F33+F34,0)</f>
        <v>0</v>
      </c>
      <c r="G156" s="752">
        <f t="shared" si="205"/>
        <v>0</v>
      </c>
      <c r="H156" s="752">
        <f t="shared" si="205"/>
        <v>0</v>
      </c>
      <c r="I156" s="752">
        <f t="shared" si="205"/>
        <v>0</v>
      </c>
      <c r="J156" s="752"/>
      <c r="K156" s="752"/>
      <c r="L156" s="752"/>
      <c r="M156" s="752"/>
      <c r="N156" s="980"/>
      <c r="O156" s="752">
        <f t="shared" si="205"/>
        <v>0</v>
      </c>
      <c r="P156" s="752">
        <f t="shared" si="205"/>
        <v>0</v>
      </c>
      <c r="Q156" s="752">
        <f t="shared" si="205"/>
        <v>0</v>
      </c>
      <c r="R156" s="752">
        <f t="shared" si="205"/>
        <v>0</v>
      </c>
      <c r="S156" s="752">
        <f>IF(S154&gt;0,S33+S34,0)</f>
        <v>0</v>
      </c>
      <c r="T156" s="752">
        <f>IF(T154&gt;0,T33+T34,0)</f>
        <v>0</v>
      </c>
      <c r="U156" s="752">
        <f t="shared" ref="U156:AE156" si="206">IF(U154&gt;0,U33+U34,0)</f>
        <v>0</v>
      </c>
      <c r="V156" s="752">
        <f>IF(V154&gt;0,V33+V34,0)</f>
        <v>0</v>
      </c>
      <c r="W156" s="752">
        <f t="shared" si="206"/>
        <v>0</v>
      </c>
      <c r="X156" s="752">
        <f t="shared" si="206"/>
        <v>0</v>
      </c>
      <c r="Y156" s="752">
        <f t="shared" si="206"/>
        <v>0</v>
      </c>
      <c r="Z156" s="752">
        <f t="shared" si="206"/>
        <v>0</v>
      </c>
      <c r="AA156" s="752">
        <f t="shared" si="206"/>
        <v>0</v>
      </c>
      <c r="AB156" s="752">
        <f t="shared" si="206"/>
        <v>0</v>
      </c>
      <c r="AC156" s="752">
        <f t="shared" si="206"/>
        <v>0</v>
      </c>
      <c r="AD156" s="752">
        <f t="shared" si="206"/>
        <v>0</v>
      </c>
      <c r="AE156" s="752">
        <f t="shared" si="206"/>
        <v>0</v>
      </c>
      <c r="AF156" s="926"/>
      <c r="AG156" s="926"/>
      <c r="AH156" s="926"/>
      <c r="AI156" s="1088"/>
      <c r="AJ156" s="745">
        <f t="shared" si="200"/>
        <v>0</v>
      </c>
      <c r="AK156" s="976"/>
      <c r="AL156" s="976"/>
      <c r="AM156" s="976"/>
      <c r="AN156" s="976"/>
      <c r="AO156" s="976"/>
      <c r="AP156" s="976"/>
      <c r="AQ156" s="976"/>
      <c r="AR156" s="976"/>
      <c r="AS156" s="976"/>
      <c r="AT156" s="976"/>
      <c r="AU156" s="976"/>
      <c r="AV156" s="976"/>
    </row>
    <row r="157" spans="1:48" s="795" customFormat="1" ht="21.95" hidden="1" customHeight="1">
      <c r="A157" s="2572"/>
      <c r="B157" s="2643"/>
      <c r="C157" s="977" t="s">
        <v>1823</v>
      </c>
      <c r="D157" s="978"/>
      <c r="E157" s="979"/>
      <c r="F157" s="752">
        <f t="shared" ref="F157:R157" si="207">IF(F156&lt;=1.5,F156*F155*F154,0)</f>
        <v>0</v>
      </c>
      <c r="G157" s="752">
        <f t="shared" si="207"/>
        <v>0</v>
      </c>
      <c r="H157" s="752">
        <f t="shared" si="207"/>
        <v>0</v>
      </c>
      <c r="I157" s="752">
        <f t="shared" si="207"/>
        <v>0</v>
      </c>
      <c r="J157" s="752"/>
      <c r="K157" s="752"/>
      <c r="L157" s="752"/>
      <c r="M157" s="752"/>
      <c r="N157" s="980"/>
      <c r="O157" s="752">
        <f t="shared" si="207"/>
        <v>0</v>
      </c>
      <c r="P157" s="752">
        <f t="shared" si="207"/>
        <v>0</v>
      </c>
      <c r="Q157" s="752">
        <f t="shared" si="207"/>
        <v>0</v>
      </c>
      <c r="R157" s="752">
        <f t="shared" si="207"/>
        <v>0</v>
      </c>
      <c r="S157" s="752">
        <f>IF(S156&lt;=1.5,S156*S155*S154,0)</f>
        <v>0</v>
      </c>
      <c r="T157" s="752">
        <f>IF(AND(T29=1,T156&lt;=1.5),T156*T155*T154,0)</f>
        <v>0</v>
      </c>
      <c r="U157" s="752">
        <f t="shared" ref="U157:AE157" si="208">IF(AND(U29=1,U156&lt;=1.5),U156*U155*U154,0)</f>
        <v>0</v>
      </c>
      <c r="V157" s="752">
        <f>IF(AND(V29=1,V156&lt;=1.5),V156*V155*V154,0)</f>
        <v>0</v>
      </c>
      <c r="W157" s="752">
        <f t="shared" si="208"/>
        <v>0</v>
      </c>
      <c r="X157" s="752">
        <f t="shared" si="208"/>
        <v>0</v>
      </c>
      <c r="Y157" s="752">
        <f t="shared" si="208"/>
        <v>0</v>
      </c>
      <c r="Z157" s="752">
        <f t="shared" si="208"/>
        <v>0</v>
      </c>
      <c r="AA157" s="752">
        <f t="shared" si="208"/>
        <v>0</v>
      </c>
      <c r="AB157" s="752">
        <f t="shared" si="208"/>
        <v>0</v>
      </c>
      <c r="AC157" s="752">
        <f t="shared" si="208"/>
        <v>0</v>
      </c>
      <c r="AD157" s="752">
        <f t="shared" si="208"/>
        <v>0</v>
      </c>
      <c r="AE157" s="752">
        <f t="shared" si="208"/>
        <v>0</v>
      </c>
      <c r="AF157" s="926"/>
      <c r="AG157" s="926"/>
      <c r="AH157" s="926"/>
      <c r="AI157" s="753"/>
      <c r="AJ157" s="745">
        <f t="shared" si="200"/>
        <v>0</v>
      </c>
      <c r="AK157" s="976"/>
      <c r="AL157" s="976"/>
      <c r="AM157" s="976"/>
      <c r="AN157" s="976"/>
      <c r="AO157" s="976"/>
      <c r="AP157" s="976"/>
      <c r="AQ157" s="976"/>
      <c r="AR157" s="976"/>
      <c r="AS157" s="976"/>
      <c r="AT157" s="976"/>
      <c r="AU157" s="976"/>
      <c r="AV157" s="976"/>
    </row>
    <row r="158" spans="1:48" s="795" customFormat="1" ht="21.95" hidden="1" customHeight="1">
      <c r="A158" s="2572"/>
      <c r="B158" s="2643"/>
      <c r="C158" s="977" t="s">
        <v>1824</v>
      </c>
      <c r="D158" s="978"/>
      <c r="E158" s="979"/>
      <c r="F158" s="752">
        <f t="shared" ref="F158:R158" si="209">IF(F156&gt;1.5,F156*F155*F154,0)</f>
        <v>0</v>
      </c>
      <c r="G158" s="752">
        <f t="shared" si="209"/>
        <v>0</v>
      </c>
      <c r="H158" s="752">
        <f t="shared" si="209"/>
        <v>0</v>
      </c>
      <c r="I158" s="752">
        <f t="shared" si="209"/>
        <v>0</v>
      </c>
      <c r="J158" s="752"/>
      <c r="K158" s="752"/>
      <c r="L158" s="752"/>
      <c r="M158" s="752"/>
      <c r="N158" s="980"/>
      <c r="O158" s="752">
        <f t="shared" si="209"/>
        <v>0</v>
      </c>
      <c r="P158" s="752">
        <f t="shared" si="209"/>
        <v>0</v>
      </c>
      <c r="Q158" s="752">
        <f t="shared" si="209"/>
        <v>0</v>
      </c>
      <c r="R158" s="752">
        <f t="shared" si="209"/>
        <v>0</v>
      </c>
      <c r="S158" s="752">
        <f>IF(S156&gt;1.5,S156*S155*S154,0)</f>
        <v>0</v>
      </c>
      <c r="T158" s="752">
        <f>IF(AND(T29=1,T156&gt;1.5),T156*T155*T154,0)</f>
        <v>0</v>
      </c>
      <c r="U158" s="752">
        <f t="shared" ref="U158:AE158" si="210">IF(AND(U29=1,U156&gt;1.5),U156*U155*U154,0)</f>
        <v>0</v>
      </c>
      <c r="V158" s="752">
        <f>IF(AND(V29=1,V156&gt;1.5),V156*V155*V154,0)</f>
        <v>0</v>
      </c>
      <c r="W158" s="752">
        <f t="shared" si="210"/>
        <v>0</v>
      </c>
      <c r="X158" s="752">
        <f t="shared" si="210"/>
        <v>0</v>
      </c>
      <c r="Y158" s="752">
        <f t="shared" si="210"/>
        <v>0</v>
      </c>
      <c r="Z158" s="752">
        <f t="shared" si="210"/>
        <v>0</v>
      </c>
      <c r="AA158" s="752">
        <f t="shared" si="210"/>
        <v>0</v>
      </c>
      <c r="AB158" s="752">
        <f t="shared" si="210"/>
        <v>0</v>
      </c>
      <c r="AC158" s="752">
        <f t="shared" si="210"/>
        <v>0</v>
      </c>
      <c r="AD158" s="752">
        <f t="shared" si="210"/>
        <v>0</v>
      </c>
      <c r="AE158" s="752">
        <f t="shared" si="210"/>
        <v>0</v>
      </c>
      <c r="AF158" s="926"/>
      <c r="AG158" s="926"/>
      <c r="AH158" s="926"/>
      <c r="AI158" s="753"/>
      <c r="AJ158" s="745">
        <f t="shared" si="200"/>
        <v>0</v>
      </c>
      <c r="AK158" s="976"/>
      <c r="AL158" s="976"/>
      <c r="AM158" s="976"/>
      <c r="AN158" s="976"/>
      <c r="AO158" s="976"/>
      <c r="AP158" s="976"/>
      <c r="AQ158" s="976"/>
      <c r="AR158" s="976"/>
      <c r="AS158" s="976"/>
      <c r="AT158" s="976"/>
      <c r="AU158" s="976"/>
      <c r="AV158" s="976"/>
    </row>
    <row r="159" spans="1:48" s="795" customFormat="1" ht="21.95" hidden="1" customHeight="1" thickBot="1">
      <c r="A159" s="2572"/>
      <c r="B159" s="2644"/>
      <c r="C159" s="982" t="s">
        <v>1825</v>
      </c>
      <c r="D159" s="983"/>
      <c r="E159" s="984"/>
      <c r="F159" s="761">
        <f t="shared" ref="F159:R159" si="211">SUM(F157:F158)*1.1</f>
        <v>0</v>
      </c>
      <c r="G159" s="761">
        <f t="shared" si="211"/>
        <v>0</v>
      </c>
      <c r="H159" s="761">
        <f t="shared" si="211"/>
        <v>0</v>
      </c>
      <c r="I159" s="761">
        <f t="shared" si="211"/>
        <v>0</v>
      </c>
      <c r="J159" s="761"/>
      <c r="K159" s="761"/>
      <c r="L159" s="761"/>
      <c r="M159" s="761"/>
      <c r="N159" s="985"/>
      <c r="O159" s="761">
        <f t="shared" si="211"/>
        <v>0</v>
      </c>
      <c r="P159" s="761">
        <f t="shared" si="211"/>
        <v>0</v>
      </c>
      <c r="Q159" s="761">
        <f t="shared" si="211"/>
        <v>0</v>
      </c>
      <c r="R159" s="761">
        <f t="shared" si="211"/>
        <v>0</v>
      </c>
      <c r="S159" s="761">
        <f>SUM(S157:S158)*1.1</f>
        <v>0</v>
      </c>
      <c r="T159" s="761">
        <f>SUM(T157:T158)*1.1</f>
        <v>0</v>
      </c>
      <c r="U159" s="761">
        <f t="shared" ref="U159:AE159" si="212">SUM(U157:U158)*1.1</f>
        <v>0</v>
      </c>
      <c r="V159" s="761">
        <f>SUM(V157:V158)*1.1</f>
        <v>0</v>
      </c>
      <c r="W159" s="761">
        <f t="shared" si="212"/>
        <v>0</v>
      </c>
      <c r="X159" s="761">
        <f t="shared" si="212"/>
        <v>0</v>
      </c>
      <c r="Y159" s="761">
        <f t="shared" si="212"/>
        <v>0</v>
      </c>
      <c r="Z159" s="761">
        <f t="shared" si="212"/>
        <v>0</v>
      </c>
      <c r="AA159" s="761">
        <f t="shared" si="212"/>
        <v>0</v>
      </c>
      <c r="AB159" s="761">
        <f t="shared" si="212"/>
        <v>0</v>
      </c>
      <c r="AC159" s="761">
        <f t="shared" si="212"/>
        <v>0</v>
      </c>
      <c r="AD159" s="761">
        <f t="shared" si="212"/>
        <v>0</v>
      </c>
      <c r="AE159" s="761">
        <f t="shared" si="212"/>
        <v>0</v>
      </c>
      <c r="AF159" s="986"/>
      <c r="AG159" s="986"/>
      <c r="AH159" s="986"/>
      <c r="AI159" s="769"/>
      <c r="AJ159" s="745">
        <f t="shared" si="200"/>
        <v>0</v>
      </c>
      <c r="AK159" s="976"/>
      <c r="AL159" s="976"/>
      <c r="AM159" s="976"/>
      <c r="AN159" s="976"/>
      <c r="AO159" s="976"/>
      <c r="AP159" s="976"/>
      <c r="AQ159" s="976"/>
      <c r="AR159" s="976"/>
      <c r="AS159" s="976"/>
      <c r="AT159" s="976"/>
      <c r="AU159" s="976"/>
      <c r="AV159" s="976"/>
    </row>
    <row r="160" spans="1:48" s="795" customFormat="1" ht="21.95" hidden="1" customHeight="1">
      <c r="A160" s="2572"/>
      <c r="B160" s="2633" t="s">
        <v>1826</v>
      </c>
      <c r="C160" s="970" t="s">
        <v>1647</v>
      </c>
      <c r="D160" s="971"/>
      <c r="E160" s="972"/>
      <c r="F160" s="743">
        <f t="shared" ref="F160:R160" si="213">IF(F6&gt;0,0.1,0)</f>
        <v>0</v>
      </c>
      <c r="G160" s="743">
        <f t="shared" si="213"/>
        <v>0</v>
      </c>
      <c r="H160" s="743">
        <f t="shared" si="213"/>
        <v>0</v>
      </c>
      <c r="I160" s="743">
        <f t="shared" si="213"/>
        <v>0</v>
      </c>
      <c r="J160" s="743"/>
      <c r="K160" s="743"/>
      <c r="L160" s="743"/>
      <c r="M160" s="743"/>
      <c r="N160" s="973"/>
      <c r="O160" s="743">
        <f t="shared" si="213"/>
        <v>0</v>
      </c>
      <c r="P160" s="743">
        <f t="shared" si="213"/>
        <v>0</v>
      </c>
      <c r="Q160" s="743">
        <f t="shared" si="213"/>
        <v>0</v>
      </c>
      <c r="R160" s="743">
        <f t="shared" si="213"/>
        <v>0</v>
      </c>
      <c r="S160" s="743">
        <f>IF(S6&gt;0,0.1,0)</f>
        <v>0</v>
      </c>
      <c r="T160" s="743">
        <f>IF(T6&gt;0,0.1,0)</f>
        <v>0</v>
      </c>
      <c r="U160" s="743">
        <f t="shared" ref="U160:AE160" si="214">IF(U6&gt;0,0.1,0)</f>
        <v>0</v>
      </c>
      <c r="V160" s="743">
        <f>IF(V6&gt;0,0.1,0)</f>
        <v>0</v>
      </c>
      <c r="W160" s="743">
        <f t="shared" si="214"/>
        <v>0</v>
      </c>
      <c r="X160" s="743">
        <f t="shared" si="214"/>
        <v>0</v>
      </c>
      <c r="Y160" s="743">
        <f t="shared" si="214"/>
        <v>0</v>
      </c>
      <c r="Z160" s="743">
        <f t="shared" si="214"/>
        <v>0</v>
      </c>
      <c r="AA160" s="743">
        <f t="shared" si="214"/>
        <v>0</v>
      </c>
      <c r="AB160" s="743">
        <f t="shared" si="214"/>
        <v>0</v>
      </c>
      <c r="AC160" s="743">
        <f t="shared" si="214"/>
        <v>0</v>
      </c>
      <c r="AD160" s="743">
        <f t="shared" si="214"/>
        <v>0</v>
      </c>
      <c r="AE160" s="743">
        <f t="shared" si="214"/>
        <v>0</v>
      </c>
      <c r="AF160" s="974"/>
      <c r="AG160" s="974"/>
      <c r="AH160" s="974"/>
      <c r="AI160" s="975"/>
      <c r="AJ160" s="745">
        <f t="shared" si="200"/>
        <v>0</v>
      </c>
      <c r="AK160" s="976"/>
      <c r="AL160" s="976"/>
      <c r="AM160" s="976"/>
      <c r="AN160" s="976"/>
      <c r="AO160" s="976"/>
      <c r="AP160" s="976"/>
      <c r="AQ160" s="976"/>
      <c r="AR160" s="976"/>
      <c r="AS160" s="976"/>
      <c r="AT160" s="976"/>
      <c r="AU160" s="976"/>
      <c r="AV160" s="976"/>
    </row>
    <row r="161" spans="1:48" s="795" customFormat="1" ht="21.95" hidden="1" customHeight="1">
      <c r="A161" s="2572"/>
      <c r="B161" s="2634"/>
      <c r="C161" s="977" t="s">
        <v>1539</v>
      </c>
      <c r="D161" s="978"/>
      <c r="E161" s="979"/>
      <c r="F161" s="752">
        <f t="shared" ref="F161:R161" si="215">IF(F160&gt;0,F2,0)</f>
        <v>0</v>
      </c>
      <c r="G161" s="752">
        <f t="shared" si="215"/>
        <v>0</v>
      </c>
      <c r="H161" s="752">
        <f t="shared" si="215"/>
        <v>0</v>
      </c>
      <c r="I161" s="752">
        <f t="shared" si="215"/>
        <v>0</v>
      </c>
      <c r="J161" s="752"/>
      <c r="K161" s="752"/>
      <c r="L161" s="752"/>
      <c r="M161" s="752"/>
      <c r="N161" s="980"/>
      <c r="O161" s="752">
        <f t="shared" si="215"/>
        <v>0</v>
      </c>
      <c r="P161" s="752">
        <f t="shared" si="215"/>
        <v>0</v>
      </c>
      <c r="Q161" s="752">
        <f t="shared" si="215"/>
        <v>0</v>
      </c>
      <c r="R161" s="752">
        <f t="shared" si="215"/>
        <v>0</v>
      </c>
      <c r="S161" s="752">
        <f>IF(S160&gt;0,S2,0)</f>
        <v>0</v>
      </c>
      <c r="T161" s="752">
        <f>IF(T160&gt;0,T2,0)</f>
        <v>0</v>
      </c>
      <c r="U161" s="752">
        <f t="shared" ref="U161:AE161" si="216">IF(U160&gt;0,U2,0)</f>
        <v>0</v>
      </c>
      <c r="V161" s="752">
        <f>IF(V160&gt;0,V2,0)</f>
        <v>0</v>
      </c>
      <c r="W161" s="752">
        <f t="shared" si="216"/>
        <v>0</v>
      </c>
      <c r="X161" s="752">
        <f t="shared" si="216"/>
        <v>0</v>
      </c>
      <c r="Y161" s="752">
        <f t="shared" si="216"/>
        <v>0</v>
      </c>
      <c r="Z161" s="752">
        <f t="shared" si="216"/>
        <v>0</v>
      </c>
      <c r="AA161" s="752">
        <f t="shared" si="216"/>
        <v>0</v>
      </c>
      <c r="AB161" s="752">
        <f t="shared" si="216"/>
        <v>0</v>
      </c>
      <c r="AC161" s="752">
        <f t="shared" si="216"/>
        <v>0</v>
      </c>
      <c r="AD161" s="752">
        <f t="shared" si="216"/>
        <v>0</v>
      </c>
      <c r="AE161" s="752">
        <f t="shared" si="216"/>
        <v>0</v>
      </c>
      <c r="AF161" s="926"/>
      <c r="AG161" s="926"/>
      <c r="AH161" s="926"/>
      <c r="AI161" s="751"/>
      <c r="AJ161" s="745">
        <f t="shared" si="200"/>
        <v>0</v>
      </c>
      <c r="AK161" s="976"/>
      <c r="AL161" s="976"/>
      <c r="AM161" s="976"/>
      <c r="AN161" s="976"/>
      <c r="AO161" s="976"/>
      <c r="AP161" s="976"/>
      <c r="AQ161" s="976"/>
      <c r="AR161" s="976"/>
      <c r="AS161" s="976"/>
      <c r="AT161" s="976"/>
      <c r="AU161" s="976"/>
      <c r="AV161" s="976"/>
    </row>
    <row r="162" spans="1:48" s="795" customFormat="1" ht="21.95" hidden="1" customHeight="1">
      <c r="A162" s="2572"/>
      <c r="B162" s="2634"/>
      <c r="C162" s="977" t="s">
        <v>1355</v>
      </c>
      <c r="D162" s="978"/>
      <c r="E162" s="979"/>
      <c r="F162" s="752">
        <f t="shared" ref="F162:R162" si="217">IF(F160=0,0,F$33+F$34)</f>
        <v>0</v>
      </c>
      <c r="G162" s="752">
        <f t="shared" si="217"/>
        <v>0</v>
      </c>
      <c r="H162" s="752">
        <f t="shared" si="217"/>
        <v>0</v>
      </c>
      <c r="I162" s="752">
        <f t="shared" si="217"/>
        <v>0</v>
      </c>
      <c r="J162" s="752"/>
      <c r="K162" s="752"/>
      <c r="L162" s="752"/>
      <c r="M162" s="752"/>
      <c r="N162" s="980"/>
      <c r="O162" s="752">
        <f t="shared" si="217"/>
        <v>0</v>
      </c>
      <c r="P162" s="752">
        <f t="shared" si="217"/>
        <v>0</v>
      </c>
      <c r="Q162" s="752">
        <f t="shared" si="217"/>
        <v>0</v>
      </c>
      <c r="R162" s="752">
        <f t="shared" si="217"/>
        <v>0</v>
      </c>
      <c r="S162" s="752">
        <f>IF(S160=0,0,S$33+S$34)</f>
        <v>0</v>
      </c>
      <c r="T162" s="752">
        <f>IF(T160=0,0,T$33+T$34)</f>
        <v>0</v>
      </c>
      <c r="U162" s="752">
        <f t="shared" ref="U162:AE162" si="218">IF(U160=0,0,U$33+U$34)</f>
        <v>0</v>
      </c>
      <c r="V162" s="752">
        <f>IF(V160=0,0,V$33+V$34)</f>
        <v>0</v>
      </c>
      <c r="W162" s="752">
        <f t="shared" si="218"/>
        <v>0</v>
      </c>
      <c r="X162" s="752">
        <f t="shared" si="218"/>
        <v>0</v>
      </c>
      <c r="Y162" s="752">
        <f t="shared" si="218"/>
        <v>0</v>
      </c>
      <c r="Z162" s="752">
        <f t="shared" si="218"/>
        <v>0</v>
      </c>
      <c r="AA162" s="752">
        <f t="shared" si="218"/>
        <v>0</v>
      </c>
      <c r="AB162" s="752">
        <f t="shared" si="218"/>
        <v>0</v>
      </c>
      <c r="AC162" s="752">
        <f t="shared" si="218"/>
        <v>0</v>
      </c>
      <c r="AD162" s="752">
        <f t="shared" si="218"/>
        <v>0</v>
      </c>
      <c r="AE162" s="752">
        <f t="shared" si="218"/>
        <v>0</v>
      </c>
      <c r="AF162" s="926"/>
      <c r="AG162" s="926"/>
      <c r="AH162" s="926"/>
      <c r="AI162" s="981"/>
      <c r="AJ162" s="745">
        <f t="shared" si="200"/>
        <v>0</v>
      </c>
      <c r="AK162" s="976"/>
      <c r="AL162" s="976"/>
      <c r="AM162" s="976"/>
      <c r="AN162" s="976"/>
      <c r="AO162" s="976"/>
      <c r="AP162" s="976"/>
      <c r="AQ162" s="976"/>
      <c r="AR162" s="976"/>
      <c r="AS162" s="976"/>
      <c r="AT162" s="976"/>
      <c r="AU162" s="976"/>
      <c r="AV162" s="976"/>
    </row>
    <row r="163" spans="1:48" s="795" customFormat="1" ht="21.95" hidden="1" customHeight="1" thickBot="1">
      <c r="A163" s="2572"/>
      <c r="B163" s="2634"/>
      <c r="C163" s="977" t="s">
        <v>1827</v>
      </c>
      <c r="D163" s="978"/>
      <c r="E163" s="979"/>
      <c r="F163" s="752">
        <f t="shared" ref="F163:R163" si="219">F162*F161*F160</f>
        <v>0</v>
      </c>
      <c r="G163" s="752">
        <f t="shared" si="219"/>
        <v>0</v>
      </c>
      <c r="H163" s="752">
        <f t="shared" si="219"/>
        <v>0</v>
      </c>
      <c r="I163" s="752">
        <f t="shared" si="219"/>
        <v>0</v>
      </c>
      <c r="J163" s="752"/>
      <c r="K163" s="752"/>
      <c r="L163" s="752"/>
      <c r="M163" s="752"/>
      <c r="N163" s="980"/>
      <c r="O163" s="752">
        <f t="shared" si="219"/>
        <v>0</v>
      </c>
      <c r="P163" s="752">
        <f t="shared" si="219"/>
        <v>0</v>
      </c>
      <c r="Q163" s="752">
        <f t="shared" si="219"/>
        <v>0</v>
      </c>
      <c r="R163" s="752">
        <f t="shared" si="219"/>
        <v>0</v>
      </c>
      <c r="S163" s="752">
        <f>S162*S161*S160</f>
        <v>0</v>
      </c>
      <c r="T163" s="752">
        <f>T162*T161*T160</f>
        <v>0</v>
      </c>
      <c r="U163" s="752">
        <f t="shared" ref="U163:AE163" si="220">U162*U161*U160</f>
        <v>0</v>
      </c>
      <c r="V163" s="752">
        <f>V162*V161*V160</f>
        <v>0</v>
      </c>
      <c r="W163" s="752">
        <f t="shared" si="220"/>
        <v>0</v>
      </c>
      <c r="X163" s="752">
        <f t="shared" si="220"/>
        <v>0</v>
      </c>
      <c r="Y163" s="752">
        <f t="shared" si="220"/>
        <v>0</v>
      </c>
      <c r="Z163" s="752">
        <f t="shared" si="220"/>
        <v>0</v>
      </c>
      <c r="AA163" s="752">
        <f t="shared" si="220"/>
        <v>0</v>
      </c>
      <c r="AB163" s="752">
        <f t="shared" si="220"/>
        <v>0</v>
      </c>
      <c r="AC163" s="752">
        <f t="shared" si="220"/>
        <v>0</v>
      </c>
      <c r="AD163" s="752">
        <f t="shared" si="220"/>
        <v>0</v>
      </c>
      <c r="AE163" s="752">
        <f t="shared" si="220"/>
        <v>0</v>
      </c>
      <c r="AF163" s="926"/>
      <c r="AG163" s="926"/>
      <c r="AH163" s="926"/>
      <c r="AI163" s="753"/>
      <c r="AJ163" s="745">
        <f t="shared" si="200"/>
        <v>0</v>
      </c>
      <c r="AK163" s="976"/>
      <c r="AL163" s="976"/>
      <c r="AM163" s="976"/>
      <c r="AN163" s="976"/>
      <c r="AO163" s="976"/>
      <c r="AP163" s="976"/>
      <c r="AQ163" s="976"/>
      <c r="AR163" s="976"/>
      <c r="AS163" s="976"/>
      <c r="AT163" s="976"/>
      <c r="AU163" s="976"/>
      <c r="AV163" s="976"/>
    </row>
    <row r="164" spans="1:48" s="795" customFormat="1" ht="21.95" hidden="1" customHeight="1">
      <c r="A164" s="2572"/>
      <c r="B164" s="2642" t="s">
        <v>1828</v>
      </c>
      <c r="C164" s="970" t="s">
        <v>1647</v>
      </c>
      <c r="D164" s="971"/>
      <c r="E164" s="972"/>
      <c r="F164" s="743">
        <f>Dren_Quantificacao!D21</f>
        <v>0</v>
      </c>
      <c r="G164" s="743">
        <f>Dren_Quantificacao!E21</f>
        <v>0</v>
      </c>
      <c r="H164" s="743">
        <f>Dren_Quantificacao!F21</f>
        <v>0</v>
      </c>
      <c r="I164" s="743">
        <f>Dren_Quantificacao!G21</f>
        <v>0</v>
      </c>
      <c r="J164" s="743"/>
      <c r="K164" s="743"/>
      <c r="L164" s="743"/>
      <c r="M164" s="743"/>
      <c r="N164" s="973"/>
      <c r="O164" s="743">
        <f>Dren_Quantificacao!L21</f>
        <v>0</v>
      </c>
      <c r="P164" s="743">
        <f>Dren_Quantificacao!M21</f>
        <v>0</v>
      </c>
      <c r="Q164" s="743">
        <f>Dren_Quantificacao!N21</f>
        <v>0</v>
      </c>
      <c r="R164" s="743">
        <f>Dren_Quantificacao!O21</f>
        <v>0</v>
      </c>
      <c r="S164" s="743">
        <f>Dren_Quantificacao!BD21</f>
        <v>0</v>
      </c>
      <c r="T164" s="743">
        <f>Dren_Quantificacao!BE21</f>
        <v>0</v>
      </c>
      <c r="U164" s="743">
        <f>Dren_Quantificacao!BF21</f>
        <v>0</v>
      </c>
      <c r="V164" s="743">
        <f>Dren_Quantificacao!BG21</f>
        <v>0</v>
      </c>
      <c r="W164" s="743">
        <f>Dren_Quantificacao!BH21</f>
        <v>0</v>
      </c>
      <c r="X164" s="743">
        <f>Dren_Quantificacao!BI21</f>
        <v>0</v>
      </c>
      <c r="Y164" s="743">
        <f>Dren_Quantificacao!BJ21</f>
        <v>0</v>
      </c>
      <c r="Z164" s="743">
        <f>Dren_Quantificacao!BK21</f>
        <v>0</v>
      </c>
      <c r="AA164" s="743">
        <f>Dren_Quantificacao!BL21</f>
        <v>0</v>
      </c>
      <c r="AB164" s="743">
        <f>Dren_Quantificacao!BM21</f>
        <v>0</v>
      </c>
      <c r="AC164" s="743">
        <f>Dren_Quantificacao!BN21</f>
        <v>0</v>
      </c>
      <c r="AD164" s="743">
        <f>Dren_Quantificacao!BO21</f>
        <v>0</v>
      </c>
      <c r="AE164" s="743">
        <f>Dren_Quantificacao!BP21</f>
        <v>0</v>
      </c>
      <c r="AF164" s="974"/>
      <c r="AG164" s="974"/>
      <c r="AH164" s="974"/>
      <c r="AI164" s="975"/>
      <c r="AJ164" s="745">
        <f t="shared" si="200"/>
        <v>0</v>
      </c>
      <c r="AK164" s="976"/>
      <c r="AL164" s="976"/>
      <c r="AM164" s="976"/>
      <c r="AN164" s="976"/>
      <c r="AO164" s="976"/>
      <c r="AP164" s="976"/>
      <c r="AQ164" s="976"/>
      <c r="AR164" s="976"/>
      <c r="AS164" s="976"/>
      <c r="AT164" s="976"/>
      <c r="AU164" s="976"/>
      <c r="AV164" s="976"/>
    </row>
    <row r="165" spans="1:48" s="795" customFormat="1" ht="21.95" hidden="1" customHeight="1">
      <c r="A165" s="2572"/>
      <c r="B165" s="2643"/>
      <c r="C165" s="977" t="s">
        <v>1539</v>
      </c>
      <c r="D165" s="978"/>
      <c r="E165" s="979"/>
      <c r="F165" s="752">
        <f>IF(F164=0,0,Dren_Quantificacao!D22)</f>
        <v>0</v>
      </c>
      <c r="G165" s="752">
        <f>IF(G164=0,0,Dren_Quantificacao!E22)</f>
        <v>0</v>
      </c>
      <c r="H165" s="752">
        <f>IF(H164=0,0,Dren_Quantificacao!F22)</f>
        <v>0</v>
      </c>
      <c r="I165" s="752">
        <f>IF(I164=0,0,Dren_Quantificacao!G22)</f>
        <v>0</v>
      </c>
      <c r="J165" s="752"/>
      <c r="K165" s="752"/>
      <c r="L165" s="752"/>
      <c r="M165" s="752"/>
      <c r="N165" s="980"/>
      <c r="O165" s="752">
        <f>IF(O164=0,0,Dren_Quantificacao!L22)</f>
        <v>0</v>
      </c>
      <c r="P165" s="752">
        <f>IF(P164=0,0,Dren_Quantificacao!M22)</f>
        <v>0</v>
      </c>
      <c r="Q165" s="752">
        <f>IF(Q164=0,0,Dren_Quantificacao!N22)</f>
        <v>0</v>
      </c>
      <c r="R165" s="752">
        <f>IF(R164=0,0,Dren_Quantificacao!O22)</f>
        <v>0</v>
      </c>
      <c r="S165" s="752">
        <f>IF(S164=0,0,Dren_Quantificacao!BD22)</f>
        <v>0</v>
      </c>
      <c r="T165" s="752">
        <f>IF(T164=0,0,Dren_Quantificacao!BE22)</f>
        <v>0</v>
      </c>
      <c r="U165" s="752">
        <f>IF(U164=0,0,Dren_Quantificacao!BF22)</f>
        <v>0</v>
      </c>
      <c r="V165" s="752">
        <f>IF(V164=0,0,Dren_Quantificacao!BG22)</f>
        <v>0</v>
      </c>
      <c r="W165" s="752">
        <f>IF(W164=0,0,Dren_Quantificacao!BH22)</f>
        <v>0</v>
      </c>
      <c r="X165" s="752">
        <f>IF(X164=0,0,Dren_Quantificacao!BI22)</f>
        <v>0</v>
      </c>
      <c r="Y165" s="752">
        <f>IF(Y164=0,0,Dren_Quantificacao!BJ22)</f>
        <v>0</v>
      </c>
      <c r="Z165" s="752">
        <f>IF(Z164=0,0,Dren_Quantificacao!BK22)</f>
        <v>0</v>
      </c>
      <c r="AA165" s="752">
        <f>IF(AA164=0,0,Dren_Quantificacao!BL22)</f>
        <v>0</v>
      </c>
      <c r="AB165" s="752">
        <f>IF(AB164=0,0,Dren_Quantificacao!BM22)</f>
        <v>0</v>
      </c>
      <c r="AC165" s="752">
        <f>IF(AC164=0,0,Dren_Quantificacao!BN22)</f>
        <v>0</v>
      </c>
      <c r="AD165" s="752">
        <f>IF(AD164=0,0,Dren_Quantificacao!BO22)</f>
        <v>0</v>
      </c>
      <c r="AE165" s="752">
        <f>IF(AE164=0,0,Dren_Quantificacao!BP22)</f>
        <v>0</v>
      </c>
      <c r="AF165" s="926"/>
      <c r="AG165" s="926"/>
      <c r="AH165" s="926"/>
      <c r="AI165" s="751"/>
      <c r="AJ165" s="745">
        <f t="shared" ref="AJ165:AJ196" si="221">SUM(F165:AI165)</f>
        <v>0</v>
      </c>
      <c r="AK165" s="976"/>
      <c r="AL165" s="976"/>
      <c r="AM165" s="976"/>
      <c r="AN165" s="976"/>
      <c r="AO165" s="976"/>
      <c r="AP165" s="976"/>
      <c r="AQ165" s="976"/>
      <c r="AR165" s="976"/>
      <c r="AS165" s="976"/>
      <c r="AT165" s="976"/>
      <c r="AU165" s="976"/>
      <c r="AV165" s="976"/>
    </row>
    <row r="166" spans="1:48" s="795" customFormat="1" ht="21.95" hidden="1" customHeight="1">
      <c r="A166" s="2572"/>
      <c r="B166" s="2643"/>
      <c r="C166" s="977" t="s">
        <v>1355</v>
      </c>
      <c r="D166" s="978"/>
      <c r="E166" s="979"/>
      <c r="F166" s="752">
        <f t="shared" ref="F166:R166" si="222">IF(F164=0,0,F$33+F$34)</f>
        <v>0</v>
      </c>
      <c r="G166" s="752">
        <f t="shared" si="222"/>
        <v>0</v>
      </c>
      <c r="H166" s="752">
        <f t="shared" si="222"/>
        <v>0</v>
      </c>
      <c r="I166" s="752">
        <f t="shared" si="222"/>
        <v>0</v>
      </c>
      <c r="J166" s="752"/>
      <c r="K166" s="752"/>
      <c r="L166" s="752"/>
      <c r="M166" s="752"/>
      <c r="N166" s="980"/>
      <c r="O166" s="752">
        <f t="shared" si="222"/>
        <v>0</v>
      </c>
      <c r="P166" s="752">
        <f t="shared" si="222"/>
        <v>0</v>
      </c>
      <c r="Q166" s="752">
        <f t="shared" si="222"/>
        <v>0</v>
      </c>
      <c r="R166" s="752">
        <f t="shared" si="222"/>
        <v>0</v>
      </c>
      <c r="S166" s="752">
        <f>IF(S164=0,0,S$33+S$34)</f>
        <v>0</v>
      </c>
      <c r="T166" s="752">
        <f>IF(T164=0,0,T$33+T$34)</f>
        <v>0</v>
      </c>
      <c r="U166" s="752">
        <f t="shared" ref="U166:AE166" si="223">IF(U164=0,0,U$33+U$34)</f>
        <v>0</v>
      </c>
      <c r="V166" s="752">
        <f>IF(V164=0,0,V$33+V$34)</f>
        <v>0</v>
      </c>
      <c r="W166" s="752">
        <f t="shared" si="223"/>
        <v>0</v>
      </c>
      <c r="X166" s="752">
        <f t="shared" si="223"/>
        <v>0</v>
      </c>
      <c r="Y166" s="752">
        <f t="shared" si="223"/>
        <v>0</v>
      </c>
      <c r="Z166" s="752">
        <f t="shared" si="223"/>
        <v>0</v>
      </c>
      <c r="AA166" s="752">
        <f t="shared" si="223"/>
        <v>0</v>
      </c>
      <c r="AB166" s="752">
        <f t="shared" si="223"/>
        <v>0</v>
      </c>
      <c r="AC166" s="752">
        <f t="shared" si="223"/>
        <v>0</v>
      </c>
      <c r="AD166" s="752">
        <f t="shared" si="223"/>
        <v>0</v>
      </c>
      <c r="AE166" s="752">
        <f t="shared" si="223"/>
        <v>0</v>
      </c>
      <c r="AF166" s="926"/>
      <c r="AG166" s="926"/>
      <c r="AH166" s="926"/>
      <c r="AI166" s="1088"/>
      <c r="AJ166" s="745">
        <f t="shared" si="221"/>
        <v>0</v>
      </c>
      <c r="AK166" s="976"/>
      <c r="AL166" s="976"/>
      <c r="AM166" s="976"/>
      <c r="AN166" s="976"/>
      <c r="AO166" s="976"/>
      <c r="AP166" s="976"/>
      <c r="AQ166" s="976"/>
      <c r="AR166" s="976"/>
      <c r="AS166" s="976"/>
      <c r="AT166" s="976"/>
      <c r="AU166" s="976"/>
      <c r="AV166" s="976"/>
    </row>
    <row r="167" spans="1:48" s="795" customFormat="1" ht="21.95" hidden="1" customHeight="1">
      <c r="A167" s="2572"/>
      <c r="B167" s="2643"/>
      <c r="C167" s="977" t="s">
        <v>1823</v>
      </c>
      <c r="D167" s="978"/>
      <c r="E167" s="979"/>
      <c r="F167" s="752">
        <f t="shared" ref="F167:R167" si="224">IF(F166&lt;=1.5,F166*F165*F164,0)</f>
        <v>0</v>
      </c>
      <c r="G167" s="752">
        <f t="shared" si="224"/>
        <v>0</v>
      </c>
      <c r="H167" s="752">
        <f t="shared" si="224"/>
        <v>0</v>
      </c>
      <c r="I167" s="752">
        <f t="shared" si="224"/>
        <v>0</v>
      </c>
      <c r="J167" s="752"/>
      <c r="K167" s="752"/>
      <c r="L167" s="752"/>
      <c r="M167" s="752"/>
      <c r="N167" s="980"/>
      <c r="O167" s="752">
        <f t="shared" si="224"/>
        <v>0</v>
      </c>
      <c r="P167" s="752">
        <f t="shared" si="224"/>
        <v>0</v>
      </c>
      <c r="Q167" s="752">
        <f t="shared" si="224"/>
        <v>0</v>
      </c>
      <c r="R167" s="752">
        <f t="shared" si="224"/>
        <v>0</v>
      </c>
      <c r="S167" s="752">
        <f>IF(S166&lt;=1.5,S166*S165*S164,0)</f>
        <v>0</v>
      </c>
      <c r="T167" s="752">
        <f>IF(AND(T29=1,T166&lt;=1.5),T166*T165*T164,0)</f>
        <v>0</v>
      </c>
      <c r="U167" s="752">
        <f t="shared" ref="U167:AE167" si="225">IF(AND(U29=1,U166&lt;=1.5),U166*U165*U164,0)</f>
        <v>0</v>
      </c>
      <c r="V167" s="752">
        <f>IF(AND(V29=1,V166&lt;=1.5),V166*V165*V164,0)</f>
        <v>0</v>
      </c>
      <c r="W167" s="752">
        <f t="shared" si="225"/>
        <v>0</v>
      </c>
      <c r="X167" s="752">
        <f t="shared" si="225"/>
        <v>0</v>
      </c>
      <c r="Y167" s="752">
        <f t="shared" si="225"/>
        <v>0</v>
      </c>
      <c r="Z167" s="752">
        <f t="shared" si="225"/>
        <v>0</v>
      </c>
      <c r="AA167" s="752">
        <f t="shared" si="225"/>
        <v>0</v>
      </c>
      <c r="AB167" s="752">
        <f t="shared" si="225"/>
        <v>0</v>
      </c>
      <c r="AC167" s="752">
        <f t="shared" si="225"/>
        <v>0</v>
      </c>
      <c r="AD167" s="752">
        <f t="shared" si="225"/>
        <v>0</v>
      </c>
      <c r="AE167" s="752">
        <f t="shared" si="225"/>
        <v>0</v>
      </c>
      <c r="AF167" s="926"/>
      <c r="AG167" s="926"/>
      <c r="AH167" s="926"/>
      <c r="AI167" s="753"/>
      <c r="AJ167" s="745">
        <f t="shared" si="221"/>
        <v>0</v>
      </c>
      <c r="AK167" s="976"/>
      <c r="AL167" s="976"/>
      <c r="AM167" s="976"/>
      <c r="AN167" s="976"/>
      <c r="AO167" s="976"/>
      <c r="AP167" s="976"/>
      <c r="AQ167" s="976"/>
      <c r="AR167" s="976"/>
      <c r="AS167" s="976"/>
      <c r="AT167" s="976"/>
      <c r="AU167" s="976"/>
      <c r="AV167" s="976"/>
    </row>
    <row r="168" spans="1:48" s="795" customFormat="1" ht="21.95" hidden="1" customHeight="1">
      <c r="A168" s="2572"/>
      <c r="B168" s="2643"/>
      <c r="C168" s="977" t="s">
        <v>1824</v>
      </c>
      <c r="D168" s="978"/>
      <c r="E168" s="979"/>
      <c r="F168" s="752">
        <f t="shared" ref="F168:R168" si="226">IF(F166&gt;1.5,F166*F165*F164,0)</f>
        <v>0</v>
      </c>
      <c r="G168" s="752">
        <f t="shared" si="226"/>
        <v>0</v>
      </c>
      <c r="H168" s="752">
        <f t="shared" si="226"/>
        <v>0</v>
      </c>
      <c r="I168" s="752">
        <f t="shared" si="226"/>
        <v>0</v>
      </c>
      <c r="J168" s="752"/>
      <c r="K168" s="752"/>
      <c r="L168" s="752"/>
      <c r="M168" s="752"/>
      <c r="N168" s="980"/>
      <c r="O168" s="752">
        <f t="shared" si="226"/>
        <v>0</v>
      </c>
      <c r="P168" s="752">
        <f t="shared" si="226"/>
        <v>0</v>
      </c>
      <c r="Q168" s="752">
        <f t="shared" si="226"/>
        <v>0</v>
      </c>
      <c r="R168" s="752">
        <f t="shared" si="226"/>
        <v>0</v>
      </c>
      <c r="S168" s="752">
        <f>IF(S166&gt;1.5,S166*S165*S164,0)</f>
        <v>0</v>
      </c>
      <c r="T168" s="752">
        <f>IF(AND(T29=1,T166&gt;1.5),T166*T165*T164,0)</f>
        <v>0</v>
      </c>
      <c r="U168" s="752">
        <f t="shared" ref="U168:AE168" si="227">IF(AND(U29=1,U166&gt;1.5),U166*U165*U164,0)</f>
        <v>0</v>
      </c>
      <c r="V168" s="752">
        <f>IF(AND(V29=1,V166&gt;1.5),V166*V165*V164,0)</f>
        <v>0</v>
      </c>
      <c r="W168" s="752">
        <f t="shared" si="227"/>
        <v>0</v>
      </c>
      <c r="X168" s="752">
        <f t="shared" si="227"/>
        <v>0</v>
      </c>
      <c r="Y168" s="752">
        <f t="shared" si="227"/>
        <v>0</v>
      </c>
      <c r="Z168" s="752">
        <f t="shared" si="227"/>
        <v>0</v>
      </c>
      <c r="AA168" s="752">
        <f t="shared" si="227"/>
        <v>0</v>
      </c>
      <c r="AB168" s="752">
        <f t="shared" si="227"/>
        <v>0</v>
      </c>
      <c r="AC168" s="752">
        <f t="shared" si="227"/>
        <v>0</v>
      </c>
      <c r="AD168" s="752">
        <f t="shared" si="227"/>
        <v>0</v>
      </c>
      <c r="AE168" s="752">
        <f t="shared" si="227"/>
        <v>0</v>
      </c>
      <c r="AF168" s="926"/>
      <c r="AG168" s="926"/>
      <c r="AH168" s="926"/>
      <c r="AI168" s="753"/>
      <c r="AJ168" s="745">
        <f t="shared" si="221"/>
        <v>0</v>
      </c>
      <c r="AK168" s="976"/>
      <c r="AL168" s="976"/>
      <c r="AM168" s="976"/>
      <c r="AN168" s="976"/>
      <c r="AO168" s="976"/>
      <c r="AP168" s="976"/>
      <c r="AQ168" s="976"/>
      <c r="AR168" s="976"/>
      <c r="AS168" s="976"/>
      <c r="AT168" s="976"/>
      <c r="AU168" s="976"/>
      <c r="AV168" s="976"/>
    </row>
    <row r="169" spans="1:48" s="795" customFormat="1" ht="21.95" hidden="1" customHeight="1" thickBot="1">
      <c r="A169" s="2572"/>
      <c r="B169" s="2644"/>
      <c r="C169" s="982" t="s">
        <v>1825</v>
      </c>
      <c r="D169" s="983"/>
      <c r="E169" s="984"/>
      <c r="F169" s="761">
        <f t="shared" ref="F169:R169" si="228">SUM(F167:F168)*1.1</f>
        <v>0</v>
      </c>
      <c r="G169" s="761">
        <f t="shared" si="228"/>
        <v>0</v>
      </c>
      <c r="H169" s="761">
        <f t="shared" si="228"/>
        <v>0</v>
      </c>
      <c r="I169" s="761">
        <f t="shared" si="228"/>
        <v>0</v>
      </c>
      <c r="J169" s="761"/>
      <c r="K169" s="761"/>
      <c r="L169" s="761"/>
      <c r="M169" s="761"/>
      <c r="N169" s="985"/>
      <c r="O169" s="761">
        <f t="shared" si="228"/>
        <v>0</v>
      </c>
      <c r="P169" s="761">
        <f t="shared" si="228"/>
        <v>0</v>
      </c>
      <c r="Q169" s="761">
        <f t="shared" si="228"/>
        <v>0</v>
      </c>
      <c r="R169" s="761">
        <f t="shared" si="228"/>
        <v>0</v>
      </c>
      <c r="S169" s="761">
        <f>SUM(S167:S168)*1.1</f>
        <v>0</v>
      </c>
      <c r="T169" s="761">
        <f>SUM(T167:T168)*1.1</f>
        <v>0</v>
      </c>
      <c r="U169" s="761">
        <f t="shared" ref="U169:AE169" si="229">SUM(U167:U168)*1.1</f>
        <v>0</v>
      </c>
      <c r="V169" s="761">
        <f>SUM(V167:V168)*1.1</f>
        <v>0</v>
      </c>
      <c r="W169" s="761">
        <f t="shared" si="229"/>
        <v>0</v>
      </c>
      <c r="X169" s="761">
        <f t="shared" si="229"/>
        <v>0</v>
      </c>
      <c r="Y169" s="761">
        <f t="shared" si="229"/>
        <v>0</v>
      </c>
      <c r="Z169" s="761">
        <f t="shared" si="229"/>
        <v>0</v>
      </c>
      <c r="AA169" s="761">
        <f t="shared" si="229"/>
        <v>0</v>
      </c>
      <c r="AB169" s="761">
        <f t="shared" si="229"/>
        <v>0</v>
      </c>
      <c r="AC169" s="761">
        <f t="shared" si="229"/>
        <v>0</v>
      </c>
      <c r="AD169" s="761">
        <f t="shared" si="229"/>
        <v>0</v>
      </c>
      <c r="AE169" s="761">
        <f t="shared" si="229"/>
        <v>0</v>
      </c>
      <c r="AF169" s="986"/>
      <c r="AG169" s="986"/>
      <c r="AH169" s="986"/>
      <c r="AI169" s="769"/>
      <c r="AJ169" s="745">
        <f t="shared" si="221"/>
        <v>0</v>
      </c>
      <c r="AK169" s="976"/>
      <c r="AL169" s="976"/>
      <c r="AM169" s="976"/>
      <c r="AN169" s="976"/>
      <c r="AO169" s="976"/>
      <c r="AP169" s="976"/>
      <c r="AQ169" s="976"/>
      <c r="AR169" s="976"/>
      <c r="AS169" s="976"/>
      <c r="AT169" s="976"/>
      <c r="AU169" s="976"/>
      <c r="AV169" s="976"/>
    </row>
    <row r="170" spans="1:48" s="795" customFormat="1" ht="21.95" hidden="1" customHeight="1">
      <c r="A170" s="2572"/>
      <c r="B170" s="2642" t="s">
        <v>1829</v>
      </c>
      <c r="C170" s="970" t="s">
        <v>1647</v>
      </c>
      <c r="D170" s="971"/>
      <c r="E170" s="979"/>
      <c r="F170" s="743">
        <f>Dren_Quantificacao!D106</f>
        <v>0</v>
      </c>
      <c r="G170" s="743">
        <f>Dren_Quantificacao!E106</f>
        <v>0</v>
      </c>
      <c r="H170" s="743">
        <f>Dren_Quantificacao!F106</f>
        <v>0</v>
      </c>
      <c r="I170" s="743">
        <f>Dren_Quantificacao!G106</f>
        <v>0</v>
      </c>
      <c r="J170" s="743"/>
      <c r="K170" s="743"/>
      <c r="L170" s="743"/>
      <c r="M170" s="743"/>
      <c r="N170" s="973"/>
      <c r="O170" s="743">
        <f>Dren_Quantificacao!L106</f>
        <v>0</v>
      </c>
      <c r="P170" s="743">
        <f>Dren_Quantificacao!M106</f>
        <v>0</v>
      </c>
      <c r="Q170" s="743">
        <f>Dren_Quantificacao!N106</f>
        <v>0</v>
      </c>
      <c r="R170" s="743">
        <f>Dren_Quantificacao!O106</f>
        <v>0</v>
      </c>
      <c r="S170" s="743">
        <f>Dren_Quantificacao!BD106</f>
        <v>0</v>
      </c>
      <c r="T170" s="743">
        <f>Dren_Quantificacao!BE106</f>
        <v>0</v>
      </c>
      <c r="U170" s="743">
        <f>Dren_Quantificacao!BF106</f>
        <v>0</v>
      </c>
      <c r="V170" s="743">
        <f>Dren_Quantificacao!BG106</f>
        <v>0</v>
      </c>
      <c r="W170" s="743">
        <f>Dren_Quantificacao!BH106</f>
        <v>0</v>
      </c>
      <c r="X170" s="743">
        <f>Dren_Quantificacao!BI106</f>
        <v>0</v>
      </c>
      <c r="Y170" s="743">
        <f>Dren_Quantificacao!BJ106</f>
        <v>0</v>
      </c>
      <c r="Z170" s="743">
        <f>Dren_Quantificacao!BK106</f>
        <v>0</v>
      </c>
      <c r="AA170" s="743">
        <f>Dren_Quantificacao!BL106</f>
        <v>0</v>
      </c>
      <c r="AB170" s="743">
        <f>Dren_Quantificacao!BM106</f>
        <v>0</v>
      </c>
      <c r="AC170" s="743">
        <f>Dren_Quantificacao!BN106</f>
        <v>0</v>
      </c>
      <c r="AD170" s="743">
        <f>Dren_Quantificacao!BO106</f>
        <v>0</v>
      </c>
      <c r="AE170" s="743">
        <f>Dren_Quantificacao!BP106</f>
        <v>0</v>
      </c>
      <c r="AF170" s="926"/>
      <c r="AG170" s="926"/>
      <c r="AH170" s="926"/>
      <c r="AI170" s="975"/>
      <c r="AJ170" s="745">
        <f t="shared" si="221"/>
        <v>0</v>
      </c>
      <c r="AK170" s="976"/>
      <c r="AL170" s="976"/>
      <c r="AM170" s="976"/>
      <c r="AN170" s="976"/>
      <c r="AO170" s="976"/>
      <c r="AP170" s="976"/>
      <c r="AQ170" s="976"/>
      <c r="AR170" s="976"/>
      <c r="AS170" s="976"/>
      <c r="AT170" s="976"/>
      <c r="AU170" s="976"/>
      <c r="AV170" s="976"/>
    </row>
    <row r="171" spans="1:48" s="795" customFormat="1" ht="21.95" hidden="1" customHeight="1">
      <c r="A171" s="2572"/>
      <c r="B171" s="2643"/>
      <c r="C171" s="977" t="s">
        <v>1539</v>
      </c>
      <c r="D171" s="978"/>
      <c r="E171" s="979"/>
      <c r="F171" s="752">
        <f>Dren_Quantificacao!D107</f>
        <v>0</v>
      </c>
      <c r="G171" s="752">
        <f>Dren_Quantificacao!E107</f>
        <v>0</v>
      </c>
      <c r="H171" s="752">
        <f>Dren_Quantificacao!F107</f>
        <v>0</v>
      </c>
      <c r="I171" s="752">
        <f>Dren_Quantificacao!G107</f>
        <v>0</v>
      </c>
      <c r="J171" s="752"/>
      <c r="K171" s="752"/>
      <c r="L171" s="752"/>
      <c r="M171" s="752"/>
      <c r="N171" s="980"/>
      <c r="O171" s="752">
        <f>Dren_Quantificacao!L107</f>
        <v>0</v>
      </c>
      <c r="P171" s="752">
        <f>Dren_Quantificacao!M107</f>
        <v>0</v>
      </c>
      <c r="Q171" s="752">
        <f>Dren_Quantificacao!N107</f>
        <v>0</v>
      </c>
      <c r="R171" s="752">
        <f>Dren_Quantificacao!O107</f>
        <v>0</v>
      </c>
      <c r="S171" s="752">
        <f>Dren_Quantificacao!BD107</f>
        <v>0</v>
      </c>
      <c r="T171" s="752">
        <f>Dren_Quantificacao!BE107</f>
        <v>0</v>
      </c>
      <c r="U171" s="752">
        <f>Dren_Quantificacao!BF107</f>
        <v>0</v>
      </c>
      <c r="V171" s="752">
        <f>Dren_Quantificacao!BG107</f>
        <v>0</v>
      </c>
      <c r="W171" s="752">
        <f>Dren_Quantificacao!BH107</f>
        <v>0</v>
      </c>
      <c r="X171" s="752">
        <f>Dren_Quantificacao!BI107</f>
        <v>0</v>
      </c>
      <c r="Y171" s="752">
        <f>Dren_Quantificacao!BJ107</f>
        <v>0</v>
      </c>
      <c r="Z171" s="752">
        <f>Dren_Quantificacao!BK107</f>
        <v>0</v>
      </c>
      <c r="AA171" s="752">
        <f>Dren_Quantificacao!BL107</f>
        <v>0</v>
      </c>
      <c r="AB171" s="752">
        <f>Dren_Quantificacao!BM107</f>
        <v>0</v>
      </c>
      <c r="AC171" s="752">
        <f>Dren_Quantificacao!BN107</f>
        <v>0</v>
      </c>
      <c r="AD171" s="752">
        <f>Dren_Quantificacao!BO107</f>
        <v>0</v>
      </c>
      <c r="AE171" s="752">
        <f>Dren_Quantificacao!BP107</f>
        <v>0</v>
      </c>
      <c r="AF171" s="926"/>
      <c r="AG171" s="926"/>
      <c r="AH171" s="926"/>
      <c r="AI171" s="751"/>
      <c r="AJ171" s="745">
        <f t="shared" si="221"/>
        <v>0</v>
      </c>
      <c r="AK171" s="976"/>
      <c r="AL171" s="976"/>
      <c r="AM171" s="976"/>
      <c r="AN171" s="976"/>
      <c r="AO171" s="976"/>
      <c r="AP171" s="976"/>
      <c r="AQ171" s="976"/>
      <c r="AR171" s="976"/>
      <c r="AS171" s="976"/>
      <c r="AT171" s="976"/>
      <c r="AU171" s="976"/>
      <c r="AV171" s="976"/>
    </row>
    <row r="172" spans="1:48" s="795" customFormat="1" ht="21.95" hidden="1" customHeight="1">
      <c r="A172" s="2572"/>
      <c r="B172" s="2643"/>
      <c r="C172" s="977" t="s">
        <v>1355</v>
      </c>
      <c r="D172" s="978"/>
      <c r="E172" s="979"/>
      <c r="F172" s="752">
        <f>Dren_Quantificacao!D108</f>
        <v>0</v>
      </c>
      <c r="G172" s="752">
        <f>Dren_Quantificacao!E108</f>
        <v>0</v>
      </c>
      <c r="H172" s="752">
        <f>Dren_Quantificacao!F108</f>
        <v>0</v>
      </c>
      <c r="I172" s="752">
        <f>Dren_Quantificacao!G108</f>
        <v>0</v>
      </c>
      <c r="J172" s="752"/>
      <c r="K172" s="752"/>
      <c r="L172" s="752"/>
      <c r="M172" s="752"/>
      <c r="N172" s="980"/>
      <c r="O172" s="752">
        <f>Dren_Quantificacao!L108</f>
        <v>0</v>
      </c>
      <c r="P172" s="752">
        <f>Dren_Quantificacao!M108</f>
        <v>0</v>
      </c>
      <c r="Q172" s="752">
        <f>Dren_Quantificacao!N108</f>
        <v>0</v>
      </c>
      <c r="R172" s="752">
        <f>Dren_Quantificacao!O108</f>
        <v>0</v>
      </c>
      <c r="S172" s="752">
        <f>Dren_Quantificacao!BD108</f>
        <v>0</v>
      </c>
      <c r="T172" s="752">
        <f>Dren_Quantificacao!BE108</f>
        <v>0</v>
      </c>
      <c r="U172" s="752">
        <f>Dren_Quantificacao!BF108</f>
        <v>0</v>
      </c>
      <c r="V172" s="752">
        <f>Dren_Quantificacao!BG108</f>
        <v>0</v>
      </c>
      <c r="W172" s="752">
        <f>Dren_Quantificacao!BH108</f>
        <v>0</v>
      </c>
      <c r="X172" s="752">
        <f>Dren_Quantificacao!BI108</f>
        <v>0</v>
      </c>
      <c r="Y172" s="752">
        <f>Dren_Quantificacao!BJ108</f>
        <v>0</v>
      </c>
      <c r="Z172" s="752">
        <f>Dren_Quantificacao!BK108</f>
        <v>0</v>
      </c>
      <c r="AA172" s="752">
        <f>Dren_Quantificacao!BL108</f>
        <v>0</v>
      </c>
      <c r="AB172" s="752">
        <f>Dren_Quantificacao!BM108</f>
        <v>0</v>
      </c>
      <c r="AC172" s="752">
        <f>Dren_Quantificacao!BN108</f>
        <v>0</v>
      </c>
      <c r="AD172" s="752">
        <f>Dren_Quantificacao!BO108</f>
        <v>0</v>
      </c>
      <c r="AE172" s="752">
        <f>Dren_Quantificacao!BP108</f>
        <v>0</v>
      </c>
      <c r="AF172" s="926"/>
      <c r="AG172" s="926"/>
      <c r="AH172" s="926"/>
      <c r="AI172" s="1088"/>
      <c r="AJ172" s="745">
        <f t="shared" si="221"/>
        <v>0</v>
      </c>
      <c r="AK172" s="976"/>
      <c r="AL172" s="976"/>
      <c r="AM172" s="976"/>
      <c r="AN172" s="976"/>
      <c r="AO172" s="976"/>
      <c r="AP172" s="976"/>
      <c r="AQ172" s="976"/>
      <c r="AR172" s="976"/>
      <c r="AS172" s="976"/>
      <c r="AT172" s="976"/>
      <c r="AU172" s="976"/>
      <c r="AV172" s="976"/>
    </row>
    <row r="173" spans="1:48" s="795" customFormat="1" ht="21.95" hidden="1" customHeight="1">
      <c r="A173" s="2572"/>
      <c r="B173" s="2643"/>
      <c r="C173" s="977" t="s">
        <v>1823</v>
      </c>
      <c r="D173" s="978"/>
      <c r="E173" s="979"/>
      <c r="F173" s="752">
        <f t="shared" ref="F173:R173" si="230">IF(F172&lt;=1.5,F172*F171*F170,0)</f>
        <v>0</v>
      </c>
      <c r="G173" s="752">
        <f t="shared" si="230"/>
        <v>0</v>
      </c>
      <c r="H173" s="752">
        <f t="shared" si="230"/>
        <v>0</v>
      </c>
      <c r="I173" s="752">
        <f t="shared" si="230"/>
        <v>0</v>
      </c>
      <c r="J173" s="752"/>
      <c r="K173" s="752"/>
      <c r="L173" s="752"/>
      <c r="M173" s="752"/>
      <c r="N173" s="980"/>
      <c r="O173" s="752">
        <f t="shared" si="230"/>
        <v>0</v>
      </c>
      <c r="P173" s="752">
        <f t="shared" si="230"/>
        <v>0</v>
      </c>
      <c r="Q173" s="752">
        <f t="shared" si="230"/>
        <v>0</v>
      </c>
      <c r="R173" s="752">
        <f t="shared" si="230"/>
        <v>0</v>
      </c>
      <c r="S173" s="752">
        <f>IF(S172&lt;=1.5,S172*S171*S170,0)</f>
        <v>0</v>
      </c>
      <c r="T173" s="752">
        <f>IF(T172&lt;=1.5,T172*T171*T170,0)</f>
        <v>0</v>
      </c>
      <c r="U173" s="752">
        <f t="shared" ref="U173:AE173" si="231">IF(U172&lt;=1.5,U172*U171*U170,0)</f>
        <v>0</v>
      </c>
      <c r="V173" s="752">
        <f>IF(V172&lt;=1.5,V172*V171*V170,0)</f>
        <v>0</v>
      </c>
      <c r="W173" s="752">
        <f t="shared" si="231"/>
        <v>0</v>
      </c>
      <c r="X173" s="752">
        <f t="shared" si="231"/>
        <v>0</v>
      </c>
      <c r="Y173" s="752">
        <f t="shared" si="231"/>
        <v>0</v>
      </c>
      <c r="Z173" s="752">
        <f t="shared" si="231"/>
        <v>0</v>
      </c>
      <c r="AA173" s="752">
        <f t="shared" si="231"/>
        <v>0</v>
      </c>
      <c r="AB173" s="752">
        <f t="shared" si="231"/>
        <v>0</v>
      </c>
      <c r="AC173" s="752">
        <f t="shared" si="231"/>
        <v>0</v>
      </c>
      <c r="AD173" s="752">
        <f t="shared" si="231"/>
        <v>0</v>
      </c>
      <c r="AE173" s="752">
        <f t="shared" si="231"/>
        <v>0</v>
      </c>
      <c r="AF173" s="926"/>
      <c r="AG173" s="926"/>
      <c r="AH173" s="926"/>
      <c r="AI173" s="753"/>
      <c r="AJ173" s="745">
        <f t="shared" si="221"/>
        <v>0</v>
      </c>
      <c r="AK173" s="976"/>
      <c r="AL173" s="976"/>
      <c r="AM173" s="976"/>
      <c r="AN173" s="976"/>
      <c r="AO173" s="976"/>
      <c r="AP173" s="976"/>
      <c r="AQ173" s="976"/>
      <c r="AR173" s="976"/>
      <c r="AS173" s="976"/>
      <c r="AT173" s="976"/>
      <c r="AU173" s="976"/>
      <c r="AV173" s="976"/>
    </row>
    <row r="174" spans="1:48" s="795" customFormat="1" ht="21.95" hidden="1" customHeight="1">
      <c r="A174" s="2572"/>
      <c r="B174" s="2643"/>
      <c r="C174" s="977" t="s">
        <v>1824</v>
      </c>
      <c r="D174" s="978"/>
      <c r="E174" s="979"/>
      <c r="F174" s="752">
        <f t="shared" ref="F174:R174" si="232">IF(F172&gt;1.5,F172*F171*F170,0)</f>
        <v>0</v>
      </c>
      <c r="G174" s="752">
        <f t="shared" si="232"/>
        <v>0</v>
      </c>
      <c r="H174" s="752">
        <f t="shared" si="232"/>
        <v>0</v>
      </c>
      <c r="I174" s="752">
        <f t="shared" si="232"/>
        <v>0</v>
      </c>
      <c r="J174" s="752"/>
      <c r="K174" s="752"/>
      <c r="L174" s="752"/>
      <c r="M174" s="752"/>
      <c r="N174" s="980"/>
      <c r="O174" s="752">
        <f t="shared" si="232"/>
        <v>0</v>
      </c>
      <c r="P174" s="752">
        <f t="shared" si="232"/>
        <v>0</v>
      </c>
      <c r="Q174" s="752">
        <f t="shared" si="232"/>
        <v>0</v>
      </c>
      <c r="R174" s="752">
        <f t="shared" si="232"/>
        <v>0</v>
      </c>
      <c r="S174" s="752">
        <f>IF(S172&gt;1.5,S172*S171*S170,0)</f>
        <v>0</v>
      </c>
      <c r="T174" s="752">
        <f>IF(T172&gt;1.5,T172*T171*T170,0)</f>
        <v>0</v>
      </c>
      <c r="U174" s="752">
        <f t="shared" ref="U174:AE174" si="233">IF(U172&gt;1.5,U172*U171*U170,0)</f>
        <v>0</v>
      </c>
      <c r="V174" s="752">
        <f>IF(V172&gt;1.5,V172*V171*V170,0)</f>
        <v>0</v>
      </c>
      <c r="W174" s="752">
        <f t="shared" si="233"/>
        <v>0</v>
      </c>
      <c r="X174" s="752">
        <f t="shared" si="233"/>
        <v>0</v>
      </c>
      <c r="Y174" s="752">
        <f t="shared" si="233"/>
        <v>0</v>
      </c>
      <c r="Z174" s="752">
        <f t="shared" si="233"/>
        <v>0</v>
      </c>
      <c r="AA174" s="752">
        <f t="shared" si="233"/>
        <v>0</v>
      </c>
      <c r="AB174" s="752">
        <f t="shared" si="233"/>
        <v>0</v>
      </c>
      <c r="AC174" s="752">
        <f t="shared" si="233"/>
        <v>0</v>
      </c>
      <c r="AD174" s="752">
        <f t="shared" si="233"/>
        <v>0</v>
      </c>
      <c r="AE174" s="752">
        <f t="shared" si="233"/>
        <v>0</v>
      </c>
      <c r="AF174" s="926"/>
      <c r="AG174" s="926"/>
      <c r="AH174" s="926"/>
      <c r="AI174" s="753"/>
      <c r="AJ174" s="745">
        <f t="shared" si="221"/>
        <v>0</v>
      </c>
      <c r="AK174" s="976"/>
      <c r="AL174" s="976"/>
      <c r="AM174" s="976"/>
      <c r="AN174" s="976"/>
      <c r="AO174" s="976"/>
      <c r="AP174" s="976"/>
      <c r="AQ174" s="976"/>
      <c r="AR174" s="976"/>
      <c r="AS174" s="976"/>
      <c r="AT174" s="976"/>
      <c r="AU174" s="976"/>
      <c r="AV174" s="976"/>
    </row>
    <row r="175" spans="1:48" s="795" customFormat="1" ht="21.95" hidden="1" customHeight="1" thickBot="1">
      <c r="A175" s="2572"/>
      <c r="B175" s="2644"/>
      <c r="C175" s="982" t="s">
        <v>1825</v>
      </c>
      <c r="D175" s="983"/>
      <c r="E175" s="984"/>
      <c r="F175" s="761">
        <f t="shared" ref="F175:R175" si="234">(F173+F174)*1.1</f>
        <v>0</v>
      </c>
      <c r="G175" s="761">
        <f t="shared" si="234"/>
        <v>0</v>
      </c>
      <c r="H175" s="761">
        <f t="shared" si="234"/>
        <v>0</v>
      </c>
      <c r="I175" s="761">
        <f t="shared" si="234"/>
        <v>0</v>
      </c>
      <c r="J175" s="761"/>
      <c r="K175" s="761"/>
      <c r="L175" s="761"/>
      <c r="M175" s="761"/>
      <c r="N175" s="985"/>
      <c r="O175" s="761">
        <f t="shared" si="234"/>
        <v>0</v>
      </c>
      <c r="P175" s="761">
        <f t="shared" si="234"/>
        <v>0</v>
      </c>
      <c r="Q175" s="761">
        <f t="shared" si="234"/>
        <v>0</v>
      </c>
      <c r="R175" s="761">
        <f t="shared" si="234"/>
        <v>0</v>
      </c>
      <c r="S175" s="761">
        <f>(S173+S174)*1.1</f>
        <v>0</v>
      </c>
      <c r="T175" s="761">
        <f>(T173+T174)*1.1</f>
        <v>0</v>
      </c>
      <c r="U175" s="761">
        <f t="shared" ref="U175:AE175" si="235">(U173+U174)*1.1</f>
        <v>0</v>
      </c>
      <c r="V175" s="761">
        <f>(V173+V174)*1.1</f>
        <v>0</v>
      </c>
      <c r="W175" s="761">
        <f t="shared" si="235"/>
        <v>0</v>
      </c>
      <c r="X175" s="761">
        <f t="shared" si="235"/>
        <v>0</v>
      </c>
      <c r="Y175" s="761">
        <f t="shared" si="235"/>
        <v>0</v>
      </c>
      <c r="Z175" s="761">
        <f t="shared" si="235"/>
        <v>0</v>
      </c>
      <c r="AA175" s="761">
        <f t="shared" si="235"/>
        <v>0</v>
      </c>
      <c r="AB175" s="761">
        <f t="shared" si="235"/>
        <v>0</v>
      </c>
      <c r="AC175" s="761">
        <f t="shared" si="235"/>
        <v>0</v>
      </c>
      <c r="AD175" s="761">
        <f t="shared" si="235"/>
        <v>0</v>
      </c>
      <c r="AE175" s="761">
        <f t="shared" si="235"/>
        <v>0</v>
      </c>
      <c r="AF175" s="926"/>
      <c r="AG175" s="926"/>
      <c r="AH175" s="926"/>
      <c r="AI175" s="769"/>
      <c r="AJ175" s="745">
        <f t="shared" si="221"/>
        <v>0</v>
      </c>
      <c r="AK175" s="976"/>
      <c r="AL175" s="976"/>
      <c r="AM175" s="976"/>
      <c r="AN175" s="976"/>
      <c r="AO175" s="976"/>
      <c r="AP175" s="976"/>
      <c r="AQ175" s="976"/>
      <c r="AR175" s="976"/>
      <c r="AS175" s="976"/>
      <c r="AT175" s="976"/>
      <c r="AU175" s="976"/>
      <c r="AV175" s="976"/>
    </row>
    <row r="176" spans="1:48" s="795" customFormat="1" ht="21.95" hidden="1" customHeight="1">
      <c r="A176" s="2572"/>
      <c r="B176" s="2642" t="s">
        <v>1830</v>
      </c>
      <c r="C176" s="970" t="s">
        <v>1647</v>
      </c>
      <c r="D176" s="971"/>
      <c r="E176" s="972"/>
      <c r="F176" s="743">
        <f>Dren_Quantificacao!D23</f>
        <v>0</v>
      </c>
      <c r="G176" s="743">
        <f>Dren_Quantificacao!E23</f>
        <v>0</v>
      </c>
      <c r="H176" s="743">
        <f>Dren_Quantificacao!F23</f>
        <v>0</v>
      </c>
      <c r="I176" s="743">
        <f>Dren_Quantificacao!G23</f>
        <v>0</v>
      </c>
      <c r="J176" s="743"/>
      <c r="K176" s="743"/>
      <c r="L176" s="743"/>
      <c r="M176" s="743"/>
      <c r="N176" s="973"/>
      <c r="O176" s="743">
        <f>Dren_Quantificacao!L23</f>
        <v>0</v>
      </c>
      <c r="P176" s="743">
        <f>Dren_Quantificacao!M23</f>
        <v>0</v>
      </c>
      <c r="Q176" s="743">
        <f>Dren_Quantificacao!N23</f>
        <v>0</v>
      </c>
      <c r="R176" s="743">
        <f>Dren_Quantificacao!O23</f>
        <v>0</v>
      </c>
      <c r="S176" s="743">
        <f>Dren_Quantificacao!BD23</f>
        <v>0</v>
      </c>
      <c r="T176" s="743">
        <f>Dren_Quantificacao!BE23</f>
        <v>0</v>
      </c>
      <c r="U176" s="743">
        <f>Dren_Quantificacao!BF23</f>
        <v>0</v>
      </c>
      <c r="V176" s="743">
        <f>Dren_Quantificacao!BG23</f>
        <v>0</v>
      </c>
      <c r="W176" s="743">
        <f>Dren_Quantificacao!BH23</f>
        <v>0</v>
      </c>
      <c r="X176" s="743">
        <f>Dren_Quantificacao!BI23</f>
        <v>0</v>
      </c>
      <c r="Y176" s="743">
        <f>Dren_Quantificacao!BJ23</f>
        <v>0</v>
      </c>
      <c r="Z176" s="743">
        <f>Dren_Quantificacao!BK23</f>
        <v>0</v>
      </c>
      <c r="AA176" s="743">
        <f>Dren_Quantificacao!BL23</f>
        <v>0</v>
      </c>
      <c r="AB176" s="743">
        <f>Dren_Quantificacao!BM23</f>
        <v>0</v>
      </c>
      <c r="AC176" s="743">
        <f>Dren_Quantificacao!BN23</f>
        <v>0</v>
      </c>
      <c r="AD176" s="743">
        <f>Dren_Quantificacao!BO23</f>
        <v>0</v>
      </c>
      <c r="AE176" s="743">
        <f>Dren_Quantificacao!BP23</f>
        <v>0</v>
      </c>
      <c r="AF176" s="743"/>
      <c r="AG176" s="743"/>
      <c r="AH176" s="743"/>
      <c r="AI176" s="975"/>
      <c r="AJ176" s="745">
        <f t="shared" si="221"/>
        <v>0</v>
      </c>
      <c r="AK176" s="976"/>
      <c r="AL176" s="976"/>
      <c r="AM176" s="976"/>
      <c r="AN176" s="976"/>
      <c r="AO176" s="976"/>
      <c r="AP176" s="976"/>
      <c r="AQ176" s="976"/>
      <c r="AR176" s="976"/>
      <c r="AS176" s="976"/>
      <c r="AT176" s="976"/>
      <c r="AU176" s="976"/>
      <c r="AV176" s="976"/>
    </row>
    <row r="177" spans="1:48" s="795" customFormat="1" ht="21.95" hidden="1" customHeight="1">
      <c r="A177" s="2572"/>
      <c r="B177" s="2643"/>
      <c r="C177" s="977" t="s">
        <v>1539</v>
      </c>
      <c r="D177" s="978"/>
      <c r="E177" s="979"/>
      <c r="F177" s="752">
        <f>IF(F176=0,0,Dren_Quantificacao!D24)</f>
        <v>0</v>
      </c>
      <c r="G177" s="752">
        <f>IF(G176=0,0,Dren_Quantificacao!E24)</f>
        <v>0</v>
      </c>
      <c r="H177" s="752">
        <f>IF(H176=0,0,Dren_Quantificacao!F24)</f>
        <v>0</v>
      </c>
      <c r="I177" s="752">
        <f>IF(I176=0,0,Dren_Quantificacao!G24)</f>
        <v>0</v>
      </c>
      <c r="J177" s="752"/>
      <c r="K177" s="752"/>
      <c r="L177" s="752"/>
      <c r="M177" s="752"/>
      <c r="N177" s="980"/>
      <c r="O177" s="752">
        <f>IF(O176=0,0,Dren_Quantificacao!L24)</f>
        <v>0</v>
      </c>
      <c r="P177" s="752">
        <f>IF(P176=0,0,Dren_Quantificacao!M24)</f>
        <v>0</v>
      </c>
      <c r="Q177" s="752">
        <f>IF(Q176=0,0,Dren_Quantificacao!N24)</f>
        <v>0</v>
      </c>
      <c r="R177" s="752">
        <f>IF(R176=0,0,Dren_Quantificacao!O24)</f>
        <v>0</v>
      </c>
      <c r="S177" s="752">
        <f>IF(S176=0,0,Dren_Quantificacao!BD24)</f>
        <v>0</v>
      </c>
      <c r="T177" s="752">
        <f>IF(T176=0,0,Dren_Quantificacao!BE24)</f>
        <v>0</v>
      </c>
      <c r="U177" s="752">
        <f>IF(U176=0,0,Dren_Quantificacao!BF24)</f>
        <v>0</v>
      </c>
      <c r="V177" s="752">
        <f>IF(V176=0,0,Dren_Quantificacao!BG24)</f>
        <v>0</v>
      </c>
      <c r="W177" s="752">
        <f>IF(W176=0,0,Dren_Quantificacao!BH24)</f>
        <v>0</v>
      </c>
      <c r="X177" s="752">
        <f>IF(X176=0,0,Dren_Quantificacao!BI24)</f>
        <v>0</v>
      </c>
      <c r="Y177" s="752">
        <f>IF(Y176=0,0,Dren_Quantificacao!BJ24)</f>
        <v>0</v>
      </c>
      <c r="Z177" s="752">
        <f>IF(Z176=0,0,Dren_Quantificacao!BK24)</f>
        <v>0</v>
      </c>
      <c r="AA177" s="752">
        <f>IF(AA176=0,0,Dren_Quantificacao!BL24)</f>
        <v>0</v>
      </c>
      <c r="AB177" s="752">
        <f>IF(AB176=0,0,Dren_Quantificacao!BM24)</f>
        <v>0</v>
      </c>
      <c r="AC177" s="752">
        <f>IF(AC176=0,0,Dren_Quantificacao!BN24)</f>
        <v>0</v>
      </c>
      <c r="AD177" s="752">
        <f>IF(AD176=0,0,Dren_Quantificacao!BO24)</f>
        <v>0</v>
      </c>
      <c r="AE177" s="752">
        <f>IF(AE176=0,0,Dren_Quantificacao!BP24)</f>
        <v>0</v>
      </c>
      <c r="AF177" s="752"/>
      <c r="AG177" s="752"/>
      <c r="AH177" s="752"/>
      <c r="AI177" s="751"/>
      <c r="AJ177" s="745">
        <f t="shared" si="221"/>
        <v>0</v>
      </c>
      <c r="AK177" s="976"/>
      <c r="AL177" s="976"/>
      <c r="AM177" s="976"/>
      <c r="AN177" s="976"/>
      <c r="AO177" s="976"/>
      <c r="AP177" s="976"/>
      <c r="AQ177" s="976"/>
      <c r="AR177" s="976"/>
      <c r="AS177" s="976"/>
      <c r="AT177" s="976"/>
      <c r="AU177" s="976"/>
      <c r="AV177" s="976"/>
    </row>
    <row r="178" spans="1:48" s="795" customFormat="1" ht="21.95" hidden="1" customHeight="1">
      <c r="A178" s="2572"/>
      <c r="B178" s="2643"/>
      <c r="C178" s="977" t="s">
        <v>1355</v>
      </c>
      <c r="D178" s="978"/>
      <c r="E178" s="979"/>
      <c r="F178" s="752">
        <f t="shared" ref="F178:R178" si="236">IF(F176=0,0,F$33+F$34)</f>
        <v>0</v>
      </c>
      <c r="G178" s="752">
        <f t="shared" si="236"/>
        <v>0</v>
      </c>
      <c r="H178" s="752">
        <f t="shared" si="236"/>
        <v>0</v>
      </c>
      <c r="I178" s="752">
        <f t="shared" si="236"/>
        <v>0</v>
      </c>
      <c r="J178" s="752"/>
      <c r="K178" s="752"/>
      <c r="L178" s="752"/>
      <c r="M178" s="752"/>
      <c r="N178" s="980"/>
      <c r="O178" s="752">
        <f t="shared" si="236"/>
        <v>0</v>
      </c>
      <c r="P178" s="752">
        <f t="shared" si="236"/>
        <v>0</v>
      </c>
      <c r="Q178" s="752">
        <f t="shared" si="236"/>
        <v>0</v>
      </c>
      <c r="R178" s="752">
        <f t="shared" si="236"/>
        <v>0</v>
      </c>
      <c r="S178" s="752">
        <f>IF(S176=0,0,S$33+S$34)</f>
        <v>0</v>
      </c>
      <c r="T178" s="752">
        <f>IF(T176=0,0,T$33+T$34)</f>
        <v>0</v>
      </c>
      <c r="U178" s="752">
        <f t="shared" ref="U178:AE178" si="237">IF(U176=0,0,U$33+U$34)</f>
        <v>0</v>
      </c>
      <c r="V178" s="752">
        <f>IF(V176=0,0,V$33+V$34)</f>
        <v>0</v>
      </c>
      <c r="W178" s="752">
        <f t="shared" si="237"/>
        <v>0</v>
      </c>
      <c r="X178" s="752">
        <f t="shared" si="237"/>
        <v>0</v>
      </c>
      <c r="Y178" s="752">
        <f t="shared" si="237"/>
        <v>0</v>
      </c>
      <c r="Z178" s="752">
        <f t="shared" si="237"/>
        <v>0</v>
      </c>
      <c r="AA178" s="752">
        <f t="shared" si="237"/>
        <v>0</v>
      </c>
      <c r="AB178" s="752">
        <f t="shared" si="237"/>
        <v>0</v>
      </c>
      <c r="AC178" s="752">
        <f t="shared" si="237"/>
        <v>0</v>
      </c>
      <c r="AD178" s="752">
        <f t="shared" si="237"/>
        <v>0</v>
      </c>
      <c r="AE178" s="752">
        <f t="shared" si="237"/>
        <v>0</v>
      </c>
      <c r="AF178" s="752"/>
      <c r="AG178" s="752"/>
      <c r="AH178" s="752"/>
      <c r="AI178" s="981"/>
      <c r="AJ178" s="745">
        <f t="shared" si="221"/>
        <v>0</v>
      </c>
      <c r="AK178" s="976"/>
      <c r="AL178" s="976"/>
      <c r="AM178" s="976"/>
      <c r="AN178" s="976"/>
      <c r="AO178" s="976"/>
      <c r="AP178" s="976"/>
      <c r="AQ178" s="976"/>
      <c r="AR178" s="976"/>
      <c r="AS178" s="976"/>
      <c r="AT178" s="976"/>
      <c r="AU178" s="976"/>
      <c r="AV178" s="976"/>
    </row>
    <row r="179" spans="1:48" s="795" customFormat="1" ht="21.95" hidden="1" customHeight="1">
      <c r="A179" s="2572"/>
      <c r="B179" s="2643"/>
      <c r="C179" s="977" t="s">
        <v>1831</v>
      </c>
      <c r="D179" s="978"/>
      <c r="E179" s="979"/>
      <c r="F179" s="752">
        <f t="shared" ref="F179:R179" si="238">F178*F177*F176</f>
        <v>0</v>
      </c>
      <c r="G179" s="752">
        <f t="shared" si="238"/>
        <v>0</v>
      </c>
      <c r="H179" s="752">
        <f t="shared" si="238"/>
        <v>0</v>
      </c>
      <c r="I179" s="752">
        <f t="shared" si="238"/>
        <v>0</v>
      </c>
      <c r="J179" s="752"/>
      <c r="K179" s="752"/>
      <c r="L179" s="752"/>
      <c r="M179" s="752"/>
      <c r="N179" s="980"/>
      <c r="O179" s="752">
        <f t="shared" si="238"/>
        <v>0</v>
      </c>
      <c r="P179" s="752">
        <f t="shared" si="238"/>
        <v>0</v>
      </c>
      <c r="Q179" s="752">
        <f t="shared" si="238"/>
        <v>0</v>
      </c>
      <c r="R179" s="752">
        <f t="shared" si="238"/>
        <v>0</v>
      </c>
      <c r="S179" s="752">
        <f>S178*S177*S176</f>
        <v>0</v>
      </c>
      <c r="T179" s="752">
        <f>T178*T177*T176</f>
        <v>0</v>
      </c>
      <c r="U179" s="752">
        <f t="shared" ref="U179:AE179" si="239">U178*U177*U176</f>
        <v>0</v>
      </c>
      <c r="V179" s="752">
        <f>V178*V177*V176</f>
        <v>0</v>
      </c>
      <c r="W179" s="752">
        <f t="shared" si="239"/>
        <v>0</v>
      </c>
      <c r="X179" s="752">
        <f t="shared" si="239"/>
        <v>0</v>
      </c>
      <c r="Y179" s="752">
        <f t="shared" si="239"/>
        <v>0</v>
      </c>
      <c r="Z179" s="752">
        <f t="shared" si="239"/>
        <v>0</v>
      </c>
      <c r="AA179" s="752">
        <f t="shared" si="239"/>
        <v>0</v>
      </c>
      <c r="AB179" s="752">
        <f t="shared" si="239"/>
        <v>0</v>
      </c>
      <c r="AC179" s="752">
        <f t="shared" si="239"/>
        <v>0</v>
      </c>
      <c r="AD179" s="752">
        <f t="shared" si="239"/>
        <v>0</v>
      </c>
      <c r="AE179" s="752">
        <f t="shared" si="239"/>
        <v>0</v>
      </c>
      <c r="AF179" s="752"/>
      <c r="AG179" s="752"/>
      <c r="AH179" s="752"/>
      <c r="AI179" s="753"/>
      <c r="AJ179" s="745">
        <f t="shared" si="221"/>
        <v>0</v>
      </c>
      <c r="AK179" s="976"/>
      <c r="AL179" s="976"/>
      <c r="AM179" s="976"/>
      <c r="AN179" s="976"/>
      <c r="AO179" s="976"/>
      <c r="AP179" s="976"/>
      <c r="AQ179" s="976"/>
      <c r="AR179" s="976"/>
      <c r="AS179" s="976"/>
      <c r="AT179" s="976"/>
      <c r="AU179" s="976"/>
      <c r="AV179" s="976"/>
    </row>
    <row r="180" spans="1:48" s="795" customFormat="1" ht="21.95" hidden="1" customHeight="1" thickBot="1">
      <c r="A180" s="2572"/>
      <c r="B180" s="2644"/>
      <c r="C180" s="982" t="s">
        <v>1825</v>
      </c>
      <c r="D180" s="983"/>
      <c r="E180" s="984"/>
      <c r="F180" s="761">
        <f t="shared" ref="F180:R180" si="240">F179*1.1</f>
        <v>0</v>
      </c>
      <c r="G180" s="761">
        <f t="shared" si="240"/>
        <v>0</v>
      </c>
      <c r="H180" s="761">
        <f t="shared" si="240"/>
        <v>0</v>
      </c>
      <c r="I180" s="761">
        <f t="shared" si="240"/>
        <v>0</v>
      </c>
      <c r="J180" s="761"/>
      <c r="K180" s="761"/>
      <c r="L180" s="761"/>
      <c r="M180" s="761"/>
      <c r="N180" s="985"/>
      <c r="O180" s="761">
        <f t="shared" si="240"/>
        <v>0</v>
      </c>
      <c r="P180" s="761">
        <f t="shared" si="240"/>
        <v>0</v>
      </c>
      <c r="Q180" s="761">
        <f t="shared" si="240"/>
        <v>0</v>
      </c>
      <c r="R180" s="761">
        <f t="shared" si="240"/>
        <v>0</v>
      </c>
      <c r="S180" s="761">
        <f>S179*1.1</f>
        <v>0</v>
      </c>
      <c r="T180" s="761">
        <f>T179*1.1</f>
        <v>0</v>
      </c>
      <c r="U180" s="761">
        <f t="shared" ref="U180:AE180" si="241">U179*1.1</f>
        <v>0</v>
      </c>
      <c r="V180" s="761">
        <f>V179*1.1</f>
        <v>0</v>
      </c>
      <c r="W180" s="761">
        <f t="shared" si="241"/>
        <v>0</v>
      </c>
      <c r="X180" s="761">
        <f t="shared" si="241"/>
        <v>0</v>
      </c>
      <c r="Y180" s="761">
        <f t="shared" si="241"/>
        <v>0</v>
      </c>
      <c r="Z180" s="761">
        <f t="shared" si="241"/>
        <v>0</v>
      </c>
      <c r="AA180" s="761">
        <f t="shared" si="241"/>
        <v>0</v>
      </c>
      <c r="AB180" s="761">
        <f t="shared" si="241"/>
        <v>0</v>
      </c>
      <c r="AC180" s="761">
        <f t="shared" si="241"/>
        <v>0</v>
      </c>
      <c r="AD180" s="761">
        <f t="shared" si="241"/>
        <v>0</v>
      </c>
      <c r="AE180" s="761">
        <f t="shared" si="241"/>
        <v>0</v>
      </c>
      <c r="AF180" s="761"/>
      <c r="AG180" s="761"/>
      <c r="AH180" s="761"/>
      <c r="AI180" s="769"/>
      <c r="AJ180" s="745">
        <f t="shared" si="221"/>
        <v>0</v>
      </c>
      <c r="AK180" s="976"/>
      <c r="AL180" s="976"/>
      <c r="AM180" s="976"/>
      <c r="AN180" s="976"/>
      <c r="AO180" s="976"/>
      <c r="AP180" s="976"/>
      <c r="AQ180" s="976"/>
      <c r="AR180" s="976"/>
      <c r="AS180" s="976"/>
      <c r="AT180" s="976"/>
      <c r="AU180" s="976"/>
      <c r="AV180" s="976"/>
    </row>
    <row r="181" spans="1:48" s="795" customFormat="1" ht="21.95" hidden="1" customHeight="1">
      <c r="A181" s="2572"/>
      <c r="B181" s="2642" t="s">
        <v>1832</v>
      </c>
      <c r="C181" s="970" t="s">
        <v>1647</v>
      </c>
      <c r="D181" s="971"/>
      <c r="E181" s="972"/>
      <c r="F181" s="743">
        <f>Dren_Quantificacao!D109</f>
        <v>0</v>
      </c>
      <c r="G181" s="743">
        <f>Dren_Quantificacao!E109</f>
        <v>0</v>
      </c>
      <c r="H181" s="743">
        <f>Dren_Quantificacao!F109</f>
        <v>0</v>
      </c>
      <c r="I181" s="743">
        <f>Dren_Quantificacao!G109</f>
        <v>0</v>
      </c>
      <c r="J181" s="743"/>
      <c r="K181" s="743"/>
      <c r="L181" s="743"/>
      <c r="M181" s="743"/>
      <c r="N181" s="973"/>
      <c r="O181" s="743">
        <f>Dren_Quantificacao!L109</f>
        <v>0</v>
      </c>
      <c r="P181" s="743">
        <f>Dren_Quantificacao!M109</f>
        <v>0</v>
      </c>
      <c r="Q181" s="743">
        <f>Dren_Quantificacao!N109</f>
        <v>0</v>
      </c>
      <c r="R181" s="743">
        <f>Dren_Quantificacao!O109</f>
        <v>0</v>
      </c>
      <c r="S181" s="743">
        <f>Dren_Quantificacao!BD109</f>
        <v>0</v>
      </c>
      <c r="T181" s="743">
        <f>Dren_Quantificacao!BE109</f>
        <v>0</v>
      </c>
      <c r="U181" s="743">
        <f>Dren_Quantificacao!BF109</f>
        <v>0</v>
      </c>
      <c r="V181" s="743">
        <f>Dren_Quantificacao!BG109</f>
        <v>0</v>
      </c>
      <c r="W181" s="743">
        <f>Dren_Quantificacao!BH109</f>
        <v>0</v>
      </c>
      <c r="X181" s="743">
        <f>Dren_Quantificacao!BI109</f>
        <v>0</v>
      </c>
      <c r="Y181" s="743">
        <f>Dren_Quantificacao!BJ109</f>
        <v>0</v>
      </c>
      <c r="Z181" s="743">
        <f>Dren_Quantificacao!BK109</f>
        <v>0</v>
      </c>
      <c r="AA181" s="743">
        <f>Dren_Quantificacao!BL109</f>
        <v>0</v>
      </c>
      <c r="AB181" s="743">
        <f>Dren_Quantificacao!BM109</f>
        <v>0</v>
      </c>
      <c r="AC181" s="743">
        <f>Dren_Quantificacao!BN109</f>
        <v>0</v>
      </c>
      <c r="AD181" s="743">
        <f>Dren_Quantificacao!BO109</f>
        <v>0</v>
      </c>
      <c r="AE181" s="743">
        <f>Dren_Quantificacao!BP109</f>
        <v>0</v>
      </c>
      <c r="AF181" s="743"/>
      <c r="AG181" s="743"/>
      <c r="AH181" s="743"/>
      <c r="AI181" s="975"/>
      <c r="AJ181" s="745">
        <f t="shared" si="221"/>
        <v>0</v>
      </c>
      <c r="AK181" s="976"/>
      <c r="AL181" s="976"/>
      <c r="AM181" s="976"/>
      <c r="AN181" s="976"/>
      <c r="AO181" s="976"/>
      <c r="AP181" s="976"/>
      <c r="AQ181" s="976"/>
      <c r="AR181" s="976"/>
      <c r="AS181" s="976"/>
      <c r="AT181" s="976"/>
      <c r="AU181" s="976"/>
      <c r="AV181" s="976"/>
    </row>
    <row r="182" spans="1:48" s="795" customFormat="1" ht="21.95" hidden="1" customHeight="1">
      <c r="A182" s="2572"/>
      <c r="B182" s="2643"/>
      <c r="C182" s="977" t="s">
        <v>1539</v>
      </c>
      <c r="D182" s="978"/>
      <c r="E182" s="979"/>
      <c r="F182" s="752">
        <f>Dren_Quantificacao!D110</f>
        <v>0</v>
      </c>
      <c r="G182" s="752">
        <f>Dren_Quantificacao!E110</f>
        <v>0</v>
      </c>
      <c r="H182" s="752">
        <f>Dren_Quantificacao!F110</f>
        <v>0</v>
      </c>
      <c r="I182" s="752">
        <f>Dren_Quantificacao!G110</f>
        <v>0</v>
      </c>
      <c r="J182" s="752"/>
      <c r="K182" s="752"/>
      <c r="L182" s="752"/>
      <c r="M182" s="752"/>
      <c r="N182" s="980"/>
      <c r="O182" s="752">
        <f>Dren_Quantificacao!L110</f>
        <v>0</v>
      </c>
      <c r="P182" s="752">
        <f>Dren_Quantificacao!M110</f>
        <v>0</v>
      </c>
      <c r="Q182" s="752">
        <f>Dren_Quantificacao!N110</f>
        <v>0</v>
      </c>
      <c r="R182" s="752">
        <f>Dren_Quantificacao!O110</f>
        <v>0</v>
      </c>
      <c r="S182" s="752">
        <f>Dren_Quantificacao!BD110</f>
        <v>0</v>
      </c>
      <c r="T182" s="752">
        <f>Dren_Quantificacao!BE110</f>
        <v>0</v>
      </c>
      <c r="U182" s="752">
        <f>Dren_Quantificacao!BF110</f>
        <v>0</v>
      </c>
      <c r="V182" s="752">
        <f>Dren_Quantificacao!BG110</f>
        <v>0</v>
      </c>
      <c r="W182" s="752">
        <f>Dren_Quantificacao!BH110</f>
        <v>0</v>
      </c>
      <c r="X182" s="752">
        <f>Dren_Quantificacao!BI110</f>
        <v>0</v>
      </c>
      <c r="Y182" s="752">
        <f>Dren_Quantificacao!BJ110</f>
        <v>0</v>
      </c>
      <c r="Z182" s="752">
        <f>Dren_Quantificacao!BK110</f>
        <v>0</v>
      </c>
      <c r="AA182" s="752">
        <f>Dren_Quantificacao!BL110</f>
        <v>0</v>
      </c>
      <c r="AB182" s="752">
        <f>Dren_Quantificacao!BM110</f>
        <v>0</v>
      </c>
      <c r="AC182" s="752">
        <f>Dren_Quantificacao!BN110</f>
        <v>0</v>
      </c>
      <c r="AD182" s="752">
        <f>Dren_Quantificacao!BO110</f>
        <v>0</v>
      </c>
      <c r="AE182" s="752">
        <f>Dren_Quantificacao!BP110</f>
        <v>0</v>
      </c>
      <c r="AF182" s="752"/>
      <c r="AG182" s="752"/>
      <c r="AH182" s="752"/>
      <c r="AI182" s="751"/>
      <c r="AJ182" s="745">
        <f t="shared" si="221"/>
        <v>0</v>
      </c>
      <c r="AK182" s="976"/>
      <c r="AL182" s="976"/>
      <c r="AM182" s="976"/>
      <c r="AN182" s="976"/>
      <c r="AO182" s="976"/>
      <c r="AP182" s="976"/>
      <c r="AQ182" s="976"/>
      <c r="AR182" s="976"/>
      <c r="AS182" s="976"/>
      <c r="AT182" s="976"/>
      <c r="AU182" s="976"/>
      <c r="AV182" s="976"/>
    </row>
    <row r="183" spans="1:48" s="795" customFormat="1" ht="21.95" hidden="1" customHeight="1">
      <c r="A183" s="2572"/>
      <c r="B183" s="2643"/>
      <c r="C183" s="977" t="s">
        <v>1355</v>
      </c>
      <c r="D183" s="978"/>
      <c r="E183" s="979"/>
      <c r="F183" s="752">
        <f>Dren_Quantificacao!D111</f>
        <v>0</v>
      </c>
      <c r="G183" s="752">
        <f>Dren_Quantificacao!E111</f>
        <v>0</v>
      </c>
      <c r="H183" s="752">
        <f>Dren_Quantificacao!F111</f>
        <v>0</v>
      </c>
      <c r="I183" s="752">
        <f>Dren_Quantificacao!G111</f>
        <v>0</v>
      </c>
      <c r="J183" s="752"/>
      <c r="K183" s="752"/>
      <c r="L183" s="752"/>
      <c r="M183" s="752"/>
      <c r="N183" s="980"/>
      <c r="O183" s="752">
        <f>Dren_Quantificacao!L111</f>
        <v>0</v>
      </c>
      <c r="P183" s="752">
        <f>Dren_Quantificacao!M111</f>
        <v>0</v>
      </c>
      <c r="Q183" s="752">
        <f>Dren_Quantificacao!N111</f>
        <v>0</v>
      </c>
      <c r="R183" s="752">
        <f>Dren_Quantificacao!O111</f>
        <v>0</v>
      </c>
      <c r="S183" s="752">
        <f>Dren_Quantificacao!BD111</f>
        <v>0</v>
      </c>
      <c r="T183" s="752">
        <f>Dren_Quantificacao!BE111</f>
        <v>0</v>
      </c>
      <c r="U183" s="752">
        <f>Dren_Quantificacao!BF111</f>
        <v>0</v>
      </c>
      <c r="V183" s="752">
        <f>Dren_Quantificacao!BG111</f>
        <v>0</v>
      </c>
      <c r="W183" s="752">
        <f>Dren_Quantificacao!BH111</f>
        <v>0</v>
      </c>
      <c r="X183" s="752">
        <f>Dren_Quantificacao!BI111</f>
        <v>0</v>
      </c>
      <c r="Y183" s="752">
        <f>Dren_Quantificacao!BJ111</f>
        <v>0</v>
      </c>
      <c r="Z183" s="752">
        <f>Dren_Quantificacao!BK111</f>
        <v>0</v>
      </c>
      <c r="AA183" s="752">
        <f>Dren_Quantificacao!BL111</f>
        <v>0</v>
      </c>
      <c r="AB183" s="752">
        <f>Dren_Quantificacao!BM111</f>
        <v>0</v>
      </c>
      <c r="AC183" s="752">
        <f>Dren_Quantificacao!BN111</f>
        <v>0</v>
      </c>
      <c r="AD183" s="752">
        <f>Dren_Quantificacao!BO111</f>
        <v>0</v>
      </c>
      <c r="AE183" s="752">
        <f>Dren_Quantificacao!BP111</f>
        <v>0</v>
      </c>
      <c r="AF183" s="752"/>
      <c r="AG183" s="752"/>
      <c r="AH183" s="752"/>
      <c r="AI183" s="981"/>
      <c r="AJ183" s="745">
        <f t="shared" si="221"/>
        <v>0</v>
      </c>
      <c r="AK183" s="976"/>
      <c r="AL183" s="976"/>
      <c r="AM183" s="976"/>
      <c r="AN183" s="976"/>
      <c r="AO183" s="976"/>
      <c r="AP183" s="976"/>
      <c r="AQ183" s="976"/>
      <c r="AR183" s="976"/>
      <c r="AS183" s="976"/>
      <c r="AT183" s="976"/>
      <c r="AU183" s="976"/>
      <c r="AV183" s="976"/>
    </row>
    <row r="184" spans="1:48" s="795" customFormat="1" ht="21.95" hidden="1" customHeight="1">
      <c r="A184" s="2572"/>
      <c r="B184" s="2643"/>
      <c r="C184" s="977" t="s">
        <v>1831</v>
      </c>
      <c r="D184" s="978"/>
      <c r="E184" s="979"/>
      <c r="F184" s="752">
        <f t="shared" ref="F184:R184" si="242">F183*F182*F181</f>
        <v>0</v>
      </c>
      <c r="G184" s="752">
        <f t="shared" si="242"/>
        <v>0</v>
      </c>
      <c r="H184" s="752">
        <f t="shared" si="242"/>
        <v>0</v>
      </c>
      <c r="I184" s="752">
        <f t="shared" si="242"/>
        <v>0</v>
      </c>
      <c r="J184" s="752"/>
      <c r="K184" s="752"/>
      <c r="L184" s="752"/>
      <c r="M184" s="752"/>
      <c r="N184" s="980"/>
      <c r="O184" s="752">
        <f t="shared" si="242"/>
        <v>0</v>
      </c>
      <c r="P184" s="752">
        <f t="shared" si="242"/>
        <v>0</v>
      </c>
      <c r="Q184" s="752">
        <f t="shared" si="242"/>
        <v>0</v>
      </c>
      <c r="R184" s="752">
        <f t="shared" si="242"/>
        <v>0</v>
      </c>
      <c r="S184" s="752">
        <f>S183*S182*S181</f>
        <v>0</v>
      </c>
      <c r="T184" s="752">
        <f>T183*T182*T181</f>
        <v>0</v>
      </c>
      <c r="U184" s="752">
        <f t="shared" ref="U184:AE184" si="243">U183*U182*U181</f>
        <v>0</v>
      </c>
      <c r="V184" s="752">
        <f>V183*V182*V181</f>
        <v>0</v>
      </c>
      <c r="W184" s="752">
        <f t="shared" si="243"/>
        <v>0</v>
      </c>
      <c r="X184" s="752">
        <f t="shared" si="243"/>
        <v>0</v>
      </c>
      <c r="Y184" s="752">
        <f t="shared" si="243"/>
        <v>0</v>
      </c>
      <c r="Z184" s="752">
        <f t="shared" si="243"/>
        <v>0</v>
      </c>
      <c r="AA184" s="752">
        <f t="shared" si="243"/>
        <v>0</v>
      </c>
      <c r="AB184" s="752">
        <f t="shared" si="243"/>
        <v>0</v>
      </c>
      <c r="AC184" s="752">
        <f t="shared" si="243"/>
        <v>0</v>
      </c>
      <c r="AD184" s="752">
        <f t="shared" si="243"/>
        <v>0</v>
      </c>
      <c r="AE184" s="752">
        <f t="shared" si="243"/>
        <v>0</v>
      </c>
      <c r="AF184" s="752"/>
      <c r="AG184" s="752"/>
      <c r="AH184" s="752"/>
      <c r="AI184" s="753"/>
      <c r="AJ184" s="745">
        <f t="shared" si="221"/>
        <v>0</v>
      </c>
      <c r="AK184" s="976"/>
      <c r="AL184" s="976"/>
      <c r="AM184" s="976"/>
      <c r="AN184" s="976"/>
      <c r="AO184" s="976"/>
      <c r="AP184" s="976"/>
      <c r="AQ184" s="976"/>
      <c r="AR184" s="976"/>
      <c r="AS184" s="976"/>
      <c r="AT184" s="976"/>
      <c r="AU184" s="976"/>
      <c r="AV184" s="976"/>
    </row>
    <row r="185" spans="1:48" s="795" customFormat="1" ht="21.95" hidden="1" customHeight="1" thickBot="1">
      <c r="A185" s="2572"/>
      <c r="B185" s="2644"/>
      <c r="C185" s="982" t="s">
        <v>1825</v>
      </c>
      <c r="D185" s="983"/>
      <c r="E185" s="984"/>
      <c r="F185" s="761">
        <f t="shared" ref="F185:R185" si="244">F184*1.1</f>
        <v>0</v>
      </c>
      <c r="G185" s="761">
        <f t="shared" si="244"/>
        <v>0</v>
      </c>
      <c r="H185" s="761">
        <f t="shared" si="244"/>
        <v>0</v>
      </c>
      <c r="I185" s="761">
        <f t="shared" si="244"/>
        <v>0</v>
      </c>
      <c r="J185" s="761"/>
      <c r="K185" s="761"/>
      <c r="L185" s="761"/>
      <c r="M185" s="761"/>
      <c r="N185" s="985"/>
      <c r="O185" s="761">
        <f t="shared" si="244"/>
        <v>0</v>
      </c>
      <c r="P185" s="761">
        <f t="shared" si="244"/>
        <v>0</v>
      </c>
      <c r="Q185" s="761">
        <f t="shared" si="244"/>
        <v>0</v>
      </c>
      <c r="R185" s="761">
        <f t="shared" si="244"/>
        <v>0</v>
      </c>
      <c r="S185" s="761">
        <f>S184*1.1</f>
        <v>0</v>
      </c>
      <c r="T185" s="761">
        <f>T184*1.1</f>
        <v>0</v>
      </c>
      <c r="U185" s="761">
        <f t="shared" ref="U185:AE185" si="245">U184*1.1</f>
        <v>0</v>
      </c>
      <c r="V185" s="761">
        <f>V184*1.1</f>
        <v>0</v>
      </c>
      <c r="W185" s="761">
        <f t="shared" si="245"/>
        <v>0</v>
      </c>
      <c r="X185" s="761">
        <f t="shared" si="245"/>
        <v>0</v>
      </c>
      <c r="Y185" s="761">
        <f t="shared" si="245"/>
        <v>0</v>
      </c>
      <c r="Z185" s="761">
        <f t="shared" si="245"/>
        <v>0</v>
      </c>
      <c r="AA185" s="761">
        <f t="shared" si="245"/>
        <v>0</v>
      </c>
      <c r="AB185" s="761">
        <f t="shared" si="245"/>
        <v>0</v>
      </c>
      <c r="AC185" s="761">
        <f t="shared" si="245"/>
        <v>0</v>
      </c>
      <c r="AD185" s="761">
        <f t="shared" si="245"/>
        <v>0</v>
      </c>
      <c r="AE185" s="761">
        <f t="shared" si="245"/>
        <v>0</v>
      </c>
      <c r="AF185" s="761"/>
      <c r="AG185" s="761"/>
      <c r="AH185" s="761"/>
      <c r="AI185" s="769"/>
      <c r="AJ185" s="745">
        <f t="shared" si="221"/>
        <v>0</v>
      </c>
      <c r="AK185" s="976"/>
      <c r="AL185" s="976"/>
      <c r="AM185" s="976"/>
      <c r="AN185" s="976"/>
      <c r="AO185" s="976"/>
      <c r="AP185" s="976"/>
      <c r="AQ185" s="976"/>
      <c r="AR185" s="976"/>
      <c r="AS185" s="976"/>
      <c r="AT185" s="976"/>
      <c r="AU185" s="976"/>
      <c r="AV185" s="976"/>
    </row>
    <row r="186" spans="1:48" s="795" customFormat="1" ht="21.95" hidden="1" customHeight="1">
      <c r="A186" s="2572"/>
      <c r="B186" s="2645" t="s">
        <v>1642</v>
      </c>
      <c r="C186" s="970" t="s">
        <v>1539</v>
      </c>
      <c r="D186" s="971"/>
      <c r="E186" s="972"/>
      <c r="F186" s="743">
        <f>Dren_Quantificacao!D102</f>
        <v>0</v>
      </c>
      <c r="G186" s="743">
        <f>Dren_Quantificacao!E102</f>
        <v>0</v>
      </c>
      <c r="H186" s="743">
        <f>Dren_Quantificacao!F102</f>
        <v>0</v>
      </c>
      <c r="I186" s="743">
        <f>Dren_Quantificacao!G102</f>
        <v>0</v>
      </c>
      <c r="J186" s="743"/>
      <c r="K186" s="743"/>
      <c r="L186" s="743"/>
      <c r="M186" s="743"/>
      <c r="N186" s="973"/>
      <c r="O186" s="743">
        <f>Dren_Quantificacao!L102</f>
        <v>0</v>
      </c>
      <c r="P186" s="743">
        <f>Dren_Quantificacao!M102</f>
        <v>0</v>
      </c>
      <c r="Q186" s="743">
        <f>Dren_Quantificacao!N102</f>
        <v>0</v>
      </c>
      <c r="R186" s="743">
        <f>Dren_Quantificacao!O102</f>
        <v>0</v>
      </c>
      <c r="S186" s="743">
        <f>Dren_Quantificacao!BD102</f>
        <v>0</v>
      </c>
      <c r="T186" s="743">
        <f>Dren_Quantificacao!BE102</f>
        <v>0</v>
      </c>
      <c r="U186" s="743">
        <f>Dren_Quantificacao!BF102</f>
        <v>0</v>
      </c>
      <c r="V186" s="743">
        <f>Dren_Quantificacao!BG102</f>
        <v>0</v>
      </c>
      <c r="W186" s="743">
        <f>Dren_Quantificacao!BH102</f>
        <v>0</v>
      </c>
      <c r="X186" s="743">
        <f>Dren_Quantificacao!BI102</f>
        <v>0</v>
      </c>
      <c r="Y186" s="743">
        <f>Dren_Quantificacao!BJ102</f>
        <v>0</v>
      </c>
      <c r="Z186" s="743">
        <f>Dren_Quantificacao!BK102</f>
        <v>0</v>
      </c>
      <c r="AA186" s="743">
        <f>Dren_Quantificacao!BL102</f>
        <v>0</v>
      </c>
      <c r="AB186" s="743">
        <f>Dren_Quantificacao!BM102</f>
        <v>0</v>
      </c>
      <c r="AC186" s="743">
        <f>Dren_Quantificacao!BN102</f>
        <v>0</v>
      </c>
      <c r="AD186" s="743">
        <f>Dren_Quantificacao!BO102</f>
        <v>0</v>
      </c>
      <c r="AE186" s="743">
        <f>Dren_Quantificacao!BP102</f>
        <v>0</v>
      </c>
      <c r="AF186" s="743"/>
      <c r="AG186" s="743"/>
      <c r="AH186" s="743"/>
      <c r="AI186" s="751"/>
      <c r="AJ186" s="745">
        <f t="shared" si="221"/>
        <v>0</v>
      </c>
      <c r="AK186" s="976"/>
      <c r="AL186" s="976"/>
      <c r="AM186" s="976"/>
      <c r="AN186" s="976"/>
      <c r="AO186" s="976"/>
      <c r="AP186" s="976"/>
      <c r="AQ186" s="976"/>
      <c r="AR186" s="976"/>
      <c r="AS186" s="976"/>
      <c r="AT186" s="976"/>
      <c r="AU186" s="976"/>
      <c r="AV186" s="976"/>
    </row>
    <row r="187" spans="1:48" s="795" customFormat="1" ht="21.95" hidden="1" customHeight="1">
      <c r="A187" s="2572"/>
      <c r="B187" s="2646"/>
      <c r="C187" s="977" t="s">
        <v>1355</v>
      </c>
      <c r="D187" s="978"/>
      <c r="E187" s="979"/>
      <c r="F187" s="752">
        <f>Dren_Quantificacao!D103</f>
        <v>0</v>
      </c>
      <c r="G187" s="752">
        <f>Dren_Quantificacao!E103</f>
        <v>0</v>
      </c>
      <c r="H187" s="752">
        <f>Dren_Quantificacao!F103</f>
        <v>0</v>
      </c>
      <c r="I187" s="752">
        <f>Dren_Quantificacao!G103</f>
        <v>0</v>
      </c>
      <c r="J187" s="752"/>
      <c r="K187" s="752"/>
      <c r="L187" s="752"/>
      <c r="M187" s="752"/>
      <c r="N187" s="980"/>
      <c r="O187" s="752">
        <f>Dren_Quantificacao!L103</f>
        <v>0</v>
      </c>
      <c r="P187" s="752">
        <f>Dren_Quantificacao!M103</f>
        <v>0</v>
      </c>
      <c r="Q187" s="752">
        <f>Dren_Quantificacao!N103</f>
        <v>0</v>
      </c>
      <c r="R187" s="752">
        <f>Dren_Quantificacao!O103</f>
        <v>0</v>
      </c>
      <c r="S187" s="752">
        <f>Dren_Quantificacao!BD103</f>
        <v>0</v>
      </c>
      <c r="T187" s="752">
        <f>Dren_Quantificacao!BE103</f>
        <v>0</v>
      </c>
      <c r="U187" s="752">
        <f>Dren_Quantificacao!BF103</f>
        <v>0</v>
      </c>
      <c r="V187" s="752">
        <f>Dren_Quantificacao!BG103</f>
        <v>0</v>
      </c>
      <c r="W187" s="752">
        <f>Dren_Quantificacao!BH103</f>
        <v>0</v>
      </c>
      <c r="X187" s="752">
        <f>Dren_Quantificacao!BI103</f>
        <v>0</v>
      </c>
      <c r="Y187" s="752">
        <f>Dren_Quantificacao!BJ103</f>
        <v>0</v>
      </c>
      <c r="Z187" s="752">
        <f>Dren_Quantificacao!BK103</f>
        <v>0</v>
      </c>
      <c r="AA187" s="752">
        <f>Dren_Quantificacao!BL103</f>
        <v>0</v>
      </c>
      <c r="AB187" s="752">
        <f>Dren_Quantificacao!BM103</f>
        <v>0</v>
      </c>
      <c r="AC187" s="752">
        <f>Dren_Quantificacao!BN103</f>
        <v>0</v>
      </c>
      <c r="AD187" s="752">
        <f>Dren_Quantificacao!BO103</f>
        <v>0</v>
      </c>
      <c r="AE187" s="752">
        <f>Dren_Quantificacao!BP103</f>
        <v>0</v>
      </c>
      <c r="AF187" s="752"/>
      <c r="AG187" s="752"/>
      <c r="AH187" s="752"/>
      <c r="AI187" s="981"/>
      <c r="AJ187" s="745">
        <f t="shared" si="221"/>
        <v>0</v>
      </c>
      <c r="AK187" s="976"/>
      <c r="AL187" s="976"/>
      <c r="AM187" s="976"/>
      <c r="AN187" s="976"/>
      <c r="AO187" s="976"/>
      <c r="AP187" s="976"/>
      <c r="AQ187" s="976"/>
      <c r="AR187" s="976"/>
      <c r="AS187" s="976"/>
      <c r="AT187" s="976"/>
      <c r="AU187" s="976"/>
      <c r="AV187" s="976"/>
    </row>
    <row r="188" spans="1:48" s="795" customFormat="1" ht="21.95" hidden="1" customHeight="1" thickBot="1">
      <c r="A188" s="2572"/>
      <c r="B188" s="2647"/>
      <c r="C188" s="982" t="s">
        <v>1693</v>
      </c>
      <c r="D188" s="983"/>
      <c r="E188" s="984"/>
      <c r="F188" s="761">
        <f t="shared" ref="F188:R188" si="246">F187*F186</f>
        <v>0</v>
      </c>
      <c r="G188" s="761">
        <f t="shared" si="246"/>
        <v>0</v>
      </c>
      <c r="H188" s="761">
        <f t="shared" si="246"/>
        <v>0</v>
      </c>
      <c r="I188" s="761">
        <f t="shared" si="246"/>
        <v>0</v>
      </c>
      <c r="J188" s="761"/>
      <c r="K188" s="761"/>
      <c r="L188" s="761"/>
      <c r="M188" s="761"/>
      <c r="N188" s="985"/>
      <c r="O188" s="761">
        <f t="shared" si="246"/>
        <v>0</v>
      </c>
      <c r="P188" s="761">
        <f t="shared" si="246"/>
        <v>0</v>
      </c>
      <c r="Q188" s="761">
        <f t="shared" si="246"/>
        <v>0</v>
      </c>
      <c r="R188" s="761">
        <f t="shared" si="246"/>
        <v>0</v>
      </c>
      <c r="S188" s="761">
        <f>S187*S186</f>
        <v>0</v>
      </c>
      <c r="T188" s="761">
        <f>T187*T186</f>
        <v>0</v>
      </c>
      <c r="U188" s="761">
        <f t="shared" ref="U188:AE188" si="247">U187*U186</f>
        <v>0</v>
      </c>
      <c r="V188" s="761">
        <f>V187*V186</f>
        <v>0</v>
      </c>
      <c r="W188" s="761">
        <f t="shared" si="247"/>
        <v>0</v>
      </c>
      <c r="X188" s="761">
        <f t="shared" si="247"/>
        <v>0</v>
      </c>
      <c r="Y188" s="761">
        <f t="shared" si="247"/>
        <v>0</v>
      </c>
      <c r="Z188" s="761">
        <f t="shared" si="247"/>
        <v>0</v>
      </c>
      <c r="AA188" s="761">
        <f t="shared" si="247"/>
        <v>0</v>
      </c>
      <c r="AB188" s="761">
        <f t="shared" si="247"/>
        <v>0</v>
      </c>
      <c r="AC188" s="761">
        <f t="shared" si="247"/>
        <v>0</v>
      </c>
      <c r="AD188" s="761">
        <f t="shared" si="247"/>
        <v>0</v>
      </c>
      <c r="AE188" s="761">
        <f t="shared" si="247"/>
        <v>0</v>
      </c>
      <c r="AF188" s="761"/>
      <c r="AG188" s="761"/>
      <c r="AH188" s="761"/>
      <c r="AI188" s="769"/>
      <c r="AJ188" s="745">
        <f t="shared" si="221"/>
        <v>0</v>
      </c>
      <c r="AK188" s="976"/>
      <c r="AL188" s="976"/>
      <c r="AM188" s="976"/>
      <c r="AN188" s="976"/>
      <c r="AO188" s="976"/>
      <c r="AP188" s="976"/>
      <c r="AQ188" s="976"/>
      <c r="AR188" s="976"/>
      <c r="AS188" s="976"/>
      <c r="AT188" s="976"/>
      <c r="AU188" s="976"/>
      <c r="AV188" s="976"/>
    </row>
    <row r="189" spans="1:48" s="795" customFormat="1" ht="21.95" hidden="1" customHeight="1">
      <c r="A189" s="2572"/>
      <c r="B189" s="2648" t="s">
        <v>1643</v>
      </c>
      <c r="C189" s="1089" t="s">
        <v>1644</v>
      </c>
      <c r="D189" s="956"/>
      <c r="E189" s="972"/>
      <c r="F189" s="772">
        <f>Dren_Quantificacao!D104</f>
        <v>0</v>
      </c>
      <c r="G189" s="772">
        <f>Dren_Quantificacao!E104</f>
        <v>0</v>
      </c>
      <c r="H189" s="772">
        <f>Dren_Quantificacao!F104</f>
        <v>0</v>
      </c>
      <c r="I189" s="772">
        <f>Dren_Quantificacao!G104</f>
        <v>0</v>
      </c>
      <c r="J189" s="772"/>
      <c r="K189" s="772"/>
      <c r="L189" s="772"/>
      <c r="M189" s="772"/>
      <c r="N189" s="885"/>
      <c r="O189" s="772">
        <f>Dren_Quantificacao!L104</f>
        <v>0</v>
      </c>
      <c r="P189" s="772">
        <f>Dren_Quantificacao!M104</f>
        <v>0</v>
      </c>
      <c r="Q189" s="772">
        <f>Dren_Quantificacao!N104</f>
        <v>0</v>
      </c>
      <c r="R189" s="772">
        <f>Dren_Quantificacao!O104</f>
        <v>0</v>
      </c>
      <c r="S189" s="772">
        <f>Dren_Quantificacao!BD104</f>
        <v>0</v>
      </c>
      <c r="T189" s="772">
        <f>Dren_Quantificacao!BE104</f>
        <v>0</v>
      </c>
      <c r="U189" s="772">
        <f>Dren_Quantificacao!BF104</f>
        <v>0</v>
      </c>
      <c r="V189" s="772">
        <f>Dren_Quantificacao!BG104</f>
        <v>0</v>
      </c>
      <c r="W189" s="772">
        <f>Dren_Quantificacao!BH104</f>
        <v>0</v>
      </c>
      <c r="X189" s="772">
        <f>Dren_Quantificacao!BI104</f>
        <v>0</v>
      </c>
      <c r="Y189" s="772">
        <f>Dren_Quantificacao!BJ104</f>
        <v>0</v>
      </c>
      <c r="Z189" s="772">
        <f>Dren_Quantificacao!BK104</f>
        <v>0</v>
      </c>
      <c r="AA189" s="772">
        <f>Dren_Quantificacao!BL104</f>
        <v>0</v>
      </c>
      <c r="AB189" s="772">
        <f>Dren_Quantificacao!BM104</f>
        <v>0</v>
      </c>
      <c r="AC189" s="772">
        <f>Dren_Quantificacao!BN104</f>
        <v>0</v>
      </c>
      <c r="AD189" s="772">
        <f>Dren_Quantificacao!BO104</f>
        <v>0</v>
      </c>
      <c r="AE189" s="772">
        <f>Dren_Quantificacao!BP104</f>
        <v>0</v>
      </c>
      <c r="AF189" s="772">
        <f>Dren_Quantificacao!BQ104</f>
        <v>0</v>
      </c>
      <c r="AG189" s="772">
        <f>Dren_Quantificacao!BR104</f>
        <v>0</v>
      </c>
      <c r="AH189" s="772">
        <f>Dren_Quantificacao!BS104</f>
        <v>0</v>
      </c>
      <c r="AI189" s="767"/>
      <c r="AJ189" s="745">
        <f t="shared" si="221"/>
        <v>0</v>
      </c>
      <c r="AK189" s="976"/>
      <c r="AL189" s="976"/>
      <c r="AM189" s="976"/>
      <c r="AN189" s="976"/>
      <c r="AO189" s="976"/>
      <c r="AP189" s="976"/>
      <c r="AQ189" s="976"/>
      <c r="AR189" s="976"/>
      <c r="AS189" s="976"/>
      <c r="AT189" s="976"/>
      <c r="AU189" s="976"/>
      <c r="AV189" s="976"/>
    </row>
    <row r="190" spans="1:48" s="795" customFormat="1" ht="21.95" hidden="1" customHeight="1" thickBot="1">
      <c r="A190" s="2572"/>
      <c r="B190" s="2583"/>
      <c r="C190" s="936" t="s">
        <v>1645</v>
      </c>
      <c r="D190" s="1090"/>
      <c r="E190" s="984"/>
      <c r="F190" s="989">
        <f>Dren_Quantificacao!D105</f>
        <v>0</v>
      </c>
      <c r="G190" s="989">
        <f>Dren_Quantificacao!E105</f>
        <v>0</v>
      </c>
      <c r="H190" s="989">
        <f>Dren_Quantificacao!F105</f>
        <v>0</v>
      </c>
      <c r="I190" s="989">
        <f>Dren_Quantificacao!G105</f>
        <v>0</v>
      </c>
      <c r="J190" s="989"/>
      <c r="K190" s="989"/>
      <c r="L190" s="989"/>
      <c r="M190" s="989"/>
      <c r="N190" s="990"/>
      <c r="O190" s="989">
        <f>Dren_Quantificacao!L105</f>
        <v>0</v>
      </c>
      <c r="P190" s="989">
        <f>Dren_Quantificacao!M105</f>
        <v>0</v>
      </c>
      <c r="Q190" s="989">
        <f>Dren_Quantificacao!N105</f>
        <v>0</v>
      </c>
      <c r="R190" s="989">
        <f>Dren_Quantificacao!O105</f>
        <v>0</v>
      </c>
      <c r="S190" s="989">
        <f>Dren_Quantificacao!BD105</f>
        <v>0</v>
      </c>
      <c r="T190" s="989">
        <f>Dren_Quantificacao!BE105</f>
        <v>0</v>
      </c>
      <c r="U190" s="989">
        <f>Dren_Quantificacao!BF105</f>
        <v>0</v>
      </c>
      <c r="V190" s="989">
        <f>Dren_Quantificacao!BG105</f>
        <v>0</v>
      </c>
      <c r="W190" s="989">
        <f>Dren_Quantificacao!BH105</f>
        <v>0</v>
      </c>
      <c r="X190" s="989">
        <f>Dren_Quantificacao!BI105</f>
        <v>0</v>
      </c>
      <c r="Y190" s="989">
        <f>Dren_Quantificacao!BJ105</f>
        <v>0</v>
      </c>
      <c r="Z190" s="989">
        <f>Dren_Quantificacao!BK105</f>
        <v>0</v>
      </c>
      <c r="AA190" s="989">
        <f>Dren_Quantificacao!BL105</f>
        <v>0</v>
      </c>
      <c r="AB190" s="989">
        <f>Dren_Quantificacao!BM105</f>
        <v>0</v>
      </c>
      <c r="AC190" s="989">
        <f>Dren_Quantificacao!BN105</f>
        <v>0</v>
      </c>
      <c r="AD190" s="989">
        <f>Dren_Quantificacao!BO105</f>
        <v>0</v>
      </c>
      <c r="AE190" s="989">
        <f>Dren_Quantificacao!BP105</f>
        <v>0</v>
      </c>
      <c r="AF190" s="989">
        <f>Dren_Quantificacao!BQ105</f>
        <v>0</v>
      </c>
      <c r="AG190" s="989">
        <f>Dren_Quantificacao!BR105</f>
        <v>0</v>
      </c>
      <c r="AH190" s="989">
        <f>Dren_Quantificacao!BS105</f>
        <v>0</v>
      </c>
      <c r="AI190" s="769"/>
      <c r="AJ190" s="745">
        <f t="shared" si="221"/>
        <v>0</v>
      </c>
      <c r="AK190" s="976"/>
      <c r="AL190" s="976"/>
      <c r="AM190" s="976"/>
      <c r="AN190" s="976"/>
      <c r="AO190" s="976"/>
      <c r="AP190" s="976"/>
      <c r="AQ190" s="976"/>
      <c r="AR190" s="976"/>
      <c r="AS190" s="976"/>
      <c r="AT190" s="976"/>
      <c r="AU190" s="976"/>
      <c r="AV190" s="976"/>
    </row>
    <row r="191" spans="1:48" s="795" customFormat="1" ht="21.95" hidden="1" customHeight="1" thickBot="1">
      <c r="A191" s="2572"/>
      <c r="B191" s="2649" t="s">
        <v>1833</v>
      </c>
      <c r="C191" s="2650"/>
      <c r="D191" s="1091"/>
      <c r="E191" s="1092"/>
      <c r="F191" s="788">
        <f t="shared" ref="F191:R191" si="248">IF((F169+F180)&gt;0,F2/1.7+F120/10*(1/3),0)</f>
        <v>0</v>
      </c>
      <c r="G191" s="788">
        <f t="shared" si="248"/>
        <v>0</v>
      </c>
      <c r="H191" s="788">
        <f t="shared" si="248"/>
        <v>0</v>
      </c>
      <c r="I191" s="788">
        <f t="shared" si="248"/>
        <v>0</v>
      </c>
      <c r="J191" s="788"/>
      <c r="K191" s="788"/>
      <c r="L191" s="788"/>
      <c r="M191" s="788"/>
      <c r="N191" s="1093"/>
      <c r="O191" s="788">
        <f t="shared" si="248"/>
        <v>0</v>
      </c>
      <c r="P191" s="788">
        <f t="shared" si="248"/>
        <v>0</v>
      </c>
      <c r="Q191" s="788">
        <f t="shared" si="248"/>
        <v>0</v>
      </c>
      <c r="R191" s="788">
        <f t="shared" si="248"/>
        <v>0</v>
      </c>
      <c r="S191" s="788">
        <f>IF((S169+S180)&gt;0,S2/1.7+S120/10*(1/3),0)</f>
        <v>0</v>
      </c>
      <c r="T191" s="788">
        <f>IF((T169+T180)&gt;0,T2/1.7+T120/10*(1/3),0)</f>
        <v>0</v>
      </c>
      <c r="U191" s="788">
        <f t="shared" ref="U191:AH191" si="249">IF((U169+U180)&gt;0,U2/1.7+U120/10*(1/3),0)</f>
        <v>0</v>
      </c>
      <c r="V191" s="788">
        <f>IF((V169+V180)&gt;0,V2/1.7+V120/10*(1/3),0)</f>
        <v>0</v>
      </c>
      <c r="W191" s="788">
        <f t="shared" si="249"/>
        <v>0</v>
      </c>
      <c r="X191" s="788">
        <f t="shared" si="249"/>
        <v>0</v>
      </c>
      <c r="Y191" s="788">
        <f t="shared" si="249"/>
        <v>0</v>
      </c>
      <c r="Z191" s="788">
        <f t="shared" si="249"/>
        <v>0</v>
      </c>
      <c r="AA191" s="788">
        <f t="shared" si="249"/>
        <v>0</v>
      </c>
      <c r="AB191" s="788">
        <f t="shared" si="249"/>
        <v>0</v>
      </c>
      <c r="AC191" s="788">
        <f t="shared" si="249"/>
        <v>0</v>
      </c>
      <c r="AD191" s="788">
        <f t="shared" si="249"/>
        <v>0</v>
      </c>
      <c r="AE191" s="788">
        <f t="shared" si="249"/>
        <v>0</v>
      </c>
      <c r="AF191" s="788">
        <f t="shared" si="249"/>
        <v>0</v>
      </c>
      <c r="AG191" s="788">
        <f t="shared" si="249"/>
        <v>0</v>
      </c>
      <c r="AH191" s="788">
        <f t="shared" si="249"/>
        <v>0</v>
      </c>
      <c r="AI191" s="789"/>
      <c r="AJ191" s="745">
        <f t="shared" si="221"/>
        <v>0</v>
      </c>
      <c r="AK191" s="976"/>
      <c r="AL191" s="976"/>
      <c r="AM191" s="976"/>
      <c r="AN191" s="976"/>
      <c r="AO191" s="976"/>
      <c r="AP191" s="976"/>
      <c r="AQ191" s="976"/>
      <c r="AR191" s="976"/>
      <c r="AS191" s="976"/>
      <c r="AT191" s="976"/>
      <c r="AU191" s="976"/>
      <c r="AV191" s="976"/>
    </row>
    <row r="192" spans="1:48" s="795" customFormat="1" ht="21.95" hidden="1" customHeight="1">
      <c r="A192" s="2572"/>
      <c r="B192" s="2633" t="s">
        <v>1649</v>
      </c>
      <c r="C192" s="977" t="s">
        <v>1650</v>
      </c>
      <c r="D192" s="971"/>
      <c r="E192" s="972"/>
      <c r="F192" s="743">
        <f>Dren_Quantificacao!D112</f>
        <v>0</v>
      </c>
      <c r="G192" s="743">
        <f>Dren_Quantificacao!E112</f>
        <v>0</v>
      </c>
      <c r="H192" s="743">
        <f>Dren_Quantificacao!F112</f>
        <v>0</v>
      </c>
      <c r="I192" s="743">
        <f>Dren_Quantificacao!G112</f>
        <v>0</v>
      </c>
      <c r="J192" s="743"/>
      <c r="K192" s="743"/>
      <c r="L192" s="743"/>
      <c r="M192" s="743"/>
      <c r="N192" s="973"/>
      <c r="O192" s="743">
        <f>Dren_Quantificacao!L112</f>
        <v>0</v>
      </c>
      <c r="P192" s="743">
        <f>Dren_Quantificacao!M112</f>
        <v>0</v>
      </c>
      <c r="Q192" s="743">
        <f>Dren_Quantificacao!N112</f>
        <v>0</v>
      </c>
      <c r="R192" s="743">
        <f>Dren_Quantificacao!O112</f>
        <v>0</v>
      </c>
      <c r="S192" s="743">
        <f>Dren_Quantificacao!BD112</f>
        <v>0</v>
      </c>
      <c r="T192" s="743">
        <f>Dren_Quantificacao!BE112</f>
        <v>0</v>
      </c>
      <c r="U192" s="743">
        <f>Dren_Quantificacao!BF112</f>
        <v>0</v>
      </c>
      <c r="V192" s="743">
        <f>Dren_Quantificacao!BG112</f>
        <v>0</v>
      </c>
      <c r="W192" s="743">
        <f>Dren_Quantificacao!BH112</f>
        <v>0</v>
      </c>
      <c r="X192" s="743">
        <f>Dren_Quantificacao!BI112</f>
        <v>0</v>
      </c>
      <c r="Y192" s="743">
        <f>Dren_Quantificacao!BJ112</f>
        <v>0</v>
      </c>
      <c r="Z192" s="743">
        <f>Dren_Quantificacao!BK112</f>
        <v>0</v>
      </c>
      <c r="AA192" s="743">
        <f>Dren_Quantificacao!BL112</f>
        <v>0</v>
      </c>
      <c r="AB192" s="743">
        <f>Dren_Quantificacao!BM112</f>
        <v>0</v>
      </c>
      <c r="AC192" s="743">
        <f>Dren_Quantificacao!BN112</f>
        <v>0</v>
      </c>
      <c r="AD192" s="743">
        <f>Dren_Quantificacao!BO112</f>
        <v>0</v>
      </c>
      <c r="AE192" s="743">
        <f>Dren_Quantificacao!BP112</f>
        <v>0</v>
      </c>
      <c r="AF192" s="743"/>
      <c r="AG192" s="743"/>
      <c r="AH192" s="743"/>
      <c r="AI192" s="744"/>
      <c r="AJ192" s="745">
        <f t="shared" si="221"/>
        <v>0</v>
      </c>
      <c r="AK192" s="976"/>
      <c r="AL192" s="976"/>
      <c r="AM192" s="976"/>
      <c r="AN192" s="976"/>
      <c r="AO192" s="976"/>
      <c r="AP192" s="976"/>
      <c r="AQ192" s="976"/>
      <c r="AR192" s="976"/>
      <c r="AS192" s="976"/>
      <c r="AT192" s="976"/>
      <c r="AU192" s="976"/>
      <c r="AV192" s="976"/>
    </row>
    <row r="193" spans="1:48" s="795" customFormat="1" ht="21.95" hidden="1" customHeight="1">
      <c r="A193" s="2572"/>
      <c r="B193" s="2634"/>
      <c r="C193" s="977" t="s">
        <v>1651</v>
      </c>
      <c r="D193" s="978"/>
      <c r="E193" s="979"/>
      <c r="F193" s="752">
        <f>Dren_Quantificacao!D113</f>
        <v>0</v>
      </c>
      <c r="G193" s="752">
        <f>Dren_Quantificacao!E113</f>
        <v>0</v>
      </c>
      <c r="H193" s="752">
        <f>Dren_Quantificacao!F113</f>
        <v>0</v>
      </c>
      <c r="I193" s="752">
        <f>Dren_Quantificacao!G113</f>
        <v>0</v>
      </c>
      <c r="J193" s="752"/>
      <c r="K193" s="752"/>
      <c r="L193" s="752"/>
      <c r="M193" s="752"/>
      <c r="N193" s="980"/>
      <c r="O193" s="752">
        <f>Dren_Quantificacao!L113</f>
        <v>0</v>
      </c>
      <c r="P193" s="752">
        <f>Dren_Quantificacao!M113</f>
        <v>0</v>
      </c>
      <c r="Q193" s="752">
        <f>Dren_Quantificacao!N113</f>
        <v>0</v>
      </c>
      <c r="R193" s="752">
        <f>Dren_Quantificacao!O113</f>
        <v>0</v>
      </c>
      <c r="S193" s="752">
        <f>Dren_Quantificacao!BD113</f>
        <v>0</v>
      </c>
      <c r="T193" s="752">
        <f>Dren_Quantificacao!BE113</f>
        <v>0</v>
      </c>
      <c r="U193" s="752">
        <f>Dren_Quantificacao!BF113</f>
        <v>0</v>
      </c>
      <c r="V193" s="752">
        <f>Dren_Quantificacao!BG113</f>
        <v>0</v>
      </c>
      <c r="W193" s="752">
        <f>Dren_Quantificacao!BH113</f>
        <v>0</v>
      </c>
      <c r="X193" s="752">
        <f>Dren_Quantificacao!BI113</f>
        <v>0</v>
      </c>
      <c r="Y193" s="752">
        <f>Dren_Quantificacao!BJ113</f>
        <v>0</v>
      </c>
      <c r="Z193" s="752">
        <f>Dren_Quantificacao!BK113</f>
        <v>0</v>
      </c>
      <c r="AA193" s="752">
        <f>Dren_Quantificacao!BL113</f>
        <v>0</v>
      </c>
      <c r="AB193" s="752">
        <f>Dren_Quantificacao!BM113</f>
        <v>0</v>
      </c>
      <c r="AC193" s="752">
        <f>Dren_Quantificacao!BN113</f>
        <v>0</v>
      </c>
      <c r="AD193" s="752">
        <f>Dren_Quantificacao!BO113</f>
        <v>0</v>
      </c>
      <c r="AE193" s="752">
        <f>Dren_Quantificacao!BP113</f>
        <v>0</v>
      </c>
      <c r="AF193" s="752"/>
      <c r="AG193" s="752"/>
      <c r="AH193" s="752"/>
      <c r="AI193" s="751"/>
      <c r="AJ193" s="745">
        <f t="shared" si="221"/>
        <v>0</v>
      </c>
      <c r="AK193" s="976"/>
      <c r="AL193" s="976"/>
      <c r="AM193" s="976"/>
      <c r="AN193" s="976"/>
      <c r="AO193" s="976"/>
      <c r="AP193" s="976"/>
      <c r="AQ193" s="976"/>
      <c r="AR193" s="976"/>
      <c r="AS193" s="976"/>
      <c r="AT193" s="976"/>
      <c r="AU193" s="976"/>
      <c r="AV193" s="976"/>
    </row>
    <row r="194" spans="1:48" s="795" customFormat="1" ht="21.95" hidden="1" customHeight="1">
      <c r="A194" s="2572"/>
      <c r="B194" s="2634"/>
      <c r="C194" s="977" t="s">
        <v>1834</v>
      </c>
      <c r="D194" s="978"/>
      <c r="E194" s="979"/>
      <c r="F194" s="752">
        <f t="shared" ref="F194:R194" si="250">2*F192*1.5+F193</f>
        <v>0</v>
      </c>
      <c r="G194" s="752">
        <f t="shared" si="250"/>
        <v>0</v>
      </c>
      <c r="H194" s="752">
        <f t="shared" si="250"/>
        <v>0</v>
      </c>
      <c r="I194" s="752">
        <f t="shared" si="250"/>
        <v>0</v>
      </c>
      <c r="J194" s="752"/>
      <c r="K194" s="752"/>
      <c r="L194" s="752"/>
      <c r="M194" s="752"/>
      <c r="N194" s="980"/>
      <c r="O194" s="752">
        <f t="shared" si="250"/>
        <v>0</v>
      </c>
      <c r="P194" s="752">
        <f t="shared" si="250"/>
        <v>0</v>
      </c>
      <c r="Q194" s="752">
        <f t="shared" si="250"/>
        <v>0</v>
      </c>
      <c r="R194" s="752">
        <f t="shared" si="250"/>
        <v>0</v>
      </c>
      <c r="S194" s="752">
        <f>2*S192*1.5+S193</f>
        <v>0</v>
      </c>
      <c r="T194" s="752">
        <f>2*T192*1.5+T193</f>
        <v>0</v>
      </c>
      <c r="U194" s="752">
        <f t="shared" ref="U194:AE194" si="251">2*U192*1.5+U193</f>
        <v>0</v>
      </c>
      <c r="V194" s="752">
        <f>2*V192*1.5+V193</f>
        <v>0</v>
      </c>
      <c r="W194" s="752">
        <f t="shared" si="251"/>
        <v>0</v>
      </c>
      <c r="X194" s="752">
        <f t="shared" si="251"/>
        <v>0</v>
      </c>
      <c r="Y194" s="752">
        <f t="shared" si="251"/>
        <v>0</v>
      </c>
      <c r="Z194" s="752">
        <f t="shared" si="251"/>
        <v>0</v>
      </c>
      <c r="AA194" s="752">
        <f t="shared" si="251"/>
        <v>0</v>
      </c>
      <c r="AB194" s="752">
        <f t="shared" si="251"/>
        <v>0</v>
      </c>
      <c r="AC194" s="752">
        <f t="shared" si="251"/>
        <v>0</v>
      </c>
      <c r="AD194" s="752">
        <f t="shared" si="251"/>
        <v>0</v>
      </c>
      <c r="AE194" s="752">
        <f t="shared" si="251"/>
        <v>0</v>
      </c>
      <c r="AF194" s="752"/>
      <c r="AG194" s="752"/>
      <c r="AH194" s="752"/>
      <c r="AI194" s="751"/>
      <c r="AJ194" s="745">
        <f t="shared" si="221"/>
        <v>0</v>
      </c>
      <c r="AK194" s="976"/>
      <c r="AL194" s="976"/>
      <c r="AM194" s="976"/>
      <c r="AN194" s="976"/>
      <c r="AO194" s="976"/>
      <c r="AP194" s="976"/>
      <c r="AQ194" s="976"/>
      <c r="AR194" s="976"/>
      <c r="AS194" s="976"/>
      <c r="AT194" s="976"/>
      <c r="AU194" s="976"/>
      <c r="AV194" s="976"/>
    </row>
    <row r="195" spans="1:48" s="795" customFormat="1" ht="21.95" hidden="1" customHeight="1">
      <c r="A195" s="2572"/>
      <c r="B195" s="2634"/>
      <c r="C195" s="977" t="s">
        <v>1539</v>
      </c>
      <c r="D195" s="978"/>
      <c r="E195" s="979"/>
      <c r="F195" s="752">
        <f>Dren_Quantificacao!D114</f>
        <v>0</v>
      </c>
      <c r="G195" s="752">
        <f>Dren_Quantificacao!E114</f>
        <v>0</v>
      </c>
      <c r="H195" s="752">
        <f>Dren_Quantificacao!F114</f>
        <v>0</v>
      </c>
      <c r="I195" s="752">
        <f>Dren_Quantificacao!G114</f>
        <v>0</v>
      </c>
      <c r="J195" s="752"/>
      <c r="K195" s="752"/>
      <c r="L195" s="752"/>
      <c r="M195" s="752"/>
      <c r="N195" s="980"/>
      <c r="O195" s="752">
        <f>Dren_Quantificacao!L114</f>
        <v>0</v>
      </c>
      <c r="P195" s="752">
        <f>Dren_Quantificacao!M114</f>
        <v>0</v>
      </c>
      <c r="Q195" s="752">
        <f>Dren_Quantificacao!N114</f>
        <v>0</v>
      </c>
      <c r="R195" s="752">
        <f>Dren_Quantificacao!O114</f>
        <v>0</v>
      </c>
      <c r="S195" s="752">
        <f>Dren_Quantificacao!BD114</f>
        <v>0</v>
      </c>
      <c r="T195" s="752">
        <f>Dren_Quantificacao!BE114</f>
        <v>0</v>
      </c>
      <c r="U195" s="752">
        <f>Dren_Quantificacao!BF114</f>
        <v>0</v>
      </c>
      <c r="V195" s="752">
        <f>Dren_Quantificacao!BG114</f>
        <v>0</v>
      </c>
      <c r="W195" s="752">
        <f>Dren_Quantificacao!BH114</f>
        <v>0</v>
      </c>
      <c r="X195" s="752">
        <f>Dren_Quantificacao!BI114</f>
        <v>0</v>
      </c>
      <c r="Y195" s="752">
        <f>Dren_Quantificacao!BJ114</f>
        <v>0</v>
      </c>
      <c r="Z195" s="752">
        <f>Dren_Quantificacao!BK114</f>
        <v>0</v>
      </c>
      <c r="AA195" s="752">
        <f>Dren_Quantificacao!BL114</f>
        <v>0</v>
      </c>
      <c r="AB195" s="752">
        <f>Dren_Quantificacao!BM114</f>
        <v>0</v>
      </c>
      <c r="AC195" s="752">
        <f>Dren_Quantificacao!BN114</f>
        <v>0</v>
      </c>
      <c r="AD195" s="752">
        <f>Dren_Quantificacao!BO114</f>
        <v>0</v>
      </c>
      <c r="AE195" s="752">
        <f>Dren_Quantificacao!BP114</f>
        <v>0</v>
      </c>
      <c r="AF195" s="752"/>
      <c r="AG195" s="752"/>
      <c r="AH195" s="752"/>
      <c r="AI195" s="751"/>
      <c r="AJ195" s="745">
        <f t="shared" si="221"/>
        <v>0</v>
      </c>
      <c r="AK195" s="976"/>
      <c r="AL195" s="976"/>
      <c r="AM195" s="976"/>
      <c r="AN195" s="976"/>
      <c r="AO195" s="976"/>
      <c r="AP195" s="976"/>
      <c r="AQ195" s="976"/>
      <c r="AR195" s="976"/>
      <c r="AS195" s="976"/>
      <c r="AT195" s="976"/>
      <c r="AU195" s="976"/>
      <c r="AV195" s="976"/>
    </row>
    <row r="196" spans="1:48" s="795" customFormat="1" ht="21.95" hidden="1" customHeight="1">
      <c r="A196" s="2572"/>
      <c r="B196" s="2634"/>
      <c r="C196" s="1007" t="s">
        <v>1835</v>
      </c>
      <c r="D196" s="978"/>
      <c r="E196" s="979"/>
      <c r="F196" s="752">
        <f t="shared" ref="F196:R196" si="252">IF(F192&lt;1.5,(F193+F194)/2*F192*F195,0)</f>
        <v>0</v>
      </c>
      <c r="G196" s="752">
        <f t="shared" si="252"/>
        <v>0</v>
      </c>
      <c r="H196" s="752">
        <f t="shared" si="252"/>
        <v>0</v>
      </c>
      <c r="I196" s="752">
        <f t="shared" si="252"/>
        <v>0</v>
      </c>
      <c r="J196" s="752"/>
      <c r="K196" s="752"/>
      <c r="L196" s="752"/>
      <c r="M196" s="752"/>
      <c r="N196" s="980"/>
      <c r="O196" s="752">
        <f t="shared" si="252"/>
        <v>0</v>
      </c>
      <c r="P196" s="752">
        <f t="shared" si="252"/>
        <v>0</v>
      </c>
      <c r="Q196" s="752">
        <f t="shared" si="252"/>
        <v>0</v>
      </c>
      <c r="R196" s="752">
        <f t="shared" si="252"/>
        <v>0</v>
      </c>
      <c r="S196" s="752">
        <f>IF(S192&lt;1.5,(S193+S194)/2*S192*S195,0)</f>
        <v>0</v>
      </c>
      <c r="T196" s="752">
        <f>IF(T192&lt;1.5,(T193+T194)/2*T192*T195,0)</f>
        <v>0</v>
      </c>
      <c r="U196" s="752">
        <f t="shared" ref="U196:AE196" si="253">IF(U192&lt;1.5,(U193+U194)/2*U192*U195,0)</f>
        <v>0</v>
      </c>
      <c r="V196" s="752">
        <f>IF(V192&lt;1.5,(V193+V194)/2*V192*V195,0)</f>
        <v>0</v>
      </c>
      <c r="W196" s="752">
        <f t="shared" si="253"/>
        <v>0</v>
      </c>
      <c r="X196" s="752">
        <f t="shared" si="253"/>
        <v>0</v>
      </c>
      <c r="Y196" s="752">
        <f t="shared" si="253"/>
        <v>0</v>
      </c>
      <c r="Z196" s="752">
        <f t="shared" si="253"/>
        <v>0</v>
      </c>
      <c r="AA196" s="752">
        <f t="shared" si="253"/>
        <v>0</v>
      </c>
      <c r="AB196" s="752">
        <f t="shared" si="253"/>
        <v>0</v>
      </c>
      <c r="AC196" s="752">
        <f t="shared" si="253"/>
        <v>0</v>
      </c>
      <c r="AD196" s="752">
        <f t="shared" si="253"/>
        <v>0</v>
      </c>
      <c r="AE196" s="752">
        <f t="shared" si="253"/>
        <v>0</v>
      </c>
      <c r="AF196" s="752"/>
      <c r="AG196" s="752"/>
      <c r="AH196" s="752"/>
      <c r="AI196" s="753"/>
      <c r="AJ196" s="745">
        <f t="shared" si="221"/>
        <v>0</v>
      </c>
      <c r="AK196" s="976"/>
      <c r="AL196" s="976"/>
      <c r="AM196" s="976"/>
      <c r="AN196" s="976"/>
      <c r="AO196" s="976"/>
      <c r="AP196" s="976"/>
      <c r="AQ196" s="976"/>
      <c r="AR196" s="976"/>
      <c r="AS196" s="976"/>
      <c r="AT196" s="976"/>
      <c r="AU196" s="976"/>
      <c r="AV196" s="976"/>
    </row>
    <row r="197" spans="1:48" s="795" customFormat="1" ht="21.95" hidden="1" customHeight="1" thickBot="1">
      <c r="A197" s="2572"/>
      <c r="B197" s="2635"/>
      <c r="C197" s="982" t="s">
        <v>1836</v>
      </c>
      <c r="D197" s="983"/>
      <c r="E197" s="984"/>
      <c r="F197" s="761">
        <f t="shared" ref="F197:R197" si="254">IF(F196=0,(F193+F194)/2*F192*F195,0)</f>
        <v>0</v>
      </c>
      <c r="G197" s="761">
        <f t="shared" si="254"/>
        <v>0</v>
      </c>
      <c r="H197" s="761">
        <f t="shared" si="254"/>
        <v>0</v>
      </c>
      <c r="I197" s="761">
        <f t="shared" si="254"/>
        <v>0</v>
      </c>
      <c r="J197" s="761"/>
      <c r="K197" s="761"/>
      <c r="L197" s="761"/>
      <c r="M197" s="761"/>
      <c r="N197" s="985"/>
      <c r="O197" s="761">
        <f t="shared" si="254"/>
        <v>0</v>
      </c>
      <c r="P197" s="761">
        <f t="shared" si="254"/>
        <v>0</v>
      </c>
      <c r="Q197" s="761">
        <f t="shared" si="254"/>
        <v>0</v>
      </c>
      <c r="R197" s="761">
        <f t="shared" si="254"/>
        <v>0</v>
      </c>
      <c r="S197" s="761">
        <f>IF(S196=0,(S193+S194)/2*S192*S195,0)</f>
        <v>0</v>
      </c>
      <c r="T197" s="761">
        <f>IF(T196=0,(T193+T194)/2*T192*T195,0)</f>
        <v>0</v>
      </c>
      <c r="U197" s="761">
        <f t="shared" ref="U197:AE197" si="255">IF(U196=0,(U193+U194)/2*U192*U195,0)</f>
        <v>0</v>
      </c>
      <c r="V197" s="761">
        <f>IF(V196=0,(V193+V194)/2*V192*V195,0)</f>
        <v>0</v>
      </c>
      <c r="W197" s="761">
        <f t="shared" si="255"/>
        <v>0</v>
      </c>
      <c r="X197" s="761">
        <f t="shared" si="255"/>
        <v>0</v>
      </c>
      <c r="Y197" s="761">
        <f t="shared" si="255"/>
        <v>0</v>
      </c>
      <c r="Z197" s="761">
        <f t="shared" si="255"/>
        <v>0</v>
      </c>
      <c r="AA197" s="761">
        <f t="shared" si="255"/>
        <v>0</v>
      </c>
      <c r="AB197" s="761">
        <f t="shared" si="255"/>
        <v>0</v>
      </c>
      <c r="AC197" s="761">
        <f t="shared" si="255"/>
        <v>0</v>
      </c>
      <c r="AD197" s="761">
        <f t="shared" si="255"/>
        <v>0</v>
      </c>
      <c r="AE197" s="761">
        <f t="shared" si="255"/>
        <v>0</v>
      </c>
      <c r="AF197" s="761"/>
      <c r="AG197" s="761"/>
      <c r="AH197" s="761"/>
      <c r="AI197" s="769"/>
      <c r="AJ197" s="745">
        <f t="shared" ref="AJ197:AJ211" si="256">SUM(F197:AI197)</f>
        <v>0</v>
      </c>
      <c r="AK197" s="976"/>
      <c r="AL197" s="976"/>
      <c r="AM197" s="976"/>
      <c r="AN197" s="976"/>
      <c r="AO197" s="976"/>
      <c r="AP197" s="976"/>
      <c r="AQ197" s="976"/>
      <c r="AR197" s="976"/>
      <c r="AS197" s="976"/>
      <c r="AT197" s="976"/>
      <c r="AU197" s="976"/>
      <c r="AV197" s="976"/>
    </row>
    <row r="198" spans="1:48" s="795" customFormat="1" ht="21.95" hidden="1" customHeight="1" thickBot="1">
      <c r="A198" s="2572"/>
      <c r="B198" s="2581" t="s">
        <v>1837</v>
      </c>
      <c r="C198" s="1067" t="s">
        <v>1838</v>
      </c>
      <c r="D198" s="971"/>
      <c r="E198" s="972"/>
      <c r="F198" s="743">
        <f t="shared" ref="F198:R198" si="257">F41*1.4</f>
        <v>0</v>
      </c>
      <c r="G198" s="743">
        <f t="shared" si="257"/>
        <v>0</v>
      </c>
      <c r="H198" s="743">
        <f t="shared" si="257"/>
        <v>0</v>
      </c>
      <c r="I198" s="743">
        <f t="shared" si="257"/>
        <v>0</v>
      </c>
      <c r="J198" s="743"/>
      <c r="K198" s="743"/>
      <c r="L198" s="743"/>
      <c r="M198" s="743"/>
      <c r="N198" s="973"/>
      <c r="O198" s="743">
        <f t="shared" si="257"/>
        <v>0</v>
      </c>
      <c r="P198" s="743">
        <f t="shared" si="257"/>
        <v>0</v>
      </c>
      <c r="Q198" s="743">
        <f t="shared" si="257"/>
        <v>0</v>
      </c>
      <c r="R198" s="743">
        <f t="shared" si="257"/>
        <v>0</v>
      </c>
      <c r="S198" s="743">
        <f>S41*1.4</f>
        <v>0</v>
      </c>
      <c r="T198" s="743">
        <f>T41*1.4</f>
        <v>0</v>
      </c>
      <c r="U198" s="743">
        <f t="shared" ref="U198:AE198" si="258">U41*1.4</f>
        <v>0</v>
      </c>
      <c r="V198" s="743">
        <f>V41*1.4</f>
        <v>0</v>
      </c>
      <c r="W198" s="743">
        <f t="shared" si="258"/>
        <v>0</v>
      </c>
      <c r="X198" s="743">
        <f t="shared" si="258"/>
        <v>0</v>
      </c>
      <c r="Y198" s="743">
        <f t="shared" si="258"/>
        <v>0</v>
      </c>
      <c r="Z198" s="743">
        <f t="shared" si="258"/>
        <v>0</v>
      </c>
      <c r="AA198" s="743">
        <f t="shared" si="258"/>
        <v>0</v>
      </c>
      <c r="AB198" s="743">
        <f t="shared" si="258"/>
        <v>0</v>
      </c>
      <c r="AC198" s="743">
        <f t="shared" si="258"/>
        <v>0</v>
      </c>
      <c r="AD198" s="743">
        <f t="shared" si="258"/>
        <v>0</v>
      </c>
      <c r="AE198" s="743">
        <f t="shared" si="258"/>
        <v>0</v>
      </c>
      <c r="AF198" s="743">
        <f>+AF41</f>
        <v>0</v>
      </c>
      <c r="AG198" s="743">
        <f>+AG41</f>
        <v>0</v>
      </c>
      <c r="AH198" s="743">
        <f>+AH41</f>
        <v>0</v>
      </c>
      <c r="AI198" s="767"/>
      <c r="AJ198" s="745">
        <f t="shared" si="256"/>
        <v>0</v>
      </c>
      <c r="AK198" s="976"/>
      <c r="AL198" s="976"/>
      <c r="AM198" s="976"/>
      <c r="AN198" s="976"/>
      <c r="AO198" s="976"/>
      <c r="AP198" s="976"/>
      <c r="AQ198" s="976"/>
      <c r="AR198" s="976"/>
      <c r="AS198" s="976"/>
      <c r="AT198" s="976"/>
      <c r="AU198" s="976"/>
      <c r="AV198" s="976"/>
    </row>
    <row r="199" spans="1:48" s="795" customFormat="1" ht="21.95" customHeight="1">
      <c r="A199" s="2572"/>
      <c r="B199" s="2581"/>
      <c r="C199" s="977" t="s">
        <v>1839</v>
      </c>
      <c r="D199" s="978"/>
      <c r="E199" s="979"/>
      <c r="F199" s="752">
        <f>(F46-F41-F120)*1.25</f>
        <v>15.268140296446404</v>
      </c>
      <c r="G199" s="752">
        <f t="shared" ref="G199:R199" si="259">(G46-G41-G120)*1.25</f>
        <v>25.44690049407734</v>
      </c>
      <c r="H199" s="752">
        <f t="shared" si="259"/>
        <v>12.72345024703867</v>
      </c>
      <c r="I199" s="752">
        <f t="shared" si="259"/>
        <v>22.902210444669606</v>
      </c>
      <c r="J199" s="752"/>
      <c r="K199" s="752"/>
      <c r="L199" s="752"/>
      <c r="M199" s="752"/>
      <c r="N199" s="980"/>
      <c r="O199" s="752">
        <f t="shared" si="259"/>
        <v>20.357520395261872</v>
      </c>
      <c r="P199" s="752">
        <f t="shared" si="259"/>
        <v>12.72345024703867</v>
      </c>
      <c r="Q199" s="752">
        <f t="shared" si="259"/>
        <v>22.902210444669606</v>
      </c>
      <c r="R199" s="752">
        <f t="shared" si="259"/>
        <v>22.902210444669606</v>
      </c>
      <c r="S199" s="752">
        <f>(S46-S41-S120)*1.25</f>
        <v>0</v>
      </c>
      <c r="T199" s="752">
        <f>(T46-T41-T120)*1.25</f>
        <v>0</v>
      </c>
      <c r="U199" s="752">
        <f>(U46-U41-U120)*1.25</f>
        <v>0</v>
      </c>
      <c r="V199" s="752">
        <f>(V46-V41-V120)*1.25</f>
        <v>0</v>
      </c>
      <c r="W199" s="752">
        <f>(W46-W41-W120)*1.25</f>
        <v>0</v>
      </c>
      <c r="X199" s="752">
        <f>X46-X41</f>
        <v>0</v>
      </c>
      <c r="Y199" s="752">
        <f t="shared" ref="Y199:AH199" si="260">+Y46-Y41</f>
        <v>0</v>
      </c>
      <c r="Z199" s="752">
        <f t="shared" si="260"/>
        <v>0</v>
      </c>
      <c r="AA199" s="752">
        <f t="shared" si="260"/>
        <v>0</v>
      </c>
      <c r="AB199" s="752">
        <f t="shared" si="260"/>
        <v>0</v>
      </c>
      <c r="AC199" s="752">
        <f t="shared" si="260"/>
        <v>0</v>
      </c>
      <c r="AD199" s="752">
        <f t="shared" si="260"/>
        <v>0</v>
      </c>
      <c r="AE199" s="752">
        <f t="shared" si="260"/>
        <v>0</v>
      </c>
      <c r="AF199" s="752">
        <f t="shared" si="260"/>
        <v>0</v>
      </c>
      <c r="AG199" s="752">
        <f t="shared" si="260"/>
        <v>0</v>
      </c>
      <c r="AH199" s="752">
        <f t="shared" si="260"/>
        <v>0</v>
      </c>
      <c r="AI199" s="753"/>
      <c r="AJ199" s="745">
        <f t="shared" si="256"/>
        <v>155.22609301387178</v>
      </c>
      <c r="AK199" s="976"/>
      <c r="AL199" s="976"/>
      <c r="AM199" s="976"/>
      <c r="AN199" s="976"/>
      <c r="AO199" s="976"/>
      <c r="AP199" s="976"/>
      <c r="AQ199" s="976"/>
      <c r="AR199" s="976"/>
      <c r="AS199" s="976"/>
      <c r="AT199" s="976"/>
      <c r="AU199" s="976"/>
      <c r="AV199" s="976"/>
    </row>
    <row r="200" spans="1:48" s="795" customFormat="1" ht="21.95" hidden="1" customHeight="1" thickBot="1">
      <c r="A200" s="2572"/>
      <c r="B200" s="2583"/>
      <c r="C200" s="982" t="s">
        <v>1840</v>
      </c>
      <c r="D200" s="983"/>
      <c r="E200" s="984"/>
      <c r="F200" s="761">
        <f t="shared" ref="F200:R200" si="261">F91</f>
        <v>0</v>
      </c>
      <c r="G200" s="761">
        <f t="shared" si="261"/>
        <v>0</v>
      </c>
      <c r="H200" s="761">
        <f t="shared" si="261"/>
        <v>0</v>
      </c>
      <c r="I200" s="761">
        <f t="shared" si="261"/>
        <v>0</v>
      </c>
      <c r="J200" s="761"/>
      <c r="K200" s="761"/>
      <c r="L200" s="761"/>
      <c r="M200" s="761"/>
      <c r="N200" s="985"/>
      <c r="O200" s="761">
        <f t="shared" si="261"/>
        <v>0</v>
      </c>
      <c r="P200" s="761">
        <f t="shared" si="261"/>
        <v>0</v>
      </c>
      <c r="Q200" s="761">
        <f t="shared" si="261"/>
        <v>0</v>
      </c>
      <c r="R200" s="761">
        <f t="shared" si="261"/>
        <v>0</v>
      </c>
      <c r="S200" s="761">
        <f>S91</f>
        <v>0</v>
      </c>
      <c r="T200" s="761">
        <f>T91</f>
        <v>0</v>
      </c>
      <c r="U200" s="761">
        <f t="shared" ref="U200:AH200" si="262">U91</f>
        <v>0</v>
      </c>
      <c r="V200" s="761">
        <f>V91</f>
        <v>0</v>
      </c>
      <c r="W200" s="761">
        <f t="shared" si="262"/>
        <v>0</v>
      </c>
      <c r="X200" s="761">
        <f t="shared" si="262"/>
        <v>0</v>
      </c>
      <c r="Y200" s="761">
        <f t="shared" si="262"/>
        <v>0</v>
      </c>
      <c r="Z200" s="761">
        <f t="shared" si="262"/>
        <v>0</v>
      </c>
      <c r="AA200" s="761">
        <f t="shared" si="262"/>
        <v>0</v>
      </c>
      <c r="AB200" s="761">
        <f t="shared" si="262"/>
        <v>0</v>
      </c>
      <c r="AC200" s="761">
        <f t="shared" si="262"/>
        <v>0</v>
      </c>
      <c r="AD200" s="761">
        <f t="shared" si="262"/>
        <v>0</v>
      </c>
      <c r="AE200" s="761">
        <f t="shared" si="262"/>
        <v>0</v>
      </c>
      <c r="AF200" s="761">
        <f t="shared" si="262"/>
        <v>0</v>
      </c>
      <c r="AG200" s="761">
        <f t="shared" si="262"/>
        <v>0</v>
      </c>
      <c r="AH200" s="761">
        <f t="shared" si="262"/>
        <v>0</v>
      </c>
      <c r="AI200" s="769"/>
      <c r="AJ200" s="745">
        <f t="shared" si="256"/>
        <v>0</v>
      </c>
      <c r="AK200" s="976"/>
      <c r="AL200" s="976"/>
      <c r="AM200" s="976"/>
      <c r="AN200" s="976"/>
      <c r="AO200" s="976"/>
      <c r="AP200" s="976"/>
      <c r="AQ200" s="976"/>
      <c r="AR200" s="976"/>
      <c r="AS200" s="976"/>
      <c r="AT200" s="976"/>
      <c r="AU200" s="976"/>
      <c r="AV200" s="976"/>
    </row>
    <row r="201" spans="1:48" s="795" customFormat="1" ht="21.95" hidden="1" customHeight="1">
      <c r="A201" s="2572"/>
      <c r="B201" s="2633" t="s">
        <v>1841</v>
      </c>
      <c r="C201" s="970" t="s">
        <v>1842</v>
      </c>
      <c r="D201" s="978"/>
      <c r="E201" s="979"/>
      <c r="F201" s="752">
        <f t="shared" ref="F201:X201" si="263">F89+F91</f>
        <v>0</v>
      </c>
      <c r="G201" s="752">
        <f t="shared" si="263"/>
        <v>0</v>
      </c>
      <c r="H201" s="752">
        <f t="shared" si="263"/>
        <v>0</v>
      </c>
      <c r="I201" s="752">
        <f t="shared" si="263"/>
        <v>0</v>
      </c>
      <c r="J201" s="752"/>
      <c r="K201" s="752"/>
      <c r="L201" s="752"/>
      <c r="M201" s="752"/>
      <c r="N201" s="980"/>
      <c r="O201" s="752">
        <f t="shared" si="263"/>
        <v>0</v>
      </c>
      <c r="P201" s="752">
        <f t="shared" si="263"/>
        <v>0</v>
      </c>
      <c r="Q201" s="752">
        <f t="shared" si="263"/>
        <v>0</v>
      </c>
      <c r="R201" s="752">
        <f t="shared" si="263"/>
        <v>0</v>
      </c>
      <c r="S201" s="752">
        <f t="shared" si="263"/>
        <v>0</v>
      </c>
      <c r="T201" s="752">
        <f t="shared" si="263"/>
        <v>0</v>
      </c>
      <c r="U201" s="752">
        <f t="shared" si="263"/>
        <v>0</v>
      </c>
      <c r="V201" s="752">
        <f t="shared" si="263"/>
        <v>0</v>
      </c>
      <c r="W201" s="752">
        <f t="shared" si="263"/>
        <v>0</v>
      </c>
      <c r="X201" s="752">
        <f t="shared" si="263"/>
        <v>0</v>
      </c>
      <c r="Y201" s="752">
        <f t="shared" ref="Y201:AH201" si="264">+Y89+Y91</f>
        <v>0</v>
      </c>
      <c r="Z201" s="752">
        <f t="shared" si="264"/>
        <v>0</v>
      </c>
      <c r="AA201" s="752">
        <f t="shared" si="264"/>
        <v>0</v>
      </c>
      <c r="AB201" s="752">
        <f t="shared" si="264"/>
        <v>0</v>
      </c>
      <c r="AC201" s="752">
        <f t="shared" si="264"/>
        <v>0</v>
      </c>
      <c r="AD201" s="752">
        <f t="shared" si="264"/>
        <v>0</v>
      </c>
      <c r="AE201" s="752">
        <f t="shared" si="264"/>
        <v>0</v>
      </c>
      <c r="AF201" s="752">
        <f t="shared" si="264"/>
        <v>0</v>
      </c>
      <c r="AG201" s="752">
        <f t="shared" si="264"/>
        <v>0</v>
      </c>
      <c r="AH201" s="752">
        <f t="shared" si="264"/>
        <v>0</v>
      </c>
      <c r="AI201" s="767"/>
      <c r="AJ201" s="745">
        <f t="shared" si="256"/>
        <v>0</v>
      </c>
      <c r="AK201" s="976"/>
      <c r="AL201" s="976"/>
      <c r="AM201" s="976"/>
      <c r="AN201" s="976"/>
      <c r="AO201" s="976"/>
      <c r="AP201" s="976"/>
      <c r="AQ201" s="976"/>
      <c r="AR201" s="976"/>
      <c r="AS201" s="976"/>
      <c r="AT201" s="976"/>
      <c r="AU201" s="976"/>
      <c r="AV201" s="976"/>
    </row>
    <row r="202" spans="1:48" s="795" customFormat="1" ht="21.95" hidden="1" customHeight="1">
      <c r="A202" s="2572"/>
      <c r="B202" s="2634"/>
      <c r="C202" s="977" t="s">
        <v>1838</v>
      </c>
      <c r="D202" s="978"/>
      <c r="E202" s="979"/>
      <c r="F202" s="752">
        <f t="shared" ref="F202:R202" si="265">F198</f>
        <v>0</v>
      </c>
      <c r="G202" s="752">
        <f t="shared" si="265"/>
        <v>0</v>
      </c>
      <c r="H202" s="752">
        <f t="shared" si="265"/>
        <v>0</v>
      </c>
      <c r="I202" s="752">
        <f t="shared" si="265"/>
        <v>0</v>
      </c>
      <c r="J202" s="752"/>
      <c r="K202" s="752"/>
      <c r="L202" s="752"/>
      <c r="M202" s="752"/>
      <c r="N202" s="980"/>
      <c r="O202" s="752">
        <f t="shared" si="265"/>
        <v>0</v>
      </c>
      <c r="P202" s="752">
        <f t="shared" si="265"/>
        <v>0</v>
      </c>
      <c r="Q202" s="752">
        <f t="shared" si="265"/>
        <v>0</v>
      </c>
      <c r="R202" s="752">
        <f t="shared" si="265"/>
        <v>0</v>
      </c>
      <c r="S202" s="752">
        <f>S198</f>
        <v>0</v>
      </c>
      <c r="T202" s="752">
        <f>T198</f>
        <v>0</v>
      </c>
      <c r="U202" s="752">
        <f t="shared" ref="U202:AH202" si="266">U198</f>
        <v>0</v>
      </c>
      <c r="V202" s="752">
        <f>V198</f>
        <v>0</v>
      </c>
      <c r="W202" s="752">
        <f t="shared" si="266"/>
        <v>0</v>
      </c>
      <c r="X202" s="752">
        <f t="shared" si="266"/>
        <v>0</v>
      </c>
      <c r="Y202" s="752">
        <f t="shared" si="266"/>
        <v>0</v>
      </c>
      <c r="Z202" s="752">
        <f t="shared" si="266"/>
        <v>0</v>
      </c>
      <c r="AA202" s="752">
        <f t="shared" si="266"/>
        <v>0</v>
      </c>
      <c r="AB202" s="752">
        <f t="shared" si="266"/>
        <v>0</v>
      </c>
      <c r="AC202" s="752">
        <f t="shared" si="266"/>
        <v>0</v>
      </c>
      <c r="AD202" s="752">
        <f t="shared" si="266"/>
        <v>0</v>
      </c>
      <c r="AE202" s="752">
        <f t="shared" si="266"/>
        <v>0</v>
      </c>
      <c r="AF202" s="752">
        <f t="shared" si="266"/>
        <v>0</v>
      </c>
      <c r="AG202" s="752">
        <f t="shared" si="266"/>
        <v>0</v>
      </c>
      <c r="AH202" s="752">
        <f t="shared" si="266"/>
        <v>0</v>
      </c>
      <c r="AI202" s="753"/>
      <c r="AJ202" s="745">
        <f t="shared" si="256"/>
        <v>0</v>
      </c>
      <c r="AK202" s="976"/>
      <c r="AL202" s="976"/>
      <c r="AM202" s="976"/>
      <c r="AN202" s="976"/>
      <c r="AO202" s="976"/>
      <c r="AP202" s="976"/>
      <c r="AQ202" s="976"/>
      <c r="AR202" s="976"/>
      <c r="AS202" s="976"/>
      <c r="AT202" s="976"/>
      <c r="AU202" s="976"/>
      <c r="AV202" s="976"/>
    </row>
    <row r="203" spans="1:48" s="795" customFormat="1" ht="21.95" customHeight="1" thickBot="1">
      <c r="A203" s="2572"/>
      <c r="B203" s="2634"/>
      <c r="C203" s="977" t="s">
        <v>1843</v>
      </c>
      <c r="D203" s="978"/>
      <c r="E203" s="979"/>
      <c r="F203" s="752">
        <f>IF(F122=0,(F82+F83)*1.25,(F83+F122)*1.25)</f>
        <v>15.268140296446393</v>
      </c>
      <c r="G203" s="752">
        <f t="shared" ref="G203:R203" si="267">IF(G122=0,(G82+G83)*1.25,(G83+G122)*1.25)</f>
        <v>25.446900494077322</v>
      </c>
      <c r="H203" s="752">
        <f t="shared" si="267"/>
        <v>12.723450247038661</v>
      </c>
      <c r="I203" s="752">
        <f t="shared" si="267"/>
        <v>22.902210444669588</v>
      </c>
      <c r="J203" s="752"/>
      <c r="K203" s="752"/>
      <c r="L203" s="752"/>
      <c r="M203" s="752"/>
      <c r="N203" s="980"/>
      <c r="O203" s="752">
        <f t="shared" si="267"/>
        <v>20.357520395261858</v>
      </c>
      <c r="P203" s="752">
        <f t="shared" si="267"/>
        <v>12.723450247038661</v>
      </c>
      <c r="Q203" s="752">
        <f t="shared" si="267"/>
        <v>22.902210444669588</v>
      </c>
      <c r="R203" s="752">
        <f t="shared" si="267"/>
        <v>22.902210444669588</v>
      </c>
      <c r="S203" s="752">
        <f>IF(S122=0,(S82+S83)*1.25,(S83+S122)*1.25)</f>
        <v>0</v>
      </c>
      <c r="T203" s="752">
        <f>IF(T122=0,(T82+T83)*1.25,(T83+T122)*1.25)</f>
        <v>0</v>
      </c>
      <c r="U203" s="752">
        <f>IF(U122=0,(U82+U83)*1.25,(U83+U122)*1.25)</f>
        <v>0</v>
      </c>
      <c r="V203" s="752">
        <f>IF(V122=0,(V82+V83)*1.25,(V83+V122)*1.25)</f>
        <v>0</v>
      </c>
      <c r="W203" s="752">
        <f>IF(W122=0,(W82+W83)*1.25,(W83+W122)*1.25)</f>
        <v>0</v>
      </c>
      <c r="X203" s="752">
        <f t="shared" ref="X203:AH203" si="268">X199-X89</f>
        <v>0</v>
      </c>
      <c r="Y203" s="752">
        <f t="shared" si="268"/>
        <v>0</v>
      </c>
      <c r="Z203" s="752">
        <f t="shared" si="268"/>
        <v>0</v>
      </c>
      <c r="AA203" s="752">
        <f t="shared" si="268"/>
        <v>0</v>
      </c>
      <c r="AB203" s="752">
        <f t="shared" si="268"/>
        <v>0</v>
      </c>
      <c r="AC203" s="752">
        <f t="shared" si="268"/>
        <v>0</v>
      </c>
      <c r="AD203" s="752">
        <f t="shared" si="268"/>
        <v>0</v>
      </c>
      <c r="AE203" s="752">
        <f t="shared" si="268"/>
        <v>0</v>
      </c>
      <c r="AF203" s="752">
        <f t="shared" si="268"/>
        <v>0</v>
      </c>
      <c r="AG203" s="752">
        <f t="shared" si="268"/>
        <v>0</v>
      </c>
      <c r="AH203" s="752">
        <f t="shared" si="268"/>
        <v>0</v>
      </c>
      <c r="AI203" s="753"/>
      <c r="AJ203" s="745">
        <f t="shared" si="256"/>
        <v>155.22609301387163</v>
      </c>
      <c r="AK203" s="976"/>
      <c r="AL203" s="976"/>
      <c r="AM203" s="976"/>
      <c r="AN203" s="976"/>
      <c r="AO203" s="976"/>
      <c r="AP203" s="976"/>
      <c r="AQ203" s="976"/>
      <c r="AR203" s="976"/>
      <c r="AS203" s="976"/>
      <c r="AT203" s="976"/>
      <c r="AU203" s="976"/>
      <c r="AV203" s="976"/>
    </row>
    <row r="204" spans="1:48" s="795" customFormat="1" ht="21.95" hidden="1" customHeight="1">
      <c r="A204" s="2572"/>
      <c r="B204" s="2634"/>
      <c r="C204" s="977" t="s">
        <v>1844</v>
      </c>
      <c r="D204" s="978"/>
      <c r="E204" s="979"/>
      <c r="F204" s="752">
        <f t="shared" ref="F204:R204" si="269">F212</f>
        <v>0</v>
      </c>
      <c r="G204" s="752">
        <f t="shared" si="269"/>
        <v>0</v>
      </c>
      <c r="H204" s="752">
        <f t="shared" si="269"/>
        <v>0</v>
      </c>
      <c r="I204" s="752">
        <f t="shared" si="269"/>
        <v>0</v>
      </c>
      <c r="J204" s="752"/>
      <c r="K204" s="752"/>
      <c r="L204" s="752"/>
      <c r="M204" s="752"/>
      <c r="N204" s="980"/>
      <c r="O204" s="752">
        <f t="shared" si="269"/>
        <v>0</v>
      </c>
      <c r="P204" s="752">
        <f t="shared" si="269"/>
        <v>0</v>
      </c>
      <c r="Q204" s="752">
        <f t="shared" si="269"/>
        <v>0</v>
      </c>
      <c r="R204" s="752">
        <f t="shared" si="269"/>
        <v>0</v>
      </c>
      <c r="S204" s="752">
        <f>S212</f>
        <v>0</v>
      </c>
      <c r="T204" s="752">
        <f>T212</f>
        <v>0</v>
      </c>
      <c r="U204" s="752">
        <f t="shared" ref="U204:AH204" si="270">U212</f>
        <v>0</v>
      </c>
      <c r="V204" s="752">
        <f>V212</f>
        <v>0</v>
      </c>
      <c r="W204" s="752">
        <f t="shared" si="270"/>
        <v>0</v>
      </c>
      <c r="X204" s="752">
        <f t="shared" si="270"/>
        <v>0</v>
      </c>
      <c r="Y204" s="752">
        <f t="shared" si="270"/>
        <v>0</v>
      </c>
      <c r="Z204" s="752">
        <f t="shared" si="270"/>
        <v>0</v>
      </c>
      <c r="AA204" s="752">
        <f t="shared" si="270"/>
        <v>0</v>
      </c>
      <c r="AB204" s="752">
        <f t="shared" si="270"/>
        <v>0</v>
      </c>
      <c r="AC204" s="752">
        <f t="shared" si="270"/>
        <v>0</v>
      </c>
      <c r="AD204" s="752">
        <f t="shared" si="270"/>
        <v>0</v>
      </c>
      <c r="AE204" s="752">
        <f t="shared" si="270"/>
        <v>0</v>
      </c>
      <c r="AF204" s="752">
        <f t="shared" si="270"/>
        <v>0</v>
      </c>
      <c r="AG204" s="752">
        <f t="shared" si="270"/>
        <v>0</v>
      </c>
      <c r="AH204" s="752">
        <f t="shared" si="270"/>
        <v>0</v>
      </c>
      <c r="AI204" s="753"/>
      <c r="AJ204" s="745">
        <f t="shared" si="256"/>
        <v>0</v>
      </c>
      <c r="AK204" s="976"/>
      <c r="AL204" s="976"/>
      <c r="AM204" s="976"/>
      <c r="AN204" s="976"/>
      <c r="AO204" s="976"/>
      <c r="AP204" s="976"/>
      <c r="AQ204" s="976"/>
      <c r="AR204" s="976"/>
      <c r="AS204" s="976"/>
      <c r="AT204" s="976"/>
      <c r="AU204" s="976"/>
      <c r="AV204" s="976"/>
    </row>
    <row r="205" spans="1:48" s="795" customFormat="1" ht="21.95" hidden="1" customHeight="1">
      <c r="A205" s="2572"/>
      <c r="B205" s="2634"/>
      <c r="C205" s="977" t="s">
        <v>1845</v>
      </c>
      <c r="D205" s="978"/>
      <c r="E205" s="979"/>
      <c r="F205" s="752">
        <f t="shared" ref="F205:R205" si="271">F188*0.02</f>
        <v>0</v>
      </c>
      <c r="G205" s="752">
        <f t="shared" si="271"/>
        <v>0</v>
      </c>
      <c r="H205" s="752">
        <f t="shared" si="271"/>
        <v>0</v>
      </c>
      <c r="I205" s="752">
        <f t="shared" si="271"/>
        <v>0</v>
      </c>
      <c r="J205" s="752"/>
      <c r="K205" s="752"/>
      <c r="L205" s="752"/>
      <c r="M205" s="752"/>
      <c r="N205" s="980"/>
      <c r="O205" s="752">
        <f t="shared" si="271"/>
        <v>0</v>
      </c>
      <c r="P205" s="752">
        <f t="shared" si="271"/>
        <v>0</v>
      </c>
      <c r="Q205" s="752">
        <f t="shared" si="271"/>
        <v>0</v>
      </c>
      <c r="R205" s="752">
        <f t="shared" si="271"/>
        <v>0</v>
      </c>
      <c r="S205" s="752">
        <f>S188*0.02</f>
        <v>0</v>
      </c>
      <c r="T205" s="752">
        <f>T188*0.02</f>
        <v>0</v>
      </c>
      <c r="U205" s="752">
        <f t="shared" ref="U205:AH205" si="272">U188*0.02</f>
        <v>0</v>
      </c>
      <c r="V205" s="752">
        <f>V188*0.02</f>
        <v>0</v>
      </c>
      <c r="W205" s="752">
        <f t="shared" si="272"/>
        <v>0</v>
      </c>
      <c r="X205" s="752">
        <f t="shared" si="272"/>
        <v>0</v>
      </c>
      <c r="Y205" s="752">
        <f t="shared" si="272"/>
        <v>0</v>
      </c>
      <c r="Z205" s="752">
        <f t="shared" si="272"/>
        <v>0</v>
      </c>
      <c r="AA205" s="752">
        <f t="shared" si="272"/>
        <v>0</v>
      </c>
      <c r="AB205" s="752">
        <f t="shared" si="272"/>
        <v>0</v>
      </c>
      <c r="AC205" s="752">
        <f t="shared" si="272"/>
        <v>0</v>
      </c>
      <c r="AD205" s="752">
        <f t="shared" si="272"/>
        <v>0</v>
      </c>
      <c r="AE205" s="752">
        <f t="shared" si="272"/>
        <v>0</v>
      </c>
      <c r="AF205" s="752">
        <f t="shared" si="272"/>
        <v>0</v>
      </c>
      <c r="AG205" s="752">
        <f t="shared" si="272"/>
        <v>0</v>
      </c>
      <c r="AH205" s="752">
        <f t="shared" si="272"/>
        <v>0</v>
      </c>
      <c r="AI205" s="753"/>
      <c r="AJ205" s="745">
        <f t="shared" si="256"/>
        <v>0</v>
      </c>
      <c r="AK205" s="976"/>
      <c r="AL205" s="976"/>
      <c r="AM205" s="976"/>
      <c r="AN205" s="976"/>
      <c r="AO205" s="976"/>
      <c r="AP205" s="976"/>
      <c r="AQ205" s="976"/>
      <c r="AR205" s="976"/>
      <c r="AS205" s="976"/>
      <c r="AT205" s="976"/>
      <c r="AU205" s="976"/>
      <c r="AV205" s="976"/>
    </row>
    <row r="206" spans="1:48" s="795" customFormat="1" ht="21.95" hidden="1" customHeight="1">
      <c r="A206" s="2572"/>
      <c r="B206" s="2634"/>
      <c r="C206" s="977" t="s">
        <v>1846</v>
      </c>
      <c r="D206" s="978"/>
      <c r="E206" s="979"/>
      <c r="F206" s="752">
        <f t="shared" ref="F206:R206" si="273">F189*0.08+F190*0.05</f>
        <v>0</v>
      </c>
      <c r="G206" s="752">
        <f t="shared" si="273"/>
        <v>0</v>
      </c>
      <c r="H206" s="752">
        <f t="shared" si="273"/>
        <v>0</v>
      </c>
      <c r="I206" s="752">
        <f t="shared" si="273"/>
        <v>0</v>
      </c>
      <c r="J206" s="752"/>
      <c r="K206" s="752"/>
      <c r="L206" s="752"/>
      <c r="M206" s="752"/>
      <c r="N206" s="980"/>
      <c r="O206" s="752">
        <f t="shared" si="273"/>
        <v>0</v>
      </c>
      <c r="P206" s="752">
        <f t="shared" si="273"/>
        <v>0</v>
      </c>
      <c r="Q206" s="752">
        <f t="shared" si="273"/>
        <v>0</v>
      </c>
      <c r="R206" s="752">
        <f t="shared" si="273"/>
        <v>0</v>
      </c>
      <c r="S206" s="752">
        <f>S189*0.08+S190*0.05</f>
        <v>0</v>
      </c>
      <c r="T206" s="752">
        <f>T189*0.08+T190*0.05</f>
        <v>0</v>
      </c>
      <c r="U206" s="752">
        <f t="shared" ref="U206:AH206" si="274">U189*0.08+U190*0.05</f>
        <v>0</v>
      </c>
      <c r="V206" s="752">
        <f>V189*0.08+V190*0.05</f>
        <v>0</v>
      </c>
      <c r="W206" s="752">
        <f t="shared" si="274"/>
        <v>0</v>
      </c>
      <c r="X206" s="752">
        <f t="shared" si="274"/>
        <v>0</v>
      </c>
      <c r="Y206" s="752">
        <f t="shared" si="274"/>
        <v>0</v>
      </c>
      <c r="Z206" s="752">
        <f t="shared" si="274"/>
        <v>0</v>
      </c>
      <c r="AA206" s="752">
        <f t="shared" si="274"/>
        <v>0</v>
      </c>
      <c r="AB206" s="752">
        <f t="shared" si="274"/>
        <v>0</v>
      </c>
      <c r="AC206" s="752">
        <f t="shared" si="274"/>
        <v>0</v>
      </c>
      <c r="AD206" s="752">
        <f t="shared" si="274"/>
        <v>0</v>
      </c>
      <c r="AE206" s="752">
        <f t="shared" si="274"/>
        <v>0</v>
      </c>
      <c r="AF206" s="752">
        <f t="shared" si="274"/>
        <v>0</v>
      </c>
      <c r="AG206" s="752">
        <f t="shared" si="274"/>
        <v>0</v>
      </c>
      <c r="AH206" s="752">
        <f t="shared" si="274"/>
        <v>0</v>
      </c>
      <c r="AI206" s="753"/>
      <c r="AJ206" s="745">
        <f t="shared" si="256"/>
        <v>0</v>
      </c>
      <c r="AK206" s="976"/>
      <c r="AL206" s="976"/>
      <c r="AM206" s="976"/>
      <c r="AN206" s="976"/>
      <c r="AO206" s="976"/>
      <c r="AP206" s="976"/>
      <c r="AQ206" s="976"/>
      <c r="AR206" s="976"/>
      <c r="AS206" s="976"/>
      <c r="AT206" s="976"/>
      <c r="AU206" s="976"/>
      <c r="AV206" s="976"/>
    </row>
    <row r="207" spans="1:48" s="795" customFormat="1" ht="21.95" hidden="1" customHeight="1">
      <c r="A207" s="2572"/>
      <c r="B207" s="2634"/>
      <c r="C207" s="977" t="s">
        <v>1847</v>
      </c>
      <c r="D207" s="978"/>
      <c r="E207" s="979"/>
      <c r="F207" s="752">
        <f>F217</f>
        <v>0</v>
      </c>
      <c r="G207" s="752">
        <f>G217</f>
        <v>0</v>
      </c>
      <c r="H207" s="752">
        <f>H217</f>
        <v>0</v>
      </c>
      <c r="I207" s="752">
        <f>I217</f>
        <v>0</v>
      </c>
      <c r="J207" s="752"/>
      <c r="K207" s="752"/>
      <c r="L207" s="752"/>
      <c r="M207" s="752"/>
      <c r="N207" s="980"/>
      <c r="O207" s="752">
        <f t="shared" ref="O207:AH211" si="275">O217</f>
        <v>0</v>
      </c>
      <c r="P207" s="752">
        <f t="shared" si="275"/>
        <v>0</v>
      </c>
      <c r="Q207" s="752">
        <f t="shared" si="275"/>
        <v>0</v>
      </c>
      <c r="R207" s="752">
        <f t="shared" si="275"/>
        <v>0</v>
      </c>
      <c r="S207" s="752">
        <f t="shared" si="275"/>
        <v>0</v>
      </c>
      <c r="T207" s="752">
        <f t="shared" si="275"/>
        <v>0</v>
      </c>
      <c r="U207" s="752">
        <f t="shared" si="275"/>
        <v>0</v>
      </c>
      <c r="V207" s="752">
        <f>V217</f>
        <v>0</v>
      </c>
      <c r="W207" s="752">
        <f t="shared" si="275"/>
        <v>0</v>
      </c>
      <c r="X207" s="752">
        <f t="shared" si="275"/>
        <v>0</v>
      </c>
      <c r="Y207" s="752">
        <f t="shared" si="275"/>
        <v>0</v>
      </c>
      <c r="Z207" s="752">
        <f t="shared" si="275"/>
        <v>0</v>
      </c>
      <c r="AA207" s="752">
        <f t="shared" si="275"/>
        <v>0</v>
      </c>
      <c r="AB207" s="752">
        <f t="shared" si="275"/>
        <v>0</v>
      </c>
      <c r="AC207" s="752">
        <f t="shared" si="275"/>
        <v>0</v>
      </c>
      <c r="AD207" s="752">
        <f t="shared" si="275"/>
        <v>0</v>
      </c>
      <c r="AE207" s="752">
        <f t="shared" si="275"/>
        <v>0</v>
      </c>
      <c r="AF207" s="752">
        <f t="shared" si="275"/>
        <v>0</v>
      </c>
      <c r="AG207" s="752">
        <f t="shared" si="275"/>
        <v>0</v>
      </c>
      <c r="AH207" s="752">
        <f t="shared" si="275"/>
        <v>0</v>
      </c>
      <c r="AI207" s="753"/>
      <c r="AJ207" s="745">
        <f t="shared" si="256"/>
        <v>0</v>
      </c>
      <c r="AK207" s="976"/>
      <c r="AL207" s="976"/>
      <c r="AM207" s="976"/>
      <c r="AN207" s="976"/>
      <c r="AO207" s="976"/>
      <c r="AP207" s="976"/>
      <c r="AQ207" s="976"/>
      <c r="AR207" s="976"/>
      <c r="AS207" s="976"/>
      <c r="AT207" s="976"/>
      <c r="AU207" s="976"/>
      <c r="AV207" s="976"/>
    </row>
    <row r="208" spans="1:48" s="795" customFormat="1" ht="21.95" hidden="1" customHeight="1">
      <c r="A208" s="2572"/>
      <c r="B208" s="2634"/>
      <c r="C208" s="977" t="s">
        <v>1848</v>
      </c>
      <c r="D208" s="978"/>
      <c r="E208" s="979"/>
      <c r="F208" s="752">
        <f>F218</f>
        <v>0</v>
      </c>
      <c r="G208" s="752">
        <f t="shared" ref="G208:R211" si="276">G218</f>
        <v>0</v>
      </c>
      <c r="H208" s="752">
        <f t="shared" si="276"/>
        <v>0</v>
      </c>
      <c r="I208" s="752">
        <f t="shared" si="276"/>
        <v>0</v>
      </c>
      <c r="J208" s="752"/>
      <c r="K208" s="752"/>
      <c r="L208" s="752"/>
      <c r="M208" s="752"/>
      <c r="N208" s="980"/>
      <c r="O208" s="752">
        <f t="shared" si="276"/>
        <v>0</v>
      </c>
      <c r="P208" s="752">
        <f t="shared" si="276"/>
        <v>0</v>
      </c>
      <c r="Q208" s="752">
        <f t="shared" si="276"/>
        <v>0</v>
      </c>
      <c r="R208" s="752">
        <f t="shared" si="276"/>
        <v>0</v>
      </c>
      <c r="S208" s="752">
        <f t="shared" si="275"/>
        <v>0</v>
      </c>
      <c r="T208" s="752">
        <f t="shared" si="275"/>
        <v>0</v>
      </c>
      <c r="U208" s="752">
        <f t="shared" si="275"/>
        <v>0</v>
      </c>
      <c r="V208" s="752">
        <f>V218</f>
        <v>0</v>
      </c>
      <c r="W208" s="752">
        <f t="shared" si="275"/>
        <v>0</v>
      </c>
      <c r="X208" s="752">
        <f t="shared" si="275"/>
        <v>0</v>
      </c>
      <c r="Y208" s="752">
        <f t="shared" si="275"/>
        <v>0</v>
      </c>
      <c r="Z208" s="752">
        <f t="shared" si="275"/>
        <v>0</v>
      </c>
      <c r="AA208" s="752">
        <f t="shared" si="275"/>
        <v>0</v>
      </c>
      <c r="AB208" s="752">
        <f t="shared" si="275"/>
        <v>0</v>
      </c>
      <c r="AC208" s="752">
        <f t="shared" si="275"/>
        <v>0</v>
      </c>
      <c r="AD208" s="752">
        <f t="shared" si="275"/>
        <v>0</v>
      </c>
      <c r="AE208" s="752">
        <f t="shared" si="275"/>
        <v>0</v>
      </c>
      <c r="AF208" s="752">
        <f t="shared" si="275"/>
        <v>0</v>
      </c>
      <c r="AG208" s="752">
        <f t="shared" si="275"/>
        <v>0</v>
      </c>
      <c r="AH208" s="752">
        <f t="shared" si="275"/>
        <v>0</v>
      </c>
      <c r="AI208" s="753"/>
      <c r="AJ208" s="745">
        <f t="shared" si="256"/>
        <v>0</v>
      </c>
      <c r="AK208" s="976"/>
      <c r="AL208" s="976"/>
      <c r="AM208" s="976"/>
      <c r="AN208" s="976"/>
      <c r="AO208" s="976"/>
      <c r="AP208" s="976"/>
      <c r="AQ208" s="976"/>
      <c r="AR208" s="976"/>
      <c r="AS208" s="976"/>
      <c r="AT208" s="976"/>
      <c r="AU208" s="976"/>
      <c r="AV208" s="976"/>
    </row>
    <row r="209" spans="1:48" s="795" customFormat="1" ht="21.95" hidden="1" customHeight="1">
      <c r="A209" s="2572"/>
      <c r="B209" s="2634"/>
      <c r="C209" s="1007" t="s">
        <v>1849</v>
      </c>
      <c r="D209" s="978"/>
      <c r="E209" s="979"/>
      <c r="F209" s="752">
        <f>F219</f>
        <v>0</v>
      </c>
      <c r="G209" s="752">
        <f t="shared" si="276"/>
        <v>0</v>
      </c>
      <c r="H209" s="752">
        <f t="shared" si="276"/>
        <v>0</v>
      </c>
      <c r="I209" s="752">
        <f t="shared" si="276"/>
        <v>0</v>
      </c>
      <c r="J209" s="752"/>
      <c r="K209" s="752"/>
      <c r="L209" s="752"/>
      <c r="M209" s="752"/>
      <c r="N209" s="980"/>
      <c r="O209" s="752">
        <f t="shared" si="276"/>
        <v>0</v>
      </c>
      <c r="P209" s="752">
        <f t="shared" si="276"/>
        <v>0</v>
      </c>
      <c r="Q209" s="752">
        <f t="shared" si="276"/>
        <v>0</v>
      </c>
      <c r="R209" s="752">
        <f t="shared" si="276"/>
        <v>0</v>
      </c>
      <c r="S209" s="752">
        <f t="shared" si="275"/>
        <v>0</v>
      </c>
      <c r="T209" s="752">
        <f t="shared" si="275"/>
        <v>0</v>
      </c>
      <c r="U209" s="752">
        <f t="shared" si="275"/>
        <v>0</v>
      </c>
      <c r="V209" s="752">
        <f>V219</f>
        <v>0</v>
      </c>
      <c r="W209" s="752">
        <f t="shared" si="275"/>
        <v>0</v>
      </c>
      <c r="X209" s="752">
        <f t="shared" si="275"/>
        <v>0</v>
      </c>
      <c r="Y209" s="752">
        <f t="shared" ref="Y209:AH211" si="277">+Y219</f>
        <v>0</v>
      </c>
      <c r="Z209" s="752">
        <f t="shared" si="277"/>
        <v>0</v>
      </c>
      <c r="AA209" s="752">
        <f t="shared" si="277"/>
        <v>0</v>
      </c>
      <c r="AB209" s="752">
        <f t="shared" si="277"/>
        <v>0</v>
      </c>
      <c r="AC209" s="752">
        <f t="shared" si="277"/>
        <v>0</v>
      </c>
      <c r="AD209" s="752">
        <f t="shared" si="277"/>
        <v>0</v>
      </c>
      <c r="AE209" s="752">
        <f t="shared" si="277"/>
        <v>0</v>
      </c>
      <c r="AF209" s="752">
        <f t="shared" si="277"/>
        <v>0</v>
      </c>
      <c r="AG209" s="752">
        <f t="shared" si="277"/>
        <v>0</v>
      </c>
      <c r="AH209" s="752">
        <f t="shared" si="277"/>
        <v>0</v>
      </c>
      <c r="AI209" s="753"/>
      <c r="AJ209" s="745">
        <f t="shared" si="256"/>
        <v>0</v>
      </c>
      <c r="AK209" s="976"/>
      <c r="AL209" s="976"/>
      <c r="AM209" s="976"/>
      <c r="AN209" s="976"/>
      <c r="AO209" s="976"/>
      <c r="AP209" s="976"/>
      <c r="AQ209" s="976"/>
      <c r="AR209" s="976"/>
      <c r="AS209" s="976"/>
      <c r="AT209" s="976"/>
      <c r="AU209" s="976"/>
      <c r="AV209" s="976"/>
    </row>
    <row r="210" spans="1:48" s="795" customFormat="1" ht="21.95" hidden="1" customHeight="1">
      <c r="A210" s="2572"/>
      <c r="B210" s="2634"/>
      <c r="C210" s="1007" t="s">
        <v>1850</v>
      </c>
      <c r="D210" s="978"/>
      <c r="E210" s="979"/>
      <c r="F210" s="752">
        <f>F220</f>
        <v>0</v>
      </c>
      <c r="G210" s="752">
        <f t="shared" si="276"/>
        <v>0</v>
      </c>
      <c r="H210" s="752">
        <f t="shared" si="276"/>
        <v>0</v>
      </c>
      <c r="I210" s="752">
        <f t="shared" si="276"/>
        <v>0</v>
      </c>
      <c r="J210" s="752"/>
      <c r="K210" s="752"/>
      <c r="L210" s="752"/>
      <c r="M210" s="752"/>
      <c r="N210" s="980"/>
      <c r="O210" s="752">
        <f t="shared" si="276"/>
        <v>0</v>
      </c>
      <c r="P210" s="752">
        <f t="shared" si="276"/>
        <v>0</v>
      </c>
      <c r="Q210" s="752">
        <f t="shared" si="276"/>
        <v>0</v>
      </c>
      <c r="R210" s="752">
        <f t="shared" si="276"/>
        <v>0</v>
      </c>
      <c r="S210" s="752">
        <f t="shared" si="275"/>
        <v>0</v>
      </c>
      <c r="T210" s="752">
        <f t="shared" si="275"/>
        <v>0</v>
      </c>
      <c r="U210" s="752">
        <f t="shared" si="275"/>
        <v>0</v>
      </c>
      <c r="V210" s="752">
        <f>V220</f>
        <v>0</v>
      </c>
      <c r="W210" s="752">
        <f t="shared" si="275"/>
        <v>0</v>
      </c>
      <c r="X210" s="752">
        <f t="shared" si="275"/>
        <v>0</v>
      </c>
      <c r="Y210" s="752">
        <f t="shared" si="277"/>
        <v>0</v>
      </c>
      <c r="Z210" s="752">
        <f t="shared" si="277"/>
        <v>0</v>
      </c>
      <c r="AA210" s="752">
        <f t="shared" si="277"/>
        <v>0</v>
      </c>
      <c r="AB210" s="752">
        <f t="shared" si="277"/>
        <v>0</v>
      </c>
      <c r="AC210" s="752">
        <f t="shared" si="277"/>
        <v>0</v>
      </c>
      <c r="AD210" s="752">
        <f t="shared" si="277"/>
        <v>0</v>
      </c>
      <c r="AE210" s="752">
        <f t="shared" si="277"/>
        <v>0</v>
      </c>
      <c r="AF210" s="752">
        <f t="shared" si="277"/>
        <v>0</v>
      </c>
      <c r="AG210" s="752">
        <f t="shared" si="277"/>
        <v>0</v>
      </c>
      <c r="AH210" s="752">
        <f t="shared" si="277"/>
        <v>0</v>
      </c>
      <c r="AI210" s="753"/>
      <c r="AJ210" s="745">
        <f t="shared" si="256"/>
        <v>0</v>
      </c>
      <c r="AK210" s="976"/>
      <c r="AL210" s="976"/>
      <c r="AM210" s="976"/>
      <c r="AN210" s="976"/>
      <c r="AO210" s="976"/>
      <c r="AP210" s="976"/>
      <c r="AQ210" s="976"/>
      <c r="AR210" s="976"/>
      <c r="AS210" s="976"/>
      <c r="AT210" s="976"/>
      <c r="AU210" s="976"/>
      <c r="AV210" s="976"/>
    </row>
    <row r="211" spans="1:48" s="795" customFormat="1" ht="21.95" hidden="1" customHeight="1" thickBot="1">
      <c r="A211" s="2572"/>
      <c r="B211" s="2635"/>
      <c r="C211" s="982" t="s">
        <v>1851</v>
      </c>
      <c r="D211" s="978"/>
      <c r="E211" s="979"/>
      <c r="F211" s="752">
        <f>F221</f>
        <v>0</v>
      </c>
      <c r="G211" s="752">
        <f t="shared" si="276"/>
        <v>0</v>
      </c>
      <c r="H211" s="752">
        <f t="shared" si="276"/>
        <v>0</v>
      </c>
      <c r="I211" s="752">
        <f t="shared" si="276"/>
        <v>0</v>
      </c>
      <c r="J211" s="752"/>
      <c r="K211" s="752"/>
      <c r="L211" s="752"/>
      <c r="M211" s="752"/>
      <c r="N211" s="980"/>
      <c r="O211" s="752">
        <f t="shared" si="276"/>
        <v>0</v>
      </c>
      <c r="P211" s="752">
        <f t="shared" si="276"/>
        <v>0</v>
      </c>
      <c r="Q211" s="752">
        <f t="shared" si="276"/>
        <v>0</v>
      </c>
      <c r="R211" s="752">
        <f t="shared" si="276"/>
        <v>0</v>
      </c>
      <c r="S211" s="752">
        <f t="shared" si="275"/>
        <v>0</v>
      </c>
      <c r="T211" s="752">
        <f t="shared" si="275"/>
        <v>0</v>
      </c>
      <c r="U211" s="752">
        <f t="shared" si="275"/>
        <v>0</v>
      </c>
      <c r="V211" s="752">
        <f>V221</f>
        <v>0</v>
      </c>
      <c r="W211" s="752">
        <f t="shared" si="275"/>
        <v>0</v>
      </c>
      <c r="X211" s="752">
        <f t="shared" si="275"/>
        <v>0</v>
      </c>
      <c r="Y211" s="752">
        <f t="shared" si="277"/>
        <v>0</v>
      </c>
      <c r="Z211" s="752">
        <f t="shared" si="277"/>
        <v>0</v>
      </c>
      <c r="AA211" s="752">
        <f t="shared" si="277"/>
        <v>0</v>
      </c>
      <c r="AB211" s="752">
        <f t="shared" si="277"/>
        <v>0</v>
      </c>
      <c r="AC211" s="752">
        <f t="shared" si="277"/>
        <v>0</v>
      </c>
      <c r="AD211" s="752">
        <f t="shared" si="277"/>
        <v>0</v>
      </c>
      <c r="AE211" s="752">
        <f t="shared" si="277"/>
        <v>0</v>
      </c>
      <c r="AF211" s="752">
        <f t="shared" si="277"/>
        <v>0</v>
      </c>
      <c r="AG211" s="752">
        <f t="shared" si="277"/>
        <v>0</v>
      </c>
      <c r="AH211" s="752">
        <f t="shared" si="277"/>
        <v>0</v>
      </c>
      <c r="AI211" s="769"/>
      <c r="AJ211" s="745">
        <f t="shared" si="256"/>
        <v>0</v>
      </c>
      <c r="AK211" s="976"/>
      <c r="AL211" s="976"/>
      <c r="AM211" s="976"/>
      <c r="AN211" s="976"/>
      <c r="AO211" s="976"/>
      <c r="AP211" s="976"/>
      <c r="AQ211" s="976"/>
      <c r="AR211" s="976"/>
      <c r="AS211" s="976"/>
      <c r="AT211" s="976"/>
      <c r="AU211" s="976"/>
      <c r="AV211" s="976"/>
    </row>
    <row r="212" spans="1:48" s="795" customFormat="1" ht="21.95" hidden="1" customHeight="1">
      <c r="A212" s="2572"/>
      <c r="B212" s="2636" t="s">
        <v>1852</v>
      </c>
      <c r="C212" s="1094" t="s">
        <v>1853</v>
      </c>
      <c r="D212" s="971"/>
      <c r="E212" s="972"/>
      <c r="F212" s="743">
        <f t="shared" ref="F212:R212" si="278">F96</f>
        <v>0</v>
      </c>
      <c r="G212" s="743">
        <f t="shared" si="278"/>
        <v>0</v>
      </c>
      <c r="H212" s="743">
        <f t="shared" si="278"/>
        <v>0</v>
      </c>
      <c r="I212" s="743">
        <f t="shared" si="278"/>
        <v>0</v>
      </c>
      <c r="J212" s="743"/>
      <c r="K212" s="743"/>
      <c r="L212" s="743"/>
      <c r="M212" s="743"/>
      <c r="N212" s="973"/>
      <c r="O212" s="743">
        <f t="shared" si="278"/>
        <v>0</v>
      </c>
      <c r="P212" s="743">
        <f t="shared" si="278"/>
        <v>0</v>
      </c>
      <c r="Q212" s="743">
        <f t="shared" si="278"/>
        <v>0</v>
      </c>
      <c r="R212" s="743">
        <f t="shared" si="278"/>
        <v>0</v>
      </c>
      <c r="S212" s="743">
        <f>S96</f>
        <v>0</v>
      </c>
      <c r="T212" s="743">
        <f>T96</f>
        <v>0</v>
      </c>
      <c r="U212" s="743">
        <f t="shared" ref="U212:AH212" si="279">U96</f>
        <v>0</v>
      </c>
      <c r="V212" s="743">
        <f>V96</f>
        <v>0</v>
      </c>
      <c r="W212" s="743">
        <f t="shared" si="279"/>
        <v>0</v>
      </c>
      <c r="X212" s="743">
        <f t="shared" si="279"/>
        <v>0</v>
      </c>
      <c r="Y212" s="743">
        <f t="shared" si="279"/>
        <v>0</v>
      </c>
      <c r="Z212" s="743">
        <f t="shared" si="279"/>
        <v>0</v>
      </c>
      <c r="AA212" s="743">
        <f t="shared" si="279"/>
        <v>0</v>
      </c>
      <c r="AB212" s="743">
        <f t="shared" si="279"/>
        <v>0</v>
      </c>
      <c r="AC212" s="743">
        <f t="shared" si="279"/>
        <v>0</v>
      </c>
      <c r="AD212" s="743">
        <f t="shared" si="279"/>
        <v>0</v>
      </c>
      <c r="AE212" s="743">
        <f t="shared" si="279"/>
        <v>0</v>
      </c>
      <c r="AF212" s="743">
        <f t="shared" si="279"/>
        <v>0</v>
      </c>
      <c r="AG212" s="743">
        <f t="shared" si="279"/>
        <v>0</v>
      </c>
      <c r="AH212" s="743">
        <f t="shared" si="279"/>
        <v>0</v>
      </c>
      <c r="AI212" s="767"/>
      <c r="AJ212" s="745"/>
      <c r="AK212" s="976"/>
      <c r="AL212" s="976"/>
      <c r="AM212" s="976"/>
      <c r="AN212" s="976"/>
      <c r="AO212" s="976"/>
      <c r="AP212" s="976"/>
      <c r="AQ212" s="976"/>
      <c r="AR212" s="976"/>
      <c r="AS212" s="976"/>
      <c r="AT212" s="976"/>
      <c r="AU212" s="976"/>
      <c r="AV212" s="976"/>
    </row>
    <row r="213" spans="1:48" s="795" customFormat="1" ht="21.95" hidden="1" customHeight="1">
      <c r="A213" s="2572"/>
      <c r="B213" s="2637"/>
      <c r="C213" s="977" t="s">
        <v>1845</v>
      </c>
      <c r="D213" s="978"/>
      <c r="E213" s="979"/>
      <c r="F213" s="752">
        <f>F205</f>
        <v>0</v>
      </c>
      <c r="G213" s="752">
        <f>G205</f>
        <v>0</v>
      </c>
      <c r="H213" s="752">
        <f>H205</f>
        <v>0</v>
      </c>
      <c r="I213" s="752">
        <f>I205</f>
        <v>0</v>
      </c>
      <c r="J213" s="752"/>
      <c r="K213" s="752"/>
      <c r="L213" s="752"/>
      <c r="M213" s="752"/>
      <c r="N213" s="980"/>
      <c r="O213" s="752">
        <f t="shared" ref="O213:AH214" si="280">O205</f>
        <v>0</v>
      </c>
      <c r="P213" s="752">
        <f t="shared" si="280"/>
        <v>0</v>
      </c>
      <c r="Q213" s="752">
        <f t="shared" si="280"/>
        <v>0</v>
      </c>
      <c r="R213" s="752">
        <f t="shared" si="280"/>
        <v>0</v>
      </c>
      <c r="S213" s="752">
        <f t="shared" si="280"/>
        <v>0</v>
      </c>
      <c r="T213" s="752">
        <f t="shared" si="280"/>
        <v>0</v>
      </c>
      <c r="U213" s="752">
        <f t="shared" si="280"/>
        <v>0</v>
      </c>
      <c r="V213" s="752">
        <f>V205</f>
        <v>0</v>
      </c>
      <c r="W213" s="752">
        <f t="shared" si="280"/>
        <v>0</v>
      </c>
      <c r="X213" s="752">
        <f t="shared" si="280"/>
        <v>0</v>
      </c>
      <c r="Y213" s="752">
        <f t="shared" si="280"/>
        <v>0</v>
      </c>
      <c r="Z213" s="752">
        <f t="shared" si="280"/>
        <v>0</v>
      </c>
      <c r="AA213" s="752">
        <f t="shared" si="280"/>
        <v>0</v>
      </c>
      <c r="AB213" s="752">
        <f t="shared" si="280"/>
        <v>0</v>
      </c>
      <c r="AC213" s="752">
        <f t="shared" si="280"/>
        <v>0</v>
      </c>
      <c r="AD213" s="752">
        <f t="shared" si="280"/>
        <v>0</v>
      </c>
      <c r="AE213" s="752">
        <f t="shared" si="280"/>
        <v>0</v>
      </c>
      <c r="AF213" s="752">
        <f t="shared" si="280"/>
        <v>0</v>
      </c>
      <c r="AG213" s="752">
        <f t="shared" si="280"/>
        <v>0</v>
      </c>
      <c r="AH213" s="752">
        <f t="shared" si="280"/>
        <v>0</v>
      </c>
      <c r="AI213" s="753"/>
      <c r="AJ213" s="745"/>
      <c r="AK213" s="976"/>
      <c r="AL213" s="976"/>
      <c r="AM213" s="976"/>
      <c r="AN213" s="976"/>
      <c r="AO213" s="976"/>
      <c r="AP213" s="976"/>
      <c r="AQ213" s="976"/>
      <c r="AR213" s="976"/>
      <c r="AS213" s="976"/>
      <c r="AT213" s="976"/>
      <c r="AU213" s="976"/>
      <c r="AV213" s="976"/>
    </row>
    <row r="214" spans="1:48" s="795" customFormat="1" ht="21.95" hidden="1" customHeight="1">
      <c r="A214" s="2572"/>
      <c r="B214" s="2637"/>
      <c r="C214" s="977" t="s">
        <v>1846</v>
      </c>
      <c r="D214" s="978"/>
      <c r="E214" s="979"/>
      <c r="F214" s="752">
        <f>F206</f>
        <v>0</v>
      </c>
      <c r="G214" s="752">
        <f t="shared" ref="G214:R214" si="281">G206</f>
        <v>0</v>
      </c>
      <c r="H214" s="752">
        <f t="shared" si="281"/>
        <v>0</v>
      </c>
      <c r="I214" s="752">
        <f t="shared" si="281"/>
        <v>0</v>
      </c>
      <c r="J214" s="752"/>
      <c r="K214" s="752"/>
      <c r="L214" s="752"/>
      <c r="M214" s="752"/>
      <c r="N214" s="980"/>
      <c r="O214" s="752">
        <f t="shared" si="281"/>
        <v>0</v>
      </c>
      <c r="P214" s="752">
        <f t="shared" si="281"/>
        <v>0</v>
      </c>
      <c r="Q214" s="752">
        <f t="shared" si="281"/>
        <v>0</v>
      </c>
      <c r="R214" s="752">
        <f t="shared" si="281"/>
        <v>0</v>
      </c>
      <c r="S214" s="752">
        <f>S206</f>
        <v>0</v>
      </c>
      <c r="T214" s="752">
        <f>T206</f>
        <v>0</v>
      </c>
      <c r="U214" s="752">
        <f t="shared" si="280"/>
        <v>0</v>
      </c>
      <c r="V214" s="752">
        <f>V206</f>
        <v>0</v>
      </c>
      <c r="W214" s="752">
        <f t="shared" si="280"/>
        <v>0</v>
      </c>
      <c r="X214" s="752">
        <f t="shared" si="280"/>
        <v>0</v>
      </c>
      <c r="Y214" s="752">
        <f t="shared" si="280"/>
        <v>0</v>
      </c>
      <c r="Z214" s="752">
        <f t="shared" si="280"/>
        <v>0</v>
      </c>
      <c r="AA214" s="752">
        <f t="shared" si="280"/>
        <v>0</v>
      </c>
      <c r="AB214" s="752">
        <f t="shared" si="280"/>
        <v>0</v>
      </c>
      <c r="AC214" s="752">
        <f t="shared" si="280"/>
        <v>0</v>
      </c>
      <c r="AD214" s="752">
        <f t="shared" si="280"/>
        <v>0</v>
      </c>
      <c r="AE214" s="752">
        <f t="shared" si="280"/>
        <v>0</v>
      </c>
      <c r="AF214" s="752">
        <f t="shared" si="280"/>
        <v>0</v>
      </c>
      <c r="AG214" s="752">
        <f t="shared" si="280"/>
        <v>0</v>
      </c>
      <c r="AH214" s="752">
        <f t="shared" si="280"/>
        <v>0</v>
      </c>
      <c r="AI214" s="753"/>
      <c r="AJ214" s="745"/>
      <c r="AK214" s="976"/>
      <c r="AL214" s="976"/>
      <c r="AM214" s="976"/>
      <c r="AN214" s="976"/>
      <c r="AO214" s="976"/>
      <c r="AP214" s="976"/>
      <c r="AQ214" s="976"/>
      <c r="AR214" s="976"/>
      <c r="AS214" s="976"/>
      <c r="AT214" s="976"/>
      <c r="AU214" s="976"/>
      <c r="AV214" s="976"/>
    </row>
    <row r="215" spans="1:48" s="795" customFormat="1" ht="21.95" hidden="1" customHeight="1">
      <c r="A215" s="2572"/>
      <c r="B215" s="2638"/>
      <c r="C215" s="977" t="s">
        <v>1854</v>
      </c>
      <c r="D215" s="978"/>
      <c r="E215" s="979"/>
      <c r="F215" s="752">
        <f t="shared" ref="F215:R215" si="282">F91</f>
        <v>0</v>
      </c>
      <c r="G215" s="752">
        <f t="shared" si="282"/>
        <v>0</v>
      </c>
      <c r="H215" s="752">
        <f t="shared" si="282"/>
        <v>0</v>
      </c>
      <c r="I215" s="752">
        <f t="shared" si="282"/>
        <v>0</v>
      </c>
      <c r="J215" s="752"/>
      <c r="K215" s="752"/>
      <c r="L215" s="752"/>
      <c r="M215" s="752"/>
      <c r="N215" s="980"/>
      <c r="O215" s="752">
        <f t="shared" si="282"/>
        <v>0</v>
      </c>
      <c r="P215" s="752">
        <f t="shared" si="282"/>
        <v>0</v>
      </c>
      <c r="Q215" s="752">
        <f t="shared" si="282"/>
        <v>0</v>
      </c>
      <c r="R215" s="752">
        <f t="shared" si="282"/>
        <v>0</v>
      </c>
      <c r="S215" s="752">
        <f>S91</f>
        <v>0</v>
      </c>
      <c r="T215" s="752">
        <f>T91</f>
        <v>0</v>
      </c>
      <c r="U215" s="752">
        <f t="shared" ref="U215:AH215" si="283">U91</f>
        <v>0</v>
      </c>
      <c r="V215" s="752">
        <f>V91</f>
        <v>0</v>
      </c>
      <c r="W215" s="752">
        <f t="shared" si="283"/>
        <v>0</v>
      </c>
      <c r="X215" s="752">
        <f t="shared" si="283"/>
        <v>0</v>
      </c>
      <c r="Y215" s="752">
        <f t="shared" si="283"/>
        <v>0</v>
      </c>
      <c r="Z215" s="752">
        <f t="shared" si="283"/>
        <v>0</v>
      </c>
      <c r="AA215" s="752">
        <f t="shared" si="283"/>
        <v>0</v>
      </c>
      <c r="AB215" s="752">
        <f t="shared" si="283"/>
        <v>0</v>
      </c>
      <c r="AC215" s="752">
        <f t="shared" si="283"/>
        <v>0</v>
      </c>
      <c r="AD215" s="752">
        <f t="shared" si="283"/>
        <v>0</v>
      </c>
      <c r="AE215" s="752">
        <f t="shared" si="283"/>
        <v>0</v>
      </c>
      <c r="AF215" s="752">
        <f t="shared" si="283"/>
        <v>0</v>
      </c>
      <c r="AG215" s="752">
        <f t="shared" si="283"/>
        <v>0</v>
      </c>
      <c r="AH215" s="752">
        <f t="shared" si="283"/>
        <v>0</v>
      </c>
      <c r="AI215" s="753"/>
      <c r="AJ215" s="745"/>
      <c r="AK215" s="976"/>
      <c r="AL215" s="976"/>
      <c r="AM215" s="976"/>
      <c r="AN215" s="976"/>
      <c r="AO215" s="976"/>
      <c r="AP215" s="976"/>
      <c r="AQ215" s="976"/>
      <c r="AR215" s="976"/>
      <c r="AS215" s="976"/>
      <c r="AT215" s="976"/>
      <c r="AU215" s="976"/>
      <c r="AV215" s="976"/>
    </row>
    <row r="216" spans="1:48" s="795" customFormat="1" ht="21.95" hidden="1" customHeight="1">
      <c r="A216" s="2572"/>
      <c r="B216" s="2638"/>
      <c r="C216" s="977" t="s">
        <v>1769</v>
      </c>
      <c r="D216" s="978"/>
      <c r="E216" s="979"/>
      <c r="F216" s="752">
        <f t="shared" ref="F216:R216" si="284">F85</f>
        <v>12.214512237157114</v>
      </c>
      <c r="G216" s="752">
        <f t="shared" si="284"/>
        <v>20.357520395261858</v>
      </c>
      <c r="H216" s="752">
        <f t="shared" si="284"/>
        <v>10.178760197630929</v>
      </c>
      <c r="I216" s="752">
        <f t="shared" si="284"/>
        <v>18.321768355735671</v>
      </c>
      <c r="J216" s="752"/>
      <c r="K216" s="752"/>
      <c r="L216" s="752"/>
      <c r="M216" s="752"/>
      <c r="N216" s="980"/>
      <c r="O216" s="752">
        <f t="shared" si="284"/>
        <v>16.286016316209487</v>
      </c>
      <c r="P216" s="752">
        <f t="shared" si="284"/>
        <v>10.178760197630929</v>
      </c>
      <c r="Q216" s="752">
        <f t="shared" si="284"/>
        <v>18.321768355735671</v>
      </c>
      <c r="R216" s="752">
        <f t="shared" si="284"/>
        <v>18.321768355735671</v>
      </c>
      <c r="S216" s="752">
        <f>S85</f>
        <v>0</v>
      </c>
      <c r="T216" s="752">
        <f>T85</f>
        <v>0</v>
      </c>
      <c r="U216" s="752">
        <f t="shared" ref="U216:AH216" si="285">U85</f>
        <v>0</v>
      </c>
      <c r="V216" s="752">
        <f>V85</f>
        <v>0</v>
      </c>
      <c r="W216" s="752">
        <f t="shared" si="285"/>
        <v>0</v>
      </c>
      <c r="X216" s="752">
        <f t="shared" si="285"/>
        <v>0</v>
      </c>
      <c r="Y216" s="752">
        <f t="shared" si="285"/>
        <v>0</v>
      </c>
      <c r="Z216" s="752">
        <f t="shared" si="285"/>
        <v>0</v>
      </c>
      <c r="AA216" s="752">
        <f t="shared" si="285"/>
        <v>0</v>
      </c>
      <c r="AB216" s="752">
        <f t="shared" si="285"/>
        <v>0</v>
      </c>
      <c r="AC216" s="752">
        <f t="shared" si="285"/>
        <v>0</v>
      </c>
      <c r="AD216" s="752">
        <f t="shared" si="285"/>
        <v>0</v>
      </c>
      <c r="AE216" s="752">
        <f t="shared" si="285"/>
        <v>0</v>
      </c>
      <c r="AF216" s="752">
        <f t="shared" si="285"/>
        <v>0</v>
      </c>
      <c r="AG216" s="752">
        <f t="shared" si="285"/>
        <v>0</v>
      </c>
      <c r="AH216" s="752">
        <f t="shared" si="285"/>
        <v>0</v>
      </c>
      <c r="AI216" s="753"/>
      <c r="AJ216" s="745"/>
      <c r="AK216" s="976"/>
      <c r="AL216" s="976"/>
      <c r="AM216" s="976"/>
      <c r="AN216" s="976"/>
      <c r="AO216" s="976"/>
      <c r="AP216" s="976"/>
      <c r="AQ216" s="976"/>
      <c r="AR216" s="976"/>
      <c r="AS216" s="976"/>
      <c r="AT216" s="976"/>
      <c r="AU216" s="976"/>
      <c r="AV216" s="976"/>
    </row>
    <row r="217" spans="1:48" s="795" customFormat="1" ht="21.95" hidden="1" customHeight="1">
      <c r="A217" s="2572"/>
      <c r="B217" s="2638"/>
      <c r="C217" s="977" t="s">
        <v>1855</v>
      </c>
      <c r="D217" s="978"/>
      <c r="E217" s="979"/>
      <c r="F217" s="752">
        <f t="shared" ref="F217:R217" si="286">212.02*F163/1000</f>
        <v>0</v>
      </c>
      <c r="G217" s="752">
        <f t="shared" si="286"/>
        <v>0</v>
      </c>
      <c r="H217" s="752">
        <f t="shared" si="286"/>
        <v>0</v>
      </c>
      <c r="I217" s="752">
        <f t="shared" si="286"/>
        <v>0</v>
      </c>
      <c r="J217" s="752"/>
      <c r="K217" s="752"/>
      <c r="L217" s="752"/>
      <c r="M217" s="752"/>
      <c r="N217" s="980"/>
      <c r="O217" s="752">
        <f t="shared" si="286"/>
        <v>0</v>
      </c>
      <c r="P217" s="752">
        <f t="shared" si="286"/>
        <v>0</v>
      </c>
      <c r="Q217" s="752">
        <f t="shared" si="286"/>
        <v>0</v>
      </c>
      <c r="R217" s="752">
        <f t="shared" si="286"/>
        <v>0</v>
      </c>
      <c r="S217" s="752">
        <f>212.02*S163/1000</f>
        <v>0</v>
      </c>
      <c r="T217" s="752">
        <f>212.02*T163/1000</f>
        <v>0</v>
      </c>
      <c r="U217" s="752">
        <f t="shared" ref="U217:AH217" si="287">212.02*U163/1000</f>
        <v>0</v>
      </c>
      <c r="V217" s="752">
        <f>212.02*V163/1000</f>
        <v>0</v>
      </c>
      <c r="W217" s="752">
        <f t="shared" si="287"/>
        <v>0</v>
      </c>
      <c r="X217" s="752">
        <f t="shared" si="287"/>
        <v>0</v>
      </c>
      <c r="Y217" s="752">
        <f t="shared" si="287"/>
        <v>0</v>
      </c>
      <c r="Z217" s="752">
        <f t="shared" si="287"/>
        <v>0</v>
      </c>
      <c r="AA217" s="752">
        <f t="shared" si="287"/>
        <v>0</v>
      </c>
      <c r="AB217" s="752">
        <f t="shared" si="287"/>
        <v>0</v>
      </c>
      <c r="AC217" s="752">
        <f t="shared" si="287"/>
        <v>0</v>
      </c>
      <c r="AD217" s="752">
        <f t="shared" si="287"/>
        <v>0</v>
      </c>
      <c r="AE217" s="752">
        <f t="shared" si="287"/>
        <v>0</v>
      </c>
      <c r="AF217" s="752">
        <f t="shared" si="287"/>
        <v>0</v>
      </c>
      <c r="AG217" s="752">
        <f t="shared" si="287"/>
        <v>0</v>
      </c>
      <c r="AH217" s="752">
        <f t="shared" si="287"/>
        <v>0</v>
      </c>
      <c r="AI217" s="753"/>
      <c r="AJ217" s="745"/>
      <c r="AK217" s="976"/>
      <c r="AL217" s="976"/>
      <c r="AM217" s="976"/>
      <c r="AN217" s="976"/>
      <c r="AO217" s="976"/>
      <c r="AP217" s="976"/>
      <c r="AQ217" s="976"/>
      <c r="AR217" s="976"/>
      <c r="AS217" s="976"/>
      <c r="AT217" s="976"/>
      <c r="AU217" s="976"/>
      <c r="AV217" s="976"/>
    </row>
    <row r="218" spans="1:48" s="795" customFormat="1" ht="21.95" hidden="1" customHeight="1">
      <c r="A218" s="2572"/>
      <c r="B218" s="2638"/>
      <c r="C218" s="977" t="s">
        <v>1848</v>
      </c>
      <c r="D218" s="978"/>
      <c r="E218" s="979"/>
      <c r="F218" s="752">
        <f t="shared" ref="F218:X218" si="288">F163*0.827</f>
        <v>0</v>
      </c>
      <c r="G218" s="752">
        <f t="shared" si="288"/>
        <v>0</v>
      </c>
      <c r="H218" s="752">
        <f t="shared" si="288"/>
        <v>0</v>
      </c>
      <c r="I218" s="752">
        <f t="shared" si="288"/>
        <v>0</v>
      </c>
      <c r="J218" s="752"/>
      <c r="K218" s="752"/>
      <c r="L218" s="752"/>
      <c r="M218" s="752"/>
      <c r="N218" s="980"/>
      <c r="O218" s="752">
        <f t="shared" si="288"/>
        <v>0</v>
      </c>
      <c r="P218" s="752">
        <f t="shared" si="288"/>
        <v>0</v>
      </c>
      <c r="Q218" s="752">
        <f t="shared" si="288"/>
        <v>0</v>
      </c>
      <c r="R218" s="752">
        <f t="shared" si="288"/>
        <v>0</v>
      </c>
      <c r="S218" s="752">
        <f t="shared" si="288"/>
        <v>0</v>
      </c>
      <c r="T218" s="752">
        <f t="shared" si="288"/>
        <v>0</v>
      </c>
      <c r="U218" s="752">
        <f t="shared" si="288"/>
        <v>0</v>
      </c>
      <c r="V218" s="752">
        <f t="shared" si="288"/>
        <v>0</v>
      </c>
      <c r="W218" s="752">
        <f t="shared" si="288"/>
        <v>0</v>
      </c>
      <c r="X218" s="752">
        <f t="shared" si="288"/>
        <v>0</v>
      </c>
      <c r="Y218" s="752">
        <f t="shared" ref="Y218:AH218" si="289">+Y163*0.827</f>
        <v>0</v>
      </c>
      <c r="Z218" s="752">
        <f t="shared" si="289"/>
        <v>0</v>
      </c>
      <c r="AA218" s="752">
        <f t="shared" si="289"/>
        <v>0</v>
      </c>
      <c r="AB218" s="752">
        <f t="shared" si="289"/>
        <v>0</v>
      </c>
      <c r="AC218" s="752">
        <f t="shared" si="289"/>
        <v>0</v>
      </c>
      <c r="AD218" s="752">
        <f t="shared" si="289"/>
        <v>0</v>
      </c>
      <c r="AE218" s="752">
        <f t="shared" si="289"/>
        <v>0</v>
      </c>
      <c r="AF218" s="752">
        <f t="shared" si="289"/>
        <v>0</v>
      </c>
      <c r="AG218" s="752">
        <f t="shared" si="289"/>
        <v>0</v>
      </c>
      <c r="AH218" s="752">
        <f t="shared" si="289"/>
        <v>0</v>
      </c>
      <c r="AI218" s="753"/>
      <c r="AJ218" s="745"/>
      <c r="AK218" s="976"/>
      <c r="AL218" s="976"/>
      <c r="AM218" s="976"/>
      <c r="AN218" s="976"/>
      <c r="AO218" s="976"/>
      <c r="AP218" s="976"/>
      <c r="AQ218" s="976"/>
      <c r="AR218" s="976"/>
      <c r="AS218" s="976"/>
      <c r="AT218" s="976"/>
      <c r="AU218" s="976"/>
      <c r="AV218" s="976"/>
    </row>
    <row r="219" spans="1:48" s="795" customFormat="1" ht="21.95" hidden="1" customHeight="1">
      <c r="A219" s="2572"/>
      <c r="B219" s="2639"/>
      <c r="C219" s="1007" t="s">
        <v>1849</v>
      </c>
      <c r="D219" s="978"/>
      <c r="E219" s="979"/>
      <c r="F219" s="752">
        <f t="shared" ref="F219:R219" si="290">F159+F133*1.25</f>
        <v>0</v>
      </c>
      <c r="G219" s="752">
        <f t="shared" si="290"/>
        <v>0</v>
      </c>
      <c r="H219" s="752">
        <f t="shared" si="290"/>
        <v>0</v>
      </c>
      <c r="I219" s="752">
        <f t="shared" si="290"/>
        <v>0</v>
      </c>
      <c r="J219" s="752"/>
      <c r="K219" s="752"/>
      <c r="L219" s="752"/>
      <c r="M219" s="752"/>
      <c r="N219" s="980"/>
      <c r="O219" s="752">
        <f t="shared" si="290"/>
        <v>0</v>
      </c>
      <c r="P219" s="752">
        <f t="shared" si="290"/>
        <v>0</v>
      </c>
      <c r="Q219" s="752">
        <f t="shared" si="290"/>
        <v>0</v>
      </c>
      <c r="R219" s="752">
        <f t="shared" si="290"/>
        <v>0</v>
      </c>
      <c r="S219" s="752">
        <f>S159+S133*1.25</f>
        <v>0</v>
      </c>
      <c r="T219" s="752">
        <f>T159+T133*1.25</f>
        <v>0</v>
      </c>
      <c r="U219" s="752">
        <f t="shared" ref="U219:AH219" si="291">U159+U133*1.25</f>
        <v>0</v>
      </c>
      <c r="V219" s="752">
        <f>V159+V133*1.25</f>
        <v>0</v>
      </c>
      <c r="W219" s="752">
        <f t="shared" si="291"/>
        <v>0</v>
      </c>
      <c r="X219" s="752">
        <f t="shared" si="291"/>
        <v>0</v>
      </c>
      <c r="Y219" s="752">
        <f t="shared" si="291"/>
        <v>0</v>
      </c>
      <c r="Z219" s="752">
        <f t="shared" si="291"/>
        <v>0</v>
      </c>
      <c r="AA219" s="752">
        <f t="shared" si="291"/>
        <v>0</v>
      </c>
      <c r="AB219" s="752">
        <f t="shared" si="291"/>
        <v>0</v>
      </c>
      <c r="AC219" s="752">
        <f t="shared" si="291"/>
        <v>0</v>
      </c>
      <c r="AD219" s="752">
        <f t="shared" si="291"/>
        <v>0</v>
      </c>
      <c r="AE219" s="752">
        <f t="shared" si="291"/>
        <v>0</v>
      </c>
      <c r="AF219" s="752">
        <f t="shared" si="291"/>
        <v>0</v>
      </c>
      <c r="AG219" s="752">
        <f t="shared" si="291"/>
        <v>0</v>
      </c>
      <c r="AH219" s="752">
        <f t="shared" si="291"/>
        <v>0</v>
      </c>
      <c r="AI219" s="753"/>
      <c r="AJ219" s="745"/>
      <c r="AK219" s="976"/>
      <c r="AL219" s="976"/>
      <c r="AM219" s="976"/>
      <c r="AN219" s="976"/>
      <c r="AO219" s="976"/>
      <c r="AP219" s="976"/>
      <c r="AQ219" s="976"/>
      <c r="AR219" s="976"/>
      <c r="AS219" s="976"/>
      <c r="AT219" s="976"/>
      <c r="AU219" s="976"/>
      <c r="AV219" s="976"/>
    </row>
    <row r="220" spans="1:48" s="795" customFormat="1" ht="21.95" hidden="1" customHeight="1">
      <c r="A220" s="2572"/>
      <c r="B220" s="2639"/>
      <c r="C220" s="1007" t="s">
        <v>1856</v>
      </c>
      <c r="D220" s="978"/>
      <c r="E220" s="979"/>
      <c r="F220" s="752">
        <f t="shared" ref="F220:R220" si="292">F163*0.578</f>
        <v>0</v>
      </c>
      <c r="G220" s="752">
        <f t="shared" si="292"/>
        <v>0</v>
      </c>
      <c r="H220" s="752">
        <f t="shared" si="292"/>
        <v>0</v>
      </c>
      <c r="I220" s="752">
        <f t="shared" si="292"/>
        <v>0</v>
      </c>
      <c r="J220" s="752"/>
      <c r="K220" s="752"/>
      <c r="L220" s="752"/>
      <c r="M220" s="752"/>
      <c r="N220" s="980"/>
      <c r="O220" s="752">
        <f t="shared" si="292"/>
        <v>0</v>
      </c>
      <c r="P220" s="752">
        <f t="shared" si="292"/>
        <v>0</v>
      </c>
      <c r="Q220" s="752">
        <f t="shared" si="292"/>
        <v>0</v>
      </c>
      <c r="R220" s="752">
        <f t="shared" si="292"/>
        <v>0</v>
      </c>
      <c r="S220" s="752">
        <f>S163*0.578</f>
        <v>0</v>
      </c>
      <c r="T220" s="752">
        <f>T163*0.578</f>
        <v>0</v>
      </c>
      <c r="U220" s="752">
        <f t="shared" ref="U220:AH220" si="293">U163*0.578</f>
        <v>0</v>
      </c>
      <c r="V220" s="752">
        <f>V163*0.578</f>
        <v>0</v>
      </c>
      <c r="W220" s="752">
        <f t="shared" si="293"/>
        <v>0</v>
      </c>
      <c r="X220" s="752">
        <f t="shared" si="293"/>
        <v>0</v>
      </c>
      <c r="Y220" s="752">
        <f t="shared" si="293"/>
        <v>0</v>
      </c>
      <c r="Z220" s="752">
        <f t="shared" si="293"/>
        <v>0</v>
      </c>
      <c r="AA220" s="752">
        <f t="shared" si="293"/>
        <v>0</v>
      </c>
      <c r="AB220" s="752">
        <f t="shared" si="293"/>
        <v>0</v>
      </c>
      <c r="AC220" s="752">
        <f t="shared" si="293"/>
        <v>0</v>
      </c>
      <c r="AD220" s="752">
        <f t="shared" si="293"/>
        <v>0</v>
      </c>
      <c r="AE220" s="752">
        <f t="shared" si="293"/>
        <v>0</v>
      </c>
      <c r="AF220" s="752">
        <f t="shared" si="293"/>
        <v>0</v>
      </c>
      <c r="AG220" s="752">
        <f t="shared" si="293"/>
        <v>0</v>
      </c>
      <c r="AH220" s="752">
        <f t="shared" si="293"/>
        <v>0</v>
      </c>
      <c r="AI220" s="753"/>
      <c r="AJ220" s="745"/>
      <c r="AK220" s="976"/>
      <c r="AL220" s="976"/>
      <c r="AM220" s="976"/>
      <c r="AN220" s="976"/>
      <c r="AO220" s="976"/>
      <c r="AP220" s="976"/>
      <c r="AQ220" s="976"/>
      <c r="AR220" s="976"/>
      <c r="AS220" s="976"/>
      <c r="AT220" s="976"/>
      <c r="AU220" s="976"/>
      <c r="AV220" s="976"/>
    </row>
    <row r="221" spans="1:48" s="795" customFormat="1" ht="21.95" hidden="1" customHeight="1" thickBot="1">
      <c r="A221" s="2572"/>
      <c r="B221" s="2640"/>
      <c r="C221" s="982" t="s">
        <v>1851</v>
      </c>
      <c r="D221" s="983"/>
      <c r="E221" s="984"/>
      <c r="F221" s="761">
        <f t="shared" ref="F221:X221" si="294">F169+F175+F180+F185</f>
        <v>0</v>
      </c>
      <c r="G221" s="761">
        <f t="shared" si="294"/>
        <v>0</v>
      </c>
      <c r="H221" s="761">
        <f t="shared" si="294"/>
        <v>0</v>
      </c>
      <c r="I221" s="761">
        <f t="shared" si="294"/>
        <v>0</v>
      </c>
      <c r="J221" s="761"/>
      <c r="K221" s="761"/>
      <c r="L221" s="761"/>
      <c r="M221" s="761"/>
      <c r="N221" s="985"/>
      <c r="O221" s="761">
        <f t="shared" si="294"/>
        <v>0</v>
      </c>
      <c r="P221" s="761">
        <f t="shared" si="294"/>
        <v>0</v>
      </c>
      <c r="Q221" s="761">
        <f t="shared" si="294"/>
        <v>0</v>
      </c>
      <c r="R221" s="761">
        <f t="shared" si="294"/>
        <v>0</v>
      </c>
      <c r="S221" s="761">
        <f t="shared" si="294"/>
        <v>0</v>
      </c>
      <c r="T221" s="761">
        <f t="shared" si="294"/>
        <v>0</v>
      </c>
      <c r="U221" s="761">
        <f t="shared" si="294"/>
        <v>0</v>
      </c>
      <c r="V221" s="761">
        <f t="shared" si="294"/>
        <v>0</v>
      </c>
      <c r="W221" s="761">
        <f t="shared" si="294"/>
        <v>0</v>
      </c>
      <c r="X221" s="761">
        <f t="shared" si="294"/>
        <v>0</v>
      </c>
      <c r="Y221" s="761">
        <f t="shared" ref="Y221:AH221" si="295">+Y169+Y175+Y180+Y185</f>
        <v>0</v>
      </c>
      <c r="Z221" s="761">
        <f t="shared" si="295"/>
        <v>0</v>
      </c>
      <c r="AA221" s="761">
        <f t="shared" si="295"/>
        <v>0</v>
      </c>
      <c r="AB221" s="761">
        <f t="shared" si="295"/>
        <v>0</v>
      </c>
      <c r="AC221" s="761">
        <f t="shared" si="295"/>
        <v>0</v>
      </c>
      <c r="AD221" s="761">
        <f t="shared" si="295"/>
        <v>0</v>
      </c>
      <c r="AE221" s="761">
        <f t="shared" si="295"/>
        <v>0</v>
      </c>
      <c r="AF221" s="761">
        <f t="shared" si="295"/>
        <v>0</v>
      </c>
      <c r="AG221" s="761">
        <f t="shared" si="295"/>
        <v>0</v>
      </c>
      <c r="AH221" s="761">
        <f t="shared" si="295"/>
        <v>0</v>
      </c>
      <c r="AI221" s="769"/>
      <c r="AJ221" s="745"/>
      <c r="AK221" s="976"/>
      <c r="AL221" s="976"/>
      <c r="AM221" s="976"/>
      <c r="AN221" s="976"/>
      <c r="AO221" s="976"/>
      <c r="AP221" s="976"/>
      <c r="AQ221" s="976"/>
      <c r="AR221" s="976"/>
      <c r="AS221" s="976"/>
      <c r="AT221" s="976"/>
      <c r="AU221" s="976"/>
      <c r="AV221" s="976"/>
    </row>
    <row r="222" spans="1:48" ht="50.1" customHeight="1" thickBot="1">
      <c r="A222" s="2573"/>
      <c r="B222" s="2641" t="s">
        <v>1400</v>
      </c>
      <c r="C222" s="2625"/>
      <c r="D222" s="1095"/>
      <c r="E222" s="1096"/>
      <c r="F222" s="943">
        <f>Dren_Quantificacao!D159</f>
        <v>0</v>
      </c>
      <c r="G222" s="943">
        <f>Dren_Quantificacao!E159</f>
        <v>0</v>
      </c>
      <c r="H222" s="943">
        <f>Dren_Quantificacao!F159</f>
        <v>0</v>
      </c>
      <c r="I222" s="943">
        <f>Dren_Quantificacao!G159</f>
        <v>0</v>
      </c>
      <c r="J222" s="943"/>
      <c r="K222" s="943"/>
      <c r="L222" s="943"/>
      <c r="M222" s="943"/>
      <c r="N222" s="944"/>
      <c r="O222" s="943">
        <f>Dren_Quantificacao!L159</f>
        <v>0</v>
      </c>
      <c r="P222" s="943">
        <f>Dren_Quantificacao!M159</f>
        <v>0</v>
      </c>
      <c r="Q222" s="943">
        <f>Dren_Quantificacao!N159</f>
        <v>0</v>
      </c>
      <c r="R222" s="943">
        <f>Dren_Quantificacao!O159</f>
        <v>0</v>
      </c>
      <c r="S222" s="943">
        <f>Dren_Quantificacao!BD159</f>
        <v>0</v>
      </c>
      <c r="T222" s="943">
        <f>Dren_Quantificacao!BE159</f>
        <v>0</v>
      </c>
      <c r="U222" s="943">
        <f>Dren_Quantificacao!BF159</f>
        <v>0</v>
      </c>
      <c r="V222" s="943">
        <f>Dren_Quantificacao!BG159</f>
        <v>0</v>
      </c>
      <c r="W222" s="943">
        <f>Dren_Quantificacao!BH159</f>
        <v>0</v>
      </c>
      <c r="X222" s="874">
        <f>Dren_Quantificacao!BI159</f>
        <v>0</v>
      </c>
      <c r="Y222" s="874">
        <f>Dren_Quantificacao!BJ159</f>
        <v>0</v>
      </c>
      <c r="Z222" s="874">
        <f>Dren_Quantificacao!BK159</f>
        <v>0</v>
      </c>
      <c r="AA222" s="874">
        <f>Dren_Quantificacao!BL159</f>
        <v>0</v>
      </c>
      <c r="AB222" s="874">
        <f>Dren_Quantificacao!BM159</f>
        <v>0</v>
      </c>
      <c r="AC222" s="874">
        <f>Dren_Quantificacao!BN159</f>
        <v>0</v>
      </c>
      <c r="AD222" s="874">
        <f>Dren_Quantificacao!BO159</f>
        <v>0</v>
      </c>
      <c r="AE222" s="874">
        <f>Dren_Quantificacao!BP159</f>
        <v>0</v>
      </c>
      <c r="AF222" s="874">
        <f>Dren_Quantificacao!BQ159</f>
        <v>0</v>
      </c>
      <c r="AG222" s="874">
        <f>Dren_Quantificacao!BR159</f>
        <v>0</v>
      </c>
      <c r="AH222" s="874">
        <f>Dren_Quantificacao!BS159</f>
        <v>0</v>
      </c>
      <c r="AI222" s="947"/>
      <c r="AJ222" s="794">
        <v>1</v>
      </c>
    </row>
    <row r="223" spans="1:48" ht="19.5" thickTop="1"/>
  </sheetData>
  <autoFilter ref="A1:AJ222" xr:uid="{00000000-0001-0000-1200-000000000000}">
    <filterColumn colId="1" showButton="0"/>
    <filterColumn colId="35">
      <customFilters>
        <customFilter operator="notEqual" val=" "/>
      </customFilters>
    </filterColumn>
  </autoFilter>
  <mergeCells count="43">
    <mergeCell ref="A1:A222"/>
    <mergeCell ref="B1:C1"/>
    <mergeCell ref="B2:C2"/>
    <mergeCell ref="B3:B5"/>
    <mergeCell ref="B6:C6"/>
    <mergeCell ref="B7:C7"/>
    <mergeCell ref="B8:B10"/>
    <mergeCell ref="B11:B27"/>
    <mergeCell ref="B28:C28"/>
    <mergeCell ref="B29:C29"/>
    <mergeCell ref="B97:B103"/>
    <mergeCell ref="B30:C30"/>
    <mergeCell ref="B31:B32"/>
    <mergeCell ref="B33:B39"/>
    <mergeCell ref="B40:B47"/>
    <mergeCell ref="B48:B58"/>
    <mergeCell ref="B59:B69"/>
    <mergeCell ref="B70:B79"/>
    <mergeCell ref="B80:B81"/>
    <mergeCell ref="B82:B86"/>
    <mergeCell ref="B87:B91"/>
    <mergeCell ref="B92:B96"/>
    <mergeCell ref="B176:B180"/>
    <mergeCell ref="B104:B108"/>
    <mergeCell ref="B109:B112"/>
    <mergeCell ref="B113:B117"/>
    <mergeCell ref="B118:B119"/>
    <mergeCell ref="B120:B132"/>
    <mergeCell ref="B133:B143"/>
    <mergeCell ref="B144:B153"/>
    <mergeCell ref="B154:B159"/>
    <mergeCell ref="B160:B163"/>
    <mergeCell ref="B164:B169"/>
    <mergeCell ref="B170:B175"/>
    <mergeCell ref="B201:B211"/>
    <mergeCell ref="B212:B221"/>
    <mergeCell ref="B222:C222"/>
    <mergeCell ref="B181:B185"/>
    <mergeCell ref="B186:B188"/>
    <mergeCell ref="B189:B190"/>
    <mergeCell ref="B191:C191"/>
    <mergeCell ref="B192:B197"/>
    <mergeCell ref="B198:B200"/>
  </mergeCells>
  <conditionalFormatting sqref="D10">
    <cfRule type="cellIs" dxfId="82" priority="2" operator="greaterThan">
      <formula>3</formula>
    </cfRule>
  </conditionalFormatting>
  <conditionalFormatting sqref="D28 F28:AE28">
    <cfRule type="cellIs" dxfId="81" priority="3" operator="equal">
      <formula>"rocha"</formula>
    </cfRule>
  </conditionalFormatting>
  <conditionalFormatting sqref="D29 F29:AE29">
    <cfRule type="expression" dxfId="80" priority="1">
      <formula>D$29=2</formula>
    </cfRule>
  </conditionalFormatting>
  <conditionalFormatting sqref="T10:AE10">
    <cfRule type="cellIs" dxfId="79" priority="4" operator="greaterThan">
      <formula>3</formula>
    </cfRule>
  </conditionalFormatting>
  <hyperlinks>
    <hyperlink ref="B1:C1" location="PAINEL!A1" display="TRECHOS" xr:uid="{E8436BCC-2FAA-46F9-A6D3-8476FA423B69}"/>
  </hyperlinks>
  <pageMargins left="0.39370078740157477" right="0.59055118110236215" top="0.39370078740157477" bottom="0.59055118110236227" header="0.23622047244094491" footer="0.23622047244094491"/>
  <pageSetup paperSize="9" scale="45" fitToWidth="12" orientation="portrait" r:id="rId1"/>
  <headerFooter>
    <oddFooter>&amp;C&amp;8Página &amp;P/&amp;N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6AA1E-C5F1-4B66-B1F8-FBB3CE24D96E}">
  <sheetPr codeName="Planilha27" filterMode="1">
    <tabColor rgb="FF92D050"/>
  </sheetPr>
  <dimension ref="A1:BV187"/>
  <sheetViews>
    <sheetView showZeros="0" topLeftCell="X1" zoomScaleNormal="100" workbookViewId="0">
      <selection sqref="A1:A173"/>
    </sheetView>
  </sheetViews>
  <sheetFormatPr defaultColWidth="9" defaultRowHeight="19.5" customHeight="1"/>
  <cols>
    <col min="1" max="1" width="9.75" style="746" customWidth="1"/>
    <col min="2" max="2" width="14.625" style="786" customWidth="1"/>
    <col min="3" max="3" width="35.625" style="786" customWidth="1"/>
    <col min="4" max="4" width="12" style="748" hidden="1" customWidth="1"/>
    <col min="5" max="5" width="13.5" style="786" hidden="1" customWidth="1"/>
    <col min="6" max="13" width="12.625" style="746" customWidth="1"/>
    <col min="14" max="14" width="2.625" style="746" customWidth="1"/>
    <col min="15" max="35" width="12.625" style="746" customWidth="1"/>
    <col min="36" max="37" width="13.875" style="746" hidden="1" customWidth="1"/>
    <col min="38" max="41" width="10.75" style="1100" hidden="1" customWidth="1"/>
    <col min="42" max="42" width="10.125" style="746" hidden="1" customWidth="1"/>
    <col min="43" max="43" width="13.875" style="746" hidden="1" customWidth="1"/>
    <col min="44" max="47" width="0" style="746" hidden="1" customWidth="1"/>
    <col min="48" max="48" width="9.5" style="746" hidden="1" customWidth="1"/>
    <col min="49" max="50" width="0" style="746" hidden="1" customWidth="1"/>
    <col min="51" max="51" width="9.625" style="746" hidden="1" customWidth="1"/>
    <col min="52" max="52" width="12.75" style="746" hidden="1" customWidth="1"/>
    <col min="53" max="56" width="0" style="746" hidden="1" customWidth="1"/>
    <col min="57" max="57" width="9.5" style="746" hidden="1" customWidth="1"/>
    <col min="58" max="71" width="0" style="746" hidden="1" customWidth="1"/>
    <col min="72" max="72" width="10.125" style="746" bestFit="1" customWidth="1"/>
    <col min="73" max="73" width="9" style="746"/>
    <col min="74" max="74" width="25.75" style="746" customWidth="1"/>
    <col min="75" max="16384" width="9" style="746"/>
  </cols>
  <sheetData>
    <row r="1" spans="1:74" s="739" customFormat="1" ht="60" customHeight="1" thickTop="1" thickBot="1">
      <c r="A1" s="2571" t="s">
        <v>1857</v>
      </c>
      <c r="B1" s="2591" t="s">
        <v>1467</v>
      </c>
      <c r="C1" s="2592"/>
      <c r="D1" s="1098"/>
      <c r="E1" s="1098" t="s">
        <v>1468</v>
      </c>
      <c r="F1" s="671">
        <f>Dren_Quantificacao!D1</f>
        <v>1</v>
      </c>
      <c r="G1" s="671">
        <f>Dren_Quantificacao!E1</f>
        <v>2</v>
      </c>
      <c r="H1" s="671">
        <f>Dren_Quantificacao!F1</f>
        <v>3</v>
      </c>
      <c r="I1" s="671">
        <f>Dren_Quantificacao!G1</f>
        <v>4</v>
      </c>
      <c r="J1" s="671"/>
      <c r="K1" s="671"/>
      <c r="L1" s="671"/>
      <c r="M1" s="671"/>
      <c r="N1" s="875"/>
      <c r="O1" s="671">
        <f>Dren_Quantificacao!L1</f>
        <v>9</v>
      </c>
      <c r="P1" s="671">
        <f>Dren_Quantificacao!M1</f>
        <v>10</v>
      </c>
      <c r="Q1" s="671">
        <f>Dren_Quantificacao!N1</f>
        <v>11</v>
      </c>
      <c r="R1" s="671">
        <f>Dren_Quantificacao!O1</f>
        <v>12</v>
      </c>
      <c r="S1" s="671" t="str">
        <f>Dren_Quantificacao!BD1</f>
        <v>DRENAGEM EXISTENTE</v>
      </c>
      <c r="T1" s="671" t="str">
        <f>Dren_Quantificacao!BE1</f>
        <v>RAMAL CONCRETO Ø 0,40 (m) SOLO baixa inter.</v>
      </c>
      <c r="U1" s="671" t="str">
        <f>Dren_Quantificacao!BF1</f>
        <v>RAMAL CONCRETO Ø 0,40 (m) SOLO alta inter.</v>
      </c>
      <c r="V1" s="671" t="str">
        <f>Dren_Quantificacao!BG1</f>
        <v>RAMAL CONCRETO Ø 0,60 (m) SOLO baixa inter.</v>
      </c>
      <c r="W1" s="671" t="str">
        <f>Dren_Quantificacao!BH1</f>
        <v>RAMAL CONCRETO Ø 0,60 (m) SOLO alta inter.</v>
      </c>
      <c r="X1" s="671" t="str">
        <f>Dren_Quantificacao!BI1</f>
        <v>RAMAL CONCRETO Ø 0,40 (m) ROCHA</v>
      </c>
      <c r="Y1" s="671" t="str">
        <f>+Dren_Quantificacao!BJ1</f>
        <v>RAMAL CONCRETO Ø 0,60 (m) ROCHA</v>
      </c>
      <c r="Z1" s="671" t="str">
        <f>+Dren_Quantificacao!BK1</f>
        <v>RAMAL PEAD Ø 0,40 (m) SOLO baixa inter.</v>
      </c>
      <c r="AA1" s="671" t="str">
        <f>+Dren_Quantificacao!BL1</f>
        <v>RAMAL PEAD Ø 0,40 (m) SOLO alta inter.</v>
      </c>
      <c r="AB1" s="671" t="str">
        <f>+Dren_Quantificacao!BM1</f>
        <v>RAMAL PEAD Ø 0,50 (m) SOLO baixa inter.</v>
      </c>
      <c r="AC1" s="671" t="str">
        <f>+Dren_Quantificacao!BN1</f>
        <v>RAMAL PEAD Ø 0,50 (m) SOLO alta inter.</v>
      </c>
      <c r="AD1" s="671" t="str">
        <f>+Dren_Quantificacao!BO1</f>
        <v>RAMAL PEAD Ø 0,40 (m) ROCHA</v>
      </c>
      <c r="AE1" s="671" t="str">
        <f>+Dren_Quantificacao!BP1</f>
        <v>RAMAL PEAD Ø 0,50 (m) ROCHA</v>
      </c>
      <c r="AF1" s="671" t="s">
        <v>1536</v>
      </c>
      <c r="AG1" s="671" t="s">
        <v>1536</v>
      </c>
      <c r="AH1" s="671" t="s">
        <v>1536</v>
      </c>
      <c r="AI1" s="876"/>
      <c r="AJ1" s="738" t="s">
        <v>1708</v>
      </c>
      <c r="AK1" s="739">
        <f>SUBTOTAL(3,AJ:AJ)</f>
        <v>23</v>
      </c>
      <c r="AL1" s="194" t="s">
        <v>1858</v>
      </c>
      <c r="AM1" s="1099" t="str">
        <f>IF(AL2=AM2,"OK","Erro")</f>
        <v>Erro</v>
      </c>
      <c r="AN1" s="1100"/>
      <c r="AO1" s="1100"/>
      <c r="AP1" s="714"/>
      <c r="AQ1" s="714"/>
      <c r="AR1" s="714"/>
      <c r="AS1" s="714"/>
      <c r="AT1" s="714"/>
      <c r="AU1" s="714"/>
      <c r="AV1" s="714"/>
      <c r="AW1" s="714"/>
      <c r="AX1" s="714"/>
      <c r="AY1" s="714"/>
      <c r="AZ1" s="714"/>
      <c r="BA1" s="714"/>
      <c r="BB1" s="714"/>
      <c r="BC1" s="714"/>
      <c r="BD1" s="714"/>
      <c r="BE1" s="714"/>
      <c r="BF1" s="714"/>
      <c r="BG1" s="714"/>
      <c r="BH1" s="714"/>
      <c r="BI1" s="714"/>
      <c r="BJ1" s="714"/>
      <c r="BK1" s="714"/>
      <c r="BL1" s="714"/>
      <c r="BM1" s="714"/>
      <c r="BN1" s="714"/>
      <c r="BO1" s="714"/>
      <c r="BP1" s="714"/>
      <c r="BQ1" s="714"/>
      <c r="BR1" s="714"/>
      <c r="BS1" s="714"/>
    </row>
    <row r="2" spans="1:74" ht="21.95" customHeight="1" thickTop="1" thickBot="1">
      <c r="A2" s="2695"/>
      <c r="B2" s="2626" t="s">
        <v>1539</v>
      </c>
      <c r="C2" s="2627"/>
      <c r="D2" s="1101"/>
      <c r="E2" s="1102"/>
      <c r="F2" s="1103">
        <f>Dren_Quantificacao!D4</f>
        <v>30</v>
      </c>
      <c r="G2" s="1103">
        <f>Dren_Quantificacao!E4</f>
        <v>50</v>
      </c>
      <c r="H2" s="1103">
        <f>Dren_Quantificacao!F4</f>
        <v>25</v>
      </c>
      <c r="I2" s="1103">
        <f>Dren_Quantificacao!G4</f>
        <v>45</v>
      </c>
      <c r="J2" s="1103"/>
      <c r="K2" s="1103"/>
      <c r="L2" s="1103"/>
      <c r="M2" s="1103"/>
      <c r="N2" s="1104"/>
      <c r="O2" s="1103">
        <f>Dren_Quantificacao!L4</f>
        <v>40</v>
      </c>
      <c r="P2" s="1103">
        <f>Dren_Quantificacao!M4</f>
        <v>25</v>
      </c>
      <c r="Q2" s="1103">
        <f>Dren_Quantificacao!N4</f>
        <v>45</v>
      </c>
      <c r="R2" s="1103">
        <f>Dren_Quantificacao!O4</f>
        <v>45</v>
      </c>
      <c r="S2" s="1103">
        <f>Dren_Quantificacao!BD4</f>
        <v>0</v>
      </c>
      <c r="T2" s="1103">
        <f>Dren_Quantificacao!BE4</f>
        <v>0</v>
      </c>
      <c r="U2" s="1103">
        <f>Dren_Quantificacao!BF4</f>
        <v>0</v>
      </c>
      <c r="V2" s="1103">
        <f>Dren_Quantificacao!BG4</f>
        <v>0</v>
      </c>
      <c r="W2" s="1103">
        <f>Dren_Quantificacao!BH4</f>
        <v>0</v>
      </c>
      <c r="X2" s="1103">
        <f>Dren_Quantificacao!BI4</f>
        <v>0</v>
      </c>
      <c r="Y2" s="1103">
        <f>+Dren_Quantificacao!BJ4</f>
        <v>0</v>
      </c>
      <c r="Z2" s="1103">
        <f>+Dren_Quantificacao!BK4</f>
        <v>0</v>
      </c>
      <c r="AA2" s="1103">
        <f>+Dren_Quantificacao!BL4</f>
        <v>0</v>
      </c>
      <c r="AB2" s="1103">
        <f>+Dren_Quantificacao!BM4</f>
        <v>0</v>
      </c>
      <c r="AC2" s="1103">
        <f>+Dren_Quantificacao!BN4</f>
        <v>0</v>
      </c>
      <c r="AD2" s="1103">
        <f>+Dren_Quantificacao!BO4</f>
        <v>0</v>
      </c>
      <c r="AE2" s="1103">
        <f>+Dren_Quantificacao!BP4</f>
        <v>0</v>
      </c>
      <c r="AF2" s="1103">
        <f>+Dren_Quantificacao!BQ114</f>
        <v>0</v>
      </c>
      <c r="AG2" s="1103">
        <f>+Dren_Quantificacao!BR114</f>
        <v>0</v>
      </c>
      <c r="AH2" s="1103">
        <f>+Dren_Quantificacao!BS114</f>
        <v>0</v>
      </c>
      <c r="AI2" s="1105"/>
      <c r="AJ2" s="745">
        <f t="shared" ref="AJ2:AJ33" si="0">SUM(F2:AI2)</f>
        <v>305</v>
      </c>
      <c r="AK2" s="745"/>
      <c r="AL2" s="1106">
        <f>SUMPRODUCT(F2:AE2,F3:AE3)</f>
        <v>305</v>
      </c>
      <c r="AM2" s="1106">
        <f>SUM(AI10:AI59)</f>
        <v>0</v>
      </c>
      <c r="BL2" s="1107"/>
      <c r="BN2" s="1107"/>
      <c r="BO2" s="1107"/>
      <c r="BP2" s="1107"/>
    </row>
    <row r="3" spans="1:74" s="714" customFormat="1" ht="21.95" customHeight="1">
      <c r="A3" s="2695"/>
      <c r="B3" s="2584" t="s">
        <v>1540</v>
      </c>
      <c r="C3" s="882" t="s">
        <v>1541</v>
      </c>
      <c r="D3" s="1108"/>
      <c r="E3" s="1109"/>
      <c r="F3" s="772">
        <f>Dren_Quantificacao!D5</f>
        <v>1</v>
      </c>
      <c r="G3" s="772">
        <f>Dren_Quantificacao!E5</f>
        <v>1</v>
      </c>
      <c r="H3" s="772">
        <f>Dren_Quantificacao!F5</f>
        <v>1</v>
      </c>
      <c r="I3" s="772">
        <f>Dren_Quantificacao!G5</f>
        <v>1</v>
      </c>
      <c r="J3" s="772"/>
      <c r="K3" s="772"/>
      <c r="L3" s="772"/>
      <c r="M3" s="772"/>
      <c r="N3" s="885"/>
      <c r="O3" s="772">
        <f>Dren_Quantificacao!L5</f>
        <v>1</v>
      </c>
      <c r="P3" s="772">
        <f>Dren_Quantificacao!M5</f>
        <v>1</v>
      </c>
      <c r="Q3" s="772">
        <f>Dren_Quantificacao!N5</f>
        <v>1</v>
      </c>
      <c r="R3" s="772">
        <f>Dren_Quantificacao!O5</f>
        <v>1</v>
      </c>
      <c r="S3" s="772">
        <f>Dren_Quantificacao!BD5</f>
        <v>0</v>
      </c>
      <c r="T3" s="772">
        <f>Dren_Quantificacao!BE5</f>
        <v>1</v>
      </c>
      <c r="U3" s="772">
        <f>Dren_Quantificacao!BF5</f>
        <v>1</v>
      </c>
      <c r="V3" s="772">
        <f>Dren_Quantificacao!BG5</f>
        <v>1</v>
      </c>
      <c r="W3" s="772">
        <f>Dren_Quantificacao!BH5</f>
        <v>1</v>
      </c>
      <c r="X3" s="772">
        <f>Dren_Quantificacao!BI5</f>
        <v>1</v>
      </c>
      <c r="Y3" s="772">
        <f>+Dren_Quantificacao!BJ5</f>
        <v>1</v>
      </c>
      <c r="Z3" s="772">
        <f>+Dren_Quantificacao!BK5</f>
        <v>1</v>
      </c>
      <c r="AA3" s="772">
        <f>+Dren_Quantificacao!BL5</f>
        <v>1</v>
      </c>
      <c r="AB3" s="772">
        <f>+Dren_Quantificacao!BM5</f>
        <v>1</v>
      </c>
      <c r="AC3" s="772">
        <f>+Dren_Quantificacao!BN5</f>
        <v>1</v>
      </c>
      <c r="AD3" s="772">
        <f>+Dren_Quantificacao!BO5</f>
        <v>1</v>
      </c>
      <c r="AE3" s="772">
        <f>+Dren_Quantificacao!BP5</f>
        <v>1</v>
      </c>
      <c r="AF3" s="958"/>
      <c r="AG3" s="958"/>
      <c r="AH3" s="958"/>
      <c r="AI3" s="959"/>
      <c r="AJ3" s="745">
        <f t="shared" si="0"/>
        <v>20</v>
      </c>
      <c r="AK3" s="745"/>
      <c r="AL3" s="1100"/>
      <c r="AM3" s="1100"/>
      <c r="AN3" s="1100"/>
      <c r="AO3" s="1100"/>
      <c r="AP3" s="746"/>
      <c r="AQ3" s="746"/>
      <c r="AR3" s="746"/>
      <c r="AS3" s="746"/>
      <c r="AT3" s="746"/>
      <c r="AU3" s="746"/>
      <c r="AV3" s="746"/>
      <c r="AW3" s="746"/>
      <c r="AX3" s="746"/>
      <c r="AY3" s="746"/>
      <c r="AZ3" s="746"/>
      <c r="BA3" s="746"/>
      <c r="BB3" s="746"/>
      <c r="BC3" s="746"/>
      <c r="BD3" s="746"/>
      <c r="BE3" s="746"/>
      <c r="BF3" s="746"/>
      <c r="BG3" s="746"/>
      <c r="BH3" s="746"/>
      <c r="BI3" s="746"/>
      <c r="BJ3" s="746"/>
      <c r="BK3" s="746"/>
      <c r="BL3" s="1110"/>
      <c r="BM3" s="746"/>
      <c r="BN3" s="1110"/>
      <c r="BO3" s="1110"/>
      <c r="BP3" s="1110"/>
      <c r="BR3" s="746"/>
      <c r="BS3" s="746"/>
      <c r="BV3" s="746"/>
    </row>
    <row r="4" spans="1:74" ht="21.95" customHeight="1" thickBot="1">
      <c r="A4" s="2695"/>
      <c r="B4" s="2585"/>
      <c r="C4" s="747" t="s">
        <v>1542</v>
      </c>
      <c r="D4" s="1111"/>
      <c r="E4" s="1112"/>
      <c r="F4" s="834">
        <f>Dren_Quantificacao!D6</f>
        <v>0.6</v>
      </c>
      <c r="G4" s="834">
        <f>Dren_Quantificacao!E6</f>
        <v>0.6</v>
      </c>
      <c r="H4" s="834">
        <f>Dren_Quantificacao!F6</f>
        <v>0.6</v>
      </c>
      <c r="I4" s="834">
        <f>Dren_Quantificacao!G6</f>
        <v>0.6</v>
      </c>
      <c r="J4" s="834"/>
      <c r="K4" s="834"/>
      <c r="L4" s="834"/>
      <c r="M4" s="834"/>
      <c r="N4" s="888"/>
      <c r="O4" s="834">
        <f>Dren_Quantificacao!L6</f>
        <v>0.6</v>
      </c>
      <c r="P4" s="834">
        <f>Dren_Quantificacao!M6</f>
        <v>0.6</v>
      </c>
      <c r="Q4" s="834">
        <f>Dren_Quantificacao!N6</f>
        <v>0.6</v>
      </c>
      <c r="R4" s="834">
        <f>Dren_Quantificacao!O6</f>
        <v>0.6</v>
      </c>
      <c r="S4" s="834">
        <f>Dren_Quantificacao!BD6</f>
        <v>0</v>
      </c>
      <c r="T4" s="834">
        <f>Dren_Quantificacao!BE6</f>
        <v>0.4</v>
      </c>
      <c r="U4" s="834">
        <f>Dren_Quantificacao!BF6</f>
        <v>0.4</v>
      </c>
      <c r="V4" s="834">
        <f>Dren_Quantificacao!BG6</f>
        <v>0.6</v>
      </c>
      <c r="W4" s="834">
        <f>Dren_Quantificacao!BH6</f>
        <v>0.6</v>
      </c>
      <c r="X4" s="834">
        <f>Dren_Quantificacao!BI6</f>
        <v>0.4</v>
      </c>
      <c r="Y4" s="834">
        <f>+Dren_Quantificacao!BJ6</f>
        <v>0.6</v>
      </c>
      <c r="Z4" s="834">
        <f>+Dren_Quantificacao!BK6</f>
        <v>0.4</v>
      </c>
      <c r="AA4" s="834">
        <f>+Dren_Quantificacao!BL6</f>
        <v>0.4</v>
      </c>
      <c r="AB4" s="834">
        <f>+Dren_Quantificacao!BM6</f>
        <v>0.5</v>
      </c>
      <c r="AC4" s="834">
        <f>+Dren_Quantificacao!BN6</f>
        <v>0.5</v>
      </c>
      <c r="AD4" s="834">
        <f>+Dren_Quantificacao!BO6</f>
        <v>0.4</v>
      </c>
      <c r="AE4" s="834">
        <f>+Dren_Quantificacao!BP6</f>
        <v>0.5</v>
      </c>
      <c r="AF4" s="816"/>
      <c r="AG4" s="816"/>
      <c r="AH4" s="816"/>
      <c r="AI4" s="962"/>
      <c r="AJ4" s="745">
        <f t="shared" si="0"/>
        <v>10.5</v>
      </c>
      <c r="AK4" s="745"/>
      <c r="AO4" s="746"/>
    </row>
    <row r="5" spans="1:74" ht="21.95" hidden="1" customHeight="1" thickBot="1">
      <c r="A5" s="2695"/>
      <c r="B5" s="2586"/>
      <c r="C5" s="754" t="s">
        <v>1709</v>
      </c>
      <c r="D5" s="1113"/>
      <c r="E5" s="1114"/>
      <c r="F5" s="890" t="str">
        <f>Dren_Quantificacao!D10</f>
        <v>PS-1</v>
      </c>
      <c r="G5" s="890" t="str">
        <f>Dren_Quantificacao!E10</f>
        <v>PS-1</v>
      </c>
      <c r="H5" s="890" t="str">
        <f>Dren_Quantificacao!F10</f>
        <v>PS-1</v>
      </c>
      <c r="I5" s="890" t="str">
        <f>Dren_Quantificacao!G10</f>
        <v>PS-1</v>
      </c>
      <c r="J5" s="890"/>
      <c r="K5" s="890"/>
      <c r="L5" s="890"/>
      <c r="M5" s="890"/>
      <c r="N5" s="964"/>
      <c r="O5" s="890" t="str">
        <f>Dren_Quantificacao!L10</f>
        <v>PS-1</v>
      </c>
      <c r="P5" s="890" t="str">
        <f>Dren_Quantificacao!M10</f>
        <v>PS-1</v>
      </c>
      <c r="Q5" s="890" t="str">
        <f>Dren_Quantificacao!N10</f>
        <v>PS-1</v>
      </c>
      <c r="R5" s="890" t="str">
        <f>Dren_Quantificacao!O10</f>
        <v>PS-1</v>
      </c>
      <c r="S5" s="890">
        <f>Dren_Quantificacao!BD10</f>
        <v>0</v>
      </c>
      <c r="T5" s="890" t="str">
        <f>Dren_Quantificacao!BE10</f>
        <v>PS-1</v>
      </c>
      <c r="U5" s="890" t="str">
        <f>Dren_Quantificacao!BF10</f>
        <v>PS-1</v>
      </c>
      <c r="V5" s="890" t="str">
        <f>Dren_Quantificacao!BG10</f>
        <v>PS-1</v>
      </c>
      <c r="W5" s="890" t="str">
        <f>Dren_Quantificacao!BH10</f>
        <v>PS-1</v>
      </c>
      <c r="X5" s="890" t="str">
        <f>Dren_Quantificacao!BI10</f>
        <v>PS-1</v>
      </c>
      <c r="Y5" s="890" t="str">
        <f>+Dren_Quantificacao!BJ10</f>
        <v>PS-1</v>
      </c>
      <c r="Z5" s="890" t="str">
        <f>+Dren_Quantificacao!BK10</f>
        <v>PEAD</v>
      </c>
      <c r="AA5" s="890" t="str">
        <f>+Dren_Quantificacao!BL10</f>
        <v>PEAD</v>
      </c>
      <c r="AB5" s="890" t="str">
        <f>+Dren_Quantificacao!BM10</f>
        <v>PEAD</v>
      </c>
      <c r="AC5" s="890" t="str">
        <f>+Dren_Quantificacao!BN10</f>
        <v>PEAD</v>
      </c>
      <c r="AD5" s="890" t="str">
        <f>+Dren_Quantificacao!BO10</f>
        <v>PEAD</v>
      </c>
      <c r="AE5" s="890" t="str">
        <f>+Dren_Quantificacao!BP10</f>
        <v>PEAD</v>
      </c>
      <c r="AF5" s="965"/>
      <c r="AG5" s="965"/>
      <c r="AH5" s="965"/>
      <c r="AI5" s="966"/>
      <c r="AJ5" s="745">
        <f t="shared" si="0"/>
        <v>0</v>
      </c>
      <c r="AK5" s="745"/>
      <c r="AL5" s="2690" t="s">
        <v>1859</v>
      </c>
      <c r="AM5" s="2691"/>
      <c r="AN5" s="2691"/>
      <c r="AO5" s="2691"/>
      <c r="AP5" s="2691"/>
      <c r="AQ5" s="2691"/>
      <c r="AR5" s="2691"/>
      <c r="AS5" s="2691"/>
      <c r="AT5" s="2692"/>
      <c r="AU5" s="2690" t="s">
        <v>1860</v>
      </c>
      <c r="AV5" s="2691"/>
      <c r="AW5" s="2691"/>
      <c r="AX5" s="2691"/>
      <c r="AY5" s="2691"/>
      <c r="AZ5" s="2691"/>
      <c r="BA5" s="2691"/>
      <c r="BB5" s="2691"/>
      <c r="BC5" s="2692"/>
      <c r="BD5" s="2690" t="s">
        <v>1861</v>
      </c>
      <c r="BE5" s="2691"/>
      <c r="BF5" s="2691"/>
      <c r="BG5" s="2691"/>
      <c r="BH5" s="2691"/>
      <c r="BI5" s="2691"/>
      <c r="BJ5" s="2692"/>
      <c r="BK5" s="2687" t="s">
        <v>1862</v>
      </c>
      <c r="BL5" s="2690" t="s">
        <v>1863</v>
      </c>
      <c r="BM5" s="2691"/>
      <c r="BN5" s="2691"/>
      <c r="BO5" s="2691"/>
      <c r="BP5" s="2691"/>
      <c r="BQ5" s="2692"/>
      <c r="BR5" s="2687" t="s">
        <v>1864</v>
      </c>
      <c r="BS5" s="2687" t="s">
        <v>1865</v>
      </c>
    </row>
    <row r="6" spans="1:74" ht="21.95" hidden="1" customHeight="1">
      <c r="A6" s="2695"/>
      <c r="B6" s="2675" t="s">
        <v>1710</v>
      </c>
      <c r="C6" s="2693"/>
      <c r="D6" s="1115"/>
      <c r="E6" s="1116"/>
      <c r="F6" s="1117">
        <f>Dren_Quantificacao!D8</f>
        <v>0</v>
      </c>
      <c r="G6" s="1117">
        <f>Dren_Quantificacao!E8</f>
        <v>0</v>
      </c>
      <c r="H6" s="1117">
        <f>Dren_Quantificacao!F8</f>
        <v>0</v>
      </c>
      <c r="I6" s="1117">
        <f>Dren_Quantificacao!G8</f>
        <v>0</v>
      </c>
      <c r="J6" s="1117"/>
      <c r="K6" s="1117"/>
      <c r="L6" s="1117"/>
      <c r="M6" s="1117"/>
      <c r="N6" s="1118"/>
      <c r="O6" s="1117">
        <f>Dren_Quantificacao!L8</f>
        <v>0</v>
      </c>
      <c r="P6" s="1117">
        <f>Dren_Quantificacao!M8</f>
        <v>0</v>
      </c>
      <c r="Q6" s="1117">
        <f>Dren_Quantificacao!N8</f>
        <v>0</v>
      </c>
      <c r="R6" s="1117">
        <f>Dren_Quantificacao!O8</f>
        <v>0</v>
      </c>
      <c r="S6" s="1117">
        <f>Dren_Quantificacao!BD8</f>
        <v>0</v>
      </c>
      <c r="T6" s="1117">
        <f>Dren_Quantificacao!BE8</f>
        <v>0</v>
      </c>
      <c r="U6" s="1117">
        <f>Dren_Quantificacao!BF8</f>
        <v>0</v>
      </c>
      <c r="V6" s="1117">
        <f>Dren_Quantificacao!BG8</f>
        <v>0</v>
      </c>
      <c r="W6" s="1117">
        <f>Dren_Quantificacao!BH8</f>
        <v>0</v>
      </c>
      <c r="X6" s="1117">
        <f>Dren_Quantificacao!BI8</f>
        <v>0</v>
      </c>
      <c r="Y6" s="1117">
        <f>Dren_Quantificacao!BJ8</f>
        <v>0</v>
      </c>
      <c r="Z6" s="1117">
        <f>Dren_Quantificacao!BK8</f>
        <v>0</v>
      </c>
      <c r="AA6" s="1117">
        <f>Dren_Quantificacao!BL8</f>
        <v>0</v>
      </c>
      <c r="AB6" s="1117">
        <f>Dren_Quantificacao!BM8</f>
        <v>0</v>
      </c>
      <c r="AC6" s="1117">
        <f>Dren_Quantificacao!BN8</f>
        <v>0</v>
      </c>
      <c r="AD6" s="1117">
        <f>Dren_Quantificacao!BO8</f>
        <v>0</v>
      </c>
      <c r="AE6" s="1117">
        <f>Dren_Quantificacao!BP8</f>
        <v>0</v>
      </c>
      <c r="AF6" s="1119"/>
      <c r="AG6" s="1119"/>
      <c r="AH6" s="1119"/>
      <c r="AI6" s="1120"/>
      <c r="AJ6" s="745">
        <f t="shared" si="0"/>
        <v>0</v>
      </c>
      <c r="AK6" s="745"/>
      <c r="AL6" s="1121" t="s">
        <v>1866</v>
      </c>
      <c r="AM6" s="1121" t="s">
        <v>1867</v>
      </c>
      <c r="AN6" s="1121" t="s">
        <v>1868</v>
      </c>
      <c r="AO6" s="1121" t="s">
        <v>1869</v>
      </c>
      <c r="AP6" s="1121" t="s">
        <v>1870</v>
      </c>
      <c r="AQ6" s="1121" t="s">
        <v>1871</v>
      </c>
      <c r="AR6" s="1121" t="s">
        <v>1872</v>
      </c>
      <c r="AS6" s="1121" t="s">
        <v>1873</v>
      </c>
      <c r="AT6" s="1121" t="s">
        <v>1874</v>
      </c>
      <c r="AU6" s="1121" t="s">
        <v>1866</v>
      </c>
      <c r="AV6" s="1121" t="s">
        <v>1867</v>
      </c>
      <c r="AW6" s="1121" t="s">
        <v>1868</v>
      </c>
      <c r="AX6" s="1121" t="s">
        <v>1869</v>
      </c>
      <c r="AY6" s="1121" t="s">
        <v>1870</v>
      </c>
      <c r="AZ6" s="1121" t="s">
        <v>1871</v>
      </c>
      <c r="BA6" s="1121" t="s">
        <v>1872</v>
      </c>
      <c r="BB6" s="1121" t="s">
        <v>1873</v>
      </c>
      <c r="BC6" s="1121" t="s">
        <v>1874</v>
      </c>
      <c r="BD6" s="1121" t="s">
        <v>1875</v>
      </c>
      <c r="BE6" s="1121" t="s">
        <v>1867</v>
      </c>
      <c r="BF6" s="1121" t="s">
        <v>1868</v>
      </c>
      <c r="BG6" s="1121" t="s">
        <v>1869</v>
      </c>
      <c r="BH6" s="1121" t="s">
        <v>1870</v>
      </c>
      <c r="BI6" s="1121" t="s">
        <v>1874</v>
      </c>
      <c r="BJ6" s="1121" t="s">
        <v>1876</v>
      </c>
      <c r="BK6" s="2688"/>
      <c r="BL6" s="1122" t="s">
        <v>1877</v>
      </c>
      <c r="BM6" s="1122" t="s">
        <v>1878</v>
      </c>
      <c r="BN6" s="1122" t="s">
        <v>1879</v>
      </c>
      <c r="BO6" s="1122" t="s">
        <v>1880</v>
      </c>
      <c r="BP6" s="1122" t="s">
        <v>1881</v>
      </c>
      <c r="BQ6" s="1122" t="s">
        <v>1882</v>
      </c>
      <c r="BR6" s="2688"/>
      <c r="BS6" s="2688"/>
    </row>
    <row r="7" spans="1:74" ht="21.95" hidden="1" customHeight="1" thickBot="1">
      <c r="A7" s="2695"/>
      <c r="B7" s="2678" t="s">
        <v>1711</v>
      </c>
      <c r="C7" s="2694"/>
      <c r="D7" s="1123"/>
      <c r="E7" s="1124"/>
      <c r="F7" s="891">
        <f>Dren_Quantificacao!D9</f>
        <v>0</v>
      </c>
      <c r="G7" s="891">
        <f>Dren_Quantificacao!E9</f>
        <v>0</v>
      </c>
      <c r="H7" s="891">
        <f>Dren_Quantificacao!F9</f>
        <v>0</v>
      </c>
      <c r="I7" s="891">
        <f>Dren_Quantificacao!G9</f>
        <v>0</v>
      </c>
      <c r="J7" s="891"/>
      <c r="K7" s="891"/>
      <c r="L7" s="891"/>
      <c r="M7" s="891"/>
      <c r="N7" s="892"/>
      <c r="O7" s="891">
        <f>Dren_Quantificacao!L9</f>
        <v>0</v>
      </c>
      <c r="P7" s="891">
        <f>Dren_Quantificacao!M9</f>
        <v>0</v>
      </c>
      <c r="Q7" s="891">
        <f>Dren_Quantificacao!N9</f>
        <v>0</v>
      </c>
      <c r="R7" s="891">
        <f>Dren_Quantificacao!O9</f>
        <v>0</v>
      </c>
      <c r="S7" s="891">
        <f>Dren_Quantificacao!BD9</f>
        <v>0</v>
      </c>
      <c r="T7" s="891">
        <f>Dren_Quantificacao!BE9</f>
        <v>0</v>
      </c>
      <c r="U7" s="891">
        <f>Dren_Quantificacao!BF9</f>
        <v>0</v>
      </c>
      <c r="V7" s="891">
        <f>Dren_Quantificacao!BG9</f>
        <v>0</v>
      </c>
      <c r="W7" s="891">
        <f>Dren_Quantificacao!BH9</f>
        <v>0</v>
      </c>
      <c r="X7" s="891">
        <f>Dren_Quantificacao!BI9</f>
        <v>0</v>
      </c>
      <c r="Y7" s="891">
        <f>+Dren_Quantificacao!BJ9</f>
        <v>0</v>
      </c>
      <c r="Z7" s="891">
        <f>+Dren_Quantificacao!BK9</f>
        <v>0</v>
      </c>
      <c r="AA7" s="891">
        <f>+Dren_Quantificacao!BL9</f>
        <v>0</v>
      </c>
      <c r="AB7" s="891">
        <f>+Dren_Quantificacao!BM9</f>
        <v>0</v>
      </c>
      <c r="AC7" s="891">
        <f>+Dren_Quantificacao!BN9</f>
        <v>0</v>
      </c>
      <c r="AD7" s="891">
        <f>+Dren_Quantificacao!BO9</f>
        <v>0</v>
      </c>
      <c r="AE7" s="891">
        <f>+Dren_Quantificacao!BP9</f>
        <v>0</v>
      </c>
      <c r="AF7" s="968"/>
      <c r="AG7" s="968"/>
      <c r="AH7" s="968"/>
      <c r="AI7" s="969"/>
      <c r="AJ7" s="745">
        <f t="shared" si="0"/>
        <v>0</v>
      </c>
      <c r="AK7" s="745"/>
      <c r="AL7" s="1125">
        <v>94968</v>
      </c>
      <c r="AM7" s="1125">
        <v>90279</v>
      </c>
      <c r="AN7" s="1125">
        <v>94963</v>
      </c>
      <c r="AO7" s="1125">
        <v>94964</v>
      </c>
      <c r="AP7" s="1125">
        <v>94965</v>
      </c>
      <c r="AQ7" s="1125">
        <v>100475</v>
      </c>
      <c r="AR7" s="1125">
        <v>88631</v>
      </c>
      <c r="AS7" s="1125">
        <v>87878</v>
      </c>
      <c r="AT7" s="1125">
        <v>73361</v>
      </c>
      <c r="AU7" s="1125">
        <v>94968</v>
      </c>
      <c r="AV7" s="1125">
        <v>90279</v>
      </c>
      <c r="AW7" s="1125">
        <v>94963</v>
      </c>
      <c r="AX7" s="1125">
        <v>94964</v>
      </c>
      <c r="AY7" s="1125">
        <v>94965</v>
      </c>
      <c r="AZ7" s="1125">
        <v>100475</v>
      </c>
      <c r="BA7" s="1125">
        <v>88631</v>
      </c>
      <c r="BB7" s="1125">
        <v>87878</v>
      </c>
      <c r="BC7" s="1125">
        <v>73361</v>
      </c>
      <c r="BD7" s="1125">
        <v>94968</v>
      </c>
      <c r="BE7" s="1125">
        <v>90279</v>
      </c>
      <c r="BF7" s="1125">
        <v>94963</v>
      </c>
      <c r="BG7" s="1125">
        <v>94964</v>
      </c>
      <c r="BH7" s="1125">
        <v>94965</v>
      </c>
      <c r="BI7" s="1125">
        <v>87878</v>
      </c>
      <c r="BJ7" s="1125">
        <v>100324</v>
      </c>
      <c r="BK7" s="2688"/>
      <c r="BL7" s="1125">
        <v>92411</v>
      </c>
      <c r="BM7" s="1125">
        <v>96536</v>
      </c>
      <c r="BN7" s="1125">
        <v>92431</v>
      </c>
      <c r="BO7" s="1125">
        <v>92517</v>
      </c>
      <c r="BP7" s="1125">
        <v>92415</v>
      </c>
      <c r="BQ7" s="1125">
        <v>73301</v>
      </c>
      <c r="BR7" s="2688"/>
      <c r="BS7" s="2688"/>
    </row>
    <row r="8" spans="1:74" ht="21.95" customHeight="1" thickBot="1">
      <c r="A8" s="2695"/>
      <c r="B8" s="2596" t="s">
        <v>1551</v>
      </c>
      <c r="C8" s="2597"/>
      <c r="D8" s="1126"/>
      <c r="E8" s="1127"/>
      <c r="F8" s="788">
        <f>MAX(Dre_Terraplenagem!F8:F9)-F4-F7</f>
        <v>1.5100000000000136</v>
      </c>
      <c r="G8" s="788">
        <f>MAX(Dre_Terraplenagem!G8:G9)-G4-G7</f>
        <v>1.5100000000000136</v>
      </c>
      <c r="H8" s="788">
        <f>MAX(Dre_Terraplenagem!H8:H9)-H4-H7</f>
        <v>1.5000000000000226</v>
      </c>
      <c r="I8" s="788">
        <f>MAX(Dre_Terraplenagem!I8:I9)-I4-I7</f>
        <v>1.5100000000000136</v>
      </c>
      <c r="J8" s="788"/>
      <c r="K8" s="788"/>
      <c r="L8" s="788"/>
      <c r="M8" s="788"/>
      <c r="N8" s="1093"/>
      <c r="O8" s="788">
        <f>MAX(Dre_Terraplenagem!O8:O9)-O4-O7</f>
        <v>1.5000000000000795</v>
      </c>
      <c r="P8" s="788">
        <f>MAX(Dre_Terraplenagem!P8:P9)-P4-P7</f>
        <v>1.5000000000000795</v>
      </c>
      <c r="Q8" s="788">
        <f>MAX(Dre_Terraplenagem!Q8:Q9)-Q4-Q7</f>
        <v>1.5050000000000181</v>
      </c>
      <c r="R8" s="788">
        <f>MAX(Dre_Terraplenagem!R8:R9)-R4-R7</f>
        <v>1.5050000000000181</v>
      </c>
      <c r="S8" s="788">
        <f>MAX(Dre_Terraplenagem!S8:S9)-S4-S7</f>
        <v>0</v>
      </c>
      <c r="T8" s="788">
        <f>Dren_Quantificacao!BE13</f>
        <v>0.85</v>
      </c>
      <c r="U8" s="788">
        <f>Dren_Quantificacao!BF13</f>
        <v>0.85</v>
      </c>
      <c r="V8" s="788">
        <f>Dren_Quantificacao!BG13</f>
        <v>0.79999999999999993</v>
      </c>
      <c r="W8" s="788">
        <f>Dren_Quantificacao!BH13</f>
        <v>0.79999999999999993</v>
      </c>
      <c r="X8" s="788">
        <f>Dren_Quantificacao!BI13</f>
        <v>0.85</v>
      </c>
      <c r="Y8" s="788">
        <f>+Dren_Quantificacao!BJ13</f>
        <v>0.79999999999999993</v>
      </c>
      <c r="Z8" s="788">
        <f>+Dren_Quantificacao!BK13</f>
        <v>0.85</v>
      </c>
      <c r="AA8" s="788">
        <f>+Dren_Quantificacao!BL13</f>
        <v>0.85</v>
      </c>
      <c r="AB8" s="788">
        <f>+Dren_Quantificacao!BM13</f>
        <v>0.89999999999999991</v>
      </c>
      <c r="AC8" s="788">
        <f>+Dren_Quantificacao!BN13</f>
        <v>0.89999999999999991</v>
      </c>
      <c r="AD8" s="788">
        <f>+Dren_Quantificacao!BO13</f>
        <v>0.85</v>
      </c>
      <c r="AE8" s="788">
        <f>+Dren_Quantificacao!BP13</f>
        <v>0.89999999999999991</v>
      </c>
      <c r="AF8" s="1128"/>
      <c r="AG8" s="1128"/>
      <c r="AH8" s="1128"/>
      <c r="AI8" s="1129"/>
      <c r="AJ8" s="745">
        <f t="shared" si="0"/>
        <v>22.240000000000261</v>
      </c>
      <c r="AK8" s="745"/>
      <c r="AL8" s="1130">
        <v>213.45</v>
      </c>
      <c r="AM8" s="1130">
        <v>420.15269999999998</v>
      </c>
      <c r="AN8" s="1130">
        <v>273.06</v>
      </c>
      <c r="AO8" s="1130">
        <v>322.98</v>
      </c>
      <c r="AP8" s="1130">
        <v>364.94</v>
      </c>
      <c r="AQ8" s="1130">
        <v>486</v>
      </c>
      <c r="AR8" s="1130">
        <v>362.66</v>
      </c>
      <c r="AS8" s="1131">
        <v>422.63</v>
      </c>
      <c r="AT8" s="1130">
        <v>148.41399999999999</v>
      </c>
      <c r="AU8" s="1132">
        <v>0.83199999999999996</v>
      </c>
      <c r="AV8" s="1132">
        <v>0.59</v>
      </c>
      <c r="AW8" s="1132">
        <v>0.80500000000000005</v>
      </c>
      <c r="AX8" s="1132">
        <v>0.75580000000000003</v>
      </c>
      <c r="AY8" s="1132">
        <v>0.72299999999999998</v>
      </c>
      <c r="AZ8" s="1130">
        <v>1.08</v>
      </c>
      <c r="BA8" s="1130">
        <v>1.1499999999999999</v>
      </c>
      <c r="BB8" s="1131">
        <v>0.94</v>
      </c>
      <c r="BC8" s="1132">
        <v>0.57889999999999997</v>
      </c>
      <c r="BD8" s="1133">
        <v>0.58199999999999996</v>
      </c>
      <c r="BE8" s="1132">
        <v>0.59</v>
      </c>
      <c r="BF8" s="1132">
        <v>0.57899999999999996</v>
      </c>
      <c r="BG8" s="1132">
        <v>0.58699999999999997</v>
      </c>
      <c r="BH8" s="1132">
        <v>0.59299999999999997</v>
      </c>
      <c r="BI8" s="1132">
        <v>0.9446</v>
      </c>
      <c r="BJ8" s="1132">
        <v>1.2</v>
      </c>
      <c r="BK8" s="2689"/>
      <c r="BL8" s="1134">
        <v>7.1000000000000004E-3</v>
      </c>
      <c r="BM8" s="1134">
        <v>1.21E-2</v>
      </c>
      <c r="BN8" s="1134">
        <v>5.7000000000000002E-3</v>
      </c>
      <c r="BO8" s="1134">
        <v>4.4000000000000003E-3</v>
      </c>
      <c r="BP8" s="1134">
        <v>2.75E-2</v>
      </c>
      <c r="BQ8" s="1134">
        <v>3.7000000000000002E-3</v>
      </c>
      <c r="BR8" s="1135">
        <f>8.7/1000</f>
        <v>8.6999999999999994E-3</v>
      </c>
      <c r="BS8" s="1135">
        <f>2.5/1000</f>
        <v>2.5000000000000001E-3</v>
      </c>
    </row>
    <row r="9" spans="1:74" ht="21.95" customHeight="1" thickBot="1">
      <c r="A9" s="2695"/>
      <c r="B9" s="2679" t="s">
        <v>1552</v>
      </c>
      <c r="C9" s="2671"/>
      <c r="D9" s="1123"/>
      <c r="E9" s="1124"/>
      <c r="F9" s="992">
        <f>Dre_Terraplenagem!F29</f>
        <v>1</v>
      </c>
      <c r="G9" s="992">
        <f>Dre_Terraplenagem!G29</f>
        <v>1</v>
      </c>
      <c r="H9" s="992">
        <f>Dre_Terraplenagem!H29</f>
        <v>1</v>
      </c>
      <c r="I9" s="992">
        <f>Dre_Terraplenagem!I29</f>
        <v>1</v>
      </c>
      <c r="J9" s="992"/>
      <c r="K9" s="992"/>
      <c r="L9" s="992"/>
      <c r="M9" s="992"/>
      <c r="N9" s="993"/>
      <c r="O9" s="992">
        <f>Dre_Terraplenagem!O29</f>
        <v>1</v>
      </c>
      <c r="P9" s="992">
        <f>Dre_Terraplenagem!P29</f>
        <v>1</v>
      </c>
      <c r="Q9" s="992">
        <f>Dre_Terraplenagem!Q29</f>
        <v>1</v>
      </c>
      <c r="R9" s="992">
        <f>Dre_Terraplenagem!R29</f>
        <v>1</v>
      </c>
      <c r="S9" s="992">
        <f>Dre_Terraplenagem!S29</f>
        <v>0</v>
      </c>
      <c r="T9" s="992">
        <f>Dre_Terraplenagem!T29</f>
        <v>2</v>
      </c>
      <c r="U9" s="992">
        <f>Dre_Terraplenagem!U29</f>
        <v>1</v>
      </c>
      <c r="V9" s="992">
        <f>Dre_Terraplenagem!V29</f>
        <v>2</v>
      </c>
      <c r="W9" s="992">
        <f>Dre_Terraplenagem!W29</f>
        <v>1</v>
      </c>
      <c r="X9" s="992">
        <f>Dre_Terraplenagem!X29</f>
        <v>1</v>
      </c>
      <c r="Y9" s="992">
        <f>Dre_Terraplenagem!Y29</f>
        <v>1</v>
      </c>
      <c r="Z9" s="992">
        <f>Dre_Terraplenagem!Z29</f>
        <v>1</v>
      </c>
      <c r="AA9" s="992">
        <f>Dre_Terraplenagem!AA29</f>
        <v>1</v>
      </c>
      <c r="AB9" s="992">
        <f>Dre_Terraplenagem!AB29</f>
        <v>1</v>
      </c>
      <c r="AC9" s="992">
        <f>Dre_Terraplenagem!AC29</f>
        <v>1</v>
      </c>
      <c r="AD9" s="992">
        <f>Dre_Terraplenagem!AD29</f>
        <v>1</v>
      </c>
      <c r="AE9" s="992">
        <f>Dre_Terraplenagem!AE29</f>
        <v>1</v>
      </c>
      <c r="AF9" s="1119"/>
      <c r="AG9" s="1119"/>
      <c r="AH9" s="1119"/>
      <c r="AI9" s="1120"/>
      <c r="AJ9" s="745">
        <f t="shared" si="0"/>
        <v>22</v>
      </c>
      <c r="AK9" s="745"/>
      <c r="AL9" s="1136"/>
      <c r="AM9" s="1137"/>
      <c r="AN9" s="1137"/>
      <c r="AO9" s="1137"/>
      <c r="AP9" s="1137"/>
      <c r="AQ9" s="1137"/>
      <c r="AR9" s="1137"/>
      <c r="AS9" s="1137"/>
      <c r="AT9" s="1138"/>
      <c r="AU9" s="1137"/>
      <c r="AV9" s="1137"/>
      <c r="AW9" s="1137"/>
      <c r="AX9" s="1137"/>
      <c r="AY9" s="1137"/>
      <c r="AZ9" s="1137"/>
      <c r="BA9" s="1137"/>
      <c r="BB9" s="1137"/>
      <c r="BC9" s="1139"/>
      <c r="BD9" s="1137"/>
      <c r="BE9" s="1137"/>
      <c r="BF9" s="1137"/>
      <c r="BG9" s="1137"/>
      <c r="BH9" s="1137"/>
      <c r="BI9" s="1137"/>
      <c r="BJ9" s="1138"/>
      <c r="BK9" s="1139"/>
      <c r="BL9" s="1137"/>
      <c r="BM9" s="1137"/>
      <c r="BN9" s="1137"/>
      <c r="BO9" s="1137"/>
      <c r="BP9" s="1137"/>
      <c r="BQ9" s="1139"/>
      <c r="BR9" s="1140"/>
      <c r="BS9" s="1137"/>
      <c r="BT9" s="1141"/>
    </row>
    <row r="10" spans="1:74" ht="21.95" hidden="1" customHeight="1">
      <c r="A10" s="2695"/>
      <c r="B10" s="2584" t="s">
        <v>1883</v>
      </c>
      <c r="C10" s="740" t="s">
        <v>1884</v>
      </c>
      <c r="D10" s="1142"/>
      <c r="E10" s="1143"/>
      <c r="F10" s="743">
        <f>Dren_Quantificacao!D146+Dren_Quantificacao!D149</f>
        <v>0</v>
      </c>
      <c r="G10" s="743">
        <f>Dren_Quantificacao!E146+Dren_Quantificacao!E149</f>
        <v>0</v>
      </c>
      <c r="H10" s="743">
        <f>Dren_Quantificacao!F146+Dren_Quantificacao!F149</f>
        <v>0</v>
      </c>
      <c r="I10" s="743">
        <f>Dren_Quantificacao!G146+Dren_Quantificacao!G149</f>
        <v>0</v>
      </c>
      <c r="J10" s="743"/>
      <c r="K10" s="743"/>
      <c r="L10" s="743"/>
      <c r="M10" s="743"/>
      <c r="N10" s="973"/>
      <c r="O10" s="743">
        <f>Dren_Quantificacao!L146+Dren_Quantificacao!L149</f>
        <v>0</v>
      </c>
      <c r="P10" s="743">
        <f>Dren_Quantificacao!M146+Dren_Quantificacao!M149</f>
        <v>0</v>
      </c>
      <c r="Q10" s="743">
        <f>Dren_Quantificacao!N146+Dren_Quantificacao!N149</f>
        <v>0</v>
      </c>
      <c r="R10" s="743">
        <f>Dren_Quantificacao!O146+Dren_Quantificacao!O149</f>
        <v>0</v>
      </c>
      <c r="S10" s="743">
        <f>Dren_Quantificacao!BD146+Dren_Quantificacao!BD149</f>
        <v>0</v>
      </c>
      <c r="T10" s="974"/>
      <c r="U10" s="974"/>
      <c r="V10" s="974"/>
      <c r="W10" s="974"/>
      <c r="X10" s="974"/>
      <c r="Y10" s="974"/>
      <c r="Z10" s="974"/>
      <c r="AA10" s="974"/>
      <c r="AB10" s="974"/>
      <c r="AC10" s="974"/>
      <c r="AD10" s="974"/>
      <c r="AE10" s="974"/>
      <c r="AF10" s="974"/>
      <c r="AG10" s="974"/>
      <c r="AH10" s="974"/>
      <c r="AI10" s="767"/>
      <c r="AJ10" s="745">
        <f t="shared" si="0"/>
        <v>0</v>
      </c>
      <c r="AK10" s="745"/>
      <c r="AL10" s="1136"/>
      <c r="AM10" s="1137"/>
      <c r="AN10" s="1137"/>
      <c r="AO10" s="1137"/>
      <c r="AP10" s="1137"/>
      <c r="AQ10" s="1137">
        <v>2E-3</v>
      </c>
      <c r="AR10" s="1137"/>
      <c r="AS10" s="1137"/>
      <c r="AT10" s="1139"/>
      <c r="AU10" s="1137"/>
      <c r="AV10" s="1137"/>
      <c r="AW10" s="1137"/>
      <c r="AX10" s="1137"/>
      <c r="AY10" s="1137"/>
      <c r="AZ10" s="1137">
        <v>2E-3</v>
      </c>
      <c r="BA10" s="1137"/>
      <c r="BB10" s="1137"/>
      <c r="BC10" s="1139"/>
      <c r="BD10" s="1137"/>
      <c r="BE10" s="1137"/>
      <c r="BF10" s="1137"/>
      <c r="BG10" s="1137"/>
      <c r="BH10" s="1137"/>
      <c r="BI10" s="1137"/>
      <c r="BJ10" s="1139"/>
      <c r="BK10" s="1139"/>
      <c r="BL10" s="1137"/>
      <c r="BM10" s="1137"/>
      <c r="BN10" s="1137"/>
      <c r="BO10" s="1137"/>
      <c r="BP10" s="1137"/>
      <c r="BQ10" s="1139"/>
      <c r="BR10" s="1140"/>
      <c r="BS10" s="1137"/>
      <c r="BT10" s="1141"/>
    </row>
    <row r="11" spans="1:74" ht="21.95" hidden="1" customHeight="1">
      <c r="A11" s="2695"/>
      <c r="B11" s="2585"/>
      <c r="C11" s="747" t="s">
        <v>1885</v>
      </c>
      <c r="D11" s="1144"/>
      <c r="E11" s="1145"/>
      <c r="F11" s="752">
        <f>Dren_Quantificacao!D148+Dren_Quantificacao!D150</f>
        <v>0</v>
      </c>
      <c r="G11" s="752">
        <f>Dren_Quantificacao!E148+Dren_Quantificacao!E150</f>
        <v>0</v>
      </c>
      <c r="H11" s="752">
        <f>Dren_Quantificacao!F148+Dren_Quantificacao!F150</f>
        <v>0</v>
      </c>
      <c r="I11" s="752">
        <f>Dren_Quantificacao!G148+Dren_Quantificacao!G150</f>
        <v>0</v>
      </c>
      <c r="J11" s="752"/>
      <c r="K11" s="752"/>
      <c r="L11" s="752"/>
      <c r="M11" s="752"/>
      <c r="N11" s="980"/>
      <c r="O11" s="752">
        <f>Dren_Quantificacao!L148+Dren_Quantificacao!L150</f>
        <v>0</v>
      </c>
      <c r="P11" s="752">
        <f>Dren_Quantificacao!M148+Dren_Quantificacao!M150</f>
        <v>0</v>
      </c>
      <c r="Q11" s="752">
        <f>Dren_Quantificacao!N148+Dren_Quantificacao!N150</f>
        <v>0</v>
      </c>
      <c r="R11" s="752">
        <f>Dren_Quantificacao!O148+Dren_Quantificacao!O150</f>
        <v>0</v>
      </c>
      <c r="S11" s="752">
        <f>Dren_Quantificacao!BD148+Dren_Quantificacao!BD150</f>
        <v>0</v>
      </c>
      <c r="T11" s="926"/>
      <c r="U11" s="926"/>
      <c r="V11" s="926"/>
      <c r="W11" s="926"/>
      <c r="X11" s="926"/>
      <c r="Y11" s="926"/>
      <c r="Z11" s="926"/>
      <c r="AA11" s="926"/>
      <c r="AB11" s="926"/>
      <c r="AC11" s="926"/>
      <c r="AD11" s="926"/>
      <c r="AE11" s="926"/>
      <c r="AF11" s="926"/>
      <c r="AG11" s="926"/>
      <c r="AH11" s="926"/>
      <c r="AI11" s="753"/>
      <c r="AJ11" s="745">
        <f t="shared" si="0"/>
        <v>0</v>
      </c>
      <c r="AK11" s="745"/>
      <c r="AL11" s="1136"/>
      <c r="AM11" s="1137"/>
      <c r="AN11" s="1137"/>
      <c r="AO11" s="1137"/>
      <c r="AP11" s="1137"/>
      <c r="AQ11" s="1137">
        <v>5.0000000000000001E-3</v>
      </c>
      <c r="AR11" s="1137"/>
      <c r="AS11" s="1137"/>
      <c r="AT11" s="1139"/>
      <c r="AU11" s="1137"/>
      <c r="AV11" s="1137"/>
      <c r="AW11" s="1137"/>
      <c r="AX11" s="1137"/>
      <c r="AY11" s="1137"/>
      <c r="AZ11" s="1137">
        <v>5.0000000000000001E-3</v>
      </c>
      <c r="BA11" s="1137"/>
      <c r="BB11" s="1137"/>
      <c r="BC11" s="1139"/>
      <c r="BD11" s="1137"/>
      <c r="BE11" s="1137"/>
      <c r="BF11" s="1137"/>
      <c r="BG11" s="1137"/>
      <c r="BH11" s="1137"/>
      <c r="BI11" s="1137"/>
      <c r="BJ11" s="1139"/>
      <c r="BK11" s="1139"/>
      <c r="BL11" s="1137"/>
      <c r="BM11" s="1137"/>
      <c r="BN11" s="1137"/>
      <c r="BO11" s="1137"/>
      <c r="BP11" s="1137"/>
      <c r="BQ11" s="1139"/>
      <c r="BR11" s="1140"/>
      <c r="BS11" s="1137"/>
      <c r="BT11" s="1141"/>
    </row>
    <row r="12" spans="1:74" ht="21.95" customHeight="1" thickBot="1">
      <c r="A12" s="2695"/>
      <c r="B12" s="2586"/>
      <c r="C12" s="754">
        <v>0.6</v>
      </c>
      <c r="D12" s="1146"/>
      <c r="E12" s="1147"/>
      <c r="F12" s="761">
        <f>IF(F$4&lt;&gt;$C12,0,IF(AND(F$5="PS-1",F9=1),F2*F3,0))</f>
        <v>30</v>
      </c>
      <c r="G12" s="761">
        <f t="shared" ref="G12:R12" si="1">IF(G$4&lt;&gt;$C12,0,IF(AND(G$5="PS-1",G9=1),G2*G3,0))</f>
        <v>50</v>
      </c>
      <c r="H12" s="761">
        <f t="shared" si="1"/>
        <v>25</v>
      </c>
      <c r="I12" s="761">
        <f t="shared" si="1"/>
        <v>45</v>
      </c>
      <c r="J12" s="761"/>
      <c r="K12" s="761"/>
      <c r="L12" s="761"/>
      <c r="M12" s="761"/>
      <c r="N12" s="985"/>
      <c r="O12" s="761">
        <f t="shared" si="1"/>
        <v>40</v>
      </c>
      <c r="P12" s="761">
        <f t="shared" si="1"/>
        <v>25</v>
      </c>
      <c r="Q12" s="761">
        <f t="shared" si="1"/>
        <v>45</v>
      </c>
      <c r="R12" s="761">
        <f t="shared" si="1"/>
        <v>45</v>
      </c>
      <c r="S12" s="761">
        <f>IF(S$4&lt;&gt;$C12,0,IF(AND(S$5="PS-1",S9=1),S2*S3,0))</f>
        <v>0</v>
      </c>
      <c r="T12" s="986"/>
      <c r="U12" s="986"/>
      <c r="V12" s="986"/>
      <c r="W12" s="986"/>
      <c r="X12" s="986"/>
      <c r="Y12" s="986"/>
      <c r="Z12" s="986"/>
      <c r="AA12" s="986"/>
      <c r="AB12" s="986"/>
      <c r="AC12" s="986"/>
      <c r="AD12" s="986"/>
      <c r="AE12" s="986"/>
      <c r="AF12" s="986"/>
      <c r="AG12" s="986"/>
      <c r="AH12" s="986"/>
      <c r="AI12" s="769"/>
      <c r="AJ12" s="745">
        <f t="shared" si="0"/>
        <v>305</v>
      </c>
      <c r="AK12" s="745"/>
      <c r="AL12" s="1136"/>
      <c r="AM12" s="1137"/>
      <c r="AN12" s="1137"/>
      <c r="AO12" s="1137"/>
      <c r="AP12" s="1137"/>
      <c r="AQ12" s="1137">
        <v>5.0000000000000001E-3</v>
      </c>
      <c r="AR12" s="1137"/>
      <c r="AS12" s="1137"/>
      <c r="AT12" s="1139"/>
      <c r="AU12" s="1137"/>
      <c r="AV12" s="1137"/>
      <c r="AW12" s="1137"/>
      <c r="AX12" s="1137"/>
      <c r="AY12" s="1137"/>
      <c r="AZ12" s="1137">
        <v>5.0000000000000001E-3</v>
      </c>
      <c r="BA12" s="1137"/>
      <c r="BB12" s="1137"/>
      <c r="BC12" s="1139"/>
      <c r="BD12" s="1137"/>
      <c r="BE12" s="1137"/>
      <c r="BF12" s="1137"/>
      <c r="BG12" s="1137"/>
      <c r="BH12" s="1137"/>
      <c r="BI12" s="1137"/>
      <c r="BJ12" s="1139"/>
      <c r="BK12" s="1139"/>
      <c r="BL12" s="1137"/>
      <c r="BM12" s="1137"/>
      <c r="BN12" s="1137"/>
      <c r="BO12" s="1137"/>
      <c r="BP12" s="1137"/>
      <c r="BQ12" s="1139"/>
      <c r="BR12" s="1140"/>
      <c r="BS12" s="1137"/>
      <c r="BT12" s="1141"/>
    </row>
    <row r="13" spans="1:74" ht="21.95" hidden="1" customHeight="1">
      <c r="A13" s="2695"/>
      <c r="B13" s="2584" t="s">
        <v>1886</v>
      </c>
      <c r="C13" s="740">
        <v>0.4</v>
      </c>
      <c r="D13" s="1144"/>
      <c r="E13" s="1145"/>
      <c r="F13" s="743">
        <f>Dren_Quantificacao!D145</f>
        <v>0</v>
      </c>
      <c r="G13" s="743">
        <f>Dren_Quantificacao!E145</f>
        <v>0</v>
      </c>
      <c r="H13" s="743">
        <f>Dren_Quantificacao!F145</f>
        <v>0</v>
      </c>
      <c r="I13" s="743">
        <f>Dren_Quantificacao!G145</f>
        <v>0</v>
      </c>
      <c r="J13" s="743"/>
      <c r="K13" s="743"/>
      <c r="L13" s="743"/>
      <c r="M13" s="743"/>
      <c r="N13" s="973"/>
      <c r="O13" s="743">
        <f>Dren_Quantificacao!L145</f>
        <v>0</v>
      </c>
      <c r="P13" s="743">
        <f>Dren_Quantificacao!M145</f>
        <v>0</v>
      </c>
      <c r="Q13" s="743">
        <f>Dren_Quantificacao!N145</f>
        <v>0</v>
      </c>
      <c r="R13" s="743">
        <f>Dren_Quantificacao!O145</f>
        <v>0</v>
      </c>
      <c r="S13" s="743">
        <f>Dren_Quantificacao!BD145</f>
        <v>0</v>
      </c>
      <c r="T13" s="974"/>
      <c r="U13" s="926"/>
      <c r="V13" s="974"/>
      <c r="W13" s="926"/>
      <c r="X13" s="926"/>
      <c r="Y13" s="926"/>
      <c r="Z13" s="926"/>
      <c r="AA13" s="926"/>
      <c r="AB13" s="926"/>
      <c r="AC13" s="926"/>
      <c r="AD13" s="926"/>
      <c r="AE13" s="926"/>
      <c r="AF13" s="926"/>
      <c r="AG13" s="926"/>
      <c r="AH13" s="926"/>
      <c r="AI13" s="767"/>
      <c r="AJ13" s="745">
        <f t="shared" si="0"/>
        <v>0</v>
      </c>
      <c r="AK13" s="745"/>
      <c r="AL13" s="1136"/>
      <c r="AM13" s="1137"/>
      <c r="AN13" s="1137"/>
      <c r="AO13" s="1137"/>
      <c r="AP13" s="1137"/>
      <c r="AQ13" s="1137">
        <v>2E-3</v>
      </c>
      <c r="AR13" s="1137"/>
      <c r="AS13" s="1137"/>
      <c r="AT13" s="1139"/>
      <c r="AU13" s="1137"/>
      <c r="AV13" s="1137"/>
      <c r="AW13" s="1137"/>
      <c r="AX13" s="1137"/>
      <c r="AY13" s="1137"/>
      <c r="AZ13" s="1137">
        <v>2E-3</v>
      </c>
      <c r="BA13" s="1137"/>
      <c r="BB13" s="1137"/>
      <c r="BC13" s="1139"/>
      <c r="BD13" s="1137"/>
      <c r="BE13" s="1137"/>
      <c r="BF13" s="1137"/>
      <c r="BG13" s="1137"/>
      <c r="BH13" s="1137"/>
      <c r="BI13" s="1137"/>
      <c r="BJ13" s="1139"/>
      <c r="BK13" s="1139"/>
      <c r="BL13" s="1137"/>
      <c r="BM13" s="1137"/>
      <c r="BN13" s="1137"/>
      <c r="BO13" s="1137"/>
      <c r="BP13" s="1137"/>
      <c r="BQ13" s="1139"/>
      <c r="BR13" s="1140"/>
      <c r="BS13" s="1137"/>
      <c r="BT13" s="1141"/>
    </row>
    <row r="14" spans="1:74" ht="21.95" hidden="1" customHeight="1">
      <c r="A14" s="2695"/>
      <c r="B14" s="2585"/>
      <c r="C14" s="747" t="s">
        <v>1885</v>
      </c>
      <c r="D14" s="1144"/>
      <c r="E14" s="1145"/>
      <c r="F14" s="752">
        <f>Dren_Quantificacao!D147</f>
        <v>0</v>
      </c>
      <c r="G14" s="752">
        <f>Dren_Quantificacao!E147</f>
        <v>0</v>
      </c>
      <c r="H14" s="752">
        <f>Dren_Quantificacao!F147</f>
        <v>0</v>
      </c>
      <c r="I14" s="752">
        <f>Dren_Quantificacao!G147</f>
        <v>0</v>
      </c>
      <c r="J14" s="752"/>
      <c r="K14" s="752"/>
      <c r="L14" s="752"/>
      <c r="M14" s="752"/>
      <c r="N14" s="980"/>
      <c r="O14" s="752">
        <f>Dren_Quantificacao!L147</f>
        <v>0</v>
      </c>
      <c r="P14" s="752">
        <f>Dren_Quantificacao!M147</f>
        <v>0</v>
      </c>
      <c r="Q14" s="752">
        <f>Dren_Quantificacao!N147</f>
        <v>0</v>
      </c>
      <c r="R14" s="752">
        <f>Dren_Quantificacao!O147</f>
        <v>0</v>
      </c>
      <c r="S14" s="752">
        <f>Dren_Quantificacao!BD147</f>
        <v>0</v>
      </c>
      <c r="T14" s="926"/>
      <c r="U14" s="926"/>
      <c r="V14" s="926"/>
      <c r="W14" s="926"/>
      <c r="X14" s="926"/>
      <c r="Y14" s="926"/>
      <c r="Z14" s="926"/>
      <c r="AA14" s="926"/>
      <c r="AB14" s="926"/>
      <c r="AC14" s="926"/>
      <c r="AD14" s="926"/>
      <c r="AE14" s="926"/>
      <c r="AF14" s="926"/>
      <c r="AG14" s="926"/>
      <c r="AH14" s="926"/>
      <c r="AI14" s="753"/>
      <c r="AJ14" s="745">
        <f t="shared" si="0"/>
        <v>0</v>
      </c>
      <c r="AK14" s="745"/>
      <c r="AL14" s="1136"/>
      <c r="AM14" s="1137"/>
      <c r="AN14" s="1137"/>
      <c r="AO14" s="1137"/>
      <c r="AP14" s="1137"/>
      <c r="AQ14" s="1137">
        <v>5.0000000000000001E-3</v>
      </c>
      <c r="AR14" s="1137"/>
      <c r="AS14" s="1137"/>
      <c r="AT14" s="1139"/>
      <c r="AU14" s="1137"/>
      <c r="AV14" s="1137"/>
      <c r="AW14" s="1137"/>
      <c r="AX14" s="1137"/>
      <c r="AY14" s="1137"/>
      <c r="AZ14" s="1137">
        <v>5.0000000000000001E-3</v>
      </c>
      <c r="BA14" s="1137"/>
      <c r="BB14" s="1137"/>
      <c r="BC14" s="1139"/>
      <c r="BD14" s="1137"/>
      <c r="BE14" s="1137"/>
      <c r="BF14" s="1137"/>
      <c r="BG14" s="1137"/>
      <c r="BH14" s="1137"/>
      <c r="BI14" s="1137"/>
      <c r="BJ14" s="1139"/>
      <c r="BK14" s="1139"/>
      <c r="BL14" s="1137"/>
      <c r="BM14" s="1137"/>
      <c r="BN14" s="1137"/>
      <c r="BO14" s="1137"/>
      <c r="BP14" s="1137"/>
      <c r="BQ14" s="1139"/>
      <c r="BR14" s="1140"/>
      <c r="BS14" s="1137"/>
      <c r="BT14" s="1141"/>
    </row>
    <row r="15" spans="1:74" ht="21.95" hidden="1" customHeight="1" thickBot="1">
      <c r="A15" s="2695"/>
      <c r="B15" s="2586"/>
      <c r="C15" s="754">
        <v>0.6</v>
      </c>
      <c r="D15" s="1144"/>
      <c r="E15" s="1145"/>
      <c r="F15" s="752">
        <f>IF(F$4&lt;&gt;$C15,0,IF(AND(F$5="PS-1",F9=2),F2*F3,0))</f>
        <v>0</v>
      </c>
      <c r="G15" s="752">
        <f t="shared" ref="G15:R15" si="2">IF(G$4&lt;&gt;$C15,0,IF(AND(G$5="PS-1",G9=2),G2*G3,0))</f>
        <v>0</v>
      </c>
      <c r="H15" s="752">
        <f t="shared" si="2"/>
        <v>0</v>
      </c>
      <c r="I15" s="752">
        <f t="shared" si="2"/>
        <v>0</v>
      </c>
      <c r="J15" s="752"/>
      <c r="K15" s="752"/>
      <c r="L15" s="752"/>
      <c r="M15" s="752"/>
      <c r="N15" s="980"/>
      <c r="O15" s="752">
        <f t="shared" si="2"/>
        <v>0</v>
      </c>
      <c r="P15" s="752">
        <f t="shared" si="2"/>
        <v>0</v>
      </c>
      <c r="Q15" s="752">
        <f t="shared" si="2"/>
        <v>0</v>
      </c>
      <c r="R15" s="752">
        <f t="shared" si="2"/>
        <v>0</v>
      </c>
      <c r="S15" s="752">
        <f>IF(S$4&lt;&gt;$C15,0,IF(AND(S$5="PS-1",S9=2),S2*S3,0))</f>
        <v>0</v>
      </c>
      <c r="T15" s="926"/>
      <c r="U15" s="926"/>
      <c r="V15" s="926"/>
      <c r="W15" s="926"/>
      <c r="X15" s="926"/>
      <c r="Y15" s="926"/>
      <c r="Z15" s="926"/>
      <c r="AA15" s="926"/>
      <c r="AB15" s="926"/>
      <c r="AC15" s="926"/>
      <c r="AD15" s="926"/>
      <c r="AE15" s="926"/>
      <c r="AF15" s="926"/>
      <c r="AG15" s="926"/>
      <c r="AH15" s="926"/>
      <c r="AI15" s="769"/>
      <c r="AJ15" s="745">
        <f t="shared" si="0"/>
        <v>0</v>
      </c>
      <c r="AK15" s="745"/>
      <c r="AL15" s="1136"/>
      <c r="AM15" s="1137"/>
      <c r="AN15" s="1137"/>
      <c r="AO15" s="1137"/>
      <c r="AP15" s="1137"/>
      <c r="AQ15" s="1137">
        <v>5.0000000000000001E-3</v>
      </c>
      <c r="AR15" s="1137"/>
      <c r="AS15" s="1137"/>
      <c r="AT15" s="1139"/>
      <c r="AU15" s="1137"/>
      <c r="AV15" s="1137"/>
      <c r="AW15" s="1137"/>
      <c r="AX15" s="1137"/>
      <c r="AY15" s="1137"/>
      <c r="AZ15" s="1137">
        <v>5.0000000000000001E-3</v>
      </c>
      <c r="BA15" s="1137"/>
      <c r="BB15" s="1137"/>
      <c r="BC15" s="1139"/>
      <c r="BD15" s="1137"/>
      <c r="BE15" s="1137"/>
      <c r="BF15" s="1137"/>
      <c r="BG15" s="1137"/>
      <c r="BH15" s="1137"/>
      <c r="BI15" s="1137"/>
      <c r="BJ15" s="1139"/>
      <c r="BK15" s="1139"/>
      <c r="BL15" s="1137"/>
      <c r="BM15" s="1137"/>
      <c r="BN15" s="1137"/>
      <c r="BO15" s="1137"/>
      <c r="BP15" s="1137"/>
      <c r="BQ15" s="1139"/>
      <c r="BR15" s="1140"/>
      <c r="BS15" s="1137"/>
      <c r="BT15" s="1141"/>
    </row>
    <row r="16" spans="1:74" ht="21.95" hidden="1" customHeight="1">
      <c r="A16" s="2695"/>
      <c r="B16" s="2584" t="s">
        <v>1887</v>
      </c>
      <c r="C16" s="1148">
        <v>0.6</v>
      </c>
      <c r="D16" s="1149"/>
      <c r="E16" s="1150"/>
      <c r="F16" s="743">
        <f>IF(F$4&lt;&gt;$C16,0,IF(AND(F$5="PA-1",F9=1),F2*F3,0))</f>
        <v>0</v>
      </c>
      <c r="G16" s="743">
        <f t="shared" ref="G16:R16" si="3">IF(G$4&lt;&gt;$C16,0,IF(AND(G$5="PA-1",G9=1),G2*G3,0))</f>
        <v>0</v>
      </c>
      <c r="H16" s="743">
        <f t="shared" si="3"/>
        <v>0</v>
      </c>
      <c r="I16" s="743">
        <f t="shared" si="3"/>
        <v>0</v>
      </c>
      <c r="J16" s="743"/>
      <c r="K16" s="743"/>
      <c r="L16" s="743"/>
      <c r="M16" s="743"/>
      <c r="N16" s="973"/>
      <c r="O16" s="743">
        <f t="shared" si="3"/>
        <v>0</v>
      </c>
      <c r="P16" s="743">
        <f t="shared" si="3"/>
        <v>0</v>
      </c>
      <c r="Q16" s="743">
        <f t="shared" si="3"/>
        <v>0</v>
      </c>
      <c r="R16" s="743">
        <f t="shared" si="3"/>
        <v>0</v>
      </c>
      <c r="S16" s="743">
        <f>IF(S$4&lt;&gt;$C16,0,IF(AND(S$5="PA-1",S9=1),S2*S3,0))</f>
        <v>0</v>
      </c>
      <c r="T16" s="974"/>
      <c r="U16" s="974"/>
      <c r="V16" s="974"/>
      <c r="W16" s="974"/>
      <c r="X16" s="974"/>
      <c r="Y16" s="974"/>
      <c r="Z16" s="974"/>
      <c r="AA16" s="974"/>
      <c r="AB16" s="974"/>
      <c r="AC16" s="974"/>
      <c r="AD16" s="974"/>
      <c r="AE16" s="974"/>
      <c r="AF16" s="974"/>
      <c r="AG16" s="974"/>
      <c r="AH16" s="974"/>
      <c r="AI16" s="767"/>
      <c r="AJ16" s="745">
        <f t="shared" si="0"/>
        <v>0</v>
      </c>
      <c r="AK16" s="745"/>
      <c r="AL16" s="1136"/>
      <c r="AM16" s="1137"/>
      <c r="AN16" s="1137"/>
      <c r="AO16" s="1137"/>
      <c r="AP16" s="1137"/>
      <c r="AQ16" s="1137">
        <v>5.0000000000000001E-3</v>
      </c>
      <c r="AR16" s="1137"/>
      <c r="AS16" s="1137"/>
      <c r="AT16" s="1139"/>
      <c r="AU16" s="1137"/>
      <c r="AV16" s="1137"/>
      <c r="AW16" s="1137"/>
      <c r="AX16" s="1137"/>
      <c r="AY16" s="1137"/>
      <c r="AZ16" s="1137">
        <v>5.0000000000000001E-3</v>
      </c>
      <c r="BA16" s="1137"/>
      <c r="BB16" s="1137"/>
      <c r="BC16" s="1139"/>
      <c r="BD16" s="1137"/>
      <c r="BE16" s="1137"/>
      <c r="BF16" s="1137"/>
      <c r="BG16" s="1137"/>
      <c r="BH16" s="1137"/>
      <c r="BI16" s="1137"/>
      <c r="BJ16" s="1139"/>
      <c r="BK16" s="1139"/>
      <c r="BL16" s="1137"/>
      <c r="BM16" s="1137"/>
      <c r="BN16" s="1137"/>
      <c r="BO16" s="1137"/>
      <c r="BP16" s="1137"/>
      <c r="BQ16" s="1139"/>
      <c r="BR16" s="1140"/>
      <c r="BS16" s="1137"/>
      <c r="BT16" s="1141"/>
    </row>
    <row r="17" spans="1:72" ht="21.95" hidden="1" customHeight="1" thickBot="1">
      <c r="A17" s="2695"/>
      <c r="B17" s="2586"/>
      <c r="C17" s="1151">
        <v>0.8</v>
      </c>
      <c r="D17" s="1152"/>
      <c r="E17" s="1153"/>
      <c r="F17" s="761">
        <f t="shared" ref="F17:S20" si="4">IF(F$4&lt;&gt;$C17,0,IF(AND(F$5="PA-1",F$9=1),F$2*F$3,0))</f>
        <v>0</v>
      </c>
      <c r="G17" s="761">
        <f t="shared" si="4"/>
        <v>0</v>
      </c>
      <c r="H17" s="761">
        <f t="shared" si="4"/>
        <v>0</v>
      </c>
      <c r="I17" s="761">
        <f t="shared" si="4"/>
        <v>0</v>
      </c>
      <c r="J17" s="761"/>
      <c r="K17" s="761"/>
      <c r="L17" s="761"/>
      <c r="M17" s="761"/>
      <c r="N17" s="985"/>
      <c r="O17" s="761">
        <f t="shared" ref="O17:S18" si="5">IF(O$4&lt;&gt;$C17,0,IF(AND(O$5="PA-1",O$9=1),O$2*O$3,0))</f>
        <v>0</v>
      </c>
      <c r="P17" s="761">
        <f t="shared" si="5"/>
        <v>0</v>
      </c>
      <c r="Q17" s="761">
        <f t="shared" si="5"/>
        <v>0</v>
      </c>
      <c r="R17" s="761">
        <f t="shared" si="5"/>
        <v>0</v>
      </c>
      <c r="S17" s="761">
        <f t="shared" si="5"/>
        <v>0</v>
      </c>
      <c r="T17" s="986"/>
      <c r="U17" s="986"/>
      <c r="V17" s="986"/>
      <c r="W17" s="986"/>
      <c r="X17" s="986"/>
      <c r="Y17" s="986"/>
      <c r="Z17" s="986"/>
      <c r="AA17" s="986"/>
      <c r="AB17" s="986"/>
      <c r="AC17" s="986"/>
      <c r="AD17" s="986"/>
      <c r="AE17" s="986"/>
      <c r="AF17" s="986"/>
      <c r="AG17" s="986"/>
      <c r="AH17" s="986"/>
      <c r="AI17" s="753"/>
      <c r="AJ17" s="745">
        <f t="shared" si="0"/>
        <v>0</v>
      </c>
      <c r="AK17" s="745"/>
      <c r="AL17" s="1136"/>
      <c r="AM17" s="1137"/>
      <c r="AN17" s="1137"/>
      <c r="AO17" s="1137"/>
      <c r="AP17" s="1137"/>
      <c r="AQ17" s="1137">
        <v>1.2E-2</v>
      </c>
      <c r="AR17" s="1137"/>
      <c r="AS17" s="1137"/>
      <c r="AT17" s="1139"/>
      <c r="AU17" s="1137"/>
      <c r="AV17" s="1137"/>
      <c r="AW17" s="1137"/>
      <c r="AX17" s="1137"/>
      <c r="AY17" s="1137"/>
      <c r="AZ17" s="1137">
        <v>1.2E-2</v>
      </c>
      <c r="BA17" s="1137"/>
      <c r="BB17" s="1137"/>
      <c r="BC17" s="1139"/>
      <c r="BD17" s="1137"/>
      <c r="BE17" s="1137"/>
      <c r="BF17" s="1137"/>
      <c r="BG17" s="1137"/>
      <c r="BH17" s="1137"/>
      <c r="BI17" s="1137"/>
      <c r="BJ17" s="1139"/>
      <c r="BK17" s="1139"/>
      <c r="BL17" s="1137"/>
      <c r="BM17" s="1137"/>
      <c r="BN17" s="1137"/>
      <c r="BO17" s="1137"/>
      <c r="BP17" s="1137"/>
      <c r="BQ17" s="1139"/>
      <c r="BR17" s="1140"/>
      <c r="BS17" s="1137"/>
      <c r="BT17" s="1141"/>
    </row>
    <row r="18" spans="1:72" ht="21.95" hidden="1" customHeight="1">
      <c r="A18" s="2695"/>
      <c r="B18" s="2584" t="s">
        <v>1888</v>
      </c>
      <c r="C18" s="1148">
        <v>1</v>
      </c>
      <c r="D18" s="1154"/>
      <c r="E18" s="1155"/>
      <c r="F18" s="752">
        <f t="shared" si="4"/>
        <v>0</v>
      </c>
      <c r="G18" s="752">
        <f t="shared" si="4"/>
        <v>0</v>
      </c>
      <c r="H18" s="752">
        <f t="shared" si="4"/>
        <v>0</v>
      </c>
      <c r="I18" s="752">
        <f t="shared" si="4"/>
        <v>0</v>
      </c>
      <c r="J18" s="752"/>
      <c r="K18" s="752"/>
      <c r="L18" s="752"/>
      <c r="M18" s="752"/>
      <c r="N18" s="980"/>
      <c r="O18" s="752">
        <f t="shared" si="5"/>
        <v>0</v>
      </c>
      <c r="P18" s="752">
        <f t="shared" si="5"/>
        <v>0</v>
      </c>
      <c r="Q18" s="752">
        <f t="shared" si="5"/>
        <v>0</v>
      </c>
      <c r="R18" s="752">
        <f t="shared" si="5"/>
        <v>0</v>
      </c>
      <c r="S18" s="752">
        <f t="shared" si="5"/>
        <v>0</v>
      </c>
      <c r="T18" s="926"/>
      <c r="U18" s="926"/>
      <c r="V18" s="926"/>
      <c r="W18" s="926"/>
      <c r="X18" s="926"/>
      <c r="Y18" s="926"/>
      <c r="Z18" s="926"/>
      <c r="AA18" s="926"/>
      <c r="AB18" s="926"/>
      <c r="AC18" s="926"/>
      <c r="AD18" s="926"/>
      <c r="AE18" s="926"/>
      <c r="AF18" s="926"/>
      <c r="AG18" s="926"/>
      <c r="AH18" s="926"/>
      <c r="AI18" s="767"/>
      <c r="AJ18" s="745">
        <f t="shared" si="0"/>
        <v>0</v>
      </c>
      <c r="AK18" s="745"/>
      <c r="AL18" s="1136"/>
      <c r="AM18" s="1137"/>
      <c r="AN18" s="1137"/>
      <c r="AO18" s="1137"/>
      <c r="AP18" s="1137"/>
      <c r="AQ18" s="1137">
        <v>2.8000000000000001E-2</v>
      </c>
      <c r="AR18" s="1137"/>
      <c r="AS18" s="1137"/>
      <c r="AT18" s="1139"/>
      <c r="AU18" s="1137"/>
      <c r="AV18" s="1137"/>
      <c r="AW18" s="1137"/>
      <c r="AX18" s="1137"/>
      <c r="AY18" s="1137"/>
      <c r="AZ18" s="1137">
        <v>2.8000000000000001E-2</v>
      </c>
      <c r="BA18" s="1137"/>
      <c r="BB18" s="1137"/>
      <c r="BC18" s="1139"/>
      <c r="BD18" s="1137"/>
      <c r="BE18" s="1137"/>
      <c r="BF18" s="1137"/>
      <c r="BG18" s="1137"/>
      <c r="BH18" s="1137"/>
      <c r="BI18" s="1137"/>
      <c r="BJ18" s="1139"/>
      <c r="BK18" s="1139"/>
      <c r="BL18" s="1137"/>
      <c r="BM18" s="1137"/>
      <c r="BN18" s="1137"/>
      <c r="BO18" s="1137"/>
      <c r="BP18" s="1137"/>
      <c r="BQ18" s="1139"/>
      <c r="BR18" s="1140"/>
      <c r="BS18" s="1137"/>
      <c r="BT18" s="1141"/>
    </row>
    <row r="19" spans="1:72" ht="21.95" hidden="1" customHeight="1">
      <c r="A19" s="2695"/>
      <c r="B19" s="2585"/>
      <c r="C19" s="1156">
        <v>1.2</v>
      </c>
      <c r="D19" s="1154"/>
      <c r="E19" s="1155"/>
      <c r="F19" s="752">
        <f>IF(F$4&lt;&gt;$C19,0,IF(AND(F$5="PA-1",F$9=1),F$2*F$3,0))</f>
        <v>0</v>
      </c>
      <c r="G19" s="752">
        <f t="shared" si="4"/>
        <v>0</v>
      </c>
      <c r="H19" s="752">
        <f t="shared" si="4"/>
        <v>0</v>
      </c>
      <c r="I19" s="752">
        <f t="shared" si="4"/>
        <v>0</v>
      </c>
      <c r="J19" s="752"/>
      <c r="K19" s="752"/>
      <c r="L19" s="752"/>
      <c r="M19" s="752"/>
      <c r="N19" s="980"/>
      <c r="O19" s="752">
        <f t="shared" si="4"/>
        <v>0</v>
      </c>
      <c r="P19" s="752">
        <f t="shared" si="4"/>
        <v>0</v>
      </c>
      <c r="Q19" s="752">
        <f t="shared" si="4"/>
        <v>0</v>
      </c>
      <c r="R19" s="752">
        <f t="shared" si="4"/>
        <v>0</v>
      </c>
      <c r="S19" s="752">
        <f t="shared" si="4"/>
        <v>0</v>
      </c>
      <c r="T19" s="926"/>
      <c r="U19" s="926"/>
      <c r="V19" s="926"/>
      <c r="W19" s="926"/>
      <c r="X19" s="926"/>
      <c r="Y19" s="926"/>
      <c r="Z19" s="926"/>
      <c r="AA19" s="926"/>
      <c r="AB19" s="926"/>
      <c r="AC19" s="926"/>
      <c r="AD19" s="926"/>
      <c r="AE19" s="926"/>
      <c r="AF19" s="926"/>
      <c r="AG19" s="926"/>
      <c r="AH19" s="926"/>
      <c r="AI19" s="753"/>
      <c r="AJ19" s="745">
        <f t="shared" si="0"/>
        <v>0</v>
      </c>
      <c r="AK19" s="745"/>
      <c r="AL19" s="1136"/>
      <c r="AM19" s="1137"/>
      <c r="AN19" s="1137"/>
      <c r="AO19" s="1137"/>
      <c r="AP19" s="1137"/>
      <c r="AQ19" s="1137">
        <v>3.4700000000000002E-2</v>
      </c>
      <c r="AR19" s="1137"/>
      <c r="AS19" s="1137"/>
      <c r="AT19" s="1139"/>
      <c r="AU19" s="1137"/>
      <c r="AV19" s="1137"/>
      <c r="AW19" s="1137"/>
      <c r="AX19" s="1137"/>
      <c r="AY19" s="1137"/>
      <c r="AZ19" s="1137">
        <v>3.4700000000000002E-2</v>
      </c>
      <c r="BA19" s="1137"/>
      <c r="BB19" s="1137"/>
      <c r="BC19" s="1139"/>
      <c r="BD19" s="1137"/>
      <c r="BE19" s="1137"/>
      <c r="BF19" s="1137"/>
      <c r="BG19" s="1137"/>
      <c r="BH19" s="1137"/>
      <c r="BI19" s="1137"/>
      <c r="BJ19" s="1139"/>
      <c r="BK19" s="1139"/>
      <c r="BL19" s="1137"/>
      <c r="BM19" s="1137"/>
      <c r="BN19" s="1137"/>
      <c r="BO19" s="1137"/>
      <c r="BP19" s="1137"/>
      <c r="BQ19" s="1139"/>
      <c r="BR19" s="1140"/>
      <c r="BS19" s="1137"/>
      <c r="BT19" s="1141"/>
    </row>
    <row r="20" spans="1:72" ht="21.95" hidden="1" customHeight="1" thickBot="1">
      <c r="A20" s="2695"/>
      <c r="B20" s="2586"/>
      <c r="C20" s="1157">
        <v>1.5</v>
      </c>
      <c r="D20" s="1158"/>
      <c r="E20" s="1153"/>
      <c r="F20" s="761">
        <f>IF(F$4&lt;&gt;$C20,0,IF(AND(F$5="PA-1",F$9=1),F$2*F$3,0))</f>
        <v>0</v>
      </c>
      <c r="G20" s="761">
        <f t="shared" si="4"/>
        <v>0</v>
      </c>
      <c r="H20" s="761">
        <f t="shared" si="4"/>
        <v>0</v>
      </c>
      <c r="I20" s="761">
        <f t="shared" si="4"/>
        <v>0</v>
      </c>
      <c r="J20" s="761"/>
      <c r="K20" s="761"/>
      <c r="L20" s="761"/>
      <c r="M20" s="761"/>
      <c r="N20" s="985"/>
      <c r="O20" s="761">
        <f t="shared" si="4"/>
        <v>0</v>
      </c>
      <c r="P20" s="761">
        <f t="shared" si="4"/>
        <v>0</v>
      </c>
      <c r="Q20" s="761">
        <f t="shared" si="4"/>
        <v>0</v>
      </c>
      <c r="R20" s="761">
        <f t="shared" si="4"/>
        <v>0</v>
      </c>
      <c r="S20" s="761">
        <f t="shared" si="4"/>
        <v>0</v>
      </c>
      <c r="T20" s="986"/>
      <c r="U20" s="986"/>
      <c r="V20" s="986"/>
      <c r="W20" s="986"/>
      <c r="X20" s="986"/>
      <c r="Y20" s="986"/>
      <c r="Z20" s="986"/>
      <c r="AA20" s="986"/>
      <c r="AB20" s="986"/>
      <c r="AC20" s="986"/>
      <c r="AD20" s="986"/>
      <c r="AE20" s="986"/>
      <c r="AF20" s="986"/>
      <c r="AG20" s="986"/>
      <c r="AH20" s="986"/>
      <c r="AI20" s="769"/>
      <c r="AJ20" s="745">
        <f t="shared" si="0"/>
        <v>0</v>
      </c>
      <c r="AK20" s="745"/>
      <c r="AL20" s="1136"/>
      <c r="AM20" s="1137"/>
      <c r="AN20" s="1137"/>
      <c r="AO20" s="1137"/>
      <c r="AP20" s="1137"/>
      <c r="AQ20" s="1137">
        <v>4.6199999999999998E-2</v>
      </c>
      <c r="AR20" s="1137"/>
      <c r="AS20" s="1137"/>
      <c r="AT20" s="1139"/>
      <c r="AU20" s="1137"/>
      <c r="AV20" s="1137"/>
      <c r="AW20" s="1137"/>
      <c r="AX20" s="1137"/>
      <c r="AY20" s="1137"/>
      <c r="AZ20" s="1137">
        <v>4.6199999999999998E-2</v>
      </c>
      <c r="BA20" s="1137"/>
      <c r="BB20" s="1137"/>
      <c r="BC20" s="1139"/>
      <c r="BD20" s="1137"/>
      <c r="BE20" s="1137"/>
      <c r="BF20" s="1137"/>
      <c r="BG20" s="1137"/>
      <c r="BH20" s="1137"/>
      <c r="BI20" s="1137"/>
      <c r="BJ20" s="1139"/>
      <c r="BK20" s="1139"/>
      <c r="BL20" s="1137"/>
      <c r="BM20" s="1137"/>
      <c r="BN20" s="1137"/>
      <c r="BO20" s="1137"/>
      <c r="BP20" s="1137"/>
      <c r="BQ20" s="1139"/>
      <c r="BR20" s="1140"/>
      <c r="BS20" s="1137"/>
      <c r="BT20" s="1141"/>
    </row>
    <row r="21" spans="1:72" ht="21.95" hidden="1" customHeight="1">
      <c r="A21" s="2695"/>
      <c r="B21" s="2584" t="s">
        <v>1889</v>
      </c>
      <c r="C21" s="1159">
        <v>0.6</v>
      </c>
      <c r="D21" s="1144"/>
      <c r="E21" s="1145"/>
      <c r="F21" s="752">
        <f>IF(F$4&lt;&gt;$C21,0,IF(AND(F$5="PA-1",F9=2),F2*F3,0))</f>
        <v>0</v>
      </c>
      <c r="G21" s="752">
        <f t="shared" ref="G21:R21" si="6">IF(G$4&lt;&gt;$C21,0,IF(AND(G$5="PA-1",G9=2),G2*G3,0))</f>
        <v>0</v>
      </c>
      <c r="H21" s="752">
        <f t="shared" si="6"/>
        <v>0</v>
      </c>
      <c r="I21" s="752">
        <f t="shared" si="6"/>
        <v>0</v>
      </c>
      <c r="J21" s="752"/>
      <c r="K21" s="752"/>
      <c r="L21" s="752"/>
      <c r="M21" s="752"/>
      <c r="N21" s="980"/>
      <c r="O21" s="752">
        <f t="shared" si="6"/>
        <v>0</v>
      </c>
      <c r="P21" s="752">
        <f t="shared" si="6"/>
        <v>0</v>
      </c>
      <c r="Q21" s="752">
        <f t="shared" si="6"/>
        <v>0</v>
      </c>
      <c r="R21" s="752">
        <f t="shared" si="6"/>
        <v>0</v>
      </c>
      <c r="S21" s="752">
        <f>IF(S$4&lt;&gt;$C21,0,IF(AND(S$5="PA-1",S9=2),S2*S3,0))</f>
        <v>0</v>
      </c>
      <c r="T21" s="926"/>
      <c r="U21" s="926"/>
      <c r="V21" s="926"/>
      <c r="W21" s="926"/>
      <c r="X21" s="926"/>
      <c r="Y21" s="926"/>
      <c r="Z21" s="926"/>
      <c r="AA21" s="926"/>
      <c r="AB21" s="926"/>
      <c r="AC21" s="926"/>
      <c r="AD21" s="926"/>
      <c r="AE21" s="926"/>
      <c r="AF21" s="926"/>
      <c r="AG21" s="926"/>
      <c r="AH21" s="926"/>
      <c r="AI21" s="767"/>
      <c r="AJ21" s="745">
        <f t="shared" si="0"/>
        <v>0</v>
      </c>
      <c r="AK21" s="745"/>
      <c r="AL21" s="1136"/>
      <c r="AM21" s="1137"/>
      <c r="AN21" s="1137"/>
      <c r="AO21" s="1137"/>
      <c r="AP21" s="1137"/>
      <c r="AQ21" s="1137">
        <v>5.0000000000000001E-3</v>
      </c>
      <c r="AR21" s="1137"/>
      <c r="AS21" s="1137"/>
      <c r="AT21" s="1139"/>
      <c r="AU21" s="1137"/>
      <c r="AV21" s="1137"/>
      <c r="AW21" s="1137"/>
      <c r="AX21" s="1137"/>
      <c r="AY21" s="1137"/>
      <c r="AZ21" s="1137">
        <v>5.0000000000000001E-3</v>
      </c>
      <c r="BA21" s="1137"/>
      <c r="BB21" s="1137"/>
      <c r="BC21" s="1139"/>
      <c r="BD21" s="1137"/>
      <c r="BE21" s="1137"/>
      <c r="BF21" s="1137"/>
      <c r="BG21" s="1137"/>
      <c r="BH21" s="1137"/>
      <c r="BI21" s="1137"/>
      <c r="BJ21" s="1139"/>
      <c r="BK21" s="1139"/>
      <c r="BL21" s="1137"/>
      <c r="BM21" s="1137"/>
      <c r="BN21" s="1137"/>
      <c r="BO21" s="1137"/>
      <c r="BP21" s="1137"/>
      <c r="BQ21" s="1139"/>
      <c r="BR21" s="1140"/>
      <c r="BS21" s="1137"/>
      <c r="BT21" s="1141"/>
    </row>
    <row r="22" spans="1:72" ht="21.95" hidden="1" customHeight="1">
      <c r="A22" s="2695"/>
      <c r="B22" s="2585"/>
      <c r="C22" s="747">
        <v>0.8</v>
      </c>
      <c r="D22" s="1144"/>
      <c r="E22" s="1145"/>
      <c r="F22" s="752">
        <f t="shared" ref="F22:S25" si="7">IF(F$4&lt;&gt;$C22,0,IF(AND(F$5="PA-1",F$9=2),F$2*F$3,0))</f>
        <v>0</v>
      </c>
      <c r="G22" s="752">
        <f t="shared" si="7"/>
        <v>0</v>
      </c>
      <c r="H22" s="752">
        <f t="shared" si="7"/>
        <v>0</v>
      </c>
      <c r="I22" s="752">
        <f t="shared" si="7"/>
        <v>0</v>
      </c>
      <c r="J22" s="752"/>
      <c r="K22" s="752"/>
      <c r="L22" s="752"/>
      <c r="M22" s="752"/>
      <c r="N22" s="980"/>
      <c r="O22" s="752">
        <f t="shared" ref="O22:S23" si="8">IF(O$4&lt;&gt;$C22,0,IF(AND(O$5="PA-1",O$9=2),O$2*O$3,0))</f>
        <v>0</v>
      </c>
      <c r="P22" s="752">
        <f t="shared" si="8"/>
        <v>0</v>
      </c>
      <c r="Q22" s="752">
        <f t="shared" si="8"/>
        <v>0</v>
      </c>
      <c r="R22" s="752">
        <f t="shared" si="8"/>
        <v>0</v>
      </c>
      <c r="S22" s="752">
        <f t="shared" si="8"/>
        <v>0</v>
      </c>
      <c r="T22" s="926"/>
      <c r="U22" s="926"/>
      <c r="V22" s="926"/>
      <c r="W22" s="926"/>
      <c r="X22" s="926"/>
      <c r="Y22" s="926"/>
      <c r="Z22" s="926"/>
      <c r="AA22" s="926"/>
      <c r="AB22" s="926"/>
      <c r="AC22" s="926"/>
      <c r="AD22" s="926"/>
      <c r="AE22" s="926"/>
      <c r="AF22" s="926"/>
      <c r="AG22" s="926"/>
      <c r="AH22" s="926"/>
      <c r="AI22" s="753"/>
      <c r="AJ22" s="745">
        <f t="shared" si="0"/>
        <v>0</v>
      </c>
      <c r="AK22" s="745"/>
      <c r="AL22" s="1136"/>
      <c r="AM22" s="1137"/>
      <c r="AN22" s="1137"/>
      <c r="AO22" s="1137"/>
      <c r="AP22" s="1137"/>
      <c r="AQ22" s="1137">
        <v>1.2E-2</v>
      </c>
      <c r="AR22" s="1137"/>
      <c r="AS22" s="1137"/>
      <c r="AT22" s="1139"/>
      <c r="AU22" s="1137"/>
      <c r="AV22" s="1137"/>
      <c r="AW22" s="1137"/>
      <c r="AX22" s="1137"/>
      <c r="AY22" s="1137"/>
      <c r="AZ22" s="1137">
        <v>1.2E-2</v>
      </c>
      <c r="BA22" s="1137"/>
      <c r="BB22" s="1137"/>
      <c r="BC22" s="1139"/>
      <c r="BD22" s="1137"/>
      <c r="BE22" s="1137"/>
      <c r="BF22" s="1137"/>
      <c r="BG22" s="1137"/>
      <c r="BH22" s="1137"/>
      <c r="BI22" s="1137"/>
      <c r="BJ22" s="1139"/>
      <c r="BK22" s="1139"/>
      <c r="BL22" s="1137"/>
      <c r="BM22" s="1137"/>
      <c r="BN22" s="1137"/>
      <c r="BO22" s="1137"/>
      <c r="BP22" s="1137"/>
      <c r="BQ22" s="1139"/>
      <c r="BR22" s="1140"/>
      <c r="BS22" s="1137"/>
      <c r="BT22" s="1141"/>
    </row>
    <row r="23" spans="1:72" ht="21.95" hidden="1" customHeight="1">
      <c r="A23" s="2695"/>
      <c r="B23" s="2585"/>
      <c r="C23" s="747">
        <v>1</v>
      </c>
      <c r="D23" s="1144"/>
      <c r="E23" s="1145"/>
      <c r="F23" s="752">
        <f t="shared" si="7"/>
        <v>0</v>
      </c>
      <c r="G23" s="752">
        <f t="shared" si="7"/>
        <v>0</v>
      </c>
      <c r="H23" s="752">
        <f t="shared" si="7"/>
        <v>0</v>
      </c>
      <c r="I23" s="752">
        <f t="shared" si="7"/>
        <v>0</v>
      </c>
      <c r="J23" s="752"/>
      <c r="K23" s="752"/>
      <c r="L23" s="752"/>
      <c r="M23" s="752"/>
      <c r="N23" s="980"/>
      <c r="O23" s="752">
        <f t="shared" si="8"/>
        <v>0</v>
      </c>
      <c r="P23" s="752">
        <f t="shared" si="8"/>
        <v>0</v>
      </c>
      <c r="Q23" s="752">
        <f t="shared" si="8"/>
        <v>0</v>
      </c>
      <c r="R23" s="752">
        <f t="shared" si="8"/>
        <v>0</v>
      </c>
      <c r="S23" s="752">
        <f t="shared" si="8"/>
        <v>0</v>
      </c>
      <c r="T23" s="926"/>
      <c r="U23" s="926"/>
      <c r="V23" s="926"/>
      <c r="W23" s="926"/>
      <c r="X23" s="926"/>
      <c r="Y23" s="926"/>
      <c r="Z23" s="926"/>
      <c r="AA23" s="926"/>
      <c r="AB23" s="926"/>
      <c r="AC23" s="926"/>
      <c r="AD23" s="926"/>
      <c r="AE23" s="926"/>
      <c r="AF23" s="926"/>
      <c r="AG23" s="926"/>
      <c r="AH23" s="926"/>
      <c r="AI23" s="753"/>
      <c r="AJ23" s="745">
        <f t="shared" si="0"/>
        <v>0</v>
      </c>
      <c r="AK23" s="745"/>
      <c r="AL23" s="1136"/>
      <c r="AM23" s="1137"/>
      <c r="AN23" s="1137"/>
      <c r="AO23" s="1137"/>
      <c r="AP23" s="1137"/>
      <c r="AQ23" s="1137">
        <v>2.8000000000000001E-2</v>
      </c>
      <c r="AR23" s="1137"/>
      <c r="AS23" s="1137"/>
      <c r="AT23" s="1139"/>
      <c r="AU23" s="1137"/>
      <c r="AV23" s="1137"/>
      <c r="AW23" s="1137"/>
      <c r="AX23" s="1137"/>
      <c r="AY23" s="1137"/>
      <c r="AZ23" s="1137">
        <v>2.8000000000000001E-2</v>
      </c>
      <c r="BA23" s="1137"/>
      <c r="BB23" s="1137"/>
      <c r="BC23" s="1139"/>
      <c r="BD23" s="1137"/>
      <c r="BE23" s="1137"/>
      <c r="BF23" s="1137"/>
      <c r="BG23" s="1137"/>
      <c r="BH23" s="1137"/>
      <c r="BI23" s="1137"/>
      <c r="BJ23" s="1139"/>
      <c r="BK23" s="1139"/>
      <c r="BL23" s="1137"/>
      <c r="BM23" s="1137"/>
      <c r="BN23" s="1137"/>
      <c r="BO23" s="1137"/>
      <c r="BP23" s="1137"/>
      <c r="BQ23" s="1139"/>
      <c r="BR23" s="1140"/>
      <c r="BS23" s="1137"/>
      <c r="BT23" s="1141"/>
    </row>
    <row r="24" spans="1:72" ht="21.95" hidden="1" customHeight="1">
      <c r="A24" s="2695"/>
      <c r="B24" s="2585"/>
      <c r="C24" s="747">
        <v>1.2</v>
      </c>
      <c r="D24" s="1144"/>
      <c r="E24" s="1145"/>
      <c r="F24" s="752">
        <f>IF(F$4&lt;&gt;$C24,0,IF(AND(F$5="PA-1",F$9=2),F$2*F$3,0))</f>
        <v>0</v>
      </c>
      <c r="G24" s="752">
        <f t="shared" si="7"/>
        <v>0</v>
      </c>
      <c r="H24" s="752">
        <f t="shared" si="7"/>
        <v>0</v>
      </c>
      <c r="I24" s="752">
        <f t="shared" si="7"/>
        <v>0</v>
      </c>
      <c r="J24" s="752"/>
      <c r="K24" s="752"/>
      <c r="L24" s="752"/>
      <c r="M24" s="752"/>
      <c r="N24" s="980"/>
      <c r="O24" s="752">
        <f t="shared" si="7"/>
        <v>0</v>
      </c>
      <c r="P24" s="752">
        <f t="shared" si="7"/>
        <v>0</v>
      </c>
      <c r="Q24" s="752">
        <f t="shared" si="7"/>
        <v>0</v>
      </c>
      <c r="R24" s="752">
        <f t="shared" si="7"/>
        <v>0</v>
      </c>
      <c r="S24" s="752">
        <f t="shared" si="7"/>
        <v>0</v>
      </c>
      <c r="T24" s="926"/>
      <c r="U24" s="926"/>
      <c r="V24" s="926"/>
      <c r="W24" s="926"/>
      <c r="X24" s="926"/>
      <c r="Y24" s="926"/>
      <c r="Z24" s="926"/>
      <c r="AA24" s="926"/>
      <c r="AB24" s="926"/>
      <c r="AC24" s="926"/>
      <c r="AD24" s="926"/>
      <c r="AE24" s="926"/>
      <c r="AF24" s="926"/>
      <c r="AG24" s="926"/>
      <c r="AH24" s="926"/>
      <c r="AI24" s="753"/>
      <c r="AJ24" s="745">
        <f t="shared" si="0"/>
        <v>0</v>
      </c>
      <c r="AK24" s="745"/>
      <c r="AL24" s="1136"/>
      <c r="AM24" s="1137"/>
      <c r="AN24" s="1137"/>
      <c r="AO24" s="1137"/>
      <c r="AP24" s="1137"/>
      <c r="AQ24" s="1137">
        <v>3.4700000000000002E-2</v>
      </c>
      <c r="AR24" s="1137"/>
      <c r="AS24" s="1137"/>
      <c r="AT24" s="1139"/>
      <c r="AU24" s="1137"/>
      <c r="AV24" s="1137"/>
      <c r="AW24" s="1137"/>
      <c r="AX24" s="1137"/>
      <c r="AY24" s="1137"/>
      <c r="AZ24" s="1137">
        <v>3.4700000000000002E-2</v>
      </c>
      <c r="BA24" s="1137"/>
      <c r="BB24" s="1137"/>
      <c r="BC24" s="1139"/>
      <c r="BD24" s="1137"/>
      <c r="BE24" s="1137"/>
      <c r="BF24" s="1137"/>
      <c r="BG24" s="1137"/>
      <c r="BH24" s="1137"/>
      <c r="BI24" s="1137"/>
      <c r="BJ24" s="1139"/>
      <c r="BK24" s="1139"/>
      <c r="BL24" s="1137"/>
      <c r="BM24" s="1137"/>
      <c r="BN24" s="1137"/>
      <c r="BO24" s="1137"/>
      <c r="BP24" s="1137"/>
      <c r="BQ24" s="1139"/>
      <c r="BR24" s="1140"/>
      <c r="BS24" s="1137"/>
      <c r="BT24" s="1141"/>
    </row>
    <row r="25" spans="1:72" ht="21.95" hidden="1" customHeight="1" thickBot="1">
      <c r="A25" s="2695"/>
      <c r="B25" s="2586"/>
      <c r="C25" s="754">
        <v>1.5</v>
      </c>
      <c r="D25" s="1144"/>
      <c r="E25" s="1145"/>
      <c r="F25" s="752">
        <f>IF(F$4&lt;&gt;$C25,0,IF(AND(F$5="PA-1",F$9=2),F$2*F$3,0))</f>
        <v>0</v>
      </c>
      <c r="G25" s="752">
        <f t="shared" si="7"/>
        <v>0</v>
      </c>
      <c r="H25" s="752">
        <f t="shared" si="7"/>
        <v>0</v>
      </c>
      <c r="I25" s="752">
        <f t="shared" si="7"/>
        <v>0</v>
      </c>
      <c r="J25" s="752"/>
      <c r="K25" s="752"/>
      <c r="L25" s="752"/>
      <c r="M25" s="752"/>
      <c r="N25" s="980"/>
      <c r="O25" s="752">
        <f t="shared" si="7"/>
        <v>0</v>
      </c>
      <c r="P25" s="752">
        <f t="shared" si="7"/>
        <v>0</v>
      </c>
      <c r="Q25" s="752">
        <f t="shared" si="7"/>
        <v>0</v>
      </c>
      <c r="R25" s="752">
        <f t="shared" si="7"/>
        <v>0</v>
      </c>
      <c r="S25" s="752">
        <f t="shared" si="7"/>
        <v>0</v>
      </c>
      <c r="T25" s="926"/>
      <c r="U25" s="926"/>
      <c r="V25" s="926"/>
      <c r="W25" s="926"/>
      <c r="X25" s="926"/>
      <c r="Y25" s="926"/>
      <c r="Z25" s="926"/>
      <c r="AA25" s="926"/>
      <c r="AB25" s="926"/>
      <c r="AC25" s="926"/>
      <c r="AD25" s="926"/>
      <c r="AE25" s="926"/>
      <c r="AF25" s="926"/>
      <c r="AG25" s="926"/>
      <c r="AH25" s="926"/>
      <c r="AI25" s="769"/>
      <c r="AJ25" s="745">
        <f t="shared" si="0"/>
        <v>0</v>
      </c>
      <c r="AK25" s="745"/>
      <c r="AL25" s="1136"/>
      <c r="AM25" s="1137"/>
      <c r="AN25" s="1137"/>
      <c r="AO25" s="1137"/>
      <c r="AP25" s="1137"/>
      <c r="AQ25" s="1137">
        <v>4.6199999999999998E-2</v>
      </c>
      <c r="AR25" s="1137"/>
      <c r="AS25" s="1137"/>
      <c r="AT25" s="1139"/>
      <c r="AU25" s="1137"/>
      <c r="AV25" s="1137"/>
      <c r="AW25" s="1137"/>
      <c r="AX25" s="1137"/>
      <c r="AY25" s="1137"/>
      <c r="AZ25" s="1137">
        <v>4.6199999999999998E-2</v>
      </c>
      <c r="BA25" s="1137"/>
      <c r="BB25" s="1137"/>
      <c r="BC25" s="1139"/>
      <c r="BD25" s="1137"/>
      <c r="BE25" s="1137"/>
      <c r="BF25" s="1137"/>
      <c r="BG25" s="1137"/>
      <c r="BH25" s="1137"/>
      <c r="BI25" s="1137"/>
      <c r="BJ25" s="1139"/>
      <c r="BK25" s="1139"/>
      <c r="BL25" s="1137"/>
      <c r="BM25" s="1137"/>
      <c r="BN25" s="1137"/>
      <c r="BO25" s="1137"/>
      <c r="BP25" s="1137"/>
      <c r="BQ25" s="1139"/>
      <c r="BR25" s="1140"/>
      <c r="BS25" s="1137"/>
      <c r="BT25" s="1141"/>
    </row>
    <row r="26" spans="1:72" ht="21.95" hidden="1" customHeight="1">
      <c r="A26" s="2695"/>
      <c r="B26" s="2584" t="s">
        <v>1890</v>
      </c>
      <c r="C26" s="740">
        <v>0.6</v>
      </c>
      <c r="D26" s="1142"/>
      <c r="E26" s="1143"/>
      <c r="F26" s="743">
        <f>IF(F$4&lt;&gt;$C26,0,IF(AND(F$5="PA-2",F$9=1),F$2*F$3,0))</f>
        <v>0</v>
      </c>
      <c r="G26" s="743">
        <f>IF(G$4&lt;&gt;$C26,0,IF(AND(G$5="PA-2",G$9=1),G$2*G$3,0))</f>
        <v>0</v>
      </c>
      <c r="H26" s="743">
        <f>IF(H$4&lt;&gt;$C26,0,IF(AND(H$5="PA-2",H$9=1),H$2*H$3,0))</f>
        <v>0</v>
      </c>
      <c r="I26" s="743">
        <f>IF(I$4&lt;&gt;$C26,0,IF(AND(I$5="PA-2",I$9=1),I$2*I$3,0))</f>
        <v>0</v>
      </c>
      <c r="J26" s="743"/>
      <c r="K26" s="743"/>
      <c r="L26" s="743"/>
      <c r="M26" s="743"/>
      <c r="N26" s="973"/>
      <c r="O26" s="743">
        <f t="shared" ref="O26:S26" si="9">IF(O$4&lt;&gt;$C26,0,IF(AND(O$5="PA-2",O$9=1),O$2*O$3,0))</f>
        <v>0</v>
      </c>
      <c r="P26" s="743">
        <f t="shared" si="9"/>
        <v>0</v>
      </c>
      <c r="Q26" s="743">
        <f t="shared" si="9"/>
        <v>0</v>
      </c>
      <c r="R26" s="743">
        <f t="shared" si="9"/>
        <v>0</v>
      </c>
      <c r="S26" s="743">
        <f t="shared" si="9"/>
        <v>0</v>
      </c>
      <c r="T26" s="974"/>
      <c r="U26" s="974"/>
      <c r="V26" s="974"/>
      <c r="W26" s="974"/>
      <c r="X26" s="974"/>
      <c r="Y26" s="974"/>
      <c r="Z26" s="974"/>
      <c r="AA26" s="974"/>
      <c r="AB26" s="974"/>
      <c r="AC26" s="974"/>
      <c r="AD26" s="974"/>
      <c r="AE26" s="974"/>
      <c r="AF26" s="974"/>
      <c r="AG26" s="974"/>
      <c r="AH26" s="974"/>
      <c r="AI26" s="767"/>
      <c r="AJ26" s="745">
        <f t="shared" si="0"/>
        <v>0</v>
      </c>
      <c r="AK26" s="745"/>
      <c r="AL26" s="1136"/>
      <c r="AM26" s="1137"/>
      <c r="AN26" s="1137"/>
      <c r="AO26" s="1137"/>
      <c r="AP26" s="1137"/>
      <c r="AQ26" s="1137">
        <v>5.0000000000000001E-3</v>
      </c>
      <c r="AR26" s="1137"/>
      <c r="AS26" s="1137"/>
      <c r="AT26" s="1139"/>
      <c r="AU26" s="1137"/>
      <c r="AV26" s="1137"/>
      <c r="AW26" s="1137"/>
      <c r="AX26" s="1137"/>
      <c r="AY26" s="1137"/>
      <c r="AZ26" s="1137">
        <v>5.0000000000000001E-3</v>
      </c>
      <c r="BA26" s="1137"/>
      <c r="BB26" s="1137"/>
      <c r="BC26" s="1139"/>
      <c r="BD26" s="1137"/>
      <c r="BE26" s="1137"/>
      <c r="BF26" s="1137"/>
      <c r="BG26" s="1137"/>
      <c r="BH26" s="1137"/>
      <c r="BI26" s="1137"/>
      <c r="BJ26" s="1139"/>
      <c r="BK26" s="1139"/>
      <c r="BL26" s="1137"/>
      <c r="BM26" s="1137"/>
      <c r="BN26" s="1137"/>
      <c r="BO26" s="1137"/>
      <c r="BP26" s="1137"/>
      <c r="BQ26" s="1139"/>
      <c r="BR26" s="1140"/>
      <c r="BS26" s="1137"/>
      <c r="BT26" s="1141"/>
    </row>
    <row r="27" spans="1:72" ht="21.95" hidden="1" customHeight="1">
      <c r="A27" s="2695"/>
      <c r="B27" s="2585"/>
      <c r="C27" s="747">
        <v>0.8</v>
      </c>
      <c r="D27" s="1144"/>
      <c r="E27" s="1145"/>
      <c r="F27" s="752">
        <f>IF(F$4&lt;&gt;$C27,0,IF(AND(F$5="PA-2",F$9=1),F$2*F$3,0))</f>
        <v>0</v>
      </c>
      <c r="G27" s="752">
        <f t="shared" ref="G27:S30" si="10">IF(G$4&lt;&gt;$C27,0,IF(AND(G$5="PA-2",G$9=1),G$2*G$3,0))</f>
        <v>0</v>
      </c>
      <c r="H27" s="752">
        <f t="shared" si="10"/>
        <v>0</v>
      </c>
      <c r="I27" s="752">
        <f t="shared" si="10"/>
        <v>0</v>
      </c>
      <c r="J27" s="752"/>
      <c r="K27" s="752"/>
      <c r="L27" s="752"/>
      <c r="M27" s="752"/>
      <c r="N27" s="980"/>
      <c r="O27" s="752">
        <f t="shared" si="10"/>
        <v>0</v>
      </c>
      <c r="P27" s="752">
        <f t="shared" si="10"/>
        <v>0</v>
      </c>
      <c r="Q27" s="752">
        <f t="shared" si="10"/>
        <v>0</v>
      </c>
      <c r="R27" s="752">
        <f t="shared" si="10"/>
        <v>0</v>
      </c>
      <c r="S27" s="752">
        <f t="shared" si="10"/>
        <v>0</v>
      </c>
      <c r="T27" s="926"/>
      <c r="U27" s="926"/>
      <c r="V27" s="926"/>
      <c r="W27" s="926"/>
      <c r="X27" s="926"/>
      <c r="Y27" s="926"/>
      <c r="Z27" s="926"/>
      <c r="AA27" s="926"/>
      <c r="AB27" s="926"/>
      <c r="AC27" s="926"/>
      <c r="AD27" s="926"/>
      <c r="AE27" s="926"/>
      <c r="AF27" s="926"/>
      <c r="AG27" s="926"/>
      <c r="AH27" s="926"/>
      <c r="AI27" s="753"/>
      <c r="AJ27" s="745">
        <f t="shared" si="0"/>
        <v>0</v>
      </c>
      <c r="AK27" s="745"/>
      <c r="AL27" s="1136"/>
      <c r="AM27" s="1137"/>
      <c r="AN27" s="1137"/>
      <c r="AO27" s="1137"/>
      <c r="AP27" s="1137"/>
      <c r="AQ27" s="1137">
        <v>1.2E-2</v>
      </c>
      <c r="AR27" s="1137"/>
      <c r="AS27" s="1137"/>
      <c r="AT27" s="1139"/>
      <c r="AU27" s="1137"/>
      <c r="AV27" s="1137"/>
      <c r="AW27" s="1137"/>
      <c r="AX27" s="1137"/>
      <c r="AY27" s="1137"/>
      <c r="AZ27" s="1137">
        <v>1.2E-2</v>
      </c>
      <c r="BA27" s="1137"/>
      <c r="BB27" s="1137"/>
      <c r="BC27" s="1139"/>
      <c r="BD27" s="1137"/>
      <c r="BE27" s="1137"/>
      <c r="BF27" s="1137"/>
      <c r="BG27" s="1137"/>
      <c r="BH27" s="1137"/>
      <c r="BI27" s="1137"/>
      <c r="BJ27" s="1139"/>
      <c r="BK27" s="1139"/>
      <c r="BL27" s="1137"/>
      <c r="BM27" s="1137"/>
      <c r="BN27" s="1137"/>
      <c r="BO27" s="1137"/>
      <c r="BP27" s="1137"/>
      <c r="BQ27" s="1139"/>
      <c r="BR27" s="1140"/>
      <c r="BS27" s="1137"/>
      <c r="BT27" s="1141"/>
    </row>
    <row r="28" spans="1:72" ht="21.95" hidden="1" customHeight="1">
      <c r="A28" s="2695"/>
      <c r="B28" s="2585"/>
      <c r="C28" s="747">
        <v>1</v>
      </c>
      <c r="D28" s="1144"/>
      <c r="E28" s="1145"/>
      <c r="F28" s="752">
        <f>IF(F$4&lt;&gt;$C28,0,IF(AND(F$5="PA-2",F$9=1),F$2*F$3,0))</f>
        <v>0</v>
      </c>
      <c r="G28" s="752">
        <f t="shared" si="10"/>
        <v>0</v>
      </c>
      <c r="H28" s="752">
        <f t="shared" si="10"/>
        <v>0</v>
      </c>
      <c r="I28" s="752">
        <f t="shared" si="10"/>
        <v>0</v>
      </c>
      <c r="J28" s="752"/>
      <c r="K28" s="752"/>
      <c r="L28" s="752"/>
      <c r="M28" s="752"/>
      <c r="N28" s="980"/>
      <c r="O28" s="752">
        <f t="shared" si="10"/>
        <v>0</v>
      </c>
      <c r="P28" s="752">
        <f t="shared" si="10"/>
        <v>0</v>
      </c>
      <c r="Q28" s="752">
        <f t="shared" si="10"/>
        <v>0</v>
      </c>
      <c r="R28" s="752">
        <f t="shared" si="10"/>
        <v>0</v>
      </c>
      <c r="S28" s="752">
        <f t="shared" si="10"/>
        <v>0</v>
      </c>
      <c r="T28" s="926"/>
      <c r="U28" s="926"/>
      <c r="V28" s="926"/>
      <c r="W28" s="926"/>
      <c r="X28" s="926"/>
      <c r="Y28" s="926"/>
      <c r="Z28" s="926"/>
      <c r="AA28" s="926"/>
      <c r="AB28" s="926"/>
      <c r="AC28" s="926"/>
      <c r="AD28" s="926"/>
      <c r="AE28" s="926"/>
      <c r="AF28" s="926"/>
      <c r="AG28" s="926"/>
      <c r="AH28" s="926"/>
      <c r="AI28" s="753"/>
      <c r="AJ28" s="745">
        <f t="shared" si="0"/>
        <v>0</v>
      </c>
      <c r="AK28" s="745"/>
      <c r="AL28" s="1136"/>
      <c r="AM28" s="1137"/>
      <c r="AN28" s="1137"/>
      <c r="AO28" s="1137"/>
      <c r="AP28" s="1137"/>
      <c r="AQ28" s="1137">
        <v>2.8000000000000001E-2</v>
      </c>
      <c r="AR28" s="1137"/>
      <c r="AS28" s="1137"/>
      <c r="AT28" s="1139"/>
      <c r="AU28" s="1137"/>
      <c r="AV28" s="1137"/>
      <c r="AW28" s="1137"/>
      <c r="AX28" s="1137"/>
      <c r="AY28" s="1137"/>
      <c r="AZ28" s="1137">
        <v>2.8000000000000001E-2</v>
      </c>
      <c r="BA28" s="1137"/>
      <c r="BB28" s="1137"/>
      <c r="BC28" s="1139"/>
      <c r="BD28" s="1137"/>
      <c r="BE28" s="1137"/>
      <c r="BF28" s="1137"/>
      <c r="BG28" s="1137"/>
      <c r="BH28" s="1137"/>
      <c r="BI28" s="1137"/>
      <c r="BJ28" s="1139"/>
      <c r="BK28" s="1139"/>
      <c r="BL28" s="1137"/>
      <c r="BM28" s="1137"/>
      <c r="BN28" s="1137"/>
      <c r="BO28" s="1137"/>
      <c r="BP28" s="1137"/>
      <c r="BQ28" s="1139"/>
      <c r="BR28" s="1140"/>
      <c r="BS28" s="1137"/>
      <c r="BT28" s="1141"/>
    </row>
    <row r="29" spans="1:72" ht="21.95" hidden="1" customHeight="1">
      <c r="A29" s="2695"/>
      <c r="B29" s="2585"/>
      <c r="C29" s="747">
        <v>1.2</v>
      </c>
      <c r="D29" s="1144"/>
      <c r="E29" s="1145"/>
      <c r="F29" s="752">
        <f>IF(F$4&lt;&gt;$C29,0,IF(AND(F$5="PA-2",F$9=1),F$2*F$3,0))</f>
        <v>0</v>
      </c>
      <c r="G29" s="752">
        <f t="shared" si="10"/>
        <v>0</v>
      </c>
      <c r="H29" s="752">
        <f t="shared" si="10"/>
        <v>0</v>
      </c>
      <c r="I29" s="752">
        <f t="shared" si="10"/>
        <v>0</v>
      </c>
      <c r="J29" s="752"/>
      <c r="K29" s="752"/>
      <c r="L29" s="752"/>
      <c r="M29" s="752"/>
      <c r="N29" s="980"/>
      <c r="O29" s="752">
        <f t="shared" si="10"/>
        <v>0</v>
      </c>
      <c r="P29" s="752">
        <f t="shared" si="10"/>
        <v>0</v>
      </c>
      <c r="Q29" s="752">
        <f t="shared" si="10"/>
        <v>0</v>
      </c>
      <c r="R29" s="752">
        <f t="shared" si="10"/>
        <v>0</v>
      </c>
      <c r="S29" s="752">
        <f t="shared" si="10"/>
        <v>0</v>
      </c>
      <c r="T29" s="926"/>
      <c r="U29" s="926"/>
      <c r="V29" s="926"/>
      <c r="W29" s="926"/>
      <c r="X29" s="926"/>
      <c r="Y29" s="926"/>
      <c r="Z29" s="926"/>
      <c r="AA29" s="926"/>
      <c r="AB29" s="926"/>
      <c r="AC29" s="926"/>
      <c r="AD29" s="926"/>
      <c r="AE29" s="926"/>
      <c r="AF29" s="926"/>
      <c r="AG29" s="926"/>
      <c r="AH29" s="926"/>
      <c r="AI29" s="753"/>
      <c r="AJ29" s="745">
        <f t="shared" si="0"/>
        <v>0</v>
      </c>
      <c r="AK29" s="745"/>
      <c r="AL29" s="1136"/>
      <c r="AM29" s="1137"/>
      <c r="AN29" s="1137"/>
      <c r="AO29" s="1137"/>
      <c r="AP29" s="1137"/>
      <c r="AQ29" s="1137">
        <v>3.4700000000000002E-2</v>
      </c>
      <c r="AR29" s="1137"/>
      <c r="AS29" s="1137"/>
      <c r="AT29" s="1139"/>
      <c r="AU29" s="1137"/>
      <c r="AV29" s="1137"/>
      <c r="AW29" s="1137"/>
      <c r="AX29" s="1137"/>
      <c r="AY29" s="1137"/>
      <c r="AZ29" s="1137">
        <v>3.4700000000000002E-2</v>
      </c>
      <c r="BA29" s="1137"/>
      <c r="BB29" s="1137"/>
      <c r="BC29" s="1139"/>
      <c r="BD29" s="1137"/>
      <c r="BE29" s="1137"/>
      <c r="BF29" s="1137"/>
      <c r="BG29" s="1137"/>
      <c r="BH29" s="1137"/>
      <c r="BI29" s="1137"/>
      <c r="BJ29" s="1139"/>
      <c r="BK29" s="1139"/>
      <c r="BL29" s="1137"/>
      <c r="BM29" s="1137"/>
      <c r="BN29" s="1137"/>
      <c r="BO29" s="1137"/>
      <c r="BP29" s="1137"/>
      <c r="BQ29" s="1139"/>
      <c r="BR29" s="1140"/>
      <c r="BS29" s="1137"/>
      <c r="BT29" s="1141"/>
    </row>
    <row r="30" spans="1:72" ht="21.95" hidden="1" customHeight="1" thickBot="1">
      <c r="A30" s="2695"/>
      <c r="B30" s="2586"/>
      <c r="C30" s="754">
        <v>1.5</v>
      </c>
      <c r="D30" s="1146"/>
      <c r="E30" s="1147"/>
      <c r="F30" s="761">
        <f>IF(F$4&lt;&gt;$C30,0,IF(AND(F$5="PA-2",F$9=1),F$2*F$3,0))</f>
        <v>0</v>
      </c>
      <c r="G30" s="761">
        <f t="shared" si="10"/>
        <v>0</v>
      </c>
      <c r="H30" s="761">
        <f t="shared" si="10"/>
        <v>0</v>
      </c>
      <c r="I30" s="761">
        <f t="shared" si="10"/>
        <v>0</v>
      </c>
      <c r="J30" s="761"/>
      <c r="K30" s="761"/>
      <c r="L30" s="761"/>
      <c r="M30" s="761"/>
      <c r="N30" s="985"/>
      <c r="O30" s="761">
        <f t="shared" si="10"/>
        <v>0</v>
      </c>
      <c r="P30" s="761">
        <f t="shared" si="10"/>
        <v>0</v>
      </c>
      <c r="Q30" s="761">
        <f t="shared" si="10"/>
        <v>0</v>
      </c>
      <c r="R30" s="761">
        <f t="shared" si="10"/>
        <v>0</v>
      </c>
      <c r="S30" s="761">
        <f t="shared" si="10"/>
        <v>0</v>
      </c>
      <c r="T30" s="986"/>
      <c r="U30" s="986"/>
      <c r="V30" s="986"/>
      <c r="W30" s="986"/>
      <c r="X30" s="986"/>
      <c r="Y30" s="986"/>
      <c r="Z30" s="986"/>
      <c r="AA30" s="986"/>
      <c r="AB30" s="986"/>
      <c r="AC30" s="986"/>
      <c r="AD30" s="986"/>
      <c r="AE30" s="986"/>
      <c r="AF30" s="986"/>
      <c r="AG30" s="986"/>
      <c r="AH30" s="986"/>
      <c r="AI30" s="769"/>
      <c r="AJ30" s="745">
        <f t="shared" si="0"/>
        <v>0</v>
      </c>
      <c r="AK30" s="745"/>
      <c r="AL30" s="1136"/>
      <c r="AM30" s="1137"/>
      <c r="AN30" s="1137"/>
      <c r="AO30" s="1137"/>
      <c r="AP30" s="1137"/>
      <c r="AQ30" s="1137">
        <v>4.6199999999999998E-2</v>
      </c>
      <c r="AR30" s="1137"/>
      <c r="AS30" s="1137"/>
      <c r="AT30" s="1139"/>
      <c r="AU30" s="1137"/>
      <c r="AV30" s="1137"/>
      <c r="AW30" s="1137"/>
      <c r="AX30" s="1137"/>
      <c r="AY30" s="1137"/>
      <c r="AZ30" s="1137">
        <v>4.6199999999999998E-2</v>
      </c>
      <c r="BA30" s="1137"/>
      <c r="BB30" s="1137"/>
      <c r="BC30" s="1139"/>
      <c r="BD30" s="1137"/>
      <c r="BE30" s="1137"/>
      <c r="BF30" s="1137"/>
      <c r="BG30" s="1137"/>
      <c r="BH30" s="1137"/>
      <c r="BI30" s="1137"/>
      <c r="BJ30" s="1139"/>
      <c r="BK30" s="1139"/>
      <c r="BL30" s="1137"/>
      <c r="BM30" s="1137"/>
      <c r="BN30" s="1137"/>
      <c r="BO30" s="1137"/>
      <c r="BP30" s="1137"/>
      <c r="BQ30" s="1139"/>
      <c r="BR30" s="1140"/>
      <c r="BS30" s="1137"/>
      <c r="BT30" s="1141"/>
    </row>
    <row r="31" spans="1:72" ht="21.95" hidden="1" customHeight="1">
      <c r="A31" s="2695"/>
      <c r="B31" s="2584" t="s">
        <v>1891</v>
      </c>
      <c r="C31" s="740">
        <v>0.6</v>
      </c>
      <c r="D31" s="1144"/>
      <c r="E31" s="1145"/>
      <c r="F31" s="752">
        <f>IF(F$4&lt;&gt;$C31,0,IF(AND(F$5="PA-2",F$9=2),F$2*F$3,0))</f>
        <v>0</v>
      </c>
      <c r="G31" s="752">
        <f>IF(G$4&lt;&gt;$C31,0,IF(AND(G$5="PA-2",G$9=2),G$2*G$3,0))</f>
        <v>0</v>
      </c>
      <c r="H31" s="752">
        <f>IF(H$4&lt;&gt;$C31,0,IF(AND(H$5="PA-2",H$9=2),H$2*H$3,0))</f>
        <v>0</v>
      </c>
      <c r="I31" s="752">
        <f>IF(I$4&lt;&gt;$C31,0,IF(AND(I$5="PA-2",I$9=2),I$2*I$3,0))</f>
        <v>0</v>
      </c>
      <c r="J31" s="752"/>
      <c r="K31" s="752"/>
      <c r="L31" s="752"/>
      <c r="M31" s="752"/>
      <c r="N31" s="980"/>
      <c r="O31" s="752">
        <f t="shared" ref="O31:S31" si="11">IF(O$4&lt;&gt;$C31,0,IF(AND(O$5="PA-2",O$9=2),O$2*O$3,0))</f>
        <v>0</v>
      </c>
      <c r="P31" s="752">
        <f t="shared" si="11"/>
        <v>0</v>
      </c>
      <c r="Q31" s="752">
        <f t="shared" si="11"/>
        <v>0</v>
      </c>
      <c r="R31" s="752">
        <f t="shared" si="11"/>
        <v>0</v>
      </c>
      <c r="S31" s="752">
        <f t="shared" si="11"/>
        <v>0</v>
      </c>
      <c r="T31" s="926"/>
      <c r="U31" s="926"/>
      <c r="V31" s="926"/>
      <c r="W31" s="926"/>
      <c r="X31" s="926"/>
      <c r="Y31" s="926"/>
      <c r="Z31" s="926"/>
      <c r="AA31" s="926"/>
      <c r="AB31" s="926"/>
      <c r="AC31" s="926"/>
      <c r="AD31" s="926"/>
      <c r="AE31" s="926"/>
      <c r="AF31" s="926"/>
      <c r="AG31" s="926"/>
      <c r="AH31" s="926"/>
      <c r="AI31" s="767"/>
      <c r="AJ31" s="745">
        <f t="shared" si="0"/>
        <v>0</v>
      </c>
      <c r="AK31" s="745"/>
      <c r="AL31" s="1136"/>
      <c r="AM31" s="1137"/>
      <c r="AN31" s="1137"/>
      <c r="AO31" s="1137"/>
      <c r="AP31" s="1137"/>
      <c r="AQ31" s="1137">
        <v>5.0000000000000001E-3</v>
      </c>
      <c r="AR31" s="1137"/>
      <c r="AS31" s="1137"/>
      <c r="AT31" s="1139"/>
      <c r="AU31" s="1137"/>
      <c r="AV31" s="1137"/>
      <c r="AW31" s="1137"/>
      <c r="AX31" s="1137"/>
      <c r="AY31" s="1137"/>
      <c r="AZ31" s="1137">
        <v>5.0000000000000001E-3</v>
      </c>
      <c r="BA31" s="1137"/>
      <c r="BB31" s="1137"/>
      <c r="BC31" s="1139"/>
      <c r="BD31" s="1137"/>
      <c r="BE31" s="1137"/>
      <c r="BF31" s="1137"/>
      <c r="BG31" s="1137"/>
      <c r="BH31" s="1137"/>
      <c r="BI31" s="1137"/>
      <c r="BJ31" s="1139"/>
      <c r="BK31" s="1139"/>
      <c r="BL31" s="1137"/>
      <c r="BM31" s="1137"/>
      <c r="BN31" s="1137"/>
      <c r="BO31" s="1137"/>
      <c r="BP31" s="1137"/>
      <c r="BQ31" s="1139"/>
      <c r="BR31" s="1140"/>
      <c r="BS31" s="1137"/>
      <c r="BT31" s="1141"/>
    </row>
    <row r="32" spans="1:72" ht="21.95" hidden="1" customHeight="1">
      <c r="A32" s="2695"/>
      <c r="B32" s="2585"/>
      <c r="C32" s="747">
        <v>0.8</v>
      </c>
      <c r="D32" s="1144"/>
      <c r="E32" s="1145"/>
      <c r="F32" s="752">
        <f>IF(F$4&lt;&gt;$C32,0,IF(AND(F$5="PA-2",F$9=2),F$2*F$3,0))</f>
        <v>0</v>
      </c>
      <c r="G32" s="752">
        <f t="shared" ref="G32:S35" si="12">IF(G$4&lt;&gt;$C32,0,IF(AND(G$5="PA-2",G$9=2),G$2*G$3,0))</f>
        <v>0</v>
      </c>
      <c r="H32" s="752">
        <f t="shared" si="12"/>
        <v>0</v>
      </c>
      <c r="I32" s="752">
        <f t="shared" si="12"/>
        <v>0</v>
      </c>
      <c r="J32" s="752"/>
      <c r="K32" s="752"/>
      <c r="L32" s="752"/>
      <c r="M32" s="752"/>
      <c r="N32" s="980"/>
      <c r="O32" s="752">
        <f t="shared" si="12"/>
        <v>0</v>
      </c>
      <c r="P32" s="752">
        <f t="shared" si="12"/>
        <v>0</v>
      </c>
      <c r="Q32" s="752">
        <f t="shared" si="12"/>
        <v>0</v>
      </c>
      <c r="R32" s="752">
        <f t="shared" si="12"/>
        <v>0</v>
      </c>
      <c r="S32" s="752">
        <f t="shared" si="12"/>
        <v>0</v>
      </c>
      <c r="T32" s="926"/>
      <c r="U32" s="926"/>
      <c r="V32" s="926"/>
      <c r="W32" s="926"/>
      <c r="X32" s="926"/>
      <c r="Y32" s="926"/>
      <c r="Z32" s="926"/>
      <c r="AA32" s="926"/>
      <c r="AB32" s="926"/>
      <c r="AC32" s="926"/>
      <c r="AD32" s="926"/>
      <c r="AE32" s="926"/>
      <c r="AF32" s="926"/>
      <c r="AG32" s="926"/>
      <c r="AH32" s="926"/>
      <c r="AI32" s="753"/>
      <c r="AJ32" s="745">
        <f t="shared" si="0"/>
        <v>0</v>
      </c>
      <c r="AK32" s="745"/>
      <c r="AL32" s="1136"/>
      <c r="AM32" s="1137"/>
      <c r="AN32" s="1137"/>
      <c r="AO32" s="1137"/>
      <c r="AP32" s="1137"/>
      <c r="AQ32" s="1137">
        <v>1.2E-2</v>
      </c>
      <c r="AR32" s="1137"/>
      <c r="AS32" s="1137"/>
      <c r="AT32" s="1139"/>
      <c r="AU32" s="1137"/>
      <c r="AV32" s="1137"/>
      <c r="AW32" s="1137"/>
      <c r="AX32" s="1137"/>
      <c r="AY32" s="1137"/>
      <c r="AZ32" s="1137">
        <v>1.2E-2</v>
      </c>
      <c r="BA32" s="1137"/>
      <c r="BB32" s="1137"/>
      <c r="BC32" s="1139"/>
      <c r="BD32" s="1137"/>
      <c r="BE32" s="1137"/>
      <c r="BF32" s="1137"/>
      <c r="BG32" s="1137"/>
      <c r="BH32" s="1137"/>
      <c r="BI32" s="1137"/>
      <c r="BJ32" s="1139"/>
      <c r="BK32" s="1139"/>
      <c r="BL32" s="1137"/>
      <c r="BM32" s="1137"/>
      <c r="BN32" s="1137"/>
      <c r="BO32" s="1137"/>
      <c r="BP32" s="1137"/>
      <c r="BQ32" s="1139"/>
      <c r="BR32" s="1140"/>
      <c r="BS32" s="1137"/>
      <c r="BT32" s="1141"/>
    </row>
    <row r="33" spans="1:72" ht="21.95" hidden="1" customHeight="1">
      <c r="A33" s="2695"/>
      <c r="B33" s="2585"/>
      <c r="C33" s="747">
        <v>1</v>
      </c>
      <c r="D33" s="1144"/>
      <c r="E33" s="1145"/>
      <c r="F33" s="752">
        <f>IF(F$4&lt;&gt;$C33,0,IF(AND(F$5="PA-2",F$9=2),F$2*F$3,0))</f>
        <v>0</v>
      </c>
      <c r="G33" s="752">
        <f t="shared" si="12"/>
        <v>0</v>
      </c>
      <c r="H33" s="752">
        <f t="shared" si="12"/>
        <v>0</v>
      </c>
      <c r="I33" s="752">
        <f t="shared" si="12"/>
        <v>0</v>
      </c>
      <c r="J33" s="752"/>
      <c r="K33" s="752"/>
      <c r="L33" s="752"/>
      <c r="M33" s="752"/>
      <c r="N33" s="980"/>
      <c r="O33" s="752">
        <f t="shared" si="12"/>
        <v>0</v>
      </c>
      <c r="P33" s="752">
        <f t="shared" si="12"/>
        <v>0</v>
      </c>
      <c r="Q33" s="752">
        <f t="shared" si="12"/>
        <v>0</v>
      </c>
      <c r="R33" s="752">
        <f t="shared" si="12"/>
        <v>0</v>
      </c>
      <c r="S33" s="752">
        <f t="shared" si="12"/>
        <v>0</v>
      </c>
      <c r="T33" s="926"/>
      <c r="U33" s="926"/>
      <c r="V33" s="926"/>
      <c r="W33" s="926"/>
      <c r="X33" s="926"/>
      <c r="Y33" s="926"/>
      <c r="Z33" s="926"/>
      <c r="AA33" s="926"/>
      <c r="AB33" s="926"/>
      <c r="AC33" s="926"/>
      <c r="AD33" s="926"/>
      <c r="AE33" s="926"/>
      <c r="AF33" s="926"/>
      <c r="AG33" s="926"/>
      <c r="AH33" s="926"/>
      <c r="AI33" s="753"/>
      <c r="AJ33" s="745">
        <f t="shared" si="0"/>
        <v>0</v>
      </c>
      <c r="AK33" s="745"/>
      <c r="AL33" s="1136"/>
      <c r="AM33" s="1137"/>
      <c r="AN33" s="1137"/>
      <c r="AO33" s="1137"/>
      <c r="AP33" s="1137"/>
      <c r="AQ33" s="1137">
        <v>2.8000000000000001E-2</v>
      </c>
      <c r="AR33" s="1137"/>
      <c r="AS33" s="1137"/>
      <c r="AT33" s="1139"/>
      <c r="AU33" s="1137"/>
      <c r="AV33" s="1137"/>
      <c r="AW33" s="1137"/>
      <c r="AX33" s="1137"/>
      <c r="AY33" s="1137"/>
      <c r="AZ33" s="1137">
        <v>2.8000000000000001E-2</v>
      </c>
      <c r="BA33" s="1137"/>
      <c r="BB33" s="1137"/>
      <c r="BC33" s="1139"/>
      <c r="BD33" s="1137"/>
      <c r="BE33" s="1137"/>
      <c r="BF33" s="1137"/>
      <c r="BG33" s="1137"/>
      <c r="BH33" s="1137"/>
      <c r="BI33" s="1137"/>
      <c r="BJ33" s="1139"/>
      <c r="BK33" s="1139"/>
      <c r="BL33" s="1137"/>
      <c r="BM33" s="1137"/>
      <c r="BN33" s="1137"/>
      <c r="BO33" s="1137"/>
      <c r="BP33" s="1137"/>
      <c r="BQ33" s="1139"/>
      <c r="BR33" s="1140"/>
      <c r="BS33" s="1137"/>
      <c r="BT33" s="1141"/>
    </row>
    <row r="34" spans="1:72" ht="21.95" hidden="1" customHeight="1">
      <c r="A34" s="2695"/>
      <c r="B34" s="2585"/>
      <c r="C34" s="747">
        <v>1.2</v>
      </c>
      <c r="D34" s="1144"/>
      <c r="E34" s="1145"/>
      <c r="F34" s="752">
        <f>IF(F$4&lt;&gt;$C34,0,IF(AND(F$5="PA-2",F$9=2),F$2*F$3,0))</f>
        <v>0</v>
      </c>
      <c r="G34" s="752">
        <f t="shared" si="12"/>
        <v>0</v>
      </c>
      <c r="H34" s="752">
        <f t="shared" si="12"/>
        <v>0</v>
      </c>
      <c r="I34" s="752">
        <f t="shared" si="12"/>
        <v>0</v>
      </c>
      <c r="J34" s="752"/>
      <c r="K34" s="752"/>
      <c r="L34" s="752"/>
      <c r="M34" s="752"/>
      <c r="N34" s="980"/>
      <c r="O34" s="752">
        <f t="shared" si="12"/>
        <v>0</v>
      </c>
      <c r="P34" s="752">
        <f t="shared" si="12"/>
        <v>0</v>
      </c>
      <c r="Q34" s="752">
        <f t="shared" si="12"/>
        <v>0</v>
      </c>
      <c r="R34" s="752">
        <f t="shared" si="12"/>
        <v>0</v>
      </c>
      <c r="S34" s="752">
        <f t="shared" si="12"/>
        <v>0</v>
      </c>
      <c r="T34" s="926"/>
      <c r="U34" s="926"/>
      <c r="V34" s="926"/>
      <c r="W34" s="926"/>
      <c r="X34" s="926"/>
      <c r="Y34" s="926"/>
      <c r="Z34" s="926"/>
      <c r="AA34" s="926"/>
      <c r="AB34" s="926"/>
      <c r="AC34" s="926"/>
      <c r="AD34" s="926"/>
      <c r="AE34" s="926"/>
      <c r="AF34" s="926"/>
      <c r="AG34" s="926"/>
      <c r="AH34" s="926"/>
      <c r="AI34" s="753"/>
      <c r="AJ34" s="745">
        <f t="shared" ref="AJ34:AJ65" si="13">SUM(F34:AI34)</f>
        <v>0</v>
      </c>
      <c r="AK34" s="745"/>
      <c r="AL34" s="1136"/>
      <c r="AM34" s="1137"/>
      <c r="AN34" s="1137"/>
      <c r="AO34" s="1137"/>
      <c r="AP34" s="1137"/>
      <c r="AQ34" s="1137">
        <v>3.4700000000000002E-2</v>
      </c>
      <c r="AR34" s="1137"/>
      <c r="AS34" s="1137"/>
      <c r="AT34" s="1139"/>
      <c r="AU34" s="1137"/>
      <c r="AV34" s="1137"/>
      <c r="AW34" s="1137"/>
      <c r="AX34" s="1137"/>
      <c r="AY34" s="1137"/>
      <c r="AZ34" s="1137">
        <v>3.4700000000000002E-2</v>
      </c>
      <c r="BA34" s="1137"/>
      <c r="BB34" s="1137"/>
      <c r="BC34" s="1139"/>
      <c r="BD34" s="1137"/>
      <c r="BE34" s="1137"/>
      <c r="BF34" s="1137"/>
      <c r="BG34" s="1137"/>
      <c r="BH34" s="1137"/>
      <c r="BI34" s="1137"/>
      <c r="BJ34" s="1139"/>
      <c r="BK34" s="1139"/>
      <c r="BL34" s="1137"/>
      <c r="BM34" s="1137"/>
      <c r="BN34" s="1137"/>
      <c r="BO34" s="1137"/>
      <c r="BP34" s="1137"/>
      <c r="BQ34" s="1139"/>
      <c r="BR34" s="1140"/>
      <c r="BS34" s="1137"/>
      <c r="BT34" s="1141"/>
    </row>
    <row r="35" spans="1:72" ht="21.95" hidden="1" customHeight="1" thickBot="1">
      <c r="A35" s="2695"/>
      <c r="B35" s="2586"/>
      <c r="C35" s="754">
        <v>1.5</v>
      </c>
      <c r="D35" s="1144"/>
      <c r="E35" s="1145"/>
      <c r="F35" s="752">
        <f>IF(F$4&lt;&gt;$C35,0,IF(AND(F$5="PA-2",F$9=2),F$2*F$3,0))</f>
        <v>0</v>
      </c>
      <c r="G35" s="752">
        <f t="shared" si="12"/>
        <v>0</v>
      </c>
      <c r="H35" s="752">
        <f t="shared" si="12"/>
        <v>0</v>
      </c>
      <c r="I35" s="752">
        <f t="shared" si="12"/>
        <v>0</v>
      </c>
      <c r="J35" s="752"/>
      <c r="K35" s="752"/>
      <c r="L35" s="752"/>
      <c r="M35" s="752"/>
      <c r="N35" s="980"/>
      <c r="O35" s="752">
        <f t="shared" si="12"/>
        <v>0</v>
      </c>
      <c r="P35" s="752">
        <f t="shared" si="12"/>
        <v>0</v>
      </c>
      <c r="Q35" s="752">
        <f t="shared" si="12"/>
        <v>0</v>
      </c>
      <c r="R35" s="752">
        <f t="shared" si="12"/>
        <v>0</v>
      </c>
      <c r="S35" s="752">
        <f t="shared" si="12"/>
        <v>0</v>
      </c>
      <c r="T35" s="926"/>
      <c r="U35" s="926"/>
      <c r="V35" s="926"/>
      <c r="W35" s="926"/>
      <c r="X35" s="926"/>
      <c r="Y35" s="926"/>
      <c r="Z35" s="926"/>
      <c r="AA35" s="926"/>
      <c r="AB35" s="926"/>
      <c r="AC35" s="926"/>
      <c r="AD35" s="926"/>
      <c r="AE35" s="926"/>
      <c r="AF35" s="926"/>
      <c r="AG35" s="926"/>
      <c r="AH35" s="926"/>
      <c r="AI35" s="769"/>
      <c r="AJ35" s="745">
        <f t="shared" si="13"/>
        <v>0</v>
      </c>
      <c r="AK35" s="745"/>
      <c r="AL35" s="1136"/>
      <c r="AM35" s="1137"/>
      <c r="AN35" s="1137"/>
      <c r="AO35" s="1137"/>
      <c r="AP35" s="1137"/>
      <c r="AQ35" s="1137">
        <v>4.6199999999999998E-2</v>
      </c>
      <c r="AR35" s="1137"/>
      <c r="AS35" s="1137"/>
      <c r="AT35" s="1139"/>
      <c r="AU35" s="1137"/>
      <c r="AV35" s="1137"/>
      <c r="AW35" s="1137"/>
      <c r="AX35" s="1137"/>
      <c r="AY35" s="1137"/>
      <c r="AZ35" s="1137">
        <v>4.6199999999999998E-2</v>
      </c>
      <c r="BA35" s="1137"/>
      <c r="BB35" s="1137"/>
      <c r="BC35" s="1139"/>
      <c r="BD35" s="1137"/>
      <c r="BE35" s="1137"/>
      <c r="BF35" s="1137"/>
      <c r="BG35" s="1137"/>
      <c r="BH35" s="1137"/>
      <c r="BI35" s="1137"/>
      <c r="BJ35" s="1139"/>
      <c r="BK35" s="1139"/>
      <c r="BL35" s="1137"/>
      <c r="BM35" s="1137"/>
      <c r="BN35" s="1137"/>
      <c r="BO35" s="1137"/>
      <c r="BP35" s="1137"/>
      <c r="BQ35" s="1139"/>
      <c r="BR35" s="1140"/>
      <c r="BS35" s="1137"/>
      <c r="BT35" s="1141"/>
    </row>
    <row r="36" spans="1:72" ht="21.95" hidden="1" customHeight="1">
      <c r="A36" s="2695"/>
      <c r="B36" s="2584" t="s">
        <v>1892</v>
      </c>
      <c r="C36" s="740" t="s">
        <v>1884</v>
      </c>
      <c r="D36" s="1142"/>
      <c r="E36" s="1143"/>
      <c r="F36" s="743">
        <f>Dren_Quantificacao!D152+Dren_Quantificacao!D155</f>
        <v>0</v>
      </c>
      <c r="G36" s="743">
        <f>Dren_Quantificacao!E152+Dren_Quantificacao!E155</f>
        <v>0</v>
      </c>
      <c r="H36" s="743">
        <f>Dren_Quantificacao!F152+Dren_Quantificacao!F155</f>
        <v>0</v>
      </c>
      <c r="I36" s="743">
        <f>Dren_Quantificacao!G152+Dren_Quantificacao!G155</f>
        <v>0</v>
      </c>
      <c r="J36" s="743"/>
      <c r="K36" s="743"/>
      <c r="L36" s="743"/>
      <c r="M36" s="743"/>
      <c r="N36" s="973"/>
      <c r="O36" s="743">
        <f>Dren_Quantificacao!L152+Dren_Quantificacao!L155</f>
        <v>0</v>
      </c>
      <c r="P36" s="743">
        <f>Dren_Quantificacao!M152+Dren_Quantificacao!M155</f>
        <v>0</v>
      </c>
      <c r="Q36" s="743">
        <f>Dren_Quantificacao!N152+Dren_Quantificacao!N155</f>
        <v>0</v>
      </c>
      <c r="R36" s="743">
        <f>Dren_Quantificacao!O152+Dren_Quantificacao!O155</f>
        <v>0</v>
      </c>
      <c r="S36" s="743">
        <f>Dren_Quantificacao!BD152+Dren_Quantificacao!BD155</f>
        <v>0</v>
      </c>
      <c r="T36" s="974"/>
      <c r="U36" s="974"/>
      <c r="V36" s="974"/>
      <c r="W36" s="974"/>
      <c r="X36" s="974"/>
      <c r="Y36" s="974"/>
      <c r="Z36" s="974"/>
      <c r="AA36" s="974"/>
      <c r="AB36" s="974"/>
      <c r="AC36" s="974"/>
      <c r="AD36" s="974"/>
      <c r="AE36" s="974"/>
      <c r="AF36" s="974"/>
      <c r="AG36" s="974"/>
      <c r="AH36" s="974"/>
      <c r="AI36" s="767"/>
      <c r="AJ36" s="745">
        <f t="shared" si="13"/>
        <v>0</v>
      </c>
      <c r="AK36" s="745"/>
      <c r="AL36" s="1136"/>
      <c r="AM36" s="1137"/>
      <c r="AN36" s="1137"/>
      <c r="AO36" s="1137"/>
      <c r="AP36" s="1137"/>
      <c r="AQ36" s="1137"/>
      <c r="AR36" s="1137"/>
      <c r="AS36" s="1137"/>
      <c r="AT36" s="1139"/>
      <c r="AU36" s="1137"/>
      <c r="AV36" s="1137"/>
      <c r="AW36" s="1137"/>
      <c r="AX36" s="1137"/>
      <c r="AY36" s="1137"/>
      <c r="AZ36" s="1137"/>
      <c r="BA36" s="1137"/>
      <c r="BB36" s="1137"/>
      <c r="BC36" s="1139"/>
      <c r="BD36" s="1137"/>
      <c r="BE36" s="1137"/>
      <c r="BF36" s="1137"/>
      <c r="BG36" s="1137"/>
      <c r="BH36" s="1137"/>
      <c r="BI36" s="1137"/>
      <c r="BJ36" s="1139"/>
      <c r="BK36" s="1139"/>
      <c r="BL36" s="1137"/>
      <c r="BM36" s="1137"/>
      <c r="BN36" s="1137"/>
      <c r="BO36" s="1137"/>
      <c r="BP36" s="1137"/>
      <c r="BQ36" s="1139"/>
      <c r="BR36" s="1140"/>
      <c r="BS36" s="1137"/>
      <c r="BT36" s="1141"/>
    </row>
    <row r="37" spans="1:72" ht="21.95" hidden="1" customHeight="1">
      <c r="A37" s="2695"/>
      <c r="B37" s="2585"/>
      <c r="C37" s="747">
        <v>0.5</v>
      </c>
      <c r="D37" s="1144"/>
      <c r="E37" s="1145"/>
      <c r="F37" s="752">
        <f t="shared" ref="F37:S37" si="14">IF(F$4&lt;&gt;$C37,0,IF(AND(F$5="P",F$9=1),F$2*F$3,0))</f>
        <v>0</v>
      </c>
      <c r="G37" s="752">
        <f t="shared" si="14"/>
        <v>0</v>
      </c>
      <c r="H37" s="752">
        <f t="shared" si="14"/>
        <v>0</v>
      </c>
      <c r="I37" s="752">
        <f t="shared" si="14"/>
        <v>0</v>
      </c>
      <c r="J37" s="752"/>
      <c r="K37" s="752"/>
      <c r="L37" s="752"/>
      <c r="M37" s="752"/>
      <c r="N37" s="980"/>
      <c r="O37" s="752">
        <f t="shared" si="14"/>
        <v>0</v>
      </c>
      <c r="P37" s="752">
        <f t="shared" si="14"/>
        <v>0</v>
      </c>
      <c r="Q37" s="752">
        <f t="shared" si="14"/>
        <v>0</v>
      </c>
      <c r="R37" s="752">
        <f t="shared" si="14"/>
        <v>0</v>
      </c>
      <c r="S37" s="752">
        <f t="shared" si="14"/>
        <v>0</v>
      </c>
      <c r="T37" s="926"/>
      <c r="U37" s="926"/>
      <c r="V37" s="926"/>
      <c r="W37" s="926"/>
      <c r="X37" s="926"/>
      <c r="Y37" s="926"/>
      <c r="Z37" s="926"/>
      <c r="AA37" s="926"/>
      <c r="AB37" s="926"/>
      <c r="AC37" s="926"/>
      <c r="AD37" s="926"/>
      <c r="AE37" s="926"/>
      <c r="AF37" s="926"/>
      <c r="AG37" s="926"/>
      <c r="AH37" s="926"/>
      <c r="AI37" s="753"/>
      <c r="AJ37" s="745">
        <f t="shared" si="13"/>
        <v>0</v>
      </c>
      <c r="AK37" s="745"/>
      <c r="AL37" s="1136"/>
      <c r="AM37" s="1137"/>
      <c r="AN37" s="1137"/>
      <c r="AO37" s="1137"/>
      <c r="AP37" s="1137"/>
      <c r="AQ37" s="1137"/>
      <c r="AR37" s="1137"/>
      <c r="AS37" s="1137"/>
      <c r="AT37" s="1139"/>
      <c r="AU37" s="1137"/>
      <c r="AV37" s="1137"/>
      <c r="AW37" s="1137"/>
      <c r="AX37" s="1137"/>
      <c r="AY37" s="1137"/>
      <c r="AZ37" s="1137"/>
      <c r="BA37" s="1137"/>
      <c r="BB37" s="1137"/>
      <c r="BC37" s="1139"/>
      <c r="BD37" s="1137"/>
      <c r="BE37" s="1137"/>
      <c r="BF37" s="1137"/>
      <c r="BG37" s="1137"/>
      <c r="BH37" s="1137"/>
      <c r="BI37" s="1137"/>
      <c r="BJ37" s="1139"/>
      <c r="BK37" s="1139"/>
      <c r="BL37" s="1137"/>
      <c r="BM37" s="1137"/>
      <c r="BN37" s="1137"/>
      <c r="BO37" s="1137"/>
      <c r="BP37" s="1137"/>
      <c r="BQ37" s="1139"/>
      <c r="BR37" s="1140"/>
      <c r="BS37" s="1137"/>
      <c r="BT37" s="1141"/>
    </row>
    <row r="38" spans="1:72" ht="21.95" hidden="1" customHeight="1">
      <c r="A38" s="2695"/>
      <c r="B38" s="2585"/>
      <c r="C38" s="911" t="s">
        <v>1893</v>
      </c>
      <c r="D38" s="1144"/>
      <c r="E38" s="1145"/>
      <c r="F38" s="752">
        <f>Dren_Quantificacao!D154+Dren_Quantificacao!D156</f>
        <v>0</v>
      </c>
      <c r="G38" s="752">
        <f>Dren_Quantificacao!E154+Dren_Quantificacao!E156</f>
        <v>0</v>
      </c>
      <c r="H38" s="752">
        <f>Dren_Quantificacao!F154+Dren_Quantificacao!F156</f>
        <v>0</v>
      </c>
      <c r="I38" s="752">
        <f>Dren_Quantificacao!G154+Dren_Quantificacao!G156</f>
        <v>0</v>
      </c>
      <c r="J38" s="752"/>
      <c r="K38" s="752"/>
      <c r="L38" s="752"/>
      <c r="M38" s="752"/>
      <c r="N38" s="980"/>
      <c r="O38" s="752">
        <f>Dren_Quantificacao!L154+Dren_Quantificacao!L156</f>
        <v>0</v>
      </c>
      <c r="P38" s="752">
        <f>Dren_Quantificacao!M154+Dren_Quantificacao!M156</f>
        <v>0</v>
      </c>
      <c r="Q38" s="752">
        <f>Dren_Quantificacao!N154+Dren_Quantificacao!N156</f>
        <v>0</v>
      </c>
      <c r="R38" s="752">
        <f>Dren_Quantificacao!O154+Dren_Quantificacao!O156</f>
        <v>0</v>
      </c>
      <c r="S38" s="752">
        <f>Dren_Quantificacao!BD154+Dren_Quantificacao!BD156</f>
        <v>0</v>
      </c>
      <c r="T38" s="926"/>
      <c r="U38" s="926"/>
      <c r="V38" s="926"/>
      <c r="W38" s="926"/>
      <c r="X38" s="926"/>
      <c r="Y38" s="926"/>
      <c r="Z38" s="926"/>
      <c r="AA38" s="926"/>
      <c r="AB38" s="926"/>
      <c r="AC38" s="926"/>
      <c r="AD38" s="926"/>
      <c r="AE38" s="926"/>
      <c r="AF38" s="926"/>
      <c r="AG38" s="926"/>
      <c r="AH38" s="926"/>
      <c r="AI38" s="753"/>
      <c r="AJ38" s="745">
        <f t="shared" si="13"/>
        <v>0</v>
      </c>
      <c r="AK38" s="745"/>
      <c r="AL38" s="1136"/>
      <c r="AM38" s="1137"/>
      <c r="AN38" s="1137"/>
      <c r="AO38" s="1137"/>
      <c r="AP38" s="1137"/>
      <c r="AQ38" s="1137"/>
      <c r="AR38" s="1137"/>
      <c r="AS38" s="1137"/>
      <c r="AT38" s="1139"/>
      <c r="AU38" s="1137"/>
      <c r="AV38" s="1137"/>
      <c r="AW38" s="1137"/>
      <c r="AX38" s="1137"/>
      <c r="AY38" s="1137"/>
      <c r="AZ38" s="1137"/>
      <c r="BA38" s="1137"/>
      <c r="BB38" s="1137"/>
      <c r="BC38" s="1139"/>
      <c r="BD38" s="1137"/>
      <c r="BE38" s="1137"/>
      <c r="BF38" s="1137"/>
      <c r="BG38" s="1137"/>
      <c r="BH38" s="1137"/>
      <c r="BI38" s="1137"/>
      <c r="BJ38" s="1139"/>
      <c r="BK38" s="1139"/>
      <c r="BL38" s="1137"/>
      <c r="BM38" s="1137"/>
      <c r="BN38" s="1137"/>
      <c r="BO38" s="1137"/>
      <c r="BP38" s="1137"/>
      <c r="BQ38" s="1139"/>
      <c r="BR38" s="1140"/>
      <c r="BS38" s="1137"/>
      <c r="BT38" s="1141"/>
    </row>
    <row r="39" spans="1:72" ht="21.95" hidden="1" customHeight="1">
      <c r="A39" s="2695"/>
      <c r="B39" s="2585"/>
      <c r="C39" s="747">
        <v>0.6</v>
      </c>
      <c r="D39" s="1144"/>
      <c r="E39" s="1145"/>
      <c r="F39" s="752">
        <f t="shared" ref="F39:S45" si="15">IF(F$4&lt;&gt;$C39,0,IF(AND(F$5="P",F$9=1),F$2*F$3,0))</f>
        <v>0</v>
      </c>
      <c r="G39" s="752">
        <f t="shared" si="15"/>
        <v>0</v>
      </c>
      <c r="H39" s="752">
        <f t="shared" si="15"/>
        <v>0</v>
      </c>
      <c r="I39" s="752">
        <f t="shared" si="15"/>
        <v>0</v>
      </c>
      <c r="J39" s="752"/>
      <c r="K39" s="752"/>
      <c r="L39" s="752"/>
      <c r="M39" s="752"/>
      <c r="N39" s="980"/>
      <c r="O39" s="752">
        <f t="shared" si="15"/>
        <v>0</v>
      </c>
      <c r="P39" s="752">
        <f t="shared" si="15"/>
        <v>0</v>
      </c>
      <c r="Q39" s="752">
        <f t="shared" si="15"/>
        <v>0</v>
      </c>
      <c r="R39" s="752">
        <f t="shared" si="15"/>
        <v>0</v>
      </c>
      <c r="S39" s="752">
        <f t="shared" si="15"/>
        <v>0</v>
      </c>
      <c r="T39" s="926"/>
      <c r="U39" s="926"/>
      <c r="V39" s="926"/>
      <c r="W39" s="926"/>
      <c r="X39" s="926"/>
      <c r="Y39" s="926"/>
      <c r="Z39" s="926"/>
      <c r="AA39" s="926"/>
      <c r="AB39" s="926"/>
      <c r="AC39" s="926"/>
      <c r="AD39" s="926"/>
      <c r="AE39" s="926"/>
      <c r="AF39" s="926"/>
      <c r="AG39" s="926"/>
      <c r="AH39" s="926"/>
      <c r="AI39" s="753"/>
      <c r="AJ39" s="745">
        <f t="shared" si="13"/>
        <v>0</v>
      </c>
      <c r="AK39" s="745"/>
      <c r="AL39" s="1136"/>
      <c r="AM39" s="1137"/>
      <c r="AN39" s="1137"/>
      <c r="AO39" s="1137"/>
      <c r="AP39" s="1137"/>
      <c r="AQ39" s="1137"/>
      <c r="AR39" s="1137"/>
      <c r="AS39" s="1137"/>
      <c r="AT39" s="1139"/>
      <c r="AU39" s="1137"/>
      <c r="AV39" s="1137"/>
      <c r="AW39" s="1137"/>
      <c r="AX39" s="1137"/>
      <c r="AY39" s="1137"/>
      <c r="AZ39" s="1137"/>
      <c r="BA39" s="1137"/>
      <c r="BB39" s="1137"/>
      <c r="BC39" s="1139"/>
      <c r="BD39" s="1137"/>
      <c r="BE39" s="1137"/>
      <c r="BF39" s="1137"/>
      <c r="BG39" s="1137"/>
      <c r="BH39" s="1137"/>
      <c r="BI39" s="1137"/>
      <c r="BJ39" s="1139"/>
      <c r="BK39" s="1139"/>
      <c r="BL39" s="1137"/>
      <c r="BM39" s="1137"/>
      <c r="BN39" s="1137"/>
      <c r="BO39" s="1137"/>
      <c r="BP39" s="1137"/>
      <c r="BQ39" s="1139"/>
      <c r="BR39" s="1140"/>
      <c r="BS39" s="1137"/>
      <c r="BT39" s="1141"/>
    </row>
    <row r="40" spans="1:72" ht="21.95" hidden="1" customHeight="1">
      <c r="A40" s="2695"/>
      <c r="B40" s="2585"/>
      <c r="C40" s="747">
        <v>0.75</v>
      </c>
      <c r="D40" s="1144"/>
      <c r="E40" s="1145"/>
      <c r="F40" s="752">
        <f t="shared" si="15"/>
        <v>0</v>
      </c>
      <c r="G40" s="752">
        <f t="shared" si="15"/>
        <v>0</v>
      </c>
      <c r="H40" s="752">
        <f t="shared" si="15"/>
        <v>0</v>
      </c>
      <c r="I40" s="752">
        <f t="shared" si="15"/>
        <v>0</v>
      </c>
      <c r="J40" s="752"/>
      <c r="K40" s="752"/>
      <c r="L40" s="752"/>
      <c r="M40" s="752"/>
      <c r="N40" s="980"/>
      <c r="O40" s="752">
        <f t="shared" si="15"/>
        <v>0</v>
      </c>
      <c r="P40" s="752">
        <f t="shared" si="15"/>
        <v>0</v>
      </c>
      <c r="Q40" s="752">
        <f t="shared" si="15"/>
        <v>0</v>
      </c>
      <c r="R40" s="752">
        <f t="shared" si="15"/>
        <v>0</v>
      </c>
      <c r="S40" s="752">
        <f t="shared" si="15"/>
        <v>0</v>
      </c>
      <c r="T40" s="926"/>
      <c r="U40" s="926"/>
      <c r="V40" s="926"/>
      <c r="W40" s="926"/>
      <c r="X40" s="926"/>
      <c r="Y40" s="926"/>
      <c r="Z40" s="926"/>
      <c r="AA40" s="926"/>
      <c r="AB40" s="926"/>
      <c r="AC40" s="926"/>
      <c r="AD40" s="926"/>
      <c r="AE40" s="926"/>
      <c r="AF40" s="926"/>
      <c r="AG40" s="926"/>
      <c r="AH40" s="926"/>
      <c r="AI40" s="753"/>
      <c r="AJ40" s="745">
        <f t="shared" si="13"/>
        <v>0</v>
      </c>
      <c r="AK40" s="745"/>
      <c r="AL40" s="1136"/>
      <c r="AM40" s="1137"/>
      <c r="AN40" s="1137"/>
      <c r="AO40" s="1137"/>
      <c r="AP40" s="1137"/>
      <c r="AQ40" s="1137"/>
      <c r="AR40" s="1137"/>
      <c r="AS40" s="1137"/>
      <c r="AT40" s="1139"/>
      <c r="AU40" s="1137"/>
      <c r="AV40" s="1137"/>
      <c r="AW40" s="1137"/>
      <c r="AX40" s="1137"/>
      <c r="AY40" s="1137"/>
      <c r="AZ40" s="1137"/>
      <c r="BA40" s="1137"/>
      <c r="BB40" s="1137"/>
      <c r="BC40" s="1139"/>
      <c r="BD40" s="1137"/>
      <c r="BE40" s="1137"/>
      <c r="BF40" s="1137"/>
      <c r="BG40" s="1137"/>
      <c r="BH40" s="1137"/>
      <c r="BI40" s="1137"/>
      <c r="BJ40" s="1139"/>
      <c r="BK40" s="1139"/>
      <c r="BL40" s="1137"/>
      <c r="BM40" s="1137"/>
      <c r="BN40" s="1137"/>
      <c r="BO40" s="1137"/>
      <c r="BP40" s="1137"/>
      <c r="BQ40" s="1139"/>
      <c r="BR40" s="1140"/>
      <c r="BS40" s="1137"/>
      <c r="BT40" s="1141"/>
    </row>
    <row r="41" spans="1:72" ht="21.95" hidden="1" customHeight="1">
      <c r="A41" s="2695"/>
      <c r="B41" s="2585"/>
      <c r="C41" s="747">
        <v>0.8</v>
      </c>
      <c r="D41" s="1144"/>
      <c r="E41" s="1145"/>
      <c r="F41" s="752">
        <f t="shared" si="15"/>
        <v>0</v>
      </c>
      <c r="G41" s="752">
        <f t="shared" si="15"/>
        <v>0</v>
      </c>
      <c r="H41" s="752">
        <f t="shared" si="15"/>
        <v>0</v>
      </c>
      <c r="I41" s="752">
        <f t="shared" si="15"/>
        <v>0</v>
      </c>
      <c r="J41" s="752"/>
      <c r="K41" s="752"/>
      <c r="L41" s="752"/>
      <c r="M41" s="752"/>
      <c r="N41" s="980"/>
      <c r="O41" s="752">
        <f t="shared" si="15"/>
        <v>0</v>
      </c>
      <c r="P41" s="752">
        <f t="shared" si="15"/>
        <v>0</v>
      </c>
      <c r="Q41" s="752">
        <f t="shared" si="15"/>
        <v>0</v>
      </c>
      <c r="R41" s="752">
        <f t="shared" si="15"/>
        <v>0</v>
      </c>
      <c r="S41" s="752">
        <f t="shared" si="15"/>
        <v>0</v>
      </c>
      <c r="T41" s="926"/>
      <c r="U41" s="926"/>
      <c r="V41" s="926"/>
      <c r="W41" s="926"/>
      <c r="X41" s="926"/>
      <c r="Y41" s="926"/>
      <c r="Z41" s="926"/>
      <c r="AA41" s="926"/>
      <c r="AB41" s="926"/>
      <c r="AC41" s="926"/>
      <c r="AD41" s="926"/>
      <c r="AE41" s="926"/>
      <c r="AF41" s="926"/>
      <c r="AG41" s="926"/>
      <c r="AH41" s="926"/>
      <c r="AI41" s="753"/>
      <c r="AJ41" s="745">
        <f t="shared" si="13"/>
        <v>0</v>
      </c>
      <c r="AK41" s="745"/>
      <c r="AL41" s="1136"/>
      <c r="AM41" s="1137"/>
      <c r="AN41" s="1137"/>
      <c r="AO41" s="1137"/>
      <c r="AP41" s="1137"/>
      <c r="AQ41" s="1137"/>
      <c r="AR41" s="1137"/>
      <c r="AS41" s="1137"/>
      <c r="AT41" s="1139"/>
      <c r="AU41" s="1137"/>
      <c r="AV41" s="1137"/>
      <c r="AW41" s="1137"/>
      <c r="AX41" s="1137"/>
      <c r="AY41" s="1137"/>
      <c r="AZ41" s="1137"/>
      <c r="BA41" s="1137"/>
      <c r="BB41" s="1137"/>
      <c r="BC41" s="1139"/>
      <c r="BD41" s="1137"/>
      <c r="BE41" s="1137"/>
      <c r="BF41" s="1137"/>
      <c r="BG41" s="1137"/>
      <c r="BH41" s="1137"/>
      <c r="BI41" s="1137"/>
      <c r="BJ41" s="1139"/>
      <c r="BK41" s="1139"/>
      <c r="BL41" s="1137"/>
      <c r="BM41" s="1137"/>
      <c r="BN41" s="1137"/>
      <c r="BO41" s="1137"/>
      <c r="BP41" s="1137"/>
      <c r="BQ41" s="1139"/>
      <c r="BR41" s="1140"/>
      <c r="BS41" s="1137"/>
      <c r="BT41" s="1141"/>
    </row>
    <row r="42" spans="1:72" ht="21.95" hidden="1" customHeight="1">
      <c r="A42" s="2695"/>
      <c r="B42" s="2585"/>
      <c r="C42" s="747">
        <v>0.9</v>
      </c>
      <c r="D42" s="1144"/>
      <c r="E42" s="1145"/>
      <c r="F42" s="752">
        <f t="shared" si="15"/>
        <v>0</v>
      </c>
      <c r="G42" s="752">
        <f t="shared" si="15"/>
        <v>0</v>
      </c>
      <c r="H42" s="752">
        <f t="shared" si="15"/>
        <v>0</v>
      </c>
      <c r="I42" s="752">
        <f t="shared" si="15"/>
        <v>0</v>
      </c>
      <c r="J42" s="752"/>
      <c r="K42" s="752"/>
      <c r="L42" s="752"/>
      <c r="M42" s="752"/>
      <c r="N42" s="980"/>
      <c r="O42" s="752">
        <f t="shared" si="15"/>
        <v>0</v>
      </c>
      <c r="P42" s="752">
        <f t="shared" si="15"/>
        <v>0</v>
      </c>
      <c r="Q42" s="752">
        <f t="shared" si="15"/>
        <v>0</v>
      </c>
      <c r="R42" s="752">
        <f t="shared" si="15"/>
        <v>0</v>
      </c>
      <c r="S42" s="752">
        <f t="shared" si="15"/>
        <v>0</v>
      </c>
      <c r="T42" s="926"/>
      <c r="U42" s="926"/>
      <c r="V42" s="926"/>
      <c r="W42" s="926"/>
      <c r="X42" s="926"/>
      <c r="Y42" s="926"/>
      <c r="Z42" s="926"/>
      <c r="AA42" s="926"/>
      <c r="AB42" s="926"/>
      <c r="AC42" s="926"/>
      <c r="AD42" s="926"/>
      <c r="AE42" s="926"/>
      <c r="AF42" s="926"/>
      <c r="AG42" s="926"/>
      <c r="AH42" s="926"/>
      <c r="AI42" s="753"/>
      <c r="AJ42" s="745">
        <f t="shared" si="13"/>
        <v>0</v>
      </c>
      <c r="AK42" s="745"/>
      <c r="AL42" s="1136"/>
      <c r="AM42" s="1137"/>
      <c r="AN42" s="1137"/>
      <c r="AO42" s="1137"/>
      <c r="AP42" s="1137"/>
      <c r="AQ42" s="1137"/>
      <c r="AR42" s="1137"/>
      <c r="AS42" s="1137"/>
      <c r="AT42" s="1139"/>
      <c r="AU42" s="1137"/>
      <c r="AV42" s="1137"/>
      <c r="AW42" s="1137"/>
      <c r="AX42" s="1137"/>
      <c r="AY42" s="1137"/>
      <c r="AZ42" s="1137"/>
      <c r="BA42" s="1137"/>
      <c r="BB42" s="1137"/>
      <c r="BC42" s="1139"/>
      <c r="BD42" s="1137"/>
      <c r="BE42" s="1137"/>
      <c r="BF42" s="1137"/>
      <c r="BG42" s="1137"/>
      <c r="BH42" s="1137"/>
      <c r="BI42" s="1137"/>
      <c r="BJ42" s="1139"/>
      <c r="BK42" s="1139"/>
      <c r="BL42" s="1137"/>
      <c r="BM42" s="1137"/>
      <c r="BN42" s="1137"/>
      <c r="BO42" s="1137"/>
      <c r="BP42" s="1137"/>
      <c r="BQ42" s="1139"/>
      <c r="BR42" s="1140"/>
      <c r="BS42" s="1137"/>
      <c r="BT42" s="1141"/>
    </row>
    <row r="43" spans="1:72" ht="21.95" hidden="1" customHeight="1">
      <c r="A43" s="2695"/>
      <c r="B43" s="2585"/>
      <c r="C43" s="747">
        <v>1</v>
      </c>
      <c r="D43" s="1144"/>
      <c r="E43" s="1145"/>
      <c r="F43" s="752">
        <f t="shared" si="15"/>
        <v>0</v>
      </c>
      <c r="G43" s="752">
        <f t="shared" si="15"/>
        <v>0</v>
      </c>
      <c r="H43" s="752">
        <f t="shared" si="15"/>
        <v>0</v>
      </c>
      <c r="I43" s="752">
        <f t="shared" si="15"/>
        <v>0</v>
      </c>
      <c r="J43" s="752"/>
      <c r="K43" s="752"/>
      <c r="L43" s="752"/>
      <c r="M43" s="752"/>
      <c r="N43" s="980"/>
      <c r="O43" s="752">
        <f t="shared" si="15"/>
        <v>0</v>
      </c>
      <c r="P43" s="752">
        <f t="shared" si="15"/>
        <v>0</v>
      </c>
      <c r="Q43" s="752">
        <f t="shared" si="15"/>
        <v>0</v>
      </c>
      <c r="R43" s="752">
        <f t="shared" si="15"/>
        <v>0</v>
      </c>
      <c r="S43" s="752">
        <f t="shared" si="15"/>
        <v>0</v>
      </c>
      <c r="T43" s="926"/>
      <c r="U43" s="926"/>
      <c r="V43" s="926"/>
      <c r="W43" s="926"/>
      <c r="X43" s="926"/>
      <c r="Y43" s="926"/>
      <c r="Z43" s="926"/>
      <c r="AA43" s="926"/>
      <c r="AB43" s="926"/>
      <c r="AC43" s="926"/>
      <c r="AD43" s="926"/>
      <c r="AE43" s="926"/>
      <c r="AF43" s="926"/>
      <c r="AG43" s="926"/>
      <c r="AH43" s="926"/>
      <c r="AI43" s="753"/>
      <c r="AJ43" s="745">
        <f t="shared" si="13"/>
        <v>0</v>
      </c>
      <c r="AK43" s="745"/>
      <c r="AL43" s="1136"/>
      <c r="AM43" s="1137"/>
      <c r="AN43" s="1137"/>
      <c r="AO43" s="1137"/>
      <c r="AP43" s="1137"/>
      <c r="AQ43" s="1137"/>
      <c r="AR43" s="1137"/>
      <c r="AS43" s="1137"/>
      <c r="AT43" s="1139"/>
      <c r="AU43" s="1137"/>
      <c r="AV43" s="1137"/>
      <c r="AW43" s="1137"/>
      <c r="AX43" s="1137"/>
      <c r="AY43" s="1137"/>
      <c r="AZ43" s="1137"/>
      <c r="BA43" s="1137"/>
      <c r="BB43" s="1137"/>
      <c r="BC43" s="1139"/>
      <c r="BD43" s="1137"/>
      <c r="BE43" s="1137"/>
      <c r="BF43" s="1137"/>
      <c r="BG43" s="1137"/>
      <c r="BH43" s="1137"/>
      <c r="BI43" s="1137"/>
      <c r="BJ43" s="1139"/>
      <c r="BK43" s="1139"/>
      <c r="BL43" s="1137"/>
      <c r="BM43" s="1137"/>
      <c r="BN43" s="1137"/>
      <c r="BO43" s="1137"/>
      <c r="BP43" s="1137"/>
      <c r="BQ43" s="1139"/>
      <c r="BR43" s="1140"/>
      <c r="BS43" s="1137"/>
      <c r="BT43" s="1141"/>
    </row>
    <row r="44" spans="1:72" ht="21.95" hidden="1" customHeight="1">
      <c r="A44" s="2695"/>
      <c r="B44" s="2585"/>
      <c r="C44" s="747">
        <v>1.2</v>
      </c>
      <c r="D44" s="1144"/>
      <c r="E44" s="1145"/>
      <c r="F44" s="752">
        <f t="shared" si="15"/>
        <v>0</v>
      </c>
      <c r="G44" s="752">
        <f t="shared" si="15"/>
        <v>0</v>
      </c>
      <c r="H44" s="752">
        <f t="shared" si="15"/>
        <v>0</v>
      </c>
      <c r="I44" s="752">
        <f t="shared" si="15"/>
        <v>0</v>
      </c>
      <c r="J44" s="752"/>
      <c r="K44" s="752"/>
      <c r="L44" s="752"/>
      <c r="M44" s="752"/>
      <c r="N44" s="980"/>
      <c r="O44" s="752">
        <f t="shared" si="15"/>
        <v>0</v>
      </c>
      <c r="P44" s="752">
        <f t="shared" si="15"/>
        <v>0</v>
      </c>
      <c r="Q44" s="752">
        <f t="shared" si="15"/>
        <v>0</v>
      </c>
      <c r="R44" s="752">
        <f t="shared" si="15"/>
        <v>0</v>
      </c>
      <c r="S44" s="752">
        <f t="shared" si="15"/>
        <v>0</v>
      </c>
      <c r="T44" s="926"/>
      <c r="U44" s="926"/>
      <c r="V44" s="926"/>
      <c r="W44" s="926"/>
      <c r="X44" s="926"/>
      <c r="Y44" s="926"/>
      <c r="Z44" s="926"/>
      <c r="AA44" s="926"/>
      <c r="AB44" s="926"/>
      <c r="AC44" s="926"/>
      <c r="AD44" s="926"/>
      <c r="AE44" s="926"/>
      <c r="AF44" s="926"/>
      <c r="AG44" s="926"/>
      <c r="AH44" s="926"/>
      <c r="AI44" s="753"/>
      <c r="AJ44" s="745">
        <f t="shared" si="13"/>
        <v>0</v>
      </c>
      <c r="AK44" s="745"/>
      <c r="AL44" s="1136"/>
      <c r="AM44" s="1137"/>
      <c r="AN44" s="1137"/>
      <c r="AO44" s="1137"/>
      <c r="AP44" s="1137"/>
      <c r="AQ44" s="1137"/>
      <c r="AR44" s="1137"/>
      <c r="AS44" s="1137"/>
      <c r="AT44" s="1139"/>
      <c r="AU44" s="1137"/>
      <c r="AV44" s="1137"/>
      <c r="AW44" s="1137"/>
      <c r="AX44" s="1137"/>
      <c r="AY44" s="1137"/>
      <c r="AZ44" s="1137"/>
      <c r="BA44" s="1137"/>
      <c r="BB44" s="1137"/>
      <c r="BC44" s="1139"/>
      <c r="BD44" s="1137"/>
      <c r="BE44" s="1137"/>
      <c r="BF44" s="1137"/>
      <c r="BG44" s="1137"/>
      <c r="BH44" s="1137"/>
      <c r="BI44" s="1137"/>
      <c r="BJ44" s="1139"/>
      <c r="BK44" s="1139"/>
      <c r="BL44" s="1137"/>
      <c r="BM44" s="1137"/>
      <c r="BN44" s="1137"/>
      <c r="BO44" s="1137"/>
      <c r="BP44" s="1137"/>
      <c r="BQ44" s="1139"/>
      <c r="BR44" s="1140"/>
      <c r="BS44" s="1137"/>
      <c r="BT44" s="1141"/>
    </row>
    <row r="45" spans="1:72" ht="21.95" hidden="1" customHeight="1" thickBot="1">
      <c r="A45" s="2695"/>
      <c r="B45" s="2586"/>
      <c r="C45" s="754">
        <v>1.5</v>
      </c>
      <c r="D45" s="1146"/>
      <c r="E45" s="1147"/>
      <c r="F45" s="761">
        <f t="shared" si="15"/>
        <v>0</v>
      </c>
      <c r="G45" s="761">
        <f t="shared" si="15"/>
        <v>0</v>
      </c>
      <c r="H45" s="761">
        <f t="shared" si="15"/>
        <v>0</v>
      </c>
      <c r="I45" s="761">
        <f t="shared" si="15"/>
        <v>0</v>
      </c>
      <c r="J45" s="761"/>
      <c r="K45" s="761"/>
      <c r="L45" s="761"/>
      <c r="M45" s="761"/>
      <c r="N45" s="985"/>
      <c r="O45" s="761">
        <f t="shared" si="15"/>
        <v>0</v>
      </c>
      <c r="P45" s="761">
        <f t="shared" si="15"/>
        <v>0</v>
      </c>
      <c r="Q45" s="761">
        <f t="shared" si="15"/>
        <v>0</v>
      </c>
      <c r="R45" s="761">
        <f t="shared" si="15"/>
        <v>0</v>
      </c>
      <c r="S45" s="761">
        <f t="shared" si="15"/>
        <v>0</v>
      </c>
      <c r="T45" s="986"/>
      <c r="U45" s="986"/>
      <c r="V45" s="986"/>
      <c r="W45" s="986"/>
      <c r="X45" s="986"/>
      <c r="Y45" s="986"/>
      <c r="Z45" s="986"/>
      <c r="AA45" s="986"/>
      <c r="AB45" s="986"/>
      <c r="AC45" s="986"/>
      <c r="AD45" s="986"/>
      <c r="AE45" s="986"/>
      <c r="AF45" s="986"/>
      <c r="AG45" s="986"/>
      <c r="AH45" s="986"/>
      <c r="AI45" s="769"/>
      <c r="AJ45" s="745">
        <f t="shared" si="13"/>
        <v>0</v>
      </c>
      <c r="AK45" s="745"/>
      <c r="AL45" s="1136"/>
      <c r="AM45" s="1137"/>
      <c r="AN45" s="1137"/>
      <c r="AO45" s="1137"/>
      <c r="AP45" s="1137"/>
      <c r="AQ45" s="1137"/>
      <c r="AR45" s="1137"/>
      <c r="AS45" s="1137"/>
      <c r="AT45" s="1139"/>
      <c r="AU45" s="1137"/>
      <c r="AV45" s="1137"/>
      <c r="AW45" s="1137"/>
      <c r="AX45" s="1137"/>
      <c r="AY45" s="1137"/>
      <c r="AZ45" s="1137"/>
      <c r="BA45" s="1137"/>
      <c r="BB45" s="1137"/>
      <c r="BC45" s="1139"/>
      <c r="BD45" s="1137"/>
      <c r="BE45" s="1137"/>
      <c r="BF45" s="1137"/>
      <c r="BG45" s="1137"/>
      <c r="BH45" s="1137"/>
      <c r="BI45" s="1137"/>
      <c r="BJ45" s="1139"/>
      <c r="BK45" s="1139"/>
      <c r="BL45" s="1137"/>
      <c r="BM45" s="1137"/>
      <c r="BN45" s="1137"/>
      <c r="BO45" s="1137"/>
      <c r="BP45" s="1137"/>
      <c r="BQ45" s="1139"/>
      <c r="BR45" s="1140"/>
      <c r="BS45" s="1137"/>
      <c r="BT45" s="1141"/>
    </row>
    <row r="46" spans="1:72" ht="21.95" hidden="1" customHeight="1">
      <c r="A46" s="2695"/>
      <c r="B46" s="2584" t="s">
        <v>1894</v>
      </c>
      <c r="C46" s="740" t="s">
        <v>1884</v>
      </c>
      <c r="D46" s="1144"/>
      <c r="E46" s="1145"/>
      <c r="F46" s="752">
        <f>Dren_Quantificacao!D151</f>
        <v>0</v>
      </c>
      <c r="G46" s="752">
        <f>Dren_Quantificacao!E151</f>
        <v>0</v>
      </c>
      <c r="H46" s="752">
        <f>Dren_Quantificacao!F151</f>
        <v>0</v>
      </c>
      <c r="I46" s="752">
        <f>Dren_Quantificacao!G151</f>
        <v>0</v>
      </c>
      <c r="J46" s="752"/>
      <c r="K46" s="752"/>
      <c r="L46" s="752"/>
      <c r="M46" s="752"/>
      <c r="N46" s="980"/>
      <c r="O46" s="752">
        <f>Dren_Quantificacao!L151</f>
        <v>0</v>
      </c>
      <c r="P46" s="752">
        <f>Dren_Quantificacao!M151</f>
        <v>0</v>
      </c>
      <c r="Q46" s="752">
        <f>Dren_Quantificacao!N151</f>
        <v>0</v>
      </c>
      <c r="R46" s="752">
        <f>Dren_Quantificacao!O151</f>
        <v>0</v>
      </c>
      <c r="S46" s="752">
        <f>Dren_Quantificacao!BD151</f>
        <v>0</v>
      </c>
      <c r="T46" s="926"/>
      <c r="U46" s="926"/>
      <c r="V46" s="926"/>
      <c r="W46" s="926"/>
      <c r="X46" s="926"/>
      <c r="Y46" s="926"/>
      <c r="Z46" s="926"/>
      <c r="AA46" s="926"/>
      <c r="AB46" s="926"/>
      <c r="AC46" s="926"/>
      <c r="AD46" s="926"/>
      <c r="AE46" s="926"/>
      <c r="AF46" s="926"/>
      <c r="AG46" s="926"/>
      <c r="AH46" s="926"/>
      <c r="AI46" s="767"/>
      <c r="AJ46" s="745">
        <f t="shared" si="13"/>
        <v>0</v>
      </c>
      <c r="AK46" s="745"/>
      <c r="AL46" s="1136"/>
      <c r="AM46" s="1137"/>
      <c r="AN46" s="1137"/>
      <c r="AO46" s="1137"/>
      <c r="AP46" s="1137"/>
      <c r="AQ46" s="1137"/>
      <c r="AR46" s="1137"/>
      <c r="AS46" s="1137"/>
      <c r="AT46" s="1139"/>
      <c r="AU46" s="1137"/>
      <c r="AV46" s="1137"/>
      <c r="AW46" s="1137"/>
      <c r="AX46" s="1137"/>
      <c r="AY46" s="1137"/>
      <c r="AZ46" s="1137"/>
      <c r="BA46" s="1137"/>
      <c r="BB46" s="1137"/>
      <c r="BC46" s="1139"/>
      <c r="BD46" s="1137"/>
      <c r="BE46" s="1137"/>
      <c r="BF46" s="1137"/>
      <c r="BG46" s="1137"/>
      <c r="BH46" s="1137"/>
      <c r="BI46" s="1137"/>
      <c r="BJ46" s="1139"/>
      <c r="BK46" s="1139"/>
      <c r="BL46" s="1137"/>
      <c r="BM46" s="1137"/>
      <c r="BN46" s="1137"/>
      <c r="BO46" s="1137"/>
      <c r="BP46" s="1137"/>
      <c r="BQ46" s="1139"/>
      <c r="BR46" s="1140"/>
      <c r="BS46" s="1137"/>
      <c r="BT46" s="1141"/>
    </row>
    <row r="47" spans="1:72" ht="21.95" hidden="1" customHeight="1">
      <c r="A47" s="2695"/>
      <c r="B47" s="2585"/>
      <c r="C47" s="747">
        <v>0.5</v>
      </c>
      <c r="D47" s="1144"/>
      <c r="E47" s="1145"/>
      <c r="F47" s="752">
        <f t="shared" ref="F47:S47" si="16">IF(F$4&lt;&gt;$C47,0,IF(AND(F$5="P",F$9=2),F$2*F$3,0))</f>
        <v>0</v>
      </c>
      <c r="G47" s="752">
        <f t="shared" si="16"/>
        <v>0</v>
      </c>
      <c r="H47" s="752">
        <f t="shared" si="16"/>
        <v>0</v>
      </c>
      <c r="I47" s="752">
        <f t="shared" si="16"/>
        <v>0</v>
      </c>
      <c r="J47" s="752"/>
      <c r="K47" s="752"/>
      <c r="L47" s="752"/>
      <c r="M47" s="752"/>
      <c r="N47" s="980"/>
      <c r="O47" s="752">
        <f t="shared" si="16"/>
        <v>0</v>
      </c>
      <c r="P47" s="752">
        <f t="shared" si="16"/>
        <v>0</v>
      </c>
      <c r="Q47" s="752">
        <f t="shared" si="16"/>
        <v>0</v>
      </c>
      <c r="R47" s="752">
        <f t="shared" si="16"/>
        <v>0</v>
      </c>
      <c r="S47" s="752">
        <f t="shared" si="16"/>
        <v>0</v>
      </c>
      <c r="T47" s="926"/>
      <c r="U47" s="926"/>
      <c r="V47" s="926"/>
      <c r="W47" s="926"/>
      <c r="X47" s="926"/>
      <c r="Y47" s="926"/>
      <c r="Z47" s="926"/>
      <c r="AA47" s="926"/>
      <c r="AB47" s="926"/>
      <c r="AC47" s="926"/>
      <c r="AD47" s="926"/>
      <c r="AE47" s="926"/>
      <c r="AF47" s="926"/>
      <c r="AG47" s="926"/>
      <c r="AH47" s="926"/>
      <c r="AI47" s="753"/>
      <c r="AJ47" s="745">
        <f t="shared" si="13"/>
        <v>0</v>
      </c>
      <c r="AK47" s="745"/>
      <c r="AL47" s="1136"/>
      <c r="AM47" s="1137"/>
      <c r="AN47" s="1137"/>
      <c r="AO47" s="1137"/>
      <c r="AP47" s="1137"/>
      <c r="AQ47" s="1137"/>
      <c r="AR47" s="1137"/>
      <c r="AS47" s="1137"/>
      <c r="AT47" s="1139"/>
      <c r="AU47" s="1137"/>
      <c r="AV47" s="1137"/>
      <c r="AW47" s="1137"/>
      <c r="AX47" s="1137"/>
      <c r="AY47" s="1137"/>
      <c r="AZ47" s="1137"/>
      <c r="BA47" s="1137"/>
      <c r="BB47" s="1137"/>
      <c r="BC47" s="1139"/>
      <c r="BD47" s="1137"/>
      <c r="BE47" s="1137"/>
      <c r="BF47" s="1137"/>
      <c r="BG47" s="1137"/>
      <c r="BH47" s="1137"/>
      <c r="BI47" s="1137"/>
      <c r="BJ47" s="1139"/>
      <c r="BK47" s="1139"/>
      <c r="BL47" s="1137"/>
      <c r="BM47" s="1137"/>
      <c r="BN47" s="1137"/>
      <c r="BO47" s="1137"/>
      <c r="BP47" s="1137"/>
      <c r="BQ47" s="1139"/>
      <c r="BR47" s="1140"/>
      <c r="BS47" s="1137"/>
      <c r="BT47" s="1141"/>
    </row>
    <row r="48" spans="1:72" ht="21.95" hidden="1" customHeight="1">
      <c r="A48" s="2695"/>
      <c r="B48" s="2585"/>
      <c r="C48" s="747" t="s">
        <v>1893</v>
      </c>
      <c r="D48" s="1144"/>
      <c r="E48" s="1145"/>
      <c r="F48" s="752">
        <f>Dren_Quantificacao!D153</f>
        <v>0</v>
      </c>
      <c r="G48" s="752">
        <f>Dren_Quantificacao!E153</f>
        <v>0</v>
      </c>
      <c r="H48" s="752">
        <f>Dren_Quantificacao!F153</f>
        <v>0</v>
      </c>
      <c r="I48" s="752">
        <f>Dren_Quantificacao!G153</f>
        <v>0</v>
      </c>
      <c r="J48" s="752"/>
      <c r="K48" s="752"/>
      <c r="L48" s="752"/>
      <c r="M48" s="752"/>
      <c r="N48" s="980"/>
      <c r="O48" s="752">
        <f>Dren_Quantificacao!L153</f>
        <v>0</v>
      </c>
      <c r="P48" s="752">
        <f>Dren_Quantificacao!M153</f>
        <v>0</v>
      </c>
      <c r="Q48" s="752">
        <f>Dren_Quantificacao!N153</f>
        <v>0</v>
      </c>
      <c r="R48" s="752">
        <f>Dren_Quantificacao!O153</f>
        <v>0</v>
      </c>
      <c r="S48" s="752">
        <f>Dren_Quantificacao!BD153</f>
        <v>0</v>
      </c>
      <c r="T48" s="926"/>
      <c r="U48" s="926"/>
      <c r="V48" s="926"/>
      <c r="W48" s="926"/>
      <c r="X48" s="926"/>
      <c r="Y48" s="926"/>
      <c r="Z48" s="926"/>
      <c r="AA48" s="926"/>
      <c r="AB48" s="926"/>
      <c r="AC48" s="926"/>
      <c r="AD48" s="926"/>
      <c r="AE48" s="926"/>
      <c r="AF48" s="926"/>
      <c r="AG48" s="926"/>
      <c r="AH48" s="926"/>
      <c r="AI48" s="753"/>
      <c r="AJ48" s="745">
        <f t="shared" si="13"/>
        <v>0</v>
      </c>
      <c r="AK48" s="745"/>
      <c r="AL48" s="1136"/>
      <c r="AM48" s="1137"/>
      <c r="AN48" s="1137"/>
      <c r="AO48" s="1137"/>
      <c r="AP48" s="1137"/>
      <c r="AQ48" s="1137"/>
      <c r="AR48" s="1137"/>
      <c r="AS48" s="1137"/>
      <c r="AT48" s="1139"/>
      <c r="AU48" s="1137"/>
      <c r="AV48" s="1137"/>
      <c r="AW48" s="1137"/>
      <c r="AX48" s="1137"/>
      <c r="AY48" s="1137"/>
      <c r="AZ48" s="1137"/>
      <c r="BA48" s="1137"/>
      <c r="BB48" s="1137"/>
      <c r="BC48" s="1139"/>
      <c r="BD48" s="1137"/>
      <c r="BE48" s="1137"/>
      <c r="BF48" s="1137"/>
      <c r="BG48" s="1137"/>
      <c r="BH48" s="1137"/>
      <c r="BI48" s="1137"/>
      <c r="BJ48" s="1139"/>
      <c r="BK48" s="1139"/>
      <c r="BL48" s="1137"/>
      <c r="BM48" s="1137"/>
      <c r="BN48" s="1137"/>
      <c r="BO48" s="1137"/>
      <c r="BP48" s="1137"/>
      <c r="BQ48" s="1139"/>
      <c r="BR48" s="1140"/>
      <c r="BS48" s="1137"/>
      <c r="BT48" s="1141"/>
    </row>
    <row r="49" spans="1:74" ht="21.95" hidden="1" customHeight="1">
      <c r="A49" s="2695"/>
      <c r="B49" s="2585"/>
      <c r="C49" s="747">
        <v>0.6</v>
      </c>
      <c r="D49" s="1144"/>
      <c r="E49" s="1145"/>
      <c r="F49" s="752">
        <f t="shared" ref="F49:S55" si="17">IF(F$4&lt;&gt;$C49,0,IF(AND(F$5="P",F$9=2),F$2*F$3,0))</f>
        <v>0</v>
      </c>
      <c r="G49" s="752">
        <f t="shared" si="17"/>
        <v>0</v>
      </c>
      <c r="H49" s="752">
        <f t="shared" si="17"/>
        <v>0</v>
      </c>
      <c r="I49" s="752">
        <f t="shared" si="17"/>
        <v>0</v>
      </c>
      <c r="J49" s="752"/>
      <c r="K49" s="752"/>
      <c r="L49" s="752"/>
      <c r="M49" s="752"/>
      <c r="N49" s="980"/>
      <c r="O49" s="752">
        <f t="shared" si="17"/>
        <v>0</v>
      </c>
      <c r="P49" s="752">
        <f t="shared" si="17"/>
        <v>0</v>
      </c>
      <c r="Q49" s="752">
        <f t="shared" si="17"/>
        <v>0</v>
      </c>
      <c r="R49" s="752">
        <f t="shared" si="17"/>
        <v>0</v>
      </c>
      <c r="S49" s="752">
        <f t="shared" si="17"/>
        <v>0</v>
      </c>
      <c r="T49" s="926"/>
      <c r="U49" s="926"/>
      <c r="V49" s="926"/>
      <c r="W49" s="926"/>
      <c r="X49" s="926"/>
      <c r="Y49" s="926"/>
      <c r="Z49" s="926"/>
      <c r="AA49" s="926"/>
      <c r="AB49" s="926"/>
      <c r="AC49" s="926"/>
      <c r="AD49" s="926"/>
      <c r="AE49" s="926"/>
      <c r="AF49" s="926"/>
      <c r="AG49" s="926"/>
      <c r="AH49" s="926"/>
      <c r="AI49" s="753"/>
      <c r="AJ49" s="745">
        <f t="shared" si="13"/>
        <v>0</v>
      </c>
      <c r="AK49" s="745"/>
      <c r="AL49" s="1136"/>
      <c r="AM49" s="1137"/>
      <c r="AN49" s="1137"/>
      <c r="AO49" s="1137"/>
      <c r="AP49" s="1137"/>
      <c r="AQ49" s="1137"/>
      <c r="AR49" s="1137"/>
      <c r="AS49" s="1137"/>
      <c r="AT49" s="1139"/>
      <c r="AU49" s="1137"/>
      <c r="AV49" s="1137"/>
      <c r="AW49" s="1137"/>
      <c r="AX49" s="1137"/>
      <c r="AY49" s="1137"/>
      <c r="AZ49" s="1137"/>
      <c r="BA49" s="1137"/>
      <c r="BB49" s="1137"/>
      <c r="BC49" s="1139"/>
      <c r="BD49" s="1137"/>
      <c r="BE49" s="1137"/>
      <c r="BF49" s="1137"/>
      <c r="BG49" s="1137"/>
      <c r="BH49" s="1137"/>
      <c r="BI49" s="1137"/>
      <c r="BJ49" s="1139"/>
      <c r="BK49" s="1139"/>
      <c r="BL49" s="1137"/>
      <c r="BM49" s="1137"/>
      <c r="BN49" s="1137"/>
      <c r="BO49" s="1137"/>
      <c r="BP49" s="1137"/>
      <c r="BQ49" s="1139"/>
      <c r="BR49" s="1140"/>
      <c r="BS49" s="1137"/>
      <c r="BT49" s="1141"/>
    </row>
    <row r="50" spans="1:74" ht="21.95" hidden="1" customHeight="1">
      <c r="A50" s="2695"/>
      <c r="B50" s="2585"/>
      <c r="C50" s="747">
        <v>0.75</v>
      </c>
      <c r="D50" s="1144"/>
      <c r="E50" s="1145"/>
      <c r="F50" s="752">
        <f t="shared" si="17"/>
        <v>0</v>
      </c>
      <c r="G50" s="752">
        <f t="shared" si="17"/>
        <v>0</v>
      </c>
      <c r="H50" s="752">
        <f t="shared" si="17"/>
        <v>0</v>
      </c>
      <c r="I50" s="752">
        <f t="shared" si="17"/>
        <v>0</v>
      </c>
      <c r="J50" s="752"/>
      <c r="K50" s="752"/>
      <c r="L50" s="752"/>
      <c r="M50" s="752"/>
      <c r="N50" s="980"/>
      <c r="O50" s="752">
        <f t="shared" si="17"/>
        <v>0</v>
      </c>
      <c r="P50" s="752">
        <f t="shared" si="17"/>
        <v>0</v>
      </c>
      <c r="Q50" s="752">
        <f t="shared" si="17"/>
        <v>0</v>
      </c>
      <c r="R50" s="752">
        <f t="shared" si="17"/>
        <v>0</v>
      </c>
      <c r="S50" s="752">
        <f t="shared" si="17"/>
        <v>0</v>
      </c>
      <c r="T50" s="926"/>
      <c r="U50" s="926"/>
      <c r="V50" s="926"/>
      <c r="W50" s="926"/>
      <c r="X50" s="926"/>
      <c r="Y50" s="926"/>
      <c r="Z50" s="926"/>
      <c r="AA50" s="926"/>
      <c r="AB50" s="926"/>
      <c r="AC50" s="926"/>
      <c r="AD50" s="926"/>
      <c r="AE50" s="926"/>
      <c r="AF50" s="926"/>
      <c r="AG50" s="926"/>
      <c r="AH50" s="926"/>
      <c r="AI50" s="753"/>
      <c r="AJ50" s="745">
        <f t="shared" si="13"/>
        <v>0</v>
      </c>
      <c r="AK50" s="745"/>
      <c r="AL50" s="1136"/>
      <c r="AM50" s="1137"/>
      <c r="AN50" s="1137"/>
      <c r="AO50" s="1137"/>
      <c r="AP50" s="1137"/>
      <c r="AQ50" s="1137"/>
      <c r="AR50" s="1137"/>
      <c r="AS50" s="1137"/>
      <c r="AT50" s="1139"/>
      <c r="AU50" s="1137"/>
      <c r="AV50" s="1137"/>
      <c r="AW50" s="1137"/>
      <c r="AX50" s="1137"/>
      <c r="AY50" s="1137"/>
      <c r="AZ50" s="1137"/>
      <c r="BA50" s="1137"/>
      <c r="BB50" s="1137"/>
      <c r="BC50" s="1139"/>
      <c r="BD50" s="1137"/>
      <c r="BE50" s="1137"/>
      <c r="BF50" s="1137"/>
      <c r="BG50" s="1137"/>
      <c r="BH50" s="1137"/>
      <c r="BI50" s="1137"/>
      <c r="BJ50" s="1139"/>
      <c r="BK50" s="1139"/>
      <c r="BL50" s="1137"/>
      <c r="BM50" s="1137"/>
      <c r="BN50" s="1137"/>
      <c r="BO50" s="1137"/>
      <c r="BP50" s="1137"/>
      <c r="BQ50" s="1139"/>
      <c r="BR50" s="1140"/>
      <c r="BS50" s="1137"/>
      <c r="BT50" s="1141"/>
    </row>
    <row r="51" spans="1:74" ht="21.95" hidden="1" customHeight="1">
      <c r="A51" s="2695"/>
      <c r="B51" s="2585"/>
      <c r="C51" s="747">
        <v>0.8</v>
      </c>
      <c r="D51" s="1144"/>
      <c r="E51" s="1145"/>
      <c r="F51" s="752">
        <f t="shared" si="17"/>
        <v>0</v>
      </c>
      <c r="G51" s="752">
        <f t="shared" si="17"/>
        <v>0</v>
      </c>
      <c r="H51" s="752">
        <f t="shared" si="17"/>
        <v>0</v>
      </c>
      <c r="I51" s="752">
        <f t="shared" si="17"/>
        <v>0</v>
      </c>
      <c r="J51" s="752"/>
      <c r="K51" s="752"/>
      <c r="L51" s="752"/>
      <c r="M51" s="752"/>
      <c r="N51" s="980"/>
      <c r="O51" s="752">
        <f t="shared" si="17"/>
        <v>0</v>
      </c>
      <c r="P51" s="752">
        <f t="shared" si="17"/>
        <v>0</v>
      </c>
      <c r="Q51" s="752">
        <f t="shared" si="17"/>
        <v>0</v>
      </c>
      <c r="R51" s="752">
        <f t="shared" si="17"/>
        <v>0</v>
      </c>
      <c r="S51" s="752">
        <f t="shared" si="17"/>
        <v>0</v>
      </c>
      <c r="T51" s="926"/>
      <c r="U51" s="926"/>
      <c r="V51" s="926"/>
      <c r="W51" s="926"/>
      <c r="X51" s="926"/>
      <c r="Y51" s="926"/>
      <c r="Z51" s="926"/>
      <c r="AA51" s="926"/>
      <c r="AB51" s="926"/>
      <c r="AC51" s="926"/>
      <c r="AD51" s="926"/>
      <c r="AE51" s="926"/>
      <c r="AF51" s="926"/>
      <c r="AG51" s="926"/>
      <c r="AH51" s="926"/>
      <c r="AI51" s="753"/>
      <c r="AJ51" s="745">
        <f t="shared" si="13"/>
        <v>0</v>
      </c>
      <c r="AK51" s="745"/>
      <c r="AL51" s="1136"/>
      <c r="AM51" s="1137"/>
      <c r="AN51" s="1137"/>
      <c r="AO51" s="1137"/>
      <c r="AP51" s="1137"/>
      <c r="AQ51" s="1137"/>
      <c r="AR51" s="1137"/>
      <c r="AS51" s="1137"/>
      <c r="AT51" s="1139"/>
      <c r="AU51" s="1137"/>
      <c r="AV51" s="1137"/>
      <c r="AW51" s="1137"/>
      <c r="AX51" s="1137"/>
      <c r="AY51" s="1137"/>
      <c r="AZ51" s="1137"/>
      <c r="BA51" s="1137"/>
      <c r="BB51" s="1137"/>
      <c r="BC51" s="1139"/>
      <c r="BD51" s="1137"/>
      <c r="BE51" s="1137"/>
      <c r="BF51" s="1137"/>
      <c r="BG51" s="1137"/>
      <c r="BH51" s="1137"/>
      <c r="BI51" s="1137"/>
      <c r="BJ51" s="1139"/>
      <c r="BK51" s="1139"/>
      <c r="BL51" s="1137"/>
      <c r="BM51" s="1137"/>
      <c r="BN51" s="1137"/>
      <c r="BO51" s="1137"/>
      <c r="BP51" s="1137"/>
      <c r="BQ51" s="1139"/>
      <c r="BR51" s="1140"/>
      <c r="BS51" s="1137"/>
      <c r="BT51" s="1141"/>
    </row>
    <row r="52" spans="1:74" ht="21.95" hidden="1" customHeight="1">
      <c r="A52" s="2695"/>
      <c r="B52" s="2585"/>
      <c r="C52" s="747">
        <v>0.9</v>
      </c>
      <c r="D52" s="1144"/>
      <c r="E52" s="1145"/>
      <c r="F52" s="752">
        <f t="shared" si="17"/>
        <v>0</v>
      </c>
      <c r="G52" s="752">
        <f t="shared" si="17"/>
        <v>0</v>
      </c>
      <c r="H52" s="752">
        <f t="shared" si="17"/>
        <v>0</v>
      </c>
      <c r="I52" s="752">
        <f t="shared" si="17"/>
        <v>0</v>
      </c>
      <c r="J52" s="752"/>
      <c r="K52" s="752"/>
      <c r="L52" s="752"/>
      <c r="M52" s="752"/>
      <c r="N52" s="980"/>
      <c r="O52" s="752">
        <f t="shared" si="17"/>
        <v>0</v>
      </c>
      <c r="P52" s="752">
        <f t="shared" si="17"/>
        <v>0</v>
      </c>
      <c r="Q52" s="752">
        <f t="shared" si="17"/>
        <v>0</v>
      </c>
      <c r="R52" s="752">
        <f t="shared" si="17"/>
        <v>0</v>
      </c>
      <c r="S52" s="752">
        <f t="shared" si="17"/>
        <v>0</v>
      </c>
      <c r="T52" s="926"/>
      <c r="U52" s="926"/>
      <c r="V52" s="926"/>
      <c r="W52" s="926"/>
      <c r="X52" s="926"/>
      <c r="Y52" s="926"/>
      <c r="Z52" s="926"/>
      <c r="AA52" s="926"/>
      <c r="AB52" s="926"/>
      <c r="AC52" s="926"/>
      <c r="AD52" s="926"/>
      <c r="AE52" s="926"/>
      <c r="AF52" s="926"/>
      <c r="AG52" s="926"/>
      <c r="AH52" s="926"/>
      <c r="AI52" s="753"/>
      <c r="AJ52" s="745">
        <f t="shared" si="13"/>
        <v>0</v>
      </c>
      <c r="AK52" s="745"/>
      <c r="AL52" s="1136"/>
      <c r="AM52" s="1137"/>
      <c r="AN52" s="1137"/>
      <c r="AO52" s="1137"/>
      <c r="AP52" s="1137"/>
      <c r="AQ52" s="1137"/>
      <c r="AR52" s="1137"/>
      <c r="AS52" s="1137"/>
      <c r="AT52" s="1139"/>
      <c r="AU52" s="1137"/>
      <c r="AV52" s="1137"/>
      <c r="AW52" s="1137"/>
      <c r="AX52" s="1137"/>
      <c r="AY52" s="1137"/>
      <c r="AZ52" s="1137"/>
      <c r="BA52" s="1137"/>
      <c r="BB52" s="1137"/>
      <c r="BC52" s="1139"/>
      <c r="BD52" s="1137"/>
      <c r="BE52" s="1137"/>
      <c r="BF52" s="1137"/>
      <c r="BG52" s="1137"/>
      <c r="BH52" s="1137"/>
      <c r="BI52" s="1137"/>
      <c r="BJ52" s="1139"/>
      <c r="BK52" s="1139"/>
      <c r="BL52" s="1137"/>
      <c r="BM52" s="1137"/>
      <c r="BN52" s="1137"/>
      <c r="BO52" s="1137"/>
      <c r="BP52" s="1137"/>
      <c r="BQ52" s="1139"/>
      <c r="BR52" s="1140"/>
      <c r="BS52" s="1137"/>
      <c r="BT52" s="1141"/>
    </row>
    <row r="53" spans="1:74" ht="21.95" hidden="1" customHeight="1">
      <c r="A53" s="2695"/>
      <c r="B53" s="2585"/>
      <c r="C53" s="747">
        <v>1</v>
      </c>
      <c r="D53" s="1144"/>
      <c r="E53" s="1145"/>
      <c r="F53" s="752">
        <f t="shared" si="17"/>
        <v>0</v>
      </c>
      <c r="G53" s="752">
        <f t="shared" si="17"/>
        <v>0</v>
      </c>
      <c r="H53" s="752">
        <f t="shared" si="17"/>
        <v>0</v>
      </c>
      <c r="I53" s="752">
        <f t="shared" si="17"/>
        <v>0</v>
      </c>
      <c r="J53" s="752"/>
      <c r="K53" s="752"/>
      <c r="L53" s="752"/>
      <c r="M53" s="752"/>
      <c r="N53" s="980"/>
      <c r="O53" s="752">
        <f t="shared" si="17"/>
        <v>0</v>
      </c>
      <c r="P53" s="752">
        <f t="shared" si="17"/>
        <v>0</v>
      </c>
      <c r="Q53" s="752">
        <f t="shared" si="17"/>
        <v>0</v>
      </c>
      <c r="R53" s="752">
        <f t="shared" si="17"/>
        <v>0</v>
      </c>
      <c r="S53" s="752">
        <f t="shared" si="17"/>
        <v>0</v>
      </c>
      <c r="T53" s="926"/>
      <c r="U53" s="926"/>
      <c r="V53" s="926"/>
      <c r="W53" s="926"/>
      <c r="X53" s="926"/>
      <c r="Y53" s="926"/>
      <c r="Z53" s="926"/>
      <c r="AA53" s="926"/>
      <c r="AB53" s="926"/>
      <c r="AC53" s="926"/>
      <c r="AD53" s="926"/>
      <c r="AE53" s="926"/>
      <c r="AF53" s="926"/>
      <c r="AG53" s="926"/>
      <c r="AH53" s="926"/>
      <c r="AI53" s="753"/>
      <c r="AJ53" s="745">
        <f t="shared" si="13"/>
        <v>0</v>
      </c>
      <c r="AK53" s="745"/>
      <c r="AL53" s="1136"/>
      <c r="AM53" s="1137"/>
      <c r="AN53" s="1137"/>
      <c r="AO53" s="1137"/>
      <c r="AP53" s="1137"/>
      <c r="AQ53" s="1137"/>
      <c r="AR53" s="1137"/>
      <c r="AS53" s="1137"/>
      <c r="AT53" s="1139"/>
      <c r="AU53" s="1137"/>
      <c r="AV53" s="1137"/>
      <c r="AW53" s="1137"/>
      <c r="AX53" s="1137"/>
      <c r="AY53" s="1137"/>
      <c r="AZ53" s="1137"/>
      <c r="BA53" s="1137"/>
      <c r="BB53" s="1137"/>
      <c r="BC53" s="1139"/>
      <c r="BD53" s="1137"/>
      <c r="BE53" s="1137"/>
      <c r="BF53" s="1137"/>
      <c r="BG53" s="1137"/>
      <c r="BH53" s="1137"/>
      <c r="BI53" s="1137"/>
      <c r="BJ53" s="1139"/>
      <c r="BK53" s="1139"/>
      <c r="BL53" s="1137"/>
      <c r="BM53" s="1137"/>
      <c r="BN53" s="1137"/>
      <c r="BO53" s="1137"/>
      <c r="BP53" s="1137"/>
      <c r="BQ53" s="1139"/>
      <c r="BR53" s="1140"/>
      <c r="BS53" s="1137"/>
      <c r="BT53" s="1141"/>
    </row>
    <row r="54" spans="1:74" ht="21.95" hidden="1" customHeight="1">
      <c r="A54" s="2695"/>
      <c r="B54" s="2585"/>
      <c r="C54" s="747">
        <v>1.2</v>
      </c>
      <c r="D54" s="1144"/>
      <c r="E54" s="1145"/>
      <c r="F54" s="752">
        <f t="shared" si="17"/>
        <v>0</v>
      </c>
      <c r="G54" s="752">
        <f t="shared" si="17"/>
        <v>0</v>
      </c>
      <c r="H54" s="752">
        <f t="shared" si="17"/>
        <v>0</v>
      </c>
      <c r="I54" s="752">
        <f t="shared" si="17"/>
        <v>0</v>
      </c>
      <c r="J54" s="752"/>
      <c r="K54" s="752"/>
      <c r="L54" s="752"/>
      <c r="M54" s="752"/>
      <c r="N54" s="980"/>
      <c r="O54" s="752">
        <f t="shared" si="17"/>
        <v>0</v>
      </c>
      <c r="P54" s="752">
        <f t="shared" si="17"/>
        <v>0</v>
      </c>
      <c r="Q54" s="752">
        <f t="shared" si="17"/>
        <v>0</v>
      </c>
      <c r="R54" s="752">
        <f t="shared" si="17"/>
        <v>0</v>
      </c>
      <c r="S54" s="752">
        <f t="shared" si="17"/>
        <v>0</v>
      </c>
      <c r="T54" s="926"/>
      <c r="U54" s="926"/>
      <c r="V54" s="926"/>
      <c r="W54" s="926"/>
      <c r="X54" s="926"/>
      <c r="Y54" s="926"/>
      <c r="Z54" s="926"/>
      <c r="AA54" s="926"/>
      <c r="AB54" s="926"/>
      <c r="AC54" s="926"/>
      <c r="AD54" s="926"/>
      <c r="AE54" s="926"/>
      <c r="AF54" s="926"/>
      <c r="AG54" s="926"/>
      <c r="AH54" s="926"/>
      <c r="AI54" s="753"/>
      <c r="AJ54" s="745">
        <f t="shared" si="13"/>
        <v>0</v>
      </c>
      <c r="AK54" s="745"/>
      <c r="AL54" s="1136"/>
      <c r="AM54" s="1137"/>
      <c r="AN54" s="1137"/>
      <c r="AO54" s="1137"/>
      <c r="AP54" s="1137"/>
      <c r="AQ54" s="1137"/>
      <c r="AR54" s="1137"/>
      <c r="AS54" s="1137"/>
      <c r="AT54" s="1139"/>
      <c r="AU54" s="1137"/>
      <c r="AV54" s="1137"/>
      <c r="AW54" s="1137"/>
      <c r="AX54" s="1137"/>
      <c r="AY54" s="1137"/>
      <c r="AZ54" s="1137"/>
      <c r="BA54" s="1137"/>
      <c r="BB54" s="1137"/>
      <c r="BC54" s="1139"/>
      <c r="BD54" s="1137"/>
      <c r="BE54" s="1137"/>
      <c r="BF54" s="1137"/>
      <c r="BG54" s="1137"/>
      <c r="BH54" s="1137"/>
      <c r="BI54" s="1137"/>
      <c r="BJ54" s="1139"/>
      <c r="BK54" s="1139"/>
      <c r="BL54" s="1137"/>
      <c r="BM54" s="1137"/>
      <c r="BN54" s="1137"/>
      <c r="BO54" s="1137"/>
      <c r="BP54" s="1137"/>
      <c r="BQ54" s="1139"/>
      <c r="BR54" s="1140"/>
      <c r="BS54" s="1137"/>
      <c r="BT54" s="1141"/>
    </row>
    <row r="55" spans="1:74" ht="21.95" hidden="1" customHeight="1" thickBot="1">
      <c r="A55" s="2695"/>
      <c r="B55" s="2586"/>
      <c r="C55" s="754">
        <v>1.5</v>
      </c>
      <c r="D55" s="1144"/>
      <c r="E55" s="1145"/>
      <c r="F55" s="752">
        <f t="shared" si="17"/>
        <v>0</v>
      </c>
      <c r="G55" s="752">
        <f t="shared" si="17"/>
        <v>0</v>
      </c>
      <c r="H55" s="752">
        <f t="shared" si="17"/>
        <v>0</v>
      </c>
      <c r="I55" s="752">
        <f t="shared" si="17"/>
        <v>0</v>
      </c>
      <c r="J55" s="752"/>
      <c r="K55" s="752"/>
      <c r="L55" s="752"/>
      <c r="M55" s="752"/>
      <c r="N55" s="980"/>
      <c r="O55" s="752">
        <f t="shared" si="17"/>
        <v>0</v>
      </c>
      <c r="P55" s="752">
        <f t="shared" si="17"/>
        <v>0</v>
      </c>
      <c r="Q55" s="752">
        <f t="shared" si="17"/>
        <v>0</v>
      </c>
      <c r="R55" s="752">
        <f t="shared" si="17"/>
        <v>0</v>
      </c>
      <c r="S55" s="752">
        <f t="shared" si="17"/>
        <v>0</v>
      </c>
      <c r="T55" s="926"/>
      <c r="U55" s="926"/>
      <c r="V55" s="926"/>
      <c r="W55" s="926"/>
      <c r="X55" s="926"/>
      <c r="Y55" s="926"/>
      <c r="Z55" s="926"/>
      <c r="AA55" s="926"/>
      <c r="AB55" s="926"/>
      <c r="AC55" s="926"/>
      <c r="AD55" s="926"/>
      <c r="AE55" s="926"/>
      <c r="AF55" s="926"/>
      <c r="AG55" s="926"/>
      <c r="AH55" s="926"/>
      <c r="AI55" s="769"/>
      <c r="AJ55" s="745">
        <f t="shared" si="13"/>
        <v>0</v>
      </c>
      <c r="AK55" s="745"/>
      <c r="AL55" s="1136"/>
      <c r="AM55" s="1137"/>
      <c r="AN55" s="1137"/>
      <c r="AO55" s="1137"/>
      <c r="AP55" s="1137"/>
      <c r="AQ55" s="1137"/>
      <c r="AR55" s="1137"/>
      <c r="AS55" s="1137"/>
      <c r="AT55" s="1139"/>
      <c r="AU55" s="1137"/>
      <c r="AV55" s="1137"/>
      <c r="AW55" s="1137"/>
      <c r="AX55" s="1137"/>
      <c r="AY55" s="1137"/>
      <c r="AZ55" s="1137"/>
      <c r="BA55" s="1137"/>
      <c r="BB55" s="1137"/>
      <c r="BC55" s="1139"/>
      <c r="BD55" s="1137"/>
      <c r="BE55" s="1137"/>
      <c r="BF55" s="1137"/>
      <c r="BG55" s="1137"/>
      <c r="BH55" s="1137"/>
      <c r="BI55" s="1137"/>
      <c r="BJ55" s="1139"/>
      <c r="BK55" s="1139"/>
      <c r="BL55" s="1137"/>
      <c r="BM55" s="1137"/>
      <c r="BN55" s="1137"/>
      <c r="BO55" s="1137"/>
      <c r="BP55" s="1137"/>
      <c r="BQ55" s="1139"/>
      <c r="BR55" s="1140"/>
      <c r="BS55" s="1137"/>
      <c r="BT55" s="1141"/>
    </row>
    <row r="56" spans="1:74" ht="21.95" hidden="1" customHeight="1">
      <c r="A56" s="2695"/>
      <c r="B56" s="2584" t="s">
        <v>1895</v>
      </c>
      <c r="C56" s="740" t="s">
        <v>1631</v>
      </c>
      <c r="D56" s="1142"/>
      <c r="E56" s="1143"/>
      <c r="F56" s="743">
        <f t="shared" ref="F56:S56" si="18">IF(F$6=1.5,F$2*F$3,0)</f>
        <v>0</v>
      </c>
      <c r="G56" s="743">
        <f t="shared" si="18"/>
        <v>0</v>
      </c>
      <c r="H56" s="743">
        <f t="shared" si="18"/>
        <v>0</v>
      </c>
      <c r="I56" s="743">
        <f t="shared" si="18"/>
        <v>0</v>
      </c>
      <c r="J56" s="743"/>
      <c r="K56" s="743"/>
      <c r="L56" s="743"/>
      <c r="M56" s="743"/>
      <c r="N56" s="973"/>
      <c r="O56" s="743">
        <f t="shared" si="18"/>
        <v>0</v>
      </c>
      <c r="P56" s="743">
        <f t="shared" si="18"/>
        <v>0</v>
      </c>
      <c r="Q56" s="743">
        <f t="shared" si="18"/>
        <v>0</v>
      </c>
      <c r="R56" s="743">
        <f t="shared" si="18"/>
        <v>0</v>
      </c>
      <c r="S56" s="743">
        <f t="shared" si="18"/>
        <v>0</v>
      </c>
      <c r="T56" s="974"/>
      <c r="U56" s="974"/>
      <c r="V56" s="974"/>
      <c r="W56" s="974"/>
      <c r="X56" s="974"/>
      <c r="Y56" s="974"/>
      <c r="Z56" s="974"/>
      <c r="AA56" s="974"/>
      <c r="AB56" s="974"/>
      <c r="AC56" s="974"/>
      <c r="AD56" s="974"/>
      <c r="AE56" s="974"/>
      <c r="AF56" s="974"/>
      <c r="AG56" s="974"/>
      <c r="AH56" s="974"/>
      <c r="AI56" s="767"/>
      <c r="AJ56" s="745">
        <f t="shared" si="13"/>
        <v>0</v>
      </c>
      <c r="AK56" s="745"/>
      <c r="AL56" s="1136"/>
      <c r="AM56" s="1137"/>
      <c r="AN56" s="1137"/>
      <c r="AO56" s="1137"/>
      <c r="AP56" s="1137"/>
      <c r="AQ56" s="1137">
        <v>3.2000000000000001E-2</v>
      </c>
      <c r="AR56" s="1137"/>
      <c r="AS56" s="1137"/>
      <c r="AT56" s="1139"/>
      <c r="AU56" s="1137"/>
      <c r="AV56" s="1137"/>
      <c r="AW56" s="1137"/>
      <c r="AX56" s="1137"/>
      <c r="AY56" s="1137"/>
      <c r="AZ56" s="1137">
        <v>3.2000000000000001E-2</v>
      </c>
      <c r="BA56" s="1137"/>
      <c r="BB56" s="1137"/>
      <c r="BC56" s="1139"/>
      <c r="BD56" s="1137"/>
      <c r="BE56" s="1137"/>
      <c r="BF56" s="1137"/>
      <c r="BG56" s="1137"/>
      <c r="BH56" s="1137"/>
      <c r="BI56" s="1137"/>
      <c r="BJ56" s="1139"/>
      <c r="BK56" s="1139"/>
      <c r="BL56" s="1137"/>
      <c r="BM56" s="1137"/>
      <c r="BN56" s="1137"/>
      <c r="BO56" s="1137"/>
      <c r="BP56" s="1137"/>
      <c r="BQ56" s="1139"/>
      <c r="BR56" s="1140"/>
      <c r="BS56" s="1137"/>
      <c r="BT56" s="1141"/>
    </row>
    <row r="57" spans="1:74" ht="21.95" hidden="1" customHeight="1">
      <c r="A57" s="2695"/>
      <c r="B57" s="2585"/>
      <c r="C57" s="747" t="s">
        <v>1632</v>
      </c>
      <c r="D57" s="1144"/>
      <c r="E57" s="1145"/>
      <c r="F57" s="752">
        <f t="shared" ref="F57:S57" si="19">IF(F$6=2,F$2*F$3,0)</f>
        <v>0</v>
      </c>
      <c r="G57" s="752">
        <f t="shared" si="19"/>
        <v>0</v>
      </c>
      <c r="H57" s="752">
        <f t="shared" si="19"/>
        <v>0</v>
      </c>
      <c r="I57" s="752">
        <f t="shared" si="19"/>
        <v>0</v>
      </c>
      <c r="J57" s="752"/>
      <c r="K57" s="752"/>
      <c r="L57" s="752"/>
      <c r="M57" s="752"/>
      <c r="N57" s="980"/>
      <c r="O57" s="752">
        <f t="shared" si="19"/>
        <v>0</v>
      </c>
      <c r="P57" s="752">
        <f t="shared" si="19"/>
        <v>0</v>
      </c>
      <c r="Q57" s="752">
        <f t="shared" si="19"/>
        <v>0</v>
      </c>
      <c r="R57" s="752">
        <f t="shared" si="19"/>
        <v>0</v>
      </c>
      <c r="S57" s="752">
        <f t="shared" si="19"/>
        <v>0</v>
      </c>
      <c r="T57" s="926"/>
      <c r="U57" s="926"/>
      <c r="V57" s="926"/>
      <c r="W57" s="926"/>
      <c r="X57" s="926"/>
      <c r="Y57" s="926"/>
      <c r="Z57" s="926"/>
      <c r="AA57" s="926"/>
      <c r="AB57" s="926"/>
      <c r="AC57" s="926"/>
      <c r="AD57" s="926"/>
      <c r="AE57" s="926"/>
      <c r="AF57" s="926"/>
      <c r="AG57" s="926"/>
      <c r="AH57" s="926"/>
      <c r="AI57" s="753"/>
      <c r="AJ57" s="745">
        <f t="shared" si="13"/>
        <v>0</v>
      </c>
      <c r="AK57" s="745"/>
      <c r="AL57" s="1136"/>
      <c r="AM57" s="1137"/>
      <c r="AN57" s="1137"/>
      <c r="AO57" s="1137"/>
      <c r="AP57" s="1137"/>
      <c r="AQ57" s="1137">
        <v>4.2999999999999997E-2</v>
      </c>
      <c r="AR57" s="1137"/>
      <c r="AS57" s="1137"/>
      <c r="AT57" s="1139"/>
      <c r="AU57" s="1137"/>
      <c r="AV57" s="1137"/>
      <c r="AW57" s="1137"/>
      <c r="AX57" s="1137"/>
      <c r="AY57" s="1137"/>
      <c r="AZ57" s="1137">
        <v>4.2999999999999997E-2</v>
      </c>
      <c r="BA57" s="1137"/>
      <c r="BB57" s="1137"/>
      <c r="BC57" s="1139"/>
      <c r="BD57" s="1137"/>
      <c r="BE57" s="1137"/>
      <c r="BF57" s="1137"/>
      <c r="BG57" s="1137"/>
      <c r="BH57" s="1137"/>
      <c r="BI57" s="1137"/>
      <c r="BJ57" s="1139"/>
      <c r="BK57" s="1139"/>
      <c r="BL57" s="1137"/>
      <c r="BM57" s="1137"/>
      <c r="BN57" s="1137"/>
      <c r="BO57" s="1137"/>
      <c r="BP57" s="1137"/>
      <c r="BQ57" s="1139"/>
      <c r="BR57" s="1140"/>
      <c r="BS57" s="1137"/>
      <c r="BT57" s="1141"/>
    </row>
    <row r="58" spans="1:74" ht="21.95" hidden="1" customHeight="1">
      <c r="A58" s="2695"/>
      <c r="B58" s="2585"/>
      <c r="C58" s="747" t="s">
        <v>1633</v>
      </c>
      <c r="D58" s="1144"/>
      <c r="E58" s="1145"/>
      <c r="F58" s="752">
        <f t="shared" ref="F58:S58" si="20">IF(F$6=2.5,F$2*F$3,0)</f>
        <v>0</v>
      </c>
      <c r="G58" s="752">
        <f t="shared" si="20"/>
        <v>0</v>
      </c>
      <c r="H58" s="752">
        <f t="shared" si="20"/>
        <v>0</v>
      </c>
      <c r="I58" s="752">
        <f t="shared" si="20"/>
        <v>0</v>
      </c>
      <c r="J58" s="752"/>
      <c r="K58" s="752"/>
      <c r="L58" s="752"/>
      <c r="M58" s="752"/>
      <c r="N58" s="980"/>
      <c r="O58" s="752">
        <f t="shared" si="20"/>
        <v>0</v>
      </c>
      <c r="P58" s="752">
        <f t="shared" si="20"/>
        <v>0</v>
      </c>
      <c r="Q58" s="752">
        <f t="shared" si="20"/>
        <v>0</v>
      </c>
      <c r="R58" s="752">
        <f t="shared" si="20"/>
        <v>0</v>
      </c>
      <c r="S58" s="752">
        <f t="shared" si="20"/>
        <v>0</v>
      </c>
      <c r="T58" s="926"/>
      <c r="U58" s="926"/>
      <c r="V58" s="926"/>
      <c r="W58" s="926"/>
      <c r="X58" s="926"/>
      <c r="Y58" s="926"/>
      <c r="Z58" s="926"/>
      <c r="AA58" s="926"/>
      <c r="AB58" s="926"/>
      <c r="AC58" s="926"/>
      <c r="AD58" s="926"/>
      <c r="AE58" s="926"/>
      <c r="AF58" s="926"/>
      <c r="AG58" s="926"/>
      <c r="AH58" s="926"/>
      <c r="AI58" s="753"/>
      <c r="AJ58" s="745">
        <f t="shared" si="13"/>
        <v>0</v>
      </c>
      <c r="AK58" s="745"/>
      <c r="AL58" s="1136"/>
      <c r="AM58" s="1137"/>
      <c r="AN58" s="1137"/>
      <c r="AO58" s="1137"/>
      <c r="AP58" s="1137"/>
      <c r="AQ58" s="1137">
        <v>5.3999999999999999E-2</v>
      </c>
      <c r="AR58" s="1137"/>
      <c r="AS58" s="1137"/>
      <c r="AT58" s="1139"/>
      <c r="AU58" s="1137"/>
      <c r="AV58" s="1137"/>
      <c r="AW58" s="1137"/>
      <c r="AX58" s="1137"/>
      <c r="AY58" s="1137"/>
      <c r="AZ58" s="1137">
        <v>5.3999999999999999E-2</v>
      </c>
      <c r="BA58" s="1137"/>
      <c r="BB58" s="1137"/>
      <c r="BC58" s="1139"/>
      <c r="BD58" s="1137"/>
      <c r="BE58" s="1137"/>
      <c r="BF58" s="1137"/>
      <c r="BG58" s="1137"/>
      <c r="BH58" s="1137"/>
      <c r="BI58" s="1137"/>
      <c r="BJ58" s="1139"/>
      <c r="BK58" s="1139"/>
      <c r="BL58" s="1137"/>
      <c r="BM58" s="1137"/>
      <c r="BN58" s="1137"/>
      <c r="BO58" s="1137"/>
      <c r="BP58" s="1137"/>
      <c r="BQ58" s="1139"/>
      <c r="BR58" s="1140"/>
      <c r="BS58" s="1137"/>
      <c r="BT58" s="1141"/>
    </row>
    <row r="59" spans="1:74" ht="21.95" hidden="1" customHeight="1" thickBot="1">
      <c r="A59" s="2695"/>
      <c r="B59" s="2586"/>
      <c r="C59" s="754" t="s">
        <v>1634</v>
      </c>
      <c r="D59" s="1146"/>
      <c r="E59" s="1147"/>
      <c r="F59" s="761">
        <f t="shared" ref="F59:S59" si="21">IF(F$6=3,F$2*F$3,0)</f>
        <v>0</v>
      </c>
      <c r="G59" s="761">
        <f t="shared" si="21"/>
        <v>0</v>
      </c>
      <c r="H59" s="761">
        <f t="shared" si="21"/>
        <v>0</v>
      </c>
      <c r="I59" s="761">
        <f t="shared" si="21"/>
        <v>0</v>
      </c>
      <c r="J59" s="761"/>
      <c r="K59" s="761"/>
      <c r="L59" s="761"/>
      <c r="M59" s="761"/>
      <c r="N59" s="985"/>
      <c r="O59" s="761">
        <f t="shared" si="21"/>
        <v>0</v>
      </c>
      <c r="P59" s="761">
        <f t="shared" si="21"/>
        <v>0</v>
      </c>
      <c r="Q59" s="761">
        <f t="shared" si="21"/>
        <v>0</v>
      </c>
      <c r="R59" s="761">
        <f t="shared" si="21"/>
        <v>0</v>
      </c>
      <c r="S59" s="761">
        <f t="shared" si="21"/>
        <v>0</v>
      </c>
      <c r="T59" s="986"/>
      <c r="U59" s="986"/>
      <c r="V59" s="986"/>
      <c r="W59" s="986"/>
      <c r="X59" s="986"/>
      <c r="Y59" s="986"/>
      <c r="Z59" s="986"/>
      <c r="AA59" s="986"/>
      <c r="AB59" s="986"/>
      <c r="AC59" s="986"/>
      <c r="AD59" s="986"/>
      <c r="AE59" s="986"/>
      <c r="AF59" s="986"/>
      <c r="AG59" s="986"/>
      <c r="AH59" s="986"/>
      <c r="AI59" s="769"/>
      <c r="AJ59" s="745">
        <f t="shared" si="13"/>
        <v>0</v>
      </c>
      <c r="AK59" s="745"/>
      <c r="AL59" s="1136"/>
      <c r="AM59" s="1137"/>
      <c r="AN59" s="1137"/>
      <c r="AO59" s="1137"/>
      <c r="AP59" s="1137"/>
      <c r="AQ59" s="1137">
        <v>7.1999999999999995E-2</v>
      </c>
      <c r="AR59" s="1137"/>
      <c r="AS59" s="1137"/>
      <c r="AT59" s="1139"/>
      <c r="AU59" s="1137"/>
      <c r="AV59" s="1137"/>
      <c r="AW59" s="1137"/>
      <c r="AX59" s="1137"/>
      <c r="AY59" s="1137"/>
      <c r="AZ59" s="1137">
        <v>7.1999999999999995E-2</v>
      </c>
      <c r="BA59" s="1137"/>
      <c r="BB59" s="1137"/>
      <c r="BC59" s="1139"/>
      <c r="BD59" s="1137"/>
      <c r="BE59" s="1137"/>
      <c r="BF59" s="1137"/>
      <c r="BG59" s="1137"/>
      <c r="BH59" s="1137"/>
      <c r="BI59" s="1137"/>
      <c r="BJ59" s="1139"/>
      <c r="BK59" s="1139"/>
      <c r="BL59" s="1137"/>
      <c r="BM59" s="1137"/>
      <c r="BN59" s="1137"/>
      <c r="BO59" s="1137"/>
      <c r="BP59" s="1137"/>
      <c r="BQ59" s="1139"/>
      <c r="BR59" s="1140"/>
      <c r="BS59" s="1137"/>
      <c r="BT59" s="1141"/>
    </row>
    <row r="60" spans="1:74" s="714" customFormat="1" ht="21.95" hidden="1" customHeight="1">
      <c r="A60" s="2695"/>
      <c r="B60" s="2680" t="s">
        <v>1896</v>
      </c>
      <c r="C60" s="1160" t="s">
        <v>1584</v>
      </c>
      <c r="D60" s="1161"/>
      <c r="E60" s="1162"/>
      <c r="F60" s="772">
        <f>Dren_Quantificacao!D42</f>
        <v>0</v>
      </c>
      <c r="G60" s="772">
        <f>Dren_Quantificacao!E42</f>
        <v>0</v>
      </c>
      <c r="H60" s="772">
        <f>Dren_Quantificacao!F42</f>
        <v>0</v>
      </c>
      <c r="I60" s="772">
        <f>Dren_Quantificacao!G42</f>
        <v>0</v>
      </c>
      <c r="J60" s="772"/>
      <c r="K60" s="772"/>
      <c r="L60" s="772"/>
      <c r="M60" s="772"/>
      <c r="N60" s="885"/>
      <c r="O60" s="772">
        <f>Dren_Quantificacao!L42</f>
        <v>0</v>
      </c>
      <c r="P60" s="772">
        <f>Dren_Quantificacao!M42</f>
        <v>0</v>
      </c>
      <c r="Q60" s="772">
        <f>Dren_Quantificacao!N42</f>
        <v>0</v>
      </c>
      <c r="R60" s="772">
        <f>Dren_Quantificacao!O42</f>
        <v>0</v>
      </c>
      <c r="S60" s="772">
        <f>Dren_Quantificacao!BD42</f>
        <v>0</v>
      </c>
      <c r="T60" s="958"/>
      <c r="U60" s="958"/>
      <c r="V60" s="958"/>
      <c r="W60" s="958"/>
      <c r="X60" s="958"/>
      <c r="Y60" s="958"/>
      <c r="Z60" s="958"/>
      <c r="AA60" s="958"/>
      <c r="AB60" s="958"/>
      <c r="AC60" s="958"/>
      <c r="AD60" s="958"/>
      <c r="AE60" s="958"/>
      <c r="AF60" s="958"/>
      <c r="AG60" s="958"/>
      <c r="AH60" s="958"/>
      <c r="AI60" s="1163"/>
      <c r="AJ60" s="745">
        <f t="shared" si="13"/>
        <v>0</v>
      </c>
      <c r="AK60" s="745"/>
      <c r="AL60" s="1136">
        <v>220.46</v>
      </c>
      <c r="AM60" s="1137"/>
      <c r="AN60" s="1137"/>
      <c r="AO60" s="1137">
        <v>0.3</v>
      </c>
      <c r="AP60" s="1137"/>
      <c r="AQ60" s="1137">
        <v>155583.14000000001</v>
      </c>
      <c r="AR60" s="1137"/>
      <c r="AS60" s="1137">
        <v>16.23</v>
      </c>
      <c r="AT60" s="1139"/>
      <c r="AU60" s="1137"/>
      <c r="AV60" s="1164">
        <f>(1.2+1.2)*0.11</f>
        <v>0.26400000000000001</v>
      </c>
      <c r="AW60" s="1137"/>
      <c r="AX60" s="1137"/>
      <c r="AY60" s="1165">
        <v>1.61</v>
      </c>
      <c r="AZ60" s="1164">
        <v>0.125</v>
      </c>
      <c r="BA60" s="1137"/>
      <c r="BB60" s="1137">
        <v>16.23</v>
      </c>
      <c r="BC60" s="1139"/>
      <c r="BD60" s="1137"/>
      <c r="BE60" s="1137"/>
      <c r="BF60" s="1137"/>
      <c r="BG60" s="1137"/>
      <c r="BH60" s="1165">
        <v>1.61</v>
      </c>
      <c r="BI60" s="1137"/>
      <c r="BJ60" s="1166">
        <v>0.41599999999999998</v>
      </c>
      <c r="BK60" s="1139">
        <v>24758.5308</v>
      </c>
      <c r="BL60" s="1137"/>
      <c r="BM60" s="1137">
        <v>193.34</v>
      </c>
      <c r="BN60" s="1137"/>
      <c r="BO60" s="1137">
        <v>156.44999999999999</v>
      </c>
      <c r="BP60" s="1137"/>
      <c r="BQ60" s="1139"/>
      <c r="BR60" s="1140">
        <v>721.78499999999997</v>
      </c>
      <c r="BS60" s="1137"/>
      <c r="BT60" s="1141"/>
      <c r="BV60" s="746"/>
    </row>
    <row r="61" spans="1:74" s="714" customFormat="1" ht="21.95" hidden="1" customHeight="1">
      <c r="A61" s="2695"/>
      <c r="B61" s="2681"/>
      <c r="C61" s="1167" t="s">
        <v>1585</v>
      </c>
      <c r="D61" s="1168"/>
      <c r="F61" s="851">
        <f>Dren_Quantificacao!D43</f>
        <v>0</v>
      </c>
      <c r="G61" s="851">
        <f>Dren_Quantificacao!E43</f>
        <v>0</v>
      </c>
      <c r="H61" s="851">
        <f>Dren_Quantificacao!F43</f>
        <v>0</v>
      </c>
      <c r="I61" s="851">
        <f>Dren_Quantificacao!G43</f>
        <v>0</v>
      </c>
      <c r="J61" s="851"/>
      <c r="K61" s="851"/>
      <c r="L61" s="851"/>
      <c r="M61" s="851"/>
      <c r="N61" s="1169"/>
      <c r="O61" s="851">
        <f>Dren_Quantificacao!L43</f>
        <v>0</v>
      </c>
      <c r="P61" s="851">
        <f>Dren_Quantificacao!M43</f>
        <v>0</v>
      </c>
      <c r="Q61" s="851">
        <f>Dren_Quantificacao!N43</f>
        <v>0</v>
      </c>
      <c r="R61" s="851">
        <f>Dren_Quantificacao!O43</f>
        <v>0</v>
      </c>
      <c r="S61" s="851">
        <f>Dren_Quantificacao!BD43</f>
        <v>0</v>
      </c>
      <c r="T61" s="816"/>
      <c r="U61" s="816"/>
      <c r="V61" s="816"/>
      <c r="W61" s="816"/>
      <c r="X61" s="816"/>
      <c r="Y61" s="816"/>
      <c r="Z61" s="816"/>
      <c r="AA61" s="816"/>
      <c r="AB61" s="816"/>
      <c r="AC61" s="816"/>
      <c r="AD61" s="816"/>
      <c r="AE61" s="816"/>
      <c r="AF61" s="816"/>
      <c r="AG61" s="816"/>
      <c r="AH61" s="816"/>
      <c r="AI61" s="1170"/>
      <c r="AJ61" s="745">
        <f t="shared" si="13"/>
        <v>0</v>
      </c>
      <c r="AK61" s="745"/>
      <c r="AL61" s="1136">
        <v>220.46</v>
      </c>
      <c r="AM61" s="1137"/>
      <c r="AN61" s="1137"/>
      <c r="AO61" s="1137">
        <v>0.3</v>
      </c>
      <c r="AP61" s="1137"/>
      <c r="AQ61" s="1137">
        <v>155583.14000000001</v>
      </c>
      <c r="AR61" s="1137"/>
      <c r="AS61" s="1137">
        <v>16.23</v>
      </c>
      <c r="AT61" s="1139"/>
      <c r="AU61" s="1165">
        <f>1.38*0.53</f>
        <v>0.73139999999999994</v>
      </c>
      <c r="AV61" s="1164">
        <f>(1.2+1.2)*0.2</f>
        <v>0.48</v>
      </c>
      <c r="AW61" s="1137"/>
      <c r="AX61" s="1137"/>
      <c r="AY61" s="1165">
        <v>3.93</v>
      </c>
      <c r="AZ61" s="1164">
        <v>0.21</v>
      </c>
      <c r="BA61" s="1137"/>
      <c r="BB61" s="1137">
        <v>16.23</v>
      </c>
      <c r="BC61" s="1139"/>
      <c r="BD61" s="1165">
        <f>1.38*0.529</f>
        <v>0.73002</v>
      </c>
      <c r="BE61" s="1137"/>
      <c r="BF61" s="1137"/>
      <c r="BG61" s="1137"/>
      <c r="BH61" s="1165">
        <v>3.9329999999999998</v>
      </c>
      <c r="BI61" s="1137"/>
      <c r="BJ61" s="1166">
        <v>0.87</v>
      </c>
      <c r="BK61" s="1139">
        <v>24758.5308</v>
      </c>
      <c r="BL61" s="1137"/>
      <c r="BM61" s="1137">
        <v>193.34</v>
      </c>
      <c r="BN61" s="1137"/>
      <c r="BO61" s="1137">
        <v>156.44999999999999</v>
      </c>
      <c r="BP61" s="1137"/>
      <c r="BQ61" s="1139"/>
      <c r="BR61" s="1140">
        <v>721.78499999999997</v>
      </c>
      <c r="BS61" s="1137"/>
      <c r="BT61" s="1141"/>
      <c r="BV61" s="746"/>
    </row>
    <row r="62" spans="1:74" s="714" customFormat="1" ht="21.95" hidden="1" customHeight="1">
      <c r="A62" s="2695"/>
      <c r="B62" s="2681"/>
      <c r="C62" s="1167" t="s">
        <v>1586</v>
      </c>
      <c r="D62" s="1168"/>
      <c r="F62" s="851">
        <f>Dren_Quantificacao!D44</f>
        <v>0</v>
      </c>
      <c r="G62" s="851">
        <f>Dren_Quantificacao!E44</f>
        <v>0</v>
      </c>
      <c r="H62" s="851">
        <f>Dren_Quantificacao!F44</f>
        <v>0</v>
      </c>
      <c r="I62" s="851">
        <f>Dren_Quantificacao!G44</f>
        <v>0</v>
      </c>
      <c r="J62" s="851"/>
      <c r="K62" s="851"/>
      <c r="L62" s="851"/>
      <c r="M62" s="851"/>
      <c r="N62" s="1169"/>
      <c r="O62" s="851">
        <f>Dren_Quantificacao!L44</f>
        <v>0</v>
      </c>
      <c r="P62" s="851">
        <f>Dren_Quantificacao!M44</f>
        <v>0</v>
      </c>
      <c r="Q62" s="851">
        <f>Dren_Quantificacao!N44</f>
        <v>0</v>
      </c>
      <c r="R62" s="851">
        <f>Dren_Quantificacao!O44</f>
        <v>0</v>
      </c>
      <c r="S62" s="851">
        <f>Dren_Quantificacao!BD44</f>
        <v>0</v>
      </c>
      <c r="T62" s="816"/>
      <c r="U62" s="816"/>
      <c r="V62" s="816"/>
      <c r="W62" s="816"/>
      <c r="X62" s="816"/>
      <c r="Y62" s="816"/>
      <c r="Z62" s="816"/>
      <c r="AA62" s="816"/>
      <c r="AB62" s="816"/>
      <c r="AC62" s="816"/>
      <c r="AD62" s="816"/>
      <c r="AE62" s="816"/>
      <c r="AF62" s="816"/>
      <c r="AG62" s="816"/>
      <c r="AH62" s="816"/>
      <c r="AI62" s="1170"/>
      <c r="AJ62" s="745">
        <f t="shared" si="13"/>
        <v>0</v>
      </c>
      <c r="AK62" s="745"/>
      <c r="AL62" s="1136">
        <v>220.46</v>
      </c>
      <c r="AM62" s="1137"/>
      <c r="AN62" s="1137"/>
      <c r="AO62" s="1137">
        <v>0.3</v>
      </c>
      <c r="AP62" s="1137"/>
      <c r="AQ62" s="1137">
        <v>155583.14000000001</v>
      </c>
      <c r="AR62" s="1137"/>
      <c r="AS62" s="1137">
        <v>16.23</v>
      </c>
      <c r="AT62" s="1139"/>
      <c r="AU62" s="1165">
        <f>0.76*1.38</f>
        <v>1.0488</v>
      </c>
      <c r="AV62" s="1164">
        <f>(1.2+1.2)*0.34</f>
        <v>0.81600000000000006</v>
      </c>
      <c r="AW62" s="1137"/>
      <c r="AX62" s="1137"/>
      <c r="AY62" s="1165">
        <v>5.64</v>
      </c>
      <c r="AZ62" s="1164">
        <v>0.44700000000000001</v>
      </c>
      <c r="BA62" s="1137"/>
      <c r="BB62" s="1137">
        <v>16.23</v>
      </c>
      <c r="BC62" s="1139"/>
      <c r="BD62" s="1165">
        <f>0.76*1.38</f>
        <v>1.0488</v>
      </c>
      <c r="BE62" s="1137"/>
      <c r="BF62" s="1137"/>
      <c r="BG62" s="1137"/>
      <c r="BH62" s="1165">
        <v>5.64</v>
      </c>
      <c r="BI62" s="1137"/>
      <c r="BJ62" s="1166">
        <v>1.23</v>
      </c>
      <c r="BK62" s="1139">
        <v>24758.5308</v>
      </c>
      <c r="BL62" s="1137"/>
      <c r="BM62" s="1137">
        <v>193.34</v>
      </c>
      <c r="BN62" s="1137"/>
      <c r="BO62" s="1137">
        <v>156.44999999999999</v>
      </c>
      <c r="BP62" s="1137"/>
      <c r="BQ62" s="1139"/>
      <c r="BR62" s="1140">
        <v>721.78499999999997</v>
      </c>
      <c r="BS62" s="1137"/>
      <c r="BT62" s="1141"/>
      <c r="BV62" s="746"/>
    </row>
    <row r="63" spans="1:74" s="714" customFormat="1" ht="21.95" hidden="1" customHeight="1">
      <c r="A63" s="2695"/>
      <c r="B63" s="2681"/>
      <c r="C63" s="1167" t="s">
        <v>1587</v>
      </c>
      <c r="D63" s="1168"/>
      <c r="F63" s="851">
        <f>Dren_Quantificacao!D45</f>
        <v>0</v>
      </c>
      <c r="G63" s="851">
        <f>Dren_Quantificacao!E45</f>
        <v>0</v>
      </c>
      <c r="H63" s="851">
        <f>Dren_Quantificacao!F45</f>
        <v>0</v>
      </c>
      <c r="I63" s="851">
        <f>Dren_Quantificacao!G45</f>
        <v>0</v>
      </c>
      <c r="J63" s="851"/>
      <c r="K63" s="851"/>
      <c r="L63" s="851"/>
      <c r="M63" s="851"/>
      <c r="N63" s="1169"/>
      <c r="O63" s="851">
        <f>Dren_Quantificacao!L45</f>
        <v>0</v>
      </c>
      <c r="P63" s="851">
        <f>Dren_Quantificacao!M45</f>
        <v>0</v>
      </c>
      <c r="Q63" s="851">
        <f>Dren_Quantificacao!N45</f>
        <v>0</v>
      </c>
      <c r="R63" s="851">
        <f>Dren_Quantificacao!O45</f>
        <v>0</v>
      </c>
      <c r="S63" s="851">
        <f>Dren_Quantificacao!BD45</f>
        <v>0</v>
      </c>
      <c r="T63" s="816"/>
      <c r="U63" s="816"/>
      <c r="V63" s="816"/>
      <c r="W63" s="816"/>
      <c r="X63" s="816"/>
      <c r="Y63" s="816"/>
      <c r="Z63" s="816"/>
      <c r="AA63" s="816"/>
      <c r="AB63" s="816"/>
      <c r="AC63" s="816"/>
      <c r="AD63" s="816"/>
      <c r="AE63" s="816"/>
      <c r="AF63" s="816"/>
      <c r="AG63" s="816"/>
      <c r="AH63" s="816"/>
      <c r="AI63" s="1170"/>
      <c r="AJ63" s="745">
        <f t="shared" si="13"/>
        <v>0</v>
      </c>
      <c r="AK63" s="745"/>
      <c r="AL63" s="1136">
        <v>220.46</v>
      </c>
      <c r="AM63" s="1137"/>
      <c r="AN63" s="1137"/>
      <c r="AO63" s="1137">
        <v>0.3</v>
      </c>
      <c r="AP63" s="1137"/>
      <c r="AQ63" s="1137">
        <v>155583.14000000001</v>
      </c>
      <c r="AR63" s="1137"/>
      <c r="AS63" s="1137">
        <v>16.23</v>
      </c>
      <c r="AT63" s="1139"/>
      <c r="AU63" s="1165">
        <f>0.92*1.38</f>
        <v>1.2696000000000001</v>
      </c>
      <c r="AV63" s="1164">
        <f>(1.2+1.2)*0.37</f>
        <v>0.88800000000000001</v>
      </c>
      <c r="AW63" s="1137"/>
      <c r="AX63" s="1137"/>
      <c r="AY63" s="1165">
        <v>6.77</v>
      </c>
      <c r="AZ63" s="1164">
        <v>0.48</v>
      </c>
      <c r="BA63" s="1137"/>
      <c r="BB63" s="1137">
        <v>16.23</v>
      </c>
      <c r="BC63" s="1139"/>
      <c r="BD63" s="1165">
        <f>0.92*1.38</f>
        <v>1.2696000000000001</v>
      </c>
      <c r="BE63" s="1137"/>
      <c r="BF63" s="1137"/>
      <c r="BG63" s="1137"/>
      <c r="BH63" s="1165">
        <v>6.7649999999999997</v>
      </c>
      <c r="BI63" s="1137"/>
      <c r="BJ63" s="1166">
        <v>1.47</v>
      </c>
      <c r="BK63" s="1139">
        <v>24758.5308</v>
      </c>
      <c r="BL63" s="1137"/>
      <c r="BM63" s="1137">
        <v>193.34</v>
      </c>
      <c r="BN63" s="1137"/>
      <c r="BO63" s="1137">
        <v>156.44999999999999</v>
      </c>
      <c r="BP63" s="1137"/>
      <c r="BQ63" s="1139"/>
      <c r="BR63" s="1140">
        <v>721.78499999999997</v>
      </c>
      <c r="BS63" s="1137"/>
      <c r="BT63" s="1141"/>
      <c r="BV63" s="746"/>
    </row>
    <row r="64" spans="1:74" s="714" customFormat="1" ht="21.95" hidden="1" customHeight="1">
      <c r="A64" s="2695"/>
      <c r="B64" s="2681"/>
      <c r="C64" s="1167" t="s">
        <v>1588</v>
      </c>
      <c r="D64" s="1168"/>
      <c r="F64" s="851">
        <f>Dren_Quantificacao!D46</f>
        <v>0</v>
      </c>
      <c r="G64" s="851">
        <f>Dren_Quantificacao!E46</f>
        <v>0</v>
      </c>
      <c r="H64" s="851">
        <f>Dren_Quantificacao!F46</f>
        <v>0</v>
      </c>
      <c r="I64" s="851">
        <f>Dren_Quantificacao!G46</f>
        <v>0</v>
      </c>
      <c r="J64" s="851"/>
      <c r="K64" s="851"/>
      <c r="L64" s="851"/>
      <c r="M64" s="851"/>
      <c r="N64" s="1169"/>
      <c r="O64" s="851">
        <f>Dren_Quantificacao!L46</f>
        <v>0</v>
      </c>
      <c r="P64" s="851">
        <f>Dren_Quantificacao!M46</f>
        <v>0</v>
      </c>
      <c r="Q64" s="851">
        <f>Dren_Quantificacao!N46</f>
        <v>0</v>
      </c>
      <c r="R64" s="851">
        <f>Dren_Quantificacao!O46</f>
        <v>0</v>
      </c>
      <c r="S64" s="851">
        <f>Dren_Quantificacao!BD46</f>
        <v>0</v>
      </c>
      <c r="T64" s="816"/>
      <c r="U64" s="816"/>
      <c r="V64" s="816"/>
      <c r="W64" s="816"/>
      <c r="X64" s="816"/>
      <c r="Y64" s="816"/>
      <c r="Z64" s="816"/>
      <c r="AA64" s="816"/>
      <c r="AB64" s="816"/>
      <c r="AC64" s="816"/>
      <c r="AD64" s="816"/>
      <c r="AE64" s="816"/>
      <c r="AF64" s="816"/>
      <c r="AG64" s="816"/>
      <c r="AH64" s="816"/>
      <c r="AI64" s="1170"/>
      <c r="AJ64" s="745">
        <f t="shared" si="13"/>
        <v>0</v>
      </c>
      <c r="AK64" s="745"/>
      <c r="AL64" s="1136">
        <v>220.46</v>
      </c>
      <c r="AM64" s="1137"/>
      <c r="AN64" s="1137"/>
      <c r="AO64" s="1137">
        <v>0.3</v>
      </c>
      <c r="AP64" s="1137"/>
      <c r="AQ64" s="1137">
        <v>155583.14000000001</v>
      </c>
      <c r="AR64" s="1137"/>
      <c r="AS64" s="1137">
        <v>16.23</v>
      </c>
      <c r="AT64" s="1139"/>
      <c r="AU64" s="1165">
        <f>1.24*1.38</f>
        <v>1.7111999999999998</v>
      </c>
      <c r="AV64" s="1164">
        <f>(1.2+1.2)*0.41</f>
        <v>0.98399999999999987</v>
      </c>
      <c r="AW64" s="1137"/>
      <c r="AX64" s="1137"/>
      <c r="AY64" s="1165">
        <v>9.9600000000000009</v>
      </c>
      <c r="AZ64" s="1164">
        <v>0.42699999999999999</v>
      </c>
      <c r="BA64" s="1137"/>
      <c r="BB64" s="1137">
        <v>16.23</v>
      </c>
      <c r="BC64" s="1139"/>
      <c r="BD64" s="1165">
        <f>1.24*1.38</f>
        <v>1.7111999999999998</v>
      </c>
      <c r="BE64" s="1137"/>
      <c r="BF64" s="1137"/>
      <c r="BG64" s="1137"/>
      <c r="BH64" s="1165">
        <v>9.9589999999999996</v>
      </c>
      <c r="BI64" s="1137"/>
      <c r="BJ64" s="1166">
        <v>1.95</v>
      </c>
      <c r="BK64" s="1139">
        <v>24758.5308</v>
      </c>
      <c r="BL64" s="1137"/>
      <c r="BM64" s="1137">
        <v>193.34</v>
      </c>
      <c r="BN64" s="1137"/>
      <c r="BO64" s="1137">
        <v>156.44999999999999</v>
      </c>
      <c r="BP64" s="1137"/>
      <c r="BQ64" s="1139"/>
      <c r="BR64" s="1140">
        <v>721.78499999999997</v>
      </c>
      <c r="BS64" s="1137"/>
      <c r="BT64" s="1141"/>
      <c r="BV64" s="746"/>
    </row>
    <row r="65" spans="1:74" s="714" customFormat="1" ht="21.95" hidden="1" customHeight="1">
      <c r="A65" s="2695"/>
      <c r="B65" s="2681"/>
      <c r="C65" s="1167" t="s">
        <v>1589</v>
      </c>
      <c r="D65" s="1168"/>
      <c r="F65" s="851">
        <f>Dren_Quantificacao!D47</f>
        <v>0</v>
      </c>
      <c r="G65" s="851">
        <f>Dren_Quantificacao!E47</f>
        <v>0</v>
      </c>
      <c r="H65" s="851">
        <f>Dren_Quantificacao!F47</f>
        <v>0</v>
      </c>
      <c r="I65" s="851">
        <f>Dren_Quantificacao!G47</f>
        <v>0</v>
      </c>
      <c r="J65" s="851"/>
      <c r="K65" s="851"/>
      <c r="L65" s="851"/>
      <c r="M65" s="851"/>
      <c r="N65" s="1169"/>
      <c r="O65" s="851">
        <f>Dren_Quantificacao!L47</f>
        <v>0</v>
      </c>
      <c r="P65" s="851">
        <f>Dren_Quantificacao!M47</f>
        <v>0</v>
      </c>
      <c r="Q65" s="851">
        <f>Dren_Quantificacao!N47</f>
        <v>0</v>
      </c>
      <c r="R65" s="851">
        <f>Dren_Quantificacao!O47</f>
        <v>0</v>
      </c>
      <c r="S65" s="851">
        <f>Dren_Quantificacao!BD47</f>
        <v>0</v>
      </c>
      <c r="T65" s="816"/>
      <c r="U65" s="816"/>
      <c r="V65" s="816"/>
      <c r="W65" s="816"/>
      <c r="X65" s="816"/>
      <c r="Y65" s="816"/>
      <c r="Z65" s="816"/>
      <c r="AA65" s="816"/>
      <c r="AB65" s="816"/>
      <c r="AC65" s="816"/>
      <c r="AD65" s="816"/>
      <c r="AE65" s="816"/>
      <c r="AF65" s="816"/>
      <c r="AG65" s="816"/>
      <c r="AH65" s="816"/>
      <c r="AI65" s="1170"/>
      <c r="AJ65" s="745">
        <f t="shared" si="13"/>
        <v>0</v>
      </c>
      <c r="AK65" s="745"/>
      <c r="AL65" s="1136">
        <v>220.46</v>
      </c>
      <c r="AM65" s="1137"/>
      <c r="AN65" s="1137"/>
      <c r="AO65" s="1137">
        <v>0.3</v>
      </c>
      <c r="AP65" s="1137"/>
      <c r="AQ65" s="1137">
        <v>155583.14000000001</v>
      </c>
      <c r="AR65" s="1137"/>
      <c r="AS65" s="1137">
        <v>16.23</v>
      </c>
      <c r="AT65" s="1139"/>
      <c r="AU65" s="1165">
        <f>1.71*1.38</f>
        <v>2.3597999999999999</v>
      </c>
      <c r="AV65" s="1164">
        <f>(1.2+1.2)*0.23</f>
        <v>0.55200000000000005</v>
      </c>
      <c r="AW65" s="1137"/>
      <c r="AX65" s="1137"/>
      <c r="AY65" s="1165">
        <v>14.33</v>
      </c>
      <c r="AZ65" s="1164">
        <v>0.29899999999999999</v>
      </c>
      <c r="BA65" s="1137"/>
      <c r="BB65" s="1137">
        <v>16.23</v>
      </c>
      <c r="BC65" s="1139"/>
      <c r="BD65" s="1165">
        <f>1.71*1.38</f>
        <v>2.3597999999999999</v>
      </c>
      <c r="BE65" s="1137"/>
      <c r="BF65" s="1137"/>
      <c r="BG65" s="1137"/>
      <c r="BH65" s="1165">
        <v>14.332000000000001</v>
      </c>
      <c r="BI65" s="1137"/>
      <c r="BJ65" s="1166">
        <v>2.67</v>
      </c>
      <c r="BK65" s="1139">
        <v>24758.5308</v>
      </c>
      <c r="BL65" s="1137"/>
      <c r="BM65" s="1137">
        <v>193.34</v>
      </c>
      <c r="BN65" s="1137"/>
      <c r="BO65" s="1137">
        <v>156.44999999999999</v>
      </c>
      <c r="BP65" s="1137"/>
      <c r="BQ65" s="1139"/>
      <c r="BR65" s="1140">
        <v>721.78499999999997</v>
      </c>
      <c r="BS65" s="1137"/>
      <c r="BT65" s="1141"/>
      <c r="BV65" s="746"/>
    </row>
    <row r="66" spans="1:74" s="714" customFormat="1" ht="21.95" hidden="1" customHeight="1" thickBot="1">
      <c r="A66" s="2695"/>
      <c r="B66" s="2682"/>
      <c r="C66" s="1167" t="s">
        <v>1590</v>
      </c>
      <c r="D66" s="1171"/>
      <c r="E66" s="1172"/>
      <c r="F66" s="989">
        <f>Dren_Quantificacao!D48</f>
        <v>0</v>
      </c>
      <c r="G66" s="989">
        <f>Dren_Quantificacao!E48</f>
        <v>0</v>
      </c>
      <c r="H66" s="989">
        <f>Dren_Quantificacao!F48</f>
        <v>0</v>
      </c>
      <c r="I66" s="989">
        <f>Dren_Quantificacao!G48</f>
        <v>0</v>
      </c>
      <c r="J66" s="989"/>
      <c r="K66" s="989"/>
      <c r="L66" s="989"/>
      <c r="M66" s="989"/>
      <c r="N66" s="990"/>
      <c r="O66" s="989">
        <f>Dren_Quantificacao!L48</f>
        <v>0</v>
      </c>
      <c r="P66" s="989">
        <f>Dren_Quantificacao!M48</f>
        <v>0</v>
      </c>
      <c r="Q66" s="989">
        <f>Dren_Quantificacao!N48</f>
        <v>0</v>
      </c>
      <c r="R66" s="989">
        <f>Dren_Quantificacao!O48</f>
        <v>0</v>
      </c>
      <c r="S66" s="989">
        <f>Dren_Quantificacao!BD48</f>
        <v>0</v>
      </c>
      <c r="T66" s="965"/>
      <c r="U66" s="965"/>
      <c r="V66" s="965"/>
      <c r="W66" s="965"/>
      <c r="X66" s="965"/>
      <c r="Y66" s="965"/>
      <c r="Z66" s="965"/>
      <c r="AA66" s="965"/>
      <c r="AB66" s="965"/>
      <c r="AC66" s="965"/>
      <c r="AD66" s="965"/>
      <c r="AE66" s="965"/>
      <c r="AF66" s="965"/>
      <c r="AG66" s="965"/>
      <c r="AH66" s="965"/>
      <c r="AI66" s="773"/>
      <c r="AJ66" s="745">
        <f t="shared" ref="AJ66:AJ97" si="22">SUM(F66:AI66)</f>
        <v>0</v>
      </c>
      <c r="AK66" s="745"/>
      <c r="AL66" s="1136"/>
      <c r="AM66" s="1137"/>
      <c r="AN66" s="1137"/>
      <c r="AO66" s="1137">
        <v>220.46</v>
      </c>
      <c r="AP66" s="1137"/>
      <c r="AQ66" s="1137">
        <v>155583.14000000001</v>
      </c>
      <c r="AR66" s="1137"/>
      <c r="AS66" s="1137">
        <v>3.35</v>
      </c>
      <c r="AT66" s="1139"/>
      <c r="AU66" s="1165">
        <f>2.097*1.38</f>
        <v>2.8938599999999997</v>
      </c>
      <c r="AV66" s="1164">
        <f>(1.2+1.2)*0.23</f>
        <v>0.55200000000000005</v>
      </c>
      <c r="AW66" s="1137"/>
      <c r="AX66" s="1137"/>
      <c r="AY66" s="1165">
        <v>18.02</v>
      </c>
      <c r="AZ66" s="1164">
        <v>0.29899999999999999</v>
      </c>
      <c r="BA66" s="1137"/>
      <c r="BB66" s="1137">
        <v>3.35</v>
      </c>
      <c r="BC66" s="1139"/>
      <c r="BD66" s="1165">
        <f>2.1*1.38</f>
        <v>2.8979999999999997</v>
      </c>
      <c r="BE66" s="1137"/>
      <c r="BF66" s="1137"/>
      <c r="BG66" s="1137"/>
      <c r="BH66" s="1165">
        <v>18.024000000000001</v>
      </c>
      <c r="BI66" s="1137"/>
      <c r="BJ66" s="1166">
        <v>3.27</v>
      </c>
      <c r="BK66" s="1139">
        <v>1271.0228000000002</v>
      </c>
      <c r="BL66" s="1137"/>
      <c r="BM66" s="1137"/>
      <c r="BN66" s="1137"/>
      <c r="BO66" s="1137"/>
      <c r="BP66" s="1137"/>
      <c r="BQ66" s="1139"/>
      <c r="BR66" s="1140"/>
      <c r="BS66" s="1137">
        <v>170.37</v>
      </c>
      <c r="BT66" s="1141"/>
      <c r="BV66" s="746"/>
    </row>
    <row r="67" spans="1:74" s="714" customFormat="1" ht="21.95" customHeight="1">
      <c r="A67" s="2695"/>
      <c r="B67" s="2677" t="s">
        <v>1897</v>
      </c>
      <c r="C67" s="882" t="s">
        <v>1607</v>
      </c>
      <c r="D67" s="1168"/>
      <c r="F67" s="743">
        <f>Dren_Quantificacao!D64</f>
        <v>509.3</v>
      </c>
      <c r="G67" s="743">
        <f>Dren_Quantificacao!E64</f>
        <v>508.8</v>
      </c>
      <c r="H67" s="743">
        <f>Dren_Quantificacao!F64</f>
        <v>509.4</v>
      </c>
      <c r="I67" s="743">
        <f>Dren_Quantificacao!G64</f>
        <v>508</v>
      </c>
      <c r="J67" s="743"/>
      <c r="K67" s="743"/>
      <c r="L67" s="743"/>
      <c r="M67" s="743"/>
      <c r="N67" s="973"/>
      <c r="O67" s="743">
        <f>Dren_Quantificacao!L64</f>
        <v>505.4</v>
      </c>
      <c r="P67" s="743">
        <f>Dren_Quantificacao!M64</f>
        <v>504.8</v>
      </c>
      <c r="Q67" s="743">
        <f>Dren_Quantificacao!N64</f>
        <v>506.2</v>
      </c>
      <c r="R67" s="743">
        <f>Dren_Quantificacao!O64</f>
        <v>505.8</v>
      </c>
      <c r="S67" s="743">
        <f>Dren_Quantificacao!BD64</f>
        <v>0</v>
      </c>
      <c r="T67" s="958"/>
      <c r="U67" s="958"/>
      <c r="V67" s="958"/>
      <c r="W67" s="958"/>
      <c r="X67" s="816"/>
      <c r="Y67" s="816"/>
      <c r="Z67" s="816"/>
      <c r="AA67" s="816"/>
      <c r="AB67" s="816"/>
      <c r="AC67" s="816"/>
      <c r="AD67" s="816"/>
      <c r="AE67" s="816"/>
      <c r="AF67" s="816"/>
      <c r="AG67" s="816"/>
      <c r="AH67" s="816"/>
      <c r="AI67" s="1173"/>
      <c r="AJ67" s="745">
        <f t="shared" si="22"/>
        <v>4057.7000000000003</v>
      </c>
      <c r="AK67" s="745"/>
      <c r="AL67" s="1136"/>
      <c r="AM67" s="1137"/>
      <c r="AN67" s="1137"/>
      <c r="AO67" s="1137"/>
      <c r="AP67" s="1137"/>
      <c r="AQ67" s="1137"/>
      <c r="AR67" s="1137"/>
      <c r="AS67" s="1137"/>
      <c r="AT67" s="1139"/>
      <c r="AU67" s="1137"/>
      <c r="AV67" s="1137"/>
      <c r="AW67" s="1137"/>
      <c r="AX67" s="1137"/>
      <c r="AY67" s="1137"/>
      <c r="AZ67" s="1137"/>
      <c r="BA67" s="1137"/>
      <c r="BB67" s="1137"/>
      <c r="BC67" s="1139"/>
      <c r="BD67" s="1137"/>
      <c r="BE67" s="1137"/>
      <c r="BF67" s="1137"/>
      <c r="BG67" s="1137"/>
      <c r="BH67" s="1137"/>
      <c r="BI67" s="1137"/>
      <c r="BJ67" s="1139"/>
      <c r="BK67" s="1139"/>
      <c r="BL67" s="1137"/>
      <c r="BM67" s="1137"/>
      <c r="BN67" s="1137"/>
      <c r="BO67" s="1137"/>
      <c r="BP67" s="1137"/>
      <c r="BQ67" s="1139"/>
      <c r="BR67" s="1140"/>
      <c r="BS67" s="1137"/>
      <c r="BT67" s="1141"/>
      <c r="BV67" s="746"/>
    </row>
    <row r="68" spans="1:74" s="714" customFormat="1" ht="21.95" hidden="1" customHeight="1">
      <c r="A68" s="2695"/>
      <c r="B68" s="2610"/>
      <c r="C68" s="1174" t="s">
        <v>1608</v>
      </c>
      <c r="D68" s="1168"/>
      <c r="F68" s="752">
        <f>IF(AND(F84=0,SUM(F99:F103)=0),0,Dren_Quantificacao!D65)</f>
        <v>0</v>
      </c>
      <c r="G68" s="752">
        <f>IF(AND(G84=0,SUM(G99:G103)=0),0,Dren_Quantificacao!E65)</f>
        <v>0</v>
      </c>
      <c r="H68" s="752">
        <f>IF(AND(H84=0,SUM(H99:H103)=0),0,Dren_Quantificacao!F65)</f>
        <v>0</v>
      </c>
      <c r="I68" s="752">
        <f>IF(AND(I84=0,SUM(I99:I103)=0),0,Dren_Quantificacao!G65)</f>
        <v>0</v>
      </c>
      <c r="J68" s="752"/>
      <c r="K68" s="752"/>
      <c r="L68" s="752"/>
      <c r="M68" s="752"/>
      <c r="N68" s="980"/>
      <c r="O68" s="752">
        <f>IF(AND(O84=0,SUM(O99:O103)=0),0,Dren_Quantificacao!L65)</f>
        <v>0</v>
      </c>
      <c r="P68" s="752">
        <f>IF(AND(P84=0,SUM(P99:P103)=0),0,Dren_Quantificacao!M65)</f>
        <v>0</v>
      </c>
      <c r="Q68" s="752">
        <f>IF(AND(Q84=0,SUM(Q99:Q103)=0),0,Dren_Quantificacao!N65)</f>
        <v>0</v>
      </c>
      <c r="R68" s="752">
        <f>IF(AND(R84=0,SUM(R99:R103)=0),0,Dren_Quantificacao!O65)</f>
        <v>0</v>
      </c>
      <c r="S68" s="752">
        <f>IF(AND(S84=0,SUM(S99:S103)=0),0,Dren_Quantificacao!BD65)</f>
        <v>0</v>
      </c>
      <c r="T68" s="816"/>
      <c r="U68" s="816"/>
      <c r="V68" s="816"/>
      <c r="W68" s="816"/>
      <c r="X68" s="816"/>
      <c r="Y68" s="816"/>
      <c r="Z68" s="816"/>
      <c r="AA68" s="816"/>
      <c r="AB68" s="816"/>
      <c r="AC68" s="816"/>
      <c r="AD68" s="816"/>
      <c r="AE68" s="816"/>
      <c r="AF68" s="816"/>
      <c r="AG68" s="816"/>
      <c r="AH68" s="816"/>
      <c r="AI68" s="1175"/>
      <c r="AJ68" s="745">
        <f t="shared" si="22"/>
        <v>0</v>
      </c>
      <c r="AK68" s="745"/>
      <c r="AL68" s="1136"/>
      <c r="AM68" s="1137"/>
      <c r="AN68" s="1137"/>
      <c r="AO68" s="1137"/>
      <c r="AP68" s="1137"/>
      <c r="AQ68" s="1137"/>
      <c r="AR68" s="1137"/>
      <c r="AS68" s="1137"/>
      <c r="AT68" s="1139"/>
      <c r="AU68" s="1137"/>
      <c r="AV68" s="1137"/>
      <c r="AW68" s="1137"/>
      <c r="AX68" s="1137"/>
      <c r="AY68" s="1137"/>
      <c r="AZ68" s="1137"/>
      <c r="BA68" s="1137"/>
      <c r="BB68" s="1137"/>
      <c r="BC68" s="1139"/>
      <c r="BD68" s="1137"/>
      <c r="BE68" s="1137"/>
      <c r="BF68" s="1137"/>
      <c r="BG68" s="1137"/>
      <c r="BH68" s="1137"/>
      <c r="BI68" s="1137"/>
      <c r="BJ68" s="1139"/>
      <c r="BK68" s="1139"/>
      <c r="BL68" s="1137"/>
      <c r="BM68" s="1137"/>
      <c r="BN68" s="1137"/>
      <c r="BO68" s="1137"/>
      <c r="BP68" s="1137"/>
      <c r="BQ68" s="1139"/>
      <c r="BR68" s="1140"/>
      <c r="BS68" s="1137"/>
      <c r="BT68" s="1141"/>
      <c r="BV68" s="746"/>
    </row>
    <row r="69" spans="1:74" s="714" customFormat="1" ht="21.95" customHeight="1">
      <c r="A69" s="2695"/>
      <c r="B69" s="2610"/>
      <c r="C69" s="1174" t="s">
        <v>1609</v>
      </c>
      <c r="D69" s="1168"/>
      <c r="F69" s="752">
        <f>Dren_Quantificacao!D66</f>
        <v>507.2</v>
      </c>
      <c r="G69" s="752">
        <f>Dren_Quantificacao!E66</f>
        <v>506.69</v>
      </c>
      <c r="H69" s="752">
        <f>Dren_Quantificacao!F66</f>
        <v>507.29999999999995</v>
      </c>
      <c r="I69" s="752">
        <f>Dren_Quantificacao!G66</f>
        <v>505.89</v>
      </c>
      <c r="J69" s="752"/>
      <c r="K69" s="752"/>
      <c r="L69" s="752"/>
      <c r="M69" s="752"/>
      <c r="N69" s="980"/>
      <c r="O69" s="752">
        <f>Dren_Quantificacao!L66</f>
        <v>503.29999999999995</v>
      </c>
      <c r="P69" s="752">
        <f>Dren_Quantificacao!M66</f>
        <v>502.69999999999993</v>
      </c>
      <c r="Q69" s="752">
        <f>Dren_Quantificacao!N66</f>
        <v>504.09999999999997</v>
      </c>
      <c r="R69" s="752">
        <f>Dren_Quantificacao!O66</f>
        <v>503.69499999999999</v>
      </c>
      <c r="S69" s="752">
        <f>Dren_Quantificacao!BD66</f>
        <v>0</v>
      </c>
      <c r="T69" s="816"/>
      <c r="U69" s="816"/>
      <c r="V69" s="816"/>
      <c r="W69" s="816"/>
      <c r="X69" s="816"/>
      <c r="Y69" s="816"/>
      <c r="Z69" s="816"/>
      <c r="AA69" s="816"/>
      <c r="AB69" s="816"/>
      <c r="AC69" s="816"/>
      <c r="AD69" s="816"/>
      <c r="AE69" s="816"/>
      <c r="AF69" s="816"/>
      <c r="AG69" s="816"/>
      <c r="AH69" s="816"/>
      <c r="AI69" s="1175"/>
      <c r="AJ69" s="745">
        <f t="shared" si="22"/>
        <v>4040.875</v>
      </c>
      <c r="AK69" s="745"/>
      <c r="AL69" s="1136"/>
      <c r="AM69" s="1137"/>
      <c r="AN69" s="1137"/>
      <c r="AO69" s="1137"/>
      <c r="AP69" s="1137"/>
      <c r="AQ69" s="1137"/>
      <c r="AR69" s="1137"/>
      <c r="AS69" s="1137"/>
      <c r="AT69" s="1139"/>
      <c r="AU69" s="1137"/>
      <c r="AV69" s="1137"/>
      <c r="AW69" s="1137"/>
      <c r="AX69" s="1137"/>
      <c r="AY69" s="1137"/>
      <c r="AZ69" s="1137"/>
      <c r="BA69" s="1137"/>
      <c r="BB69" s="1137"/>
      <c r="BC69" s="1139"/>
      <c r="BD69" s="1137"/>
      <c r="BE69" s="1137"/>
      <c r="BF69" s="1137"/>
      <c r="BG69" s="1137"/>
      <c r="BH69" s="1137"/>
      <c r="BI69" s="1137"/>
      <c r="BJ69" s="1139"/>
      <c r="BK69" s="1139"/>
      <c r="BL69" s="1137"/>
      <c r="BM69" s="1137"/>
      <c r="BN69" s="1137"/>
      <c r="BO69" s="1137"/>
      <c r="BP69" s="1137"/>
      <c r="BQ69" s="1139"/>
      <c r="BR69" s="1140"/>
      <c r="BS69" s="1137"/>
      <c r="BT69" s="1141"/>
      <c r="BV69" s="746"/>
    </row>
    <row r="70" spans="1:74" s="714" customFormat="1" ht="21.95" customHeight="1">
      <c r="A70" s="2695"/>
      <c r="B70" s="2610"/>
      <c r="C70" s="1174" t="s">
        <v>1898</v>
      </c>
      <c r="D70" s="1168"/>
      <c r="F70" s="752">
        <f>IF(F68=0,F67-F69,F68-F69)</f>
        <v>2.1000000000000227</v>
      </c>
      <c r="G70" s="752">
        <f t="shared" ref="G70:R70" si="23">IF(G68=0,G67-G69,G68-G69)</f>
        <v>2.1100000000000136</v>
      </c>
      <c r="H70" s="752">
        <f t="shared" si="23"/>
        <v>2.1000000000000227</v>
      </c>
      <c r="I70" s="752">
        <f t="shared" si="23"/>
        <v>2.1100000000000136</v>
      </c>
      <c r="J70" s="752"/>
      <c r="K70" s="752"/>
      <c r="L70" s="752"/>
      <c r="M70" s="752"/>
      <c r="N70" s="980"/>
      <c r="O70" s="752">
        <f t="shared" si="23"/>
        <v>2.1000000000000227</v>
      </c>
      <c r="P70" s="752">
        <f t="shared" si="23"/>
        <v>2.1000000000000796</v>
      </c>
      <c r="Q70" s="752">
        <f t="shared" si="23"/>
        <v>2.1000000000000227</v>
      </c>
      <c r="R70" s="752">
        <f t="shared" si="23"/>
        <v>2.1050000000000182</v>
      </c>
      <c r="S70" s="752">
        <f>IF(S68=0,S67-S69,S68-S69)</f>
        <v>0</v>
      </c>
      <c r="T70" s="816"/>
      <c r="U70" s="816"/>
      <c r="V70" s="816"/>
      <c r="W70" s="816"/>
      <c r="X70" s="816"/>
      <c r="Y70" s="816"/>
      <c r="Z70" s="816"/>
      <c r="AA70" s="816"/>
      <c r="AB70" s="816"/>
      <c r="AC70" s="816"/>
      <c r="AD70" s="816"/>
      <c r="AE70" s="816"/>
      <c r="AF70" s="816"/>
      <c r="AG70" s="816"/>
      <c r="AH70" s="816"/>
      <c r="AI70" s="1175"/>
      <c r="AJ70" s="745">
        <f t="shared" si="22"/>
        <v>16.825000000000216</v>
      </c>
      <c r="AK70" s="745"/>
      <c r="AL70" s="1136"/>
      <c r="AM70" s="1137"/>
      <c r="AN70" s="1137"/>
      <c r="AO70" s="1137"/>
      <c r="AP70" s="1137"/>
      <c r="AQ70" s="1137"/>
      <c r="AR70" s="1137"/>
      <c r="AS70" s="1137"/>
      <c r="AT70" s="1139"/>
      <c r="AU70" s="1137"/>
      <c r="AV70" s="1137"/>
      <c r="AW70" s="1137"/>
      <c r="AX70" s="1137"/>
      <c r="AY70" s="1137"/>
      <c r="AZ70" s="1137"/>
      <c r="BA70" s="1137"/>
      <c r="BB70" s="1137"/>
      <c r="BC70" s="1139"/>
      <c r="BD70" s="1137"/>
      <c r="BE70" s="1137"/>
      <c r="BF70" s="1137"/>
      <c r="BG70" s="1137"/>
      <c r="BH70" s="1137"/>
      <c r="BI70" s="1137"/>
      <c r="BJ70" s="1139"/>
      <c r="BK70" s="1139"/>
      <c r="BL70" s="1137"/>
      <c r="BM70" s="1137"/>
      <c r="BN70" s="1137"/>
      <c r="BO70" s="1137"/>
      <c r="BP70" s="1137"/>
      <c r="BQ70" s="1139"/>
      <c r="BR70" s="1140"/>
      <c r="BS70" s="1137"/>
      <c r="BT70" s="1141"/>
      <c r="BV70" s="746"/>
    </row>
    <row r="71" spans="1:74" s="714" customFormat="1" ht="21.95" customHeight="1">
      <c r="A71" s="2695"/>
      <c r="B71" s="2610"/>
      <c r="C71" s="1174" t="s">
        <v>1899</v>
      </c>
      <c r="D71" s="1168"/>
      <c r="F71" s="752">
        <f>Dren_Quantificacao!D67</f>
        <v>507.92599999999999</v>
      </c>
      <c r="G71" s="752">
        <f>Dren_Quantificacao!E67</f>
        <v>507.416</v>
      </c>
      <c r="H71" s="752">
        <f>Dren_Quantificacao!F67</f>
        <v>508.02599999999995</v>
      </c>
      <c r="I71" s="752">
        <f>Dren_Quantificacao!G67</f>
        <v>506.61599999999999</v>
      </c>
      <c r="J71" s="752"/>
      <c r="K71" s="752"/>
      <c r="L71" s="752"/>
      <c r="M71" s="752"/>
      <c r="N71" s="980"/>
      <c r="O71" s="752">
        <f>Dren_Quantificacao!L67</f>
        <v>504.02599999999995</v>
      </c>
      <c r="P71" s="752">
        <f>Dren_Quantificacao!M67</f>
        <v>503.42599999999993</v>
      </c>
      <c r="Q71" s="752">
        <f>Dren_Quantificacao!N67</f>
        <v>504.82599999999996</v>
      </c>
      <c r="R71" s="752">
        <f>Dren_Quantificacao!O67</f>
        <v>504.42099999999999</v>
      </c>
      <c r="S71" s="752">
        <f>Dren_Quantificacao!BD67</f>
        <v>0</v>
      </c>
      <c r="T71" s="816"/>
      <c r="U71" s="816"/>
      <c r="V71" s="816"/>
      <c r="W71" s="816"/>
      <c r="X71" s="816"/>
      <c r="Y71" s="816"/>
      <c r="Z71" s="816"/>
      <c r="AA71" s="816"/>
      <c r="AB71" s="816"/>
      <c r="AC71" s="816"/>
      <c r="AD71" s="816"/>
      <c r="AE71" s="816"/>
      <c r="AF71" s="816"/>
      <c r="AG71" s="816"/>
      <c r="AH71" s="816"/>
      <c r="AI71" s="1175"/>
      <c r="AJ71" s="745">
        <f t="shared" si="22"/>
        <v>4046.6829999999995</v>
      </c>
      <c r="AK71" s="745"/>
      <c r="AL71" s="1136"/>
      <c r="AM71" s="1137"/>
      <c r="AN71" s="1137"/>
      <c r="AO71" s="1137"/>
      <c r="AP71" s="1137"/>
      <c r="AQ71" s="1137"/>
      <c r="AR71" s="1137"/>
      <c r="AS71" s="1137"/>
      <c r="AT71" s="1139"/>
      <c r="AU71" s="1137"/>
      <c r="AV71" s="1137"/>
      <c r="AW71" s="1137"/>
      <c r="AX71" s="1137"/>
      <c r="AY71" s="1137"/>
      <c r="AZ71" s="1137"/>
      <c r="BA71" s="1137"/>
      <c r="BB71" s="1137"/>
      <c r="BC71" s="1139"/>
      <c r="BD71" s="1137"/>
      <c r="BE71" s="1137"/>
      <c r="BF71" s="1137"/>
      <c r="BG71" s="1137"/>
      <c r="BH71" s="1137"/>
      <c r="BI71" s="1137"/>
      <c r="BJ71" s="1139"/>
      <c r="BK71" s="1139"/>
      <c r="BL71" s="1137"/>
      <c r="BM71" s="1137"/>
      <c r="BN71" s="1137"/>
      <c r="BO71" s="1137"/>
      <c r="BP71" s="1137"/>
      <c r="BQ71" s="1139"/>
      <c r="BR71" s="1140"/>
      <c r="BS71" s="1137"/>
      <c r="BT71" s="1141"/>
      <c r="BV71" s="746"/>
    </row>
    <row r="72" spans="1:74" s="714" customFormat="1" ht="21.95" customHeight="1">
      <c r="A72" s="2695"/>
      <c r="B72" s="2610"/>
      <c r="C72" s="1174" t="s">
        <v>1900</v>
      </c>
      <c r="D72" s="1168"/>
      <c r="F72" s="752">
        <f>Dren_Quantificacao!D68</f>
        <v>0</v>
      </c>
      <c r="G72" s="752">
        <f>Dren_Quantificacao!E68</f>
        <v>507.416</v>
      </c>
      <c r="H72" s="752">
        <f>Dren_Quantificacao!F68</f>
        <v>0</v>
      </c>
      <c r="I72" s="752">
        <f>Dren_Quantificacao!G68</f>
        <v>506.61599999999999</v>
      </c>
      <c r="J72" s="752"/>
      <c r="K72" s="752"/>
      <c r="L72" s="752"/>
      <c r="M72" s="752"/>
      <c r="N72" s="980"/>
      <c r="O72" s="752">
        <f>Dren_Quantificacao!L68</f>
        <v>0</v>
      </c>
      <c r="P72" s="752">
        <f>Dren_Quantificacao!M68</f>
        <v>503.42599999999993</v>
      </c>
      <c r="Q72" s="752">
        <f>Dren_Quantificacao!N68</f>
        <v>0</v>
      </c>
      <c r="R72" s="752">
        <f>Dren_Quantificacao!O68</f>
        <v>504.42099999999999</v>
      </c>
      <c r="S72" s="752">
        <f>Dren_Quantificacao!BD68</f>
        <v>0</v>
      </c>
      <c r="T72" s="816"/>
      <c r="U72" s="816"/>
      <c r="V72" s="816"/>
      <c r="W72" s="816"/>
      <c r="X72" s="816"/>
      <c r="Y72" s="816"/>
      <c r="Z72" s="816"/>
      <c r="AA72" s="816"/>
      <c r="AB72" s="816"/>
      <c r="AC72" s="816"/>
      <c r="AD72" s="816"/>
      <c r="AE72" s="816"/>
      <c r="AF72" s="816"/>
      <c r="AG72" s="816"/>
      <c r="AH72" s="816"/>
      <c r="AI72" s="1175"/>
      <c r="AJ72" s="745">
        <f t="shared" si="22"/>
        <v>2021.8789999999999</v>
      </c>
      <c r="AK72" s="745"/>
      <c r="AL72" s="1136"/>
      <c r="AM72" s="1137"/>
      <c r="AN72" s="1137"/>
      <c r="AO72" s="1137"/>
      <c r="AP72" s="1137"/>
      <c r="AQ72" s="1137"/>
      <c r="AR72" s="1137"/>
      <c r="AS72" s="1137"/>
      <c r="AT72" s="1139"/>
      <c r="AU72" s="1137"/>
      <c r="AV72" s="1137"/>
      <c r="AW72" s="1137"/>
      <c r="AX72" s="1137"/>
      <c r="AY72" s="1137"/>
      <c r="AZ72" s="1137"/>
      <c r="BA72" s="1137"/>
      <c r="BB72" s="1137"/>
      <c r="BC72" s="1139"/>
      <c r="BD72" s="1137"/>
      <c r="BE72" s="1137"/>
      <c r="BF72" s="1137"/>
      <c r="BG72" s="1137"/>
      <c r="BH72" s="1137"/>
      <c r="BI72" s="1137"/>
      <c r="BJ72" s="1139"/>
      <c r="BK72" s="1139"/>
      <c r="BL72" s="1137"/>
      <c r="BM72" s="1137"/>
      <c r="BN72" s="1137"/>
      <c r="BO72" s="1137"/>
      <c r="BP72" s="1137"/>
      <c r="BQ72" s="1139"/>
      <c r="BR72" s="1140"/>
      <c r="BS72" s="1137"/>
      <c r="BT72" s="1141"/>
      <c r="BV72" s="746"/>
    </row>
    <row r="73" spans="1:74" s="714" customFormat="1" ht="21.95" customHeight="1">
      <c r="A73" s="2695"/>
      <c r="B73" s="2610"/>
      <c r="C73" s="1174" t="s">
        <v>1901</v>
      </c>
      <c r="D73" s="1168"/>
      <c r="F73" s="752">
        <f>Dren_Quantificacao!D69</f>
        <v>0</v>
      </c>
      <c r="G73" s="752">
        <f>Dren_Quantificacao!E69</f>
        <v>0</v>
      </c>
      <c r="H73" s="752">
        <f>Dren_Quantificacao!F69</f>
        <v>0</v>
      </c>
      <c r="I73" s="752">
        <f>Dren_Quantificacao!G69</f>
        <v>506.77599999999995</v>
      </c>
      <c r="J73" s="752"/>
      <c r="K73" s="752"/>
      <c r="L73" s="752"/>
      <c r="M73" s="752"/>
      <c r="N73" s="980"/>
      <c r="O73" s="752">
        <f>Dren_Quantificacao!L69</f>
        <v>0</v>
      </c>
      <c r="P73" s="752">
        <f>Dren_Quantificacao!M69</f>
        <v>503.42599999999993</v>
      </c>
      <c r="Q73" s="752">
        <f>Dren_Quantificacao!N69</f>
        <v>0</v>
      </c>
      <c r="R73" s="752">
        <f>Dren_Quantificacao!O69</f>
        <v>0</v>
      </c>
      <c r="S73" s="752">
        <f>Dren_Quantificacao!BD69</f>
        <v>0</v>
      </c>
      <c r="T73" s="816"/>
      <c r="U73" s="816"/>
      <c r="V73" s="816"/>
      <c r="W73" s="816"/>
      <c r="X73" s="816"/>
      <c r="Y73" s="816"/>
      <c r="Z73" s="816"/>
      <c r="AA73" s="816"/>
      <c r="AB73" s="816"/>
      <c r="AC73" s="816"/>
      <c r="AD73" s="816"/>
      <c r="AE73" s="816"/>
      <c r="AF73" s="816"/>
      <c r="AG73" s="816"/>
      <c r="AH73" s="816"/>
      <c r="AI73" s="1175"/>
      <c r="AJ73" s="745">
        <f t="shared" si="22"/>
        <v>1010.2019999999999</v>
      </c>
      <c r="AK73" s="745"/>
      <c r="AL73" s="1136"/>
      <c r="AM73" s="1137"/>
      <c r="AN73" s="1137"/>
      <c r="AO73" s="1137"/>
      <c r="AP73" s="1137"/>
      <c r="AQ73" s="1137"/>
      <c r="AR73" s="1137"/>
      <c r="AS73" s="1137"/>
      <c r="AT73" s="1139"/>
      <c r="AU73" s="1137"/>
      <c r="AV73" s="1137"/>
      <c r="AW73" s="1137"/>
      <c r="AX73" s="1137"/>
      <c r="AY73" s="1137"/>
      <c r="AZ73" s="1137"/>
      <c r="BA73" s="1137"/>
      <c r="BB73" s="1137"/>
      <c r="BC73" s="1139"/>
      <c r="BD73" s="1137"/>
      <c r="BE73" s="1137"/>
      <c r="BF73" s="1137"/>
      <c r="BG73" s="1137"/>
      <c r="BH73" s="1137"/>
      <c r="BI73" s="1137"/>
      <c r="BJ73" s="1139"/>
      <c r="BK73" s="1139"/>
      <c r="BL73" s="1137"/>
      <c r="BM73" s="1137"/>
      <c r="BN73" s="1137"/>
      <c r="BO73" s="1137"/>
      <c r="BP73" s="1137"/>
      <c r="BQ73" s="1139"/>
      <c r="BR73" s="1140"/>
      <c r="BS73" s="1137"/>
      <c r="BT73" s="1141"/>
      <c r="BV73" s="746"/>
    </row>
    <row r="74" spans="1:74" s="714" customFormat="1" ht="21.95" hidden="1" customHeight="1">
      <c r="A74" s="2695"/>
      <c r="B74" s="2610"/>
      <c r="C74" s="1174" t="s">
        <v>1902</v>
      </c>
      <c r="D74" s="1168"/>
      <c r="F74" s="752">
        <f>Dren_Quantificacao!D70</f>
        <v>0</v>
      </c>
      <c r="G74" s="752">
        <f>Dren_Quantificacao!E70</f>
        <v>0</v>
      </c>
      <c r="H74" s="752">
        <f>Dren_Quantificacao!F70</f>
        <v>0</v>
      </c>
      <c r="I74" s="752">
        <f>Dren_Quantificacao!G70</f>
        <v>0</v>
      </c>
      <c r="J74" s="752"/>
      <c r="K74" s="752"/>
      <c r="L74" s="752"/>
      <c r="M74" s="752"/>
      <c r="N74" s="980"/>
      <c r="O74" s="752">
        <f>Dren_Quantificacao!L70</f>
        <v>0</v>
      </c>
      <c r="P74" s="752">
        <f>Dren_Quantificacao!M70</f>
        <v>0</v>
      </c>
      <c r="Q74" s="752">
        <f>Dren_Quantificacao!N70</f>
        <v>0</v>
      </c>
      <c r="R74" s="752">
        <f>Dren_Quantificacao!O70</f>
        <v>0</v>
      </c>
      <c r="S74" s="752">
        <f>Dren_Quantificacao!BD70</f>
        <v>0</v>
      </c>
      <c r="T74" s="816"/>
      <c r="U74" s="816"/>
      <c r="V74" s="816"/>
      <c r="W74" s="816"/>
      <c r="X74" s="816"/>
      <c r="Y74" s="816"/>
      <c r="Z74" s="816"/>
      <c r="AA74" s="816"/>
      <c r="AB74" s="816"/>
      <c r="AC74" s="816"/>
      <c r="AD74" s="816"/>
      <c r="AE74" s="816"/>
      <c r="AF74" s="816"/>
      <c r="AG74" s="816"/>
      <c r="AH74" s="816"/>
      <c r="AI74" s="1175"/>
      <c r="AJ74" s="745">
        <f t="shared" si="22"/>
        <v>0</v>
      </c>
      <c r="AK74" s="745"/>
      <c r="AL74" s="1136"/>
      <c r="AM74" s="1137"/>
      <c r="AN74" s="1137"/>
      <c r="AO74" s="1137"/>
      <c r="AP74" s="1137"/>
      <c r="AQ74" s="1137"/>
      <c r="AR74" s="1137"/>
      <c r="AS74" s="1137"/>
      <c r="AT74" s="1139"/>
      <c r="AU74" s="1137"/>
      <c r="AV74" s="1137"/>
      <c r="AW74" s="1137"/>
      <c r="AX74" s="1137"/>
      <c r="AY74" s="1137"/>
      <c r="AZ74" s="1137"/>
      <c r="BA74" s="1137"/>
      <c r="BB74" s="1137"/>
      <c r="BC74" s="1139"/>
      <c r="BD74" s="1137"/>
      <c r="BE74" s="1137"/>
      <c r="BF74" s="1137"/>
      <c r="BG74" s="1137"/>
      <c r="BH74" s="1137"/>
      <c r="BI74" s="1137"/>
      <c r="BJ74" s="1139"/>
      <c r="BK74" s="1139"/>
      <c r="BL74" s="1137"/>
      <c r="BM74" s="1137"/>
      <c r="BN74" s="1137"/>
      <c r="BO74" s="1137"/>
      <c r="BP74" s="1137"/>
      <c r="BQ74" s="1139"/>
      <c r="BR74" s="1140"/>
      <c r="BS74" s="1137"/>
      <c r="BT74" s="1141"/>
      <c r="BV74" s="746"/>
    </row>
    <row r="75" spans="1:74" s="714" customFormat="1" ht="21.95" customHeight="1" thickBot="1">
      <c r="A75" s="2695"/>
      <c r="B75" s="2610"/>
      <c r="C75" s="1174" t="s">
        <v>1903</v>
      </c>
      <c r="D75" s="1171"/>
      <c r="E75" s="1172"/>
      <c r="F75" s="761">
        <f>ROUND(IF(F67=0,0,IF(F6&gt;0,0,Dren_Quantificacao!D71)),2)</f>
        <v>1.4</v>
      </c>
      <c r="G75" s="761">
        <f>ROUND(IF(G67=0,0,IF(G6&gt;0,0,Dren_Quantificacao!E71)),2)</f>
        <v>1.4</v>
      </c>
      <c r="H75" s="761">
        <f>ROUND(IF(H67=0,0,IF(H6&gt;0,0,Dren_Quantificacao!F71)),2)</f>
        <v>1.4</v>
      </c>
      <c r="I75" s="761">
        <f>ROUND(IF(I67=0,0,IF(I6&gt;0,0,Dren_Quantificacao!G71)),2)</f>
        <v>1.4</v>
      </c>
      <c r="J75" s="761"/>
      <c r="K75" s="761"/>
      <c r="L75" s="761"/>
      <c r="M75" s="761"/>
      <c r="N75" s="985"/>
      <c r="O75" s="761">
        <f>ROUND(IF(O67=0,0,IF(O6&gt;0,0,Dren_Quantificacao!L71)),2)</f>
        <v>1.4</v>
      </c>
      <c r="P75" s="761">
        <f>ROUND(IF(P67=0,0,IF(P6&gt;0,0,Dren_Quantificacao!M71)),2)</f>
        <v>1.4</v>
      </c>
      <c r="Q75" s="761">
        <f>ROUND(IF(Q67=0,0,IF(Q6&gt;0,0,Dren_Quantificacao!N71)),2)</f>
        <v>1.4</v>
      </c>
      <c r="R75" s="761">
        <f>ROUND(IF(R67=0,0,IF(R6&gt;0,0,Dren_Quantificacao!O71)),2)</f>
        <v>1.4</v>
      </c>
      <c r="S75" s="761">
        <f>ROUND(IF(S67=0,0,IF(S6&gt;0,0,Dren_Quantificacao!BD71)),2)</f>
        <v>0</v>
      </c>
      <c r="T75" s="965"/>
      <c r="U75" s="965"/>
      <c r="V75" s="965"/>
      <c r="W75" s="965"/>
      <c r="X75" s="965"/>
      <c r="Y75" s="965"/>
      <c r="Z75" s="965"/>
      <c r="AA75" s="965"/>
      <c r="AB75" s="965"/>
      <c r="AC75" s="965"/>
      <c r="AD75" s="965"/>
      <c r="AE75" s="965"/>
      <c r="AF75" s="965"/>
      <c r="AG75" s="965"/>
      <c r="AH75" s="965"/>
      <c r="AI75" s="751"/>
      <c r="AJ75" s="745">
        <f t="shared" si="22"/>
        <v>11.200000000000001</v>
      </c>
      <c r="AK75" s="745"/>
      <c r="AL75" s="1136"/>
      <c r="AM75" s="1137"/>
      <c r="AN75" s="1137"/>
      <c r="AO75" s="1137"/>
      <c r="AP75" s="1137"/>
      <c r="AQ75" s="1137"/>
      <c r="AR75" s="1137"/>
      <c r="AS75" s="1137"/>
      <c r="AT75" s="1139"/>
      <c r="AU75" s="1137"/>
      <c r="AV75" s="1137"/>
      <c r="AW75" s="1137"/>
      <c r="AX75" s="1137"/>
      <c r="AY75" s="1137"/>
      <c r="AZ75" s="1137"/>
      <c r="BA75" s="1137"/>
      <c r="BB75" s="1137"/>
      <c r="BC75" s="1139"/>
      <c r="BD75" s="1137"/>
      <c r="BE75" s="1137"/>
      <c r="BF75" s="1137"/>
      <c r="BG75" s="1137"/>
      <c r="BH75" s="1137"/>
      <c r="BI75" s="1137"/>
      <c r="BJ75" s="1139"/>
      <c r="BK75" s="1139"/>
      <c r="BL75" s="1137"/>
      <c r="BM75" s="1137"/>
      <c r="BN75" s="1137"/>
      <c r="BO75" s="1137"/>
      <c r="BP75" s="1137"/>
      <c r="BQ75" s="1139"/>
      <c r="BR75" s="1140"/>
      <c r="BS75" s="1137"/>
      <c r="BT75" s="1141"/>
      <c r="BV75" s="746"/>
    </row>
    <row r="76" spans="1:74" s="714" customFormat="1" ht="21.95" hidden="1" customHeight="1">
      <c r="A76" s="2695"/>
      <c r="B76" s="2680" t="s">
        <v>1904</v>
      </c>
      <c r="C76" s="882" t="s">
        <v>1585</v>
      </c>
      <c r="D76" s="1176"/>
      <c r="E76" s="746"/>
      <c r="F76" s="743">
        <f>ROUND(IF(F61+F102&gt;0,Dren_Quantificacao!D$72,0),2)</f>
        <v>0</v>
      </c>
      <c r="G76" s="743">
        <f>ROUND(IF(G61+G102&gt;0,Dren_Quantificacao!E$72,0),2)</f>
        <v>0</v>
      </c>
      <c r="H76" s="743">
        <f>ROUND(IF(H61+H102&gt;0,Dren_Quantificacao!F$72,0),2)</f>
        <v>0</v>
      </c>
      <c r="I76" s="743">
        <f>ROUND(IF(I61+I102&gt;0,Dren_Quantificacao!G$72,0),2)</f>
        <v>0</v>
      </c>
      <c r="J76" s="743">
        <f>ROUND(IF(J61+J102&gt;0,Dren_Quantificacao!H$72,0),2)</f>
        <v>0</v>
      </c>
      <c r="K76" s="743">
        <f>ROUND(IF(K61+K102&gt;0,Dren_Quantificacao!I$72,0),2)</f>
        <v>0</v>
      </c>
      <c r="L76" s="743">
        <f>ROUND(IF(L61+L102&gt;0,Dren_Quantificacao!J$72,0),2)</f>
        <v>0</v>
      </c>
      <c r="M76" s="743">
        <f>ROUND(IF(M61+M102&gt;0,Dren_Quantificacao!K$72,0),2)</f>
        <v>0</v>
      </c>
      <c r="N76" s="973"/>
      <c r="O76" s="743">
        <f>ROUND(IF(O61+O102&gt;0,Dren_Quantificacao!M$72,0),2)</f>
        <v>0</v>
      </c>
      <c r="P76" s="743">
        <f>ROUND(IF(P61+P102&gt;0,Dren_Quantificacao!N$72,0),2)</f>
        <v>0</v>
      </c>
      <c r="Q76" s="743">
        <f>ROUND(IF(Q61+Q102&gt;0,Dren_Quantificacao!O$72,0),2)</f>
        <v>0</v>
      </c>
      <c r="R76" s="743">
        <f>ROUND(IF(R61+R102&gt;0,Dren_Quantificacao!P$72,0),2)</f>
        <v>0</v>
      </c>
      <c r="S76" s="743">
        <f>ROUND(IF(S60+S102&gt;0,Dren_Quantificacao!BD$72,0),2)</f>
        <v>0</v>
      </c>
      <c r="T76" s="926"/>
      <c r="U76" s="926"/>
      <c r="V76" s="926"/>
      <c r="W76" s="926"/>
      <c r="X76" s="926"/>
      <c r="Y76" s="926"/>
      <c r="Z76" s="926"/>
      <c r="AA76" s="926"/>
      <c r="AB76" s="926"/>
      <c r="AC76" s="926"/>
      <c r="AD76" s="926"/>
      <c r="AE76" s="926"/>
      <c r="AF76" s="926"/>
      <c r="AG76" s="926"/>
      <c r="AH76" s="926"/>
      <c r="AI76" s="767"/>
      <c r="AJ76" s="745">
        <f t="shared" si="22"/>
        <v>0</v>
      </c>
      <c r="AK76" s="745"/>
      <c r="AL76" s="1136"/>
      <c r="AM76" s="1137"/>
      <c r="AN76" s="1137"/>
      <c r="AO76" s="1137">
        <v>2.86</v>
      </c>
      <c r="AP76" s="1137"/>
      <c r="AQ76" s="1137">
        <v>142.36000000000001</v>
      </c>
      <c r="AR76" s="1137"/>
      <c r="AS76" s="1137">
        <v>633.25</v>
      </c>
      <c r="AT76" s="1139"/>
      <c r="AU76" s="1137"/>
      <c r="AV76" s="1137"/>
      <c r="AW76" s="1137"/>
      <c r="AX76" s="1137">
        <v>2.86</v>
      </c>
      <c r="AY76" s="1137"/>
      <c r="AZ76" s="1137">
        <v>6.0999999999999999E-2</v>
      </c>
      <c r="BA76" s="1137"/>
      <c r="BB76" s="1137">
        <v>633.25</v>
      </c>
      <c r="BC76" s="1139"/>
      <c r="BD76" s="1137"/>
      <c r="BE76" s="1137"/>
      <c r="BF76" s="1137"/>
      <c r="BG76" s="1137"/>
      <c r="BH76" s="1137"/>
      <c r="BI76" s="1137"/>
      <c r="BJ76" s="1139"/>
      <c r="BK76" s="1139">
        <v>176.44592</v>
      </c>
      <c r="BL76" s="1137"/>
      <c r="BM76" s="1137"/>
      <c r="BN76" s="1137"/>
      <c r="BO76" s="1137"/>
      <c r="BP76" s="1137"/>
      <c r="BQ76" s="1139"/>
      <c r="BR76" s="1140">
        <v>130.66000000000003</v>
      </c>
      <c r="BS76" s="1137"/>
      <c r="BT76" s="1141"/>
      <c r="BV76" s="746"/>
    </row>
    <row r="77" spans="1:74" s="714" customFormat="1" ht="21.95" hidden="1" customHeight="1">
      <c r="A77" s="2695"/>
      <c r="B77" s="2681"/>
      <c r="C77" s="1167" t="s">
        <v>1586</v>
      </c>
      <c r="D77" s="1176"/>
      <c r="E77" s="746"/>
      <c r="F77" s="752">
        <f>ROUND(IF(F62&gt;0,Dren_Quantificacao!D$72,0),2)</f>
        <v>0</v>
      </c>
      <c r="G77" s="752">
        <f>ROUND(IF(G62&gt;0,Dren_Quantificacao!E$72,0),2)</f>
        <v>0</v>
      </c>
      <c r="H77" s="752">
        <f>ROUND(IF(H62&gt;0,Dren_Quantificacao!F$72,0),2)</f>
        <v>0</v>
      </c>
      <c r="I77" s="752">
        <f>ROUND(IF(I62&gt;0,Dren_Quantificacao!G$72,0),2)</f>
        <v>0</v>
      </c>
      <c r="J77" s="752">
        <f>ROUND(IF(J62&gt;0,Dren_Quantificacao!H$72,0),2)</f>
        <v>0</v>
      </c>
      <c r="K77" s="752">
        <f>ROUND(IF(K62&gt;0,Dren_Quantificacao!I$72,0),2)</f>
        <v>0</v>
      </c>
      <c r="L77" s="752">
        <f>ROUND(IF(L62&gt;0,Dren_Quantificacao!J$72,0),2)</f>
        <v>0</v>
      </c>
      <c r="M77" s="752">
        <f>ROUND(IF(M62&gt;0,Dren_Quantificacao!K$72,0),2)</f>
        <v>0</v>
      </c>
      <c r="N77" s="980"/>
      <c r="O77" s="752">
        <f>ROUND(IF(O62&gt;0,Dren_Quantificacao!M$72,0),2)</f>
        <v>0</v>
      </c>
      <c r="P77" s="752">
        <f>ROUND(IF(P62&gt;0,Dren_Quantificacao!N$72,0),2)</f>
        <v>0</v>
      </c>
      <c r="Q77" s="752">
        <f>ROUND(IF(Q62&gt;0,Dren_Quantificacao!O$72,0),2)</f>
        <v>0</v>
      </c>
      <c r="R77" s="752">
        <f>ROUND(IF(R62&gt;0,Dren_Quantificacao!P$72,0),2)</f>
        <v>0</v>
      </c>
      <c r="S77" s="752">
        <f>ROUND(IF(S61&gt;0,Dren_Quantificacao!BD$72,0),)</f>
        <v>0</v>
      </c>
      <c r="T77" s="926"/>
      <c r="U77" s="926"/>
      <c r="V77" s="926"/>
      <c r="W77" s="926"/>
      <c r="X77" s="926"/>
      <c r="Y77" s="926"/>
      <c r="Z77" s="926"/>
      <c r="AA77" s="926"/>
      <c r="AB77" s="926"/>
      <c r="AC77" s="926"/>
      <c r="AD77" s="926"/>
      <c r="AE77" s="926"/>
      <c r="AF77" s="926"/>
      <c r="AG77" s="926"/>
      <c r="AH77" s="926"/>
      <c r="AI77" s="753"/>
      <c r="AJ77" s="745">
        <f t="shared" si="22"/>
        <v>0</v>
      </c>
      <c r="AK77" s="745"/>
      <c r="AL77" s="1136"/>
      <c r="AM77" s="1137"/>
      <c r="AN77" s="1137"/>
      <c r="AO77" s="1137">
        <v>2.86</v>
      </c>
      <c r="AP77" s="1137"/>
      <c r="AQ77" s="1137">
        <v>142.36000000000001</v>
      </c>
      <c r="AR77" s="1137"/>
      <c r="AS77" s="1137">
        <v>633.25</v>
      </c>
      <c r="AT77" s="1139"/>
      <c r="AU77" s="1137"/>
      <c r="AV77" s="1137"/>
      <c r="AW77" s="1137"/>
      <c r="AX77" s="1137">
        <v>2.86</v>
      </c>
      <c r="AY77" s="1137"/>
      <c r="AZ77" s="1137">
        <v>7.9000000000000001E-2</v>
      </c>
      <c r="BA77" s="1137"/>
      <c r="BB77" s="1137">
        <v>633.25</v>
      </c>
      <c r="BC77" s="1139"/>
      <c r="BD77" s="1137"/>
      <c r="BE77" s="1137"/>
      <c r="BF77" s="1137"/>
      <c r="BG77" s="1137"/>
      <c r="BH77" s="1137"/>
      <c r="BI77" s="1137"/>
      <c r="BJ77" s="1139"/>
      <c r="BK77" s="1139">
        <v>176.44592</v>
      </c>
      <c r="BL77" s="1137"/>
      <c r="BM77" s="1137"/>
      <c r="BN77" s="1137"/>
      <c r="BO77" s="1137"/>
      <c r="BP77" s="1137"/>
      <c r="BQ77" s="1139"/>
      <c r="BR77" s="1140">
        <v>130.66000000000003</v>
      </c>
      <c r="BS77" s="1137"/>
      <c r="BT77" s="1141"/>
      <c r="BV77" s="746"/>
    </row>
    <row r="78" spans="1:74" s="714" customFormat="1" ht="21.95" hidden="1" customHeight="1">
      <c r="A78" s="2695"/>
      <c r="B78" s="2681"/>
      <c r="C78" s="1167" t="s">
        <v>1587</v>
      </c>
      <c r="D78" s="1176"/>
      <c r="E78" s="746"/>
      <c r="F78" s="752">
        <f>ROUND(IF(F63&gt;0,Dren_Quantificacao!D$72,0),2)</f>
        <v>0</v>
      </c>
      <c r="G78" s="752">
        <f>ROUND(IF(G63&gt;0,Dren_Quantificacao!E$72,0),2)</f>
        <v>0</v>
      </c>
      <c r="H78" s="752">
        <f>ROUND(IF(H63&gt;0,Dren_Quantificacao!F$72,0),2)</f>
        <v>0</v>
      </c>
      <c r="I78" s="752">
        <f>ROUND(IF(I63&gt;0,Dren_Quantificacao!G$72,0),2)</f>
        <v>0</v>
      </c>
      <c r="J78" s="752">
        <f>ROUND(IF(J63&gt;0,Dren_Quantificacao!H$72,0),2)</f>
        <v>0</v>
      </c>
      <c r="K78" s="752">
        <f>ROUND(IF(K63&gt;0,Dren_Quantificacao!I$72,0),2)</f>
        <v>0</v>
      </c>
      <c r="L78" s="752">
        <f>ROUND(IF(L63&gt;0,Dren_Quantificacao!J$72,0),2)</f>
        <v>0</v>
      </c>
      <c r="M78" s="752">
        <f>ROUND(IF(M63&gt;0,Dren_Quantificacao!K$72,0),2)</f>
        <v>0</v>
      </c>
      <c r="N78" s="980"/>
      <c r="O78" s="752">
        <f>ROUND(IF(O63&gt;0,Dren_Quantificacao!M$72,0),2)</f>
        <v>0</v>
      </c>
      <c r="P78" s="752">
        <f>ROUND(IF(P63&gt;0,Dren_Quantificacao!N$72,0),2)</f>
        <v>0</v>
      </c>
      <c r="Q78" s="752">
        <f>ROUND(IF(Q63&gt;0,Dren_Quantificacao!O$72,0),2)</f>
        <v>0</v>
      </c>
      <c r="R78" s="752">
        <f>ROUND(IF(R63&gt;0,Dren_Quantificacao!P$72,0),2)</f>
        <v>0</v>
      </c>
      <c r="S78" s="752">
        <f>ROUND(IF(S62&gt;0,Dren_Quantificacao!BD$72,0),2)</f>
        <v>0</v>
      </c>
      <c r="T78" s="926"/>
      <c r="U78" s="926"/>
      <c r="V78" s="926"/>
      <c r="W78" s="926"/>
      <c r="X78" s="926"/>
      <c r="Y78" s="926"/>
      <c r="Z78" s="926"/>
      <c r="AA78" s="926"/>
      <c r="AB78" s="926"/>
      <c r="AC78" s="926"/>
      <c r="AD78" s="926"/>
      <c r="AE78" s="926"/>
      <c r="AF78" s="926"/>
      <c r="AG78" s="926"/>
      <c r="AH78" s="926"/>
      <c r="AI78" s="753"/>
      <c r="AJ78" s="745">
        <f t="shared" si="22"/>
        <v>0</v>
      </c>
      <c r="AK78" s="745"/>
      <c r="AL78" s="1136"/>
      <c r="AM78" s="1137"/>
      <c r="AN78" s="1137"/>
      <c r="AO78" s="1137">
        <v>2.86</v>
      </c>
      <c r="AP78" s="1137"/>
      <c r="AQ78" s="1137">
        <v>142.36000000000001</v>
      </c>
      <c r="AR78" s="1137"/>
      <c r="AS78" s="1137">
        <v>633.25</v>
      </c>
      <c r="AT78" s="1139"/>
      <c r="AU78" s="1137"/>
      <c r="AV78" s="1137"/>
      <c r="AW78" s="1137"/>
      <c r="AX78" s="1137">
        <v>2.86</v>
      </c>
      <c r="AY78" s="1137"/>
      <c r="AZ78" s="1137">
        <v>9.0999999999999998E-2</v>
      </c>
      <c r="BA78" s="1137"/>
      <c r="BB78" s="1137">
        <v>633.25</v>
      </c>
      <c r="BC78" s="1139"/>
      <c r="BD78" s="1137"/>
      <c r="BE78" s="1137"/>
      <c r="BF78" s="1137"/>
      <c r="BG78" s="1137"/>
      <c r="BH78" s="1137"/>
      <c r="BI78" s="1137"/>
      <c r="BJ78" s="1139"/>
      <c r="BK78" s="1139">
        <v>176.44592</v>
      </c>
      <c r="BL78" s="1137"/>
      <c r="BM78" s="1137"/>
      <c r="BN78" s="1137"/>
      <c r="BO78" s="1137"/>
      <c r="BP78" s="1137"/>
      <c r="BQ78" s="1139"/>
      <c r="BR78" s="1140">
        <v>130.66000000000003</v>
      </c>
      <c r="BS78" s="1137"/>
      <c r="BT78" s="1141"/>
      <c r="BV78" s="746"/>
    </row>
    <row r="79" spans="1:74" s="714" customFormat="1" ht="21.95" hidden="1" customHeight="1">
      <c r="A79" s="2695"/>
      <c r="B79" s="2681"/>
      <c r="C79" s="1167" t="s">
        <v>1588</v>
      </c>
      <c r="D79" s="1176"/>
      <c r="E79" s="746"/>
      <c r="F79" s="752">
        <f>ROUND(IF(F64&gt;0,Dren_Quantificacao!D$72,0),2)</f>
        <v>0</v>
      </c>
      <c r="G79" s="752">
        <f>ROUND(IF(G64&gt;0,Dren_Quantificacao!E$72,0),2)</f>
        <v>0</v>
      </c>
      <c r="H79" s="752">
        <f>ROUND(IF(H64&gt;0,Dren_Quantificacao!F$72,0),2)</f>
        <v>0</v>
      </c>
      <c r="I79" s="752">
        <f>ROUND(IF(I64&gt;0,Dren_Quantificacao!G$72,0),2)</f>
        <v>0</v>
      </c>
      <c r="J79" s="752">
        <f>ROUND(IF(J64&gt;0,Dren_Quantificacao!H$72,0),2)</f>
        <v>0</v>
      </c>
      <c r="K79" s="752">
        <f>ROUND(IF(K64&gt;0,Dren_Quantificacao!I$72,0),2)</f>
        <v>0</v>
      </c>
      <c r="L79" s="752">
        <f>ROUND(IF(L64&gt;0,Dren_Quantificacao!J$72,0),2)</f>
        <v>0</v>
      </c>
      <c r="M79" s="752">
        <f>ROUND(IF(M64&gt;0,Dren_Quantificacao!K$72,0),2)</f>
        <v>0</v>
      </c>
      <c r="N79" s="980"/>
      <c r="O79" s="752">
        <f>ROUND(IF(O64&gt;0,Dren_Quantificacao!M$72,0),2)</f>
        <v>0</v>
      </c>
      <c r="P79" s="752">
        <f>ROUND(IF(P64&gt;0,Dren_Quantificacao!N$72,0),2)</f>
        <v>0</v>
      </c>
      <c r="Q79" s="752">
        <f>ROUND(IF(Q64&gt;0,Dren_Quantificacao!O$72,0),2)</f>
        <v>0</v>
      </c>
      <c r="R79" s="752">
        <f>ROUND(IF(R64&gt;0,Dren_Quantificacao!P$72,0),2)</f>
        <v>0</v>
      </c>
      <c r="S79" s="752">
        <f>ROUND(IF(S63&gt;0,Dren_Quantificacao!BD$72,0),2)</f>
        <v>0</v>
      </c>
      <c r="T79" s="926"/>
      <c r="U79" s="926"/>
      <c r="V79" s="926"/>
      <c r="W79" s="926"/>
      <c r="X79" s="926"/>
      <c r="Y79" s="926"/>
      <c r="Z79" s="926"/>
      <c r="AA79" s="926"/>
      <c r="AB79" s="926"/>
      <c r="AC79" s="926"/>
      <c r="AD79" s="926"/>
      <c r="AE79" s="926"/>
      <c r="AF79" s="926"/>
      <c r="AG79" s="926"/>
      <c r="AH79" s="926"/>
      <c r="AI79" s="753"/>
      <c r="AJ79" s="745">
        <f t="shared" si="22"/>
        <v>0</v>
      </c>
      <c r="AK79" s="745"/>
      <c r="AL79" s="1136"/>
      <c r="AM79" s="1137"/>
      <c r="AN79" s="1137"/>
      <c r="AO79" s="1137">
        <v>2.86</v>
      </c>
      <c r="AP79" s="1137"/>
      <c r="AQ79" s="1137">
        <v>142.36000000000001</v>
      </c>
      <c r="AR79" s="1137"/>
      <c r="AS79" s="1137">
        <v>633.25</v>
      </c>
      <c r="AT79" s="1139"/>
      <c r="AU79" s="1137"/>
      <c r="AV79" s="1137"/>
      <c r="AW79" s="1137"/>
      <c r="AX79" s="1137">
        <v>2.86</v>
      </c>
      <c r="AY79" s="1137"/>
      <c r="AZ79" s="1137">
        <v>0.115</v>
      </c>
      <c r="BA79" s="1137"/>
      <c r="BB79" s="1137">
        <v>633.25</v>
      </c>
      <c r="BC79" s="1139"/>
      <c r="BD79" s="1137"/>
      <c r="BE79" s="1137"/>
      <c r="BF79" s="1137"/>
      <c r="BG79" s="1137"/>
      <c r="BH79" s="1137"/>
      <c r="BI79" s="1137"/>
      <c r="BJ79" s="1139"/>
      <c r="BK79" s="1139">
        <v>176.44592</v>
      </c>
      <c r="BL79" s="1137"/>
      <c r="BM79" s="1137"/>
      <c r="BN79" s="1137"/>
      <c r="BO79" s="1137"/>
      <c r="BP79" s="1137"/>
      <c r="BQ79" s="1139"/>
      <c r="BR79" s="1140">
        <v>130.66000000000003</v>
      </c>
      <c r="BS79" s="1137"/>
      <c r="BT79" s="1141"/>
      <c r="BV79" s="746"/>
    </row>
    <row r="80" spans="1:74" s="714" customFormat="1" ht="21.95" hidden="1" customHeight="1">
      <c r="A80" s="2695"/>
      <c r="B80" s="2681"/>
      <c r="C80" s="1167" t="s">
        <v>1589</v>
      </c>
      <c r="D80" s="1176"/>
      <c r="E80" s="746"/>
      <c r="F80" s="752">
        <f>ROUND(IF(F65&gt;0,Dren_Quantificacao!D$72,0),2)</f>
        <v>0</v>
      </c>
      <c r="G80" s="752">
        <f>ROUND(IF(G65&gt;0,Dren_Quantificacao!E$72,0),2)</f>
        <v>0</v>
      </c>
      <c r="H80" s="752">
        <f>ROUND(IF(H65&gt;0,Dren_Quantificacao!F$72,0),2)</f>
        <v>0</v>
      </c>
      <c r="I80" s="752">
        <f>ROUND(IF(I65&gt;0,Dren_Quantificacao!G$72,0),2)</f>
        <v>0</v>
      </c>
      <c r="J80" s="752">
        <f>ROUND(IF(J65&gt;0,Dren_Quantificacao!H$72,0),2)</f>
        <v>0</v>
      </c>
      <c r="K80" s="752">
        <f>ROUND(IF(K65&gt;0,Dren_Quantificacao!I$72,0),2)</f>
        <v>0</v>
      </c>
      <c r="L80" s="752">
        <f>ROUND(IF(L65&gt;0,Dren_Quantificacao!J$72,0),2)</f>
        <v>0</v>
      </c>
      <c r="M80" s="752">
        <f>ROUND(IF(M65&gt;0,Dren_Quantificacao!K$72,0),2)</f>
        <v>0</v>
      </c>
      <c r="N80" s="980"/>
      <c r="O80" s="752">
        <f>ROUND(IF(O65&gt;0,Dren_Quantificacao!M$72,0),2)</f>
        <v>0</v>
      </c>
      <c r="P80" s="752">
        <f>ROUND(IF(P65&gt;0,Dren_Quantificacao!N$72,0),2)</f>
        <v>0</v>
      </c>
      <c r="Q80" s="752">
        <f>ROUND(IF(Q65&gt;0,Dren_Quantificacao!O$72,0),2)</f>
        <v>0</v>
      </c>
      <c r="R80" s="752">
        <f>ROUND(IF(R65&gt;0,Dren_Quantificacao!P$72,0),2)</f>
        <v>0</v>
      </c>
      <c r="S80" s="752">
        <f>ROUND(IF(S64&gt;0,Dren_Quantificacao!BD$72,0),2)</f>
        <v>0</v>
      </c>
      <c r="T80" s="926"/>
      <c r="U80" s="926"/>
      <c r="V80" s="926"/>
      <c r="W80" s="926"/>
      <c r="X80" s="926"/>
      <c r="Y80" s="926"/>
      <c r="Z80" s="926"/>
      <c r="AA80" s="926"/>
      <c r="AB80" s="926"/>
      <c r="AC80" s="926"/>
      <c r="AD80" s="926"/>
      <c r="AE80" s="926"/>
      <c r="AF80" s="926"/>
      <c r="AG80" s="926"/>
      <c r="AH80" s="926"/>
      <c r="AI80" s="753"/>
      <c r="AJ80" s="745">
        <f t="shared" si="22"/>
        <v>0</v>
      </c>
      <c r="AK80" s="745"/>
      <c r="AL80" s="1136"/>
      <c r="AM80" s="1137"/>
      <c r="AN80" s="1137"/>
      <c r="AO80" s="1137">
        <v>2.86</v>
      </c>
      <c r="AP80" s="1137"/>
      <c r="AQ80" s="1137">
        <v>142.36000000000001</v>
      </c>
      <c r="AR80" s="1137"/>
      <c r="AS80" s="1137">
        <v>633.25</v>
      </c>
      <c r="AT80" s="1139"/>
      <c r="AU80" s="1137"/>
      <c r="AV80" s="1137"/>
      <c r="AW80" s="1137"/>
      <c r="AX80" s="1137">
        <v>2.86</v>
      </c>
      <c r="AY80" s="1137"/>
      <c r="AZ80" s="1137">
        <v>0.151</v>
      </c>
      <c r="BA80" s="1137"/>
      <c r="BB80" s="1137">
        <v>633.25</v>
      </c>
      <c r="BC80" s="1139"/>
      <c r="BD80" s="1137"/>
      <c r="BE80" s="1137"/>
      <c r="BF80" s="1137"/>
      <c r="BG80" s="1137"/>
      <c r="BH80" s="1137"/>
      <c r="BI80" s="1137"/>
      <c r="BJ80" s="1139"/>
      <c r="BK80" s="1139">
        <v>176.44592</v>
      </c>
      <c r="BL80" s="1137"/>
      <c r="BM80" s="1137"/>
      <c r="BN80" s="1137"/>
      <c r="BO80" s="1137"/>
      <c r="BP80" s="1137"/>
      <c r="BQ80" s="1139"/>
      <c r="BR80" s="1140">
        <v>130.66000000000003</v>
      </c>
      <c r="BS80" s="1137"/>
      <c r="BT80" s="1141"/>
      <c r="BV80" s="746"/>
    </row>
    <row r="81" spans="1:74" s="714" customFormat="1" ht="21.95" hidden="1" customHeight="1" thickBot="1">
      <c r="A81" s="2695"/>
      <c r="B81" s="2682"/>
      <c r="C81" s="1167" t="s">
        <v>1590</v>
      </c>
      <c r="D81" s="1176"/>
      <c r="E81" s="746"/>
      <c r="F81" s="752">
        <f>ROUND(IF(F66&gt;0,Dren_Quantificacao!D$72,0),2)</f>
        <v>0</v>
      </c>
      <c r="G81" s="752">
        <f>ROUND(IF(G66&gt;0,Dren_Quantificacao!E$72,0),2)</f>
        <v>0</v>
      </c>
      <c r="H81" s="752">
        <f>ROUND(IF(H66&gt;0,Dren_Quantificacao!F$72,0),2)</f>
        <v>0</v>
      </c>
      <c r="I81" s="752">
        <f>ROUND(IF(I66&gt;0,Dren_Quantificacao!G$72,0),2)</f>
        <v>0</v>
      </c>
      <c r="J81" s="752">
        <f>ROUND(IF(J66&gt;0,Dren_Quantificacao!H$72,0),2)</f>
        <v>0</v>
      </c>
      <c r="K81" s="752">
        <f>ROUND(IF(K66&gt;0,Dren_Quantificacao!I$72,0),2)</f>
        <v>0</v>
      </c>
      <c r="L81" s="752">
        <f>ROUND(IF(L66&gt;0,Dren_Quantificacao!J$72,0),2)</f>
        <v>0</v>
      </c>
      <c r="M81" s="752">
        <f>ROUND(IF(M66&gt;0,Dren_Quantificacao!K$72,0),2)</f>
        <v>0</v>
      </c>
      <c r="N81" s="980"/>
      <c r="O81" s="752">
        <f>ROUND(IF(O66&gt;0,Dren_Quantificacao!M$72,0),2)</f>
        <v>0</v>
      </c>
      <c r="P81" s="752">
        <f>ROUND(IF(P66&gt;0,Dren_Quantificacao!N$72,0),2)</f>
        <v>0</v>
      </c>
      <c r="Q81" s="752">
        <f>ROUND(IF(Q66&gt;0,Dren_Quantificacao!O$72,0),2)</f>
        <v>0</v>
      </c>
      <c r="R81" s="752">
        <f>ROUND(IF(R66&gt;0,Dren_Quantificacao!P$72,0),2)</f>
        <v>0</v>
      </c>
      <c r="S81" s="752">
        <f>ROUND(IF(S65&gt;0,Dren_Quantificacao!BD$72,0),2)</f>
        <v>0</v>
      </c>
      <c r="T81" s="986"/>
      <c r="U81" s="986"/>
      <c r="V81" s="986"/>
      <c r="W81" s="986"/>
      <c r="X81" s="986"/>
      <c r="Y81" s="986"/>
      <c r="Z81" s="986"/>
      <c r="AA81" s="986"/>
      <c r="AB81" s="986"/>
      <c r="AC81" s="986"/>
      <c r="AD81" s="986"/>
      <c r="AE81" s="986"/>
      <c r="AF81" s="986"/>
      <c r="AG81" s="986"/>
      <c r="AH81" s="986"/>
      <c r="AI81" s="769"/>
      <c r="AJ81" s="745">
        <f t="shared" si="22"/>
        <v>0</v>
      </c>
      <c r="AK81" s="745"/>
      <c r="AL81" s="1136"/>
      <c r="AM81" s="1137"/>
      <c r="AN81" s="1137"/>
      <c r="AO81" s="1137">
        <v>2.86</v>
      </c>
      <c r="AP81" s="1137"/>
      <c r="AQ81" s="1137">
        <v>142.36000000000001</v>
      </c>
      <c r="AR81" s="1137"/>
      <c r="AS81" s="1137">
        <v>633.25</v>
      </c>
      <c r="AT81" s="1139"/>
      <c r="AU81" s="1137"/>
      <c r="AV81" s="1137"/>
      <c r="AW81" s="1137"/>
      <c r="AX81" s="1137">
        <v>2.86</v>
      </c>
      <c r="AY81" s="1137"/>
      <c r="AZ81" s="1137">
        <v>0.18099999999999999</v>
      </c>
      <c r="BA81" s="1137"/>
      <c r="BB81" s="1137">
        <v>633.25</v>
      </c>
      <c r="BC81" s="1139"/>
      <c r="BD81" s="1137"/>
      <c r="BE81" s="1137"/>
      <c r="BF81" s="1137"/>
      <c r="BG81" s="1137"/>
      <c r="BH81" s="1137"/>
      <c r="BI81" s="1137"/>
      <c r="BJ81" s="1139"/>
      <c r="BK81" s="1139">
        <v>176.44592</v>
      </c>
      <c r="BL81" s="1137"/>
      <c r="BM81" s="1137"/>
      <c r="BN81" s="1137"/>
      <c r="BO81" s="1137"/>
      <c r="BP81" s="1137"/>
      <c r="BQ81" s="1139"/>
      <c r="BR81" s="1140">
        <v>130.66000000000003</v>
      </c>
      <c r="BS81" s="1137"/>
      <c r="BT81" s="1141"/>
      <c r="BV81" s="746"/>
    </row>
    <row r="82" spans="1:74" s="714" customFormat="1" ht="21.95" hidden="1" customHeight="1" thickBot="1">
      <c r="A82" s="2695"/>
      <c r="B82" s="2683" t="s">
        <v>1616</v>
      </c>
      <c r="C82" s="2684"/>
      <c r="D82" s="1177"/>
      <c r="E82" s="1178"/>
      <c r="F82" s="992">
        <f>ROUND(Dren_Quantificacao!D73,2)</f>
        <v>0</v>
      </c>
      <c r="G82" s="992">
        <f>ROUND(Dren_Quantificacao!E73,2)</f>
        <v>0</v>
      </c>
      <c r="H82" s="992">
        <f>ROUND(Dren_Quantificacao!F73,2)</f>
        <v>0</v>
      </c>
      <c r="I82" s="992">
        <f>ROUND(Dren_Quantificacao!G73,2)</f>
        <v>0</v>
      </c>
      <c r="J82" s="992"/>
      <c r="K82" s="992"/>
      <c r="L82" s="992"/>
      <c r="M82" s="992"/>
      <c r="N82" s="993"/>
      <c r="O82" s="992">
        <f>ROUND(Dren_Quantificacao!L73,2)</f>
        <v>0</v>
      </c>
      <c r="P82" s="992">
        <f>ROUND(Dren_Quantificacao!M73,2)</f>
        <v>0</v>
      </c>
      <c r="Q82" s="992">
        <f>ROUND(Dren_Quantificacao!N73,2)</f>
        <v>0</v>
      </c>
      <c r="R82" s="992">
        <f>ROUND(Dren_Quantificacao!O73,2)</f>
        <v>0</v>
      </c>
      <c r="S82" s="992">
        <f>ROUND(Dren_Quantificacao!BD73,2)</f>
        <v>0</v>
      </c>
      <c r="T82" s="1179"/>
      <c r="U82" s="1179"/>
      <c r="V82" s="1179"/>
      <c r="W82" s="1179"/>
      <c r="X82" s="1179"/>
      <c r="Y82" s="1179"/>
      <c r="Z82" s="1179"/>
      <c r="AA82" s="1179"/>
      <c r="AB82" s="1179"/>
      <c r="AC82" s="1179"/>
      <c r="AD82" s="1179"/>
      <c r="AE82" s="1179"/>
      <c r="AF82" s="1179"/>
      <c r="AG82" s="1179"/>
      <c r="AH82" s="1179"/>
      <c r="AI82" s="789"/>
      <c r="AJ82" s="745">
        <f t="shared" si="22"/>
        <v>0</v>
      </c>
      <c r="AK82" s="745"/>
      <c r="AL82" s="1136"/>
      <c r="AM82" s="1137"/>
      <c r="AN82" s="1137"/>
      <c r="AO82" s="1137">
        <v>2.86</v>
      </c>
      <c r="AP82" s="1137"/>
      <c r="AQ82" s="1137">
        <v>142.36000000000001</v>
      </c>
      <c r="AR82" s="1137"/>
      <c r="AS82" s="1137">
        <v>633.25</v>
      </c>
      <c r="AT82" s="1139"/>
      <c r="AU82" s="1137"/>
      <c r="AV82" s="1137"/>
      <c r="AW82" s="1137"/>
      <c r="AX82" s="1137"/>
      <c r="AY82" s="1137"/>
      <c r="AZ82" s="1137">
        <v>0.34300000000000003</v>
      </c>
      <c r="BA82" s="1137"/>
      <c r="BB82" s="1137">
        <v>633.25</v>
      </c>
      <c r="BC82" s="1139"/>
      <c r="BD82" s="1137"/>
      <c r="BE82" s="1137"/>
      <c r="BF82" s="1137"/>
      <c r="BG82" s="1137"/>
      <c r="BH82" s="1137"/>
      <c r="BI82" s="1137"/>
      <c r="BJ82" s="1139"/>
      <c r="BK82" s="1139">
        <v>155906.89632000003</v>
      </c>
      <c r="BL82" s="1137"/>
      <c r="BM82" s="1137"/>
      <c r="BN82" s="1137"/>
      <c r="BO82" s="1137">
        <v>3.35</v>
      </c>
      <c r="BP82" s="1137"/>
      <c r="BQ82" s="1139"/>
      <c r="BR82" s="1140">
        <v>130.66000000000003</v>
      </c>
      <c r="BS82" s="1137"/>
      <c r="BT82" s="1141"/>
      <c r="BV82" s="746"/>
    </row>
    <row r="83" spans="1:74" ht="21.95" customHeight="1" thickBot="1">
      <c r="A83" s="2695"/>
      <c r="B83" s="2685" t="s">
        <v>1617</v>
      </c>
      <c r="C83" s="2686"/>
      <c r="D83" s="1180"/>
      <c r="E83" s="1181"/>
      <c r="F83" s="788">
        <f>ROUND(Dren_Quantificacao!D74,2)</f>
        <v>0.34</v>
      </c>
      <c r="G83" s="788">
        <f>ROUND(Dren_Quantificacao!E74,2)</f>
        <v>0.35</v>
      </c>
      <c r="H83" s="788">
        <f>ROUND(Dren_Quantificacao!F74,2)</f>
        <v>0.34</v>
      </c>
      <c r="I83" s="788">
        <f>ROUND(Dren_Quantificacao!G74,2)</f>
        <v>0.35</v>
      </c>
      <c r="J83" s="788"/>
      <c r="K83" s="788"/>
      <c r="L83" s="788"/>
      <c r="M83" s="788"/>
      <c r="N83" s="1093"/>
      <c r="O83" s="788">
        <f>ROUND(Dren_Quantificacao!L74,2)</f>
        <v>0.34</v>
      </c>
      <c r="P83" s="788">
        <f>ROUND(Dren_Quantificacao!M74,2)</f>
        <v>0.34</v>
      </c>
      <c r="Q83" s="788">
        <f>ROUND(Dren_Quantificacao!N74,2)</f>
        <v>0.34</v>
      </c>
      <c r="R83" s="788">
        <f>ROUND(Dren_Quantificacao!O74,2)</f>
        <v>0.35</v>
      </c>
      <c r="S83" s="788">
        <f>ROUND(Dren_Quantificacao!BD74,2)</f>
        <v>0</v>
      </c>
      <c r="T83" s="1179"/>
      <c r="U83" s="1179"/>
      <c r="V83" s="1179"/>
      <c r="W83" s="1179"/>
      <c r="X83" s="1179"/>
      <c r="Y83" s="1179"/>
      <c r="Z83" s="1179"/>
      <c r="AA83" s="1179"/>
      <c r="AB83" s="1179"/>
      <c r="AC83" s="1179"/>
      <c r="AD83" s="1179"/>
      <c r="AE83" s="1179"/>
      <c r="AF83" s="1179"/>
      <c r="AG83" s="1179"/>
      <c r="AH83" s="1179"/>
      <c r="AI83" s="789"/>
      <c r="AJ83" s="745">
        <f t="shared" si="22"/>
        <v>2.75</v>
      </c>
      <c r="AK83" s="745"/>
      <c r="AL83" s="1136"/>
      <c r="AM83" s="1137"/>
      <c r="AN83" s="1137"/>
      <c r="AO83" s="1137"/>
      <c r="AP83" s="1137"/>
      <c r="AQ83" s="1137">
        <v>0.40679999999999999</v>
      </c>
      <c r="AR83" s="1137">
        <v>2.2000000000000001E-3</v>
      </c>
      <c r="AS83" s="1137"/>
      <c r="AT83" s="1139"/>
      <c r="AU83" s="1137"/>
      <c r="AV83" s="1137"/>
      <c r="AW83" s="1137"/>
      <c r="AX83" s="1137"/>
      <c r="AY83" s="1137"/>
      <c r="AZ83" s="1137">
        <v>0.40679999999999999</v>
      </c>
      <c r="BA83" s="1137">
        <v>2.2000000000000001E-3</v>
      </c>
      <c r="BB83" s="1137"/>
      <c r="BC83" s="1139"/>
      <c r="BD83" s="1137"/>
      <c r="BE83" s="1137"/>
      <c r="BF83" s="1137"/>
      <c r="BG83" s="1137"/>
      <c r="BH83" s="1137"/>
      <c r="BI83" s="1137"/>
      <c r="BJ83" s="1139"/>
      <c r="BK83" s="1139">
        <v>1.163</v>
      </c>
      <c r="BL83" s="1137"/>
      <c r="BM83" s="1137">
        <v>0.377</v>
      </c>
      <c r="BN83" s="1137"/>
      <c r="BO83" s="1137"/>
      <c r="BP83" s="1137"/>
      <c r="BQ83" s="1139"/>
      <c r="BR83" s="1140"/>
      <c r="BS83" s="1137">
        <v>356.25659999999999</v>
      </c>
      <c r="BT83" s="1141"/>
    </row>
    <row r="84" spans="1:74" ht="21.95" hidden="1" customHeight="1" thickBot="1">
      <c r="A84" s="2695"/>
      <c r="B84" s="2596" t="s">
        <v>1905</v>
      </c>
      <c r="C84" s="2597"/>
      <c r="D84" s="1177"/>
      <c r="E84" s="1178"/>
      <c r="F84" s="992">
        <f>SUM(F60:F66)+IF(F7&gt;0,1,0)</f>
        <v>0</v>
      </c>
      <c r="G84" s="992">
        <f t="shared" ref="G84:R84" si="24">SUM(G60:G66)+IF(G7&gt;0,1,0)</f>
        <v>0</v>
      </c>
      <c r="H84" s="992">
        <f t="shared" si="24"/>
        <v>0</v>
      </c>
      <c r="I84" s="992">
        <f t="shared" si="24"/>
        <v>0</v>
      </c>
      <c r="J84" s="992"/>
      <c r="K84" s="992"/>
      <c r="L84" s="992"/>
      <c r="M84" s="992"/>
      <c r="N84" s="993"/>
      <c r="O84" s="992">
        <f t="shared" si="24"/>
        <v>0</v>
      </c>
      <c r="P84" s="992">
        <f t="shared" si="24"/>
        <v>0</v>
      </c>
      <c r="Q84" s="992">
        <f t="shared" si="24"/>
        <v>0</v>
      </c>
      <c r="R84" s="992">
        <f t="shared" si="24"/>
        <v>0</v>
      </c>
      <c r="S84" s="992">
        <f>SUM(S60:S66)+IF(S7&gt;0,1,0)</f>
        <v>0</v>
      </c>
      <c r="T84" s="1182"/>
      <c r="U84" s="1182"/>
      <c r="V84" s="1182"/>
      <c r="W84" s="1182"/>
      <c r="X84" s="1182"/>
      <c r="Y84" s="1182"/>
      <c r="Z84" s="1182"/>
      <c r="AA84" s="1182"/>
      <c r="AB84" s="1182"/>
      <c r="AC84" s="1182"/>
      <c r="AD84" s="1182"/>
      <c r="AE84" s="1182"/>
      <c r="AF84" s="1182"/>
      <c r="AG84" s="1182"/>
      <c r="AH84" s="1182"/>
      <c r="AI84" s="1183"/>
      <c r="AJ84" s="745">
        <f t="shared" si="22"/>
        <v>0</v>
      </c>
      <c r="AK84" s="745"/>
      <c r="AL84" s="1136"/>
      <c r="AM84" s="1137"/>
      <c r="AN84" s="1137"/>
      <c r="AO84" s="1137"/>
      <c r="AP84" s="1137"/>
      <c r="AQ84" s="1137"/>
      <c r="AR84" s="1137"/>
      <c r="AS84" s="1137"/>
      <c r="AT84" s="1139"/>
      <c r="AU84" s="1137"/>
      <c r="AV84" s="1137"/>
      <c r="AW84" s="1137"/>
      <c r="AX84" s="1137"/>
      <c r="AY84" s="1137"/>
      <c r="AZ84" s="1137"/>
      <c r="BA84" s="1137"/>
      <c r="BB84" s="1137"/>
      <c r="BC84" s="1139"/>
      <c r="BD84" s="1137"/>
      <c r="BE84" s="1137"/>
      <c r="BF84" s="1137"/>
      <c r="BG84" s="1137"/>
      <c r="BH84" s="1137"/>
      <c r="BI84" s="1137"/>
      <c r="BJ84" s="1139"/>
      <c r="BK84" s="1139"/>
      <c r="BL84" s="1137"/>
      <c r="BM84" s="1137"/>
      <c r="BN84" s="1137"/>
      <c r="BO84" s="1137"/>
      <c r="BP84" s="1137"/>
      <c r="BQ84" s="1139"/>
      <c r="BR84" s="1140"/>
      <c r="BS84" s="1137"/>
      <c r="BT84" s="1141"/>
    </row>
    <row r="85" spans="1:74" s="714" customFormat="1" ht="32.1" hidden="1" customHeight="1">
      <c r="A85" s="2695"/>
      <c r="B85" s="2609" t="s">
        <v>1591</v>
      </c>
      <c r="C85" s="2612"/>
      <c r="D85" s="1168"/>
      <c r="F85" s="851">
        <f>+Dren_Quantificacao!D49</f>
        <v>0</v>
      </c>
      <c r="G85" s="851">
        <f>+Dren_Quantificacao!E49</f>
        <v>0</v>
      </c>
      <c r="H85" s="851">
        <f>+Dren_Quantificacao!F49</f>
        <v>0</v>
      </c>
      <c r="I85" s="851">
        <f>+Dren_Quantificacao!G49</f>
        <v>0</v>
      </c>
      <c r="J85" s="851"/>
      <c r="K85" s="851"/>
      <c r="L85" s="851"/>
      <c r="M85" s="851"/>
      <c r="N85" s="1169"/>
      <c r="O85" s="851">
        <f>+Dren_Quantificacao!L49</f>
        <v>0</v>
      </c>
      <c r="P85" s="851">
        <f>+Dren_Quantificacao!M49</f>
        <v>0</v>
      </c>
      <c r="Q85" s="851">
        <f>+Dren_Quantificacao!N49</f>
        <v>0</v>
      </c>
      <c r="R85" s="851">
        <f>+Dren_Quantificacao!O49</f>
        <v>0</v>
      </c>
      <c r="S85" s="851">
        <f>+Dren_Quantificacao!BD49</f>
        <v>0</v>
      </c>
      <c r="T85" s="816"/>
      <c r="U85" s="816"/>
      <c r="V85" s="816"/>
      <c r="W85" s="816"/>
      <c r="X85" s="816"/>
      <c r="Y85" s="816"/>
      <c r="Z85" s="816"/>
      <c r="AA85" s="816"/>
      <c r="AB85" s="816"/>
      <c r="AC85" s="816"/>
      <c r="AD85" s="816"/>
      <c r="AE85" s="816"/>
      <c r="AF85" s="816"/>
      <c r="AG85" s="816"/>
      <c r="AH85" s="816"/>
      <c r="AI85" s="1163"/>
      <c r="AJ85" s="745">
        <f t="shared" si="22"/>
        <v>0</v>
      </c>
      <c r="AK85" s="745"/>
      <c r="AL85" s="1184">
        <f>0.25+0.06</f>
        <v>0.31</v>
      </c>
      <c r="AM85" s="1184">
        <f>0.73508*2</f>
        <v>1.4701599999999999</v>
      </c>
      <c r="AN85" s="1184">
        <f>0.63334+0.61459</f>
        <v>1.24793</v>
      </c>
      <c r="AO85" s="1137"/>
      <c r="AP85" s="1137"/>
      <c r="AQ85" s="1137"/>
      <c r="AR85" s="1137"/>
      <c r="AS85" s="1137"/>
      <c r="AT85" s="1139"/>
      <c r="AU85" s="1137"/>
      <c r="AV85" s="1137"/>
      <c r="AW85" s="1137"/>
      <c r="AX85" s="1137"/>
      <c r="AY85" s="1137"/>
      <c r="AZ85" s="1137"/>
      <c r="BA85" s="1137"/>
      <c r="BB85" s="1137"/>
      <c r="BC85" s="1139"/>
      <c r="BD85" s="1137"/>
      <c r="BE85" s="1137"/>
      <c r="BF85" s="1137"/>
      <c r="BG85" s="1137"/>
      <c r="BH85" s="1137"/>
      <c r="BI85" s="1137"/>
      <c r="BJ85" s="1139"/>
      <c r="BK85" s="1139"/>
      <c r="BL85" s="1137"/>
      <c r="BM85" s="1137"/>
      <c r="BN85" s="1137"/>
      <c r="BO85" s="1137"/>
      <c r="BP85" s="1137"/>
      <c r="BQ85" s="1139"/>
      <c r="BR85" s="1140"/>
      <c r="BS85" s="1137"/>
      <c r="BT85" s="1141"/>
      <c r="BV85" s="746"/>
    </row>
    <row r="86" spans="1:74" s="714" customFormat="1" ht="32.1" hidden="1" customHeight="1">
      <c r="A86" s="2695"/>
      <c r="B86" s="2609" t="s">
        <v>1592</v>
      </c>
      <c r="C86" s="2612"/>
      <c r="D86" s="1168"/>
      <c r="F86" s="851">
        <f>+Dren_Quantificacao!D50</f>
        <v>0</v>
      </c>
      <c r="G86" s="851">
        <f>+Dren_Quantificacao!E50</f>
        <v>0</v>
      </c>
      <c r="H86" s="851">
        <f>+Dren_Quantificacao!F50</f>
        <v>0</v>
      </c>
      <c r="I86" s="851">
        <f>+Dren_Quantificacao!G50</f>
        <v>0</v>
      </c>
      <c r="J86" s="851"/>
      <c r="K86" s="851"/>
      <c r="L86" s="851"/>
      <c r="M86" s="851"/>
      <c r="N86" s="1169"/>
      <c r="O86" s="851">
        <f>+Dren_Quantificacao!L50</f>
        <v>0</v>
      </c>
      <c r="P86" s="851">
        <f>+Dren_Quantificacao!M50</f>
        <v>0</v>
      </c>
      <c r="Q86" s="851">
        <f>+Dren_Quantificacao!N50</f>
        <v>0</v>
      </c>
      <c r="R86" s="851">
        <f>+Dren_Quantificacao!O50</f>
        <v>0</v>
      </c>
      <c r="S86" s="851">
        <f>+Dren_Quantificacao!BD50</f>
        <v>0</v>
      </c>
      <c r="T86" s="816"/>
      <c r="U86" s="816"/>
      <c r="V86" s="816"/>
      <c r="W86" s="816"/>
      <c r="X86" s="816"/>
      <c r="Y86" s="816"/>
      <c r="Z86" s="816"/>
      <c r="AA86" s="816"/>
      <c r="AB86" s="816"/>
      <c r="AC86" s="816"/>
      <c r="AD86" s="816"/>
      <c r="AE86" s="816"/>
      <c r="AF86" s="816"/>
      <c r="AG86" s="816"/>
      <c r="AH86" s="816"/>
      <c r="AI86" s="1185"/>
      <c r="AJ86" s="745">
        <f t="shared" si="22"/>
        <v>0</v>
      </c>
      <c r="AK86" s="745"/>
      <c r="AL86" s="1184">
        <v>0.14749999999999999</v>
      </c>
      <c r="AM86" s="1184">
        <f>0.36754*2</f>
        <v>0.73507999999999996</v>
      </c>
      <c r="AN86" s="1184">
        <v>0.63334000000000001</v>
      </c>
      <c r="AO86" s="1137"/>
      <c r="AP86" s="1137"/>
      <c r="AQ86" s="1137"/>
      <c r="AR86" s="1137"/>
      <c r="AS86" s="1137"/>
      <c r="AT86" s="1139"/>
      <c r="AU86" s="1137"/>
      <c r="AV86" s="1137"/>
      <c r="AW86" s="1137"/>
      <c r="AX86" s="1137"/>
      <c r="AY86" s="1137"/>
      <c r="AZ86" s="1137"/>
      <c r="BA86" s="1137"/>
      <c r="BB86" s="1137"/>
      <c r="BC86" s="1139"/>
      <c r="BD86" s="1137"/>
      <c r="BE86" s="1137"/>
      <c r="BF86" s="1137"/>
      <c r="BG86" s="1137"/>
      <c r="BH86" s="1137"/>
      <c r="BI86" s="1137"/>
      <c r="BJ86" s="1139"/>
      <c r="BK86" s="1139"/>
      <c r="BL86" s="1137"/>
      <c r="BM86" s="1137"/>
      <c r="BN86" s="1137"/>
      <c r="BO86" s="1137"/>
      <c r="BP86" s="1137"/>
      <c r="BQ86" s="1139"/>
      <c r="BR86" s="1140"/>
      <c r="BS86" s="1137"/>
      <c r="BT86" s="1141"/>
      <c r="BV86" s="746"/>
    </row>
    <row r="87" spans="1:74" s="714" customFormat="1" ht="32.1" hidden="1" customHeight="1">
      <c r="A87" s="2695"/>
      <c r="B87" s="2609" t="s">
        <v>1593</v>
      </c>
      <c r="C87" s="2612"/>
      <c r="D87" s="1168"/>
      <c r="F87" s="851">
        <f>+Dren_Quantificacao!D51</f>
        <v>0</v>
      </c>
      <c r="G87" s="851">
        <f>+Dren_Quantificacao!E51</f>
        <v>0</v>
      </c>
      <c r="H87" s="851">
        <f>+Dren_Quantificacao!F51</f>
        <v>0</v>
      </c>
      <c r="I87" s="851">
        <f>+Dren_Quantificacao!G51</f>
        <v>0</v>
      </c>
      <c r="J87" s="851"/>
      <c r="K87" s="851"/>
      <c r="L87" s="851"/>
      <c r="M87" s="851"/>
      <c r="N87" s="1169"/>
      <c r="O87" s="851">
        <f>+Dren_Quantificacao!L51</f>
        <v>0</v>
      </c>
      <c r="P87" s="851">
        <f>+Dren_Quantificacao!M51</f>
        <v>0</v>
      </c>
      <c r="Q87" s="851">
        <f>+Dren_Quantificacao!N51</f>
        <v>0</v>
      </c>
      <c r="R87" s="851">
        <f>+Dren_Quantificacao!O51</f>
        <v>0</v>
      </c>
      <c r="S87" s="851">
        <f>+Dren_Quantificacao!BD51</f>
        <v>0</v>
      </c>
      <c r="T87" s="816"/>
      <c r="U87" s="816"/>
      <c r="V87" s="816"/>
      <c r="W87" s="816"/>
      <c r="X87" s="816"/>
      <c r="Y87" s="816"/>
      <c r="Z87" s="816"/>
      <c r="AA87" s="816"/>
      <c r="AB87" s="816"/>
      <c r="AC87" s="816"/>
      <c r="AD87" s="816"/>
      <c r="AE87" s="816"/>
      <c r="AF87" s="816"/>
      <c r="AG87" s="816"/>
      <c r="AH87" s="816"/>
      <c r="AI87" s="1170"/>
      <c r="AJ87" s="745">
        <f t="shared" si="22"/>
        <v>0</v>
      </c>
      <c r="AK87" s="745"/>
      <c r="AL87" s="1184">
        <f>2.1+0.092</f>
        <v>2.1920000000000002</v>
      </c>
      <c r="AM87" s="1184">
        <f>0.73508*2</f>
        <v>1.4701599999999999</v>
      </c>
      <c r="AN87" s="1184">
        <f>0.63334+0.61459</f>
        <v>1.24793</v>
      </c>
      <c r="AO87" s="1137"/>
      <c r="AP87" s="1137"/>
      <c r="AQ87" s="1137"/>
      <c r="AR87" s="1137"/>
      <c r="AS87" s="1137"/>
      <c r="AT87" s="1139"/>
      <c r="AU87" s="1137"/>
      <c r="AV87" s="1137"/>
      <c r="AW87" s="1137"/>
      <c r="AX87" s="1137"/>
      <c r="AY87" s="1137"/>
      <c r="AZ87" s="1137"/>
      <c r="BA87" s="1137"/>
      <c r="BB87" s="1137"/>
      <c r="BC87" s="1139"/>
      <c r="BD87" s="1137"/>
      <c r="BE87" s="1137"/>
      <c r="BF87" s="1137"/>
      <c r="BG87" s="1137"/>
      <c r="BH87" s="1137"/>
      <c r="BI87" s="1137"/>
      <c r="BJ87" s="1139"/>
      <c r="BK87" s="1139"/>
      <c r="BL87" s="1137"/>
      <c r="BM87" s="1137"/>
      <c r="BN87" s="1137"/>
      <c r="BO87" s="1137"/>
      <c r="BP87" s="1137"/>
      <c r="BQ87" s="1139"/>
      <c r="BR87" s="1140"/>
      <c r="BS87" s="1137"/>
      <c r="BT87" s="1141"/>
      <c r="BV87" s="746"/>
    </row>
    <row r="88" spans="1:74" s="714" customFormat="1" ht="32.1" hidden="1" customHeight="1">
      <c r="A88" s="2695"/>
      <c r="B88" s="2609" t="s">
        <v>1594</v>
      </c>
      <c r="C88" s="2612"/>
      <c r="D88" s="1168"/>
      <c r="F88" s="851">
        <f>+Dren_Quantificacao!D52</f>
        <v>0</v>
      </c>
      <c r="G88" s="851">
        <f>+Dren_Quantificacao!E52</f>
        <v>0</v>
      </c>
      <c r="H88" s="851">
        <f>+Dren_Quantificacao!F52</f>
        <v>0</v>
      </c>
      <c r="I88" s="851">
        <f>+Dren_Quantificacao!G52</f>
        <v>0</v>
      </c>
      <c r="J88" s="851"/>
      <c r="K88" s="851"/>
      <c r="L88" s="851"/>
      <c r="M88" s="851"/>
      <c r="N88" s="1169"/>
      <c r="O88" s="851">
        <f>+Dren_Quantificacao!L52</f>
        <v>0</v>
      </c>
      <c r="P88" s="851">
        <f>+Dren_Quantificacao!M52</f>
        <v>0</v>
      </c>
      <c r="Q88" s="851">
        <f>+Dren_Quantificacao!N52</f>
        <v>0</v>
      </c>
      <c r="R88" s="851">
        <f>+Dren_Quantificacao!O52</f>
        <v>0</v>
      </c>
      <c r="S88" s="851">
        <f>+Dren_Quantificacao!BD52</f>
        <v>0</v>
      </c>
      <c r="T88" s="816"/>
      <c r="U88" s="816"/>
      <c r="V88" s="816"/>
      <c r="W88" s="816"/>
      <c r="X88" s="816"/>
      <c r="Y88" s="816"/>
      <c r="Z88" s="816"/>
      <c r="AA88" s="816"/>
      <c r="AB88" s="816"/>
      <c r="AC88" s="816"/>
      <c r="AD88" s="816"/>
      <c r="AE88" s="816"/>
      <c r="AF88" s="816"/>
      <c r="AG88" s="816"/>
      <c r="AH88" s="816"/>
      <c r="AI88" s="1170"/>
      <c r="AJ88" s="745">
        <f t="shared" si="22"/>
        <v>0</v>
      </c>
      <c r="AK88" s="745"/>
      <c r="AL88" s="1184">
        <v>0.11</v>
      </c>
      <c r="AM88" s="1184">
        <f>0.36754*2</f>
        <v>0.73507999999999996</v>
      </c>
      <c r="AN88" s="1184">
        <v>0.63334000000000001</v>
      </c>
      <c r="AO88" s="1137"/>
      <c r="AP88" s="1137"/>
      <c r="AQ88" s="1137"/>
      <c r="AR88" s="1137"/>
      <c r="AS88" s="1137"/>
      <c r="AT88" s="1139"/>
      <c r="AU88" s="1137"/>
      <c r="AV88" s="1137"/>
      <c r="AW88" s="1137"/>
      <c r="AX88" s="1137"/>
      <c r="AY88" s="1137"/>
      <c r="AZ88" s="1137"/>
      <c r="BA88" s="1137"/>
      <c r="BB88" s="1137"/>
      <c r="BC88" s="1139"/>
      <c r="BD88" s="1137"/>
      <c r="BE88" s="1137"/>
      <c r="BF88" s="1137"/>
      <c r="BG88" s="1137"/>
      <c r="BH88" s="1137"/>
      <c r="BI88" s="1137"/>
      <c r="BJ88" s="1139"/>
      <c r="BK88" s="1139"/>
      <c r="BL88" s="1137"/>
      <c r="BM88" s="1137"/>
      <c r="BN88" s="1137"/>
      <c r="BO88" s="1137"/>
      <c r="BP88" s="1137"/>
      <c r="BQ88" s="1139"/>
      <c r="BR88" s="1140"/>
      <c r="BS88" s="1137"/>
      <c r="BT88" s="1141"/>
      <c r="BV88" s="746"/>
    </row>
    <row r="89" spans="1:74" s="714" customFormat="1" ht="32.1" hidden="1" customHeight="1">
      <c r="A89" s="2695"/>
      <c r="B89" s="2609" t="s">
        <v>1595</v>
      </c>
      <c r="C89" s="2612"/>
      <c r="D89" s="1168"/>
      <c r="F89" s="851">
        <f>+Dren_Quantificacao!D53</f>
        <v>0</v>
      </c>
      <c r="G89" s="851">
        <f>+Dren_Quantificacao!E53</f>
        <v>0</v>
      </c>
      <c r="H89" s="851">
        <f>+Dren_Quantificacao!F53</f>
        <v>0</v>
      </c>
      <c r="I89" s="851">
        <f>+Dren_Quantificacao!G53</f>
        <v>0</v>
      </c>
      <c r="J89" s="851"/>
      <c r="K89" s="851"/>
      <c r="L89" s="851"/>
      <c r="M89" s="851"/>
      <c r="N89" s="1169"/>
      <c r="O89" s="851">
        <f>+Dren_Quantificacao!L53</f>
        <v>0</v>
      </c>
      <c r="P89" s="851">
        <f>+Dren_Quantificacao!M53</f>
        <v>0</v>
      </c>
      <c r="Q89" s="851">
        <f>+Dren_Quantificacao!N53</f>
        <v>0</v>
      </c>
      <c r="R89" s="851">
        <f>+Dren_Quantificacao!O53</f>
        <v>0</v>
      </c>
      <c r="S89" s="851">
        <f>+Dren_Quantificacao!BD53</f>
        <v>0</v>
      </c>
      <c r="T89" s="816"/>
      <c r="U89" s="816"/>
      <c r="V89" s="816"/>
      <c r="W89" s="816"/>
      <c r="X89" s="816"/>
      <c r="Y89" s="816"/>
      <c r="Z89" s="816"/>
      <c r="AA89" s="816"/>
      <c r="AB89" s="816"/>
      <c r="AC89" s="816"/>
      <c r="AD89" s="816"/>
      <c r="AE89" s="816"/>
      <c r="AF89" s="816"/>
      <c r="AG89" s="816"/>
      <c r="AH89" s="816"/>
      <c r="AI89" s="1170"/>
      <c r="AJ89" s="745">
        <f t="shared" si="22"/>
        <v>0</v>
      </c>
      <c r="AK89" s="745"/>
      <c r="AL89" s="1184">
        <v>0.14000000000000001</v>
      </c>
      <c r="AM89" s="1184">
        <f>0.36754*2</f>
        <v>0.73507999999999996</v>
      </c>
      <c r="AN89" s="1184">
        <v>0.63334000000000001</v>
      </c>
      <c r="AO89" s="1137"/>
      <c r="AP89" s="1137"/>
      <c r="AQ89" s="1137"/>
      <c r="AR89" s="1137"/>
      <c r="AS89" s="1137"/>
      <c r="AT89" s="1139"/>
      <c r="AU89" s="1137"/>
      <c r="AV89" s="1137"/>
      <c r="AW89" s="1137"/>
      <c r="AX89" s="1137"/>
      <c r="AY89" s="1137"/>
      <c r="AZ89" s="1137"/>
      <c r="BA89" s="1137"/>
      <c r="BB89" s="1137"/>
      <c r="BC89" s="1139"/>
      <c r="BD89" s="1137"/>
      <c r="BE89" s="1137"/>
      <c r="BF89" s="1137"/>
      <c r="BG89" s="1137"/>
      <c r="BH89" s="1137"/>
      <c r="BI89" s="1137"/>
      <c r="BJ89" s="1139"/>
      <c r="BK89" s="1139"/>
      <c r="BL89" s="1137"/>
      <c r="BM89" s="1137"/>
      <c r="BN89" s="1137"/>
      <c r="BO89" s="1137"/>
      <c r="BP89" s="1137"/>
      <c r="BQ89" s="1139"/>
      <c r="BR89" s="1140"/>
      <c r="BS89" s="1137"/>
      <c r="BT89" s="1141"/>
      <c r="BV89" s="746"/>
    </row>
    <row r="90" spans="1:74" s="714" customFormat="1" ht="21.95" hidden="1" customHeight="1" thickBot="1">
      <c r="A90" s="2695"/>
      <c r="B90" s="2607" t="s">
        <v>1596</v>
      </c>
      <c r="C90" s="2674"/>
      <c r="D90" s="1168"/>
      <c r="F90" s="851">
        <f>+Dren_Quantificacao!D54</f>
        <v>0</v>
      </c>
      <c r="G90" s="851">
        <f>+Dren_Quantificacao!E54</f>
        <v>0</v>
      </c>
      <c r="H90" s="851">
        <f>+Dren_Quantificacao!F54</f>
        <v>0</v>
      </c>
      <c r="I90" s="851">
        <f>+Dren_Quantificacao!G54</f>
        <v>0</v>
      </c>
      <c r="J90" s="851"/>
      <c r="K90" s="851"/>
      <c r="L90" s="851"/>
      <c r="M90" s="851"/>
      <c r="N90" s="1169"/>
      <c r="O90" s="851">
        <f>+Dren_Quantificacao!L54</f>
        <v>0</v>
      </c>
      <c r="P90" s="851">
        <f>+Dren_Quantificacao!M54</f>
        <v>0</v>
      </c>
      <c r="Q90" s="851">
        <f>+Dren_Quantificacao!N54</f>
        <v>0</v>
      </c>
      <c r="R90" s="851">
        <f>+Dren_Quantificacao!O54</f>
        <v>0</v>
      </c>
      <c r="S90" s="851">
        <f>+Dren_Quantificacao!BD54</f>
        <v>0</v>
      </c>
      <c r="T90" s="816"/>
      <c r="U90" s="816"/>
      <c r="V90" s="816"/>
      <c r="W90" s="816"/>
      <c r="X90" s="816"/>
      <c r="Y90" s="816"/>
      <c r="Z90" s="816"/>
      <c r="AA90" s="816"/>
      <c r="AB90" s="816"/>
      <c r="AC90" s="816"/>
      <c r="AD90" s="816"/>
      <c r="AE90" s="816"/>
      <c r="AF90" s="816"/>
      <c r="AG90" s="816"/>
      <c r="AH90" s="816"/>
      <c r="AI90" s="1170"/>
      <c r="AJ90" s="745">
        <f t="shared" si="22"/>
        <v>0</v>
      </c>
      <c r="AK90" s="745"/>
      <c r="AL90" s="1184">
        <v>1.619</v>
      </c>
      <c r="AM90" s="1184">
        <f>0.36754*2</f>
        <v>0.73507999999999996</v>
      </c>
      <c r="AN90" s="1184">
        <v>0.63334000000000001</v>
      </c>
      <c r="AO90" s="1137"/>
      <c r="AP90" s="1137"/>
      <c r="AQ90" s="1137"/>
      <c r="AR90" s="1137"/>
      <c r="AS90" s="1137"/>
      <c r="AT90" s="1139"/>
      <c r="AU90" s="1137"/>
      <c r="AV90" s="1137"/>
      <c r="AW90" s="1137"/>
      <c r="AX90" s="1137"/>
      <c r="AY90" s="1137"/>
      <c r="AZ90" s="1137"/>
      <c r="BA90" s="1137"/>
      <c r="BB90" s="1137"/>
      <c r="BC90" s="1139"/>
      <c r="BD90" s="1137"/>
      <c r="BE90" s="1137"/>
      <c r="BF90" s="1137"/>
      <c r="BG90" s="1137"/>
      <c r="BH90" s="1137"/>
      <c r="BI90" s="1137"/>
      <c r="BJ90" s="1139"/>
      <c r="BK90" s="1139"/>
      <c r="BL90" s="1137"/>
      <c r="BM90" s="1137"/>
      <c r="BN90" s="1137"/>
      <c r="BO90" s="1137"/>
      <c r="BP90" s="1137"/>
      <c r="BQ90" s="1139"/>
      <c r="BR90" s="1140"/>
      <c r="BS90" s="1137"/>
      <c r="BT90" s="1141"/>
      <c r="BV90" s="746"/>
    </row>
    <row r="91" spans="1:74" s="714" customFormat="1" ht="21.95" hidden="1" customHeight="1">
      <c r="A91" s="2695"/>
      <c r="B91" s="2675" t="s">
        <v>1906</v>
      </c>
      <c r="C91" s="2676"/>
      <c r="D91" s="1161"/>
      <c r="E91" s="1162"/>
      <c r="F91" s="1117">
        <f>+(F85*$AL$85*$AN$85)+(F86*$AL$86*$AN$86)+(F87*$AL$87*$AN$87)+(F88*$AL$88*$AN$88)+(F89*$AL$89*$AN$89)+(F90*$AL$90*$AN$90)</f>
        <v>0</v>
      </c>
      <c r="G91" s="1117">
        <f>+(G85*$AL$85*$AN$85)+(G86*$AL$86*$AN$86)+(G87*$AL$87*$AN$87)+(G88*$AL$88*$AN$88)+(G89*$AL$89*$AN$89)+(G90*$AL$90*$AN$90)</f>
        <v>0</v>
      </c>
      <c r="H91" s="1117">
        <f>+(H85*$AL$85*$AN$85)+(H86*$AL$86*$AN$86)+(H87*$AL$87*$AN$87)+(H88*$AL$88*$AN$88)+(H89*$AL$89*$AN$89)+(H90*$AL$90*$AN$90)</f>
        <v>0</v>
      </c>
      <c r="I91" s="1117">
        <f>+(I85*$AL$85*$AN$85)+(I86*$AL$86*$AN$86)+(I87*$AL$87*$AN$87)+(I88*$AL$88*$AN$88)+(I89*$AL$89*$AN$89)+(I90*$AL$90*$AN$90)</f>
        <v>0</v>
      </c>
      <c r="J91" s="1117"/>
      <c r="K91" s="1117"/>
      <c r="L91" s="1117"/>
      <c r="M91" s="1117"/>
      <c r="N91" s="1118"/>
      <c r="O91" s="1117">
        <f>+(O85*$AL$85*$AN$85)+(O86*$AL$86*$AN$86)+(O87*$AL$87*$AN$87)+(O88*$AL$88*$AN$88)+(O89*$AL$89*$AN$89)+(O90*$AL$90*$AN$90)</f>
        <v>0</v>
      </c>
      <c r="P91" s="1117">
        <f>+(P85*$AL$85*$AN$85)+(P86*$AL$86*$AN$86)+(P87*$AL$87*$AN$87)+(P88*$AL$88*$AN$88)+(P89*$AL$89*$AN$89)+(P90*$AL$90*$AN$90)</f>
        <v>0</v>
      </c>
      <c r="Q91" s="1117">
        <f>+(Q85*$AL$85*$AN$85)+(Q86*$AL$86*$AN$86)+(Q87*$AL$87*$AN$87)+(Q88*$AL$88*$AN$88)+(Q89*$AL$89*$AN$89)+(Q90*$AL$90*$AN$90)</f>
        <v>0</v>
      </c>
      <c r="R91" s="1117">
        <f>+(R85*$AL$85*$AN$85)+(R86*$AL$86*$AN$86)+(R87*$AL$87*$AN$87)+(R88*$AL$88*$AN$88)+(R89*$AL$89*$AN$89)+(R90*$AL$90*$AN$90)</f>
        <v>0</v>
      </c>
      <c r="S91" s="1117">
        <f>+(S85*$AL$85*$AN$85)+(S86*$AL$86*$AN$86)+(S87*$AL$87*$AN$87)+(S88*$AL$88*$AN$88)+(S89*$AL$89*$AN$89)+(S90*$AL$90*$AN$90)</f>
        <v>0</v>
      </c>
      <c r="T91" s="1119"/>
      <c r="U91" s="1119"/>
      <c r="V91" s="1119"/>
      <c r="W91" s="1119"/>
      <c r="X91" s="1119"/>
      <c r="Y91" s="1119"/>
      <c r="Z91" s="1119"/>
      <c r="AA91" s="1119"/>
      <c r="AB91" s="1119"/>
      <c r="AC91" s="1119"/>
      <c r="AD91" s="1119"/>
      <c r="AE91" s="1119"/>
      <c r="AF91" s="1119"/>
      <c r="AG91" s="1119"/>
      <c r="AH91" s="1119"/>
      <c r="AI91" s="1186"/>
      <c r="AJ91" s="745">
        <f t="shared" si="22"/>
        <v>0</v>
      </c>
      <c r="AK91" s="745"/>
      <c r="AL91" s="1136"/>
      <c r="AM91" s="1137"/>
      <c r="AN91" s="1137"/>
      <c r="AO91" s="1137"/>
      <c r="AP91" s="1137"/>
      <c r="AQ91" s="1137"/>
      <c r="AR91" s="1137"/>
      <c r="AS91" s="1137"/>
      <c r="AT91" s="1139"/>
      <c r="AU91" s="1137"/>
      <c r="AV91" s="1137"/>
      <c r="AW91" s="1137"/>
      <c r="AX91" s="1137"/>
      <c r="AY91" s="1137"/>
      <c r="AZ91" s="1137"/>
      <c r="BA91" s="1137"/>
      <c r="BB91" s="1137"/>
      <c r="BC91" s="1139"/>
      <c r="BD91" s="1137"/>
      <c r="BE91" s="1137"/>
      <c r="BF91" s="1137"/>
      <c r="BG91" s="1137"/>
      <c r="BH91" s="1137"/>
      <c r="BI91" s="1137"/>
      <c r="BJ91" s="1139"/>
      <c r="BK91" s="1139"/>
      <c r="BL91" s="1137"/>
      <c r="BM91" s="1137"/>
      <c r="BN91" s="1137"/>
      <c r="BO91" s="1137"/>
      <c r="BP91" s="1137"/>
      <c r="BQ91" s="1139"/>
      <c r="BR91" s="1140"/>
      <c r="BS91" s="1137"/>
      <c r="BT91" s="1141"/>
      <c r="BV91" s="746"/>
    </row>
    <row r="92" spans="1:74" s="714" customFormat="1" ht="21.95" hidden="1" customHeight="1" thickBot="1">
      <c r="A92" s="2695"/>
      <c r="B92" s="2609" t="s">
        <v>1907</v>
      </c>
      <c r="C92" s="2612"/>
      <c r="D92" s="1168"/>
      <c r="F92" s="834">
        <f>+(F85*$AL$85*$AM$85)+(F86*$AL$86*$AM$86)+(F87*$AL$87*$AM$87)+(F88*$AL$88*$AM$88)+(F89*$AL$89*$AM$89)+(F90*$AL$90*$AM$90)</f>
        <v>0</v>
      </c>
      <c r="G92" s="834">
        <f>+(G85*$AL$85*$AM$85)+(G86*$AL$86*$AM$86)+(G87*$AL$87*$AM$87)+(G88*$AL$88*$AM$88)+(G89*$AL$89*$AM$89)+(G90*$AL$90*$AM$90)</f>
        <v>0</v>
      </c>
      <c r="H92" s="834">
        <f>+(H85*$AL$85*$AM$85)+(H86*$AL$86*$AM$86)+(H87*$AL$87*$AM$87)+(H88*$AL$88*$AM$88)+(H89*$AL$89*$AM$89)+(H90*$AL$90*$AM$90)</f>
        <v>0</v>
      </c>
      <c r="I92" s="834">
        <f>+(I85*$AL$85*$AM$85)+(I86*$AL$86*$AM$86)+(I87*$AL$87*$AM$87)+(I88*$AL$88*$AM$88)+(I89*$AL$89*$AM$89)+(I90*$AL$90*$AM$90)</f>
        <v>0</v>
      </c>
      <c r="J92" s="834"/>
      <c r="K92" s="834"/>
      <c r="L92" s="834"/>
      <c r="M92" s="834"/>
      <c r="N92" s="888"/>
      <c r="O92" s="834">
        <f>+(O85*$AL$85*$AM$85)+(O86*$AL$86*$AM$86)+(O87*$AL$87*$AM$87)+(O88*$AL$88*$AM$88)+(O89*$AL$89*$AM$89)+(O90*$AL$90*$AM$90)</f>
        <v>0</v>
      </c>
      <c r="P92" s="834">
        <f>+(P85*$AL$85*$AM$85)+(P86*$AL$86*$AM$86)+(P87*$AL$87*$AM$87)+(P88*$AL$88*$AM$88)+(P89*$AL$89*$AM$89)+(P90*$AL$90*$AM$90)</f>
        <v>0</v>
      </c>
      <c r="Q92" s="834">
        <f>+(Q85*$AL$85*$AM$85)+(Q86*$AL$86*$AM$86)+(Q87*$AL$87*$AM$87)+(Q88*$AL$88*$AM$88)+(Q89*$AL$89*$AM$89)+(Q90*$AL$90*$AM$90)</f>
        <v>0</v>
      </c>
      <c r="R92" s="834">
        <f>+(R85*$AL$85*$AM$85)+(R86*$AL$86*$AM$86)+(R87*$AL$87*$AM$87)+(R88*$AL$88*$AM$88)+(R89*$AL$89*$AM$89)+(R90*$AL$90*$AM$90)</f>
        <v>0</v>
      </c>
      <c r="S92" s="834">
        <f>+(S85*$AL$85*$AM$85)+(S86*$AL$86*$AM$86)+(S87*$AL$87*$AM$87)+(S88*$AL$88*$AM$88)+(S89*$AL$89*$AM$89)+(S90*$AL$90*$AM$90)</f>
        <v>0</v>
      </c>
      <c r="T92" s="856"/>
      <c r="U92" s="856"/>
      <c r="V92" s="856"/>
      <c r="W92" s="856"/>
      <c r="X92" s="856"/>
      <c r="Y92" s="856"/>
      <c r="Z92" s="856"/>
      <c r="AA92" s="856"/>
      <c r="AB92" s="856"/>
      <c r="AC92" s="856"/>
      <c r="AD92" s="856"/>
      <c r="AE92" s="856"/>
      <c r="AF92" s="856"/>
      <c r="AG92" s="856"/>
      <c r="AH92" s="856"/>
      <c r="AI92" s="1185"/>
      <c r="AJ92" s="745">
        <f t="shared" si="22"/>
        <v>0</v>
      </c>
      <c r="AK92" s="745"/>
      <c r="AL92" s="1136"/>
      <c r="AM92" s="1137"/>
      <c r="AN92" s="1137"/>
      <c r="AO92" s="1137"/>
      <c r="AP92" s="1137"/>
      <c r="AQ92" s="1137"/>
      <c r="AR92" s="1137"/>
      <c r="AS92" s="1137"/>
      <c r="AT92" s="1139"/>
      <c r="AU92" s="1137"/>
      <c r="AV92" s="1137"/>
      <c r="AW92" s="1137"/>
      <c r="AX92" s="1137"/>
      <c r="AY92" s="1137"/>
      <c r="AZ92" s="1137"/>
      <c r="BA92" s="1137"/>
      <c r="BB92" s="1137"/>
      <c r="BC92" s="1139"/>
      <c r="BD92" s="1137"/>
      <c r="BE92" s="1137"/>
      <c r="BF92" s="1137"/>
      <c r="BG92" s="1137"/>
      <c r="BH92" s="1137"/>
      <c r="BI92" s="1137"/>
      <c r="BJ92" s="1139"/>
      <c r="BK92" s="1139"/>
      <c r="BL92" s="1137"/>
      <c r="BM92" s="1137"/>
      <c r="BN92" s="1137"/>
      <c r="BO92" s="1137"/>
      <c r="BP92" s="1137"/>
      <c r="BQ92" s="1139"/>
      <c r="BR92" s="1140"/>
      <c r="BS92" s="1137"/>
      <c r="BT92" s="1141"/>
      <c r="BV92" s="746"/>
    </row>
    <row r="93" spans="1:74" ht="21.95" hidden="1" customHeight="1">
      <c r="A93" s="2695"/>
      <c r="B93" s="2584" t="s">
        <v>1908</v>
      </c>
      <c r="C93" s="740" t="s">
        <v>1909</v>
      </c>
      <c r="D93" s="1161"/>
      <c r="E93" s="1162"/>
      <c r="F93" s="1187">
        <f>Dren_Quantificacao!D76</f>
        <v>0</v>
      </c>
      <c r="G93" s="1187">
        <f>Dren_Quantificacao!E76</f>
        <v>0</v>
      </c>
      <c r="H93" s="1187">
        <f>Dren_Quantificacao!F76</f>
        <v>0</v>
      </c>
      <c r="I93" s="1187">
        <f>Dren_Quantificacao!G76</f>
        <v>0</v>
      </c>
      <c r="J93" s="1187"/>
      <c r="K93" s="1187"/>
      <c r="L93" s="1187"/>
      <c r="M93" s="1187"/>
      <c r="N93" s="1188"/>
      <c r="O93" s="1187">
        <f>Dren_Quantificacao!L76</f>
        <v>0</v>
      </c>
      <c r="P93" s="1187">
        <f>Dren_Quantificacao!M76</f>
        <v>0</v>
      </c>
      <c r="Q93" s="1187">
        <f>Dren_Quantificacao!N76</f>
        <v>0</v>
      </c>
      <c r="R93" s="1187">
        <f>Dren_Quantificacao!O76</f>
        <v>0</v>
      </c>
      <c r="S93" s="1187">
        <f>Dren_Quantificacao!BD76</f>
        <v>0</v>
      </c>
      <c r="T93" s="1189"/>
      <c r="U93" s="1189"/>
      <c r="V93" s="1189"/>
      <c r="W93" s="1189"/>
      <c r="X93" s="1189"/>
      <c r="Y93" s="1189"/>
      <c r="Z93" s="1189"/>
      <c r="AA93" s="1189"/>
      <c r="AB93" s="1189"/>
      <c r="AC93" s="1189"/>
      <c r="AD93" s="1189"/>
      <c r="AE93" s="1189"/>
      <c r="AF93" s="1189"/>
      <c r="AG93" s="1189"/>
      <c r="AH93" s="1189"/>
      <c r="AI93" s="1190"/>
      <c r="AJ93" s="745">
        <f t="shared" si="22"/>
        <v>0</v>
      </c>
      <c r="AK93" s="745"/>
      <c r="AL93" s="1136"/>
      <c r="AM93" s="1137"/>
      <c r="AN93" s="1137"/>
      <c r="AO93" s="1137"/>
      <c r="AP93" s="1137"/>
      <c r="AQ93" s="1137"/>
      <c r="AR93" s="1137"/>
      <c r="AS93" s="1137"/>
      <c r="AT93" s="1139"/>
      <c r="AU93" s="1137"/>
      <c r="AV93" s="1137"/>
      <c r="AW93" s="1137"/>
      <c r="AX93" s="1137"/>
      <c r="AY93" s="1137"/>
      <c r="AZ93" s="1137"/>
      <c r="BA93" s="1137"/>
      <c r="BB93" s="1137"/>
      <c r="BC93" s="1139"/>
      <c r="BD93" s="1137"/>
      <c r="BE93" s="1137"/>
      <c r="BF93" s="1137"/>
      <c r="BG93" s="1137"/>
      <c r="BH93" s="1137"/>
      <c r="BI93" s="1137"/>
      <c r="BJ93" s="1139"/>
      <c r="BK93" s="1139"/>
      <c r="BL93" s="1137"/>
      <c r="BM93" s="1137"/>
      <c r="BN93" s="1137"/>
      <c r="BO93" s="1137"/>
      <c r="BP93" s="1137"/>
      <c r="BQ93" s="1139"/>
      <c r="BR93" s="1140"/>
      <c r="BS93" s="1137"/>
      <c r="BT93" s="1141"/>
    </row>
    <row r="94" spans="1:74" s="714" customFormat="1" ht="21.95" hidden="1" customHeight="1" thickBot="1">
      <c r="A94" s="2695"/>
      <c r="B94" s="2586"/>
      <c r="C94" s="1191" t="s">
        <v>1910</v>
      </c>
      <c r="D94" s="1192"/>
      <c r="E94" s="1193"/>
      <c r="F94" s="1194">
        <f>Dren_Quantificacao!D75</f>
        <v>0</v>
      </c>
      <c r="G94" s="1194">
        <f>Dren_Quantificacao!E75</f>
        <v>0</v>
      </c>
      <c r="H94" s="1194">
        <f>Dren_Quantificacao!F75</f>
        <v>0</v>
      </c>
      <c r="I94" s="1194">
        <f>Dren_Quantificacao!G75</f>
        <v>0</v>
      </c>
      <c r="J94" s="1194"/>
      <c r="K94" s="1194"/>
      <c r="L94" s="1194"/>
      <c r="M94" s="1194"/>
      <c r="N94" s="1195"/>
      <c r="O94" s="1194">
        <f>Dren_Quantificacao!L75</f>
        <v>0</v>
      </c>
      <c r="P94" s="1194">
        <f>Dren_Quantificacao!M75</f>
        <v>0</v>
      </c>
      <c r="Q94" s="1194">
        <f>Dren_Quantificacao!N75</f>
        <v>0</v>
      </c>
      <c r="R94" s="1194">
        <f>Dren_Quantificacao!O75</f>
        <v>0</v>
      </c>
      <c r="S94" s="1194">
        <f>Dren_Quantificacao!BD75</f>
        <v>0</v>
      </c>
      <c r="T94" s="1196"/>
      <c r="U94" s="1196"/>
      <c r="V94" s="1196"/>
      <c r="W94" s="1196"/>
      <c r="X94" s="1196"/>
      <c r="Y94" s="1196"/>
      <c r="Z94" s="1196"/>
      <c r="AA94" s="1196"/>
      <c r="AB94" s="1196"/>
      <c r="AC94" s="1196"/>
      <c r="AD94" s="1196"/>
      <c r="AE94" s="1196"/>
      <c r="AF94" s="1196"/>
      <c r="AG94" s="1196"/>
      <c r="AH94" s="1196"/>
      <c r="AI94" s="1197"/>
      <c r="AJ94" s="745">
        <f t="shared" si="22"/>
        <v>0</v>
      </c>
      <c r="AK94" s="745"/>
      <c r="AL94" s="1136"/>
      <c r="AM94" s="1137"/>
      <c r="AN94" s="1137"/>
      <c r="AO94" s="1137"/>
      <c r="AP94" s="1137"/>
      <c r="AQ94" s="1137"/>
      <c r="AR94" s="1137"/>
      <c r="AS94" s="1137"/>
      <c r="AT94" s="1139"/>
      <c r="AU94" s="1137"/>
      <c r="AV94" s="1137"/>
      <c r="AW94" s="1137"/>
      <c r="AX94" s="1137"/>
      <c r="AY94" s="1137"/>
      <c r="AZ94" s="1137"/>
      <c r="BA94" s="1137"/>
      <c r="BB94" s="1137"/>
      <c r="BC94" s="1139"/>
      <c r="BD94" s="1137"/>
      <c r="BE94" s="1137"/>
      <c r="BF94" s="1137"/>
      <c r="BG94" s="1137"/>
      <c r="BH94" s="1137"/>
      <c r="BI94" s="1137"/>
      <c r="BJ94" s="1139"/>
      <c r="BK94" s="1139"/>
      <c r="BL94" s="1137"/>
      <c r="BM94" s="1137"/>
      <c r="BN94" s="1137"/>
      <c r="BO94" s="1137"/>
      <c r="BP94" s="1137"/>
      <c r="BQ94" s="1139"/>
      <c r="BR94" s="1140"/>
      <c r="BS94" s="1137"/>
      <c r="BT94" s="1141"/>
      <c r="BV94" s="746"/>
    </row>
    <row r="95" spans="1:74" s="714" customFormat="1" ht="21.95" hidden="1" customHeight="1">
      <c r="A95" s="2695"/>
      <c r="B95" s="2677" t="s">
        <v>1620</v>
      </c>
      <c r="C95" s="882" t="s">
        <v>1621</v>
      </c>
      <c r="D95" s="1115"/>
      <c r="E95" s="1116"/>
      <c r="F95" s="1198">
        <f>Dren_Quantificacao!D77</f>
        <v>0</v>
      </c>
      <c r="G95" s="1198">
        <f>Dren_Quantificacao!E77</f>
        <v>0</v>
      </c>
      <c r="H95" s="1198">
        <f>Dren_Quantificacao!F77</f>
        <v>0</v>
      </c>
      <c r="I95" s="1198">
        <f>Dren_Quantificacao!G77</f>
        <v>0</v>
      </c>
      <c r="J95" s="1198"/>
      <c r="K95" s="1198"/>
      <c r="L95" s="1198"/>
      <c r="M95" s="1198"/>
      <c r="N95" s="1199"/>
      <c r="O95" s="1198">
        <f>Dren_Quantificacao!L77</f>
        <v>0</v>
      </c>
      <c r="P95" s="1198">
        <f>Dren_Quantificacao!M77</f>
        <v>0</v>
      </c>
      <c r="Q95" s="1198">
        <f>Dren_Quantificacao!N77</f>
        <v>0</v>
      </c>
      <c r="R95" s="1198">
        <f>Dren_Quantificacao!O77</f>
        <v>0</v>
      </c>
      <c r="S95" s="1198">
        <f>Dren_Quantificacao!BD77</f>
        <v>0</v>
      </c>
      <c r="T95" s="1200"/>
      <c r="U95" s="1200"/>
      <c r="V95" s="1200"/>
      <c r="W95" s="1200"/>
      <c r="X95" s="1200"/>
      <c r="Y95" s="1200"/>
      <c r="Z95" s="1200"/>
      <c r="AA95" s="1200"/>
      <c r="AB95" s="1200"/>
      <c r="AC95" s="1200"/>
      <c r="AD95" s="1200"/>
      <c r="AE95" s="1200"/>
      <c r="AF95" s="1200"/>
      <c r="AG95" s="1200"/>
      <c r="AH95" s="1200"/>
      <c r="AI95" s="1201"/>
      <c r="AJ95" s="745">
        <f t="shared" si="22"/>
        <v>0</v>
      </c>
      <c r="AK95" s="745"/>
      <c r="AL95" s="1136"/>
      <c r="AM95" s="1137"/>
      <c r="AN95" s="1137"/>
      <c r="AO95" s="1137"/>
      <c r="AP95" s="1137"/>
      <c r="AQ95" s="1137"/>
      <c r="AR95" s="1137"/>
      <c r="AS95" s="1202"/>
      <c r="AT95" s="1203"/>
      <c r="AU95" s="1137"/>
      <c r="AV95" s="1137"/>
      <c r="AW95" s="1137"/>
      <c r="AX95" s="1137"/>
      <c r="AY95" s="1137"/>
      <c r="AZ95" s="1137"/>
      <c r="BA95" s="1137"/>
      <c r="BB95" s="1137"/>
      <c r="BC95" s="1139"/>
      <c r="BD95" s="1137"/>
      <c r="BE95" s="1137"/>
      <c r="BF95" s="1137"/>
      <c r="BG95" s="1137"/>
      <c r="BH95" s="1137"/>
      <c r="BI95" s="1137"/>
      <c r="BJ95" s="1139"/>
      <c r="BK95" s="1139"/>
      <c r="BL95" s="1137"/>
      <c r="BM95" s="1137"/>
      <c r="BN95" s="1137"/>
      <c r="BO95" s="1137"/>
      <c r="BP95" s="1137"/>
      <c r="BQ95" s="1139"/>
      <c r="BR95" s="1140"/>
      <c r="BS95" s="1137"/>
      <c r="BT95" s="1141"/>
      <c r="BV95" s="746"/>
    </row>
    <row r="96" spans="1:74" s="714" customFormat="1" ht="21.95" hidden="1" customHeight="1" thickBot="1">
      <c r="A96" s="2695"/>
      <c r="B96" s="2678"/>
      <c r="C96" s="1204" t="s">
        <v>1622</v>
      </c>
      <c r="D96" s="1123"/>
      <c r="E96" s="1124"/>
      <c r="F96" s="1194">
        <f>Dren_Quantificacao!D78</f>
        <v>0</v>
      </c>
      <c r="G96" s="1194">
        <f>Dren_Quantificacao!E78</f>
        <v>0</v>
      </c>
      <c r="H96" s="1194">
        <f>Dren_Quantificacao!F78</f>
        <v>0</v>
      </c>
      <c r="I96" s="1194">
        <f>Dren_Quantificacao!G78</f>
        <v>0</v>
      </c>
      <c r="J96" s="1194"/>
      <c r="K96" s="1194"/>
      <c r="L96" s="1194"/>
      <c r="M96" s="1194"/>
      <c r="N96" s="1195"/>
      <c r="O96" s="1194">
        <f>Dren_Quantificacao!L78</f>
        <v>0</v>
      </c>
      <c r="P96" s="1194">
        <f>Dren_Quantificacao!M78</f>
        <v>0</v>
      </c>
      <c r="Q96" s="1194">
        <f>Dren_Quantificacao!N78</f>
        <v>0</v>
      </c>
      <c r="R96" s="1194">
        <f>Dren_Quantificacao!O78</f>
        <v>0</v>
      </c>
      <c r="S96" s="1194">
        <f>Dren_Quantificacao!BD78</f>
        <v>0</v>
      </c>
      <c r="T96" s="1196"/>
      <c r="U96" s="1196"/>
      <c r="V96" s="1196"/>
      <c r="W96" s="1196"/>
      <c r="X96" s="1196"/>
      <c r="Y96" s="1196"/>
      <c r="Z96" s="1196"/>
      <c r="AA96" s="1196"/>
      <c r="AB96" s="1196"/>
      <c r="AC96" s="1196"/>
      <c r="AD96" s="1196"/>
      <c r="AE96" s="1196"/>
      <c r="AF96" s="1196"/>
      <c r="AG96" s="1196"/>
      <c r="AH96" s="1196"/>
      <c r="AI96" s="1197"/>
      <c r="AJ96" s="745">
        <f t="shared" si="22"/>
        <v>0</v>
      </c>
      <c r="AK96" s="745"/>
      <c r="AL96" s="1136"/>
      <c r="AM96" s="1137"/>
      <c r="AN96" s="1137"/>
      <c r="AO96" s="1137"/>
      <c r="AP96" s="1137"/>
      <c r="AQ96" s="1137"/>
      <c r="AR96" s="1137"/>
      <c r="AS96" s="1205"/>
      <c r="AT96" s="1206"/>
      <c r="AU96" s="1137"/>
      <c r="AV96" s="1205"/>
      <c r="AW96" s="1137"/>
      <c r="AX96" s="1137"/>
      <c r="AY96" s="1137"/>
      <c r="AZ96" s="1137"/>
      <c r="BA96" s="1137"/>
      <c r="BB96" s="1137"/>
      <c r="BC96" s="1139"/>
      <c r="BD96" s="1137"/>
      <c r="BE96" s="1137"/>
      <c r="BF96" s="1137"/>
      <c r="BG96" s="1137"/>
      <c r="BH96" s="1137"/>
      <c r="BI96" s="1137"/>
      <c r="BJ96" s="1139"/>
      <c r="BK96" s="1139"/>
      <c r="BL96" s="1137"/>
      <c r="BM96" s="1137"/>
      <c r="BN96" s="1137"/>
      <c r="BO96" s="1137"/>
      <c r="BP96" s="1137"/>
      <c r="BQ96" s="1139"/>
      <c r="BR96" s="1140"/>
      <c r="BS96" s="1137"/>
      <c r="BT96" s="1141"/>
      <c r="BV96" s="746"/>
    </row>
    <row r="97" spans="1:74" s="714" customFormat="1" ht="21.95" hidden="1" customHeight="1">
      <c r="A97" s="2695"/>
      <c r="B97" s="2677" t="s">
        <v>1623</v>
      </c>
      <c r="C97" s="882" t="s">
        <v>1621</v>
      </c>
      <c r="D97" s="1115"/>
      <c r="E97" s="1116"/>
      <c r="F97" s="1198">
        <f>Dren_Quantificacao!D79</f>
        <v>0</v>
      </c>
      <c r="G97" s="1198">
        <f>Dren_Quantificacao!E79</f>
        <v>0</v>
      </c>
      <c r="H97" s="1198">
        <f>Dren_Quantificacao!F79</f>
        <v>0</v>
      </c>
      <c r="I97" s="1198">
        <f>Dren_Quantificacao!G79</f>
        <v>0</v>
      </c>
      <c r="J97" s="1198"/>
      <c r="K97" s="1198"/>
      <c r="L97" s="1198"/>
      <c r="M97" s="1198"/>
      <c r="N97" s="1199"/>
      <c r="O97" s="1198">
        <f>Dren_Quantificacao!L79</f>
        <v>0</v>
      </c>
      <c r="P97" s="1198">
        <f>Dren_Quantificacao!M79</f>
        <v>0</v>
      </c>
      <c r="Q97" s="1198">
        <f>Dren_Quantificacao!N79</f>
        <v>0</v>
      </c>
      <c r="R97" s="1198">
        <f>Dren_Quantificacao!O79</f>
        <v>0</v>
      </c>
      <c r="S97" s="1198">
        <f>Dren_Quantificacao!BD79</f>
        <v>0</v>
      </c>
      <c r="T97" s="1200"/>
      <c r="U97" s="1200"/>
      <c r="V97" s="1200"/>
      <c r="W97" s="1200"/>
      <c r="X97" s="1200"/>
      <c r="Y97" s="1200"/>
      <c r="Z97" s="1200"/>
      <c r="AA97" s="1200"/>
      <c r="AB97" s="1200"/>
      <c r="AC97" s="1200"/>
      <c r="AD97" s="1200"/>
      <c r="AE97" s="1200"/>
      <c r="AF97" s="1200"/>
      <c r="AG97" s="1200"/>
      <c r="AH97" s="1200"/>
      <c r="AI97" s="1201"/>
      <c r="AJ97" s="745">
        <f t="shared" si="22"/>
        <v>0</v>
      </c>
      <c r="AK97" s="745"/>
      <c r="AL97" s="1136"/>
      <c r="AM97" s="1137"/>
      <c r="AN97" s="1137"/>
      <c r="AO97" s="1137"/>
      <c r="AP97" s="1137"/>
      <c r="AQ97" s="1137"/>
      <c r="AR97" s="1137"/>
      <c r="AS97" s="1137"/>
      <c r="AT97" s="1139"/>
      <c r="AU97" s="1137"/>
      <c r="AV97" s="1205"/>
      <c r="AW97" s="1137"/>
      <c r="AX97" s="1137"/>
      <c r="AY97" s="1137"/>
      <c r="AZ97" s="1137"/>
      <c r="BA97" s="1137"/>
      <c r="BB97" s="1137"/>
      <c r="BC97" s="1139"/>
      <c r="BD97" s="1137"/>
      <c r="BE97" s="1137"/>
      <c r="BF97" s="1137"/>
      <c r="BG97" s="1137"/>
      <c r="BH97" s="1137"/>
      <c r="BI97" s="1137"/>
      <c r="BJ97" s="1139"/>
      <c r="BK97" s="1139"/>
      <c r="BL97" s="1137"/>
      <c r="BM97" s="1137"/>
      <c r="BN97" s="1137"/>
      <c r="BO97" s="1137"/>
      <c r="BP97" s="1137"/>
      <c r="BQ97" s="1139"/>
      <c r="BR97" s="1140"/>
      <c r="BS97" s="1137"/>
      <c r="BT97" s="1141"/>
      <c r="BV97" s="746"/>
    </row>
    <row r="98" spans="1:74" s="714" customFormat="1" ht="21.95" hidden="1" customHeight="1" thickBot="1">
      <c r="A98" s="2695"/>
      <c r="B98" s="2678"/>
      <c r="C98" s="1204" t="s">
        <v>1622</v>
      </c>
      <c r="D98" s="1123"/>
      <c r="E98" s="1124"/>
      <c r="F98" s="1194">
        <f>Dren_Quantificacao!D80</f>
        <v>0</v>
      </c>
      <c r="G98" s="1194">
        <f>Dren_Quantificacao!E80</f>
        <v>0</v>
      </c>
      <c r="H98" s="1194">
        <f>Dren_Quantificacao!F80</f>
        <v>0</v>
      </c>
      <c r="I98" s="1194">
        <f>Dren_Quantificacao!G80</f>
        <v>0</v>
      </c>
      <c r="J98" s="1194"/>
      <c r="K98" s="1194"/>
      <c r="L98" s="1194"/>
      <c r="M98" s="1194"/>
      <c r="N98" s="1195"/>
      <c r="O98" s="1194">
        <f>Dren_Quantificacao!L80</f>
        <v>0</v>
      </c>
      <c r="P98" s="1194">
        <f>Dren_Quantificacao!M80</f>
        <v>0</v>
      </c>
      <c r="Q98" s="1194">
        <f>Dren_Quantificacao!N80</f>
        <v>0</v>
      </c>
      <c r="R98" s="1194">
        <f>Dren_Quantificacao!O80</f>
        <v>0</v>
      </c>
      <c r="S98" s="1194">
        <f>Dren_Quantificacao!BD80</f>
        <v>0</v>
      </c>
      <c r="T98" s="1196"/>
      <c r="U98" s="1196"/>
      <c r="V98" s="1196"/>
      <c r="W98" s="1196"/>
      <c r="X98" s="1196"/>
      <c r="Y98" s="1196"/>
      <c r="Z98" s="1196"/>
      <c r="AA98" s="1196"/>
      <c r="AB98" s="1196"/>
      <c r="AC98" s="1196"/>
      <c r="AD98" s="1196"/>
      <c r="AE98" s="1196"/>
      <c r="AF98" s="1196"/>
      <c r="AG98" s="1196"/>
      <c r="AH98" s="1196"/>
      <c r="AI98" s="1197"/>
      <c r="AJ98" s="745">
        <f t="shared" ref="AJ98:AJ129" si="25">SUM(F98:AI98)</f>
        <v>0</v>
      </c>
      <c r="AK98" s="745"/>
      <c r="AL98" s="1136"/>
      <c r="AM98" s="1137"/>
      <c r="AN98" s="1137"/>
      <c r="AO98" s="1137"/>
      <c r="AP98" s="1137"/>
      <c r="AQ98" s="1137"/>
      <c r="AR98" s="1137"/>
      <c r="AS98" s="1137"/>
      <c r="AT98" s="1139"/>
      <c r="AU98" s="1137"/>
      <c r="AV98" s="1205"/>
      <c r="AW98" s="1137"/>
      <c r="AX98" s="1137"/>
      <c r="AY98" s="1137"/>
      <c r="AZ98" s="1137"/>
      <c r="BA98" s="1137"/>
      <c r="BB98" s="1137"/>
      <c r="BC98" s="1139"/>
      <c r="BD98" s="1137"/>
      <c r="BE98" s="1137"/>
      <c r="BF98" s="1137"/>
      <c r="BG98" s="1137"/>
      <c r="BH98" s="1137"/>
      <c r="BI98" s="1137"/>
      <c r="BJ98" s="1139"/>
      <c r="BK98" s="1139"/>
      <c r="BL98" s="1137"/>
      <c r="BM98" s="1137"/>
      <c r="BN98" s="1137"/>
      <c r="BO98" s="1137"/>
      <c r="BP98" s="1137"/>
      <c r="BQ98" s="1139"/>
      <c r="BR98" s="1140"/>
      <c r="BS98" s="1137"/>
      <c r="BT98" s="1141"/>
      <c r="BV98" s="746"/>
    </row>
    <row r="99" spans="1:74" s="714" customFormat="1" ht="21.95" hidden="1" customHeight="1" thickBot="1">
      <c r="A99" s="2695"/>
      <c r="B99" s="2679" t="s">
        <v>1624</v>
      </c>
      <c r="C99" s="1207" t="s">
        <v>1625</v>
      </c>
      <c r="D99" s="1115"/>
      <c r="E99" s="1116"/>
      <c r="F99" s="1198">
        <f>Dren_Quantificacao!D81</f>
        <v>0</v>
      </c>
      <c r="G99" s="1198">
        <f>Dren_Quantificacao!E81</f>
        <v>0</v>
      </c>
      <c r="H99" s="1198">
        <f>Dren_Quantificacao!F81</f>
        <v>0</v>
      </c>
      <c r="I99" s="1198">
        <f>Dren_Quantificacao!G81</f>
        <v>0</v>
      </c>
      <c r="J99" s="1198"/>
      <c r="K99" s="1198"/>
      <c r="L99" s="1198"/>
      <c r="M99" s="1198"/>
      <c r="N99" s="1199"/>
      <c r="O99" s="1198">
        <f>Dren_Quantificacao!L81</f>
        <v>0</v>
      </c>
      <c r="P99" s="1198">
        <f>Dren_Quantificacao!M81</f>
        <v>0</v>
      </c>
      <c r="Q99" s="1198">
        <f>Dren_Quantificacao!N81</f>
        <v>0</v>
      </c>
      <c r="R99" s="1198">
        <f>Dren_Quantificacao!O81</f>
        <v>0</v>
      </c>
      <c r="S99" s="1198">
        <f>Dren_Quantificacao!BD81</f>
        <v>0</v>
      </c>
      <c r="T99" s="1200"/>
      <c r="U99" s="1200"/>
      <c r="V99" s="1200"/>
      <c r="W99" s="1200"/>
      <c r="X99" s="1200"/>
      <c r="Y99" s="1200"/>
      <c r="Z99" s="1200"/>
      <c r="AA99" s="1200"/>
      <c r="AB99" s="1200"/>
      <c r="AC99" s="1200"/>
      <c r="AD99" s="1200"/>
      <c r="AE99" s="1200"/>
      <c r="AF99" s="1200"/>
      <c r="AG99" s="1200"/>
      <c r="AH99" s="1200"/>
      <c r="AI99" s="1201"/>
      <c r="AJ99" s="745">
        <f t="shared" si="25"/>
        <v>0</v>
      </c>
      <c r="AK99" s="745"/>
      <c r="AL99" s="1136">
        <v>220.46</v>
      </c>
      <c r="AM99" s="1137"/>
      <c r="AN99" s="1137"/>
      <c r="AO99" s="1137">
        <v>0.3</v>
      </c>
      <c r="AP99" s="1137"/>
      <c r="AQ99" s="1137">
        <v>155583.14000000001</v>
      </c>
      <c r="AR99" s="1137"/>
      <c r="AS99" s="1137">
        <v>16.23</v>
      </c>
      <c r="AT99" s="1139"/>
      <c r="AU99" s="1137">
        <v>220.46</v>
      </c>
      <c r="AV99" s="1137"/>
      <c r="AW99" s="1137"/>
      <c r="AX99" s="1137">
        <v>0.3</v>
      </c>
      <c r="AY99" s="1137"/>
      <c r="AZ99" s="1137">
        <v>155583.14000000001</v>
      </c>
      <c r="BA99" s="1137"/>
      <c r="BB99" s="1137">
        <v>16.23</v>
      </c>
      <c r="BC99" s="1139"/>
      <c r="BD99" s="1165">
        <f>1.38*0.35</f>
        <v>0.48299999999999993</v>
      </c>
      <c r="BE99" s="1137"/>
      <c r="BF99" s="1137"/>
      <c r="BG99" s="1137"/>
      <c r="BH99" s="1165">
        <v>2.4</v>
      </c>
      <c r="BI99" s="1137"/>
      <c r="BJ99" s="1166">
        <v>0.6</v>
      </c>
      <c r="BK99" s="1139">
        <v>24758.5308</v>
      </c>
      <c r="BL99" s="1137"/>
      <c r="BM99" s="1137">
        <v>193.34</v>
      </c>
      <c r="BN99" s="1137"/>
      <c r="BO99" s="1137">
        <v>156.44999999999999</v>
      </c>
      <c r="BP99" s="1137"/>
      <c r="BQ99" s="1139"/>
      <c r="BR99" s="1140">
        <v>721.78499999999997</v>
      </c>
      <c r="BS99" s="1137"/>
      <c r="BT99" s="1141"/>
      <c r="BV99" s="746"/>
    </row>
    <row r="100" spans="1:74" s="714" customFormat="1" ht="21.95" hidden="1" customHeight="1">
      <c r="A100" s="2695"/>
      <c r="B100" s="2610"/>
      <c r="C100" s="1167" t="s">
        <v>1626</v>
      </c>
      <c r="D100" s="1208"/>
      <c r="E100" s="1209"/>
      <c r="F100" s="1210">
        <f>Dren_Quantificacao!D82</f>
        <v>0</v>
      </c>
      <c r="G100" s="1210">
        <f>Dren_Quantificacao!E82</f>
        <v>0</v>
      </c>
      <c r="H100" s="1210">
        <f>Dren_Quantificacao!F82</f>
        <v>0</v>
      </c>
      <c r="I100" s="1210">
        <f>Dren_Quantificacao!G82</f>
        <v>0</v>
      </c>
      <c r="J100" s="1210"/>
      <c r="K100" s="1210"/>
      <c r="L100" s="1210"/>
      <c r="M100" s="1210"/>
      <c r="N100" s="1211"/>
      <c r="O100" s="1210">
        <f>Dren_Quantificacao!L82</f>
        <v>0</v>
      </c>
      <c r="P100" s="1210">
        <f>Dren_Quantificacao!M82</f>
        <v>0</v>
      </c>
      <c r="Q100" s="1210">
        <f>Dren_Quantificacao!N82</f>
        <v>0</v>
      </c>
      <c r="R100" s="1210">
        <f>Dren_Quantificacao!O82</f>
        <v>0</v>
      </c>
      <c r="S100" s="1210">
        <f>Dren_Quantificacao!BD82</f>
        <v>0</v>
      </c>
      <c r="T100" s="1212"/>
      <c r="U100" s="1212"/>
      <c r="V100" s="1212"/>
      <c r="W100" s="1212"/>
      <c r="X100" s="1212"/>
      <c r="Y100" s="1212"/>
      <c r="Z100" s="1212"/>
      <c r="AA100" s="1212"/>
      <c r="AB100" s="1212"/>
      <c r="AC100" s="1212"/>
      <c r="AD100" s="1212"/>
      <c r="AE100" s="1212"/>
      <c r="AF100" s="1212"/>
      <c r="AG100" s="1212"/>
      <c r="AH100" s="1212"/>
      <c r="AI100" s="1213"/>
      <c r="AJ100" s="745">
        <f t="shared" si="25"/>
        <v>0</v>
      </c>
      <c r="AK100" s="745"/>
      <c r="AL100" s="1136">
        <v>220.46</v>
      </c>
      <c r="AM100" s="1137"/>
      <c r="AN100" s="1137"/>
      <c r="AO100" s="1137">
        <v>0.3</v>
      </c>
      <c r="AP100" s="1137"/>
      <c r="AQ100" s="1137">
        <v>155583.14000000001</v>
      </c>
      <c r="AR100" s="1137"/>
      <c r="AS100" s="1137">
        <v>16.23</v>
      </c>
      <c r="AT100" s="1139"/>
      <c r="AU100" s="1137">
        <v>220.46</v>
      </c>
      <c r="AV100" s="1137"/>
      <c r="AW100" s="1137"/>
      <c r="AX100" s="1137">
        <v>0.3</v>
      </c>
      <c r="AY100" s="1137"/>
      <c r="AZ100" s="1137">
        <v>155583.14000000001</v>
      </c>
      <c r="BA100" s="1137"/>
      <c r="BB100" s="1137">
        <v>16.23</v>
      </c>
      <c r="BC100" s="1139"/>
      <c r="BD100" s="1165">
        <f>1.38*0.39</f>
        <v>0.53820000000000001</v>
      </c>
      <c r="BE100" s="1137"/>
      <c r="BF100" s="1137"/>
      <c r="BG100" s="1137"/>
      <c r="BH100" s="1165">
        <v>2.5299999999999998</v>
      </c>
      <c r="BI100" s="1137"/>
      <c r="BJ100" s="1166">
        <v>0.65</v>
      </c>
      <c r="BK100" s="1139">
        <v>24758.5308</v>
      </c>
      <c r="BL100" s="1137"/>
      <c r="BM100" s="1137">
        <v>193.34</v>
      </c>
      <c r="BN100" s="1137"/>
      <c r="BO100" s="1137">
        <v>156.44999999999999</v>
      </c>
      <c r="BP100" s="1137"/>
      <c r="BQ100" s="1139"/>
      <c r="BR100" s="1140">
        <v>721.78499999999997</v>
      </c>
      <c r="BS100" s="1137"/>
      <c r="BT100" s="1141"/>
      <c r="BV100" s="746"/>
    </row>
    <row r="101" spans="1:74" s="714" customFormat="1" ht="21.95" hidden="1" customHeight="1">
      <c r="A101" s="2695"/>
      <c r="B101" s="2610"/>
      <c r="C101" s="1174" t="s">
        <v>1627</v>
      </c>
      <c r="D101" s="1208"/>
      <c r="E101" s="1209"/>
      <c r="F101" s="1214">
        <f>Dren_Quantificacao!D83</f>
        <v>0</v>
      </c>
      <c r="G101" s="1214">
        <f>Dren_Quantificacao!E83</f>
        <v>0</v>
      </c>
      <c r="H101" s="1214">
        <f>Dren_Quantificacao!F83</f>
        <v>0</v>
      </c>
      <c r="I101" s="1214">
        <f>Dren_Quantificacao!G83</f>
        <v>0</v>
      </c>
      <c r="J101" s="1214"/>
      <c r="K101" s="1214"/>
      <c r="L101" s="1214"/>
      <c r="M101" s="1214"/>
      <c r="N101" s="1215"/>
      <c r="O101" s="1214">
        <f>Dren_Quantificacao!L83</f>
        <v>0</v>
      </c>
      <c r="P101" s="1214">
        <f>Dren_Quantificacao!M83</f>
        <v>0</v>
      </c>
      <c r="Q101" s="1214">
        <f>Dren_Quantificacao!N83</f>
        <v>0</v>
      </c>
      <c r="R101" s="1214">
        <f>Dren_Quantificacao!O83</f>
        <v>0</v>
      </c>
      <c r="S101" s="1214">
        <f>Dren_Quantificacao!BD83</f>
        <v>0</v>
      </c>
      <c r="T101" s="1212"/>
      <c r="U101" s="1212"/>
      <c r="V101" s="1212"/>
      <c r="W101" s="1212"/>
      <c r="X101" s="1212"/>
      <c r="Y101" s="1212"/>
      <c r="Z101" s="1212"/>
      <c r="AA101" s="1212"/>
      <c r="AB101" s="1212"/>
      <c r="AC101" s="1212"/>
      <c r="AD101" s="1212"/>
      <c r="AE101" s="1212"/>
      <c r="AF101" s="1212"/>
      <c r="AG101" s="1212"/>
      <c r="AH101" s="1212"/>
      <c r="AI101" s="1216"/>
      <c r="AJ101" s="745">
        <f t="shared" si="25"/>
        <v>0</v>
      </c>
      <c r="AK101" s="745"/>
      <c r="AL101" s="1136">
        <v>220.46</v>
      </c>
      <c r="AM101" s="1137"/>
      <c r="AN101" s="1137"/>
      <c r="AO101" s="1137">
        <v>0.3</v>
      </c>
      <c r="AP101" s="1137"/>
      <c r="AQ101" s="1137">
        <v>155583.14000000001</v>
      </c>
      <c r="AR101" s="1137"/>
      <c r="AS101" s="1137">
        <v>16.23</v>
      </c>
      <c r="AT101" s="1139"/>
      <c r="AU101" s="1137">
        <v>220.46</v>
      </c>
      <c r="AV101" s="1137"/>
      <c r="AW101" s="1137"/>
      <c r="AX101" s="1137">
        <v>0.3</v>
      </c>
      <c r="AY101" s="1137"/>
      <c r="AZ101" s="1137">
        <v>155583.14000000001</v>
      </c>
      <c r="BA101" s="1137"/>
      <c r="BB101" s="1137">
        <v>16.23</v>
      </c>
      <c r="BC101" s="1139"/>
      <c r="BD101" s="1165">
        <f>1.38*0.454</f>
        <v>0.62651999999999997</v>
      </c>
      <c r="BE101" s="1137"/>
      <c r="BF101" s="1137"/>
      <c r="BG101" s="1137"/>
      <c r="BH101" s="1165">
        <v>3.04</v>
      </c>
      <c r="BI101" s="1137"/>
      <c r="BJ101" s="1166">
        <v>0.75</v>
      </c>
      <c r="BK101" s="1139">
        <v>24758.5308</v>
      </c>
      <c r="BL101" s="1137"/>
      <c r="BM101" s="1137">
        <v>193.34</v>
      </c>
      <c r="BN101" s="1137"/>
      <c r="BO101" s="1137">
        <v>156.44999999999999</v>
      </c>
      <c r="BP101" s="1137"/>
      <c r="BQ101" s="1139"/>
      <c r="BR101" s="1140">
        <v>721.78499999999997</v>
      </c>
      <c r="BS101" s="1137"/>
      <c r="BT101" s="1141"/>
      <c r="BV101" s="746"/>
    </row>
    <row r="102" spans="1:74" s="714" customFormat="1" ht="21.95" hidden="1" customHeight="1">
      <c r="A102" s="2695"/>
      <c r="B102" s="2610"/>
      <c r="C102" s="1217" t="s">
        <v>1628</v>
      </c>
      <c r="D102" s="1208"/>
      <c r="E102" s="1209"/>
      <c r="F102" s="1210">
        <f>Dren_Quantificacao!D84</f>
        <v>0</v>
      </c>
      <c r="G102" s="1210">
        <f>Dren_Quantificacao!E84</f>
        <v>0</v>
      </c>
      <c r="H102" s="1210">
        <f>Dren_Quantificacao!F84</f>
        <v>0</v>
      </c>
      <c r="I102" s="1210">
        <f>Dren_Quantificacao!G84</f>
        <v>0</v>
      </c>
      <c r="J102" s="1210"/>
      <c r="K102" s="1210"/>
      <c r="L102" s="1210"/>
      <c r="M102" s="1210"/>
      <c r="N102" s="1211"/>
      <c r="O102" s="1210">
        <f>Dren_Quantificacao!L84</f>
        <v>0</v>
      </c>
      <c r="P102" s="1210">
        <f>Dren_Quantificacao!M84</f>
        <v>0</v>
      </c>
      <c r="Q102" s="1210">
        <f>Dren_Quantificacao!N84</f>
        <v>0</v>
      </c>
      <c r="R102" s="1210">
        <f>Dren_Quantificacao!O84</f>
        <v>0</v>
      </c>
      <c r="S102" s="1210">
        <f>Dren_Quantificacao!BD84</f>
        <v>0</v>
      </c>
      <c r="T102" s="810"/>
      <c r="U102" s="810"/>
      <c r="V102" s="810"/>
      <c r="W102" s="810"/>
      <c r="X102" s="810"/>
      <c r="Y102" s="810"/>
      <c r="Z102" s="810"/>
      <c r="AA102" s="810"/>
      <c r="AB102" s="810"/>
      <c r="AC102" s="810"/>
      <c r="AD102" s="810"/>
      <c r="AE102" s="810"/>
      <c r="AF102" s="810"/>
      <c r="AG102" s="810"/>
      <c r="AH102" s="810"/>
      <c r="AI102" s="1218"/>
      <c r="AJ102" s="745">
        <f t="shared" si="25"/>
        <v>0</v>
      </c>
      <c r="AK102" s="745"/>
      <c r="AL102" s="1136"/>
      <c r="AM102" s="1137"/>
      <c r="AN102" s="1137"/>
      <c r="AO102" s="1137"/>
      <c r="AP102" s="1137"/>
      <c r="AQ102" s="1137"/>
      <c r="AR102" s="1137"/>
      <c r="AS102" s="1137"/>
      <c r="AT102" s="1139"/>
      <c r="AU102" s="1137"/>
      <c r="AV102" s="1137"/>
      <c r="AW102" s="1137"/>
      <c r="AX102" s="1137"/>
      <c r="AY102" s="1137"/>
      <c r="AZ102" s="1137"/>
      <c r="BA102" s="1137"/>
      <c r="BB102" s="1137"/>
      <c r="BC102" s="1139"/>
      <c r="BD102" s="1137"/>
      <c r="BE102" s="1137"/>
      <c r="BF102" s="1137"/>
      <c r="BG102" s="1137"/>
      <c r="BH102" s="1137"/>
      <c r="BI102" s="1137"/>
      <c r="BJ102" s="1139"/>
      <c r="BK102" s="1139"/>
      <c r="BL102" s="1137"/>
      <c r="BM102" s="1137"/>
      <c r="BN102" s="1137"/>
      <c r="BO102" s="1137"/>
      <c r="BP102" s="1137"/>
      <c r="BQ102" s="1139"/>
      <c r="BR102" s="1140"/>
      <c r="BS102" s="1137"/>
      <c r="BT102" s="1141"/>
      <c r="BV102" s="746"/>
    </row>
    <row r="103" spans="1:74" s="714" customFormat="1" ht="21.95" hidden="1" customHeight="1" thickBot="1">
      <c r="A103" s="2695"/>
      <c r="B103" s="2610"/>
      <c r="C103" s="1217" t="s">
        <v>1629</v>
      </c>
      <c r="D103" s="1219"/>
      <c r="E103" s="1220"/>
      <c r="F103" s="1214">
        <f>Dren_Quantificacao!D85</f>
        <v>0</v>
      </c>
      <c r="G103" s="1214">
        <f>Dren_Quantificacao!E85</f>
        <v>0</v>
      </c>
      <c r="H103" s="1214">
        <f>Dren_Quantificacao!F85</f>
        <v>0</v>
      </c>
      <c r="I103" s="1214">
        <f>Dren_Quantificacao!G85</f>
        <v>0</v>
      </c>
      <c r="J103" s="1214"/>
      <c r="K103" s="1214"/>
      <c r="L103" s="1214"/>
      <c r="M103" s="1214"/>
      <c r="N103" s="1215"/>
      <c r="O103" s="1214">
        <f>Dren_Quantificacao!L85</f>
        <v>0</v>
      </c>
      <c r="P103" s="1214">
        <f>Dren_Quantificacao!M85</f>
        <v>0</v>
      </c>
      <c r="Q103" s="1214">
        <f>Dren_Quantificacao!N85</f>
        <v>0</v>
      </c>
      <c r="R103" s="1214">
        <f>Dren_Quantificacao!O85</f>
        <v>0</v>
      </c>
      <c r="S103" s="1214">
        <f>Dren_Quantificacao!BD85</f>
        <v>0</v>
      </c>
      <c r="T103" s="1221"/>
      <c r="U103" s="1221"/>
      <c r="V103" s="1221"/>
      <c r="W103" s="1221"/>
      <c r="X103" s="1221"/>
      <c r="Y103" s="1221"/>
      <c r="Z103" s="1221"/>
      <c r="AA103" s="1221"/>
      <c r="AB103" s="1221"/>
      <c r="AC103" s="1221"/>
      <c r="AD103" s="1221"/>
      <c r="AE103" s="1221"/>
      <c r="AF103" s="1221"/>
      <c r="AG103" s="1221"/>
      <c r="AH103" s="1221"/>
      <c r="AI103" s="1216"/>
      <c r="AJ103" s="745">
        <f t="shared" si="25"/>
        <v>0</v>
      </c>
      <c r="AK103" s="745"/>
      <c r="AL103" s="1136"/>
      <c r="AM103" s="1137"/>
      <c r="AN103" s="1137"/>
      <c r="AO103" s="1137"/>
      <c r="AP103" s="1137"/>
      <c r="AQ103" s="1137"/>
      <c r="AR103" s="1137"/>
      <c r="AS103" s="1137"/>
      <c r="AT103" s="1139"/>
      <c r="AU103" s="1137"/>
      <c r="AV103" s="1137"/>
      <c r="AW103" s="1137"/>
      <c r="AX103" s="1137"/>
      <c r="AY103" s="1137"/>
      <c r="AZ103" s="1137"/>
      <c r="BA103" s="1137"/>
      <c r="BB103" s="1137"/>
      <c r="BC103" s="1139"/>
      <c r="BD103" s="1137"/>
      <c r="BE103" s="1137"/>
      <c r="BF103" s="1137"/>
      <c r="BG103" s="1137"/>
      <c r="BH103" s="1137"/>
      <c r="BI103" s="1137"/>
      <c r="BJ103" s="1139"/>
      <c r="BK103" s="1139"/>
      <c r="BL103" s="1137"/>
      <c r="BM103" s="1137"/>
      <c r="BN103" s="1137"/>
      <c r="BO103" s="1137"/>
      <c r="BP103" s="1137"/>
      <c r="BQ103" s="1139"/>
      <c r="BR103" s="1140"/>
      <c r="BS103" s="1137"/>
      <c r="BT103" s="1141"/>
      <c r="BV103" s="746"/>
    </row>
    <row r="104" spans="1:74" s="714" customFormat="1" ht="21.95" hidden="1" customHeight="1">
      <c r="A104" s="2695"/>
      <c r="B104" s="2677" t="s">
        <v>1911</v>
      </c>
      <c r="C104" s="882" t="s">
        <v>1912</v>
      </c>
      <c r="D104" s="1115"/>
      <c r="E104" s="1116"/>
      <c r="F104" s="1198">
        <f>Dren_Quantificacao!D55</f>
        <v>0</v>
      </c>
      <c r="G104" s="1198">
        <f>Dren_Quantificacao!E55</f>
        <v>0</v>
      </c>
      <c r="H104" s="1198">
        <f>Dren_Quantificacao!F55</f>
        <v>0</v>
      </c>
      <c r="I104" s="1198">
        <f>Dren_Quantificacao!G55</f>
        <v>0</v>
      </c>
      <c r="J104" s="1198"/>
      <c r="K104" s="1198"/>
      <c r="L104" s="1198"/>
      <c r="M104" s="1198"/>
      <c r="N104" s="1199"/>
      <c r="O104" s="1198">
        <f>Dren_Quantificacao!L55</f>
        <v>0</v>
      </c>
      <c r="P104" s="1198">
        <f>Dren_Quantificacao!M55</f>
        <v>0</v>
      </c>
      <c r="Q104" s="1198">
        <f>Dren_Quantificacao!N55</f>
        <v>0</v>
      </c>
      <c r="R104" s="1198">
        <f>Dren_Quantificacao!O55</f>
        <v>0</v>
      </c>
      <c r="S104" s="1198">
        <f>Dren_Quantificacao!BD55</f>
        <v>0</v>
      </c>
      <c r="T104" s="1200"/>
      <c r="U104" s="1200"/>
      <c r="V104" s="1200"/>
      <c r="W104" s="1200"/>
      <c r="X104" s="1200"/>
      <c r="Y104" s="1200"/>
      <c r="Z104" s="1200"/>
      <c r="AA104" s="1200"/>
      <c r="AB104" s="1200"/>
      <c r="AC104" s="1200"/>
      <c r="AD104" s="1200"/>
      <c r="AE104" s="1200"/>
      <c r="AF104" s="1200"/>
      <c r="AG104" s="1200"/>
      <c r="AH104" s="1200"/>
      <c r="AI104" s="1201"/>
      <c r="AJ104" s="745">
        <f t="shared" si="25"/>
        <v>0</v>
      </c>
      <c r="AK104" s="745"/>
      <c r="AL104" s="1136"/>
      <c r="AM104" s="1137"/>
      <c r="AN104" s="1137"/>
      <c r="AO104" s="1137">
        <v>0.67500000000000004</v>
      </c>
      <c r="AP104" s="1137"/>
      <c r="AQ104" s="1137"/>
      <c r="AR104" s="1137"/>
      <c r="AS104" s="1137"/>
      <c r="AT104" s="1139"/>
      <c r="AU104" s="1137"/>
      <c r="AV104" s="1137"/>
      <c r="AW104" s="1137"/>
      <c r="AX104" s="1137">
        <v>0.67500000000000004</v>
      </c>
      <c r="AY104" s="1137"/>
      <c r="AZ104" s="1137"/>
      <c r="BA104" s="1137"/>
      <c r="BB104" s="1137"/>
      <c r="BC104" s="1139"/>
      <c r="BD104" s="1137"/>
      <c r="BE104" s="1137"/>
      <c r="BF104" s="1137"/>
      <c r="BG104" s="1137">
        <v>0.67500000000000004</v>
      </c>
      <c r="BH104" s="1137"/>
      <c r="BI104" s="1137"/>
      <c r="BJ104" s="1139"/>
      <c r="BK104" s="1139">
        <v>0.67500000000000004</v>
      </c>
      <c r="BL104" s="1137"/>
      <c r="BM104" s="1137"/>
      <c r="BN104" s="1137">
        <v>10.59</v>
      </c>
      <c r="BO104" s="1137"/>
      <c r="BP104" s="1137"/>
      <c r="BQ104" s="1139"/>
      <c r="BR104" s="1140"/>
      <c r="BS104" s="1137"/>
      <c r="BT104" s="1141"/>
      <c r="BV104" s="746"/>
    </row>
    <row r="105" spans="1:74" s="714" customFormat="1" ht="21.95" hidden="1" customHeight="1">
      <c r="A105" s="2695"/>
      <c r="B105" s="2610"/>
      <c r="C105" s="1167" t="s">
        <v>1913</v>
      </c>
      <c r="D105" s="1208"/>
      <c r="E105" s="1209"/>
      <c r="F105" s="1210">
        <f>Dren_Quantificacao!D56</f>
        <v>0</v>
      </c>
      <c r="G105" s="1210">
        <f>Dren_Quantificacao!E56</f>
        <v>0</v>
      </c>
      <c r="H105" s="1210">
        <f>Dren_Quantificacao!F56</f>
        <v>0</v>
      </c>
      <c r="I105" s="1210">
        <f>Dren_Quantificacao!G56</f>
        <v>0</v>
      </c>
      <c r="J105" s="1210"/>
      <c r="K105" s="1210"/>
      <c r="L105" s="1210"/>
      <c r="M105" s="1210"/>
      <c r="N105" s="1211"/>
      <c r="O105" s="1210">
        <f>Dren_Quantificacao!L56</f>
        <v>0</v>
      </c>
      <c r="P105" s="1210">
        <f>Dren_Quantificacao!M56</f>
        <v>0</v>
      </c>
      <c r="Q105" s="1210">
        <f>Dren_Quantificacao!N56</f>
        <v>0</v>
      </c>
      <c r="R105" s="1210">
        <f>Dren_Quantificacao!O56</f>
        <v>0</v>
      </c>
      <c r="S105" s="1210">
        <f>Dren_Quantificacao!BD56</f>
        <v>0</v>
      </c>
      <c r="T105" s="1212"/>
      <c r="U105" s="1212"/>
      <c r="V105" s="1212"/>
      <c r="W105" s="1212"/>
      <c r="X105" s="1212"/>
      <c r="Y105" s="1212"/>
      <c r="Z105" s="1212"/>
      <c r="AA105" s="1212"/>
      <c r="AB105" s="1212"/>
      <c r="AC105" s="1212"/>
      <c r="AD105" s="1212"/>
      <c r="AE105" s="1212"/>
      <c r="AF105" s="1212"/>
      <c r="AG105" s="1212"/>
      <c r="AH105" s="1212"/>
      <c r="AI105" s="1213"/>
      <c r="AJ105" s="745">
        <f t="shared" si="25"/>
        <v>0</v>
      </c>
      <c r="AK105" s="745"/>
      <c r="AL105" s="1136"/>
      <c r="AM105" s="1137"/>
      <c r="AN105" s="1137"/>
      <c r="AO105" s="1137">
        <v>24.83</v>
      </c>
      <c r="AP105" s="1137"/>
      <c r="AQ105" s="1137"/>
      <c r="AR105" s="1137"/>
      <c r="AS105" s="1137"/>
      <c r="AT105" s="1139"/>
      <c r="AU105" s="1137"/>
      <c r="AV105" s="1137"/>
      <c r="AW105" s="1137"/>
      <c r="AX105" s="1137">
        <v>24.83</v>
      </c>
      <c r="AY105" s="1137"/>
      <c r="AZ105" s="1137"/>
      <c r="BA105" s="1137"/>
      <c r="BB105" s="1137"/>
      <c r="BC105" s="1139"/>
      <c r="BD105" s="1137"/>
      <c r="BE105" s="1137"/>
      <c r="BF105" s="1137"/>
      <c r="BG105" s="1137">
        <v>24.83</v>
      </c>
      <c r="BH105" s="1137"/>
      <c r="BI105" s="1137"/>
      <c r="BJ105" s="1139"/>
      <c r="BK105" s="1139">
        <v>1.48</v>
      </c>
      <c r="BL105" s="1137"/>
      <c r="BM105" s="1137"/>
      <c r="BN105" s="1137">
        <v>0.96</v>
      </c>
      <c r="BO105" s="1137"/>
      <c r="BP105" s="1137"/>
      <c r="BQ105" s="1139"/>
      <c r="BR105" s="1140"/>
      <c r="BS105" s="1137"/>
      <c r="BT105" s="1141"/>
      <c r="BV105" s="746"/>
    </row>
    <row r="106" spans="1:74" s="714" customFormat="1" ht="21.95" hidden="1" customHeight="1" thickBot="1">
      <c r="A106" s="2695"/>
      <c r="B106" s="2610"/>
      <c r="C106" s="1222" t="s">
        <v>1914</v>
      </c>
      <c r="D106" s="1208"/>
      <c r="E106" s="1209"/>
      <c r="F106" s="1210">
        <f>Dren_Quantificacao!D57</f>
        <v>0</v>
      </c>
      <c r="G106" s="1210">
        <f>Dren_Quantificacao!E57</f>
        <v>0</v>
      </c>
      <c r="H106" s="1210">
        <f>Dren_Quantificacao!F57</f>
        <v>0</v>
      </c>
      <c r="I106" s="1210">
        <f>Dren_Quantificacao!G57</f>
        <v>0</v>
      </c>
      <c r="J106" s="1210"/>
      <c r="K106" s="1210"/>
      <c r="L106" s="1210"/>
      <c r="M106" s="1210"/>
      <c r="N106" s="1211"/>
      <c r="O106" s="1210">
        <f>Dren_Quantificacao!L57</f>
        <v>0</v>
      </c>
      <c r="P106" s="1210">
        <f>Dren_Quantificacao!M57</f>
        <v>0</v>
      </c>
      <c r="Q106" s="1210">
        <f>Dren_Quantificacao!N57</f>
        <v>0</v>
      </c>
      <c r="R106" s="1210">
        <f>Dren_Quantificacao!O57</f>
        <v>0</v>
      </c>
      <c r="S106" s="1210">
        <f>Dren_Quantificacao!BD57</f>
        <v>0</v>
      </c>
      <c r="T106" s="1212"/>
      <c r="U106" s="1212"/>
      <c r="V106" s="1212"/>
      <c r="W106" s="1212"/>
      <c r="X106" s="1212"/>
      <c r="Y106" s="1212"/>
      <c r="Z106" s="1212"/>
      <c r="AA106" s="1212"/>
      <c r="AB106" s="1212"/>
      <c r="AC106" s="1212"/>
      <c r="AD106" s="1212"/>
      <c r="AE106" s="1212"/>
      <c r="AF106" s="1212"/>
      <c r="AG106" s="1212"/>
      <c r="AH106" s="1212"/>
      <c r="AI106" s="1213"/>
      <c r="AJ106" s="745">
        <f t="shared" si="25"/>
        <v>0</v>
      </c>
      <c r="AK106" s="745"/>
      <c r="AL106" s="1136"/>
      <c r="AM106" s="1137"/>
      <c r="AN106" s="1137"/>
      <c r="AO106" s="1137">
        <v>39.07</v>
      </c>
      <c r="AP106" s="1137"/>
      <c r="AQ106" s="1137"/>
      <c r="AR106" s="1137"/>
      <c r="AS106" s="1137"/>
      <c r="AT106" s="1139"/>
      <c r="AU106" s="1137"/>
      <c r="AV106" s="1137"/>
      <c r="AW106" s="1137"/>
      <c r="AX106" s="1137">
        <v>39.07</v>
      </c>
      <c r="AY106" s="1137"/>
      <c r="AZ106" s="1137"/>
      <c r="BA106" s="1137"/>
      <c r="BB106" s="1137"/>
      <c r="BC106" s="1139"/>
      <c r="BD106" s="1137"/>
      <c r="BE106" s="1137"/>
      <c r="BF106" s="1137"/>
      <c r="BG106" s="1137">
        <v>39.07</v>
      </c>
      <c r="BH106" s="1137"/>
      <c r="BI106" s="1137"/>
      <c r="BJ106" s="1139"/>
      <c r="BK106" s="1139">
        <v>2.96</v>
      </c>
      <c r="BL106" s="1137"/>
      <c r="BM106" s="1137"/>
      <c r="BN106" s="1137">
        <v>1.92</v>
      </c>
      <c r="BO106" s="1137"/>
      <c r="BP106" s="1137"/>
      <c r="BQ106" s="1139"/>
      <c r="BR106" s="1140"/>
      <c r="BS106" s="1137"/>
      <c r="BT106" s="1141"/>
      <c r="BV106" s="746"/>
    </row>
    <row r="107" spans="1:74" s="714" customFormat="1" ht="21.95" hidden="1" customHeight="1" thickBot="1">
      <c r="A107" s="2695"/>
      <c r="B107" s="2679"/>
      <c r="C107" s="1167" t="s">
        <v>1915</v>
      </c>
      <c r="D107" s="1223"/>
      <c r="E107" s="1224"/>
      <c r="F107" s="1225">
        <f>Dren_Quantificacao!D58</f>
        <v>0</v>
      </c>
      <c r="G107" s="1225">
        <f>Dren_Quantificacao!E58</f>
        <v>0</v>
      </c>
      <c r="H107" s="1225">
        <f>Dren_Quantificacao!F58</f>
        <v>0</v>
      </c>
      <c r="I107" s="1225">
        <f>Dren_Quantificacao!G58</f>
        <v>0</v>
      </c>
      <c r="J107" s="1225"/>
      <c r="K107" s="1225"/>
      <c r="L107" s="1225"/>
      <c r="M107" s="1225"/>
      <c r="N107" s="1226"/>
      <c r="O107" s="1225">
        <f>Dren_Quantificacao!L58</f>
        <v>0</v>
      </c>
      <c r="P107" s="1225">
        <f>Dren_Quantificacao!M58</f>
        <v>0</v>
      </c>
      <c r="Q107" s="1225">
        <f>Dren_Quantificacao!N58</f>
        <v>0</v>
      </c>
      <c r="R107" s="1225">
        <f>Dren_Quantificacao!O58</f>
        <v>0</v>
      </c>
      <c r="S107" s="1225">
        <f>Dren_Quantificacao!BD58</f>
        <v>0</v>
      </c>
      <c r="T107" s="810"/>
      <c r="U107" s="810"/>
      <c r="V107" s="810"/>
      <c r="W107" s="810"/>
      <c r="X107" s="810"/>
      <c r="Y107" s="810"/>
      <c r="Z107" s="810"/>
      <c r="AA107" s="810"/>
      <c r="AB107" s="810"/>
      <c r="AC107" s="810"/>
      <c r="AD107" s="810"/>
      <c r="AE107" s="810"/>
      <c r="AF107" s="810"/>
      <c r="AG107" s="810"/>
      <c r="AH107" s="810"/>
      <c r="AI107" s="1218"/>
      <c r="AJ107" s="745">
        <f t="shared" si="25"/>
        <v>0</v>
      </c>
      <c r="AK107" s="745"/>
      <c r="AL107" s="1136"/>
      <c r="AM107" s="1137"/>
      <c r="AN107" s="1137"/>
      <c r="AO107" s="1137">
        <v>0.72899999999999998</v>
      </c>
      <c r="AP107" s="1137"/>
      <c r="AQ107" s="1137"/>
      <c r="AR107" s="1137"/>
      <c r="AS107" s="1137"/>
      <c r="AT107" s="1139"/>
      <c r="AU107" s="1137"/>
      <c r="AV107" s="1137"/>
      <c r="AW107" s="1137"/>
      <c r="AX107" s="1137">
        <v>0.72899999999999998</v>
      </c>
      <c r="AY107" s="1137"/>
      <c r="AZ107" s="1137"/>
      <c r="BA107" s="1137"/>
      <c r="BB107" s="1137"/>
      <c r="BC107" s="1139"/>
      <c r="BD107" s="1137"/>
      <c r="BE107" s="1137"/>
      <c r="BF107" s="1137"/>
      <c r="BG107" s="1137">
        <v>0.72899999999999998</v>
      </c>
      <c r="BH107" s="1137"/>
      <c r="BI107" s="1137"/>
      <c r="BJ107" s="1139"/>
      <c r="BK107" s="1139">
        <v>5.2290000000000001</v>
      </c>
      <c r="BL107" s="1137"/>
      <c r="BM107" s="1137"/>
      <c r="BN107" s="1137">
        <v>0.92</v>
      </c>
      <c r="BO107" s="1137"/>
      <c r="BP107" s="1137"/>
      <c r="BQ107" s="1139"/>
      <c r="BR107" s="1140"/>
      <c r="BS107" s="1137"/>
      <c r="BT107" s="1141"/>
      <c r="BV107" s="746"/>
    </row>
    <row r="108" spans="1:74" s="714" customFormat="1" ht="21.95" hidden="1" customHeight="1" thickBot="1">
      <c r="A108" s="2695"/>
      <c r="B108" s="2610"/>
      <c r="C108" s="1167" t="s">
        <v>1916</v>
      </c>
      <c r="D108" s="1208"/>
      <c r="E108" s="1209"/>
      <c r="F108" s="1210">
        <f>Dren_Quantificacao!D59</f>
        <v>0</v>
      </c>
      <c r="G108" s="1210">
        <f>Dren_Quantificacao!E59</f>
        <v>0</v>
      </c>
      <c r="H108" s="1210">
        <f>Dren_Quantificacao!F59</f>
        <v>0</v>
      </c>
      <c r="I108" s="1210">
        <f>Dren_Quantificacao!G59</f>
        <v>0</v>
      </c>
      <c r="J108" s="1210"/>
      <c r="K108" s="1210"/>
      <c r="L108" s="1210"/>
      <c r="M108" s="1210"/>
      <c r="N108" s="1211"/>
      <c r="O108" s="1210">
        <f>Dren_Quantificacao!L59</f>
        <v>0</v>
      </c>
      <c r="P108" s="1210">
        <f>Dren_Quantificacao!M59</f>
        <v>0</v>
      </c>
      <c r="Q108" s="1210">
        <f>Dren_Quantificacao!N59</f>
        <v>0</v>
      </c>
      <c r="R108" s="1210">
        <f>Dren_Quantificacao!O59</f>
        <v>0</v>
      </c>
      <c r="S108" s="1210">
        <f>Dren_Quantificacao!BD59</f>
        <v>0</v>
      </c>
      <c r="T108" s="1212"/>
      <c r="U108" s="1212"/>
      <c r="V108" s="1212"/>
      <c r="W108" s="1212"/>
      <c r="X108" s="1212"/>
      <c r="Y108" s="1212"/>
      <c r="Z108" s="1212"/>
      <c r="AA108" s="1212"/>
      <c r="AB108" s="1212"/>
      <c r="AC108" s="1212"/>
      <c r="AD108" s="1212"/>
      <c r="AE108" s="1212"/>
      <c r="AF108" s="1212"/>
      <c r="AG108" s="1212"/>
      <c r="AH108" s="1212"/>
      <c r="AI108" s="1213"/>
      <c r="AJ108" s="745">
        <f t="shared" si="25"/>
        <v>0</v>
      </c>
      <c r="AK108" s="745"/>
      <c r="AL108" s="1136"/>
      <c r="AM108" s="1137"/>
      <c r="AN108" s="1137"/>
      <c r="AO108" s="1137">
        <v>1.272</v>
      </c>
      <c r="AP108" s="1137"/>
      <c r="AQ108" s="1137"/>
      <c r="AR108" s="1137"/>
      <c r="AS108" s="1137"/>
      <c r="AT108" s="1139"/>
      <c r="AU108" s="1137"/>
      <c r="AV108" s="1137"/>
      <c r="AW108" s="1137"/>
      <c r="AX108" s="1137">
        <v>1.272</v>
      </c>
      <c r="AY108" s="1137"/>
      <c r="AZ108" s="1137"/>
      <c r="BA108" s="1137"/>
      <c r="BB108" s="1137"/>
      <c r="BC108" s="1139"/>
      <c r="BD108" s="1137"/>
      <c r="BE108" s="1137"/>
      <c r="BF108" s="1137"/>
      <c r="BG108" s="1137">
        <v>1.272</v>
      </c>
      <c r="BH108" s="1137"/>
      <c r="BI108" s="1137"/>
      <c r="BJ108" s="1139"/>
      <c r="BK108" s="1139">
        <v>9.8620000000000001</v>
      </c>
      <c r="BL108" s="1137"/>
      <c r="BM108" s="1137"/>
      <c r="BN108" s="1137">
        <v>2.5300000000000002</v>
      </c>
      <c r="BO108" s="1137"/>
      <c r="BP108" s="1137"/>
      <c r="BQ108" s="1139"/>
      <c r="BR108" s="1140"/>
      <c r="BS108" s="1137"/>
      <c r="BT108" s="1141"/>
      <c r="BV108" s="746"/>
    </row>
    <row r="109" spans="1:74" s="714" customFormat="1" ht="21.95" hidden="1" customHeight="1" thickBot="1">
      <c r="A109" s="2695"/>
      <c r="B109" s="2679"/>
      <c r="C109" s="1167" t="s">
        <v>1917</v>
      </c>
      <c r="D109" s="1219"/>
      <c r="E109" s="1220"/>
      <c r="F109" s="1214">
        <f>Dren_Quantificacao!D60</f>
        <v>0</v>
      </c>
      <c r="G109" s="1214">
        <f>Dren_Quantificacao!E60</f>
        <v>0</v>
      </c>
      <c r="H109" s="1214">
        <f>Dren_Quantificacao!F60</f>
        <v>0</v>
      </c>
      <c r="I109" s="1214">
        <f>Dren_Quantificacao!G60</f>
        <v>0</v>
      </c>
      <c r="J109" s="1214"/>
      <c r="K109" s="1214"/>
      <c r="L109" s="1214"/>
      <c r="M109" s="1214"/>
      <c r="N109" s="1215"/>
      <c r="O109" s="1214">
        <f>Dren_Quantificacao!L60</f>
        <v>0</v>
      </c>
      <c r="P109" s="1214">
        <f>Dren_Quantificacao!M60</f>
        <v>0</v>
      </c>
      <c r="Q109" s="1214">
        <f>Dren_Quantificacao!N60</f>
        <v>0</v>
      </c>
      <c r="R109" s="1214">
        <f>Dren_Quantificacao!O60</f>
        <v>0</v>
      </c>
      <c r="S109" s="1214">
        <f>Dren_Quantificacao!BD60</f>
        <v>0</v>
      </c>
      <c r="T109" s="1221"/>
      <c r="U109" s="1221"/>
      <c r="V109" s="1221"/>
      <c r="W109" s="1221"/>
      <c r="X109" s="1221"/>
      <c r="Y109" s="1221"/>
      <c r="Z109" s="1221"/>
      <c r="AA109" s="1221"/>
      <c r="AB109" s="1221"/>
      <c r="AC109" s="1221"/>
      <c r="AD109" s="1221"/>
      <c r="AE109" s="1221"/>
      <c r="AF109" s="1221"/>
      <c r="AG109" s="1221"/>
      <c r="AH109" s="1221"/>
      <c r="AI109" s="1216"/>
      <c r="AJ109" s="745">
        <f t="shared" si="25"/>
        <v>0</v>
      </c>
      <c r="AK109" s="745"/>
      <c r="AL109" s="1136"/>
      <c r="AM109" s="1137"/>
      <c r="AN109" s="1137"/>
      <c r="AO109" s="1137">
        <v>1.8150000000000002</v>
      </c>
      <c r="AP109" s="1137"/>
      <c r="AQ109" s="1137"/>
      <c r="AR109" s="1137"/>
      <c r="AS109" s="1137"/>
      <c r="AT109" s="1139"/>
      <c r="AU109" s="1137"/>
      <c r="AV109" s="1137"/>
      <c r="AW109" s="1137"/>
      <c r="AX109" s="1137">
        <v>1.8150000000000002</v>
      </c>
      <c r="AY109" s="1137"/>
      <c r="AZ109" s="1137"/>
      <c r="BA109" s="1137"/>
      <c r="BB109" s="1137"/>
      <c r="BC109" s="1139"/>
      <c r="BD109" s="1137"/>
      <c r="BE109" s="1137"/>
      <c r="BF109" s="1137"/>
      <c r="BG109" s="1137">
        <v>1.8150000000000002</v>
      </c>
      <c r="BH109" s="1137"/>
      <c r="BI109" s="1137"/>
      <c r="BJ109" s="1139"/>
      <c r="BK109" s="1139">
        <v>14.494999999999999</v>
      </c>
      <c r="BL109" s="1137"/>
      <c r="BM109" s="1137"/>
      <c r="BN109" s="1137">
        <v>4.2300000000000004</v>
      </c>
      <c r="BO109" s="1137"/>
      <c r="BP109" s="1137"/>
      <c r="BQ109" s="1139"/>
      <c r="BR109" s="1140"/>
      <c r="BS109" s="1137"/>
      <c r="BT109" s="1141"/>
      <c r="BV109" s="746"/>
    </row>
    <row r="110" spans="1:74" s="714" customFormat="1" ht="21.95" hidden="1" customHeight="1">
      <c r="A110" s="2695"/>
      <c r="B110" s="2610"/>
      <c r="C110" s="1167" t="s">
        <v>1604</v>
      </c>
      <c r="D110" s="1208"/>
      <c r="E110" s="1209"/>
      <c r="F110" s="1210">
        <f>Dren_Quantificacao!D61</f>
        <v>0</v>
      </c>
      <c r="G110" s="1210">
        <f>Dren_Quantificacao!E61</f>
        <v>0</v>
      </c>
      <c r="H110" s="1210">
        <f>Dren_Quantificacao!F61</f>
        <v>0</v>
      </c>
      <c r="I110" s="1210">
        <f>Dren_Quantificacao!G61</f>
        <v>0</v>
      </c>
      <c r="J110" s="1210"/>
      <c r="K110" s="1210"/>
      <c r="L110" s="1210"/>
      <c r="M110" s="1210"/>
      <c r="N110" s="1211"/>
      <c r="O110" s="1210">
        <f>Dren_Quantificacao!L61</f>
        <v>0</v>
      </c>
      <c r="P110" s="1210">
        <f>Dren_Quantificacao!M61</f>
        <v>0</v>
      </c>
      <c r="Q110" s="1210">
        <f>Dren_Quantificacao!N61</f>
        <v>0</v>
      </c>
      <c r="R110" s="1210">
        <f>Dren_Quantificacao!O61</f>
        <v>0</v>
      </c>
      <c r="S110" s="1210">
        <f>Dren_Quantificacao!BD61</f>
        <v>0</v>
      </c>
      <c r="T110" s="1212"/>
      <c r="U110" s="1212"/>
      <c r="V110" s="1212"/>
      <c r="W110" s="1212"/>
      <c r="X110" s="1212"/>
      <c r="Y110" s="1212"/>
      <c r="Z110" s="1212"/>
      <c r="AA110" s="1212"/>
      <c r="AB110" s="1212"/>
      <c r="AC110" s="1212"/>
      <c r="AD110" s="1212"/>
      <c r="AE110" s="1212"/>
      <c r="AF110" s="1212"/>
      <c r="AG110" s="1212"/>
      <c r="AH110" s="1212"/>
      <c r="AI110" s="1213"/>
      <c r="AJ110" s="745">
        <f t="shared" si="25"/>
        <v>0</v>
      </c>
      <c r="AK110" s="745"/>
      <c r="AL110" s="1136"/>
      <c r="AM110" s="1137"/>
      <c r="AN110" s="1137"/>
      <c r="AO110" s="1137">
        <v>0.23710000000000003</v>
      </c>
      <c r="AP110" s="1137"/>
      <c r="AQ110" s="1137"/>
      <c r="AR110" s="1137"/>
      <c r="AS110" s="1137"/>
      <c r="AT110" s="1139"/>
      <c r="AU110" s="1137"/>
      <c r="AV110" s="1137"/>
      <c r="AW110" s="1137"/>
      <c r="AX110" s="1137">
        <v>0.23710000000000003</v>
      </c>
      <c r="AY110" s="1137"/>
      <c r="AZ110" s="1137"/>
      <c r="BA110" s="1137"/>
      <c r="BB110" s="1137"/>
      <c r="BC110" s="1139"/>
      <c r="BD110" s="1137"/>
      <c r="BE110" s="1137"/>
      <c r="BF110" s="1137"/>
      <c r="BG110" s="1137">
        <v>0.23710000000000003</v>
      </c>
      <c r="BH110" s="1137"/>
      <c r="BI110" s="1137"/>
      <c r="BJ110" s="1139"/>
      <c r="BK110" s="1139"/>
      <c r="BL110" s="1137"/>
      <c r="BM110" s="1137">
        <v>0.23710000000000003</v>
      </c>
      <c r="BN110" s="1137"/>
      <c r="BO110" s="1137"/>
      <c r="BP110" s="1137"/>
      <c r="BQ110" s="1139"/>
      <c r="BR110" s="1140"/>
      <c r="BS110" s="1137"/>
      <c r="BT110" s="1141"/>
      <c r="BV110" s="746"/>
    </row>
    <row r="111" spans="1:74" s="714" customFormat="1" ht="21.95" hidden="1" customHeight="1">
      <c r="A111" s="2695"/>
      <c r="B111" s="2610"/>
      <c r="C111" s="1167" t="s">
        <v>1605</v>
      </c>
      <c r="D111" s="1208"/>
      <c r="E111" s="1209"/>
      <c r="F111" s="1210">
        <f>Dren_Quantificacao!D63</f>
        <v>0</v>
      </c>
      <c r="G111" s="1210">
        <f>Dren_Quantificacao!E62</f>
        <v>0</v>
      </c>
      <c r="H111" s="1210">
        <f>Dren_Quantificacao!F62</f>
        <v>0</v>
      </c>
      <c r="I111" s="1210">
        <f>Dren_Quantificacao!G62</f>
        <v>0</v>
      </c>
      <c r="J111" s="1210"/>
      <c r="K111" s="1210"/>
      <c r="L111" s="1210"/>
      <c r="M111" s="1210"/>
      <c r="N111" s="1211"/>
      <c r="O111" s="1210">
        <f>Dren_Quantificacao!L62</f>
        <v>0</v>
      </c>
      <c r="P111" s="1210">
        <f>Dren_Quantificacao!M62</f>
        <v>0</v>
      </c>
      <c r="Q111" s="1210">
        <f>Dren_Quantificacao!N62</f>
        <v>0</v>
      </c>
      <c r="R111" s="1210">
        <f>Dren_Quantificacao!O62</f>
        <v>0</v>
      </c>
      <c r="S111" s="1210">
        <f>Dren_Quantificacao!BD62</f>
        <v>0</v>
      </c>
      <c r="T111" s="1212"/>
      <c r="U111" s="1212"/>
      <c r="V111" s="1212"/>
      <c r="W111" s="1212"/>
      <c r="X111" s="1212"/>
      <c r="Y111" s="1212"/>
      <c r="Z111" s="1212"/>
      <c r="AA111" s="1212"/>
      <c r="AB111" s="1212"/>
      <c r="AC111" s="1212"/>
      <c r="AD111" s="1212"/>
      <c r="AE111" s="1212"/>
      <c r="AF111" s="1212"/>
      <c r="AG111" s="1212"/>
      <c r="AH111" s="1212"/>
      <c r="AI111" s="1213"/>
      <c r="AJ111" s="745">
        <f t="shared" si="25"/>
        <v>0</v>
      </c>
      <c r="AK111" s="745"/>
      <c r="AL111" s="1136"/>
      <c r="AM111" s="1137"/>
      <c r="AN111" s="1137"/>
      <c r="AO111" s="1137">
        <v>0.36421999999999999</v>
      </c>
      <c r="AP111" s="1137"/>
      <c r="AQ111" s="1137"/>
      <c r="AR111" s="1137"/>
      <c r="AS111" s="1137"/>
      <c r="AT111" s="1139"/>
      <c r="AU111" s="1137"/>
      <c r="AV111" s="1137"/>
      <c r="AW111" s="1137"/>
      <c r="AX111" s="1137">
        <v>0.36421999999999999</v>
      </c>
      <c r="AY111" s="1137"/>
      <c r="AZ111" s="1137"/>
      <c r="BA111" s="1137"/>
      <c r="BB111" s="1137"/>
      <c r="BC111" s="1139"/>
      <c r="BD111" s="1137"/>
      <c r="BE111" s="1137"/>
      <c r="BF111" s="1137"/>
      <c r="BG111" s="1137">
        <v>0.36421999999999999</v>
      </c>
      <c r="BH111" s="1137"/>
      <c r="BI111" s="1137"/>
      <c r="BJ111" s="1139"/>
      <c r="BK111" s="1139"/>
      <c r="BL111" s="1137"/>
      <c r="BM111" s="1137">
        <v>0.36421999999999999</v>
      </c>
      <c r="BN111" s="1137"/>
      <c r="BO111" s="1137"/>
      <c r="BP111" s="1137"/>
      <c r="BQ111" s="1139"/>
      <c r="BR111" s="1140"/>
      <c r="BS111" s="1137"/>
      <c r="BT111" s="1141"/>
      <c r="BV111" s="746"/>
    </row>
    <row r="112" spans="1:74" s="714" customFormat="1" ht="21.95" customHeight="1" thickBot="1">
      <c r="A112" s="2695"/>
      <c r="B112" s="2610"/>
      <c r="C112" s="1167" t="s">
        <v>1606</v>
      </c>
      <c r="D112" s="1219"/>
      <c r="E112" s="1220"/>
      <c r="F112" s="1214" t="e">
        <f>Dren_Quantificacao!#REF!</f>
        <v>#REF!</v>
      </c>
      <c r="G112" s="1214">
        <f>Dren_Quantificacao!E63</f>
        <v>0</v>
      </c>
      <c r="H112" s="1214">
        <f>Dren_Quantificacao!F63</f>
        <v>0</v>
      </c>
      <c r="I112" s="1214">
        <f>Dren_Quantificacao!G63</f>
        <v>0</v>
      </c>
      <c r="J112" s="1214"/>
      <c r="K112" s="1214"/>
      <c r="L112" s="1214"/>
      <c r="M112" s="1214"/>
      <c r="N112" s="1215"/>
      <c r="O112" s="1214">
        <f>Dren_Quantificacao!L63</f>
        <v>0</v>
      </c>
      <c r="P112" s="1214">
        <f>Dren_Quantificacao!M63</f>
        <v>0</v>
      </c>
      <c r="Q112" s="1214">
        <f>Dren_Quantificacao!N63</f>
        <v>0</v>
      </c>
      <c r="R112" s="1214">
        <f>Dren_Quantificacao!O63</f>
        <v>0</v>
      </c>
      <c r="S112" s="1214">
        <f>Dren_Quantificacao!BD63</f>
        <v>0</v>
      </c>
      <c r="T112" s="1221"/>
      <c r="U112" s="1221"/>
      <c r="V112" s="1221"/>
      <c r="W112" s="1221"/>
      <c r="X112" s="1221"/>
      <c r="Y112" s="1221"/>
      <c r="Z112" s="1221"/>
      <c r="AA112" s="1221"/>
      <c r="AB112" s="1221"/>
      <c r="AC112" s="1221"/>
      <c r="AD112" s="1221"/>
      <c r="AE112" s="1221"/>
      <c r="AF112" s="1221"/>
      <c r="AG112" s="1221"/>
      <c r="AH112" s="1221"/>
      <c r="AI112" s="1216"/>
      <c r="AJ112" s="745" t="e">
        <f t="shared" si="25"/>
        <v>#REF!</v>
      </c>
      <c r="AK112" s="745"/>
      <c r="AL112" s="1136"/>
      <c r="AM112" s="1137"/>
      <c r="AN112" s="1137"/>
      <c r="AO112" s="1137">
        <v>0.49125000000000002</v>
      </c>
      <c r="AP112" s="1137"/>
      <c r="AQ112" s="1137"/>
      <c r="AR112" s="1137"/>
      <c r="AS112" s="1137"/>
      <c r="AT112" s="1139"/>
      <c r="AU112" s="1137"/>
      <c r="AV112" s="1137"/>
      <c r="AW112" s="1137"/>
      <c r="AX112" s="1137">
        <v>0.49125000000000002</v>
      </c>
      <c r="AY112" s="1137"/>
      <c r="AZ112" s="1137"/>
      <c r="BA112" s="1137"/>
      <c r="BB112" s="1137"/>
      <c r="BC112" s="1139"/>
      <c r="BD112" s="1137"/>
      <c r="BE112" s="1137"/>
      <c r="BF112" s="1137"/>
      <c r="BG112" s="1137">
        <v>0.49125000000000002</v>
      </c>
      <c r="BH112" s="1137"/>
      <c r="BI112" s="1137"/>
      <c r="BJ112" s="1139"/>
      <c r="BK112" s="1139"/>
      <c r="BL112" s="1137"/>
      <c r="BM112" s="1137">
        <v>0.49125000000000002</v>
      </c>
      <c r="BN112" s="1137"/>
      <c r="BO112" s="1137"/>
      <c r="BP112" s="1137"/>
      <c r="BQ112" s="1139"/>
      <c r="BR112" s="1140"/>
      <c r="BS112" s="1137"/>
      <c r="BT112" s="1141"/>
      <c r="BV112" s="746"/>
    </row>
    <row r="113" spans="1:74" s="714" customFormat="1" ht="21.95" hidden="1" customHeight="1">
      <c r="A113" s="2695"/>
      <c r="B113" s="2677" t="s">
        <v>1918</v>
      </c>
      <c r="C113" s="740">
        <v>0.4</v>
      </c>
      <c r="D113" s="1142"/>
      <c r="E113" s="1143"/>
      <c r="F113" s="1198">
        <f>Dren_Quantificacao!D86</f>
        <v>0</v>
      </c>
      <c r="G113" s="1198">
        <f>Dren_Quantificacao!E86</f>
        <v>0</v>
      </c>
      <c r="H113" s="1198">
        <f>Dren_Quantificacao!F86</f>
        <v>0</v>
      </c>
      <c r="I113" s="1198">
        <f>Dren_Quantificacao!G86</f>
        <v>0</v>
      </c>
      <c r="J113" s="1198"/>
      <c r="K113" s="1198"/>
      <c r="L113" s="1198"/>
      <c r="M113" s="1198"/>
      <c r="N113" s="1199"/>
      <c r="O113" s="1198">
        <f>Dren_Quantificacao!L86</f>
        <v>0</v>
      </c>
      <c r="P113" s="1198">
        <f>Dren_Quantificacao!M86</f>
        <v>0</v>
      </c>
      <c r="Q113" s="1198">
        <f>Dren_Quantificacao!N86</f>
        <v>0</v>
      </c>
      <c r="R113" s="1198">
        <f>Dren_Quantificacao!O86</f>
        <v>0</v>
      </c>
      <c r="S113" s="1198">
        <f>Dren_Quantificacao!BD86</f>
        <v>0</v>
      </c>
      <c r="T113" s="1200"/>
      <c r="U113" s="1200"/>
      <c r="V113" s="1200"/>
      <c r="W113" s="1200"/>
      <c r="X113" s="1200"/>
      <c r="Y113" s="1200"/>
      <c r="Z113" s="1200"/>
      <c r="AA113" s="1200"/>
      <c r="AB113" s="1200"/>
      <c r="AC113" s="1200"/>
      <c r="AD113" s="1200"/>
      <c r="AE113" s="1200"/>
      <c r="AF113" s="1200"/>
      <c r="AG113" s="1200"/>
      <c r="AH113" s="1200"/>
      <c r="AI113" s="1201"/>
      <c r="AJ113" s="745">
        <f t="shared" si="25"/>
        <v>0</v>
      </c>
      <c r="AK113" s="745"/>
      <c r="AL113" s="1136"/>
      <c r="AM113" s="1137"/>
      <c r="AN113" s="1137"/>
      <c r="AO113" s="1137"/>
      <c r="AP113" s="1137"/>
      <c r="AQ113" s="1137"/>
      <c r="AR113" s="1137"/>
      <c r="AS113" s="1137"/>
      <c r="AT113" s="1139">
        <v>0.66039999999999999</v>
      </c>
      <c r="AU113" s="1137"/>
      <c r="AV113" s="1137"/>
      <c r="AW113" s="1137"/>
      <c r="AX113" s="1137"/>
      <c r="AY113" s="1137"/>
      <c r="AZ113" s="1137"/>
      <c r="BA113" s="1137"/>
      <c r="BB113" s="1137"/>
      <c r="BC113" s="1139">
        <v>0.66039999999999999</v>
      </c>
      <c r="BD113" s="1137"/>
      <c r="BE113" s="1137"/>
      <c r="BF113" s="1137"/>
      <c r="BG113" s="1137"/>
      <c r="BH113" s="1137"/>
      <c r="BI113" s="1137">
        <v>0.66039999999999999</v>
      </c>
      <c r="BJ113" s="1139"/>
      <c r="BK113" s="1139"/>
      <c r="BL113" s="1137">
        <v>4.407</v>
      </c>
      <c r="BM113" s="1137"/>
      <c r="BN113" s="1137"/>
      <c r="BO113" s="1137"/>
      <c r="BP113" s="1137"/>
      <c r="BQ113" s="1139"/>
      <c r="BR113" s="1140"/>
      <c r="BS113" s="1137"/>
      <c r="BT113" s="1141"/>
      <c r="BV113" s="746"/>
    </row>
    <row r="114" spans="1:74" s="714" customFormat="1" ht="21.95" hidden="1" customHeight="1" thickBot="1">
      <c r="A114" s="2695"/>
      <c r="B114" s="2610"/>
      <c r="C114" s="911">
        <v>0.6</v>
      </c>
      <c r="D114" s="1144"/>
      <c r="E114" s="1145"/>
      <c r="F114" s="1210">
        <f>Dren_Quantificacao!D87</f>
        <v>0</v>
      </c>
      <c r="G114" s="1210">
        <f>Dren_Quantificacao!E87</f>
        <v>0</v>
      </c>
      <c r="H114" s="1210">
        <f>Dren_Quantificacao!F87</f>
        <v>0</v>
      </c>
      <c r="I114" s="1210">
        <f>Dren_Quantificacao!G87</f>
        <v>0</v>
      </c>
      <c r="J114" s="1210"/>
      <c r="K114" s="1210"/>
      <c r="L114" s="1210"/>
      <c r="M114" s="1210"/>
      <c r="N114" s="1211"/>
      <c r="O114" s="1210">
        <f>Dren_Quantificacao!L87</f>
        <v>0</v>
      </c>
      <c r="P114" s="1210">
        <f>Dren_Quantificacao!M87</f>
        <v>0</v>
      </c>
      <c r="Q114" s="1210">
        <f>Dren_Quantificacao!N87</f>
        <v>0</v>
      </c>
      <c r="R114" s="1210">
        <f>Dren_Quantificacao!O87</f>
        <v>0</v>
      </c>
      <c r="S114" s="1210">
        <f>Dren_Quantificacao!BD87</f>
        <v>0</v>
      </c>
      <c r="T114" s="1212"/>
      <c r="U114" s="1212"/>
      <c r="V114" s="1212"/>
      <c r="W114" s="1212"/>
      <c r="X114" s="1212"/>
      <c r="Y114" s="1212"/>
      <c r="Z114" s="1212"/>
      <c r="AA114" s="1212"/>
      <c r="AB114" s="1212"/>
      <c r="AC114" s="1212"/>
      <c r="AD114" s="1212"/>
      <c r="AE114" s="1212"/>
      <c r="AF114" s="1212"/>
      <c r="AG114" s="1212"/>
      <c r="AH114" s="1212"/>
      <c r="AI114" s="1213"/>
      <c r="AJ114" s="745">
        <f t="shared" si="25"/>
        <v>0</v>
      </c>
      <c r="AK114" s="745"/>
      <c r="AL114" s="1136"/>
      <c r="AM114" s="1137"/>
      <c r="AN114" s="1137"/>
      <c r="AO114" s="1137"/>
      <c r="AP114" s="1137"/>
      <c r="AQ114" s="1137"/>
      <c r="AR114" s="1137"/>
      <c r="AS114" s="1137"/>
      <c r="AT114" s="1139">
        <v>1.2385999999999999</v>
      </c>
      <c r="AU114" s="1137"/>
      <c r="AV114" s="1137"/>
      <c r="AW114" s="1137"/>
      <c r="AX114" s="1137"/>
      <c r="AY114" s="1137"/>
      <c r="AZ114" s="1137"/>
      <c r="BA114" s="1137"/>
      <c r="BB114" s="1137"/>
      <c r="BC114" s="1139">
        <v>1.2385999999999999</v>
      </c>
      <c r="BD114" s="1137"/>
      <c r="BE114" s="1137"/>
      <c r="BF114" s="1137"/>
      <c r="BG114" s="1137"/>
      <c r="BH114" s="1137"/>
      <c r="BI114" s="1137">
        <v>1.2385999999999999</v>
      </c>
      <c r="BJ114" s="1139"/>
      <c r="BK114" s="1139"/>
      <c r="BL114" s="1137">
        <v>6.6445999999999996</v>
      </c>
      <c r="BM114" s="1137"/>
      <c r="BN114" s="1137"/>
      <c r="BO114" s="1137"/>
      <c r="BP114" s="1137"/>
      <c r="BQ114" s="1139"/>
      <c r="BR114" s="1140"/>
      <c r="BS114" s="1137"/>
      <c r="BT114" s="1141"/>
      <c r="BV114" s="746"/>
    </row>
    <row r="115" spans="1:74" s="714" customFormat="1" ht="21.95" hidden="1" customHeight="1" thickBot="1">
      <c r="A115" s="2695"/>
      <c r="B115" s="2679"/>
      <c r="C115" s="747">
        <v>0.8</v>
      </c>
      <c r="D115" s="1144"/>
      <c r="E115" s="1145"/>
      <c r="F115" s="1210">
        <f>Dren_Quantificacao!D88</f>
        <v>0</v>
      </c>
      <c r="G115" s="1210">
        <f>Dren_Quantificacao!E88</f>
        <v>0</v>
      </c>
      <c r="H115" s="1210">
        <f>Dren_Quantificacao!F88</f>
        <v>0</v>
      </c>
      <c r="I115" s="1210">
        <f>Dren_Quantificacao!G88</f>
        <v>0</v>
      </c>
      <c r="J115" s="1210"/>
      <c r="K115" s="1210"/>
      <c r="L115" s="1210"/>
      <c r="M115" s="1210"/>
      <c r="N115" s="1211"/>
      <c r="O115" s="1210">
        <f>Dren_Quantificacao!L88</f>
        <v>0</v>
      </c>
      <c r="P115" s="1210">
        <f>Dren_Quantificacao!M88</f>
        <v>0</v>
      </c>
      <c r="Q115" s="1210">
        <f>Dren_Quantificacao!N88</f>
        <v>0</v>
      </c>
      <c r="R115" s="1210">
        <f>Dren_Quantificacao!O88</f>
        <v>0</v>
      </c>
      <c r="S115" s="1210">
        <f>Dren_Quantificacao!BD88</f>
        <v>0</v>
      </c>
      <c r="T115" s="1212"/>
      <c r="U115" s="1212"/>
      <c r="V115" s="1212"/>
      <c r="W115" s="1212"/>
      <c r="X115" s="1212"/>
      <c r="Y115" s="1212"/>
      <c r="Z115" s="1212"/>
      <c r="AA115" s="1212"/>
      <c r="AB115" s="1212"/>
      <c r="AC115" s="1212"/>
      <c r="AD115" s="1212"/>
      <c r="AE115" s="1212"/>
      <c r="AF115" s="1212"/>
      <c r="AG115" s="1212"/>
      <c r="AH115" s="1212"/>
      <c r="AI115" s="1213"/>
      <c r="AJ115" s="745">
        <f t="shared" si="25"/>
        <v>0</v>
      </c>
      <c r="AK115" s="745"/>
      <c r="AL115" s="1136"/>
      <c r="AM115" s="1137"/>
      <c r="AN115" s="1137"/>
      <c r="AO115" s="1137"/>
      <c r="AP115" s="1137"/>
      <c r="AQ115" s="1137"/>
      <c r="AR115" s="1137"/>
      <c r="AS115" s="1137"/>
      <c r="AT115" s="1139">
        <v>2.2320000000000002</v>
      </c>
      <c r="AU115" s="1137"/>
      <c r="AV115" s="1137"/>
      <c r="AW115" s="1137"/>
      <c r="AX115" s="1137"/>
      <c r="AY115" s="1137"/>
      <c r="AZ115" s="1137"/>
      <c r="BA115" s="1137"/>
      <c r="BB115" s="1137"/>
      <c r="BC115" s="1139">
        <v>2.2320000000000002</v>
      </c>
      <c r="BD115" s="1137"/>
      <c r="BE115" s="1137"/>
      <c r="BF115" s="1137"/>
      <c r="BG115" s="1137"/>
      <c r="BH115" s="1137"/>
      <c r="BI115" s="1137">
        <v>2.2320000000000002</v>
      </c>
      <c r="BJ115" s="1139"/>
      <c r="BK115" s="1139"/>
      <c r="BL115" s="1137">
        <v>9.7668999999999997</v>
      </c>
      <c r="BM115" s="1137"/>
      <c r="BN115" s="1137"/>
      <c r="BO115" s="1137"/>
      <c r="BP115" s="1137"/>
      <c r="BQ115" s="1139"/>
      <c r="BR115" s="1140"/>
      <c r="BS115" s="1137"/>
      <c r="BT115" s="1141"/>
      <c r="BV115" s="746"/>
    </row>
    <row r="116" spans="1:74" s="714" customFormat="1" ht="21.95" hidden="1" customHeight="1">
      <c r="A116" s="2695"/>
      <c r="B116" s="2610"/>
      <c r="C116" s="747">
        <v>1</v>
      </c>
      <c r="D116" s="1144"/>
      <c r="E116" s="1145"/>
      <c r="F116" s="1210">
        <f>Dren_Quantificacao!D89</f>
        <v>0</v>
      </c>
      <c r="G116" s="1210">
        <f>Dren_Quantificacao!E89</f>
        <v>0</v>
      </c>
      <c r="H116" s="1210">
        <f>Dren_Quantificacao!F89</f>
        <v>0</v>
      </c>
      <c r="I116" s="1210">
        <f>Dren_Quantificacao!G89</f>
        <v>0</v>
      </c>
      <c r="J116" s="1210"/>
      <c r="K116" s="1210"/>
      <c r="L116" s="1210"/>
      <c r="M116" s="1210"/>
      <c r="N116" s="1211"/>
      <c r="O116" s="1210">
        <f>Dren_Quantificacao!L89</f>
        <v>0</v>
      </c>
      <c r="P116" s="1210">
        <f>Dren_Quantificacao!M89</f>
        <v>0</v>
      </c>
      <c r="Q116" s="1210">
        <f>Dren_Quantificacao!N89</f>
        <v>0</v>
      </c>
      <c r="R116" s="1210">
        <f>Dren_Quantificacao!O89</f>
        <v>0</v>
      </c>
      <c r="S116" s="1210">
        <f>Dren_Quantificacao!BD89</f>
        <v>0</v>
      </c>
      <c r="T116" s="1212"/>
      <c r="U116" s="1212"/>
      <c r="V116" s="1212"/>
      <c r="W116" s="1212"/>
      <c r="X116" s="1212"/>
      <c r="Y116" s="1212"/>
      <c r="Z116" s="1212"/>
      <c r="AA116" s="1212"/>
      <c r="AB116" s="1212"/>
      <c r="AC116" s="1212"/>
      <c r="AD116" s="1212"/>
      <c r="AE116" s="1212"/>
      <c r="AF116" s="1212"/>
      <c r="AG116" s="1212"/>
      <c r="AH116" s="1212"/>
      <c r="AI116" s="1213"/>
      <c r="AJ116" s="745">
        <f t="shared" si="25"/>
        <v>0</v>
      </c>
      <c r="AK116" s="745"/>
      <c r="AL116" s="1136"/>
      <c r="AM116" s="1137"/>
      <c r="AN116" s="1137"/>
      <c r="AO116" s="1137"/>
      <c r="AP116" s="1137"/>
      <c r="AQ116" s="1137"/>
      <c r="AR116" s="1137"/>
      <c r="AS116" s="1137"/>
      <c r="AT116" s="1139">
        <v>3.629</v>
      </c>
      <c r="AU116" s="1137"/>
      <c r="AV116" s="1137"/>
      <c r="AW116" s="1137"/>
      <c r="AX116" s="1137"/>
      <c r="AY116" s="1137"/>
      <c r="AZ116" s="1137"/>
      <c r="BA116" s="1137"/>
      <c r="BB116" s="1137"/>
      <c r="BC116" s="1139">
        <v>3.629</v>
      </c>
      <c r="BD116" s="1137"/>
      <c r="BE116" s="1137"/>
      <c r="BF116" s="1137"/>
      <c r="BG116" s="1137"/>
      <c r="BH116" s="1137"/>
      <c r="BI116" s="1137">
        <v>3.629</v>
      </c>
      <c r="BJ116" s="1139"/>
      <c r="BK116" s="1139"/>
      <c r="BL116" s="1137">
        <v>13.464</v>
      </c>
      <c r="BM116" s="1137"/>
      <c r="BN116" s="1137"/>
      <c r="BO116" s="1137"/>
      <c r="BP116" s="1137"/>
      <c r="BQ116" s="1139"/>
      <c r="BR116" s="1140"/>
      <c r="BS116" s="1137"/>
      <c r="BT116" s="1141"/>
      <c r="BV116" s="746"/>
    </row>
    <row r="117" spans="1:74" s="714" customFormat="1" ht="21.95" hidden="1" customHeight="1">
      <c r="A117" s="2695"/>
      <c r="B117" s="2610"/>
      <c r="C117" s="747">
        <v>1.2</v>
      </c>
      <c r="D117" s="1144"/>
      <c r="E117" s="1145"/>
      <c r="F117" s="1210">
        <f>Dren_Quantificacao!D90</f>
        <v>0</v>
      </c>
      <c r="G117" s="1210">
        <f>Dren_Quantificacao!E90</f>
        <v>0</v>
      </c>
      <c r="H117" s="1210">
        <f>Dren_Quantificacao!F90</f>
        <v>0</v>
      </c>
      <c r="I117" s="1210">
        <f>Dren_Quantificacao!G90</f>
        <v>0</v>
      </c>
      <c r="J117" s="1210"/>
      <c r="K117" s="1210"/>
      <c r="L117" s="1210"/>
      <c r="M117" s="1210"/>
      <c r="N117" s="1211"/>
      <c r="O117" s="1210">
        <f>Dren_Quantificacao!L90</f>
        <v>0</v>
      </c>
      <c r="P117" s="1210">
        <f>Dren_Quantificacao!M90</f>
        <v>0</v>
      </c>
      <c r="Q117" s="1210">
        <f>Dren_Quantificacao!N90</f>
        <v>0</v>
      </c>
      <c r="R117" s="1210">
        <f>Dren_Quantificacao!O90</f>
        <v>0</v>
      </c>
      <c r="S117" s="1210">
        <f>Dren_Quantificacao!BD90</f>
        <v>0</v>
      </c>
      <c r="T117" s="1212"/>
      <c r="U117" s="1212"/>
      <c r="V117" s="1212"/>
      <c r="W117" s="1212"/>
      <c r="X117" s="1212"/>
      <c r="Y117" s="1212"/>
      <c r="Z117" s="1212"/>
      <c r="AA117" s="1212"/>
      <c r="AB117" s="1212"/>
      <c r="AC117" s="1212"/>
      <c r="AD117" s="1212"/>
      <c r="AE117" s="1212"/>
      <c r="AF117" s="1212"/>
      <c r="AG117" s="1212"/>
      <c r="AH117" s="1212"/>
      <c r="AI117" s="1213"/>
      <c r="AJ117" s="745">
        <f t="shared" si="25"/>
        <v>0</v>
      </c>
      <c r="AK117" s="745"/>
      <c r="AL117" s="1136"/>
      <c r="AM117" s="1137"/>
      <c r="AN117" s="1137"/>
      <c r="AO117" s="1137"/>
      <c r="AP117" s="1137"/>
      <c r="AQ117" s="1137"/>
      <c r="AR117" s="1137"/>
      <c r="AS117" s="1137"/>
      <c r="AT117" s="1139">
        <v>5.4016999999999999</v>
      </c>
      <c r="AU117" s="1137"/>
      <c r="AV117" s="1137"/>
      <c r="AW117" s="1137"/>
      <c r="AX117" s="1137"/>
      <c r="AY117" s="1137"/>
      <c r="AZ117" s="1137"/>
      <c r="BA117" s="1137"/>
      <c r="BB117" s="1137"/>
      <c r="BC117" s="1139">
        <v>5.4016999999999999</v>
      </c>
      <c r="BD117" s="1137"/>
      <c r="BE117" s="1137"/>
      <c r="BF117" s="1137"/>
      <c r="BG117" s="1137"/>
      <c r="BH117" s="1137"/>
      <c r="BI117" s="1137">
        <v>5.4016999999999999</v>
      </c>
      <c r="BJ117" s="1139"/>
      <c r="BK117" s="1139"/>
      <c r="BL117" s="1137">
        <v>17.460899999999999</v>
      </c>
      <c r="BM117" s="1137"/>
      <c r="BN117" s="1137"/>
      <c r="BO117" s="1137"/>
      <c r="BP117" s="1137"/>
      <c r="BQ117" s="1139"/>
      <c r="BR117" s="1140"/>
      <c r="BS117" s="1137"/>
      <c r="BT117" s="1141"/>
      <c r="BV117" s="746"/>
    </row>
    <row r="118" spans="1:74" s="714" customFormat="1" ht="21.95" hidden="1" customHeight="1">
      <c r="A118" s="2695"/>
      <c r="B118" s="2610"/>
      <c r="C118" s="747">
        <v>1.5</v>
      </c>
      <c r="D118" s="1227"/>
      <c r="E118" s="1228"/>
      <c r="F118" s="1214">
        <f>Dren_Quantificacao!D91</f>
        <v>0</v>
      </c>
      <c r="G118" s="1214">
        <f>Dren_Quantificacao!E91</f>
        <v>0</v>
      </c>
      <c r="H118" s="1214">
        <f>Dren_Quantificacao!F91</f>
        <v>0</v>
      </c>
      <c r="I118" s="1214">
        <f>Dren_Quantificacao!G91</f>
        <v>0</v>
      </c>
      <c r="J118" s="1214"/>
      <c r="K118" s="1214"/>
      <c r="L118" s="1214"/>
      <c r="M118" s="1214"/>
      <c r="N118" s="1215"/>
      <c r="O118" s="1214">
        <f>Dren_Quantificacao!L91</f>
        <v>0</v>
      </c>
      <c r="P118" s="1214">
        <f>Dren_Quantificacao!M91</f>
        <v>0</v>
      </c>
      <c r="Q118" s="1214">
        <f>Dren_Quantificacao!N91</f>
        <v>0</v>
      </c>
      <c r="R118" s="1214">
        <f>Dren_Quantificacao!O91</f>
        <v>0</v>
      </c>
      <c r="S118" s="1214">
        <f>Dren_Quantificacao!BD91</f>
        <v>0</v>
      </c>
      <c r="T118" s="1221"/>
      <c r="U118" s="1221"/>
      <c r="V118" s="1221"/>
      <c r="W118" s="1221"/>
      <c r="X118" s="1221"/>
      <c r="Y118" s="1221"/>
      <c r="Z118" s="1221"/>
      <c r="AA118" s="1221"/>
      <c r="AB118" s="1221"/>
      <c r="AC118" s="1221"/>
      <c r="AD118" s="1221"/>
      <c r="AE118" s="1221"/>
      <c r="AF118" s="1221"/>
      <c r="AG118" s="1221"/>
      <c r="AH118" s="1221"/>
      <c r="AI118" s="1216"/>
      <c r="AJ118" s="745">
        <f t="shared" si="25"/>
        <v>0</v>
      </c>
      <c r="AK118" s="745"/>
      <c r="AL118" s="1136"/>
      <c r="AM118" s="1137"/>
      <c r="AN118" s="1137"/>
      <c r="AO118" s="1137"/>
      <c r="AP118" s="1137"/>
      <c r="AQ118" s="1137"/>
      <c r="AR118" s="1137"/>
      <c r="AS118" s="1137"/>
      <c r="AT118" s="1139">
        <v>8.9499999999999993</v>
      </c>
      <c r="AU118" s="1137"/>
      <c r="AV118" s="1137"/>
      <c r="AW118" s="1137"/>
      <c r="AX118" s="1137"/>
      <c r="AY118" s="1137"/>
      <c r="AZ118" s="1137"/>
      <c r="BA118" s="1137"/>
      <c r="BB118" s="1137"/>
      <c r="BC118" s="1139">
        <v>8.9499999999999993</v>
      </c>
      <c r="BD118" s="1137"/>
      <c r="BE118" s="1137"/>
      <c r="BF118" s="1137"/>
      <c r="BG118" s="1137"/>
      <c r="BH118" s="1137"/>
      <c r="BI118" s="1137">
        <v>8.9499999999999993</v>
      </c>
      <c r="BJ118" s="1139"/>
      <c r="BK118" s="1139"/>
      <c r="BL118" s="1137">
        <v>24.334399999999999</v>
      </c>
      <c r="BM118" s="1137"/>
      <c r="BN118" s="1137"/>
      <c r="BO118" s="1137"/>
      <c r="BP118" s="1137"/>
      <c r="BQ118" s="1139"/>
      <c r="BR118" s="1140"/>
      <c r="BS118" s="1137"/>
      <c r="BT118" s="1141"/>
      <c r="BV118" s="746"/>
    </row>
    <row r="119" spans="1:74" s="714" customFormat="1" ht="21.95" hidden="1" customHeight="1">
      <c r="A119" s="2695"/>
      <c r="B119" s="2610"/>
      <c r="C119" s="763" t="s">
        <v>1631</v>
      </c>
      <c r="D119" s="1144"/>
      <c r="E119" s="1145"/>
      <c r="F119" s="1210">
        <f>Dren_Quantificacao!D92</f>
        <v>0</v>
      </c>
      <c r="G119" s="1210">
        <f>Dren_Quantificacao!E92</f>
        <v>0</v>
      </c>
      <c r="H119" s="1210">
        <f>Dren_Quantificacao!F92</f>
        <v>0</v>
      </c>
      <c r="I119" s="1210">
        <f>Dren_Quantificacao!G92</f>
        <v>0</v>
      </c>
      <c r="J119" s="1210"/>
      <c r="K119" s="1210"/>
      <c r="L119" s="1210"/>
      <c r="M119" s="1210"/>
      <c r="N119" s="1211"/>
      <c r="O119" s="1210">
        <f>Dren_Quantificacao!L92</f>
        <v>0</v>
      </c>
      <c r="P119" s="1210">
        <f>Dren_Quantificacao!M92</f>
        <v>0</v>
      </c>
      <c r="Q119" s="1210">
        <f>Dren_Quantificacao!N92</f>
        <v>0</v>
      </c>
      <c r="R119" s="1210">
        <f>Dren_Quantificacao!O92</f>
        <v>0</v>
      </c>
      <c r="S119" s="1210">
        <f>Dren_Quantificacao!BD92</f>
        <v>0</v>
      </c>
      <c r="T119" s="1212"/>
      <c r="U119" s="1212"/>
      <c r="V119" s="1212"/>
      <c r="W119" s="1212"/>
      <c r="X119" s="1212"/>
      <c r="Y119" s="1212"/>
      <c r="Z119" s="1212"/>
      <c r="AA119" s="1212"/>
      <c r="AB119" s="1212"/>
      <c r="AC119" s="1212"/>
      <c r="AD119" s="1212"/>
      <c r="AE119" s="1212"/>
      <c r="AF119" s="1212"/>
      <c r="AG119" s="1212"/>
      <c r="AH119" s="1212"/>
      <c r="AI119" s="1213"/>
      <c r="AJ119" s="745">
        <f t="shared" si="25"/>
        <v>0</v>
      </c>
      <c r="AK119" s="745"/>
      <c r="AL119" s="1136"/>
      <c r="AM119" s="1137"/>
      <c r="AN119" s="1137"/>
      <c r="AO119" s="1137"/>
      <c r="AP119" s="1137"/>
      <c r="AQ119" s="1137"/>
      <c r="AR119" s="1137"/>
      <c r="AS119" s="1137"/>
      <c r="AT119" s="1139"/>
      <c r="AU119" s="1137"/>
      <c r="AV119" s="1137"/>
      <c r="AW119" s="1137"/>
      <c r="AX119" s="1137"/>
      <c r="AY119" s="1137"/>
      <c r="AZ119" s="1137"/>
      <c r="BA119" s="1137"/>
      <c r="BB119" s="1137"/>
      <c r="BC119" s="1139"/>
      <c r="BD119" s="1137"/>
      <c r="BE119" s="1137"/>
      <c r="BF119" s="1137"/>
      <c r="BG119" s="1137"/>
      <c r="BH119" s="1137"/>
      <c r="BI119" s="1137"/>
      <c r="BJ119" s="1139"/>
      <c r="BK119" s="1139"/>
      <c r="BL119" s="1137"/>
      <c r="BM119" s="1137"/>
      <c r="BN119" s="1137"/>
      <c r="BO119" s="1137"/>
      <c r="BP119" s="1137"/>
      <c r="BQ119" s="1139"/>
      <c r="BR119" s="1140"/>
      <c r="BS119" s="1137"/>
      <c r="BT119" s="1141"/>
      <c r="BV119" s="746"/>
    </row>
    <row r="120" spans="1:74" s="714" customFormat="1" ht="21.95" hidden="1" customHeight="1">
      <c r="A120" s="2695"/>
      <c r="B120" s="2610"/>
      <c r="C120" s="763" t="s">
        <v>1632</v>
      </c>
      <c r="D120" s="1144"/>
      <c r="E120" s="1145"/>
      <c r="F120" s="1210">
        <f>Dren_Quantificacao!D93</f>
        <v>0</v>
      </c>
      <c r="G120" s="1210">
        <f>Dren_Quantificacao!E93</f>
        <v>0</v>
      </c>
      <c r="H120" s="1210">
        <f>Dren_Quantificacao!F93</f>
        <v>0</v>
      </c>
      <c r="I120" s="1210">
        <f>Dren_Quantificacao!G93</f>
        <v>0</v>
      </c>
      <c r="J120" s="1210"/>
      <c r="K120" s="1210"/>
      <c r="L120" s="1210"/>
      <c r="M120" s="1210"/>
      <c r="N120" s="1211"/>
      <c r="O120" s="1210">
        <f>Dren_Quantificacao!L93</f>
        <v>0</v>
      </c>
      <c r="P120" s="1210">
        <f>Dren_Quantificacao!M93</f>
        <v>0</v>
      </c>
      <c r="Q120" s="1210">
        <f>Dren_Quantificacao!N93</f>
        <v>0</v>
      </c>
      <c r="R120" s="1210">
        <f>Dren_Quantificacao!O93</f>
        <v>0</v>
      </c>
      <c r="S120" s="1210">
        <f>Dren_Quantificacao!BD93</f>
        <v>0</v>
      </c>
      <c r="T120" s="1212"/>
      <c r="U120" s="1212"/>
      <c r="V120" s="1212"/>
      <c r="W120" s="1212"/>
      <c r="X120" s="1212"/>
      <c r="Y120" s="1212"/>
      <c r="Z120" s="1212"/>
      <c r="AA120" s="1212"/>
      <c r="AB120" s="1212"/>
      <c r="AC120" s="1212"/>
      <c r="AD120" s="1212"/>
      <c r="AE120" s="1212"/>
      <c r="AF120" s="1212"/>
      <c r="AG120" s="1212"/>
      <c r="AH120" s="1212"/>
      <c r="AI120" s="1213"/>
      <c r="AJ120" s="745">
        <f t="shared" si="25"/>
        <v>0</v>
      </c>
      <c r="AK120" s="745"/>
      <c r="AL120" s="1136"/>
      <c r="AM120" s="1137"/>
      <c r="AN120" s="1137"/>
      <c r="AO120" s="1137"/>
      <c r="AP120" s="1137"/>
      <c r="AQ120" s="1137"/>
      <c r="AR120" s="1137"/>
      <c r="AS120" s="1137"/>
      <c r="AT120" s="1139"/>
      <c r="AU120" s="1137"/>
      <c r="AV120" s="1137"/>
      <c r="AW120" s="1137"/>
      <c r="AX120" s="1137"/>
      <c r="AY120" s="1137"/>
      <c r="AZ120" s="1137"/>
      <c r="BA120" s="1137"/>
      <c r="BB120" s="1137"/>
      <c r="BC120" s="1139"/>
      <c r="BD120" s="1137"/>
      <c r="BE120" s="1137"/>
      <c r="BF120" s="1137"/>
      <c r="BG120" s="1137"/>
      <c r="BH120" s="1137"/>
      <c r="BI120" s="1137"/>
      <c r="BJ120" s="1139"/>
      <c r="BK120" s="1139"/>
      <c r="BL120" s="1137"/>
      <c r="BM120" s="1137"/>
      <c r="BN120" s="1137"/>
      <c r="BO120" s="1137"/>
      <c r="BP120" s="1137"/>
      <c r="BQ120" s="1139"/>
      <c r="BR120" s="1140"/>
      <c r="BS120" s="1137"/>
      <c r="BT120" s="1141"/>
      <c r="BV120" s="746"/>
    </row>
    <row r="121" spans="1:74" s="714" customFormat="1" ht="21.95" hidden="1" customHeight="1">
      <c r="A121" s="2695"/>
      <c r="B121" s="2610"/>
      <c r="C121" s="763" t="s">
        <v>1633</v>
      </c>
      <c r="D121" s="1144"/>
      <c r="E121" s="1145"/>
      <c r="F121" s="1210">
        <f>Dren_Quantificacao!D94</f>
        <v>0</v>
      </c>
      <c r="G121" s="1210">
        <f>Dren_Quantificacao!E94</f>
        <v>0</v>
      </c>
      <c r="H121" s="1210">
        <f>Dren_Quantificacao!F94</f>
        <v>0</v>
      </c>
      <c r="I121" s="1210">
        <f>Dren_Quantificacao!G94</f>
        <v>0</v>
      </c>
      <c r="J121" s="1210"/>
      <c r="K121" s="1210"/>
      <c r="L121" s="1210"/>
      <c r="M121" s="1210"/>
      <c r="N121" s="1211"/>
      <c r="O121" s="1210">
        <f>Dren_Quantificacao!L94</f>
        <v>0</v>
      </c>
      <c r="P121" s="1210">
        <f>Dren_Quantificacao!M94</f>
        <v>0</v>
      </c>
      <c r="Q121" s="1210">
        <f>Dren_Quantificacao!N94</f>
        <v>0</v>
      </c>
      <c r="R121" s="1210">
        <f>Dren_Quantificacao!O94</f>
        <v>0</v>
      </c>
      <c r="S121" s="1210">
        <f>Dren_Quantificacao!BD94</f>
        <v>0</v>
      </c>
      <c r="T121" s="1212"/>
      <c r="U121" s="1212"/>
      <c r="V121" s="1212"/>
      <c r="W121" s="1212"/>
      <c r="X121" s="1212"/>
      <c r="Y121" s="1212"/>
      <c r="Z121" s="1212"/>
      <c r="AA121" s="1212"/>
      <c r="AB121" s="1212"/>
      <c r="AC121" s="1212"/>
      <c r="AD121" s="1212"/>
      <c r="AE121" s="1212"/>
      <c r="AF121" s="1212"/>
      <c r="AG121" s="1212"/>
      <c r="AH121" s="1212"/>
      <c r="AI121" s="1213"/>
      <c r="AJ121" s="745">
        <f t="shared" si="25"/>
        <v>0</v>
      </c>
      <c r="AK121" s="745"/>
      <c r="AL121" s="1136"/>
      <c r="AM121" s="1137"/>
      <c r="AN121" s="1137"/>
      <c r="AO121" s="1137"/>
      <c r="AP121" s="1137"/>
      <c r="AQ121" s="1137"/>
      <c r="AR121" s="1137"/>
      <c r="AS121" s="1137"/>
      <c r="AT121" s="1139"/>
      <c r="AU121" s="1137"/>
      <c r="AV121" s="1137"/>
      <c r="AW121" s="1137"/>
      <c r="AX121" s="1137"/>
      <c r="AY121" s="1137"/>
      <c r="AZ121" s="1137"/>
      <c r="BA121" s="1137"/>
      <c r="BB121" s="1137"/>
      <c r="BC121" s="1139"/>
      <c r="BD121" s="1137"/>
      <c r="BE121" s="1137"/>
      <c r="BF121" s="1137"/>
      <c r="BG121" s="1137"/>
      <c r="BH121" s="1137"/>
      <c r="BI121" s="1137"/>
      <c r="BJ121" s="1139"/>
      <c r="BK121" s="1139"/>
      <c r="BL121" s="1137"/>
      <c r="BM121" s="1137"/>
      <c r="BN121" s="1137"/>
      <c r="BO121" s="1137"/>
      <c r="BP121" s="1137"/>
      <c r="BQ121" s="1139"/>
      <c r="BR121" s="1140"/>
      <c r="BS121" s="1137"/>
      <c r="BT121" s="1141"/>
      <c r="BV121" s="746"/>
    </row>
    <row r="122" spans="1:74" s="714" customFormat="1" ht="21.95" hidden="1" customHeight="1" thickBot="1">
      <c r="A122" s="2695"/>
      <c r="B122" s="2678"/>
      <c r="C122" s="763" t="s">
        <v>1634</v>
      </c>
      <c r="D122" s="1144"/>
      <c r="E122" s="1145"/>
      <c r="F122" s="1194">
        <f>Dren_Quantificacao!D95</f>
        <v>0</v>
      </c>
      <c r="G122" s="1194">
        <f>Dren_Quantificacao!E95</f>
        <v>0</v>
      </c>
      <c r="H122" s="1194">
        <f>Dren_Quantificacao!F95</f>
        <v>0</v>
      </c>
      <c r="I122" s="1194">
        <f>Dren_Quantificacao!G95</f>
        <v>0</v>
      </c>
      <c r="J122" s="1194"/>
      <c r="K122" s="1194"/>
      <c r="L122" s="1194"/>
      <c r="M122" s="1194"/>
      <c r="N122" s="1195"/>
      <c r="O122" s="1194">
        <f>Dren_Quantificacao!L95</f>
        <v>0</v>
      </c>
      <c r="P122" s="1194">
        <f>Dren_Quantificacao!M95</f>
        <v>0</v>
      </c>
      <c r="Q122" s="1194">
        <f>Dren_Quantificacao!N95</f>
        <v>0</v>
      </c>
      <c r="R122" s="1194">
        <f>Dren_Quantificacao!O95</f>
        <v>0</v>
      </c>
      <c r="S122" s="1194">
        <f>Dren_Quantificacao!BD95</f>
        <v>0</v>
      </c>
      <c r="T122" s="1212"/>
      <c r="U122" s="1212"/>
      <c r="V122" s="1212"/>
      <c r="W122" s="1212"/>
      <c r="X122" s="1212"/>
      <c r="Y122" s="1212"/>
      <c r="Z122" s="1212"/>
      <c r="AA122" s="1212"/>
      <c r="AB122" s="1212"/>
      <c r="AC122" s="1212"/>
      <c r="AD122" s="1212"/>
      <c r="AE122" s="1212"/>
      <c r="AF122" s="1212"/>
      <c r="AG122" s="1212"/>
      <c r="AH122" s="1212"/>
      <c r="AI122" s="1213"/>
      <c r="AJ122" s="745">
        <f t="shared" si="25"/>
        <v>0</v>
      </c>
      <c r="AK122" s="745"/>
      <c r="AL122" s="1136"/>
      <c r="AM122" s="1137"/>
      <c r="AN122" s="1137"/>
      <c r="AO122" s="1137"/>
      <c r="AP122" s="1137"/>
      <c r="AQ122" s="1137"/>
      <c r="AR122" s="1137"/>
      <c r="AS122" s="1137"/>
      <c r="AT122" s="1139"/>
      <c r="AU122" s="1137"/>
      <c r="AV122" s="1137"/>
      <c r="AW122" s="1137"/>
      <c r="AX122" s="1137"/>
      <c r="AY122" s="1137"/>
      <c r="AZ122" s="1137"/>
      <c r="BA122" s="1137"/>
      <c r="BB122" s="1137"/>
      <c r="BC122" s="1139"/>
      <c r="BD122" s="1137"/>
      <c r="BE122" s="1137"/>
      <c r="BF122" s="1137"/>
      <c r="BG122" s="1137"/>
      <c r="BH122" s="1137"/>
      <c r="BI122" s="1137"/>
      <c r="BJ122" s="1139"/>
      <c r="BK122" s="1139"/>
      <c r="BL122" s="1137"/>
      <c r="BM122" s="1137"/>
      <c r="BN122" s="1137"/>
      <c r="BO122" s="1137"/>
      <c r="BP122" s="1137"/>
      <c r="BQ122" s="1139"/>
      <c r="BR122" s="1140"/>
      <c r="BS122" s="1137"/>
      <c r="BT122" s="1141"/>
      <c r="BV122" s="746"/>
    </row>
    <row r="123" spans="1:74" s="714" customFormat="1" ht="21.95" hidden="1" customHeight="1">
      <c r="A123" s="2695"/>
      <c r="B123" s="2680" t="s">
        <v>1919</v>
      </c>
      <c r="C123" s="882">
        <v>1</v>
      </c>
      <c r="D123" s="1115"/>
      <c r="E123" s="1116"/>
      <c r="F123" s="1198">
        <f>Dren_Quantificacao!D96</f>
        <v>0</v>
      </c>
      <c r="G123" s="1198">
        <f>Dren_Quantificacao!E96</f>
        <v>0</v>
      </c>
      <c r="H123" s="1198">
        <f>Dren_Quantificacao!F96</f>
        <v>0</v>
      </c>
      <c r="I123" s="1198">
        <f>Dren_Quantificacao!G96</f>
        <v>0</v>
      </c>
      <c r="J123" s="1198"/>
      <c r="K123" s="1198"/>
      <c r="L123" s="1198"/>
      <c r="M123" s="1198"/>
      <c r="N123" s="1199"/>
      <c r="O123" s="1198">
        <f>Dren_Quantificacao!L96</f>
        <v>0</v>
      </c>
      <c r="P123" s="1198">
        <f>Dren_Quantificacao!M96</f>
        <v>0</v>
      </c>
      <c r="Q123" s="1198">
        <f>Dren_Quantificacao!N96</f>
        <v>0</v>
      </c>
      <c r="R123" s="1198">
        <f>Dren_Quantificacao!O96</f>
        <v>0</v>
      </c>
      <c r="S123" s="1198">
        <f>Dren_Quantificacao!BD96</f>
        <v>0</v>
      </c>
      <c r="T123" s="1200"/>
      <c r="U123" s="1200"/>
      <c r="V123" s="1200"/>
      <c r="W123" s="1200"/>
      <c r="X123" s="1200"/>
      <c r="Y123" s="1200"/>
      <c r="Z123" s="1200"/>
      <c r="AA123" s="1200"/>
      <c r="AB123" s="1200"/>
      <c r="AC123" s="1200"/>
      <c r="AD123" s="1200"/>
      <c r="AE123" s="1200"/>
      <c r="AF123" s="1200"/>
      <c r="AG123" s="1200"/>
      <c r="AH123" s="1200"/>
      <c r="AI123" s="1229"/>
      <c r="AJ123" s="745">
        <f t="shared" si="25"/>
        <v>0</v>
      </c>
      <c r="AK123" s="745"/>
      <c r="AL123" s="1136">
        <v>0.9</v>
      </c>
      <c r="AM123" s="1137"/>
      <c r="AN123" s="1137"/>
      <c r="AO123" s="1137"/>
      <c r="AP123" s="1137">
        <v>8.24</v>
      </c>
      <c r="AQ123" s="1137"/>
      <c r="AR123" s="1137"/>
      <c r="AS123" s="1137"/>
      <c r="AT123" s="1139"/>
      <c r="AU123" s="1137">
        <v>0.9</v>
      </c>
      <c r="AV123" s="1137"/>
      <c r="AW123" s="1137"/>
      <c r="AX123" s="1137"/>
      <c r="AY123" s="1137">
        <v>8.24</v>
      </c>
      <c r="AZ123" s="1137"/>
      <c r="BA123" s="1137"/>
      <c r="BB123" s="1137"/>
      <c r="BC123" s="1139"/>
      <c r="BD123" s="1137">
        <v>0.9</v>
      </c>
      <c r="BE123" s="1137"/>
      <c r="BF123" s="1137"/>
      <c r="BG123" s="1137"/>
      <c r="BH123" s="1137">
        <v>8.24</v>
      </c>
      <c r="BI123" s="1137"/>
      <c r="BJ123" s="1139"/>
      <c r="BK123" s="1139">
        <v>34.36</v>
      </c>
      <c r="BL123" s="1137"/>
      <c r="BM123" s="1137"/>
      <c r="BN123" s="1137"/>
      <c r="BO123" s="1137"/>
      <c r="BP123" s="1137">
        <v>34.299999999999997</v>
      </c>
      <c r="BQ123" s="1139">
        <v>3</v>
      </c>
      <c r="BR123" s="1140"/>
      <c r="BS123" s="1137"/>
      <c r="BT123" s="1141"/>
      <c r="BV123" s="746"/>
    </row>
    <row r="124" spans="1:74" s="714" customFormat="1" ht="21.95" hidden="1" customHeight="1" thickBot="1">
      <c r="A124" s="2695"/>
      <c r="B124" s="2681"/>
      <c r="C124" s="1167">
        <v>2</v>
      </c>
      <c r="D124" s="1208"/>
      <c r="E124" s="1209"/>
      <c r="F124" s="1210">
        <f>Dren_Quantificacao!D97</f>
        <v>0</v>
      </c>
      <c r="G124" s="1210">
        <f>Dren_Quantificacao!E97</f>
        <v>0</v>
      </c>
      <c r="H124" s="1210">
        <f>Dren_Quantificacao!F97</f>
        <v>0</v>
      </c>
      <c r="I124" s="1210">
        <f>Dren_Quantificacao!G97</f>
        <v>0</v>
      </c>
      <c r="J124" s="1210"/>
      <c r="K124" s="1210"/>
      <c r="L124" s="1210"/>
      <c r="M124" s="1210"/>
      <c r="N124" s="1211"/>
      <c r="O124" s="1210">
        <f>Dren_Quantificacao!L97</f>
        <v>0</v>
      </c>
      <c r="P124" s="1210">
        <f>Dren_Quantificacao!M97</f>
        <v>0</v>
      </c>
      <c r="Q124" s="1210">
        <f>Dren_Quantificacao!N97</f>
        <v>0</v>
      </c>
      <c r="R124" s="1210">
        <f>Dren_Quantificacao!O97</f>
        <v>0</v>
      </c>
      <c r="S124" s="1210">
        <f>Dren_Quantificacao!BD97</f>
        <v>0</v>
      </c>
      <c r="T124" s="1212"/>
      <c r="U124" s="1212"/>
      <c r="V124" s="1212"/>
      <c r="W124" s="1212"/>
      <c r="X124" s="1212"/>
      <c r="Y124" s="1212"/>
      <c r="Z124" s="1212"/>
      <c r="AA124" s="1212"/>
      <c r="AB124" s="1212"/>
      <c r="AC124" s="1212"/>
      <c r="AD124" s="1212"/>
      <c r="AE124" s="1212"/>
      <c r="AF124" s="1212"/>
      <c r="AG124" s="1212"/>
      <c r="AH124" s="1212"/>
      <c r="AI124" s="1230"/>
      <c r="AJ124" s="745">
        <f t="shared" si="25"/>
        <v>0</v>
      </c>
      <c r="AK124" s="745"/>
      <c r="AL124" s="1136">
        <v>1.3</v>
      </c>
      <c r="AM124" s="1137"/>
      <c r="AN124" s="1137"/>
      <c r="AO124" s="1137"/>
      <c r="AP124" s="1137">
        <v>12.48</v>
      </c>
      <c r="AQ124" s="1137"/>
      <c r="AR124" s="1137"/>
      <c r="AS124" s="1137"/>
      <c r="AT124" s="1139"/>
      <c r="AU124" s="1137">
        <v>1.3</v>
      </c>
      <c r="AV124" s="1137"/>
      <c r="AW124" s="1137"/>
      <c r="AX124" s="1137"/>
      <c r="AY124" s="1137">
        <v>12.48</v>
      </c>
      <c r="AZ124" s="1137"/>
      <c r="BA124" s="1137"/>
      <c r="BB124" s="1137"/>
      <c r="BC124" s="1139"/>
      <c r="BD124" s="1137">
        <v>1.3</v>
      </c>
      <c r="BE124" s="1137"/>
      <c r="BF124" s="1137"/>
      <c r="BG124" s="1137"/>
      <c r="BH124" s="1137">
        <v>12.48</v>
      </c>
      <c r="BI124" s="1137"/>
      <c r="BJ124" s="1139"/>
      <c r="BK124" s="1139">
        <v>45.28</v>
      </c>
      <c r="BL124" s="1137"/>
      <c r="BM124" s="1137"/>
      <c r="BN124" s="1137"/>
      <c r="BO124" s="1137"/>
      <c r="BP124" s="1137">
        <v>50.6</v>
      </c>
      <c r="BQ124" s="1139">
        <v>5.88</v>
      </c>
      <c r="BR124" s="1140"/>
      <c r="BS124" s="1137"/>
      <c r="BT124" s="1141"/>
      <c r="BU124" s="1141"/>
      <c r="BV124" s="746"/>
    </row>
    <row r="125" spans="1:74" s="714" customFormat="1" ht="21.95" hidden="1" customHeight="1">
      <c r="A125" s="2695"/>
      <c r="B125" s="2681"/>
      <c r="C125" s="1174">
        <v>3</v>
      </c>
      <c r="D125" s="1208"/>
      <c r="E125" s="1209"/>
      <c r="F125" s="1210">
        <f>Dren_Quantificacao!D98</f>
        <v>0</v>
      </c>
      <c r="G125" s="1210">
        <f>Dren_Quantificacao!E98</f>
        <v>0</v>
      </c>
      <c r="H125" s="1210">
        <f>Dren_Quantificacao!F98</f>
        <v>0</v>
      </c>
      <c r="I125" s="1210">
        <f>Dren_Quantificacao!G98</f>
        <v>0</v>
      </c>
      <c r="J125" s="1210"/>
      <c r="K125" s="1210"/>
      <c r="L125" s="1210"/>
      <c r="M125" s="1210"/>
      <c r="N125" s="1211"/>
      <c r="O125" s="1210">
        <f>Dren_Quantificacao!L98</f>
        <v>0</v>
      </c>
      <c r="P125" s="1210">
        <f>Dren_Quantificacao!M98</f>
        <v>0</v>
      </c>
      <c r="Q125" s="1210">
        <f>Dren_Quantificacao!N98</f>
        <v>0</v>
      </c>
      <c r="R125" s="1210">
        <f>Dren_Quantificacao!O98</f>
        <v>0</v>
      </c>
      <c r="S125" s="1210">
        <f>Dren_Quantificacao!BD98</f>
        <v>0</v>
      </c>
      <c r="T125" s="1212"/>
      <c r="U125" s="1212"/>
      <c r="V125" s="1212"/>
      <c r="W125" s="1212"/>
      <c r="X125" s="1212"/>
      <c r="Y125" s="1212"/>
      <c r="Z125" s="1212"/>
      <c r="AA125" s="1212"/>
      <c r="AB125" s="1212"/>
      <c r="AC125" s="1212"/>
      <c r="AD125" s="1212"/>
      <c r="AE125" s="1212"/>
      <c r="AF125" s="1212"/>
      <c r="AG125" s="1212"/>
      <c r="AH125" s="1212"/>
      <c r="AI125" s="1229"/>
      <c r="AJ125" s="745">
        <f t="shared" si="25"/>
        <v>0</v>
      </c>
      <c r="AK125" s="745"/>
      <c r="AL125" s="1136">
        <v>1.8</v>
      </c>
      <c r="AM125" s="1137"/>
      <c r="AN125" s="1137"/>
      <c r="AO125" s="1137"/>
      <c r="AP125" s="1137">
        <v>17.600000000000001</v>
      </c>
      <c r="AQ125" s="1137"/>
      <c r="AR125" s="1137"/>
      <c r="AS125" s="1137"/>
      <c r="AT125" s="1139"/>
      <c r="AU125" s="1137">
        <v>1.8</v>
      </c>
      <c r="AV125" s="1137"/>
      <c r="AW125" s="1137"/>
      <c r="AX125" s="1137"/>
      <c r="AY125" s="1137">
        <v>17.600000000000001</v>
      </c>
      <c r="AZ125" s="1137"/>
      <c r="BA125" s="1137"/>
      <c r="BB125" s="1137"/>
      <c r="BC125" s="1139"/>
      <c r="BD125" s="1137">
        <v>1.8</v>
      </c>
      <c r="BE125" s="1137"/>
      <c r="BF125" s="1137"/>
      <c r="BG125" s="1137"/>
      <c r="BH125" s="1137">
        <v>17.600000000000001</v>
      </c>
      <c r="BI125" s="1137"/>
      <c r="BJ125" s="1139"/>
      <c r="BK125" s="1139">
        <v>59.3</v>
      </c>
      <c r="BL125" s="1137"/>
      <c r="BM125" s="1137"/>
      <c r="BN125" s="1137"/>
      <c r="BO125" s="1137"/>
      <c r="BP125" s="1137">
        <v>70.099999999999994</v>
      </c>
      <c r="BQ125" s="1139">
        <v>10.130000000000001</v>
      </c>
      <c r="BR125" s="1140"/>
      <c r="BS125" s="1137"/>
      <c r="BT125" s="1141"/>
      <c r="BU125" s="1141"/>
      <c r="BV125" s="746"/>
    </row>
    <row r="126" spans="1:74" s="714" customFormat="1" ht="21.95" hidden="1" customHeight="1">
      <c r="A126" s="2695"/>
      <c r="B126" s="2681"/>
      <c r="C126" s="1167">
        <v>4</v>
      </c>
      <c r="D126" s="1208"/>
      <c r="E126" s="1209"/>
      <c r="F126" s="1210">
        <f>Dren_Quantificacao!D99</f>
        <v>0</v>
      </c>
      <c r="G126" s="1210">
        <f>Dren_Quantificacao!E99</f>
        <v>0</v>
      </c>
      <c r="H126" s="1210">
        <f>Dren_Quantificacao!F99</f>
        <v>0</v>
      </c>
      <c r="I126" s="1210">
        <f>Dren_Quantificacao!G99</f>
        <v>0</v>
      </c>
      <c r="J126" s="1210"/>
      <c r="K126" s="1210"/>
      <c r="L126" s="1210"/>
      <c r="M126" s="1210"/>
      <c r="N126" s="1211"/>
      <c r="O126" s="1210">
        <f>Dren_Quantificacao!L99</f>
        <v>0</v>
      </c>
      <c r="P126" s="1210">
        <f>Dren_Quantificacao!M99</f>
        <v>0</v>
      </c>
      <c r="Q126" s="1210">
        <f>Dren_Quantificacao!N99</f>
        <v>0</v>
      </c>
      <c r="R126" s="1210">
        <f>Dren_Quantificacao!O99</f>
        <v>0</v>
      </c>
      <c r="S126" s="1210">
        <f>Dren_Quantificacao!BD99</f>
        <v>0</v>
      </c>
      <c r="T126" s="1212"/>
      <c r="U126" s="1212"/>
      <c r="V126" s="1212"/>
      <c r="W126" s="1212"/>
      <c r="X126" s="1212"/>
      <c r="Y126" s="1212"/>
      <c r="Z126" s="1212"/>
      <c r="AA126" s="1212"/>
      <c r="AB126" s="1212"/>
      <c r="AC126" s="1212"/>
      <c r="AD126" s="1212"/>
      <c r="AE126" s="1212"/>
      <c r="AF126" s="1212"/>
      <c r="AG126" s="1212"/>
      <c r="AH126" s="1212"/>
      <c r="AI126" s="1230"/>
      <c r="AJ126" s="745">
        <f t="shared" si="25"/>
        <v>0</v>
      </c>
      <c r="AK126" s="745"/>
      <c r="AL126" s="1136">
        <v>2.4</v>
      </c>
      <c r="AM126" s="1137"/>
      <c r="AN126" s="1137"/>
      <c r="AO126" s="1137"/>
      <c r="AP126" s="1137">
        <v>23.72</v>
      </c>
      <c r="AQ126" s="1137"/>
      <c r="AR126" s="1137"/>
      <c r="AS126" s="1137"/>
      <c r="AT126" s="1139"/>
      <c r="AU126" s="1137">
        <v>2.4</v>
      </c>
      <c r="AV126" s="1137"/>
      <c r="AW126" s="1137"/>
      <c r="AX126" s="1137"/>
      <c r="AY126" s="1137">
        <v>23.72</v>
      </c>
      <c r="AZ126" s="1137"/>
      <c r="BA126" s="1137"/>
      <c r="BB126" s="1137"/>
      <c r="BC126" s="1139"/>
      <c r="BD126" s="1137">
        <v>2.4</v>
      </c>
      <c r="BE126" s="1137"/>
      <c r="BF126" s="1137"/>
      <c r="BG126" s="1137"/>
      <c r="BH126" s="1137">
        <v>23.72</v>
      </c>
      <c r="BI126" s="1137"/>
      <c r="BJ126" s="1139"/>
      <c r="BK126" s="1139">
        <v>74.98</v>
      </c>
      <c r="BL126" s="1137"/>
      <c r="BM126" s="1137"/>
      <c r="BN126" s="1137"/>
      <c r="BO126" s="1137"/>
      <c r="BP126" s="1137">
        <v>92.7</v>
      </c>
      <c r="BQ126" s="1139">
        <v>16.11</v>
      </c>
      <c r="BR126" s="1140"/>
      <c r="BS126" s="1137"/>
      <c r="BT126" s="1141"/>
      <c r="BU126" s="1141"/>
      <c r="BV126" s="746"/>
    </row>
    <row r="127" spans="1:74" s="714" customFormat="1" ht="21.95" hidden="1" customHeight="1">
      <c r="A127" s="2695"/>
      <c r="B127" s="2681"/>
      <c r="C127" s="1167">
        <v>5</v>
      </c>
      <c r="D127" s="1208"/>
      <c r="E127" s="1209"/>
      <c r="F127" s="1210">
        <f>Dren_Quantificacao!D100</f>
        <v>0</v>
      </c>
      <c r="G127" s="1210">
        <f>Dren_Quantificacao!E100</f>
        <v>0</v>
      </c>
      <c r="H127" s="1210">
        <f>Dren_Quantificacao!F100</f>
        <v>0</v>
      </c>
      <c r="I127" s="1210">
        <f>Dren_Quantificacao!G100</f>
        <v>0</v>
      </c>
      <c r="J127" s="1210"/>
      <c r="K127" s="1210"/>
      <c r="L127" s="1210"/>
      <c r="M127" s="1210"/>
      <c r="N127" s="1211"/>
      <c r="O127" s="1210">
        <f>Dren_Quantificacao!L100</f>
        <v>0</v>
      </c>
      <c r="P127" s="1210">
        <f>Dren_Quantificacao!M100</f>
        <v>0</v>
      </c>
      <c r="Q127" s="1210">
        <f>Dren_Quantificacao!N100</f>
        <v>0</v>
      </c>
      <c r="R127" s="1210">
        <f>Dren_Quantificacao!O100</f>
        <v>0</v>
      </c>
      <c r="S127" s="1210">
        <f>Dren_Quantificacao!BD100</f>
        <v>0</v>
      </c>
      <c r="T127" s="1212"/>
      <c r="U127" s="1212"/>
      <c r="V127" s="1212"/>
      <c r="W127" s="1212"/>
      <c r="X127" s="1212"/>
      <c r="Y127" s="1212"/>
      <c r="Z127" s="1212"/>
      <c r="AA127" s="1212"/>
      <c r="AB127" s="1212"/>
      <c r="AC127" s="1212"/>
      <c r="AD127" s="1212"/>
      <c r="AE127" s="1212"/>
      <c r="AF127" s="1212"/>
      <c r="AG127" s="1212"/>
      <c r="AH127" s="1212"/>
      <c r="AI127" s="1230"/>
      <c r="AJ127" s="745">
        <f t="shared" si="25"/>
        <v>0</v>
      </c>
      <c r="AK127" s="745"/>
      <c r="AL127" s="1136">
        <v>3.7</v>
      </c>
      <c r="AM127" s="1137"/>
      <c r="AN127" s="1137"/>
      <c r="AO127" s="1137"/>
      <c r="AP127" s="1137">
        <v>39.14</v>
      </c>
      <c r="AQ127" s="1137"/>
      <c r="AR127" s="1137"/>
      <c r="AS127" s="1137"/>
      <c r="AT127" s="1139"/>
      <c r="AU127" s="1137">
        <v>3.7</v>
      </c>
      <c r="AV127" s="1137"/>
      <c r="AW127" s="1137"/>
      <c r="AX127" s="1137"/>
      <c r="AY127" s="1137">
        <v>39.14</v>
      </c>
      <c r="AZ127" s="1137"/>
      <c r="BA127" s="1137"/>
      <c r="BB127" s="1137"/>
      <c r="BC127" s="1139"/>
      <c r="BD127" s="1137">
        <v>3.7</v>
      </c>
      <c r="BE127" s="1137"/>
      <c r="BF127" s="1137"/>
      <c r="BG127" s="1137"/>
      <c r="BH127" s="1137">
        <v>39.14</v>
      </c>
      <c r="BI127" s="1137"/>
      <c r="BJ127" s="1139"/>
      <c r="BK127" s="1139">
        <v>109.04</v>
      </c>
      <c r="BL127" s="1137"/>
      <c r="BM127" s="1137"/>
      <c r="BN127" s="1137"/>
      <c r="BO127" s="1137"/>
      <c r="BP127" s="1137">
        <v>147.6</v>
      </c>
      <c r="BQ127" s="1139">
        <v>34.22</v>
      </c>
      <c r="BR127" s="1140"/>
      <c r="BS127" s="1137"/>
      <c r="BT127" s="1141"/>
      <c r="BU127" s="1141"/>
      <c r="BV127" s="746"/>
    </row>
    <row r="128" spans="1:74" s="714" customFormat="1" ht="21.95" hidden="1" customHeight="1">
      <c r="A128" s="2695"/>
      <c r="B128" s="2681"/>
      <c r="C128" s="1167">
        <v>6</v>
      </c>
      <c r="D128" s="1219"/>
      <c r="E128" s="1220"/>
      <c r="F128" s="1214">
        <f>Dren_Quantificacao!D101</f>
        <v>0</v>
      </c>
      <c r="G128" s="1214">
        <f>Dren_Quantificacao!E101</f>
        <v>0</v>
      </c>
      <c r="H128" s="1214">
        <f>Dren_Quantificacao!F101</f>
        <v>0</v>
      </c>
      <c r="I128" s="1214">
        <f>Dren_Quantificacao!G101</f>
        <v>0</v>
      </c>
      <c r="J128" s="1214"/>
      <c r="K128" s="1214"/>
      <c r="L128" s="1214"/>
      <c r="M128" s="1214"/>
      <c r="N128" s="1215"/>
      <c r="O128" s="1214">
        <f>Dren_Quantificacao!L101</f>
        <v>0</v>
      </c>
      <c r="P128" s="1214">
        <f>Dren_Quantificacao!M101</f>
        <v>0</v>
      </c>
      <c r="Q128" s="1214">
        <f>Dren_Quantificacao!N101</f>
        <v>0</v>
      </c>
      <c r="R128" s="1214">
        <f>Dren_Quantificacao!O101</f>
        <v>0</v>
      </c>
      <c r="S128" s="1214">
        <f>Dren_Quantificacao!BD101</f>
        <v>0</v>
      </c>
      <c r="T128" s="1221"/>
      <c r="U128" s="1221"/>
      <c r="V128" s="1221"/>
      <c r="W128" s="1221"/>
      <c r="X128" s="1221"/>
      <c r="Y128" s="1221"/>
      <c r="Z128" s="1221"/>
      <c r="AA128" s="1221"/>
      <c r="AB128" s="1221"/>
      <c r="AC128" s="1221"/>
      <c r="AD128" s="1221"/>
      <c r="AE128" s="1221"/>
      <c r="AF128" s="1221"/>
      <c r="AG128" s="1221"/>
      <c r="AH128" s="1221"/>
      <c r="AI128" s="1231"/>
      <c r="AJ128" s="745">
        <f t="shared" si="25"/>
        <v>0</v>
      </c>
      <c r="AK128" s="745"/>
      <c r="AL128" s="1136">
        <v>4.5</v>
      </c>
      <c r="AM128" s="1137"/>
      <c r="AN128" s="1137"/>
      <c r="AO128" s="1137"/>
      <c r="AP128" s="1137">
        <v>48.36</v>
      </c>
      <c r="AQ128" s="1137"/>
      <c r="AR128" s="1137"/>
      <c r="AS128" s="1137"/>
      <c r="AT128" s="1139"/>
      <c r="AU128" s="1137">
        <v>4.5</v>
      </c>
      <c r="AV128" s="1137"/>
      <c r="AW128" s="1137"/>
      <c r="AX128" s="1137"/>
      <c r="AY128" s="1137">
        <v>48.36</v>
      </c>
      <c r="AZ128" s="1137"/>
      <c r="BA128" s="1137"/>
      <c r="BB128" s="1137"/>
      <c r="BC128" s="1139"/>
      <c r="BD128" s="1137">
        <v>4.5</v>
      </c>
      <c r="BE128" s="1137"/>
      <c r="BF128" s="1137"/>
      <c r="BG128" s="1137"/>
      <c r="BH128" s="1137">
        <v>48.36</v>
      </c>
      <c r="BI128" s="1137"/>
      <c r="BJ128" s="1139"/>
      <c r="BK128" s="1139">
        <v>126.26</v>
      </c>
      <c r="BL128" s="1232"/>
      <c r="BM128" s="1137"/>
      <c r="BN128" s="1137"/>
      <c r="BO128" s="1137"/>
      <c r="BP128" s="1137">
        <v>179.6</v>
      </c>
      <c r="BQ128" s="1139">
        <v>46.87</v>
      </c>
      <c r="BR128" s="1140"/>
      <c r="BS128" s="1137"/>
      <c r="BT128" s="1141"/>
      <c r="BU128" s="1141"/>
      <c r="BV128" s="746"/>
    </row>
    <row r="129" spans="1:74" s="714" customFormat="1" ht="21.95" hidden="1" customHeight="1">
      <c r="A129" s="2695"/>
      <c r="B129" s="2681"/>
      <c r="C129" s="763" t="s">
        <v>1920</v>
      </c>
      <c r="D129" s="1144"/>
      <c r="E129" s="1145"/>
      <c r="F129" s="1233">
        <f>0.9*F123+1.3*F124+1.8*F125+2.4*F126+3.7*F127+4.5*F128</f>
        <v>0</v>
      </c>
      <c r="G129" s="1233">
        <f t="shared" ref="G129:R129" si="26">0.9*G123+1.3*G124+1.8*G125+2.4*G126+3.7*G127+4.5*G128</f>
        <v>0</v>
      </c>
      <c r="H129" s="1233">
        <f t="shared" si="26"/>
        <v>0</v>
      </c>
      <c r="I129" s="1233">
        <f t="shared" si="26"/>
        <v>0</v>
      </c>
      <c r="J129" s="1233"/>
      <c r="K129" s="1233"/>
      <c r="L129" s="1233"/>
      <c r="M129" s="1233"/>
      <c r="N129" s="1234"/>
      <c r="O129" s="1233">
        <f t="shared" si="26"/>
        <v>0</v>
      </c>
      <c r="P129" s="1233">
        <f t="shared" si="26"/>
        <v>0</v>
      </c>
      <c r="Q129" s="1233">
        <f t="shared" si="26"/>
        <v>0</v>
      </c>
      <c r="R129" s="1233">
        <f t="shared" si="26"/>
        <v>0</v>
      </c>
      <c r="S129" s="1233">
        <f>0.9*S123+1.3*S124+1.8*S125+2.4*S126+3.7*S127+4.5*S128</f>
        <v>0</v>
      </c>
      <c r="T129" s="1235"/>
      <c r="U129" s="1235"/>
      <c r="V129" s="1235"/>
      <c r="W129" s="1235"/>
      <c r="X129" s="1235"/>
      <c r="Y129" s="1235"/>
      <c r="Z129" s="1235"/>
      <c r="AA129" s="1235"/>
      <c r="AB129" s="1235"/>
      <c r="AC129" s="1235"/>
      <c r="AD129" s="1235"/>
      <c r="AE129" s="1235"/>
      <c r="AF129" s="1235"/>
      <c r="AG129" s="1235"/>
      <c r="AH129" s="1235"/>
      <c r="AI129" s="1236"/>
      <c r="AJ129" s="745">
        <f t="shared" si="25"/>
        <v>0</v>
      </c>
      <c r="AK129" s="745"/>
      <c r="AL129" s="1136"/>
      <c r="AM129" s="1137"/>
      <c r="AN129" s="1137"/>
      <c r="AO129" s="1137"/>
      <c r="AP129" s="1137"/>
      <c r="AQ129" s="1137"/>
      <c r="AR129" s="1137"/>
      <c r="AS129" s="1137"/>
      <c r="AT129" s="1139"/>
      <c r="AU129" s="1137"/>
      <c r="AV129" s="1137"/>
      <c r="AW129" s="1137"/>
      <c r="AX129" s="1137"/>
      <c r="AY129" s="1137"/>
      <c r="AZ129" s="1137"/>
      <c r="BA129" s="1137"/>
      <c r="BB129" s="1137"/>
      <c r="BC129" s="1139"/>
      <c r="BD129" s="1137"/>
      <c r="BE129" s="1137"/>
      <c r="BF129" s="1137"/>
      <c r="BG129" s="1137"/>
      <c r="BH129" s="1137"/>
      <c r="BI129" s="1137"/>
      <c r="BJ129" s="1139"/>
      <c r="BK129" s="1139"/>
      <c r="BL129" s="1137"/>
      <c r="BM129" s="1137"/>
      <c r="BN129" s="1137"/>
      <c r="BO129" s="1137"/>
      <c r="BP129" s="1137"/>
      <c r="BQ129" s="1139"/>
      <c r="BR129" s="1140"/>
      <c r="BS129" s="1137"/>
      <c r="BT129" s="1141"/>
      <c r="BU129" s="1141"/>
      <c r="BV129" s="746"/>
    </row>
    <row r="130" spans="1:74" s="714" customFormat="1" ht="21.95" hidden="1" customHeight="1">
      <c r="A130" s="2695"/>
      <c r="B130" s="2681"/>
      <c r="C130" s="747" t="s">
        <v>1656</v>
      </c>
      <c r="D130" s="1144"/>
      <c r="E130" s="1145"/>
      <c r="F130" s="1233">
        <f>8.24*F123+12.48*F124+17.6*F125+23.72*F126+39.14*F127+48.36*F128</f>
        <v>0</v>
      </c>
      <c r="G130" s="1233">
        <f t="shared" ref="G130:R130" si="27">8.24*G123+12.48*G124+17.6*G125+23.72*G126+39.14*G127+48.36*G128</f>
        <v>0</v>
      </c>
      <c r="H130" s="1233">
        <f t="shared" si="27"/>
        <v>0</v>
      </c>
      <c r="I130" s="1233">
        <f t="shared" si="27"/>
        <v>0</v>
      </c>
      <c r="J130" s="1233"/>
      <c r="K130" s="1233"/>
      <c r="L130" s="1233"/>
      <c r="M130" s="1233"/>
      <c r="N130" s="1234"/>
      <c r="O130" s="1233">
        <f t="shared" si="27"/>
        <v>0</v>
      </c>
      <c r="P130" s="1233">
        <f t="shared" si="27"/>
        <v>0</v>
      </c>
      <c r="Q130" s="1233">
        <f t="shared" si="27"/>
        <v>0</v>
      </c>
      <c r="R130" s="1233">
        <f t="shared" si="27"/>
        <v>0</v>
      </c>
      <c r="S130" s="1233">
        <f>8.24*S123+12.48*S124+17.6*S125+23.72*S126+39.14*S127+48.36*S128</f>
        <v>0</v>
      </c>
      <c r="T130" s="1235"/>
      <c r="U130" s="1235"/>
      <c r="V130" s="1235"/>
      <c r="W130" s="1235"/>
      <c r="X130" s="1235"/>
      <c r="Y130" s="1235"/>
      <c r="Z130" s="1235"/>
      <c r="AA130" s="1235"/>
      <c r="AB130" s="1235"/>
      <c r="AC130" s="1235"/>
      <c r="AD130" s="1235"/>
      <c r="AE130" s="1235"/>
      <c r="AF130" s="1235"/>
      <c r="AG130" s="1235"/>
      <c r="AH130" s="1235"/>
      <c r="AI130" s="1236"/>
      <c r="AJ130" s="745">
        <f t="shared" ref="AJ130:AJ134" si="28">SUM(F130:AI130)</f>
        <v>0</v>
      </c>
      <c r="AK130" s="745"/>
      <c r="AL130" s="1136"/>
      <c r="AM130" s="1137"/>
      <c r="AN130" s="1137"/>
      <c r="AO130" s="1137"/>
      <c r="AP130" s="1137"/>
      <c r="AQ130" s="1137"/>
      <c r="AR130" s="1137"/>
      <c r="AS130" s="1137"/>
      <c r="AT130" s="1139"/>
      <c r="AU130" s="1137"/>
      <c r="AV130" s="1137"/>
      <c r="AW130" s="1137"/>
      <c r="AX130" s="1137"/>
      <c r="AY130" s="1137"/>
      <c r="AZ130" s="1137"/>
      <c r="BA130" s="1137"/>
      <c r="BB130" s="1137"/>
      <c r="BC130" s="1139"/>
      <c r="BD130" s="1137"/>
      <c r="BE130" s="1137"/>
      <c r="BF130" s="1137"/>
      <c r="BG130" s="1137"/>
      <c r="BH130" s="1137"/>
      <c r="BI130" s="1137"/>
      <c r="BJ130" s="1139"/>
      <c r="BK130" s="1139"/>
      <c r="BL130" s="1137"/>
      <c r="BM130" s="1137"/>
      <c r="BN130" s="1137"/>
      <c r="BO130" s="1137"/>
      <c r="BP130" s="1137"/>
      <c r="BQ130" s="1139"/>
      <c r="BR130" s="1140"/>
      <c r="BS130" s="1137"/>
      <c r="BT130" s="1141"/>
      <c r="BU130" s="1141"/>
      <c r="BV130" s="746"/>
    </row>
    <row r="131" spans="1:74" s="714" customFormat="1" ht="21.95" hidden="1" customHeight="1">
      <c r="A131" s="2695"/>
      <c r="B131" s="2681"/>
      <c r="C131" s="747" t="s">
        <v>1921</v>
      </c>
      <c r="D131" s="1144"/>
      <c r="E131" s="1145"/>
      <c r="F131" s="1233">
        <f>34.3*F123+50.6*F124+70.1*F125+92.7*F126+147.6*F127+179.6*F128</f>
        <v>0</v>
      </c>
      <c r="G131" s="1233">
        <f t="shared" ref="G131:R131" si="29">34.3*G123+50.6*G124+70.1*G125+92.7*G126+147.6*G127+179.6*G128</f>
        <v>0</v>
      </c>
      <c r="H131" s="1233">
        <f t="shared" si="29"/>
        <v>0</v>
      </c>
      <c r="I131" s="1233">
        <f t="shared" si="29"/>
        <v>0</v>
      </c>
      <c r="J131" s="1233"/>
      <c r="K131" s="1233"/>
      <c r="L131" s="1233"/>
      <c r="M131" s="1233"/>
      <c r="N131" s="1234"/>
      <c r="O131" s="1233">
        <f t="shared" si="29"/>
        <v>0</v>
      </c>
      <c r="P131" s="1233">
        <f t="shared" si="29"/>
        <v>0</v>
      </c>
      <c r="Q131" s="1233">
        <f t="shared" si="29"/>
        <v>0</v>
      </c>
      <c r="R131" s="1233">
        <f t="shared" si="29"/>
        <v>0</v>
      </c>
      <c r="S131" s="1233">
        <f>34.3*S123+50.6*S124+70.1*S125+92.7*S126+147.6*S127+179.6*S128</f>
        <v>0</v>
      </c>
      <c r="T131" s="1235"/>
      <c r="U131" s="1235"/>
      <c r="V131" s="1235"/>
      <c r="W131" s="1235"/>
      <c r="X131" s="1235"/>
      <c r="Y131" s="1235"/>
      <c r="Z131" s="1235"/>
      <c r="AA131" s="1235"/>
      <c r="AB131" s="1235"/>
      <c r="AC131" s="1235"/>
      <c r="AD131" s="1235"/>
      <c r="AE131" s="1235"/>
      <c r="AF131" s="1235"/>
      <c r="AG131" s="1235"/>
      <c r="AH131" s="1235"/>
      <c r="AI131" s="1236"/>
      <c r="AJ131" s="745">
        <f t="shared" si="28"/>
        <v>0</v>
      </c>
      <c r="AK131" s="745"/>
      <c r="AL131" s="1136"/>
      <c r="AM131" s="1137"/>
      <c r="AN131" s="1137"/>
      <c r="AO131" s="1137"/>
      <c r="AP131" s="1137"/>
      <c r="AQ131" s="1137"/>
      <c r="AR131" s="1137"/>
      <c r="AS131" s="1137"/>
      <c r="AT131" s="1139"/>
      <c r="AU131" s="1137"/>
      <c r="AV131" s="1137"/>
      <c r="AW131" s="1137"/>
      <c r="AX131" s="1137"/>
      <c r="AY131" s="1137"/>
      <c r="AZ131" s="1137"/>
      <c r="BA131" s="1137"/>
      <c r="BB131" s="1137"/>
      <c r="BC131" s="1139"/>
      <c r="BD131" s="1137"/>
      <c r="BE131" s="1137"/>
      <c r="BF131" s="1137"/>
      <c r="BG131" s="1137"/>
      <c r="BH131" s="1137"/>
      <c r="BI131" s="1137"/>
      <c r="BJ131" s="1139"/>
      <c r="BK131" s="1139"/>
      <c r="BL131" s="1137"/>
      <c r="BM131" s="1137"/>
      <c r="BN131" s="1137"/>
      <c r="BO131" s="1137"/>
      <c r="BP131" s="1137"/>
      <c r="BQ131" s="1139"/>
      <c r="BR131" s="1140"/>
      <c r="BS131" s="1137"/>
      <c r="BT131" s="1141"/>
      <c r="BU131" s="1141"/>
      <c r="BV131" s="746"/>
    </row>
    <row r="132" spans="1:74" s="714" customFormat="1" ht="21.95" hidden="1" customHeight="1">
      <c r="A132" s="2695"/>
      <c r="B132" s="2681"/>
      <c r="C132" s="747" t="s">
        <v>1660</v>
      </c>
      <c r="D132" s="1144"/>
      <c r="E132" s="1145"/>
      <c r="F132" s="1233">
        <f>34.36*F123+45.28*F124+59.3*F125+74.98*F126+109.04*F127+126.26*F128</f>
        <v>0</v>
      </c>
      <c r="G132" s="1233">
        <f t="shared" ref="G132:R132" si="30">34.36*G123+45.28*G124+59.3*G125+74.98*G126+109.04*G127+126.26*G128</f>
        <v>0</v>
      </c>
      <c r="H132" s="1233">
        <f t="shared" si="30"/>
        <v>0</v>
      </c>
      <c r="I132" s="1233">
        <f t="shared" si="30"/>
        <v>0</v>
      </c>
      <c r="J132" s="1233"/>
      <c r="K132" s="1233"/>
      <c r="L132" s="1233"/>
      <c r="M132" s="1233"/>
      <c r="N132" s="1234"/>
      <c r="O132" s="1233">
        <f t="shared" si="30"/>
        <v>0</v>
      </c>
      <c r="P132" s="1233">
        <f t="shared" si="30"/>
        <v>0</v>
      </c>
      <c r="Q132" s="1233">
        <f t="shared" si="30"/>
        <v>0</v>
      </c>
      <c r="R132" s="1233">
        <f t="shared" si="30"/>
        <v>0</v>
      </c>
      <c r="S132" s="1233">
        <f>34.36*S123+45.28*S124+59.3*S125+74.98*S126+109.04*S127+126.26*S128</f>
        <v>0</v>
      </c>
      <c r="T132" s="1235"/>
      <c r="U132" s="1235"/>
      <c r="V132" s="1235"/>
      <c r="W132" s="1235"/>
      <c r="X132" s="1235"/>
      <c r="Y132" s="1235"/>
      <c r="Z132" s="1235"/>
      <c r="AA132" s="1235"/>
      <c r="AB132" s="1235"/>
      <c r="AC132" s="1235"/>
      <c r="AD132" s="1235"/>
      <c r="AE132" s="1235"/>
      <c r="AF132" s="1235"/>
      <c r="AG132" s="1235"/>
      <c r="AH132" s="1235"/>
      <c r="AI132" s="1236"/>
      <c r="AJ132" s="745">
        <f t="shared" si="28"/>
        <v>0</v>
      </c>
      <c r="AK132" s="745"/>
      <c r="AL132" s="1136"/>
      <c r="AM132" s="1137"/>
      <c r="AN132" s="1137"/>
      <c r="AO132" s="1137"/>
      <c r="AP132" s="1137"/>
      <c r="AQ132" s="1137"/>
      <c r="AR132" s="1137"/>
      <c r="AS132" s="1137"/>
      <c r="AT132" s="1139"/>
      <c r="AU132" s="1137"/>
      <c r="AV132" s="1137"/>
      <c r="AW132" s="1137"/>
      <c r="AX132" s="1137"/>
      <c r="AY132" s="1137"/>
      <c r="AZ132" s="1137"/>
      <c r="BA132" s="1137"/>
      <c r="BB132" s="1137"/>
      <c r="BC132" s="1139"/>
      <c r="BD132" s="1137"/>
      <c r="BE132" s="1137"/>
      <c r="BF132" s="1137"/>
      <c r="BG132" s="1137"/>
      <c r="BH132" s="1137"/>
      <c r="BI132" s="1137"/>
      <c r="BJ132" s="1139"/>
      <c r="BK132" s="1139"/>
      <c r="BL132" s="1137"/>
      <c r="BM132" s="1137"/>
      <c r="BN132" s="1137"/>
      <c r="BO132" s="1137"/>
      <c r="BP132" s="1137"/>
      <c r="BQ132" s="1139"/>
      <c r="BR132" s="1140"/>
      <c r="BS132" s="1137"/>
      <c r="BT132" s="1141"/>
      <c r="BU132" s="1141"/>
      <c r="BV132" s="746"/>
    </row>
    <row r="133" spans="1:74" s="714" customFormat="1" ht="21.95" hidden="1" customHeight="1" thickBot="1">
      <c r="A133" s="2695"/>
      <c r="B133" s="2682"/>
      <c r="C133" s="747" t="s">
        <v>1664</v>
      </c>
      <c r="D133" s="1237"/>
      <c r="E133" s="1228"/>
      <c r="F133" s="1238">
        <f>3*F123+5.88*F124+10.13*F125+16.11*F126+34.22*F127+46.87*F128</f>
        <v>0</v>
      </c>
      <c r="G133" s="1238">
        <f t="shared" ref="G133:R133" si="31">3*G123+5.88*G124+10.13*G125+16.11*G126+34.22*G127+46.87*G128</f>
        <v>0</v>
      </c>
      <c r="H133" s="1238">
        <f t="shared" si="31"/>
        <v>0</v>
      </c>
      <c r="I133" s="1238">
        <f t="shared" si="31"/>
        <v>0</v>
      </c>
      <c r="J133" s="1238"/>
      <c r="K133" s="1238"/>
      <c r="L133" s="1238"/>
      <c r="M133" s="1238"/>
      <c r="N133" s="1239"/>
      <c r="O133" s="1238">
        <f t="shared" si="31"/>
        <v>0</v>
      </c>
      <c r="P133" s="1238">
        <f t="shared" si="31"/>
        <v>0</v>
      </c>
      <c r="Q133" s="1238">
        <f t="shared" si="31"/>
        <v>0</v>
      </c>
      <c r="R133" s="1238">
        <f t="shared" si="31"/>
        <v>0</v>
      </c>
      <c r="S133" s="1238">
        <f>3*S123+5.88*S124+10.13*S125+16.11*S126+34.22*S127+46.87*S128</f>
        <v>0</v>
      </c>
      <c r="T133" s="1240"/>
      <c r="U133" s="1240"/>
      <c r="V133" s="1240"/>
      <c r="W133" s="1240"/>
      <c r="X133" s="1240"/>
      <c r="Y133" s="1240"/>
      <c r="Z133" s="1240"/>
      <c r="AA133" s="1240"/>
      <c r="AB133" s="1240"/>
      <c r="AC133" s="1240"/>
      <c r="AD133" s="1240"/>
      <c r="AE133" s="1240"/>
      <c r="AF133" s="1240"/>
      <c r="AG133" s="1240"/>
      <c r="AH133" s="1240"/>
      <c r="AI133" s="1241"/>
      <c r="AJ133" s="745">
        <f t="shared" si="28"/>
        <v>0</v>
      </c>
      <c r="AK133" s="745"/>
      <c r="AL133" s="1136"/>
      <c r="AM133" s="1137"/>
      <c r="AN133" s="1137"/>
      <c r="AO133" s="1137"/>
      <c r="AP133" s="1137"/>
      <c r="AQ133" s="1137"/>
      <c r="AR133" s="1137"/>
      <c r="AS133" s="1137"/>
      <c r="AT133" s="1139"/>
      <c r="AU133" s="1137"/>
      <c r="AV133" s="1137"/>
      <c r="AW133" s="1137"/>
      <c r="AX133" s="1137"/>
      <c r="AY133" s="1137"/>
      <c r="AZ133" s="1137"/>
      <c r="BA133" s="1137"/>
      <c r="BB133" s="1137"/>
      <c r="BC133" s="1139"/>
      <c r="BD133" s="1137"/>
      <c r="BE133" s="1137"/>
      <c r="BF133" s="1137"/>
      <c r="BG133" s="1137"/>
      <c r="BH133" s="1137"/>
      <c r="BI133" s="1137"/>
      <c r="BJ133" s="1139"/>
      <c r="BK133" s="1139"/>
      <c r="BL133" s="1137"/>
      <c r="BM133" s="1137"/>
      <c r="BN133" s="1137"/>
      <c r="BO133" s="1137"/>
      <c r="BP133" s="1137"/>
      <c r="BQ133" s="1139"/>
      <c r="BR133" s="1140"/>
      <c r="BS133" s="1137"/>
      <c r="BT133" s="1141"/>
      <c r="BU133" s="1141"/>
      <c r="BV133" s="746"/>
    </row>
    <row r="134" spans="1:74" s="714" customFormat="1" ht="21.95" hidden="1" customHeight="1" thickBot="1">
      <c r="A134" s="2695"/>
      <c r="B134" s="2584" t="s">
        <v>1653</v>
      </c>
      <c r="C134" s="740" t="s">
        <v>1920</v>
      </c>
      <c r="D134" s="1142"/>
      <c r="E134" s="1143"/>
      <c r="F134" s="1242">
        <f>Dren_Quantificacao!D118</f>
        <v>0</v>
      </c>
      <c r="G134" s="1242">
        <f>Dren_Quantificacao!E118</f>
        <v>0</v>
      </c>
      <c r="H134" s="1242">
        <f>Dren_Quantificacao!F118</f>
        <v>0</v>
      </c>
      <c r="I134" s="1242">
        <f>Dren_Quantificacao!G118</f>
        <v>0</v>
      </c>
      <c r="J134" s="1242"/>
      <c r="K134" s="1242"/>
      <c r="L134" s="1242"/>
      <c r="M134" s="1242"/>
      <c r="N134" s="1243"/>
      <c r="O134" s="1242">
        <f>Dren_Quantificacao!L118</f>
        <v>0</v>
      </c>
      <c r="P134" s="1242">
        <f>Dren_Quantificacao!M118</f>
        <v>0</v>
      </c>
      <c r="Q134" s="1242">
        <f>Dren_Quantificacao!N118</f>
        <v>0</v>
      </c>
      <c r="R134" s="1242">
        <f>Dren_Quantificacao!O118</f>
        <v>0</v>
      </c>
      <c r="S134" s="1242">
        <f>Dren_Quantificacao!BD118</f>
        <v>0</v>
      </c>
      <c r="T134" s="1244">
        <f>Dren_Quantificacao!BE118</f>
        <v>0</v>
      </c>
      <c r="U134" s="1244">
        <f>Dren_Quantificacao!BF118</f>
        <v>0</v>
      </c>
      <c r="V134" s="1244">
        <f>Dren_Quantificacao!BG118</f>
        <v>0</v>
      </c>
      <c r="W134" s="1244">
        <f>Dren_Quantificacao!BH118</f>
        <v>0</v>
      </c>
      <c r="X134" s="1244">
        <f>Dren_Quantificacao!BI118</f>
        <v>0</v>
      </c>
      <c r="Y134" s="1244">
        <f>+Dren_Quantificacao!BJ118</f>
        <v>0</v>
      </c>
      <c r="Z134" s="1244">
        <f>+Dren_Quantificacao!BK118</f>
        <v>0</v>
      </c>
      <c r="AA134" s="1244">
        <f>+Dren_Quantificacao!BL118</f>
        <v>0</v>
      </c>
      <c r="AB134" s="1244">
        <f>+Dren_Quantificacao!BM118</f>
        <v>0</v>
      </c>
      <c r="AC134" s="1244">
        <f>+Dren_Quantificacao!BN118</f>
        <v>0</v>
      </c>
      <c r="AD134" s="1244">
        <f>+Dren_Quantificacao!BO118</f>
        <v>0</v>
      </c>
      <c r="AE134" s="1244">
        <f>+Dren_Quantificacao!BP118</f>
        <v>0</v>
      </c>
      <c r="AF134" s="1242">
        <f>+Dren_Quantificacao!BQ118</f>
        <v>0</v>
      </c>
      <c r="AG134" s="1242">
        <f>+Dren_Quantificacao!BR118</f>
        <v>0</v>
      </c>
      <c r="AH134" s="1242">
        <f>+Dren_Quantificacao!BS118</f>
        <v>0</v>
      </c>
      <c r="AI134" s="1245"/>
      <c r="AJ134" s="745">
        <f t="shared" si="28"/>
        <v>0</v>
      </c>
      <c r="AK134" s="745"/>
      <c r="AL134" s="1136">
        <v>1</v>
      </c>
      <c r="AM134" s="1137"/>
      <c r="AN134" s="1137"/>
      <c r="AO134" s="1137"/>
      <c r="AP134" s="1137"/>
      <c r="AQ134" s="1137"/>
      <c r="AR134" s="1137"/>
      <c r="AS134" s="1137"/>
      <c r="AT134" s="1139"/>
      <c r="AU134" s="1137">
        <v>1</v>
      </c>
      <c r="AV134" s="1137"/>
      <c r="AW134" s="1137"/>
      <c r="AX134" s="1137"/>
      <c r="AY134" s="1137"/>
      <c r="AZ134" s="1137"/>
      <c r="BA134" s="1137"/>
      <c r="BB134" s="1137"/>
      <c r="BC134" s="1139"/>
      <c r="BD134" s="1137">
        <v>1</v>
      </c>
      <c r="BE134" s="1137"/>
      <c r="BF134" s="1137"/>
      <c r="BG134" s="1137"/>
      <c r="BH134" s="1137"/>
      <c r="BI134" s="1137"/>
      <c r="BJ134" s="1139"/>
      <c r="BK134" s="1139"/>
      <c r="BL134" s="1137"/>
      <c r="BM134" s="1137"/>
      <c r="BN134" s="1137"/>
      <c r="BO134" s="1137"/>
      <c r="BP134" s="1137"/>
      <c r="BQ134" s="1139"/>
      <c r="BR134" s="1140"/>
      <c r="BS134" s="1137"/>
      <c r="BT134" s="1141"/>
      <c r="BU134" s="1141"/>
      <c r="BV134" s="746"/>
    </row>
    <row r="135" spans="1:74" s="714" customFormat="1" ht="21.95" hidden="1" customHeight="1" thickBot="1">
      <c r="A135" s="2695"/>
      <c r="B135" s="2585"/>
      <c r="C135" s="747" t="s">
        <v>1655</v>
      </c>
      <c r="D135" s="1144"/>
      <c r="E135" s="1145"/>
      <c r="F135" s="1233">
        <f>Dren_Quantificacao!D119</f>
        <v>0</v>
      </c>
      <c r="G135" s="1233">
        <f>Dren_Quantificacao!E119</f>
        <v>0</v>
      </c>
      <c r="H135" s="1233">
        <f>Dren_Quantificacao!F119</f>
        <v>0</v>
      </c>
      <c r="I135" s="1233">
        <f>Dren_Quantificacao!G119</f>
        <v>0</v>
      </c>
      <c r="J135" s="1233"/>
      <c r="K135" s="1233"/>
      <c r="L135" s="1233"/>
      <c r="M135" s="1233"/>
      <c r="N135" s="1234"/>
      <c r="O135" s="1233">
        <f>Dren_Quantificacao!L119</f>
        <v>0</v>
      </c>
      <c r="P135" s="1233">
        <f>Dren_Quantificacao!M119</f>
        <v>0</v>
      </c>
      <c r="Q135" s="1233">
        <f>Dren_Quantificacao!N119</f>
        <v>0</v>
      </c>
      <c r="R135" s="1233">
        <f>Dren_Quantificacao!O119</f>
        <v>0</v>
      </c>
      <c r="S135" s="1233">
        <f>0.74942*S61+1.36528*S62+1.70448*S63+2.38288*S64+3.40048*S65+4.24848*S66+S60*0.294</f>
        <v>0</v>
      </c>
      <c r="T135" s="1235"/>
      <c r="U135" s="1235"/>
      <c r="V135" s="1235"/>
      <c r="W135" s="1235"/>
      <c r="X135" s="1235"/>
      <c r="Y135" s="1235"/>
      <c r="Z135" s="1235"/>
      <c r="AA135" s="1235"/>
      <c r="AB135" s="1235"/>
      <c r="AC135" s="1235"/>
      <c r="AD135" s="1235"/>
      <c r="AE135" s="1235"/>
      <c r="AF135" s="1233"/>
      <c r="AG135" s="1233"/>
      <c r="AH135" s="1233"/>
      <c r="AI135" s="1245"/>
      <c r="AJ135" s="745"/>
      <c r="AK135" s="745"/>
      <c r="AL135" s="1136"/>
      <c r="AM135" s="1137"/>
      <c r="AN135" s="1137"/>
      <c r="AO135" s="1137"/>
      <c r="AP135" s="1137"/>
      <c r="AQ135" s="1137"/>
      <c r="AR135" s="1137"/>
      <c r="AS135" s="1137"/>
      <c r="AT135" s="1139"/>
      <c r="AU135" s="1137"/>
      <c r="AV135" s="1137"/>
      <c r="AW135" s="1137"/>
      <c r="AX135" s="1137"/>
      <c r="AY135" s="1137"/>
      <c r="AZ135" s="1137"/>
      <c r="BA135" s="1137"/>
      <c r="BB135" s="1137"/>
      <c r="BC135" s="1139"/>
      <c r="BD135" s="1137"/>
      <c r="BE135" s="1137"/>
      <c r="BF135" s="1137"/>
      <c r="BG135" s="1137"/>
      <c r="BH135" s="1137"/>
      <c r="BI135" s="1137"/>
      <c r="BJ135" s="1139"/>
      <c r="BK135" s="1139"/>
      <c r="BL135" s="1137"/>
      <c r="BM135" s="1137"/>
      <c r="BN135" s="1137"/>
      <c r="BO135" s="1137"/>
      <c r="BP135" s="1137"/>
      <c r="BQ135" s="1139"/>
      <c r="BR135" s="1140"/>
      <c r="BS135" s="1137"/>
      <c r="BT135" s="1141"/>
      <c r="BU135" s="1141"/>
      <c r="BV135" s="746"/>
    </row>
    <row r="136" spans="1:74" s="714" customFormat="1" ht="21.95" hidden="1" customHeight="1">
      <c r="A136" s="2695"/>
      <c r="B136" s="2585"/>
      <c r="C136" s="747" t="s">
        <v>1656</v>
      </c>
      <c r="D136" s="1144"/>
      <c r="E136" s="1145"/>
      <c r="F136" s="1233">
        <f>Dren_Quantificacao!D120</f>
        <v>0</v>
      </c>
      <c r="G136" s="1233">
        <f>Dren_Quantificacao!E120</f>
        <v>0</v>
      </c>
      <c r="H136" s="1233">
        <f>Dren_Quantificacao!F120</f>
        <v>0</v>
      </c>
      <c r="I136" s="1233">
        <f>Dren_Quantificacao!G120</f>
        <v>0</v>
      </c>
      <c r="J136" s="1233"/>
      <c r="K136" s="1233"/>
      <c r="L136" s="1233"/>
      <c r="M136" s="1233"/>
      <c r="N136" s="1234"/>
      <c r="O136" s="1233">
        <f>Dren_Quantificacao!L120</f>
        <v>0</v>
      </c>
      <c r="P136" s="1233">
        <f>Dren_Quantificacao!M120</f>
        <v>0</v>
      </c>
      <c r="Q136" s="1233">
        <f>Dren_Quantificacao!N120</f>
        <v>0</v>
      </c>
      <c r="R136" s="1233">
        <f>Dren_Quantificacao!O120</f>
        <v>0</v>
      </c>
      <c r="S136" s="1233">
        <f>Dren_Quantificacao!BD120</f>
        <v>0</v>
      </c>
      <c r="T136" s="1235">
        <f>Dren_Quantificacao!BE120</f>
        <v>0</v>
      </c>
      <c r="U136" s="1235">
        <f>Dren_Quantificacao!BF120</f>
        <v>0</v>
      </c>
      <c r="V136" s="1235">
        <f>Dren_Quantificacao!BG120</f>
        <v>0</v>
      </c>
      <c r="W136" s="1235">
        <f>Dren_Quantificacao!BH120</f>
        <v>0</v>
      </c>
      <c r="X136" s="1235">
        <f>Dren_Quantificacao!BI120</f>
        <v>0</v>
      </c>
      <c r="Y136" s="1235">
        <f>+Dren_Quantificacao!BJ120</f>
        <v>0</v>
      </c>
      <c r="Z136" s="1235">
        <f>+Dren_Quantificacao!BK120</f>
        <v>0</v>
      </c>
      <c r="AA136" s="1235">
        <f>+Dren_Quantificacao!BL120</f>
        <v>0</v>
      </c>
      <c r="AB136" s="1235">
        <f>+Dren_Quantificacao!BM120</f>
        <v>0</v>
      </c>
      <c r="AC136" s="1235">
        <f>+Dren_Quantificacao!BN120</f>
        <v>0</v>
      </c>
      <c r="AD136" s="1235">
        <f>+Dren_Quantificacao!BO120</f>
        <v>0</v>
      </c>
      <c r="AE136" s="1235">
        <f>+Dren_Quantificacao!BP120</f>
        <v>0</v>
      </c>
      <c r="AF136" s="1233">
        <f>+Dren_Quantificacao!BQ120</f>
        <v>0</v>
      </c>
      <c r="AG136" s="1233">
        <f>+Dren_Quantificacao!BR120</f>
        <v>0</v>
      </c>
      <c r="AH136" s="1233">
        <f>+Dren_Quantificacao!BS120</f>
        <v>0</v>
      </c>
      <c r="AI136" s="1245"/>
      <c r="AJ136" s="745">
        <f t="shared" ref="AJ136:AJ162" si="32">SUM(F136:AI136)</f>
        <v>0</v>
      </c>
      <c r="AK136" s="745"/>
      <c r="AL136" s="1136"/>
      <c r="AM136" s="1137"/>
      <c r="AN136" s="1137"/>
      <c r="AO136" s="1137"/>
      <c r="AP136" s="1137">
        <v>1</v>
      </c>
      <c r="AQ136" s="1137"/>
      <c r="AR136" s="1137"/>
      <c r="AS136" s="1137"/>
      <c r="AT136" s="1139"/>
      <c r="AU136" s="1137"/>
      <c r="AV136" s="1137"/>
      <c r="AW136" s="1137"/>
      <c r="AX136" s="1137"/>
      <c r="AY136" s="1137">
        <v>1</v>
      </c>
      <c r="AZ136" s="1137"/>
      <c r="BA136" s="1137"/>
      <c r="BB136" s="1137"/>
      <c r="BC136" s="1139"/>
      <c r="BD136" s="1137"/>
      <c r="BE136" s="1137"/>
      <c r="BF136" s="1137"/>
      <c r="BG136" s="1137"/>
      <c r="BH136" s="1137">
        <v>1</v>
      </c>
      <c r="BI136" s="1137"/>
      <c r="BJ136" s="1139"/>
      <c r="BK136" s="1139"/>
      <c r="BL136" s="1137"/>
      <c r="BM136" s="1137"/>
      <c r="BN136" s="1137"/>
      <c r="BO136" s="1137"/>
      <c r="BP136" s="1137"/>
      <c r="BQ136" s="1139"/>
      <c r="BR136" s="1140"/>
      <c r="BS136" s="1137"/>
      <c r="BT136" s="1141"/>
      <c r="BU136" s="1141"/>
      <c r="BV136" s="746"/>
    </row>
    <row r="137" spans="1:74" s="714" customFormat="1" ht="21.95" hidden="1" customHeight="1">
      <c r="A137" s="2695"/>
      <c r="B137" s="2585"/>
      <c r="C137" s="747" t="s">
        <v>1921</v>
      </c>
      <c r="D137" s="1144"/>
      <c r="E137" s="1145"/>
      <c r="F137" s="1233">
        <f>Dren_Quantificacao!D121</f>
        <v>0</v>
      </c>
      <c r="G137" s="1233">
        <f>Dren_Quantificacao!E121</f>
        <v>0</v>
      </c>
      <c r="H137" s="1233">
        <f>Dren_Quantificacao!F121</f>
        <v>0</v>
      </c>
      <c r="I137" s="1233">
        <f>Dren_Quantificacao!G121</f>
        <v>0</v>
      </c>
      <c r="J137" s="1233"/>
      <c r="K137" s="1233"/>
      <c r="L137" s="1233"/>
      <c r="M137" s="1233"/>
      <c r="N137" s="1234"/>
      <c r="O137" s="1233">
        <f>Dren_Quantificacao!L121</f>
        <v>0</v>
      </c>
      <c r="P137" s="1233">
        <f>Dren_Quantificacao!M121</f>
        <v>0</v>
      </c>
      <c r="Q137" s="1233">
        <f>Dren_Quantificacao!N121</f>
        <v>0</v>
      </c>
      <c r="R137" s="1233">
        <f>Dren_Quantificacao!O121</f>
        <v>0</v>
      </c>
      <c r="S137" s="1233">
        <f>Dren_Quantificacao!BD121</f>
        <v>0</v>
      </c>
      <c r="T137" s="1235">
        <f>Dren_Quantificacao!BE121</f>
        <v>0</v>
      </c>
      <c r="U137" s="1235">
        <f>Dren_Quantificacao!BF121</f>
        <v>0</v>
      </c>
      <c r="V137" s="1235">
        <f>Dren_Quantificacao!BG121</f>
        <v>0</v>
      </c>
      <c r="W137" s="1235">
        <f>Dren_Quantificacao!BH121</f>
        <v>0</v>
      </c>
      <c r="X137" s="1235">
        <f>Dren_Quantificacao!BI121</f>
        <v>0</v>
      </c>
      <c r="Y137" s="1235">
        <f>+Dren_Quantificacao!BJ121</f>
        <v>0</v>
      </c>
      <c r="Z137" s="1235">
        <f>+Dren_Quantificacao!BK121</f>
        <v>0</v>
      </c>
      <c r="AA137" s="1235">
        <f>+Dren_Quantificacao!BL121</f>
        <v>0</v>
      </c>
      <c r="AB137" s="1235">
        <f>+Dren_Quantificacao!BM121</f>
        <v>0</v>
      </c>
      <c r="AC137" s="1235">
        <f>+Dren_Quantificacao!BN121</f>
        <v>0</v>
      </c>
      <c r="AD137" s="1235">
        <f>+Dren_Quantificacao!BO121</f>
        <v>0</v>
      </c>
      <c r="AE137" s="1235">
        <f>+Dren_Quantificacao!BP121</f>
        <v>0</v>
      </c>
      <c r="AF137" s="1233">
        <f>+Dren_Quantificacao!BQ121</f>
        <v>0</v>
      </c>
      <c r="AG137" s="1233">
        <f>+Dren_Quantificacao!BR121</f>
        <v>0</v>
      </c>
      <c r="AH137" s="1233">
        <f>+Dren_Quantificacao!BS121</f>
        <v>0</v>
      </c>
      <c r="AI137" s="1236"/>
      <c r="AJ137" s="745">
        <f t="shared" si="32"/>
        <v>0</v>
      </c>
      <c r="AK137" s="745"/>
      <c r="AL137" s="1136"/>
      <c r="AM137" s="1137"/>
      <c r="AN137" s="1137"/>
      <c r="AO137" s="1137"/>
      <c r="AP137" s="1137"/>
      <c r="AQ137" s="1137"/>
      <c r="AR137" s="1137"/>
      <c r="AS137" s="1137"/>
      <c r="AT137" s="1139"/>
      <c r="AU137" s="1137"/>
      <c r="AV137" s="1137"/>
      <c r="AW137" s="1137"/>
      <c r="AX137" s="1137"/>
      <c r="AY137" s="1137"/>
      <c r="AZ137" s="1137"/>
      <c r="BA137" s="1137"/>
      <c r="BB137" s="1137"/>
      <c r="BC137" s="1139"/>
      <c r="BD137" s="1137"/>
      <c r="BE137" s="1137"/>
      <c r="BF137" s="1137"/>
      <c r="BG137" s="1137"/>
      <c r="BH137" s="1137"/>
      <c r="BI137" s="1137"/>
      <c r="BJ137" s="1139"/>
      <c r="BK137" s="1139"/>
      <c r="BL137" s="1137"/>
      <c r="BM137" s="1137"/>
      <c r="BN137" s="1137"/>
      <c r="BO137" s="1137"/>
      <c r="BP137" s="1137">
        <v>1</v>
      </c>
      <c r="BQ137" s="1139"/>
      <c r="BR137" s="1140"/>
      <c r="BS137" s="1137"/>
      <c r="BT137" s="1141"/>
      <c r="BU137" s="1141"/>
      <c r="BV137" s="746"/>
    </row>
    <row r="138" spans="1:74" s="714" customFormat="1" ht="21.95" hidden="1" customHeight="1">
      <c r="A138" s="2695"/>
      <c r="B138" s="2585"/>
      <c r="C138" s="747" t="s">
        <v>1922</v>
      </c>
      <c r="D138" s="1144"/>
      <c r="E138" s="1145"/>
      <c r="F138" s="1233">
        <f>Dren_Quantificacao!D122</f>
        <v>0</v>
      </c>
      <c r="G138" s="1233">
        <f>Dren_Quantificacao!E122</f>
        <v>0</v>
      </c>
      <c r="H138" s="1233">
        <f>Dren_Quantificacao!F122</f>
        <v>0</v>
      </c>
      <c r="I138" s="1233">
        <f>Dren_Quantificacao!G122</f>
        <v>0</v>
      </c>
      <c r="J138" s="1233"/>
      <c r="K138" s="1233"/>
      <c r="L138" s="1233"/>
      <c r="M138" s="1233"/>
      <c r="N138" s="1234"/>
      <c r="O138" s="1233">
        <f>Dren_Quantificacao!L122</f>
        <v>0</v>
      </c>
      <c r="P138" s="1233">
        <f>Dren_Quantificacao!M122</f>
        <v>0</v>
      </c>
      <c r="Q138" s="1233">
        <f>Dren_Quantificacao!N122</f>
        <v>0</v>
      </c>
      <c r="R138" s="1233">
        <f>Dren_Quantificacao!O122</f>
        <v>0</v>
      </c>
      <c r="S138" s="1233">
        <f>Dren_Quantificacao!BD122</f>
        <v>0</v>
      </c>
      <c r="T138" s="1235"/>
      <c r="U138" s="1235"/>
      <c r="V138" s="1235"/>
      <c r="W138" s="1235"/>
      <c r="X138" s="1235"/>
      <c r="Y138" s="1235"/>
      <c r="Z138" s="1235"/>
      <c r="AA138" s="1235"/>
      <c r="AB138" s="1235"/>
      <c r="AC138" s="1235"/>
      <c r="AD138" s="1235"/>
      <c r="AE138" s="1235"/>
      <c r="AF138" s="1233"/>
      <c r="AG138" s="1233"/>
      <c r="AH138" s="1233"/>
      <c r="AI138" s="1236"/>
      <c r="AJ138" s="745">
        <f t="shared" si="32"/>
        <v>0</v>
      </c>
      <c r="AK138" s="745"/>
      <c r="AL138" s="1136"/>
      <c r="AM138" s="1137"/>
      <c r="AN138" s="1137"/>
      <c r="AO138" s="1137"/>
      <c r="AP138" s="1137"/>
      <c r="AQ138" s="1137"/>
      <c r="AR138" s="1137"/>
      <c r="AS138" s="1137"/>
      <c r="AT138" s="1139"/>
      <c r="AU138" s="1137"/>
      <c r="AV138" s="1137"/>
      <c r="AW138" s="1137"/>
      <c r="AX138" s="1137"/>
      <c r="AY138" s="1137"/>
      <c r="AZ138" s="1137"/>
      <c r="BA138" s="1137"/>
      <c r="BB138" s="1137"/>
      <c r="BC138" s="1139"/>
      <c r="BD138" s="1137"/>
      <c r="BE138" s="1137"/>
      <c r="BF138" s="1137"/>
      <c r="BG138" s="1137"/>
      <c r="BH138" s="1137"/>
      <c r="BI138" s="1137"/>
      <c r="BJ138" s="1139"/>
      <c r="BK138" s="1139"/>
      <c r="BL138" s="1137"/>
      <c r="BM138" s="1137"/>
      <c r="BN138" s="1137"/>
      <c r="BO138" s="1137"/>
      <c r="BP138" s="1137"/>
      <c r="BQ138" s="1139"/>
      <c r="BR138" s="1140"/>
      <c r="BS138" s="1137"/>
      <c r="BT138" s="1141"/>
      <c r="BU138" s="1141"/>
      <c r="BV138" s="746"/>
    </row>
    <row r="139" spans="1:74" s="714" customFormat="1" ht="21.95" hidden="1" customHeight="1">
      <c r="A139" s="2695"/>
      <c r="B139" s="2585"/>
      <c r="C139" s="747" t="s">
        <v>1659</v>
      </c>
      <c r="D139" s="1144"/>
      <c r="E139" s="1246">
        <v>0.154</v>
      </c>
      <c r="F139" s="1233">
        <f>Dren_Quantificacao!D123</f>
        <v>0</v>
      </c>
      <c r="G139" s="1233">
        <f>Dren_Quantificacao!E123</f>
        <v>0</v>
      </c>
      <c r="H139" s="1233">
        <f>Dren_Quantificacao!F123</f>
        <v>0</v>
      </c>
      <c r="I139" s="1233">
        <f>Dren_Quantificacao!G123</f>
        <v>0</v>
      </c>
      <c r="J139" s="1233"/>
      <c r="K139" s="1233"/>
      <c r="L139" s="1233"/>
      <c r="M139" s="1233"/>
      <c r="N139" s="1234"/>
      <c r="O139" s="1233">
        <f>Dren_Quantificacao!L123</f>
        <v>0</v>
      </c>
      <c r="P139" s="1233">
        <f>Dren_Quantificacao!M123</f>
        <v>0</v>
      </c>
      <c r="Q139" s="1233">
        <f>Dren_Quantificacao!N123</f>
        <v>0</v>
      </c>
      <c r="R139" s="1233">
        <f>Dren_Quantificacao!O123</f>
        <v>0</v>
      </c>
      <c r="S139" s="1233">
        <f>Dren_Quantificacao!BD123</f>
        <v>0</v>
      </c>
      <c r="T139" s="1235">
        <f>Dren_Quantificacao!BE123</f>
        <v>0</v>
      </c>
      <c r="U139" s="1235">
        <f>Dren_Quantificacao!BF123</f>
        <v>0</v>
      </c>
      <c r="V139" s="1235">
        <f>Dren_Quantificacao!BG123</f>
        <v>0</v>
      </c>
      <c r="W139" s="1235">
        <f>Dren_Quantificacao!BH123</f>
        <v>0</v>
      </c>
      <c r="X139" s="1235">
        <f>Dren_Quantificacao!BI123</f>
        <v>0</v>
      </c>
      <c r="Y139" s="1235">
        <f>+Dren_Quantificacao!BJ123</f>
        <v>0</v>
      </c>
      <c r="Z139" s="1235">
        <f>+Dren_Quantificacao!BK123</f>
        <v>0</v>
      </c>
      <c r="AA139" s="1235">
        <f>+Dren_Quantificacao!BL123</f>
        <v>0</v>
      </c>
      <c r="AB139" s="1235">
        <f>+Dren_Quantificacao!BM123</f>
        <v>0</v>
      </c>
      <c r="AC139" s="1235">
        <f>+Dren_Quantificacao!BN123</f>
        <v>0</v>
      </c>
      <c r="AD139" s="1235">
        <f>+Dren_Quantificacao!BO123</f>
        <v>0</v>
      </c>
      <c r="AE139" s="1235">
        <f>+Dren_Quantificacao!BP123</f>
        <v>0</v>
      </c>
      <c r="AF139" s="1233">
        <f>+Dren_Quantificacao!BQ123</f>
        <v>0</v>
      </c>
      <c r="AG139" s="1233">
        <f>+Dren_Quantificacao!BR123</f>
        <v>0</v>
      </c>
      <c r="AH139" s="1233">
        <f>+Dren_Quantificacao!BS123</f>
        <v>0</v>
      </c>
      <c r="AI139" s="1236"/>
      <c r="AJ139" s="745">
        <f t="shared" si="32"/>
        <v>0</v>
      </c>
      <c r="AK139" s="745"/>
      <c r="AL139" s="1136"/>
      <c r="AM139" s="1137"/>
      <c r="AN139" s="1137"/>
      <c r="AO139" s="1137"/>
      <c r="AP139" s="1137"/>
      <c r="AQ139" s="1137"/>
      <c r="AR139" s="1137"/>
      <c r="AS139" s="1137"/>
      <c r="AT139" s="1139"/>
      <c r="AU139" s="1137"/>
      <c r="AV139" s="1137"/>
      <c r="AW139" s="1137"/>
      <c r="AX139" s="1137"/>
      <c r="AY139" s="1137"/>
      <c r="AZ139" s="1137"/>
      <c r="BA139" s="1137"/>
      <c r="BB139" s="1137"/>
      <c r="BC139" s="1139"/>
      <c r="BD139" s="1137"/>
      <c r="BE139" s="1137"/>
      <c r="BF139" s="1137"/>
      <c r="BG139" s="1137"/>
      <c r="BH139" s="1137"/>
      <c r="BI139" s="1137"/>
      <c r="BJ139" s="1139"/>
      <c r="BK139" s="1139">
        <v>1</v>
      </c>
      <c r="BL139" s="1137"/>
      <c r="BM139" s="1137"/>
      <c r="BN139" s="1137"/>
      <c r="BO139" s="1137"/>
      <c r="BP139" s="1137"/>
      <c r="BQ139" s="1139"/>
      <c r="BR139" s="1140"/>
      <c r="BS139" s="1137"/>
      <c r="BT139" s="1141"/>
      <c r="BU139" s="1141"/>
      <c r="BV139" s="746"/>
    </row>
    <row r="140" spans="1:74" s="714" customFormat="1" ht="21.95" hidden="1" customHeight="1">
      <c r="A140" s="2695"/>
      <c r="B140" s="2585"/>
      <c r="C140" s="747" t="s">
        <v>1660</v>
      </c>
      <c r="D140" s="1144"/>
      <c r="E140" s="1246">
        <v>0.245</v>
      </c>
      <c r="F140" s="1233">
        <f>Dren_Quantificacao!D124</f>
        <v>0</v>
      </c>
      <c r="G140" s="1233">
        <f>Dren_Quantificacao!E124</f>
        <v>0</v>
      </c>
      <c r="H140" s="1233">
        <f>Dren_Quantificacao!F124</f>
        <v>0</v>
      </c>
      <c r="I140" s="1233">
        <f>Dren_Quantificacao!G124</f>
        <v>0</v>
      </c>
      <c r="J140" s="1233"/>
      <c r="K140" s="1233"/>
      <c r="L140" s="1233"/>
      <c r="M140" s="1233"/>
      <c r="N140" s="1234"/>
      <c r="O140" s="1233">
        <f>Dren_Quantificacao!L124</f>
        <v>0</v>
      </c>
      <c r="P140" s="1233">
        <f>Dren_Quantificacao!M124</f>
        <v>0</v>
      </c>
      <c r="Q140" s="1233">
        <f>Dren_Quantificacao!N124</f>
        <v>0</v>
      </c>
      <c r="R140" s="1233">
        <f>Dren_Quantificacao!O124</f>
        <v>0</v>
      </c>
      <c r="S140" s="1233">
        <f>Dren_Quantificacao!BD124</f>
        <v>0</v>
      </c>
      <c r="T140" s="1235">
        <f>Dren_Quantificacao!BE124</f>
        <v>0</v>
      </c>
      <c r="U140" s="1235">
        <f>Dren_Quantificacao!BF124</f>
        <v>0</v>
      </c>
      <c r="V140" s="1235">
        <f>Dren_Quantificacao!BG124</f>
        <v>0</v>
      </c>
      <c r="W140" s="1235">
        <f>Dren_Quantificacao!BH124</f>
        <v>0</v>
      </c>
      <c r="X140" s="1235">
        <f>Dren_Quantificacao!BI124</f>
        <v>0</v>
      </c>
      <c r="Y140" s="1235">
        <f>+Dren_Quantificacao!BJ124</f>
        <v>0</v>
      </c>
      <c r="Z140" s="1235">
        <f>+Dren_Quantificacao!BK124</f>
        <v>0</v>
      </c>
      <c r="AA140" s="1235">
        <f>+Dren_Quantificacao!BL124</f>
        <v>0</v>
      </c>
      <c r="AB140" s="1235">
        <f>+Dren_Quantificacao!BM124</f>
        <v>0</v>
      </c>
      <c r="AC140" s="1235">
        <f>+Dren_Quantificacao!BN124</f>
        <v>0</v>
      </c>
      <c r="AD140" s="1235">
        <f>+Dren_Quantificacao!BO124</f>
        <v>0</v>
      </c>
      <c r="AE140" s="1235">
        <f>+Dren_Quantificacao!BP124</f>
        <v>0</v>
      </c>
      <c r="AF140" s="1233">
        <f>+Dren_Quantificacao!BQ124</f>
        <v>0</v>
      </c>
      <c r="AG140" s="1233">
        <f>+Dren_Quantificacao!BR124</f>
        <v>0</v>
      </c>
      <c r="AH140" s="1233">
        <f>+Dren_Quantificacao!BS124</f>
        <v>0</v>
      </c>
      <c r="AI140" s="1236"/>
      <c r="AJ140" s="745">
        <f t="shared" si="32"/>
        <v>0</v>
      </c>
      <c r="AK140" s="745"/>
      <c r="AL140" s="1136"/>
      <c r="AM140" s="1137"/>
      <c r="AN140" s="1137"/>
      <c r="AO140" s="1137"/>
      <c r="AP140" s="1137"/>
      <c r="AQ140" s="1137"/>
      <c r="AR140" s="1137"/>
      <c r="AS140" s="1137"/>
      <c r="AT140" s="1139"/>
      <c r="AU140" s="1137"/>
      <c r="AV140" s="1137"/>
      <c r="AW140" s="1137"/>
      <c r="AX140" s="1137"/>
      <c r="AY140" s="1137"/>
      <c r="AZ140" s="1137"/>
      <c r="BA140" s="1137"/>
      <c r="BB140" s="1137"/>
      <c r="BC140" s="1139"/>
      <c r="BD140" s="1137"/>
      <c r="BE140" s="1137"/>
      <c r="BF140" s="1137"/>
      <c r="BG140" s="1137"/>
      <c r="BH140" s="1137"/>
      <c r="BI140" s="1137"/>
      <c r="BJ140" s="1139"/>
      <c r="BK140" s="1139">
        <v>1</v>
      </c>
      <c r="BL140" s="1137"/>
      <c r="BM140" s="1137"/>
      <c r="BN140" s="1137"/>
      <c r="BO140" s="1137"/>
      <c r="BP140" s="1137"/>
      <c r="BQ140" s="1139"/>
      <c r="BR140" s="1140"/>
      <c r="BS140" s="1137"/>
      <c r="BT140" s="1141"/>
      <c r="BV140" s="746"/>
    </row>
    <row r="141" spans="1:74" s="714" customFormat="1" ht="21.95" hidden="1" customHeight="1">
      <c r="A141" s="2695"/>
      <c r="B141" s="2585"/>
      <c r="C141" s="747" t="s">
        <v>1661</v>
      </c>
      <c r="D141" s="1144"/>
      <c r="E141" s="1246">
        <v>0.39500000000000002</v>
      </c>
      <c r="F141" s="1233">
        <f>Dren_Quantificacao!D125</f>
        <v>0</v>
      </c>
      <c r="G141" s="1233">
        <f>Dren_Quantificacao!E125</f>
        <v>0</v>
      </c>
      <c r="H141" s="1233">
        <f>Dren_Quantificacao!F125</f>
        <v>0</v>
      </c>
      <c r="I141" s="1233">
        <f>Dren_Quantificacao!G125</f>
        <v>0</v>
      </c>
      <c r="J141" s="1233"/>
      <c r="K141" s="1233"/>
      <c r="L141" s="1233"/>
      <c r="M141" s="1233"/>
      <c r="N141" s="1234"/>
      <c r="O141" s="1233">
        <f>Dren_Quantificacao!L125</f>
        <v>0</v>
      </c>
      <c r="P141" s="1233">
        <f>Dren_Quantificacao!M125</f>
        <v>0</v>
      </c>
      <c r="Q141" s="1233">
        <f>Dren_Quantificacao!N125</f>
        <v>0</v>
      </c>
      <c r="R141" s="1233">
        <f>Dren_Quantificacao!O125</f>
        <v>0</v>
      </c>
      <c r="S141" s="1233">
        <f>Dren_Quantificacao!BD125</f>
        <v>0</v>
      </c>
      <c r="T141" s="1235">
        <f>Dren_Quantificacao!BE125</f>
        <v>0</v>
      </c>
      <c r="U141" s="1235">
        <f>Dren_Quantificacao!BF125</f>
        <v>0</v>
      </c>
      <c r="V141" s="1235">
        <f>Dren_Quantificacao!BG125</f>
        <v>0</v>
      </c>
      <c r="W141" s="1235">
        <f>Dren_Quantificacao!BH125</f>
        <v>0</v>
      </c>
      <c r="X141" s="1235">
        <f>Dren_Quantificacao!BI125</f>
        <v>0</v>
      </c>
      <c r="Y141" s="1235">
        <f>+Dren_Quantificacao!BJ125</f>
        <v>0</v>
      </c>
      <c r="Z141" s="1235">
        <f>+Dren_Quantificacao!BK125</f>
        <v>0</v>
      </c>
      <c r="AA141" s="1235">
        <f>+Dren_Quantificacao!BL125</f>
        <v>0</v>
      </c>
      <c r="AB141" s="1235">
        <f>+Dren_Quantificacao!BM125</f>
        <v>0</v>
      </c>
      <c r="AC141" s="1235">
        <f>+Dren_Quantificacao!BN125</f>
        <v>0</v>
      </c>
      <c r="AD141" s="1235">
        <f>+Dren_Quantificacao!BO125</f>
        <v>0</v>
      </c>
      <c r="AE141" s="1235">
        <f>+Dren_Quantificacao!BP125</f>
        <v>0</v>
      </c>
      <c r="AF141" s="1233">
        <f>+Dren_Quantificacao!BQ125</f>
        <v>0</v>
      </c>
      <c r="AG141" s="1233">
        <f>+Dren_Quantificacao!BR125</f>
        <v>0</v>
      </c>
      <c r="AH141" s="1233">
        <f>+Dren_Quantificacao!BS125</f>
        <v>0</v>
      </c>
      <c r="AI141" s="1236"/>
      <c r="AJ141" s="745">
        <f t="shared" si="32"/>
        <v>0</v>
      </c>
      <c r="AK141" s="745"/>
      <c r="AL141" s="1136"/>
      <c r="AM141" s="1137"/>
      <c r="AN141" s="1137"/>
      <c r="AO141" s="1137"/>
      <c r="AP141" s="1137"/>
      <c r="AQ141" s="1137"/>
      <c r="AR141" s="1137"/>
      <c r="AS141" s="1137"/>
      <c r="AT141" s="1139"/>
      <c r="AU141" s="1137"/>
      <c r="AV141" s="1137"/>
      <c r="AW141" s="1137"/>
      <c r="AX141" s="1137"/>
      <c r="AY141" s="1137"/>
      <c r="AZ141" s="1137"/>
      <c r="BA141" s="1137"/>
      <c r="BB141" s="1137"/>
      <c r="BC141" s="1139"/>
      <c r="BD141" s="1137"/>
      <c r="BE141" s="1137"/>
      <c r="BF141" s="1137"/>
      <c r="BG141" s="1137"/>
      <c r="BH141" s="1137"/>
      <c r="BI141" s="1137"/>
      <c r="BJ141" s="1139"/>
      <c r="BK141" s="1139">
        <v>1</v>
      </c>
      <c r="BL141" s="1137"/>
      <c r="BM141" s="1137"/>
      <c r="BN141" s="1137"/>
      <c r="BO141" s="1137"/>
      <c r="BP141" s="1137"/>
      <c r="BQ141" s="1139"/>
      <c r="BR141" s="1140"/>
      <c r="BS141" s="1137"/>
      <c r="BT141" s="1141"/>
      <c r="BV141" s="746"/>
    </row>
    <row r="142" spans="1:74" s="714" customFormat="1" ht="21.95" hidden="1" customHeight="1">
      <c r="A142" s="2695"/>
      <c r="B142" s="2585"/>
      <c r="C142" s="747" t="s">
        <v>1662</v>
      </c>
      <c r="D142" s="1144"/>
      <c r="E142" s="1246">
        <v>0.61699999999999999</v>
      </c>
      <c r="F142" s="1233">
        <f>Dren_Quantificacao!D126</f>
        <v>0</v>
      </c>
      <c r="G142" s="1233">
        <f>Dren_Quantificacao!E126</f>
        <v>0</v>
      </c>
      <c r="H142" s="1233">
        <f>Dren_Quantificacao!F126</f>
        <v>0</v>
      </c>
      <c r="I142" s="1233">
        <f>Dren_Quantificacao!G126</f>
        <v>0</v>
      </c>
      <c r="J142" s="1233"/>
      <c r="K142" s="1233"/>
      <c r="L142" s="1233"/>
      <c r="M142" s="1233"/>
      <c r="N142" s="1234"/>
      <c r="O142" s="1233">
        <f>Dren_Quantificacao!L126</f>
        <v>0</v>
      </c>
      <c r="P142" s="1233">
        <f>Dren_Quantificacao!M126</f>
        <v>0</v>
      </c>
      <c r="Q142" s="1233">
        <f>Dren_Quantificacao!N126</f>
        <v>0</v>
      </c>
      <c r="R142" s="1233">
        <f>Dren_Quantificacao!O126</f>
        <v>0</v>
      </c>
      <c r="S142" s="1233">
        <f>Dren_Quantificacao!BD126</f>
        <v>0</v>
      </c>
      <c r="T142" s="1235">
        <f>Dren_Quantificacao!BE126</f>
        <v>0</v>
      </c>
      <c r="U142" s="1235">
        <f>Dren_Quantificacao!BF126</f>
        <v>0</v>
      </c>
      <c r="V142" s="1235">
        <f>Dren_Quantificacao!BG126</f>
        <v>0</v>
      </c>
      <c r="W142" s="1235">
        <f>Dren_Quantificacao!BH126</f>
        <v>0</v>
      </c>
      <c r="X142" s="1235">
        <f>Dren_Quantificacao!BI126</f>
        <v>0</v>
      </c>
      <c r="Y142" s="1235">
        <f>+Dren_Quantificacao!BJ126</f>
        <v>0</v>
      </c>
      <c r="Z142" s="1235">
        <f>+Dren_Quantificacao!BK126</f>
        <v>0</v>
      </c>
      <c r="AA142" s="1235">
        <f>+Dren_Quantificacao!BL126</f>
        <v>0</v>
      </c>
      <c r="AB142" s="1235">
        <f>+Dren_Quantificacao!BM126</f>
        <v>0</v>
      </c>
      <c r="AC142" s="1235">
        <f>+Dren_Quantificacao!BN126</f>
        <v>0</v>
      </c>
      <c r="AD142" s="1235">
        <f>+Dren_Quantificacao!BO126</f>
        <v>0</v>
      </c>
      <c r="AE142" s="1235">
        <f>+Dren_Quantificacao!BP126</f>
        <v>0</v>
      </c>
      <c r="AF142" s="1233">
        <f>+Dren_Quantificacao!BQ126</f>
        <v>0</v>
      </c>
      <c r="AG142" s="1233">
        <f>+Dren_Quantificacao!BR126</f>
        <v>0</v>
      </c>
      <c r="AH142" s="1233">
        <f>+Dren_Quantificacao!BS126</f>
        <v>0</v>
      </c>
      <c r="AI142" s="1236"/>
      <c r="AJ142" s="745">
        <f t="shared" si="32"/>
        <v>0</v>
      </c>
      <c r="AK142" s="745"/>
      <c r="AL142" s="1136"/>
      <c r="AM142" s="1137"/>
      <c r="AN142" s="1137"/>
      <c r="AO142" s="1137"/>
      <c r="AP142" s="1137"/>
      <c r="AQ142" s="1137"/>
      <c r="AR142" s="1137"/>
      <c r="AS142" s="1137"/>
      <c r="AT142" s="1139"/>
      <c r="AU142" s="1137"/>
      <c r="AV142" s="1137"/>
      <c r="AW142" s="1137"/>
      <c r="AX142" s="1137"/>
      <c r="AY142" s="1137"/>
      <c r="AZ142" s="1137"/>
      <c r="BA142" s="1137"/>
      <c r="BB142" s="1137"/>
      <c r="BC142" s="1139"/>
      <c r="BD142" s="1137"/>
      <c r="BE142" s="1137"/>
      <c r="BF142" s="1137"/>
      <c r="BG142" s="1137"/>
      <c r="BH142" s="1137"/>
      <c r="BI142" s="1137"/>
      <c r="BJ142" s="1139"/>
      <c r="BK142" s="1139">
        <v>1</v>
      </c>
      <c r="BL142" s="1137"/>
      <c r="BM142" s="1137"/>
      <c r="BN142" s="1137"/>
      <c r="BO142" s="1137"/>
      <c r="BP142" s="1137"/>
      <c r="BQ142" s="1139"/>
      <c r="BR142" s="1140"/>
      <c r="BS142" s="1137"/>
      <c r="BT142" s="1141"/>
      <c r="BV142" s="746"/>
    </row>
    <row r="143" spans="1:74" s="714" customFormat="1" ht="21.95" hidden="1" customHeight="1">
      <c r="A143" s="2695"/>
      <c r="B143" s="2585"/>
      <c r="C143" s="747" t="s">
        <v>1663</v>
      </c>
      <c r="D143" s="1144"/>
      <c r="E143" s="1246">
        <v>0.96299999999999997</v>
      </c>
      <c r="F143" s="1233">
        <f>Dren_Quantificacao!D127</f>
        <v>0</v>
      </c>
      <c r="G143" s="1233">
        <f>Dren_Quantificacao!E127</f>
        <v>0</v>
      </c>
      <c r="H143" s="1233">
        <f>Dren_Quantificacao!F127</f>
        <v>0</v>
      </c>
      <c r="I143" s="1233">
        <f>Dren_Quantificacao!G127</f>
        <v>0</v>
      </c>
      <c r="J143" s="1233"/>
      <c r="K143" s="1233"/>
      <c r="L143" s="1233"/>
      <c r="M143" s="1233"/>
      <c r="N143" s="1234"/>
      <c r="O143" s="1233">
        <f>Dren_Quantificacao!L127</f>
        <v>0</v>
      </c>
      <c r="P143" s="1233">
        <f>Dren_Quantificacao!M127</f>
        <v>0</v>
      </c>
      <c r="Q143" s="1233">
        <f>Dren_Quantificacao!N127</f>
        <v>0</v>
      </c>
      <c r="R143" s="1233">
        <f>Dren_Quantificacao!O127</f>
        <v>0</v>
      </c>
      <c r="S143" s="1233">
        <f>Dren_Quantificacao!BD127</f>
        <v>0</v>
      </c>
      <c r="T143" s="1235">
        <f>Dren_Quantificacao!BE127</f>
        <v>0</v>
      </c>
      <c r="U143" s="1235">
        <f>Dren_Quantificacao!BF127</f>
        <v>0</v>
      </c>
      <c r="V143" s="1235">
        <f>Dren_Quantificacao!BG127</f>
        <v>0</v>
      </c>
      <c r="W143" s="1235">
        <f>Dren_Quantificacao!BH127</f>
        <v>0</v>
      </c>
      <c r="X143" s="1235">
        <f>Dren_Quantificacao!BI127</f>
        <v>0</v>
      </c>
      <c r="Y143" s="1235">
        <f>+Dren_Quantificacao!BJ127</f>
        <v>0</v>
      </c>
      <c r="Z143" s="1235">
        <f>+Dren_Quantificacao!BK127</f>
        <v>0</v>
      </c>
      <c r="AA143" s="1235">
        <f>+Dren_Quantificacao!BL127</f>
        <v>0</v>
      </c>
      <c r="AB143" s="1235">
        <f>+Dren_Quantificacao!BM127</f>
        <v>0</v>
      </c>
      <c r="AC143" s="1235">
        <f>+Dren_Quantificacao!BN127</f>
        <v>0</v>
      </c>
      <c r="AD143" s="1235">
        <f>+Dren_Quantificacao!BO127</f>
        <v>0</v>
      </c>
      <c r="AE143" s="1235">
        <f>+Dren_Quantificacao!BP127</f>
        <v>0</v>
      </c>
      <c r="AF143" s="1233">
        <f>+Dren_Quantificacao!BQ127</f>
        <v>0</v>
      </c>
      <c r="AG143" s="1233">
        <f>+Dren_Quantificacao!BR127</f>
        <v>0</v>
      </c>
      <c r="AH143" s="1233">
        <f>+Dren_Quantificacao!BS127</f>
        <v>0</v>
      </c>
      <c r="AI143" s="1236"/>
      <c r="AJ143" s="745">
        <f t="shared" si="32"/>
        <v>0</v>
      </c>
      <c r="AK143" s="745"/>
      <c r="AL143" s="1136"/>
      <c r="AM143" s="1137"/>
      <c r="AN143" s="1137"/>
      <c r="AO143" s="1137"/>
      <c r="AP143" s="1137"/>
      <c r="AQ143" s="1137"/>
      <c r="AR143" s="1137"/>
      <c r="AS143" s="1137"/>
      <c r="AT143" s="1139"/>
      <c r="AU143" s="1137"/>
      <c r="AV143" s="1137"/>
      <c r="AW143" s="1137"/>
      <c r="AX143" s="1137"/>
      <c r="AY143" s="1137"/>
      <c r="AZ143" s="1137"/>
      <c r="BA143" s="1137"/>
      <c r="BB143" s="1137"/>
      <c r="BC143" s="1139"/>
      <c r="BD143" s="1137"/>
      <c r="BE143" s="1137"/>
      <c r="BF143" s="1137"/>
      <c r="BG143" s="1137"/>
      <c r="BH143" s="1137"/>
      <c r="BI143" s="1137"/>
      <c r="BJ143" s="1139"/>
      <c r="BK143" s="1139">
        <v>1</v>
      </c>
      <c r="BL143" s="1137"/>
      <c r="BM143" s="1137"/>
      <c r="BN143" s="1137"/>
      <c r="BO143" s="1137"/>
      <c r="BP143" s="1137"/>
      <c r="BQ143" s="1139"/>
      <c r="BR143" s="1140"/>
      <c r="BS143" s="1137"/>
      <c r="BT143" s="1141"/>
      <c r="BV143" s="746"/>
    </row>
    <row r="144" spans="1:74" s="714" customFormat="1" ht="21.95" hidden="1" customHeight="1" thickBot="1">
      <c r="A144" s="2695"/>
      <c r="B144" s="2585"/>
      <c r="C144" s="747" t="s">
        <v>1664</v>
      </c>
      <c r="D144" s="1237"/>
      <c r="E144" s="1228"/>
      <c r="F144" s="1238">
        <f>Dren_Quantificacao!D128</f>
        <v>0</v>
      </c>
      <c r="G144" s="1238">
        <f>Dren_Quantificacao!E128</f>
        <v>0</v>
      </c>
      <c r="H144" s="1238">
        <f>Dren_Quantificacao!F128</f>
        <v>0</v>
      </c>
      <c r="I144" s="1238">
        <f>Dren_Quantificacao!G128</f>
        <v>0</v>
      </c>
      <c r="J144" s="1238"/>
      <c r="K144" s="1238"/>
      <c r="L144" s="1238"/>
      <c r="M144" s="1238"/>
      <c r="N144" s="1239"/>
      <c r="O144" s="1238">
        <f>Dren_Quantificacao!L128</f>
        <v>0</v>
      </c>
      <c r="P144" s="1238">
        <f>Dren_Quantificacao!M128</f>
        <v>0</v>
      </c>
      <c r="Q144" s="1238">
        <f>Dren_Quantificacao!N128</f>
        <v>0</v>
      </c>
      <c r="R144" s="1238">
        <f>Dren_Quantificacao!O128</f>
        <v>0</v>
      </c>
      <c r="S144" s="1238">
        <f>Dren_Quantificacao!BD128</f>
        <v>0</v>
      </c>
      <c r="T144" s="1240">
        <f>Dren_Quantificacao!BE128</f>
        <v>0</v>
      </c>
      <c r="U144" s="1240">
        <f>Dren_Quantificacao!BF128</f>
        <v>0</v>
      </c>
      <c r="V144" s="1240">
        <f>Dren_Quantificacao!BG128</f>
        <v>0</v>
      </c>
      <c r="W144" s="1240">
        <f>Dren_Quantificacao!BH128</f>
        <v>0</v>
      </c>
      <c r="X144" s="1240">
        <f>Dren_Quantificacao!BI128</f>
        <v>0</v>
      </c>
      <c r="Y144" s="1240">
        <f>+Dren_Quantificacao!BJ128</f>
        <v>0</v>
      </c>
      <c r="Z144" s="1240">
        <f>+Dren_Quantificacao!BK128</f>
        <v>0</v>
      </c>
      <c r="AA144" s="1240">
        <f>+Dren_Quantificacao!BL128</f>
        <v>0</v>
      </c>
      <c r="AB144" s="1240">
        <f>+Dren_Quantificacao!BM128</f>
        <v>0</v>
      </c>
      <c r="AC144" s="1240">
        <f>+Dren_Quantificacao!BN128</f>
        <v>0</v>
      </c>
      <c r="AD144" s="1240">
        <f>+Dren_Quantificacao!BO128</f>
        <v>0</v>
      </c>
      <c r="AE144" s="1240">
        <f>+Dren_Quantificacao!BP128</f>
        <v>0</v>
      </c>
      <c r="AF144" s="1238">
        <f>+Dren_Quantificacao!BQ128</f>
        <v>0</v>
      </c>
      <c r="AG144" s="1238">
        <f>+Dren_Quantificacao!BR128</f>
        <v>0</v>
      </c>
      <c r="AH144" s="1238">
        <f>+Dren_Quantificacao!BS128</f>
        <v>0</v>
      </c>
      <c r="AI144" s="1241"/>
      <c r="AJ144" s="745">
        <f t="shared" si="32"/>
        <v>0</v>
      </c>
      <c r="AK144" s="745"/>
      <c r="AL144" s="1136"/>
      <c r="AM144" s="1137"/>
      <c r="AN144" s="1137"/>
      <c r="AO144" s="1137"/>
      <c r="AP144" s="1137"/>
      <c r="AQ144" s="1137"/>
      <c r="AR144" s="1137"/>
      <c r="AS144" s="1137"/>
      <c r="AT144" s="1139"/>
      <c r="AU144" s="1137"/>
      <c r="AV144" s="1137"/>
      <c r="AW144" s="1137"/>
      <c r="AX144" s="1137"/>
      <c r="AY144" s="1137"/>
      <c r="AZ144" s="1137"/>
      <c r="BA144" s="1137"/>
      <c r="BB144" s="1137"/>
      <c r="BC144" s="1139"/>
      <c r="BD144" s="1137"/>
      <c r="BE144" s="1137"/>
      <c r="BF144" s="1137"/>
      <c r="BG144" s="1137"/>
      <c r="BH144" s="1137"/>
      <c r="BI144" s="1137"/>
      <c r="BJ144" s="1139"/>
      <c r="BK144" s="1139"/>
      <c r="BL144" s="1137"/>
      <c r="BM144" s="1137"/>
      <c r="BN144" s="1137"/>
      <c r="BO144" s="1137"/>
      <c r="BP144" s="1137">
        <v>1</v>
      </c>
      <c r="BQ144" s="1139"/>
      <c r="BR144" s="1140"/>
      <c r="BS144" s="1137"/>
      <c r="BT144" s="1141"/>
      <c r="BV144" s="746"/>
    </row>
    <row r="145" spans="1:74" s="714" customFormat="1" ht="21.95" hidden="1" customHeight="1">
      <c r="A145" s="2695"/>
      <c r="B145" s="2584" t="s">
        <v>1652</v>
      </c>
      <c r="C145" s="740" t="s">
        <v>1650</v>
      </c>
      <c r="D145" s="1142"/>
      <c r="E145" s="1143"/>
      <c r="F145" s="1242">
        <f>Dren_Quantificacao!D115</f>
        <v>0</v>
      </c>
      <c r="G145" s="1242">
        <f>Dren_Quantificacao!E115</f>
        <v>0</v>
      </c>
      <c r="H145" s="1242">
        <f>Dren_Quantificacao!F115</f>
        <v>0</v>
      </c>
      <c r="I145" s="1242">
        <f>Dren_Quantificacao!G115</f>
        <v>0</v>
      </c>
      <c r="J145" s="1242"/>
      <c r="K145" s="1242"/>
      <c r="L145" s="1242"/>
      <c r="M145" s="1242"/>
      <c r="N145" s="1243"/>
      <c r="O145" s="1242">
        <f>Dren_Quantificacao!L115</f>
        <v>0</v>
      </c>
      <c r="P145" s="1242">
        <f>Dren_Quantificacao!M115</f>
        <v>0</v>
      </c>
      <c r="Q145" s="1242">
        <f>Dren_Quantificacao!N115</f>
        <v>0</v>
      </c>
      <c r="R145" s="1242">
        <f>Dren_Quantificacao!O115</f>
        <v>0</v>
      </c>
      <c r="S145" s="1242">
        <f>Dren_Quantificacao!BD115</f>
        <v>0</v>
      </c>
      <c r="T145" s="1244"/>
      <c r="U145" s="1244"/>
      <c r="V145" s="1244"/>
      <c r="W145" s="1244"/>
      <c r="X145" s="1244"/>
      <c r="Y145" s="1244"/>
      <c r="Z145" s="1244"/>
      <c r="AA145" s="1244"/>
      <c r="AB145" s="1244"/>
      <c r="AC145" s="1244"/>
      <c r="AD145" s="1244"/>
      <c r="AE145" s="1244"/>
      <c r="AF145" s="1242">
        <f>+Dren_Quantificacao!BQ115</f>
        <v>0</v>
      </c>
      <c r="AG145" s="1242">
        <f>+Dren_Quantificacao!BR115</f>
        <v>0</v>
      </c>
      <c r="AH145" s="1242">
        <f>+Dren_Quantificacao!BS115</f>
        <v>0</v>
      </c>
      <c r="AI145" s="1247"/>
      <c r="AJ145" s="745">
        <f t="shared" si="32"/>
        <v>0</v>
      </c>
      <c r="AK145" s="745"/>
      <c r="AL145" s="1136"/>
      <c r="AM145" s="1137"/>
      <c r="AN145" s="1137"/>
      <c r="AO145" s="1137"/>
      <c r="AP145" s="1137"/>
      <c r="AQ145" s="1137"/>
      <c r="AR145" s="1137"/>
      <c r="AS145" s="1137"/>
      <c r="AT145" s="1139"/>
      <c r="AU145" s="1137"/>
      <c r="AV145" s="1137"/>
      <c r="AW145" s="1137"/>
      <c r="AX145" s="1137"/>
      <c r="AY145" s="1137"/>
      <c r="AZ145" s="1137"/>
      <c r="BA145" s="1137"/>
      <c r="BB145" s="1137"/>
      <c r="BC145" s="1139"/>
      <c r="BD145" s="1137"/>
      <c r="BE145" s="1137"/>
      <c r="BF145" s="1137"/>
      <c r="BG145" s="1137"/>
      <c r="BH145" s="1137"/>
      <c r="BI145" s="1137"/>
      <c r="BJ145" s="1139"/>
      <c r="BK145" s="1139"/>
      <c r="BL145" s="1137"/>
      <c r="BM145" s="1137"/>
      <c r="BN145" s="1137"/>
      <c r="BO145" s="1137"/>
      <c r="BP145" s="1137"/>
      <c r="BQ145" s="1139"/>
      <c r="BR145" s="1140"/>
      <c r="BS145" s="1137"/>
      <c r="BT145" s="1141"/>
      <c r="BV145" s="746"/>
    </row>
    <row r="146" spans="1:74" s="714" customFormat="1" ht="21.95" hidden="1" customHeight="1">
      <c r="A146" s="2695"/>
      <c r="B146" s="2585"/>
      <c r="C146" s="747" t="s">
        <v>1477</v>
      </c>
      <c r="D146" s="1144"/>
      <c r="E146" s="1145"/>
      <c r="F146" s="1233">
        <f>Dren_Quantificacao!D116</f>
        <v>0</v>
      </c>
      <c r="G146" s="1233">
        <f>Dren_Quantificacao!E116</f>
        <v>0</v>
      </c>
      <c r="H146" s="1233">
        <f>Dren_Quantificacao!F116</f>
        <v>0</v>
      </c>
      <c r="I146" s="1233">
        <f>Dren_Quantificacao!G116</f>
        <v>0</v>
      </c>
      <c r="J146" s="1233"/>
      <c r="K146" s="1233"/>
      <c r="L146" s="1233"/>
      <c r="M146" s="1233"/>
      <c r="N146" s="1234"/>
      <c r="O146" s="1233">
        <f>Dren_Quantificacao!L116</f>
        <v>0</v>
      </c>
      <c r="P146" s="1233">
        <f>Dren_Quantificacao!M116</f>
        <v>0</v>
      </c>
      <c r="Q146" s="1233">
        <f>Dren_Quantificacao!N116</f>
        <v>0</v>
      </c>
      <c r="R146" s="1233">
        <f>Dren_Quantificacao!O116</f>
        <v>0</v>
      </c>
      <c r="S146" s="1233">
        <f>Dren_Quantificacao!BD116</f>
        <v>0</v>
      </c>
      <c r="T146" s="1235"/>
      <c r="U146" s="1235"/>
      <c r="V146" s="1235"/>
      <c r="W146" s="1235"/>
      <c r="X146" s="1235"/>
      <c r="Y146" s="1235"/>
      <c r="Z146" s="1235"/>
      <c r="AA146" s="1235"/>
      <c r="AB146" s="1235"/>
      <c r="AC146" s="1235"/>
      <c r="AD146" s="1235"/>
      <c r="AE146" s="1235"/>
      <c r="AF146" s="1233">
        <f>+Dren_Quantificacao!BQ116</f>
        <v>0</v>
      </c>
      <c r="AG146" s="1233">
        <f>+Dren_Quantificacao!BR116</f>
        <v>0</v>
      </c>
      <c r="AH146" s="1233">
        <f>+Dren_Quantificacao!BS116</f>
        <v>0</v>
      </c>
      <c r="AI146" s="1248"/>
      <c r="AJ146" s="745">
        <f t="shared" si="32"/>
        <v>0</v>
      </c>
      <c r="AK146" s="745"/>
      <c r="AL146" s="1136"/>
      <c r="AM146" s="1137"/>
      <c r="AN146" s="1137"/>
      <c r="AO146" s="1137"/>
      <c r="AP146" s="1137"/>
      <c r="AQ146" s="1137"/>
      <c r="AR146" s="1137"/>
      <c r="AS146" s="1137"/>
      <c r="AT146" s="1139"/>
      <c r="AU146" s="1137"/>
      <c r="AV146" s="1137"/>
      <c r="AW146" s="1137"/>
      <c r="AX146" s="1137"/>
      <c r="AY146" s="1137"/>
      <c r="AZ146" s="1137"/>
      <c r="BA146" s="1137"/>
      <c r="BB146" s="1137"/>
      <c r="BC146" s="1139"/>
      <c r="BD146" s="1137"/>
      <c r="BE146" s="1137"/>
      <c r="BF146" s="1137"/>
      <c r="BG146" s="1137"/>
      <c r="BH146" s="1137"/>
      <c r="BI146" s="1137"/>
      <c r="BJ146" s="1139"/>
      <c r="BK146" s="1139"/>
      <c r="BL146" s="1137"/>
      <c r="BM146" s="1137"/>
      <c r="BN146" s="1137"/>
      <c r="BO146" s="1137"/>
      <c r="BP146" s="1137"/>
      <c r="BQ146" s="1139"/>
      <c r="BR146" s="1140"/>
      <c r="BS146" s="1137"/>
      <c r="BT146" s="1141"/>
      <c r="BV146" s="746"/>
    </row>
    <row r="147" spans="1:74" s="714" customFormat="1" ht="21.95" hidden="1" customHeight="1">
      <c r="A147" s="2695"/>
      <c r="B147" s="2585"/>
      <c r="C147" s="747" t="s">
        <v>1539</v>
      </c>
      <c r="D147" s="1144"/>
      <c r="E147" s="1145"/>
      <c r="F147" s="1233">
        <f>Dren_Quantificacao!D117</f>
        <v>0</v>
      </c>
      <c r="G147" s="1233">
        <f>Dren_Quantificacao!E117</f>
        <v>0</v>
      </c>
      <c r="H147" s="1233">
        <f>Dren_Quantificacao!F117</f>
        <v>0</v>
      </c>
      <c r="I147" s="1233">
        <f>Dren_Quantificacao!G117</f>
        <v>0</v>
      </c>
      <c r="J147" s="1233"/>
      <c r="K147" s="1233"/>
      <c r="L147" s="1233"/>
      <c r="M147" s="1233"/>
      <c r="N147" s="1234"/>
      <c r="O147" s="1233">
        <f>Dren_Quantificacao!L117</f>
        <v>0</v>
      </c>
      <c r="P147" s="1233">
        <f>Dren_Quantificacao!M117</f>
        <v>0</v>
      </c>
      <c r="Q147" s="1233">
        <f>Dren_Quantificacao!N117</f>
        <v>0</v>
      </c>
      <c r="R147" s="1233">
        <f>Dren_Quantificacao!O117</f>
        <v>0</v>
      </c>
      <c r="S147" s="1233">
        <f>Dren_Quantificacao!BD117</f>
        <v>0</v>
      </c>
      <c r="T147" s="1235"/>
      <c r="U147" s="1235"/>
      <c r="V147" s="1235"/>
      <c r="W147" s="1235"/>
      <c r="X147" s="1235"/>
      <c r="Y147" s="1235"/>
      <c r="Z147" s="1235"/>
      <c r="AA147" s="1235"/>
      <c r="AB147" s="1235"/>
      <c r="AC147" s="1235"/>
      <c r="AD147" s="1235"/>
      <c r="AE147" s="1235"/>
      <c r="AF147" s="1233">
        <f>+Dren_Quantificacao!BQ117</f>
        <v>0</v>
      </c>
      <c r="AG147" s="1233">
        <f>+Dren_Quantificacao!BR117</f>
        <v>0</v>
      </c>
      <c r="AH147" s="1233">
        <f>+Dren_Quantificacao!BS117</f>
        <v>0</v>
      </c>
      <c r="AI147" s="1248"/>
      <c r="AJ147" s="745">
        <f t="shared" si="32"/>
        <v>0</v>
      </c>
      <c r="AK147" s="745"/>
      <c r="AL147" s="1136"/>
      <c r="AM147" s="1137"/>
      <c r="AN147" s="1137"/>
      <c r="AO147" s="1137"/>
      <c r="AP147" s="1137"/>
      <c r="AQ147" s="1137"/>
      <c r="AR147" s="1137"/>
      <c r="AS147" s="1137"/>
      <c r="AT147" s="1139"/>
      <c r="AU147" s="1137"/>
      <c r="AV147" s="1137"/>
      <c r="AW147" s="1137"/>
      <c r="AX147" s="1137"/>
      <c r="AY147" s="1137"/>
      <c r="AZ147" s="1137"/>
      <c r="BA147" s="1137"/>
      <c r="BB147" s="1137"/>
      <c r="BC147" s="1139"/>
      <c r="BD147" s="1137"/>
      <c r="BE147" s="1137"/>
      <c r="BF147" s="1137"/>
      <c r="BG147" s="1137"/>
      <c r="BH147" s="1137"/>
      <c r="BI147" s="1137"/>
      <c r="BJ147" s="1139"/>
      <c r="BK147" s="1139"/>
      <c r="BL147" s="1137"/>
      <c r="BM147" s="1137"/>
      <c r="BN147" s="1137"/>
      <c r="BO147" s="1137"/>
      <c r="BP147" s="1137"/>
      <c r="BQ147" s="1139"/>
      <c r="BR147" s="1140"/>
      <c r="BS147" s="1137"/>
      <c r="BT147" s="1141"/>
      <c r="BV147" s="746"/>
    </row>
    <row r="148" spans="1:74" s="714" customFormat="1" ht="21.95" hidden="1" customHeight="1" thickBot="1">
      <c r="A148" s="2695"/>
      <c r="B148" s="2585"/>
      <c r="C148" s="747" t="s">
        <v>1923</v>
      </c>
      <c r="D148" s="1237"/>
      <c r="E148" s="1228"/>
      <c r="F148" s="1238">
        <f>F147*F146*F145</f>
        <v>0</v>
      </c>
      <c r="G148" s="1238">
        <f t="shared" ref="G148:R148" si="33">G147*G146*G145</f>
        <v>0</v>
      </c>
      <c r="H148" s="1238">
        <f t="shared" si="33"/>
        <v>0</v>
      </c>
      <c r="I148" s="1238">
        <f t="shared" si="33"/>
        <v>0</v>
      </c>
      <c r="J148" s="1238"/>
      <c r="K148" s="1238"/>
      <c r="L148" s="1238"/>
      <c r="M148" s="1238"/>
      <c r="N148" s="1239"/>
      <c r="O148" s="1238">
        <f t="shared" si="33"/>
        <v>0</v>
      </c>
      <c r="P148" s="1238">
        <f t="shared" si="33"/>
        <v>0</v>
      </c>
      <c r="Q148" s="1238">
        <f t="shared" si="33"/>
        <v>0</v>
      </c>
      <c r="R148" s="1238">
        <f t="shared" si="33"/>
        <v>0</v>
      </c>
      <c r="S148" s="1238">
        <f>S147*S146*S145</f>
        <v>0</v>
      </c>
      <c r="T148" s="1240"/>
      <c r="U148" s="1240"/>
      <c r="V148" s="1240"/>
      <c r="W148" s="1240"/>
      <c r="X148" s="1240"/>
      <c r="Y148" s="1240"/>
      <c r="Z148" s="1240"/>
      <c r="AA148" s="1240"/>
      <c r="AB148" s="1240"/>
      <c r="AC148" s="1240"/>
      <c r="AD148" s="1240"/>
      <c r="AE148" s="1240"/>
      <c r="AF148" s="1238">
        <f>+AF147*AF146*AF145</f>
        <v>0</v>
      </c>
      <c r="AG148" s="1238">
        <f>+AG147*AG146*AG145</f>
        <v>0</v>
      </c>
      <c r="AH148" s="1238">
        <f>+AH147*AH146*AH145</f>
        <v>0</v>
      </c>
      <c r="AI148" s="1241"/>
      <c r="AJ148" s="745">
        <f t="shared" si="32"/>
        <v>0</v>
      </c>
      <c r="AK148" s="745"/>
      <c r="AL148" s="1136"/>
      <c r="AM148" s="1137"/>
      <c r="AN148" s="1137"/>
      <c r="AO148" s="1137"/>
      <c r="AP148" s="1137"/>
      <c r="AQ148" s="1137"/>
      <c r="AR148" s="1137"/>
      <c r="AS148" s="1137"/>
      <c r="AT148" s="1139">
        <v>1</v>
      </c>
      <c r="AU148" s="1137"/>
      <c r="AV148" s="1137"/>
      <c r="AW148" s="1137"/>
      <c r="AX148" s="1137"/>
      <c r="AY148" s="1137"/>
      <c r="AZ148" s="1137"/>
      <c r="BA148" s="1137"/>
      <c r="BB148" s="1137"/>
      <c r="BC148" s="1139">
        <v>1</v>
      </c>
      <c r="BD148" s="1137"/>
      <c r="BE148" s="1137"/>
      <c r="BF148" s="1137"/>
      <c r="BG148" s="1137"/>
      <c r="BH148" s="1137"/>
      <c r="BI148" s="1137">
        <v>1</v>
      </c>
      <c r="BJ148" s="1139"/>
      <c r="BK148" s="1139"/>
      <c r="BL148" s="1137"/>
      <c r="BM148" s="1137"/>
      <c r="BN148" s="1137"/>
      <c r="BO148" s="1137"/>
      <c r="BP148" s="1137"/>
      <c r="BQ148" s="1139"/>
      <c r="BR148" s="1140"/>
      <c r="BS148" s="1137"/>
      <c r="BT148" s="1141"/>
      <c r="BV148" s="746"/>
    </row>
    <row r="149" spans="1:74" ht="21.95" hidden="1" customHeight="1">
      <c r="A149" s="2695"/>
      <c r="B149" s="2631" t="s">
        <v>1642</v>
      </c>
      <c r="C149" s="740" t="s">
        <v>1355</v>
      </c>
      <c r="D149" s="1142"/>
      <c r="E149" s="1143"/>
      <c r="F149" s="1242">
        <f>Dren_Quantificacao!D102</f>
        <v>0</v>
      </c>
      <c r="G149" s="1242">
        <f>Dren_Quantificacao!E102</f>
        <v>0</v>
      </c>
      <c r="H149" s="1242">
        <f>Dren_Quantificacao!F102</f>
        <v>0</v>
      </c>
      <c r="I149" s="1242">
        <f>Dren_Quantificacao!G102</f>
        <v>0</v>
      </c>
      <c r="J149" s="1242"/>
      <c r="K149" s="1242"/>
      <c r="L149" s="1242"/>
      <c r="M149" s="1242"/>
      <c r="N149" s="1243"/>
      <c r="O149" s="1242">
        <f>Dren_Quantificacao!L102</f>
        <v>0</v>
      </c>
      <c r="P149" s="1242">
        <f>Dren_Quantificacao!M102</f>
        <v>0</v>
      </c>
      <c r="Q149" s="1242">
        <f>Dren_Quantificacao!N102</f>
        <v>0</v>
      </c>
      <c r="R149" s="1242">
        <f>Dren_Quantificacao!O102</f>
        <v>0</v>
      </c>
      <c r="S149" s="1242">
        <f>Dren_Quantificacao!BD102</f>
        <v>0</v>
      </c>
      <c r="T149" s="1244"/>
      <c r="U149" s="1244"/>
      <c r="V149" s="1244"/>
      <c r="W149" s="1244"/>
      <c r="X149" s="1244"/>
      <c r="Y149" s="1244"/>
      <c r="Z149" s="1244"/>
      <c r="AA149" s="1244"/>
      <c r="AB149" s="1244"/>
      <c r="AC149" s="1244"/>
      <c r="AD149" s="1244"/>
      <c r="AE149" s="1244"/>
      <c r="AF149" s="1242">
        <f>+Dren_Quantificacao!BQ102</f>
        <v>0</v>
      </c>
      <c r="AG149" s="1242">
        <f>+Dren_Quantificacao!BR102</f>
        <v>0</v>
      </c>
      <c r="AH149" s="1242">
        <f>+Dren_Quantificacao!BS102</f>
        <v>0</v>
      </c>
      <c r="AI149" s="1247"/>
      <c r="AJ149" s="745">
        <f t="shared" si="32"/>
        <v>0</v>
      </c>
      <c r="AK149" s="745"/>
      <c r="AL149" s="1141"/>
      <c r="AM149" s="1141"/>
      <c r="AN149" s="1141"/>
      <c r="AO149" s="1141"/>
      <c r="AP149" s="1141"/>
      <c r="AQ149" s="1141"/>
      <c r="AR149" s="1141"/>
      <c r="AS149" s="1141"/>
      <c r="AT149" s="1141"/>
      <c r="AU149" s="1141"/>
      <c r="AV149" s="1141"/>
      <c r="AW149" s="1141"/>
      <c r="AX149" s="1141"/>
      <c r="AY149" s="1141"/>
      <c r="AZ149" s="1141"/>
      <c r="BA149" s="1141"/>
      <c r="BB149" s="1141"/>
      <c r="BC149" s="1141"/>
      <c r="BD149" s="1141"/>
      <c r="BE149" s="1141"/>
      <c r="BF149" s="1141"/>
      <c r="BG149" s="1141"/>
      <c r="BH149" s="1141"/>
      <c r="BI149" s="1141"/>
      <c r="BJ149" s="1141"/>
      <c r="BK149" s="1141"/>
      <c r="BL149" s="1141"/>
      <c r="BM149" s="1141"/>
      <c r="BN149" s="1141"/>
      <c r="BO149" s="1141"/>
      <c r="BP149" s="1141"/>
      <c r="BQ149" s="1141"/>
      <c r="BR149" s="1141"/>
      <c r="BS149" s="1141"/>
      <c r="BT149" s="1141"/>
    </row>
    <row r="150" spans="1:74" ht="21.95" hidden="1" customHeight="1">
      <c r="A150" s="2695"/>
      <c r="B150" s="2605"/>
      <c r="C150" s="747" t="s">
        <v>1357</v>
      </c>
      <c r="D150" s="1144"/>
      <c r="E150" s="1145"/>
      <c r="F150" s="1233">
        <f>Dren_Quantificacao!D103</f>
        <v>0</v>
      </c>
      <c r="G150" s="1233">
        <f>Dren_Quantificacao!E103</f>
        <v>0</v>
      </c>
      <c r="H150" s="1233">
        <f>Dren_Quantificacao!F103</f>
        <v>0</v>
      </c>
      <c r="I150" s="1233">
        <f>Dren_Quantificacao!G103</f>
        <v>0</v>
      </c>
      <c r="J150" s="1233"/>
      <c r="K150" s="1233"/>
      <c r="L150" s="1233"/>
      <c r="M150" s="1233"/>
      <c r="N150" s="1234"/>
      <c r="O150" s="1233">
        <f>Dren_Quantificacao!L103</f>
        <v>0</v>
      </c>
      <c r="P150" s="1233">
        <f>Dren_Quantificacao!M103</f>
        <v>0</v>
      </c>
      <c r="Q150" s="1233">
        <f>Dren_Quantificacao!N103</f>
        <v>0</v>
      </c>
      <c r="R150" s="1233">
        <f>Dren_Quantificacao!O103</f>
        <v>0</v>
      </c>
      <c r="S150" s="1233">
        <f>Dren_Quantificacao!BD103</f>
        <v>0</v>
      </c>
      <c r="T150" s="1235"/>
      <c r="U150" s="1235"/>
      <c r="V150" s="1235"/>
      <c r="W150" s="1235"/>
      <c r="X150" s="1235"/>
      <c r="Y150" s="1235"/>
      <c r="Z150" s="1235"/>
      <c r="AA150" s="1235"/>
      <c r="AB150" s="1235"/>
      <c r="AC150" s="1235"/>
      <c r="AD150" s="1235"/>
      <c r="AE150" s="1235"/>
      <c r="AF150" s="1233">
        <f>+Dren_Quantificacao!BQ103</f>
        <v>0</v>
      </c>
      <c r="AG150" s="1233">
        <f>+Dren_Quantificacao!BR103</f>
        <v>0</v>
      </c>
      <c r="AH150" s="1233">
        <f>+Dren_Quantificacao!BS103</f>
        <v>0</v>
      </c>
      <c r="AI150" s="1248"/>
      <c r="AJ150" s="745">
        <f t="shared" si="32"/>
        <v>0</v>
      </c>
      <c r="AK150" s="745"/>
      <c r="AL150" s="1141"/>
      <c r="AM150" s="1141"/>
      <c r="AN150" s="1141"/>
      <c r="AO150" s="1141"/>
      <c r="AP150" s="1141"/>
      <c r="AQ150" s="1141"/>
      <c r="AR150" s="1141"/>
      <c r="AS150" s="1141"/>
      <c r="AT150" s="1141"/>
      <c r="AU150" s="1141"/>
      <c r="AV150" s="1141"/>
      <c r="AW150" s="1141"/>
      <c r="AX150" s="1141"/>
      <c r="AY150" s="1141"/>
      <c r="AZ150" s="1141"/>
      <c r="BA150" s="1141"/>
      <c r="BB150" s="1141"/>
      <c r="BC150" s="1141"/>
      <c r="BD150" s="1141"/>
      <c r="BE150" s="1141"/>
      <c r="BF150" s="1141"/>
      <c r="BG150" s="1141"/>
      <c r="BH150" s="1141"/>
      <c r="BI150" s="1141"/>
      <c r="BJ150" s="1141"/>
      <c r="BK150" s="1141"/>
      <c r="BL150" s="1141"/>
      <c r="BM150" s="1141"/>
      <c r="BN150" s="1141"/>
      <c r="BO150" s="1141"/>
      <c r="BP150" s="1141"/>
      <c r="BQ150" s="1141"/>
      <c r="BR150" s="1141"/>
      <c r="BS150" s="1141"/>
      <c r="BT150" s="1141"/>
    </row>
    <row r="151" spans="1:74" ht="21.95" hidden="1" customHeight="1" thickBot="1">
      <c r="A151" s="2695"/>
      <c r="B151" s="2632"/>
      <c r="C151" s="754" t="s">
        <v>1924</v>
      </c>
      <c r="D151" s="1146"/>
      <c r="E151" s="1147"/>
      <c r="F151" s="1249">
        <f>F150*F149</f>
        <v>0</v>
      </c>
      <c r="G151" s="1249">
        <f t="shared" ref="G151:R151" si="34">G150*G149</f>
        <v>0</v>
      </c>
      <c r="H151" s="1249">
        <f t="shared" si="34"/>
        <v>0</v>
      </c>
      <c r="I151" s="1249">
        <f t="shared" si="34"/>
        <v>0</v>
      </c>
      <c r="J151" s="1249"/>
      <c r="K151" s="1249"/>
      <c r="L151" s="1249"/>
      <c r="M151" s="1249"/>
      <c r="N151" s="1250"/>
      <c r="O151" s="1249">
        <f t="shared" si="34"/>
        <v>0</v>
      </c>
      <c r="P151" s="1249">
        <f t="shared" si="34"/>
        <v>0</v>
      </c>
      <c r="Q151" s="1249">
        <f t="shared" si="34"/>
        <v>0</v>
      </c>
      <c r="R151" s="1249">
        <f t="shared" si="34"/>
        <v>0</v>
      </c>
      <c r="S151" s="1249">
        <f>S150*S149</f>
        <v>0</v>
      </c>
      <c r="T151" s="1251"/>
      <c r="U151" s="1251"/>
      <c r="V151" s="1251"/>
      <c r="W151" s="1251"/>
      <c r="X151" s="1251"/>
      <c r="Y151" s="1251"/>
      <c r="Z151" s="1251"/>
      <c r="AA151" s="1251"/>
      <c r="AB151" s="1251"/>
      <c r="AC151" s="1251"/>
      <c r="AD151" s="1251"/>
      <c r="AE151" s="1251"/>
      <c r="AF151" s="1249">
        <f>+AF150*AF149</f>
        <v>0</v>
      </c>
      <c r="AG151" s="1249">
        <f>+AG150*AG149</f>
        <v>0</v>
      </c>
      <c r="AH151" s="1249">
        <f>+AH150*AH149</f>
        <v>0</v>
      </c>
      <c r="AI151" s="1252"/>
      <c r="AJ151" s="745">
        <f t="shared" si="32"/>
        <v>0</v>
      </c>
      <c r="AK151" s="745"/>
      <c r="AL151" s="1141"/>
      <c r="AM151" s="1141"/>
      <c r="AN151" s="1141"/>
      <c r="AO151" s="1141"/>
      <c r="AP151" s="1141"/>
      <c r="AQ151" s="1141"/>
      <c r="AR151" s="1141"/>
      <c r="AS151" s="1141"/>
      <c r="AT151" s="1141"/>
      <c r="AU151" s="1141"/>
      <c r="AV151" s="1141"/>
      <c r="AW151" s="1141"/>
      <c r="AX151" s="1141"/>
      <c r="AY151" s="1141"/>
      <c r="AZ151" s="1141"/>
      <c r="BA151" s="1141"/>
      <c r="BB151" s="1141"/>
      <c r="BC151" s="1141"/>
      <c r="BD151" s="1141"/>
      <c r="BE151" s="1141"/>
      <c r="BF151" s="1141"/>
      <c r="BG151" s="1141"/>
      <c r="BH151" s="1141"/>
      <c r="BI151" s="1141"/>
      <c r="BJ151" s="1141"/>
      <c r="BK151" s="1141"/>
      <c r="BL151" s="1141"/>
      <c r="BM151" s="1141"/>
      <c r="BN151" s="1141"/>
      <c r="BO151" s="1141"/>
      <c r="BP151" s="1141"/>
      <c r="BQ151" s="1141"/>
      <c r="BR151" s="1141"/>
      <c r="BS151" s="1141"/>
      <c r="BT151" s="1141"/>
    </row>
    <row r="152" spans="1:74" ht="21.95" hidden="1" customHeight="1" thickBot="1">
      <c r="A152" s="2695"/>
      <c r="B152" s="2596" t="s">
        <v>1643</v>
      </c>
      <c r="C152" s="2597"/>
      <c r="D152" s="1126"/>
      <c r="E152" s="1127"/>
      <c r="F152" s="1253">
        <f>Dren_Quantificacao!D104</f>
        <v>0</v>
      </c>
      <c r="G152" s="1253">
        <f>Dren_Quantificacao!E104</f>
        <v>0</v>
      </c>
      <c r="H152" s="1253">
        <f>Dren_Quantificacao!F104</f>
        <v>0</v>
      </c>
      <c r="I152" s="1253">
        <f>Dren_Quantificacao!G104</f>
        <v>0</v>
      </c>
      <c r="J152" s="1253"/>
      <c r="K152" s="1253"/>
      <c r="L152" s="1253"/>
      <c r="M152" s="1253"/>
      <c r="N152" s="1254"/>
      <c r="O152" s="1253">
        <f>Dren_Quantificacao!L104</f>
        <v>0</v>
      </c>
      <c r="P152" s="1253">
        <f>Dren_Quantificacao!M104</f>
        <v>0</v>
      </c>
      <c r="Q152" s="1253">
        <f>Dren_Quantificacao!N104</f>
        <v>0</v>
      </c>
      <c r="R152" s="1253">
        <f>Dren_Quantificacao!O104</f>
        <v>0</v>
      </c>
      <c r="S152" s="1253">
        <f>Dren_Quantificacao!BD104</f>
        <v>0</v>
      </c>
      <c r="T152" s="1255"/>
      <c r="U152" s="1255"/>
      <c r="V152" s="1255"/>
      <c r="W152" s="1255"/>
      <c r="X152" s="1255"/>
      <c r="Y152" s="1255"/>
      <c r="Z152" s="1255"/>
      <c r="AA152" s="1255"/>
      <c r="AB152" s="1255"/>
      <c r="AC152" s="1255"/>
      <c r="AD152" s="1255"/>
      <c r="AE152" s="1255"/>
      <c r="AF152" s="1253"/>
      <c r="AG152" s="1253"/>
      <c r="AH152" s="1253"/>
      <c r="AI152" s="1256"/>
      <c r="AJ152" s="745">
        <f t="shared" si="32"/>
        <v>0</v>
      </c>
      <c r="AK152" s="745"/>
      <c r="AL152" s="1141"/>
      <c r="AM152" s="1141"/>
      <c r="AN152" s="1141"/>
      <c r="AO152" s="1141"/>
      <c r="AP152" s="1141"/>
      <c r="AQ152" s="1141"/>
      <c r="AR152" s="1141"/>
      <c r="AS152" s="1141"/>
      <c r="AT152" s="1141"/>
      <c r="AU152" s="1141"/>
      <c r="AV152" s="1141"/>
      <c r="AW152" s="1141"/>
      <c r="AX152" s="1141"/>
      <c r="AY152" s="1141"/>
      <c r="AZ152" s="1141"/>
      <c r="BA152" s="1141"/>
      <c r="BB152" s="1141"/>
      <c r="BC152" s="1141"/>
      <c r="BD152" s="1141"/>
      <c r="BE152" s="1141"/>
      <c r="BF152" s="1141"/>
      <c r="BG152" s="1141"/>
      <c r="BH152" s="1141"/>
      <c r="BI152" s="1141"/>
      <c r="BJ152" s="1141"/>
      <c r="BK152" s="1141"/>
      <c r="BL152" s="1141"/>
      <c r="BM152" s="1141"/>
      <c r="BN152" s="1141"/>
      <c r="BO152" s="1141"/>
      <c r="BP152" s="1141"/>
      <c r="BQ152" s="1141"/>
      <c r="BR152" s="1141"/>
      <c r="BS152" s="1141"/>
      <c r="BT152" s="1141"/>
    </row>
    <row r="153" spans="1:74" ht="21.95" customHeight="1">
      <c r="A153" s="2695"/>
      <c r="B153" s="2633" t="s">
        <v>1841</v>
      </c>
      <c r="C153" s="740" t="s">
        <v>1847</v>
      </c>
      <c r="D153" s="1257"/>
      <c r="E153" s="1143"/>
      <c r="F153" s="1242" t="e">
        <f t="shared" ref="F153:S160" si="35">F163</f>
        <v>#REF!</v>
      </c>
      <c r="G153" s="1242">
        <f t="shared" si="35"/>
        <v>0.19097592820000001</v>
      </c>
      <c r="H153" s="1242">
        <f t="shared" si="35"/>
        <v>0.12824090168000002</v>
      </c>
      <c r="I153" s="1242">
        <f t="shared" si="35"/>
        <v>0.17882592819999998</v>
      </c>
      <c r="J153" s="1242"/>
      <c r="K153" s="1242"/>
      <c r="L153" s="1242"/>
      <c r="M153" s="1242"/>
      <c r="N153" s="1243"/>
      <c r="O153" s="1242">
        <f t="shared" si="35"/>
        <v>0.16469090168</v>
      </c>
      <c r="P153" s="1242">
        <f t="shared" si="35"/>
        <v>0.12824090168000002</v>
      </c>
      <c r="Q153" s="1242">
        <f t="shared" si="35"/>
        <v>0.17684090168</v>
      </c>
      <c r="R153" s="1242">
        <f t="shared" si="35"/>
        <v>0.17882592819999998</v>
      </c>
      <c r="S153" s="1242">
        <f t="shared" si="35"/>
        <v>0</v>
      </c>
      <c r="T153" s="1244"/>
      <c r="U153" s="1244"/>
      <c r="V153" s="1244"/>
      <c r="W153" s="1244"/>
      <c r="X153" s="1244"/>
      <c r="Y153" s="1244"/>
      <c r="Z153" s="1244"/>
      <c r="AA153" s="1244"/>
      <c r="AB153" s="1244"/>
      <c r="AC153" s="1244"/>
      <c r="AD153" s="1244"/>
      <c r="AE153" s="1244"/>
      <c r="AF153" s="1242"/>
      <c r="AG153" s="1242"/>
      <c r="AH153" s="1242"/>
      <c r="AI153" s="1245"/>
      <c r="AJ153" s="745" t="e">
        <f t="shared" si="32"/>
        <v>#REF!</v>
      </c>
      <c r="AK153" s="745"/>
      <c r="AL153" s="1141"/>
      <c r="AM153" s="1141"/>
      <c r="AN153" s="1141"/>
      <c r="AO153" s="1141"/>
      <c r="AP153" s="1141"/>
      <c r="AQ153" s="1141"/>
      <c r="AR153" s="1141"/>
      <c r="AS153" s="1141"/>
      <c r="AT153" s="1141"/>
      <c r="AU153" s="1141"/>
      <c r="AV153" s="1141"/>
      <c r="AW153" s="1141"/>
      <c r="AX153" s="1141"/>
      <c r="AY153" s="1141"/>
      <c r="AZ153" s="1141"/>
      <c r="BA153" s="1141"/>
      <c r="BB153" s="1141"/>
      <c r="BC153" s="1141"/>
      <c r="BD153" s="1141"/>
      <c r="BE153" s="1141"/>
      <c r="BF153" s="1141"/>
      <c r="BG153" s="1141"/>
      <c r="BH153" s="1141"/>
      <c r="BI153" s="1141"/>
      <c r="BJ153" s="1141"/>
      <c r="BK153" s="1141"/>
      <c r="BL153" s="1141"/>
      <c r="BM153" s="1141"/>
      <c r="BN153" s="1141"/>
      <c r="BO153" s="1141"/>
      <c r="BP153" s="1141"/>
      <c r="BQ153" s="1141"/>
      <c r="BR153" s="1141"/>
      <c r="BS153" s="1141"/>
      <c r="BT153" s="1141"/>
    </row>
    <row r="154" spans="1:74" ht="21.95" customHeight="1">
      <c r="A154" s="2695"/>
      <c r="B154" s="2634"/>
      <c r="C154" s="763" t="s">
        <v>1906</v>
      </c>
      <c r="D154" s="1111"/>
      <c r="E154" s="1145"/>
      <c r="F154" s="1233" t="e">
        <f t="shared" si="35"/>
        <v>#VALUE!</v>
      </c>
      <c r="G154" s="1233" t="e">
        <f t="shared" si="35"/>
        <v>#VALUE!</v>
      </c>
      <c r="H154" s="1233" t="e">
        <f t="shared" si="35"/>
        <v>#VALUE!</v>
      </c>
      <c r="I154" s="1233" t="e">
        <f t="shared" si="35"/>
        <v>#VALUE!</v>
      </c>
      <c r="J154" s="1233"/>
      <c r="K154" s="1233"/>
      <c r="L154" s="1233"/>
      <c r="M154" s="1233"/>
      <c r="N154" s="1234"/>
      <c r="O154" s="1233" t="e">
        <f t="shared" si="35"/>
        <v>#VALUE!</v>
      </c>
      <c r="P154" s="1233" t="e">
        <f t="shared" si="35"/>
        <v>#VALUE!</v>
      </c>
      <c r="Q154" s="1233" t="e">
        <f t="shared" si="35"/>
        <v>#VALUE!</v>
      </c>
      <c r="R154" s="1233" t="e">
        <f t="shared" si="35"/>
        <v>#VALUE!</v>
      </c>
      <c r="S154" s="1233" t="e">
        <f t="shared" si="35"/>
        <v>#VALUE!</v>
      </c>
      <c r="T154" s="1235"/>
      <c r="U154" s="1235"/>
      <c r="V154" s="1235"/>
      <c r="W154" s="1235"/>
      <c r="X154" s="1235"/>
      <c r="Y154" s="1235"/>
      <c r="Z154" s="1235"/>
      <c r="AA154" s="1235"/>
      <c r="AB154" s="1235"/>
      <c r="AC154" s="1235"/>
      <c r="AD154" s="1235"/>
      <c r="AE154" s="1235"/>
      <c r="AF154" s="1233"/>
      <c r="AG154" s="1233"/>
      <c r="AH154" s="1233"/>
      <c r="AI154" s="1236"/>
      <c r="AJ154" s="745" t="e">
        <f t="shared" si="32"/>
        <v>#VALUE!</v>
      </c>
      <c r="AK154" s="745"/>
      <c r="AL154" s="1141"/>
      <c r="AM154" s="1141"/>
      <c r="AN154" s="1141"/>
      <c r="AO154" s="1141"/>
      <c r="AP154" s="1141"/>
      <c r="AQ154" s="1141"/>
      <c r="AR154" s="1141"/>
      <c r="AS154" s="1141"/>
      <c r="AT154" s="1141"/>
      <c r="AU154" s="1141"/>
      <c r="AV154" s="1141"/>
      <c r="AW154" s="1141"/>
      <c r="AX154" s="1141"/>
      <c r="AY154" s="1141"/>
      <c r="AZ154" s="1141"/>
      <c r="BA154" s="1141"/>
      <c r="BB154" s="1141"/>
      <c r="BC154" s="1141"/>
      <c r="BD154" s="1141"/>
      <c r="BE154" s="1141"/>
      <c r="BF154" s="1141"/>
      <c r="BG154" s="1141"/>
      <c r="BH154" s="1141"/>
      <c r="BI154" s="1141"/>
      <c r="BJ154" s="1141"/>
      <c r="BK154" s="1141"/>
      <c r="BL154" s="1141"/>
      <c r="BM154" s="1141"/>
      <c r="BN154" s="1141"/>
      <c r="BO154" s="1141"/>
      <c r="BP154" s="1141"/>
      <c r="BQ154" s="1141"/>
      <c r="BR154" s="1141"/>
      <c r="BS154" s="1141"/>
      <c r="BT154" s="1141"/>
    </row>
    <row r="155" spans="1:74" ht="21.95" customHeight="1">
      <c r="A155" s="2695"/>
      <c r="B155" s="2634"/>
      <c r="C155" s="763" t="s">
        <v>1925</v>
      </c>
      <c r="D155" s="1111"/>
      <c r="E155" s="1145"/>
      <c r="F155" s="1233" t="e">
        <f t="shared" si="35"/>
        <v>#REF!</v>
      </c>
      <c r="G155" s="1233">
        <f t="shared" si="35"/>
        <v>0</v>
      </c>
      <c r="H155" s="1233">
        <f t="shared" si="35"/>
        <v>0</v>
      </c>
      <c r="I155" s="1233">
        <f t="shared" si="35"/>
        <v>0</v>
      </c>
      <c r="J155" s="1233"/>
      <c r="K155" s="1233"/>
      <c r="L155" s="1233"/>
      <c r="M155" s="1233"/>
      <c r="N155" s="1234"/>
      <c r="O155" s="1233">
        <f t="shared" si="35"/>
        <v>0</v>
      </c>
      <c r="P155" s="1233">
        <f t="shared" si="35"/>
        <v>0</v>
      </c>
      <c r="Q155" s="1233">
        <f t="shared" si="35"/>
        <v>0</v>
      </c>
      <c r="R155" s="1233">
        <f t="shared" si="35"/>
        <v>0</v>
      </c>
      <c r="S155" s="1233">
        <f t="shared" si="35"/>
        <v>0</v>
      </c>
      <c r="T155" s="1235"/>
      <c r="U155" s="1235"/>
      <c r="V155" s="1235"/>
      <c r="W155" s="1235"/>
      <c r="X155" s="1235"/>
      <c r="Y155" s="1235"/>
      <c r="Z155" s="1235"/>
      <c r="AA155" s="1235"/>
      <c r="AB155" s="1235"/>
      <c r="AC155" s="1235"/>
      <c r="AD155" s="1235"/>
      <c r="AE155" s="1235"/>
      <c r="AF155" s="1233"/>
      <c r="AG155" s="1233"/>
      <c r="AH155" s="1233"/>
      <c r="AI155" s="1236"/>
      <c r="AJ155" s="745" t="e">
        <f t="shared" si="32"/>
        <v>#REF!</v>
      </c>
      <c r="AK155" s="745"/>
      <c r="AL155" s="1141"/>
      <c r="AM155" s="1141"/>
      <c r="AN155" s="1141"/>
      <c r="AO155" s="1141"/>
      <c r="AP155" s="1141"/>
      <c r="AQ155" s="1141"/>
      <c r="AR155" s="1141"/>
      <c r="AS155" s="1141"/>
      <c r="AT155" s="1141"/>
      <c r="AU155" s="1141"/>
      <c r="AV155" s="1141"/>
      <c r="AW155" s="1141"/>
      <c r="AX155" s="1141"/>
      <c r="AY155" s="1141"/>
      <c r="AZ155" s="1141"/>
      <c r="BA155" s="1141"/>
      <c r="BB155" s="1141"/>
      <c r="BC155" s="1141"/>
      <c r="BD155" s="1141"/>
      <c r="BE155" s="1141"/>
      <c r="BF155" s="1141"/>
      <c r="BG155" s="1141"/>
      <c r="BH155" s="1141"/>
      <c r="BI155" s="1141"/>
      <c r="BJ155" s="1141"/>
      <c r="BK155" s="1141"/>
      <c r="BL155" s="1141"/>
      <c r="BM155" s="1141"/>
      <c r="BN155" s="1141"/>
      <c r="BO155" s="1141"/>
      <c r="BP155" s="1141"/>
      <c r="BQ155" s="1141"/>
      <c r="BR155" s="1141"/>
      <c r="BS155" s="1141"/>
      <c r="BT155" s="1141"/>
    </row>
    <row r="156" spans="1:74" ht="21.95" customHeight="1">
      <c r="A156" s="2695"/>
      <c r="B156" s="2634"/>
      <c r="C156" s="763" t="s">
        <v>1926</v>
      </c>
      <c r="D156" s="1111"/>
      <c r="E156" s="1145"/>
      <c r="F156" s="1233">
        <f t="shared" si="35"/>
        <v>3.9542000000000006E-4</v>
      </c>
      <c r="G156" s="1233">
        <f t="shared" si="35"/>
        <v>4.0704999999999995E-4</v>
      </c>
      <c r="H156" s="1233">
        <f t="shared" si="35"/>
        <v>3.9542000000000006E-4</v>
      </c>
      <c r="I156" s="1233">
        <f t="shared" si="35"/>
        <v>4.0704999999999995E-4</v>
      </c>
      <c r="J156" s="1233"/>
      <c r="K156" s="1233"/>
      <c r="L156" s="1233"/>
      <c r="M156" s="1233"/>
      <c r="N156" s="1234"/>
      <c r="O156" s="1233">
        <f t="shared" si="35"/>
        <v>3.9542000000000006E-4</v>
      </c>
      <c r="P156" s="1233">
        <f t="shared" si="35"/>
        <v>3.9542000000000006E-4</v>
      </c>
      <c r="Q156" s="1233">
        <f t="shared" si="35"/>
        <v>3.9542000000000006E-4</v>
      </c>
      <c r="R156" s="1233">
        <f t="shared" si="35"/>
        <v>4.0704999999999995E-4</v>
      </c>
      <c r="S156" s="1233">
        <f t="shared" si="35"/>
        <v>0</v>
      </c>
      <c r="T156" s="1235"/>
      <c r="U156" s="1235"/>
      <c r="V156" s="1235"/>
      <c r="W156" s="1235"/>
      <c r="X156" s="1235"/>
      <c r="Y156" s="1235"/>
      <c r="Z156" s="1235"/>
      <c r="AA156" s="1235"/>
      <c r="AB156" s="1235"/>
      <c r="AC156" s="1235"/>
      <c r="AD156" s="1235"/>
      <c r="AE156" s="1235"/>
      <c r="AF156" s="1233"/>
      <c r="AG156" s="1233"/>
      <c r="AH156" s="1233"/>
      <c r="AI156" s="1236"/>
      <c r="AJ156" s="745">
        <f t="shared" si="32"/>
        <v>3.1982500000000001E-3</v>
      </c>
      <c r="AK156" s="745"/>
      <c r="AL156" s="1141"/>
      <c r="AM156" s="1141"/>
      <c r="AN156" s="1141"/>
      <c r="AO156" s="1141"/>
      <c r="AP156" s="1141"/>
      <c r="AQ156" s="1141"/>
      <c r="AR156" s="1141"/>
      <c r="AS156" s="1141"/>
      <c r="AT156" s="1141"/>
      <c r="AU156" s="1141"/>
      <c r="AV156" s="1141"/>
      <c r="AW156" s="1141"/>
      <c r="AX156" s="1141"/>
      <c r="AY156" s="1141"/>
      <c r="AZ156" s="1141"/>
      <c r="BA156" s="1141"/>
      <c r="BB156" s="1141"/>
      <c r="BC156" s="1141"/>
      <c r="BD156" s="1141"/>
      <c r="BE156" s="1141"/>
      <c r="BF156" s="1141"/>
      <c r="BG156" s="1141"/>
      <c r="BH156" s="1141"/>
      <c r="BI156" s="1141"/>
      <c r="BJ156" s="1141"/>
      <c r="BK156" s="1141"/>
      <c r="BL156" s="1141"/>
      <c r="BM156" s="1141"/>
      <c r="BN156" s="1141"/>
      <c r="BO156" s="1141"/>
      <c r="BP156" s="1141"/>
      <c r="BQ156" s="1141"/>
      <c r="BR156" s="1141"/>
      <c r="BS156" s="1141"/>
      <c r="BT156" s="1141"/>
    </row>
    <row r="157" spans="1:74" ht="21.95" customHeight="1">
      <c r="A157" s="2695"/>
      <c r="B157" s="2634"/>
      <c r="C157" s="763" t="s">
        <v>1927</v>
      </c>
      <c r="D157" s="1111"/>
      <c r="E157" s="1145"/>
      <c r="F157" s="1233" t="e">
        <f t="shared" si="35"/>
        <v>#REF!</v>
      </c>
      <c r="G157" s="1233">
        <f t="shared" si="35"/>
        <v>1.5965949999999997E-3</v>
      </c>
      <c r="H157" s="1233">
        <f t="shared" si="35"/>
        <v>1.5509780000000002E-3</v>
      </c>
      <c r="I157" s="1233">
        <f t="shared" si="35"/>
        <v>1.5965949999999997E-3</v>
      </c>
      <c r="J157" s="1233"/>
      <c r="K157" s="1233"/>
      <c r="L157" s="1233"/>
      <c r="M157" s="1233"/>
      <c r="N157" s="1234"/>
      <c r="O157" s="1233">
        <f t="shared" si="35"/>
        <v>1.5509780000000002E-3</v>
      </c>
      <c r="P157" s="1233">
        <f t="shared" si="35"/>
        <v>1.5509780000000002E-3</v>
      </c>
      <c r="Q157" s="1233">
        <f t="shared" si="35"/>
        <v>1.5509780000000002E-3</v>
      </c>
      <c r="R157" s="1233">
        <f t="shared" si="35"/>
        <v>1.5965949999999997E-3</v>
      </c>
      <c r="S157" s="1233">
        <f t="shared" si="35"/>
        <v>0</v>
      </c>
      <c r="T157" s="1235"/>
      <c r="U157" s="1235"/>
      <c r="V157" s="1235"/>
      <c r="W157" s="1235"/>
      <c r="X157" s="1235"/>
      <c r="Y157" s="1235"/>
      <c r="Z157" s="1235"/>
      <c r="AA157" s="1235"/>
      <c r="AB157" s="1235"/>
      <c r="AC157" s="1235"/>
      <c r="AD157" s="1235"/>
      <c r="AE157" s="1235"/>
      <c r="AF157" s="1233"/>
      <c r="AG157" s="1233"/>
      <c r="AH157" s="1233"/>
      <c r="AI157" s="1236"/>
      <c r="AJ157" s="745" t="e">
        <f t="shared" si="32"/>
        <v>#REF!</v>
      </c>
      <c r="AK157" s="745"/>
      <c r="AL157" s="1141"/>
      <c r="AM157" s="1141"/>
      <c r="AN157" s="1141"/>
      <c r="AO157" s="1141"/>
      <c r="AP157" s="1141"/>
      <c r="AQ157" s="1141"/>
      <c r="AR157" s="1141"/>
      <c r="AS157" s="1141"/>
      <c r="AT157" s="1141"/>
      <c r="AU157" s="1141"/>
      <c r="AV157" s="1141"/>
      <c r="AW157" s="1141"/>
      <c r="AX157" s="1141"/>
      <c r="AY157" s="1141"/>
      <c r="AZ157" s="1141"/>
      <c r="BA157" s="1141"/>
      <c r="BB157" s="1141"/>
      <c r="BC157" s="1141"/>
      <c r="BD157" s="1141"/>
      <c r="BE157" s="1141"/>
      <c r="BF157" s="1141"/>
      <c r="BG157" s="1141"/>
      <c r="BH157" s="1141"/>
      <c r="BI157" s="1141"/>
      <c r="BJ157" s="1141"/>
      <c r="BK157" s="1141"/>
      <c r="BL157" s="1141"/>
      <c r="BM157" s="1141"/>
      <c r="BN157" s="1141"/>
      <c r="BO157" s="1141"/>
      <c r="BP157" s="1141"/>
      <c r="BQ157" s="1141"/>
      <c r="BR157" s="1141"/>
      <c r="BS157" s="1141"/>
      <c r="BT157" s="1141"/>
    </row>
    <row r="158" spans="1:74" ht="21.95" hidden="1" customHeight="1">
      <c r="A158" s="2695"/>
      <c r="B158" s="2634"/>
      <c r="C158" s="763" t="s">
        <v>1928</v>
      </c>
      <c r="D158" s="1111"/>
      <c r="E158" s="1145"/>
      <c r="F158" s="1233">
        <f t="shared" si="35"/>
        <v>0</v>
      </c>
      <c r="G158" s="1233">
        <f t="shared" si="35"/>
        <v>0</v>
      </c>
      <c r="H158" s="1233">
        <f t="shared" si="35"/>
        <v>0</v>
      </c>
      <c r="I158" s="1233">
        <f t="shared" si="35"/>
        <v>0</v>
      </c>
      <c r="J158" s="1233"/>
      <c r="K158" s="1233"/>
      <c r="L158" s="1233"/>
      <c r="M158" s="1233"/>
      <c r="N158" s="1234"/>
      <c r="O158" s="1233">
        <f t="shared" si="35"/>
        <v>0</v>
      </c>
      <c r="P158" s="1233">
        <f t="shared" si="35"/>
        <v>0</v>
      </c>
      <c r="Q158" s="1233">
        <f t="shared" si="35"/>
        <v>0</v>
      </c>
      <c r="R158" s="1233">
        <f t="shared" si="35"/>
        <v>0</v>
      </c>
      <c r="S158" s="1233">
        <f t="shared" si="35"/>
        <v>0</v>
      </c>
      <c r="T158" s="1235"/>
      <c r="U158" s="1235"/>
      <c r="V158" s="1235"/>
      <c r="W158" s="1235"/>
      <c r="X158" s="1235"/>
      <c r="Y158" s="1235"/>
      <c r="Z158" s="1235"/>
      <c r="AA158" s="1235"/>
      <c r="AB158" s="1235"/>
      <c r="AC158" s="1235"/>
      <c r="AD158" s="1235"/>
      <c r="AE158" s="1235"/>
      <c r="AF158" s="1233"/>
      <c r="AG158" s="1233"/>
      <c r="AH158" s="1233"/>
      <c r="AI158" s="1236"/>
      <c r="AJ158" s="745">
        <f t="shared" si="32"/>
        <v>0</v>
      </c>
      <c r="AK158" s="745"/>
      <c r="AL158" s="1141"/>
      <c r="AM158" s="1141"/>
      <c r="AN158" s="1141"/>
      <c r="AO158" s="1141"/>
      <c r="AP158" s="1141"/>
      <c r="AQ158" s="1141"/>
      <c r="AR158" s="1141"/>
      <c r="AS158" s="1141"/>
      <c r="AT158" s="1141"/>
      <c r="AU158" s="1141"/>
      <c r="AV158" s="1141"/>
      <c r="AW158" s="1141"/>
      <c r="AX158" s="1141"/>
      <c r="AY158" s="1141"/>
      <c r="AZ158" s="1141"/>
      <c r="BA158" s="1141"/>
      <c r="BB158" s="1141"/>
      <c r="BC158" s="1141"/>
      <c r="BD158" s="1141"/>
      <c r="BE158" s="1141"/>
      <c r="BF158" s="1141"/>
      <c r="BG158" s="1141"/>
      <c r="BH158" s="1141"/>
      <c r="BI158" s="1141"/>
      <c r="BJ158" s="1141"/>
      <c r="BK158" s="1141"/>
      <c r="BL158" s="1141"/>
      <c r="BM158" s="1141"/>
      <c r="BN158" s="1141"/>
      <c r="BO158" s="1141"/>
      <c r="BP158" s="1141"/>
      <c r="BQ158" s="1141"/>
      <c r="BR158" s="1141"/>
      <c r="BS158" s="1141"/>
      <c r="BT158" s="1141"/>
    </row>
    <row r="159" spans="1:74" ht="21.95" customHeight="1">
      <c r="A159" s="2695"/>
      <c r="B159" s="2634"/>
      <c r="C159" s="763" t="s">
        <v>1929</v>
      </c>
      <c r="D159" s="1111"/>
      <c r="E159" s="1145"/>
      <c r="F159" s="1233">
        <f t="shared" si="35"/>
        <v>0.30281811000000003</v>
      </c>
      <c r="G159" s="1233">
        <f t="shared" si="35"/>
        <v>0.31172452499999997</v>
      </c>
      <c r="H159" s="1233">
        <f t="shared" si="35"/>
        <v>0.30281811000000003</v>
      </c>
      <c r="I159" s="1233">
        <f t="shared" si="35"/>
        <v>0.31172452499999997</v>
      </c>
      <c r="J159" s="1233"/>
      <c r="K159" s="1233"/>
      <c r="L159" s="1233"/>
      <c r="M159" s="1233"/>
      <c r="N159" s="1234"/>
      <c r="O159" s="1233">
        <f t="shared" si="35"/>
        <v>0.30281811000000003</v>
      </c>
      <c r="P159" s="1233">
        <f t="shared" si="35"/>
        <v>0.30281811000000003</v>
      </c>
      <c r="Q159" s="1233">
        <f t="shared" si="35"/>
        <v>0.30281811000000003</v>
      </c>
      <c r="R159" s="1233">
        <f t="shared" si="35"/>
        <v>0.31172452499999997</v>
      </c>
      <c r="S159" s="1233">
        <f t="shared" si="35"/>
        <v>0</v>
      </c>
      <c r="T159" s="1235"/>
      <c r="U159" s="1235"/>
      <c r="V159" s="1235"/>
      <c r="W159" s="1235"/>
      <c r="X159" s="1235"/>
      <c r="Y159" s="1235"/>
      <c r="Z159" s="1235"/>
      <c r="AA159" s="1235"/>
      <c r="AB159" s="1235"/>
      <c r="AC159" s="1235"/>
      <c r="AD159" s="1235"/>
      <c r="AE159" s="1235"/>
      <c r="AF159" s="1233"/>
      <c r="AG159" s="1233"/>
      <c r="AH159" s="1233"/>
      <c r="AI159" s="1236"/>
      <c r="AJ159" s="745">
        <f t="shared" si="32"/>
        <v>2.449264125</v>
      </c>
      <c r="AK159" s="745"/>
      <c r="AL159" s="1141"/>
      <c r="AM159" s="1141"/>
      <c r="AN159" s="1141"/>
      <c r="AO159" s="1141"/>
      <c r="AP159" s="1141"/>
      <c r="AQ159" s="1141"/>
      <c r="AR159" s="1141"/>
      <c r="AS159" s="1141"/>
      <c r="AT159" s="1141"/>
      <c r="AU159" s="1141"/>
      <c r="AV159" s="1141"/>
      <c r="AW159" s="1141"/>
      <c r="AX159" s="1141"/>
      <c r="AY159" s="1141"/>
      <c r="AZ159" s="1141"/>
      <c r="BA159" s="1141"/>
      <c r="BB159" s="1141"/>
      <c r="BC159" s="1141"/>
      <c r="BD159" s="1141"/>
      <c r="BE159" s="1141"/>
      <c r="BF159" s="1141"/>
      <c r="BG159" s="1141"/>
      <c r="BH159" s="1141"/>
      <c r="BI159" s="1141"/>
      <c r="BJ159" s="1141"/>
      <c r="BK159" s="1141"/>
      <c r="BL159" s="1141"/>
      <c r="BM159" s="1141"/>
      <c r="BN159" s="1141"/>
      <c r="BO159" s="1141"/>
      <c r="BP159" s="1141"/>
      <c r="BQ159" s="1141"/>
      <c r="BR159" s="1141"/>
      <c r="BS159" s="1141"/>
      <c r="BT159" s="1141"/>
    </row>
    <row r="160" spans="1:74" ht="21.95" hidden="1" customHeight="1" thickBot="1">
      <c r="A160" s="2695"/>
      <c r="B160" s="2634"/>
      <c r="C160" s="911" t="s">
        <v>1845</v>
      </c>
      <c r="D160" s="1111"/>
      <c r="E160" s="1145"/>
      <c r="F160" s="1233">
        <f t="shared" si="35"/>
        <v>0</v>
      </c>
      <c r="G160" s="1233">
        <f t="shared" si="35"/>
        <v>0</v>
      </c>
      <c r="H160" s="1233">
        <f t="shared" si="35"/>
        <v>0</v>
      </c>
      <c r="I160" s="1233">
        <f t="shared" si="35"/>
        <v>0</v>
      </c>
      <c r="J160" s="1233"/>
      <c r="K160" s="1233"/>
      <c r="L160" s="1233"/>
      <c r="M160" s="1233"/>
      <c r="N160" s="1234"/>
      <c r="O160" s="1233">
        <f t="shared" si="35"/>
        <v>0</v>
      </c>
      <c r="P160" s="1233">
        <f t="shared" si="35"/>
        <v>0</v>
      </c>
      <c r="Q160" s="1233">
        <f t="shared" si="35"/>
        <v>0</v>
      </c>
      <c r="R160" s="1233">
        <f t="shared" si="35"/>
        <v>0</v>
      </c>
      <c r="S160" s="1233">
        <f t="shared" si="35"/>
        <v>0</v>
      </c>
      <c r="T160" s="1235"/>
      <c r="U160" s="1235"/>
      <c r="V160" s="1235"/>
      <c r="W160" s="1235"/>
      <c r="X160" s="1235"/>
      <c r="Y160" s="1235"/>
      <c r="Z160" s="1235"/>
      <c r="AA160" s="1235"/>
      <c r="AB160" s="1235"/>
      <c r="AC160" s="1235"/>
      <c r="AD160" s="1235"/>
      <c r="AE160" s="1235"/>
      <c r="AF160" s="1233"/>
      <c r="AG160" s="1233"/>
      <c r="AH160" s="1233"/>
      <c r="AI160" s="1236"/>
      <c r="AJ160" s="745">
        <f t="shared" si="32"/>
        <v>0</v>
      </c>
      <c r="AK160" s="745"/>
      <c r="AL160" s="1141"/>
      <c r="AM160" s="1141"/>
      <c r="AN160" s="1141"/>
      <c r="AO160" s="1141"/>
      <c r="AP160" s="1141"/>
      <c r="AQ160" s="1141"/>
      <c r="AR160" s="1141"/>
      <c r="AS160" s="1141"/>
      <c r="AT160" s="1141"/>
      <c r="AU160" s="1141"/>
      <c r="AV160" s="1141"/>
      <c r="AW160" s="1141"/>
      <c r="AX160" s="1141"/>
      <c r="AY160" s="1141"/>
      <c r="AZ160" s="1141"/>
      <c r="BA160" s="1141"/>
      <c r="BB160" s="1141"/>
      <c r="BC160" s="1141"/>
      <c r="BD160" s="1141"/>
      <c r="BE160" s="1141"/>
      <c r="BF160" s="1141"/>
      <c r="BG160" s="1141"/>
      <c r="BH160" s="1141"/>
      <c r="BI160" s="1141"/>
      <c r="BJ160" s="1141"/>
      <c r="BK160" s="1141"/>
      <c r="BL160" s="1141"/>
      <c r="BM160" s="1141"/>
      <c r="BN160" s="1141"/>
      <c r="BO160" s="1141"/>
      <c r="BP160" s="1141"/>
      <c r="BQ160" s="1141"/>
      <c r="BR160" s="1141"/>
      <c r="BS160" s="1141"/>
      <c r="BT160" s="1141"/>
    </row>
    <row r="161" spans="1:72" ht="21.95" hidden="1" customHeight="1">
      <c r="A161" s="2695"/>
      <c r="B161" s="2633"/>
      <c r="C161" s="747" t="s">
        <v>1930</v>
      </c>
      <c r="D161" s="1111"/>
      <c r="E161" s="1145"/>
      <c r="F161" s="1233">
        <f>(F97+F94+F84)*0.07</f>
        <v>0</v>
      </c>
      <c r="G161" s="1233">
        <f t="shared" ref="G161:R161" si="36">(G97+G94+G84)*0.07</f>
        <v>0</v>
      </c>
      <c r="H161" s="1233">
        <f t="shared" si="36"/>
        <v>0</v>
      </c>
      <c r="I161" s="1233">
        <f t="shared" si="36"/>
        <v>0</v>
      </c>
      <c r="J161" s="1233"/>
      <c r="K161" s="1233"/>
      <c r="L161" s="1233"/>
      <c r="M161" s="1233"/>
      <c r="N161" s="1234"/>
      <c r="O161" s="1233">
        <f t="shared" si="36"/>
        <v>0</v>
      </c>
      <c r="P161" s="1233">
        <f t="shared" si="36"/>
        <v>0</v>
      </c>
      <c r="Q161" s="1233">
        <f t="shared" si="36"/>
        <v>0</v>
      </c>
      <c r="R161" s="1233">
        <f t="shared" si="36"/>
        <v>0</v>
      </c>
      <c r="S161" s="1233">
        <f>(S97+S94+S84)*0.07</f>
        <v>0</v>
      </c>
      <c r="T161" s="1235"/>
      <c r="U161" s="1235"/>
      <c r="V161" s="1235"/>
      <c r="W161" s="1235"/>
      <c r="X161" s="1235"/>
      <c r="Y161" s="1235"/>
      <c r="Z161" s="1235"/>
      <c r="AA161" s="1235"/>
      <c r="AB161" s="1235"/>
      <c r="AC161" s="1235"/>
      <c r="AD161" s="1235"/>
      <c r="AE161" s="1235"/>
      <c r="AF161" s="1233"/>
      <c r="AG161" s="1233"/>
      <c r="AH161" s="1233"/>
      <c r="AI161" s="1236"/>
      <c r="AJ161" s="745">
        <f t="shared" si="32"/>
        <v>0</v>
      </c>
      <c r="AK161" s="745"/>
      <c r="AL161" s="1141"/>
      <c r="AM161" s="1141"/>
      <c r="AN161" s="1141"/>
      <c r="AO161" s="1141"/>
      <c r="AP161" s="1141"/>
      <c r="AQ161" s="1141"/>
      <c r="AR161" s="1141"/>
      <c r="AS161" s="1141"/>
      <c r="AT161" s="1141"/>
      <c r="AU161" s="1141"/>
      <c r="AV161" s="1141"/>
      <c r="AW161" s="1141"/>
      <c r="AX161" s="1141"/>
      <c r="AY161" s="1141"/>
      <c r="AZ161" s="1141"/>
      <c r="BA161" s="1141"/>
      <c r="BB161" s="1141"/>
      <c r="BC161" s="1141"/>
      <c r="BD161" s="1141"/>
      <c r="BE161" s="1141"/>
      <c r="BF161" s="1141"/>
      <c r="BG161" s="1141"/>
      <c r="BH161" s="1141"/>
      <c r="BI161" s="1141"/>
      <c r="BJ161" s="1141"/>
      <c r="BK161" s="1141"/>
      <c r="BL161" s="1141"/>
      <c r="BM161" s="1141"/>
      <c r="BN161" s="1141"/>
      <c r="BO161" s="1141"/>
      <c r="BP161" s="1141"/>
      <c r="BQ161" s="1141"/>
      <c r="BR161" s="1141"/>
      <c r="BS161" s="1141"/>
      <c r="BT161" s="1141"/>
    </row>
    <row r="162" spans="1:72" ht="21.95" customHeight="1" thickBot="1">
      <c r="A162" s="2695"/>
      <c r="B162" s="2635"/>
      <c r="C162" s="754" t="s">
        <v>1931</v>
      </c>
      <c r="D162" s="1113"/>
      <c r="E162" s="1147"/>
      <c r="F162" s="1249">
        <f>F172</f>
        <v>10.41</v>
      </c>
      <c r="G162" s="1249">
        <f t="shared" ref="G162:R162" si="37">G172</f>
        <v>17.349999999999998</v>
      </c>
      <c r="H162" s="1249">
        <f t="shared" si="37"/>
        <v>8.6749999999999989</v>
      </c>
      <c r="I162" s="1249">
        <f t="shared" si="37"/>
        <v>15.614999999999998</v>
      </c>
      <c r="J162" s="1249"/>
      <c r="K162" s="1249"/>
      <c r="L162" s="1249"/>
      <c r="M162" s="1249"/>
      <c r="N162" s="1250"/>
      <c r="O162" s="1249">
        <f t="shared" si="37"/>
        <v>13.879999999999999</v>
      </c>
      <c r="P162" s="1249">
        <f t="shared" si="37"/>
        <v>8.6749999999999989</v>
      </c>
      <c r="Q162" s="1249">
        <f t="shared" si="37"/>
        <v>15.614999999999998</v>
      </c>
      <c r="R162" s="1249">
        <f t="shared" si="37"/>
        <v>15.614999999999998</v>
      </c>
      <c r="S162" s="1249">
        <f>S172</f>
        <v>0</v>
      </c>
      <c r="T162" s="1251"/>
      <c r="U162" s="1251"/>
      <c r="V162" s="1251"/>
      <c r="W162" s="1251"/>
      <c r="X162" s="1251"/>
      <c r="Y162" s="1251"/>
      <c r="Z162" s="1251"/>
      <c r="AA162" s="1251"/>
      <c r="AB162" s="1251"/>
      <c r="AC162" s="1251"/>
      <c r="AD162" s="1251"/>
      <c r="AE162" s="1251"/>
      <c r="AF162" s="1249"/>
      <c r="AG162" s="1249"/>
      <c r="AH162" s="1249"/>
      <c r="AI162" s="1241"/>
      <c r="AJ162" s="745">
        <f t="shared" si="32"/>
        <v>105.83499999999998</v>
      </c>
      <c r="AK162" s="745"/>
      <c r="AL162" s="1141"/>
      <c r="AM162" s="1141"/>
      <c r="AN162" s="1141"/>
      <c r="AO162" s="1141"/>
      <c r="AP162" s="1141"/>
      <c r="AQ162" s="1141"/>
      <c r="AR162" s="1141"/>
      <c r="AS162" s="1141"/>
      <c r="AT162" s="1141"/>
      <c r="AU162" s="1141"/>
      <c r="AV162" s="1141"/>
      <c r="AW162" s="1141"/>
      <c r="AX162" s="1141"/>
      <c r="AY162" s="1141"/>
      <c r="AZ162" s="1141"/>
      <c r="BA162" s="1141"/>
      <c r="BB162" s="1141"/>
      <c r="BC162" s="1141"/>
      <c r="BD162" s="1141"/>
      <c r="BE162" s="1141"/>
      <c r="BF162" s="1141"/>
      <c r="BG162" s="1141"/>
      <c r="BH162" s="1141"/>
      <c r="BI162" s="1141"/>
      <c r="BJ162" s="1141"/>
      <c r="BK162" s="1141"/>
      <c r="BL162" s="1141"/>
      <c r="BM162" s="1141"/>
      <c r="BN162" s="1141"/>
      <c r="BO162" s="1141"/>
      <c r="BP162" s="1141"/>
      <c r="BQ162" s="1141"/>
      <c r="BR162" s="1141"/>
      <c r="BS162" s="1141"/>
      <c r="BT162" s="1141"/>
    </row>
    <row r="163" spans="1:72" ht="21.95" hidden="1" customHeight="1">
      <c r="A163" s="2695"/>
      <c r="B163" s="2631" t="s">
        <v>1932</v>
      </c>
      <c r="C163" s="740" t="s">
        <v>1847</v>
      </c>
      <c r="D163" s="1142"/>
      <c r="E163" s="1143"/>
      <c r="F163" s="1242" t="e">
        <f>(SUMPRODUCT(F10:F35,$AQ10:$AQ35)*$AQ$8+SUMPRODUCT(F60:F66,$AL60:$AL66)*$AL$8+SUMPRODUCT(F60:F82,$AO60:$AO82)*$AO$8+SUMPRODUCT(F56:F83,$AQ56:$AQ83)*$AQ$8+SUMPRODUCT(F60:F82,$AS60:$AS82)*$AS$8+F83*$AR83*$AR$8+SUMPRODUCT(F99:F101,$AL99:$AL101)*$AL$8+SUMPRODUCT(F99:F101,$AO99:$AO101)*$AO$8+SUMPRODUCT(F99:F101,$AQ99:$AQ101)*$AQ$8+SUMPRODUCT(F99:F101,$AS99:$AS101)*$AS$8+SUMPRODUCT(F104:F112,$AO104:$AO112)*$AO$8+SUMPRODUCT(F113:F118,$AT113:$AT118)*$AT$8+SUMPRODUCT(F123:F128,$AL123:$AL128)*$AL$8+SUMPRODUCT(F123:F128,$AP123:$AP128)*$AP$8+F134*$AL134*$AL$8+F136*$AP136*$AP$8+F148*$AT148*$AT$8)/1000</f>
        <v>#REF!</v>
      </c>
      <c r="G163" s="1242">
        <f>(SUMPRODUCT(G10:G35,$AQ10:$AQ35)*$AQ$8+SUMPRODUCT(G60:G66,$AL60:$AL66)*$AL$8+SUMPRODUCT(G60:G82,$AO60:$AO82)*$AO$8+SUMPRODUCT(G56:G83,$AQ56:$AQ83)*$AQ$8+SUMPRODUCT(G60:G82,$AS60:$AS82)*$AS$8+G83*$AR83*$AR$8+SUMPRODUCT(G99:G101,$AL99:$AL101)*$AL$8+SUMPRODUCT(G99:G101,$AO99:$AO101)*$AO$8+SUMPRODUCT(G99:G101,$AQ99:$AQ101)*$AQ$8+SUMPRODUCT(G99:G101,$AS99:$AS101)*$AS$8+SUMPRODUCT(G104:G112,$AO104:$AO112)*$AO$8+SUMPRODUCT(G113:G118,$AT113:$AT118)*$AT$8+SUMPRODUCT(G123:G128,$AL123:$AL128)*$AL$8+SUMPRODUCT(G123:G128,$AP123:$AP128)*$AP$8+G134*$AL134*$AL$8+G136*$AP136*$AP$8+G148*$AT148*$AT$8)/1000</f>
        <v>0.19097592820000001</v>
      </c>
      <c r="H163" s="1242">
        <f>(SUMPRODUCT(H10:H35,$AQ10:$AQ35)*$AQ$8+SUMPRODUCT(H60:H66,$AL60:$AL66)*$AL$8+SUMPRODUCT(H60:H82,$AO60:$AO82)*$AO$8+SUMPRODUCT(H56:H83,$AQ56:$AQ83)*$AQ$8+SUMPRODUCT(H60:H82,$AS60:$AS82)*$AS$8+H83*$AR83*$AR$8+SUMPRODUCT(H99:H101,$AL99:$AL101)*$AL$8+SUMPRODUCT(H99:H101,$AO99:$AO101)*$AO$8+SUMPRODUCT(H99:H101,$AQ99:$AQ101)*$AQ$8+SUMPRODUCT(H99:H101,$AS99:$AS101)*$AS$8+SUMPRODUCT(H104:H112,$AO104:$AO112)*$AO$8+SUMPRODUCT(H113:H118,$AT113:$AT118)*$AT$8+SUMPRODUCT(H123:H128,$AL123:$AL128)*$AL$8+SUMPRODUCT(H123:H128,$AP123:$AP128)*$AP$8+H134*$AL134*$AL$8+H136*$AP136*$AP$8+H148*$AT148*$AT$8)/1000</f>
        <v>0.12824090168000002</v>
      </c>
      <c r="I163" s="1242">
        <f>(SUMPRODUCT(I10:I35,$AQ10:$AQ35)*$AQ$8+SUMPRODUCT(I60:I66,$AL60:$AL66)*$AL$8+SUMPRODUCT(I60:I82,$AO60:$AO82)*$AO$8+SUMPRODUCT(I56:I83,$AQ56:$AQ83)*$AQ$8+SUMPRODUCT(I60:I82,$AS60:$AS82)*$AS$8+I83*$AR83*$AR$8+SUMPRODUCT(I99:I101,$AL99:$AL101)*$AL$8+SUMPRODUCT(I99:I101,$AO99:$AO101)*$AO$8+SUMPRODUCT(I99:I101,$AQ99:$AQ101)*$AQ$8+SUMPRODUCT(I99:I101,$AS99:$AS101)*$AS$8+SUMPRODUCT(I104:I112,$AO104:$AO112)*$AO$8+SUMPRODUCT(I113:I118,$AT113:$AT118)*$AT$8+SUMPRODUCT(I123:I128,$AL123:$AL128)*$AL$8+SUMPRODUCT(I123:I128,$AP123:$AP128)*$AP$8+I134*$AL134*$AL$8+I136*$AP136*$AP$8+I148*$AT148*$AT$8)/1000</f>
        <v>0.17882592819999998</v>
      </c>
      <c r="J163" s="1242"/>
      <c r="K163" s="1242"/>
      <c r="L163" s="1242"/>
      <c r="M163" s="1242"/>
      <c r="N163" s="1243"/>
      <c r="O163" s="1242">
        <f>(SUMPRODUCT(O10:O35,$AQ10:$AQ35)*$AQ$8+SUMPRODUCT(O60:O66,$AL60:$AL66)*$AL$8+SUMPRODUCT(O60:O82,$AO60:$AO82)*$AO$8+SUMPRODUCT(O56:O83,$AQ56:$AQ83)*$AQ$8+SUMPRODUCT(O60:O82,$AS60:$AS82)*$AS$8+O83*$AR83*$AR$8+SUMPRODUCT(O99:O101,$AL99:$AL101)*$AL$8+SUMPRODUCT(O99:O101,$AO99:$AO101)*$AO$8+SUMPRODUCT(O99:O101,$AQ99:$AQ101)*$AQ$8+SUMPRODUCT(O99:O101,$AS99:$AS101)*$AS$8+SUMPRODUCT(O104:O112,$AO104:$AO112)*$AO$8+SUMPRODUCT(O113:O118,$AT113:$AT118)*$AT$8+SUMPRODUCT(O123:O128,$AL123:$AL128)*$AL$8+SUMPRODUCT(O123:O128,$AP123:$AP128)*$AP$8+O134*$AL134*$AL$8+O136*$AP136*$AP$8+O148*$AT148*$AT$8)/1000</f>
        <v>0.16469090168</v>
      </c>
      <c r="P163" s="1242">
        <f>(SUMPRODUCT(P10:P35,$AQ10:$AQ35)*$AQ$8+SUMPRODUCT(P60:P66,$AL60:$AL66)*$AL$8+SUMPRODUCT(P60:P82,$AO60:$AO82)*$AO$8+SUMPRODUCT(P56:P83,$AQ56:$AQ83)*$AQ$8+SUMPRODUCT(P60:P82,$AS60:$AS82)*$AS$8+P83*$AR83*$AR$8+SUMPRODUCT(P99:P101,$AL99:$AL101)*$AL$8+SUMPRODUCT(P99:P101,$AO99:$AO101)*$AO$8+SUMPRODUCT(P99:P101,$AQ99:$AQ101)*$AQ$8+SUMPRODUCT(P99:P101,$AS99:$AS101)*$AS$8+SUMPRODUCT(P104:P112,$AO104:$AO112)*$AO$8+SUMPRODUCT(P113:P118,$AT113:$AT118)*$AT$8+SUMPRODUCT(P123:P128,$AL123:$AL128)*$AL$8+SUMPRODUCT(P123:P128,$AP123:$AP128)*$AP$8+P134*$AL134*$AL$8+P136*$AP136*$AP$8+P148*$AT148*$AT$8)/1000</f>
        <v>0.12824090168000002</v>
      </c>
      <c r="Q163" s="1242">
        <f>(SUMPRODUCT(Q10:Q35,$AQ10:$AQ35)*$AQ$8+SUMPRODUCT(Q60:Q66,$AL60:$AL66)*$AL$8+SUMPRODUCT(Q60:Q82,$AO60:$AO82)*$AO$8+SUMPRODUCT(Q56:Q83,$AQ56:$AQ83)*$AQ$8+SUMPRODUCT(Q60:Q82,$AS60:$AS82)*$AS$8+Q83*$AR83*$AR$8+SUMPRODUCT(Q99:Q101,$AL99:$AL101)*$AL$8+SUMPRODUCT(Q99:Q101,$AO99:$AO101)*$AO$8+SUMPRODUCT(Q99:Q101,$AQ99:$AQ101)*$AQ$8+SUMPRODUCT(Q99:Q101,$AS99:$AS101)*$AS$8+SUMPRODUCT(Q104:Q112,$AO104:$AO112)*$AO$8+SUMPRODUCT(Q113:Q118,$AT113:$AT118)*$AT$8+SUMPRODUCT(Q123:Q128,$AL123:$AL128)*$AL$8+SUMPRODUCT(Q123:Q128,$AP123:$AP128)*$AP$8+Q134*$AL134*$AL$8+Q136*$AP136*$AP$8+Q148*$AT148*$AT$8)/1000</f>
        <v>0.17684090168</v>
      </c>
      <c r="R163" s="1242">
        <f>(SUMPRODUCT(R10:R35,$AQ10:$AQ35)*$AQ$8+SUMPRODUCT(R60:R66,$AL60:$AL66)*$AL$8+SUMPRODUCT(R60:R82,$AO60:$AO82)*$AO$8+SUMPRODUCT(R56:R83,$AQ56:$AQ83)*$AQ$8+SUMPRODUCT(R60:R82,$AS60:$AS82)*$AS$8+R83*$AR83*$AR$8+SUMPRODUCT(R99:R101,$AL99:$AL101)*$AL$8+SUMPRODUCT(R99:R101,$AO99:$AO101)*$AO$8+SUMPRODUCT(R99:R101,$AQ99:$AQ101)*$AQ$8+SUMPRODUCT(R99:R101,$AS99:$AS101)*$AS$8+SUMPRODUCT(R104:R112,$AO104:$AO112)*$AO$8+SUMPRODUCT(R113:R118,$AT113:$AT118)*$AT$8+SUMPRODUCT(R123:R128,$AL123:$AL128)*$AL$8+SUMPRODUCT(R123:R128,$AP123:$AP128)*$AP$8+R134*$AL134*$AL$8+R136*$AP136*$AP$8+R148*$AT148*$AT$8)/1000</f>
        <v>0.17882592819999998</v>
      </c>
      <c r="S163" s="1242">
        <f>(SUMPRODUCT(S10:S35,$AQ10:$AQ35)*$AQ$8+SUMPRODUCT(S60:S66,$AL60:$AL66)*$AL$8+SUMPRODUCT(S60:S82,$AO60:$AO82)*$AO$8+SUMPRODUCT(S56:S83,$AQ56:$AQ83)*$AQ$8+SUMPRODUCT(S60:S82,$AS60:$AS82)*$AS$8+S83*$AR83*$AR$8+SUMPRODUCT(S99:S101,$AL99:$AL101)*$AL$8+SUMPRODUCT(S99:S101,$AO99:$AO101)*$AO$8+SUMPRODUCT(S99:S101,$AQ99:$AQ101)*$AQ$8+SUMPRODUCT(S99:S101,$AS99:$AS101)*$AS$8+SUMPRODUCT(S104:S112,$AO104:$AO112)*$AO$8+SUMPRODUCT(S113:S118,$AT113:$AT118)*$AT$8+SUMPRODUCT(S123:S128,$AL123:$AL128)*$AL$8+SUMPRODUCT(S123:S128,$AP123:$AP128)*$AP$8+S134*$AL134*$AL$8+S136*$AP136*$AP$8+S148*$AT148*$AT$8)/1000</f>
        <v>0</v>
      </c>
      <c r="T163" s="1244"/>
      <c r="U163" s="1244"/>
      <c r="V163" s="1244"/>
      <c r="W163" s="1244"/>
      <c r="X163" s="1244"/>
      <c r="Y163" s="1244"/>
      <c r="Z163" s="1244"/>
      <c r="AA163" s="1244"/>
      <c r="AB163" s="1244"/>
      <c r="AC163" s="1244"/>
      <c r="AD163" s="1244"/>
      <c r="AE163" s="1244"/>
      <c r="AF163" s="1242"/>
      <c r="AG163" s="1242"/>
      <c r="AH163" s="1242"/>
      <c r="AI163" s="1236"/>
      <c r="AJ163" s="745"/>
      <c r="AK163" s="745"/>
      <c r="AL163" s="1141"/>
      <c r="AM163" s="1141"/>
      <c r="AN163" s="1141"/>
      <c r="AO163" s="1141"/>
      <c r="AP163" s="1141"/>
      <c r="AQ163" s="1141"/>
      <c r="AR163" s="1141"/>
      <c r="AS163" s="1141"/>
      <c r="AT163" s="1141"/>
      <c r="AU163" s="1141"/>
      <c r="AV163" s="1141"/>
      <c r="AW163" s="1141"/>
      <c r="AX163" s="1141"/>
      <c r="AY163" s="1141"/>
      <c r="AZ163" s="1141"/>
      <c r="BA163" s="1141"/>
      <c r="BB163" s="1141"/>
      <c r="BC163" s="1141"/>
      <c r="BD163" s="1141"/>
      <c r="BE163" s="1141"/>
      <c r="BF163" s="1141"/>
      <c r="BG163" s="1141"/>
      <c r="BH163" s="1141"/>
      <c r="BI163" s="1141"/>
      <c r="BJ163" s="1141"/>
      <c r="BK163" s="1141"/>
      <c r="BL163" s="1141"/>
      <c r="BM163" s="1141"/>
      <c r="BN163" s="1141"/>
      <c r="BO163" s="1141"/>
      <c r="BP163" s="1141"/>
      <c r="BQ163" s="1141"/>
      <c r="BR163" s="1141"/>
      <c r="BS163" s="1141"/>
      <c r="BT163" s="1141"/>
    </row>
    <row r="164" spans="1:72" ht="21.95" hidden="1" customHeight="1">
      <c r="A164" s="2695"/>
      <c r="B164" s="2585"/>
      <c r="C164" s="763" t="s">
        <v>1906</v>
      </c>
      <c r="D164" s="1144"/>
      <c r="E164" s="1145"/>
      <c r="F164" s="1233" t="e">
        <f>SUMPRODUCT(F10:F35,$AZ10:$AZ35)*$AZ$8+SUMPRODUCT(F60:F65,$AU61:$AU65)*$AU$8+SUMPRODUCT(F60:F81,$AX60:$AX81)*$AX$8+SUMPRODUCT(F56:F83,$AZ56:$AZ83)*$AZ$8+F83*$BA83*$BA$8+SUMPRODUCT(F60:F82,$BB60:$BB82)*$BB$8+SUMPRODUCT(F99:F101,$AU99:$AU101)*$AU$8+SUMPRODUCT(F99:F101,$AX99:$AX101)*$AX$8+SUMPRODUCT(F99:F101,$AZ99:$AZ101)*$AZ$8+SUMPRODUCT(F99:F101,$BB99:$BB101)*$BB$8+SUMPRODUCT(F104:F112,$AX104:$AX112)*$AX$8+SUMPRODUCT(F113:F118,$BC113:$BC118)*$BC$8+SUMPRODUCT(F123:F128,$AU123:$AU128)*$AU$8+SUMPRODUCT(F123:F128,$AY123:$AY128)*$AY$8+F134*$AU134*$AU$8+F136*$AY136*$AY$8+F148*$BC148*$BC$8+F91</f>
        <v>#VALUE!</v>
      </c>
      <c r="G164" s="1233" t="e">
        <f>SUMPRODUCT(G10:G35,$AZ10:$AZ35)*$AZ$8+SUMPRODUCT(G60:G65,$AU61:$AU65)*$AU$8+SUMPRODUCT(G60:G81,$AX60:$AX81)*$AX$8+SUMPRODUCT(G56:G83,$AZ56:$AZ83)*$AZ$8+G83*$BA83*$BA$8+SUMPRODUCT(G60:G82,$BB60:$BB82)*$BB$8+SUMPRODUCT(G99:G101,$AU99:$AU101)*$AU$8+SUMPRODUCT(G99:G101,$AX99:$AX101)*$AX$8+SUMPRODUCT(G99:G101,$AZ99:$AZ101)*$AZ$8+SUMPRODUCT(G99:G101,$BB99:$BB101)*$BB$8+SUMPRODUCT(G104:G112,$AX104:$AX112)*$AX$8+SUMPRODUCT(G113:G118,$BC113:$BC118)*$BC$8+SUMPRODUCT(G123:G128,$AU123:$AU128)*$AU$8+SUMPRODUCT(G123:G128,$AY123:$AY128)*$AY$8+G134*$AU134*$AU$8+G136*$AY136*$AY$8+G148*$BC148*$BC$8+G91</f>
        <v>#VALUE!</v>
      </c>
      <c r="H164" s="1233" t="e">
        <f>SUMPRODUCT(H10:H35,$AZ10:$AZ35)*$AZ$8+SUMPRODUCT(H60:H65,$AU61:$AU65)*$AU$8+SUMPRODUCT(H60:H81,$AX60:$AX81)*$AX$8+SUMPRODUCT(H56:H83,$AZ56:$AZ83)*$AZ$8+H83*$BA83*$BA$8+SUMPRODUCT(H60:H82,$BB60:$BB82)*$BB$8+SUMPRODUCT(H99:H101,$AU99:$AU101)*$AU$8+SUMPRODUCT(H99:H101,$AX99:$AX101)*$AX$8+SUMPRODUCT(H99:H101,$AZ99:$AZ101)*$AZ$8+SUMPRODUCT(H99:H101,$BB99:$BB101)*$BB$8+SUMPRODUCT(H104:H112,$AX104:$AX112)*$AX$8+SUMPRODUCT(H113:H118,$BC113:$BC118)*$BC$8+SUMPRODUCT(H123:H128,$AU123:$AU128)*$AU$8+SUMPRODUCT(H123:H128,$AY123:$AY128)*$AY$8+H134*$AU134*$AU$8+H136*$AY136*$AY$8+H148*$BC148*$BC$8+H91</f>
        <v>#VALUE!</v>
      </c>
      <c r="I164" s="1233" t="e">
        <f>SUMPRODUCT(I10:I35,$AZ10:$AZ35)*$AZ$8+SUMPRODUCT(I60:I65,$AU61:$AU65)*$AU$8+SUMPRODUCT(I60:I81,$AX60:$AX81)*$AX$8+SUMPRODUCT(I56:I83,$AZ56:$AZ83)*$AZ$8+I83*$BA83*$BA$8+SUMPRODUCT(I60:I82,$BB60:$BB82)*$BB$8+SUMPRODUCT(I99:I101,$AU99:$AU101)*$AU$8+SUMPRODUCT(I99:I101,$AX99:$AX101)*$AX$8+SUMPRODUCT(I99:I101,$AZ99:$AZ101)*$AZ$8+SUMPRODUCT(I99:I101,$BB99:$BB101)*$BB$8+SUMPRODUCT(I104:I112,$AX104:$AX112)*$AX$8+SUMPRODUCT(I113:I118,$BC113:$BC118)*$BC$8+SUMPRODUCT(I123:I128,$AU123:$AU128)*$AU$8+SUMPRODUCT(I123:I128,$AY123:$AY128)*$AY$8+I134*$AU134*$AU$8+I136*$AY136*$AY$8+I148*$BC148*$BC$8+I91</f>
        <v>#VALUE!</v>
      </c>
      <c r="J164" s="1233"/>
      <c r="K164" s="1233"/>
      <c r="L164" s="1233"/>
      <c r="M164" s="1233"/>
      <c r="N164" s="1234"/>
      <c r="O164" s="1233" t="e">
        <f>SUMPRODUCT(O10:O35,$AZ10:$AZ35)*$AZ$8+SUMPRODUCT(O60:O65,$AU61:$AU65)*$AU$8+SUMPRODUCT(O60:O81,$AX60:$AX81)*$AX$8+SUMPRODUCT(O56:O83,$AZ56:$AZ83)*$AZ$8+O83*$BA83*$BA$8+SUMPRODUCT(O60:O82,$BB60:$BB82)*$BB$8+SUMPRODUCT(O99:O101,$AU99:$AU101)*$AU$8+SUMPRODUCT(O99:O101,$AX99:$AX101)*$AX$8+SUMPRODUCT(O99:O101,$AZ99:$AZ101)*$AZ$8+SUMPRODUCT(O99:O101,$BB99:$BB101)*$BB$8+SUMPRODUCT(O104:O112,$AX104:$AX112)*$AX$8+SUMPRODUCT(O113:O118,$BC113:$BC118)*$BC$8+SUMPRODUCT(O123:O128,$AU123:$AU128)*$AU$8+SUMPRODUCT(O123:O128,$AY123:$AY128)*$AY$8+O134*$AU134*$AU$8+O136*$AY136*$AY$8+O148*$BC148*$BC$8+O91</f>
        <v>#VALUE!</v>
      </c>
      <c r="P164" s="1233" t="e">
        <f>SUMPRODUCT(P10:P35,$AZ10:$AZ35)*$AZ$8+SUMPRODUCT(P60:P65,$AU61:$AU65)*$AU$8+SUMPRODUCT(P60:P81,$AX60:$AX81)*$AX$8+SUMPRODUCT(P56:P83,$AZ56:$AZ83)*$AZ$8+P83*$BA83*$BA$8+SUMPRODUCT(P60:P82,$BB60:$BB82)*$BB$8+SUMPRODUCT(P99:P101,$AU99:$AU101)*$AU$8+SUMPRODUCT(P99:P101,$AX99:$AX101)*$AX$8+SUMPRODUCT(P99:P101,$AZ99:$AZ101)*$AZ$8+SUMPRODUCT(P99:P101,$BB99:$BB101)*$BB$8+SUMPRODUCT(P104:P112,$AX104:$AX112)*$AX$8+SUMPRODUCT(P113:P118,$BC113:$BC118)*$BC$8+SUMPRODUCT(P123:P128,$AU123:$AU128)*$AU$8+SUMPRODUCT(P123:P128,$AY123:$AY128)*$AY$8+P134*$AU134*$AU$8+P136*$AY136*$AY$8+P148*$BC148*$BC$8+P91</f>
        <v>#VALUE!</v>
      </c>
      <c r="Q164" s="1233" t="e">
        <f>SUMPRODUCT(Q10:Q35,$AZ10:$AZ35)*$AZ$8+SUMPRODUCT(Q60:Q65,$AU61:$AU65)*$AU$8+SUMPRODUCT(Q60:Q81,$AX60:$AX81)*$AX$8+SUMPRODUCT(Q56:Q83,$AZ56:$AZ83)*$AZ$8+Q83*$BA83*$BA$8+SUMPRODUCT(Q60:Q82,$BB60:$BB82)*$BB$8+SUMPRODUCT(Q99:Q101,$AU99:$AU101)*$AU$8+SUMPRODUCT(Q99:Q101,$AX99:$AX101)*$AX$8+SUMPRODUCT(Q99:Q101,$AZ99:$AZ101)*$AZ$8+SUMPRODUCT(Q99:Q101,$BB99:$BB101)*$BB$8+SUMPRODUCT(Q104:Q112,$AX104:$AX112)*$AX$8+SUMPRODUCT(Q113:Q118,$BC113:$BC118)*$BC$8+SUMPRODUCT(Q123:Q128,$AU123:$AU128)*$AU$8+SUMPRODUCT(Q123:Q128,$AY123:$AY128)*$AY$8+Q134*$AU134*$AU$8+Q136*$AY136*$AY$8+Q148*$BC148*$BC$8+Q91</f>
        <v>#VALUE!</v>
      </c>
      <c r="R164" s="1233" t="e">
        <f>SUMPRODUCT(R10:R35,$AZ10:$AZ35)*$AZ$8+SUMPRODUCT(R60:R65,$AU61:$AU65)*$AU$8+SUMPRODUCT(R60:R81,$AX60:$AX81)*$AX$8+SUMPRODUCT(R56:R83,$AZ56:$AZ83)*$AZ$8+R83*$BA83*$BA$8+SUMPRODUCT(R60:R82,$BB60:$BB82)*$BB$8+SUMPRODUCT(R99:R101,$AU99:$AU101)*$AU$8+SUMPRODUCT(R99:R101,$AX99:$AX101)*$AX$8+SUMPRODUCT(R99:R101,$AZ99:$AZ101)*$AZ$8+SUMPRODUCT(R99:R101,$BB99:$BB101)*$BB$8+SUMPRODUCT(R104:R112,$AX104:$AX112)*$AX$8+SUMPRODUCT(R113:R118,$BC113:$BC118)*$BC$8+SUMPRODUCT(R123:R128,$AU123:$AU128)*$AU$8+SUMPRODUCT(R123:R128,$AY123:$AY128)*$AY$8+R134*$AU134*$AU$8+R136*$AY136*$AY$8+R148*$BC148*$BC$8+R91</f>
        <v>#VALUE!</v>
      </c>
      <c r="S164" s="1233" t="e">
        <f>SUMPRODUCT(S10:S35,$AZ10:$AZ35)*$AZ$8+SUMPRODUCT(S60:S65,$AU61:$AU65)*$AU$8+SUMPRODUCT(S60:S81,$AX60:$AX81)*$AX$8+SUMPRODUCT(S56:S83,$AZ56:$AZ83)*$AZ$8+S83*$BA83*$BA$8+SUMPRODUCT(S60:S82,$BB60:$BB82)*$BB$8+SUMPRODUCT(S99:S101,$AU99:$AU101)*$AU$8+SUMPRODUCT(S99:S101,$AX99:$AX101)*$AX$8+SUMPRODUCT(S99:S101,$AZ99:$AZ101)*$AZ$8+SUMPRODUCT(S99:S101,$BB99:$BB101)*$BB$8+SUMPRODUCT(S104:S112,$AX104:$AX112)*$AX$8+SUMPRODUCT(S113:S118,$BC113:$BC118)*$BC$8+SUMPRODUCT(S123:S128,$AU123:$AU128)*$AU$8+SUMPRODUCT(S123:S128,$AY123:$AY128)*$AY$8+S134*$AU134*$AU$8+S136*$AY136*$AY$8+S148*$BC148*$BC$8+S91</f>
        <v>#VALUE!</v>
      </c>
      <c r="T164" s="1235"/>
      <c r="U164" s="1235"/>
      <c r="V164" s="1235"/>
      <c r="W164" s="1235"/>
      <c r="X164" s="1235"/>
      <c r="Y164" s="1235"/>
      <c r="Z164" s="1235"/>
      <c r="AA164" s="1235"/>
      <c r="AB164" s="1235"/>
      <c r="AC164" s="1235"/>
      <c r="AD164" s="1235"/>
      <c r="AE164" s="1235"/>
      <c r="AF164" s="1233"/>
      <c r="AG164" s="1233"/>
      <c r="AH164" s="1233"/>
      <c r="AI164" s="1236"/>
      <c r="AJ164" s="745"/>
      <c r="AK164" s="745"/>
      <c r="AL164" s="1141"/>
      <c r="AM164" s="1141"/>
      <c r="AN164" s="1141"/>
      <c r="AO164" s="1141"/>
      <c r="AP164" s="1141"/>
      <c r="AQ164" s="1141"/>
      <c r="AR164" s="1141"/>
      <c r="AS164" s="1141"/>
      <c r="AT164" s="1141"/>
      <c r="AU164" s="1141"/>
      <c r="AV164" s="1141"/>
      <c r="AW164" s="1141"/>
      <c r="AX164" s="1141"/>
      <c r="AY164" s="1141"/>
      <c r="AZ164" s="1141"/>
      <c r="BA164" s="1141"/>
      <c r="BB164" s="1141"/>
      <c r="BC164" s="1141"/>
      <c r="BD164" s="1141"/>
      <c r="BE164" s="1141"/>
      <c r="BF164" s="1141"/>
      <c r="BG164" s="1141"/>
      <c r="BH164" s="1141"/>
      <c r="BI164" s="1141"/>
      <c r="BJ164" s="1141"/>
      <c r="BK164" s="1141"/>
      <c r="BL164" s="1141"/>
      <c r="BM164" s="1141"/>
      <c r="BN164" s="1141"/>
      <c r="BO164" s="1141"/>
      <c r="BP164" s="1141"/>
      <c r="BQ164" s="1141"/>
      <c r="BR164" s="1141"/>
      <c r="BS164" s="1141"/>
      <c r="BT164" s="1141"/>
    </row>
    <row r="165" spans="1:72" ht="21.95" hidden="1" customHeight="1">
      <c r="A165" s="2695"/>
      <c r="B165" s="2585"/>
      <c r="C165" s="763" t="s">
        <v>1925</v>
      </c>
      <c r="D165" s="1144"/>
      <c r="E165" s="1145"/>
      <c r="F165" s="1233" t="e">
        <f t="shared" ref="F165:S165" si="38">SUMPRODUCT(F60:F65,$BD60:$BD65)*$BD$8+SUMPRODUCT(F60:F81,$BH60:$BH81)*$BG$8+SUMPRODUCT(F60:F66,$BJ60:$BJ66)*$BJ$8+SUMPRODUCT(F99:F101,$BD99:$BD101)*$BD$8+SUMPRODUCT(F99:F101,$BH99:$BH101)*$BG$8+SUMPRODUCT(F99:F101,$BJ99:$BJ101)*$BJ$8+SUMPRODUCT(F104:F112,$BG104:$BG112)*$BG$8+SUMPRODUCT(F113:F118,$BI113:$BI118)*$BI$8+SUMPRODUCT(F123:F128,$BD123:$BD128)*$BD$8+SUMPRODUCT(F123:F128,$BH123:$BH128)*$BH$8+F134*$BD134*$BD$8+F136*$BH136*$BH$8+F148*$BI148*$BI$8+F92</f>
        <v>#REF!</v>
      </c>
      <c r="G165" s="1233">
        <f t="shared" si="38"/>
        <v>0</v>
      </c>
      <c r="H165" s="1233">
        <f t="shared" si="38"/>
        <v>0</v>
      </c>
      <c r="I165" s="1233">
        <f t="shared" si="38"/>
        <v>0</v>
      </c>
      <c r="J165" s="1233">
        <f t="shared" si="38"/>
        <v>0</v>
      </c>
      <c r="K165" s="1233">
        <f t="shared" si="38"/>
        <v>0</v>
      </c>
      <c r="L165" s="1233">
        <f t="shared" si="38"/>
        <v>0</v>
      </c>
      <c r="M165" s="1233">
        <f t="shared" si="38"/>
        <v>0</v>
      </c>
      <c r="N165" s="1233">
        <f t="shared" si="38"/>
        <v>0</v>
      </c>
      <c r="O165" s="1233">
        <f t="shared" si="38"/>
        <v>0</v>
      </c>
      <c r="P165" s="1233">
        <f t="shared" si="38"/>
        <v>0</v>
      </c>
      <c r="Q165" s="1233">
        <f t="shared" si="38"/>
        <v>0</v>
      </c>
      <c r="R165" s="1233">
        <f t="shared" si="38"/>
        <v>0</v>
      </c>
      <c r="S165" s="1233">
        <f t="shared" si="38"/>
        <v>0</v>
      </c>
      <c r="T165" s="1235"/>
      <c r="U165" s="1235"/>
      <c r="V165" s="1235"/>
      <c r="W165" s="1235"/>
      <c r="X165" s="1235"/>
      <c r="Y165" s="1235"/>
      <c r="Z165" s="1235"/>
      <c r="AA165" s="1235"/>
      <c r="AB165" s="1235"/>
      <c r="AC165" s="1235"/>
      <c r="AD165" s="1235"/>
      <c r="AE165" s="1235"/>
      <c r="AF165" s="1233"/>
      <c r="AG165" s="1233"/>
      <c r="AH165" s="1233"/>
      <c r="AI165" s="1236"/>
      <c r="AJ165" s="745"/>
      <c r="AK165" s="745"/>
      <c r="AL165" s="1141"/>
      <c r="AM165" s="1141"/>
      <c r="AN165" s="1141"/>
      <c r="AO165" s="1141"/>
      <c r="AP165" s="1141"/>
      <c r="AQ165" s="1141"/>
      <c r="AR165" s="1141"/>
      <c r="AS165" s="1141"/>
      <c r="AT165" s="1141"/>
      <c r="AU165" s="1141"/>
      <c r="AV165" s="1141"/>
      <c r="AW165" s="1141"/>
      <c r="AX165" s="1141"/>
      <c r="AY165" s="1141"/>
      <c r="AZ165" s="1141"/>
      <c r="BA165" s="1141"/>
      <c r="BB165" s="1141"/>
      <c r="BC165" s="1141"/>
      <c r="BD165" s="1141"/>
      <c r="BE165" s="1141"/>
      <c r="BF165" s="1141"/>
      <c r="BG165" s="1141"/>
      <c r="BH165" s="1141"/>
      <c r="BI165" s="1141"/>
      <c r="BJ165" s="1141"/>
      <c r="BK165" s="1141"/>
      <c r="BL165" s="1141"/>
      <c r="BM165" s="1141"/>
      <c r="BN165" s="1141"/>
      <c r="BO165" s="1141"/>
      <c r="BP165" s="1141"/>
      <c r="BQ165" s="1141"/>
      <c r="BR165" s="1141"/>
      <c r="BS165" s="1141"/>
      <c r="BT165" s="1141"/>
    </row>
    <row r="166" spans="1:72" ht="21.95" hidden="1" customHeight="1">
      <c r="A166" s="2695"/>
      <c r="B166" s="2585"/>
      <c r="C166" s="763" t="s">
        <v>1926</v>
      </c>
      <c r="D166" s="1144"/>
      <c r="E166" s="1145"/>
      <c r="F166" s="1233">
        <f>(SUMPRODUCT(F60:F83,$BK60:$BK83)+SUMPRODUCT(F99:F101,$BK99:$BK101)+SUMPRODUCT(F104:F109,$BK104:$BK109)+SUMPRODUCT(F123:F128,$BK123:$BK128)+SUMPRODUCT(F139:F143,$BK139:$BK143))/1000</f>
        <v>3.9542000000000006E-4</v>
      </c>
      <c r="G166" s="1233">
        <f>(SUMPRODUCT(G60:G83,$BK60:$BK83)+SUMPRODUCT(G99:G101,$BK99:$BK101)+SUMPRODUCT(G104:G109,$BK104:$BK109)+SUMPRODUCT(G123:G128,$BK123:$BK128)+SUMPRODUCT(G139:G143,$BK139:$BK143))/1000</f>
        <v>4.0704999999999995E-4</v>
      </c>
      <c r="H166" s="1233">
        <f>(SUMPRODUCT(H60:H83,$BK60:$BK83)+SUMPRODUCT(H99:H101,$BK99:$BK101)+SUMPRODUCT(H104:H109,$BK104:$BK109)+SUMPRODUCT(H123:H128,$BK123:$BK128)+SUMPRODUCT(H139:H143,$BK139:$BK143))/1000</f>
        <v>3.9542000000000006E-4</v>
      </c>
      <c r="I166" s="1233">
        <f>(SUMPRODUCT(I60:I83,$BK60:$BK83)+SUMPRODUCT(I99:I101,$BK99:$BK101)+SUMPRODUCT(I104:I109,$BK104:$BK109)+SUMPRODUCT(I123:I128,$BK123:$BK128)+SUMPRODUCT(I139:I143,$BK139:$BK143))/1000</f>
        <v>4.0704999999999995E-4</v>
      </c>
      <c r="J166" s="1233"/>
      <c r="K166" s="1233"/>
      <c r="L166" s="1233"/>
      <c r="M166" s="1233"/>
      <c r="N166" s="1234"/>
      <c r="O166" s="1233">
        <f>(SUMPRODUCT(O60:O83,$BK60:$BK83)+SUMPRODUCT(O99:O101,$BK99:$BK101)+SUMPRODUCT(O104:O109,$BK104:$BK109)+SUMPRODUCT(O123:O128,$BK123:$BK128)+SUMPRODUCT(O139:O143,$BK139:$BK143))/1000</f>
        <v>3.9542000000000006E-4</v>
      </c>
      <c r="P166" s="1233">
        <f>(SUMPRODUCT(P60:P83,$BK60:$BK83)+SUMPRODUCT(P99:P101,$BK99:$BK101)+SUMPRODUCT(P104:P109,$BK104:$BK109)+SUMPRODUCT(P123:P128,$BK123:$BK128)+SUMPRODUCT(P139:P143,$BK139:$BK143))/1000</f>
        <v>3.9542000000000006E-4</v>
      </c>
      <c r="Q166" s="1233">
        <f>(SUMPRODUCT(Q60:Q83,$BK60:$BK83)+SUMPRODUCT(Q99:Q101,$BK99:$BK101)+SUMPRODUCT(Q104:Q109,$BK104:$BK109)+SUMPRODUCT(Q123:Q128,$BK123:$BK128)+SUMPRODUCT(Q139:Q143,$BK139:$BK143))/1000</f>
        <v>3.9542000000000006E-4</v>
      </c>
      <c r="R166" s="1233">
        <f>(SUMPRODUCT(R60:R83,$BK60:$BK83)+SUMPRODUCT(R99:R101,$BK99:$BK101)+SUMPRODUCT(R104:R109,$BK104:$BK109)+SUMPRODUCT(R123:R128,$BK123:$BK128)+SUMPRODUCT(R139:R143,$BK139:$BK143))/1000</f>
        <v>4.0704999999999995E-4</v>
      </c>
      <c r="S166" s="1233">
        <f>(SUMPRODUCT(S60:S83,$BK60:$BK83)+SUMPRODUCT(S99:S101,$BK99:$BK101)+SUMPRODUCT(S104:S109,$BK104:$BK109)+SUMPRODUCT(S123:S128,$BK123:$BK128)+SUMPRODUCT(S139:S143,$BK139:$BK143))/1000</f>
        <v>0</v>
      </c>
      <c r="T166" s="1235"/>
      <c r="U166" s="1235"/>
      <c r="V166" s="1235"/>
      <c r="W166" s="1235"/>
      <c r="X166" s="1235"/>
      <c r="Y166" s="1235"/>
      <c r="Z166" s="1235"/>
      <c r="AA166" s="1235"/>
      <c r="AB166" s="1235"/>
      <c r="AC166" s="1235"/>
      <c r="AD166" s="1235"/>
      <c r="AE166" s="1235"/>
      <c r="AF166" s="1233"/>
      <c r="AG166" s="1233"/>
      <c r="AH166" s="1233"/>
      <c r="AI166" s="1236"/>
      <c r="AJ166" s="745"/>
      <c r="AK166" s="745"/>
      <c r="AL166" s="1141"/>
      <c r="AM166" s="1141"/>
      <c r="AN166" s="1141"/>
      <c r="AO166" s="1141"/>
      <c r="AP166" s="1141"/>
      <c r="AQ166" s="1141"/>
      <c r="AR166" s="1141"/>
      <c r="AS166" s="1141"/>
      <c r="AT166" s="1141"/>
      <c r="AU166" s="1141"/>
      <c r="AV166" s="1141"/>
      <c r="AW166" s="1141"/>
      <c r="AX166" s="1141"/>
      <c r="AY166" s="1141"/>
      <c r="AZ166" s="1141"/>
      <c r="BA166" s="1141"/>
      <c r="BB166" s="1141"/>
      <c r="BC166" s="1141"/>
      <c r="BD166" s="1141"/>
      <c r="BE166" s="1141"/>
      <c r="BF166" s="1141"/>
      <c r="BG166" s="1141"/>
      <c r="BH166" s="1141"/>
      <c r="BI166" s="1141"/>
      <c r="BJ166" s="1141"/>
      <c r="BK166" s="1141"/>
      <c r="BL166" s="1141"/>
      <c r="BM166" s="1141"/>
      <c r="BN166" s="1141"/>
      <c r="BO166" s="1141"/>
      <c r="BP166" s="1141"/>
      <c r="BQ166" s="1141"/>
      <c r="BR166" s="1141"/>
      <c r="BS166" s="1141"/>
      <c r="BT166" s="1141"/>
    </row>
    <row r="167" spans="1:72" ht="21.95" hidden="1" customHeight="1">
      <c r="A167" s="2695"/>
      <c r="B167" s="2585"/>
      <c r="C167" s="763" t="s">
        <v>1927</v>
      </c>
      <c r="D167" s="1144"/>
      <c r="E167" s="1145"/>
      <c r="F167" s="1233" t="e">
        <f>SUMPRODUCT(F60:F65,$BM60:$BM65)*$BM$8+SUMPRODUCT(F60:F65,$BO60:$BO65)*$BO$8+F83*$BM83*$BM$8+F82*$BO82*$BO$8+SUMPRODUCT(F99:F101,$BM99:$BM101)*$BM$8+SUMPRODUCT(F99:F101,$BO99:$BO101)*$BO$8+SUMPRODUCT(F104:F109,$BN104:$BN109)*$BN$8+SUMPRODUCT(F110:F112,$BM110:$BM112)*$BM$8+SUMPRODUCT(F113:F118,$BL113:$BL118)*$BL$8+SUMPRODUCT(F123:F128,$BP123:$BP128)*$BP$8+SUMPRODUCT(F123:F128,$BQ123:$BQ128)*$BQ$8+F137*$BP137*$BP$8+F144*$BP144*BP8</f>
        <v>#REF!</v>
      </c>
      <c r="G167" s="1233">
        <f>SUMPRODUCT(G60:G65,$BM60:$BM65)*$BM$8+SUMPRODUCT(G60:G65,$BO60:$BO65)*$BO$8+G83*$BM83*$BM$8+G82*$BO82*$BO$8+SUMPRODUCT(G99:G101,$BM99:$BM101)*$BM$8+SUMPRODUCT(G99:G101,$BO99:$BO101)*$BO$8+SUMPRODUCT(G104:G109,$BN104:$BN109)*$BN$8+SUMPRODUCT(G110:G112,$BM110:$BM112)*$BM$8+SUMPRODUCT(G113:G118,$BL113:$BL118)*$BL$8+SUMPRODUCT(G123:G128,$BP123:$BP128)*$BP$8+SUMPRODUCT(G123:G128,$BQ123:$BQ128)*$BQ$8+G137*$BP137*$BP$8+G144*$BP144*BQ8</f>
        <v>1.5965949999999997E-3</v>
      </c>
      <c r="H167" s="1233">
        <f>SUMPRODUCT(H60:H65,$BM60:$BM65)*$BM$8+SUMPRODUCT(H60:H65,$BO60:$BO65)*$BO$8+H83*$BM83*$BM$8+H82*$BO82*$BO$8+SUMPRODUCT(H99:H101,$BM99:$BM101)*$BM$8+SUMPRODUCT(H99:H101,$BO99:$BO101)*$BO$8+SUMPRODUCT(H104:H109,$BN104:$BN109)*$BN$8+SUMPRODUCT(H110:H112,$BM110:$BM112)*$BM$8+SUMPRODUCT(H113:H118,$BL113:$BL118)*$BL$8+SUMPRODUCT(H123:H128,$BP123:$BP128)*$BP$8+SUMPRODUCT(H123:H128,$BQ123:$BQ128)*$BQ$8+H137*$BP137*$BP$8+H144*$BP144*BR8</f>
        <v>1.5509780000000002E-3</v>
      </c>
      <c r="I167" s="1233">
        <f>SUMPRODUCT(I60:I65,$BM60:$BM65)*$BM$8+SUMPRODUCT(I60:I65,$BO60:$BO65)*$BO$8+I83*$BM83*$BM$8+I82*$BO82*$BO$8+SUMPRODUCT(I99:I101,$BM99:$BM101)*$BM$8+SUMPRODUCT(I99:I101,$BO99:$BO101)*$BO$8+SUMPRODUCT(I104:I109,$BN104:$BN109)*$BN$8+SUMPRODUCT(I110:I112,$BM110:$BM112)*$BM$8+SUMPRODUCT(I113:I118,$BL113:$BL118)*$BL$8+SUMPRODUCT(I123:I128,$BP123:$BP128)*$BP$8+SUMPRODUCT(I123:I128,$BQ123:$BQ128)*$BQ$8+I137*$BP137*$BP$8+I144*$BP144*BS8</f>
        <v>1.5965949999999997E-3</v>
      </c>
      <c r="J167" s="1233"/>
      <c r="K167" s="1233"/>
      <c r="L167" s="1233"/>
      <c r="M167" s="1233"/>
      <c r="N167" s="1234"/>
      <c r="O167" s="1233">
        <f>SUMPRODUCT(O60:O65,$BM60:$BM65)*$BM$8+SUMPRODUCT(O60:O65,$BO60:$BO65)*$BO$8+O83*$BM83*$BM$8+O82*$BO82*$BO$8+SUMPRODUCT(O99:O101,$BM99:$BM101)*$BM$8+SUMPRODUCT(O99:O101,$BO99:$BO101)*$BO$8+SUMPRODUCT(O104:O109,$BN104:$BN109)*$BN$8+SUMPRODUCT(O110:O112,$BM110:$BM112)*$BM$8+SUMPRODUCT(O113:O118,$BL113:$BL118)*$BL$8+SUMPRODUCT(O123:O128,$BP123:$BP128)*$BP$8+SUMPRODUCT(O123:O128,$BQ123:$BQ128)*$BQ$8+O137*$BP137*$BP$8+O144*$BP144*BX8</f>
        <v>1.5509780000000002E-3</v>
      </c>
      <c r="P167" s="1233">
        <f>SUMPRODUCT(P60:P65,$BM60:$BM65)*$BM$8+SUMPRODUCT(P60:P65,$BO60:$BO65)*$BO$8+P83*$BM83*$BM$8+P82*$BO82*$BO$8+SUMPRODUCT(P99:P101,$BM99:$BM101)*$BM$8+SUMPRODUCT(P99:P101,$BO99:$BO101)*$BO$8+SUMPRODUCT(P104:P109,$BN104:$BN109)*$BN$8+SUMPRODUCT(P110:P112,$BM110:$BM112)*$BM$8+SUMPRODUCT(P113:P118,$BL113:$BL118)*$BL$8+SUMPRODUCT(P123:P128,$BP123:$BP128)*$BP$8+SUMPRODUCT(P123:P128,$BQ123:$BQ128)*$BQ$8+P137*$BP137*$BP$8+P144*$BP144*BY8</f>
        <v>1.5509780000000002E-3</v>
      </c>
      <c r="Q167" s="1233">
        <f>SUMPRODUCT(Q60:Q65,$BM60:$BM65)*$BM$8+SUMPRODUCT(Q60:Q65,$BO60:$BO65)*$BO$8+Q83*$BM83*$BM$8+Q82*$BO82*$BO$8+SUMPRODUCT(Q99:Q101,$BM99:$BM101)*$BM$8+SUMPRODUCT(Q99:Q101,$BO99:$BO101)*$BO$8+SUMPRODUCT(Q104:Q109,$BN104:$BN109)*$BN$8+SUMPRODUCT(Q110:Q112,$BM110:$BM112)*$BM$8+SUMPRODUCT(Q113:Q118,$BL113:$BL118)*$BL$8+SUMPRODUCT(Q123:Q128,$BP123:$BP128)*$BP$8+SUMPRODUCT(Q123:Q128,$BQ123:$BQ128)*$BQ$8+Q137*$BP137*$BP$8+Q144*$BP144*BZ8</f>
        <v>1.5509780000000002E-3</v>
      </c>
      <c r="R167" s="1233">
        <f>SUMPRODUCT(R60:R65,$BM60:$BM65)*$BM$8+SUMPRODUCT(R60:R65,$BO60:$BO65)*$BO$8+R83*$BM83*$BM$8+R82*$BO82*$BO$8+SUMPRODUCT(R99:R101,$BM99:$BM101)*$BM$8+SUMPRODUCT(R99:R101,$BO99:$BO101)*$BO$8+SUMPRODUCT(R104:R109,$BN104:$BN109)*$BN$8+SUMPRODUCT(R110:R112,$BM110:$BM112)*$BM$8+SUMPRODUCT(R113:R118,$BL113:$BL118)*$BL$8+SUMPRODUCT(R123:R128,$BP123:$BP128)*$BP$8+SUMPRODUCT(R123:R128,$BQ123:$BQ128)*$BQ$8+R137*$BP137*$BP$8+R144*$BP144*CA8</f>
        <v>1.5965949999999997E-3</v>
      </c>
      <c r="S167" s="1233">
        <f>SUMPRODUCT(S60:S65,$BM60:$BM65)*$BM$8+SUMPRODUCT(S60:S65,$BO60:$BO65)*$BO$8+S83*$BM83*$BM$8+S82*$BO82*$BO$8+SUMPRODUCT(S99:S101,$BM99:$BM101)*$BM$8+SUMPRODUCT(S99:S101,$BO99:$BO101)*$BO$8+SUMPRODUCT(S104:S109,$BN104:$BN109)*$BN$8+SUMPRODUCT(S110:S112,$BM110:$BM112)*$BM$8+SUMPRODUCT(S113:S118,$BL113:$BL118)*$BL$8+SUMPRODUCT(S123:S128,$BP123:$BP128)*$BP$8+SUMPRODUCT(S123:S128,$BQ123:$BQ128)*$BQ$8+S137*$BP137*$BP$8+S144*$BP144*CC8</f>
        <v>0</v>
      </c>
      <c r="T167" s="1235"/>
      <c r="U167" s="1235"/>
      <c r="V167" s="1235"/>
      <c r="W167" s="1235"/>
      <c r="X167" s="1235"/>
      <c r="Y167" s="1235"/>
      <c r="Z167" s="1235"/>
      <c r="AA167" s="1235"/>
      <c r="AB167" s="1235"/>
      <c r="AC167" s="1235"/>
      <c r="AD167" s="1235"/>
      <c r="AE167" s="1235"/>
      <c r="AF167" s="1233"/>
      <c r="AG167" s="1233"/>
      <c r="AH167" s="1233"/>
      <c r="AI167" s="1236"/>
      <c r="AJ167" s="745"/>
      <c r="AK167" s="745"/>
      <c r="AL167" s="1141"/>
      <c r="AM167" s="1141"/>
      <c r="AN167" s="1141"/>
      <c r="AO167" s="1141"/>
      <c r="AP167" s="1141"/>
      <c r="AQ167" s="1141"/>
      <c r="AR167" s="1141"/>
      <c r="AS167" s="1141"/>
      <c r="AT167" s="1141"/>
      <c r="AU167" s="1141"/>
      <c r="AV167" s="1141"/>
      <c r="AW167" s="1141"/>
      <c r="AX167" s="1141"/>
      <c r="AY167" s="1141"/>
      <c r="AZ167" s="1141"/>
      <c r="BA167" s="1141"/>
      <c r="BB167" s="1141"/>
      <c r="BC167" s="1141"/>
      <c r="BD167" s="1141"/>
      <c r="BE167" s="1141"/>
      <c r="BF167" s="1141"/>
      <c r="BG167" s="1141"/>
      <c r="BH167" s="1141"/>
      <c r="BI167" s="1141"/>
      <c r="BJ167" s="1141"/>
      <c r="BK167" s="1141"/>
      <c r="BL167" s="1141"/>
      <c r="BM167" s="1141"/>
      <c r="BN167" s="1141"/>
      <c r="BO167" s="1141"/>
      <c r="BP167" s="1141"/>
      <c r="BQ167" s="1141"/>
      <c r="BR167" s="1141"/>
      <c r="BS167" s="1141"/>
      <c r="BT167" s="1141"/>
    </row>
    <row r="168" spans="1:72" ht="21.95" hidden="1" customHeight="1">
      <c r="A168" s="2695"/>
      <c r="B168" s="2585"/>
      <c r="C168" s="763" t="s">
        <v>1928</v>
      </c>
      <c r="D168" s="1144"/>
      <c r="E168" s="1145"/>
      <c r="F168" s="1233">
        <f>SUMPRODUCT(F60:F82,$BR60:$BR82)*$BR$8+SUMPRODUCT(F99:F101,$BR99:$BR101)*$BR$8</f>
        <v>0</v>
      </c>
      <c r="G168" s="1233">
        <f>SUMPRODUCT(G60:G82,$BR60:$BR82)*$BR$8+SUMPRODUCT(G99:G101,$BR99:$BR101)*$BR$8</f>
        <v>0</v>
      </c>
      <c r="H168" s="1233">
        <f>SUMPRODUCT(H60:H82,$BR60:$BR82)*$BR$8+SUMPRODUCT(H99:H101,$BR99:$BR101)*$BR$8</f>
        <v>0</v>
      </c>
      <c r="I168" s="1233">
        <f>SUMPRODUCT(I60:I82,$BR60:$BR82)*$BR$8+SUMPRODUCT(I99:I101,$BR99:$BR101)*$BR$8</f>
        <v>0</v>
      </c>
      <c r="J168" s="1233"/>
      <c r="K168" s="1233"/>
      <c r="L168" s="1233"/>
      <c r="M168" s="1233"/>
      <c r="N168" s="1234"/>
      <c r="O168" s="1233">
        <f>SUMPRODUCT(O60:O82,$BR60:$BR82)*$BR$8+SUMPRODUCT(O99:O101,$BR99:$BR101)*$BR$8</f>
        <v>0</v>
      </c>
      <c r="P168" s="1233">
        <f>SUMPRODUCT(P60:P82,$BR60:$BR82)*$BR$8+SUMPRODUCT(P99:P101,$BR99:$BR101)*$BR$8</f>
        <v>0</v>
      </c>
      <c r="Q168" s="1233">
        <f>SUMPRODUCT(Q60:Q82,$BR60:$BR82)*$BR$8+SUMPRODUCT(Q99:Q101,$BR99:$BR101)*$BR$8</f>
        <v>0</v>
      </c>
      <c r="R168" s="1233">
        <f>SUMPRODUCT(R60:R82,$BR60:$BR82)*$BR$8+SUMPRODUCT(R99:R101,$BR99:$BR101)*$BR$8</f>
        <v>0</v>
      </c>
      <c r="S168" s="1233">
        <f>SUMPRODUCT(S60:S82,$BR60:$BR82)*$BR$8+SUMPRODUCT(S99:S101,$BR99:$BR101)*$BR$8</f>
        <v>0</v>
      </c>
      <c r="T168" s="1235"/>
      <c r="U168" s="1235"/>
      <c r="V168" s="1235"/>
      <c r="W168" s="1235"/>
      <c r="X168" s="1235"/>
      <c r="Y168" s="1235"/>
      <c r="Z168" s="1235"/>
      <c r="AA168" s="1235"/>
      <c r="AB168" s="1235"/>
      <c r="AC168" s="1235"/>
      <c r="AD168" s="1235"/>
      <c r="AE168" s="1235"/>
      <c r="AF168" s="1233"/>
      <c r="AG168" s="1233"/>
      <c r="AH168" s="1233"/>
      <c r="AI168" s="1236"/>
      <c r="AJ168" s="745"/>
      <c r="AK168" s="745"/>
      <c r="AL168" s="1141"/>
      <c r="AM168" s="1141"/>
      <c r="AN168" s="1141"/>
      <c r="AO168" s="1141"/>
      <c r="AP168" s="1141"/>
      <c r="AQ168" s="1141"/>
      <c r="AR168" s="1141"/>
      <c r="AS168" s="1141"/>
      <c r="AT168" s="1141"/>
      <c r="AU168" s="1141"/>
      <c r="AV168" s="1141"/>
      <c r="AW168" s="1141"/>
      <c r="AX168" s="1141"/>
      <c r="AY168" s="1141"/>
      <c r="AZ168" s="1141"/>
      <c r="BA168" s="1141"/>
      <c r="BB168" s="1141"/>
      <c r="BC168" s="1141"/>
      <c r="BD168" s="1141"/>
      <c r="BE168" s="1141"/>
      <c r="BF168" s="1141"/>
      <c r="BG168" s="1141"/>
      <c r="BH168" s="1141"/>
      <c r="BI168" s="1141"/>
      <c r="BJ168" s="1141"/>
      <c r="BK168" s="1141"/>
      <c r="BL168" s="1141"/>
      <c r="BM168" s="1141"/>
      <c r="BN168" s="1141"/>
      <c r="BO168" s="1141"/>
      <c r="BP168" s="1141"/>
      <c r="BQ168" s="1141"/>
      <c r="BR168" s="1141"/>
      <c r="BS168" s="1141"/>
      <c r="BT168" s="1141"/>
    </row>
    <row r="169" spans="1:72" ht="21.95" hidden="1" customHeight="1">
      <c r="A169" s="2695"/>
      <c r="B169" s="2585"/>
      <c r="C169" s="763" t="s">
        <v>1929</v>
      </c>
      <c r="D169" s="1144"/>
      <c r="E169" s="1145"/>
      <c r="F169" s="1233">
        <f>F66*$BS66*$BS$8+F83*$BS83*$BS$8</f>
        <v>0.30281811000000003</v>
      </c>
      <c r="G169" s="1233">
        <f>G66*$BS66*$BS$8+G83*$BS83*$BS$8</f>
        <v>0.31172452499999997</v>
      </c>
      <c r="H169" s="1233">
        <f>H66*$BS66*$BS$8+H83*$BS83*$BS$8</f>
        <v>0.30281811000000003</v>
      </c>
      <c r="I169" s="1233">
        <f>I66*$BS66*$BS$8+I83*$BS83*$BS$8</f>
        <v>0.31172452499999997</v>
      </c>
      <c r="J169" s="1233"/>
      <c r="K169" s="1233"/>
      <c r="L169" s="1233"/>
      <c r="M169" s="1233"/>
      <c r="N169" s="1234"/>
      <c r="O169" s="1233">
        <f>O66*$BS66*$BS$8+O83*$BS83*$BS$8</f>
        <v>0.30281811000000003</v>
      </c>
      <c r="P169" s="1233">
        <f>P66*$BS66*$BS$8+P83*$BS83*$BS$8</f>
        <v>0.30281811000000003</v>
      </c>
      <c r="Q169" s="1233">
        <f>Q66*$BS66*$BS$8+Q83*$BS83*$BS$8</f>
        <v>0.30281811000000003</v>
      </c>
      <c r="R169" s="1233">
        <f>R66*$BS66*$BS$8+R83*$BS83*$BS$8</f>
        <v>0.31172452499999997</v>
      </c>
      <c r="S169" s="1233">
        <f>S66*$BS66*$BS$8+S83*$BS83*$BS$8</f>
        <v>0</v>
      </c>
      <c r="T169" s="1235"/>
      <c r="U169" s="1235"/>
      <c r="V169" s="1235"/>
      <c r="W169" s="1235"/>
      <c r="X169" s="1235"/>
      <c r="Y169" s="1235"/>
      <c r="Z169" s="1235"/>
      <c r="AA169" s="1235"/>
      <c r="AB169" s="1235"/>
      <c r="AC169" s="1235"/>
      <c r="AD169" s="1235"/>
      <c r="AE169" s="1235"/>
      <c r="AF169" s="1233"/>
      <c r="AG169" s="1233"/>
      <c r="AH169" s="1233"/>
      <c r="AI169" s="1236"/>
      <c r="AJ169" s="745"/>
      <c r="AK169" s="745"/>
      <c r="AL169" s="1141"/>
      <c r="AM169" s="1141"/>
      <c r="AN169" s="1141"/>
      <c r="AO169" s="1141"/>
      <c r="AP169" s="1141"/>
      <c r="AQ169" s="1141"/>
      <c r="AR169" s="1141"/>
      <c r="AS169" s="1141"/>
      <c r="AT169" s="1141"/>
      <c r="AU169" s="1141"/>
      <c r="AV169" s="1141"/>
      <c r="AW169" s="1141"/>
      <c r="AX169" s="1141"/>
      <c r="AY169" s="1141"/>
      <c r="AZ169" s="1141"/>
      <c r="BA169" s="1141"/>
      <c r="BB169" s="1141"/>
      <c r="BC169" s="1141"/>
      <c r="BD169" s="1141"/>
      <c r="BE169" s="1141"/>
      <c r="BF169" s="1141"/>
      <c r="BG169" s="1141"/>
      <c r="BH169" s="1141"/>
      <c r="BI169" s="1141"/>
      <c r="BJ169" s="1141"/>
      <c r="BK169" s="1141"/>
      <c r="BL169" s="1141"/>
      <c r="BM169" s="1141"/>
      <c r="BN169" s="1141"/>
      <c r="BO169" s="1141"/>
      <c r="BP169" s="1141"/>
      <c r="BQ169" s="1141"/>
      <c r="BR169" s="1141"/>
      <c r="BS169" s="1141"/>
      <c r="BT169" s="1141"/>
    </row>
    <row r="170" spans="1:72" ht="21.95" hidden="1" customHeight="1">
      <c r="A170" s="2695"/>
      <c r="B170" s="2585"/>
      <c r="C170" s="747" t="s">
        <v>1845</v>
      </c>
      <c r="D170" s="1144"/>
      <c r="E170" s="1145"/>
      <c r="F170" s="1233">
        <f>F151*20/1000</f>
        <v>0</v>
      </c>
      <c r="G170" s="1233">
        <f t="shared" ref="G170:R170" si="39">G151*20/1000</f>
        <v>0</v>
      </c>
      <c r="H170" s="1233">
        <f t="shared" si="39"/>
        <v>0</v>
      </c>
      <c r="I170" s="1233">
        <f t="shared" si="39"/>
        <v>0</v>
      </c>
      <c r="J170" s="1233"/>
      <c r="K170" s="1233"/>
      <c r="L170" s="1233"/>
      <c r="M170" s="1233"/>
      <c r="N170" s="1234"/>
      <c r="O170" s="1233">
        <f t="shared" si="39"/>
        <v>0</v>
      </c>
      <c r="P170" s="1233">
        <f t="shared" si="39"/>
        <v>0</v>
      </c>
      <c r="Q170" s="1233">
        <f t="shared" si="39"/>
        <v>0</v>
      </c>
      <c r="R170" s="1233">
        <f t="shared" si="39"/>
        <v>0</v>
      </c>
      <c r="S170" s="1233">
        <f>S151*20/1000</f>
        <v>0</v>
      </c>
      <c r="T170" s="1235"/>
      <c r="U170" s="1235"/>
      <c r="V170" s="1235"/>
      <c r="W170" s="1235"/>
      <c r="X170" s="1235"/>
      <c r="Y170" s="1235"/>
      <c r="Z170" s="1235"/>
      <c r="AA170" s="1235"/>
      <c r="AB170" s="1235"/>
      <c r="AC170" s="1235"/>
      <c r="AD170" s="1235"/>
      <c r="AE170" s="1235"/>
      <c r="AF170" s="1233"/>
      <c r="AG170" s="1233"/>
      <c r="AH170" s="1233"/>
      <c r="AI170" s="1236"/>
      <c r="AJ170" s="745"/>
      <c r="AK170" s="745"/>
      <c r="AL170" s="1141"/>
      <c r="AM170" s="1141"/>
      <c r="AN170" s="1141"/>
      <c r="AO170" s="1141"/>
      <c r="AP170" s="1141"/>
      <c r="AQ170" s="1141"/>
      <c r="AR170" s="1141"/>
      <c r="AS170" s="1141"/>
      <c r="AT170" s="1141"/>
      <c r="AU170" s="1141"/>
      <c r="AV170" s="1141"/>
      <c r="AW170" s="1141"/>
      <c r="AX170" s="1141"/>
      <c r="AY170" s="1141"/>
      <c r="AZ170" s="1141"/>
      <c r="BA170" s="1141"/>
      <c r="BB170" s="1141"/>
      <c r="BC170" s="1141"/>
      <c r="BD170" s="1141"/>
      <c r="BE170" s="1141"/>
      <c r="BF170" s="1141"/>
      <c r="BG170" s="1141"/>
      <c r="BH170" s="1141"/>
      <c r="BI170" s="1141"/>
      <c r="BJ170" s="1141"/>
      <c r="BK170" s="1141"/>
      <c r="BL170" s="1141"/>
      <c r="BM170" s="1141"/>
      <c r="BN170" s="1141"/>
      <c r="BO170" s="1141"/>
      <c r="BP170" s="1141"/>
      <c r="BQ170" s="1141"/>
      <c r="BR170" s="1141"/>
      <c r="BS170" s="1141"/>
      <c r="BT170" s="1141"/>
    </row>
    <row r="171" spans="1:72" ht="21.95" hidden="1" customHeight="1">
      <c r="A171" s="2695"/>
      <c r="B171" s="2585"/>
      <c r="C171" s="747" t="s">
        <v>1930</v>
      </c>
      <c r="D171" s="1144"/>
      <c r="E171" s="1145"/>
      <c r="F171" s="1233">
        <f>F161</f>
        <v>0</v>
      </c>
      <c r="G171" s="1233">
        <f t="shared" ref="G171:R171" si="40">G161</f>
        <v>0</v>
      </c>
      <c r="H171" s="1233">
        <f t="shared" si="40"/>
        <v>0</v>
      </c>
      <c r="I171" s="1233">
        <f t="shared" si="40"/>
        <v>0</v>
      </c>
      <c r="J171" s="1233"/>
      <c r="K171" s="1233"/>
      <c r="L171" s="1233"/>
      <c r="M171" s="1233"/>
      <c r="N171" s="1234"/>
      <c r="O171" s="1233">
        <f t="shared" si="40"/>
        <v>0</v>
      </c>
      <c r="P171" s="1233">
        <f t="shared" si="40"/>
        <v>0</v>
      </c>
      <c r="Q171" s="1233">
        <f t="shared" si="40"/>
        <v>0</v>
      </c>
      <c r="R171" s="1233">
        <f t="shared" si="40"/>
        <v>0</v>
      </c>
      <c r="S171" s="1233">
        <f>S161</f>
        <v>0</v>
      </c>
      <c r="T171" s="1235"/>
      <c r="U171" s="1235"/>
      <c r="V171" s="1235"/>
      <c r="W171" s="1235"/>
      <c r="X171" s="1235"/>
      <c r="Y171" s="1235"/>
      <c r="Z171" s="1235"/>
      <c r="AA171" s="1235"/>
      <c r="AB171" s="1235"/>
      <c r="AC171" s="1235"/>
      <c r="AD171" s="1235"/>
      <c r="AE171" s="1235"/>
      <c r="AF171" s="1233"/>
      <c r="AG171" s="1233"/>
      <c r="AH171" s="1233"/>
      <c r="AI171" s="1236"/>
      <c r="AJ171" s="745"/>
      <c r="AK171" s="745"/>
      <c r="AL171" s="1141"/>
      <c r="AM171" s="1141"/>
      <c r="AN171" s="1141"/>
      <c r="AO171" s="1141"/>
      <c r="AP171" s="1141"/>
      <c r="AQ171" s="1141"/>
      <c r="AR171" s="1141"/>
      <c r="AS171" s="1141"/>
      <c r="AT171" s="1141"/>
      <c r="AU171" s="1141"/>
      <c r="AV171" s="1141"/>
      <c r="AW171" s="1141"/>
      <c r="AX171" s="1141"/>
      <c r="AY171" s="1141"/>
      <c r="AZ171" s="1141"/>
      <c r="BA171" s="1141"/>
      <c r="BB171" s="1141"/>
      <c r="BC171" s="1141"/>
      <c r="BD171" s="1141"/>
      <c r="BE171" s="1141"/>
      <c r="BF171" s="1141"/>
      <c r="BG171" s="1141"/>
      <c r="BH171" s="1141"/>
      <c r="BI171" s="1141"/>
      <c r="BJ171" s="1141"/>
      <c r="BK171" s="1141"/>
      <c r="BL171" s="1141"/>
      <c r="BM171" s="1141"/>
      <c r="BN171" s="1141"/>
      <c r="BO171" s="1141"/>
      <c r="BP171" s="1141"/>
      <c r="BQ171" s="1141"/>
      <c r="BR171" s="1141"/>
      <c r="BS171" s="1141"/>
      <c r="BT171" s="1141"/>
    </row>
    <row r="172" spans="1:72" ht="21.95" hidden="1" customHeight="1" thickBot="1">
      <c r="A172" s="2695"/>
      <c r="B172" s="2632"/>
      <c r="C172" s="754" t="s">
        <v>1931</v>
      </c>
      <c r="D172" s="1146"/>
      <c r="E172" s="1147"/>
      <c r="F172" s="1249">
        <f>(F10+F13)*0.18+(F11+F12+F14+F15)*0.347+(F16+F21)*0.36+(F17+F22)*0.533+(F18+F23)*0.8+(F19+F24)*1.133+(F20+F25)*1.933+(F26+F31)*0.373+(F27+F32)*0.62+(F28+F33)*0.9+(F29+F34)*1.333+(F30+F35)*2.253+(F36+F46)*0.008+(F37+F47)*0.01133+(F38+F39+F48+F49)*0.01667+(F40+F50)*0.02367+(F41+F51)*0.029+(F42+F52)*0.0325+(F43+F53)*0.03833+(F44+F54)*0.04883+(F45+F55)*0.06667+F56*2.95+F57*4.08+F58*5+F59*6.7</f>
        <v>10.41</v>
      </c>
      <c r="G172" s="1249">
        <f t="shared" ref="G172:R172" si="41">(G10+G13)*0.18+(G11+G12+G14+G15)*0.347+(G16+G21)*0.36+(G17+G22)*0.533+(G18+G23)*0.8+(G19+G24)*1.133+(G20+G25)*1.933+(G26+G31)*0.373+(G27+G32)*0.62+(G28+G33)*0.9+(G29+G34)*1.333+(G30+G35)*2.253+(G36+G46)*0.008+(G37+G47)*0.01133+(G38+G39+G48+G49)*0.01667+(G40+G50)*0.02367+(G41+G51)*0.029+(G42+G52)*0.0325+(G43+G53)*0.03833+(G44+G54)*0.04883+(G45+G55)*0.06667+G56*2.95+G57*4.08+G58*5+G59*6.7</f>
        <v>17.349999999999998</v>
      </c>
      <c r="H172" s="1249">
        <f t="shared" si="41"/>
        <v>8.6749999999999989</v>
      </c>
      <c r="I172" s="1249">
        <f t="shared" si="41"/>
        <v>15.614999999999998</v>
      </c>
      <c r="J172" s="1249"/>
      <c r="K172" s="1249"/>
      <c r="L172" s="1249"/>
      <c r="M172" s="1249"/>
      <c r="N172" s="1250"/>
      <c r="O172" s="1249">
        <f t="shared" si="41"/>
        <v>13.879999999999999</v>
      </c>
      <c r="P172" s="1249">
        <f t="shared" si="41"/>
        <v>8.6749999999999989</v>
      </c>
      <c r="Q172" s="1249">
        <f t="shared" si="41"/>
        <v>15.614999999999998</v>
      </c>
      <c r="R172" s="1249">
        <f t="shared" si="41"/>
        <v>15.614999999999998</v>
      </c>
      <c r="S172" s="1249">
        <f>(S10+S13)*0.18+(S11+S12+S14+S15)*0.347+(S16+S21)*0.36+(S17+S22)*0.533+(S18+S23)*0.8+(S19+S24)*1.133+(S20+S25)*1.933+(S26+S31)*0.373+(S27+S32)*0.62+(S28+S33)*0.9+(S29+S34)*1.333+(S30+S35)*2.253+(S36+S46)*0.008+(S37+S47)*0.01133+(S38+S39+S48+S49)*0.01667+(S40+S50)*0.02367+(S41+S51)*0.029+(S42+S52)*0.0325+(S43+S53)*0.03833+(S44+S54)*0.04883+(S45+S55)*0.06667+S56*2.95+S57*4.08+S58*5+S59*6.7</f>
        <v>0</v>
      </c>
      <c r="T172" s="1251"/>
      <c r="U172" s="1251"/>
      <c r="V172" s="1251"/>
      <c r="W172" s="1251"/>
      <c r="X172" s="1251"/>
      <c r="Y172" s="1251"/>
      <c r="Z172" s="1251"/>
      <c r="AA172" s="1251"/>
      <c r="AB172" s="1251"/>
      <c r="AC172" s="1251"/>
      <c r="AD172" s="1251"/>
      <c r="AE172" s="1251"/>
      <c r="AF172" s="1249">
        <f>+AF134+AF145+AF149</f>
        <v>0</v>
      </c>
      <c r="AG172" s="1249">
        <f>+AG134+AG145+AG149</f>
        <v>0</v>
      </c>
      <c r="AH172" s="1249">
        <f>+AH134+AH145+AH149</f>
        <v>0</v>
      </c>
      <c r="AI172" s="1252"/>
      <c r="AJ172" s="745"/>
      <c r="AK172" s="745"/>
      <c r="AL172" s="1141"/>
      <c r="AM172" s="1141"/>
      <c r="AN172" s="1141"/>
      <c r="AO172" s="1141"/>
      <c r="AP172" s="1141"/>
      <c r="AQ172" s="1141"/>
      <c r="AR172" s="1141"/>
      <c r="AS172" s="1141"/>
      <c r="AT172" s="1141"/>
      <c r="AU172" s="1141"/>
      <c r="AV172" s="1141"/>
      <c r="AW172" s="1141"/>
      <c r="AX172" s="1141"/>
      <c r="AY172" s="1141"/>
      <c r="AZ172" s="1141"/>
      <c r="BA172" s="1141"/>
      <c r="BB172" s="1141"/>
      <c r="BC172" s="1141"/>
      <c r="BD172" s="1141"/>
      <c r="BE172" s="1141"/>
      <c r="BF172" s="1141"/>
      <c r="BG172" s="1141"/>
      <c r="BH172" s="1141"/>
      <c r="BI172" s="1141"/>
      <c r="BJ172" s="1141"/>
      <c r="BK172" s="1141"/>
      <c r="BL172" s="1141"/>
      <c r="BM172" s="1141"/>
      <c r="BN172" s="1141"/>
      <c r="BO172" s="1141"/>
      <c r="BP172" s="1141"/>
      <c r="BQ172" s="1141"/>
      <c r="BR172" s="1141"/>
      <c r="BS172" s="1141"/>
      <c r="BT172" s="1141"/>
    </row>
    <row r="173" spans="1:72" ht="50.1" hidden="1" customHeight="1" thickBot="1">
      <c r="A173" s="2696"/>
      <c r="B173" s="2589" t="s">
        <v>1400</v>
      </c>
      <c r="C173" s="2590"/>
      <c r="D173" s="790"/>
      <c r="E173" s="791"/>
      <c r="F173" s="874"/>
      <c r="G173" s="874"/>
      <c r="H173" s="874"/>
      <c r="I173" s="874"/>
      <c r="J173" s="874"/>
      <c r="K173" s="874"/>
      <c r="L173" s="874"/>
      <c r="M173" s="874"/>
      <c r="N173" s="1258"/>
      <c r="O173" s="874"/>
      <c r="P173" s="874"/>
      <c r="Q173" s="874"/>
      <c r="R173" s="874"/>
      <c r="S173" s="874"/>
      <c r="T173" s="874"/>
      <c r="U173" s="874"/>
      <c r="V173" s="874"/>
      <c r="W173" s="874"/>
      <c r="X173" s="874"/>
      <c r="Y173" s="874"/>
      <c r="Z173" s="874"/>
      <c r="AA173" s="874"/>
      <c r="AB173" s="874"/>
      <c r="AC173" s="874"/>
      <c r="AD173" s="874"/>
      <c r="AE173" s="874"/>
      <c r="AF173" s="874"/>
      <c r="AG173" s="874"/>
      <c r="AH173" s="874"/>
      <c r="AI173" s="1259"/>
      <c r="AJ173" s="745">
        <f>SUM(F173:AI173)</f>
        <v>0</v>
      </c>
      <c r="AK173" s="745"/>
      <c r="AL173" s="1141"/>
      <c r="AM173" s="1141"/>
      <c r="AN173" s="1141"/>
      <c r="AO173" s="1141"/>
      <c r="AP173" s="1141"/>
      <c r="AQ173" s="1141"/>
      <c r="AR173" s="1141"/>
      <c r="AS173" s="1141"/>
      <c r="AT173" s="1141"/>
      <c r="AU173" s="1141"/>
      <c r="AV173" s="1141"/>
      <c r="AW173" s="1141"/>
      <c r="AX173" s="1141"/>
      <c r="AY173" s="1141"/>
      <c r="AZ173" s="1141"/>
      <c r="BA173" s="1141"/>
      <c r="BB173" s="1141"/>
      <c r="BC173" s="1141"/>
      <c r="BD173" s="1141"/>
      <c r="BE173" s="1141"/>
      <c r="BF173" s="1141"/>
      <c r="BG173" s="1141"/>
      <c r="BH173" s="1141"/>
      <c r="BI173" s="1141"/>
      <c r="BJ173" s="1141"/>
      <c r="BK173" s="1141"/>
      <c r="BL173" s="1141"/>
      <c r="BM173" s="1141"/>
      <c r="BN173" s="1141"/>
      <c r="BO173" s="1141"/>
      <c r="BP173" s="1141"/>
      <c r="BQ173" s="1141"/>
      <c r="BR173" s="1141"/>
      <c r="BS173" s="1141"/>
      <c r="BT173" s="1141"/>
    </row>
    <row r="174" spans="1:72" ht="18.75">
      <c r="AL174" s="1141"/>
      <c r="AM174" s="1141"/>
      <c r="AN174" s="1141"/>
      <c r="AO174" s="1141"/>
      <c r="AP174" s="1141"/>
      <c r="AQ174" s="1141"/>
      <c r="AR174" s="1141"/>
      <c r="AS174" s="1141"/>
      <c r="AT174" s="1141"/>
      <c r="AU174" s="1141"/>
      <c r="AV174" s="1141"/>
      <c r="AW174" s="1141"/>
      <c r="AX174" s="1141"/>
      <c r="AY174" s="1141"/>
      <c r="AZ174" s="1141"/>
      <c r="BA174" s="1141"/>
      <c r="BB174" s="1141"/>
      <c r="BC174" s="1141"/>
      <c r="BD174" s="1141"/>
      <c r="BE174" s="1141"/>
      <c r="BF174" s="1141"/>
      <c r="BG174" s="1141"/>
      <c r="BH174" s="1141"/>
      <c r="BI174" s="1141"/>
      <c r="BJ174" s="1141"/>
      <c r="BK174" s="1141"/>
      <c r="BL174" s="1141"/>
      <c r="BM174" s="1141"/>
      <c r="BN174" s="1141"/>
      <c r="BO174" s="1141"/>
      <c r="BP174" s="1141"/>
      <c r="BQ174" s="1141"/>
      <c r="BR174" s="1141"/>
      <c r="BS174" s="1141"/>
      <c r="BT174" s="1141"/>
    </row>
    <row r="175" spans="1:72" ht="18.75">
      <c r="C175" s="746"/>
      <c r="E175" s="746"/>
      <c r="AL175" s="1141"/>
      <c r="AM175" s="1141"/>
      <c r="AN175" s="1141"/>
      <c r="AO175" s="1141"/>
      <c r="AP175" s="1141"/>
      <c r="AQ175" s="1141"/>
      <c r="AR175" s="1141"/>
      <c r="AS175" s="1141"/>
      <c r="AT175" s="1141"/>
      <c r="AU175" s="1141"/>
      <c r="AV175" s="1141"/>
      <c r="AW175" s="1141"/>
      <c r="AX175" s="1141"/>
      <c r="AY175" s="1141"/>
      <c r="AZ175" s="1141"/>
      <c r="BA175" s="1141"/>
      <c r="BB175" s="1141"/>
      <c r="BC175" s="1141"/>
      <c r="BD175" s="1141"/>
      <c r="BE175" s="1141"/>
      <c r="BF175" s="1141"/>
      <c r="BG175" s="1141"/>
      <c r="BH175" s="1141"/>
      <c r="BI175" s="1141"/>
      <c r="BJ175" s="1141"/>
      <c r="BK175" s="1141"/>
      <c r="BL175" s="1141"/>
      <c r="BM175" s="1141"/>
      <c r="BN175" s="1141"/>
      <c r="BO175" s="1141"/>
      <c r="BP175" s="1141"/>
      <c r="BQ175" s="1141"/>
      <c r="BR175" s="1141"/>
      <c r="BS175" s="1141"/>
      <c r="BT175" s="1141"/>
    </row>
    <row r="176" spans="1:72" s="786" customFormat="1" ht="18.75">
      <c r="D176" s="748"/>
      <c r="AL176" s="1141"/>
      <c r="AM176" s="1141"/>
      <c r="AN176" s="1141"/>
      <c r="AO176" s="1141"/>
      <c r="AP176" s="1141"/>
      <c r="AQ176" s="1141"/>
      <c r="AR176" s="1141"/>
      <c r="AS176" s="1141"/>
      <c r="AT176" s="1141"/>
      <c r="AU176" s="1141"/>
      <c r="AV176" s="1141"/>
      <c r="AW176" s="1141"/>
      <c r="AX176" s="1141"/>
      <c r="AY176" s="1141"/>
      <c r="AZ176" s="1141"/>
      <c r="BA176" s="1141"/>
      <c r="BB176" s="1141"/>
      <c r="BC176" s="1141"/>
      <c r="BD176" s="1141"/>
      <c r="BE176" s="1141"/>
      <c r="BF176" s="1141"/>
      <c r="BG176" s="1141"/>
      <c r="BH176" s="1141"/>
      <c r="BI176" s="1141"/>
      <c r="BJ176" s="1141"/>
      <c r="BK176" s="1141"/>
      <c r="BL176" s="1141"/>
      <c r="BM176" s="1141"/>
      <c r="BN176" s="1141"/>
      <c r="BO176" s="1141"/>
      <c r="BP176" s="1141"/>
      <c r="BQ176" s="1141"/>
      <c r="BR176" s="1141"/>
      <c r="BS176" s="1141"/>
      <c r="BT176" s="1141"/>
    </row>
    <row r="187" spans="5:5" ht="19.5" customHeight="1">
      <c r="E187" s="786" t="s">
        <v>1933</v>
      </c>
    </row>
  </sheetData>
  <autoFilter ref="A1:AJ173" xr:uid="{00000000-0001-0000-1300-000000000000}">
    <filterColumn colId="1" showButton="0"/>
    <filterColumn colId="35">
      <customFilters>
        <customFilter operator="notEqual" val=" "/>
      </customFilters>
    </filterColumn>
  </autoFilter>
  <mergeCells count="53">
    <mergeCell ref="BS5:BS7"/>
    <mergeCell ref="B6:C6"/>
    <mergeCell ref="B7:C7"/>
    <mergeCell ref="B8:C8"/>
    <mergeCell ref="A1:A173"/>
    <mergeCell ref="B1:C1"/>
    <mergeCell ref="B2:C2"/>
    <mergeCell ref="B3:B5"/>
    <mergeCell ref="AL5:AT5"/>
    <mergeCell ref="AU5:BC5"/>
    <mergeCell ref="B9:C9"/>
    <mergeCell ref="B10:B12"/>
    <mergeCell ref="B13:B15"/>
    <mergeCell ref="B16:B17"/>
    <mergeCell ref="B46:B55"/>
    <mergeCell ref="BD5:BJ5"/>
    <mergeCell ref="BK5:BK8"/>
    <mergeCell ref="BL5:BQ5"/>
    <mergeCell ref="BR5:BR7"/>
    <mergeCell ref="B18:B20"/>
    <mergeCell ref="B21:B25"/>
    <mergeCell ref="B26:B30"/>
    <mergeCell ref="B31:B35"/>
    <mergeCell ref="B36:B45"/>
    <mergeCell ref="B89:C89"/>
    <mergeCell ref="B56:B59"/>
    <mergeCell ref="B60:B66"/>
    <mergeCell ref="B67:B75"/>
    <mergeCell ref="B76:B81"/>
    <mergeCell ref="B82:C82"/>
    <mergeCell ref="B83:C83"/>
    <mergeCell ref="B84:C84"/>
    <mergeCell ref="B85:C85"/>
    <mergeCell ref="B86:C86"/>
    <mergeCell ref="B87:C87"/>
    <mergeCell ref="B88:C88"/>
    <mergeCell ref="B145:B148"/>
    <mergeCell ref="B90:C90"/>
    <mergeCell ref="B91:C91"/>
    <mergeCell ref="B92:C92"/>
    <mergeCell ref="B93:B94"/>
    <mergeCell ref="B95:B96"/>
    <mergeCell ref="B97:B98"/>
    <mergeCell ref="B99:B103"/>
    <mergeCell ref="B104:B112"/>
    <mergeCell ref="B113:B122"/>
    <mergeCell ref="B123:B133"/>
    <mergeCell ref="B134:B144"/>
    <mergeCell ref="B149:B151"/>
    <mergeCell ref="B152:C152"/>
    <mergeCell ref="B153:B162"/>
    <mergeCell ref="B163:B172"/>
    <mergeCell ref="B173:C173"/>
  </mergeCells>
  <conditionalFormatting sqref="F2:AE8 F10:V173">
    <cfRule type="cellIs" dxfId="78" priority="1" operator="lessThan">
      <formula>0</formula>
    </cfRule>
  </conditionalFormatting>
  <conditionalFormatting sqref="AF2:AI4 AF5:AH5 AF6:AI84 W10:AE84 D60:E93 W85:AI92 W93:AE171 W172:AI172 W173:AH173">
    <cfRule type="cellIs" dxfId="77" priority="4" operator="lessThan">
      <formula>0</formula>
    </cfRule>
  </conditionalFormatting>
  <conditionalFormatting sqref="AF93:AI172">
    <cfRule type="cellIs" dxfId="76" priority="2" operator="lessThan">
      <formula>0</formula>
    </cfRule>
  </conditionalFormatting>
  <conditionalFormatting sqref="AI170:AI172">
    <cfRule type="cellIs" dxfId="75" priority="3" operator="lessThan">
      <formula>0</formula>
    </cfRule>
  </conditionalFormatting>
  <hyperlinks>
    <hyperlink ref="B1:C1" location="PAINEL!A1" display="TRECHOS" xr:uid="{22D8BB15-66FD-4DEB-92D3-BA322B5E2BD0}"/>
  </hyperlinks>
  <pageMargins left="0.39370078740157477" right="0.59055118110236215" top="0.39370078740157477" bottom="0.59055118110236215" header="0.31496062992125984" footer="0.23622047244094491"/>
  <pageSetup paperSize="9" scale="47" fitToWidth="6" orientation="landscape" r:id="rId1"/>
  <headerFooter>
    <oddFooter>&amp;C&amp;8Página &amp;P/&amp;N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0C7ED-8226-4A56-9B47-DC296DF56613}">
  <sheetPr codeName="Planilha29" filterMode="1">
    <tabColor rgb="FF92D050"/>
    <pageSetUpPr fitToPage="1"/>
  </sheetPr>
  <dimension ref="A1:W120"/>
  <sheetViews>
    <sheetView showZeros="0" zoomScaleNormal="100" workbookViewId="0">
      <selection sqref="A1:A119"/>
    </sheetView>
  </sheetViews>
  <sheetFormatPr defaultColWidth="9" defaultRowHeight="18.75"/>
  <cols>
    <col min="1" max="1" width="9.75" style="746" customWidth="1"/>
    <col min="2" max="2" width="13.5" style="1145" customWidth="1"/>
    <col min="3" max="3" width="27.375" style="1145" customWidth="1"/>
    <col min="4" max="4" width="4.25" style="748" hidden="1" customWidth="1"/>
    <col min="5" max="5" width="18.75" style="786" hidden="1" customWidth="1"/>
    <col min="6" max="8" width="12.625" style="746" customWidth="1"/>
    <col min="9" max="9" width="12.625" style="948" customWidth="1"/>
    <col min="10" max="10" width="18.125" style="746" customWidth="1"/>
    <col min="11" max="14" width="15.625" style="746" customWidth="1"/>
    <col min="15" max="20" width="9" style="746"/>
    <col min="21" max="21" width="10" style="746" customWidth="1"/>
    <col min="22" max="16384" width="9" style="746"/>
  </cols>
  <sheetData>
    <row r="1" spans="1:11" s="739" customFormat="1" ht="60" customHeight="1" thickTop="1" thickBot="1">
      <c r="A1" s="2571" t="s">
        <v>1934</v>
      </c>
      <c r="B1" s="2591" t="s">
        <v>1467</v>
      </c>
      <c r="C1" s="2592"/>
      <c r="D1" s="1260"/>
      <c r="E1" s="1098" t="s">
        <v>1935</v>
      </c>
      <c r="F1" s="671">
        <f>+Pav_Dados!G1</f>
        <v>0</v>
      </c>
      <c r="G1" s="671">
        <f>+Pav_Dados!H1</f>
        <v>0</v>
      </c>
      <c r="H1" s="1261"/>
      <c r="I1" s="1262"/>
      <c r="J1" s="738" t="s">
        <v>1708</v>
      </c>
      <c r="K1" s="739">
        <f>SUBTOTAL(3,J:J)</f>
        <v>4</v>
      </c>
    </row>
    <row r="2" spans="1:11" ht="20.25" hidden="1" thickTop="1" thickBot="1">
      <c r="A2" s="2572"/>
      <c r="B2" s="2717" t="s">
        <v>1539</v>
      </c>
      <c r="C2" s="2718"/>
      <c r="D2" s="1263"/>
      <c r="E2" s="1264"/>
      <c r="F2" s="879"/>
      <c r="G2" s="879"/>
      <c r="H2" s="1265"/>
      <c r="I2" s="1266"/>
      <c r="J2" s="745">
        <f t="shared" ref="J2:J33" si="0">SUM(F2:I2)</f>
        <v>0</v>
      </c>
    </row>
    <row r="3" spans="1:11" ht="20.25" hidden="1" thickTop="1" thickBot="1">
      <c r="A3" s="2572"/>
      <c r="B3" s="2705" t="s">
        <v>1936</v>
      </c>
      <c r="C3" s="2705"/>
      <c r="D3" s="1267"/>
      <c r="E3" s="1268"/>
      <c r="F3" s="1269"/>
      <c r="G3" s="1269"/>
      <c r="H3" s="1270"/>
      <c r="I3" s="1271"/>
      <c r="J3" s="745">
        <f t="shared" si="0"/>
        <v>0</v>
      </c>
    </row>
    <row r="4" spans="1:11" ht="20.25" hidden="1" thickTop="1" thickBot="1">
      <c r="A4" s="2572"/>
      <c r="B4" s="2719" t="s">
        <v>1937</v>
      </c>
      <c r="C4" s="1272" t="s">
        <v>1938</v>
      </c>
      <c r="D4" s="1273"/>
      <c r="E4" s="1274" t="s">
        <v>236</v>
      </c>
      <c r="F4" s="1275"/>
      <c r="G4" s="1275"/>
      <c r="H4" s="1276"/>
      <c r="I4" s="1277"/>
      <c r="J4" s="745">
        <f t="shared" si="0"/>
        <v>0</v>
      </c>
    </row>
    <row r="5" spans="1:11" ht="20.25" hidden="1" thickTop="1" thickBot="1">
      <c r="A5" s="2572"/>
      <c r="B5" s="2720"/>
      <c r="C5" s="1278" t="s">
        <v>1939</v>
      </c>
      <c r="D5" s="1279"/>
      <c r="E5" s="786" t="s">
        <v>237</v>
      </c>
      <c r="F5" s="1280"/>
      <c r="G5" s="1280"/>
      <c r="H5" s="1281"/>
      <c r="I5" s="910"/>
      <c r="J5" s="745">
        <f t="shared" si="0"/>
        <v>0</v>
      </c>
    </row>
    <row r="6" spans="1:11" ht="39.950000000000003" hidden="1" customHeight="1" thickBot="1">
      <c r="A6" s="2572"/>
      <c r="B6" s="2721"/>
      <c r="C6" s="1282" t="s">
        <v>1940</v>
      </c>
      <c r="D6" s="1283"/>
      <c r="E6" s="1284" t="s">
        <v>238</v>
      </c>
      <c r="F6" s="1285"/>
      <c r="G6" s="1285"/>
      <c r="H6" s="1286"/>
      <c r="I6" s="912"/>
      <c r="J6" s="745">
        <f t="shared" si="0"/>
        <v>0</v>
      </c>
    </row>
    <row r="7" spans="1:11" s="714" customFormat="1" ht="20.25" hidden="1" thickTop="1" thickBot="1">
      <c r="A7" s="2572"/>
      <c r="B7" s="2719" t="s">
        <v>1941</v>
      </c>
      <c r="C7" s="1272" t="s">
        <v>1942</v>
      </c>
      <c r="D7" s="1279"/>
      <c r="E7" s="1274" t="s">
        <v>239</v>
      </c>
      <c r="F7" s="1275"/>
      <c r="G7" s="1275"/>
      <c r="H7" s="1276"/>
      <c r="I7" s="1277"/>
      <c r="J7" s="745">
        <f t="shared" si="0"/>
        <v>0</v>
      </c>
    </row>
    <row r="8" spans="1:11" ht="20.25" hidden="1" thickTop="1" thickBot="1">
      <c r="A8" s="2572"/>
      <c r="B8" s="2721"/>
      <c r="C8" s="1282" t="s">
        <v>1943</v>
      </c>
      <c r="D8" s="1283"/>
      <c r="E8" s="1284" t="s">
        <v>240</v>
      </c>
      <c r="F8" s="1285"/>
      <c r="G8" s="1285"/>
      <c r="H8" s="1286"/>
      <c r="I8" s="912"/>
      <c r="J8" s="745">
        <f t="shared" si="0"/>
        <v>0</v>
      </c>
    </row>
    <row r="9" spans="1:11" ht="20.25" hidden="1" thickTop="1" thickBot="1">
      <c r="A9" s="2572"/>
      <c r="B9" s="2711" t="s">
        <v>1944</v>
      </c>
      <c r="C9" s="740" t="s">
        <v>1945</v>
      </c>
      <c r="D9" s="1287"/>
      <c r="E9" s="1274"/>
      <c r="F9" s="905">
        <f t="shared" ref="F9:G11" si="1">F4*0.04</f>
        <v>0</v>
      </c>
      <c r="G9" s="905">
        <f t="shared" si="1"/>
        <v>0</v>
      </c>
      <c r="H9" s="1288"/>
      <c r="I9" s="1266"/>
      <c r="J9" s="745">
        <f t="shared" si="0"/>
        <v>0</v>
      </c>
    </row>
    <row r="10" spans="1:11" ht="20.25" hidden="1" thickTop="1" thickBot="1">
      <c r="A10" s="2572"/>
      <c r="B10" s="2716"/>
      <c r="C10" s="747" t="s">
        <v>1946</v>
      </c>
      <c r="D10" s="1289"/>
      <c r="F10" s="908">
        <f t="shared" si="1"/>
        <v>0</v>
      </c>
      <c r="G10" s="908">
        <f t="shared" si="1"/>
        <v>0</v>
      </c>
      <c r="H10" s="1290"/>
      <c r="I10" s="1266"/>
      <c r="J10" s="745">
        <f t="shared" si="0"/>
        <v>0</v>
      </c>
    </row>
    <row r="11" spans="1:11" ht="20.25" hidden="1" thickTop="1" thickBot="1">
      <c r="A11" s="2572"/>
      <c r="B11" s="2716"/>
      <c r="C11" s="747" t="s">
        <v>1947</v>
      </c>
      <c r="D11" s="1289"/>
      <c r="F11" s="908">
        <f t="shared" si="1"/>
        <v>0</v>
      </c>
      <c r="G11" s="908">
        <f t="shared" si="1"/>
        <v>0</v>
      </c>
      <c r="H11" s="1290"/>
      <c r="I11" s="1266"/>
      <c r="J11" s="745">
        <f t="shared" si="0"/>
        <v>0</v>
      </c>
    </row>
    <row r="12" spans="1:11" ht="20.25" hidden="1" thickTop="1" thickBot="1">
      <c r="A12" s="2572"/>
      <c r="B12" s="2716"/>
      <c r="C12" s="747" t="s">
        <v>1948</v>
      </c>
      <c r="D12" s="1289"/>
      <c r="F12" s="908">
        <f>F7*0.25</f>
        <v>0</v>
      </c>
      <c r="G12" s="908">
        <f>G7*0.25</f>
        <v>0</v>
      </c>
      <c r="H12" s="1290"/>
      <c r="I12" s="1266"/>
      <c r="J12" s="745">
        <f t="shared" si="0"/>
        <v>0</v>
      </c>
    </row>
    <row r="13" spans="1:11" ht="20.25" hidden="1" thickTop="1" thickBot="1">
      <c r="A13" s="2572"/>
      <c r="B13" s="2716"/>
      <c r="C13" s="747" t="s">
        <v>1949</v>
      </c>
      <c r="D13" s="1289"/>
      <c r="F13" s="908">
        <f>F8*0.5</f>
        <v>0</v>
      </c>
      <c r="G13" s="908">
        <f>G8*0.5</f>
        <v>0</v>
      </c>
      <c r="H13" s="1290"/>
      <c r="I13" s="1266"/>
      <c r="J13" s="745">
        <f t="shared" si="0"/>
        <v>0</v>
      </c>
    </row>
    <row r="14" spans="1:11" ht="20.25" hidden="1" thickTop="1" thickBot="1">
      <c r="A14" s="2572"/>
      <c r="B14" s="2712"/>
      <c r="C14" s="754" t="s">
        <v>1751</v>
      </c>
      <c r="D14" s="1291"/>
      <c r="E14" s="1284"/>
      <c r="F14" s="901">
        <f>SUM(F9:F13)</f>
        <v>0</v>
      </c>
      <c r="G14" s="901">
        <f>SUM(G9:G13)</f>
        <v>0</v>
      </c>
      <c r="H14" s="1292"/>
      <c r="I14" s="912"/>
      <c r="J14" s="745">
        <f t="shared" si="0"/>
        <v>0</v>
      </c>
    </row>
    <row r="15" spans="1:11" ht="20.25" hidden="1" thickTop="1" thickBot="1">
      <c r="A15" s="2572"/>
      <c r="B15" s="2705" t="s">
        <v>1950</v>
      </c>
      <c r="C15" s="2705"/>
      <c r="D15" s="1267"/>
      <c r="E15" s="1268"/>
      <c r="F15" s="1269"/>
      <c r="G15" s="1269"/>
      <c r="H15" s="1270"/>
      <c r="I15" s="1271"/>
      <c r="J15" s="745">
        <f t="shared" si="0"/>
        <v>0</v>
      </c>
    </row>
    <row r="16" spans="1:11" ht="20.25" hidden="1" thickTop="1" thickBot="1">
      <c r="A16" s="2572"/>
      <c r="B16" s="2708" t="s">
        <v>1403</v>
      </c>
      <c r="C16" s="740" t="s">
        <v>1951</v>
      </c>
      <c r="D16" s="1273"/>
      <c r="E16" s="1274"/>
      <c r="F16" s="905">
        <f>SUM(F17:F19)</f>
        <v>0</v>
      </c>
      <c r="G16" s="905">
        <f>SUM(G17:G19)</f>
        <v>0</v>
      </c>
      <c r="H16" s="1293"/>
      <c r="I16" s="1294"/>
      <c r="J16" s="745">
        <f t="shared" si="0"/>
        <v>0</v>
      </c>
    </row>
    <row r="17" spans="1:10" ht="20.25" hidden="1" thickTop="1" thickBot="1">
      <c r="A17" s="2572"/>
      <c r="B17" s="2720"/>
      <c r="C17" s="763" t="s">
        <v>1952</v>
      </c>
      <c r="D17" s="1279"/>
      <c r="F17" s="1280"/>
      <c r="G17" s="1280"/>
      <c r="H17" s="1281"/>
      <c r="I17" s="1266"/>
      <c r="J17" s="745">
        <f t="shared" si="0"/>
        <v>0</v>
      </c>
    </row>
    <row r="18" spans="1:10" ht="20.25" hidden="1" thickTop="1" thickBot="1">
      <c r="A18" s="2572"/>
      <c r="B18" s="2720"/>
      <c r="C18" s="747" t="s">
        <v>1953</v>
      </c>
      <c r="D18" s="1279"/>
      <c r="F18" s="1280"/>
      <c r="G18" s="1280"/>
      <c r="H18" s="1281"/>
      <c r="I18" s="910"/>
      <c r="J18" s="745">
        <f t="shared" si="0"/>
        <v>0</v>
      </c>
    </row>
    <row r="19" spans="1:10" ht="20.25" hidden="1" thickTop="1" thickBot="1">
      <c r="A19" s="2572"/>
      <c r="B19" s="2709"/>
      <c r="C19" s="754" t="s">
        <v>1954</v>
      </c>
      <c r="D19" s="1283"/>
      <c r="E19" s="1284"/>
      <c r="F19" s="1285"/>
      <c r="G19" s="1285"/>
      <c r="H19" s="1286"/>
      <c r="I19" s="912"/>
      <c r="J19" s="745">
        <f t="shared" si="0"/>
        <v>0</v>
      </c>
    </row>
    <row r="20" spans="1:10" ht="20.25" hidden="1" thickTop="1" thickBot="1">
      <c r="A20" s="2572"/>
      <c r="B20" s="2660" t="s">
        <v>1955</v>
      </c>
      <c r="C20" s="740" t="s">
        <v>1956</v>
      </c>
      <c r="D20" s="1279"/>
      <c r="F20" s="1280"/>
      <c r="G20" s="1280"/>
      <c r="H20" s="1281"/>
      <c r="I20" s="1295"/>
      <c r="J20" s="745">
        <f t="shared" si="0"/>
        <v>0</v>
      </c>
    </row>
    <row r="21" spans="1:10" ht="20.25" hidden="1" thickTop="1" thickBot="1">
      <c r="A21" s="2572"/>
      <c r="B21" s="2661"/>
      <c r="C21" s="747" t="s">
        <v>1957</v>
      </c>
      <c r="D21" s="1279"/>
      <c r="F21" s="1280"/>
      <c r="G21" s="1280"/>
      <c r="H21" s="1281"/>
      <c r="I21" s="1295"/>
      <c r="J21" s="745">
        <f t="shared" si="0"/>
        <v>0</v>
      </c>
    </row>
    <row r="22" spans="1:10" ht="20.25" hidden="1" thickTop="1" thickBot="1">
      <c r="A22" s="2572"/>
      <c r="B22" s="2661"/>
      <c r="C22" s="747" t="s">
        <v>1743</v>
      </c>
      <c r="D22" s="1279"/>
      <c r="F22" s="908">
        <f>F20-F21</f>
        <v>0</v>
      </c>
      <c r="G22" s="908">
        <f>G20-G21</f>
        <v>0</v>
      </c>
      <c r="H22" s="922"/>
      <c r="I22" s="1295"/>
      <c r="J22" s="745">
        <f t="shared" si="0"/>
        <v>0</v>
      </c>
    </row>
    <row r="23" spans="1:10" ht="20.25" hidden="1" thickTop="1" thickBot="1">
      <c r="A23" s="2572"/>
      <c r="B23" s="2661"/>
      <c r="C23" s="747" t="s">
        <v>1958</v>
      </c>
      <c r="D23" s="1279"/>
      <c r="F23" s="1296"/>
      <c r="G23" s="1296"/>
      <c r="H23" s="1297"/>
      <c r="I23" s="1295"/>
      <c r="J23" s="745">
        <f t="shared" si="0"/>
        <v>0</v>
      </c>
    </row>
    <row r="24" spans="1:10" ht="20.25" hidden="1" thickTop="1" thickBot="1">
      <c r="A24" s="2572"/>
      <c r="B24" s="2662"/>
      <c r="C24" s="754" t="s">
        <v>1959</v>
      </c>
      <c r="D24" s="1283"/>
      <c r="E24" s="1298" t="s">
        <v>1960</v>
      </c>
      <c r="F24" s="1299"/>
      <c r="G24" s="1299"/>
      <c r="H24" s="1300"/>
      <c r="I24" s="1301"/>
      <c r="J24" s="745">
        <f t="shared" si="0"/>
        <v>0</v>
      </c>
    </row>
    <row r="25" spans="1:10" ht="20.25" hidden="1" thickTop="1" thickBot="1">
      <c r="A25" s="2572"/>
      <c r="B25" s="2660" t="s">
        <v>1737</v>
      </c>
      <c r="C25" s="1302" t="s">
        <v>1961</v>
      </c>
      <c r="D25" s="1279"/>
      <c r="E25" s="1303" t="s">
        <v>1962</v>
      </c>
      <c r="F25" s="1280"/>
      <c r="G25" s="1280"/>
      <c r="H25" s="1281"/>
      <c r="I25" s="1295"/>
      <c r="J25" s="745">
        <f t="shared" si="0"/>
        <v>0</v>
      </c>
    </row>
    <row r="26" spans="1:10" ht="20.25" hidden="1" thickTop="1" thickBot="1">
      <c r="A26" s="2572"/>
      <c r="B26" s="2661"/>
      <c r="C26" s="1304" t="s">
        <v>1963</v>
      </c>
      <c r="D26" s="1279"/>
      <c r="F26" s="908">
        <f>IF(F22=0,0,F25+2*F22/10)</f>
        <v>0</v>
      </c>
      <c r="G26" s="908">
        <f>IF(G22=0,0,G25+2*G22/10)</f>
        <v>0</v>
      </c>
      <c r="H26" s="922"/>
      <c r="I26" s="1295"/>
      <c r="J26" s="745">
        <f t="shared" si="0"/>
        <v>0</v>
      </c>
    </row>
    <row r="27" spans="1:10" ht="20.25" hidden="1" thickTop="1" thickBot="1">
      <c r="A27" s="2572"/>
      <c r="B27" s="2662"/>
      <c r="C27" s="1282" t="s">
        <v>1744</v>
      </c>
      <c r="D27" s="1283"/>
      <c r="E27" s="1284"/>
      <c r="F27" s="901">
        <f>IF(F20=0,0,IF(F24="V",F25,IF(F22=0,F21/F24*2+F25,F26+F21/F24*2)))</f>
        <v>0</v>
      </c>
      <c r="G27" s="901">
        <f>IF(G20=0,0,IF(G24="V",G25,IF(G22=0,G21/G24*2+G25,G26+G21/G24*2)))</f>
        <v>0</v>
      </c>
      <c r="H27" s="1305"/>
      <c r="I27" s="1301"/>
      <c r="J27" s="745">
        <f t="shared" si="0"/>
        <v>0</v>
      </c>
    </row>
    <row r="28" spans="1:10" ht="20.25" hidden="1" thickTop="1" thickBot="1">
      <c r="A28" s="2572"/>
      <c r="B28" s="2706" t="s">
        <v>1964</v>
      </c>
      <c r="C28" s="1302" t="s">
        <v>1965</v>
      </c>
      <c r="D28" s="1279"/>
      <c r="F28" s="908">
        <f>SUM(F29:F31)</f>
        <v>0</v>
      </c>
      <c r="G28" s="908">
        <f>SUM(G29:G31)</f>
        <v>0</v>
      </c>
      <c r="H28" s="922"/>
      <c r="I28" s="1277"/>
      <c r="J28" s="745">
        <f t="shared" si="0"/>
        <v>0</v>
      </c>
    </row>
    <row r="29" spans="1:10" ht="20.25" hidden="1" thickTop="1" thickBot="1">
      <c r="A29" s="2572"/>
      <c r="B29" s="2658"/>
      <c r="C29" s="1306" t="s">
        <v>1555</v>
      </c>
      <c r="D29" s="1279"/>
      <c r="F29" s="908">
        <f>(F26+F25)/2*F22*F16</f>
        <v>0</v>
      </c>
      <c r="G29" s="908">
        <f>(G26+G25)/2*G22*G16</f>
        <v>0</v>
      </c>
      <c r="H29" s="922"/>
      <c r="I29" s="910"/>
      <c r="J29" s="745">
        <f t="shared" si="0"/>
        <v>0</v>
      </c>
    </row>
    <row r="30" spans="1:10" ht="20.25" hidden="1" thickTop="1" thickBot="1">
      <c r="A30" s="2572"/>
      <c r="B30" s="2658"/>
      <c r="C30" s="1304" t="s">
        <v>1966</v>
      </c>
      <c r="D30" s="1279"/>
      <c r="F30" s="908">
        <f>IF(F31&gt;0,0,IF(F26=0,(F27+F25)/2*F20*F16,(F27+F26)/2*F21*F16))</f>
        <v>0</v>
      </c>
      <c r="G30" s="908">
        <f>IF(G31&gt;0,0,IF(G26=0,(G27+G25)/2*G20*G16,(G27+G26)/2*G21*G16))</f>
        <v>0</v>
      </c>
      <c r="H30" s="922"/>
      <c r="I30" s="910"/>
      <c r="J30" s="745">
        <f t="shared" si="0"/>
        <v>0</v>
      </c>
    </row>
    <row r="31" spans="1:10" ht="20.25" hidden="1" thickTop="1" thickBot="1">
      <c r="A31" s="2572"/>
      <c r="B31" s="2658"/>
      <c r="C31" s="1307" t="s">
        <v>1967</v>
      </c>
      <c r="D31" s="1279"/>
      <c r="F31" s="908">
        <f>IF(AND(F25&lt;0.4,F24="V"),IF(F26=0,(F27+F25)/2*F20*F16,(F27+F26)/2*F21*F16),0)</f>
        <v>0</v>
      </c>
      <c r="G31" s="908">
        <f>IF(AND(G25&lt;0.4,G24="V"),IF(G26=0,(G27+G25)/2*G20*G16,(G27+G26)/2*G21*G16),0)</f>
        <v>0</v>
      </c>
      <c r="H31" s="922"/>
      <c r="I31" s="910"/>
      <c r="J31" s="745">
        <f t="shared" si="0"/>
        <v>0</v>
      </c>
    </row>
    <row r="32" spans="1:10" ht="20.25" hidden="1" thickTop="1" thickBot="1">
      <c r="A32" s="2572"/>
      <c r="B32" s="2707"/>
      <c r="C32" s="1282" t="s">
        <v>1968</v>
      </c>
      <c r="D32" s="1283"/>
      <c r="E32" s="1284"/>
      <c r="F32" s="901">
        <f>(F30+F31)*5%</f>
        <v>0</v>
      </c>
      <c r="G32" s="901">
        <f>(G30+G31)*5%</f>
        <v>0</v>
      </c>
      <c r="H32" s="1305"/>
      <c r="I32" s="912"/>
      <c r="J32" s="745">
        <f t="shared" si="0"/>
        <v>0</v>
      </c>
    </row>
    <row r="33" spans="1:10" ht="20.25" hidden="1" thickTop="1" thickBot="1">
      <c r="A33" s="2572"/>
      <c r="B33" s="2706" t="s">
        <v>1969</v>
      </c>
      <c r="C33" s="740" t="s">
        <v>1539</v>
      </c>
      <c r="D33" s="1273"/>
      <c r="E33" s="1274"/>
      <c r="F33" s="905">
        <f>IF(AND(F24="V",F25&lt;0.4),0,IF(F24&gt;=5,F16,0))</f>
        <v>0</v>
      </c>
      <c r="G33" s="905">
        <f>IF(AND(G24="V",G25&lt;0.4),0,IF(G24&gt;=5,G16,0))</f>
        <v>0</v>
      </c>
      <c r="H33" s="1293"/>
      <c r="I33" s="910"/>
      <c r="J33" s="745">
        <f t="shared" si="0"/>
        <v>0</v>
      </c>
    </row>
    <row r="34" spans="1:10" ht="20.25" hidden="1" thickTop="1" thickBot="1">
      <c r="A34" s="2572"/>
      <c r="B34" s="2722"/>
      <c r="C34" s="747" t="s">
        <v>1787</v>
      </c>
      <c r="D34" s="1279"/>
      <c r="F34" s="908">
        <f>IF(F33=0,0,F21)</f>
        <v>0</v>
      </c>
      <c r="G34" s="908">
        <f>IF(G33=0,0,G21)</f>
        <v>0</v>
      </c>
      <c r="H34" s="922"/>
      <c r="I34" s="1295"/>
      <c r="J34" s="745">
        <f t="shared" ref="J34:J50" si="2">SUM(F34:I34)</f>
        <v>0</v>
      </c>
    </row>
    <row r="35" spans="1:10" ht="20.25" hidden="1" thickTop="1" thickBot="1">
      <c r="A35" s="2572"/>
      <c r="B35" s="2723"/>
      <c r="C35" s="754" t="s">
        <v>1970</v>
      </c>
      <c r="D35" s="1283"/>
      <c r="E35" s="1284"/>
      <c r="F35" s="901">
        <f>F34*F33*2</f>
        <v>0</v>
      </c>
      <c r="G35" s="901">
        <f>G34*G33*2</f>
        <v>0</v>
      </c>
      <c r="H35" s="1305"/>
      <c r="I35" s="912"/>
      <c r="J35" s="745">
        <f t="shared" si="2"/>
        <v>0</v>
      </c>
    </row>
    <row r="36" spans="1:10" ht="20.25" hidden="1" thickTop="1" thickBot="1">
      <c r="A36" s="2572"/>
      <c r="B36" s="2706" t="s">
        <v>1971</v>
      </c>
      <c r="C36" s="1306" t="s">
        <v>1972</v>
      </c>
      <c r="D36" s="1279"/>
      <c r="F36" s="908">
        <f>IF(F16=0,0,F41+F42+0.3+IF(F24="V",2*F40,2*(((F42-F41)/2)^2+F40^2)^(1/2)))</f>
        <v>0</v>
      </c>
      <c r="G36" s="908">
        <f>IF(G16=0,0,G41+G42+0.3+IF(G24="V",2*G40,2*(((G42-G41)/2)^2+G40^2)^(1/2)))</f>
        <v>0</v>
      </c>
      <c r="H36" s="922"/>
      <c r="I36" s="1308"/>
      <c r="J36" s="745">
        <f t="shared" si="2"/>
        <v>0</v>
      </c>
    </row>
    <row r="37" spans="1:10" ht="20.25" hidden="1" thickTop="1" thickBot="1">
      <c r="A37" s="2572"/>
      <c r="B37" s="2707"/>
      <c r="C37" s="754" t="s">
        <v>1693</v>
      </c>
      <c r="D37" s="1283"/>
      <c r="E37" s="1284"/>
      <c r="F37" s="901">
        <f>F36*F16</f>
        <v>0</v>
      </c>
      <c r="G37" s="901">
        <f>G36*G16</f>
        <v>0</v>
      </c>
      <c r="H37" s="1305"/>
      <c r="I37" s="912"/>
      <c r="J37" s="745">
        <f t="shared" si="2"/>
        <v>0</v>
      </c>
    </row>
    <row r="38" spans="1:10" ht="20.25" hidden="1" thickTop="1" thickBot="1">
      <c r="A38" s="2572"/>
      <c r="B38" s="2658" t="s">
        <v>1973</v>
      </c>
      <c r="C38" s="747" t="s">
        <v>1787</v>
      </c>
      <c r="D38" s="1279"/>
      <c r="F38" s="908"/>
      <c r="G38" s="908"/>
      <c r="H38" s="922"/>
      <c r="I38" s="1308"/>
      <c r="J38" s="745">
        <f t="shared" si="2"/>
        <v>0</v>
      </c>
    </row>
    <row r="39" spans="1:10" ht="20.25" hidden="1" thickTop="1" thickBot="1">
      <c r="A39" s="2572"/>
      <c r="B39" s="2707"/>
      <c r="C39" s="754" t="s">
        <v>1693</v>
      </c>
      <c r="D39" s="1283"/>
      <c r="E39" s="1284"/>
      <c r="F39" s="901">
        <f>F38*2*F16</f>
        <v>0</v>
      </c>
      <c r="G39" s="901">
        <f>G38*2*G16</f>
        <v>0</v>
      </c>
      <c r="H39" s="1305"/>
      <c r="I39" s="912"/>
      <c r="J39" s="745">
        <f t="shared" si="2"/>
        <v>0</v>
      </c>
    </row>
    <row r="40" spans="1:10" ht="20.25" hidden="1" thickTop="1" thickBot="1">
      <c r="A40" s="2572"/>
      <c r="B40" s="2711" t="s">
        <v>1974</v>
      </c>
      <c r="C40" s="747" t="s">
        <v>1975</v>
      </c>
      <c r="D40" s="1279"/>
      <c r="F40" s="1280"/>
      <c r="G40" s="1280"/>
      <c r="H40" s="1281"/>
      <c r="I40" s="1295"/>
      <c r="J40" s="745">
        <f t="shared" si="2"/>
        <v>0</v>
      </c>
    </row>
    <row r="41" spans="1:10" ht="20.25" hidden="1" thickTop="1" thickBot="1">
      <c r="A41" s="2572"/>
      <c r="B41" s="2716"/>
      <c r="C41" s="1306" t="s">
        <v>1976</v>
      </c>
      <c r="D41" s="1279"/>
      <c r="F41" s="908">
        <f>F25</f>
        <v>0</v>
      </c>
      <c r="G41" s="908">
        <f>G25</f>
        <v>0</v>
      </c>
      <c r="H41" s="922"/>
      <c r="I41" s="1295"/>
      <c r="J41" s="745">
        <f t="shared" si="2"/>
        <v>0</v>
      </c>
    </row>
    <row r="42" spans="1:10" ht="20.25" hidden="1" thickTop="1" thickBot="1">
      <c r="A42" s="2572"/>
      <c r="B42" s="2716"/>
      <c r="C42" s="1306" t="s">
        <v>1977</v>
      </c>
      <c r="D42" s="1279"/>
      <c r="F42" s="908">
        <f>IF(F38=0,IF(F24="V",F41,IF(F25=0,0,IF(F22&gt;0,F26,F40/F24*2+F25))),F41)</f>
        <v>0</v>
      </c>
      <c r="G42" s="908">
        <f>IF(G38=0,IF(G24="V",G41,IF(G25=0,0,IF(G22&gt;0,G26,G40/G24*2+G25))),G41)</f>
        <v>0</v>
      </c>
      <c r="H42" s="922"/>
      <c r="I42" s="1295"/>
      <c r="J42" s="745">
        <f t="shared" si="2"/>
        <v>0</v>
      </c>
    </row>
    <row r="43" spans="1:10" ht="20.25" hidden="1" thickTop="1" thickBot="1">
      <c r="A43" s="2572"/>
      <c r="B43" s="2716"/>
      <c r="C43" s="747" t="s">
        <v>1831</v>
      </c>
      <c r="D43" s="1279"/>
      <c r="F43" s="908">
        <f>(F41+F42)/2*F40*F16</f>
        <v>0</v>
      </c>
      <c r="G43" s="908">
        <f>(G41+G42)/2*G40*G16</f>
        <v>0</v>
      </c>
      <c r="H43" s="922"/>
      <c r="I43" s="910"/>
      <c r="J43" s="745">
        <f t="shared" si="2"/>
        <v>0</v>
      </c>
    </row>
    <row r="44" spans="1:10" ht="20.25" hidden="1" thickTop="1" thickBot="1">
      <c r="A44" s="2572"/>
      <c r="B44" s="2716"/>
      <c r="C44" s="1304" t="s">
        <v>1825</v>
      </c>
      <c r="D44" s="1279"/>
      <c r="F44" s="908">
        <f>F43*1.1</f>
        <v>0</v>
      </c>
      <c r="G44" s="908">
        <f>G43*1.1</f>
        <v>0</v>
      </c>
      <c r="H44" s="922"/>
      <c r="I44" s="910"/>
      <c r="J44" s="745">
        <f t="shared" si="2"/>
        <v>0</v>
      </c>
    </row>
    <row r="45" spans="1:10" ht="20.25" hidden="1" thickTop="1" thickBot="1">
      <c r="A45" s="2572"/>
      <c r="B45" s="2714" t="s">
        <v>1978</v>
      </c>
      <c r="C45" s="2597"/>
      <c r="D45" s="1309"/>
      <c r="E45" s="1310"/>
      <c r="F45" s="913">
        <f>F28-F43</f>
        <v>0</v>
      </c>
      <c r="G45" s="913">
        <f>G28-G43</f>
        <v>0</v>
      </c>
      <c r="H45" s="1311"/>
      <c r="I45" s="915"/>
      <c r="J45" s="745">
        <f t="shared" si="2"/>
        <v>0</v>
      </c>
    </row>
    <row r="46" spans="1:10" ht="24" hidden="1" thickTop="1" thickBot="1">
      <c r="A46" s="2572"/>
      <c r="B46" s="2706" t="s">
        <v>1979</v>
      </c>
      <c r="C46" s="1307" t="s">
        <v>1980</v>
      </c>
      <c r="D46" s="1279"/>
      <c r="F46" s="908">
        <f>F23*(F30+F31)*1.25</f>
        <v>0</v>
      </c>
      <c r="G46" s="908">
        <f>G23*(G30+G31)*1.25</f>
        <v>0</v>
      </c>
      <c r="H46" s="922"/>
      <c r="I46" s="1266"/>
      <c r="J46" s="745">
        <f t="shared" si="2"/>
        <v>0</v>
      </c>
    </row>
    <row r="47" spans="1:10" ht="20.25" hidden="1" thickTop="1" thickBot="1">
      <c r="A47" s="2572"/>
      <c r="B47" s="2658"/>
      <c r="C47" s="1307" t="s">
        <v>1838</v>
      </c>
      <c r="D47" s="1279"/>
      <c r="F47" s="908">
        <f>F29*1.4</f>
        <v>0</v>
      </c>
      <c r="G47" s="908">
        <f>G29*1.4</f>
        <v>0</v>
      </c>
      <c r="H47" s="922"/>
      <c r="I47" s="1266"/>
      <c r="J47" s="745">
        <f t="shared" si="2"/>
        <v>0</v>
      </c>
    </row>
    <row r="48" spans="1:10" ht="20.25" hidden="1" thickTop="1" thickBot="1">
      <c r="A48" s="2572"/>
      <c r="B48" s="2658"/>
      <c r="C48" s="1307" t="s">
        <v>1981</v>
      </c>
      <c r="D48" s="1279"/>
      <c r="F48" s="908">
        <f>IF(F30+F31-F46&lt;0,0,F30+F31-F46)</f>
        <v>0</v>
      </c>
      <c r="G48" s="908">
        <f>IF(G30+G31-G46&lt;0,0,G30+G31-G46)</f>
        <v>0</v>
      </c>
      <c r="H48" s="922"/>
      <c r="I48" s="1266"/>
      <c r="J48" s="745">
        <f t="shared" si="2"/>
        <v>0</v>
      </c>
    </row>
    <row r="49" spans="1:23" ht="20.25" hidden="1" thickTop="1" thickBot="1">
      <c r="A49" s="2572"/>
      <c r="B49" s="2707"/>
      <c r="C49" s="1282" t="s">
        <v>1982</v>
      </c>
      <c r="D49" s="1283"/>
      <c r="E49" s="1284"/>
      <c r="F49" s="901">
        <f>IF(F48-F45*1.25&lt;0,F46+F47,F48-F45*1.25)</f>
        <v>0</v>
      </c>
      <c r="G49" s="901">
        <f>IF(G48-G45*1.25&lt;0,G46+G47,G48-G45*1.25)</f>
        <v>0</v>
      </c>
      <c r="H49" s="1305"/>
      <c r="I49" s="912"/>
      <c r="J49" s="745">
        <f t="shared" si="2"/>
        <v>0</v>
      </c>
    </row>
    <row r="50" spans="1:23" ht="20.25" hidden="1" thickTop="1" thickBot="1">
      <c r="A50" s="2572"/>
      <c r="B50" s="2708" t="s">
        <v>1780</v>
      </c>
      <c r="C50" s="2715"/>
      <c r="D50" s="1309"/>
      <c r="E50" s="1310"/>
      <c r="F50" s="908">
        <f>IF(F45&lt;F48,0,(F45-F48)*1.25)</f>
        <v>0</v>
      </c>
      <c r="G50" s="908">
        <f>IF(G45&lt;G48,0,(G45-G48)*1.25)</f>
        <v>0</v>
      </c>
      <c r="H50" s="922"/>
      <c r="I50" s="910"/>
      <c r="J50" s="745">
        <f t="shared" si="2"/>
        <v>0</v>
      </c>
    </row>
    <row r="51" spans="1:23" ht="20.25" thickTop="1" thickBot="1">
      <c r="A51" s="2572"/>
      <c r="B51" s="2705" t="s">
        <v>52</v>
      </c>
      <c r="C51" s="2705"/>
      <c r="D51" s="1267"/>
      <c r="E51" s="1268"/>
      <c r="F51" s="1269"/>
      <c r="G51" s="1269"/>
      <c r="H51" s="1270"/>
      <c r="I51" s="1271"/>
      <c r="J51" s="780">
        <f>COUNTA(B51:H51)</f>
        <v>1</v>
      </c>
    </row>
    <row r="52" spans="1:23" ht="19.5" hidden="1" thickBot="1">
      <c r="A52" s="2572"/>
      <c r="B52" s="2649" t="s">
        <v>1833</v>
      </c>
      <c r="C52" s="2650"/>
      <c r="D52" s="1283"/>
      <c r="E52" s="1310"/>
      <c r="F52" s="788">
        <f>F4/173+F5/132+F6/113+F43/2+F45/10</f>
        <v>0</v>
      </c>
      <c r="G52" s="788">
        <f>G4/173+G5/132+G6/113+G43/2+G45/10</f>
        <v>0</v>
      </c>
      <c r="H52" s="1312"/>
      <c r="I52" s="915"/>
      <c r="J52" s="745">
        <f t="shared" ref="J52:J77" si="3">SUM(F52:I52)</f>
        <v>0</v>
      </c>
    </row>
    <row r="53" spans="1:23" ht="19.5" hidden="1" thickBot="1">
      <c r="A53" s="2572"/>
      <c r="B53" s="2706" t="s">
        <v>1983</v>
      </c>
      <c r="C53" s="1302" t="s">
        <v>1647</v>
      </c>
      <c r="D53" s="1279"/>
      <c r="E53" s="1274"/>
      <c r="F53" s="1275"/>
      <c r="G53" s="1275"/>
      <c r="H53" s="1276"/>
      <c r="I53" s="1313"/>
      <c r="J53" s="745">
        <f t="shared" si="3"/>
        <v>0</v>
      </c>
    </row>
    <row r="54" spans="1:23" ht="19.5" hidden="1" thickBot="1">
      <c r="A54" s="2572"/>
      <c r="B54" s="2658"/>
      <c r="C54" s="1304" t="s">
        <v>1539</v>
      </c>
      <c r="D54" s="1279"/>
      <c r="F54" s="1280"/>
      <c r="G54" s="1280"/>
      <c r="H54" s="1281"/>
      <c r="I54" s="910"/>
      <c r="J54" s="745">
        <f t="shared" si="3"/>
        <v>0</v>
      </c>
    </row>
    <row r="55" spans="1:23" ht="19.5" hidden="1" thickBot="1">
      <c r="A55" s="2572"/>
      <c r="B55" s="2658"/>
      <c r="C55" s="1304" t="s">
        <v>1355</v>
      </c>
      <c r="D55" s="1279"/>
      <c r="F55" s="1280"/>
      <c r="G55" s="1280"/>
      <c r="H55" s="1281"/>
      <c r="I55" s="1308"/>
      <c r="J55" s="745">
        <f t="shared" si="3"/>
        <v>0</v>
      </c>
    </row>
    <row r="56" spans="1:23" ht="19.5" hidden="1" thickBot="1">
      <c r="A56" s="2572"/>
      <c r="B56" s="2658"/>
      <c r="C56" s="1304" t="s">
        <v>1831</v>
      </c>
      <c r="D56" s="1279"/>
      <c r="F56" s="908">
        <f>F55*F54*F53</f>
        <v>0</v>
      </c>
      <c r="G56" s="908">
        <f>G55*G54*G53</f>
        <v>0</v>
      </c>
      <c r="H56" s="922"/>
      <c r="I56" s="910"/>
      <c r="J56" s="745">
        <f t="shared" si="3"/>
        <v>0</v>
      </c>
      <c r="K56" s="2690" t="s">
        <v>1859</v>
      </c>
      <c r="L56" s="2691"/>
      <c r="M56" s="2691"/>
      <c r="N56" s="2692"/>
      <c r="O56" s="2690" t="s">
        <v>1860</v>
      </c>
      <c r="P56" s="2691"/>
      <c r="Q56" s="2691"/>
      <c r="R56" s="2692"/>
      <c r="S56" s="2690" t="s">
        <v>1861</v>
      </c>
      <c r="T56" s="2691"/>
      <c r="U56" s="2692"/>
      <c r="V56" s="1314" t="s">
        <v>1862</v>
      </c>
      <c r="W56" s="2687" t="s">
        <v>1865</v>
      </c>
    </row>
    <row r="57" spans="1:23" ht="23.25" hidden="1" thickBot="1">
      <c r="A57" s="2572"/>
      <c r="B57" s="2707"/>
      <c r="C57" s="1315" t="s">
        <v>1825</v>
      </c>
      <c r="D57" s="1283"/>
      <c r="E57" s="1284"/>
      <c r="F57" s="901">
        <f>F56*1.1</f>
        <v>0</v>
      </c>
      <c r="G57" s="901">
        <f>G56*1.1</f>
        <v>0</v>
      </c>
      <c r="H57" s="1305"/>
      <c r="I57" s="912"/>
      <c r="J57" s="745">
        <f t="shared" si="3"/>
        <v>0</v>
      </c>
      <c r="K57" s="1121" t="s">
        <v>1868</v>
      </c>
      <c r="L57" s="1121" t="s">
        <v>1869</v>
      </c>
      <c r="M57" s="1121" t="s">
        <v>1871</v>
      </c>
      <c r="N57" s="1121" t="s">
        <v>1873</v>
      </c>
      <c r="O57" s="1121" t="s">
        <v>1868</v>
      </c>
      <c r="P57" s="1121" t="s">
        <v>1869</v>
      </c>
      <c r="Q57" s="1121" t="s">
        <v>1871</v>
      </c>
      <c r="R57" s="1121" t="s">
        <v>1873</v>
      </c>
      <c r="S57" s="1121" t="s">
        <v>1868</v>
      </c>
      <c r="T57" s="1121" t="s">
        <v>1869</v>
      </c>
      <c r="U57" s="1121" t="s">
        <v>1876</v>
      </c>
      <c r="V57" s="1121" t="s">
        <v>1984</v>
      </c>
      <c r="W57" s="2688"/>
    </row>
    <row r="58" spans="1:23" ht="19.5" hidden="1" thickBot="1">
      <c r="A58" s="2572"/>
      <c r="B58" s="2711" t="s">
        <v>1985</v>
      </c>
      <c r="C58" s="1302" t="s">
        <v>1685</v>
      </c>
      <c r="D58" s="1279"/>
      <c r="E58" s="1316"/>
      <c r="F58" s="894"/>
      <c r="G58" s="894"/>
      <c r="H58" s="1317"/>
      <c r="I58" s="1313"/>
      <c r="J58" s="745">
        <f t="shared" si="3"/>
        <v>0</v>
      </c>
      <c r="K58" s="1125">
        <v>94963</v>
      </c>
      <c r="L58" s="1125">
        <v>94964</v>
      </c>
      <c r="M58" s="1125">
        <v>100475</v>
      </c>
      <c r="N58" s="1125">
        <v>87878</v>
      </c>
      <c r="O58" s="1125">
        <v>94963</v>
      </c>
      <c r="P58" s="1125">
        <v>94964</v>
      </c>
      <c r="Q58" s="1125">
        <v>100475</v>
      </c>
      <c r="R58" s="1125">
        <v>87878</v>
      </c>
      <c r="S58" s="1125">
        <v>94963</v>
      </c>
      <c r="T58" s="1125">
        <v>94964</v>
      </c>
      <c r="U58" s="1125">
        <v>94110</v>
      </c>
      <c r="V58" s="1125">
        <v>43127</v>
      </c>
      <c r="W58" s="2688"/>
    </row>
    <row r="59" spans="1:23" ht="19.5" hidden="1" thickBot="1">
      <c r="A59" s="2572"/>
      <c r="B59" s="2712"/>
      <c r="C59" s="1282" t="s">
        <v>1986</v>
      </c>
      <c r="D59" s="1283"/>
      <c r="E59" s="1284"/>
      <c r="F59" s="901">
        <f>F58*F2</f>
        <v>0</v>
      </c>
      <c r="G59" s="901">
        <f>G58*G2</f>
        <v>0</v>
      </c>
      <c r="H59" s="1305"/>
      <c r="I59" s="912"/>
      <c r="J59" s="745">
        <f t="shared" si="3"/>
        <v>0</v>
      </c>
      <c r="K59" s="1130">
        <v>273.06</v>
      </c>
      <c r="L59" s="1130">
        <v>322.98</v>
      </c>
      <c r="M59" s="1130">
        <v>486</v>
      </c>
      <c r="N59" s="1131">
        <v>422.63</v>
      </c>
      <c r="O59" s="1132">
        <v>0.80500000000000005</v>
      </c>
      <c r="P59" s="1132">
        <v>0.75580000000000003</v>
      </c>
      <c r="Q59" s="1130">
        <v>1.08</v>
      </c>
      <c r="R59" s="1131">
        <v>0.94</v>
      </c>
      <c r="S59" s="1132">
        <v>0.57899999999999996</v>
      </c>
      <c r="T59" s="1132">
        <v>0.58699999999999997</v>
      </c>
      <c r="U59" s="1318">
        <v>0.212058</v>
      </c>
      <c r="V59" s="1131">
        <v>4.4800000000000004</v>
      </c>
      <c r="W59" s="1135">
        <f>2.5/1000</f>
        <v>2.5000000000000001E-3</v>
      </c>
    </row>
    <row r="60" spans="1:23" ht="19.5" hidden="1" thickBot="1">
      <c r="A60" s="2572"/>
      <c r="B60" s="2713" t="s">
        <v>1987</v>
      </c>
      <c r="C60" s="2713"/>
      <c r="D60" s="1283"/>
      <c r="E60" s="1319"/>
      <c r="F60" s="1320"/>
      <c r="G60" s="1320"/>
      <c r="H60" s="1321"/>
      <c r="I60" s="1322"/>
      <c r="J60" s="745">
        <f t="shared" si="3"/>
        <v>0</v>
      </c>
      <c r="K60" s="1137"/>
      <c r="L60" s="1137">
        <v>0.37265999999999999</v>
      </c>
      <c r="M60" s="1137">
        <v>0.227019</v>
      </c>
      <c r="N60" s="1137">
        <v>4.8301990000000004</v>
      </c>
      <c r="O60" s="1137"/>
      <c r="P60" s="1137">
        <v>0.37265999999999999</v>
      </c>
      <c r="Q60" s="1137">
        <v>0.227019</v>
      </c>
      <c r="R60" s="1137">
        <v>4.8301990000000004</v>
      </c>
      <c r="S60" s="1137"/>
      <c r="T60" s="1137">
        <v>0.37265999999999999</v>
      </c>
      <c r="U60" s="1137">
        <v>1</v>
      </c>
      <c r="V60" s="1137">
        <v>3.5342920000000002</v>
      </c>
      <c r="W60" s="1137">
        <v>772.83180000000004</v>
      </c>
    </row>
    <row r="61" spans="1:23" ht="19.5" hidden="1" thickBot="1">
      <c r="A61" s="2572"/>
      <c r="B61" s="2698" t="s">
        <v>1988</v>
      </c>
      <c r="C61" s="740" t="s">
        <v>1354</v>
      </c>
      <c r="D61" s="1279"/>
      <c r="E61" s="1323"/>
      <c r="F61" s="1324"/>
      <c r="G61" s="1324"/>
      <c r="H61" s="1325"/>
      <c r="I61" s="1326"/>
      <c r="J61" s="745">
        <f t="shared" si="3"/>
        <v>0</v>
      </c>
    </row>
    <row r="62" spans="1:23" ht="19.5" hidden="1" thickBot="1">
      <c r="A62" s="2572"/>
      <c r="B62" s="2699"/>
      <c r="C62" s="747" t="s">
        <v>1989</v>
      </c>
      <c r="D62" s="1279"/>
      <c r="F62" s="908">
        <f>F61*0.5</f>
        <v>0</v>
      </c>
      <c r="G62" s="908">
        <f>G61*0.5</f>
        <v>0</v>
      </c>
      <c r="H62" s="922"/>
      <c r="I62" s="910"/>
      <c r="J62" s="745">
        <f t="shared" si="3"/>
        <v>0</v>
      </c>
      <c r="K62" s="1137">
        <v>1</v>
      </c>
      <c r="L62" s="1137"/>
      <c r="M62" s="1137"/>
      <c r="N62" s="1137"/>
      <c r="O62" s="1137">
        <v>1</v>
      </c>
      <c r="P62" s="1137"/>
      <c r="Q62" s="1137"/>
      <c r="R62" s="1137"/>
      <c r="S62" s="1137">
        <v>1</v>
      </c>
      <c r="T62" s="1137"/>
      <c r="U62" s="1137"/>
      <c r="V62" s="1137"/>
      <c r="W62" s="1137"/>
    </row>
    <row r="63" spans="1:23" ht="19.5" hidden="1" thickBot="1">
      <c r="A63" s="2572"/>
      <c r="B63" s="2699"/>
      <c r="C63" s="747" t="s">
        <v>1990</v>
      </c>
      <c r="D63" s="1279"/>
      <c r="E63" s="589"/>
      <c r="F63" s="908">
        <f>F61*1.75</f>
        <v>0</v>
      </c>
      <c r="G63" s="908">
        <f>G61*1.75</f>
        <v>0</v>
      </c>
      <c r="H63" s="922"/>
      <c r="I63" s="910"/>
      <c r="J63" s="745">
        <f t="shared" si="3"/>
        <v>0</v>
      </c>
      <c r="K63" s="1137"/>
      <c r="L63" s="1137"/>
      <c r="M63" s="1137">
        <v>2.1999999999999999E-2</v>
      </c>
      <c r="N63" s="1137"/>
      <c r="O63" s="1137"/>
      <c r="P63" s="1137"/>
      <c r="Q63" s="1137">
        <v>2.1999999999999999E-2</v>
      </c>
      <c r="R63" s="1137"/>
      <c r="S63" s="1137"/>
      <c r="T63" s="1137"/>
      <c r="U63" s="1137"/>
      <c r="V63" s="1137"/>
      <c r="W63" s="1137">
        <v>160</v>
      </c>
    </row>
    <row r="64" spans="1:23" ht="19.5" hidden="1" thickBot="1">
      <c r="A64" s="2572"/>
      <c r="B64" s="2699"/>
      <c r="C64" s="747" t="s">
        <v>1991</v>
      </c>
      <c r="D64" s="1279"/>
      <c r="F64" s="908">
        <f>F63</f>
        <v>0</v>
      </c>
      <c r="G64" s="908">
        <f>G63</f>
        <v>0</v>
      </c>
      <c r="H64" s="922"/>
      <c r="I64" s="910"/>
      <c r="J64" s="745">
        <f t="shared" si="3"/>
        <v>0</v>
      </c>
      <c r="K64" s="1137"/>
      <c r="L64" s="1137"/>
      <c r="M64" s="1137"/>
      <c r="N64" s="1137">
        <v>1</v>
      </c>
      <c r="O64" s="1137"/>
      <c r="P64" s="1137"/>
      <c r="Q64" s="1137"/>
      <c r="R64" s="1137">
        <v>1</v>
      </c>
      <c r="S64" s="1137"/>
      <c r="T64" s="1137"/>
      <c r="U64" s="1137"/>
      <c r="V64" s="1137"/>
      <c r="W64" s="1137"/>
    </row>
    <row r="65" spans="1:23" ht="19.5" hidden="1" thickBot="1">
      <c r="A65" s="2572"/>
      <c r="B65" s="2665"/>
      <c r="C65" s="754" t="s">
        <v>1992</v>
      </c>
      <c r="D65" s="1283"/>
      <c r="E65" s="1284"/>
      <c r="F65" s="901">
        <f>F63*0.02</f>
        <v>0</v>
      </c>
      <c r="G65" s="901">
        <f>G63*0.02</f>
        <v>0</v>
      </c>
      <c r="H65" s="1305"/>
      <c r="I65" s="912"/>
      <c r="J65" s="745">
        <f t="shared" si="3"/>
        <v>0</v>
      </c>
      <c r="K65" s="1137"/>
      <c r="L65" s="1137"/>
      <c r="M65" s="1137">
        <v>1</v>
      </c>
      <c r="N65" s="1137"/>
      <c r="O65" s="1137"/>
      <c r="P65" s="1137"/>
      <c r="Q65" s="1137">
        <v>1</v>
      </c>
      <c r="R65" s="1137"/>
      <c r="S65" s="1137"/>
      <c r="T65" s="1137"/>
      <c r="U65" s="1137"/>
      <c r="V65" s="1137"/>
      <c r="W65" s="1137"/>
    </row>
    <row r="66" spans="1:23" ht="19.5" hidden="1" thickBot="1">
      <c r="A66" s="2572"/>
      <c r="B66" s="2700" t="s">
        <v>1993</v>
      </c>
      <c r="C66" s="1040" t="s">
        <v>1994</v>
      </c>
      <c r="D66" s="1279"/>
      <c r="F66" s="908">
        <f>F47</f>
        <v>0</v>
      </c>
      <c r="G66" s="908">
        <f>G47</f>
        <v>0</v>
      </c>
      <c r="H66" s="922"/>
      <c r="I66" s="910"/>
      <c r="J66" s="745">
        <f t="shared" si="3"/>
        <v>0</v>
      </c>
      <c r="K66" s="1141"/>
      <c r="L66" s="1141"/>
      <c r="M66" s="1141"/>
      <c r="N66" s="1141"/>
      <c r="O66" s="1141"/>
      <c r="P66" s="1141"/>
      <c r="Q66" s="1141"/>
      <c r="R66" s="1141"/>
      <c r="S66" s="1141"/>
      <c r="T66" s="1141"/>
      <c r="U66" s="1141"/>
      <c r="V66" s="1141"/>
      <c r="W66" s="1141"/>
    </row>
    <row r="67" spans="1:23" ht="19.5" hidden="1" thickBot="1">
      <c r="A67" s="2572"/>
      <c r="B67" s="2701"/>
      <c r="C67" s="982" t="s">
        <v>1995</v>
      </c>
      <c r="D67" s="1283"/>
      <c r="E67" s="1284"/>
      <c r="F67" s="901">
        <f>F49-F66</f>
        <v>0</v>
      </c>
      <c r="G67" s="901">
        <f>G49-G66</f>
        <v>0</v>
      </c>
      <c r="H67" s="1305"/>
      <c r="I67" s="912"/>
      <c r="J67" s="745">
        <f t="shared" si="3"/>
        <v>0</v>
      </c>
    </row>
    <row r="68" spans="1:23" ht="19.5" hidden="1" thickBot="1">
      <c r="A68" s="2572"/>
      <c r="B68" s="2642" t="s">
        <v>1996</v>
      </c>
      <c r="C68" s="970" t="s">
        <v>1997</v>
      </c>
      <c r="D68" s="1279"/>
      <c r="F68" s="908">
        <f>F66</f>
        <v>0</v>
      </c>
      <c r="G68" s="908">
        <f>G66</f>
        <v>0</v>
      </c>
      <c r="H68" s="922"/>
      <c r="I68" s="1277"/>
      <c r="J68" s="745">
        <f t="shared" si="3"/>
        <v>0</v>
      </c>
    </row>
    <row r="69" spans="1:23" ht="19.5" hidden="1" thickBot="1">
      <c r="A69" s="2572"/>
      <c r="B69" s="2643"/>
      <c r="C69" s="977" t="s">
        <v>1843</v>
      </c>
      <c r="D69" s="1279"/>
      <c r="F69" s="908">
        <f>F67</f>
        <v>0</v>
      </c>
      <c r="G69" s="908">
        <f>G67</f>
        <v>0</v>
      </c>
      <c r="H69" s="922"/>
      <c r="I69" s="910"/>
      <c r="J69" s="745">
        <f t="shared" si="3"/>
        <v>0</v>
      </c>
    </row>
    <row r="70" spans="1:23" ht="19.5" hidden="1" thickBot="1">
      <c r="A70" s="2572"/>
      <c r="B70" s="2643"/>
      <c r="C70" s="977" t="s">
        <v>1844</v>
      </c>
      <c r="D70" s="1279"/>
      <c r="F70" s="908">
        <f>F45*1.25</f>
        <v>0</v>
      </c>
      <c r="G70" s="908">
        <f>G45*1.25</f>
        <v>0</v>
      </c>
      <c r="H70" s="922"/>
      <c r="I70" s="910"/>
      <c r="J70" s="745">
        <f t="shared" si="3"/>
        <v>0</v>
      </c>
    </row>
    <row r="71" spans="1:23" ht="19.5" hidden="1" thickBot="1">
      <c r="A71" s="2572"/>
      <c r="B71" s="2634"/>
      <c r="C71" s="977" t="s">
        <v>1998</v>
      </c>
      <c r="D71" s="1279"/>
      <c r="F71" s="908">
        <f>((SUM(F4:F6)+F18)*0.405+(SUM(F7:F8)+F19)*0.75)/1000</f>
        <v>0</v>
      </c>
      <c r="G71" s="908">
        <f>((SUM(G4:G6)+G18)*0.405+(SUM(G7:G8)+G19)*0.75)/1000</f>
        <v>0</v>
      </c>
      <c r="H71" s="922"/>
      <c r="I71" s="910"/>
      <c r="J71" s="745">
        <f t="shared" si="3"/>
        <v>0</v>
      </c>
    </row>
    <row r="72" spans="1:23" ht="19.5" hidden="1" thickBot="1">
      <c r="A72" s="2572"/>
      <c r="B72" s="2637"/>
      <c r="C72" s="977" t="s">
        <v>1847</v>
      </c>
      <c r="D72" s="1279"/>
      <c r="F72" s="908">
        <f>(F60*$L$60*$K$59+F62*$K$62*$L$59+F63*$M$63*$M$59+F64*$N$64*$N$59+F65*$M$65*$M$59+F60*$M$60*$M$59+F60*$N$60*$N$59)/1000</f>
        <v>0</v>
      </c>
      <c r="G72" s="908">
        <f>(G60*$L$60*$K$59+G62*$K$62*$L$59+G63*$M$63*$M$59+G64*$N$64*$N$59+G65*$M$65*$M$59+G60*$M$60*$M$59+G60*$N$60*$N$59)/1000</f>
        <v>0</v>
      </c>
      <c r="H72" s="922"/>
      <c r="I72" s="910"/>
      <c r="J72" s="745">
        <f t="shared" si="3"/>
        <v>0</v>
      </c>
    </row>
    <row r="73" spans="1:23" ht="19.5" hidden="1" thickBot="1">
      <c r="A73" s="2572"/>
      <c r="B73" s="2643"/>
      <c r="C73" s="977" t="s">
        <v>1906</v>
      </c>
      <c r="D73" s="1279"/>
      <c r="F73" s="908">
        <f>F60*P60*P59+F62*O62*O59+F63*Q63*Q59+F64*R64*R60+F65*Q65*Q59+F60*Q60*Q59</f>
        <v>0</v>
      </c>
      <c r="G73" s="908">
        <f>G60*Q60*Q59+G62*P62*P59+G63*R63*R59+G64*S64*S60+G65*R65*R59+G60*R60*R59</f>
        <v>0</v>
      </c>
      <c r="H73" s="922"/>
      <c r="I73" s="910"/>
      <c r="J73" s="745">
        <f t="shared" si="3"/>
        <v>0</v>
      </c>
    </row>
    <row r="74" spans="1:23" ht="19.5" hidden="1" thickBot="1">
      <c r="A74" s="2572"/>
      <c r="B74" s="2637"/>
      <c r="C74" s="747" t="s">
        <v>1907</v>
      </c>
      <c r="D74" s="1279"/>
      <c r="F74" s="908">
        <f>F57+F44+F14</f>
        <v>0</v>
      </c>
      <c r="G74" s="908">
        <f>G57+G44+G14</f>
        <v>0</v>
      </c>
      <c r="H74" s="922"/>
      <c r="I74" s="910"/>
      <c r="J74" s="745">
        <f t="shared" si="3"/>
        <v>0</v>
      </c>
    </row>
    <row r="75" spans="1:23" ht="19.5" hidden="1" thickBot="1">
      <c r="A75" s="2572"/>
      <c r="B75" s="2643"/>
      <c r="C75" s="747" t="s">
        <v>1999</v>
      </c>
      <c r="D75" s="1279"/>
      <c r="F75" s="908">
        <f>F60*T60*T59+F60*U60*U59</f>
        <v>0</v>
      </c>
      <c r="G75" s="908">
        <f>G60*U60*U59+G60*V60*V59</f>
        <v>0</v>
      </c>
      <c r="H75" s="922"/>
      <c r="I75" s="910"/>
      <c r="J75" s="745">
        <f t="shared" si="3"/>
        <v>0</v>
      </c>
    </row>
    <row r="76" spans="1:23" ht="19.5" hidden="1" thickBot="1">
      <c r="A76" s="2572"/>
      <c r="B76" s="2643"/>
      <c r="C76" s="977" t="s">
        <v>1926</v>
      </c>
      <c r="D76" s="1279"/>
      <c r="F76" s="908">
        <f>F60*V60*V59</f>
        <v>0</v>
      </c>
      <c r="G76" s="908">
        <f>G60*W60*W59</f>
        <v>0</v>
      </c>
      <c r="H76" s="922"/>
      <c r="I76" s="910"/>
      <c r="J76" s="745">
        <f t="shared" si="3"/>
        <v>0</v>
      </c>
    </row>
    <row r="77" spans="1:23" ht="19.5" hidden="1" thickBot="1">
      <c r="A77" s="2572"/>
      <c r="B77" s="2644"/>
      <c r="C77" s="982" t="s">
        <v>1929</v>
      </c>
      <c r="D77" s="1283"/>
      <c r="E77" s="1284"/>
      <c r="F77" s="901">
        <f>F60*W60*W59+F63*W63*W59</f>
        <v>0</v>
      </c>
      <c r="G77" s="901">
        <f>G60*X60*X59+G63*X63*X59</f>
        <v>0</v>
      </c>
      <c r="H77" s="1305"/>
      <c r="I77" s="912"/>
      <c r="J77" s="745">
        <f t="shared" si="3"/>
        <v>0</v>
      </c>
    </row>
    <row r="78" spans="1:23" ht="19.5" hidden="1" thickBot="1">
      <c r="A78" s="2572"/>
      <c r="B78" s="2702" t="s">
        <v>2000</v>
      </c>
      <c r="C78" s="970" t="s">
        <v>1997</v>
      </c>
      <c r="D78" s="1279"/>
      <c r="F78" s="908">
        <f t="shared" ref="F78:G86" si="4">F68</f>
        <v>0</v>
      </c>
      <c r="G78" s="908">
        <f t="shared" si="4"/>
        <v>0</v>
      </c>
      <c r="H78" s="922"/>
      <c r="I78" s="1277"/>
      <c r="J78" s="745">
        <f>SUM(F79:I79)</f>
        <v>0</v>
      </c>
    </row>
    <row r="79" spans="1:23" ht="19.5" hidden="1" thickBot="1">
      <c r="A79" s="2572"/>
      <c r="B79" s="2702"/>
      <c r="C79" s="977" t="s">
        <v>1843</v>
      </c>
      <c r="D79" s="1279"/>
      <c r="F79" s="908">
        <f t="shared" si="4"/>
        <v>0</v>
      </c>
      <c r="G79" s="908">
        <f t="shared" si="4"/>
        <v>0</v>
      </c>
      <c r="H79" s="922"/>
      <c r="I79" s="910"/>
      <c r="J79" s="745"/>
    </row>
    <row r="80" spans="1:23" ht="19.5" hidden="1" thickBot="1">
      <c r="A80" s="2572"/>
      <c r="B80" s="2702"/>
      <c r="C80" s="977" t="s">
        <v>1844</v>
      </c>
      <c r="D80" s="1279"/>
      <c r="F80" s="908">
        <f t="shared" si="4"/>
        <v>0</v>
      </c>
      <c r="G80" s="908">
        <f t="shared" si="4"/>
        <v>0</v>
      </c>
      <c r="H80" s="922"/>
      <c r="I80" s="910"/>
      <c r="J80" s="745"/>
    </row>
    <row r="81" spans="1:21" ht="19.5" hidden="1" thickBot="1">
      <c r="A81" s="2572"/>
      <c r="B81" s="2638"/>
      <c r="C81" s="977" t="s">
        <v>1998</v>
      </c>
      <c r="D81" s="1279"/>
      <c r="F81" s="908">
        <f t="shared" si="4"/>
        <v>0</v>
      </c>
      <c r="G81" s="908">
        <f t="shared" si="4"/>
        <v>0</v>
      </c>
      <c r="H81" s="922"/>
      <c r="I81" s="910"/>
      <c r="J81" s="745">
        <f>SUM(F81:I81)</f>
        <v>0</v>
      </c>
    </row>
    <row r="82" spans="1:21" ht="19.5" hidden="1" thickBot="1">
      <c r="A82" s="2572"/>
      <c r="B82" s="2638"/>
      <c r="C82" s="977" t="s">
        <v>1847</v>
      </c>
      <c r="D82" s="1279"/>
      <c r="F82" s="908">
        <f t="shared" si="4"/>
        <v>0</v>
      </c>
      <c r="G82" s="908">
        <f t="shared" si="4"/>
        <v>0</v>
      </c>
      <c r="H82" s="922"/>
      <c r="I82" s="910"/>
      <c r="J82" s="745">
        <f>SUM(F82:I82)</f>
        <v>0</v>
      </c>
    </row>
    <row r="83" spans="1:21" ht="19.5" hidden="1" thickBot="1">
      <c r="A83" s="2572"/>
      <c r="B83" s="2703"/>
      <c r="C83" s="977" t="s">
        <v>1906</v>
      </c>
      <c r="D83" s="1279"/>
      <c r="F83" s="908">
        <f t="shared" si="4"/>
        <v>0</v>
      </c>
      <c r="G83" s="908">
        <f t="shared" si="4"/>
        <v>0</v>
      </c>
      <c r="H83" s="922"/>
      <c r="I83" s="910"/>
      <c r="J83" s="745">
        <f>SUM(F83:I83)</f>
        <v>0</v>
      </c>
    </row>
    <row r="84" spans="1:21" ht="19.5" hidden="1" thickBot="1">
      <c r="A84" s="2572"/>
      <c r="B84" s="2703"/>
      <c r="C84" s="747" t="s">
        <v>1907</v>
      </c>
      <c r="D84" s="1279"/>
      <c r="F84" s="908">
        <f t="shared" si="4"/>
        <v>0</v>
      </c>
      <c r="G84" s="908">
        <f t="shared" si="4"/>
        <v>0</v>
      </c>
      <c r="H84" s="922"/>
      <c r="I84" s="910"/>
      <c r="J84" s="745"/>
    </row>
    <row r="85" spans="1:21" ht="19.5" hidden="1" thickBot="1">
      <c r="A85" s="2572"/>
      <c r="B85" s="2703"/>
      <c r="C85" s="747" t="s">
        <v>1999</v>
      </c>
      <c r="D85" s="1279"/>
      <c r="F85" s="908">
        <f t="shared" si="4"/>
        <v>0</v>
      </c>
      <c r="G85" s="908">
        <f t="shared" si="4"/>
        <v>0</v>
      </c>
      <c r="H85" s="922"/>
      <c r="I85" s="910"/>
      <c r="J85" s="745"/>
    </row>
    <row r="86" spans="1:21" ht="19.5" hidden="1" thickBot="1">
      <c r="A86" s="2572"/>
      <c r="B86" s="2703"/>
      <c r="C86" s="977" t="s">
        <v>1926</v>
      </c>
      <c r="D86" s="1279"/>
      <c r="F86" s="908">
        <f t="shared" si="4"/>
        <v>0</v>
      </c>
      <c r="G86" s="908">
        <f t="shared" si="4"/>
        <v>0</v>
      </c>
      <c r="H86" s="922"/>
      <c r="I86" s="910"/>
      <c r="J86" s="745">
        <f>SUM(F86:I86)</f>
        <v>0</v>
      </c>
    </row>
    <row r="87" spans="1:21" ht="19.5" hidden="1" thickBot="1">
      <c r="A87" s="2572"/>
      <c r="B87" s="2704"/>
      <c r="C87" s="982" t="s">
        <v>1929</v>
      </c>
      <c r="D87" s="1283"/>
      <c r="E87" s="1284"/>
      <c r="F87" s="901">
        <f>F77</f>
        <v>0</v>
      </c>
      <c r="G87" s="901">
        <f>G77</f>
        <v>0</v>
      </c>
      <c r="H87" s="1305"/>
      <c r="I87" s="912"/>
      <c r="J87" s="745">
        <f>SUM(F87:I87)</f>
        <v>0</v>
      </c>
    </row>
    <row r="88" spans="1:21" ht="19.5" thickBot="1">
      <c r="A88" s="2572"/>
      <c r="B88" s="2705" t="s">
        <v>2001</v>
      </c>
      <c r="C88" s="2705"/>
      <c r="D88" s="1267"/>
      <c r="E88" s="1268"/>
      <c r="F88" s="1269"/>
      <c r="G88" s="1269"/>
      <c r="H88" s="1270"/>
      <c r="I88" s="1271"/>
      <c r="J88" s="780">
        <f>COUNTA(B88:H88)</f>
        <v>1</v>
      </c>
    </row>
    <row r="89" spans="1:21" ht="19.5" hidden="1" thickBot="1">
      <c r="A89" s="2572"/>
      <c r="B89" s="2706" t="s">
        <v>1490</v>
      </c>
      <c r="C89" s="740" t="s">
        <v>2002</v>
      </c>
      <c r="D89" s="1273"/>
      <c r="E89" s="1274"/>
      <c r="F89" s="1275"/>
      <c r="G89" s="1275"/>
      <c r="H89" s="1276"/>
      <c r="I89" s="1327"/>
      <c r="J89" s="745">
        <f t="shared" ref="J89:J98" si="5">SUM(F89:I89)</f>
        <v>0</v>
      </c>
      <c r="K89" s="1141"/>
      <c r="L89" s="1141"/>
      <c r="M89" s="1141"/>
      <c r="N89" s="1141"/>
      <c r="O89" s="1141"/>
      <c r="P89" s="1141"/>
      <c r="Q89" s="1141"/>
      <c r="R89" s="1141"/>
      <c r="S89" s="1141"/>
      <c r="T89" s="1141"/>
      <c r="U89" s="1141"/>
    </row>
    <row r="90" spans="1:21" ht="19.5" hidden="1" thickBot="1">
      <c r="A90" s="2572"/>
      <c r="B90" s="2658"/>
      <c r="C90" s="747" t="s">
        <v>2003</v>
      </c>
      <c r="D90" s="1279"/>
      <c r="F90" s="1280"/>
      <c r="G90" s="1280"/>
      <c r="H90" s="1281"/>
      <c r="I90" s="910"/>
      <c r="J90" s="745">
        <f t="shared" si="5"/>
        <v>0</v>
      </c>
      <c r="K90" s="1141"/>
      <c r="L90" s="1141"/>
      <c r="M90" s="1141"/>
      <c r="N90" s="1141"/>
      <c r="O90" s="1141"/>
      <c r="P90" s="1141"/>
      <c r="Q90" s="1141"/>
      <c r="R90" s="1141"/>
      <c r="S90" s="1141"/>
      <c r="T90" s="1141"/>
      <c r="U90" s="1141"/>
    </row>
    <row r="91" spans="1:21" ht="23.25" hidden="1" thickBot="1">
      <c r="A91" s="2572"/>
      <c r="B91" s="2658"/>
      <c r="C91" s="747" t="s">
        <v>2004</v>
      </c>
      <c r="D91" s="1279"/>
      <c r="F91" s="908">
        <f>F90*2</f>
        <v>0</v>
      </c>
      <c r="G91" s="908">
        <f>G90*2</f>
        <v>0</v>
      </c>
      <c r="H91" s="922"/>
      <c r="I91" s="910"/>
      <c r="J91" s="745">
        <f t="shared" si="5"/>
        <v>0</v>
      </c>
      <c r="K91" s="1141"/>
      <c r="L91" s="1141"/>
      <c r="M91" s="1141"/>
      <c r="N91" s="1141"/>
      <c r="O91" s="1141"/>
      <c r="P91" s="1141"/>
      <c r="Q91" s="1141"/>
      <c r="R91" s="1141"/>
      <c r="S91" s="1141"/>
      <c r="T91" s="1141"/>
      <c r="U91" s="1141"/>
    </row>
    <row r="92" spans="1:21" ht="19.5" hidden="1" thickBot="1">
      <c r="A92" s="2572"/>
      <c r="B92" s="2658"/>
      <c r="C92" s="747" t="s">
        <v>1489</v>
      </c>
      <c r="D92" s="1279"/>
      <c r="F92" s="908">
        <f>F90*F89</f>
        <v>0</v>
      </c>
      <c r="G92" s="908">
        <f>G90*G89</f>
        <v>0</v>
      </c>
      <c r="H92" s="922"/>
      <c r="I92" s="910"/>
      <c r="J92" s="745">
        <f t="shared" si="5"/>
        <v>0</v>
      </c>
      <c r="K92" s="1141"/>
      <c r="L92" s="1141"/>
      <c r="M92" s="1141"/>
      <c r="N92" s="1141"/>
      <c r="O92" s="1141"/>
      <c r="P92" s="1141"/>
      <c r="Q92" s="1141"/>
      <c r="R92" s="1141"/>
      <c r="S92" s="1141"/>
      <c r="T92" s="1141"/>
      <c r="U92" s="1141"/>
    </row>
    <row r="93" spans="1:21" ht="19.5" hidden="1" thickBot="1">
      <c r="A93" s="2572"/>
      <c r="B93" s="2658"/>
      <c r="C93" s="747" t="s">
        <v>1478</v>
      </c>
      <c r="D93" s="1279"/>
      <c r="F93" s="1328"/>
      <c r="G93" s="1328"/>
      <c r="H93" s="1329"/>
      <c r="I93" s="1295"/>
      <c r="J93" s="745">
        <f t="shared" si="5"/>
        <v>0</v>
      </c>
      <c r="K93" s="1141"/>
      <c r="L93" s="1141"/>
      <c r="M93" s="1141"/>
      <c r="N93" s="1141"/>
      <c r="O93" s="1141"/>
      <c r="P93" s="1141"/>
      <c r="Q93" s="1141"/>
      <c r="R93" s="1141"/>
      <c r="S93" s="1141"/>
      <c r="T93" s="1141"/>
      <c r="U93" s="1141"/>
    </row>
    <row r="94" spans="1:21" ht="19.5" hidden="1" thickBot="1">
      <c r="A94" s="2572"/>
      <c r="B94" s="2658"/>
      <c r="C94" s="754" t="s">
        <v>1480</v>
      </c>
      <c r="D94" s="1283"/>
      <c r="E94" s="1284"/>
      <c r="F94" s="901">
        <f>F90*F89*F93/100</f>
        <v>0</v>
      </c>
      <c r="G94" s="901">
        <f>G90*G89*G93/100</f>
        <v>0</v>
      </c>
      <c r="H94" s="1305"/>
      <c r="I94" s="910"/>
      <c r="J94" s="745">
        <f t="shared" si="5"/>
        <v>0</v>
      </c>
      <c r="K94" s="1141"/>
      <c r="L94" s="1141"/>
      <c r="M94" s="1141"/>
      <c r="N94" s="1141"/>
      <c r="O94" s="1141"/>
      <c r="P94" s="1141"/>
      <c r="Q94" s="1141"/>
      <c r="R94" s="1141"/>
      <c r="S94" s="1141"/>
      <c r="T94" s="1141"/>
      <c r="U94" s="1141"/>
    </row>
    <row r="95" spans="1:21" ht="19.5" hidden="1" thickBot="1">
      <c r="A95" s="2572"/>
      <c r="B95" s="2706" t="s">
        <v>2005</v>
      </c>
      <c r="C95" s="1330" t="s">
        <v>2006</v>
      </c>
      <c r="F95" s="1328"/>
      <c r="G95" s="1328"/>
      <c r="H95" s="1329"/>
      <c r="I95" s="1294"/>
      <c r="J95" s="745">
        <f t="shared" si="5"/>
        <v>0</v>
      </c>
      <c r="K95" s="1141"/>
      <c r="L95" s="1141"/>
      <c r="M95" s="1141"/>
      <c r="N95" s="1141"/>
      <c r="O95" s="1141"/>
      <c r="P95" s="1141"/>
      <c r="Q95" s="1141"/>
      <c r="R95" s="1141"/>
      <c r="S95" s="1141"/>
      <c r="T95" s="1141"/>
      <c r="U95" s="1141"/>
    </row>
    <row r="96" spans="1:21" ht="19.5" hidden="1" thickBot="1">
      <c r="A96" s="2572"/>
      <c r="B96" s="2707"/>
      <c r="C96" s="754" t="s">
        <v>2007</v>
      </c>
      <c r="D96" s="755"/>
      <c r="E96" s="1284"/>
      <c r="F96" s="901">
        <f>F90*F89*F95/100</f>
        <v>0</v>
      </c>
      <c r="G96" s="901">
        <f>G90*G89*G95/100</f>
        <v>0</v>
      </c>
      <c r="H96" s="1305"/>
      <c r="I96" s="912"/>
      <c r="J96" s="745">
        <f t="shared" si="5"/>
        <v>0</v>
      </c>
      <c r="K96" s="1141"/>
      <c r="L96" s="1141"/>
      <c r="M96" s="1141"/>
      <c r="N96" s="1141"/>
      <c r="O96" s="1141"/>
      <c r="P96" s="1141"/>
      <c r="Q96" s="1141"/>
      <c r="R96" s="1141"/>
      <c r="S96" s="1141"/>
      <c r="T96" s="1141"/>
      <c r="U96" s="1141"/>
    </row>
    <row r="97" spans="1:21" ht="19.5" hidden="1" thickBot="1">
      <c r="A97" s="2572"/>
      <c r="B97" s="2706" t="s">
        <v>2008</v>
      </c>
      <c r="C97" s="1331" t="s">
        <v>2006</v>
      </c>
      <c r="D97" s="1332"/>
      <c r="E97" s="1333"/>
      <c r="F97" s="1328"/>
      <c r="G97" s="1328"/>
      <c r="H97" s="1329"/>
      <c r="I97" s="1294"/>
      <c r="J97" s="745">
        <f t="shared" si="5"/>
        <v>0</v>
      </c>
      <c r="K97" s="1141"/>
      <c r="L97" s="1141"/>
      <c r="M97" s="1141"/>
      <c r="N97" s="1141"/>
      <c r="O97" s="1141"/>
      <c r="P97" s="1141"/>
      <c r="Q97" s="1141"/>
      <c r="R97" s="1141"/>
      <c r="S97" s="1141"/>
      <c r="T97" s="1141"/>
      <c r="U97" s="1141"/>
    </row>
    <row r="98" spans="1:21" ht="19.5" hidden="1" thickBot="1">
      <c r="A98" s="2572"/>
      <c r="B98" s="2658"/>
      <c r="C98" s="747" t="s">
        <v>1831</v>
      </c>
      <c r="F98" s="908">
        <f>F90*F89*F97/100</f>
        <v>0</v>
      </c>
      <c r="G98" s="908">
        <f>G90*G89*G97/100</f>
        <v>0</v>
      </c>
      <c r="H98" s="922"/>
      <c r="I98" s="910"/>
      <c r="J98" s="745">
        <f t="shared" si="5"/>
        <v>0</v>
      </c>
      <c r="K98" s="1141"/>
      <c r="L98" s="1141"/>
      <c r="M98" s="1141"/>
      <c r="N98" s="1141"/>
      <c r="O98" s="1141"/>
      <c r="P98" s="1141"/>
      <c r="Q98" s="1141"/>
      <c r="R98" s="1141"/>
      <c r="S98" s="1141"/>
      <c r="T98" s="1141"/>
      <c r="U98" s="1141"/>
    </row>
    <row r="99" spans="1:21" ht="19.5" hidden="1" thickBot="1">
      <c r="A99" s="2572"/>
      <c r="B99" s="2658"/>
      <c r="C99" s="747" t="s">
        <v>2009</v>
      </c>
      <c r="D99" s="1334"/>
      <c r="E99" s="1335"/>
      <c r="F99" s="1336"/>
      <c r="G99" s="1336"/>
      <c r="H99" s="1337"/>
      <c r="I99" s="1295"/>
      <c r="J99" s="780">
        <f>J98</f>
        <v>0</v>
      </c>
      <c r="K99" s="1141"/>
      <c r="L99" s="1141"/>
      <c r="M99" s="1141"/>
      <c r="N99" s="1141"/>
      <c r="O99" s="1141"/>
      <c r="P99" s="1141"/>
      <c r="Q99" s="1141"/>
      <c r="R99" s="1141"/>
      <c r="S99" s="1141"/>
      <c r="T99" s="1141"/>
      <c r="U99" s="1141"/>
    </row>
    <row r="100" spans="1:21" ht="19.5" hidden="1" thickBot="1">
      <c r="A100" s="2572"/>
      <c r="B100" s="2658"/>
      <c r="C100" s="747" t="s">
        <v>2010</v>
      </c>
      <c r="F100" s="908">
        <f>IF(F99="sim",F$98*1.25,0)</f>
        <v>0</v>
      </c>
      <c r="G100" s="908">
        <f>IF(G99="sim",G$98*1.25,0)</f>
        <v>0</v>
      </c>
      <c r="H100" s="922"/>
      <c r="I100" s="910"/>
      <c r="J100" s="745">
        <f>SUM(F100:I100)</f>
        <v>0</v>
      </c>
      <c r="K100" s="1141"/>
      <c r="L100" s="1141"/>
      <c r="M100" s="1141"/>
      <c r="N100" s="1141"/>
      <c r="O100" s="1141"/>
      <c r="P100" s="1141"/>
      <c r="Q100" s="1141"/>
      <c r="R100" s="1141"/>
      <c r="S100" s="1141"/>
      <c r="T100" s="1141"/>
      <c r="U100" s="1141"/>
    </row>
    <row r="101" spans="1:21" ht="19.5" hidden="1" thickBot="1">
      <c r="A101" s="2572"/>
      <c r="B101" s="2658"/>
      <c r="C101" s="747" t="s">
        <v>2011</v>
      </c>
      <c r="E101" s="1335"/>
      <c r="F101" s="1336"/>
      <c r="G101" s="1336"/>
      <c r="H101" s="1337"/>
      <c r="I101" s="1295"/>
      <c r="J101" s="780">
        <f>J100</f>
        <v>0</v>
      </c>
      <c r="K101" s="1141"/>
      <c r="L101" s="1141"/>
      <c r="M101" s="1141"/>
      <c r="N101" s="1141"/>
      <c r="O101" s="1141"/>
      <c r="P101" s="1141"/>
      <c r="Q101" s="1141"/>
      <c r="R101" s="1141"/>
      <c r="S101" s="1141"/>
      <c r="T101" s="1141"/>
      <c r="U101" s="1141"/>
    </row>
    <row r="102" spans="1:21" ht="19.5" hidden="1" thickBot="1">
      <c r="A102" s="2572"/>
      <c r="B102" s="2658"/>
      <c r="C102" s="747" t="s">
        <v>2012</v>
      </c>
      <c r="F102" s="908">
        <f>IF(F101="sim",F$98*1.375,0)</f>
        <v>0</v>
      </c>
      <c r="G102" s="908">
        <f>IF(G101="sim",G$98*1.375,0)</f>
        <v>0</v>
      </c>
      <c r="H102" s="922"/>
      <c r="I102" s="910"/>
      <c r="J102" s="745">
        <f>SUM(F102:I102)</f>
        <v>0</v>
      </c>
      <c r="K102" s="1141"/>
      <c r="L102" s="1141"/>
      <c r="M102" s="1141"/>
      <c r="N102" s="1141"/>
      <c r="O102" s="1141"/>
      <c r="P102" s="1141"/>
      <c r="Q102" s="1141"/>
      <c r="R102" s="1141"/>
      <c r="S102" s="1141"/>
      <c r="T102" s="1141"/>
      <c r="U102" s="1141"/>
    </row>
    <row r="103" spans="1:21" ht="19.5" hidden="1" thickBot="1">
      <c r="A103" s="2572"/>
      <c r="B103" s="2658"/>
      <c r="C103" s="747" t="s">
        <v>2013</v>
      </c>
      <c r="D103" s="1334"/>
      <c r="E103" s="1335"/>
      <c r="F103" s="1336"/>
      <c r="G103" s="1336"/>
      <c r="H103" s="1337"/>
      <c r="I103" s="1295"/>
      <c r="J103" s="780">
        <f>J102</f>
        <v>0</v>
      </c>
      <c r="K103" s="1141"/>
      <c r="L103" s="1141"/>
      <c r="M103" s="1141"/>
      <c r="N103" s="1141"/>
      <c r="O103" s="1141"/>
      <c r="P103" s="1141"/>
      <c r="Q103" s="1141"/>
      <c r="R103" s="1141"/>
      <c r="S103" s="1141"/>
      <c r="T103" s="1141"/>
      <c r="U103" s="1141"/>
    </row>
    <row r="104" spans="1:21" ht="23.25" hidden="1" thickBot="1">
      <c r="A104" s="2572"/>
      <c r="B104" s="2707"/>
      <c r="C104" s="754" t="s">
        <v>2014</v>
      </c>
      <c r="D104" s="1338"/>
      <c r="E104" s="1339"/>
      <c r="F104" s="901">
        <f>IF(F103="sim",F$98*1.4667,0)</f>
        <v>0</v>
      </c>
      <c r="G104" s="901">
        <f>IF(G103="sim",G$98*1.4667,0)</f>
        <v>0</v>
      </c>
      <c r="H104" s="1305"/>
      <c r="I104" s="912"/>
      <c r="J104" s="745">
        <f t="shared" ref="J104:J118" si="6">SUM(F104:I104)</f>
        <v>0</v>
      </c>
      <c r="K104" s="1141"/>
      <c r="L104" s="1141"/>
      <c r="M104" s="1141"/>
      <c r="N104" s="1141"/>
      <c r="O104" s="1141"/>
      <c r="P104" s="1141"/>
      <c r="Q104" s="1141"/>
      <c r="R104" s="1141"/>
      <c r="S104" s="1141"/>
      <c r="T104" s="1141"/>
      <c r="U104" s="1141"/>
    </row>
    <row r="105" spans="1:21" ht="19.5" hidden="1" thickBot="1">
      <c r="A105" s="2572"/>
      <c r="B105" s="2708" t="s">
        <v>2015</v>
      </c>
      <c r="C105" s="740" t="s">
        <v>1693</v>
      </c>
      <c r="D105" s="759"/>
      <c r="E105" s="1274"/>
      <c r="F105" s="908">
        <f>F90*F89</f>
        <v>0</v>
      </c>
      <c r="G105" s="908">
        <f>G90*G89</f>
        <v>0</v>
      </c>
      <c r="H105" s="922"/>
      <c r="I105" s="910"/>
      <c r="J105" s="745">
        <f t="shared" si="6"/>
        <v>0</v>
      </c>
      <c r="K105" s="1141"/>
      <c r="L105" s="1141"/>
      <c r="M105" s="1141"/>
      <c r="N105" s="1141"/>
      <c r="O105" s="1141"/>
      <c r="P105" s="1141"/>
      <c r="Q105" s="1141"/>
      <c r="R105" s="1141"/>
      <c r="S105" s="1141"/>
      <c r="T105" s="1141"/>
      <c r="U105" s="1141"/>
    </row>
    <row r="106" spans="1:21" ht="23.25" hidden="1" thickBot="1">
      <c r="A106" s="2572"/>
      <c r="B106" s="2709"/>
      <c r="C106" s="754" t="s">
        <v>2016</v>
      </c>
      <c r="D106" s="755"/>
      <c r="E106" s="1284"/>
      <c r="F106" s="908">
        <f>F105*0.0012</f>
        <v>0</v>
      </c>
      <c r="G106" s="908">
        <f>G105*0.0012</f>
        <v>0</v>
      </c>
      <c r="H106" s="922"/>
      <c r="I106" s="912"/>
      <c r="J106" s="745">
        <f t="shared" si="6"/>
        <v>0</v>
      </c>
      <c r="K106" s="1141"/>
      <c r="L106" s="1141"/>
      <c r="M106" s="1141"/>
      <c r="N106" s="1141"/>
      <c r="O106" s="1141"/>
      <c r="P106" s="1141"/>
      <c r="Q106" s="1141"/>
      <c r="R106" s="1141"/>
      <c r="S106" s="1141"/>
      <c r="T106" s="1141"/>
      <c r="U106" s="1141"/>
    </row>
    <row r="107" spans="1:21" ht="19.5" hidden="1" thickBot="1">
      <c r="A107" s="2572"/>
      <c r="B107" s="2700" t="s">
        <v>2017</v>
      </c>
      <c r="C107" s="1340" t="s">
        <v>2006</v>
      </c>
      <c r="D107" s="1341"/>
      <c r="E107" s="1342"/>
      <c r="F107" s="1343"/>
      <c r="G107" s="1343"/>
      <c r="H107" s="1344"/>
      <c r="I107" s="1295"/>
      <c r="J107" s="745">
        <f t="shared" si="6"/>
        <v>0</v>
      </c>
      <c r="K107" s="1141"/>
      <c r="L107" s="1141"/>
      <c r="M107" s="1141"/>
      <c r="N107" s="1141"/>
      <c r="O107" s="1141"/>
      <c r="P107" s="1141"/>
      <c r="Q107" s="1141"/>
      <c r="R107" s="1141"/>
      <c r="S107" s="1141"/>
      <c r="T107" s="1141"/>
      <c r="U107" s="1141"/>
    </row>
    <row r="108" spans="1:21" ht="19.5" hidden="1" thickBot="1">
      <c r="A108" s="2572"/>
      <c r="B108" s="2710"/>
      <c r="C108" s="747" t="s">
        <v>2018</v>
      </c>
      <c r="F108" s="908">
        <f>F$105*F$107*2.5548/100</f>
        <v>0</v>
      </c>
      <c r="G108" s="908">
        <f>G$105*G$107*2.5548/100</f>
        <v>0</v>
      </c>
      <c r="H108" s="922"/>
      <c r="I108" s="910"/>
      <c r="J108" s="745">
        <f t="shared" si="6"/>
        <v>0</v>
      </c>
      <c r="K108" s="1141"/>
      <c r="L108" s="1141"/>
      <c r="M108" s="1141"/>
      <c r="N108" s="1141"/>
      <c r="O108" s="1141"/>
      <c r="P108" s="1141"/>
      <c r="Q108" s="1141"/>
      <c r="R108" s="1141"/>
      <c r="S108" s="1141"/>
      <c r="T108" s="1141"/>
      <c r="U108" s="1141"/>
    </row>
    <row r="109" spans="1:21" ht="19.5" hidden="1" thickBot="1">
      <c r="A109" s="2572"/>
      <c r="B109" s="2710"/>
      <c r="C109" s="747" t="s">
        <v>2019</v>
      </c>
      <c r="F109" s="908">
        <f>F$105*F$107</f>
        <v>0</v>
      </c>
      <c r="G109" s="908">
        <f>G$105*G$107</f>
        <v>0</v>
      </c>
      <c r="H109" s="922"/>
      <c r="I109" s="910"/>
      <c r="J109" s="745">
        <f t="shared" si="6"/>
        <v>0</v>
      </c>
      <c r="K109" s="1141"/>
      <c r="L109" s="1141"/>
      <c r="M109" s="1141"/>
      <c r="N109" s="1141"/>
      <c r="O109" s="1141"/>
      <c r="P109" s="1141"/>
      <c r="Q109" s="1141"/>
      <c r="R109" s="1141"/>
      <c r="S109" s="1141"/>
      <c r="T109" s="1141"/>
      <c r="U109" s="1141"/>
    </row>
    <row r="110" spans="1:21" ht="19.5" hidden="1" thickBot="1">
      <c r="A110" s="2572"/>
      <c r="B110" s="2710"/>
      <c r="C110" s="763" t="s">
        <v>2020</v>
      </c>
      <c r="F110" s="908">
        <f>F108*0.06</f>
        <v>0</v>
      </c>
      <c r="G110" s="908">
        <f>G108*0.06</f>
        <v>0</v>
      </c>
      <c r="H110" s="922"/>
      <c r="I110" s="910"/>
      <c r="J110" s="745">
        <f t="shared" si="6"/>
        <v>0</v>
      </c>
      <c r="K110" s="1141"/>
      <c r="L110" s="1141"/>
      <c r="M110" s="1141"/>
      <c r="N110" s="1141"/>
      <c r="O110" s="1141"/>
      <c r="P110" s="1141"/>
      <c r="Q110" s="1141"/>
      <c r="R110" s="1141"/>
      <c r="S110" s="1141"/>
      <c r="T110" s="1141"/>
      <c r="U110" s="1141"/>
    </row>
    <row r="111" spans="1:21" ht="19.5" hidden="1" thickBot="1">
      <c r="A111" s="2572"/>
      <c r="B111" s="2710"/>
      <c r="C111" s="1345" t="s">
        <v>2021</v>
      </c>
      <c r="F111" s="908">
        <f>F108*0.161</f>
        <v>0</v>
      </c>
      <c r="G111" s="908">
        <f>G108*0.161</f>
        <v>0</v>
      </c>
      <c r="H111" s="922"/>
      <c r="I111" s="910"/>
      <c r="J111" s="745">
        <f t="shared" si="6"/>
        <v>0</v>
      </c>
      <c r="K111" s="1141"/>
      <c r="L111" s="1141"/>
      <c r="M111" s="1141"/>
      <c r="N111" s="1141"/>
      <c r="O111" s="1141"/>
      <c r="P111" s="1141"/>
      <c r="Q111" s="1141"/>
      <c r="R111" s="1141"/>
      <c r="S111" s="1141"/>
      <c r="T111" s="1141"/>
      <c r="U111" s="1141"/>
    </row>
    <row r="112" spans="1:21" ht="19.5" hidden="1" thickBot="1">
      <c r="A112" s="2572"/>
      <c r="B112" s="2701"/>
      <c r="C112" s="1346" t="s">
        <v>2022</v>
      </c>
      <c r="D112" s="755"/>
      <c r="E112" s="1284"/>
      <c r="F112" s="901">
        <f>F108*0.447</f>
        <v>0</v>
      </c>
      <c r="G112" s="901">
        <f>G108*0.447</f>
        <v>0</v>
      </c>
      <c r="H112" s="1305"/>
      <c r="I112" s="912"/>
      <c r="J112" s="745">
        <f t="shared" si="6"/>
        <v>0</v>
      </c>
      <c r="K112" s="1141"/>
      <c r="L112" s="1141"/>
      <c r="M112" s="1141"/>
      <c r="N112" s="1141"/>
      <c r="O112" s="1141"/>
      <c r="P112" s="1141"/>
      <c r="Q112" s="1141"/>
      <c r="R112" s="1141"/>
      <c r="S112" s="1141"/>
      <c r="T112" s="1141"/>
      <c r="U112" s="1141"/>
    </row>
    <row r="113" spans="1:21" ht="19.5" hidden="1" thickBot="1">
      <c r="A113" s="2572"/>
      <c r="B113" s="2706" t="s">
        <v>2023</v>
      </c>
      <c r="C113" s="1347" t="s">
        <v>2006</v>
      </c>
      <c r="D113" s="1341"/>
      <c r="E113" s="1342"/>
      <c r="F113" s="1343"/>
      <c r="G113" s="1343"/>
      <c r="H113" s="1344"/>
      <c r="I113" s="1295"/>
      <c r="J113" s="745">
        <f t="shared" si="6"/>
        <v>0</v>
      </c>
      <c r="K113" s="1141"/>
      <c r="L113" s="1141"/>
      <c r="M113" s="1141"/>
      <c r="N113" s="1141"/>
      <c r="O113" s="1141"/>
      <c r="P113" s="1141"/>
      <c r="Q113" s="1141"/>
      <c r="R113" s="1141"/>
      <c r="S113" s="1141"/>
      <c r="T113" s="1141"/>
      <c r="U113" s="1141"/>
    </row>
    <row r="114" spans="1:21" ht="19.5" hidden="1" thickBot="1">
      <c r="A114" s="2572"/>
      <c r="B114" s="2658"/>
      <c r="C114" s="747" t="s">
        <v>2024</v>
      </c>
      <c r="F114" s="908">
        <f>F105*F113*2.346/100</f>
        <v>0</v>
      </c>
      <c r="G114" s="908">
        <f>G105*G113*2.346/100</f>
        <v>0</v>
      </c>
      <c r="H114" s="922"/>
      <c r="I114" s="910"/>
      <c r="J114" s="745">
        <f t="shared" si="6"/>
        <v>0</v>
      </c>
      <c r="K114" s="1141"/>
      <c r="L114" s="1141"/>
      <c r="M114" s="1141"/>
      <c r="N114" s="1141"/>
      <c r="O114" s="1141"/>
      <c r="P114" s="1141"/>
      <c r="Q114" s="1141"/>
      <c r="R114" s="1141"/>
      <c r="S114" s="1141"/>
      <c r="T114" s="1141"/>
      <c r="U114" s="1141"/>
    </row>
    <row r="115" spans="1:21" ht="19.5" hidden="1" thickBot="1">
      <c r="A115" s="2572"/>
      <c r="B115" s="2658"/>
      <c r="C115" s="747" t="s">
        <v>2019</v>
      </c>
      <c r="F115" s="908">
        <f>F113*F105</f>
        <v>0</v>
      </c>
      <c r="G115" s="908">
        <f>G113*G105</f>
        <v>0</v>
      </c>
      <c r="H115" s="922"/>
      <c r="I115" s="910"/>
      <c r="J115" s="745">
        <f t="shared" si="6"/>
        <v>0</v>
      </c>
      <c r="K115" s="1141"/>
      <c r="L115" s="1141"/>
      <c r="M115" s="1141"/>
      <c r="N115" s="1141"/>
      <c r="O115" s="1141"/>
      <c r="P115" s="1141"/>
      <c r="Q115" s="1141"/>
      <c r="R115" s="1141"/>
      <c r="S115" s="1141"/>
      <c r="T115" s="1141"/>
      <c r="U115" s="1141"/>
    </row>
    <row r="116" spans="1:21" ht="19.5" hidden="1" thickBot="1">
      <c r="A116" s="2572"/>
      <c r="B116" s="2658"/>
      <c r="C116" s="763" t="s">
        <v>2025</v>
      </c>
      <c r="F116" s="908">
        <f>F114*0.132</f>
        <v>0</v>
      </c>
      <c r="G116" s="908">
        <f>G114*0.132</f>
        <v>0</v>
      </c>
      <c r="H116" s="922"/>
      <c r="I116" s="910"/>
      <c r="J116" s="745">
        <f t="shared" si="6"/>
        <v>0</v>
      </c>
      <c r="K116" s="1141"/>
      <c r="L116" s="1141"/>
      <c r="M116" s="1141"/>
      <c r="N116" s="1141"/>
      <c r="O116" s="1141"/>
      <c r="P116" s="1141"/>
      <c r="Q116" s="1141"/>
      <c r="R116" s="1141"/>
      <c r="S116" s="1141"/>
      <c r="T116" s="1141"/>
      <c r="U116" s="1141"/>
    </row>
    <row r="117" spans="1:21" ht="19.5" hidden="1" thickBot="1">
      <c r="A117" s="2572"/>
      <c r="B117" s="2658"/>
      <c r="C117" s="1345" t="s">
        <v>2026</v>
      </c>
      <c r="F117" s="908">
        <f>F114*0.411</f>
        <v>0</v>
      </c>
      <c r="G117" s="908">
        <f>G114*0.411</f>
        <v>0</v>
      </c>
      <c r="H117" s="922"/>
      <c r="I117" s="910"/>
      <c r="J117" s="745">
        <f t="shared" si="6"/>
        <v>0</v>
      </c>
      <c r="K117" s="1141"/>
      <c r="L117" s="1141"/>
      <c r="M117" s="1141"/>
      <c r="N117" s="1141"/>
      <c r="O117" s="1141"/>
      <c r="P117" s="1141"/>
      <c r="Q117" s="1141"/>
      <c r="R117" s="1141"/>
      <c r="S117" s="1141"/>
      <c r="T117" s="1141"/>
      <c r="U117" s="1141"/>
    </row>
    <row r="118" spans="1:21" ht="19.5" hidden="1" thickBot="1">
      <c r="A118" s="2572"/>
      <c r="B118" s="2707"/>
      <c r="C118" s="765" t="s">
        <v>2027</v>
      </c>
      <c r="D118" s="755"/>
      <c r="E118" s="1284"/>
      <c r="F118" s="901">
        <f>F114*0.968</f>
        <v>0</v>
      </c>
      <c r="G118" s="901">
        <f>G114*0.968</f>
        <v>0</v>
      </c>
      <c r="H118" s="1305"/>
      <c r="I118" s="912"/>
      <c r="J118" s="745">
        <f t="shared" si="6"/>
        <v>0</v>
      </c>
      <c r="K118" s="1141"/>
      <c r="L118" s="1141"/>
      <c r="M118" s="1141"/>
      <c r="N118" s="1141"/>
      <c r="O118" s="1141"/>
      <c r="P118" s="1141"/>
      <c r="Q118" s="1141"/>
      <c r="R118" s="1141"/>
      <c r="S118" s="1141"/>
      <c r="T118" s="1141"/>
      <c r="U118" s="1141"/>
    </row>
    <row r="119" spans="1:21" ht="50.1" customHeight="1" thickBot="1">
      <c r="A119" s="2573"/>
      <c r="B119" s="2641" t="s">
        <v>1400</v>
      </c>
      <c r="C119" s="2697"/>
      <c r="D119" s="1348"/>
      <c r="E119" s="1349"/>
      <c r="F119" s="1350"/>
      <c r="G119" s="1350"/>
      <c r="H119" s="1351"/>
      <c r="I119" s="1352"/>
      <c r="J119" s="794">
        <v>1</v>
      </c>
    </row>
    <row r="120" spans="1:21" ht="19.5" thickTop="1">
      <c r="F120" s="1353"/>
      <c r="G120" s="1353"/>
      <c r="H120" s="1353"/>
      <c r="I120" s="1354"/>
    </row>
  </sheetData>
  <autoFilter ref="A1:J119" xr:uid="{00000000-0001-0000-1500-000000000000}">
    <filterColumn colId="1" showButton="0"/>
    <filterColumn colId="9">
      <customFilters>
        <customFilter operator="notEqual" val=" "/>
      </customFilters>
    </filterColumn>
  </autoFilter>
  <mergeCells count="40">
    <mergeCell ref="B40:B44"/>
    <mergeCell ref="A1:A119"/>
    <mergeCell ref="B1:C1"/>
    <mergeCell ref="B2:C2"/>
    <mergeCell ref="B3:C3"/>
    <mergeCell ref="B4:B6"/>
    <mergeCell ref="B7:B8"/>
    <mergeCell ref="B9:B14"/>
    <mergeCell ref="B15:C15"/>
    <mergeCell ref="B16:B19"/>
    <mergeCell ref="B20:B24"/>
    <mergeCell ref="B25:B27"/>
    <mergeCell ref="B28:B32"/>
    <mergeCell ref="B33:B35"/>
    <mergeCell ref="B36:B37"/>
    <mergeCell ref="B38:B39"/>
    <mergeCell ref="B60:C60"/>
    <mergeCell ref="B45:C45"/>
    <mergeCell ref="B46:B49"/>
    <mergeCell ref="B50:C50"/>
    <mergeCell ref="B51:C51"/>
    <mergeCell ref="B52:C52"/>
    <mergeCell ref="B53:B57"/>
    <mergeCell ref="K56:N56"/>
    <mergeCell ref="O56:R56"/>
    <mergeCell ref="S56:U56"/>
    <mergeCell ref="W56:W58"/>
    <mergeCell ref="B58:B59"/>
    <mergeCell ref="B119:C119"/>
    <mergeCell ref="B61:B65"/>
    <mergeCell ref="B66:B67"/>
    <mergeCell ref="B68:B77"/>
    <mergeCell ref="B78:B87"/>
    <mergeCell ref="B88:C88"/>
    <mergeCell ref="B89:B94"/>
    <mergeCell ref="B95:B96"/>
    <mergeCell ref="B97:B104"/>
    <mergeCell ref="B105:B106"/>
    <mergeCell ref="B107:B112"/>
    <mergeCell ref="B113:B118"/>
  </mergeCells>
  <conditionalFormatting sqref="E3">
    <cfRule type="cellIs" dxfId="74" priority="2" operator="lessThan">
      <formula>0</formula>
    </cfRule>
  </conditionalFormatting>
  <conditionalFormatting sqref="E15:E19">
    <cfRule type="cellIs" dxfId="73" priority="4" operator="lessThan">
      <formula>0</formula>
    </cfRule>
  </conditionalFormatting>
  <conditionalFormatting sqref="E51">
    <cfRule type="cellIs" dxfId="72" priority="3" operator="lessThan">
      <formula>0</formula>
    </cfRule>
  </conditionalFormatting>
  <conditionalFormatting sqref="E53">
    <cfRule type="cellIs" dxfId="71" priority="5" operator="lessThan">
      <formula>E61</formula>
    </cfRule>
  </conditionalFormatting>
  <conditionalFormatting sqref="E88">
    <cfRule type="cellIs" dxfId="70" priority="1" operator="lessThan">
      <formula>0</formula>
    </cfRule>
  </conditionalFormatting>
  <hyperlinks>
    <hyperlink ref="B1:C1" location="PAINEL!A1" display="TRECHOS" xr:uid="{23773E98-BB8A-48C9-A5C5-7573BAECC05E}"/>
  </hyperlinks>
  <pageMargins left="0.39370078740157477" right="0.59055118110236215" top="0.39370078740157477" bottom="0.59055118110236215" header="0.31496062992125984" footer="0.23622047244094491"/>
  <pageSetup paperSize="9" fitToWidth="2" orientation="landscape" r:id="rId1"/>
  <headerFooter>
    <oddFooter>&amp;C&amp;8Página &amp;P/&amp;N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F43F5-4512-4070-8EA6-515E5881AD80}">
  <sheetPr codeName="Planilha30" filterMode="1">
    <pageSetUpPr fitToPage="1"/>
  </sheetPr>
  <dimension ref="A1:Y103"/>
  <sheetViews>
    <sheetView showZeros="0" topLeftCell="N1" zoomScaleNormal="100" workbookViewId="0">
      <selection sqref="A1:A101"/>
    </sheetView>
  </sheetViews>
  <sheetFormatPr defaultColWidth="9" defaultRowHeight="18.75"/>
  <cols>
    <col min="1" max="1" width="9.75" style="746" customWidth="1"/>
    <col min="2" max="2" width="14.625" style="786" customWidth="1"/>
    <col min="3" max="3" width="35.625" style="786" customWidth="1"/>
    <col min="4" max="4" width="3.625" style="748" hidden="1" customWidth="1"/>
    <col min="5" max="5" width="8.375" style="786" hidden="1" customWidth="1"/>
    <col min="6" max="6" width="12.625" style="786" customWidth="1"/>
    <col min="7" max="20" width="12.625" style="746" customWidth="1"/>
    <col min="21" max="21" width="12.625" style="948" customWidth="1"/>
    <col min="22" max="22" width="16" style="746" customWidth="1"/>
    <col min="23" max="23" width="10.75" style="746" customWidth="1"/>
    <col min="24" max="24" width="15.625" style="746" customWidth="1"/>
    <col min="25" max="16384" width="9" style="746"/>
  </cols>
  <sheetData>
    <row r="1" spans="1:23" s="739" customFormat="1" ht="60" customHeight="1" thickTop="1" thickBot="1">
      <c r="A1" s="2571" t="s">
        <v>2028</v>
      </c>
      <c r="B1" s="2724" t="s">
        <v>1467</v>
      </c>
      <c r="C1" s="2725"/>
      <c r="D1" s="734"/>
      <c r="E1" s="735" t="s">
        <v>1468</v>
      </c>
      <c r="F1" s="735" t="s">
        <v>1470</v>
      </c>
      <c r="G1" s="671">
        <f>Dren_Quantificacao!D1</f>
        <v>1</v>
      </c>
      <c r="H1" s="671">
        <f>Dren_Quantificacao!E1</f>
        <v>2</v>
      </c>
      <c r="I1" s="671">
        <f>Dren_Quantificacao!F1</f>
        <v>3</v>
      </c>
      <c r="J1" s="671">
        <f>Dren_Quantificacao!G1</f>
        <v>4</v>
      </c>
      <c r="K1" s="671">
        <f>Dren_Quantificacao!H1</f>
        <v>5</v>
      </c>
      <c r="L1" s="671">
        <f>Dren_Quantificacao!I1</f>
        <v>6</v>
      </c>
      <c r="M1" s="671">
        <f>Dren_Quantificacao!J1</f>
        <v>7</v>
      </c>
      <c r="N1" s="671">
        <f>Dren_Quantificacao!K1</f>
        <v>8</v>
      </c>
      <c r="O1" s="671">
        <f>Dren_Quantificacao!L1</f>
        <v>9</v>
      </c>
      <c r="P1" s="671">
        <f>Dren_Quantificacao!M1</f>
        <v>10</v>
      </c>
      <c r="Q1" s="671">
        <f>Dren_Quantificacao!N1</f>
        <v>11</v>
      </c>
      <c r="R1" s="671">
        <f>Dren_Quantificacao!O1</f>
        <v>12</v>
      </c>
      <c r="S1" s="671" t="str">
        <f>Dren_Quantificacao!BD1</f>
        <v>DRENAGEM EXISTENTE</v>
      </c>
      <c r="T1" s="671"/>
      <c r="U1" s="876"/>
      <c r="V1" s="738" t="s">
        <v>1708</v>
      </c>
      <c r="W1" s="739">
        <f>SUBTOTAL(3,V:V)</f>
        <v>2</v>
      </c>
    </row>
    <row r="2" spans="1:23" ht="21.95" hidden="1" customHeight="1" thickTop="1" thickBot="1">
      <c r="A2" s="2572"/>
      <c r="B2" s="2626" t="s">
        <v>1539</v>
      </c>
      <c r="C2" s="2627"/>
      <c r="D2" s="877"/>
      <c r="E2" s="1355"/>
      <c r="F2" s="1356">
        <f>Dre_Profunda!I90</f>
        <v>0</v>
      </c>
      <c r="G2" s="1356">
        <f>IF(G32&gt;0,Dren_Quantificacao!D4,0)</f>
        <v>0</v>
      </c>
      <c r="H2" s="1356">
        <f>IF(H32&gt;0,Dren_Quantificacao!E4,0)</f>
        <v>0</v>
      </c>
      <c r="I2" s="1356">
        <f>IF(I32&gt;0,Dren_Quantificacao!F4,0)</f>
        <v>0</v>
      </c>
      <c r="J2" s="1356">
        <f>IF(J32&gt;0,Dren_Quantificacao!G4,0)</f>
        <v>0</v>
      </c>
      <c r="K2" s="1356">
        <f>IF(K32&gt;0,Dren_Quantificacao!H4,0)</f>
        <v>0</v>
      </c>
      <c r="L2" s="1356">
        <f>IF(L32&gt;0,Dren_Quantificacao!I4,0)</f>
        <v>0</v>
      </c>
      <c r="M2" s="1356">
        <f>IF(M32&gt;0,Dren_Quantificacao!J4,0)</f>
        <v>0</v>
      </c>
      <c r="N2" s="1356">
        <f>IF(N32&gt;0,Dren_Quantificacao!K4,0)</f>
        <v>0</v>
      </c>
      <c r="O2" s="1356">
        <f>IF(O32&gt;0,Dren_Quantificacao!L4,0)</f>
        <v>0</v>
      </c>
      <c r="P2" s="1356">
        <f>IF(P32&gt;0,Dren_Quantificacao!M4,0)</f>
        <v>0</v>
      </c>
      <c r="Q2" s="1356">
        <f>IF(Q32&gt;0,Dren_Quantificacao!N4,0)</f>
        <v>0</v>
      </c>
      <c r="R2" s="1356">
        <f>IF(R32&gt;0,Dren_Quantificacao!O4,0)</f>
        <v>0</v>
      </c>
      <c r="S2" s="1356">
        <f>IF(S32&gt;0,Dren_Quantificacao!BD4,0)</f>
        <v>0</v>
      </c>
      <c r="T2" s="1356"/>
      <c r="U2" s="1357"/>
      <c r="V2" s="745">
        <f t="shared" ref="V2:V33" si="0">SUM(F2:U2)</f>
        <v>0</v>
      </c>
    </row>
    <row r="3" spans="1:23" s="714" customFormat="1" ht="21.95" hidden="1" customHeight="1">
      <c r="A3" s="2572"/>
      <c r="B3" s="2631" t="s">
        <v>1540</v>
      </c>
      <c r="C3" s="882" t="s">
        <v>1541</v>
      </c>
      <c r="D3" s="883"/>
      <c r="E3" s="957"/>
      <c r="F3" s="772"/>
      <c r="G3" s="772">
        <f>IF(G32&gt;0,+Dren_Quantificacao!D5,0)</f>
        <v>0</v>
      </c>
      <c r="H3" s="772">
        <f>IF(H32&gt;0,+Dren_Quantificacao!E5,0)</f>
        <v>0</v>
      </c>
      <c r="I3" s="772">
        <f>IF(I32&gt;0,+Dren_Quantificacao!F5,0)</f>
        <v>0</v>
      </c>
      <c r="J3" s="772">
        <f>IF(J32&gt;0,+Dren_Quantificacao!G5,0)</f>
        <v>0</v>
      </c>
      <c r="K3" s="772">
        <f>IF(K32&gt;0,+Dren_Quantificacao!H5,0)</f>
        <v>0</v>
      </c>
      <c r="L3" s="772">
        <f>IF(L32&gt;0,+Dren_Quantificacao!I5,0)</f>
        <v>0</v>
      </c>
      <c r="M3" s="772">
        <f>IF(M32&gt;0,+Dren_Quantificacao!J5,0)</f>
        <v>0</v>
      </c>
      <c r="N3" s="772">
        <f>IF(N32&gt;0,+Dren_Quantificacao!K5,0)</f>
        <v>0</v>
      </c>
      <c r="O3" s="772">
        <f>IF(O32&gt;0,+Dren_Quantificacao!L5,0)</f>
        <v>0</v>
      </c>
      <c r="P3" s="772">
        <f>IF(P32&gt;0,+Dren_Quantificacao!M5,0)</f>
        <v>0</v>
      </c>
      <c r="Q3" s="772">
        <f>IF(Q32&gt;0,+Dren_Quantificacao!N5,0)</f>
        <v>0</v>
      </c>
      <c r="R3" s="772">
        <f>IF(R32&gt;0,+Dren_Quantificacao!O5,0)</f>
        <v>0</v>
      </c>
      <c r="S3" s="772">
        <f>IF(S32&gt;0,+Dren_Quantificacao!BD5,0)</f>
        <v>0</v>
      </c>
      <c r="T3" s="772"/>
      <c r="U3" s="959"/>
      <c r="V3" s="745">
        <f t="shared" si="0"/>
        <v>0</v>
      </c>
    </row>
    <row r="4" spans="1:23" ht="21.95" hidden="1" customHeight="1" thickBot="1">
      <c r="A4" s="2572"/>
      <c r="B4" s="2632"/>
      <c r="C4" s="754" t="s">
        <v>1542</v>
      </c>
      <c r="D4" s="755"/>
      <c r="E4" s="756"/>
      <c r="F4" s="891"/>
      <c r="G4" s="891">
        <f>IF(G32&gt;0,+Dren_Quantificacao!D6,0)</f>
        <v>0</v>
      </c>
      <c r="H4" s="891">
        <f>IF(H32&gt;0,+Dren_Quantificacao!E6,0)</f>
        <v>0</v>
      </c>
      <c r="I4" s="891">
        <f>IF(I32&gt;0,+Dren_Quantificacao!F6,0)</f>
        <v>0</v>
      </c>
      <c r="J4" s="891">
        <f>IF(J32&gt;0,+Dren_Quantificacao!G6,0)</f>
        <v>0</v>
      </c>
      <c r="K4" s="891">
        <f>IF(K32&gt;0,+Dren_Quantificacao!H6,0)</f>
        <v>0</v>
      </c>
      <c r="L4" s="891">
        <f>IF(L32&gt;0,+Dren_Quantificacao!I6,0)</f>
        <v>0</v>
      </c>
      <c r="M4" s="891">
        <f>IF(M32&gt;0,+Dren_Quantificacao!J6,0)</f>
        <v>0</v>
      </c>
      <c r="N4" s="891">
        <f>IF(N32&gt;0,+Dren_Quantificacao!K6,0)</f>
        <v>0</v>
      </c>
      <c r="O4" s="891">
        <f>IF(O32&gt;0,+Dren_Quantificacao!L6,0)</f>
        <v>0</v>
      </c>
      <c r="P4" s="891">
        <f>IF(P32&gt;0,+Dren_Quantificacao!M6,0)</f>
        <v>0</v>
      </c>
      <c r="Q4" s="891">
        <f>IF(Q32&gt;0,+Dren_Quantificacao!N6,0)</f>
        <v>0</v>
      </c>
      <c r="R4" s="891">
        <f>IF(R32&gt;0,+Dren_Quantificacao!O6,0)</f>
        <v>0</v>
      </c>
      <c r="S4" s="891">
        <f>IF(S32&gt;0,+Dren_Quantificacao!BD6,0)</f>
        <v>0</v>
      </c>
      <c r="T4" s="891"/>
      <c r="U4" s="969"/>
      <c r="V4" s="745">
        <f t="shared" si="0"/>
        <v>0</v>
      </c>
    </row>
    <row r="5" spans="1:23" ht="21.95" hidden="1" customHeight="1" thickBot="1">
      <c r="A5" s="2572"/>
      <c r="B5" s="2679" t="s">
        <v>1710</v>
      </c>
      <c r="C5" s="2671"/>
      <c r="D5" s="770"/>
      <c r="E5" s="1358"/>
      <c r="F5" s="1359"/>
      <c r="G5" s="1359">
        <f>IF(G32&gt;0,Dren_Quantificacao!D8,0)</f>
        <v>0</v>
      </c>
      <c r="H5" s="1359">
        <f>IF(H32&gt;0,Dren_Quantificacao!E8,0)</f>
        <v>0</v>
      </c>
      <c r="I5" s="1359">
        <f>IF(I32&gt;0,Dren_Quantificacao!F8,0)</f>
        <v>0</v>
      </c>
      <c r="J5" s="1359">
        <f>IF(J32&gt;0,Dren_Quantificacao!G8,0)</f>
        <v>0</v>
      </c>
      <c r="K5" s="1359">
        <f>IF(K32&gt;0,Dren_Quantificacao!H8,0)</f>
        <v>0</v>
      </c>
      <c r="L5" s="1359">
        <f>IF(L32&gt;0,Dren_Quantificacao!I8,0)</f>
        <v>0</v>
      </c>
      <c r="M5" s="1359">
        <f>IF(M32&gt;0,Dren_Quantificacao!J8,0)</f>
        <v>0</v>
      </c>
      <c r="N5" s="1359">
        <f>IF(N32&gt;0,Dren_Quantificacao!K8,0)</f>
        <v>0</v>
      </c>
      <c r="O5" s="1359">
        <f>IF(O32&gt;0,Dren_Quantificacao!L8,0)</f>
        <v>0</v>
      </c>
      <c r="P5" s="1359">
        <f>IF(P32&gt;0,Dren_Quantificacao!M8,0)</f>
        <v>0</v>
      </c>
      <c r="Q5" s="1359">
        <f>IF(Q32&gt;0,Dren_Quantificacao!N8,0)</f>
        <v>0</v>
      </c>
      <c r="R5" s="1359">
        <f>IF(R32&gt;0,Dren_Quantificacao!O8,0)</f>
        <v>0</v>
      </c>
      <c r="S5" s="1359">
        <f>IF(S32&gt;0,Dren_Quantificacao!BD8,0)</f>
        <v>0</v>
      </c>
      <c r="T5" s="1359"/>
      <c r="U5" s="1129"/>
      <c r="V5" s="745">
        <f t="shared" si="0"/>
        <v>0</v>
      </c>
    </row>
    <row r="6" spans="1:23" ht="21.95" hidden="1" customHeight="1">
      <c r="A6" s="2572"/>
      <c r="B6" s="2584" t="s">
        <v>2029</v>
      </c>
      <c r="C6" s="740" t="s">
        <v>1691</v>
      </c>
      <c r="D6" s="759"/>
      <c r="E6" s="760"/>
      <c r="F6" s="1187"/>
      <c r="G6" s="1187">
        <f>Dre_Ser_Prelim!F11</f>
        <v>0</v>
      </c>
      <c r="H6" s="1187">
        <f>Dre_Ser_Prelim!G11</f>
        <v>0</v>
      </c>
      <c r="I6" s="1187">
        <f>Dre_Ser_Prelim!H11</f>
        <v>0</v>
      </c>
      <c r="J6" s="1187">
        <f>Dre_Ser_Prelim!I11</f>
        <v>0</v>
      </c>
      <c r="K6" s="1187">
        <f>Dre_Ser_Prelim!J11</f>
        <v>0</v>
      </c>
      <c r="L6" s="1187">
        <f>Dre_Ser_Prelim!K11</f>
        <v>0</v>
      </c>
      <c r="M6" s="1187">
        <f>Dre_Ser_Prelim!L11</f>
        <v>0</v>
      </c>
      <c r="N6" s="1187">
        <f>Dre_Ser_Prelim!M11</f>
        <v>0</v>
      </c>
      <c r="O6" s="1187">
        <f>Dre_Ser_Prelim!N11</f>
        <v>0</v>
      </c>
      <c r="P6" s="1187">
        <f>Dre_Ser_Prelim!O11</f>
        <v>0</v>
      </c>
      <c r="Q6" s="1187">
        <f>Dre_Ser_Prelim!P11</f>
        <v>0</v>
      </c>
      <c r="R6" s="1187">
        <f>Dre_Ser_Prelim!Q11</f>
        <v>0</v>
      </c>
      <c r="S6" s="1187">
        <f>Dre_Ser_Prelim!S11</f>
        <v>0</v>
      </c>
      <c r="T6" s="1187"/>
      <c r="U6" s="1360"/>
      <c r="V6" s="745">
        <f t="shared" si="0"/>
        <v>0</v>
      </c>
    </row>
    <row r="7" spans="1:23" ht="21.95" hidden="1" customHeight="1">
      <c r="A7" s="2572"/>
      <c r="B7" s="2585"/>
      <c r="C7" s="747" t="s">
        <v>1539</v>
      </c>
      <c r="E7" s="749"/>
      <c r="F7" s="1361"/>
      <c r="G7" s="1361">
        <f>Dren_Quantificacao!D27</f>
        <v>0</v>
      </c>
      <c r="H7" s="1361">
        <f>Dren_Quantificacao!E27</f>
        <v>0</v>
      </c>
      <c r="I7" s="1361">
        <f>Dren_Quantificacao!F27</f>
        <v>0</v>
      </c>
      <c r="J7" s="1361">
        <f>Dren_Quantificacao!G27</f>
        <v>0</v>
      </c>
      <c r="K7" s="1361">
        <f>Dren_Quantificacao!H27</f>
        <v>0</v>
      </c>
      <c r="L7" s="1361">
        <f>Dren_Quantificacao!I27</f>
        <v>0</v>
      </c>
      <c r="M7" s="1361">
        <f>Dren_Quantificacao!J27</f>
        <v>0</v>
      </c>
      <c r="N7" s="1361">
        <f>Dren_Quantificacao!K27</f>
        <v>0</v>
      </c>
      <c r="O7" s="1361">
        <f>Dren_Quantificacao!L27</f>
        <v>0</v>
      </c>
      <c r="P7" s="1361">
        <f>Dren_Quantificacao!M27</f>
        <v>0</v>
      </c>
      <c r="Q7" s="1361">
        <f>Dren_Quantificacao!N27</f>
        <v>0</v>
      </c>
      <c r="R7" s="1361">
        <f>Dren_Quantificacao!O27</f>
        <v>0</v>
      </c>
      <c r="S7" s="1361">
        <f>Dren_Quantificacao!BD27</f>
        <v>0</v>
      </c>
      <c r="T7" s="1361"/>
      <c r="U7" s="1362"/>
      <c r="V7" s="745">
        <f t="shared" si="0"/>
        <v>0</v>
      </c>
    </row>
    <row r="8" spans="1:23" ht="21.95" hidden="1" customHeight="1" thickBot="1">
      <c r="A8" s="2572"/>
      <c r="B8" s="2586"/>
      <c r="C8" s="754" t="s">
        <v>1693</v>
      </c>
      <c r="D8" s="755"/>
      <c r="E8" s="756"/>
      <c r="F8" s="1363"/>
      <c r="G8" s="1363">
        <f t="shared" ref="G8:R8" si="1">G7*G6</f>
        <v>0</v>
      </c>
      <c r="H8" s="1363">
        <f t="shared" si="1"/>
        <v>0</v>
      </c>
      <c r="I8" s="1363">
        <f t="shared" si="1"/>
        <v>0</v>
      </c>
      <c r="J8" s="1363">
        <f t="shared" si="1"/>
        <v>0</v>
      </c>
      <c r="K8" s="1363">
        <f t="shared" si="1"/>
        <v>0</v>
      </c>
      <c r="L8" s="1363">
        <f t="shared" si="1"/>
        <v>0</v>
      </c>
      <c r="M8" s="1363">
        <f t="shared" si="1"/>
        <v>0</v>
      </c>
      <c r="N8" s="1363">
        <f t="shared" si="1"/>
        <v>0</v>
      </c>
      <c r="O8" s="1363">
        <f t="shared" si="1"/>
        <v>0</v>
      </c>
      <c r="P8" s="1363">
        <f t="shared" si="1"/>
        <v>0</v>
      </c>
      <c r="Q8" s="1363">
        <f t="shared" si="1"/>
        <v>0</v>
      </c>
      <c r="R8" s="1363">
        <f t="shared" si="1"/>
        <v>0</v>
      </c>
      <c r="S8" s="1363">
        <f>S7*S6</f>
        <v>0</v>
      </c>
      <c r="T8" s="1363"/>
      <c r="U8" s="1364"/>
      <c r="V8" s="745">
        <f t="shared" si="0"/>
        <v>0</v>
      </c>
    </row>
    <row r="9" spans="1:23" ht="21.95" hidden="1" customHeight="1">
      <c r="A9" s="2572"/>
      <c r="B9" s="2584" t="s">
        <v>2030</v>
      </c>
      <c r="C9" s="740" t="s">
        <v>1691</v>
      </c>
      <c r="D9" s="759"/>
      <c r="E9" s="760"/>
      <c r="F9" s="1187"/>
      <c r="G9" s="1187">
        <f>Dre_Ser_Prelim!F18</f>
        <v>0</v>
      </c>
      <c r="H9" s="1187">
        <f>Dre_Ser_Prelim!G18</f>
        <v>0</v>
      </c>
      <c r="I9" s="1187">
        <f>Dre_Ser_Prelim!H18</f>
        <v>0</v>
      </c>
      <c r="J9" s="1187">
        <f>Dre_Ser_Prelim!I18</f>
        <v>0</v>
      </c>
      <c r="K9" s="1187">
        <f>Dre_Ser_Prelim!J18</f>
        <v>0</v>
      </c>
      <c r="L9" s="1187">
        <f>Dre_Ser_Prelim!K18</f>
        <v>0</v>
      </c>
      <c r="M9" s="1187">
        <f>Dre_Ser_Prelim!L18</f>
        <v>0</v>
      </c>
      <c r="N9" s="1187">
        <f>Dre_Ser_Prelim!M18</f>
        <v>0</v>
      </c>
      <c r="O9" s="1187">
        <f>Dre_Ser_Prelim!N18</f>
        <v>0</v>
      </c>
      <c r="P9" s="1187">
        <f>Dre_Ser_Prelim!O18</f>
        <v>0</v>
      </c>
      <c r="Q9" s="1187">
        <f>Dre_Ser_Prelim!P18</f>
        <v>0</v>
      </c>
      <c r="R9" s="1187">
        <f>Dre_Ser_Prelim!Q18</f>
        <v>0</v>
      </c>
      <c r="S9" s="1187">
        <f>Dre_Ser_Prelim!S18</f>
        <v>0</v>
      </c>
      <c r="T9" s="1187"/>
      <c r="U9" s="1360"/>
      <c r="V9" s="745">
        <f t="shared" si="0"/>
        <v>0</v>
      </c>
    </row>
    <row r="10" spans="1:23" ht="21.95" hidden="1" customHeight="1">
      <c r="A10" s="2572"/>
      <c r="B10" s="2585"/>
      <c r="C10" s="747" t="s">
        <v>1539</v>
      </c>
      <c r="E10" s="749"/>
      <c r="F10" s="1361"/>
      <c r="G10" s="1361">
        <f>Dren_Quantificacao!D28</f>
        <v>0</v>
      </c>
      <c r="H10" s="1361">
        <f>Dren_Quantificacao!E28</f>
        <v>0</v>
      </c>
      <c r="I10" s="1361">
        <f>Dren_Quantificacao!F28</f>
        <v>0</v>
      </c>
      <c r="J10" s="1361">
        <f>Dren_Quantificacao!G28</f>
        <v>0</v>
      </c>
      <c r="K10" s="1361">
        <f>Dren_Quantificacao!H28</f>
        <v>0</v>
      </c>
      <c r="L10" s="1361">
        <f>Dren_Quantificacao!I28</f>
        <v>0</v>
      </c>
      <c r="M10" s="1361">
        <f>Dren_Quantificacao!J28</f>
        <v>0</v>
      </c>
      <c r="N10" s="1361">
        <f>Dren_Quantificacao!K28</f>
        <v>0</v>
      </c>
      <c r="O10" s="1361">
        <f>Dren_Quantificacao!L28</f>
        <v>0</v>
      </c>
      <c r="P10" s="1361">
        <f>Dren_Quantificacao!M28</f>
        <v>0</v>
      </c>
      <c r="Q10" s="1361">
        <f>Dren_Quantificacao!N28</f>
        <v>0</v>
      </c>
      <c r="R10" s="1361">
        <f>Dren_Quantificacao!O28</f>
        <v>0</v>
      </c>
      <c r="S10" s="1361">
        <f>Dren_Quantificacao!BD28</f>
        <v>0</v>
      </c>
      <c r="T10" s="1361"/>
      <c r="U10" s="1362"/>
      <c r="V10" s="745">
        <f t="shared" si="0"/>
        <v>0</v>
      </c>
    </row>
    <row r="11" spans="1:23" ht="21.95" hidden="1" customHeight="1" thickBot="1">
      <c r="A11" s="2572"/>
      <c r="B11" s="2586"/>
      <c r="C11" s="754" t="s">
        <v>1693</v>
      </c>
      <c r="D11" s="755"/>
      <c r="E11" s="756"/>
      <c r="F11" s="1363"/>
      <c r="G11" s="1363">
        <f t="shared" ref="G11:R11" si="2">G10*G9</f>
        <v>0</v>
      </c>
      <c r="H11" s="1363">
        <f t="shared" si="2"/>
        <v>0</v>
      </c>
      <c r="I11" s="1363">
        <f t="shared" si="2"/>
        <v>0</v>
      </c>
      <c r="J11" s="1363">
        <f t="shared" si="2"/>
        <v>0</v>
      </c>
      <c r="K11" s="1363">
        <f t="shared" si="2"/>
        <v>0</v>
      </c>
      <c r="L11" s="1363">
        <f t="shared" si="2"/>
        <v>0</v>
      </c>
      <c r="M11" s="1363">
        <f t="shared" si="2"/>
        <v>0</v>
      </c>
      <c r="N11" s="1363">
        <f t="shared" si="2"/>
        <v>0</v>
      </c>
      <c r="O11" s="1363">
        <f t="shared" si="2"/>
        <v>0</v>
      </c>
      <c r="P11" s="1363">
        <f t="shared" si="2"/>
        <v>0</v>
      </c>
      <c r="Q11" s="1363">
        <f t="shared" si="2"/>
        <v>0</v>
      </c>
      <c r="R11" s="1363">
        <f t="shared" si="2"/>
        <v>0</v>
      </c>
      <c r="S11" s="1363">
        <f>S10*S9</f>
        <v>0</v>
      </c>
      <c r="T11" s="1363"/>
      <c r="U11" s="1364"/>
      <c r="V11" s="745">
        <f t="shared" si="0"/>
        <v>0</v>
      </c>
    </row>
    <row r="12" spans="1:23" ht="21.95" hidden="1" customHeight="1">
      <c r="A12" s="2572"/>
      <c r="B12" s="2631" t="s">
        <v>2031</v>
      </c>
      <c r="C12" s="740" t="s">
        <v>1691</v>
      </c>
      <c r="D12" s="759"/>
      <c r="E12" s="760"/>
      <c r="F12" s="1187"/>
      <c r="G12" s="1187">
        <f>Dre_Ser_Prelim!F25</f>
        <v>0</v>
      </c>
      <c r="H12" s="1187">
        <f>Dre_Ser_Prelim!G25</f>
        <v>0</v>
      </c>
      <c r="I12" s="1187">
        <f>Dre_Ser_Prelim!H25</f>
        <v>0</v>
      </c>
      <c r="J12" s="1187">
        <f>Dre_Ser_Prelim!I25</f>
        <v>0</v>
      </c>
      <c r="K12" s="1187">
        <f>Dre_Ser_Prelim!J25</f>
        <v>0</v>
      </c>
      <c r="L12" s="1187">
        <f>Dre_Ser_Prelim!K25</f>
        <v>0</v>
      </c>
      <c r="M12" s="1187">
        <f>Dre_Ser_Prelim!L25</f>
        <v>0</v>
      </c>
      <c r="N12" s="1187">
        <f>Dre_Ser_Prelim!M25</f>
        <v>0</v>
      </c>
      <c r="O12" s="1187">
        <f>Dre_Ser_Prelim!N25</f>
        <v>0</v>
      </c>
      <c r="P12" s="1187">
        <f>Dre_Ser_Prelim!O25</f>
        <v>0</v>
      </c>
      <c r="Q12" s="1187">
        <f>Dre_Ser_Prelim!P25</f>
        <v>0</v>
      </c>
      <c r="R12" s="1187">
        <f>Dre_Ser_Prelim!Q25</f>
        <v>0</v>
      </c>
      <c r="S12" s="1187">
        <f>Dre_Ser_Prelim!S25</f>
        <v>0</v>
      </c>
      <c r="T12" s="1187"/>
      <c r="U12" s="1360"/>
      <c r="V12" s="745">
        <f t="shared" si="0"/>
        <v>0</v>
      </c>
    </row>
    <row r="13" spans="1:23" ht="21.95" hidden="1" customHeight="1">
      <c r="A13" s="2572"/>
      <c r="B13" s="2605"/>
      <c r="C13" s="747" t="s">
        <v>1539</v>
      </c>
      <c r="E13" s="749"/>
      <c r="F13" s="1361"/>
      <c r="G13" s="1361">
        <f>Dren_Quantificacao!D29</f>
        <v>0</v>
      </c>
      <c r="H13" s="1361">
        <f>Dren_Quantificacao!E29</f>
        <v>0</v>
      </c>
      <c r="I13" s="1361">
        <f>Dren_Quantificacao!F29</f>
        <v>0</v>
      </c>
      <c r="J13" s="1361">
        <f>Dren_Quantificacao!G29</f>
        <v>0</v>
      </c>
      <c r="K13" s="1361">
        <f>Dren_Quantificacao!H29</f>
        <v>0</v>
      </c>
      <c r="L13" s="1361">
        <f>Dren_Quantificacao!I29</f>
        <v>0</v>
      </c>
      <c r="M13" s="1361">
        <f>Dren_Quantificacao!J29</f>
        <v>0</v>
      </c>
      <c r="N13" s="1361">
        <f>Dren_Quantificacao!K29</f>
        <v>0</v>
      </c>
      <c r="O13" s="1361">
        <f>Dren_Quantificacao!L29</f>
        <v>0</v>
      </c>
      <c r="P13" s="1361">
        <f>Dren_Quantificacao!M29</f>
        <v>0</v>
      </c>
      <c r="Q13" s="1361">
        <f>Dren_Quantificacao!N29</f>
        <v>0</v>
      </c>
      <c r="R13" s="1361">
        <f>Dren_Quantificacao!O29</f>
        <v>0</v>
      </c>
      <c r="S13" s="1361">
        <f>Dren_Quantificacao!BD29</f>
        <v>0</v>
      </c>
      <c r="T13" s="1361"/>
      <c r="U13" s="1362"/>
      <c r="V13" s="745">
        <f t="shared" si="0"/>
        <v>0</v>
      </c>
    </row>
    <row r="14" spans="1:23" ht="21.95" hidden="1" customHeight="1" thickBot="1">
      <c r="A14" s="2572"/>
      <c r="B14" s="2632"/>
      <c r="C14" s="754" t="s">
        <v>1693</v>
      </c>
      <c r="D14" s="755"/>
      <c r="E14" s="756"/>
      <c r="F14" s="1363"/>
      <c r="G14" s="1363">
        <f t="shared" ref="G14:R14" si="3">G13*G12</f>
        <v>0</v>
      </c>
      <c r="H14" s="1363">
        <f t="shared" si="3"/>
        <v>0</v>
      </c>
      <c r="I14" s="1363">
        <f t="shared" si="3"/>
        <v>0</v>
      </c>
      <c r="J14" s="1363">
        <f t="shared" si="3"/>
        <v>0</v>
      </c>
      <c r="K14" s="1363">
        <f t="shared" si="3"/>
        <v>0</v>
      </c>
      <c r="L14" s="1363">
        <f t="shared" si="3"/>
        <v>0</v>
      </c>
      <c r="M14" s="1363">
        <f t="shared" si="3"/>
        <v>0</v>
      </c>
      <c r="N14" s="1363">
        <f t="shared" si="3"/>
        <v>0</v>
      </c>
      <c r="O14" s="1363">
        <f t="shared" si="3"/>
        <v>0</v>
      </c>
      <c r="P14" s="1363">
        <f t="shared" si="3"/>
        <v>0</v>
      </c>
      <c r="Q14" s="1363">
        <f t="shared" si="3"/>
        <v>0</v>
      </c>
      <c r="R14" s="1363">
        <f t="shared" si="3"/>
        <v>0</v>
      </c>
      <c r="S14" s="1363">
        <f>S13*S12</f>
        <v>0</v>
      </c>
      <c r="T14" s="1363"/>
      <c r="U14" s="1364"/>
      <c r="V14" s="745">
        <f t="shared" si="0"/>
        <v>0</v>
      </c>
    </row>
    <row r="15" spans="1:23" s="1369" customFormat="1" ht="21.95" hidden="1" customHeight="1">
      <c r="A15" s="2572"/>
      <c r="B15" s="2584" t="s">
        <v>2005</v>
      </c>
      <c r="C15" s="1340" t="s">
        <v>2006</v>
      </c>
      <c r="D15" s="1341"/>
      <c r="E15" s="1365"/>
      <c r="F15" s="1366"/>
      <c r="G15" s="1367">
        <f t="shared" ref="G15:R15" si="4">IF(G32&gt;0,18,0)</f>
        <v>0</v>
      </c>
      <c r="H15" s="1367">
        <f t="shared" si="4"/>
        <v>0</v>
      </c>
      <c r="I15" s="1367">
        <f t="shared" si="4"/>
        <v>0</v>
      </c>
      <c r="J15" s="1367">
        <f t="shared" si="4"/>
        <v>0</v>
      </c>
      <c r="K15" s="1367">
        <f t="shared" si="4"/>
        <v>0</v>
      </c>
      <c r="L15" s="1367">
        <f t="shared" si="4"/>
        <v>0</v>
      </c>
      <c r="M15" s="1367">
        <f t="shared" si="4"/>
        <v>0</v>
      </c>
      <c r="N15" s="1367">
        <f t="shared" si="4"/>
        <v>0</v>
      </c>
      <c r="O15" s="1367">
        <f t="shared" si="4"/>
        <v>0</v>
      </c>
      <c r="P15" s="1367">
        <f t="shared" si="4"/>
        <v>0</v>
      </c>
      <c r="Q15" s="1367">
        <f t="shared" si="4"/>
        <v>0</v>
      </c>
      <c r="R15" s="1367">
        <f t="shared" si="4"/>
        <v>0</v>
      </c>
      <c r="S15" s="1367">
        <f>IF(S32&gt;0,18,0)</f>
        <v>0</v>
      </c>
      <c r="T15" s="1367"/>
      <c r="U15" s="1368"/>
      <c r="V15" s="745">
        <f t="shared" si="0"/>
        <v>0</v>
      </c>
    </row>
    <row r="16" spans="1:23" ht="21.95" hidden="1" customHeight="1" thickBot="1">
      <c r="A16" s="2572"/>
      <c r="B16" s="2585"/>
      <c r="C16" s="747" t="s">
        <v>2007</v>
      </c>
      <c r="E16" s="749"/>
      <c r="F16" s="1361">
        <f>Dre_Profunda!I96</f>
        <v>0</v>
      </c>
      <c r="G16" s="1361">
        <f t="shared" ref="G16:R16" si="5">G15*G32/100</f>
        <v>0</v>
      </c>
      <c r="H16" s="1361">
        <f t="shared" si="5"/>
        <v>0</v>
      </c>
      <c r="I16" s="1361">
        <f t="shared" si="5"/>
        <v>0</v>
      </c>
      <c r="J16" s="1361">
        <f t="shared" si="5"/>
        <v>0</v>
      </c>
      <c r="K16" s="1361">
        <f t="shared" si="5"/>
        <v>0</v>
      </c>
      <c r="L16" s="1361">
        <f t="shared" si="5"/>
        <v>0</v>
      </c>
      <c r="M16" s="1361">
        <f t="shared" si="5"/>
        <v>0</v>
      </c>
      <c r="N16" s="1361">
        <f t="shared" si="5"/>
        <v>0</v>
      </c>
      <c r="O16" s="1361">
        <f t="shared" si="5"/>
        <v>0</v>
      </c>
      <c r="P16" s="1361">
        <f t="shared" si="5"/>
        <v>0</v>
      </c>
      <c r="Q16" s="1361">
        <f t="shared" si="5"/>
        <v>0</v>
      </c>
      <c r="R16" s="1361">
        <f t="shared" si="5"/>
        <v>0</v>
      </c>
      <c r="S16" s="1361">
        <f>S15*S32/100</f>
        <v>0</v>
      </c>
      <c r="T16" s="1361"/>
      <c r="U16" s="1370"/>
      <c r="V16" s="745">
        <f t="shared" si="0"/>
        <v>0</v>
      </c>
    </row>
    <row r="17" spans="1:22" s="1369" customFormat="1" ht="21.95" hidden="1" customHeight="1">
      <c r="A17" s="2572"/>
      <c r="B17" s="2631" t="s">
        <v>2008</v>
      </c>
      <c r="C17" s="1340" t="s">
        <v>2006</v>
      </c>
      <c r="D17" s="1341"/>
      <c r="E17" s="1365"/>
      <c r="F17" s="1366"/>
      <c r="G17" s="1367">
        <f>Dren_Quantificacao!D32</f>
        <v>0</v>
      </c>
      <c r="H17" s="1367">
        <f>Dren_Quantificacao!E32</f>
        <v>0</v>
      </c>
      <c r="I17" s="1367">
        <f>Dren_Quantificacao!F32</f>
        <v>0</v>
      </c>
      <c r="J17" s="1367">
        <f>Dren_Quantificacao!G32</f>
        <v>0</v>
      </c>
      <c r="K17" s="1367">
        <f>Dren_Quantificacao!H32</f>
        <v>0</v>
      </c>
      <c r="L17" s="1367">
        <f>Dren_Quantificacao!I32</f>
        <v>0</v>
      </c>
      <c r="M17" s="1367">
        <f>Dren_Quantificacao!J32</f>
        <v>0</v>
      </c>
      <c r="N17" s="1367">
        <f>Dren_Quantificacao!K32</f>
        <v>0</v>
      </c>
      <c r="O17" s="1367">
        <f>Dren_Quantificacao!L32</f>
        <v>0</v>
      </c>
      <c r="P17" s="1367">
        <f>Dren_Quantificacao!M32</f>
        <v>0</v>
      </c>
      <c r="Q17" s="1367">
        <f>Dren_Quantificacao!N32</f>
        <v>0</v>
      </c>
      <c r="R17" s="1367">
        <f>Dren_Quantificacao!O32</f>
        <v>0</v>
      </c>
      <c r="S17" s="1367">
        <f>Dren_Quantificacao!BD32</f>
        <v>0</v>
      </c>
      <c r="T17" s="1367"/>
      <c r="U17" s="1368"/>
      <c r="V17" s="745">
        <f t="shared" si="0"/>
        <v>0</v>
      </c>
    </row>
    <row r="18" spans="1:22" ht="21.95" hidden="1" customHeight="1">
      <c r="A18" s="2572"/>
      <c r="B18" s="2605"/>
      <c r="C18" s="747" t="s">
        <v>1831</v>
      </c>
      <c r="E18" s="749"/>
      <c r="F18" s="1361">
        <f>Dre_Profunda!I98</f>
        <v>0</v>
      </c>
      <c r="G18" s="1361">
        <f t="shared" ref="G18:R18" si="6">G17*G32/100</f>
        <v>0</v>
      </c>
      <c r="H18" s="1361">
        <f t="shared" si="6"/>
        <v>0</v>
      </c>
      <c r="I18" s="1361">
        <f t="shared" si="6"/>
        <v>0</v>
      </c>
      <c r="J18" s="1361">
        <f t="shared" si="6"/>
        <v>0</v>
      </c>
      <c r="K18" s="1361">
        <f t="shared" si="6"/>
        <v>0</v>
      </c>
      <c r="L18" s="1361">
        <f t="shared" si="6"/>
        <v>0</v>
      </c>
      <c r="M18" s="1361">
        <f t="shared" si="6"/>
        <v>0</v>
      </c>
      <c r="N18" s="1361">
        <f t="shared" si="6"/>
        <v>0</v>
      </c>
      <c r="O18" s="1361">
        <f t="shared" si="6"/>
        <v>0</v>
      </c>
      <c r="P18" s="1361">
        <f t="shared" si="6"/>
        <v>0</v>
      </c>
      <c r="Q18" s="1361">
        <f t="shared" si="6"/>
        <v>0</v>
      </c>
      <c r="R18" s="1361">
        <f t="shared" si="6"/>
        <v>0</v>
      </c>
      <c r="S18" s="1361">
        <f>S17*S32/100</f>
        <v>0</v>
      </c>
      <c r="T18" s="1361"/>
      <c r="U18" s="1370"/>
      <c r="V18" s="745">
        <f t="shared" si="0"/>
        <v>0</v>
      </c>
    </row>
    <row r="19" spans="1:22" ht="21.95" hidden="1" customHeight="1">
      <c r="A19" s="2572"/>
      <c r="B19" s="2605"/>
      <c r="C19" s="747" t="s">
        <v>2032</v>
      </c>
      <c r="E19" s="749"/>
      <c r="F19" s="1371"/>
      <c r="G19" s="1361">
        <f>IF(COUNTA(Dren_Quantificacao!D33:D37)&gt;1,+G18,0)</f>
        <v>0</v>
      </c>
      <c r="H19" s="1361">
        <f>IF(COUNTA(Dren_Quantificacao!E33:E37)&gt;1,+H18,0)</f>
        <v>0</v>
      </c>
      <c r="I19" s="1361">
        <f>IF(COUNTA(Dren_Quantificacao!F33:F37)&gt;1,+I18,0)</f>
        <v>0</v>
      </c>
      <c r="J19" s="1361">
        <f>IF(COUNTA(Dren_Quantificacao!G33:G37)&gt;1,+J18,0)</f>
        <v>0</v>
      </c>
      <c r="K19" s="1361">
        <f>IF(COUNTA(Dren_Quantificacao!H33:H37)&gt;1,+K18,0)</f>
        <v>0</v>
      </c>
      <c r="L19" s="1361">
        <f>IF(COUNTA(Dren_Quantificacao!I33:I37)&gt;1,+L18,0)</f>
        <v>0</v>
      </c>
      <c r="M19" s="1361">
        <f>IF(COUNTA(Dren_Quantificacao!J33:J37)&gt;1,+M18,0)</f>
        <v>0</v>
      </c>
      <c r="N19" s="1361">
        <f>IF(COUNTA(Dren_Quantificacao!K33:K37)&gt;1,+N18,0)</f>
        <v>0</v>
      </c>
      <c r="O19" s="1361">
        <f>IF(COUNTA(Dren_Quantificacao!L33:L37)&gt;1,+O18,0)</f>
        <v>0</v>
      </c>
      <c r="P19" s="1361">
        <f>IF(COUNTA(Dren_Quantificacao!M33:M37)&gt;1,+P18,0)</f>
        <v>0</v>
      </c>
      <c r="Q19" s="1361">
        <f>IF(COUNTA(Dren_Quantificacao!N33:N37)&gt;1,+Q18,0)</f>
        <v>0</v>
      </c>
      <c r="R19" s="1361">
        <f>IF(COUNTA(Dren_Quantificacao!O33:O37)&gt;1,+R18,0)</f>
        <v>0</v>
      </c>
      <c r="S19" s="1361">
        <f>IF(COUNTA(Dren_Quantificacao!BD33:BD37)&gt;1,+S18,0)</f>
        <v>0</v>
      </c>
      <c r="T19" s="1361"/>
      <c r="U19" s="1370"/>
      <c r="V19" s="745">
        <f t="shared" si="0"/>
        <v>0</v>
      </c>
    </row>
    <row r="20" spans="1:22" ht="21.95" hidden="1" customHeight="1">
      <c r="A20" s="2572"/>
      <c r="B20" s="2605"/>
      <c r="C20" s="747" t="s">
        <v>2033</v>
      </c>
      <c r="E20" s="749"/>
      <c r="F20" s="1361">
        <f>F18-F21</f>
        <v>0</v>
      </c>
      <c r="G20" s="1361">
        <f t="shared" ref="G20:R20" si="7">G$18*G25+G$18*G26</f>
        <v>0</v>
      </c>
      <c r="H20" s="1361">
        <f t="shared" si="7"/>
        <v>0</v>
      </c>
      <c r="I20" s="1361">
        <f t="shared" si="7"/>
        <v>0</v>
      </c>
      <c r="J20" s="1361">
        <f t="shared" si="7"/>
        <v>0</v>
      </c>
      <c r="K20" s="1361">
        <f t="shared" si="7"/>
        <v>0</v>
      </c>
      <c r="L20" s="1361">
        <f t="shared" si="7"/>
        <v>0</v>
      </c>
      <c r="M20" s="1361">
        <f t="shared" si="7"/>
        <v>0</v>
      </c>
      <c r="N20" s="1361">
        <f t="shared" si="7"/>
        <v>0</v>
      </c>
      <c r="O20" s="1361">
        <f t="shared" si="7"/>
        <v>0</v>
      </c>
      <c r="P20" s="1361">
        <f t="shared" si="7"/>
        <v>0</v>
      </c>
      <c r="Q20" s="1361">
        <f t="shared" si="7"/>
        <v>0</v>
      </c>
      <c r="R20" s="1361">
        <f t="shared" si="7"/>
        <v>0</v>
      </c>
      <c r="S20" s="1361">
        <f>S$18*S25+S$18*S26</f>
        <v>0</v>
      </c>
      <c r="T20" s="1361"/>
      <c r="U20" s="1370"/>
      <c r="V20" s="745">
        <f t="shared" si="0"/>
        <v>0</v>
      </c>
    </row>
    <row r="21" spans="1:22" ht="21.95" hidden="1" customHeight="1">
      <c r="A21" s="2572"/>
      <c r="B21" s="2605"/>
      <c r="C21" s="747" t="s">
        <v>2034</v>
      </c>
      <c r="D21" s="781"/>
      <c r="E21" s="782"/>
      <c r="F21" s="1372">
        <f>Dre_Profunda!I100/1.25</f>
        <v>0</v>
      </c>
      <c r="G21" s="1372">
        <f t="shared" ref="G21:R21" si="8">IF(G24=100%,G18,0)</f>
        <v>0</v>
      </c>
      <c r="H21" s="1372">
        <f t="shared" si="8"/>
        <v>0</v>
      </c>
      <c r="I21" s="1372">
        <f t="shared" si="8"/>
        <v>0</v>
      </c>
      <c r="J21" s="1372">
        <f t="shared" si="8"/>
        <v>0</v>
      </c>
      <c r="K21" s="1372">
        <f t="shared" si="8"/>
        <v>0</v>
      </c>
      <c r="L21" s="1372">
        <f t="shared" si="8"/>
        <v>0</v>
      </c>
      <c r="M21" s="1372">
        <f t="shared" si="8"/>
        <v>0</v>
      </c>
      <c r="N21" s="1372">
        <f t="shared" si="8"/>
        <v>0</v>
      </c>
      <c r="O21" s="1372">
        <f t="shared" si="8"/>
        <v>0</v>
      </c>
      <c r="P21" s="1372">
        <f t="shared" si="8"/>
        <v>0</v>
      </c>
      <c r="Q21" s="1372">
        <f t="shared" si="8"/>
        <v>0</v>
      </c>
      <c r="R21" s="1372">
        <f t="shared" si="8"/>
        <v>0</v>
      </c>
      <c r="S21" s="1372">
        <f>IF(S24=100%,S18,0)</f>
        <v>0</v>
      </c>
      <c r="T21" s="1372"/>
      <c r="U21" s="1373"/>
      <c r="V21" s="745">
        <f t="shared" si="0"/>
        <v>0</v>
      </c>
    </row>
    <row r="22" spans="1:22" ht="21.95" hidden="1" customHeight="1">
      <c r="A22" s="2572"/>
      <c r="B22" s="2605"/>
      <c r="C22" s="763" t="s">
        <v>1576</v>
      </c>
      <c r="D22" s="1334"/>
      <c r="E22" s="1062"/>
      <c r="F22" s="1374"/>
      <c r="G22" s="842">
        <f>Dren_Quantificacao!D33</f>
        <v>0</v>
      </c>
      <c r="H22" s="842">
        <f>Dren_Quantificacao!E33</f>
        <v>0</v>
      </c>
      <c r="I22" s="842">
        <f>Dren_Quantificacao!F33</f>
        <v>0</v>
      </c>
      <c r="J22" s="842">
        <f>Dren_Quantificacao!G33</f>
        <v>0</v>
      </c>
      <c r="K22" s="842">
        <f>Dren_Quantificacao!H33</f>
        <v>0</v>
      </c>
      <c r="L22" s="842">
        <f>Dren_Quantificacao!I33</f>
        <v>0</v>
      </c>
      <c r="M22" s="842">
        <f>Dren_Quantificacao!J33</f>
        <v>0</v>
      </c>
      <c r="N22" s="842">
        <f>Dren_Quantificacao!K33</f>
        <v>0</v>
      </c>
      <c r="O22" s="842">
        <f>Dren_Quantificacao!L33</f>
        <v>0</v>
      </c>
      <c r="P22" s="842">
        <f>Dren_Quantificacao!M33</f>
        <v>0</v>
      </c>
      <c r="Q22" s="842">
        <f>Dren_Quantificacao!N33</f>
        <v>0</v>
      </c>
      <c r="R22" s="842">
        <f>Dren_Quantificacao!O33</f>
        <v>0</v>
      </c>
      <c r="S22" s="842">
        <f>Dren_Quantificacao!BD33</f>
        <v>0</v>
      </c>
      <c r="T22" s="842"/>
      <c r="U22" s="1375"/>
      <c r="V22" s="745">
        <f t="shared" si="0"/>
        <v>0</v>
      </c>
    </row>
    <row r="23" spans="1:22" ht="21.95" hidden="1" customHeight="1">
      <c r="A23" s="2572"/>
      <c r="B23" s="2605"/>
      <c r="C23" s="747" t="s">
        <v>1577</v>
      </c>
      <c r="E23" s="749"/>
      <c r="F23" s="1374"/>
      <c r="G23" s="842">
        <f>Dren_Quantificacao!D34</f>
        <v>0</v>
      </c>
      <c r="H23" s="842">
        <f>Dren_Quantificacao!E34</f>
        <v>0</v>
      </c>
      <c r="I23" s="842">
        <f>Dren_Quantificacao!F34</f>
        <v>0</v>
      </c>
      <c r="J23" s="842">
        <f>Dren_Quantificacao!G34</f>
        <v>0</v>
      </c>
      <c r="K23" s="842">
        <f>Dren_Quantificacao!H34</f>
        <v>0</v>
      </c>
      <c r="L23" s="842">
        <f>Dren_Quantificacao!I34</f>
        <v>0</v>
      </c>
      <c r="M23" s="842">
        <f>Dren_Quantificacao!J34</f>
        <v>0</v>
      </c>
      <c r="N23" s="842">
        <f>Dren_Quantificacao!K34</f>
        <v>0</v>
      </c>
      <c r="O23" s="842">
        <f>Dren_Quantificacao!L34</f>
        <v>0</v>
      </c>
      <c r="P23" s="842">
        <f>Dren_Quantificacao!M34</f>
        <v>0</v>
      </c>
      <c r="Q23" s="842">
        <f>Dren_Quantificacao!N34</f>
        <v>0</v>
      </c>
      <c r="R23" s="842">
        <f>Dren_Quantificacao!O34</f>
        <v>0</v>
      </c>
      <c r="S23" s="842">
        <f>Dren_Quantificacao!BD34</f>
        <v>0</v>
      </c>
      <c r="T23" s="842"/>
      <c r="U23" s="1375"/>
      <c r="V23" s="745">
        <f t="shared" si="0"/>
        <v>0</v>
      </c>
    </row>
    <row r="24" spans="1:22" ht="21.95" hidden="1" customHeight="1">
      <c r="A24" s="2572"/>
      <c r="B24" s="2605"/>
      <c r="C24" s="747" t="s">
        <v>1578</v>
      </c>
      <c r="D24" s="1334"/>
      <c r="E24" s="1062"/>
      <c r="F24" s="1374"/>
      <c r="G24" s="842">
        <f>Dren_Quantificacao!D35</f>
        <v>0</v>
      </c>
      <c r="H24" s="842">
        <f>Dren_Quantificacao!E35</f>
        <v>0</v>
      </c>
      <c r="I24" s="842">
        <f>Dren_Quantificacao!F35</f>
        <v>0</v>
      </c>
      <c r="J24" s="842">
        <f>Dren_Quantificacao!G35</f>
        <v>0</v>
      </c>
      <c r="K24" s="842">
        <f>Dren_Quantificacao!H35</f>
        <v>0</v>
      </c>
      <c r="L24" s="842">
        <f>Dren_Quantificacao!I35</f>
        <v>0</v>
      </c>
      <c r="M24" s="842">
        <f>Dren_Quantificacao!J35</f>
        <v>0</v>
      </c>
      <c r="N24" s="842">
        <f>Dren_Quantificacao!K35</f>
        <v>0</v>
      </c>
      <c r="O24" s="842">
        <f>Dren_Quantificacao!L35</f>
        <v>0</v>
      </c>
      <c r="P24" s="842">
        <f>Dren_Quantificacao!M35</f>
        <v>0</v>
      </c>
      <c r="Q24" s="842">
        <f>Dren_Quantificacao!N35</f>
        <v>0</v>
      </c>
      <c r="R24" s="842">
        <f>Dren_Quantificacao!O35</f>
        <v>0</v>
      </c>
      <c r="S24" s="842">
        <f>Dren_Quantificacao!BD35</f>
        <v>0</v>
      </c>
      <c r="T24" s="842"/>
      <c r="U24" s="1375"/>
      <c r="V24" s="745">
        <f t="shared" si="0"/>
        <v>0</v>
      </c>
    </row>
    <row r="25" spans="1:22" ht="21.95" hidden="1" customHeight="1">
      <c r="A25" s="2572"/>
      <c r="B25" s="2605"/>
      <c r="C25" s="911" t="s">
        <v>1579</v>
      </c>
      <c r="E25" s="1062"/>
      <c r="F25" s="1374"/>
      <c r="G25" s="842">
        <f>Dren_Quantificacao!D36</f>
        <v>0</v>
      </c>
      <c r="H25" s="842">
        <f>Dren_Quantificacao!E36</f>
        <v>0</v>
      </c>
      <c r="I25" s="842">
        <f>Dren_Quantificacao!F36</f>
        <v>0</v>
      </c>
      <c r="J25" s="842">
        <f>Dren_Quantificacao!G36</f>
        <v>0</v>
      </c>
      <c r="K25" s="842">
        <f>Dren_Quantificacao!H36</f>
        <v>0</v>
      </c>
      <c r="L25" s="842">
        <f>Dren_Quantificacao!I36</f>
        <v>0</v>
      </c>
      <c r="M25" s="842">
        <f>Dren_Quantificacao!J36</f>
        <v>0</v>
      </c>
      <c r="N25" s="842">
        <f>Dren_Quantificacao!K36</f>
        <v>0</v>
      </c>
      <c r="O25" s="842">
        <f>Dren_Quantificacao!L36</f>
        <v>0</v>
      </c>
      <c r="P25" s="842">
        <f>Dren_Quantificacao!M36</f>
        <v>0</v>
      </c>
      <c r="Q25" s="842">
        <f>Dren_Quantificacao!N36</f>
        <v>0</v>
      </c>
      <c r="R25" s="842">
        <f>Dren_Quantificacao!O36</f>
        <v>0</v>
      </c>
      <c r="S25" s="842">
        <f>Dren_Quantificacao!BD36</f>
        <v>0</v>
      </c>
      <c r="T25" s="842"/>
      <c r="U25" s="1375"/>
      <c r="V25" s="745">
        <f t="shared" si="0"/>
        <v>0</v>
      </c>
    </row>
    <row r="26" spans="1:22" ht="21.95" hidden="1" customHeight="1">
      <c r="A26" s="2572"/>
      <c r="B26" s="2605"/>
      <c r="C26" s="747" t="s">
        <v>1580</v>
      </c>
      <c r="D26" s="1376"/>
      <c r="E26" s="1377"/>
      <c r="F26" s="1378"/>
      <c r="G26" s="847">
        <f>Dren_Quantificacao!D37</f>
        <v>0</v>
      </c>
      <c r="H26" s="847">
        <f>Dren_Quantificacao!E37</f>
        <v>0</v>
      </c>
      <c r="I26" s="847">
        <f>Dren_Quantificacao!F37</f>
        <v>0</v>
      </c>
      <c r="J26" s="847">
        <f>Dren_Quantificacao!G37</f>
        <v>0</v>
      </c>
      <c r="K26" s="847">
        <f>Dren_Quantificacao!H37</f>
        <v>0</v>
      </c>
      <c r="L26" s="847">
        <f>Dren_Quantificacao!I37</f>
        <v>0</v>
      </c>
      <c r="M26" s="847">
        <f>Dren_Quantificacao!J37</f>
        <v>0</v>
      </c>
      <c r="N26" s="847">
        <f>Dren_Quantificacao!K37</f>
        <v>0</v>
      </c>
      <c r="O26" s="847">
        <f>Dren_Quantificacao!L37</f>
        <v>0</v>
      </c>
      <c r="P26" s="847">
        <f>Dren_Quantificacao!M37</f>
        <v>0</v>
      </c>
      <c r="Q26" s="847">
        <f>Dren_Quantificacao!N37</f>
        <v>0</v>
      </c>
      <c r="R26" s="847">
        <f>Dren_Quantificacao!O37</f>
        <v>0</v>
      </c>
      <c r="S26" s="847">
        <f>Dren_Quantificacao!BD37</f>
        <v>0</v>
      </c>
      <c r="T26" s="847"/>
      <c r="U26" s="1379"/>
      <c r="V26" s="745">
        <f t="shared" si="0"/>
        <v>0</v>
      </c>
    </row>
    <row r="27" spans="1:22" ht="21.95" hidden="1" customHeight="1">
      <c r="A27" s="2572"/>
      <c r="B27" s="2605"/>
      <c r="C27" s="763" t="s">
        <v>2035</v>
      </c>
      <c r="E27" s="749"/>
      <c r="F27" s="1371"/>
      <c r="G27" s="1361">
        <f t="shared" ref="G27:R27" si="9">G$18*G22*1.25</f>
        <v>0</v>
      </c>
      <c r="H27" s="1361">
        <f t="shared" si="9"/>
        <v>0</v>
      </c>
      <c r="I27" s="1361">
        <f t="shared" si="9"/>
        <v>0</v>
      </c>
      <c r="J27" s="1361">
        <f t="shared" si="9"/>
        <v>0</v>
      </c>
      <c r="K27" s="1361">
        <f t="shared" si="9"/>
        <v>0</v>
      </c>
      <c r="L27" s="1361">
        <f t="shared" si="9"/>
        <v>0</v>
      </c>
      <c r="M27" s="1361">
        <f t="shared" si="9"/>
        <v>0</v>
      </c>
      <c r="N27" s="1361">
        <f t="shared" si="9"/>
        <v>0</v>
      </c>
      <c r="O27" s="1361">
        <f t="shared" si="9"/>
        <v>0</v>
      </c>
      <c r="P27" s="1361">
        <f t="shared" si="9"/>
        <v>0</v>
      </c>
      <c r="Q27" s="1361">
        <f t="shared" si="9"/>
        <v>0</v>
      </c>
      <c r="R27" s="1361">
        <f t="shared" si="9"/>
        <v>0</v>
      </c>
      <c r="S27" s="1361">
        <f>S$18*S22*1.25</f>
        <v>0</v>
      </c>
      <c r="T27" s="1361"/>
      <c r="U27" s="1370"/>
      <c r="V27" s="745">
        <f t="shared" si="0"/>
        <v>0</v>
      </c>
    </row>
    <row r="28" spans="1:22" ht="32.1" hidden="1" customHeight="1">
      <c r="A28" s="2572"/>
      <c r="B28" s="2605"/>
      <c r="C28" s="747" t="s">
        <v>2036</v>
      </c>
      <c r="E28" s="749"/>
      <c r="F28" s="1371"/>
      <c r="G28" s="1361">
        <f t="shared" ref="G28:R28" si="10">G$18*G23*1.375</f>
        <v>0</v>
      </c>
      <c r="H28" s="1361">
        <f t="shared" si="10"/>
        <v>0</v>
      </c>
      <c r="I28" s="1361">
        <f t="shared" si="10"/>
        <v>0</v>
      </c>
      <c r="J28" s="1361">
        <f t="shared" si="10"/>
        <v>0</v>
      </c>
      <c r="K28" s="1361">
        <f t="shared" si="10"/>
        <v>0</v>
      </c>
      <c r="L28" s="1361">
        <f t="shared" si="10"/>
        <v>0</v>
      </c>
      <c r="M28" s="1361">
        <f t="shared" si="10"/>
        <v>0</v>
      </c>
      <c r="N28" s="1361">
        <f t="shared" si="10"/>
        <v>0</v>
      </c>
      <c r="O28" s="1361">
        <f t="shared" si="10"/>
        <v>0</v>
      </c>
      <c r="P28" s="1361">
        <f t="shared" si="10"/>
        <v>0</v>
      </c>
      <c r="Q28" s="1361">
        <f t="shared" si="10"/>
        <v>0</v>
      </c>
      <c r="R28" s="1361">
        <f t="shared" si="10"/>
        <v>0</v>
      </c>
      <c r="S28" s="1361">
        <f>S$18*S23*1.375</f>
        <v>0</v>
      </c>
      <c r="T28" s="1361"/>
      <c r="U28" s="1370"/>
      <c r="V28" s="745">
        <f t="shared" si="0"/>
        <v>0</v>
      </c>
    </row>
    <row r="29" spans="1:22" ht="21.95" hidden="1" customHeight="1">
      <c r="A29" s="2572"/>
      <c r="B29" s="2605"/>
      <c r="C29" s="747" t="s">
        <v>2010</v>
      </c>
      <c r="E29" s="749"/>
      <c r="F29" s="1361">
        <f>Dre_Profunda!I100</f>
        <v>0</v>
      </c>
      <c r="G29" s="1361">
        <f t="shared" ref="G29:R29" si="11">G$18*G24*1.25</f>
        <v>0</v>
      </c>
      <c r="H29" s="1361">
        <f t="shared" si="11"/>
        <v>0</v>
      </c>
      <c r="I29" s="1361">
        <f t="shared" si="11"/>
        <v>0</v>
      </c>
      <c r="J29" s="1361">
        <f t="shared" si="11"/>
        <v>0</v>
      </c>
      <c r="K29" s="1361">
        <f t="shared" si="11"/>
        <v>0</v>
      </c>
      <c r="L29" s="1361">
        <f t="shared" si="11"/>
        <v>0</v>
      </c>
      <c r="M29" s="1361">
        <f t="shared" si="11"/>
        <v>0</v>
      </c>
      <c r="N29" s="1361">
        <f t="shared" si="11"/>
        <v>0</v>
      </c>
      <c r="O29" s="1361">
        <f t="shared" si="11"/>
        <v>0</v>
      </c>
      <c r="P29" s="1361">
        <f t="shared" si="11"/>
        <v>0</v>
      </c>
      <c r="Q29" s="1361">
        <f t="shared" si="11"/>
        <v>0</v>
      </c>
      <c r="R29" s="1361">
        <f t="shared" si="11"/>
        <v>0</v>
      </c>
      <c r="S29" s="1361">
        <f>S$18*S24*1.25</f>
        <v>0</v>
      </c>
      <c r="T29" s="1361"/>
      <c r="U29" s="1370"/>
      <c r="V29" s="745">
        <f t="shared" si="0"/>
        <v>0</v>
      </c>
    </row>
    <row r="30" spans="1:22" ht="21.95" hidden="1" customHeight="1">
      <c r="A30" s="2572"/>
      <c r="B30" s="2601"/>
      <c r="C30" s="911" t="s">
        <v>2012</v>
      </c>
      <c r="E30" s="749"/>
      <c r="F30" s="1361">
        <f>Dre_Profunda!I102</f>
        <v>0</v>
      </c>
      <c r="G30" s="1361">
        <f t="shared" ref="G30:R30" si="12">G$18*G25*1.375</f>
        <v>0</v>
      </c>
      <c r="H30" s="1361">
        <f t="shared" si="12"/>
        <v>0</v>
      </c>
      <c r="I30" s="1361">
        <f t="shared" si="12"/>
        <v>0</v>
      </c>
      <c r="J30" s="1361">
        <f t="shared" si="12"/>
        <v>0</v>
      </c>
      <c r="K30" s="1361">
        <f t="shared" si="12"/>
        <v>0</v>
      </c>
      <c r="L30" s="1361">
        <f t="shared" si="12"/>
        <v>0</v>
      </c>
      <c r="M30" s="1361">
        <f t="shared" si="12"/>
        <v>0</v>
      </c>
      <c r="N30" s="1361">
        <f t="shared" si="12"/>
        <v>0</v>
      </c>
      <c r="O30" s="1361">
        <f t="shared" si="12"/>
        <v>0</v>
      </c>
      <c r="P30" s="1361">
        <f t="shared" si="12"/>
        <v>0</v>
      </c>
      <c r="Q30" s="1361">
        <f t="shared" si="12"/>
        <v>0</v>
      </c>
      <c r="R30" s="1361">
        <f t="shared" si="12"/>
        <v>0</v>
      </c>
      <c r="S30" s="1361">
        <f>S$18*S25*1.375</f>
        <v>0</v>
      </c>
      <c r="T30" s="1361"/>
      <c r="U30" s="1370"/>
      <c r="V30" s="745">
        <f t="shared" si="0"/>
        <v>0</v>
      </c>
    </row>
    <row r="31" spans="1:22" ht="32.1" hidden="1" customHeight="1" thickBot="1">
      <c r="A31" s="2572"/>
      <c r="B31" s="2601"/>
      <c r="C31" s="911" t="s">
        <v>2037</v>
      </c>
      <c r="D31" s="1338"/>
      <c r="E31" s="1380"/>
      <c r="F31" s="1361">
        <f>Dre_Profunda!I104</f>
        <v>0</v>
      </c>
      <c r="G31" s="1361">
        <f t="shared" ref="G31:R31" si="13">G$18*G26*1.4667</f>
        <v>0</v>
      </c>
      <c r="H31" s="1361">
        <f t="shared" si="13"/>
        <v>0</v>
      </c>
      <c r="I31" s="1361">
        <f t="shared" si="13"/>
        <v>0</v>
      </c>
      <c r="J31" s="1361">
        <f t="shared" si="13"/>
        <v>0</v>
      </c>
      <c r="K31" s="1361">
        <f t="shared" si="13"/>
        <v>0</v>
      </c>
      <c r="L31" s="1361">
        <f t="shared" si="13"/>
        <v>0</v>
      </c>
      <c r="M31" s="1361">
        <f t="shared" si="13"/>
        <v>0</v>
      </c>
      <c r="N31" s="1361">
        <f t="shared" si="13"/>
        <v>0</v>
      </c>
      <c r="O31" s="1361">
        <f t="shared" si="13"/>
        <v>0</v>
      </c>
      <c r="P31" s="1361">
        <f t="shared" si="13"/>
        <v>0</v>
      </c>
      <c r="Q31" s="1361">
        <f t="shared" si="13"/>
        <v>0</v>
      </c>
      <c r="R31" s="1361">
        <f t="shared" si="13"/>
        <v>0</v>
      </c>
      <c r="S31" s="1361">
        <f>S$18*S26*1.4667</f>
        <v>0</v>
      </c>
      <c r="T31" s="1361"/>
      <c r="U31" s="1370"/>
      <c r="V31" s="745">
        <f t="shared" si="0"/>
        <v>0</v>
      </c>
    </row>
    <row r="32" spans="1:22" ht="21.95" hidden="1" customHeight="1">
      <c r="A32" s="2572"/>
      <c r="B32" s="2595" t="s">
        <v>2015</v>
      </c>
      <c r="C32" s="740" t="s">
        <v>1693</v>
      </c>
      <c r="D32" s="759"/>
      <c r="E32" s="760"/>
      <c r="F32" s="1187">
        <f>Dre_Profunda!I105</f>
        <v>0</v>
      </c>
      <c r="G32" s="1187">
        <f t="shared" ref="G32:R32" si="14">G8+G11+G14</f>
        <v>0</v>
      </c>
      <c r="H32" s="1187">
        <f t="shared" si="14"/>
        <v>0</v>
      </c>
      <c r="I32" s="1187">
        <f t="shared" si="14"/>
        <v>0</v>
      </c>
      <c r="J32" s="1187">
        <f t="shared" si="14"/>
        <v>0</v>
      </c>
      <c r="K32" s="1187">
        <f t="shared" si="14"/>
        <v>0</v>
      </c>
      <c r="L32" s="1187">
        <f t="shared" si="14"/>
        <v>0</v>
      </c>
      <c r="M32" s="1187">
        <f t="shared" si="14"/>
        <v>0</v>
      </c>
      <c r="N32" s="1187">
        <f t="shared" si="14"/>
        <v>0</v>
      </c>
      <c r="O32" s="1187">
        <f t="shared" si="14"/>
        <v>0</v>
      </c>
      <c r="P32" s="1187">
        <f t="shared" si="14"/>
        <v>0</v>
      </c>
      <c r="Q32" s="1187">
        <f t="shared" si="14"/>
        <v>0</v>
      </c>
      <c r="R32" s="1187">
        <f t="shared" si="14"/>
        <v>0</v>
      </c>
      <c r="S32" s="1187">
        <f>S8+S11+S14</f>
        <v>0</v>
      </c>
      <c r="T32" s="1187"/>
      <c r="U32" s="1190"/>
      <c r="V32" s="745">
        <f t="shared" si="0"/>
        <v>0</v>
      </c>
    </row>
    <row r="33" spans="1:25" ht="21.95" hidden="1" customHeight="1" thickBot="1">
      <c r="A33" s="2572"/>
      <c r="B33" s="2594"/>
      <c r="C33" s="754" t="s">
        <v>2016</v>
      </c>
      <c r="D33" s="755"/>
      <c r="E33" s="756"/>
      <c r="F33" s="1363">
        <f>Dre_Profunda!I106</f>
        <v>0</v>
      </c>
      <c r="G33" s="1363">
        <f t="shared" ref="G33:R33" si="15">G32*0.0012</f>
        <v>0</v>
      </c>
      <c r="H33" s="1363">
        <f t="shared" si="15"/>
        <v>0</v>
      </c>
      <c r="I33" s="1363">
        <f t="shared" si="15"/>
        <v>0</v>
      </c>
      <c r="J33" s="1363">
        <f t="shared" si="15"/>
        <v>0</v>
      </c>
      <c r="K33" s="1363">
        <f t="shared" si="15"/>
        <v>0</v>
      </c>
      <c r="L33" s="1363">
        <f t="shared" si="15"/>
        <v>0</v>
      </c>
      <c r="M33" s="1363">
        <f t="shared" si="15"/>
        <v>0</v>
      </c>
      <c r="N33" s="1363">
        <f t="shared" si="15"/>
        <v>0</v>
      </c>
      <c r="O33" s="1363">
        <f t="shared" si="15"/>
        <v>0</v>
      </c>
      <c r="P33" s="1363">
        <f t="shared" si="15"/>
        <v>0</v>
      </c>
      <c r="Q33" s="1363">
        <f t="shared" si="15"/>
        <v>0</v>
      </c>
      <c r="R33" s="1363">
        <f t="shared" si="15"/>
        <v>0</v>
      </c>
      <c r="S33" s="1363">
        <f>S32*0.0012</f>
        <v>0</v>
      </c>
      <c r="T33" s="1363"/>
      <c r="U33" s="1364"/>
      <c r="V33" s="745">
        <f t="shared" si="0"/>
        <v>0</v>
      </c>
    </row>
    <row r="34" spans="1:25" ht="21.95" hidden="1" customHeight="1">
      <c r="A34" s="2572"/>
      <c r="B34" s="2581" t="s">
        <v>2038</v>
      </c>
      <c r="C34" s="740" t="s">
        <v>1693</v>
      </c>
      <c r="D34" s="759"/>
      <c r="E34" s="760"/>
      <c r="F34" s="1187"/>
      <c r="G34" s="1187">
        <f t="shared" ref="G34:R34" si="16">IF(G36&gt;0,G32,0)</f>
        <v>0</v>
      </c>
      <c r="H34" s="1187">
        <f t="shared" si="16"/>
        <v>0</v>
      </c>
      <c r="I34" s="1187">
        <f t="shared" si="16"/>
        <v>0</v>
      </c>
      <c r="J34" s="1187">
        <f t="shared" si="16"/>
        <v>0</v>
      </c>
      <c r="K34" s="1187">
        <f t="shared" si="16"/>
        <v>0</v>
      </c>
      <c r="L34" s="1187">
        <f t="shared" si="16"/>
        <v>0</v>
      </c>
      <c r="M34" s="1187">
        <f t="shared" si="16"/>
        <v>0</v>
      </c>
      <c r="N34" s="1187">
        <f t="shared" si="16"/>
        <v>0</v>
      </c>
      <c r="O34" s="1187">
        <f t="shared" si="16"/>
        <v>0</v>
      </c>
      <c r="P34" s="1187">
        <f t="shared" si="16"/>
        <v>0</v>
      </c>
      <c r="Q34" s="1187">
        <f t="shared" si="16"/>
        <v>0</v>
      </c>
      <c r="R34" s="1187">
        <f t="shared" si="16"/>
        <v>0</v>
      </c>
      <c r="S34" s="1187">
        <f>IF(S36&gt;0,S32,0)</f>
        <v>0</v>
      </c>
      <c r="T34" s="1187"/>
      <c r="U34" s="1190"/>
      <c r="V34" s="745">
        <f t="shared" ref="V34:V65" si="17">SUM(F34:U34)</f>
        <v>0</v>
      </c>
      <c r="W34" s="1381"/>
    </row>
    <row r="35" spans="1:25" ht="21.95" hidden="1" customHeight="1">
      <c r="A35" s="2572"/>
      <c r="B35" s="2582"/>
      <c r="C35" s="763" t="s">
        <v>2039</v>
      </c>
      <c r="E35" s="749"/>
      <c r="F35" s="1361"/>
      <c r="G35" s="1361">
        <f t="shared" ref="G35:R35" si="18">IF(G38+G45&gt;0,0,IF(G32&gt;0,G32*0.006,0))</f>
        <v>0</v>
      </c>
      <c r="H35" s="1361">
        <f t="shared" si="18"/>
        <v>0</v>
      </c>
      <c r="I35" s="1361">
        <f t="shared" si="18"/>
        <v>0</v>
      </c>
      <c r="J35" s="1361">
        <f t="shared" si="18"/>
        <v>0</v>
      </c>
      <c r="K35" s="1361">
        <f t="shared" si="18"/>
        <v>0</v>
      </c>
      <c r="L35" s="1361">
        <f t="shared" si="18"/>
        <v>0</v>
      </c>
      <c r="M35" s="1361">
        <f t="shared" si="18"/>
        <v>0</v>
      </c>
      <c r="N35" s="1361">
        <f t="shared" si="18"/>
        <v>0</v>
      </c>
      <c r="O35" s="1361">
        <f t="shared" si="18"/>
        <v>0</v>
      </c>
      <c r="P35" s="1361">
        <f t="shared" si="18"/>
        <v>0</v>
      </c>
      <c r="Q35" s="1361">
        <f t="shared" si="18"/>
        <v>0</v>
      </c>
      <c r="R35" s="1361">
        <f t="shared" si="18"/>
        <v>0</v>
      </c>
      <c r="S35" s="1361">
        <f>IF(S38+S45&gt;0,0,IF(S32&gt;0,S32*0.006,0))</f>
        <v>0</v>
      </c>
      <c r="T35" s="1361"/>
      <c r="U35" s="1370"/>
      <c r="V35" s="745">
        <f t="shared" si="17"/>
        <v>0</v>
      </c>
      <c r="W35" s="1381"/>
    </row>
    <row r="36" spans="1:25" ht="21.95" hidden="1" customHeight="1">
      <c r="A36" s="2572"/>
      <c r="B36" s="2582"/>
      <c r="C36" s="747" t="s">
        <v>2040</v>
      </c>
      <c r="D36" s="1382"/>
      <c r="E36" s="749"/>
      <c r="F36" s="1361"/>
      <c r="G36" s="1361">
        <f t="shared" ref="G36:R36" si="19">IF(G38+G45&gt;0,0,IF(G32&gt;0,G32*0.0223,0))</f>
        <v>0</v>
      </c>
      <c r="H36" s="1361">
        <f t="shared" si="19"/>
        <v>0</v>
      </c>
      <c r="I36" s="1361">
        <f t="shared" si="19"/>
        <v>0</v>
      </c>
      <c r="J36" s="1361">
        <f t="shared" si="19"/>
        <v>0</v>
      </c>
      <c r="K36" s="1361">
        <f t="shared" si="19"/>
        <v>0</v>
      </c>
      <c r="L36" s="1361">
        <f t="shared" si="19"/>
        <v>0</v>
      </c>
      <c r="M36" s="1361">
        <f t="shared" si="19"/>
        <v>0</v>
      </c>
      <c r="N36" s="1361">
        <f t="shared" si="19"/>
        <v>0</v>
      </c>
      <c r="O36" s="1361">
        <f t="shared" si="19"/>
        <v>0</v>
      </c>
      <c r="P36" s="1361">
        <f t="shared" si="19"/>
        <v>0</v>
      </c>
      <c r="Q36" s="1361">
        <f t="shared" si="19"/>
        <v>0</v>
      </c>
      <c r="R36" s="1361">
        <f t="shared" si="19"/>
        <v>0</v>
      </c>
      <c r="S36" s="1361">
        <f>IF(S38+S45&gt;0,0,IF(S32&gt;0,S32*0.0223,0))</f>
        <v>0</v>
      </c>
      <c r="T36" s="1361"/>
      <c r="U36" s="1370"/>
      <c r="V36" s="745">
        <f t="shared" si="17"/>
        <v>0</v>
      </c>
      <c r="W36" s="1381"/>
    </row>
    <row r="37" spans="1:25" ht="21.95" hidden="1" customHeight="1" thickBot="1">
      <c r="A37" s="2572"/>
      <c r="B37" s="2583"/>
      <c r="C37" s="754" t="s">
        <v>2041</v>
      </c>
      <c r="D37" s="1383"/>
      <c r="E37" s="756"/>
      <c r="F37" s="1363"/>
      <c r="G37" s="1363">
        <f t="shared" ref="G37:R37" si="20">IF(G36&gt;0,G32*0.0048,0)</f>
        <v>0</v>
      </c>
      <c r="H37" s="1363">
        <f t="shared" si="20"/>
        <v>0</v>
      </c>
      <c r="I37" s="1363">
        <f t="shared" si="20"/>
        <v>0</v>
      </c>
      <c r="J37" s="1363">
        <f t="shared" si="20"/>
        <v>0</v>
      </c>
      <c r="K37" s="1363">
        <f t="shared" si="20"/>
        <v>0</v>
      </c>
      <c r="L37" s="1363">
        <f t="shared" si="20"/>
        <v>0</v>
      </c>
      <c r="M37" s="1363">
        <f t="shared" si="20"/>
        <v>0</v>
      </c>
      <c r="N37" s="1363">
        <f t="shared" si="20"/>
        <v>0</v>
      </c>
      <c r="O37" s="1363">
        <f t="shared" si="20"/>
        <v>0</v>
      </c>
      <c r="P37" s="1363">
        <f t="shared" si="20"/>
        <v>0</v>
      </c>
      <c r="Q37" s="1363">
        <f t="shared" si="20"/>
        <v>0</v>
      </c>
      <c r="R37" s="1363">
        <f t="shared" si="20"/>
        <v>0</v>
      </c>
      <c r="S37" s="1363">
        <f>IF(S36&gt;0,S32*0.0048,0)</f>
        <v>0</v>
      </c>
      <c r="T37" s="1363"/>
      <c r="U37" s="1364"/>
      <c r="V37" s="745">
        <f t="shared" si="17"/>
        <v>0</v>
      </c>
      <c r="W37" s="1384"/>
    </row>
    <row r="38" spans="1:25" s="1369" customFormat="1" ht="21.95" hidden="1" customHeight="1">
      <c r="A38" s="2572"/>
      <c r="B38" s="2581" t="s">
        <v>2017</v>
      </c>
      <c r="C38" s="1340" t="s">
        <v>2006</v>
      </c>
      <c r="D38" s="1341"/>
      <c r="E38" s="1365"/>
      <c r="F38" s="1366"/>
      <c r="G38" s="1367">
        <f>IF(G32=0,0,+Dren_Quantificacao!D30)</f>
        <v>0</v>
      </c>
      <c r="H38" s="1367">
        <f>IF(H32=0,0,+Dren_Quantificacao!E30)</f>
        <v>0</v>
      </c>
      <c r="I38" s="1367">
        <f>IF(I32=0,0,+Dren_Quantificacao!F30)</f>
        <v>0</v>
      </c>
      <c r="J38" s="1367">
        <f>IF(J32=0,0,+Dren_Quantificacao!G30)</f>
        <v>0</v>
      </c>
      <c r="K38" s="1367">
        <f>IF(K32=0,0,+Dren_Quantificacao!H30)</f>
        <v>0</v>
      </c>
      <c r="L38" s="1367">
        <f>IF(L32=0,0,+Dren_Quantificacao!I30)</f>
        <v>0</v>
      </c>
      <c r="M38" s="1367">
        <f>IF(M32=0,0,+Dren_Quantificacao!J30)</f>
        <v>0</v>
      </c>
      <c r="N38" s="1367">
        <f>IF(N32=0,0,+Dren_Quantificacao!K30)</f>
        <v>0</v>
      </c>
      <c r="O38" s="1367">
        <f>IF(O32=0,0,+Dren_Quantificacao!L30)</f>
        <v>0</v>
      </c>
      <c r="P38" s="1367">
        <f>IF(P32=0,0,+Dren_Quantificacao!M30)</f>
        <v>0</v>
      </c>
      <c r="Q38" s="1367">
        <f>IF(Q32=0,0,+Dren_Quantificacao!N30)</f>
        <v>0</v>
      </c>
      <c r="R38" s="1367">
        <f>IF(R32=0,0,+Dren_Quantificacao!O30)</f>
        <v>0</v>
      </c>
      <c r="S38" s="1367">
        <f>IF(S32=0,0,+Dren_Quantificacao!BD30)</f>
        <v>0</v>
      </c>
      <c r="T38" s="1367"/>
      <c r="U38" s="1368"/>
      <c r="V38" s="745">
        <f t="shared" si="17"/>
        <v>0</v>
      </c>
    </row>
    <row r="39" spans="1:25" ht="21.95" hidden="1" customHeight="1">
      <c r="A39" s="2572"/>
      <c r="B39" s="2582"/>
      <c r="C39" s="747" t="s">
        <v>2018</v>
      </c>
      <c r="E39" s="749"/>
      <c r="F39" s="1361">
        <f>Dre_Profunda!I108</f>
        <v>0</v>
      </c>
      <c r="G39" s="1361">
        <f t="shared" ref="G39:R39" si="21">G38*G32*2.5548/100</f>
        <v>0</v>
      </c>
      <c r="H39" s="1361">
        <f t="shared" si="21"/>
        <v>0</v>
      </c>
      <c r="I39" s="1361">
        <f t="shared" si="21"/>
        <v>0</v>
      </c>
      <c r="J39" s="1361">
        <f t="shared" si="21"/>
        <v>0</v>
      </c>
      <c r="K39" s="1361">
        <f t="shared" si="21"/>
        <v>0</v>
      </c>
      <c r="L39" s="1361">
        <f t="shared" si="21"/>
        <v>0</v>
      </c>
      <c r="M39" s="1361">
        <f t="shared" si="21"/>
        <v>0</v>
      </c>
      <c r="N39" s="1361">
        <f t="shared" si="21"/>
        <v>0</v>
      </c>
      <c r="O39" s="1361">
        <f t="shared" si="21"/>
        <v>0</v>
      </c>
      <c r="P39" s="1361">
        <f t="shared" si="21"/>
        <v>0</v>
      </c>
      <c r="Q39" s="1361">
        <f t="shared" si="21"/>
        <v>0</v>
      </c>
      <c r="R39" s="1361">
        <f t="shared" si="21"/>
        <v>0</v>
      </c>
      <c r="S39" s="1361">
        <f>S38*S32*2.5548/100</f>
        <v>0</v>
      </c>
      <c r="T39" s="1361"/>
      <c r="U39" s="1362"/>
      <c r="V39" s="745">
        <f t="shared" si="17"/>
        <v>0</v>
      </c>
      <c r="W39" s="1384"/>
    </row>
    <row r="40" spans="1:25" ht="21.95" hidden="1" customHeight="1">
      <c r="A40" s="2572"/>
      <c r="B40" s="2582"/>
      <c r="C40" s="747" t="s">
        <v>2019</v>
      </c>
      <c r="E40" s="749"/>
      <c r="F40" s="1361">
        <f>Dre_Profunda!I109</f>
        <v>0</v>
      </c>
      <c r="G40" s="1361">
        <f t="shared" ref="G40:R40" si="22">IF(G12&lt;=2.5,G14*G38/100,0)+(G8+G11)*G38/100</f>
        <v>0</v>
      </c>
      <c r="H40" s="1361">
        <f t="shared" si="22"/>
        <v>0</v>
      </c>
      <c r="I40" s="1361">
        <f t="shared" si="22"/>
        <v>0</v>
      </c>
      <c r="J40" s="1361">
        <f t="shared" si="22"/>
        <v>0</v>
      </c>
      <c r="K40" s="1361">
        <f t="shared" si="22"/>
        <v>0</v>
      </c>
      <c r="L40" s="1361">
        <f t="shared" si="22"/>
        <v>0</v>
      </c>
      <c r="M40" s="1361">
        <f t="shared" si="22"/>
        <v>0</v>
      </c>
      <c r="N40" s="1361">
        <f t="shared" si="22"/>
        <v>0</v>
      </c>
      <c r="O40" s="1361">
        <f t="shared" si="22"/>
        <v>0</v>
      </c>
      <c r="P40" s="1361">
        <f t="shared" si="22"/>
        <v>0</v>
      </c>
      <c r="Q40" s="1361">
        <f t="shared" si="22"/>
        <v>0</v>
      </c>
      <c r="R40" s="1361">
        <f t="shared" si="22"/>
        <v>0</v>
      </c>
      <c r="S40" s="1361">
        <f>IF(S12&lt;=2.5,S14*S38/100,0)+(S8+S11)*S38/100</f>
        <v>0</v>
      </c>
      <c r="T40" s="1361"/>
      <c r="U40" s="1370"/>
      <c r="V40" s="745">
        <f t="shared" si="17"/>
        <v>0</v>
      </c>
      <c r="W40" s="1384"/>
    </row>
    <row r="41" spans="1:25" ht="32.1" hidden="1" customHeight="1">
      <c r="A41" s="2572"/>
      <c r="B41" s="2582"/>
      <c r="C41" s="747" t="s">
        <v>2042</v>
      </c>
      <c r="E41" s="749"/>
      <c r="F41" s="1371"/>
      <c r="G41" s="1361">
        <f t="shared" ref="G41:R41" si="23">IF(G12&gt;2.5,G14*G38/100,0)</f>
        <v>0</v>
      </c>
      <c r="H41" s="1361">
        <f t="shared" si="23"/>
        <v>0</v>
      </c>
      <c r="I41" s="1361">
        <f t="shared" si="23"/>
        <v>0</v>
      </c>
      <c r="J41" s="1361">
        <f t="shared" si="23"/>
        <v>0</v>
      </c>
      <c r="K41" s="1361">
        <f t="shared" si="23"/>
        <v>0</v>
      </c>
      <c r="L41" s="1361">
        <f t="shared" si="23"/>
        <v>0</v>
      </c>
      <c r="M41" s="1361">
        <f t="shared" si="23"/>
        <v>0</v>
      </c>
      <c r="N41" s="1361">
        <f t="shared" si="23"/>
        <v>0</v>
      </c>
      <c r="O41" s="1361">
        <f t="shared" si="23"/>
        <v>0</v>
      </c>
      <c r="P41" s="1361">
        <f t="shared" si="23"/>
        <v>0</v>
      </c>
      <c r="Q41" s="1361">
        <f t="shared" si="23"/>
        <v>0</v>
      </c>
      <c r="R41" s="1361">
        <f t="shared" si="23"/>
        <v>0</v>
      </c>
      <c r="S41" s="1361">
        <f>IF(S12&gt;2.5,S14*S38/100,0)</f>
        <v>0</v>
      </c>
      <c r="T41" s="1361"/>
      <c r="U41" s="1370"/>
      <c r="V41" s="745">
        <f t="shared" si="17"/>
        <v>0</v>
      </c>
      <c r="W41" s="1384"/>
    </row>
    <row r="42" spans="1:25" ht="21.95" hidden="1" customHeight="1">
      <c r="A42" s="2572"/>
      <c r="B42" s="2582"/>
      <c r="C42" s="763" t="s">
        <v>2020</v>
      </c>
      <c r="E42" s="749"/>
      <c r="F42" s="1361">
        <f>Dre_Profunda!I110</f>
        <v>0</v>
      </c>
      <c r="G42" s="1361">
        <f t="shared" ref="G42:R42" si="24">G39*0.06</f>
        <v>0</v>
      </c>
      <c r="H42" s="1361">
        <f t="shared" si="24"/>
        <v>0</v>
      </c>
      <c r="I42" s="1361">
        <f t="shared" si="24"/>
        <v>0</v>
      </c>
      <c r="J42" s="1361">
        <f t="shared" si="24"/>
        <v>0</v>
      </c>
      <c r="K42" s="1361">
        <f t="shared" si="24"/>
        <v>0</v>
      </c>
      <c r="L42" s="1361">
        <f t="shared" si="24"/>
        <v>0</v>
      </c>
      <c r="M42" s="1361">
        <f t="shared" si="24"/>
        <v>0</v>
      </c>
      <c r="N42" s="1361">
        <f t="shared" si="24"/>
        <v>0</v>
      </c>
      <c r="O42" s="1361">
        <f t="shared" si="24"/>
        <v>0</v>
      </c>
      <c r="P42" s="1361">
        <f t="shared" si="24"/>
        <v>0</v>
      </c>
      <c r="Q42" s="1361">
        <f t="shared" si="24"/>
        <v>0</v>
      </c>
      <c r="R42" s="1361">
        <f t="shared" si="24"/>
        <v>0</v>
      </c>
      <c r="S42" s="1361">
        <f>S39*0.06</f>
        <v>0</v>
      </c>
      <c r="T42" s="1361"/>
      <c r="U42" s="1370"/>
      <c r="V42" s="745">
        <f t="shared" si="17"/>
        <v>0</v>
      </c>
      <c r="W42" s="1384"/>
    </row>
    <row r="43" spans="1:25" ht="21.95" hidden="1" customHeight="1">
      <c r="A43" s="2572"/>
      <c r="B43" s="2582"/>
      <c r="C43" s="1345" t="s">
        <v>2021</v>
      </c>
      <c r="E43" s="749"/>
      <c r="F43" s="1361">
        <f>Dre_Profunda!I111</f>
        <v>0</v>
      </c>
      <c r="G43" s="1361">
        <f t="shared" ref="G43:R43" si="25">G39*0.161</f>
        <v>0</v>
      </c>
      <c r="H43" s="1361">
        <f t="shared" si="25"/>
        <v>0</v>
      </c>
      <c r="I43" s="1361">
        <f t="shared" si="25"/>
        <v>0</v>
      </c>
      <c r="J43" s="1361">
        <f t="shared" si="25"/>
        <v>0</v>
      </c>
      <c r="K43" s="1361">
        <f t="shared" si="25"/>
        <v>0</v>
      </c>
      <c r="L43" s="1361">
        <f t="shared" si="25"/>
        <v>0</v>
      </c>
      <c r="M43" s="1361">
        <f t="shared" si="25"/>
        <v>0</v>
      </c>
      <c r="N43" s="1361">
        <f t="shared" si="25"/>
        <v>0</v>
      </c>
      <c r="O43" s="1361">
        <f t="shared" si="25"/>
        <v>0</v>
      </c>
      <c r="P43" s="1361">
        <f t="shared" si="25"/>
        <v>0</v>
      </c>
      <c r="Q43" s="1361">
        <f t="shared" si="25"/>
        <v>0</v>
      </c>
      <c r="R43" s="1361">
        <f t="shared" si="25"/>
        <v>0</v>
      </c>
      <c r="S43" s="1361">
        <f>S39*0.161</f>
        <v>0</v>
      </c>
      <c r="T43" s="1361"/>
      <c r="U43" s="1370"/>
      <c r="V43" s="745">
        <f t="shared" si="17"/>
        <v>0</v>
      </c>
      <c r="W43" s="1384"/>
    </row>
    <row r="44" spans="1:25" ht="21.95" hidden="1" customHeight="1" thickBot="1">
      <c r="A44" s="2572"/>
      <c r="B44" s="2583"/>
      <c r="C44" s="1346" t="s">
        <v>2022</v>
      </c>
      <c r="D44" s="755"/>
      <c r="E44" s="756"/>
      <c r="F44" s="1363">
        <f>Dre_Profunda!I112</f>
        <v>0</v>
      </c>
      <c r="G44" s="1363">
        <f t="shared" ref="G44:R44" si="26">G39*0.447</f>
        <v>0</v>
      </c>
      <c r="H44" s="1363">
        <f t="shared" si="26"/>
        <v>0</v>
      </c>
      <c r="I44" s="1363">
        <f t="shared" si="26"/>
        <v>0</v>
      </c>
      <c r="J44" s="1363">
        <f t="shared" si="26"/>
        <v>0</v>
      </c>
      <c r="K44" s="1363">
        <f t="shared" si="26"/>
        <v>0</v>
      </c>
      <c r="L44" s="1363">
        <f t="shared" si="26"/>
        <v>0</v>
      </c>
      <c r="M44" s="1363">
        <f t="shared" si="26"/>
        <v>0</v>
      </c>
      <c r="N44" s="1363">
        <f t="shared" si="26"/>
        <v>0</v>
      </c>
      <c r="O44" s="1363">
        <f t="shared" si="26"/>
        <v>0</v>
      </c>
      <c r="P44" s="1363">
        <f t="shared" si="26"/>
        <v>0</v>
      </c>
      <c r="Q44" s="1363">
        <f t="shared" si="26"/>
        <v>0</v>
      </c>
      <c r="R44" s="1363">
        <f t="shared" si="26"/>
        <v>0</v>
      </c>
      <c r="S44" s="1363">
        <f>S39*0.447</f>
        <v>0</v>
      </c>
      <c r="T44" s="1363"/>
      <c r="U44" s="1370"/>
      <c r="V44" s="745">
        <f t="shared" si="17"/>
        <v>0</v>
      </c>
      <c r="W44" s="1384"/>
    </row>
    <row r="45" spans="1:25" s="1369" customFormat="1" ht="21.95" hidden="1" customHeight="1">
      <c r="A45" s="2572"/>
      <c r="B45" s="2584" t="s">
        <v>2023</v>
      </c>
      <c r="C45" s="1347" t="s">
        <v>2006</v>
      </c>
      <c r="D45" s="1341"/>
      <c r="E45" s="1365"/>
      <c r="F45" s="1366"/>
      <c r="G45" s="1367">
        <f>Dren_Quantificacao!D31</f>
        <v>0</v>
      </c>
      <c r="H45" s="1367">
        <f>Dren_Quantificacao!E31</f>
        <v>0</v>
      </c>
      <c r="I45" s="1367">
        <f>Dren_Quantificacao!F31</f>
        <v>0</v>
      </c>
      <c r="J45" s="1367">
        <f>Dren_Quantificacao!G31</f>
        <v>0</v>
      </c>
      <c r="K45" s="1367">
        <f>Dren_Quantificacao!H31</f>
        <v>0</v>
      </c>
      <c r="L45" s="1367">
        <f>Dren_Quantificacao!I31</f>
        <v>0</v>
      </c>
      <c r="M45" s="1367">
        <f>Dren_Quantificacao!J31</f>
        <v>0</v>
      </c>
      <c r="N45" s="1367">
        <f>Dren_Quantificacao!K31</f>
        <v>0</v>
      </c>
      <c r="O45" s="1367">
        <f>Dren_Quantificacao!L31</f>
        <v>0</v>
      </c>
      <c r="P45" s="1367">
        <f>Dren_Quantificacao!M31</f>
        <v>0</v>
      </c>
      <c r="Q45" s="1367">
        <f>Dren_Quantificacao!N31</f>
        <v>0</v>
      </c>
      <c r="R45" s="1367">
        <f>Dren_Quantificacao!O31</f>
        <v>0</v>
      </c>
      <c r="S45" s="1367">
        <f>Dren_Quantificacao!BD31</f>
        <v>0</v>
      </c>
      <c r="T45" s="1367"/>
      <c r="U45" s="1368"/>
      <c r="V45" s="745">
        <f t="shared" si="17"/>
        <v>0</v>
      </c>
    </row>
    <row r="46" spans="1:25" ht="21.95" hidden="1" customHeight="1">
      <c r="A46" s="2572"/>
      <c r="B46" s="2585"/>
      <c r="C46" s="747" t="s">
        <v>2024</v>
      </c>
      <c r="E46" s="749"/>
      <c r="F46" s="1361">
        <f>Dre_Profunda!I114</f>
        <v>0</v>
      </c>
      <c r="G46" s="1361">
        <f t="shared" ref="G46:R46" si="27">G45*G32*2.346/100</f>
        <v>0</v>
      </c>
      <c r="H46" s="1361">
        <f t="shared" si="27"/>
        <v>0</v>
      </c>
      <c r="I46" s="1361">
        <f t="shared" si="27"/>
        <v>0</v>
      </c>
      <c r="J46" s="1361">
        <f t="shared" si="27"/>
        <v>0</v>
      </c>
      <c r="K46" s="1361">
        <f t="shared" si="27"/>
        <v>0</v>
      </c>
      <c r="L46" s="1361">
        <f t="shared" si="27"/>
        <v>0</v>
      </c>
      <c r="M46" s="1361">
        <f t="shared" si="27"/>
        <v>0</v>
      </c>
      <c r="N46" s="1361">
        <f t="shared" si="27"/>
        <v>0</v>
      </c>
      <c r="O46" s="1361">
        <f t="shared" si="27"/>
        <v>0</v>
      </c>
      <c r="P46" s="1361">
        <f t="shared" si="27"/>
        <v>0</v>
      </c>
      <c r="Q46" s="1361">
        <f t="shared" si="27"/>
        <v>0</v>
      </c>
      <c r="R46" s="1361">
        <f t="shared" si="27"/>
        <v>0</v>
      </c>
      <c r="S46" s="1361">
        <f>S45*S32*2.346/100</f>
        <v>0</v>
      </c>
      <c r="T46" s="1361"/>
      <c r="U46" s="1362"/>
      <c r="V46" s="745">
        <f t="shared" si="17"/>
        <v>0</v>
      </c>
      <c r="W46" s="1384"/>
    </row>
    <row r="47" spans="1:25" ht="21.95" hidden="1" customHeight="1">
      <c r="A47" s="2572"/>
      <c r="B47" s="2585"/>
      <c r="C47" s="747" t="s">
        <v>2019</v>
      </c>
      <c r="E47" s="749"/>
      <c r="F47" s="1361">
        <f>Dre_Profunda!I115</f>
        <v>0</v>
      </c>
      <c r="G47" s="1361">
        <f t="shared" ref="G47:R47" si="28">IF(G12&lt;=2.5,G14*G45/100,0)+(G8+G11)*G45/100</f>
        <v>0</v>
      </c>
      <c r="H47" s="1361">
        <f t="shared" si="28"/>
        <v>0</v>
      </c>
      <c r="I47" s="1361">
        <f t="shared" si="28"/>
        <v>0</v>
      </c>
      <c r="J47" s="1361">
        <f t="shared" si="28"/>
        <v>0</v>
      </c>
      <c r="K47" s="1361">
        <f t="shared" si="28"/>
        <v>0</v>
      </c>
      <c r="L47" s="1361">
        <f t="shared" si="28"/>
        <v>0</v>
      </c>
      <c r="M47" s="1361">
        <f t="shared" si="28"/>
        <v>0</v>
      </c>
      <c r="N47" s="1361">
        <f t="shared" si="28"/>
        <v>0</v>
      </c>
      <c r="O47" s="1361">
        <f t="shared" si="28"/>
        <v>0</v>
      </c>
      <c r="P47" s="1361">
        <f t="shared" si="28"/>
        <v>0</v>
      </c>
      <c r="Q47" s="1361">
        <f t="shared" si="28"/>
        <v>0</v>
      </c>
      <c r="R47" s="1361">
        <f t="shared" si="28"/>
        <v>0</v>
      </c>
      <c r="S47" s="1361">
        <f>IF(S12&lt;=2.5,S14*S45/100,0)+(S8+S11)*S45/100</f>
        <v>0</v>
      </c>
      <c r="T47" s="1361"/>
      <c r="U47" s="1370"/>
      <c r="V47" s="745">
        <f t="shared" si="17"/>
        <v>0</v>
      </c>
    </row>
    <row r="48" spans="1:25" ht="32.1" hidden="1" customHeight="1">
      <c r="A48" s="2572"/>
      <c r="B48" s="2585"/>
      <c r="C48" s="747" t="s">
        <v>2042</v>
      </c>
      <c r="E48" s="749"/>
      <c r="F48" s="1371"/>
      <c r="G48" s="1361">
        <f t="shared" ref="G48:R48" si="29">IF(G12&gt;2.5,G14*G45/100,0)</f>
        <v>0</v>
      </c>
      <c r="H48" s="1361">
        <f t="shared" si="29"/>
        <v>0</v>
      </c>
      <c r="I48" s="1361">
        <f t="shared" si="29"/>
        <v>0</v>
      </c>
      <c r="J48" s="1361">
        <f t="shared" si="29"/>
        <v>0</v>
      </c>
      <c r="K48" s="1361">
        <f t="shared" si="29"/>
        <v>0</v>
      </c>
      <c r="L48" s="1361">
        <f t="shared" si="29"/>
        <v>0</v>
      </c>
      <c r="M48" s="1361">
        <f t="shared" si="29"/>
        <v>0</v>
      </c>
      <c r="N48" s="1361">
        <f t="shared" si="29"/>
        <v>0</v>
      </c>
      <c r="O48" s="1361">
        <f t="shared" si="29"/>
        <v>0</v>
      </c>
      <c r="P48" s="1361">
        <f t="shared" si="29"/>
        <v>0</v>
      </c>
      <c r="Q48" s="1361">
        <f t="shared" si="29"/>
        <v>0</v>
      </c>
      <c r="R48" s="1361">
        <f t="shared" si="29"/>
        <v>0</v>
      </c>
      <c r="S48" s="1361">
        <f>IF(S12&gt;2.5,S14*S45/100,0)</f>
        <v>0</v>
      </c>
      <c r="T48" s="1361"/>
      <c r="U48" s="1370"/>
      <c r="V48" s="745">
        <f t="shared" si="17"/>
        <v>0</v>
      </c>
      <c r="W48" s="1385" t="s">
        <v>1859</v>
      </c>
      <c r="X48" s="1386" t="s">
        <v>2043</v>
      </c>
      <c r="Y48" s="1386" t="s">
        <v>2044</v>
      </c>
    </row>
    <row r="49" spans="1:25" ht="21.95" hidden="1" customHeight="1">
      <c r="A49" s="2572"/>
      <c r="B49" s="2585"/>
      <c r="C49" s="1387" t="s">
        <v>2025</v>
      </c>
      <c r="D49" s="1388"/>
      <c r="E49" s="749"/>
      <c r="F49" s="1361">
        <f>Dre_Profunda!I116</f>
        <v>0</v>
      </c>
      <c r="G49" s="1361">
        <f t="shared" ref="G49:R49" si="30">(G47+G48)*0.132</f>
        <v>0</v>
      </c>
      <c r="H49" s="1361">
        <f t="shared" si="30"/>
        <v>0</v>
      </c>
      <c r="I49" s="1361">
        <f t="shared" si="30"/>
        <v>0</v>
      </c>
      <c r="J49" s="1361">
        <f t="shared" si="30"/>
        <v>0</v>
      </c>
      <c r="K49" s="1361">
        <f t="shared" si="30"/>
        <v>0</v>
      </c>
      <c r="L49" s="1361">
        <f t="shared" si="30"/>
        <v>0</v>
      </c>
      <c r="M49" s="1361">
        <f t="shared" si="30"/>
        <v>0</v>
      </c>
      <c r="N49" s="1361">
        <f t="shared" si="30"/>
        <v>0</v>
      </c>
      <c r="O49" s="1361">
        <f t="shared" si="30"/>
        <v>0</v>
      </c>
      <c r="P49" s="1361">
        <f t="shared" si="30"/>
        <v>0</v>
      </c>
      <c r="Q49" s="1361">
        <f t="shared" si="30"/>
        <v>0</v>
      </c>
      <c r="R49" s="1361">
        <f t="shared" si="30"/>
        <v>0</v>
      </c>
      <c r="S49" s="1361">
        <f>(S47+S48)*0.132</f>
        <v>0</v>
      </c>
      <c r="T49" s="1361"/>
      <c r="U49" s="1370"/>
      <c r="V49" s="745">
        <f t="shared" si="17"/>
        <v>0</v>
      </c>
      <c r="W49" s="1121" t="s">
        <v>1868</v>
      </c>
      <c r="X49" s="1121" t="s">
        <v>1868</v>
      </c>
      <c r="Y49" s="1121" t="s">
        <v>1868</v>
      </c>
    </row>
    <row r="50" spans="1:25" ht="21.95" hidden="1" customHeight="1">
      <c r="A50" s="2572"/>
      <c r="B50" s="2585"/>
      <c r="C50" s="1387" t="s">
        <v>2026</v>
      </c>
      <c r="D50" s="1388"/>
      <c r="E50" s="749"/>
      <c r="F50" s="1361">
        <f>Dre_Profunda!I117</f>
        <v>0</v>
      </c>
      <c r="G50" s="1361">
        <f t="shared" ref="G50:R50" si="31">(G47+G48)*0.411</f>
        <v>0</v>
      </c>
      <c r="H50" s="1361">
        <f t="shared" si="31"/>
        <v>0</v>
      </c>
      <c r="I50" s="1361">
        <f t="shared" si="31"/>
        <v>0</v>
      </c>
      <c r="J50" s="1361">
        <f t="shared" si="31"/>
        <v>0</v>
      </c>
      <c r="K50" s="1361">
        <f t="shared" si="31"/>
        <v>0</v>
      </c>
      <c r="L50" s="1361">
        <f t="shared" si="31"/>
        <v>0</v>
      </c>
      <c r="M50" s="1361">
        <f t="shared" si="31"/>
        <v>0</v>
      </c>
      <c r="N50" s="1361">
        <f t="shared" si="31"/>
        <v>0</v>
      </c>
      <c r="O50" s="1361">
        <f t="shared" si="31"/>
        <v>0</v>
      </c>
      <c r="P50" s="1361">
        <f t="shared" si="31"/>
        <v>0</v>
      </c>
      <c r="Q50" s="1361">
        <f t="shared" si="31"/>
        <v>0</v>
      </c>
      <c r="R50" s="1361">
        <f t="shared" si="31"/>
        <v>0</v>
      </c>
      <c r="S50" s="1361">
        <f>(S47+S48)*0.411</f>
        <v>0</v>
      </c>
      <c r="T50" s="1361"/>
      <c r="U50" s="1370"/>
      <c r="V50" s="745">
        <f t="shared" si="17"/>
        <v>0</v>
      </c>
      <c r="W50" s="1125">
        <v>94963</v>
      </c>
      <c r="X50" s="1125">
        <v>94963</v>
      </c>
      <c r="Y50" s="1125">
        <v>94963</v>
      </c>
    </row>
    <row r="51" spans="1:25" ht="21.95" hidden="1" customHeight="1" thickBot="1">
      <c r="A51" s="2572"/>
      <c r="B51" s="2585"/>
      <c r="C51" s="1345" t="s">
        <v>2027</v>
      </c>
      <c r="D51" s="1388"/>
      <c r="E51" s="749"/>
      <c r="F51" s="1361">
        <f>Dre_Profunda!I118</f>
        <v>0</v>
      </c>
      <c r="G51" s="1361">
        <f t="shared" ref="G51:R51" si="32">(G47+G48)*0.968</f>
        <v>0</v>
      </c>
      <c r="H51" s="1361">
        <f t="shared" si="32"/>
        <v>0</v>
      </c>
      <c r="I51" s="1361">
        <f t="shared" si="32"/>
        <v>0</v>
      </c>
      <c r="J51" s="1361">
        <f t="shared" si="32"/>
        <v>0</v>
      </c>
      <c r="K51" s="1361">
        <f t="shared" si="32"/>
        <v>0</v>
      </c>
      <c r="L51" s="1361">
        <f t="shared" si="32"/>
        <v>0</v>
      </c>
      <c r="M51" s="1361">
        <f t="shared" si="32"/>
        <v>0</v>
      </c>
      <c r="N51" s="1361">
        <f t="shared" si="32"/>
        <v>0</v>
      </c>
      <c r="O51" s="1361">
        <f t="shared" si="32"/>
        <v>0</v>
      </c>
      <c r="P51" s="1361">
        <f t="shared" si="32"/>
        <v>0</v>
      </c>
      <c r="Q51" s="1361">
        <f t="shared" si="32"/>
        <v>0</v>
      </c>
      <c r="R51" s="1361">
        <f t="shared" si="32"/>
        <v>0</v>
      </c>
      <c r="S51" s="1361">
        <f>(S47+S48)*0.968</f>
        <v>0</v>
      </c>
      <c r="T51" s="1361"/>
      <c r="U51" s="1370"/>
      <c r="V51" s="745">
        <f t="shared" si="17"/>
        <v>0</v>
      </c>
      <c r="W51" s="1130">
        <v>273.06</v>
      </c>
      <c r="X51" s="1132">
        <v>0.80500000000000005</v>
      </c>
      <c r="Y51" s="1132">
        <v>0.57899999999999996</v>
      </c>
    </row>
    <row r="52" spans="1:25" ht="21.95" hidden="1" customHeight="1">
      <c r="A52" s="2572"/>
      <c r="B52" s="2584" t="s">
        <v>2045</v>
      </c>
      <c r="C52" s="1389" t="s">
        <v>2046</v>
      </c>
      <c r="D52" s="759"/>
      <c r="E52" s="760"/>
      <c r="F52" s="1057"/>
      <c r="G52" s="894"/>
      <c r="H52" s="894"/>
      <c r="I52" s="894"/>
      <c r="J52" s="894"/>
      <c r="K52" s="894"/>
      <c r="L52" s="894"/>
      <c r="M52" s="894"/>
      <c r="N52" s="894"/>
      <c r="O52" s="894"/>
      <c r="P52" s="894"/>
      <c r="Q52" s="894"/>
      <c r="R52" s="894"/>
      <c r="S52" s="894"/>
      <c r="T52" s="894"/>
      <c r="U52" s="1390"/>
      <c r="V52" s="745">
        <f t="shared" si="17"/>
        <v>0</v>
      </c>
      <c r="W52" s="1391"/>
      <c r="X52" s="1392"/>
      <c r="Y52" s="1392"/>
    </row>
    <row r="53" spans="1:25" ht="21.95" hidden="1" customHeight="1">
      <c r="A53" s="2572"/>
      <c r="B53" s="2585"/>
      <c r="C53" s="763" t="s">
        <v>2047</v>
      </c>
      <c r="D53" s="781"/>
      <c r="E53" s="782"/>
      <c r="F53" s="1361"/>
      <c r="G53" s="1361">
        <f t="shared" ref="G53:R53" si="33">IF(G$2=0,0,G52*G$2)</f>
        <v>0</v>
      </c>
      <c r="H53" s="1361">
        <f t="shared" si="33"/>
        <v>0</v>
      </c>
      <c r="I53" s="1361">
        <f t="shared" si="33"/>
        <v>0</v>
      </c>
      <c r="J53" s="1361">
        <f t="shared" si="33"/>
        <v>0</v>
      </c>
      <c r="K53" s="1361">
        <f t="shared" si="33"/>
        <v>0</v>
      </c>
      <c r="L53" s="1361">
        <f t="shared" si="33"/>
        <v>0</v>
      </c>
      <c r="M53" s="1361">
        <f t="shared" si="33"/>
        <v>0</v>
      </c>
      <c r="N53" s="1361">
        <f t="shared" si="33"/>
        <v>0</v>
      </c>
      <c r="O53" s="1361">
        <f t="shared" si="33"/>
        <v>0</v>
      </c>
      <c r="P53" s="1361">
        <f t="shared" si="33"/>
        <v>0</v>
      </c>
      <c r="Q53" s="1361">
        <f t="shared" si="33"/>
        <v>0</v>
      </c>
      <c r="R53" s="1361">
        <f t="shared" si="33"/>
        <v>0</v>
      </c>
      <c r="S53" s="1361">
        <f>IF(S$2=0,0,S52*S$2)</f>
        <v>0</v>
      </c>
      <c r="T53" s="1361"/>
      <c r="U53" s="1373"/>
      <c r="V53" s="745">
        <f t="shared" si="17"/>
        <v>0</v>
      </c>
      <c r="W53" s="1393">
        <v>6.1499999999999999E-2</v>
      </c>
      <c r="X53" s="1393">
        <v>6.1499999999999999E-2</v>
      </c>
      <c r="Y53" s="1393">
        <v>6.1499999999999999E-2</v>
      </c>
    </row>
    <row r="54" spans="1:25" ht="21.95" hidden="1" customHeight="1">
      <c r="A54" s="2572"/>
      <c r="B54" s="2585"/>
      <c r="C54" s="1387" t="s">
        <v>2046</v>
      </c>
      <c r="D54" s="1394"/>
      <c r="E54" s="1395"/>
      <c r="F54" s="1396"/>
      <c r="G54" s="1397"/>
      <c r="H54" s="1397"/>
      <c r="I54" s="1397"/>
      <c r="J54" s="1397"/>
      <c r="K54" s="1397"/>
      <c r="L54" s="1397"/>
      <c r="M54" s="1397"/>
      <c r="N54" s="1397"/>
      <c r="O54" s="1397"/>
      <c r="P54" s="1397"/>
      <c r="Q54" s="1397"/>
      <c r="R54" s="1397"/>
      <c r="S54" s="1397"/>
      <c r="T54" s="1397"/>
      <c r="U54" s="1398"/>
      <c r="V54" s="745">
        <f t="shared" si="17"/>
        <v>0</v>
      </c>
      <c r="W54" s="1393"/>
      <c r="X54" s="1393"/>
      <c r="Y54" s="1393"/>
    </row>
    <row r="55" spans="1:25" ht="21.95" hidden="1" customHeight="1">
      <c r="A55" s="2572"/>
      <c r="B55" s="2585"/>
      <c r="C55" s="747" t="s">
        <v>2048</v>
      </c>
      <c r="D55" s="1399"/>
      <c r="E55" s="1400"/>
      <c r="F55" s="1372"/>
      <c r="G55" s="1372">
        <f t="shared" ref="G55:R55" si="34">IF(G$2=0,0,G54*G$2)</f>
        <v>0</v>
      </c>
      <c r="H55" s="1372">
        <f t="shared" si="34"/>
        <v>0</v>
      </c>
      <c r="I55" s="1372">
        <f t="shared" si="34"/>
        <v>0</v>
      </c>
      <c r="J55" s="1372">
        <f t="shared" si="34"/>
        <v>0</v>
      </c>
      <c r="K55" s="1372">
        <f t="shared" si="34"/>
        <v>0</v>
      </c>
      <c r="L55" s="1372">
        <f t="shared" si="34"/>
        <v>0</v>
      </c>
      <c r="M55" s="1372">
        <f t="shared" si="34"/>
        <v>0</v>
      </c>
      <c r="N55" s="1372">
        <f t="shared" si="34"/>
        <v>0</v>
      </c>
      <c r="O55" s="1372">
        <f t="shared" si="34"/>
        <v>0</v>
      </c>
      <c r="P55" s="1372">
        <f t="shared" si="34"/>
        <v>0</v>
      </c>
      <c r="Q55" s="1372">
        <f t="shared" si="34"/>
        <v>0</v>
      </c>
      <c r="R55" s="1372">
        <f t="shared" si="34"/>
        <v>0</v>
      </c>
      <c r="S55" s="1372">
        <f>IF(S$2=0,0,S54*S$2)</f>
        <v>0</v>
      </c>
      <c r="T55" s="1372"/>
      <c r="U55" s="1373"/>
      <c r="V55" s="745">
        <f t="shared" si="17"/>
        <v>0</v>
      </c>
      <c r="W55" s="1393">
        <v>2.8500000000000001E-2</v>
      </c>
      <c r="X55" s="1393">
        <v>2.8500000000000001E-2</v>
      </c>
      <c r="Y55" s="1393">
        <v>2.8500000000000001E-2</v>
      </c>
    </row>
    <row r="56" spans="1:25" ht="21.95" hidden="1" customHeight="1">
      <c r="A56" s="2572"/>
      <c r="B56" s="2585"/>
      <c r="C56" s="1387" t="s">
        <v>2046</v>
      </c>
      <c r="D56" s="1401"/>
      <c r="E56" s="1402"/>
      <c r="F56" s="1396"/>
      <c r="G56" s="1397"/>
      <c r="H56" s="1397"/>
      <c r="I56" s="1397"/>
      <c r="J56" s="1397"/>
      <c r="K56" s="1397"/>
      <c r="L56" s="1397"/>
      <c r="M56" s="1397"/>
      <c r="N56" s="1397"/>
      <c r="O56" s="1397"/>
      <c r="P56" s="1397"/>
      <c r="Q56" s="1397"/>
      <c r="R56" s="1397"/>
      <c r="S56" s="1397"/>
      <c r="T56" s="1397"/>
      <c r="U56" s="1398"/>
      <c r="V56" s="745">
        <f t="shared" si="17"/>
        <v>0</v>
      </c>
      <c r="W56" s="1393"/>
      <c r="X56" s="1393"/>
      <c r="Y56" s="1393"/>
    </row>
    <row r="57" spans="1:25" ht="21.95" hidden="1" customHeight="1">
      <c r="A57" s="2572"/>
      <c r="B57" s="2585"/>
      <c r="C57" s="763" t="s">
        <v>2049</v>
      </c>
      <c r="D57" s="1403"/>
      <c r="E57" s="1400"/>
      <c r="F57" s="1372"/>
      <c r="G57" s="1372">
        <f t="shared" ref="G57:R57" si="35">IF(G$2=0,0,G56*G$2)</f>
        <v>0</v>
      </c>
      <c r="H57" s="1372">
        <f t="shared" si="35"/>
        <v>0</v>
      </c>
      <c r="I57" s="1372">
        <f t="shared" si="35"/>
        <v>0</v>
      </c>
      <c r="J57" s="1372">
        <f t="shared" si="35"/>
        <v>0</v>
      </c>
      <c r="K57" s="1372">
        <f t="shared" si="35"/>
        <v>0</v>
      </c>
      <c r="L57" s="1372">
        <f t="shared" si="35"/>
        <v>0</v>
      </c>
      <c r="M57" s="1372">
        <f t="shared" si="35"/>
        <v>0</v>
      </c>
      <c r="N57" s="1372">
        <f t="shared" si="35"/>
        <v>0</v>
      </c>
      <c r="O57" s="1372">
        <f t="shared" si="35"/>
        <v>0</v>
      </c>
      <c r="P57" s="1372">
        <f t="shared" si="35"/>
        <v>0</v>
      </c>
      <c r="Q57" s="1372">
        <f t="shared" si="35"/>
        <v>0</v>
      </c>
      <c r="R57" s="1372">
        <f t="shared" si="35"/>
        <v>0</v>
      </c>
      <c r="S57" s="1372">
        <f>IF(S$2=0,0,S56*S$2)</f>
        <v>0</v>
      </c>
      <c r="T57" s="1372"/>
      <c r="U57" s="1373"/>
      <c r="V57" s="745">
        <f t="shared" si="17"/>
        <v>0</v>
      </c>
      <c r="W57" s="1393">
        <v>0.05</v>
      </c>
      <c r="X57" s="1393">
        <v>0.05</v>
      </c>
      <c r="Y57" s="1393">
        <v>0.05</v>
      </c>
    </row>
    <row r="58" spans="1:25" ht="21.95" hidden="1" customHeight="1">
      <c r="A58" s="2572"/>
      <c r="B58" s="2585"/>
      <c r="C58" s="896" t="s">
        <v>2050</v>
      </c>
      <c r="D58" s="1404"/>
      <c r="E58" s="1405"/>
      <c r="F58" s="1361"/>
      <c r="G58" s="1361">
        <f t="shared" ref="G58:S58" si="36">SUMPRODUCT(G53:G57,$W53:$W57)*$W$51</f>
        <v>0</v>
      </c>
      <c r="H58" s="1361">
        <f t="shared" si="36"/>
        <v>0</v>
      </c>
      <c r="I58" s="1361">
        <f t="shared" si="36"/>
        <v>0</v>
      </c>
      <c r="J58" s="1361">
        <f t="shared" si="36"/>
        <v>0</v>
      </c>
      <c r="K58" s="1361">
        <f t="shared" si="36"/>
        <v>0</v>
      </c>
      <c r="L58" s="1361">
        <f t="shared" si="36"/>
        <v>0</v>
      </c>
      <c r="M58" s="1361">
        <f t="shared" si="36"/>
        <v>0</v>
      </c>
      <c r="N58" s="1361">
        <f t="shared" si="36"/>
        <v>0</v>
      </c>
      <c r="O58" s="1361">
        <f t="shared" si="36"/>
        <v>0</v>
      </c>
      <c r="P58" s="1361">
        <f t="shared" si="36"/>
        <v>0</v>
      </c>
      <c r="Q58" s="1361">
        <f t="shared" si="36"/>
        <v>0</v>
      </c>
      <c r="R58" s="1361">
        <f t="shared" si="36"/>
        <v>0</v>
      </c>
      <c r="S58" s="1361">
        <f t="shared" si="36"/>
        <v>0</v>
      </c>
      <c r="T58" s="1361"/>
      <c r="U58" s="1370"/>
      <c r="V58" s="745">
        <f t="shared" si="17"/>
        <v>0</v>
      </c>
      <c r="W58" s="1406"/>
      <c r="X58" s="1406"/>
      <c r="Y58" s="1406"/>
    </row>
    <row r="59" spans="1:25" ht="21.95" hidden="1" customHeight="1">
      <c r="A59" s="2572"/>
      <c r="B59" s="2585"/>
      <c r="C59" s="911" t="s">
        <v>1906</v>
      </c>
      <c r="D59" s="1404"/>
      <c r="E59" s="1405"/>
      <c r="F59" s="1361"/>
      <c r="G59" s="1361">
        <f t="shared" ref="G59:S59" si="37">SUMPRODUCT(G53:G57,$X53:$X57)*$X$51</f>
        <v>0</v>
      </c>
      <c r="H59" s="1361">
        <f t="shared" si="37"/>
        <v>0</v>
      </c>
      <c r="I59" s="1361">
        <f t="shared" si="37"/>
        <v>0</v>
      </c>
      <c r="J59" s="1361">
        <f t="shared" si="37"/>
        <v>0</v>
      </c>
      <c r="K59" s="1361">
        <f t="shared" si="37"/>
        <v>0</v>
      </c>
      <c r="L59" s="1361">
        <f t="shared" si="37"/>
        <v>0</v>
      </c>
      <c r="M59" s="1361">
        <f t="shared" si="37"/>
        <v>0</v>
      </c>
      <c r="N59" s="1361">
        <f t="shared" si="37"/>
        <v>0</v>
      </c>
      <c r="O59" s="1361">
        <f t="shared" si="37"/>
        <v>0</v>
      </c>
      <c r="P59" s="1361">
        <f t="shared" si="37"/>
        <v>0</v>
      </c>
      <c r="Q59" s="1361">
        <f t="shared" si="37"/>
        <v>0</v>
      </c>
      <c r="R59" s="1361">
        <f t="shared" si="37"/>
        <v>0</v>
      </c>
      <c r="S59" s="1361">
        <f t="shared" si="37"/>
        <v>0</v>
      </c>
      <c r="T59" s="1361"/>
      <c r="U59" s="1370"/>
      <c r="V59" s="745">
        <f t="shared" si="17"/>
        <v>0</v>
      </c>
      <c r="W59" s="1406"/>
      <c r="X59" s="1406"/>
      <c r="Y59" s="1406"/>
    </row>
    <row r="60" spans="1:25" ht="21.95" hidden="1" customHeight="1" thickBot="1">
      <c r="A60" s="2572"/>
      <c r="B60" s="2586"/>
      <c r="C60" s="754" t="s">
        <v>1907</v>
      </c>
      <c r="D60" s="1407"/>
      <c r="E60" s="1408"/>
      <c r="F60" s="1363"/>
      <c r="G60" s="1363">
        <f t="shared" ref="G60:S60" si="38">SUMPRODUCT(G53:G57,$Y53:$Y57)*$Y$51</f>
        <v>0</v>
      </c>
      <c r="H60" s="1363">
        <f t="shared" si="38"/>
        <v>0</v>
      </c>
      <c r="I60" s="1363">
        <f t="shared" si="38"/>
        <v>0</v>
      </c>
      <c r="J60" s="1363">
        <f t="shared" si="38"/>
        <v>0</v>
      </c>
      <c r="K60" s="1363">
        <f t="shared" si="38"/>
        <v>0</v>
      </c>
      <c r="L60" s="1363">
        <f t="shared" si="38"/>
        <v>0</v>
      </c>
      <c r="M60" s="1363">
        <f t="shared" si="38"/>
        <v>0</v>
      </c>
      <c r="N60" s="1363">
        <f t="shared" si="38"/>
        <v>0</v>
      </c>
      <c r="O60" s="1363">
        <f t="shared" si="38"/>
        <v>0</v>
      </c>
      <c r="P60" s="1363">
        <f t="shared" si="38"/>
        <v>0</v>
      </c>
      <c r="Q60" s="1363">
        <f t="shared" si="38"/>
        <v>0</v>
      </c>
      <c r="R60" s="1363">
        <f t="shared" si="38"/>
        <v>0</v>
      </c>
      <c r="S60" s="1363">
        <f t="shared" si="38"/>
        <v>0</v>
      </c>
      <c r="T60" s="1363"/>
      <c r="U60" s="1370"/>
      <c r="V60" s="745">
        <f t="shared" si="17"/>
        <v>0</v>
      </c>
    </row>
    <row r="61" spans="1:25" ht="21.95" hidden="1" customHeight="1" thickBot="1">
      <c r="A61" s="2572"/>
      <c r="B61" s="1409" t="s">
        <v>1837</v>
      </c>
      <c r="C61" s="1159" t="s">
        <v>2032</v>
      </c>
      <c r="D61" s="1404"/>
      <c r="E61" s="1405"/>
      <c r="F61" s="1371"/>
      <c r="G61" s="1361">
        <f>G19*1.375</f>
        <v>0</v>
      </c>
      <c r="H61" s="1361">
        <f t="shared" ref="H61:R61" si="39">H19*1.375</f>
        <v>0</v>
      </c>
      <c r="I61" s="1361">
        <f t="shared" si="39"/>
        <v>0</v>
      </c>
      <c r="J61" s="1361">
        <f t="shared" si="39"/>
        <v>0</v>
      </c>
      <c r="K61" s="1361">
        <f t="shared" si="39"/>
        <v>0</v>
      </c>
      <c r="L61" s="1361">
        <f t="shared" si="39"/>
        <v>0</v>
      </c>
      <c r="M61" s="1361">
        <f t="shared" si="39"/>
        <v>0</v>
      </c>
      <c r="N61" s="1361">
        <f t="shared" si="39"/>
        <v>0</v>
      </c>
      <c r="O61" s="1361">
        <f t="shared" si="39"/>
        <v>0</v>
      </c>
      <c r="P61" s="1361">
        <f t="shared" si="39"/>
        <v>0</v>
      </c>
      <c r="Q61" s="1361">
        <f t="shared" si="39"/>
        <v>0</v>
      </c>
      <c r="R61" s="1361">
        <f t="shared" si="39"/>
        <v>0</v>
      </c>
      <c r="S61" s="1361">
        <f>S19*1.375</f>
        <v>0</v>
      </c>
      <c r="T61" s="1361"/>
      <c r="U61" s="1190"/>
      <c r="V61" s="745">
        <f t="shared" si="17"/>
        <v>0</v>
      </c>
    </row>
    <row r="62" spans="1:25" ht="21.95" hidden="1" customHeight="1">
      <c r="A62" s="2572"/>
      <c r="B62" s="2581" t="s">
        <v>1841</v>
      </c>
      <c r="C62" s="740" t="s">
        <v>1769</v>
      </c>
      <c r="D62" s="1341"/>
      <c r="E62" s="1365"/>
      <c r="F62" s="1187">
        <f>F16*1.25</f>
        <v>0</v>
      </c>
      <c r="G62" s="1187">
        <f>G16*1.25</f>
        <v>0</v>
      </c>
      <c r="H62" s="1187">
        <f t="shared" ref="H62:R62" si="40">H16*1.25</f>
        <v>0</v>
      </c>
      <c r="I62" s="1187">
        <f t="shared" si="40"/>
        <v>0</v>
      </c>
      <c r="J62" s="1187">
        <f t="shared" si="40"/>
        <v>0</v>
      </c>
      <c r="K62" s="1187">
        <f t="shared" si="40"/>
        <v>0</v>
      </c>
      <c r="L62" s="1187">
        <f t="shared" si="40"/>
        <v>0</v>
      </c>
      <c r="M62" s="1187">
        <f t="shared" si="40"/>
        <v>0</v>
      </c>
      <c r="N62" s="1187">
        <f t="shared" si="40"/>
        <v>0</v>
      </c>
      <c r="O62" s="1187">
        <f t="shared" si="40"/>
        <v>0</v>
      </c>
      <c r="P62" s="1187">
        <f t="shared" si="40"/>
        <v>0</v>
      </c>
      <c r="Q62" s="1187">
        <f t="shared" si="40"/>
        <v>0</v>
      </c>
      <c r="R62" s="1187">
        <f t="shared" si="40"/>
        <v>0</v>
      </c>
      <c r="S62" s="1187">
        <f>S16*1.25</f>
        <v>0</v>
      </c>
      <c r="T62" s="1187"/>
      <c r="U62" s="1190"/>
      <c r="V62" s="745">
        <f t="shared" si="17"/>
        <v>0</v>
      </c>
    </row>
    <row r="63" spans="1:25" ht="21.95" hidden="1" customHeight="1">
      <c r="A63" s="2572"/>
      <c r="B63" s="2582"/>
      <c r="C63" s="763" t="s">
        <v>1995</v>
      </c>
      <c r="E63" s="749"/>
      <c r="F63" s="1371"/>
      <c r="G63" s="1361">
        <f t="shared" ref="G63:R63" si="41">G27</f>
        <v>0</v>
      </c>
      <c r="H63" s="1361">
        <f t="shared" si="41"/>
        <v>0</v>
      </c>
      <c r="I63" s="1361">
        <f t="shared" si="41"/>
        <v>0</v>
      </c>
      <c r="J63" s="1361">
        <f t="shared" si="41"/>
        <v>0</v>
      </c>
      <c r="K63" s="1361">
        <f t="shared" si="41"/>
        <v>0</v>
      </c>
      <c r="L63" s="1361">
        <f t="shared" si="41"/>
        <v>0</v>
      </c>
      <c r="M63" s="1361">
        <f t="shared" si="41"/>
        <v>0</v>
      </c>
      <c r="N63" s="1361">
        <f t="shared" si="41"/>
        <v>0</v>
      </c>
      <c r="O63" s="1361">
        <f t="shared" si="41"/>
        <v>0</v>
      </c>
      <c r="P63" s="1361">
        <f t="shared" si="41"/>
        <v>0</v>
      </c>
      <c r="Q63" s="1361">
        <f t="shared" si="41"/>
        <v>0</v>
      </c>
      <c r="R63" s="1361">
        <f t="shared" si="41"/>
        <v>0</v>
      </c>
      <c r="S63" s="1361">
        <f>S27</f>
        <v>0</v>
      </c>
      <c r="T63" s="1361"/>
      <c r="U63" s="1370"/>
      <c r="V63" s="745">
        <f t="shared" si="17"/>
        <v>0</v>
      </c>
    </row>
    <row r="64" spans="1:25" ht="21.95" hidden="1" customHeight="1">
      <c r="A64" s="2572"/>
      <c r="B64" s="2582"/>
      <c r="C64" s="763" t="s">
        <v>1847</v>
      </c>
      <c r="E64" s="749"/>
      <c r="F64" s="1371"/>
      <c r="G64" s="1361">
        <f t="shared" ref="G64:R64" si="42">G58/1000</f>
        <v>0</v>
      </c>
      <c r="H64" s="1361">
        <f t="shared" si="42"/>
        <v>0</v>
      </c>
      <c r="I64" s="1361">
        <f t="shared" si="42"/>
        <v>0</v>
      </c>
      <c r="J64" s="1361">
        <f t="shared" si="42"/>
        <v>0</v>
      </c>
      <c r="K64" s="1361">
        <f t="shared" si="42"/>
        <v>0</v>
      </c>
      <c r="L64" s="1361">
        <f t="shared" si="42"/>
        <v>0</v>
      </c>
      <c r="M64" s="1361">
        <f t="shared" si="42"/>
        <v>0</v>
      </c>
      <c r="N64" s="1361">
        <f t="shared" si="42"/>
        <v>0</v>
      </c>
      <c r="O64" s="1361">
        <f t="shared" si="42"/>
        <v>0</v>
      </c>
      <c r="P64" s="1361">
        <f t="shared" si="42"/>
        <v>0</v>
      </c>
      <c r="Q64" s="1361">
        <f t="shared" si="42"/>
        <v>0</v>
      </c>
      <c r="R64" s="1361">
        <f t="shared" si="42"/>
        <v>0</v>
      </c>
      <c r="S64" s="1361">
        <f>S58/1000</f>
        <v>0</v>
      </c>
      <c r="T64" s="1361"/>
      <c r="U64" s="1370"/>
      <c r="V64" s="745">
        <f t="shared" si="17"/>
        <v>0</v>
      </c>
    </row>
    <row r="65" spans="1:22" ht="21.95" hidden="1" customHeight="1">
      <c r="A65" s="2572"/>
      <c r="B65" s="2582"/>
      <c r="C65" s="747" t="s">
        <v>2051</v>
      </c>
      <c r="D65" s="1404"/>
      <c r="E65" s="1405"/>
      <c r="F65" s="1361"/>
      <c r="G65" s="1361">
        <f t="shared" ref="G65:R65" si="43">G59</f>
        <v>0</v>
      </c>
      <c r="H65" s="1361">
        <f t="shared" si="43"/>
        <v>0</v>
      </c>
      <c r="I65" s="1361">
        <f t="shared" si="43"/>
        <v>0</v>
      </c>
      <c r="J65" s="1361">
        <f t="shared" si="43"/>
        <v>0</v>
      </c>
      <c r="K65" s="1361">
        <f t="shared" si="43"/>
        <v>0</v>
      </c>
      <c r="L65" s="1361">
        <f t="shared" si="43"/>
        <v>0</v>
      </c>
      <c r="M65" s="1361">
        <f t="shared" si="43"/>
        <v>0</v>
      </c>
      <c r="N65" s="1361">
        <f t="shared" si="43"/>
        <v>0</v>
      </c>
      <c r="O65" s="1361">
        <f t="shared" si="43"/>
        <v>0</v>
      </c>
      <c r="P65" s="1361">
        <f t="shared" si="43"/>
        <v>0</v>
      </c>
      <c r="Q65" s="1361">
        <f t="shared" si="43"/>
        <v>0</v>
      </c>
      <c r="R65" s="1361">
        <f t="shared" si="43"/>
        <v>0</v>
      </c>
      <c r="S65" s="1361">
        <f>S59</f>
        <v>0</v>
      </c>
      <c r="T65" s="1361"/>
      <c r="U65" s="1370"/>
      <c r="V65" s="745">
        <f t="shared" si="17"/>
        <v>0</v>
      </c>
    </row>
    <row r="66" spans="1:22" ht="21.95" hidden="1" customHeight="1">
      <c r="A66" s="2572"/>
      <c r="B66" s="2582"/>
      <c r="C66" s="763" t="s">
        <v>2052</v>
      </c>
      <c r="D66" s="1404"/>
      <c r="E66" s="1405"/>
      <c r="F66" s="1361"/>
      <c r="G66" s="1361">
        <f t="shared" ref="G66:R66" si="44">G35</f>
        <v>0</v>
      </c>
      <c r="H66" s="1361">
        <f t="shared" si="44"/>
        <v>0</v>
      </c>
      <c r="I66" s="1361">
        <f t="shared" si="44"/>
        <v>0</v>
      </c>
      <c r="J66" s="1361">
        <f t="shared" si="44"/>
        <v>0</v>
      </c>
      <c r="K66" s="1361">
        <f t="shared" si="44"/>
        <v>0</v>
      </c>
      <c r="L66" s="1361">
        <f t="shared" si="44"/>
        <v>0</v>
      </c>
      <c r="M66" s="1361">
        <f t="shared" si="44"/>
        <v>0</v>
      </c>
      <c r="N66" s="1361">
        <f t="shared" si="44"/>
        <v>0</v>
      </c>
      <c r="O66" s="1361">
        <f t="shared" si="44"/>
        <v>0</v>
      </c>
      <c r="P66" s="1361">
        <f t="shared" si="44"/>
        <v>0</v>
      </c>
      <c r="Q66" s="1361">
        <f t="shared" si="44"/>
        <v>0</v>
      </c>
      <c r="R66" s="1361">
        <f t="shared" si="44"/>
        <v>0</v>
      </c>
      <c r="S66" s="1361">
        <f>S35</f>
        <v>0</v>
      </c>
      <c r="T66" s="1361"/>
      <c r="U66" s="1370"/>
      <c r="V66" s="745">
        <f t="shared" ref="V66:V83" si="45">SUM(F66:U66)</f>
        <v>0</v>
      </c>
    </row>
    <row r="67" spans="1:22" ht="21.95" hidden="1" customHeight="1">
      <c r="A67" s="2572"/>
      <c r="B67" s="2582"/>
      <c r="C67" s="763" t="s">
        <v>2053</v>
      </c>
      <c r="D67" s="1404"/>
      <c r="E67" s="1405"/>
      <c r="F67" s="1361">
        <f>F43</f>
        <v>0</v>
      </c>
      <c r="G67" s="1361">
        <f>G43</f>
        <v>0</v>
      </c>
      <c r="H67" s="1361">
        <f t="shared" ref="H67:R67" si="46">H43</f>
        <v>0</v>
      </c>
      <c r="I67" s="1361">
        <f t="shared" si="46"/>
        <v>0</v>
      </c>
      <c r="J67" s="1361">
        <f t="shared" si="46"/>
        <v>0</v>
      </c>
      <c r="K67" s="1361">
        <f t="shared" si="46"/>
        <v>0</v>
      </c>
      <c r="L67" s="1361">
        <f t="shared" si="46"/>
        <v>0</v>
      </c>
      <c r="M67" s="1361">
        <f t="shared" si="46"/>
        <v>0</v>
      </c>
      <c r="N67" s="1361">
        <f t="shared" si="46"/>
        <v>0</v>
      </c>
      <c r="O67" s="1361">
        <f t="shared" si="46"/>
        <v>0</v>
      </c>
      <c r="P67" s="1361">
        <f t="shared" si="46"/>
        <v>0</v>
      </c>
      <c r="Q67" s="1361">
        <f t="shared" si="46"/>
        <v>0</v>
      </c>
      <c r="R67" s="1361">
        <f t="shared" si="46"/>
        <v>0</v>
      </c>
      <c r="S67" s="1361">
        <f>S43</f>
        <v>0</v>
      </c>
      <c r="T67" s="1361"/>
      <c r="U67" s="1370"/>
      <c r="V67" s="745">
        <f t="shared" si="45"/>
        <v>0</v>
      </c>
    </row>
    <row r="68" spans="1:22" ht="21.95" hidden="1" customHeight="1">
      <c r="A68" s="2572"/>
      <c r="B68" s="2582"/>
      <c r="C68" s="763" t="s">
        <v>2054</v>
      </c>
      <c r="D68" s="1404"/>
      <c r="E68" s="1405"/>
      <c r="F68" s="1361">
        <f>F50</f>
        <v>0</v>
      </c>
      <c r="G68" s="1361">
        <f>G50</f>
        <v>0</v>
      </c>
      <c r="H68" s="1361">
        <f t="shared" ref="H68:R68" si="47">H50</f>
        <v>0</v>
      </c>
      <c r="I68" s="1361">
        <f t="shared" si="47"/>
        <v>0</v>
      </c>
      <c r="J68" s="1361">
        <f t="shared" si="47"/>
        <v>0</v>
      </c>
      <c r="K68" s="1361">
        <f t="shared" si="47"/>
        <v>0</v>
      </c>
      <c r="L68" s="1361">
        <f t="shared" si="47"/>
        <v>0</v>
      </c>
      <c r="M68" s="1361">
        <f t="shared" si="47"/>
        <v>0</v>
      </c>
      <c r="N68" s="1361">
        <f t="shared" si="47"/>
        <v>0</v>
      </c>
      <c r="O68" s="1361">
        <f t="shared" si="47"/>
        <v>0</v>
      </c>
      <c r="P68" s="1361">
        <f t="shared" si="47"/>
        <v>0</v>
      </c>
      <c r="Q68" s="1361">
        <f t="shared" si="47"/>
        <v>0</v>
      </c>
      <c r="R68" s="1361">
        <f t="shared" si="47"/>
        <v>0</v>
      </c>
      <c r="S68" s="1361">
        <f>S50</f>
        <v>0</v>
      </c>
      <c r="T68" s="1361"/>
      <c r="U68" s="1370"/>
      <c r="V68" s="745">
        <f t="shared" si="45"/>
        <v>0</v>
      </c>
    </row>
    <row r="69" spans="1:22" ht="21.95" hidden="1" customHeight="1">
      <c r="A69" s="2572"/>
      <c r="B69" s="2582"/>
      <c r="C69" s="763" t="s">
        <v>2055</v>
      </c>
      <c r="D69" s="1404"/>
      <c r="E69" s="1405"/>
      <c r="F69" s="1361">
        <f>F29</f>
        <v>0</v>
      </c>
      <c r="G69" s="1361">
        <f>G29</f>
        <v>0</v>
      </c>
      <c r="H69" s="1361">
        <f t="shared" ref="H69:R69" si="48">H29</f>
        <v>0</v>
      </c>
      <c r="I69" s="1361">
        <f t="shared" si="48"/>
        <v>0</v>
      </c>
      <c r="J69" s="1361">
        <f t="shared" si="48"/>
        <v>0</v>
      </c>
      <c r="K69" s="1361">
        <f t="shared" si="48"/>
        <v>0</v>
      </c>
      <c r="L69" s="1361">
        <f t="shared" si="48"/>
        <v>0</v>
      </c>
      <c r="M69" s="1361">
        <f t="shared" si="48"/>
        <v>0</v>
      </c>
      <c r="N69" s="1361">
        <f t="shared" si="48"/>
        <v>0</v>
      </c>
      <c r="O69" s="1361">
        <f t="shared" si="48"/>
        <v>0</v>
      </c>
      <c r="P69" s="1361">
        <f t="shared" si="48"/>
        <v>0</v>
      </c>
      <c r="Q69" s="1361">
        <f t="shared" si="48"/>
        <v>0</v>
      </c>
      <c r="R69" s="1361">
        <f t="shared" si="48"/>
        <v>0</v>
      </c>
      <c r="S69" s="1361">
        <f>S29</f>
        <v>0</v>
      </c>
      <c r="T69" s="1361"/>
      <c r="U69" s="1370"/>
      <c r="V69" s="745">
        <f t="shared" si="45"/>
        <v>0</v>
      </c>
    </row>
    <row r="70" spans="1:22" ht="21.95" hidden="1" customHeight="1">
      <c r="A70" s="2572"/>
      <c r="B70" s="2582"/>
      <c r="C70" s="747" t="s">
        <v>2056</v>
      </c>
      <c r="D70" s="1404"/>
      <c r="E70" s="1405"/>
      <c r="F70" s="1371"/>
      <c r="G70" s="1361">
        <f t="shared" ref="G70:R70" si="49">G28</f>
        <v>0</v>
      </c>
      <c r="H70" s="1361">
        <f t="shared" si="49"/>
        <v>0</v>
      </c>
      <c r="I70" s="1361">
        <f t="shared" si="49"/>
        <v>0</v>
      </c>
      <c r="J70" s="1361">
        <f t="shared" si="49"/>
        <v>0</v>
      </c>
      <c r="K70" s="1361">
        <f t="shared" si="49"/>
        <v>0</v>
      </c>
      <c r="L70" s="1361">
        <f t="shared" si="49"/>
        <v>0</v>
      </c>
      <c r="M70" s="1361">
        <f t="shared" si="49"/>
        <v>0</v>
      </c>
      <c r="N70" s="1361">
        <f t="shared" si="49"/>
        <v>0</v>
      </c>
      <c r="O70" s="1361">
        <f t="shared" si="49"/>
        <v>0</v>
      </c>
      <c r="P70" s="1361">
        <f t="shared" si="49"/>
        <v>0</v>
      </c>
      <c r="Q70" s="1361">
        <f t="shared" si="49"/>
        <v>0</v>
      </c>
      <c r="R70" s="1361">
        <f t="shared" si="49"/>
        <v>0</v>
      </c>
      <c r="S70" s="1361">
        <f>S28</f>
        <v>0</v>
      </c>
      <c r="T70" s="1361"/>
      <c r="U70" s="1370"/>
      <c r="V70" s="745">
        <f t="shared" si="45"/>
        <v>0</v>
      </c>
    </row>
    <row r="71" spans="1:22" ht="21.95" hidden="1" customHeight="1">
      <c r="A71" s="2572"/>
      <c r="B71" s="2582"/>
      <c r="C71" s="747" t="s">
        <v>2057</v>
      </c>
      <c r="D71" s="1404"/>
      <c r="E71" s="1405"/>
      <c r="F71" s="1361">
        <f>F30</f>
        <v>0</v>
      </c>
      <c r="G71" s="1361">
        <f>G30</f>
        <v>0</v>
      </c>
      <c r="H71" s="1361">
        <f t="shared" ref="H71:R72" si="50">H30</f>
        <v>0</v>
      </c>
      <c r="I71" s="1361">
        <f t="shared" si="50"/>
        <v>0</v>
      </c>
      <c r="J71" s="1361">
        <f t="shared" si="50"/>
        <v>0</v>
      </c>
      <c r="K71" s="1361">
        <f t="shared" si="50"/>
        <v>0</v>
      </c>
      <c r="L71" s="1361">
        <f t="shared" si="50"/>
        <v>0</v>
      </c>
      <c r="M71" s="1361">
        <f t="shared" si="50"/>
        <v>0</v>
      </c>
      <c r="N71" s="1361">
        <f t="shared" si="50"/>
        <v>0</v>
      </c>
      <c r="O71" s="1361">
        <f t="shared" si="50"/>
        <v>0</v>
      </c>
      <c r="P71" s="1361">
        <f t="shared" si="50"/>
        <v>0</v>
      </c>
      <c r="Q71" s="1361">
        <f t="shared" si="50"/>
        <v>0</v>
      </c>
      <c r="R71" s="1361">
        <f t="shared" si="50"/>
        <v>0</v>
      </c>
      <c r="S71" s="1361">
        <f>S30</f>
        <v>0</v>
      </c>
      <c r="T71" s="1361"/>
      <c r="U71" s="1370"/>
      <c r="V71" s="745">
        <f t="shared" si="45"/>
        <v>0</v>
      </c>
    </row>
    <row r="72" spans="1:22" ht="21.95" hidden="1" customHeight="1">
      <c r="A72" s="2572"/>
      <c r="B72" s="2582"/>
      <c r="C72" s="747" t="s">
        <v>2058</v>
      </c>
      <c r="D72" s="1404"/>
      <c r="E72" s="1405"/>
      <c r="F72" s="1361">
        <f>F31</f>
        <v>0</v>
      </c>
      <c r="G72" s="1361">
        <f>G31</f>
        <v>0</v>
      </c>
      <c r="H72" s="1361">
        <f t="shared" si="50"/>
        <v>0</v>
      </c>
      <c r="I72" s="1361">
        <f t="shared" si="50"/>
        <v>0</v>
      </c>
      <c r="J72" s="1361">
        <f t="shared" si="50"/>
        <v>0</v>
      </c>
      <c r="K72" s="1361">
        <f t="shared" si="50"/>
        <v>0</v>
      </c>
      <c r="L72" s="1361">
        <f t="shared" si="50"/>
        <v>0</v>
      </c>
      <c r="M72" s="1361">
        <f t="shared" si="50"/>
        <v>0</v>
      </c>
      <c r="N72" s="1361">
        <f t="shared" si="50"/>
        <v>0</v>
      </c>
      <c r="O72" s="1361">
        <f t="shared" si="50"/>
        <v>0</v>
      </c>
      <c r="P72" s="1361">
        <f t="shared" si="50"/>
        <v>0</v>
      </c>
      <c r="Q72" s="1361">
        <f t="shared" si="50"/>
        <v>0</v>
      </c>
      <c r="R72" s="1361">
        <f t="shared" si="50"/>
        <v>0</v>
      </c>
      <c r="S72" s="1361">
        <f>S31</f>
        <v>0</v>
      </c>
      <c r="T72" s="1361"/>
      <c r="U72" s="1370"/>
      <c r="V72" s="745">
        <f t="shared" si="45"/>
        <v>0</v>
      </c>
    </row>
    <row r="73" spans="1:22" ht="21.95" hidden="1" customHeight="1">
      <c r="A73" s="2572"/>
      <c r="B73" s="2582"/>
      <c r="C73" s="747" t="s">
        <v>2059</v>
      </c>
      <c r="D73" s="1404"/>
      <c r="E73" s="1405"/>
      <c r="F73" s="1371"/>
      <c r="G73" s="1361">
        <f t="shared" ref="G73:R73" si="51">G36</f>
        <v>0</v>
      </c>
      <c r="H73" s="1361">
        <f t="shared" si="51"/>
        <v>0</v>
      </c>
      <c r="I73" s="1361">
        <f t="shared" si="51"/>
        <v>0</v>
      </c>
      <c r="J73" s="1361">
        <f t="shared" si="51"/>
        <v>0</v>
      </c>
      <c r="K73" s="1361">
        <f t="shared" si="51"/>
        <v>0</v>
      </c>
      <c r="L73" s="1361">
        <f t="shared" si="51"/>
        <v>0</v>
      </c>
      <c r="M73" s="1361">
        <f t="shared" si="51"/>
        <v>0</v>
      </c>
      <c r="N73" s="1361">
        <f t="shared" si="51"/>
        <v>0</v>
      </c>
      <c r="O73" s="1361">
        <f t="shared" si="51"/>
        <v>0</v>
      </c>
      <c r="P73" s="1361">
        <f t="shared" si="51"/>
        <v>0</v>
      </c>
      <c r="Q73" s="1361">
        <f t="shared" si="51"/>
        <v>0</v>
      </c>
      <c r="R73" s="1361">
        <f t="shared" si="51"/>
        <v>0</v>
      </c>
      <c r="S73" s="1361">
        <f>S36</f>
        <v>0</v>
      </c>
      <c r="T73" s="1361"/>
      <c r="U73" s="1370"/>
      <c r="V73" s="745">
        <f t="shared" si="45"/>
        <v>0</v>
      </c>
    </row>
    <row r="74" spans="1:22" ht="21.95" hidden="1" customHeight="1">
      <c r="A74" s="2572"/>
      <c r="B74" s="2582"/>
      <c r="C74" s="747" t="s">
        <v>1999</v>
      </c>
      <c r="D74" s="1404"/>
      <c r="E74" s="1405"/>
      <c r="F74" s="1371"/>
      <c r="G74" s="1361">
        <f t="shared" ref="G74:R74" si="52">G60</f>
        <v>0</v>
      </c>
      <c r="H74" s="1361">
        <f t="shared" si="52"/>
        <v>0</v>
      </c>
      <c r="I74" s="1361">
        <f t="shared" si="52"/>
        <v>0</v>
      </c>
      <c r="J74" s="1361">
        <f t="shared" si="52"/>
        <v>0</v>
      </c>
      <c r="K74" s="1361">
        <f t="shared" si="52"/>
        <v>0</v>
      </c>
      <c r="L74" s="1361">
        <f t="shared" si="52"/>
        <v>0</v>
      </c>
      <c r="M74" s="1361">
        <f t="shared" si="52"/>
        <v>0</v>
      </c>
      <c r="N74" s="1361">
        <f t="shared" si="52"/>
        <v>0</v>
      </c>
      <c r="O74" s="1361">
        <f t="shared" si="52"/>
        <v>0</v>
      </c>
      <c r="P74" s="1361">
        <f t="shared" si="52"/>
        <v>0</v>
      </c>
      <c r="Q74" s="1361">
        <f t="shared" si="52"/>
        <v>0</v>
      </c>
      <c r="R74" s="1361">
        <f t="shared" si="52"/>
        <v>0</v>
      </c>
      <c r="S74" s="1361">
        <f>S60</f>
        <v>0</v>
      </c>
      <c r="T74" s="1361"/>
      <c r="U74" s="1370"/>
      <c r="V74" s="745">
        <f t="shared" si="45"/>
        <v>0</v>
      </c>
    </row>
    <row r="75" spans="1:22" ht="21.95" hidden="1" customHeight="1">
      <c r="A75" s="2572"/>
      <c r="B75" s="2582"/>
      <c r="C75" s="747" t="s">
        <v>2060</v>
      </c>
      <c r="D75" s="1404"/>
      <c r="E75" s="1405"/>
      <c r="F75" s="1361">
        <f>F44</f>
        <v>0</v>
      </c>
      <c r="G75" s="1361">
        <f>G44</f>
        <v>0</v>
      </c>
      <c r="H75" s="1361">
        <f t="shared" ref="H75:R75" si="53">H44</f>
        <v>0</v>
      </c>
      <c r="I75" s="1361">
        <f t="shared" si="53"/>
        <v>0</v>
      </c>
      <c r="J75" s="1361">
        <f t="shared" si="53"/>
        <v>0</v>
      </c>
      <c r="K75" s="1361">
        <f t="shared" si="53"/>
        <v>0</v>
      </c>
      <c r="L75" s="1361">
        <f t="shared" si="53"/>
        <v>0</v>
      </c>
      <c r="M75" s="1361">
        <f t="shared" si="53"/>
        <v>0</v>
      </c>
      <c r="N75" s="1361">
        <f t="shared" si="53"/>
        <v>0</v>
      </c>
      <c r="O75" s="1361">
        <f t="shared" si="53"/>
        <v>0</v>
      </c>
      <c r="P75" s="1361">
        <f t="shared" si="53"/>
        <v>0</v>
      </c>
      <c r="Q75" s="1361">
        <f t="shared" si="53"/>
        <v>0</v>
      </c>
      <c r="R75" s="1361">
        <f t="shared" si="53"/>
        <v>0</v>
      </c>
      <c r="S75" s="1361">
        <f>S44</f>
        <v>0</v>
      </c>
      <c r="T75" s="1361"/>
      <c r="U75" s="1370"/>
      <c r="V75" s="745">
        <f t="shared" si="45"/>
        <v>0</v>
      </c>
    </row>
    <row r="76" spans="1:22" ht="21.95" hidden="1" customHeight="1">
      <c r="A76" s="2572"/>
      <c r="B76" s="2582"/>
      <c r="C76" s="747" t="s">
        <v>2061</v>
      </c>
      <c r="D76" s="1404"/>
      <c r="E76" s="1405"/>
      <c r="F76" s="1361">
        <f>F51</f>
        <v>0</v>
      </c>
      <c r="G76" s="1361">
        <f>G51</f>
        <v>0</v>
      </c>
      <c r="H76" s="1361">
        <f t="shared" ref="H76:R76" si="54">H51</f>
        <v>0</v>
      </c>
      <c r="I76" s="1361">
        <f t="shared" si="54"/>
        <v>0</v>
      </c>
      <c r="J76" s="1361">
        <f t="shared" si="54"/>
        <v>0</v>
      </c>
      <c r="K76" s="1361">
        <f t="shared" si="54"/>
        <v>0</v>
      </c>
      <c r="L76" s="1361">
        <f t="shared" si="54"/>
        <v>0</v>
      </c>
      <c r="M76" s="1361">
        <f t="shared" si="54"/>
        <v>0</v>
      </c>
      <c r="N76" s="1361">
        <f t="shared" si="54"/>
        <v>0</v>
      </c>
      <c r="O76" s="1361">
        <f t="shared" si="54"/>
        <v>0</v>
      </c>
      <c r="P76" s="1361">
        <f t="shared" si="54"/>
        <v>0</v>
      </c>
      <c r="Q76" s="1361">
        <f t="shared" si="54"/>
        <v>0</v>
      </c>
      <c r="R76" s="1361">
        <f t="shared" si="54"/>
        <v>0</v>
      </c>
      <c r="S76" s="1361">
        <f>S51</f>
        <v>0</v>
      </c>
      <c r="T76" s="1361"/>
      <c r="U76" s="1370"/>
      <c r="V76" s="745">
        <f t="shared" si="45"/>
        <v>0</v>
      </c>
    </row>
    <row r="77" spans="1:22" ht="21.95" hidden="1" customHeight="1">
      <c r="A77" s="2572"/>
      <c r="B77" s="2582"/>
      <c r="C77" s="747" t="s">
        <v>2032</v>
      </c>
      <c r="D77" s="1404"/>
      <c r="E77" s="1405"/>
      <c r="F77" s="1371"/>
      <c r="G77" s="1361">
        <f>G19*1.375</f>
        <v>0</v>
      </c>
      <c r="H77" s="1361">
        <f t="shared" ref="H77:R77" si="55">H19*1.375</f>
        <v>0</v>
      </c>
      <c r="I77" s="1361">
        <f t="shared" si="55"/>
        <v>0</v>
      </c>
      <c r="J77" s="1361">
        <f t="shared" si="55"/>
        <v>0</v>
      </c>
      <c r="K77" s="1361">
        <f t="shared" si="55"/>
        <v>0</v>
      </c>
      <c r="L77" s="1361">
        <f t="shared" si="55"/>
        <v>0</v>
      </c>
      <c r="M77" s="1361">
        <f t="shared" si="55"/>
        <v>0</v>
      </c>
      <c r="N77" s="1361">
        <f t="shared" si="55"/>
        <v>0</v>
      </c>
      <c r="O77" s="1361">
        <f t="shared" si="55"/>
        <v>0</v>
      </c>
      <c r="P77" s="1361">
        <f t="shared" si="55"/>
        <v>0</v>
      </c>
      <c r="Q77" s="1361">
        <f t="shared" si="55"/>
        <v>0</v>
      </c>
      <c r="R77" s="1361">
        <f t="shared" si="55"/>
        <v>0</v>
      </c>
      <c r="S77" s="1361">
        <f>S19*1.375</f>
        <v>0</v>
      </c>
      <c r="T77" s="1361"/>
      <c r="U77" s="1370"/>
      <c r="V77" s="745">
        <f t="shared" si="45"/>
        <v>0</v>
      </c>
    </row>
    <row r="78" spans="1:22" ht="21.95" hidden="1" customHeight="1">
      <c r="A78" s="2572"/>
      <c r="B78" s="2582"/>
      <c r="C78" s="747" t="s">
        <v>2062</v>
      </c>
      <c r="D78" s="1404"/>
      <c r="E78" s="1405"/>
      <c r="F78" s="1361">
        <f>F42</f>
        <v>0</v>
      </c>
      <c r="G78" s="1361">
        <f>G42</f>
        <v>0</v>
      </c>
      <c r="H78" s="1361">
        <f t="shared" ref="H78:R78" si="56">H42</f>
        <v>0</v>
      </c>
      <c r="I78" s="1361">
        <f t="shared" si="56"/>
        <v>0</v>
      </c>
      <c r="J78" s="1361">
        <f t="shared" si="56"/>
        <v>0</v>
      </c>
      <c r="K78" s="1361">
        <f t="shared" si="56"/>
        <v>0</v>
      </c>
      <c r="L78" s="1361">
        <f t="shared" si="56"/>
        <v>0</v>
      </c>
      <c r="M78" s="1361">
        <f t="shared" si="56"/>
        <v>0</v>
      </c>
      <c r="N78" s="1361">
        <f t="shared" si="56"/>
        <v>0</v>
      </c>
      <c r="O78" s="1361">
        <f t="shared" si="56"/>
        <v>0</v>
      </c>
      <c r="P78" s="1361">
        <f t="shared" si="56"/>
        <v>0</v>
      </c>
      <c r="Q78" s="1361">
        <f t="shared" si="56"/>
        <v>0</v>
      </c>
      <c r="R78" s="1361">
        <f t="shared" si="56"/>
        <v>0</v>
      </c>
      <c r="S78" s="1361">
        <f>S42</f>
        <v>0</v>
      </c>
      <c r="T78" s="1361"/>
      <c r="U78" s="1370"/>
      <c r="V78" s="745">
        <f t="shared" si="45"/>
        <v>0</v>
      </c>
    </row>
    <row r="79" spans="1:22" ht="21.95" hidden="1" customHeight="1">
      <c r="A79" s="2572"/>
      <c r="B79" s="2582"/>
      <c r="C79" s="747" t="s">
        <v>2063</v>
      </c>
      <c r="D79" s="1404"/>
      <c r="E79" s="1405"/>
      <c r="F79" s="1361">
        <f>F33</f>
        <v>0</v>
      </c>
      <c r="G79" s="1361">
        <f>G33</f>
        <v>0</v>
      </c>
      <c r="H79" s="1361">
        <f t="shared" ref="H79:R79" si="57">H33</f>
        <v>0</v>
      </c>
      <c r="I79" s="1361">
        <f t="shared" si="57"/>
        <v>0</v>
      </c>
      <c r="J79" s="1361">
        <f t="shared" si="57"/>
        <v>0</v>
      </c>
      <c r="K79" s="1361">
        <f t="shared" si="57"/>
        <v>0</v>
      </c>
      <c r="L79" s="1361">
        <f t="shared" si="57"/>
        <v>0</v>
      </c>
      <c r="M79" s="1361">
        <f t="shared" si="57"/>
        <v>0</v>
      </c>
      <c r="N79" s="1361">
        <f t="shared" si="57"/>
        <v>0</v>
      </c>
      <c r="O79" s="1361">
        <f t="shared" si="57"/>
        <v>0</v>
      </c>
      <c r="P79" s="1361">
        <f t="shared" si="57"/>
        <v>0</v>
      </c>
      <c r="Q79" s="1361">
        <f t="shared" si="57"/>
        <v>0</v>
      </c>
      <c r="R79" s="1361">
        <f t="shared" si="57"/>
        <v>0</v>
      </c>
      <c r="S79" s="1361">
        <f>S33</f>
        <v>0</v>
      </c>
      <c r="T79" s="1361"/>
      <c r="U79" s="1370"/>
      <c r="V79" s="745">
        <f t="shared" si="45"/>
        <v>0</v>
      </c>
    </row>
    <row r="80" spans="1:22" ht="21.95" hidden="1" customHeight="1">
      <c r="A80" s="2572"/>
      <c r="B80" s="2582"/>
      <c r="C80" s="747" t="s">
        <v>2064</v>
      </c>
      <c r="D80" s="1404"/>
      <c r="E80" s="1405"/>
      <c r="F80" s="1361"/>
      <c r="G80" s="1361">
        <f t="shared" ref="G80:R80" si="58">G37</f>
        <v>0</v>
      </c>
      <c r="H80" s="1361">
        <f t="shared" si="58"/>
        <v>0</v>
      </c>
      <c r="I80" s="1361">
        <f t="shared" si="58"/>
        <v>0</v>
      </c>
      <c r="J80" s="1361">
        <f t="shared" si="58"/>
        <v>0</v>
      </c>
      <c r="K80" s="1361">
        <f t="shared" si="58"/>
        <v>0</v>
      </c>
      <c r="L80" s="1361">
        <f t="shared" si="58"/>
        <v>0</v>
      </c>
      <c r="M80" s="1361">
        <f t="shared" si="58"/>
        <v>0</v>
      </c>
      <c r="N80" s="1361">
        <f t="shared" si="58"/>
        <v>0</v>
      </c>
      <c r="O80" s="1361">
        <f t="shared" si="58"/>
        <v>0</v>
      </c>
      <c r="P80" s="1361">
        <f t="shared" si="58"/>
        <v>0</v>
      </c>
      <c r="Q80" s="1361">
        <f t="shared" si="58"/>
        <v>0</v>
      </c>
      <c r="R80" s="1361">
        <f t="shared" si="58"/>
        <v>0</v>
      </c>
      <c r="S80" s="1361">
        <f>S37</f>
        <v>0</v>
      </c>
      <c r="T80" s="1361"/>
      <c r="U80" s="1370"/>
      <c r="V80" s="745">
        <f t="shared" si="45"/>
        <v>0</v>
      </c>
    </row>
    <row r="81" spans="1:22" ht="21.95" hidden="1" customHeight="1">
      <c r="A81" s="2572"/>
      <c r="B81" s="2582"/>
      <c r="C81" s="747" t="s">
        <v>2065</v>
      </c>
      <c r="D81" s="1404"/>
      <c r="E81" s="1405"/>
      <c r="F81" s="1361">
        <f>F49</f>
        <v>0</v>
      </c>
      <c r="G81" s="1361">
        <f>G49</f>
        <v>0</v>
      </c>
      <c r="H81" s="1361">
        <f t="shared" ref="H81:R81" si="59">H49</f>
        <v>0</v>
      </c>
      <c r="I81" s="1361">
        <f t="shared" si="59"/>
        <v>0</v>
      </c>
      <c r="J81" s="1361">
        <f t="shared" si="59"/>
        <v>0</v>
      </c>
      <c r="K81" s="1361">
        <f t="shared" si="59"/>
        <v>0</v>
      </c>
      <c r="L81" s="1361">
        <f t="shared" si="59"/>
        <v>0</v>
      </c>
      <c r="M81" s="1361">
        <f t="shared" si="59"/>
        <v>0</v>
      </c>
      <c r="N81" s="1361">
        <f t="shared" si="59"/>
        <v>0</v>
      </c>
      <c r="O81" s="1361">
        <f t="shared" si="59"/>
        <v>0</v>
      </c>
      <c r="P81" s="1361">
        <f t="shared" si="59"/>
        <v>0</v>
      </c>
      <c r="Q81" s="1361">
        <f t="shared" si="59"/>
        <v>0</v>
      </c>
      <c r="R81" s="1361">
        <f t="shared" si="59"/>
        <v>0</v>
      </c>
      <c r="S81" s="1361">
        <f>S49</f>
        <v>0</v>
      </c>
      <c r="T81" s="1361"/>
      <c r="U81" s="1370"/>
      <c r="V81" s="745">
        <f t="shared" si="45"/>
        <v>0</v>
      </c>
    </row>
    <row r="82" spans="1:22" ht="21.95" hidden="1" customHeight="1">
      <c r="A82" s="2572"/>
      <c r="B82" s="2582"/>
      <c r="C82" s="747" t="s">
        <v>2066</v>
      </c>
      <c r="D82" s="1404"/>
      <c r="E82" s="1405"/>
      <c r="F82" s="1361">
        <f>F39</f>
        <v>0</v>
      </c>
      <c r="G82" s="1361">
        <f>G39</f>
        <v>0</v>
      </c>
      <c r="H82" s="1361">
        <f t="shared" ref="H82:R82" si="60">H39</f>
        <v>0</v>
      </c>
      <c r="I82" s="1361">
        <f t="shared" si="60"/>
        <v>0</v>
      </c>
      <c r="J82" s="1361">
        <f t="shared" si="60"/>
        <v>0</v>
      </c>
      <c r="K82" s="1361">
        <f t="shared" si="60"/>
        <v>0</v>
      </c>
      <c r="L82" s="1361">
        <f t="shared" si="60"/>
        <v>0</v>
      </c>
      <c r="M82" s="1361">
        <f t="shared" si="60"/>
        <v>0</v>
      </c>
      <c r="N82" s="1361">
        <f t="shared" si="60"/>
        <v>0</v>
      </c>
      <c r="O82" s="1361">
        <f t="shared" si="60"/>
        <v>0</v>
      </c>
      <c r="P82" s="1361">
        <f t="shared" si="60"/>
        <v>0</v>
      </c>
      <c r="Q82" s="1361">
        <f t="shared" si="60"/>
        <v>0</v>
      </c>
      <c r="R82" s="1361">
        <f t="shared" si="60"/>
        <v>0</v>
      </c>
      <c r="S82" s="1361">
        <f>S39</f>
        <v>0</v>
      </c>
      <c r="T82" s="1361"/>
      <c r="U82" s="1370"/>
      <c r="V82" s="745">
        <f t="shared" si="45"/>
        <v>0</v>
      </c>
    </row>
    <row r="83" spans="1:22" ht="21.95" hidden="1" customHeight="1" thickBot="1">
      <c r="A83" s="2572"/>
      <c r="B83" s="2583"/>
      <c r="C83" s="754" t="s">
        <v>2067</v>
      </c>
      <c r="D83" s="1407"/>
      <c r="E83" s="1408"/>
      <c r="F83" s="1363">
        <f>F46</f>
        <v>0</v>
      </c>
      <c r="G83" s="1363">
        <f>G46</f>
        <v>0</v>
      </c>
      <c r="H83" s="1363">
        <f t="shared" ref="H83:R83" si="61">H46</f>
        <v>0</v>
      </c>
      <c r="I83" s="1363">
        <f t="shared" si="61"/>
        <v>0</v>
      </c>
      <c r="J83" s="1363">
        <f t="shared" si="61"/>
        <v>0</v>
      </c>
      <c r="K83" s="1363">
        <f t="shared" si="61"/>
        <v>0</v>
      </c>
      <c r="L83" s="1363">
        <f t="shared" si="61"/>
        <v>0</v>
      </c>
      <c r="M83" s="1363">
        <f t="shared" si="61"/>
        <v>0</v>
      </c>
      <c r="N83" s="1363">
        <f t="shared" si="61"/>
        <v>0</v>
      </c>
      <c r="O83" s="1363">
        <f t="shared" si="61"/>
        <v>0</v>
      </c>
      <c r="P83" s="1363">
        <f t="shared" si="61"/>
        <v>0</v>
      </c>
      <c r="Q83" s="1363">
        <f t="shared" si="61"/>
        <v>0</v>
      </c>
      <c r="R83" s="1363">
        <f t="shared" si="61"/>
        <v>0</v>
      </c>
      <c r="S83" s="1363">
        <f>S46</f>
        <v>0</v>
      </c>
      <c r="T83" s="1363"/>
      <c r="U83" s="1364"/>
      <c r="V83" s="745">
        <f t="shared" si="45"/>
        <v>0</v>
      </c>
    </row>
    <row r="84" spans="1:22" ht="21.95" hidden="1" customHeight="1">
      <c r="A84" s="2572"/>
      <c r="B84" s="2581" t="s">
        <v>1932</v>
      </c>
      <c r="C84" s="740" t="s">
        <v>1769</v>
      </c>
      <c r="D84" s="1410"/>
      <c r="E84" s="1411"/>
      <c r="F84" s="1187">
        <f t="shared" ref="F84:S87" si="62">F62</f>
        <v>0</v>
      </c>
      <c r="G84" s="1187">
        <f t="shared" si="62"/>
        <v>0</v>
      </c>
      <c r="H84" s="1187">
        <f t="shared" si="62"/>
        <v>0</v>
      </c>
      <c r="I84" s="1187">
        <f t="shared" si="62"/>
        <v>0</v>
      </c>
      <c r="J84" s="1187">
        <f t="shared" si="62"/>
        <v>0</v>
      </c>
      <c r="K84" s="1187">
        <f t="shared" si="62"/>
        <v>0</v>
      </c>
      <c r="L84" s="1187">
        <f t="shared" si="62"/>
        <v>0</v>
      </c>
      <c r="M84" s="1187">
        <f t="shared" si="62"/>
        <v>0</v>
      </c>
      <c r="N84" s="1187">
        <f t="shared" si="62"/>
        <v>0</v>
      </c>
      <c r="O84" s="1187">
        <f t="shared" si="62"/>
        <v>0</v>
      </c>
      <c r="P84" s="1187">
        <f t="shared" si="62"/>
        <v>0</v>
      </c>
      <c r="Q84" s="1187">
        <f t="shared" si="62"/>
        <v>0</v>
      </c>
      <c r="R84" s="1187">
        <f t="shared" si="62"/>
        <v>0</v>
      </c>
      <c r="S84" s="1187">
        <f t="shared" si="62"/>
        <v>0</v>
      </c>
      <c r="T84" s="1187"/>
      <c r="U84" s="1190"/>
      <c r="V84" s="745"/>
    </row>
    <row r="85" spans="1:22" ht="21.95" hidden="1" customHeight="1">
      <c r="A85" s="2572"/>
      <c r="B85" s="2582"/>
      <c r="C85" s="763" t="s">
        <v>1995</v>
      </c>
      <c r="D85" s="1404"/>
      <c r="E85" s="1405"/>
      <c r="F85" s="1361"/>
      <c r="G85" s="1361">
        <f>G63</f>
        <v>0</v>
      </c>
      <c r="H85" s="1361">
        <f t="shared" si="62"/>
        <v>0</v>
      </c>
      <c r="I85" s="1361">
        <f t="shared" si="62"/>
        <v>0</v>
      </c>
      <c r="J85" s="1361">
        <f t="shared" si="62"/>
        <v>0</v>
      </c>
      <c r="K85" s="1361">
        <f t="shared" si="62"/>
        <v>0</v>
      </c>
      <c r="L85" s="1361">
        <f t="shared" si="62"/>
        <v>0</v>
      </c>
      <c r="M85" s="1361">
        <f t="shared" si="62"/>
        <v>0</v>
      </c>
      <c r="N85" s="1361">
        <f t="shared" si="62"/>
        <v>0</v>
      </c>
      <c r="O85" s="1361">
        <f t="shared" si="62"/>
        <v>0</v>
      </c>
      <c r="P85" s="1361">
        <f t="shared" si="62"/>
        <v>0</v>
      </c>
      <c r="Q85" s="1361">
        <f t="shared" si="62"/>
        <v>0</v>
      </c>
      <c r="R85" s="1361">
        <f t="shared" si="62"/>
        <v>0</v>
      </c>
      <c r="S85" s="1361">
        <f>S63</f>
        <v>0</v>
      </c>
      <c r="T85" s="1361"/>
      <c r="U85" s="1370"/>
      <c r="V85" s="745"/>
    </row>
    <row r="86" spans="1:22" ht="21.95" hidden="1" customHeight="1">
      <c r="A86" s="2572"/>
      <c r="B86" s="2582"/>
      <c r="C86" s="763" t="s">
        <v>1847</v>
      </c>
      <c r="D86" s="1404"/>
      <c r="E86" s="1405"/>
      <c r="F86" s="1361"/>
      <c r="G86" s="1361">
        <f>G64</f>
        <v>0</v>
      </c>
      <c r="H86" s="1361">
        <f t="shared" si="62"/>
        <v>0</v>
      </c>
      <c r="I86" s="1361">
        <f t="shared" si="62"/>
        <v>0</v>
      </c>
      <c r="J86" s="1361">
        <f t="shared" si="62"/>
        <v>0</v>
      </c>
      <c r="K86" s="1361">
        <f t="shared" si="62"/>
        <v>0</v>
      </c>
      <c r="L86" s="1361">
        <f t="shared" si="62"/>
        <v>0</v>
      </c>
      <c r="M86" s="1361">
        <f t="shared" si="62"/>
        <v>0</v>
      </c>
      <c r="N86" s="1361">
        <f t="shared" si="62"/>
        <v>0</v>
      </c>
      <c r="O86" s="1361">
        <f t="shared" si="62"/>
        <v>0</v>
      </c>
      <c r="P86" s="1361">
        <f t="shared" si="62"/>
        <v>0</v>
      </c>
      <c r="Q86" s="1361">
        <f t="shared" si="62"/>
        <v>0</v>
      </c>
      <c r="R86" s="1361">
        <f t="shared" si="62"/>
        <v>0</v>
      </c>
      <c r="S86" s="1361">
        <f>S64</f>
        <v>0</v>
      </c>
      <c r="T86" s="1361"/>
      <c r="U86" s="1370"/>
      <c r="V86" s="745"/>
    </row>
    <row r="87" spans="1:22" ht="21.95" hidden="1" customHeight="1">
      <c r="A87" s="2572"/>
      <c r="B87" s="2582"/>
      <c r="C87" s="763" t="s">
        <v>2068</v>
      </c>
      <c r="D87" s="1404"/>
      <c r="E87" s="1405"/>
      <c r="F87" s="1361"/>
      <c r="G87" s="1361">
        <f>G65</f>
        <v>0</v>
      </c>
      <c r="H87" s="1361">
        <f t="shared" si="62"/>
        <v>0</v>
      </c>
      <c r="I87" s="1361">
        <f t="shared" si="62"/>
        <v>0</v>
      </c>
      <c r="J87" s="1361">
        <f t="shared" si="62"/>
        <v>0</v>
      </c>
      <c r="K87" s="1361">
        <f t="shared" si="62"/>
        <v>0</v>
      </c>
      <c r="L87" s="1361">
        <f t="shared" si="62"/>
        <v>0</v>
      </c>
      <c r="M87" s="1361">
        <f t="shared" si="62"/>
        <v>0</v>
      </c>
      <c r="N87" s="1361">
        <f t="shared" si="62"/>
        <v>0</v>
      </c>
      <c r="O87" s="1361">
        <f t="shared" si="62"/>
        <v>0</v>
      </c>
      <c r="P87" s="1361">
        <f t="shared" si="62"/>
        <v>0</v>
      </c>
      <c r="Q87" s="1361">
        <f t="shared" si="62"/>
        <v>0</v>
      </c>
      <c r="R87" s="1361">
        <f t="shared" si="62"/>
        <v>0</v>
      </c>
      <c r="S87" s="1361">
        <f>S65</f>
        <v>0</v>
      </c>
      <c r="T87" s="1361"/>
      <c r="U87" s="1370"/>
      <c r="V87" s="745"/>
    </row>
    <row r="88" spans="1:22" ht="21.95" hidden="1" customHeight="1">
      <c r="A88" s="2572"/>
      <c r="B88" s="2582"/>
      <c r="C88" s="763" t="s">
        <v>2053</v>
      </c>
      <c r="D88" s="1404"/>
      <c r="E88" s="1405"/>
      <c r="F88" s="1361">
        <f t="shared" ref="F88:S98" si="63">F67</f>
        <v>0</v>
      </c>
      <c r="G88" s="1361">
        <f t="shared" si="63"/>
        <v>0</v>
      </c>
      <c r="H88" s="1361">
        <f t="shared" si="63"/>
        <v>0</v>
      </c>
      <c r="I88" s="1361">
        <f t="shared" si="63"/>
        <v>0</v>
      </c>
      <c r="J88" s="1361">
        <f t="shared" si="63"/>
        <v>0</v>
      </c>
      <c r="K88" s="1361">
        <f t="shared" si="63"/>
        <v>0</v>
      </c>
      <c r="L88" s="1361">
        <f t="shared" si="63"/>
        <v>0</v>
      </c>
      <c r="M88" s="1361">
        <f t="shared" si="63"/>
        <v>0</v>
      </c>
      <c r="N88" s="1361">
        <f t="shared" si="63"/>
        <v>0</v>
      </c>
      <c r="O88" s="1361">
        <f t="shared" si="63"/>
        <v>0</v>
      </c>
      <c r="P88" s="1361">
        <f t="shared" si="63"/>
        <v>0</v>
      </c>
      <c r="Q88" s="1361">
        <f t="shared" si="63"/>
        <v>0</v>
      </c>
      <c r="R88" s="1361">
        <f t="shared" si="63"/>
        <v>0</v>
      </c>
      <c r="S88" s="1361">
        <f t="shared" si="63"/>
        <v>0</v>
      </c>
      <c r="T88" s="1361"/>
      <c r="U88" s="1370"/>
      <c r="V88" s="745"/>
    </row>
    <row r="89" spans="1:22" ht="21.95" hidden="1" customHeight="1">
      <c r="A89" s="2572"/>
      <c r="B89" s="2582"/>
      <c r="C89" s="763" t="s">
        <v>2054</v>
      </c>
      <c r="D89" s="1404"/>
      <c r="E89" s="1405"/>
      <c r="F89" s="1361">
        <f>F68</f>
        <v>0</v>
      </c>
      <c r="G89" s="1361">
        <f>G68</f>
        <v>0</v>
      </c>
      <c r="H89" s="1361">
        <f t="shared" si="63"/>
        <v>0</v>
      </c>
      <c r="I89" s="1361">
        <f t="shared" si="63"/>
        <v>0</v>
      </c>
      <c r="J89" s="1361">
        <f t="shared" si="63"/>
        <v>0</v>
      </c>
      <c r="K89" s="1361">
        <f t="shared" si="63"/>
        <v>0</v>
      </c>
      <c r="L89" s="1361">
        <f t="shared" si="63"/>
        <v>0</v>
      </c>
      <c r="M89" s="1361">
        <f t="shared" si="63"/>
        <v>0</v>
      </c>
      <c r="N89" s="1361">
        <f t="shared" si="63"/>
        <v>0</v>
      </c>
      <c r="O89" s="1361">
        <f t="shared" si="63"/>
        <v>0</v>
      </c>
      <c r="P89" s="1361">
        <f t="shared" si="63"/>
        <v>0</v>
      </c>
      <c r="Q89" s="1361">
        <f t="shared" si="63"/>
        <v>0</v>
      </c>
      <c r="R89" s="1361">
        <f t="shared" si="63"/>
        <v>0</v>
      </c>
      <c r="S89" s="1361">
        <f t="shared" si="63"/>
        <v>0</v>
      </c>
      <c r="T89" s="1361"/>
      <c r="U89" s="1370"/>
      <c r="V89" s="745"/>
    </row>
    <row r="90" spans="1:22" ht="21.95" hidden="1" customHeight="1">
      <c r="A90" s="2572"/>
      <c r="B90" s="2582"/>
      <c r="C90" s="763" t="s">
        <v>2055</v>
      </c>
      <c r="D90" s="1404"/>
      <c r="E90" s="1405"/>
      <c r="F90" s="1361">
        <f>F69</f>
        <v>0</v>
      </c>
      <c r="G90" s="1361">
        <f>G69</f>
        <v>0</v>
      </c>
      <c r="H90" s="1361">
        <f t="shared" si="63"/>
        <v>0</v>
      </c>
      <c r="I90" s="1361">
        <f t="shared" si="63"/>
        <v>0</v>
      </c>
      <c r="J90" s="1361">
        <f t="shared" si="63"/>
        <v>0</v>
      </c>
      <c r="K90" s="1361">
        <f t="shared" si="63"/>
        <v>0</v>
      </c>
      <c r="L90" s="1361">
        <f t="shared" si="63"/>
        <v>0</v>
      </c>
      <c r="M90" s="1361">
        <f t="shared" si="63"/>
        <v>0</v>
      </c>
      <c r="N90" s="1361">
        <f t="shared" si="63"/>
        <v>0</v>
      </c>
      <c r="O90" s="1361">
        <f t="shared" si="63"/>
        <v>0</v>
      </c>
      <c r="P90" s="1361">
        <f t="shared" si="63"/>
        <v>0</v>
      </c>
      <c r="Q90" s="1361">
        <f t="shared" si="63"/>
        <v>0</v>
      </c>
      <c r="R90" s="1361">
        <f t="shared" si="63"/>
        <v>0</v>
      </c>
      <c r="S90" s="1361">
        <f t="shared" si="63"/>
        <v>0</v>
      </c>
      <c r="T90" s="1361"/>
      <c r="U90" s="1370"/>
      <c r="V90" s="745"/>
    </row>
    <row r="91" spans="1:22" ht="21.95" hidden="1" customHeight="1">
      <c r="A91" s="2572"/>
      <c r="B91" s="2582"/>
      <c r="C91" s="747" t="s">
        <v>2056</v>
      </c>
      <c r="D91" s="1404"/>
      <c r="E91" s="1405"/>
      <c r="F91" s="1361"/>
      <c r="G91" s="1361">
        <f t="shared" ref="G91:G98" si="64">G70</f>
        <v>0</v>
      </c>
      <c r="H91" s="1361">
        <f t="shared" si="63"/>
        <v>0</v>
      </c>
      <c r="I91" s="1361">
        <f t="shared" si="63"/>
        <v>0</v>
      </c>
      <c r="J91" s="1361">
        <f t="shared" si="63"/>
        <v>0</v>
      </c>
      <c r="K91" s="1361">
        <f t="shared" si="63"/>
        <v>0</v>
      </c>
      <c r="L91" s="1361">
        <f t="shared" si="63"/>
        <v>0</v>
      </c>
      <c r="M91" s="1361">
        <f t="shared" si="63"/>
        <v>0</v>
      </c>
      <c r="N91" s="1361">
        <f t="shared" si="63"/>
        <v>0</v>
      </c>
      <c r="O91" s="1361">
        <f t="shared" si="63"/>
        <v>0</v>
      </c>
      <c r="P91" s="1361">
        <f t="shared" si="63"/>
        <v>0</v>
      </c>
      <c r="Q91" s="1361">
        <f t="shared" si="63"/>
        <v>0</v>
      </c>
      <c r="R91" s="1361">
        <f t="shared" si="63"/>
        <v>0</v>
      </c>
      <c r="S91" s="1361">
        <f t="shared" si="63"/>
        <v>0</v>
      </c>
      <c r="T91" s="1361"/>
      <c r="U91" s="1370"/>
      <c r="V91" s="745"/>
    </row>
    <row r="92" spans="1:22" ht="21.95" hidden="1" customHeight="1">
      <c r="A92" s="2572"/>
      <c r="B92" s="2582"/>
      <c r="C92" s="747" t="s">
        <v>2057</v>
      </c>
      <c r="D92" s="1404"/>
      <c r="E92" s="1405"/>
      <c r="F92" s="1361">
        <f>F71</f>
        <v>0</v>
      </c>
      <c r="G92" s="1361">
        <f t="shared" si="64"/>
        <v>0</v>
      </c>
      <c r="H92" s="1361">
        <f t="shared" si="63"/>
        <v>0</v>
      </c>
      <c r="I92" s="1361">
        <f t="shared" si="63"/>
        <v>0</v>
      </c>
      <c r="J92" s="1361">
        <f t="shared" si="63"/>
        <v>0</v>
      </c>
      <c r="K92" s="1361">
        <f t="shared" si="63"/>
        <v>0</v>
      </c>
      <c r="L92" s="1361">
        <f t="shared" si="63"/>
        <v>0</v>
      </c>
      <c r="M92" s="1361">
        <f t="shared" si="63"/>
        <v>0</v>
      </c>
      <c r="N92" s="1361">
        <f t="shared" si="63"/>
        <v>0</v>
      </c>
      <c r="O92" s="1361">
        <f t="shared" si="63"/>
        <v>0</v>
      </c>
      <c r="P92" s="1361">
        <f t="shared" si="63"/>
        <v>0</v>
      </c>
      <c r="Q92" s="1361">
        <f t="shared" si="63"/>
        <v>0</v>
      </c>
      <c r="R92" s="1361">
        <f t="shared" si="63"/>
        <v>0</v>
      </c>
      <c r="S92" s="1361">
        <f t="shared" si="63"/>
        <v>0</v>
      </c>
      <c r="T92" s="1361"/>
      <c r="U92" s="1370"/>
      <c r="V92" s="745"/>
    </row>
    <row r="93" spans="1:22" ht="21.95" hidden="1" customHeight="1">
      <c r="A93" s="2572"/>
      <c r="B93" s="2582"/>
      <c r="C93" s="747" t="s">
        <v>2058</v>
      </c>
      <c r="D93" s="1404"/>
      <c r="E93" s="1405"/>
      <c r="F93" s="1361">
        <f>F72</f>
        <v>0</v>
      </c>
      <c r="G93" s="1361">
        <f t="shared" si="64"/>
        <v>0</v>
      </c>
      <c r="H93" s="1361">
        <f t="shared" si="63"/>
        <v>0</v>
      </c>
      <c r="I93" s="1361">
        <f t="shared" si="63"/>
        <v>0</v>
      </c>
      <c r="J93" s="1361">
        <f t="shared" si="63"/>
        <v>0</v>
      </c>
      <c r="K93" s="1361">
        <f t="shared" si="63"/>
        <v>0</v>
      </c>
      <c r="L93" s="1361">
        <f t="shared" si="63"/>
        <v>0</v>
      </c>
      <c r="M93" s="1361">
        <f t="shared" si="63"/>
        <v>0</v>
      </c>
      <c r="N93" s="1361">
        <f t="shared" si="63"/>
        <v>0</v>
      </c>
      <c r="O93" s="1361">
        <f t="shared" si="63"/>
        <v>0</v>
      </c>
      <c r="P93" s="1361">
        <f t="shared" si="63"/>
        <v>0</v>
      </c>
      <c r="Q93" s="1361">
        <f t="shared" si="63"/>
        <v>0</v>
      </c>
      <c r="R93" s="1361">
        <f t="shared" si="63"/>
        <v>0</v>
      </c>
      <c r="S93" s="1361">
        <f t="shared" si="63"/>
        <v>0</v>
      </c>
      <c r="T93" s="1361"/>
      <c r="U93" s="1370"/>
      <c r="V93" s="745"/>
    </row>
    <row r="94" spans="1:22" ht="21.95" hidden="1" customHeight="1">
      <c r="A94" s="2572"/>
      <c r="B94" s="2582"/>
      <c r="C94" s="747" t="s">
        <v>2059</v>
      </c>
      <c r="D94" s="1404"/>
      <c r="E94" s="1405"/>
      <c r="F94" s="1361"/>
      <c r="G94" s="1361">
        <f t="shared" si="64"/>
        <v>0</v>
      </c>
      <c r="H94" s="1361">
        <f t="shared" si="63"/>
        <v>0</v>
      </c>
      <c r="I94" s="1361">
        <f t="shared" si="63"/>
        <v>0</v>
      </c>
      <c r="J94" s="1361">
        <f t="shared" si="63"/>
        <v>0</v>
      </c>
      <c r="K94" s="1361">
        <f t="shared" si="63"/>
        <v>0</v>
      </c>
      <c r="L94" s="1361">
        <f t="shared" si="63"/>
        <v>0</v>
      </c>
      <c r="M94" s="1361">
        <f t="shared" si="63"/>
        <v>0</v>
      </c>
      <c r="N94" s="1361">
        <f t="shared" si="63"/>
        <v>0</v>
      </c>
      <c r="O94" s="1361">
        <f t="shared" si="63"/>
        <v>0</v>
      </c>
      <c r="P94" s="1361">
        <f t="shared" si="63"/>
        <v>0</v>
      </c>
      <c r="Q94" s="1361">
        <f t="shared" si="63"/>
        <v>0</v>
      </c>
      <c r="R94" s="1361">
        <f t="shared" si="63"/>
        <v>0</v>
      </c>
      <c r="S94" s="1361">
        <f t="shared" si="63"/>
        <v>0</v>
      </c>
      <c r="T94" s="1361"/>
      <c r="U94" s="1370"/>
      <c r="V94" s="745"/>
    </row>
    <row r="95" spans="1:22" ht="21.95" hidden="1" customHeight="1">
      <c r="A95" s="2572"/>
      <c r="B95" s="2582"/>
      <c r="C95" s="747" t="s">
        <v>1999</v>
      </c>
      <c r="D95" s="1404"/>
      <c r="E95" s="1405"/>
      <c r="F95" s="1361"/>
      <c r="G95" s="1361">
        <f t="shared" si="64"/>
        <v>0</v>
      </c>
      <c r="H95" s="1361">
        <f t="shared" si="63"/>
        <v>0</v>
      </c>
      <c r="I95" s="1361">
        <f t="shared" si="63"/>
        <v>0</v>
      </c>
      <c r="J95" s="1361">
        <f t="shared" si="63"/>
        <v>0</v>
      </c>
      <c r="K95" s="1361">
        <f t="shared" si="63"/>
        <v>0</v>
      </c>
      <c r="L95" s="1361">
        <f t="shared" si="63"/>
        <v>0</v>
      </c>
      <c r="M95" s="1361">
        <f t="shared" si="63"/>
        <v>0</v>
      </c>
      <c r="N95" s="1361">
        <f t="shared" si="63"/>
        <v>0</v>
      </c>
      <c r="O95" s="1361">
        <f t="shared" si="63"/>
        <v>0</v>
      </c>
      <c r="P95" s="1361">
        <f t="shared" si="63"/>
        <v>0</v>
      </c>
      <c r="Q95" s="1361">
        <f t="shared" si="63"/>
        <v>0</v>
      </c>
      <c r="R95" s="1361">
        <f t="shared" si="63"/>
        <v>0</v>
      </c>
      <c r="S95" s="1361">
        <f t="shared" si="63"/>
        <v>0</v>
      </c>
      <c r="T95" s="1361"/>
      <c r="U95" s="1370"/>
      <c r="V95" s="745"/>
    </row>
    <row r="96" spans="1:22" ht="21.95" hidden="1" customHeight="1">
      <c r="A96" s="2572"/>
      <c r="B96" s="2582"/>
      <c r="C96" s="747" t="s">
        <v>2060</v>
      </c>
      <c r="D96" s="1404"/>
      <c r="E96" s="1405"/>
      <c r="F96" s="1361">
        <f>F75</f>
        <v>0</v>
      </c>
      <c r="G96" s="1361">
        <f t="shared" si="64"/>
        <v>0</v>
      </c>
      <c r="H96" s="1361">
        <f t="shared" si="63"/>
        <v>0</v>
      </c>
      <c r="I96" s="1361">
        <f t="shared" si="63"/>
        <v>0</v>
      </c>
      <c r="J96" s="1361">
        <f t="shared" si="63"/>
        <v>0</v>
      </c>
      <c r="K96" s="1361">
        <f t="shared" si="63"/>
        <v>0</v>
      </c>
      <c r="L96" s="1361">
        <f t="shared" si="63"/>
        <v>0</v>
      </c>
      <c r="M96" s="1361">
        <f t="shared" si="63"/>
        <v>0</v>
      </c>
      <c r="N96" s="1361">
        <f t="shared" si="63"/>
        <v>0</v>
      </c>
      <c r="O96" s="1361">
        <f t="shared" si="63"/>
        <v>0</v>
      </c>
      <c r="P96" s="1361">
        <f t="shared" si="63"/>
        <v>0</v>
      </c>
      <c r="Q96" s="1361">
        <f t="shared" si="63"/>
        <v>0</v>
      </c>
      <c r="R96" s="1361">
        <f t="shared" si="63"/>
        <v>0</v>
      </c>
      <c r="S96" s="1361">
        <f t="shared" si="63"/>
        <v>0</v>
      </c>
      <c r="T96" s="1361"/>
      <c r="U96" s="1370"/>
      <c r="V96" s="745"/>
    </row>
    <row r="97" spans="1:22" ht="21.95" hidden="1" customHeight="1">
      <c r="A97" s="2572"/>
      <c r="B97" s="2582"/>
      <c r="C97" s="747" t="s">
        <v>2061</v>
      </c>
      <c r="D97" s="1404"/>
      <c r="E97" s="1405"/>
      <c r="F97" s="1361">
        <f>F76</f>
        <v>0</v>
      </c>
      <c r="G97" s="1361">
        <f t="shared" si="64"/>
        <v>0</v>
      </c>
      <c r="H97" s="1361">
        <f t="shared" si="63"/>
        <v>0</v>
      </c>
      <c r="I97" s="1361">
        <f t="shared" si="63"/>
        <v>0</v>
      </c>
      <c r="J97" s="1361">
        <f t="shared" si="63"/>
        <v>0</v>
      </c>
      <c r="K97" s="1361">
        <f t="shared" si="63"/>
        <v>0</v>
      </c>
      <c r="L97" s="1361">
        <f t="shared" si="63"/>
        <v>0</v>
      </c>
      <c r="M97" s="1361">
        <f t="shared" si="63"/>
        <v>0</v>
      </c>
      <c r="N97" s="1361">
        <f t="shared" si="63"/>
        <v>0</v>
      </c>
      <c r="O97" s="1361">
        <f t="shared" si="63"/>
        <v>0</v>
      </c>
      <c r="P97" s="1361">
        <f t="shared" si="63"/>
        <v>0</v>
      </c>
      <c r="Q97" s="1361">
        <f t="shared" si="63"/>
        <v>0</v>
      </c>
      <c r="R97" s="1361">
        <f t="shared" si="63"/>
        <v>0</v>
      </c>
      <c r="S97" s="1361">
        <f t="shared" si="63"/>
        <v>0</v>
      </c>
      <c r="T97" s="1361"/>
      <c r="U97" s="1370"/>
      <c r="V97" s="745"/>
    </row>
    <row r="98" spans="1:22" ht="21.95" hidden="1" customHeight="1">
      <c r="A98" s="2572"/>
      <c r="B98" s="2582"/>
      <c r="C98" s="747" t="s">
        <v>2032</v>
      </c>
      <c r="D98" s="1404"/>
      <c r="E98" s="1405"/>
      <c r="F98" s="1361"/>
      <c r="G98" s="1361">
        <f t="shared" si="64"/>
        <v>0</v>
      </c>
      <c r="H98" s="1361">
        <f t="shared" si="63"/>
        <v>0</v>
      </c>
      <c r="I98" s="1361">
        <f t="shared" si="63"/>
        <v>0</v>
      </c>
      <c r="J98" s="1361">
        <f t="shared" si="63"/>
        <v>0</v>
      </c>
      <c r="K98" s="1361">
        <f t="shared" si="63"/>
        <v>0</v>
      </c>
      <c r="L98" s="1361">
        <f t="shared" si="63"/>
        <v>0</v>
      </c>
      <c r="M98" s="1361">
        <f t="shared" si="63"/>
        <v>0</v>
      </c>
      <c r="N98" s="1361">
        <f t="shared" si="63"/>
        <v>0</v>
      </c>
      <c r="O98" s="1361">
        <f t="shared" si="63"/>
        <v>0</v>
      </c>
      <c r="P98" s="1361">
        <f t="shared" si="63"/>
        <v>0</v>
      </c>
      <c r="Q98" s="1361">
        <f t="shared" si="63"/>
        <v>0</v>
      </c>
      <c r="R98" s="1361">
        <f t="shared" si="63"/>
        <v>0</v>
      </c>
      <c r="S98" s="1361">
        <f t="shared" si="63"/>
        <v>0</v>
      </c>
      <c r="T98" s="1361"/>
      <c r="U98" s="1370"/>
      <c r="V98" s="745"/>
    </row>
    <row r="99" spans="1:22" ht="21.95" hidden="1" customHeight="1">
      <c r="A99" s="2572"/>
      <c r="B99" s="2582"/>
      <c r="C99" s="747" t="s">
        <v>2066</v>
      </c>
      <c r="D99" s="1404"/>
      <c r="E99" s="1405"/>
      <c r="F99" s="1361">
        <f>F82</f>
        <v>0</v>
      </c>
      <c r="G99" s="1361">
        <f t="shared" ref="G99:R100" si="65">G82</f>
        <v>0</v>
      </c>
      <c r="H99" s="1361">
        <f t="shared" si="65"/>
        <v>0</v>
      </c>
      <c r="I99" s="1361">
        <f t="shared" si="65"/>
        <v>0</v>
      </c>
      <c r="J99" s="1361">
        <f t="shared" si="65"/>
        <v>0</v>
      </c>
      <c r="K99" s="1361">
        <f t="shared" si="65"/>
        <v>0</v>
      </c>
      <c r="L99" s="1361">
        <f t="shared" si="65"/>
        <v>0</v>
      </c>
      <c r="M99" s="1361">
        <f t="shared" si="65"/>
        <v>0</v>
      </c>
      <c r="N99" s="1361">
        <f t="shared" si="65"/>
        <v>0</v>
      </c>
      <c r="O99" s="1361">
        <f t="shared" si="65"/>
        <v>0</v>
      </c>
      <c r="P99" s="1361">
        <f t="shared" si="65"/>
        <v>0</v>
      </c>
      <c r="Q99" s="1361">
        <f t="shared" si="65"/>
        <v>0</v>
      </c>
      <c r="R99" s="1361">
        <f t="shared" si="65"/>
        <v>0</v>
      </c>
      <c r="S99" s="1361">
        <f>S82</f>
        <v>0</v>
      </c>
      <c r="T99" s="1361"/>
      <c r="U99" s="1370"/>
      <c r="V99" s="745"/>
    </row>
    <row r="100" spans="1:22" ht="21.95" hidden="1" customHeight="1" thickBot="1">
      <c r="A100" s="2572"/>
      <c r="B100" s="2583"/>
      <c r="C100" s="754" t="s">
        <v>2067</v>
      </c>
      <c r="D100" s="1407"/>
      <c r="E100" s="1408"/>
      <c r="F100" s="1363">
        <f>F83</f>
        <v>0</v>
      </c>
      <c r="G100" s="1363">
        <f t="shared" si="65"/>
        <v>0</v>
      </c>
      <c r="H100" s="1363">
        <f t="shared" si="65"/>
        <v>0</v>
      </c>
      <c r="I100" s="1363">
        <f t="shared" si="65"/>
        <v>0</v>
      </c>
      <c r="J100" s="1363">
        <f t="shared" si="65"/>
        <v>0</v>
      </c>
      <c r="K100" s="1363">
        <f t="shared" si="65"/>
        <v>0</v>
      </c>
      <c r="L100" s="1363">
        <f t="shared" si="65"/>
        <v>0</v>
      </c>
      <c r="M100" s="1363">
        <f t="shared" si="65"/>
        <v>0</v>
      </c>
      <c r="N100" s="1363">
        <f t="shared" si="65"/>
        <v>0</v>
      </c>
      <c r="O100" s="1363">
        <f t="shared" si="65"/>
        <v>0</v>
      </c>
      <c r="P100" s="1363">
        <f t="shared" si="65"/>
        <v>0</v>
      </c>
      <c r="Q100" s="1363">
        <f t="shared" si="65"/>
        <v>0</v>
      </c>
      <c r="R100" s="1363">
        <f t="shared" si="65"/>
        <v>0</v>
      </c>
      <c r="S100" s="1363">
        <f>S83</f>
        <v>0</v>
      </c>
      <c r="T100" s="1363"/>
      <c r="U100" s="1364"/>
      <c r="V100" s="745"/>
    </row>
    <row r="101" spans="1:22" ht="50.1" customHeight="1" thickTop="1" thickBot="1">
      <c r="A101" s="2573"/>
      <c r="B101" s="2624" t="s">
        <v>1400</v>
      </c>
      <c r="C101" s="2625"/>
      <c r="D101" s="790"/>
      <c r="E101" s="1096"/>
      <c r="F101" s="1412"/>
      <c r="G101" s="1413"/>
      <c r="H101" s="1413"/>
      <c r="I101" s="1413"/>
      <c r="J101" s="1413"/>
      <c r="K101" s="1413"/>
      <c r="L101" s="1413"/>
      <c r="M101" s="1413"/>
      <c r="N101" s="1413"/>
      <c r="O101" s="1413"/>
      <c r="P101" s="1413"/>
      <c r="Q101" s="1413"/>
      <c r="R101" s="1413"/>
      <c r="S101" s="1413"/>
      <c r="T101" s="1413"/>
      <c r="U101" s="1414"/>
      <c r="V101" s="794">
        <v>1</v>
      </c>
    </row>
    <row r="102" spans="1:22" ht="19.5" thickTop="1">
      <c r="F102" s="746"/>
    </row>
    <row r="103" spans="1:22">
      <c r="F103" s="746"/>
    </row>
  </sheetData>
  <autoFilter ref="A1:V101" xr:uid="{00000000-0001-0000-1600-000000000000}">
    <filterColumn colId="1" showButton="0"/>
    <filterColumn colId="21">
      <customFilters>
        <customFilter operator="notEqual" val=" "/>
      </customFilters>
    </filterColumn>
  </autoFilter>
  <mergeCells count="18">
    <mergeCell ref="B62:B83"/>
    <mergeCell ref="A1:A101"/>
    <mergeCell ref="B1:C1"/>
    <mergeCell ref="B2:C2"/>
    <mergeCell ref="B3:B4"/>
    <mergeCell ref="B5:C5"/>
    <mergeCell ref="B6:B8"/>
    <mergeCell ref="B9:B11"/>
    <mergeCell ref="B12:B14"/>
    <mergeCell ref="B15:B16"/>
    <mergeCell ref="B17:B31"/>
    <mergeCell ref="B84:B100"/>
    <mergeCell ref="B101:C101"/>
    <mergeCell ref="B32:B33"/>
    <mergeCell ref="B34:B37"/>
    <mergeCell ref="B38:B44"/>
    <mergeCell ref="B45:B51"/>
    <mergeCell ref="B52:B60"/>
  </mergeCells>
  <hyperlinks>
    <hyperlink ref="B1:C1" location="PAINEL!A1" display="TRECHOS" xr:uid="{52A921F1-FD39-44E6-90FD-E64355FCDABB}"/>
  </hyperlinks>
  <pageMargins left="0.39370078740157477" right="0.59055118110236215" top="0.39370078740157477" bottom="0.59055118110236215" header="0.31496062992125984" footer="0.23622047244094491"/>
  <pageSetup paperSize="9" fitToWidth="4" orientation="landscape" r:id="rId1"/>
  <headerFooter>
    <oddFooter>&amp;C&amp;8Página &amp;P/&amp;N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4BA32-BE60-49B7-867C-CA6E4ED010B4}">
  <sheetPr codeName="Planilha28" filterMode="1"/>
  <dimension ref="A1:L111"/>
  <sheetViews>
    <sheetView showZeros="0" zoomScaleNormal="100" workbookViewId="0">
      <selection sqref="A1:A110"/>
    </sheetView>
  </sheetViews>
  <sheetFormatPr defaultColWidth="9" defaultRowHeight="18.75"/>
  <cols>
    <col min="1" max="1" width="9.75" style="746" customWidth="1"/>
    <col min="2" max="2" width="16.75" style="786" customWidth="1"/>
    <col min="3" max="3" width="13.25" style="786" customWidth="1"/>
    <col min="4" max="4" width="30.625" style="786" customWidth="1"/>
    <col min="5" max="5" width="3.125" style="748" hidden="1" customWidth="1"/>
    <col min="6" max="6" width="8.375" style="786" hidden="1" customWidth="1"/>
    <col min="7" max="9" width="12.625" style="795" customWidth="1"/>
    <col min="10" max="10" width="12.625" style="796" customWidth="1"/>
    <col min="11" max="11" width="21.875" style="746" customWidth="1"/>
    <col min="12" max="15" width="10.75" style="746" customWidth="1"/>
    <col min="16" max="16" width="15.625" style="746" customWidth="1"/>
    <col min="17" max="16384" width="9" style="746"/>
  </cols>
  <sheetData>
    <row r="1" spans="1:12" s="739" customFormat="1" ht="60" customHeight="1" thickTop="1" thickBot="1">
      <c r="A1" s="2571" t="s">
        <v>2069</v>
      </c>
      <c r="B1" s="2591" t="s">
        <v>1467</v>
      </c>
      <c r="C1" s="2739"/>
      <c r="D1" s="2592"/>
      <c r="E1" s="734"/>
      <c r="F1" s="735" t="s">
        <v>1468</v>
      </c>
      <c r="G1" s="736" t="s">
        <v>2070</v>
      </c>
      <c r="H1" s="736"/>
      <c r="I1" s="1415"/>
      <c r="J1" s="737"/>
      <c r="K1" s="738" t="s">
        <v>1475</v>
      </c>
      <c r="L1" s="739">
        <f>SUBTOTAL(3,K:K)</f>
        <v>2</v>
      </c>
    </row>
    <row r="2" spans="1:12" ht="21.95" hidden="1" customHeight="1" thickTop="1">
      <c r="A2" s="2572"/>
      <c r="B2" s="2584" t="s">
        <v>39</v>
      </c>
      <c r="C2" s="2740" t="s">
        <v>2071</v>
      </c>
      <c r="D2" s="1416" t="s">
        <v>1477</v>
      </c>
      <c r="E2" s="741"/>
      <c r="F2" s="742"/>
      <c r="G2" s="1417"/>
      <c r="H2" s="1417"/>
      <c r="I2" s="1417"/>
      <c r="J2" s="1418"/>
      <c r="K2" s="745"/>
    </row>
    <row r="3" spans="1:12" ht="21.95" hidden="1" customHeight="1">
      <c r="A3" s="2572"/>
      <c r="B3" s="2585"/>
      <c r="C3" s="2732"/>
      <c r="D3" s="747" t="s">
        <v>1483</v>
      </c>
      <c r="F3" s="749"/>
      <c r="G3" s="752"/>
      <c r="H3" s="752"/>
      <c r="I3" s="752"/>
      <c r="J3" s="751"/>
      <c r="K3" s="745"/>
    </row>
    <row r="4" spans="1:12" ht="21.95" hidden="1" customHeight="1">
      <c r="A4" s="2572"/>
      <c r="B4" s="2585"/>
      <c r="C4" s="2732"/>
      <c r="D4" s="747" t="s">
        <v>2072</v>
      </c>
      <c r="F4" s="749"/>
      <c r="G4" s="834"/>
      <c r="H4" s="834"/>
      <c r="I4" s="834"/>
      <c r="J4" s="751"/>
      <c r="K4" s="745"/>
    </row>
    <row r="5" spans="1:12" ht="21.95" hidden="1" customHeight="1">
      <c r="A5" s="2572"/>
      <c r="B5" s="2585"/>
      <c r="C5" s="2732"/>
      <c r="D5" s="763" t="s">
        <v>2073</v>
      </c>
      <c r="F5" s="749"/>
      <c r="G5" s="1419">
        <f>+G3*G2</f>
        <v>0</v>
      </c>
      <c r="H5" s="1419"/>
      <c r="I5" s="1419">
        <f>+I3*I2</f>
        <v>0</v>
      </c>
      <c r="J5" s="753"/>
      <c r="K5" s="745"/>
    </row>
    <row r="6" spans="1:12" ht="21.95" hidden="1" customHeight="1">
      <c r="A6" s="2572"/>
      <c r="B6" s="2585"/>
      <c r="C6" s="2732"/>
      <c r="D6" s="763" t="s">
        <v>2074</v>
      </c>
      <c r="F6" s="749"/>
      <c r="G6" s="752"/>
      <c r="H6" s="752"/>
      <c r="I6" s="752"/>
      <c r="J6" s="753"/>
      <c r="K6" s="745"/>
    </row>
    <row r="7" spans="1:12" ht="21.95" hidden="1" customHeight="1">
      <c r="A7" s="2572"/>
      <c r="B7" s="2585"/>
      <c r="C7" s="2733"/>
      <c r="D7" s="747" t="s">
        <v>2075</v>
      </c>
      <c r="E7" s="781"/>
      <c r="F7" s="782"/>
      <c r="G7" s="1420">
        <f>(G5+G6)*G4</f>
        <v>0</v>
      </c>
      <c r="H7" s="1420"/>
      <c r="I7" s="1420">
        <f>(I5+I6)*I4</f>
        <v>0</v>
      </c>
      <c r="J7" s="1421"/>
      <c r="K7" s="745"/>
    </row>
    <row r="8" spans="1:12" ht="21.95" hidden="1" customHeight="1">
      <c r="A8" s="2572"/>
      <c r="B8" s="2585"/>
      <c r="C8" s="2731" t="s">
        <v>2076</v>
      </c>
      <c r="D8" s="747" t="s">
        <v>1477</v>
      </c>
      <c r="E8" s="1394"/>
      <c r="F8" s="1395"/>
      <c r="G8" s="785"/>
      <c r="H8" s="785"/>
      <c r="I8" s="785"/>
      <c r="J8" s="1422"/>
      <c r="K8" s="745">
        <f t="shared" ref="K8:K29" si="0">SUM(G8:J8)</f>
        <v>0</v>
      </c>
    </row>
    <row r="9" spans="1:12" ht="21.95" hidden="1" customHeight="1">
      <c r="A9" s="2572"/>
      <c r="B9" s="2585"/>
      <c r="C9" s="2732"/>
      <c r="D9" s="747" t="s">
        <v>1483</v>
      </c>
      <c r="F9" s="749"/>
      <c r="G9" s="752"/>
      <c r="H9" s="752"/>
      <c r="I9" s="752"/>
      <c r="J9" s="751"/>
      <c r="K9" s="745">
        <f t="shared" si="0"/>
        <v>0</v>
      </c>
    </row>
    <row r="10" spans="1:12" ht="21.95" hidden="1" customHeight="1">
      <c r="A10" s="2572"/>
      <c r="B10" s="2585"/>
      <c r="C10" s="2732"/>
      <c r="D10" s="747" t="s">
        <v>1478</v>
      </c>
      <c r="F10" s="749"/>
      <c r="G10" s="750"/>
      <c r="H10" s="750"/>
      <c r="I10" s="750"/>
      <c r="J10" s="751"/>
      <c r="K10" s="745">
        <f t="shared" si="0"/>
        <v>0</v>
      </c>
    </row>
    <row r="11" spans="1:12" ht="21.95" hidden="1" customHeight="1">
      <c r="A11" s="2572"/>
      <c r="B11" s="2585"/>
      <c r="C11" s="2732"/>
      <c r="D11" s="763" t="s">
        <v>2073</v>
      </c>
      <c r="F11" s="749"/>
      <c r="G11" s="1419">
        <f>G9*G8</f>
        <v>0</v>
      </c>
      <c r="H11" s="1419"/>
      <c r="I11" s="1419">
        <f>I9*I8</f>
        <v>0</v>
      </c>
      <c r="J11" s="753"/>
      <c r="K11" s="745">
        <f t="shared" si="0"/>
        <v>0</v>
      </c>
    </row>
    <row r="12" spans="1:12" ht="21.95" hidden="1" customHeight="1">
      <c r="A12" s="2572"/>
      <c r="B12" s="2585"/>
      <c r="C12" s="2732"/>
      <c r="D12" s="763" t="s">
        <v>2074</v>
      </c>
      <c r="F12" s="749"/>
      <c r="G12" s="752"/>
      <c r="H12" s="752"/>
      <c r="I12" s="752"/>
      <c r="J12" s="753"/>
      <c r="K12" s="745">
        <f t="shared" si="0"/>
        <v>0</v>
      </c>
    </row>
    <row r="13" spans="1:12" ht="21.95" hidden="1" customHeight="1">
      <c r="A13" s="2572"/>
      <c r="B13" s="2585"/>
      <c r="C13" s="2733"/>
      <c r="D13" s="747" t="s">
        <v>2077</v>
      </c>
      <c r="E13" s="781"/>
      <c r="F13" s="782"/>
      <c r="G13" s="1420">
        <f>(G11+G12)*G10*1.1</f>
        <v>0</v>
      </c>
      <c r="H13" s="1420"/>
      <c r="I13" s="1420">
        <f>(I11+I12)*I10*1.1</f>
        <v>0</v>
      </c>
      <c r="J13" s="1421"/>
      <c r="K13" s="745">
        <f t="shared" si="0"/>
        <v>0</v>
      </c>
    </row>
    <row r="14" spans="1:12" ht="21.95" hidden="1" customHeight="1">
      <c r="A14" s="2572"/>
      <c r="B14" s="2585"/>
      <c r="C14" s="2732" t="s">
        <v>2078</v>
      </c>
      <c r="D14" s="763" t="s">
        <v>2079</v>
      </c>
      <c r="F14" s="749"/>
      <c r="G14" s="752"/>
      <c r="H14" s="752"/>
      <c r="I14" s="752"/>
      <c r="J14" s="753"/>
      <c r="K14" s="745"/>
    </row>
    <row r="15" spans="1:12" ht="21.95" hidden="1" customHeight="1">
      <c r="A15" s="2572"/>
      <c r="B15" s="2585"/>
      <c r="C15" s="2732"/>
      <c r="D15" s="747" t="s">
        <v>2080</v>
      </c>
      <c r="F15" s="749"/>
      <c r="G15" s="752"/>
      <c r="H15" s="752"/>
      <c r="I15" s="752"/>
      <c r="J15" s="753"/>
      <c r="K15" s="745"/>
    </row>
    <row r="16" spans="1:12" ht="21.95" hidden="1" customHeight="1" thickBot="1">
      <c r="A16" s="2572"/>
      <c r="B16" s="2586"/>
      <c r="C16" s="2737"/>
      <c r="D16" s="754" t="s">
        <v>2081</v>
      </c>
      <c r="E16" s="755"/>
      <c r="F16" s="756"/>
      <c r="G16" s="989"/>
      <c r="H16" s="989"/>
      <c r="I16" s="989"/>
      <c r="J16" s="769"/>
      <c r="K16" s="745"/>
    </row>
    <row r="17" spans="1:11" ht="21.95" hidden="1" customHeight="1">
      <c r="A17" s="2572"/>
      <c r="B17" s="2584" t="s">
        <v>2082</v>
      </c>
      <c r="C17" s="2738" t="s">
        <v>2083</v>
      </c>
      <c r="D17" s="740" t="s">
        <v>2084</v>
      </c>
      <c r="E17" s="759"/>
      <c r="F17" s="749"/>
      <c r="G17" s="743"/>
      <c r="H17" s="743"/>
      <c r="I17" s="743"/>
      <c r="J17" s="753"/>
      <c r="K17" s="745">
        <f t="shared" si="0"/>
        <v>0</v>
      </c>
    </row>
    <row r="18" spans="1:11" ht="21.95" hidden="1" customHeight="1">
      <c r="A18" s="2572"/>
      <c r="B18" s="2585"/>
      <c r="C18" s="2732"/>
      <c r="D18" s="747" t="s">
        <v>2085</v>
      </c>
      <c r="F18" s="749"/>
      <c r="G18" s="752"/>
      <c r="H18" s="752"/>
      <c r="I18" s="752"/>
      <c r="J18" s="753"/>
      <c r="K18" s="745">
        <f t="shared" si="0"/>
        <v>0</v>
      </c>
    </row>
    <row r="19" spans="1:11" ht="21.95" hidden="1" customHeight="1">
      <c r="A19" s="2572"/>
      <c r="B19" s="2585"/>
      <c r="C19" s="2733"/>
      <c r="D19" s="747" t="s">
        <v>2086</v>
      </c>
      <c r="F19" s="749"/>
      <c r="G19" s="752"/>
      <c r="H19" s="752"/>
      <c r="I19" s="752"/>
      <c r="J19" s="753"/>
      <c r="K19" s="745">
        <f t="shared" si="0"/>
        <v>0</v>
      </c>
    </row>
    <row r="20" spans="1:11" ht="21.95" hidden="1" customHeight="1">
      <c r="A20" s="2572"/>
      <c r="B20" s="2585"/>
      <c r="C20" s="2726" t="s">
        <v>2087</v>
      </c>
      <c r="D20" s="2736"/>
      <c r="E20" s="1423"/>
      <c r="F20" s="1424"/>
      <c r="G20" s="1425"/>
      <c r="H20" s="1425"/>
      <c r="I20" s="1425"/>
      <c r="J20" s="1426"/>
      <c r="K20" s="745">
        <f t="shared" si="0"/>
        <v>0</v>
      </c>
    </row>
    <row r="21" spans="1:11" ht="21.95" hidden="1" customHeight="1">
      <c r="A21" s="2572"/>
      <c r="B21" s="2585"/>
      <c r="C21" s="2731" t="s">
        <v>2088</v>
      </c>
      <c r="D21" s="747" t="s">
        <v>2089</v>
      </c>
      <c r="E21" s="1388"/>
      <c r="F21" s="749"/>
      <c r="G21" s="752"/>
      <c r="H21" s="752"/>
      <c r="I21" s="752"/>
      <c r="J21" s="753"/>
      <c r="K21" s="745">
        <f t="shared" si="0"/>
        <v>0</v>
      </c>
    </row>
    <row r="22" spans="1:11" ht="21.95" hidden="1" customHeight="1">
      <c r="A22" s="2572"/>
      <c r="B22" s="2585"/>
      <c r="C22" s="2732"/>
      <c r="D22" s="747" t="s">
        <v>2090</v>
      </c>
      <c r="E22" s="1388"/>
      <c r="F22" s="749"/>
      <c r="G22" s="752"/>
      <c r="H22" s="752"/>
      <c r="I22" s="752"/>
      <c r="J22" s="753"/>
      <c r="K22" s="745"/>
    </row>
    <row r="23" spans="1:11" ht="21.95" hidden="1" customHeight="1">
      <c r="A23" s="2572"/>
      <c r="B23" s="2585"/>
      <c r="C23" s="2732"/>
      <c r="D23" s="747" t="s">
        <v>2091</v>
      </c>
      <c r="E23" s="1388"/>
      <c r="F23" s="749"/>
      <c r="G23" s="1419">
        <f>+G21*G22</f>
        <v>0</v>
      </c>
      <c r="H23" s="1419"/>
      <c r="I23" s="1419">
        <f>+I21*I22</f>
        <v>0</v>
      </c>
      <c r="J23" s="753"/>
      <c r="K23" s="745">
        <f t="shared" si="0"/>
        <v>0</v>
      </c>
    </row>
    <row r="24" spans="1:11" ht="21.95" hidden="1" customHeight="1">
      <c r="A24" s="2572"/>
      <c r="B24" s="2585"/>
      <c r="C24" s="2732"/>
      <c r="D24" s="747" t="s">
        <v>2092</v>
      </c>
      <c r="E24" s="1388"/>
      <c r="F24" s="749"/>
      <c r="G24" s="752"/>
      <c r="H24" s="752"/>
      <c r="I24" s="752"/>
      <c r="J24" s="753"/>
      <c r="K24" s="745"/>
    </row>
    <row r="25" spans="1:11" ht="21.95" hidden="1" customHeight="1">
      <c r="A25" s="2572"/>
      <c r="B25" s="2585"/>
      <c r="C25" s="2733"/>
      <c r="D25" s="747" t="s">
        <v>2093</v>
      </c>
      <c r="E25" s="1427"/>
      <c r="F25" s="782"/>
      <c r="G25" s="1420">
        <f>+G24*G21</f>
        <v>0</v>
      </c>
      <c r="H25" s="1420"/>
      <c r="I25" s="1420">
        <f>+I24*I21</f>
        <v>0</v>
      </c>
      <c r="J25" s="1051"/>
      <c r="K25" s="745">
        <f t="shared" si="0"/>
        <v>0</v>
      </c>
    </row>
    <row r="26" spans="1:11" ht="21.95" hidden="1" customHeight="1">
      <c r="A26" s="2572"/>
      <c r="B26" s="2585"/>
      <c r="C26" s="2731" t="s">
        <v>2094</v>
      </c>
      <c r="D26" s="747" t="s">
        <v>2095</v>
      </c>
      <c r="E26" s="1388"/>
      <c r="F26" s="749"/>
      <c r="G26" s="752"/>
      <c r="H26" s="752"/>
      <c r="I26" s="752"/>
      <c r="J26" s="753"/>
      <c r="K26" s="745">
        <f t="shared" si="0"/>
        <v>0</v>
      </c>
    </row>
    <row r="27" spans="1:11" ht="21.95" hidden="1" customHeight="1">
      <c r="A27" s="2572"/>
      <c r="B27" s="2585"/>
      <c r="C27" s="2732"/>
      <c r="D27" s="747" t="s">
        <v>2096</v>
      </c>
      <c r="E27" s="1388"/>
      <c r="F27" s="749"/>
      <c r="G27" s="752"/>
      <c r="H27" s="752"/>
      <c r="I27" s="752"/>
      <c r="J27" s="753"/>
      <c r="K27" s="745">
        <f t="shared" si="0"/>
        <v>0</v>
      </c>
    </row>
    <row r="28" spans="1:11" ht="21.95" hidden="1" customHeight="1">
      <c r="A28" s="2572"/>
      <c r="B28" s="2585"/>
      <c r="C28" s="2732"/>
      <c r="D28" s="747" t="s">
        <v>2097</v>
      </c>
      <c r="E28" s="1388"/>
      <c r="F28" s="749"/>
      <c r="G28" s="752"/>
      <c r="H28" s="752"/>
      <c r="I28" s="752"/>
      <c r="J28" s="753"/>
      <c r="K28" s="745">
        <f t="shared" si="0"/>
        <v>0</v>
      </c>
    </row>
    <row r="29" spans="1:11" ht="21.95" hidden="1" customHeight="1">
      <c r="A29" s="2572"/>
      <c r="B29" s="2585"/>
      <c r="C29" s="2733"/>
      <c r="D29" s="747" t="s">
        <v>2098</v>
      </c>
      <c r="E29" s="1388"/>
      <c r="F29" s="749"/>
      <c r="G29" s="1428"/>
      <c r="H29" s="1428"/>
      <c r="I29" s="1428"/>
      <c r="J29" s="753"/>
      <c r="K29" s="745">
        <f t="shared" si="0"/>
        <v>0</v>
      </c>
    </row>
    <row r="30" spans="1:11" ht="21.95" hidden="1" customHeight="1">
      <c r="A30" s="2572"/>
      <c r="B30" s="2585"/>
      <c r="C30" s="2726" t="s">
        <v>2099</v>
      </c>
      <c r="D30" s="2736"/>
      <c r="E30" s="1388"/>
      <c r="F30" s="749"/>
      <c r="G30" s="752"/>
      <c r="H30" s="752"/>
      <c r="I30" s="752"/>
      <c r="J30" s="753"/>
      <c r="K30" s="745"/>
    </row>
    <row r="31" spans="1:11" ht="21.95" hidden="1" customHeight="1">
      <c r="A31" s="2572"/>
      <c r="B31" s="2585"/>
      <c r="C31" s="2731" t="s">
        <v>2100</v>
      </c>
      <c r="D31" s="1429" t="s">
        <v>2101</v>
      </c>
      <c r="E31" s="1388"/>
      <c r="F31" s="749"/>
      <c r="G31" s="1419">
        <f>SUM(G26:G30)*1.25</f>
        <v>0</v>
      </c>
      <c r="H31" s="1419"/>
      <c r="I31" s="1419"/>
      <c r="J31" s="751"/>
      <c r="K31" s="745">
        <f t="shared" ref="K31:K67" si="1">SUM(G31:J31)</f>
        <v>0</v>
      </c>
    </row>
    <row r="32" spans="1:11" ht="21.95" hidden="1" customHeight="1">
      <c r="A32" s="2572"/>
      <c r="B32" s="2585"/>
      <c r="C32" s="2732"/>
      <c r="D32" s="1430" t="s">
        <v>2102</v>
      </c>
      <c r="E32" s="1388"/>
      <c r="F32" s="749"/>
      <c r="G32" s="842"/>
      <c r="H32" s="752"/>
      <c r="I32" s="752"/>
      <c r="J32" s="1431"/>
      <c r="K32" s="745">
        <f t="shared" si="1"/>
        <v>0</v>
      </c>
    </row>
    <row r="33" spans="1:11" ht="21.95" hidden="1" customHeight="1">
      <c r="A33" s="2572"/>
      <c r="B33" s="2585"/>
      <c r="C33" s="2732"/>
      <c r="D33" s="1430" t="s">
        <v>2103</v>
      </c>
      <c r="E33" s="1388"/>
      <c r="F33" s="749"/>
      <c r="G33" s="752">
        <f>G31-G31*G32</f>
        <v>0</v>
      </c>
      <c r="H33" s="752"/>
      <c r="I33" s="752"/>
      <c r="J33" s="753"/>
      <c r="K33" s="745">
        <f t="shared" si="1"/>
        <v>0</v>
      </c>
    </row>
    <row r="34" spans="1:11" ht="21.95" hidden="1" customHeight="1">
      <c r="A34" s="2572"/>
      <c r="B34" s="2585"/>
      <c r="C34" s="2732"/>
      <c r="D34" s="1430" t="s">
        <v>2104</v>
      </c>
      <c r="E34" s="1388"/>
      <c r="F34" s="749"/>
      <c r="G34" s="778"/>
      <c r="H34" s="778"/>
      <c r="I34" s="778"/>
      <c r="J34" s="753"/>
      <c r="K34" s="745"/>
    </row>
    <row r="35" spans="1:11" ht="21.95" hidden="1" customHeight="1">
      <c r="A35" s="2572"/>
      <c r="B35" s="2585"/>
      <c r="C35" s="2732"/>
      <c r="D35" s="1430" t="s">
        <v>2105</v>
      </c>
      <c r="E35" s="1388"/>
      <c r="F35" s="749"/>
      <c r="G35" s="752"/>
      <c r="H35" s="752"/>
      <c r="I35" s="752"/>
      <c r="J35" s="751"/>
      <c r="K35" s="745">
        <f t="shared" si="1"/>
        <v>0</v>
      </c>
    </row>
    <row r="36" spans="1:11" ht="21.95" hidden="1" customHeight="1">
      <c r="A36" s="2572"/>
      <c r="B36" s="2585"/>
      <c r="C36" s="2733"/>
      <c r="D36" s="1430" t="s">
        <v>2106</v>
      </c>
      <c r="E36" s="1388"/>
      <c r="F36" s="749"/>
      <c r="G36" s="752">
        <f>+G35*G33</f>
        <v>0</v>
      </c>
      <c r="H36" s="752"/>
      <c r="I36" s="752"/>
      <c r="J36" s="1051"/>
      <c r="K36" s="745">
        <f t="shared" si="1"/>
        <v>0</v>
      </c>
    </row>
    <row r="37" spans="1:11" ht="21.95" hidden="1" customHeight="1">
      <c r="A37" s="2572"/>
      <c r="B37" s="2585"/>
      <c r="C37" s="2726" t="s">
        <v>2107</v>
      </c>
      <c r="D37" s="2736"/>
      <c r="E37" s="1423"/>
      <c r="F37" s="1424"/>
      <c r="G37" s="1432">
        <f>G17-G31*G32</f>
        <v>0</v>
      </c>
      <c r="H37" s="1432"/>
      <c r="I37" s="1432"/>
      <c r="J37" s="1426"/>
      <c r="K37" s="745">
        <f t="shared" si="1"/>
        <v>0</v>
      </c>
    </row>
    <row r="38" spans="1:11" ht="21.95" hidden="1" customHeight="1">
      <c r="A38" s="2572"/>
      <c r="B38" s="2585"/>
      <c r="C38" s="2731" t="s">
        <v>2108</v>
      </c>
      <c r="D38" s="747" t="s">
        <v>2109</v>
      </c>
      <c r="E38" s="1388"/>
      <c r="F38" s="749"/>
      <c r="G38" s="752">
        <f>G5</f>
        <v>0</v>
      </c>
      <c r="H38" s="752"/>
      <c r="I38" s="752"/>
      <c r="J38" s="753"/>
      <c r="K38" s="745">
        <f t="shared" si="1"/>
        <v>0</v>
      </c>
    </row>
    <row r="39" spans="1:11" ht="21.95" hidden="1" customHeight="1">
      <c r="A39" s="2572"/>
      <c r="B39" s="2585"/>
      <c r="C39" s="2732"/>
      <c r="D39" s="747" t="s">
        <v>2110</v>
      </c>
      <c r="E39" s="1388"/>
      <c r="F39" s="749"/>
      <c r="G39" s="752"/>
      <c r="H39" s="752"/>
      <c r="I39" s="752"/>
      <c r="J39" s="753"/>
      <c r="K39" s="745">
        <f t="shared" si="1"/>
        <v>0</v>
      </c>
    </row>
    <row r="40" spans="1:11" ht="21.95" hidden="1" customHeight="1">
      <c r="A40" s="2572"/>
      <c r="B40" s="2585"/>
      <c r="C40" s="2732"/>
      <c r="D40" s="747" t="s">
        <v>2111</v>
      </c>
      <c r="F40" s="749"/>
      <c r="G40" s="752"/>
      <c r="H40" s="752"/>
      <c r="I40" s="752"/>
      <c r="J40" s="753"/>
      <c r="K40" s="745">
        <f t="shared" si="1"/>
        <v>0</v>
      </c>
    </row>
    <row r="41" spans="1:11" ht="21.95" hidden="1" customHeight="1">
      <c r="A41" s="2572"/>
      <c r="B41" s="2585"/>
      <c r="C41" s="2732"/>
      <c r="D41" s="747" t="s">
        <v>1907</v>
      </c>
      <c r="F41" s="749"/>
      <c r="G41" s="752"/>
      <c r="H41" s="752"/>
      <c r="I41" s="752"/>
      <c r="J41" s="753"/>
      <c r="K41" s="745">
        <f t="shared" si="1"/>
        <v>0</v>
      </c>
    </row>
    <row r="42" spans="1:11" ht="21.95" hidden="1" customHeight="1" thickBot="1">
      <c r="A42" s="2572"/>
      <c r="B42" s="2586"/>
      <c r="C42" s="2737"/>
      <c r="D42" s="754" t="s">
        <v>2112</v>
      </c>
      <c r="E42" s="755"/>
      <c r="F42" s="756"/>
      <c r="G42" s="1433"/>
      <c r="H42" s="1433"/>
      <c r="I42" s="1433"/>
      <c r="J42" s="769"/>
      <c r="K42" s="745">
        <f t="shared" si="1"/>
        <v>0</v>
      </c>
    </row>
    <row r="43" spans="1:11" ht="21.95" hidden="1" customHeight="1">
      <c r="A43" s="2572"/>
      <c r="B43" s="2584" t="s">
        <v>2113</v>
      </c>
      <c r="C43" s="2734" t="s">
        <v>2114</v>
      </c>
      <c r="D43" s="2735"/>
      <c r="F43" s="749"/>
      <c r="G43" s="1428"/>
      <c r="H43" s="1428"/>
      <c r="I43" s="1428"/>
      <c r="J43" s="753"/>
      <c r="K43" s="745">
        <f>SUM(G43:J43)</f>
        <v>0</v>
      </c>
    </row>
    <row r="44" spans="1:11" ht="21.95" hidden="1" customHeight="1" thickBot="1">
      <c r="A44" s="2572"/>
      <c r="B44" s="2586"/>
      <c r="C44" s="2728" t="s">
        <v>2115</v>
      </c>
      <c r="D44" s="2729"/>
      <c r="F44" s="749"/>
      <c r="G44" s="1428"/>
      <c r="H44" s="1428"/>
      <c r="I44" s="1428"/>
      <c r="J44" s="769"/>
      <c r="K44" s="745">
        <f>SUM(G44:J44)</f>
        <v>0</v>
      </c>
    </row>
    <row r="45" spans="1:11" ht="21.95" hidden="1" customHeight="1">
      <c r="A45" s="2572"/>
      <c r="B45" s="2584" t="s">
        <v>2116</v>
      </c>
      <c r="C45" s="2738" t="s">
        <v>2117</v>
      </c>
      <c r="D45" s="740" t="s">
        <v>2118</v>
      </c>
      <c r="E45" s="759"/>
      <c r="F45" s="760"/>
      <c r="G45" s="743"/>
      <c r="H45" s="743"/>
      <c r="I45" s="743"/>
      <c r="J45" s="753"/>
      <c r="K45" s="745">
        <f t="shared" si="1"/>
        <v>0</v>
      </c>
    </row>
    <row r="46" spans="1:11" ht="21.95" hidden="1" customHeight="1">
      <c r="A46" s="2572"/>
      <c r="B46" s="2585"/>
      <c r="C46" s="2732"/>
      <c r="D46" s="747" t="s">
        <v>2119</v>
      </c>
      <c r="F46" s="749"/>
      <c r="G46" s="752"/>
      <c r="H46" s="752"/>
      <c r="I46" s="752"/>
      <c r="J46" s="753"/>
      <c r="K46" s="745">
        <f t="shared" si="1"/>
        <v>0</v>
      </c>
    </row>
    <row r="47" spans="1:11" ht="21.95" hidden="1" customHeight="1">
      <c r="A47" s="2572"/>
      <c r="B47" s="2585"/>
      <c r="C47" s="2732"/>
      <c r="D47" s="747" t="s">
        <v>2120</v>
      </c>
      <c r="F47" s="749"/>
      <c r="G47" s="752"/>
      <c r="H47" s="752"/>
      <c r="I47" s="752"/>
      <c r="J47" s="753"/>
      <c r="K47" s="745">
        <f t="shared" si="1"/>
        <v>0</v>
      </c>
    </row>
    <row r="48" spans="1:11" ht="21.95" hidden="1" customHeight="1">
      <c r="A48" s="2572"/>
      <c r="B48" s="2585"/>
      <c r="C48" s="2732"/>
      <c r="D48" s="747" t="s">
        <v>2121</v>
      </c>
      <c r="F48" s="749"/>
      <c r="G48" s="752"/>
      <c r="H48" s="752"/>
      <c r="I48" s="752"/>
      <c r="J48" s="753"/>
      <c r="K48" s="745">
        <f t="shared" si="1"/>
        <v>0</v>
      </c>
    </row>
    <row r="49" spans="1:12" ht="21.95" hidden="1" customHeight="1">
      <c r="A49" s="2572"/>
      <c r="B49" s="2585"/>
      <c r="C49" s="2732"/>
      <c r="D49" s="911" t="s">
        <v>2122</v>
      </c>
      <c r="F49" s="749"/>
      <c r="G49" s="752"/>
      <c r="H49" s="752"/>
      <c r="I49" s="752"/>
      <c r="J49" s="753"/>
      <c r="K49" s="745">
        <f t="shared" si="1"/>
        <v>0</v>
      </c>
      <c r="L49" s="746">
        <f>2022-35</f>
        <v>1987</v>
      </c>
    </row>
    <row r="50" spans="1:12" ht="21.95" hidden="1" customHeight="1">
      <c r="A50" s="2572"/>
      <c r="B50" s="2585"/>
      <c r="C50" s="2733"/>
      <c r="D50" s="747" t="s">
        <v>2123</v>
      </c>
      <c r="E50" s="1427"/>
      <c r="F50" s="782"/>
      <c r="G50" s="1434"/>
      <c r="H50" s="1434"/>
      <c r="I50" s="1434"/>
      <c r="J50" s="1051"/>
      <c r="K50" s="745">
        <f t="shared" si="1"/>
        <v>0</v>
      </c>
    </row>
    <row r="51" spans="1:12" ht="21.95" hidden="1" customHeight="1">
      <c r="A51" s="2572"/>
      <c r="B51" s="2585"/>
      <c r="C51" s="2731" t="s">
        <v>2124</v>
      </c>
      <c r="D51" s="747" t="s">
        <v>2125</v>
      </c>
      <c r="E51" s="1435"/>
      <c r="F51" s="1395"/>
      <c r="G51" s="785"/>
      <c r="H51" s="785"/>
      <c r="I51" s="785"/>
      <c r="J51" s="753"/>
      <c r="K51" s="745">
        <f t="shared" si="1"/>
        <v>0</v>
      </c>
    </row>
    <row r="52" spans="1:12" ht="21.95" hidden="1" customHeight="1">
      <c r="A52" s="2572"/>
      <c r="B52" s="2585"/>
      <c r="C52" s="2732"/>
      <c r="D52" s="747" t="s">
        <v>2126</v>
      </c>
      <c r="F52" s="749"/>
      <c r="G52" s="752"/>
      <c r="H52" s="752"/>
      <c r="I52" s="752"/>
      <c r="J52" s="753"/>
      <c r="K52" s="745">
        <f t="shared" si="1"/>
        <v>0</v>
      </c>
    </row>
    <row r="53" spans="1:12" ht="21.95" hidden="1" customHeight="1">
      <c r="A53" s="2572"/>
      <c r="B53" s="2585"/>
      <c r="C53" s="2732"/>
      <c r="D53" s="911" t="s">
        <v>2127</v>
      </c>
      <c r="F53" s="749"/>
      <c r="G53" s="752"/>
      <c r="H53" s="752"/>
      <c r="I53" s="752"/>
      <c r="J53" s="753"/>
      <c r="K53" s="745">
        <f t="shared" si="1"/>
        <v>0</v>
      </c>
    </row>
    <row r="54" spans="1:12" ht="21.95" hidden="1" customHeight="1">
      <c r="A54" s="2572"/>
      <c r="B54" s="2585"/>
      <c r="C54" s="2733"/>
      <c r="D54" s="747" t="s">
        <v>2128</v>
      </c>
      <c r="E54" s="1427"/>
      <c r="F54" s="782"/>
      <c r="G54" s="1048"/>
      <c r="H54" s="1048"/>
      <c r="I54" s="1048"/>
      <c r="J54" s="1051"/>
      <c r="K54" s="745">
        <f t="shared" si="1"/>
        <v>0</v>
      </c>
    </row>
    <row r="55" spans="1:12" ht="21.95" hidden="1" customHeight="1">
      <c r="A55" s="2572"/>
      <c r="B55" s="2585"/>
      <c r="C55" s="2731" t="s">
        <v>2129</v>
      </c>
      <c r="D55" s="763" t="s">
        <v>2130</v>
      </c>
      <c r="F55" s="749"/>
      <c r="G55" s="752"/>
      <c r="H55" s="752"/>
      <c r="I55" s="752"/>
      <c r="J55" s="753"/>
      <c r="K55" s="745">
        <f t="shared" si="1"/>
        <v>0</v>
      </c>
    </row>
    <row r="56" spans="1:12" ht="21.95" hidden="1" customHeight="1">
      <c r="A56" s="2572"/>
      <c r="B56" s="2585"/>
      <c r="C56" s="2732"/>
      <c r="D56" s="747" t="s">
        <v>2131</v>
      </c>
      <c r="F56" s="749"/>
      <c r="G56" s="752"/>
      <c r="H56" s="752"/>
      <c r="I56" s="752"/>
      <c r="J56" s="753"/>
      <c r="K56" s="745">
        <f t="shared" si="1"/>
        <v>0</v>
      </c>
    </row>
    <row r="57" spans="1:12" ht="21.95" hidden="1" customHeight="1">
      <c r="A57" s="2572"/>
      <c r="B57" s="2585"/>
      <c r="C57" s="2732"/>
      <c r="D57" s="747" t="s">
        <v>2132</v>
      </c>
      <c r="F57" s="749"/>
      <c r="G57" s="752"/>
      <c r="H57" s="752"/>
      <c r="I57" s="752"/>
      <c r="J57" s="753"/>
      <c r="K57" s="745">
        <f t="shared" si="1"/>
        <v>0</v>
      </c>
    </row>
    <row r="58" spans="1:12" ht="21.95" hidden="1" customHeight="1">
      <c r="A58" s="2572"/>
      <c r="B58" s="2585"/>
      <c r="C58" s="2732"/>
      <c r="D58" s="747" t="s">
        <v>2133</v>
      </c>
      <c r="F58" s="749"/>
      <c r="G58" s="752"/>
      <c r="H58" s="752"/>
      <c r="I58" s="752"/>
      <c r="J58" s="753"/>
      <c r="K58" s="745">
        <f t="shared" si="1"/>
        <v>0</v>
      </c>
    </row>
    <row r="59" spans="1:12" ht="21.95" hidden="1" customHeight="1">
      <c r="A59" s="2572"/>
      <c r="B59" s="2585"/>
      <c r="C59" s="2732"/>
      <c r="D59" s="747" t="s">
        <v>2134</v>
      </c>
      <c r="F59" s="749"/>
      <c r="G59" s="752"/>
      <c r="H59" s="752"/>
      <c r="I59" s="752"/>
      <c r="J59" s="753"/>
      <c r="K59" s="745">
        <f t="shared" si="1"/>
        <v>0</v>
      </c>
    </row>
    <row r="60" spans="1:12" ht="21.95" hidden="1" customHeight="1">
      <c r="A60" s="2572"/>
      <c r="B60" s="2585"/>
      <c r="C60" s="2732"/>
      <c r="D60" s="747" t="s">
        <v>2135</v>
      </c>
      <c r="F60" s="749"/>
      <c r="G60" s="752"/>
      <c r="H60" s="752"/>
      <c r="I60" s="752"/>
      <c r="J60" s="753"/>
      <c r="K60" s="745">
        <f t="shared" si="1"/>
        <v>0</v>
      </c>
    </row>
    <row r="61" spans="1:12" ht="21.95" hidden="1" customHeight="1">
      <c r="A61" s="2572"/>
      <c r="B61" s="2585"/>
      <c r="C61" s="2732"/>
      <c r="D61" s="747" t="s">
        <v>2136</v>
      </c>
      <c r="F61" s="749"/>
      <c r="G61" s="752"/>
      <c r="H61" s="752"/>
      <c r="I61" s="752"/>
      <c r="J61" s="753"/>
      <c r="K61" s="745">
        <f t="shared" si="1"/>
        <v>0</v>
      </c>
    </row>
    <row r="62" spans="1:12" ht="21.95" hidden="1" customHeight="1">
      <c r="A62" s="2572"/>
      <c r="B62" s="2585"/>
      <c r="C62" s="2732"/>
      <c r="D62" s="747" t="s">
        <v>2137</v>
      </c>
      <c r="E62" s="1388"/>
      <c r="F62" s="749"/>
      <c r="G62" s="1428"/>
      <c r="H62" s="1428"/>
      <c r="I62" s="1428"/>
      <c r="J62" s="753"/>
      <c r="K62" s="745">
        <f t="shared" si="1"/>
        <v>0</v>
      </c>
    </row>
    <row r="63" spans="1:12" ht="32.1" hidden="1" customHeight="1">
      <c r="A63" s="2572"/>
      <c r="B63" s="2585"/>
      <c r="C63" s="2732"/>
      <c r="D63" s="747" t="s">
        <v>2138</v>
      </c>
      <c r="E63" s="1388"/>
      <c r="F63" s="749"/>
      <c r="G63" s="752"/>
      <c r="H63" s="752"/>
      <c r="I63" s="752"/>
      <c r="J63" s="753"/>
      <c r="K63" s="745">
        <f t="shared" si="1"/>
        <v>0</v>
      </c>
    </row>
    <row r="64" spans="1:12" ht="32.1" hidden="1" customHeight="1">
      <c r="A64" s="2572"/>
      <c r="B64" s="2585"/>
      <c r="C64" s="2733"/>
      <c r="D64" s="747" t="s">
        <v>2139</v>
      </c>
      <c r="E64" s="1427"/>
      <c r="F64" s="782"/>
      <c r="G64" s="1048"/>
      <c r="H64" s="1048"/>
      <c r="I64" s="1048"/>
      <c r="J64" s="1051"/>
      <c r="K64" s="745">
        <f t="shared" si="1"/>
        <v>0</v>
      </c>
    </row>
    <row r="65" spans="1:11" ht="32.1" hidden="1" customHeight="1">
      <c r="A65" s="2572"/>
      <c r="B65" s="2585"/>
      <c r="C65" s="2731" t="s">
        <v>2140</v>
      </c>
      <c r="D65" s="747" t="s">
        <v>2141</v>
      </c>
      <c r="F65" s="749"/>
      <c r="G65" s="752"/>
      <c r="H65" s="752"/>
      <c r="I65" s="752"/>
      <c r="J65" s="753"/>
      <c r="K65" s="745">
        <f t="shared" si="1"/>
        <v>0</v>
      </c>
    </row>
    <row r="66" spans="1:11" ht="32.1" hidden="1" customHeight="1">
      <c r="A66" s="2572"/>
      <c r="B66" s="2585"/>
      <c r="C66" s="2732"/>
      <c r="D66" s="896" t="s">
        <v>2142</v>
      </c>
      <c r="F66" s="749"/>
      <c r="G66" s="752"/>
      <c r="H66" s="752"/>
      <c r="I66" s="752"/>
      <c r="J66" s="753"/>
      <c r="K66" s="745">
        <f t="shared" si="1"/>
        <v>0</v>
      </c>
    </row>
    <row r="67" spans="1:11" ht="32.1" hidden="1" customHeight="1">
      <c r="A67" s="2572"/>
      <c r="B67" s="2585"/>
      <c r="C67" s="2732"/>
      <c r="D67" s="911" t="s">
        <v>2143</v>
      </c>
      <c r="F67" s="749"/>
      <c r="G67" s="752"/>
      <c r="H67" s="752"/>
      <c r="I67" s="752"/>
      <c r="J67" s="753"/>
      <c r="K67" s="745">
        <f t="shared" si="1"/>
        <v>0</v>
      </c>
    </row>
    <row r="68" spans="1:11" ht="32.1" hidden="1" customHeight="1">
      <c r="A68" s="2572"/>
      <c r="B68" s="2585"/>
      <c r="C68" s="2733"/>
      <c r="D68" s="747" t="s">
        <v>2144</v>
      </c>
      <c r="E68" s="781"/>
      <c r="F68" s="782"/>
      <c r="G68" s="1048"/>
      <c r="H68" s="1048"/>
      <c r="I68" s="1048"/>
      <c r="J68" s="1051"/>
      <c r="K68" s="745">
        <f t="shared" ref="K68:K100" si="2">SUM(G68:J68)</f>
        <v>0</v>
      </c>
    </row>
    <row r="69" spans="1:11" ht="21.95" hidden="1" customHeight="1">
      <c r="A69" s="2572"/>
      <c r="B69" s="2585"/>
      <c r="C69" s="2731" t="s">
        <v>2145</v>
      </c>
      <c r="D69" s="763" t="s">
        <v>2146</v>
      </c>
      <c r="F69" s="749"/>
      <c r="G69" s="752"/>
      <c r="H69" s="752"/>
      <c r="I69" s="752"/>
      <c r="J69" s="753"/>
      <c r="K69" s="745">
        <f t="shared" si="2"/>
        <v>0</v>
      </c>
    </row>
    <row r="70" spans="1:11" ht="21.95" hidden="1" customHeight="1">
      <c r="A70" s="2572"/>
      <c r="B70" s="2585"/>
      <c r="C70" s="2732"/>
      <c r="D70" s="763" t="s">
        <v>2147</v>
      </c>
      <c r="F70" s="749"/>
      <c r="G70" s="752"/>
      <c r="H70" s="752"/>
      <c r="I70" s="752"/>
      <c r="J70" s="753"/>
      <c r="K70" s="745">
        <f t="shared" si="2"/>
        <v>0</v>
      </c>
    </row>
    <row r="71" spans="1:11" ht="21.95" hidden="1" customHeight="1">
      <c r="A71" s="2572"/>
      <c r="B71" s="2585"/>
      <c r="C71" s="2733"/>
      <c r="D71" s="763" t="s">
        <v>2148</v>
      </c>
      <c r="E71" s="781"/>
      <c r="F71" s="782"/>
      <c r="G71" s="1048"/>
      <c r="H71" s="1048"/>
      <c r="I71" s="1048"/>
      <c r="J71" s="1051"/>
      <c r="K71" s="745">
        <f t="shared" si="2"/>
        <v>0</v>
      </c>
    </row>
    <row r="72" spans="1:11" ht="21.95" hidden="1" customHeight="1">
      <c r="A72" s="2572"/>
      <c r="B72" s="2585"/>
      <c r="C72" s="2732" t="s">
        <v>2149</v>
      </c>
      <c r="D72" s="763" t="s">
        <v>2150</v>
      </c>
      <c r="F72" s="749"/>
      <c r="G72" s="752"/>
      <c r="H72" s="752"/>
      <c r="I72" s="752"/>
      <c r="J72" s="753"/>
      <c r="K72" s="745">
        <f t="shared" si="2"/>
        <v>0</v>
      </c>
    </row>
    <row r="73" spans="1:11" ht="21.95" hidden="1" customHeight="1">
      <c r="A73" s="2572"/>
      <c r="B73" s="2585"/>
      <c r="C73" s="2732"/>
      <c r="D73" s="763" t="s">
        <v>2151</v>
      </c>
      <c r="F73" s="749"/>
      <c r="G73" s="752"/>
      <c r="H73" s="752"/>
      <c r="I73" s="752"/>
      <c r="J73" s="753"/>
      <c r="K73" s="745">
        <f t="shared" si="2"/>
        <v>0</v>
      </c>
    </row>
    <row r="74" spans="1:11" ht="32.1" hidden="1" customHeight="1">
      <c r="A74" s="2572"/>
      <c r="B74" s="2585"/>
      <c r="C74" s="2732"/>
      <c r="D74" s="763" t="s">
        <v>2152</v>
      </c>
      <c r="F74" s="749"/>
      <c r="G74" s="752"/>
      <c r="H74" s="752"/>
      <c r="I74" s="752"/>
      <c r="J74" s="753"/>
      <c r="K74" s="745">
        <f t="shared" si="2"/>
        <v>0</v>
      </c>
    </row>
    <row r="75" spans="1:11" ht="21.95" hidden="1" customHeight="1">
      <c r="A75" s="2572"/>
      <c r="B75" s="2585"/>
      <c r="C75" s="2732"/>
      <c r="D75" s="763" t="s">
        <v>2153</v>
      </c>
      <c r="F75" s="749"/>
      <c r="G75" s="752"/>
      <c r="H75" s="752"/>
      <c r="I75" s="752"/>
      <c r="J75" s="753"/>
      <c r="K75" s="745">
        <f t="shared" si="2"/>
        <v>0</v>
      </c>
    </row>
    <row r="76" spans="1:11" ht="21.95" hidden="1" customHeight="1">
      <c r="A76" s="2572"/>
      <c r="B76" s="2585"/>
      <c r="C76" s="2732"/>
      <c r="D76" s="896" t="s">
        <v>2154</v>
      </c>
      <c r="F76" s="749"/>
      <c r="G76" s="752"/>
      <c r="H76" s="752"/>
      <c r="I76" s="752"/>
      <c r="J76" s="1051"/>
      <c r="K76" s="745">
        <f t="shared" si="2"/>
        <v>0</v>
      </c>
    </row>
    <row r="77" spans="1:11" ht="21.95" hidden="1" customHeight="1">
      <c r="A77" s="2572"/>
      <c r="B77" s="2585"/>
      <c r="C77" s="2731" t="s">
        <v>2155</v>
      </c>
      <c r="D77" s="747" t="s">
        <v>2156</v>
      </c>
      <c r="E77" s="1394"/>
      <c r="F77" s="1395"/>
      <c r="G77" s="785"/>
      <c r="H77" s="785"/>
      <c r="I77" s="785"/>
      <c r="J77" s="753"/>
      <c r="K77" s="745">
        <f t="shared" si="2"/>
        <v>0</v>
      </c>
    </row>
    <row r="78" spans="1:11" ht="21.95" hidden="1" customHeight="1">
      <c r="A78" s="2572"/>
      <c r="B78" s="2585"/>
      <c r="C78" s="2732"/>
      <c r="D78" s="763" t="s">
        <v>2157</v>
      </c>
      <c r="F78" s="749"/>
      <c r="G78" s="752"/>
      <c r="H78" s="752"/>
      <c r="I78" s="752"/>
      <c r="J78" s="753"/>
      <c r="K78" s="745">
        <f t="shared" si="2"/>
        <v>0</v>
      </c>
    </row>
    <row r="79" spans="1:11" ht="21.95" hidden="1" customHeight="1">
      <c r="A79" s="2572"/>
      <c r="B79" s="2585"/>
      <c r="C79" s="2733"/>
      <c r="D79" s="763" t="s">
        <v>2158</v>
      </c>
      <c r="E79" s="781"/>
      <c r="F79" s="782"/>
      <c r="G79" s="1048"/>
      <c r="H79" s="1048"/>
      <c r="I79" s="1048"/>
      <c r="J79" s="1051"/>
      <c r="K79" s="745">
        <f t="shared" si="2"/>
        <v>0</v>
      </c>
    </row>
    <row r="80" spans="1:11" ht="21.95" hidden="1" customHeight="1">
      <c r="A80" s="2572"/>
      <c r="B80" s="2585"/>
      <c r="C80" s="2726" t="s">
        <v>2159</v>
      </c>
      <c r="D80" s="2736"/>
      <c r="E80" s="1436"/>
      <c r="F80" s="1424"/>
      <c r="G80" s="1425"/>
      <c r="H80" s="1425"/>
      <c r="I80" s="1425"/>
      <c r="J80" s="1051"/>
      <c r="K80" s="745">
        <f t="shared" si="2"/>
        <v>0</v>
      </c>
    </row>
    <row r="81" spans="1:11" ht="21.95" hidden="1" customHeight="1">
      <c r="A81" s="2572"/>
      <c r="B81" s="2585"/>
      <c r="C81" s="2732" t="s">
        <v>2160</v>
      </c>
      <c r="D81" s="763" t="s">
        <v>2161</v>
      </c>
      <c r="F81" s="749"/>
      <c r="G81" s="752"/>
      <c r="H81" s="752"/>
      <c r="I81" s="752"/>
      <c r="J81" s="753"/>
      <c r="K81" s="745">
        <f t="shared" si="2"/>
        <v>0</v>
      </c>
    </row>
    <row r="82" spans="1:11" ht="21.95" hidden="1" customHeight="1" thickBot="1">
      <c r="A82" s="2572"/>
      <c r="B82" s="2586"/>
      <c r="C82" s="2737"/>
      <c r="D82" s="754" t="s">
        <v>2162</v>
      </c>
      <c r="E82" s="755"/>
      <c r="F82" s="756"/>
      <c r="G82" s="1433"/>
      <c r="H82" s="1433"/>
      <c r="I82" s="1433"/>
      <c r="J82" s="769"/>
      <c r="K82" s="745">
        <f t="shared" si="2"/>
        <v>0</v>
      </c>
    </row>
    <row r="83" spans="1:11" ht="21.95" hidden="1" customHeight="1">
      <c r="A83" s="2572"/>
      <c r="B83" s="2602" t="s">
        <v>2163</v>
      </c>
      <c r="C83" s="2734" t="s">
        <v>2164</v>
      </c>
      <c r="D83" s="2735"/>
      <c r="E83" s="759"/>
      <c r="F83" s="760"/>
      <c r="G83" s="743"/>
      <c r="H83" s="743"/>
      <c r="I83" s="743"/>
      <c r="J83" s="753"/>
      <c r="K83" s="745">
        <f t="shared" si="2"/>
        <v>0</v>
      </c>
    </row>
    <row r="84" spans="1:11" ht="21.95" hidden="1" customHeight="1">
      <c r="A84" s="2572"/>
      <c r="B84" s="2605"/>
      <c r="C84" s="2726" t="s">
        <v>2165</v>
      </c>
      <c r="D84" s="2736"/>
      <c r="F84" s="749"/>
      <c r="G84" s="752">
        <f>G3</f>
        <v>0</v>
      </c>
      <c r="H84" s="752"/>
      <c r="I84" s="752"/>
      <c r="J84" s="753"/>
      <c r="K84" s="745">
        <f t="shared" si="2"/>
        <v>0</v>
      </c>
    </row>
    <row r="85" spans="1:11" ht="21.95" hidden="1" customHeight="1">
      <c r="A85" s="2572"/>
      <c r="B85" s="2605"/>
      <c r="C85" s="2726" t="s">
        <v>2166</v>
      </c>
      <c r="D85" s="2736"/>
      <c r="F85" s="749"/>
      <c r="G85" s="752"/>
      <c r="H85" s="752"/>
      <c r="I85" s="752"/>
      <c r="J85" s="753"/>
      <c r="K85" s="745">
        <f>SUM(G85:J85)</f>
        <v>0</v>
      </c>
    </row>
    <row r="86" spans="1:11" ht="21.95" hidden="1" customHeight="1">
      <c r="A86" s="2572"/>
      <c r="B86" s="2605"/>
      <c r="C86" s="2726" t="s">
        <v>2167</v>
      </c>
      <c r="D86" s="2736"/>
      <c r="F86" s="749"/>
      <c r="G86" s="752"/>
      <c r="H86" s="752"/>
      <c r="I86" s="752"/>
      <c r="J86" s="753"/>
      <c r="K86" s="745">
        <f>SUM(G86:J86)</f>
        <v>0</v>
      </c>
    </row>
    <row r="87" spans="1:11" ht="21.95" hidden="1" customHeight="1">
      <c r="A87" s="2572"/>
      <c r="B87" s="2605"/>
      <c r="C87" s="2726" t="s">
        <v>2168</v>
      </c>
      <c r="D87" s="2736"/>
      <c r="F87" s="749"/>
      <c r="G87" s="752"/>
      <c r="H87" s="752"/>
      <c r="I87" s="752"/>
      <c r="J87" s="753"/>
      <c r="K87" s="745">
        <f>SUM(G87:J87)</f>
        <v>0</v>
      </c>
    </row>
    <row r="88" spans="1:11" ht="21.95" hidden="1" customHeight="1">
      <c r="A88" s="2572"/>
      <c r="B88" s="2605"/>
      <c r="C88" s="2726" t="s">
        <v>2169</v>
      </c>
      <c r="D88" s="2736"/>
      <c r="F88" s="749"/>
      <c r="G88" s="752">
        <f>INT(G3/5)</f>
        <v>0</v>
      </c>
      <c r="H88" s="752"/>
      <c r="I88" s="752"/>
      <c r="J88" s="753"/>
      <c r="K88" s="745">
        <f t="shared" si="2"/>
        <v>0</v>
      </c>
    </row>
    <row r="89" spans="1:11" ht="21.95" hidden="1" customHeight="1">
      <c r="A89" s="2572"/>
      <c r="B89" s="2605"/>
      <c r="C89" s="2726" t="s">
        <v>2170</v>
      </c>
      <c r="D89" s="2736"/>
      <c r="F89" s="749"/>
      <c r="G89" s="752"/>
      <c r="H89" s="752"/>
      <c r="I89" s="752"/>
      <c r="J89" s="753"/>
      <c r="K89" s="745">
        <f t="shared" si="2"/>
        <v>0</v>
      </c>
    </row>
    <row r="90" spans="1:11" ht="21.95" hidden="1" customHeight="1">
      <c r="A90" s="2572"/>
      <c r="B90" s="2605"/>
      <c r="C90" s="2726" t="s">
        <v>2171</v>
      </c>
      <c r="D90" s="2727" t="s">
        <v>2171</v>
      </c>
      <c r="F90" s="749"/>
      <c r="G90" s="752"/>
      <c r="H90" s="752"/>
      <c r="I90" s="752"/>
      <c r="J90" s="753"/>
      <c r="K90" s="745">
        <f t="shared" si="2"/>
        <v>0</v>
      </c>
    </row>
    <row r="91" spans="1:11" ht="21.95" hidden="1" customHeight="1">
      <c r="A91" s="2572"/>
      <c r="B91" s="2605"/>
      <c r="C91" s="2731" t="s">
        <v>2172</v>
      </c>
      <c r="D91" s="747" t="s">
        <v>1693</v>
      </c>
      <c r="E91" s="1394"/>
      <c r="F91" s="1395"/>
      <c r="G91" s="785"/>
      <c r="H91" s="785"/>
      <c r="I91" s="785"/>
      <c r="J91" s="1422"/>
      <c r="K91" s="745">
        <f t="shared" si="2"/>
        <v>0</v>
      </c>
    </row>
    <row r="92" spans="1:11" ht="21.95" hidden="1" customHeight="1">
      <c r="A92" s="2572"/>
      <c r="B92" s="2605"/>
      <c r="C92" s="2732"/>
      <c r="D92" s="747" t="s">
        <v>2006</v>
      </c>
      <c r="F92" s="749" t="s">
        <v>2173</v>
      </c>
      <c r="G92" s="750"/>
      <c r="H92" s="750"/>
      <c r="I92" s="750"/>
      <c r="J92" s="779"/>
      <c r="K92" s="745">
        <f t="shared" si="2"/>
        <v>0</v>
      </c>
    </row>
    <row r="93" spans="1:11" ht="21.95" hidden="1" customHeight="1">
      <c r="A93" s="2572"/>
      <c r="B93" s="2605"/>
      <c r="C93" s="2733"/>
      <c r="D93" s="747" t="s">
        <v>1923</v>
      </c>
      <c r="E93" s="781"/>
      <c r="F93" s="782"/>
      <c r="G93" s="1048"/>
      <c r="H93" s="1048"/>
      <c r="I93" s="1048"/>
      <c r="J93" s="1051"/>
      <c r="K93" s="745">
        <f t="shared" si="2"/>
        <v>0</v>
      </c>
    </row>
    <row r="94" spans="1:11" ht="21.95" hidden="1" customHeight="1">
      <c r="A94" s="2572"/>
      <c r="B94" s="2605"/>
      <c r="C94" s="2731" t="s">
        <v>2174</v>
      </c>
      <c r="D94" s="1430" t="s">
        <v>1693</v>
      </c>
      <c r="E94" s="1435"/>
      <c r="F94" s="1395"/>
      <c r="G94" s="785"/>
      <c r="H94" s="785"/>
      <c r="I94" s="785"/>
      <c r="J94" s="751"/>
      <c r="K94" s="745">
        <f t="shared" si="2"/>
        <v>0</v>
      </c>
    </row>
    <row r="95" spans="1:11" ht="21.95" hidden="1" customHeight="1">
      <c r="A95" s="2572"/>
      <c r="B95" s="2605"/>
      <c r="C95" s="2732"/>
      <c r="D95" s="1430" t="s">
        <v>2006</v>
      </c>
      <c r="E95" s="1388"/>
      <c r="F95" s="749" t="s">
        <v>2175</v>
      </c>
      <c r="G95" s="750"/>
      <c r="H95" s="750"/>
      <c r="I95" s="750"/>
      <c r="J95" s="779"/>
      <c r="K95" s="745">
        <f t="shared" si="2"/>
        <v>0</v>
      </c>
    </row>
    <row r="96" spans="1:11" ht="21.95" hidden="1" customHeight="1">
      <c r="A96" s="2572"/>
      <c r="B96" s="2605"/>
      <c r="C96" s="2733"/>
      <c r="D96" s="1430" t="s">
        <v>1923</v>
      </c>
      <c r="E96" s="1427"/>
      <c r="F96" s="782"/>
      <c r="G96" s="1420">
        <f>G94*G95/100</f>
        <v>0</v>
      </c>
      <c r="H96" s="1420"/>
      <c r="I96" s="1420"/>
      <c r="J96" s="1051"/>
      <c r="K96" s="745">
        <f t="shared" si="2"/>
        <v>0</v>
      </c>
    </row>
    <row r="97" spans="1:11" ht="21.95" hidden="1" customHeight="1">
      <c r="A97" s="2572"/>
      <c r="B97" s="2605"/>
      <c r="C97" s="2731" t="s">
        <v>2176</v>
      </c>
      <c r="D97" s="1430" t="s">
        <v>1693</v>
      </c>
      <c r="F97" s="749"/>
      <c r="G97" s="752"/>
      <c r="H97" s="752"/>
      <c r="I97" s="752"/>
      <c r="J97" s="753"/>
      <c r="K97" s="745">
        <f t="shared" si="2"/>
        <v>0</v>
      </c>
    </row>
    <row r="98" spans="1:11" ht="21.95" hidden="1" customHeight="1">
      <c r="A98" s="2572"/>
      <c r="B98" s="2601"/>
      <c r="C98" s="2732"/>
      <c r="D98" s="1430" t="s">
        <v>2006</v>
      </c>
      <c r="F98" s="749" t="s">
        <v>2177</v>
      </c>
      <c r="G98" s="750"/>
      <c r="H98" s="750"/>
      <c r="I98" s="750"/>
      <c r="J98" s="779"/>
      <c r="K98" s="745">
        <f t="shared" si="2"/>
        <v>0</v>
      </c>
    </row>
    <row r="99" spans="1:11" ht="21.95" hidden="1" customHeight="1">
      <c r="A99" s="2572"/>
      <c r="B99" s="2601"/>
      <c r="C99" s="2733"/>
      <c r="D99" s="1430" t="s">
        <v>1923</v>
      </c>
      <c r="E99" s="1427"/>
      <c r="F99" s="782"/>
      <c r="G99" s="1420">
        <f>G97*G98/100</f>
        <v>0</v>
      </c>
      <c r="H99" s="1420"/>
      <c r="I99" s="1420"/>
      <c r="J99" s="1421"/>
      <c r="K99" s="745">
        <f t="shared" si="2"/>
        <v>0</v>
      </c>
    </row>
    <row r="100" spans="1:11" ht="21.95" hidden="1" customHeight="1">
      <c r="A100" s="2572"/>
      <c r="B100" s="2601"/>
      <c r="C100" s="2731" t="s">
        <v>2178</v>
      </c>
      <c r="D100" s="1430" t="s">
        <v>1693</v>
      </c>
      <c r="F100" s="749"/>
      <c r="G100" s="752"/>
      <c r="H100" s="752"/>
      <c r="I100" s="752"/>
      <c r="J100" s="751"/>
      <c r="K100" s="745">
        <f t="shared" si="2"/>
        <v>0</v>
      </c>
    </row>
    <row r="101" spans="1:11" ht="21.95" hidden="1" customHeight="1">
      <c r="A101" s="2572"/>
      <c r="B101" s="2601"/>
      <c r="C101" s="2732"/>
      <c r="D101" s="1430" t="s">
        <v>2006</v>
      </c>
      <c r="F101" s="749" t="s">
        <v>2179</v>
      </c>
      <c r="G101" s="752"/>
      <c r="H101" s="752"/>
      <c r="I101" s="752"/>
      <c r="J101" s="779"/>
      <c r="K101" s="745">
        <f t="shared" ref="K101:K109" si="3">SUM(G101:J101)</f>
        <v>0</v>
      </c>
    </row>
    <row r="102" spans="1:11" ht="21.95" hidden="1" customHeight="1">
      <c r="A102" s="2572"/>
      <c r="B102" s="2601"/>
      <c r="C102" s="2733"/>
      <c r="D102" s="1430" t="s">
        <v>1923</v>
      </c>
      <c r="E102" s="1427"/>
      <c r="F102" s="782"/>
      <c r="G102" s="1420">
        <f>G100*G101/100</f>
        <v>0</v>
      </c>
      <c r="H102" s="1420"/>
      <c r="I102" s="1420"/>
      <c r="J102" s="1051"/>
      <c r="K102" s="745">
        <f t="shared" si="3"/>
        <v>0</v>
      </c>
    </row>
    <row r="103" spans="1:11" ht="21.95" hidden="1" customHeight="1" thickBot="1">
      <c r="A103" s="2572"/>
      <c r="B103" s="2632"/>
      <c r="C103" s="2728" t="s">
        <v>2180</v>
      </c>
      <c r="D103" s="2729"/>
      <c r="E103" s="755"/>
      <c r="F103" s="756"/>
      <c r="G103" s="761"/>
      <c r="H103" s="761"/>
      <c r="I103" s="761"/>
      <c r="J103" s="769"/>
      <c r="K103" s="745">
        <f t="shared" si="3"/>
        <v>0</v>
      </c>
    </row>
    <row r="104" spans="1:11" ht="21.95" hidden="1" customHeight="1">
      <c r="A104" s="2572"/>
      <c r="B104" s="2584" t="s">
        <v>2181</v>
      </c>
      <c r="C104" s="2734" t="s">
        <v>2182</v>
      </c>
      <c r="D104" s="2735"/>
      <c r="E104" s="759"/>
      <c r="F104" s="760"/>
      <c r="G104" s="1437">
        <f>G7</f>
        <v>0</v>
      </c>
      <c r="H104" s="1437"/>
      <c r="I104" s="1437"/>
      <c r="J104" s="753"/>
      <c r="K104" s="745">
        <f t="shared" si="3"/>
        <v>0</v>
      </c>
    </row>
    <row r="105" spans="1:11" ht="21.95" hidden="1" customHeight="1">
      <c r="A105" s="2572"/>
      <c r="B105" s="2585"/>
      <c r="C105" s="2726" t="s">
        <v>2183</v>
      </c>
      <c r="D105" s="2736"/>
      <c r="F105" s="749"/>
      <c r="G105" s="1419">
        <f>G37*1.25</f>
        <v>0</v>
      </c>
      <c r="H105" s="1419"/>
      <c r="I105" s="1419"/>
      <c r="J105" s="753"/>
      <c r="K105" s="745">
        <f t="shared" si="3"/>
        <v>0</v>
      </c>
    </row>
    <row r="106" spans="1:11" ht="21.95" hidden="1" customHeight="1">
      <c r="A106" s="2572"/>
      <c r="B106" s="2585"/>
      <c r="C106" s="2726" t="s">
        <v>2184</v>
      </c>
      <c r="D106" s="2736"/>
      <c r="F106" s="749"/>
      <c r="G106" s="1419">
        <f>G18*1.4</f>
        <v>0</v>
      </c>
      <c r="H106" s="1419"/>
      <c r="I106" s="1419"/>
      <c r="J106" s="753"/>
      <c r="K106" s="745">
        <f t="shared" si="3"/>
        <v>0</v>
      </c>
    </row>
    <row r="107" spans="1:11" ht="21.95" hidden="1" customHeight="1">
      <c r="A107" s="2572"/>
      <c r="B107" s="2585"/>
      <c r="C107" s="2726" t="s">
        <v>2185</v>
      </c>
      <c r="D107" s="2736"/>
      <c r="G107" s="1419">
        <f>G31*G32*1.25</f>
        <v>0</v>
      </c>
      <c r="H107" s="1419"/>
      <c r="I107" s="1419"/>
      <c r="J107" s="753"/>
      <c r="K107" s="745">
        <f t="shared" si="3"/>
        <v>0</v>
      </c>
    </row>
    <row r="108" spans="1:11" ht="21.95" hidden="1" customHeight="1">
      <c r="A108" s="2572"/>
      <c r="B108" s="2585"/>
      <c r="C108" s="2726" t="s">
        <v>1844</v>
      </c>
      <c r="D108" s="2736"/>
      <c r="E108" s="746"/>
      <c r="F108" s="746"/>
      <c r="G108" s="1419">
        <f>G33</f>
        <v>0</v>
      </c>
      <c r="H108" s="1419"/>
      <c r="I108" s="1419"/>
      <c r="J108" s="753"/>
      <c r="K108" s="745">
        <f t="shared" si="3"/>
        <v>0</v>
      </c>
    </row>
    <row r="109" spans="1:11" ht="21.95" hidden="1" customHeight="1" thickBot="1">
      <c r="A109" s="2572"/>
      <c r="B109" s="2586"/>
      <c r="C109" s="2728" t="s">
        <v>2186</v>
      </c>
      <c r="D109" s="2729"/>
      <c r="E109" s="755"/>
      <c r="F109" s="756"/>
      <c r="G109" s="1438">
        <f>(SUM(G69:G76)+G77*0.17+G78*0.23+G79*0.3+G80)*1.3+G13+(G23+G25)*1.1</f>
        <v>0</v>
      </c>
      <c r="H109" s="1438"/>
      <c r="I109" s="1438"/>
      <c r="J109" s="769"/>
      <c r="K109" s="745">
        <f t="shared" si="3"/>
        <v>0</v>
      </c>
    </row>
    <row r="110" spans="1:11" ht="50.1" customHeight="1" thickTop="1" thickBot="1">
      <c r="A110" s="2573"/>
      <c r="B110" s="2589" t="s">
        <v>1400</v>
      </c>
      <c r="C110" s="2730"/>
      <c r="D110" s="2590"/>
      <c r="E110" s="790"/>
      <c r="F110" s="791"/>
      <c r="G110" s="792"/>
      <c r="H110" s="792"/>
      <c r="I110" s="792"/>
      <c r="J110" s="793"/>
      <c r="K110" s="794">
        <v>1</v>
      </c>
    </row>
    <row r="111" spans="1:11" ht="19.5" thickTop="1"/>
  </sheetData>
  <autoFilter ref="A1:K110" xr:uid="{00000000-0001-0000-1400-000000000000}">
    <filterColumn colId="1" showButton="0"/>
    <filterColumn colId="2" showButton="0"/>
    <filterColumn colId="10">
      <customFilters>
        <customFilter operator="notEqual" val=" "/>
      </customFilters>
    </filterColumn>
  </autoFilter>
  <mergeCells count="50">
    <mergeCell ref="B43:B44"/>
    <mergeCell ref="C43:D43"/>
    <mergeCell ref="C44:D44"/>
    <mergeCell ref="A1:A110"/>
    <mergeCell ref="B1:D1"/>
    <mergeCell ref="B2:B16"/>
    <mergeCell ref="C2:C7"/>
    <mergeCell ref="C8:C13"/>
    <mergeCell ref="C14:C16"/>
    <mergeCell ref="B17:B42"/>
    <mergeCell ref="C17:C19"/>
    <mergeCell ref="C20:D20"/>
    <mergeCell ref="C21:C25"/>
    <mergeCell ref="C26:C29"/>
    <mergeCell ref="C30:D30"/>
    <mergeCell ref="C31:C36"/>
    <mergeCell ref="B45:B82"/>
    <mergeCell ref="C45:C50"/>
    <mergeCell ref="C51:C54"/>
    <mergeCell ref="C55:C64"/>
    <mergeCell ref="C65:C68"/>
    <mergeCell ref="C69:C71"/>
    <mergeCell ref="C72:C76"/>
    <mergeCell ref="C77:C79"/>
    <mergeCell ref="C80:D80"/>
    <mergeCell ref="C81:C82"/>
    <mergeCell ref="C85:D85"/>
    <mergeCell ref="C89:D89"/>
    <mergeCell ref="C37:D37"/>
    <mergeCell ref="C38:C42"/>
    <mergeCell ref="C91:C93"/>
    <mergeCell ref="C86:D86"/>
    <mergeCell ref="C87:D87"/>
    <mergeCell ref="C88:D88"/>
    <mergeCell ref="C90:D90"/>
    <mergeCell ref="C109:D109"/>
    <mergeCell ref="B110:D110"/>
    <mergeCell ref="C94:C96"/>
    <mergeCell ref="C97:C99"/>
    <mergeCell ref="C100:C102"/>
    <mergeCell ref="C103:D103"/>
    <mergeCell ref="B104:B109"/>
    <mergeCell ref="C104:D104"/>
    <mergeCell ref="C105:D105"/>
    <mergeCell ref="C106:D106"/>
    <mergeCell ref="C107:D107"/>
    <mergeCell ref="C108:D108"/>
    <mergeCell ref="B83:B103"/>
    <mergeCell ref="C83:D83"/>
    <mergeCell ref="C84:D84"/>
  </mergeCells>
  <conditionalFormatting sqref="G31:I31">
    <cfRule type="expression" dxfId="69" priority="3">
      <formula>G28&gt;0</formula>
    </cfRule>
  </conditionalFormatting>
  <conditionalFormatting sqref="G99:I102 G104:I106">
    <cfRule type="expression" dxfId="68" priority="1">
      <formula>G99&gt;0</formula>
    </cfRule>
  </conditionalFormatting>
  <conditionalFormatting sqref="H50">
    <cfRule type="expression" dxfId="67" priority="2">
      <formula>H48&gt;0</formula>
    </cfRule>
  </conditionalFormatting>
  <conditionalFormatting sqref="I1">
    <cfRule type="cellIs" dxfId="66" priority="4" operator="lessThan">
      <formula>0</formula>
    </cfRule>
  </conditionalFormatting>
  <conditionalFormatting sqref="I80">
    <cfRule type="expression" dxfId="65" priority="5">
      <formula>I80&gt;0</formula>
    </cfRule>
    <cfRule type="expression" dxfId="64" priority="6">
      <formula>I69&gt;0</formula>
    </cfRule>
  </conditionalFormatting>
  <hyperlinks>
    <hyperlink ref="B1:D1" location="PAINEL!A1" display="TRECHOS" xr:uid="{E3303AAC-D355-4A25-B2A5-2BFF8377210D}"/>
  </hyperlinks>
  <pageMargins left="0.39370078740157477" right="0.59055118110236215" top="0.39370078740157477" bottom="0.59055118110236215" header="0.31496062000000002" footer="0.31496062000000002"/>
  <pageSetup paperSize="9" orientation="portrait" r:id="rId1"/>
  <headerFooter>
    <oddFooter>&amp;C&amp;8Página &amp;P/&amp;N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14AF7-377E-4298-A642-59AD017A55E1}">
  <sheetPr codeName="Planilha31" filterMode="1">
    <tabColor rgb="FF92D050"/>
  </sheetPr>
  <dimension ref="A1:T229"/>
  <sheetViews>
    <sheetView showZeros="0" zoomScaleNormal="100" workbookViewId="0">
      <selection activeCell="C23" sqref="C23"/>
    </sheetView>
  </sheetViews>
  <sheetFormatPr defaultColWidth="9" defaultRowHeight="18.75"/>
  <cols>
    <col min="1" max="1" width="11.375" style="681" customWidth="1"/>
    <col min="2" max="2" width="16.875" style="710" customWidth="1"/>
    <col min="3" max="3" width="35.625" style="710" customWidth="1"/>
    <col min="4" max="4" width="4.125" style="1289" hidden="1" customWidth="1"/>
    <col min="5" max="5" width="7.375" style="710" hidden="1" customWidth="1"/>
    <col min="6" max="7" width="12.625" style="681" customWidth="1"/>
    <col min="8" max="8" width="12.625" style="1511" customWidth="1"/>
    <col min="9" max="9" width="17.375" style="681" customWidth="1"/>
    <col min="10" max="16384" width="9" style="681"/>
  </cols>
  <sheetData>
    <row r="1" spans="1:20" s="673" customFormat="1" ht="60" customHeight="1" thickTop="1" thickBot="1">
      <c r="A1" s="2571" t="s">
        <v>2187</v>
      </c>
      <c r="B1" s="2743" t="s">
        <v>2188</v>
      </c>
      <c r="C1" s="2744"/>
      <c r="D1" s="1439"/>
      <c r="E1" s="1440" t="s">
        <v>1935</v>
      </c>
      <c r="F1" s="669" t="s">
        <v>2189</v>
      </c>
      <c r="G1" s="669"/>
      <c r="H1" s="672" t="s">
        <v>1358</v>
      </c>
      <c r="I1" s="738" t="s">
        <v>1708</v>
      </c>
      <c r="J1" s="739">
        <f>SUBTOTAL(3,I:I)</f>
        <v>32</v>
      </c>
      <c r="K1" s="710"/>
      <c r="L1" s="710"/>
      <c r="M1" s="710"/>
      <c r="N1" s="710"/>
      <c r="O1" s="710"/>
      <c r="P1" s="710"/>
      <c r="Q1" s="710"/>
      <c r="R1" s="710"/>
      <c r="S1" s="710"/>
      <c r="T1" s="710"/>
    </row>
    <row r="2" spans="1:20" s="746" customFormat="1" ht="21.95" hidden="1" customHeight="1" thickTop="1" thickBot="1">
      <c r="A2" s="2695"/>
      <c r="B2" s="2745" t="s">
        <v>2190</v>
      </c>
      <c r="C2" s="2746"/>
      <c r="D2" s="877"/>
      <c r="E2" s="1355"/>
      <c r="F2" s="1441"/>
      <c r="G2" s="1441"/>
      <c r="H2" s="881">
        <f>ROUND(SUM(F2:G2),2)</f>
        <v>0</v>
      </c>
      <c r="I2" s="745">
        <f>SUM(F2:H2)</f>
        <v>0</v>
      </c>
    </row>
    <row r="3" spans="1:20" s="746" customFormat="1" ht="21.95" hidden="1" customHeight="1">
      <c r="A3" s="2695"/>
      <c r="B3" s="2581" t="s">
        <v>2191</v>
      </c>
      <c r="C3" s="1089" t="s">
        <v>2192</v>
      </c>
      <c r="D3" s="1279"/>
      <c r="E3" s="1442"/>
      <c r="F3" s="1443"/>
      <c r="G3" s="1443"/>
      <c r="H3" s="959"/>
      <c r="I3" s="780">
        <f>COUNTA(F3:G3)-COUNTIF(F3:G3,0)</f>
        <v>0</v>
      </c>
    </row>
    <row r="4" spans="1:20" s="746" customFormat="1" ht="21.95" hidden="1" customHeight="1" thickBot="1">
      <c r="A4" s="2695"/>
      <c r="B4" s="2583"/>
      <c r="C4" s="1089" t="s">
        <v>2193</v>
      </c>
      <c r="D4" s="1279"/>
      <c r="E4" s="1442"/>
      <c r="F4" s="1286"/>
      <c r="G4" s="1286"/>
      <c r="H4" s="1444"/>
      <c r="I4" s="780">
        <f>COUNTA(F4:G4)-COUNTIF(F4:G4,0)</f>
        <v>0</v>
      </c>
    </row>
    <row r="5" spans="1:20" s="746" customFormat="1" ht="21.95" customHeight="1" thickTop="1" thickBot="1">
      <c r="A5" s="2695"/>
      <c r="B5" s="2596" t="s">
        <v>2194</v>
      </c>
      <c r="C5" s="2597"/>
      <c r="D5" s="770"/>
      <c r="E5" s="1358"/>
      <c r="F5" s="1445">
        <v>7.4404444444444433</v>
      </c>
      <c r="G5" s="1445"/>
      <c r="H5" s="1120"/>
      <c r="I5" s="745">
        <f>SUM(F5:H5)</f>
        <v>7.4404444444444433</v>
      </c>
    </row>
    <row r="6" spans="1:20" s="746" customFormat="1" ht="21.95" hidden="1" customHeight="1" thickBot="1">
      <c r="A6" s="2695"/>
      <c r="B6" s="2596" t="s">
        <v>2195</v>
      </c>
      <c r="C6" s="2597"/>
      <c r="D6" s="770"/>
      <c r="E6" s="1358"/>
      <c r="F6" s="1446">
        <f>+F5*F2</f>
        <v>0</v>
      </c>
      <c r="G6" s="1446"/>
      <c r="H6" s="915">
        <f>ROUND(SUM(F6:G6),2)</f>
        <v>0</v>
      </c>
      <c r="I6" s="745">
        <f>SUM(F6:H6)</f>
        <v>0</v>
      </c>
    </row>
    <row r="7" spans="1:20" s="746" customFormat="1" ht="21.95" customHeight="1" thickBot="1">
      <c r="A7" s="2695"/>
      <c r="B7" s="2596" t="s">
        <v>2196</v>
      </c>
      <c r="C7" s="2597"/>
      <c r="D7" s="759"/>
      <c r="E7" s="1447" t="s">
        <v>2197</v>
      </c>
      <c r="F7" s="1276" t="s">
        <v>2198</v>
      </c>
      <c r="G7" s="1276"/>
      <c r="H7" s="1120"/>
      <c r="I7" s="780">
        <f>COUNTA(F7:G7)-COUNTIF(F7:G7,0)</f>
        <v>1</v>
      </c>
    </row>
    <row r="8" spans="1:20" ht="21.95" hidden="1" customHeight="1">
      <c r="A8" s="2695"/>
      <c r="B8" s="2581" t="s">
        <v>2199</v>
      </c>
      <c r="C8" s="1448" t="s">
        <v>2200</v>
      </c>
      <c r="D8" s="1449"/>
      <c r="E8" s="1056"/>
      <c r="F8" s="1450"/>
      <c r="G8" s="1450"/>
      <c r="H8" s="959"/>
      <c r="I8" s="745">
        <f t="shared" ref="I8:I28" si="0">SUM(F8:H8)</f>
        <v>0</v>
      </c>
    </row>
    <row r="9" spans="1:20" s="1369" customFormat="1" ht="21.95" hidden="1" customHeight="1">
      <c r="A9" s="2695"/>
      <c r="B9" s="2582"/>
      <c r="C9" s="1331" t="s">
        <v>2201</v>
      </c>
      <c r="D9" s="1332"/>
      <c r="E9" s="1451"/>
      <c r="F9" s="1452"/>
      <c r="G9" s="1452"/>
      <c r="H9" s="1444"/>
      <c r="I9" s="745">
        <f t="shared" si="0"/>
        <v>0</v>
      </c>
    </row>
    <row r="10" spans="1:20" s="746" customFormat="1" ht="21.95" hidden="1" customHeight="1">
      <c r="A10" s="2695"/>
      <c r="B10" s="2582"/>
      <c r="C10" s="1387" t="s">
        <v>2202</v>
      </c>
      <c r="D10" s="748"/>
      <c r="E10" s="749"/>
      <c r="F10" s="922">
        <f>F8*F$6</f>
        <v>0</v>
      </c>
      <c r="G10" s="922"/>
      <c r="H10" s="1266">
        <f>ROUND(SUM(F10:G10),2)</f>
        <v>0</v>
      </c>
      <c r="I10" s="745">
        <f t="shared" si="0"/>
        <v>0</v>
      </c>
    </row>
    <row r="11" spans="1:20" s="746" customFormat="1" ht="21.95" hidden="1" customHeight="1" thickBot="1">
      <c r="A11" s="2695"/>
      <c r="B11" s="2583"/>
      <c r="C11" s="936" t="s">
        <v>2203</v>
      </c>
      <c r="D11" s="748"/>
      <c r="E11" s="749"/>
      <c r="F11" s="901">
        <f>F10*F9/100</f>
        <v>0</v>
      </c>
      <c r="G11" s="922"/>
      <c r="H11" s="912">
        <f>ROUND(SUM(F11:G11),2)</f>
        <v>0</v>
      </c>
      <c r="I11" s="745">
        <f t="shared" si="0"/>
        <v>0</v>
      </c>
      <c r="J11" s="764"/>
    </row>
    <row r="12" spans="1:20" s="746" customFormat="1" ht="21.95" hidden="1" customHeight="1">
      <c r="A12" s="2695"/>
      <c r="B12" s="2582" t="s">
        <v>2204</v>
      </c>
      <c r="C12" s="1453" t="s">
        <v>2200</v>
      </c>
      <c r="D12" s="1449"/>
      <c r="E12" s="1056"/>
      <c r="F12" s="1454"/>
      <c r="G12" s="1450"/>
      <c r="H12" s="962"/>
      <c r="I12" s="745">
        <f t="shared" si="0"/>
        <v>0</v>
      </c>
    </row>
    <row r="13" spans="1:20" s="1369" customFormat="1" ht="21.95" customHeight="1">
      <c r="A13" s="2695"/>
      <c r="B13" s="2582"/>
      <c r="C13" s="1331" t="s">
        <v>2201</v>
      </c>
      <c r="D13" s="1332"/>
      <c r="E13" s="1451"/>
      <c r="F13" s="1452">
        <v>3</v>
      </c>
      <c r="G13" s="1452"/>
      <c r="H13" s="1444"/>
      <c r="I13" s="745">
        <f t="shared" si="0"/>
        <v>3</v>
      </c>
    </row>
    <row r="14" spans="1:20" s="746" customFormat="1" ht="21.95" customHeight="1">
      <c r="A14" s="2695"/>
      <c r="B14" s="2582"/>
      <c r="C14" s="1387" t="s">
        <v>2205</v>
      </c>
      <c r="D14" s="748"/>
      <c r="E14" s="749"/>
      <c r="F14" s="922">
        <v>8620</v>
      </c>
      <c r="G14" s="922"/>
      <c r="H14" s="1266">
        <f>ROUND(SUM(F14:G14),2)</f>
        <v>8620</v>
      </c>
      <c r="I14" s="745">
        <f t="shared" si="0"/>
        <v>17240</v>
      </c>
    </row>
    <row r="15" spans="1:20" s="746" customFormat="1" ht="21.95" customHeight="1">
      <c r="A15" s="2695"/>
      <c r="B15" s="2582"/>
      <c r="C15" s="1089" t="s">
        <v>2206</v>
      </c>
      <c r="D15" s="748"/>
      <c r="E15" s="749"/>
      <c r="F15" s="922">
        <f>F14*F13/100</f>
        <v>258.60000000000002</v>
      </c>
      <c r="G15" s="922"/>
      <c r="H15" s="910">
        <f>ROUND(SUM(F15:G15),2)</f>
        <v>258.60000000000002</v>
      </c>
      <c r="I15" s="745">
        <f t="shared" si="0"/>
        <v>517.20000000000005</v>
      </c>
      <c r="J15" s="764"/>
    </row>
    <row r="16" spans="1:20" s="746" customFormat="1" ht="21.95" hidden="1" customHeight="1">
      <c r="A16" s="2695"/>
      <c r="B16" s="2581" t="s">
        <v>2207</v>
      </c>
      <c r="C16" s="1448" t="s">
        <v>2200</v>
      </c>
      <c r="D16" s="1449"/>
      <c r="E16" s="1056"/>
      <c r="F16" s="1455"/>
      <c r="G16" s="1455"/>
      <c r="H16" s="1456"/>
      <c r="I16" s="745">
        <f t="shared" si="0"/>
        <v>0</v>
      </c>
    </row>
    <row r="17" spans="1:9" s="1369" customFormat="1" ht="21.95" customHeight="1">
      <c r="A17" s="2695"/>
      <c r="B17" s="2747"/>
      <c r="C17" s="1331" t="s">
        <v>2201</v>
      </c>
      <c r="D17" s="1332"/>
      <c r="E17" s="1451"/>
      <c r="F17" s="1457">
        <f>+F20+F22</f>
        <v>21</v>
      </c>
      <c r="G17" s="1457"/>
      <c r="H17" s="1458"/>
      <c r="I17" s="745">
        <f t="shared" si="0"/>
        <v>21</v>
      </c>
    </row>
    <row r="18" spans="1:9" s="746" customFormat="1" ht="21.95" customHeight="1">
      <c r="A18" s="2695"/>
      <c r="B18" s="2747"/>
      <c r="C18" s="1387" t="s">
        <v>2208</v>
      </c>
      <c r="D18" s="748"/>
      <c r="E18" s="749"/>
      <c r="F18" s="908">
        <v>17240</v>
      </c>
      <c r="G18" s="908"/>
      <c r="H18" s="1459">
        <f>ROUND(SUM(F18:G18),2)</f>
        <v>17240</v>
      </c>
      <c r="I18" s="745">
        <f t="shared" si="0"/>
        <v>34480</v>
      </c>
    </row>
    <row r="19" spans="1:9" s="746" customFormat="1" ht="21.95" customHeight="1">
      <c r="A19" s="2695"/>
      <c r="B19" s="2747"/>
      <c r="C19" s="1089" t="s">
        <v>2209</v>
      </c>
      <c r="D19" s="781"/>
      <c r="E19" s="782"/>
      <c r="F19" s="1460">
        <f>F18*F17/100</f>
        <v>3620.4</v>
      </c>
      <c r="G19" s="1460"/>
      <c r="H19" s="1461">
        <f>ROUND(SUM(F19:G19),2)</f>
        <v>3620.4</v>
      </c>
      <c r="I19" s="745">
        <f t="shared" si="0"/>
        <v>7240.8</v>
      </c>
    </row>
    <row r="20" spans="1:9" s="746" customFormat="1" ht="32.1" customHeight="1">
      <c r="A20" s="2695"/>
      <c r="B20" s="2747"/>
      <c r="C20" s="1330" t="s">
        <v>2210</v>
      </c>
      <c r="D20" s="748"/>
      <c r="E20" s="749"/>
      <c r="F20" s="1462">
        <v>18</v>
      </c>
      <c r="G20" s="1462"/>
      <c r="H20" s="1459"/>
      <c r="I20" s="745">
        <f t="shared" si="0"/>
        <v>18</v>
      </c>
    </row>
    <row r="21" spans="1:9" s="746" customFormat="1" ht="21.95" customHeight="1">
      <c r="A21" s="2695"/>
      <c r="B21" s="2747"/>
      <c r="C21" s="1089" t="s">
        <v>2211</v>
      </c>
      <c r="D21" s="781"/>
      <c r="E21" s="782"/>
      <c r="F21" s="1460">
        <f>F18*F20/100</f>
        <v>3103.2</v>
      </c>
      <c r="G21" s="1460"/>
      <c r="H21" s="1463">
        <f>ROUND(SUM(F21:G21),2)</f>
        <v>3103.2</v>
      </c>
      <c r="I21" s="745">
        <f t="shared" si="0"/>
        <v>6206.4</v>
      </c>
    </row>
    <row r="22" spans="1:9" s="746" customFormat="1" ht="32.1" customHeight="1">
      <c r="A22" s="2695"/>
      <c r="B22" s="2747"/>
      <c r="C22" s="1330" t="s">
        <v>2212</v>
      </c>
      <c r="D22" s="748"/>
      <c r="E22" s="749"/>
      <c r="F22" s="1462">
        <v>3</v>
      </c>
      <c r="G22" s="1462"/>
      <c r="H22" s="1459"/>
      <c r="I22" s="745">
        <f t="shared" si="0"/>
        <v>3</v>
      </c>
    </row>
    <row r="23" spans="1:9" s="746" customFormat="1" ht="21.95" customHeight="1" thickBot="1">
      <c r="A23" s="2695"/>
      <c r="B23" s="2747"/>
      <c r="C23" s="747" t="s">
        <v>2213</v>
      </c>
      <c r="D23" s="748"/>
      <c r="E23" s="756"/>
      <c r="F23" s="901">
        <f>F22*F18/100</f>
        <v>517.20000000000005</v>
      </c>
      <c r="G23" s="901"/>
      <c r="H23" s="903">
        <f>ROUND(SUM(F23:G23),2)</f>
        <v>517.20000000000005</v>
      </c>
      <c r="I23" s="745">
        <f t="shared" si="0"/>
        <v>1034.4000000000001</v>
      </c>
    </row>
    <row r="24" spans="1:9" s="746" customFormat="1" ht="21.95" hidden="1" customHeight="1">
      <c r="A24" s="2695"/>
      <c r="B24" s="2582" t="s">
        <v>2214</v>
      </c>
      <c r="C24" s="740" t="s">
        <v>1483</v>
      </c>
      <c r="D24" s="759"/>
      <c r="E24" s="1464" t="s">
        <v>2215</v>
      </c>
      <c r="F24" s="1276"/>
      <c r="G24" s="1276"/>
      <c r="H24" s="1266">
        <f>ROUND(SUM(F24:G24),2)</f>
        <v>0</v>
      </c>
      <c r="I24" s="745">
        <f t="shared" si="0"/>
        <v>0</v>
      </c>
    </row>
    <row r="25" spans="1:9" s="746" customFormat="1" ht="21.95" hidden="1" customHeight="1">
      <c r="A25" s="2695"/>
      <c r="B25" s="2582"/>
      <c r="C25" s="747" t="s">
        <v>1477</v>
      </c>
      <c r="D25" s="748"/>
      <c r="E25" s="749"/>
      <c r="F25" s="1465"/>
      <c r="G25" s="1465"/>
      <c r="H25" s="1266"/>
      <c r="I25" s="745">
        <f t="shared" si="0"/>
        <v>0</v>
      </c>
    </row>
    <row r="26" spans="1:9" s="746" customFormat="1" ht="21.95" hidden="1" customHeight="1">
      <c r="A26" s="2695"/>
      <c r="B26" s="2582"/>
      <c r="C26" s="1387" t="s">
        <v>2216</v>
      </c>
      <c r="D26" s="781"/>
      <c r="E26" s="782"/>
      <c r="F26" s="1466">
        <f>F25*F24</f>
        <v>0</v>
      </c>
      <c r="G26" s="1466"/>
      <c r="H26" s="1467">
        <f>ROUND(SUM(F26:G26),2)</f>
        <v>0</v>
      </c>
      <c r="I26" s="745">
        <f t="shared" si="0"/>
        <v>0</v>
      </c>
    </row>
    <row r="27" spans="1:9" s="1369" customFormat="1" ht="21.95" hidden="1" customHeight="1">
      <c r="A27" s="2695"/>
      <c r="B27" s="2582"/>
      <c r="C27" s="1330" t="s">
        <v>2217</v>
      </c>
      <c r="D27" s="1468"/>
      <c r="E27" s="1469"/>
      <c r="F27" s="1470"/>
      <c r="G27" s="1470"/>
      <c r="H27" s="1266"/>
      <c r="I27" s="745">
        <f t="shared" si="0"/>
        <v>0</v>
      </c>
    </row>
    <row r="28" spans="1:9" s="746" customFormat="1" ht="21.95" hidden="1" customHeight="1">
      <c r="A28" s="2695"/>
      <c r="B28" s="2582"/>
      <c r="C28" s="1089" t="s">
        <v>2218</v>
      </c>
      <c r="D28" s="781"/>
      <c r="E28" s="782"/>
      <c r="F28" s="1466">
        <f>F26*F27/100</f>
        <v>0</v>
      </c>
      <c r="G28" s="1466"/>
      <c r="H28" s="1461">
        <f>ROUND(SUM(F28:G28),2)</f>
        <v>0</v>
      </c>
      <c r="I28" s="745">
        <f t="shared" si="0"/>
        <v>0</v>
      </c>
    </row>
    <row r="29" spans="1:9" s="746" customFormat="1" ht="32.1" hidden="1" customHeight="1">
      <c r="A29" s="2695"/>
      <c r="B29" s="2582"/>
      <c r="C29" s="1089" t="s">
        <v>2219</v>
      </c>
      <c r="D29" s="1423"/>
      <c r="E29" s="1424"/>
      <c r="F29" s="1471"/>
      <c r="G29" s="1471"/>
      <c r="H29" s="1472"/>
      <c r="I29" s="780">
        <f>COUNTA(F29:G29)-COUNTIF(F29:G29,0)</f>
        <v>0</v>
      </c>
    </row>
    <row r="30" spans="1:9" s="1369" customFormat="1" ht="21.95" hidden="1" customHeight="1">
      <c r="A30" s="2695"/>
      <c r="B30" s="2582"/>
      <c r="C30" s="1330" t="s">
        <v>2220</v>
      </c>
      <c r="D30" s="1473"/>
      <c r="E30" s="1451"/>
      <c r="F30" s="1474"/>
      <c r="G30" s="1474"/>
      <c r="H30" s="1266"/>
      <c r="I30" s="745">
        <f t="shared" ref="I30:I48" si="1">SUM(F30:H30)</f>
        <v>0</v>
      </c>
    </row>
    <row r="31" spans="1:9" s="746" customFormat="1" ht="21.95" hidden="1" customHeight="1">
      <c r="A31" s="2695"/>
      <c r="B31" s="2582"/>
      <c r="C31" s="1089" t="s">
        <v>2221</v>
      </c>
      <c r="D31" s="1388"/>
      <c r="E31" s="749"/>
      <c r="F31" s="922">
        <f>F30*F26/100</f>
        <v>0</v>
      </c>
      <c r="G31" s="922"/>
      <c r="H31" s="1266">
        <f t="shared" ref="H31:H44" si="2">ROUND(SUM(F31:G31),2)</f>
        <v>0</v>
      </c>
      <c r="I31" s="745">
        <f t="shared" si="1"/>
        <v>0</v>
      </c>
    </row>
    <row r="32" spans="1:9" s="746" customFormat="1" ht="21.95" hidden="1" customHeight="1">
      <c r="A32" s="2695"/>
      <c r="B32" s="2582"/>
      <c r="C32" s="1089" t="s">
        <v>2222</v>
      </c>
      <c r="D32" s="1388"/>
      <c r="E32" s="749"/>
      <c r="F32" s="922">
        <f>IF(F29="MAN",0,F31)</f>
        <v>0</v>
      </c>
      <c r="G32" s="922"/>
      <c r="H32" s="910">
        <f t="shared" si="2"/>
        <v>0</v>
      </c>
      <c r="I32" s="745">
        <f t="shared" si="1"/>
        <v>0</v>
      </c>
    </row>
    <row r="33" spans="1:9" s="746" customFormat="1" ht="21.95" hidden="1" customHeight="1">
      <c r="A33" s="2695"/>
      <c r="B33" s="2582"/>
      <c r="C33" s="1089" t="s">
        <v>2223</v>
      </c>
      <c r="D33" s="1427"/>
      <c r="E33" s="782"/>
      <c r="F33" s="1466">
        <f>IF(F29="MAN",F31,0)</f>
        <v>0</v>
      </c>
      <c r="G33" s="1466"/>
      <c r="H33" s="1461">
        <f t="shared" si="2"/>
        <v>0</v>
      </c>
      <c r="I33" s="745">
        <f t="shared" si="1"/>
        <v>0</v>
      </c>
    </row>
    <row r="34" spans="1:9" s="1369" customFormat="1" ht="21.95" hidden="1" customHeight="1">
      <c r="A34" s="2695"/>
      <c r="B34" s="2582"/>
      <c r="C34" s="1475" t="s">
        <v>2224</v>
      </c>
      <c r="D34" s="1473"/>
      <c r="E34" s="1451"/>
      <c r="F34" s="1474"/>
      <c r="G34" s="1474"/>
      <c r="H34" s="1266">
        <f t="shared" si="2"/>
        <v>0</v>
      </c>
      <c r="I34" s="745">
        <f t="shared" si="1"/>
        <v>0</v>
      </c>
    </row>
    <row r="35" spans="1:9" s="746" customFormat="1" ht="21.95" hidden="1" customHeight="1">
      <c r="A35" s="2695"/>
      <c r="B35" s="2582"/>
      <c r="C35" s="1089" t="s">
        <v>2225</v>
      </c>
      <c r="D35" s="1388"/>
      <c r="E35" s="749"/>
      <c r="F35" s="922">
        <f>F34*F26/100</f>
        <v>0</v>
      </c>
      <c r="G35" s="922"/>
      <c r="H35" s="1266">
        <f t="shared" si="2"/>
        <v>0</v>
      </c>
      <c r="I35" s="745">
        <f t="shared" si="1"/>
        <v>0</v>
      </c>
    </row>
    <row r="36" spans="1:9" s="746" customFormat="1" ht="21.95" hidden="1" customHeight="1">
      <c r="A36" s="2695"/>
      <c r="B36" s="2582"/>
      <c r="C36" s="1453" t="s">
        <v>2226</v>
      </c>
      <c r="D36" s="1388"/>
      <c r="E36" s="749"/>
      <c r="F36" s="922">
        <f>IF(F29="MAN",0,F35)</f>
        <v>0</v>
      </c>
      <c r="G36" s="922"/>
      <c r="H36" s="910">
        <f t="shared" si="2"/>
        <v>0</v>
      </c>
      <c r="I36" s="745">
        <f t="shared" si="1"/>
        <v>0</v>
      </c>
    </row>
    <row r="37" spans="1:9" s="746" customFormat="1" ht="21.95" hidden="1" customHeight="1">
      <c r="A37" s="2695"/>
      <c r="B37" s="2582"/>
      <c r="C37" s="1453" t="s">
        <v>2227</v>
      </c>
      <c r="D37" s="1427"/>
      <c r="E37" s="782"/>
      <c r="F37" s="1466">
        <f>IF(F29="MAN",F35,0)</f>
        <v>0</v>
      </c>
      <c r="G37" s="1466"/>
      <c r="H37" s="1461">
        <f t="shared" si="2"/>
        <v>0</v>
      </c>
      <c r="I37" s="745">
        <f t="shared" si="1"/>
        <v>0</v>
      </c>
    </row>
    <row r="38" spans="1:9" s="746" customFormat="1" ht="21.95" hidden="1" customHeight="1">
      <c r="A38" s="2695"/>
      <c r="B38" s="2582"/>
      <c r="C38" s="1330" t="s">
        <v>2228</v>
      </c>
      <c r="D38" s="1388"/>
      <c r="E38" s="749"/>
      <c r="F38" s="1474"/>
      <c r="G38" s="1474"/>
      <c r="H38" s="1266">
        <f t="shared" si="2"/>
        <v>0</v>
      </c>
      <c r="I38" s="745">
        <f t="shared" si="1"/>
        <v>0</v>
      </c>
    </row>
    <row r="39" spans="1:9" s="746" customFormat="1" ht="21.95" hidden="1" customHeight="1">
      <c r="A39" s="2695"/>
      <c r="B39" s="2582"/>
      <c r="C39" s="1089" t="s">
        <v>2211</v>
      </c>
      <c r="D39" s="1388"/>
      <c r="E39" s="749"/>
      <c r="F39" s="908">
        <f>F26*F38/100</f>
        <v>0</v>
      </c>
      <c r="G39" s="908"/>
      <c r="H39" s="1266">
        <f t="shared" si="2"/>
        <v>0</v>
      </c>
      <c r="I39" s="745">
        <f t="shared" si="1"/>
        <v>0</v>
      </c>
    </row>
    <row r="40" spans="1:9" s="746" customFormat="1" ht="21.95" hidden="1" customHeight="1">
      <c r="A40" s="2695"/>
      <c r="B40" s="2582"/>
      <c r="C40" s="1089" t="s">
        <v>2229</v>
      </c>
      <c r="D40" s="1388"/>
      <c r="E40" s="749"/>
      <c r="F40" s="922">
        <f>IF(F29="MAN",0,F39)</f>
        <v>0</v>
      </c>
      <c r="G40" s="922"/>
      <c r="H40" s="910">
        <f t="shared" si="2"/>
        <v>0</v>
      </c>
      <c r="I40" s="745">
        <f t="shared" si="1"/>
        <v>0</v>
      </c>
    </row>
    <row r="41" spans="1:9" s="746" customFormat="1" ht="21.95" hidden="1" customHeight="1">
      <c r="A41" s="2695"/>
      <c r="B41" s="2582"/>
      <c r="C41" s="1453" t="s">
        <v>2230</v>
      </c>
      <c r="D41" s="1427"/>
      <c r="E41" s="782"/>
      <c r="F41" s="1466">
        <f>IF(F29="MAN",F39,0)</f>
        <v>0</v>
      </c>
      <c r="G41" s="1466"/>
      <c r="H41" s="1461">
        <f t="shared" si="2"/>
        <v>0</v>
      </c>
      <c r="I41" s="745">
        <f t="shared" si="1"/>
        <v>0</v>
      </c>
    </row>
    <row r="42" spans="1:9" s="746" customFormat="1" ht="32.1" hidden="1" customHeight="1">
      <c r="A42" s="2695"/>
      <c r="B42" s="2582"/>
      <c r="C42" s="1330" t="s">
        <v>2212</v>
      </c>
      <c r="D42" s="1388"/>
      <c r="E42" s="749"/>
      <c r="F42" s="1474"/>
      <c r="G42" s="1474"/>
      <c r="H42" s="1266">
        <f t="shared" si="2"/>
        <v>0</v>
      </c>
      <c r="I42" s="745">
        <f t="shared" si="1"/>
        <v>0</v>
      </c>
    </row>
    <row r="43" spans="1:9" s="746" customFormat="1" ht="21.95" hidden="1" customHeight="1" thickBot="1">
      <c r="A43" s="2695"/>
      <c r="B43" s="2583"/>
      <c r="C43" s="747" t="s">
        <v>2213</v>
      </c>
      <c r="D43" s="748"/>
      <c r="E43" s="749"/>
      <c r="F43" s="901">
        <f>F42*F26/100</f>
        <v>0</v>
      </c>
      <c r="G43" s="901"/>
      <c r="H43" s="903">
        <f t="shared" si="2"/>
        <v>0</v>
      </c>
      <c r="I43" s="745">
        <f t="shared" si="1"/>
        <v>0</v>
      </c>
    </row>
    <row r="44" spans="1:9" s="746" customFormat="1" ht="21.95" hidden="1" customHeight="1">
      <c r="A44" s="2695"/>
      <c r="B44" s="2581" t="s">
        <v>2231</v>
      </c>
      <c r="C44" s="740" t="s">
        <v>1483</v>
      </c>
      <c r="D44" s="759"/>
      <c r="E44" s="1464" t="s">
        <v>2215</v>
      </c>
      <c r="F44" s="1276"/>
      <c r="G44" s="1276"/>
      <c r="H44" s="1266">
        <f t="shared" si="2"/>
        <v>0</v>
      </c>
      <c r="I44" s="745">
        <f t="shared" si="1"/>
        <v>0</v>
      </c>
    </row>
    <row r="45" spans="1:9" s="746" customFormat="1" ht="21.95" hidden="1" customHeight="1">
      <c r="A45" s="2695"/>
      <c r="B45" s="2582"/>
      <c r="C45" s="747" t="s">
        <v>1477</v>
      </c>
      <c r="D45" s="748"/>
      <c r="E45" s="749"/>
      <c r="F45" s="1465"/>
      <c r="G45" s="1465"/>
      <c r="H45" s="1476"/>
      <c r="I45" s="745">
        <f t="shared" si="1"/>
        <v>0</v>
      </c>
    </row>
    <row r="46" spans="1:9" s="1369" customFormat="1" ht="21.95" hidden="1" customHeight="1">
      <c r="A46" s="2695"/>
      <c r="B46" s="2582"/>
      <c r="C46" s="1331" t="s">
        <v>2201</v>
      </c>
      <c r="D46" s="1468"/>
      <c r="E46" s="1469"/>
      <c r="F46" s="1474"/>
      <c r="G46" s="1474"/>
      <c r="H46" s="1444"/>
      <c r="I46" s="745">
        <f t="shared" si="1"/>
        <v>0</v>
      </c>
    </row>
    <row r="47" spans="1:9" ht="21.95" hidden="1" customHeight="1">
      <c r="A47" s="2695"/>
      <c r="B47" s="2582"/>
      <c r="C47" s="1387" t="s">
        <v>2232</v>
      </c>
      <c r="D47" s="748"/>
      <c r="E47" s="749"/>
      <c r="F47" s="922">
        <f>F45*F44</f>
        <v>0</v>
      </c>
      <c r="G47" s="922"/>
      <c r="H47" s="1266">
        <f>ROUND(SUM(F47:G47),2)</f>
        <v>0</v>
      </c>
      <c r="I47" s="745">
        <f t="shared" si="1"/>
        <v>0</v>
      </c>
    </row>
    <row r="48" spans="1:9" ht="21.95" hidden="1" customHeight="1">
      <c r="A48" s="2695"/>
      <c r="B48" s="2582"/>
      <c r="C48" s="1089" t="s">
        <v>2233</v>
      </c>
      <c r="D48" s="748"/>
      <c r="E48" s="749"/>
      <c r="F48" s="922">
        <f>F47*F46/100</f>
        <v>0</v>
      </c>
      <c r="G48" s="922"/>
      <c r="H48" s="910">
        <f>ROUND(SUM(F48:G48),2)</f>
        <v>0</v>
      </c>
      <c r="I48" s="745">
        <f t="shared" si="1"/>
        <v>0</v>
      </c>
    </row>
    <row r="49" spans="1:9" ht="21.95" hidden="1" customHeight="1" thickBot="1">
      <c r="A49" s="2695"/>
      <c r="B49" s="2583"/>
      <c r="C49" s="936" t="s">
        <v>2234</v>
      </c>
      <c r="D49" s="748"/>
      <c r="E49" s="749"/>
      <c r="F49" s="922"/>
      <c r="G49" s="922"/>
      <c r="H49" s="1477"/>
      <c r="I49" s="745"/>
    </row>
    <row r="50" spans="1:9" ht="21.95" hidden="1" customHeight="1">
      <c r="A50" s="2695"/>
      <c r="B50" s="2581" t="s">
        <v>2235</v>
      </c>
      <c r="C50" s="740" t="s">
        <v>1483</v>
      </c>
      <c r="D50" s="759"/>
      <c r="E50" s="1464" t="s">
        <v>2215</v>
      </c>
      <c r="F50" s="1276"/>
      <c r="G50" s="1276"/>
      <c r="H50" s="1266">
        <f>ROUND(SUM(F50:G50),2)</f>
        <v>0</v>
      </c>
      <c r="I50" s="745">
        <f t="shared" ref="I50:I55" si="3">SUM(F50:H50)</f>
        <v>0</v>
      </c>
    </row>
    <row r="51" spans="1:9" ht="21.95" hidden="1" customHeight="1">
      <c r="A51" s="2695"/>
      <c r="B51" s="2582"/>
      <c r="C51" s="747" t="s">
        <v>1477</v>
      </c>
      <c r="D51" s="748"/>
      <c r="E51" s="749"/>
      <c r="F51" s="1465"/>
      <c r="G51" s="1465"/>
      <c r="H51" s="1266"/>
      <c r="I51" s="745">
        <f t="shared" si="3"/>
        <v>0</v>
      </c>
    </row>
    <row r="52" spans="1:9" s="1369" customFormat="1" ht="21.95" hidden="1" customHeight="1">
      <c r="A52" s="2695"/>
      <c r="B52" s="2582"/>
      <c r="C52" s="1331" t="s">
        <v>2201</v>
      </c>
      <c r="D52" s="1468"/>
      <c r="E52" s="1451"/>
      <c r="F52" s="1474"/>
      <c r="G52" s="1474"/>
      <c r="H52" s="1478"/>
      <c r="I52" s="745">
        <f t="shared" si="3"/>
        <v>0</v>
      </c>
    </row>
    <row r="53" spans="1:9" ht="21.95" hidden="1" customHeight="1">
      <c r="A53" s="2695"/>
      <c r="B53" s="2582"/>
      <c r="C53" s="1387" t="s">
        <v>2236</v>
      </c>
      <c r="D53" s="748"/>
      <c r="E53" s="749"/>
      <c r="F53" s="922">
        <f>F51*F50</f>
        <v>0</v>
      </c>
      <c r="G53" s="922"/>
      <c r="H53" s="1266">
        <f>ROUND(SUM(F53:G53),2)</f>
        <v>0</v>
      </c>
      <c r="I53" s="745">
        <f t="shared" si="3"/>
        <v>0</v>
      </c>
    </row>
    <row r="54" spans="1:9" ht="21.95" hidden="1" customHeight="1">
      <c r="A54" s="2695"/>
      <c r="B54" s="2582"/>
      <c r="C54" s="1089" t="s">
        <v>2237</v>
      </c>
      <c r="D54" s="748"/>
      <c r="E54" s="749"/>
      <c r="F54" s="922">
        <f>F53*F52/100</f>
        <v>0</v>
      </c>
      <c r="G54" s="922"/>
      <c r="H54" s="910">
        <f>ROUND(SUM(F54:G54),2)</f>
        <v>0</v>
      </c>
      <c r="I54" s="745">
        <f t="shared" si="3"/>
        <v>0</v>
      </c>
    </row>
    <row r="55" spans="1:9" ht="21.95" hidden="1" customHeight="1" thickBot="1">
      <c r="A55" s="2695"/>
      <c r="B55" s="2583"/>
      <c r="C55" s="936" t="s">
        <v>2238</v>
      </c>
      <c r="D55" s="755"/>
      <c r="E55" s="756"/>
      <c r="F55" s="1479"/>
      <c r="G55" s="1479"/>
      <c r="H55" s="1477"/>
      <c r="I55" s="745">
        <f t="shared" si="3"/>
        <v>0</v>
      </c>
    </row>
    <row r="56" spans="1:9" ht="21.95" hidden="1" customHeight="1">
      <c r="A56" s="2695"/>
      <c r="B56" s="2581" t="s">
        <v>2239</v>
      </c>
      <c r="C56" s="1480" t="s">
        <v>2240</v>
      </c>
      <c r="D56" s="748"/>
      <c r="E56" s="749"/>
      <c r="F56" s="922">
        <f>F10+F14+F18+F26+F47+F53</f>
        <v>25860</v>
      </c>
      <c r="G56" s="922"/>
      <c r="H56" s="910">
        <f>ROUND(SUM(F56:G56),2)</f>
        <v>25860</v>
      </c>
      <c r="I56" s="745"/>
    </row>
    <row r="57" spans="1:9" ht="21.95" hidden="1" customHeight="1">
      <c r="A57" s="2695"/>
      <c r="B57" s="2582"/>
      <c r="C57" s="1481" t="s">
        <v>2241</v>
      </c>
      <c r="D57" s="781"/>
      <c r="E57" s="782"/>
      <c r="F57" s="1482" t="e">
        <f>IF(F56=0,0,F56/F6)</f>
        <v>#DIV/0!</v>
      </c>
      <c r="G57" s="1482"/>
      <c r="H57" s="1483" t="e">
        <f>IF(H56=0,0,H56/H6)</f>
        <v>#DIV/0!</v>
      </c>
      <c r="I57" s="745"/>
    </row>
    <row r="58" spans="1:9" ht="21.95" hidden="1" customHeight="1">
      <c r="A58" s="2695"/>
      <c r="B58" s="2582"/>
      <c r="C58" s="1481" t="s">
        <v>2242</v>
      </c>
      <c r="D58" s="748"/>
      <c r="E58" s="749"/>
      <c r="F58" s="922">
        <f>F24+F30+F44+F50</f>
        <v>0</v>
      </c>
      <c r="G58" s="922"/>
      <c r="H58" s="910">
        <f>ROUND(SUM(F58:G58),2)</f>
        <v>0</v>
      </c>
      <c r="I58" s="745">
        <f t="shared" ref="I58:I67" si="4">SUM(F58:H58)</f>
        <v>0</v>
      </c>
    </row>
    <row r="59" spans="1:9" ht="21.95" hidden="1" customHeight="1" thickBot="1">
      <c r="A59" s="2695"/>
      <c r="B59" s="2583"/>
      <c r="C59" s="1484" t="s">
        <v>2241</v>
      </c>
      <c r="D59" s="1485"/>
      <c r="E59" s="756"/>
      <c r="F59" s="1486">
        <f>IF(F58=0,0,F58/F2)</f>
        <v>0</v>
      </c>
      <c r="G59" s="1486"/>
      <c r="H59" s="1487">
        <f>IF(H58=0,0,H58/H2)</f>
        <v>0</v>
      </c>
      <c r="I59" s="745">
        <f t="shared" si="4"/>
        <v>0</v>
      </c>
    </row>
    <row r="60" spans="1:9" s="746" customFormat="1" ht="21.95" hidden="1" customHeight="1">
      <c r="A60" s="2695"/>
      <c r="B60" s="2581" t="s">
        <v>2243</v>
      </c>
      <c r="C60" s="1448" t="s">
        <v>2216</v>
      </c>
      <c r="D60" s="1488"/>
      <c r="E60" s="760"/>
      <c r="F60" s="922">
        <f>IF(F29="MEC",F26,0)</f>
        <v>0</v>
      </c>
      <c r="G60" s="922"/>
      <c r="H60" s="1266">
        <f t="shared" ref="H60:H66" si="5">ROUND(SUM(F60:G60),2)</f>
        <v>0</v>
      </c>
      <c r="I60" s="745">
        <f t="shared" si="4"/>
        <v>0</v>
      </c>
    </row>
    <row r="61" spans="1:9" ht="21.95" hidden="1" customHeight="1">
      <c r="A61" s="2695"/>
      <c r="B61" s="2582"/>
      <c r="C61" s="1331" t="s">
        <v>2244</v>
      </c>
      <c r="E61" s="749"/>
      <c r="F61" s="922">
        <f>IF(F60&gt;0,F38,0)</f>
        <v>0</v>
      </c>
      <c r="G61" s="922"/>
      <c r="H61" s="1266">
        <f t="shared" si="5"/>
        <v>0</v>
      </c>
      <c r="I61" s="745">
        <f t="shared" si="4"/>
        <v>0</v>
      </c>
    </row>
    <row r="62" spans="1:9" ht="21.95" hidden="1" customHeight="1">
      <c r="A62" s="2695"/>
      <c r="B62" s="2582"/>
      <c r="C62" s="1331" t="s">
        <v>2245</v>
      </c>
      <c r="E62" s="749"/>
      <c r="F62" s="922">
        <f>F61*F60/100</f>
        <v>0</v>
      </c>
      <c r="G62" s="922"/>
      <c r="H62" s="1266">
        <f t="shared" si="5"/>
        <v>0</v>
      </c>
      <c r="I62" s="745">
        <f t="shared" si="4"/>
        <v>0</v>
      </c>
    </row>
    <row r="63" spans="1:9" ht="21.95" hidden="1" customHeight="1">
      <c r="A63" s="2695"/>
      <c r="B63" s="2582"/>
      <c r="C63" s="1387" t="s">
        <v>2236</v>
      </c>
      <c r="E63" s="749"/>
      <c r="F63" s="922">
        <f>IF(F55="N",0,F53)</f>
        <v>0</v>
      </c>
      <c r="G63" s="922"/>
      <c r="H63" s="1266">
        <f t="shared" si="5"/>
        <v>0</v>
      </c>
      <c r="I63" s="745">
        <f t="shared" si="4"/>
        <v>0</v>
      </c>
    </row>
    <row r="64" spans="1:9" ht="21.95" hidden="1" customHeight="1">
      <c r="A64" s="2695"/>
      <c r="B64" s="2582"/>
      <c r="C64" s="1331" t="s">
        <v>2246</v>
      </c>
      <c r="E64" s="749"/>
      <c r="F64" s="1474">
        <f>IF(F63&gt;0,F52,0)</f>
        <v>0</v>
      </c>
      <c r="G64" s="1474"/>
      <c r="H64" s="1266">
        <f t="shared" si="5"/>
        <v>0</v>
      </c>
      <c r="I64" s="745">
        <f t="shared" si="4"/>
        <v>0</v>
      </c>
    </row>
    <row r="65" spans="1:9" ht="21.95" hidden="1" customHeight="1" thickBot="1">
      <c r="A65" s="2695"/>
      <c r="B65" s="2582"/>
      <c r="C65" s="1489" t="s">
        <v>2237</v>
      </c>
      <c r="D65" s="1291"/>
      <c r="E65" s="756"/>
      <c r="F65" s="1305">
        <f>F64*F63/100</f>
        <v>0</v>
      </c>
      <c r="G65" s="1305"/>
      <c r="H65" s="903">
        <f t="shared" si="5"/>
        <v>0</v>
      </c>
      <c r="I65" s="745">
        <f t="shared" si="4"/>
        <v>0</v>
      </c>
    </row>
    <row r="66" spans="1:9" s="746" customFormat="1" ht="21.95" hidden="1" customHeight="1">
      <c r="A66" s="2695"/>
      <c r="B66" s="2581" t="s">
        <v>2247</v>
      </c>
      <c r="C66" s="1490" t="s">
        <v>2240</v>
      </c>
      <c r="D66" s="748"/>
      <c r="E66" s="749"/>
      <c r="F66" s="922">
        <f>F65</f>
        <v>0</v>
      </c>
      <c r="G66" s="922"/>
      <c r="H66" s="910">
        <f t="shared" si="5"/>
        <v>0</v>
      </c>
      <c r="I66" s="745">
        <f t="shared" si="4"/>
        <v>0</v>
      </c>
    </row>
    <row r="67" spans="1:9" s="746" customFormat="1" ht="21.95" hidden="1" customHeight="1" thickBot="1">
      <c r="A67" s="2695"/>
      <c r="B67" s="2583"/>
      <c r="C67" s="1484" t="s">
        <v>2241</v>
      </c>
      <c r="D67" s="1485"/>
      <c r="E67" s="756"/>
      <c r="F67" s="1486">
        <f>IF(F66=0,0,F66/F6)</f>
        <v>0</v>
      </c>
      <c r="G67" s="1486"/>
      <c r="H67" s="1487">
        <f>IF(H66=0,0,H66/H6)</f>
        <v>0</v>
      </c>
      <c r="I67" s="745">
        <f t="shared" si="4"/>
        <v>0</v>
      </c>
    </row>
    <row r="68" spans="1:9" s="746" customFormat="1" ht="32.1" hidden="1" customHeight="1">
      <c r="A68" s="2695"/>
      <c r="B68" s="2584" t="s">
        <v>2248</v>
      </c>
      <c r="C68" s="1448" t="s">
        <v>2249</v>
      </c>
      <c r="D68" s="1491"/>
      <c r="E68" s="1492"/>
      <c r="F68" s="1493"/>
      <c r="G68" s="1493"/>
      <c r="H68" s="927">
        <f t="shared" ref="H68:H78" si="6">ROUND(SUM(F68:G68),2)</f>
        <v>0</v>
      </c>
      <c r="I68" s="780">
        <f>COUNTA(F68:G68)-COUNTIF(F68:G68,0)</f>
        <v>0</v>
      </c>
    </row>
    <row r="69" spans="1:9" s="746" customFormat="1" ht="21.95" hidden="1" customHeight="1">
      <c r="A69" s="2695"/>
      <c r="B69" s="2585"/>
      <c r="C69" s="1345" t="s">
        <v>2250</v>
      </c>
      <c r="D69" s="748"/>
      <c r="E69" s="749"/>
      <c r="F69" s="922">
        <f>IF(F68="SB",F21+F39+F65,0)*50%*1.25</f>
        <v>0</v>
      </c>
      <c r="G69" s="922"/>
      <c r="H69" s="910">
        <f t="shared" si="6"/>
        <v>0</v>
      </c>
      <c r="I69" s="745">
        <f t="shared" ref="I69:I81" si="7">SUM(F69:H69)</f>
        <v>0</v>
      </c>
    </row>
    <row r="70" spans="1:9" s="746" customFormat="1" ht="21.95" hidden="1" customHeight="1">
      <c r="A70" s="2695"/>
      <c r="B70" s="2585"/>
      <c r="C70" s="1089" t="s">
        <v>2251</v>
      </c>
      <c r="D70" s="748"/>
      <c r="E70" s="749"/>
      <c r="F70" s="922">
        <f>IF(F68="SB",F21+F39+F65,0)*0.688</f>
        <v>0</v>
      </c>
      <c r="G70" s="922"/>
      <c r="H70" s="910">
        <f t="shared" si="6"/>
        <v>0</v>
      </c>
      <c r="I70" s="745">
        <f t="shared" si="7"/>
        <v>0</v>
      </c>
    </row>
    <row r="71" spans="1:9" s="746" customFormat="1" ht="21.95" hidden="1" customHeight="1">
      <c r="A71" s="2695"/>
      <c r="B71" s="2585"/>
      <c r="C71" s="1387" t="s">
        <v>2252</v>
      </c>
      <c r="D71" s="748"/>
      <c r="E71" s="749"/>
      <c r="F71" s="922">
        <f>IF(F68="C",F21+F39+F65,0)*1.25</f>
        <v>0</v>
      </c>
      <c r="G71" s="922"/>
      <c r="H71" s="910">
        <f t="shared" si="6"/>
        <v>0</v>
      </c>
      <c r="I71" s="745">
        <f t="shared" si="7"/>
        <v>0</v>
      </c>
    </row>
    <row r="72" spans="1:9" s="746" customFormat="1" ht="21.95" hidden="1" customHeight="1">
      <c r="A72" s="2695"/>
      <c r="B72" s="2585"/>
      <c r="C72" s="1345" t="s">
        <v>2253</v>
      </c>
      <c r="D72" s="748"/>
      <c r="E72" s="749"/>
      <c r="F72" s="922">
        <f>IF(F68="BC",F21+F39+F65,0)*1.375</f>
        <v>0</v>
      </c>
      <c r="G72" s="922"/>
      <c r="H72" s="910">
        <f t="shared" si="6"/>
        <v>0</v>
      </c>
      <c r="I72" s="745">
        <f t="shared" si="7"/>
        <v>0</v>
      </c>
    </row>
    <row r="73" spans="1:9" s="746" customFormat="1" ht="21.95" hidden="1" customHeight="1">
      <c r="A73" s="2695"/>
      <c r="B73" s="2585"/>
      <c r="C73" s="1345" t="s">
        <v>2254</v>
      </c>
      <c r="D73" s="781"/>
      <c r="E73" s="782"/>
      <c r="F73" s="1466">
        <f>IF(F68="BG",F21+F39+F65,0)*1.4667</f>
        <v>0</v>
      </c>
      <c r="G73" s="1466"/>
      <c r="H73" s="1461">
        <f t="shared" si="6"/>
        <v>0</v>
      </c>
      <c r="I73" s="745">
        <f t="shared" si="7"/>
        <v>0</v>
      </c>
    </row>
    <row r="74" spans="1:9" s="746" customFormat="1" ht="21.95" hidden="1" customHeight="1">
      <c r="A74" s="2695"/>
      <c r="B74" s="2585"/>
      <c r="C74" s="1345" t="s">
        <v>2255</v>
      </c>
      <c r="D74" s="748"/>
      <c r="E74" s="749"/>
      <c r="F74" s="922">
        <f>IF(F68="SB",F62+F65,0)</f>
        <v>0</v>
      </c>
      <c r="G74" s="922"/>
      <c r="H74" s="910">
        <f t="shared" si="6"/>
        <v>0</v>
      </c>
      <c r="I74" s="745">
        <f t="shared" si="7"/>
        <v>0</v>
      </c>
    </row>
    <row r="75" spans="1:9" s="746" customFormat="1" ht="21.95" hidden="1" customHeight="1">
      <c r="A75" s="2695"/>
      <c r="B75" s="2585"/>
      <c r="C75" s="1387" t="s">
        <v>2256</v>
      </c>
      <c r="D75" s="748"/>
      <c r="E75" s="749"/>
      <c r="F75" s="922">
        <f>IF(F68="C",F62+F65,0)</f>
        <v>0</v>
      </c>
      <c r="G75" s="922"/>
      <c r="H75" s="910">
        <f t="shared" si="6"/>
        <v>0</v>
      </c>
      <c r="I75" s="745">
        <f t="shared" si="7"/>
        <v>0</v>
      </c>
    </row>
    <row r="76" spans="1:9" s="746" customFormat="1" ht="21.95" hidden="1" customHeight="1">
      <c r="A76" s="2695"/>
      <c r="B76" s="2585"/>
      <c r="C76" s="1345" t="s">
        <v>2257</v>
      </c>
      <c r="D76" s="748"/>
      <c r="E76" s="749"/>
      <c r="F76" s="922">
        <f>IF(F68="BC",F62+F65,0)</f>
        <v>0</v>
      </c>
      <c r="G76" s="922"/>
      <c r="H76" s="910">
        <f t="shared" si="6"/>
        <v>0</v>
      </c>
      <c r="I76" s="745">
        <f t="shared" si="7"/>
        <v>0</v>
      </c>
    </row>
    <row r="77" spans="1:9" s="746" customFormat="1" ht="21.95" hidden="1" customHeight="1" thickBot="1">
      <c r="A77" s="2695"/>
      <c r="B77" s="2585"/>
      <c r="C77" s="1484" t="s">
        <v>2258</v>
      </c>
      <c r="D77" s="1485"/>
      <c r="E77" s="756"/>
      <c r="F77" s="1494">
        <f>IF(F68="BG",F62+F65,0)</f>
        <v>0</v>
      </c>
      <c r="G77" s="1494"/>
      <c r="H77" s="912">
        <f t="shared" si="6"/>
        <v>0</v>
      </c>
      <c r="I77" s="745">
        <f t="shared" si="7"/>
        <v>0</v>
      </c>
    </row>
    <row r="78" spans="1:9" s="746" customFormat="1" ht="21.95" hidden="1" customHeight="1">
      <c r="A78" s="2695"/>
      <c r="B78" s="2581" t="s">
        <v>2259</v>
      </c>
      <c r="C78" s="740" t="s">
        <v>1539</v>
      </c>
      <c r="D78" s="759"/>
      <c r="E78" s="1464" t="s">
        <v>2215</v>
      </c>
      <c r="F78" s="1276"/>
      <c r="G78" s="1276"/>
      <c r="H78" s="1266">
        <f t="shared" si="6"/>
        <v>0</v>
      </c>
      <c r="I78" s="745">
        <f t="shared" si="7"/>
        <v>0</v>
      </c>
    </row>
    <row r="79" spans="1:9" s="746" customFormat="1" ht="21.95" hidden="1" customHeight="1">
      <c r="A79" s="2695"/>
      <c r="B79" s="2582"/>
      <c r="C79" s="747" t="s">
        <v>1477</v>
      </c>
      <c r="D79" s="748"/>
      <c r="E79" s="749"/>
      <c r="F79" s="1281"/>
      <c r="G79" s="1281"/>
      <c r="H79" s="1266"/>
      <c r="I79" s="745">
        <f t="shared" si="7"/>
        <v>0</v>
      </c>
    </row>
    <row r="80" spans="1:9" s="746" customFormat="1" ht="21.95" hidden="1" customHeight="1">
      <c r="A80" s="2695"/>
      <c r="B80" s="2582"/>
      <c r="C80" s="747" t="s">
        <v>1693</v>
      </c>
      <c r="D80" s="748"/>
      <c r="E80" s="749"/>
      <c r="F80" s="922">
        <f>F79*F78</f>
        <v>0</v>
      </c>
      <c r="G80" s="922"/>
      <c r="H80" s="1266">
        <f>ROUND(SUM(F80:G80),2)</f>
        <v>0</v>
      </c>
      <c r="I80" s="745">
        <f t="shared" si="7"/>
        <v>0</v>
      </c>
    </row>
    <row r="81" spans="1:9" s="1369" customFormat="1" ht="21.95" hidden="1" customHeight="1">
      <c r="A81" s="2695"/>
      <c r="B81" s="2582"/>
      <c r="C81" s="1331" t="s">
        <v>1478</v>
      </c>
      <c r="D81" s="1332"/>
      <c r="E81" s="1451"/>
      <c r="F81" s="1452"/>
      <c r="G81" s="1452"/>
      <c r="H81" s="1478"/>
      <c r="I81" s="745">
        <f t="shared" si="7"/>
        <v>0</v>
      </c>
    </row>
    <row r="82" spans="1:9" s="746" customFormat="1" ht="21.95" hidden="1" customHeight="1">
      <c r="A82" s="2695"/>
      <c r="B82" s="2582"/>
      <c r="C82" s="747" t="s">
        <v>2260</v>
      </c>
      <c r="D82" s="748"/>
      <c r="E82" s="749"/>
      <c r="F82" s="1495"/>
      <c r="G82" s="1495"/>
      <c r="H82" s="1496"/>
      <c r="I82" s="780">
        <f>I81</f>
        <v>0</v>
      </c>
    </row>
    <row r="83" spans="1:9" s="746" customFormat="1" ht="21.95" hidden="1" customHeight="1">
      <c r="A83" s="2695"/>
      <c r="B83" s="2582"/>
      <c r="C83" s="1089" t="s">
        <v>1923</v>
      </c>
      <c r="D83" s="1289"/>
      <c r="E83" s="749"/>
      <c r="F83" s="922">
        <f>F81*F80/100</f>
        <v>0</v>
      </c>
      <c r="G83" s="922"/>
      <c r="H83" s="1266"/>
      <c r="I83" s="745">
        <f t="shared" ref="I83:I105" si="8">SUM(F83:H83)</f>
        <v>0</v>
      </c>
    </row>
    <row r="84" spans="1:9" s="746" customFormat="1" ht="21.95" hidden="1" customHeight="1">
      <c r="A84" s="2695"/>
      <c r="B84" s="2582"/>
      <c r="C84" s="1089" t="s">
        <v>2261</v>
      </c>
      <c r="D84" s="1289"/>
      <c r="E84" s="749"/>
      <c r="F84" s="922">
        <f>IF(F82="simples",F83,0)</f>
        <v>0</v>
      </c>
      <c r="G84" s="922"/>
      <c r="H84" s="910">
        <f t="shared" ref="H84:H89" si="9">ROUND(SUM(F84:G84),2)</f>
        <v>0</v>
      </c>
      <c r="I84" s="745">
        <f t="shared" si="8"/>
        <v>0</v>
      </c>
    </row>
    <row r="85" spans="1:9" s="746" customFormat="1" ht="21.95" hidden="1" customHeight="1">
      <c r="A85" s="2695"/>
      <c r="B85" s="2582"/>
      <c r="C85" s="1089" t="s">
        <v>2262</v>
      </c>
      <c r="D85" s="1289"/>
      <c r="E85" s="749"/>
      <c r="F85" s="922">
        <f>IF(F82="cimento",F83,0)</f>
        <v>0</v>
      </c>
      <c r="G85" s="922"/>
      <c r="H85" s="910">
        <f t="shared" si="9"/>
        <v>0</v>
      </c>
      <c r="I85" s="745">
        <f t="shared" si="8"/>
        <v>0</v>
      </c>
    </row>
    <row r="86" spans="1:9" s="746" customFormat="1" ht="21.95" hidden="1" customHeight="1">
      <c r="A86" s="2695"/>
      <c r="B86" s="2582"/>
      <c r="C86" s="1089" t="s">
        <v>2263</v>
      </c>
      <c r="D86" s="1289"/>
      <c r="E86" s="749"/>
      <c r="F86" s="922">
        <f>IF(F82="brita",F83,0)</f>
        <v>0</v>
      </c>
      <c r="G86" s="922"/>
      <c r="H86" s="910">
        <f t="shared" si="9"/>
        <v>0</v>
      </c>
      <c r="I86" s="745">
        <f t="shared" si="8"/>
        <v>0</v>
      </c>
    </row>
    <row r="87" spans="1:9" s="746" customFormat="1" ht="21.95" hidden="1" customHeight="1">
      <c r="A87" s="2695"/>
      <c r="B87" s="2582"/>
      <c r="C87" s="1089" t="s">
        <v>2264</v>
      </c>
      <c r="D87" s="1289"/>
      <c r="E87" s="749"/>
      <c r="F87" s="922">
        <f>F85*88</f>
        <v>0</v>
      </c>
      <c r="G87" s="922"/>
      <c r="H87" s="910">
        <f t="shared" si="9"/>
        <v>0</v>
      </c>
      <c r="I87" s="745">
        <f t="shared" si="8"/>
        <v>0</v>
      </c>
    </row>
    <row r="88" spans="1:9" s="746" customFormat="1" ht="21.95" hidden="1" customHeight="1" thickBot="1">
      <c r="A88" s="2695"/>
      <c r="B88" s="2583"/>
      <c r="C88" s="936" t="s">
        <v>2265</v>
      </c>
      <c r="D88" s="1283"/>
      <c r="E88" s="756"/>
      <c r="F88" s="1305">
        <f>F86*0.2</f>
        <v>0</v>
      </c>
      <c r="G88" s="1305"/>
      <c r="H88" s="912">
        <f t="shared" si="9"/>
        <v>0</v>
      </c>
      <c r="I88" s="745">
        <f t="shared" si="8"/>
        <v>0</v>
      </c>
    </row>
    <row r="89" spans="1:9" s="746" customFormat="1" ht="21.95" hidden="1" customHeight="1">
      <c r="A89" s="2695"/>
      <c r="B89" s="2584" t="s">
        <v>2266</v>
      </c>
      <c r="C89" s="740" t="s">
        <v>1539</v>
      </c>
      <c r="D89" s="759"/>
      <c r="E89" s="1464" t="s">
        <v>2215</v>
      </c>
      <c r="F89" s="1276"/>
      <c r="G89" s="1276"/>
      <c r="H89" s="1294">
        <f t="shared" si="9"/>
        <v>0</v>
      </c>
      <c r="I89" s="745">
        <f t="shared" si="8"/>
        <v>0</v>
      </c>
    </row>
    <row r="90" spans="1:9" s="746" customFormat="1" ht="21.95" hidden="1" customHeight="1">
      <c r="A90" s="2695"/>
      <c r="B90" s="2585"/>
      <c r="C90" s="747" t="s">
        <v>1477</v>
      </c>
      <c r="D90" s="748"/>
      <c r="E90" s="749"/>
      <c r="F90" s="1281"/>
      <c r="G90" s="1281"/>
      <c r="H90" s="1476"/>
      <c r="I90" s="745">
        <f t="shared" si="8"/>
        <v>0</v>
      </c>
    </row>
    <row r="91" spans="1:9" s="746" customFormat="1" ht="21.95" hidden="1" customHeight="1">
      <c r="A91" s="2695"/>
      <c r="B91" s="2585"/>
      <c r="C91" s="747" t="s">
        <v>1693</v>
      </c>
      <c r="D91" s="748"/>
      <c r="E91" s="749"/>
      <c r="F91" s="922">
        <f>F90*F89</f>
        <v>0</v>
      </c>
      <c r="G91" s="922"/>
      <c r="H91" s="910">
        <f>ROUND(SUM(F91:G91),2)</f>
        <v>0</v>
      </c>
      <c r="I91" s="745">
        <f t="shared" si="8"/>
        <v>0</v>
      </c>
    </row>
    <row r="92" spans="1:9" s="1369" customFormat="1" ht="21.95" hidden="1" customHeight="1">
      <c r="A92" s="2695"/>
      <c r="B92" s="2585"/>
      <c r="C92" s="1497" t="s">
        <v>1478</v>
      </c>
      <c r="D92" s="1332"/>
      <c r="E92" s="1451"/>
      <c r="F92" s="1452"/>
      <c r="G92" s="1452"/>
      <c r="H92" s="1444"/>
      <c r="I92" s="745">
        <f t="shared" si="8"/>
        <v>0</v>
      </c>
    </row>
    <row r="93" spans="1:9" s="746" customFormat="1" ht="21.95" hidden="1" customHeight="1" thickBot="1">
      <c r="A93" s="2695"/>
      <c r="B93" s="2585"/>
      <c r="C93" s="1498" t="s">
        <v>1831</v>
      </c>
      <c r="D93" s="748"/>
      <c r="E93" s="749"/>
      <c r="F93" s="922">
        <f>F91*F92/100</f>
        <v>0</v>
      </c>
      <c r="G93" s="922"/>
      <c r="H93" s="1266">
        <f t="shared" ref="H93:H104" si="10">ROUND(SUM(F93:G93),2)</f>
        <v>0</v>
      </c>
      <c r="I93" s="745">
        <f t="shared" si="8"/>
        <v>0</v>
      </c>
    </row>
    <row r="94" spans="1:9" s="746" customFormat="1" ht="21.95" customHeight="1">
      <c r="A94" s="2695"/>
      <c r="B94" s="2584" t="s">
        <v>2015</v>
      </c>
      <c r="C94" s="1448" t="s">
        <v>2208</v>
      </c>
      <c r="D94" s="759"/>
      <c r="E94" s="760"/>
      <c r="F94" s="1499">
        <f>F18</f>
        <v>17240</v>
      </c>
      <c r="G94" s="1499"/>
      <c r="H94" s="1294">
        <f t="shared" si="10"/>
        <v>17240</v>
      </c>
      <c r="I94" s="745">
        <f t="shared" si="8"/>
        <v>34480</v>
      </c>
    </row>
    <row r="95" spans="1:9" s="746" customFormat="1" ht="21.95" hidden="1" customHeight="1">
      <c r="A95" s="2695"/>
      <c r="B95" s="2585"/>
      <c r="C95" s="1089" t="s">
        <v>2216</v>
      </c>
      <c r="D95" s="748"/>
      <c r="E95" s="749"/>
      <c r="F95" s="898">
        <f>F26</f>
        <v>0</v>
      </c>
      <c r="G95" s="898"/>
      <c r="H95" s="1266">
        <f t="shared" si="10"/>
        <v>0</v>
      </c>
      <c r="I95" s="745">
        <f t="shared" si="8"/>
        <v>0</v>
      </c>
    </row>
    <row r="96" spans="1:9" s="746" customFormat="1" ht="21.95" hidden="1" customHeight="1">
      <c r="A96" s="2695"/>
      <c r="B96" s="2585"/>
      <c r="C96" s="1089" t="s">
        <v>2236</v>
      </c>
      <c r="D96" s="748"/>
      <c r="E96" s="749"/>
      <c r="F96" s="898">
        <f>F63</f>
        <v>0</v>
      </c>
      <c r="G96" s="898"/>
      <c r="H96" s="1266">
        <f t="shared" si="10"/>
        <v>0</v>
      </c>
      <c r="I96" s="745">
        <f t="shared" si="8"/>
        <v>0</v>
      </c>
    </row>
    <row r="97" spans="1:9" s="746" customFormat="1" ht="21.95" customHeight="1">
      <c r="A97" s="2695"/>
      <c r="B97" s="2585"/>
      <c r="C97" s="1089" t="s">
        <v>2267</v>
      </c>
      <c r="D97" s="748"/>
      <c r="E97" s="749"/>
      <c r="F97" s="922">
        <f>SUM(F94:F96)</f>
        <v>17240</v>
      </c>
      <c r="G97" s="922"/>
      <c r="H97" s="910">
        <f t="shared" si="10"/>
        <v>17240</v>
      </c>
      <c r="I97" s="745">
        <f t="shared" si="8"/>
        <v>34480</v>
      </c>
    </row>
    <row r="98" spans="1:9" s="746" customFormat="1" ht="21.95" customHeight="1" thickBot="1">
      <c r="A98" s="2695"/>
      <c r="B98" s="2586"/>
      <c r="C98" s="754" t="s">
        <v>2016</v>
      </c>
      <c r="D98" s="755"/>
      <c r="E98" s="756"/>
      <c r="F98" s="1305">
        <f>F97*0.0012</f>
        <v>20.687999999999999</v>
      </c>
      <c r="G98" s="1305"/>
      <c r="H98" s="912">
        <f t="shared" si="10"/>
        <v>20.69</v>
      </c>
      <c r="I98" s="745">
        <f t="shared" si="8"/>
        <v>41.378</v>
      </c>
    </row>
    <row r="99" spans="1:9" s="746" customFormat="1" ht="21.95" customHeight="1">
      <c r="A99" s="2695"/>
      <c r="B99" s="2584" t="s">
        <v>2268</v>
      </c>
      <c r="C99" s="1089" t="s">
        <v>2205</v>
      </c>
      <c r="D99" s="748"/>
      <c r="E99" s="749"/>
      <c r="F99" s="1499">
        <f>F14</f>
        <v>8620</v>
      </c>
      <c r="G99" s="1499"/>
      <c r="H99" s="1294">
        <f t="shared" si="10"/>
        <v>8620</v>
      </c>
      <c r="I99" s="745">
        <f t="shared" si="8"/>
        <v>17240</v>
      </c>
    </row>
    <row r="100" spans="1:9" s="746" customFormat="1" ht="21.95" hidden="1" customHeight="1">
      <c r="A100" s="2695"/>
      <c r="B100" s="2585"/>
      <c r="C100" s="1089" t="s">
        <v>2269</v>
      </c>
      <c r="D100" s="748"/>
      <c r="E100" s="749"/>
      <c r="F100" s="898">
        <f>F104</f>
        <v>0</v>
      </c>
      <c r="G100" s="898"/>
      <c r="H100" s="1266">
        <f t="shared" si="10"/>
        <v>0</v>
      </c>
      <c r="I100" s="745">
        <f t="shared" si="8"/>
        <v>0</v>
      </c>
    </row>
    <row r="101" spans="1:9" s="746" customFormat="1" ht="21.95" customHeight="1">
      <c r="A101" s="2695"/>
      <c r="B101" s="2585"/>
      <c r="C101" s="1089" t="s">
        <v>2267</v>
      </c>
      <c r="D101" s="748"/>
      <c r="E101" s="749"/>
      <c r="F101" s="1500">
        <f>SUM(F99:F100)</f>
        <v>8620</v>
      </c>
      <c r="G101" s="1500"/>
      <c r="H101" s="910">
        <f t="shared" si="10"/>
        <v>8620</v>
      </c>
      <c r="I101" s="745">
        <f t="shared" si="8"/>
        <v>17240</v>
      </c>
    </row>
    <row r="102" spans="1:9" s="746" customFormat="1" ht="21.95" customHeight="1" thickBot="1">
      <c r="A102" s="2695"/>
      <c r="B102" s="2586"/>
      <c r="C102" s="936" t="s">
        <v>2270</v>
      </c>
      <c r="D102" s="755"/>
      <c r="E102" s="756"/>
      <c r="F102" s="1305">
        <f>F101*0.0005</f>
        <v>4.3100000000000005</v>
      </c>
      <c r="G102" s="1305"/>
      <c r="H102" s="912">
        <f t="shared" si="10"/>
        <v>4.3099999999999996</v>
      </c>
      <c r="I102" s="745">
        <f t="shared" si="8"/>
        <v>8.620000000000001</v>
      </c>
    </row>
    <row r="103" spans="1:9" s="746" customFormat="1" ht="21.95" hidden="1" customHeight="1">
      <c r="A103" s="2695"/>
      <c r="B103" s="2584" t="s">
        <v>2271</v>
      </c>
      <c r="C103" s="740" t="s">
        <v>1539</v>
      </c>
      <c r="D103" s="759"/>
      <c r="E103" s="1464" t="s">
        <v>2215</v>
      </c>
      <c r="F103" s="1276"/>
      <c r="G103" s="1276"/>
      <c r="H103" s="1294">
        <f t="shared" si="10"/>
        <v>0</v>
      </c>
      <c r="I103" s="745">
        <f t="shared" si="8"/>
        <v>0</v>
      </c>
    </row>
    <row r="104" spans="1:9" s="746" customFormat="1" ht="21.95" hidden="1" customHeight="1">
      <c r="A104" s="2695"/>
      <c r="B104" s="2585"/>
      <c r="C104" s="747" t="s">
        <v>2269</v>
      </c>
      <c r="D104" s="748"/>
      <c r="E104" s="749"/>
      <c r="F104" s="1281"/>
      <c r="G104" s="1281"/>
      <c r="H104" s="1501">
        <f t="shared" si="10"/>
        <v>0</v>
      </c>
      <c r="I104" s="745">
        <f t="shared" si="8"/>
        <v>0</v>
      </c>
    </row>
    <row r="105" spans="1:9" s="1369" customFormat="1" ht="21.95" hidden="1" customHeight="1">
      <c r="A105" s="2695"/>
      <c r="B105" s="2585"/>
      <c r="C105" s="1331" t="s">
        <v>1478</v>
      </c>
      <c r="D105" s="1332"/>
      <c r="E105" s="1451"/>
      <c r="F105" s="1452"/>
      <c r="G105" s="1452"/>
      <c r="H105" s="1478"/>
      <c r="I105" s="745">
        <f t="shared" si="8"/>
        <v>0</v>
      </c>
    </row>
    <row r="106" spans="1:9" s="746" customFormat="1" ht="21.95" hidden="1" customHeight="1">
      <c r="A106" s="2695"/>
      <c r="B106" s="2585"/>
      <c r="C106" s="747" t="s">
        <v>2272</v>
      </c>
      <c r="D106" s="748"/>
      <c r="E106" s="749"/>
      <c r="F106" s="1495"/>
      <c r="G106" s="1495"/>
      <c r="H106" s="1501"/>
      <c r="I106" s="780">
        <f>I105</f>
        <v>0</v>
      </c>
    </row>
    <row r="107" spans="1:9" s="746" customFormat="1" ht="21.95" hidden="1" customHeight="1" thickBot="1">
      <c r="A107" s="2695"/>
      <c r="B107" s="2586"/>
      <c r="C107" s="754" t="s">
        <v>1831</v>
      </c>
      <c r="D107" s="755"/>
      <c r="E107" s="756"/>
      <c r="F107" s="1305">
        <f>F104*F105/100</f>
        <v>0</v>
      </c>
      <c r="G107" s="1305"/>
      <c r="H107" s="903">
        <f t="shared" ref="H107:H143" si="11">ROUND(SUM(F107:G107),2)</f>
        <v>0</v>
      </c>
      <c r="I107" s="745">
        <f t="shared" ref="I107:I143" si="12">SUM(F107:H107)</f>
        <v>0</v>
      </c>
    </row>
    <row r="108" spans="1:9" s="746" customFormat="1" ht="21.95" customHeight="1">
      <c r="A108" s="2695"/>
      <c r="B108" s="2584" t="s">
        <v>2017</v>
      </c>
      <c r="C108" s="747" t="s">
        <v>2018</v>
      </c>
      <c r="D108" s="759"/>
      <c r="E108" s="766"/>
      <c r="F108" s="905">
        <f>SUM(F109:F111)*2.5548</f>
        <v>1982.0138400000003</v>
      </c>
      <c r="G108" s="905"/>
      <c r="H108" s="910">
        <f t="shared" si="11"/>
        <v>1982.01</v>
      </c>
      <c r="I108" s="745">
        <f t="shared" si="12"/>
        <v>3964.0238400000003</v>
      </c>
    </row>
    <row r="109" spans="1:9" s="746" customFormat="1" ht="21.95" customHeight="1">
      <c r="A109" s="2695"/>
      <c r="B109" s="2585"/>
      <c r="C109" s="1345" t="s">
        <v>2273</v>
      </c>
      <c r="D109" s="748"/>
      <c r="E109" s="749"/>
      <c r="F109" s="908">
        <f>IF(F7="CBUQ",F15+F23+IF(F29="MAN",F43,0),0)</f>
        <v>775.80000000000007</v>
      </c>
      <c r="G109" s="908"/>
      <c r="H109" s="910">
        <f t="shared" si="11"/>
        <v>775.8</v>
      </c>
      <c r="I109" s="745">
        <f t="shared" si="12"/>
        <v>1551.6</v>
      </c>
    </row>
    <row r="110" spans="1:9" s="746" customFormat="1" ht="21.95" hidden="1" customHeight="1">
      <c r="A110" s="2695"/>
      <c r="B110" s="2585"/>
      <c r="C110" s="1387" t="s">
        <v>2274</v>
      </c>
      <c r="D110" s="748"/>
      <c r="E110" s="749"/>
      <c r="F110" s="922">
        <f>IF(AND(F106="MOTO",F7="CBUQ"),F107,0)</f>
        <v>0</v>
      </c>
      <c r="G110" s="922"/>
      <c r="H110" s="910">
        <f t="shared" si="11"/>
        <v>0</v>
      </c>
      <c r="I110" s="745">
        <f t="shared" si="12"/>
        <v>0</v>
      </c>
    </row>
    <row r="111" spans="1:9" s="746" customFormat="1" ht="21.95" hidden="1" customHeight="1">
      <c r="A111" s="2695"/>
      <c r="B111" s="2585"/>
      <c r="C111" s="1387" t="s">
        <v>2275</v>
      </c>
      <c r="D111" s="748"/>
      <c r="E111" s="749"/>
      <c r="F111" s="922">
        <f>IF(AND(F106="VIBRO",F7="CBUQ"),F107,0)+IF(F7="CBUQ",IF(F29="MEC",F43,0),0)</f>
        <v>0</v>
      </c>
      <c r="G111" s="922"/>
      <c r="H111" s="910">
        <f t="shared" si="11"/>
        <v>0</v>
      </c>
      <c r="I111" s="745">
        <f t="shared" si="12"/>
        <v>0</v>
      </c>
    </row>
    <row r="112" spans="1:9" s="746" customFormat="1" ht="21.95" customHeight="1">
      <c r="A112" s="2695"/>
      <c r="B112" s="2585"/>
      <c r="C112" s="1345" t="s">
        <v>2021</v>
      </c>
      <c r="D112" s="1388"/>
      <c r="E112" s="749"/>
      <c r="F112" s="922">
        <f>SUM(F109:F111)*0.161</f>
        <v>124.90380000000002</v>
      </c>
      <c r="G112" s="922"/>
      <c r="H112" s="910">
        <f t="shared" si="11"/>
        <v>124.9</v>
      </c>
      <c r="I112" s="745">
        <f t="shared" si="12"/>
        <v>249.80380000000002</v>
      </c>
    </row>
    <row r="113" spans="1:9" s="746" customFormat="1" ht="21.95" customHeight="1">
      <c r="A113" s="2695"/>
      <c r="B113" s="2585"/>
      <c r="C113" s="1387" t="s">
        <v>2022</v>
      </c>
      <c r="D113" s="1388"/>
      <c r="E113" s="749"/>
      <c r="F113" s="922">
        <f>SUM(F109:F111)*0.447*2.5548</f>
        <v>885.96018648000017</v>
      </c>
      <c r="G113" s="922"/>
      <c r="H113" s="910">
        <f t="shared" si="11"/>
        <v>885.96</v>
      </c>
      <c r="I113" s="745">
        <f t="shared" si="12"/>
        <v>1771.9201864800002</v>
      </c>
    </row>
    <row r="114" spans="1:9" s="746" customFormat="1" ht="21.95" customHeight="1" thickBot="1">
      <c r="A114" s="2695"/>
      <c r="B114" s="2586"/>
      <c r="C114" s="765" t="s">
        <v>2020</v>
      </c>
      <c r="D114" s="1485"/>
      <c r="E114" s="756"/>
      <c r="F114" s="1305">
        <f>SUM(F109:F111)*0.06*2.5548</f>
        <v>118.92083040000001</v>
      </c>
      <c r="G114" s="1305"/>
      <c r="H114" s="912">
        <f t="shared" si="11"/>
        <v>118.92</v>
      </c>
      <c r="I114" s="745">
        <f t="shared" si="12"/>
        <v>237.84083040000002</v>
      </c>
    </row>
    <row r="115" spans="1:9" s="746" customFormat="1" ht="21.95" hidden="1" customHeight="1">
      <c r="A115" s="2695"/>
      <c r="B115" s="2584" t="s">
        <v>2023</v>
      </c>
      <c r="C115" s="747" t="s">
        <v>2024</v>
      </c>
      <c r="D115" s="759"/>
      <c r="E115" s="766"/>
      <c r="F115" s="905">
        <f>SUM(F116:F118)*2.346</f>
        <v>0</v>
      </c>
      <c r="G115" s="905"/>
      <c r="H115" s="910">
        <f t="shared" si="11"/>
        <v>0</v>
      </c>
      <c r="I115" s="745">
        <f t="shared" si="12"/>
        <v>0</v>
      </c>
    </row>
    <row r="116" spans="1:9" s="746" customFormat="1" ht="21.95" hidden="1" customHeight="1">
      <c r="A116" s="2695"/>
      <c r="B116" s="2585"/>
      <c r="C116" s="1345" t="s">
        <v>2273</v>
      </c>
      <c r="D116" s="748"/>
      <c r="E116" s="749"/>
      <c r="F116" s="908">
        <f>IF(F7="PMF",F15+F23+IF(F29="MAN",F43,0),0)</f>
        <v>0</v>
      </c>
      <c r="G116" s="908"/>
      <c r="H116" s="910">
        <f t="shared" si="11"/>
        <v>0</v>
      </c>
      <c r="I116" s="745">
        <f t="shared" si="12"/>
        <v>0</v>
      </c>
    </row>
    <row r="117" spans="1:9" s="746" customFormat="1" ht="21.95" hidden="1" customHeight="1">
      <c r="A117" s="2695"/>
      <c r="B117" s="2585"/>
      <c r="C117" s="1387" t="s">
        <v>2274</v>
      </c>
      <c r="D117" s="748"/>
      <c r="E117" s="749"/>
      <c r="F117" s="922">
        <f>IF(AND(F106="MOTO",F7="PMF"),F107,0)</f>
        <v>0</v>
      </c>
      <c r="G117" s="922"/>
      <c r="H117" s="910">
        <f t="shared" si="11"/>
        <v>0</v>
      </c>
      <c r="I117" s="745">
        <f t="shared" si="12"/>
        <v>0</v>
      </c>
    </row>
    <row r="118" spans="1:9" s="746" customFormat="1" ht="21.95" hidden="1" customHeight="1">
      <c r="A118" s="2695"/>
      <c r="B118" s="2585"/>
      <c r="C118" s="1387" t="s">
        <v>2275</v>
      </c>
      <c r="D118" s="748"/>
      <c r="E118" s="749"/>
      <c r="F118" s="922">
        <f>IF(AND(F106="VIBRO",F7="PMF"),F107,0)+IF(F7="PMF",IF(F29="MEC",F43,0),0)</f>
        <v>0</v>
      </c>
      <c r="G118" s="922"/>
      <c r="H118" s="910">
        <f t="shared" si="11"/>
        <v>0</v>
      </c>
      <c r="I118" s="745">
        <f t="shared" si="12"/>
        <v>0</v>
      </c>
    </row>
    <row r="119" spans="1:9" s="746" customFormat="1" ht="21.95" hidden="1" customHeight="1">
      <c r="A119" s="2695"/>
      <c r="B119" s="2585"/>
      <c r="C119" s="1345" t="s">
        <v>2026</v>
      </c>
      <c r="D119" s="748"/>
      <c r="E119" s="749"/>
      <c r="F119" s="922">
        <f>SUM(F116:F118)*0.411</f>
        <v>0</v>
      </c>
      <c r="G119" s="922"/>
      <c r="H119" s="910">
        <f t="shared" si="11"/>
        <v>0</v>
      </c>
      <c r="I119" s="745">
        <f t="shared" si="12"/>
        <v>0</v>
      </c>
    </row>
    <row r="120" spans="1:9" s="746" customFormat="1" ht="21.95" hidden="1" customHeight="1">
      <c r="A120" s="2695"/>
      <c r="B120" s="2585"/>
      <c r="C120" s="1345" t="s">
        <v>2027</v>
      </c>
      <c r="D120" s="748"/>
      <c r="E120" s="749"/>
      <c r="F120" s="922">
        <f>SUM(F116:F118)*0.968</f>
        <v>0</v>
      </c>
      <c r="G120" s="922"/>
      <c r="H120" s="910">
        <f t="shared" si="11"/>
        <v>0</v>
      </c>
      <c r="I120" s="745">
        <f t="shared" si="12"/>
        <v>0</v>
      </c>
    </row>
    <row r="121" spans="1:9" s="746" customFormat="1" ht="21.95" hidden="1" customHeight="1" thickBot="1">
      <c r="A121" s="2695"/>
      <c r="B121" s="2586"/>
      <c r="C121" s="1502" t="s">
        <v>2025</v>
      </c>
      <c r="D121" s="755"/>
      <c r="E121" s="756"/>
      <c r="F121" s="1305">
        <f>SUM(F116:F118)*0.132</f>
        <v>0</v>
      </c>
      <c r="G121" s="1305"/>
      <c r="H121" s="912">
        <f t="shared" si="11"/>
        <v>0</v>
      </c>
      <c r="I121" s="745">
        <f t="shared" si="12"/>
        <v>0</v>
      </c>
    </row>
    <row r="122" spans="1:9" s="746" customFormat="1" ht="21.95" hidden="1" customHeight="1">
      <c r="A122" s="2695"/>
      <c r="B122" s="2584" t="s">
        <v>1837</v>
      </c>
      <c r="C122" s="740" t="s">
        <v>1769</v>
      </c>
      <c r="D122" s="759"/>
      <c r="E122" s="760"/>
      <c r="F122" s="1293">
        <f>(F48+F54)*1.25</f>
        <v>0</v>
      </c>
      <c r="G122" s="1293"/>
      <c r="H122" s="910">
        <f t="shared" si="11"/>
        <v>0</v>
      </c>
      <c r="I122" s="745">
        <f t="shared" si="12"/>
        <v>0</v>
      </c>
    </row>
    <row r="123" spans="1:9" s="746" customFormat="1" ht="21.95" hidden="1" customHeight="1">
      <c r="A123" s="2695"/>
      <c r="B123" s="2585"/>
      <c r="C123" s="747" t="s">
        <v>1847</v>
      </c>
      <c r="D123" s="748"/>
      <c r="E123" s="749"/>
      <c r="F123" s="922">
        <f>F87/1000</f>
        <v>0</v>
      </c>
      <c r="G123" s="922"/>
      <c r="H123" s="910">
        <f t="shared" si="11"/>
        <v>0</v>
      </c>
      <c r="I123" s="745">
        <f t="shared" si="12"/>
        <v>0</v>
      </c>
    </row>
    <row r="124" spans="1:9" s="746" customFormat="1" ht="21.95" hidden="1" customHeight="1" thickBot="1">
      <c r="A124" s="2695"/>
      <c r="B124" s="2586"/>
      <c r="C124" s="765" t="s">
        <v>2058</v>
      </c>
      <c r="D124" s="755"/>
      <c r="E124" s="756"/>
      <c r="F124" s="1305">
        <f>F73</f>
        <v>0</v>
      </c>
      <c r="G124" s="1305"/>
      <c r="H124" s="912">
        <f t="shared" si="11"/>
        <v>0</v>
      </c>
      <c r="I124" s="745">
        <f t="shared" si="12"/>
        <v>0</v>
      </c>
    </row>
    <row r="125" spans="1:9" s="746" customFormat="1" ht="21.95" customHeight="1">
      <c r="A125" s="2695"/>
      <c r="B125" s="2581" t="s">
        <v>2276</v>
      </c>
      <c r="C125" s="740" t="s">
        <v>1769</v>
      </c>
      <c r="D125" s="748"/>
      <c r="E125" s="749"/>
      <c r="F125" s="922">
        <f>(F15+F19+F28+F54)*1.25</f>
        <v>4848.75</v>
      </c>
      <c r="G125" s="922"/>
      <c r="H125" s="1277">
        <f t="shared" si="11"/>
        <v>4848.75</v>
      </c>
      <c r="I125" s="745">
        <f t="shared" si="12"/>
        <v>9697.5</v>
      </c>
    </row>
    <row r="126" spans="1:9" s="746" customFormat="1" ht="21.95" hidden="1" customHeight="1">
      <c r="A126" s="2695"/>
      <c r="B126" s="2582"/>
      <c r="C126" s="763" t="s">
        <v>2277</v>
      </c>
      <c r="D126" s="748"/>
      <c r="E126" s="749"/>
      <c r="F126" s="922">
        <f>(F11+F48+F93)*2.4</f>
        <v>0</v>
      </c>
      <c r="G126" s="922"/>
      <c r="H126" s="910">
        <f t="shared" si="11"/>
        <v>0</v>
      </c>
      <c r="I126" s="745">
        <f t="shared" si="12"/>
        <v>0</v>
      </c>
    </row>
    <row r="127" spans="1:9" s="746" customFormat="1" ht="21.95" hidden="1" customHeight="1">
      <c r="A127" s="2695"/>
      <c r="B127" s="2582"/>
      <c r="C127" s="763" t="s">
        <v>1844</v>
      </c>
      <c r="D127" s="748"/>
      <c r="E127" s="749"/>
      <c r="F127" s="922">
        <f>F35*1.25+F69</f>
        <v>0</v>
      </c>
      <c r="G127" s="922"/>
      <c r="H127" s="910">
        <f t="shared" si="11"/>
        <v>0</v>
      </c>
      <c r="I127" s="745">
        <f t="shared" si="12"/>
        <v>0</v>
      </c>
    </row>
    <row r="128" spans="1:9" s="746" customFormat="1" ht="21.95" hidden="1" customHeight="1">
      <c r="A128" s="2695"/>
      <c r="B128" s="2582"/>
      <c r="C128" s="763" t="s">
        <v>1847</v>
      </c>
      <c r="D128" s="748"/>
      <c r="E128" s="749"/>
      <c r="F128" s="922">
        <f>F87/1000</f>
        <v>0</v>
      </c>
      <c r="G128" s="922"/>
      <c r="H128" s="910">
        <f t="shared" si="11"/>
        <v>0</v>
      </c>
      <c r="I128" s="745">
        <f t="shared" si="12"/>
        <v>0</v>
      </c>
    </row>
    <row r="129" spans="1:9" s="746" customFormat="1" ht="21.95" customHeight="1">
      <c r="A129" s="2695"/>
      <c r="B129" s="2582"/>
      <c r="C129" s="763" t="s">
        <v>2053</v>
      </c>
      <c r="D129" s="748"/>
      <c r="E129" s="749"/>
      <c r="F129" s="922">
        <f>F112</f>
        <v>124.90380000000002</v>
      </c>
      <c r="G129" s="922"/>
      <c r="H129" s="910">
        <f t="shared" si="11"/>
        <v>124.9</v>
      </c>
      <c r="I129" s="745">
        <f t="shared" si="12"/>
        <v>249.80380000000002</v>
      </c>
    </row>
    <row r="130" spans="1:9" s="746" customFormat="1" ht="21.95" hidden="1" customHeight="1">
      <c r="A130" s="2695"/>
      <c r="B130" s="2582"/>
      <c r="C130" s="763" t="s">
        <v>2054</v>
      </c>
      <c r="D130" s="748"/>
      <c r="E130" s="749"/>
      <c r="F130" s="922">
        <f>F119</f>
        <v>0</v>
      </c>
      <c r="G130" s="922"/>
      <c r="H130" s="910">
        <f t="shared" si="11"/>
        <v>0</v>
      </c>
      <c r="I130" s="745">
        <f t="shared" si="12"/>
        <v>0</v>
      </c>
    </row>
    <row r="131" spans="1:9" s="746" customFormat="1" ht="21.95" hidden="1" customHeight="1">
      <c r="A131" s="2695"/>
      <c r="B131" s="2582"/>
      <c r="C131" s="763" t="s">
        <v>2055</v>
      </c>
      <c r="D131" s="748"/>
      <c r="E131" s="749"/>
      <c r="F131" s="922">
        <f>F71</f>
        <v>0</v>
      </c>
      <c r="G131" s="922"/>
      <c r="H131" s="910">
        <f t="shared" si="11"/>
        <v>0</v>
      </c>
      <c r="I131" s="745">
        <f t="shared" si="12"/>
        <v>0</v>
      </c>
    </row>
    <row r="132" spans="1:9" s="746" customFormat="1" ht="21.95" hidden="1" customHeight="1">
      <c r="A132" s="2695"/>
      <c r="B132" s="2582"/>
      <c r="C132" s="763" t="s">
        <v>2278</v>
      </c>
      <c r="D132" s="748"/>
      <c r="E132" s="749"/>
      <c r="F132" s="922">
        <f>F31*1.1</f>
        <v>0</v>
      </c>
      <c r="G132" s="922"/>
      <c r="H132" s="910">
        <f t="shared" si="11"/>
        <v>0</v>
      </c>
      <c r="I132" s="745">
        <f t="shared" si="12"/>
        <v>0</v>
      </c>
    </row>
    <row r="133" spans="1:9" s="746" customFormat="1" ht="21.95" hidden="1" customHeight="1">
      <c r="A133" s="2695"/>
      <c r="B133" s="2582"/>
      <c r="C133" s="747" t="s">
        <v>2057</v>
      </c>
      <c r="D133" s="748"/>
      <c r="E133" s="749"/>
      <c r="F133" s="922">
        <f t="shared" ref="F133:F134" si="13">F72</f>
        <v>0</v>
      </c>
      <c r="G133" s="922"/>
      <c r="H133" s="910">
        <f t="shared" si="11"/>
        <v>0</v>
      </c>
      <c r="I133" s="745">
        <f t="shared" si="12"/>
        <v>0</v>
      </c>
    </row>
    <row r="134" spans="1:9" s="746" customFormat="1" ht="21.95" hidden="1" customHeight="1">
      <c r="A134" s="2695"/>
      <c r="B134" s="2582"/>
      <c r="C134" s="747" t="s">
        <v>2058</v>
      </c>
      <c r="D134" s="748"/>
      <c r="E134" s="749"/>
      <c r="F134" s="922">
        <f t="shared" si="13"/>
        <v>0</v>
      </c>
      <c r="G134" s="922"/>
      <c r="H134" s="910">
        <f t="shared" si="11"/>
        <v>0</v>
      </c>
      <c r="I134" s="745">
        <f t="shared" si="12"/>
        <v>0</v>
      </c>
    </row>
    <row r="135" spans="1:9" s="746" customFormat="1" ht="21.95" customHeight="1">
      <c r="A135" s="2695"/>
      <c r="B135" s="2582"/>
      <c r="C135" s="747" t="s">
        <v>2060</v>
      </c>
      <c r="D135" s="748"/>
      <c r="E135" s="749"/>
      <c r="F135" s="922">
        <f>F113</f>
        <v>885.96018648000017</v>
      </c>
      <c r="G135" s="922"/>
      <c r="H135" s="910">
        <f t="shared" si="11"/>
        <v>885.96</v>
      </c>
      <c r="I135" s="745">
        <f t="shared" si="12"/>
        <v>1771.9201864800002</v>
      </c>
    </row>
    <row r="136" spans="1:9" s="746" customFormat="1" ht="21.95" hidden="1" customHeight="1">
      <c r="A136" s="2695"/>
      <c r="B136" s="2582"/>
      <c r="C136" s="747" t="s">
        <v>2061</v>
      </c>
      <c r="D136" s="748"/>
      <c r="E136" s="749"/>
      <c r="F136" s="922">
        <f>F120</f>
        <v>0</v>
      </c>
      <c r="G136" s="922"/>
      <c r="H136" s="910">
        <f t="shared" si="11"/>
        <v>0</v>
      </c>
      <c r="I136" s="745">
        <f t="shared" si="12"/>
        <v>0</v>
      </c>
    </row>
    <row r="137" spans="1:9" s="746" customFormat="1" ht="21.95" hidden="1" customHeight="1">
      <c r="A137" s="2695"/>
      <c r="B137" s="2582"/>
      <c r="C137" s="747" t="s">
        <v>2279</v>
      </c>
      <c r="D137" s="748"/>
      <c r="E137" s="749"/>
      <c r="F137" s="922">
        <f>F88</f>
        <v>0</v>
      </c>
      <c r="G137" s="922"/>
      <c r="H137" s="910">
        <f t="shared" si="11"/>
        <v>0</v>
      </c>
      <c r="I137" s="745">
        <f t="shared" si="12"/>
        <v>0</v>
      </c>
    </row>
    <row r="138" spans="1:9" s="746" customFormat="1" ht="21.95" customHeight="1">
      <c r="A138" s="2695"/>
      <c r="B138" s="2582"/>
      <c r="C138" s="747" t="s">
        <v>2062</v>
      </c>
      <c r="D138" s="748"/>
      <c r="E138" s="749"/>
      <c r="F138" s="922">
        <f>F114</f>
        <v>118.92083040000001</v>
      </c>
      <c r="G138" s="922"/>
      <c r="H138" s="910">
        <f t="shared" si="11"/>
        <v>118.92</v>
      </c>
      <c r="I138" s="745">
        <f t="shared" si="12"/>
        <v>237.84083040000002</v>
      </c>
    </row>
    <row r="139" spans="1:9" s="746" customFormat="1" ht="21.95" customHeight="1">
      <c r="A139" s="2695"/>
      <c r="B139" s="2582"/>
      <c r="C139" s="747" t="s">
        <v>2063</v>
      </c>
      <c r="D139" s="748"/>
      <c r="E139" s="749"/>
      <c r="F139" s="922">
        <f>F98</f>
        <v>20.687999999999999</v>
      </c>
      <c r="G139" s="922"/>
      <c r="H139" s="910">
        <f t="shared" si="11"/>
        <v>20.69</v>
      </c>
      <c r="I139" s="745">
        <f t="shared" si="12"/>
        <v>41.378</v>
      </c>
    </row>
    <row r="140" spans="1:9" s="746" customFormat="1" ht="21.95" customHeight="1">
      <c r="A140" s="2695"/>
      <c r="B140" s="2582"/>
      <c r="C140" s="747" t="s">
        <v>2280</v>
      </c>
      <c r="D140" s="748"/>
      <c r="E140" s="749"/>
      <c r="F140" s="922">
        <f>F102</f>
        <v>4.3100000000000005</v>
      </c>
      <c r="G140" s="922"/>
      <c r="H140" s="910">
        <f t="shared" si="11"/>
        <v>4.3099999999999996</v>
      </c>
      <c r="I140" s="745">
        <f t="shared" si="12"/>
        <v>8.620000000000001</v>
      </c>
    </row>
    <row r="141" spans="1:9" s="746" customFormat="1" ht="21.95" hidden="1" customHeight="1">
      <c r="A141" s="2695"/>
      <c r="B141" s="2582"/>
      <c r="C141" s="747" t="s">
        <v>2065</v>
      </c>
      <c r="D141" s="748"/>
      <c r="E141" s="749"/>
      <c r="F141" s="922">
        <f>F121</f>
        <v>0</v>
      </c>
      <c r="G141" s="922"/>
      <c r="H141" s="910">
        <f t="shared" si="11"/>
        <v>0</v>
      </c>
      <c r="I141" s="745">
        <f t="shared" si="12"/>
        <v>0</v>
      </c>
    </row>
    <row r="142" spans="1:9" s="746" customFormat="1" ht="21.95" customHeight="1" thickBot="1">
      <c r="A142" s="2695"/>
      <c r="B142" s="2582"/>
      <c r="C142" s="747" t="s">
        <v>2066</v>
      </c>
      <c r="D142" s="748"/>
      <c r="E142" s="749"/>
      <c r="F142" s="922">
        <f>F108</f>
        <v>1982.0138400000003</v>
      </c>
      <c r="G142" s="922"/>
      <c r="H142" s="910">
        <f t="shared" si="11"/>
        <v>1982.01</v>
      </c>
      <c r="I142" s="745">
        <f t="shared" si="12"/>
        <v>3964.0238400000003</v>
      </c>
    </row>
    <row r="143" spans="1:9" s="746" customFormat="1" ht="21.95" hidden="1" customHeight="1" thickBot="1">
      <c r="A143" s="2695"/>
      <c r="B143" s="2583"/>
      <c r="C143" s="754" t="s">
        <v>2067</v>
      </c>
      <c r="D143" s="748"/>
      <c r="E143" s="756"/>
      <c r="F143" s="922">
        <f>F115</f>
        <v>0</v>
      </c>
      <c r="G143" s="922"/>
      <c r="H143" s="912">
        <f t="shared" si="11"/>
        <v>0</v>
      </c>
      <c r="I143" s="745">
        <f t="shared" si="12"/>
        <v>0</v>
      </c>
    </row>
    <row r="144" spans="1:9" s="746" customFormat="1" ht="21.95" hidden="1" customHeight="1">
      <c r="A144" s="2695"/>
      <c r="B144" s="2631" t="s">
        <v>1932</v>
      </c>
      <c r="C144" s="740" t="s">
        <v>1769</v>
      </c>
      <c r="D144" s="759"/>
      <c r="E144" s="760"/>
      <c r="F144" s="1293">
        <f t="shared" ref="F144:F146" si="14">F125</f>
        <v>4848.75</v>
      </c>
      <c r="G144" s="1293"/>
      <c r="H144" s="910"/>
      <c r="I144" s="745"/>
    </row>
    <row r="145" spans="1:9" s="746" customFormat="1" ht="21.95" hidden="1" customHeight="1">
      <c r="A145" s="2695"/>
      <c r="B145" s="2602"/>
      <c r="C145" s="763" t="s">
        <v>2277</v>
      </c>
      <c r="D145" s="748"/>
      <c r="E145" s="749"/>
      <c r="F145" s="922">
        <f t="shared" si="14"/>
        <v>0</v>
      </c>
      <c r="G145" s="922"/>
      <c r="H145" s="910"/>
      <c r="I145" s="745"/>
    </row>
    <row r="146" spans="1:9" s="746" customFormat="1" ht="21.95" hidden="1" customHeight="1">
      <c r="A146" s="2695"/>
      <c r="B146" s="2602"/>
      <c r="C146" s="763" t="s">
        <v>1995</v>
      </c>
      <c r="D146" s="748"/>
      <c r="E146" s="749"/>
      <c r="F146" s="922">
        <f t="shared" si="14"/>
        <v>0</v>
      </c>
      <c r="G146" s="922"/>
      <c r="H146" s="910"/>
      <c r="I146" s="745"/>
    </row>
    <row r="147" spans="1:9" s="746" customFormat="1" ht="21.95" hidden="1" customHeight="1">
      <c r="A147" s="2695"/>
      <c r="B147" s="2602"/>
      <c r="C147" s="763" t="s">
        <v>2281</v>
      </c>
      <c r="D147" s="748"/>
      <c r="E147" s="749"/>
      <c r="F147" s="922">
        <f>SUM(F132:F137)</f>
        <v>885.96018648000017</v>
      </c>
      <c r="G147" s="922"/>
      <c r="H147" s="910"/>
      <c r="I147" s="745"/>
    </row>
    <row r="148" spans="1:9" s="746" customFormat="1" ht="21.95" hidden="1" customHeight="1">
      <c r="A148" s="2695"/>
      <c r="B148" s="2602"/>
      <c r="C148" s="763" t="s">
        <v>1847</v>
      </c>
      <c r="D148" s="748"/>
      <c r="E148" s="749"/>
      <c r="F148" s="922">
        <f>F128</f>
        <v>0</v>
      </c>
      <c r="G148" s="922"/>
      <c r="H148" s="910"/>
      <c r="I148" s="745"/>
    </row>
    <row r="149" spans="1:9" s="746" customFormat="1" ht="21.95" hidden="1" customHeight="1">
      <c r="A149" s="2695"/>
      <c r="B149" s="2602"/>
      <c r="C149" s="763" t="s">
        <v>1906</v>
      </c>
      <c r="D149" s="748"/>
      <c r="E149" s="749"/>
      <c r="F149" s="922">
        <f>F129+F130</f>
        <v>124.90380000000002</v>
      </c>
      <c r="G149" s="922"/>
      <c r="H149" s="910"/>
      <c r="I149" s="745"/>
    </row>
    <row r="150" spans="1:9" s="746" customFormat="1" ht="21.95" hidden="1" customHeight="1">
      <c r="A150" s="2695"/>
      <c r="B150" s="2602"/>
      <c r="C150" s="763" t="s">
        <v>2055</v>
      </c>
      <c r="D150" s="748"/>
      <c r="E150" s="749"/>
      <c r="F150" s="922">
        <f>F131</f>
        <v>0</v>
      </c>
      <c r="G150" s="922"/>
      <c r="H150" s="910"/>
      <c r="I150" s="745"/>
    </row>
    <row r="151" spans="1:9" s="746" customFormat="1" ht="21.95" hidden="1" customHeight="1">
      <c r="A151" s="2695"/>
      <c r="B151" s="2605"/>
      <c r="C151" s="747" t="s">
        <v>2062</v>
      </c>
      <c r="D151" s="748"/>
      <c r="E151" s="749"/>
      <c r="F151" s="922">
        <f t="shared" ref="F151:F152" si="15">F138</f>
        <v>118.92083040000001</v>
      </c>
      <c r="G151" s="922"/>
      <c r="H151" s="910"/>
      <c r="I151" s="745"/>
    </row>
    <row r="152" spans="1:9" s="746" customFormat="1" ht="21.95" hidden="1" customHeight="1">
      <c r="A152" s="2695"/>
      <c r="B152" s="2605"/>
      <c r="C152" s="747" t="s">
        <v>2063</v>
      </c>
      <c r="D152" s="748"/>
      <c r="E152" s="749"/>
      <c r="F152" s="922">
        <f t="shared" si="15"/>
        <v>20.687999999999999</v>
      </c>
      <c r="G152" s="922"/>
      <c r="H152" s="910"/>
      <c r="I152" s="745"/>
    </row>
    <row r="153" spans="1:9" s="746" customFormat="1" ht="21.95" hidden="1" customHeight="1">
      <c r="A153" s="2695"/>
      <c r="B153" s="2605"/>
      <c r="C153" s="747" t="s">
        <v>2282</v>
      </c>
      <c r="D153" s="748"/>
      <c r="E153" s="749"/>
      <c r="F153" s="922">
        <f>F140+F141</f>
        <v>4.3100000000000005</v>
      </c>
      <c r="G153" s="922"/>
      <c r="H153" s="910"/>
      <c r="I153" s="745"/>
    </row>
    <row r="154" spans="1:9" s="746" customFormat="1" ht="21.95" hidden="1" customHeight="1">
      <c r="A154" s="2695"/>
      <c r="B154" s="2605"/>
      <c r="C154" s="747" t="s">
        <v>2066</v>
      </c>
      <c r="D154" s="748"/>
      <c r="E154" s="749"/>
      <c r="F154" s="922">
        <f t="shared" ref="F154:F155" si="16">F142</f>
        <v>1982.0138400000003</v>
      </c>
      <c r="G154" s="922"/>
      <c r="H154" s="910"/>
      <c r="I154" s="745"/>
    </row>
    <row r="155" spans="1:9" s="746" customFormat="1" ht="21.95" hidden="1" customHeight="1" thickBot="1">
      <c r="A155" s="2695"/>
      <c r="B155" s="2632"/>
      <c r="C155" s="754" t="s">
        <v>2067</v>
      </c>
      <c r="D155" s="1485"/>
      <c r="E155" s="756"/>
      <c r="F155" s="1305">
        <f t="shared" si="16"/>
        <v>0</v>
      </c>
      <c r="G155" s="1305"/>
      <c r="H155" s="912"/>
      <c r="I155" s="745"/>
    </row>
    <row r="156" spans="1:9" s="710" customFormat="1" ht="50.1" customHeight="1" thickBot="1">
      <c r="A156" s="2573"/>
      <c r="B156" s="2741" t="s">
        <v>1400</v>
      </c>
      <c r="C156" s="2742"/>
      <c r="D156" s="1503"/>
      <c r="E156" s="1504"/>
      <c r="F156" s="1505"/>
      <c r="G156" s="1505"/>
      <c r="H156" s="1506"/>
      <c r="I156" s="794">
        <v>1</v>
      </c>
    </row>
    <row r="157" spans="1:9" s="711" customFormat="1" ht="19.5" thickTop="1">
      <c r="B157" s="712"/>
      <c r="C157" s="712"/>
      <c r="D157" s="1507"/>
      <c r="E157" s="712"/>
      <c r="H157" s="1508"/>
    </row>
    <row r="158" spans="1:9" s="711" customFormat="1">
      <c r="B158" s="712"/>
      <c r="C158" s="712"/>
      <c r="D158" s="1507"/>
      <c r="E158" s="712"/>
      <c r="H158" s="1508"/>
    </row>
    <row r="159" spans="1:9" s="711" customFormat="1">
      <c r="D159" s="1507"/>
      <c r="E159" s="712"/>
      <c r="H159" s="1508"/>
    </row>
    <row r="160" spans="1:9" s="711" customFormat="1">
      <c r="D160" s="1509"/>
      <c r="E160" s="712"/>
      <c r="H160" s="1508"/>
    </row>
    <row r="161" spans="1:8" s="711" customFormat="1">
      <c r="D161" s="1510"/>
      <c r="E161" s="712"/>
      <c r="H161" s="1508"/>
    </row>
    <row r="162" spans="1:8" s="711" customFormat="1">
      <c r="D162" s="1510"/>
      <c r="E162" s="712"/>
      <c r="H162" s="1508"/>
    </row>
    <row r="163" spans="1:8" s="711" customFormat="1">
      <c r="D163" s="1510"/>
      <c r="E163" s="712"/>
      <c r="H163" s="1508"/>
    </row>
    <row r="164" spans="1:8" s="711" customFormat="1">
      <c r="D164" s="1507"/>
      <c r="E164" s="712"/>
      <c r="H164" s="1508"/>
    </row>
    <row r="165" spans="1:8" s="711" customFormat="1">
      <c r="D165" s="1507"/>
      <c r="E165" s="712"/>
      <c r="H165" s="1508"/>
    </row>
    <row r="166" spans="1:8" s="711" customFormat="1">
      <c r="D166" s="1507"/>
      <c r="E166" s="712"/>
      <c r="H166" s="1508"/>
    </row>
    <row r="167" spans="1:8" s="711" customFormat="1">
      <c r="D167" s="1507"/>
      <c r="E167" s="712"/>
      <c r="H167" s="1508"/>
    </row>
    <row r="168" spans="1:8" s="711" customFormat="1">
      <c r="D168" s="1507"/>
      <c r="E168" s="712"/>
      <c r="H168" s="1508"/>
    </row>
    <row r="169" spans="1:8">
      <c r="A169" s="711"/>
      <c r="B169" s="711"/>
      <c r="C169" s="711"/>
    </row>
    <row r="170" spans="1:8">
      <c r="A170" s="711"/>
      <c r="B170" s="711"/>
      <c r="C170" s="711"/>
    </row>
    <row r="171" spans="1:8">
      <c r="A171" s="711"/>
      <c r="B171" s="711"/>
      <c r="C171" s="711"/>
    </row>
    <row r="172" spans="1:8">
      <c r="A172" s="711"/>
      <c r="B172" s="711"/>
      <c r="C172" s="711"/>
    </row>
    <row r="173" spans="1:8">
      <c r="A173" s="711"/>
      <c r="B173" s="711"/>
      <c r="C173" s="711"/>
    </row>
    <row r="174" spans="1:8">
      <c r="A174" s="711"/>
      <c r="B174" s="711"/>
      <c r="C174" s="711"/>
    </row>
    <row r="175" spans="1:8">
      <c r="A175" s="711"/>
      <c r="B175" s="711"/>
      <c r="C175" s="711"/>
    </row>
    <row r="176" spans="1:8">
      <c r="A176" s="711"/>
      <c r="B176" s="711"/>
      <c r="C176" s="711"/>
    </row>
    <row r="177" spans="1:3">
      <c r="A177" s="711"/>
      <c r="B177" s="711"/>
      <c r="C177" s="711"/>
    </row>
    <row r="178" spans="1:3">
      <c r="A178" s="711"/>
      <c r="B178" s="711"/>
      <c r="C178" s="711"/>
    </row>
    <row r="179" spans="1:3">
      <c r="A179" s="711"/>
      <c r="B179" s="711"/>
      <c r="C179" s="711"/>
    </row>
    <row r="180" spans="1:3">
      <c r="A180" s="711"/>
      <c r="B180" s="711"/>
      <c r="C180" s="711"/>
    </row>
    <row r="181" spans="1:3">
      <c r="A181" s="711"/>
      <c r="B181" s="711"/>
      <c r="C181" s="711"/>
    </row>
    <row r="182" spans="1:3">
      <c r="A182" s="711"/>
      <c r="B182" s="711"/>
      <c r="C182" s="711"/>
    </row>
    <row r="183" spans="1:3">
      <c r="A183" s="711"/>
      <c r="B183" s="711"/>
      <c r="C183" s="711"/>
    </row>
    <row r="184" spans="1:3">
      <c r="A184" s="711"/>
      <c r="B184" s="711"/>
      <c r="C184" s="711"/>
    </row>
    <row r="185" spans="1:3">
      <c r="A185" s="711"/>
      <c r="B185" s="711"/>
      <c r="C185" s="711"/>
    </row>
    <row r="186" spans="1:3">
      <c r="A186" s="711"/>
      <c r="B186" s="711"/>
      <c r="C186" s="711"/>
    </row>
    <row r="187" spans="1:3">
      <c r="A187" s="711"/>
      <c r="B187" s="711"/>
      <c r="C187" s="711"/>
    </row>
    <row r="188" spans="1:3">
      <c r="A188" s="711"/>
      <c r="B188" s="711"/>
      <c r="C188" s="711"/>
    </row>
    <row r="189" spans="1:3">
      <c r="A189" s="711"/>
      <c r="B189" s="711"/>
      <c r="C189" s="711"/>
    </row>
    <row r="190" spans="1:3">
      <c r="A190" s="711"/>
      <c r="B190" s="711"/>
      <c r="C190" s="711"/>
    </row>
    <row r="191" spans="1:3">
      <c r="A191" s="711"/>
      <c r="B191" s="711"/>
      <c r="C191" s="711"/>
    </row>
    <row r="192" spans="1:3">
      <c r="A192" s="711"/>
      <c r="B192" s="711"/>
      <c r="C192" s="711"/>
    </row>
    <row r="193" spans="1:3">
      <c r="A193" s="711"/>
      <c r="B193" s="711"/>
      <c r="C193" s="711"/>
    </row>
    <row r="194" spans="1:3">
      <c r="A194" s="711"/>
      <c r="B194" s="711"/>
      <c r="C194" s="711"/>
    </row>
    <row r="195" spans="1:3">
      <c r="A195" s="711"/>
      <c r="B195" s="711"/>
      <c r="C195" s="711"/>
    </row>
    <row r="196" spans="1:3">
      <c r="A196" s="711"/>
      <c r="B196" s="711"/>
      <c r="C196" s="711"/>
    </row>
    <row r="197" spans="1:3">
      <c r="A197" s="711"/>
      <c r="B197" s="711"/>
      <c r="C197" s="711"/>
    </row>
    <row r="198" spans="1:3">
      <c r="A198" s="711"/>
      <c r="B198" s="711"/>
      <c r="C198" s="711"/>
    </row>
    <row r="199" spans="1:3">
      <c r="A199" s="711"/>
      <c r="B199" s="711"/>
      <c r="C199" s="711"/>
    </row>
    <row r="200" spans="1:3">
      <c r="A200" s="711"/>
      <c r="B200" s="711"/>
      <c r="C200" s="711"/>
    </row>
    <row r="201" spans="1:3">
      <c r="A201" s="711"/>
      <c r="B201" s="711"/>
      <c r="C201" s="711"/>
    </row>
    <row r="202" spans="1:3">
      <c r="A202" s="711"/>
      <c r="B202" s="711"/>
      <c r="C202" s="711"/>
    </row>
    <row r="203" spans="1:3">
      <c r="A203" s="711"/>
      <c r="B203" s="711"/>
      <c r="C203" s="711"/>
    </row>
    <row r="204" spans="1:3">
      <c r="A204" s="711"/>
      <c r="B204" s="711"/>
      <c r="C204" s="711"/>
    </row>
    <row r="205" spans="1:3">
      <c r="A205" s="711"/>
      <c r="B205" s="711"/>
      <c r="C205" s="711"/>
    </row>
    <row r="206" spans="1:3">
      <c r="A206" s="711"/>
      <c r="B206" s="711"/>
      <c r="C206" s="711"/>
    </row>
    <row r="207" spans="1:3">
      <c r="A207" s="711"/>
      <c r="B207" s="711"/>
      <c r="C207" s="711"/>
    </row>
    <row r="208" spans="1:3">
      <c r="A208" s="711"/>
      <c r="B208" s="711"/>
      <c r="C208" s="711"/>
    </row>
    <row r="209" spans="1:3">
      <c r="A209" s="711"/>
      <c r="B209" s="711"/>
      <c r="C209" s="711"/>
    </row>
    <row r="210" spans="1:3">
      <c r="A210" s="711"/>
      <c r="B210" s="711"/>
      <c r="C210" s="711"/>
    </row>
    <row r="211" spans="1:3">
      <c r="A211" s="711"/>
      <c r="B211" s="711"/>
      <c r="C211" s="711"/>
    </row>
    <row r="212" spans="1:3">
      <c r="A212" s="711"/>
      <c r="B212" s="711"/>
      <c r="C212" s="711"/>
    </row>
    <row r="213" spans="1:3">
      <c r="A213" s="711"/>
      <c r="B213" s="711"/>
      <c r="C213" s="711"/>
    </row>
    <row r="214" spans="1:3">
      <c r="A214" s="711"/>
      <c r="B214" s="711"/>
      <c r="C214" s="711"/>
    </row>
    <row r="215" spans="1:3">
      <c r="A215" s="711"/>
      <c r="B215" s="711"/>
      <c r="C215" s="711"/>
    </row>
    <row r="216" spans="1:3">
      <c r="A216" s="711"/>
      <c r="B216" s="711"/>
      <c r="C216" s="711"/>
    </row>
    <row r="217" spans="1:3">
      <c r="A217" s="711"/>
      <c r="B217" s="711"/>
      <c r="C217" s="711"/>
    </row>
    <row r="218" spans="1:3">
      <c r="A218" s="711"/>
      <c r="B218" s="711"/>
      <c r="C218" s="711"/>
    </row>
    <row r="219" spans="1:3">
      <c r="A219" s="711"/>
      <c r="B219" s="711"/>
      <c r="C219" s="711"/>
    </row>
    <row r="220" spans="1:3">
      <c r="A220" s="711"/>
      <c r="B220" s="711"/>
      <c r="C220" s="711"/>
    </row>
    <row r="221" spans="1:3">
      <c r="A221" s="711"/>
      <c r="B221" s="711"/>
      <c r="C221" s="711"/>
    </row>
    <row r="222" spans="1:3">
      <c r="A222" s="711"/>
      <c r="B222" s="711"/>
      <c r="C222" s="711"/>
    </row>
    <row r="223" spans="1:3">
      <c r="A223" s="711"/>
      <c r="B223" s="711"/>
      <c r="C223" s="711"/>
    </row>
    <row r="224" spans="1:3">
      <c r="A224" s="711"/>
      <c r="B224" s="711"/>
      <c r="C224" s="711"/>
    </row>
    <row r="225" spans="1:3">
      <c r="A225" s="711"/>
      <c r="B225" s="711"/>
      <c r="C225" s="711"/>
    </row>
    <row r="226" spans="1:3">
      <c r="A226" s="711"/>
      <c r="B226" s="711"/>
      <c r="C226" s="711"/>
    </row>
    <row r="227" spans="1:3">
      <c r="A227" s="711"/>
      <c r="B227" s="711"/>
      <c r="C227" s="711"/>
    </row>
    <row r="228" spans="1:3">
      <c r="A228" s="711"/>
      <c r="B228" s="711"/>
      <c r="C228" s="711"/>
    </row>
    <row r="229" spans="1:3">
      <c r="A229" s="711"/>
      <c r="B229" s="711"/>
      <c r="C229" s="711"/>
    </row>
  </sheetData>
  <autoFilter ref="A1:I156" xr:uid="{00000000-0001-0000-1700-000000000000}">
    <filterColumn colId="1" showButton="0"/>
    <filterColumn colId="8">
      <customFilters>
        <customFilter operator="notEqual" val=" "/>
      </customFilters>
    </filterColumn>
  </autoFilter>
  <mergeCells count="28">
    <mergeCell ref="B66:B67"/>
    <mergeCell ref="A1:A156"/>
    <mergeCell ref="B1:C1"/>
    <mergeCell ref="B2:C2"/>
    <mergeCell ref="B3:B4"/>
    <mergeCell ref="B5:C5"/>
    <mergeCell ref="B6:C6"/>
    <mergeCell ref="B7:C7"/>
    <mergeCell ref="B8:B11"/>
    <mergeCell ref="B12:B15"/>
    <mergeCell ref="B16:B23"/>
    <mergeCell ref="B24:B43"/>
    <mergeCell ref="B44:B49"/>
    <mergeCell ref="B50:B55"/>
    <mergeCell ref="B56:B59"/>
    <mergeCell ref="B60:B65"/>
    <mergeCell ref="B156:C156"/>
    <mergeCell ref="B68:B77"/>
    <mergeCell ref="B78:B88"/>
    <mergeCell ref="B89:B93"/>
    <mergeCell ref="B94:B98"/>
    <mergeCell ref="B99:B102"/>
    <mergeCell ref="B103:B107"/>
    <mergeCell ref="B108:B114"/>
    <mergeCell ref="B115:B121"/>
    <mergeCell ref="B122:B124"/>
    <mergeCell ref="B125:B143"/>
    <mergeCell ref="B144:B155"/>
  </mergeCells>
  <conditionalFormatting sqref="F24:G24 F44:G44 F50:G50 F78:G78 F89:G89 F103:G103">
    <cfRule type="expression" dxfId="63" priority="1">
      <formula>F24&gt;F$2</formula>
    </cfRule>
  </conditionalFormatting>
  <hyperlinks>
    <hyperlink ref="B1" location="PAINEL!A1" display="VIAS" xr:uid="{BBA813A7-B7D4-4EB2-81A3-0744BCA8DE48}"/>
  </hyperlinks>
  <printOptions horizontalCentered="1"/>
  <pageMargins left="0.39370078740157477" right="0.59055118110236215" top="0.39370078740157477" bottom="0.59055118110236215" header="0.23622047244094491" footer="0.23622047244094491"/>
  <pageSetup paperSize="8" scale="80" fitToWidth="4" orientation="portrait" r:id="rId1"/>
  <headerFooter>
    <oddFooter>&amp;C&amp;8Página &amp;P/&amp;N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C85B-02CC-44EE-89A9-5BE6E0FFF37F}">
  <sheetPr codeName="Planilha32" filterMode="1">
    <tabColor rgb="FF92D050"/>
  </sheetPr>
  <dimension ref="A1:R150"/>
  <sheetViews>
    <sheetView showZeros="0" zoomScaleNormal="100" workbookViewId="0">
      <selection activeCell="D141" sqref="D141"/>
    </sheetView>
  </sheetViews>
  <sheetFormatPr defaultColWidth="9" defaultRowHeight="18.75"/>
  <cols>
    <col min="1" max="1" width="20.875" style="681" customWidth="1"/>
    <col min="2" max="2" width="8.625" style="710" customWidth="1"/>
    <col min="3" max="3" width="14.625" style="710" customWidth="1"/>
    <col min="4" max="4" width="35.625" style="710" customWidth="1"/>
    <col min="5" max="5" width="4.75" style="1289" hidden="1" customWidth="1"/>
    <col min="6" max="6" width="10.625" style="710" hidden="1" customWidth="1"/>
    <col min="7" max="7" width="12.625" style="681" customWidth="1"/>
    <col min="8" max="8" width="12.625" style="681" hidden="1" customWidth="1"/>
    <col min="9" max="9" width="12.625" style="1511" customWidth="1"/>
    <col min="10" max="10" width="18" style="681" customWidth="1"/>
    <col min="11" max="11" width="9.625" style="955" bestFit="1" customWidth="1"/>
    <col min="12" max="13" width="9.625" style="681" bestFit="1" customWidth="1"/>
    <col min="14" max="14" width="9.25" style="681" bestFit="1" customWidth="1"/>
    <col min="15" max="15" width="10.125" style="681" bestFit="1" customWidth="1"/>
    <col min="16" max="16" width="9.125" style="681" bestFit="1" customWidth="1"/>
    <col min="17" max="18" width="9.25" style="681" bestFit="1" customWidth="1"/>
    <col min="19" max="16384" width="9" style="681"/>
  </cols>
  <sheetData>
    <row r="1" spans="1:11" ht="40.5" customHeight="1" thickBot="1"/>
    <row r="2" spans="1:11" s="673" customFormat="1" ht="60" customHeight="1" thickTop="1" thickBot="1">
      <c r="A2" s="2571" t="s">
        <v>2283</v>
      </c>
      <c r="B2" s="2777" t="s">
        <v>2188</v>
      </c>
      <c r="C2" s="2778"/>
      <c r="D2" s="2779"/>
      <c r="E2" s="1439"/>
      <c r="F2" s="1440" t="s">
        <v>1935</v>
      </c>
      <c r="G2" s="670" t="str">
        <f>Recap_Previo!F1</f>
        <v>REMENDOS</v>
      </c>
      <c r="H2" s="670"/>
      <c r="I2" s="672" t="s">
        <v>1358</v>
      </c>
      <c r="J2" s="738" t="s">
        <v>1708</v>
      </c>
      <c r="K2" s="739">
        <f>SUBTOTAL(3,J:J)</f>
        <v>6</v>
      </c>
    </row>
    <row r="3" spans="1:11" ht="21.95" hidden="1" customHeight="1" thickTop="1" thickBot="1">
      <c r="A3" s="2572"/>
      <c r="B3" s="2780" t="s">
        <v>2190</v>
      </c>
      <c r="C3" s="2781"/>
      <c r="D3" s="2782"/>
      <c r="E3" s="1512"/>
      <c r="F3" s="1355"/>
      <c r="G3" s="1441">
        <f>Recap_Previo!F2</f>
        <v>0</v>
      </c>
      <c r="H3" s="1441"/>
      <c r="I3" s="881">
        <f>ROUND(SUM(G3:H3),2)</f>
        <v>0</v>
      </c>
      <c r="J3" s="745">
        <f t="shared" ref="J3:J9" si="0">SUM(G3:I3)</f>
        <v>0</v>
      </c>
    </row>
    <row r="4" spans="1:11" ht="21.95" customHeight="1" thickTop="1" thickBot="1">
      <c r="A4" s="2572"/>
      <c r="B4" s="2783" t="s">
        <v>2284</v>
      </c>
      <c r="C4" s="2784"/>
      <c r="D4" s="2785"/>
      <c r="E4" s="1513"/>
      <c r="F4" s="1358"/>
      <c r="G4" s="913">
        <f>Recap_Previo!F5</f>
        <v>7.4404444444444433</v>
      </c>
      <c r="H4" s="913"/>
      <c r="I4" s="1514"/>
      <c r="J4" s="745">
        <f t="shared" si="0"/>
        <v>7.4404444444444433</v>
      </c>
    </row>
    <row r="5" spans="1:11" ht="21.95" hidden="1" customHeight="1" thickBot="1">
      <c r="A5" s="2572"/>
      <c r="B5" s="2587" t="s">
        <v>2195</v>
      </c>
      <c r="C5" s="2786"/>
      <c r="D5" s="2588"/>
      <c r="E5" s="1513"/>
      <c r="F5" s="1358"/>
      <c r="G5" s="1446">
        <f>Recap_Previo!F6</f>
        <v>0</v>
      </c>
      <c r="H5" s="1446"/>
      <c r="I5" s="915">
        <f>ROUND(SUM(G5:H5),2)</f>
        <v>0</v>
      </c>
      <c r="J5" s="745">
        <f t="shared" si="0"/>
        <v>0</v>
      </c>
    </row>
    <row r="6" spans="1:11" ht="21.95" hidden="1" customHeight="1">
      <c r="A6" s="2572"/>
      <c r="B6" s="2748" t="s">
        <v>2285</v>
      </c>
      <c r="C6" s="2700"/>
      <c r="D6" s="1448" t="s">
        <v>1539</v>
      </c>
      <c r="E6" s="1488"/>
      <c r="F6" s="760"/>
      <c r="G6" s="1275">
        <f t="shared" ref="G6:G7" si="1">G3</f>
        <v>0</v>
      </c>
      <c r="H6" s="1275"/>
      <c r="I6" s="1266">
        <f>ROUND(SUM(G6:H6),2)</f>
        <v>0</v>
      </c>
      <c r="J6" s="745">
        <f t="shared" si="0"/>
        <v>0</v>
      </c>
    </row>
    <row r="7" spans="1:11" ht="21.95" customHeight="1">
      <c r="A7" s="2572"/>
      <c r="B7" s="2575"/>
      <c r="C7" s="2710"/>
      <c r="D7" s="1089" t="s">
        <v>1477</v>
      </c>
      <c r="E7" s="1388"/>
      <c r="F7" s="749"/>
      <c r="G7" s="1280">
        <f t="shared" si="1"/>
        <v>7.4404444444444433</v>
      </c>
      <c r="H7" s="1280"/>
      <c r="I7" s="1266"/>
      <c r="J7" s="745">
        <f t="shared" si="0"/>
        <v>7.4404444444444433</v>
      </c>
    </row>
    <row r="8" spans="1:11" ht="21.95" customHeight="1">
      <c r="A8" s="2572"/>
      <c r="B8" s="2575"/>
      <c r="C8" s="2710"/>
      <c r="D8" s="1331" t="s">
        <v>2286</v>
      </c>
      <c r="E8" s="1473"/>
      <c r="F8" s="1515" t="s">
        <v>2287</v>
      </c>
      <c r="G8" s="1462">
        <v>3</v>
      </c>
      <c r="H8" s="1462"/>
      <c r="I8" s="1478"/>
      <c r="J8" s="1516">
        <f t="shared" si="0"/>
        <v>3</v>
      </c>
      <c r="K8" s="1517"/>
    </row>
    <row r="9" spans="1:11" ht="21.95" hidden="1" customHeight="1">
      <c r="A9" s="2572"/>
      <c r="B9" s="2575"/>
      <c r="C9" s="2710"/>
      <c r="D9" s="1089" t="s">
        <v>1693</v>
      </c>
      <c r="E9" s="1388"/>
      <c r="F9" s="749"/>
      <c r="G9" s="908">
        <f>G5</f>
        <v>0</v>
      </c>
      <c r="H9" s="908"/>
      <c r="I9" s="1266">
        <f>ROUND(SUM(G9:H9),2)</f>
        <v>0</v>
      </c>
      <c r="J9" s="745">
        <f t="shared" si="0"/>
        <v>0</v>
      </c>
    </row>
    <row r="10" spans="1:11" ht="21.95" hidden="1" customHeight="1">
      <c r="A10" s="2572"/>
      <c r="B10" s="2575"/>
      <c r="C10" s="2710"/>
      <c r="D10" s="2787" t="s">
        <v>2288</v>
      </c>
      <c r="E10" s="2788"/>
      <c r="F10" s="2789"/>
      <c r="G10" s="1518" t="str">
        <f>IF(COUNTA(G11:G18)&gt;1,"erro","ok")</f>
        <v>ok</v>
      </c>
      <c r="H10" s="1518"/>
      <c r="I10" s="1519"/>
      <c r="J10" s="1520"/>
    </row>
    <row r="11" spans="1:11" ht="21.95" hidden="1" customHeight="1">
      <c r="A11" s="2572"/>
      <c r="B11" s="2575"/>
      <c r="C11" s="2710"/>
      <c r="D11" s="1089" t="s">
        <v>2289</v>
      </c>
      <c r="E11" s="1388"/>
      <c r="F11" s="749"/>
      <c r="G11" s="1521"/>
      <c r="H11" s="1521"/>
      <c r="I11" s="1501"/>
      <c r="J11" s="780">
        <f t="shared" ref="J11:J18" si="2">COUNTA(G11:H11)-COUNTIF(G11:H11,0)</f>
        <v>0</v>
      </c>
    </row>
    <row r="12" spans="1:11" ht="21.95" hidden="1" customHeight="1">
      <c r="A12" s="2572"/>
      <c r="B12" s="2575"/>
      <c r="C12" s="2710"/>
      <c r="D12" s="1089" t="s">
        <v>2290</v>
      </c>
      <c r="E12" s="1388"/>
      <c r="F12" s="749"/>
      <c r="G12" s="1521"/>
      <c r="H12" s="1521"/>
      <c r="I12" s="1522"/>
      <c r="J12" s="780">
        <f t="shared" si="2"/>
        <v>0</v>
      </c>
    </row>
    <row r="13" spans="1:11" ht="21.95" hidden="1" customHeight="1">
      <c r="A13" s="2572"/>
      <c r="B13" s="2575"/>
      <c r="C13" s="2710"/>
      <c r="D13" s="1089" t="s">
        <v>2291</v>
      </c>
      <c r="E13" s="1388"/>
      <c r="F13" s="749"/>
      <c r="G13" s="1521"/>
      <c r="H13" s="1521"/>
      <c r="I13" s="1522"/>
      <c r="J13" s="780">
        <f t="shared" si="2"/>
        <v>0</v>
      </c>
    </row>
    <row r="14" spans="1:11" ht="21.95" hidden="1" customHeight="1">
      <c r="A14" s="2572"/>
      <c r="B14" s="2575"/>
      <c r="C14" s="2710"/>
      <c r="D14" s="1089" t="s">
        <v>2292</v>
      </c>
      <c r="E14" s="1388"/>
      <c r="F14" s="749"/>
      <c r="G14" s="1521"/>
      <c r="H14" s="1521"/>
      <c r="I14" s="1522"/>
      <c r="J14" s="780">
        <f t="shared" si="2"/>
        <v>0</v>
      </c>
    </row>
    <row r="15" spans="1:11" ht="21.95" customHeight="1" thickBot="1">
      <c r="A15" s="2572"/>
      <c r="B15" s="2575"/>
      <c r="C15" s="2710"/>
      <c r="D15" s="1089" t="s">
        <v>2293</v>
      </c>
      <c r="E15" s="1388"/>
      <c r="F15" s="749"/>
      <c r="G15" s="1521" t="s">
        <v>2294</v>
      </c>
      <c r="H15" s="1521"/>
      <c r="I15" s="1522"/>
      <c r="J15" s="780">
        <f t="shared" si="2"/>
        <v>1</v>
      </c>
    </row>
    <row r="16" spans="1:11" ht="21.95" hidden="1" customHeight="1">
      <c r="A16" s="2572"/>
      <c r="B16" s="2575"/>
      <c r="C16" s="2710"/>
      <c r="D16" s="1089" t="s">
        <v>2295</v>
      </c>
      <c r="E16" s="1388"/>
      <c r="F16" s="749"/>
      <c r="G16" s="1521"/>
      <c r="H16" s="1521"/>
      <c r="I16" s="1523"/>
      <c r="J16" s="780">
        <f t="shared" si="2"/>
        <v>0</v>
      </c>
    </row>
    <row r="17" spans="1:11" ht="21.95" hidden="1" customHeight="1">
      <c r="A17" s="2572"/>
      <c r="B17" s="2575"/>
      <c r="C17" s="2710"/>
      <c r="D17" s="1089" t="s">
        <v>2296</v>
      </c>
      <c r="E17" s="1388"/>
      <c r="F17" s="749"/>
      <c r="G17" s="1521"/>
      <c r="H17" s="1521"/>
      <c r="I17" s="1522"/>
      <c r="J17" s="780">
        <f t="shared" si="2"/>
        <v>0</v>
      </c>
    </row>
    <row r="18" spans="1:11" ht="21.95" hidden="1" customHeight="1" thickBot="1">
      <c r="A18" s="2572"/>
      <c r="B18" s="2749"/>
      <c r="C18" s="2701"/>
      <c r="D18" s="936" t="s">
        <v>2297</v>
      </c>
      <c r="E18" s="1485"/>
      <c r="F18" s="756"/>
      <c r="G18" s="1524"/>
      <c r="H18" s="1524"/>
      <c r="I18" s="1525"/>
      <c r="J18" s="780">
        <f t="shared" si="2"/>
        <v>0</v>
      </c>
    </row>
    <row r="19" spans="1:11" ht="21.95" hidden="1" customHeight="1">
      <c r="A19" s="2572"/>
      <c r="B19" s="2748" t="s">
        <v>2298</v>
      </c>
      <c r="C19" s="2700"/>
      <c r="D19" s="1453" t="s">
        <v>2293</v>
      </c>
      <c r="E19" s="1388"/>
      <c r="F19" s="2790" t="s">
        <v>2299</v>
      </c>
      <c r="G19" s="1521"/>
      <c r="H19" s="1521"/>
      <c r="I19" s="1522"/>
      <c r="J19" s="780"/>
    </row>
    <row r="20" spans="1:11" ht="21.95" hidden="1" customHeight="1">
      <c r="A20" s="2572"/>
      <c r="B20" s="2575"/>
      <c r="C20" s="2710"/>
      <c r="D20" s="1089" t="s">
        <v>2295</v>
      </c>
      <c r="E20" s="1388"/>
      <c r="F20" s="2791"/>
      <c r="G20" s="1521"/>
      <c r="H20" s="1521"/>
      <c r="I20" s="1522"/>
      <c r="J20" s="780"/>
    </row>
    <row r="21" spans="1:11" ht="21.95" hidden="1" customHeight="1">
      <c r="A21" s="2572"/>
      <c r="B21" s="2575"/>
      <c r="C21" s="2710"/>
      <c r="D21" s="1089" t="s">
        <v>2300</v>
      </c>
      <c r="E21" s="1388"/>
      <c r="F21" s="2791"/>
      <c r="G21" s="1521"/>
      <c r="H21" s="1521"/>
      <c r="I21" s="1522"/>
      <c r="J21" s="780"/>
    </row>
    <row r="22" spans="1:11" ht="21.95" hidden="1" customHeight="1" thickBot="1">
      <c r="A22" s="2572"/>
      <c r="B22" s="2749"/>
      <c r="C22" s="2701"/>
      <c r="D22" s="1526" t="s">
        <v>2297</v>
      </c>
      <c r="E22" s="1388"/>
      <c r="F22" s="2792"/>
      <c r="G22" s="1521"/>
      <c r="H22" s="1521"/>
      <c r="I22" s="1522"/>
      <c r="J22" s="780"/>
    </row>
    <row r="23" spans="1:11" s="1527" customFormat="1" ht="21.95" hidden="1" customHeight="1">
      <c r="A23" s="2572"/>
      <c r="B23" s="2748" t="s">
        <v>2301</v>
      </c>
      <c r="C23" s="2700"/>
      <c r="D23" s="1448" t="s">
        <v>1539</v>
      </c>
      <c r="E23" s="1488"/>
      <c r="F23" s="2773" t="s">
        <v>2302</v>
      </c>
      <c r="G23" s="905"/>
      <c r="H23" s="905"/>
      <c r="I23" s="1294">
        <f>SUM(G23:H23)</f>
        <v>0</v>
      </c>
      <c r="J23" s="745">
        <f>SUM(G23:I23)</f>
        <v>0</v>
      </c>
      <c r="K23" s="955"/>
    </row>
    <row r="24" spans="1:11" s="1527" customFormat="1" ht="21.95" hidden="1" customHeight="1">
      <c r="A24" s="2572"/>
      <c r="B24" s="2575"/>
      <c r="C24" s="2710"/>
      <c r="D24" s="1089" t="s">
        <v>1477</v>
      </c>
      <c r="E24" s="1388"/>
      <c r="F24" s="2774"/>
      <c r="G24" s="908">
        <f>Recap_Previo!F45</f>
        <v>0</v>
      </c>
      <c r="H24" s="908"/>
      <c r="I24" s="1266"/>
      <c r="J24" s="745">
        <f>SUM(G24:I24)</f>
        <v>0</v>
      </c>
      <c r="K24" s="955"/>
    </row>
    <row r="25" spans="1:11" s="1527" customFormat="1" ht="21.95" hidden="1" customHeight="1">
      <c r="A25" s="2572"/>
      <c r="B25" s="2575"/>
      <c r="C25" s="2710"/>
      <c r="D25" s="1089" t="s">
        <v>1693</v>
      </c>
      <c r="E25" s="1388"/>
      <c r="F25" s="2774"/>
      <c r="G25" s="908">
        <f>G24*G23</f>
        <v>0</v>
      </c>
      <c r="H25" s="908"/>
      <c r="I25" s="1266">
        <f>SUM(G25:H25)</f>
        <v>0</v>
      </c>
      <c r="J25" s="745">
        <f>SUM(G25:I25)</f>
        <v>0</v>
      </c>
      <c r="K25" s="955"/>
    </row>
    <row r="26" spans="1:11" s="1527" customFormat="1" ht="21.95" hidden="1" customHeight="1">
      <c r="A26" s="2572"/>
      <c r="B26" s="2575"/>
      <c r="C26" s="2710"/>
      <c r="D26" s="1331" t="s">
        <v>2303</v>
      </c>
      <c r="E26" s="1388"/>
      <c r="F26" s="2774"/>
      <c r="G26" s="908">
        <f>Recap_Previo!F46</f>
        <v>0</v>
      </c>
      <c r="H26" s="908"/>
      <c r="I26" s="1266"/>
      <c r="J26" s="745">
        <f>SUM(G26:I26)</f>
        <v>0</v>
      </c>
      <c r="K26" s="955"/>
    </row>
    <row r="27" spans="1:11" s="1528" customFormat="1" ht="21.95" hidden="1" customHeight="1">
      <c r="A27" s="2572"/>
      <c r="B27" s="2575"/>
      <c r="C27" s="2710"/>
      <c r="D27" s="1331" t="s">
        <v>2304</v>
      </c>
      <c r="E27" s="1473"/>
      <c r="F27" s="2793" t="s">
        <v>2305</v>
      </c>
      <c r="G27" s="1462"/>
      <c r="H27" s="1462"/>
      <c r="I27" s="1478"/>
      <c r="J27" s="745">
        <f>SUM(G27:I27)</f>
        <v>0</v>
      </c>
      <c r="K27" s="1517"/>
    </row>
    <row r="28" spans="1:11" s="1527" customFormat="1" ht="21.95" hidden="1" customHeight="1" thickBot="1">
      <c r="A28" s="2572"/>
      <c r="B28" s="2575"/>
      <c r="C28" s="2710"/>
      <c r="D28" s="1089" t="s">
        <v>2306</v>
      </c>
      <c r="E28" s="1388"/>
      <c r="F28" s="2793"/>
      <c r="G28" s="1521"/>
      <c r="H28" s="1521"/>
      <c r="I28" s="1501"/>
      <c r="J28" s="780">
        <f>COUNTA(G28:H28)-COUNTIF(G28:H28,0)</f>
        <v>0</v>
      </c>
      <c r="K28" s="955"/>
    </row>
    <row r="29" spans="1:11" s="1527" customFormat="1" ht="21.95" hidden="1" customHeight="1">
      <c r="A29" s="2572"/>
      <c r="B29" s="2748" t="s">
        <v>2307</v>
      </c>
      <c r="C29" s="2794"/>
      <c r="D29" s="1448" t="s">
        <v>1539</v>
      </c>
      <c r="E29" s="1488"/>
      <c r="F29" s="2773" t="s">
        <v>2308</v>
      </c>
      <c r="G29" s="905">
        <f>IF(Recap_Previo!F55="S",Recap_Previo!F50,0)</f>
        <v>0</v>
      </c>
      <c r="H29" s="905"/>
      <c r="I29" s="1294">
        <f>SUM(G29:H29)</f>
        <v>0</v>
      </c>
      <c r="J29" s="745">
        <f>SUM(G29:I29)</f>
        <v>0</v>
      </c>
      <c r="K29" s="955"/>
    </row>
    <row r="30" spans="1:11" s="1527" customFormat="1" ht="21.95" hidden="1" customHeight="1">
      <c r="A30" s="2572"/>
      <c r="B30" s="2575"/>
      <c r="C30" s="2795"/>
      <c r="D30" s="1089" t="s">
        <v>1477</v>
      </c>
      <c r="E30" s="1388"/>
      <c r="F30" s="2774"/>
      <c r="G30" s="908">
        <f>IF(G29=0,0,Recap_Previo!F51)</f>
        <v>0</v>
      </c>
      <c r="H30" s="908"/>
      <c r="I30" s="1266"/>
      <c r="J30" s="745">
        <f>SUM(G30:I30)</f>
        <v>0</v>
      </c>
      <c r="K30" s="955"/>
    </row>
    <row r="31" spans="1:11" s="1527" customFormat="1" ht="21.95" hidden="1" customHeight="1" thickBot="1">
      <c r="A31" s="2572"/>
      <c r="B31" s="2575"/>
      <c r="C31" s="2795"/>
      <c r="D31" s="1089" t="s">
        <v>1693</v>
      </c>
      <c r="E31" s="1388"/>
      <c r="F31" s="2774"/>
      <c r="G31" s="908">
        <f>G30*G29</f>
        <v>0</v>
      </c>
      <c r="H31" s="908"/>
      <c r="I31" s="1266">
        <f>SUM(G31:H31)</f>
        <v>0</v>
      </c>
      <c r="J31" s="745">
        <f>SUM(G31:I31)</f>
        <v>0</v>
      </c>
      <c r="K31" s="955"/>
    </row>
    <row r="32" spans="1:11" s="1528" customFormat="1" ht="21.95" hidden="1" customHeight="1" thickBot="1">
      <c r="A32" s="2572"/>
      <c r="B32" s="2748"/>
      <c r="C32" s="2700"/>
      <c r="D32" s="1331" t="s">
        <v>2304</v>
      </c>
      <c r="E32" s="1473"/>
      <c r="F32" s="2775" t="s">
        <v>2305</v>
      </c>
      <c r="G32" s="1462"/>
      <c r="H32" s="1462"/>
      <c r="I32" s="1478"/>
      <c r="J32" s="1516">
        <f>SUM(G32:I32)</f>
        <v>0</v>
      </c>
      <c r="K32" s="1517"/>
    </row>
    <row r="33" spans="1:11" s="1527" customFormat="1" ht="21.95" hidden="1" customHeight="1" thickBot="1">
      <c r="A33" s="2572"/>
      <c r="B33" s="2748"/>
      <c r="C33" s="2700"/>
      <c r="D33" s="936" t="s">
        <v>2306</v>
      </c>
      <c r="E33" s="1388"/>
      <c r="F33" s="2775"/>
      <c r="G33" s="1521"/>
      <c r="H33" s="1521"/>
      <c r="I33" s="1501"/>
      <c r="J33" s="780">
        <f>COUNTA(G33:H33)-COUNTIF(G33:H33,0)</f>
        <v>0</v>
      </c>
      <c r="K33" s="955"/>
    </row>
    <row r="34" spans="1:11" s="1527" customFormat="1" ht="21.95" hidden="1" customHeight="1">
      <c r="A34" s="2572"/>
      <c r="B34" s="2748" t="s">
        <v>2309</v>
      </c>
      <c r="C34" s="2700"/>
      <c r="D34" s="1453" t="s">
        <v>1539</v>
      </c>
      <c r="E34" s="1488"/>
      <c r="F34" s="2773" t="s">
        <v>2310</v>
      </c>
      <c r="G34" s="905">
        <f>IF(G37="sim",Recap_Previo!F78,0)</f>
        <v>0</v>
      </c>
      <c r="H34" s="905"/>
      <c r="I34" s="1294"/>
      <c r="J34" s="745">
        <f>SUM(G34:I34)</f>
        <v>0</v>
      </c>
      <c r="K34" s="955"/>
    </row>
    <row r="35" spans="1:11" s="1527" customFormat="1" ht="21.95" hidden="1" customHeight="1">
      <c r="A35" s="2572"/>
      <c r="B35" s="2575"/>
      <c r="C35" s="2710"/>
      <c r="D35" s="1089" t="s">
        <v>1477</v>
      </c>
      <c r="E35" s="1388"/>
      <c r="F35" s="2774"/>
      <c r="G35" s="908">
        <f>IF(G34=0,0,Recap_Previo!F79)</f>
        <v>0</v>
      </c>
      <c r="H35" s="908"/>
      <c r="I35" s="1266"/>
      <c r="J35" s="745">
        <f>SUM(G35:I35)</f>
        <v>0</v>
      </c>
      <c r="K35" s="955"/>
    </row>
    <row r="36" spans="1:11" s="1527" customFormat="1" ht="21.95" hidden="1" customHeight="1">
      <c r="A36" s="2572"/>
      <c r="B36" s="2575"/>
      <c r="C36" s="2710"/>
      <c r="D36" s="1089" t="s">
        <v>1693</v>
      </c>
      <c r="E36" s="1388"/>
      <c r="F36" s="2774"/>
      <c r="G36" s="908">
        <f>G35*G34</f>
        <v>0</v>
      </c>
      <c r="H36" s="908"/>
      <c r="I36" s="1266"/>
      <c r="J36" s="745">
        <f>SUM(G36:I36)</f>
        <v>0</v>
      </c>
      <c r="K36" s="955"/>
    </row>
    <row r="37" spans="1:11" s="1527" customFormat="1" ht="32.1" hidden="1" customHeight="1">
      <c r="A37" s="2572"/>
      <c r="B37" s="2575"/>
      <c r="C37" s="2710"/>
      <c r="D37" s="1089" t="s">
        <v>2311</v>
      </c>
      <c r="E37" s="1388"/>
      <c r="F37" s="2775" t="s">
        <v>2305</v>
      </c>
      <c r="G37" s="1521"/>
      <c r="H37" s="1521"/>
      <c r="I37" s="1185"/>
      <c r="J37" s="1520"/>
      <c r="K37" s="955"/>
    </row>
    <row r="38" spans="1:11" s="1528" customFormat="1" ht="21.95" hidden="1" customHeight="1">
      <c r="A38" s="2572"/>
      <c r="B38" s="2575"/>
      <c r="C38" s="2710"/>
      <c r="D38" s="1331" t="s">
        <v>1478</v>
      </c>
      <c r="E38" s="1473"/>
      <c r="F38" s="2775"/>
      <c r="G38" s="1462"/>
      <c r="H38" s="1462"/>
      <c r="I38" s="1478"/>
      <c r="J38" s="1516">
        <f>SUM(G38:I38)</f>
        <v>0</v>
      </c>
      <c r="K38" s="1517"/>
    </row>
    <row r="39" spans="1:11" s="1527" customFormat="1" ht="21.95" hidden="1" customHeight="1" thickBot="1">
      <c r="A39" s="2572"/>
      <c r="B39" s="2575"/>
      <c r="C39" s="2710"/>
      <c r="D39" s="1089" t="s">
        <v>2306</v>
      </c>
      <c r="E39" s="1388"/>
      <c r="F39" s="2776"/>
      <c r="G39" s="1521"/>
      <c r="H39" s="1521"/>
      <c r="I39" s="1501"/>
      <c r="J39" s="780">
        <f>COUNTA(G39:H39)-COUNTIF(G39:H39,0)</f>
        <v>0</v>
      </c>
      <c r="K39" s="955"/>
    </row>
    <row r="40" spans="1:11" s="1527" customFormat="1" ht="21.95" hidden="1" customHeight="1">
      <c r="A40" s="2572"/>
      <c r="B40" s="2581" t="s">
        <v>2312</v>
      </c>
      <c r="C40" s="2770"/>
      <c r="D40" s="1448" t="s">
        <v>1693</v>
      </c>
      <c r="E40" s="1488"/>
      <c r="F40" s="749"/>
      <c r="G40" s="905">
        <f>IF(G11="sim",G9,0)</f>
        <v>0</v>
      </c>
      <c r="H40" s="905"/>
      <c r="I40" s="1277">
        <f>ROUND(SUM(G40:H40),2)</f>
        <v>0</v>
      </c>
      <c r="J40" s="745">
        <f t="shared" ref="J40:J49" si="3">SUM(G40:I40)</f>
        <v>0</v>
      </c>
      <c r="K40" s="955"/>
    </row>
    <row r="41" spans="1:11" s="1527" customFormat="1" ht="21.95" hidden="1" customHeight="1">
      <c r="A41" s="2572"/>
      <c r="B41" s="2582"/>
      <c r="C41" s="2771"/>
      <c r="D41" s="1089" t="s">
        <v>2313</v>
      </c>
      <c r="E41" s="1388"/>
      <c r="F41" s="749"/>
      <c r="G41" s="908">
        <f>G40*0.01212</f>
        <v>0</v>
      </c>
      <c r="H41" s="908"/>
      <c r="I41" s="1266">
        <f>SUM(G41:H41)</f>
        <v>0</v>
      </c>
      <c r="J41" s="745">
        <f t="shared" si="3"/>
        <v>0</v>
      </c>
      <c r="K41" s="955"/>
    </row>
    <row r="42" spans="1:11" s="1527" customFormat="1" ht="21.95" hidden="1" customHeight="1" thickBot="1">
      <c r="A42" s="2572"/>
      <c r="B42" s="2583"/>
      <c r="C42" s="2772"/>
      <c r="D42" s="936" t="s">
        <v>2314</v>
      </c>
      <c r="E42" s="1485"/>
      <c r="F42" s="756"/>
      <c r="G42" s="901">
        <f>G40*0.00194</f>
        <v>0</v>
      </c>
      <c r="H42" s="901"/>
      <c r="I42" s="1266">
        <f>SUM(G42:H42)</f>
        <v>0</v>
      </c>
      <c r="J42" s="745">
        <f t="shared" si="3"/>
        <v>0</v>
      </c>
      <c r="K42" s="955"/>
    </row>
    <row r="43" spans="1:11" s="1527" customFormat="1" ht="21.95" hidden="1" customHeight="1">
      <c r="A43" s="2572"/>
      <c r="B43" s="2581" t="s">
        <v>2315</v>
      </c>
      <c r="C43" s="2770"/>
      <c r="D43" s="1448" t="s">
        <v>1693</v>
      </c>
      <c r="E43" s="1488"/>
      <c r="F43" s="760"/>
      <c r="G43" s="905">
        <f>IF(G12="sim",G9,0)</f>
        <v>0</v>
      </c>
      <c r="H43" s="905"/>
      <c r="I43" s="1277">
        <f>ROUND(SUM(G43:H43),2)</f>
        <v>0</v>
      </c>
      <c r="J43" s="745">
        <f t="shared" si="3"/>
        <v>0</v>
      </c>
      <c r="K43" s="955"/>
    </row>
    <row r="44" spans="1:11" s="1527" customFormat="1" ht="21.95" hidden="1" customHeight="1">
      <c r="A44" s="2572"/>
      <c r="B44" s="2582"/>
      <c r="C44" s="2771"/>
      <c r="D44" s="1089" t="s">
        <v>2316</v>
      </c>
      <c r="E44" s="1388"/>
      <c r="F44" s="749"/>
      <c r="G44" s="908">
        <f>G43*0.022725</f>
        <v>0</v>
      </c>
      <c r="H44" s="908"/>
      <c r="I44" s="1266">
        <f>SUM(G44:H44)</f>
        <v>0</v>
      </c>
      <c r="J44" s="745">
        <f t="shared" si="3"/>
        <v>0</v>
      </c>
      <c r="K44" s="955"/>
    </row>
    <row r="45" spans="1:11" s="1527" customFormat="1" ht="21.95" hidden="1" customHeight="1" thickBot="1">
      <c r="A45" s="2572"/>
      <c r="B45" s="2583"/>
      <c r="C45" s="2772"/>
      <c r="D45" s="936" t="s">
        <v>2317</v>
      </c>
      <c r="E45" s="1485"/>
      <c r="F45" s="756"/>
      <c r="G45" s="901">
        <f>G43*0.0032</f>
        <v>0</v>
      </c>
      <c r="H45" s="901"/>
      <c r="I45" s="1266">
        <f>SUM(G45:H45)</f>
        <v>0</v>
      </c>
      <c r="J45" s="745">
        <f t="shared" si="3"/>
        <v>0</v>
      </c>
      <c r="K45" s="955"/>
    </row>
    <row r="46" spans="1:11" s="1527" customFormat="1" ht="21.95" hidden="1" customHeight="1">
      <c r="A46" s="2572"/>
      <c r="B46" s="2581" t="s">
        <v>2318</v>
      </c>
      <c r="C46" s="2770"/>
      <c r="D46" s="1448" t="s">
        <v>1693</v>
      </c>
      <c r="E46" s="1488"/>
      <c r="F46" s="760"/>
      <c r="G46" s="905">
        <f>IF(G13="sim",G9,0)</f>
        <v>0</v>
      </c>
      <c r="H46" s="905"/>
      <c r="I46" s="1277">
        <f>ROUND(SUM(G46:H46),2)</f>
        <v>0</v>
      </c>
      <c r="J46" s="745">
        <f t="shared" si="3"/>
        <v>0</v>
      </c>
      <c r="K46" s="955"/>
    </row>
    <row r="47" spans="1:11" s="1527" customFormat="1" ht="21.95" hidden="1" customHeight="1">
      <c r="A47" s="2572"/>
      <c r="B47" s="2582"/>
      <c r="C47" s="2771"/>
      <c r="D47" s="1089" t="s">
        <v>2319</v>
      </c>
      <c r="E47" s="1388"/>
      <c r="F47" s="749"/>
      <c r="G47" s="908">
        <f>G46*0.0303</f>
        <v>0</v>
      </c>
      <c r="H47" s="908"/>
      <c r="I47" s="1266">
        <f>SUM(G47:H47)</f>
        <v>0</v>
      </c>
      <c r="J47" s="745">
        <f t="shared" si="3"/>
        <v>0</v>
      </c>
      <c r="K47" s="955"/>
    </row>
    <row r="48" spans="1:11" s="1527" customFormat="1" ht="21.95" hidden="1" customHeight="1" thickBot="1">
      <c r="A48" s="2572"/>
      <c r="B48" s="2583"/>
      <c r="C48" s="2772"/>
      <c r="D48" s="936" t="s">
        <v>2320</v>
      </c>
      <c r="E48" s="1485"/>
      <c r="F48" s="756"/>
      <c r="G48" s="901">
        <f>G46*0.0039</f>
        <v>0</v>
      </c>
      <c r="H48" s="901"/>
      <c r="I48" s="1266">
        <f>SUM(G48:H48)</f>
        <v>0</v>
      </c>
      <c r="J48" s="745">
        <f t="shared" si="3"/>
        <v>0</v>
      </c>
      <c r="K48" s="955"/>
    </row>
    <row r="49" spans="1:11" s="1527" customFormat="1" ht="21.95" hidden="1" customHeight="1">
      <c r="A49" s="2572"/>
      <c r="B49" s="2748" t="s">
        <v>2321</v>
      </c>
      <c r="C49" s="2700"/>
      <c r="D49" s="1448" t="s">
        <v>1693</v>
      </c>
      <c r="E49" s="1488"/>
      <c r="F49" s="749"/>
      <c r="G49" s="908">
        <f>IF(G14="SIM",#REF!+G9,0)</f>
        <v>0</v>
      </c>
      <c r="H49" s="908"/>
      <c r="I49" s="1277">
        <f t="shared" ref="I49:I70" si="4">ROUND(SUM(G49:H49),2)</f>
        <v>0</v>
      </c>
      <c r="J49" s="745">
        <f t="shared" si="3"/>
        <v>0</v>
      </c>
      <c r="K49" s="955"/>
    </row>
    <row r="50" spans="1:11" s="1527" customFormat="1" ht="21.95" hidden="1" customHeight="1">
      <c r="A50" s="2572"/>
      <c r="B50" s="2575"/>
      <c r="C50" s="2710"/>
      <c r="D50" s="1453" t="s">
        <v>2039</v>
      </c>
      <c r="E50" s="1388"/>
      <c r="F50" s="749"/>
      <c r="G50" s="908">
        <f>G49*0.006</f>
        <v>0</v>
      </c>
      <c r="H50" s="908"/>
      <c r="I50" s="1266">
        <f t="shared" si="4"/>
        <v>0</v>
      </c>
      <c r="J50" s="745"/>
      <c r="K50" s="955"/>
    </row>
    <row r="51" spans="1:11" s="1527" customFormat="1" ht="21.95" hidden="1" customHeight="1">
      <c r="A51" s="2572"/>
      <c r="B51" s="2575"/>
      <c r="C51" s="2710"/>
      <c r="D51" s="1089" t="s">
        <v>2040</v>
      </c>
      <c r="E51" s="1388"/>
      <c r="F51" s="749"/>
      <c r="G51" s="908">
        <f>G49*0.0223</f>
        <v>0</v>
      </c>
      <c r="H51" s="908"/>
      <c r="I51" s="1266">
        <f t="shared" si="4"/>
        <v>0</v>
      </c>
      <c r="J51" s="745">
        <f t="shared" ref="J51:J64" si="5">SUM(G51:I51)</f>
        <v>0</v>
      </c>
      <c r="K51" s="955"/>
    </row>
    <row r="52" spans="1:11" s="1527" customFormat="1" ht="21.95" hidden="1" customHeight="1" thickBot="1">
      <c r="A52" s="2572"/>
      <c r="B52" s="2749"/>
      <c r="C52" s="2701"/>
      <c r="D52" s="936" t="s">
        <v>2322</v>
      </c>
      <c r="E52" s="1485"/>
      <c r="F52" s="749"/>
      <c r="G52" s="908">
        <f>G49*0.0048</f>
        <v>0</v>
      </c>
      <c r="H52" s="908"/>
      <c r="I52" s="903">
        <f t="shared" si="4"/>
        <v>0</v>
      </c>
      <c r="J52" s="745">
        <f t="shared" si="5"/>
        <v>0</v>
      </c>
      <c r="K52" s="955"/>
    </row>
    <row r="53" spans="1:11" ht="21.95" hidden="1" customHeight="1">
      <c r="A53" s="2572"/>
      <c r="B53" s="2581" t="s">
        <v>2268</v>
      </c>
      <c r="C53" s="2770"/>
      <c r="D53" s="1529" t="s">
        <v>1693</v>
      </c>
      <c r="E53" s="1488"/>
      <c r="F53" s="760"/>
      <c r="G53" s="905">
        <f>G58</f>
        <v>0</v>
      </c>
      <c r="H53" s="905"/>
      <c r="I53" s="1277">
        <f t="shared" si="4"/>
        <v>0</v>
      </c>
      <c r="J53" s="745">
        <f t="shared" si="5"/>
        <v>0</v>
      </c>
    </row>
    <row r="54" spans="1:11" ht="21.95" hidden="1" customHeight="1" thickBot="1">
      <c r="A54" s="2572"/>
      <c r="B54" s="2583"/>
      <c r="C54" s="2772"/>
      <c r="D54" s="936" t="s">
        <v>2270</v>
      </c>
      <c r="E54" s="1485"/>
      <c r="F54" s="756"/>
      <c r="G54" s="901">
        <f>G53*0.0005</f>
        <v>0</v>
      </c>
      <c r="H54" s="901"/>
      <c r="I54" s="903">
        <f t="shared" si="4"/>
        <v>0</v>
      </c>
      <c r="J54" s="745">
        <f t="shared" si="5"/>
        <v>0</v>
      </c>
    </row>
    <row r="55" spans="1:11" ht="21.95" hidden="1" customHeight="1">
      <c r="A55" s="2572"/>
      <c r="B55" s="2748" t="s">
        <v>2323</v>
      </c>
      <c r="C55" s="2700"/>
      <c r="D55" s="1448" t="s">
        <v>1693</v>
      </c>
      <c r="E55" s="1388"/>
      <c r="F55" s="749"/>
      <c r="G55" s="908">
        <f>IF(G28="sim",G25,0)+IF(G33="sim",G31,0)+IF(G39="sim",G36,0)</f>
        <v>0</v>
      </c>
      <c r="H55" s="908"/>
      <c r="I55" s="910">
        <f t="shared" si="4"/>
        <v>0</v>
      </c>
      <c r="J55" s="745">
        <f t="shared" si="5"/>
        <v>0</v>
      </c>
    </row>
    <row r="56" spans="1:11" ht="21.95" hidden="1" customHeight="1">
      <c r="A56" s="2572"/>
      <c r="B56" s="2575"/>
      <c r="C56" s="2710"/>
      <c r="D56" s="1089" t="s">
        <v>2324</v>
      </c>
      <c r="E56" s="1388"/>
      <c r="F56" s="749"/>
      <c r="G56" s="908">
        <f>G55*0.006</f>
        <v>0</v>
      </c>
      <c r="H56" s="908"/>
      <c r="I56" s="1266">
        <f t="shared" si="4"/>
        <v>0</v>
      </c>
      <c r="J56" s="745">
        <f t="shared" si="5"/>
        <v>0</v>
      </c>
    </row>
    <row r="57" spans="1:11" ht="21.95" hidden="1" customHeight="1" thickBot="1">
      <c r="A57" s="2572"/>
      <c r="B57" s="2749"/>
      <c r="C57" s="2701"/>
      <c r="D57" s="936" t="s">
        <v>2325</v>
      </c>
      <c r="E57" s="1388"/>
      <c r="F57" s="749"/>
      <c r="G57" s="908">
        <f>G55*0.001</f>
        <v>0</v>
      </c>
      <c r="H57" s="908"/>
      <c r="I57" s="903">
        <f t="shared" si="4"/>
        <v>0</v>
      </c>
      <c r="J57" s="745">
        <f t="shared" si="5"/>
        <v>0</v>
      </c>
    </row>
    <row r="58" spans="1:11" ht="21.95" hidden="1" customHeight="1">
      <c r="A58" s="2572"/>
      <c r="B58" s="2748" t="s">
        <v>2326</v>
      </c>
      <c r="C58" s="2700"/>
      <c r="D58" s="1448" t="s">
        <v>1693</v>
      </c>
      <c r="E58" s="1530"/>
      <c r="F58" s="1492"/>
      <c r="G58" s="921">
        <f>IF(COUNTA(G15:G18)&gt;0,G9,0)+IF(G27&gt;0,G25,0)+IF(G32&gt;0,G31,0)+IF(G38&gt;0,G36,0)</f>
        <v>0</v>
      </c>
      <c r="H58" s="921"/>
      <c r="I58" s="1531">
        <f t="shared" si="4"/>
        <v>0</v>
      </c>
      <c r="J58" s="745">
        <f t="shared" si="5"/>
        <v>0</v>
      </c>
    </row>
    <row r="59" spans="1:11" ht="21.95" hidden="1" customHeight="1" thickBot="1">
      <c r="A59" s="2572"/>
      <c r="B59" s="2749"/>
      <c r="C59" s="2701"/>
      <c r="D59" s="1453" t="s">
        <v>2327</v>
      </c>
      <c r="E59" s="1388"/>
      <c r="F59" s="749"/>
      <c r="G59" s="908">
        <f>(IF(G15="sim",G9*G8,0)+IF(G19="SIM",G25*G27+G31*G32,0)+IF(AND(G19="SIM",G37="SIM"),G36*G38,0))/100</f>
        <v>0</v>
      </c>
      <c r="H59" s="908"/>
      <c r="I59" s="910">
        <f t="shared" si="4"/>
        <v>0</v>
      </c>
      <c r="J59" s="745">
        <f t="shared" si="5"/>
        <v>0</v>
      </c>
    </row>
    <row r="60" spans="1:11" ht="21.95" hidden="1" customHeight="1">
      <c r="A60" s="2572"/>
      <c r="B60" s="2575"/>
      <c r="C60" s="2710"/>
      <c r="D60" s="1089" t="s">
        <v>2328</v>
      </c>
      <c r="E60" s="1388"/>
      <c r="F60" s="749"/>
      <c r="G60" s="908">
        <f>(IF(G16="sim",G9*G8,0)+IF(G20="SIM",G25*G27+G31*G32,0)+IF(AND(G20="SIM",G37="SIM"),G36*G38,0))/100</f>
        <v>0</v>
      </c>
      <c r="H60" s="908"/>
      <c r="I60" s="910">
        <f t="shared" si="4"/>
        <v>0</v>
      </c>
      <c r="J60" s="745">
        <f t="shared" si="5"/>
        <v>0</v>
      </c>
    </row>
    <row r="61" spans="1:11" ht="21.95" hidden="1" customHeight="1">
      <c r="A61" s="2572"/>
      <c r="B61" s="2575"/>
      <c r="C61" s="2710"/>
      <c r="D61" s="1089" t="s">
        <v>2329</v>
      </c>
      <c r="E61" s="1388"/>
      <c r="F61" s="749"/>
      <c r="G61" s="908">
        <f>(IF(G17="sim",G9*G8,0)+IF(G21="SIM",G25*G27+G31*G32,0)+IF(AND(G21="SIM",G37="SIM"),G36*G38,0))/100</f>
        <v>0</v>
      </c>
      <c r="H61" s="908"/>
      <c r="I61" s="910">
        <f t="shared" si="4"/>
        <v>0</v>
      </c>
      <c r="J61" s="745">
        <f t="shared" si="5"/>
        <v>0</v>
      </c>
    </row>
    <row r="62" spans="1:11" ht="21.95" hidden="1" customHeight="1">
      <c r="A62" s="2572"/>
      <c r="B62" s="2575"/>
      <c r="C62" s="2710"/>
      <c r="D62" s="747" t="s">
        <v>2330</v>
      </c>
      <c r="E62" s="1388"/>
      <c r="F62" s="749"/>
      <c r="G62" s="908">
        <f>(IF(G18="sim",G9*G8,0)+IF(G22="SIM",G25*G27+G31*G32,0)+IF(AND(G22="SIM",G37="SIM"),G36*G38,0))/100</f>
        <v>0</v>
      </c>
      <c r="H62" s="908"/>
      <c r="I62" s="910">
        <f t="shared" si="4"/>
        <v>0</v>
      </c>
      <c r="J62" s="745">
        <f t="shared" si="5"/>
        <v>0</v>
      </c>
    </row>
    <row r="63" spans="1:11" ht="21.95" hidden="1" customHeight="1" thickBot="1">
      <c r="A63" s="2572"/>
      <c r="B63" s="2749"/>
      <c r="C63" s="2701"/>
      <c r="D63" s="1089" t="s">
        <v>2331</v>
      </c>
      <c r="E63" s="1435"/>
      <c r="F63" s="1395"/>
      <c r="G63" s="1532">
        <f>SUM(G59:G61)*0.161*2.5548</f>
        <v>0</v>
      </c>
      <c r="H63" s="1532"/>
      <c r="I63" s="1533">
        <f t="shared" si="4"/>
        <v>0</v>
      </c>
      <c r="J63" s="745">
        <f t="shared" si="5"/>
        <v>0</v>
      </c>
    </row>
    <row r="64" spans="1:11" ht="21.95" hidden="1" customHeight="1">
      <c r="A64" s="2572"/>
      <c r="B64" s="2575"/>
      <c r="C64" s="2710"/>
      <c r="D64" s="1089" t="s">
        <v>2332</v>
      </c>
      <c r="E64" s="1427"/>
      <c r="F64" s="782"/>
      <c r="G64" s="1460">
        <f>G62*0.411</f>
        <v>0</v>
      </c>
      <c r="H64" s="1460"/>
      <c r="I64" s="1461">
        <f t="shared" si="4"/>
        <v>0</v>
      </c>
      <c r="J64" s="745">
        <f t="shared" si="5"/>
        <v>0</v>
      </c>
    </row>
    <row r="65" spans="1:18" ht="21.95" hidden="1" customHeight="1">
      <c r="A65" s="2572"/>
      <c r="B65" s="2575"/>
      <c r="C65" s="2710"/>
      <c r="D65" s="1453" t="s">
        <v>2333</v>
      </c>
      <c r="E65" s="1388"/>
      <c r="F65" s="749"/>
      <c r="G65" s="908">
        <f>SUM(G59:G61)*0.447*2.5548</f>
        <v>0</v>
      </c>
      <c r="H65" s="908"/>
      <c r="I65" s="1533">
        <f t="shared" si="4"/>
        <v>0</v>
      </c>
      <c r="J65" s="745"/>
    </row>
    <row r="66" spans="1:18" ht="21.95" hidden="1" customHeight="1">
      <c r="A66" s="2572"/>
      <c r="B66" s="2575"/>
      <c r="C66" s="2710"/>
      <c r="D66" s="1089" t="s">
        <v>2334</v>
      </c>
      <c r="E66" s="1427"/>
      <c r="F66" s="782"/>
      <c r="G66" s="1460">
        <f>G62*0.968</f>
        <v>0</v>
      </c>
      <c r="H66" s="1460"/>
      <c r="I66" s="1461">
        <f t="shared" si="4"/>
        <v>0</v>
      </c>
      <c r="J66" s="745">
        <f>SUM(G66:I66)</f>
        <v>0</v>
      </c>
    </row>
    <row r="67" spans="1:18" ht="21.95" hidden="1" customHeight="1">
      <c r="A67" s="2572"/>
      <c r="B67" s="2575"/>
      <c r="C67" s="2710"/>
      <c r="D67" s="763" t="s">
        <v>2335</v>
      </c>
      <c r="E67" s="1388"/>
      <c r="F67" s="749"/>
      <c r="G67" s="908">
        <f t="shared" ref="G67:G69" si="6">G59*2.5548*6%</f>
        <v>0</v>
      </c>
      <c r="H67" s="908"/>
      <c r="I67" s="1533">
        <f t="shared" si="4"/>
        <v>0</v>
      </c>
      <c r="J67" s="745"/>
    </row>
    <row r="68" spans="1:18" ht="21.95" hidden="1" customHeight="1">
      <c r="A68" s="2572"/>
      <c r="B68" s="2575"/>
      <c r="C68" s="2710"/>
      <c r="D68" s="747" t="s">
        <v>2336</v>
      </c>
      <c r="E68" s="1388"/>
      <c r="F68" s="749"/>
      <c r="G68" s="908">
        <f t="shared" si="6"/>
        <v>0</v>
      </c>
      <c r="H68" s="908"/>
      <c r="I68" s="910">
        <f t="shared" si="4"/>
        <v>0</v>
      </c>
      <c r="J68" s="745"/>
    </row>
    <row r="69" spans="1:18" ht="21.95" hidden="1" customHeight="1">
      <c r="A69" s="2572"/>
      <c r="B69" s="2575"/>
      <c r="C69" s="2710"/>
      <c r="D69" s="747" t="s">
        <v>2337</v>
      </c>
      <c r="E69" s="1427"/>
      <c r="F69" s="782"/>
      <c r="G69" s="1460">
        <f t="shared" si="6"/>
        <v>0</v>
      </c>
      <c r="H69" s="1460"/>
      <c r="I69" s="1461">
        <f t="shared" si="4"/>
        <v>0</v>
      </c>
      <c r="J69" s="745">
        <f t="shared" ref="J69:J115" si="7">SUM(G69:I69)</f>
        <v>0</v>
      </c>
    </row>
    <row r="70" spans="1:18" ht="21.95" hidden="1" customHeight="1" thickBot="1">
      <c r="A70" s="2572"/>
      <c r="B70" s="2749"/>
      <c r="C70" s="2701"/>
      <c r="D70" s="1502" t="s">
        <v>2025</v>
      </c>
      <c r="E70" s="1388"/>
      <c r="F70" s="749"/>
      <c r="G70" s="908">
        <f>G62*0.132</f>
        <v>0</v>
      </c>
      <c r="H70" s="908"/>
      <c r="I70" s="910">
        <f t="shared" si="4"/>
        <v>0</v>
      </c>
      <c r="J70" s="745">
        <f t="shared" si="7"/>
        <v>0</v>
      </c>
    </row>
    <row r="71" spans="1:18" ht="21.95" hidden="1" customHeight="1">
      <c r="A71" s="2572"/>
      <c r="B71" s="2766" t="s">
        <v>2338</v>
      </c>
      <c r="C71" s="2700" t="s">
        <v>2339</v>
      </c>
      <c r="D71" s="1534" t="s">
        <v>2046</v>
      </c>
      <c r="E71" s="1488"/>
      <c r="F71" s="760"/>
      <c r="G71" s="894"/>
      <c r="H71" s="894"/>
      <c r="I71" s="1390"/>
      <c r="J71" s="745">
        <f t="shared" si="7"/>
        <v>0</v>
      </c>
      <c r="K71" s="681"/>
    </row>
    <row r="72" spans="1:18" ht="21.95" hidden="1" customHeight="1">
      <c r="A72" s="2572"/>
      <c r="B72" s="2767"/>
      <c r="C72" s="2763"/>
      <c r="D72" s="1089" t="s">
        <v>1539</v>
      </c>
      <c r="E72" s="1427"/>
      <c r="F72" s="782"/>
      <c r="G72" s="1460">
        <f>ROUND(+G71*G$3,2)</f>
        <v>0</v>
      </c>
      <c r="H72" s="1460"/>
      <c r="I72" s="1467">
        <f>ROUND(SUM(G72:H72),2)</f>
        <v>0</v>
      </c>
      <c r="J72" s="745">
        <f t="shared" si="7"/>
        <v>0</v>
      </c>
      <c r="K72" s="681"/>
    </row>
    <row r="73" spans="1:18" ht="21.95" hidden="1" customHeight="1">
      <c r="A73" s="2572"/>
      <c r="B73" s="2767"/>
      <c r="C73" s="2762" t="s">
        <v>2340</v>
      </c>
      <c r="D73" s="1535" t="s">
        <v>2046</v>
      </c>
      <c r="E73" s="1435"/>
      <c r="F73" s="1395"/>
      <c r="G73" s="1296"/>
      <c r="H73" s="1296"/>
      <c r="I73" s="1536"/>
      <c r="J73" s="745">
        <f t="shared" si="7"/>
        <v>0</v>
      </c>
      <c r="K73" s="681"/>
    </row>
    <row r="74" spans="1:18" ht="21.95" hidden="1" customHeight="1">
      <c r="A74" s="2572"/>
      <c r="B74" s="2767"/>
      <c r="C74" s="2763"/>
      <c r="D74" s="1089" t="s">
        <v>1539</v>
      </c>
      <c r="E74" s="1427"/>
      <c r="F74" s="782"/>
      <c r="G74" s="1460">
        <f>ROUND(+G73*G$3,2)</f>
        <v>0</v>
      </c>
      <c r="H74" s="1460"/>
      <c r="I74" s="1467">
        <f>ROUND(SUM(G74:H74),2)</f>
        <v>0</v>
      </c>
      <c r="J74" s="745">
        <f t="shared" si="7"/>
        <v>0</v>
      </c>
      <c r="K74" s="2757" t="s">
        <v>1859</v>
      </c>
      <c r="L74" s="2758"/>
      <c r="M74" s="2759"/>
      <c r="N74" s="2760" t="s">
        <v>2043</v>
      </c>
      <c r="O74" s="2769"/>
      <c r="P74" s="2761"/>
      <c r="Q74" s="2760" t="s">
        <v>2044</v>
      </c>
      <c r="R74" s="2761"/>
    </row>
    <row r="75" spans="1:18" ht="21.95" hidden="1" customHeight="1">
      <c r="A75" s="2572"/>
      <c r="B75" s="2767"/>
      <c r="C75" s="2762" t="s">
        <v>2341</v>
      </c>
      <c r="D75" s="1535" t="s">
        <v>2046</v>
      </c>
      <c r="E75" s="1435"/>
      <c r="F75" s="1395"/>
      <c r="G75" s="1296"/>
      <c r="H75" s="1296"/>
      <c r="I75" s="1536"/>
      <c r="J75" s="745">
        <f t="shared" si="7"/>
        <v>0</v>
      </c>
      <c r="K75" s="1121" t="s">
        <v>1868</v>
      </c>
      <c r="L75" s="1121" t="s">
        <v>1869</v>
      </c>
      <c r="M75" s="1121" t="s">
        <v>1872</v>
      </c>
      <c r="N75" s="1121" t="s">
        <v>1868</v>
      </c>
      <c r="O75" s="1121" t="s">
        <v>1869</v>
      </c>
      <c r="P75" s="1121" t="s">
        <v>1872</v>
      </c>
      <c r="Q75" s="1121" t="s">
        <v>1868</v>
      </c>
      <c r="R75" s="1121" t="s">
        <v>1869</v>
      </c>
    </row>
    <row r="76" spans="1:18" ht="21.95" hidden="1" customHeight="1">
      <c r="A76" s="2572"/>
      <c r="B76" s="2767"/>
      <c r="C76" s="2763"/>
      <c r="D76" s="1089" t="s">
        <v>1539</v>
      </c>
      <c r="E76" s="1427"/>
      <c r="F76" s="782"/>
      <c r="G76" s="1460">
        <f>ROUND(+G75*G$3,2)</f>
        <v>0</v>
      </c>
      <c r="H76" s="1460"/>
      <c r="I76" s="1467">
        <f>ROUND(SUM(G76:H76),2)</f>
        <v>0</v>
      </c>
      <c r="J76" s="745">
        <f t="shared" si="7"/>
        <v>0</v>
      </c>
      <c r="K76" s="1125">
        <v>94963</v>
      </c>
      <c r="L76" s="1125">
        <v>94964</v>
      </c>
      <c r="M76" s="1125">
        <v>88631</v>
      </c>
      <c r="N76" s="1125">
        <v>94963</v>
      </c>
      <c r="O76" s="1125">
        <v>94964</v>
      </c>
      <c r="P76" s="1125">
        <v>88631</v>
      </c>
      <c r="Q76" s="1125">
        <v>94963</v>
      </c>
      <c r="R76" s="1125">
        <v>94964</v>
      </c>
    </row>
    <row r="77" spans="1:18" ht="21.95" hidden="1" customHeight="1" thickBot="1">
      <c r="A77" s="2572"/>
      <c r="B77" s="2768"/>
      <c r="C77" s="2764" t="s">
        <v>2342</v>
      </c>
      <c r="D77" s="2765"/>
      <c r="E77" s="1388"/>
      <c r="F77" s="749"/>
      <c r="G77" s="908">
        <f>G72*0.0615+G74*0.0285+G76*0.033</f>
        <v>0</v>
      </c>
      <c r="H77" s="908"/>
      <c r="I77" s="912">
        <f>ROUND(SUM(G77:H77),2)</f>
        <v>0</v>
      </c>
      <c r="J77" s="745">
        <f t="shared" si="7"/>
        <v>0</v>
      </c>
      <c r="K77" s="1125"/>
      <c r="L77" s="1125"/>
      <c r="M77" s="1125"/>
      <c r="N77" s="1125"/>
      <c r="O77" s="1125"/>
      <c r="P77" s="1125"/>
      <c r="Q77" s="1125"/>
      <c r="R77" s="1125"/>
    </row>
    <row r="78" spans="1:18" ht="21.95" hidden="1" customHeight="1">
      <c r="A78" s="2572"/>
      <c r="B78" s="2766" t="s">
        <v>2343</v>
      </c>
      <c r="C78" s="2700" t="s">
        <v>2339</v>
      </c>
      <c r="D78" s="1534" t="s">
        <v>2046</v>
      </c>
      <c r="E78" s="1488"/>
      <c r="F78" s="760"/>
      <c r="G78" s="894"/>
      <c r="H78" s="894"/>
      <c r="I78" s="1390"/>
      <c r="J78" s="745">
        <f t="shared" si="7"/>
        <v>0</v>
      </c>
      <c r="K78" s="1130">
        <v>273.06</v>
      </c>
      <c r="L78" s="1130">
        <v>322.98</v>
      </c>
      <c r="M78" s="1130">
        <v>362.66</v>
      </c>
      <c r="N78" s="1132">
        <v>0.80500000000000005</v>
      </c>
      <c r="O78" s="1132">
        <v>0.75580000000000003</v>
      </c>
      <c r="P78" s="1130">
        <v>1.1499999999999999</v>
      </c>
      <c r="Q78" s="1132">
        <v>0.57899999999999996</v>
      </c>
      <c r="R78" s="1132">
        <v>0.58699999999999997</v>
      </c>
    </row>
    <row r="79" spans="1:18" ht="21.95" hidden="1" customHeight="1">
      <c r="A79" s="2572"/>
      <c r="B79" s="2767"/>
      <c r="C79" s="2763"/>
      <c r="D79" s="1089" t="s">
        <v>1539</v>
      </c>
      <c r="E79" s="1427"/>
      <c r="F79" s="782"/>
      <c r="G79" s="1460">
        <f>ROUND(+G78*G$3,2)</f>
        <v>0</v>
      </c>
      <c r="H79" s="1460"/>
      <c r="I79" s="1461">
        <f>ROUND(SUM(G79:H79),2)</f>
        <v>0</v>
      </c>
      <c r="J79" s="745">
        <f t="shared" si="7"/>
        <v>0</v>
      </c>
      <c r="K79" s="1537">
        <v>6.1499999999999999E-2</v>
      </c>
      <c r="L79" s="1537"/>
      <c r="M79" s="1538"/>
      <c r="N79" s="1537">
        <v>6.1499999999999999E-2</v>
      </c>
      <c r="O79" s="1537"/>
      <c r="P79" s="1538"/>
      <c r="Q79" s="1537">
        <v>6.1499999999999999E-2</v>
      </c>
      <c r="R79" s="1537"/>
    </row>
    <row r="80" spans="1:18" ht="21.95" hidden="1" customHeight="1">
      <c r="A80" s="2572"/>
      <c r="B80" s="2767"/>
      <c r="C80" s="2762" t="s">
        <v>2340</v>
      </c>
      <c r="D80" s="1535" t="s">
        <v>2046</v>
      </c>
      <c r="E80" s="1435"/>
      <c r="F80" s="1395"/>
      <c r="G80" s="1397"/>
      <c r="H80" s="1397"/>
      <c r="I80" s="1398"/>
      <c r="J80" s="745">
        <f t="shared" si="7"/>
        <v>0</v>
      </c>
      <c r="K80" s="1537"/>
      <c r="L80" s="1537"/>
      <c r="M80" s="1539"/>
      <c r="N80" s="1537"/>
      <c r="O80" s="1537"/>
      <c r="P80" s="1539"/>
      <c r="Q80" s="1537"/>
      <c r="R80" s="1537"/>
    </row>
    <row r="81" spans="1:18" ht="21.95" hidden="1" customHeight="1">
      <c r="A81" s="2572"/>
      <c r="B81" s="2767"/>
      <c r="C81" s="2763"/>
      <c r="D81" s="1089" t="s">
        <v>1539</v>
      </c>
      <c r="E81" s="1427"/>
      <c r="F81" s="782"/>
      <c r="G81" s="1460">
        <f>ROUND(+G80*G$3,2)</f>
        <v>0</v>
      </c>
      <c r="H81" s="1460"/>
      <c r="I81" s="1461">
        <f>ROUND(SUM(G81:H81),2)</f>
        <v>0</v>
      </c>
      <c r="J81" s="745">
        <f t="shared" si="7"/>
        <v>0</v>
      </c>
      <c r="K81" s="1537">
        <v>2.8500000000000001E-2</v>
      </c>
      <c r="L81" s="1537"/>
      <c r="M81" s="1539"/>
      <c r="N81" s="1537">
        <v>2.8500000000000001E-2</v>
      </c>
      <c r="O81" s="1537"/>
      <c r="P81" s="1539"/>
      <c r="Q81" s="1537">
        <v>2.8500000000000001E-2</v>
      </c>
      <c r="R81" s="1537"/>
    </row>
    <row r="82" spans="1:18" ht="21.95" hidden="1" customHeight="1">
      <c r="A82" s="2572"/>
      <c r="B82" s="2767"/>
      <c r="C82" s="2710" t="s">
        <v>2341</v>
      </c>
      <c r="D82" s="1540" t="s">
        <v>2046</v>
      </c>
      <c r="E82" s="1388"/>
      <c r="F82" s="749"/>
      <c r="G82" s="1296"/>
      <c r="H82" s="1296"/>
      <c r="I82" s="1375"/>
      <c r="J82" s="745">
        <f t="shared" si="7"/>
        <v>0</v>
      </c>
      <c r="K82" s="1537"/>
      <c r="L82" s="1537"/>
      <c r="M82" s="1539"/>
      <c r="N82" s="1537"/>
      <c r="O82" s="1537"/>
      <c r="P82" s="1539"/>
      <c r="Q82" s="1537"/>
      <c r="R82" s="1537"/>
    </row>
    <row r="83" spans="1:18" ht="21.95" hidden="1" customHeight="1" thickBot="1">
      <c r="A83" s="2572"/>
      <c r="B83" s="2768"/>
      <c r="C83" s="2701"/>
      <c r="D83" s="936" t="s">
        <v>1539</v>
      </c>
      <c r="E83" s="1485"/>
      <c r="F83" s="756"/>
      <c r="G83" s="1460">
        <f>ROUND(+G82*G$3,2)</f>
        <v>0</v>
      </c>
      <c r="H83" s="1460"/>
      <c r="I83" s="912">
        <f>ROUND(SUM(G83:H83),2)</f>
        <v>0</v>
      </c>
      <c r="J83" s="745">
        <f t="shared" si="7"/>
        <v>0</v>
      </c>
      <c r="K83" s="1537">
        <v>3.3000000000000002E-2</v>
      </c>
      <c r="L83" s="1537"/>
      <c r="M83" s="1539"/>
      <c r="N83" s="1537">
        <v>3.3000000000000002E-2</v>
      </c>
      <c r="O83" s="1537"/>
      <c r="P83" s="1539"/>
      <c r="Q83" s="1537">
        <v>3.3000000000000002E-2</v>
      </c>
      <c r="R83" s="1537"/>
    </row>
    <row r="84" spans="1:18" ht="21.95" hidden="1" customHeight="1" thickBot="1">
      <c r="A84" s="2572"/>
      <c r="B84" s="2751" t="s">
        <v>1642</v>
      </c>
      <c r="C84" s="2752"/>
      <c r="D84" s="970" t="s">
        <v>1539</v>
      </c>
      <c r="E84" s="1541"/>
      <c r="F84" s="972"/>
      <c r="G84" s="1462"/>
      <c r="H84" s="1462"/>
      <c r="I84" s="1390"/>
      <c r="J84" s="745">
        <f t="shared" si="7"/>
        <v>0</v>
      </c>
      <c r="K84" s="1537"/>
      <c r="L84" s="1537"/>
      <c r="M84" s="1539"/>
      <c r="N84" s="1537"/>
      <c r="O84" s="1537"/>
      <c r="P84" s="1539"/>
      <c r="Q84" s="1537"/>
      <c r="R84" s="1537"/>
    </row>
    <row r="85" spans="1:18" ht="21.95" hidden="1" customHeight="1" thickBot="1">
      <c r="A85" s="2572"/>
      <c r="B85" s="2751"/>
      <c r="C85" s="2752"/>
      <c r="D85" s="977" t="s">
        <v>1355</v>
      </c>
      <c r="E85" s="1542"/>
      <c r="F85" s="979"/>
      <c r="G85" s="1462"/>
      <c r="H85" s="1462"/>
      <c r="I85" s="1266">
        <f t="shared" ref="I85:I115" si="8">ROUND(SUM(G85:H85),2)</f>
        <v>0</v>
      </c>
      <c r="J85" s="745">
        <f t="shared" si="7"/>
        <v>0</v>
      </c>
      <c r="K85" s="1537"/>
      <c r="L85" s="1537"/>
      <c r="M85" s="1539"/>
      <c r="N85" s="1537"/>
      <c r="O85" s="1537"/>
      <c r="P85" s="1539"/>
      <c r="Q85" s="1537"/>
      <c r="R85" s="1537"/>
    </row>
    <row r="86" spans="1:18" ht="21.95" hidden="1" customHeight="1" thickBot="1">
      <c r="A86" s="2572"/>
      <c r="B86" s="2751"/>
      <c r="C86" s="2752"/>
      <c r="D86" s="982" t="s">
        <v>1693</v>
      </c>
      <c r="E86" s="1543"/>
      <c r="F86" s="984"/>
      <c r="G86" s="761">
        <f>G85*G84</f>
        <v>0</v>
      </c>
      <c r="H86" s="761"/>
      <c r="I86" s="912">
        <f t="shared" si="8"/>
        <v>0</v>
      </c>
      <c r="J86" s="745">
        <f t="shared" si="7"/>
        <v>0</v>
      </c>
      <c r="K86" s="1537"/>
      <c r="L86" s="1537"/>
      <c r="M86" s="1539"/>
      <c r="N86" s="1537"/>
      <c r="O86" s="1537"/>
      <c r="P86" s="1539"/>
      <c r="Q86" s="1537"/>
      <c r="R86" s="1537"/>
    </row>
    <row r="87" spans="1:18" ht="21.95" hidden="1" customHeight="1" thickBot="1">
      <c r="A87" s="2572"/>
      <c r="B87" s="2753" t="s">
        <v>1643</v>
      </c>
      <c r="C87" s="2754"/>
      <c r="D87" s="1089" t="s">
        <v>1644</v>
      </c>
      <c r="E87" s="1544"/>
      <c r="F87" s="972"/>
      <c r="G87" s="1545"/>
      <c r="H87" s="1545"/>
      <c r="I87" s="1186">
        <f t="shared" si="8"/>
        <v>0</v>
      </c>
      <c r="J87" s="745">
        <f t="shared" si="7"/>
        <v>0</v>
      </c>
      <c r="K87" s="1537"/>
      <c r="L87" s="1537"/>
      <c r="M87" s="1539"/>
      <c r="N87" s="1537"/>
      <c r="O87" s="1537"/>
      <c r="P87" s="1539"/>
      <c r="Q87" s="1537"/>
      <c r="R87" s="1537"/>
    </row>
    <row r="88" spans="1:18" ht="21.95" hidden="1" customHeight="1" thickBot="1">
      <c r="A88" s="2572"/>
      <c r="B88" s="2753"/>
      <c r="C88" s="2754"/>
      <c r="D88" s="936" t="s">
        <v>1645</v>
      </c>
      <c r="E88" s="1546"/>
      <c r="F88" s="984"/>
      <c r="G88" s="1547"/>
      <c r="H88" s="1547"/>
      <c r="I88" s="1548">
        <f t="shared" si="8"/>
        <v>0</v>
      </c>
      <c r="J88" s="745">
        <f t="shared" si="7"/>
        <v>0</v>
      </c>
      <c r="K88" s="1537"/>
      <c r="L88" s="1537"/>
      <c r="M88" s="1539"/>
      <c r="N88" s="1537"/>
      <c r="O88" s="1537"/>
      <c r="P88" s="1539"/>
      <c r="Q88" s="1537"/>
      <c r="R88" s="1537"/>
    </row>
    <row r="89" spans="1:18" ht="21.95" hidden="1" customHeight="1">
      <c r="A89" s="2572"/>
      <c r="B89" s="2584" t="s">
        <v>1620</v>
      </c>
      <c r="C89" s="2738"/>
      <c r="D89" s="740" t="s">
        <v>1621</v>
      </c>
      <c r="E89" s="1488"/>
      <c r="F89" s="760"/>
      <c r="G89" s="1545"/>
      <c r="H89" s="1545"/>
      <c r="I89" s="1186">
        <f t="shared" si="8"/>
        <v>0</v>
      </c>
      <c r="J89" s="745">
        <f t="shared" si="7"/>
        <v>0</v>
      </c>
      <c r="K89" s="1537"/>
      <c r="L89" s="1537">
        <v>6.9600000000000009E-2</v>
      </c>
      <c r="M89" s="1539">
        <v>8.0000000000000002E-3</v>
      </c>
      <c r="N89" s="1537"/>
      <c r="O89" s="1537">
        <v>6.9600000000000009E-2</v>
      </c>
      <c r="P89" s="1539">
        <v>8.0000000000000002E-3</v>
      </c>
      <c r="Q89" s="1537"/>
      <c r="R89" s="1537">
        <v>6.9600000000000009E-2</v>
      </c>
    </row>
    <row r="90" spans="1:18" ht="21.95" hidden="1" customHeight="1" thickBot="1">
      <c r="A90" s="2572"/>
      <c r="B90" s="2586"/>
      <c r="C90" s="2737"/>
      <c r="D90" s="1549" t="s">
        <v>1622</v>
      </c>
      <c r="E90" s="1485"/>
      <c r="F90" s="756"/>
      <c r="G90" s="1547"/>
      <c r="H90" s="1547"/>
      <c r="I90" s="1548">
        <f t="shared" si="8"/>
        <v>0</v>
      </c>
      <c r="J90" s="745">
        <f t="shared" si="7"/>
        <v>0</v>
      </c>
      <c r="K90" s="1537"/>
      <c r="L90" s="1537">
        <v>6.9600000000000009E-2</v>
      </c>
      <c r="M90" s="1539">
        <v>8.0000000000000002E-3</v>
      </c>
      <c r="N90" s="1537"/>
      <c r="O90" s="1537">
        <v>6.9600000000000009E-2</v>
      </c>
      <c r="P90" s="1539">
        <v>8.0000000000000002E-3</v>
      </c>
      <c r="Q90" s="1537"/>
      <c r="R90" s="1537">
        <v>6.9600000000000009E-2</v>
      </c>
    </row>
    <row r="91" spans="1:18" ht="21.95" hidden="1" customHeight="1">
      <c r="A91" s="2572"/>
      <c r="B91" s="2677" t="s">
        <v>2344</v>
      </c>
      <c r="C91" s="2755"/>
      <c r="D91" s="882" t="s">
        <v>1621</v>
      </c>
      <c r="E91" s="1388"/>
      <c r="F91" s="749"/>
      <c r="G91" s="1550"/>
      <c r="H91" s="1550"/>
      <c r="I91" s="1186">
        <f t="shared" si="8"/>
        <v>0</v>
      </c>
      <c r="J91" s="745">
        <f t="shared" si="7"/>
        <v>0</v>
      </c>
      <c r="K91" s="1537"/>
      <c r="L91" s="1537">
        <v>0.123031</v>
      </c>
      <c r="M91" s="1539">
        <v>5.0000000000000001E-3</v>
      </c>
      <c r="N91" s="1537"/>
      <c r="O91" s="1537">
        <v>0.123031</v>
      </c>
      <c r="P91" s="1539">
        <v>5.0000000000000001E-3</v>
      </c>
      <c r="Q91" s="1537"/>
      <c r="R91" s="1537">
        <v>0.123031</v>
      </c>
    </row>
    <row r="92" spans="1:18" ht="21.95" hidden="1" customHeight="1" thickBot="1">
      <c r="A92" s="2572"/>
      <c r="B92" s="2678"/>
      <c r="C92" s="2756"/>
      <c r="D92" s="1549" t="s">
        <v>1622</v>
      </c>
      <c r="E92" s="1485"/>
      <c r="F92" s="756"/>
      <c r="G92" s="1547"/>
      <c r="H92" s="1547"/>
      <c r="I92" s="1548">
        <f t="shared" si="8"/>
        <v>0</v>
      </c>
      <c r="J92" s="745">
        <f t="shared" si="7"/>
        <v>0</v>
      </c>
      <c r="K92" s="1537"/>
      <c r="L92" s="1537">
        <v>0.123031</v>
      </c>
      <c r="M92" s="1539">
        <v>5.0000000000000001E-3</v>
      </c>
      <c r="N92" s="1537"/>
      <c r="O92" s="1537">
        <v>0.123031</v>
      </c>
      <c r="P92" s="1539">
        <v>5.0000000000000001E-3</v>
      </c>
      <c r="Q92" s="1537"/>
      <c r="R92" s="1537">
        <v>0.123031</v>
      </c>
    </row>
    <row r="93" spans="1:18" ht="21.95" hidden="1" customHeight="1">
      <c r="A93" s="2572"/>
      <c r="B93" s="2677" t="s">
        <v>2345</v>
      </c>
      <c r="C93" s="2755"/>
      <c r="D93" s="882" t="s">
        <v>2346</v>
      </c>
      <c r="E93" s="1388"/>
      <c r="F93" s="749"/>
      <c r="G93" s="1550"/>
      <c r="H93" s="1550"/>
      <c r="I93" s="1186">
        <f t="shared" si="8"/>
        <v>0</v>
      </c>
      <c r="J93" s="745">
        <f t="shared" si="7"/>
        <v>0</v>
      </c>
      <c r="K93" s="1537"/>
      <c r="L93" s="1537">
        <v>0.49809900000000001</v>
      </c>
      <c r="M93" s="1539">
        <v>1.8E-3</v>
      </c>
      <c r="N93" s="1537"/>
      <c r="O93" s="1537">
        <v>0.49809900000000001</v>
      </c>
      <c r="P93" s="1539">
        <v>1.8E-3</v>
      </c>
      <c r="Q93" s="1537"/>
      <c r="R93" s="1537">
        <v>0.49809900000000001</v>
      </c>
    </row>
    <row r="94" spans="1:18" ht="21.95" hidden="1" customHeight="1" thickBot="1">
      <c r="A94" s="2572"/>
      <c r="B94" s="2678"/>
      <c r="C94" s="2756"/>
      <c r="D94" s="1549" t="s">
        <v>1621</v>
      </c>
      <c r="E94" s="1485"/>
      <c r="F94" s="756"/>
      <c r="G94" s="1547"/>
      <c r="H94" s="1547"/>
      <c r="I94" s="1548">
        <f t="shared" si="8"/>
        <v>0</v>
      </c>
      <c r="J94" s="745">
        <f t="shared" si="7"/>
        <v>0</v>
      </c>
      <c r="K94" s="1537"/>
      <c r="L94" s="1537">
        <v>0.49809900000000001</v>
      </c>
      <c r="M94" s="1539">
        <v>1.8E-3</v>
      </c>
      <c r="N94" s="1537"/>
      <c r="O94" s="1537">
        <v>0.49809900000000001</v>
      </c>
      <c r="P94" s="1539">
        <v>1.8E-3</v>
      </c>
      <c r="Q94" s="1537"/>
      <c r="R94" s="1537">
        <v>0.49809900000000001</v>
      </c>
    </row>
    <row r="95" spans="1:18" ht="21.95" hidden="1" customHeight="1" thickBot="1">
      <c r="A95" s="2572"/>
      <c r="B95" s="2683" t="s">
        <v>1837</v>
      </c>
      <c r="C95" s="2670"/>
      <c r="D95" s="1551" t="s">
        <v>2347</v>
      </c>
      <c r="E95" s="1513"/>
      <c r="F95" s="1358"/>
      <c r="G95" s="913">
        <f>G96</f>
        <v>0</v>
      </c>
      <c r="H95" s="913"/>
      <c r="I95" s="1548">
        <f t="shared" si="8"/>
        <v>0</v>
      </c>
      <c r="J95" s="745">
        <f t="shared" si="7"/>
        <v>0</v>
      </c>
      <c r="K95" s="1552"/>
      <c r="L95" s="1552"/>
      <c r="M95" s="1552"/>
      <c r="N95" s="1552"/>
      <c r="O95" s="1552"/>
      <c r="P95" s="1552"/>
      <c r="Q95" s="1552"/>
      <c r="R95" s="1552"/>
    </row>
    <row r="96" spans="1:18" ht="21.95" hidden="1" customHeight="1">
      <c r="A96" s="2572"/>
      <c r="B96" s="2748" t="s">
        <v>2276</v>
      </c>
      <c r="C96" s="2700"/>
      <c r="D96" s="747" t="s">
        <v>2348</v>
      </c>
      <c r="E96" s="1388"/>
      <c r="F96" s="749"/>
      <c r="G96" s="908">
        <f>G77*1.25</f>
        <v>0</v>
      </c>
      <c r="H96" s="908"/>
      <c r="I96" s="1533">
        <f t="shared" si="8"/>
        <v>0</v>
      </c>
      <c r="J96" s="745">
        <f t="shared" si="7"/>
        <v>0</v>
      </c>
      <c r="K96" s="1552"/>
      <c r="L96" s="1552"/>
      <c r="M96" s="1552"/>
      <c r="N96" s="1552"/>
      <c r="O96" s="1552"/>
      <c r="P96" s="1552"/>
      <c r="Q96" s="1552"/>
      <c r="R96" s="1552"/>
    </row>
    <row r="97" spans="1:18" ht="21.95" hidden="1" customHeight="1">
      <c r="A97" s="2572"/>
      <c r="B97" s="2575"/>
      <c r="C97" s="2710"/>
      <c r="D97" s="747" t="s">
        <v>1847</v>
      </c>
      <c r="E97" s="1388"/>
      <c r="F97" s="749"/>
      <c r="G97" s="908">
        <f>(SUMPRODUCT(G79:G83,$K79:$K83)*$K$78+SUMPRODUCT(G89:G94,$L89:$L94)*$L$78+SUMPRODUCT(G89:G94,$M89:$M94)*$M$78)/1000</f>
        <v>0</v>
      </c>
      <c r="H97" s="908"/>
      <c r="I97" s="910">
        <f t="shared" si="8"/>
        <v>0</v>
      </c>
      <c r="J97" s="745">
        <f t="shared" si="7"/>
        <v>0</v>
      </c>
      <c r="K97" s="1552"/>
      <c r="L97" s="1552"/>
      <c r="M97" s="1552"/>
      <c r="N97" s="1552"/>
      <c r="O97" s="1552"/>
      <c r="P97" s="1552"/>
      <c r="Q97" s="1552"/>
      <c r="R97" s="1552"/>
    </row>
    <row r="98" spans="1:18" ht="21.95" hidden="1" customHeight="1">
      <c r="A98" s="2572"/>
      <c r="B98" s="2575"/>
      <c r="C98" s="2710"/>
      <c r="D98" s="763" t="s">
        <v>2068</v>
      </c>
      <c r="E98" s="1388"/>
      <c r="F98" s="749"/>
      <c r="G98" s="908">
        <f>SUMPRODUCT(G79:G83,$N79:$N83)*$N$78+SUMPRODUCT(G89:G94,$O89:$O94)*$O$78+SUMPRODUCT(G89:G94,$P89:$P94)*$P$78</f>
        <v>0</v>
      </c>
      <c r="H98" s="908"/>
      <c r="I98" s="910">
        <f t="shared" si="8"/>
        <v>0</v>
      </c>
      <c r="J98" s="745">
        <f t="shared" si="7"/>
        <v>0</v>
      </c>
      <c r="K98" s="1552"/>
      <c r="L98" s="1552"/>
      <c r="M98" s="1552"/>
      <c r="N98" s="1552"/>
      <c r="O98" s="1552"/>
      <c r="P98" s="1552"/>
      <c r="Q98" s="1552"/>
      <c r="R98" s="1552"/>
    </row>
    <row r="99" spans="1:18" ht="21.95" hidden="1" customHeight="1" thickBot="1">
      <c r="A99" s="2572"/>
      <c r="B99" s="2575"/>
      <c r="C99" s="2710"/>
      <c r="D99" s="896" t="s">
        <v>2052</v>
      </c>
      <c r="E99" s="1388"/>
      <c r="F99" s="749"/>
      <c r="G99" s="908">
        <f>G50</f>
        <v>0</v>
      </c>
      <c r="H99" s="908"/>
      <c r="I99" s="910">
        <f t="shared" si="8"/>
        <v>0</v>
      </c>
      <c r="J99" s="745">
        <f t="shared" si="7"/>
        <v>0</v>
      </c>
      <c r="K99" s="1552"/>
      <c r="L99" s="1552"/>
      <c r="M99" s="1552"/>
      <c r="N99" s="1552"/>
      <c r="O99" s="1552"/>
      <c r="P99" s="1552"/>
      <c r="Q99" s="1552"/>
      <c r="R99" s="1552"/>
    </row>
    <row r="100" spans="1:18" ht="21.95" hidden="1" customHeight="1">
      <c r="A100" s="2572"/>
      <c r="B100" s="2748"/>
      <c r="C100" s="2700"/>
      <c r="D100" s="740" t="s">
        <v>2053</v>
      </c>
      <c r="E100" s="1388"/>
      <c r="F100" s="749"/>
      <c r="G100" s="905">
        <f t="shared" ref="G100:G101" si="9">G63</f>
        <v>0</v>
      </c>
      <c r="H100" s="908"/>
      <c r="I100" s="1277">
        <f t="shared" si="8"/>
        <v>0</v>
      </c>
      <c r="J100" s="745">
        <f t="shared" si="7"/>
        <v>0</v>
      </c>
      <c r="K100" s="1552"/>
      <c r="L100" s="1552"/>
      <c r="M100" s="1552"/>
      <c r="N100" s="1552"/>
      <c r="O100" s="1552"/>
      <c r="P100" s="1552"/>
      <c r="Q100" s="1552"/>
      <c r="R100" s="1552"/>
    </row>
    <row r="101" spans="1:18" ht="21.95" hidden="1" customHeight="1">
      <c r="A101" s="2572"/>
      <c r="B101" s="2575"/>
      <c r="C101" s="2710"/>
      <c r="D101" s="763" t="s">
        <v>2054</v>
      </c>
      <c r="E101" s="1388"/>
      <c r="F101" s="749"/>
      <c r="G101" s="908">
        <f t="shared" si="9"/>
        <v>0</v>
      </c>
      <c r="H101" s="908"/>
      <c r="I101" s="910">
        <f t="shared" si="8"/>
        <v>0</v>
      </c>
      <c r="J101" s="745">
        <f t="shared" si="7"/>
        <v>0</v>
      </c>
      <c r="K101" s="1552"/>
      <c r="L101" s="1552"/>
      <c r="M101" s="1552"/>
      <c r="N101" s="1552"/>
      <c r="O101" s="1552"/>
      <c r="P101" s="1552"/>
      <c r="Q101" s="1552"/>
      <c r="R101" s="1552"/>
    </row>
    <row r="102" spans="1:18" ht="21.95" hidden="1" customHeight="1">
      <c r="A102" s="2572"/>
      <c r="B102" s="2575"/>
      <c r="C102" s="2710"/>
      <c r="D102" s="747" t="s">
        <v>1999</v>
      </c>
      <c r="E102" s="1388"/>
      <c r="F102" s="749"/>
      <c r="G102" s="908">
        <f>SUMPRODUCT(G79:G83,$Q79:$Q83)*$Q$78+SUMPRODUCT(G89:G94,$R89:$R94)*$R$78</f>
        <v>0</v>
      </c>
      <c r="H102" s="908"/>
      <c r="I102" s="910">
        <f t="shared" si="8"/>
        <v>0</v>
      </c>
      <c r="J102" s="745">
        <f t="shared" si="7"/>
        <v>0</v>
      </c>
      <c r="K102" s="1552"/>
      <c r="L102" s="1552"/>
      <c r="M102" s="1552"/>
      <c r="N102" s="1552"/>
      <c r="O102" s="1552"/>
      <c r="P102" s="1552"/>
      <c r="Q102" s="1552"/>
      <c r="R102" s="1552"/>
    </row>
    <row r="103" spans="1:18" ht="21.95" hidden="1" customHeight="1">
      <c r="A103" s="2572"/>
      <c r="B103" s="2575"/>
      <c r="C103" s="2710"/>
      <c r="D103" s="747" t="s">
        <v>2349</v>
      </c>
      <c r="E103" s="1388"/>
      <c r="F103" s="749"/>
      <c r="G103" s="908">
        <f>G41+G44+G47</f>
        <v>0</v>
      </c>
      <c r="H103" s="908"/>
      <c r="I103" s="910">
        <f t="shared" si="8"/>
        <v>0</v>
      </c>
      <c r="J103" s="745">
        <f t="shared" si="7"/>
        <v>0</v>
      </c>
      <c r="K103" s="1552"/>
      <c r="L103" s="1552"/>
      <c r="M103" s="1552"/>
      <c r="N103" s="1552"/>
      <c r="O103" s="1552"/>
      <c r="P103" s="1552"/>
      <c r="Q103" s="1552"/>
      <c r="R103" s="1552"/>
    </row>
    <row r="104" spans="1:18" ht="21.95" hidden="1" customHeight="1" thickBot="1">
      <c r="A104" s="2572"/>
      <c r="B104" s="2575"/>
      <c r="C104" s="2710"/>
      <c r="D104" s="747" t="s">
        <v>2350</v>
      </c>
      <c r="E104" s="1388"/>
      <c r="F104" s="749"/>
      <c r="G104" s="908">
        <f>G51+G56</f>
        <v>0</v>
      </c>
      <c r="H104" s="908"/>
      <c r="I104" s="910">
        <f t="shared" si="8"/>
        <v>0</v>
      </c>
      <c r="J104" s="745">
        <f t="shared" si="7"/>
        <v>0</v>
      </c>
      <c r="K104" s="1552"/>
      <c r="L104" s="1552"/>
      <c r="M104" s="1552"/>
      <c r="N104" s="1552"/>
      <c r="O104" s="1552"/>
      <c r="P104" s="1552"/>
      <c r="Q104" s="1552"/>
      <c r="R104" s="1552"/>
    </row>
    <row r="105" spans="1:18" ht="21.95" hidden="1" customHeight="1">
      <c r="A105" s="2572"/>
      <c r="B105" s="2748"/>
      <c r="C105" s="2700"/>
      <c r="D105" s="747" t="s">
        <v>2060</v>
      </c>
      <c r="E105" s="1388"/>
      <c r="F105" s="749"/>
      <c r="G105" s="908">
        <f t="shared" ref="G105:G106" si="10">G65</f>
        <v>0</v>
      </c>
      <c r="H105" s="908"/>
      <c r="I105" s="910">
        <f t="shared" si="8"/>
        <v>0</v>
      </c>
      <c r="J105" s="745">
        <f t="shared" si="7"/>
        <v>0</v>
      </c>
      <c r="K105" s="1552"/>
      <c r="L105" s="1552"/>
      <c r="M105" s="1552"/>
      <c r="N105" s="1552"/>
      <c r="O105" s="1552"/>
      <c r="P105" s="1552"/>
      <c r="Q105" s="1552"/>
      <c r="R105" s="1552"/>
    </row>
    <row r="106" spans="1:18" ht="21.95" hidden="1" customHeight="1">
      <c r="A106" s="2572"/>
      <c r="B106" s="2575"/>
      <c r="C106" s="2710"/>
      <c r="D106" s="747" t="s">
        <v>2061</v>
      </c>
      <c r="E106" s="1388"/>
      <c r="F106" s="749"/>
      <c r="G106" s="908">
        <f t="shared" si="10"/>
        <v>0</v>
      </c>
      <c r="H106" s="908"/>
      <c r="I106" s="910">
        <f t="shared" si="8"/>
        <v>0</v>
      </c>
      <c r="J106" s="745">
        <f t="shared" si="7"/>
        <v>0</v>
      </c>
      <c r="K106" s="1552"/>
      <c r="L106" s="1552"/>
      <c r="M106" s="1552"/>
      <c r="N106" s="1552"/>
      <c r="O106" s="1552"/>
      <c r="P106" s="1552"/>
      <c r="Q106" s="1552"/>
      <c r="R106" s="1552"/>
    </row>
    <row r="107" spans="1:18" ht="21.95" hidden="1" customHeight="1" thickBot="1">
      <c r="A107" s="2572"/>
      <c r="B107" s="2575"/>
      <c r="C107" s="2710"/>
      <c r="D107" s="747" t="s">
        <v>2351</v>
      </c>
      <c r="E107" s="1388"/>
      <c r="F107" s="749"/>
      <c r="G107" s="908">
        <f>G42+G45+G48</f>
        <v>0</v>
      </c>
      <c r="H107" s="908"/>
      <c r="I107" s="910">
        <f t="shared" si="8"/>
        <v>0</v>
      </c>
      <c r="J107" s="745">
        <f t="shared" si="7"/>
        <v>0</v>
      </c>
      <c r="K107" s="1552"/>
      <c r="L107" s="1552"/>
      <c r="M107" s="1552"/>
      <c r="N107" s="1552"/>
      <c r="O107" s="1552"/>
      <c r="P107" s="1552"/>
      <c r="Q107" s="1552"/>
      <c r="R107" s="1552"/>
    </row>
    <row r="108" spans="1:18" ht="21.95" hidden="1" customHeight="1">
      <c r="A108" s="2572"/>
      <c r="B108" s="2748"/>
      <c r="C108" s="2700"/>
      <c r="D108" s="747" t="s">
        <v>2280</v>
      </c>
      <c r="E108" s="1388"/>
      <c r="F108" s="749"/>
      <c r="G108" s="908">
        <f>G54</f>
        <v>0</v>
      </c>
      <c r="H108" s="908"/>
      <c r="I108" s="910">
        <f t="shared" si="8"/>
        <v>0</v>
      </c>
      <c r="J108" s="745">
        <f t="shared" si="7"/>
        <v>0</v>
      </c>
      <c r="K108" s="1552"/>
      <c r="L108" s="1552"/>
      <c r="M108" s="1552"/>
      <c r="N108" s="1552"/>
      <c r="O108" s="1552"/>
      <c r="P108" s="1552"/>
      <c r="Q108" s="1552"/>
      <c r="R108" s="1552"/>
    </row>
    <row r="109" spans="1:18" ht="21.95" hidden="1" customHeight="1">
      <c r="A109" s="2572"/>
      <c r="B109" s="2575"/>
      <c r="C109" s="2710"/>
      <c r="D109" s="747" t="s">
        <v>2064</v>
      </c>
      <c r="E109" s="1388"/>
      <c r="F109" s="749"/>
      <c r="G109" s="908">
        <f>G52+G57</f>
        <v>0</v>
      </c>
      <c r="H109" s="908"/>
      <c r="I109" s="910">
        <f t="shared" si="8"/>
        <v>0</v>
      </c>
      <c r="J109" s="745">
        <f t="shared" si="7"/>
        <v>0</v>
      </c>
      <c r="K109" s="1552"/>
      <c r="L109" s="1552"/>
      <c r="M109" s="1552"/>
      <c r="N109" s="1552"/>
      <c r="O109" s="1552"/>
      <c r="P109" s="1552"/>
      <c r="Q109" s="1552"/>
      <c r="R109" s="1552"/>
    </row>
    <row r="110" spans="1:18" ht="21.95" hidden="1" customHeight="1" thickBot="1">
      <c r="A110" s="2572"/>
      <c r="B110" s="2575"/>
      <c r="C110" s="2710"/>
      <c r="D110" s="747" t="s">
        <v>2065</v>
      </c>
      <c r="E110" s="1388"/>
      <c r="F110" s="749"/>
      <c r="G110" s="908">
        <f>G70</f>
        <v>0</v>
      </c>
      <c r="H110" s="908"/>
      <c r="I110" s="910">
        <f t="shared" si="8"/>
        <v>0</v>
      </c>
      <c r="J110" s="745">
        <f t="shared" si="7"/>
        <v>0</v>
      </c>
      <c r="K110" s="1552"/>
      <c r="L110" s="1552"/>
      <c r="M110" s="1552"/>
      <c r="N110" s="1552"/>
      <c r="O110" s="1552"/>
      <c r="P110" s="1552"/>
      <c r="Q110" s="1552"/>
      <c r="R110" s="1552"/>
    </row>
    <row r="111" spans="1:18" ht="21.95" hidden="1" customHeight="1">
      <c r="A111" s="2572"/>
      <c r="B111" s="2748"/>
      <c r="C111" s="2700"/>
      <c r="D111" s="747" t="s">
        <v>2352</v>
      </c>
      <c r="E111" s="1388"/>
      <c r="F111" s="749"/>
      <c r="G111" s="908">
        <f t="shared" ref="G111:G113" si="11">G67</f>
        <v>0</v>
      </c>
      <c r="H111" s="908"/>
      <c r="I111" s="910">
        <f t="shared" si="8"/>
        <v>0</v>
      </c>
      <c r="J111" s="745">
        <f t="shared" si="7"/>
        <v>0</v>
      </c>
      <c r="K111" s="1552"/>
      <c r="L111" s="1552"/>
      <c r="M111" s="1552"/>
      <c r="N111" s="1552"/>
      <c r="O111" s="1552"/>
      <c r="P111" s="1552"/>
      <c r="Q111" s="1552"/>
      <c r="R111" s="1552"/>
    </row>
    <row r="112" spans="1:18" ht="21.95" hidden="1" customHeight="1">
      <c r="A112" s="2572"/>
      <c r="B112" s="2575"/>
      <c r="C112" s="2710"/>
      <c r="D112" s="747" t="s">
        <v>2353</v>
      </c>
      <c r="E112" s="1388"/>
      <c r="F112" s="749"/>
      <c r="G112" s="908">
        <f t="shared" si="11"/>
        <v>0</v>
      </c>
      <c r="H112" s="908"/>
      <c r="I112" s="910">
        <f t="shared" si="8"/>
        <v>0</v>
      </c>
      <c r="J112" s="745">
        <f t="shared" si="7"/>
        <v>0</v>
      </c>
      <c r="K112" s="1552"/>
      <c r="L112" s="1552"/>
      <c r="M112" s="1552"/>
      <c r="N112" s="1552"/>
      <c r="O112" s="1552"/>
      <c r="P112" s="1552"/>
      <c r="Q112" s="1552"/>
      <c r="R112" s="1552"/>
    </row>
    <row r="113" spans="1:18" ht="21.95" hidden="1" customHeight="1" thickBot="1">
      <c r="A113" s="2572"/>
      <c r="B113" s="2575"/>
      <c r="C113" s="2710"/>
      <c r="D113" s="747" t="s">
        <v>2354</v>
      </c>
      <c r="E113" s="1388"/>
      <c r="F113" s="749"/>
      <c r="G113" s="908">
        <f t="shared" si="11"/>
        <v>0</v>
      </c>
      <c r="H113" s="908"/>
      <c r="I113" s="910">
        <f t="shared" si="8"/>
        <v>0</v>
      </c>
      <c r="J113" s="745">
        <f t="shared" si="7"/>
        <v>0</v>
      </c>
      <c r="K113" s="1552"/>
      <c r="L113" s="1552"/>
      <c r="M113" s="1552"/>
      <c r="N113" s="1552"/>
      <c r="O113" s="1552"/>
      <c r="P113" s="1552"/>
      <c r="Q113" s="1552"/>
      <c r="R113" s="1552"/>
    </row>
    <row r="114" spans="1:18" ht="21.95" hidden="1" customHeight="1">
      <c r="A114" s="2572"/>
      <c r="B114" s="2748"/>
      <c r="C114" s="2700"/>
      <c r="D114" s="747" t="s">
        <v>2066</v>
      </c>
      <c r="E114" s="1388"/>
      <c r="F114" s="749"/>
      <c r="G114" s="908">
        <f>(+G59+G60+G61)*2.5548</f>
        <v>0</v>
      </c>
      <c r="H114" s="908"/>
      <c r="I114" s="910">
        <f t="shared" si="8"/>
        <v>0</v>
      </c>
      <c r="J114" s="745">
        <f t="shared" si="7"/>
        <v>0</v>
      </c>
      <c r="K114" s="1552"/>
      <c r="L114" s="1552"/>
      <c r="M114" s="1552"/>
      <c r="N114" s="1552"/>
      <c r="O114" s="1552"/>
      <c r="P114" s="1552"/>
      <c r="Q114" s="1552"/>
      <c r="R114" s="1552"/>
    </row>
    <row r="115" spans="1:18" ht="21.95" hidden="1" customHeight="1" thickBot="1">
      <c r="A115" s="2572"/>
      <c r="B115" s="2749"/>
      <c r="C115" s="2701"/>
      <c r="D115" s="754" t="s">
        <v>2067</v>
      </c>
      <c r="E115" s="1388"/>
      <c r="F115" s="749"/>
      <c r="G115" s="908">
        <f>G62*2.346</f>
        <v>0</v>
      </c>
      <c r="H115" s="908"/>
      <c r="I115" s="912">
        <f t="shared" si="8"/>
        <v>0</v>
      </c>
      <c r="J115" s="745">
        <f t="shared" si="7"/>
        <v>0</v>
      </c>
      <c r="K115" s="1552"/>
      <c r="L115" s="1552"/>
      <c r="M115" s="1552"/>
      <c r="N115" s="1552"/>
      <c r="O115" s="1552"/>
      <c r="P115" s="1552"/>
      <c r="Q115" s="1552"/>
      <c r="R115" s="1552"/>
    </row>
    <row r="116" spans="1:18" ht="21.95" hidden="1" customHeight="1">
      <c r="A116" s="2572"/>
      <c r="B116" s="2748" t="s">
        <v>2000</v>
      </c>
      <c r="C116" s="2700"/>
      <c r="D116" s="747" t="s">
        <v>2348</v>
      </c>
      <c r="E116" s="1410"/>
      <c r="F116" s="1411"/>
      <c r="G116" s="905">
        <f t="shared" ref="G116:G135" si="12">G96</f>
        <v>0</v>
      </c>
      <c r="H116" s="905"/>
      <c r="I116" s="1533"/>
      <c r="J116" s="745"/>
    </row>
    <row r="117" spans="1:18" ht="21.95" hidden="1" customHeight="1">
      <c r="A117" s="2572"/>
      <c r="B117" s="2575"/>
      <c r="C117" s="2710"/>
      <c r="D117" s="747" t="s">
        <v>1847</v>
      </c>
      <c r="E117" s="1404"/>
      <c r="F117" s="1405"/>
      <c r="G117" s="908">
        <f t="shared" si="12"/>
        <v>0</v>
      </c>
      <c r="H117" s="908"/>
      <c r="I117" s="910"/>
      <c r="J117" s="745"/>
    </row>
    <row r="118" spans="1:18" ht="21.95" hidden="1" customHeight="1">
      <c r="A118" s="2572"/>
      <c r="B118" s="2575"/>
      <c r="C118" s="2710"/>
      <c r="D118" s="763" t="s">
        <v>2068</v>
      </c>
      <c r="E118" s="1404"/>
      <c r="F118" s="1405"/>
      <c r="G118" s="908">
        <f t="shared" si="12"/>
        <v>0</v>
      </c>
      <c r="H118" s="908"/>
      <c r="I118" s="910"/>
      <c r="J118" s="745"/>
    </row>
    <row r="119" spans="1:18" ht="21.95" hidden="1" customHeight="1">
      <c r="A119" s="2572"/>
      <c r="B119" s="2575"/>
      <c r="C119" s="2710"/>
      <c r="D119" s="763" t="s">
        <v>2052</v>
      </c>
      <c r="E119" s="1404"/>
      <c r="F119" s="1405"/>
      <c r="G119" s="908">
        <f t="shared" si="12"/>
        <v>0</v>
      </c>
      <c r="H119" s="908"/>
      <c r="I119" s="910"/>
      <c r="J119" s="745"/>
    </row>
    <row r="120" spans="1:18" ht="21.95" hidden="1" customHeight="1">
      <c r="A120" s="2572"/>
      <c r="B120" s="2575"/>
      <c r="C120" s="2710"/>
      <c r="D120" s="763" t="s">
        <v>2053</v>
      </c>
      <c r="E120" s="1404"/>
      <c r="F120" s="1405"/>
      <c r="G120" s="908">
        <f t="shared" si="12"/>
        <v>0</v>
      </c>
      <c r="H120" s="908"/>
      <c r="I120" s="910"/>
      <c r="J120" s="745"/>
    </row>
    <row r="121" spans="1:18" ht="21.95" hidden="1" customHeight="1">
      <c r="A121" s="2572"/>
      <c r="B121" s="2575"/>
      <c r="C121" s="2710"/>
      <c r="D121" s="763" t="s">
        <v>2054</v>
      </c>
      <c r="E121" s="1404"/>
      <c r="F121" s="1405"/>
      <c r="G121" s="908">
        <f t="shared" si="12"/>
        <v>0</v>
      </c>
      <c r="H121" s="908"/>
      <c r="I121" s="910"/>
      <c r="J121" s="745"/>
    </row>
    <row r="122" spans="1:18" ht="21.95" hidden="1" customHeight="1">
      <c r="A122" s="2572"/>
      <c r="B122" s="2575"/>
      <c r="C122" s="2710"/>
      <c r="D122" s="747" t="s">
        <v>1999</v>
      </c>
      <c r="E122" s="1404"/>
      <c r="F122" s="1405"/>
      <c r="G122" s="908">
        <f t="shared" si="12"/>
        <v>0</v>
      </c>
      <c r="H122" s="908"/>
      <c r="I122" s="910"/>
      <c r="J122" s="745"/>
    </row>
    <row r="123" spans="1:18" ht="21.95" hidden="1" customHeight="1">
      <c r="A123" s="2572"/>
      <c r="B123" s="2575"/>
      <c r="C123" s="2710"/>
      <c r="D123" s="747" t="s">
        <v>2349</v>
      </c>
      <c r="E123" s="1404"/>
      <c r="F123" s="1405"/>
      <c r="G123" s="908">
        <f t="shared" si="12"/>
        <v>0</v>
      </c>
      <c r="H123" s="908"/>
      <c r="I123" s="910"/>
      <c r="J123" s="745"/>
    </row>
    <row r="124" spans="1:18" ht="21.95" hidden="1" customHeight="1">
      <c r="A124" s="2572"/>
      <c r="B124" s="2575"/>
      <c r="C124" s="2710"/>
      <c r="D124" s="747" t="s">
        <v>2350</v>
      </c>
      <c r="E124" s="1404"/>
      <c r="F124" s="1405"/>
      <c r="G124" s="908">
        <f t="shared" si="12"/>
        <v>0</v>
      </c>
      <c r="H124" s="908"/>
      <c r="I124" s="910"/>
      <c r="J124" s="745"/>
    </row>
    <row r="125" spans="1:18" ht="21.95" hidden="1" customHeight="1">
      <c r="A125" s="2572"/>
      <c r="B125" s="2575"/>
      <c r="C125" s="2710"/>
      <c r="D125" s="747" t="s">
        <v>2060</v>
      </c>
      <c r="E125" s="1404"/>
      <c r="F125" s="1405"/>
      <c r="G125" s="908">
        <f t="shared" si="12"/>
        <v>0</v>
      </c>
      <c r="H125" s="908"/>
      <c r="I125" s="910"/>
      <c r="J125" s="745"/>
    </row>
    <row r="126" spans="1:18" ht="21.95" hidden="1" customHeight="1">
      <c r="A126" s="2572"/>
      <c r="B126" s="2575"/>
      <c r="C126" s="2710"/>
      <c r="D126" s="747" t="s">
        <v>2061</v>
      </c>
      <c r="E126" s="1404"/>
      <c r="F126" s="1405"/>
      <c r="G126" s="908">
        <f t="shared" si="12"/>
        <v>0</v>
      </c>
      <c r="H126" s="908"/>
      <c r="I126" s="910"/>
      <c r="J126" s="745"/>
    </row>
    <row r="127" spans="1:18" ht="21.95" hidden="1" customHeight="1">
      <c r="A127" s="2572"/>
      <c r="B127" s="2575"/>
      <c r="C127" s="2710"/>
      <c r="D127" s="747" t="s">
        <v>2351</v>
      </c>
      <c r="E127" s="1404"/>
      <c r="F127" s="1405"/>
      <c r="G127" s="908">
        <f t="shared" si="12"/>
        <v>0</v>
      </c>
      <c r="H127" s="908"/>
      <c r="I127" s="910"/>
      <c r="J127" s="745"/>
    </row>
    <row r="128" spans="1:18" ht="21.95" hidden="1" customHeight="1">
      <c r="A128" s="2572"/>
      <c r="B128" s="2575"/>
      <c r="C128" s="2710"/>
      <c r="D128" s="747" t="s">
        <v>2280</v>
      </c>
      <c r="E128" s="1404"/>
      <c r="F128" s="1405"/>
      <c r="G128" s="908">
        <f t="shared" si="12"/>
        <v>0</v>
      </c>
      <c r="H128" s="908"/>
      <c r="I128" s="910"/>
      <c r="J128" s="745"/>
    </row>
    <row r="129" spans="1:11" ht="21.95" hidden="1" customHeight="1">
      <c r="A129" s="2572"/>
      <c r="B129" s="2575"/>
      <c r="C129" s="2710"/>
      <c r="D129" s="747" t="s">
        <v>2064</v>
      </c>
      <c r="E129" s="1404"/>
      <c r="F129" s="1405"/>
      <c r="G129" s="908">
        <f t="shared" si="12"/>
        <v>0</v>
      </c>
      <c r="H129" s="908"/>
      <c r="I129" s="910"/>
      <c r="J129" s="745"/>
    </row>
    <row r="130" spans="1:11" ht="21.95" hidden="1" customHeight="1">
      <c r="A130" s="2572"/>
      <c r="B130" s="2575"/>
      <c r="C130" s="2710"/>
      <c r="D130" s="747" t="s">
        <v>2065</v>
      </c>
      <c r="E130" s="1404"/>
      <c r="F130" s="1405"/>
      <c r="G130" s="908">
        <f t="shared" si="12"/>
        <v>0</v>
      </c>
      <c r="H130" s="908"/>
      <c r="I130" s="910"/>
      <c r="J130" s="745"/>
    </row>
    <row r="131" spans="1:11" ht="21.95" hidden="1" customHeight="1">
      <c r="A131" s="2572"/>
      <c r="B131" s="2575"/>
      <c r="C131" s="2710"/>
      <c r="D131" s="747" t="s">
        <v>2352</v>
      </c>
      <c r="E131" s="1404"/>
      <c r="F131" s="1405"/>
      <c r="G131" s="908">
        <f t="shared" si="12"/>
        <v>0</v>
      </c>
      <c r="H131" s="908"/>
      <c r="I131" s="910"/>
      <c r="J131" s="745"/>
    </row>
    <row r="132" spans="1:11" ht="21.95" hidden="1" customHeight="1">
      <c r="A132" s="2572"/>
      <c r="B132" s="2575"/>
      <c r="C132" s="2710"/>
      <c r="D132" s="747" t="s">
        <v>2353</v>
      </c>
      <c r="E132" s="1404"/>
      <c r="F132" s="1405"/>
      <c r="G132" s="908">
        <f t="shared" si="12"/>
        <v>0</v>
      </c>
      <c r="H132" s="908"/>
      <c r="I132" s="910"/>
      <c r="J132" s="745"/>
    </row>
    <row r="133" spans="1:11" ht="21.95" hidden="1" customHeight="1">
      <c r="A133" s="2572"/>
      <c r="B133" s="2575"/>
      <c r="C133" s="2710"/>
      <c r="D133" s="747" t="s">
        <v>2354</v>
      </c>
      <c r="E133" s="1404"/>
      <c r="F133" s="1405"/>
      <c r="G133" s="908">
        <f t="shared" si="12"/>
        <v>0</v>
      </c>
      <c r="H133" s="908"/>
      <c r="I133" s="910"/>
      <c r="J133" s="745"/>
    </row>
    <row r="134" spans="1:11" ht="21.95" hidden="1" customHeight="1">
      <c r="A134" s="2572"/>
      <c r="B134" s="2575"/>
      <c r="C134" s="2710"/>
      <c r="D134" s="747" t="s">
        <v>2066</v>
      </c>
      <c r="E134" s="1404"/>
      <c r="F134" s="1405"/>
      <c r="G134" s="908">
        <f t="shared" si="12"/>
        <v>0</v>
      </c>
      <c r="H134" s="908"/>
      <c r="I134" s="910"/>
      <c r="J134" s="745"/>
    </row>
    <row r="135" spans="1:11" ht="21.95" hidden="1" customHeight="1" thickBot="1">
      <c r="A135" s="2572"/>
      <c r="B135" s="2749"/>
      <c r="C135" s="2701"/>
      <c r="D135" s="754" t="s">
        <v>2067</v>
      </c>
      <c r="E135" s="1407"/>
      <c r="F135" s="1408"/>
      <c r="G135" s="901">
        <f t="shared" si="12"/>
        <v>0</v>
      </c>
      <c r="H135" s="901"/>
      <c r="I135" s="912"/>
      <c r="J135" s="745"/>
    </row>
    <row r="136" spans="1:11" s="710" customFormat="1" ht="50.1" customHeight="1" thickBot="1">
      <c r="A136" s="2573"/>
      <c r="B136" s="2750" t="s">
        <v>1400</v>
      </c>
      <c r="C136" s="2741"/>
      <c r="D136" s="2742"/>
      <c r="E136" s="1553"/>
      <c r="F136" s="1096"/>
      <c r="G136" s="1554"/>
      <c r="H136" s="1554"/>
      <c r="I136" s="947"/>
      <c r="J136" s="794">
        <v>1</v>
      </c>
      <c r="K136" s="955"/>
    </row>
    <row r="137" spans="1:11" ht="19.5" thickTop="1"/>
    <row r="138" spans="1:11" s="710" customFormat="1" ht="11.25"/>
    <row r="139" spans="1:11" s="710" customFormat="1" ht="11.25"/>
    <row r="140" spans="1:11" s="710" customFormat="1" ht="11.25"/>
    <row r="141" spans="1:11" s="710" customFormat="1" ht="11.25"/>
    <row r="142" spans="1:11" s="710" customFormat="1" ht="11.25"/>
    <row r="143" spans="1:11" s="710" customFormat="1" ht="11.25"/>
    <row r="144" spans="1:11" s="710" customFormat="1" ht="11.25"/>
    <row r="145" s="710" customFormat="1" ht="11.25"/>
    <row r="146" s="710" customFormat="1" ht="11.25"/>
    <row r="147" s="710" customFormat="1" ht="11.25"/>
    <row r="148" s="710" customFormat="1" ht="11.25"/>
    <row r="149" s="710" customFormat="1" ht="11.25"/>
    <row r="150" s="710" customFormat="1" ht="11.25"/>
  </sheetData>
  <autoFilter ref="A2:J136" xr:uid="{00000000-0001-0000-1800-000000000000}">
    <filterColumn colId="1" showButton="0"/>
    <filterColumn colId="2" showButton="0"/>
    <filterColumn colId="9">
      <customFilters>
        <customFilter operator="notEqual" val=" "/>
      </customFilters>
    </filterColumn>
  </autoFilter>
  <mergeCells count="46">
    <mergeCell ref="A2:A136"/>
    <mergeCell ref="B2:D2"/>
    <mergeCell ref="B3:D3"/>
    <mergeCell ref="B4:D4"/>
    <mergeCell ref="B5:D5"/>
    <mergeCell ref="B6:C18"/>
    <mergeCell ref="D10:F10"/>
    <mergeCell ref="B19:C22"/>
    <mergeCell ref="F19:F22"/>
    <mergeCell ref="B23:C28"/>
    <mergeCell ref="B55:C57"/>
    <mergeCell ref="F23:F26"/>
    <mergeCell ref="F27:F28"/>
    <mergeCell ref="B29:C33"/>
    <mergeCell ref="F29:F31"/>
    <mergeCell ref="F32:F33"/>
    <mergeCell ref="B34:C39"/>
    <mergeCell ref="F34:F36"/>
    <mergeCell ref="F37:F39"/>
    <mergeCell ref="B40:C42"/>
    <mergeCell ref="B43:C45"/>
    <mergeCell ref="B46:C48"/>
    <mergeCell ref="B49:C52"/>
    <mergeCell ref="B53:C54"/>
    <mergeCell ref="B58:C70"/>
    <mergeCell ref="B71:B77"/>
    <mergeCell ref="C71:C72"/>
    <mergeCell ref="C73:C74"/>
    <mergeCell ref="K74:M74"/>
    <mergeCell ref="Q74:R74"/>
    <mergeCell ref="C75:C76"/>
    <mergeCell ref="C77:D77"/>
    <mergeCell ref="B78:B83"/>
    <mergeCell ref="C78:C79"/>
    <mergeCell ref="C80:C81"/>
    <mergeCell ref="C82:C83"/>
    <mergeCell ref="N74:P74"/>
    <mergeCell ref="B96:C115"/>
    <mergeCell ref="B116:C135"/>
    <mergeCell ref="B136:D136"/>
    <mergeCell ref="B84:C86"/>
    <mergeCell ref="B87:C88"/>
    <mergeCell ref="B89:C90"/>
    <mergeCell ref="B91:C92"/>
    <mergeCell ref="B93:C94"/>
    <mergeCell ref="B95:C95"/>
  </mergeCells>
  <conditionalFormatting sqref="G15:G17">
    <cfRule type="expression" dxfId="62" priority="1">
      <formula>COUNTA(G$19:G$22)&gt;0</formula>
    </cfRule>
    <cfRule type="expression" dxfId="61" priority="2">
      <formula>G$27+G$32+G$38&gt;0</formula>
    </cfRule>
  </conditionalFormatting>
  <conditionalFormatting sqref="G10:H10">
    <cfRule type="expression" dxfId="60" priority="3">
      <formula>G$10="erro"</formula>
    </cfRule>
  </conditionalFormatting>
  <hyperlinks>
    <hyperlink ref="B2:D2" location="PAINEL!A1" display="VIAS" xr:uid="{113342C4-E9DA-4442-A957-52FF80C2FCDE}"/>
  </hyperlinks>
  <printOptions horizontalCentered="1"/>
  <pageMargins left="0.39370078740157483" right="0.59055118110236227" top="0.78740157480314965" bottom="0.59055118110236227" header="0.23622047244094491" footer="0.23622047244094491"/>
  <pageSetup paperSize="8" scale="80" fitToWidth="6" orientation="portrait" r:id="rId1"/>
  <headerFooter>
    <oddFooter>&amp;C&amp;8Página &amp;P/&amp;N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DCC31-9EEA-49FC-8243-80FF17AAE56A}">
  <dimension ref="A1:F20"/>
  <sheetViews>
    <sheetView workbookViewId="0">
      <selection activeCell="I15" sqref="I15"/>
    </sheetView>
  </sheetViews>
  <sheetFormatPr defaultRowHeight="12.75"/>
  <cols>
    <col min="1" max="1" width="12.125" style="2402" customWidth="1"/>
    <col min="2" max="2" width="35.625" style="2414" customWidth="1"/>
    <col min="3" max="3" width="9" style="2402"/>
    <col min="4" max="4" width="13" style="2402" customWidth="1"/>
    <col min="5" max="5" width="11" style="2402" customWidth="1"/>
    <col min="6" max="6" width="12.25" style="2402" customWidth="1"/>
    <col min="8" max="8" width="10.875" bestFit="1" customWidth="1"/>
  </cols>
  <sheetData>
    <row r="1" spans="1:6" ht="12">
      <c r="A1" s="2796" t="s">
        <v>3516</v>
      </c>
      <c r="B1" s="2796"/>
      <c r="C1" s="2796"/>
      <c r="D1" s="2796"/>
      <c r="E1" s="2796"/>
      <c r="F1" s="2796"/>
    </row>
    <row r="2" spans="1:6" ht="12">
      <c r="A2" s="2796" t="s">
        <v>3517</v>
      </c>
      <c r="B2" s="2796"/>
      <c r="C2" s="2796"/>
      <c r="D2" s="2796"/>
      <c r="E2" s="2796"/>
      <c r="F2" s="2796"/>
    </row>
    <row r="3" spans="1:6" ht="12">
      <c r="A3" s="2398"/>
      <c r="B3" s="2399"/>
      <c r="C3" s="2398"/>
      <c r="D3" s="2398"/>
      <c r="E3" s="2398"/>
      <c r="F3" s="2398"/>
    </row>
    <row r="4" spans="1:6" ht="12">
      <c r="A4" s="2398" t="s">
        <v>4041</v>
      </c>
      <c r="B4" s="2796" t="s">
        <v>3518</v>
      </c>
      <c r="C4" s="2796"/>
      <c r="D4" s="2796"/>
      <c r="E4" s="2796"/>
      <c r="F4" s="2796"/>
    </row>
    <row r="5" spans="1:6" ht="12">
      <c r="A5" s="2398" t="s">
        <v>2963</v>
      </c>
      <c r="B5" s="2399" t="s">
        <v>3519</v>
      </c>
      <c r="C5" s="2398"/>
      <c r="D5" s="2398"/>
      <c r="E5" s="2398"/>
      <c r="F5" s="2398"/>
    </row>
    <row r="6" spans="1:6" ht="12">
      <c r="A6" s="2398" t="s">
        <v>1204</v>
      </c>
      <c r="B6" s="2399" t="s">
        <v>3520</v>
      </c>
      <c r="C6" s="2398"/>
      <c r="D6" s="2398"/>
      <c r="E6" s="2398"/>
      <c r="F6" s="2398"/>
    </row>
    <row r="7" spans="1:6" ht="12">
      <c r="A7" s="2398"/>
      <c r="B7" s="2399"/>
      <c r="C7" s="2398"/>
      <c r="D7" s="2398"/>
      <c r="E7" s="2398"/>
      <c r="F7" s="2398"/>
    </row>
    <row r="8" spans="1:6">
      <c r="A8" s="2398">
        <v>0</v>
      </c>
      <c r="B8" s="2400"/>
      <c r="C8" s="2401"/>
    </row>
    <row r="9" spans="1:6">
      <c r="A9" s="2403"/>
      <c r="B9" s="2404"/>
      <c r="C9" s="2398"/>
    </row>
    <row r="10" spans="1:6">
      <c r="A10" s="2403"/>
      <c r="B10" s="2404"/>
      <c r="C10" s="2398"/>
    </row>
    <row r="11" spans="1:6" ht="15.75">
      <c r="A11" s="2457" t="s">
        <v>4052</v>
      </c>
      <c r="B11" s="2457"/>
      <c r="C11" s="2457"/>
      <c r="D11" s="2457"/>
      <c r="E11" s="2457"/>
      <c r="F11" s="2457"/>
    </row>
    <row r="13" spans="1:6" ht="24">
      <c r="A13" s="2405" t="s">
        <v>26</v>
      </c>
      <c r="B13" s="2406" t="s">
        <v>1411</v>
      </c>
      <c r="C13" s="2405" t="s">
        <v>4042</v>
      </c>
      <c r="D13" s="2405" t="s">
        <v>4043</v>
      </c>
      <c r="E13" s="2405" t="s">
        <v>4044</v>
      </c>
      <c r="F13" s="2405" t="s">
        <v>4045</v>
      </c>
    </row>
    <row r="14" spans="1:6" ht="40.5" customHeight="1">
      <c r="A14" s="2407">
        <v>2</v>
      </c>
      <c r="B14" s="2408" t="s">
        <v>48</v>
      </c>
      <c r="C14" s="2409"/>
      <c r="D14" s="2410"/>
      <c r="E14" s="2411" t="s">
        <v>4051</v>
      </c>
      <c r="F14" s="2412"/>
    </row>
    <row r="15" spans="1:6" ht="93.75" customHeight="1">
      <c r="A15" s="2407" t="s">
        <v>4046</v>
      </c>
      <c r="B15" s="2413" t="s">
        <v>4047</v>
      </c>
      <c r="C15" s="2409" t="s">
        <v>464</v>
      </c>
      <c r="D15" s="2415">
        <v>3620.4</v>
      </c>
      <c r="E15" s="2416"/>
      <c r="F15" s="2417">
        <v>1810.2</v>
      </c>
    </row>
    <row r="16" spans="1:6" ht="12">
      <c r="A16" s="2407"/>
      <c r="B16" s="2410"/>
      <c r="C16" s="2407" t="s">
        <v>4048</v>
      </c>
      <c r="D16" s="2418"/>
      <c r="E16" s="2416"/>
      <c r="F16" s="2417"/>
    </row>
    <row r="17" spans="1:6" ht="12">
      <c r="A17" s="2407"/>
      <c r="B17" s="2410"/>
      <c r="C17" s="2409" t="s">
        <v>1418</v>
      </c>
      <c r="D17" s="2415">
        <v>17240</v>
      </c>
      <c r="E17" s="2416"/>
      <c r="F17" s="2417">
        <v>8620</v>
      </c>
    </row>
    <row r="18" spans="1:6" ht="75.75" customHeight="1">
      <c r="A18" s="2407" t="s">
        <v>4049</v>
      </c>
      <c r="B18" s="2413" t="s">
        <v>4050</v>
      </c>
      <c r="C18" s="2409" t="s">
        <v>464</v>
      </c>
      <c r="D18" s="2415">
        <v>775.8</v>
      </c>
      <c r="E18" s="2416"/>
      <c r="F18" s="2417">
        <v>387.9</v>
      </c>
    </row>
    <row r="19" spans="1:6" ht="12">
      <c r="A19" s="2407"/>
      <c r="B19" s="2410"/>
      <c r="C19" s="2407" t="s">
        <v>4048</v>
      </c>
      <c r="D19" s="2418"/>
      <c r="E19" s="2416"/>
      <c r="F19" s="2417"/>
    </row>
    <row r="20" spans="1:6" ht="12">
      <c r="A20" s="2407"/>
      <c r="B20" s="2410"/>
      <c r="C20" s="2409" t="s">
        <v>1418</v>
      </c>
      <c r="D20" s="2415">
        <v>25860</v>
      </c>
      <c r="E20" s="2416"/>
      <c r="F20" s="2417">
        <v>12930</v>
      </c>
    </row>
  </sheetData>
  <mergeCells count="4">
    <mergeCell ref="A1:F1"/>
    <mergeCell ref="A2:F2"/>
    <mergeCell ref="B4:F4"/>
    <mergeCell ref="A11:F11"/>
  </mergeCells>
  <conditionalFormatting sqref="A8">
    <cfRule type="cellIs" dxfId="59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098F0-3D8D-456F-9E51-5D8E4050FBE9}">
  <sheetPr codeName="Planilha44" filterMode="1">
    <tabColor rgb="FF92D050"/>
    <pageSetUpPr fitToPage="1"/>
  </sheetPr>
  <dimension ref="A1:AR1270"/>
  <sheetViews>
    <sheetView showZeros="0" topLeftCell="A5" zoomScaleNormal="100" workbookViewId="0">
      <selection activeCell="S15" sqref="S15"/>
    </sheetView>
  </sheetViews>
  <sheetFormatPr defaultColWidth="9" defaultRowHeight="12.75"/>
  <cols>
    <col min="1" max="1" width="16.625" style="13" customWidth="1"/>
    <col min="2" max="2" width="15.625" style="11" customWidth="1"/>
    <col min="3" max="3" width="15.625" style="12" hidden="1" customWidth="1"/>
    <col min="4" max="4" width="17.375" style="13" customWidth="1"/>
    <col min="5" max="5" width="90.625" style="14" customWidth="1"/>
    <col min="6" max="6" width="10" style="13" customWidth="1"/>
    <col min="7" max="7" width="8.125" style="13" customWidth="1"/>
    <col min="8" max="9" width="13.75" style="15" hidden="1" customWidth="1"/>
    <col min="10" max="10" width="16.5" style="13" hidden="1" customWidth="1"/>
    <col min="11" max="11" width="16.5" style="13" customWidth="1"/>
    <col min="12" max="13" width="16.5" style="13" hidden="1" customWidth="1"/>
    <col min="14" max="14" width="13.5" style="13" customWidth="1"/>
    <col min="15" max="15" width="13.625" style="13" customWidth="1"/>
    <col min="16" max="18" width="13.625" style="13" hidden="1" customWidth="1"/>
    <col min="19" max="19" width="15.75" style="13" customWidth="1"/>
    <col min="20" max="23" width="15.75" style="13" hidden="1" customWidth="1"/>
    <col min="24" max="24" width="11.875" style="16" customWidth="1"/>
    <col min="25" max="25" width="11.875" style="16" hidden="1" customWidth="1"/>
    <col min="26" max="26" width="11.875" style="16" customWidth="1"/>
    <col min="27" max="29" width="11.875" style="16" hidden="1" customWidth="1"/>
    <col min="30" max="30" width="11.25" style="16" customWidth="1"/>
    <col min="31" max="31" width="23.5" style="241" hidden="1" customWidth="1"/>
    <col min="32" max="32" width="22" style="242" hidden="1" customWidth="1"/>
    <col min="33" max="33" width="22" style="132" hidden="1" customWidth="1"/>
    <col min="34" max="34" width="14.25" style="243" hidden="1" customWidth="1"/>
    <col min="35" max="35" width="29" style="244" hidden="1" customWidth="1"/>
    <col min="36" max="36" width="18.5" style="244" hidden="1" customWidth="1"/>
    <col min="37" max="37" width="13.75" style="244" hidden="1" customWidth="1"/>
    <col min="38" max="38" width="8.75" style="244" hidden="1" customWidth="1"/>
    <col min="39" max="39" width="12.75" style="244" hidden="1" customWidth="1"/>
    <col min="40" max="40" width="22.75" style="244" hidden="1" customWidth="1"/>
    <col min="41" max="44" width="27.5" style="244" customWidth="1"/>
    <col min="45" max="45" width="12.625" style="13" customWidth="1"/>
    <col min="46" max="46" width="13.25" style="13" customWidth="1"/>
    <col min="47" max="50" width="9" style="13" customWidth="1"/>
    <col min="51" max="51" width="9" style="13"/>
    <col min="52" max="52" width="13.375" style="13" customWidth="1"/>
    <col min="53" max="16384" width="9" style="13"/>
  </cols>
  <sheetData>
    <row r="1" spans="1:44" s="20" customFormat="1" ht="26.65" customHeight="1">
      <c r="A1" s="10"/>
      <c r="B1" s="11"/>
      <c r="C1" s="12"/>
      <c r="D1" s="13"/>
      <c r="E1" s="14"/>
      <c r="F1" s="13"/>
      <c r="G1" s="13"/>
      <c r="H1" s="15"/>
      <c r="I1" s="15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6"/>
      <c r="Y1" s="16"/>
      <c r="Z1" s="17"/>
      <c r="AA1" s="17"/>
      <c r="AB1" s="17"/>
      <c r="AC1" s="17"/>
      <c r="AD1" s="17"/>
      <c r="AE1" s="18" t="s">
        <v>0</v>
      </c>
      <c r="AF1" s="19" t="s">
        <v>1</v>
      </c>
      <c r="AH1" s="21" t="s">
        <v>2</v>
      </c>
      <c r="AI1" s="22"/>
      <c r="AJ1" s="22"/>
      <c r="AK1" s="22"/>
      <c r="AL1" s="22"/>
      <c r="AM1" s="22"/>
      <c r="AN1" s="22"/>
      <c r="AO1" s="22"/>
      <c r="AP1" s="22"/>
      <c r="AQ1" s="22"/>
      <c r="AR1" s="22"/>
    </row>
    <row r="2" spans="1:44" s="35" customFormat="1" ht="26.65" customHeight="1">
      <c r="A2" s="23"/>
      <c r="B2" s="24" t="s">
        <v>3516</v>
      </c>
      <c r="C2" s="25"/>
      <c r="D2" s="26"/>
      <c r="E2" s="27"/>
      <c r="F2" s="26"/>
      <c r="G2" s="28"/>
      <c r="H2" s="12"/>
      <c r="I2" s="12"/>
      <c r="J2" s="12"/>
      <c r="K2" s="12"/>
      <c r="L2" s="12"/>
      <c r="M2" s="12"/>
      <c r="N2" s="29" t="s">
        <v>3</v>
      </c>
      <c r="O2" s="30">
        <v>45383</v>
      </c>
      <c r="P2" s="30">
        <v>45383</v>
      </c>
      <c r="Q2" s="30">
        <v>45383</v>
      </c>
      <c r="R2" s="30"/>
      <c r="S2" s="12"/>
      <c r="T2" s="12"/>
      <c r="U2" s="30"/>
      <c r="V2" s="30"/>
      <c r="W2" s="30"/>
      <c r="X2" s="31"/>
      <c r="Y2" s="31"/>
      <c r="Z2" s="32"/>
      <c r="AA2" s="32"/>
      <c r="AB2" s="32"/>
      <c r="AC2" s="32"/>
      <c r="AD2" s="32"/>
      <c r="AE2" s="33" t="s">
        <v>4</v>
      </c>
      <c r="AF2" s="34"/>
      <c r="AH2" s="2477" t="s">
        <v>5</v>
      </c>
      <c r="AI2" s="2477"/>
      <c r="AJ2" s="36" t="s">
        <v>6</v>
      </c>
      <c r="AK2" s="36"/>
    </row>
    <row r="3" spans="1:44" s="35" customFormat="1" ht="26.65" customHeight="1">
      <c r="A3" s="23"/>
      <c r="B3" s="23" t="s">
        <v>3517</v>
      </c>
      <c r="C3" s="25"/>
      <c r="D3" s="26"/>
      <c r="E3" s="27"/>
      <c r="F3" s="26"/>
      <c r="G3" s="28"/>
      <c r="H3" s="12"/>
      <c r="I3" s="12"/>
      <c r="J3" s="12"/>
      <c r="K3" s="12"/>
      <c r="L3" s="12"/>
      <c r="M3" s="12"/>
      <c r="N3" s="29" t="s">
        <v>7</v>
      </c>
      <c r="O3" s="37" t="s">
        <v>8</v>
      </c>
      <c r="P3" s="37" t="s">
        <v>9</v>
      </c>
      <c r="Q3" s="37" t="s">
        <v>8</v>
      </c>
      <c r="R3" s="37"/>
      <c r="S3" s="12"/>
      <c r="T3" s="12"/>
      <c r="U3" s="37"/>
      <c r="V3" s="37"/>
      <c r="W3" s="37"/>
      <c r="X3" s="31"/>
      <c r="Y3" s="31"/>
      <c r="Z3" s="32"/>
      <c r="AA3" s="32"/>
      <c r="AB3" s="32"/>
      <c r="AC3" s="32"/>
      <c r="AD3" s="32"/>
      <c r="AE3" s="33" t="s">
        <v>4</v>
      </c>
      <c r="AF3" s="34"/>
      <c r="AG3" s="38"/>
      <c r="AH3" s="39" t="s">
        <v>10</v>
      </c>
      <c r="AI3" s="40" t="str">
        <f>IF(S15=S1269,"OK","ERRO")</f>
        <v>OK</v>
      </c>
      <c r="AJ3" s="41" t="s">
        <v>11</v>
      </c>
      <c r="AK3" s="40" t="s">
        <v>12</v>
      </c>
    </row>
    <row r="4" spans="1:44" s="35" customFormat="1" ht="26.65" customHeight="1">
      <c r="A4" s="42"/>
      <c r="B4" s="26">
        <v>0</v>
      </c>
      <c r="C4" s="25"/>
      <c r="D4" s="43"/>
      <c r="E4" s="44"/>
      <c r="F4" s="28"/>
      <c r="G4" s="28"/>
      <c r="H4" s="12"/>
      <c r="I4" s="12"/>
      <c r="J4" s="29"/>
      <c r="K4" s="29"/>
      <c r="L4" s="29"/>
      <c r="M4" s="29"/>
      <c r="N4" s="29" t="s">
        <v>13</v>
      </c>
      <c r="O4" s="45">
        <v>1.0676000000000001</v>
      </c>
      <c r="P4" s="45">
        <v>0.79349999999999998</v>
      </c>
      <c r="Q4" s="45">
        <v>1.0676000000000001</v>
      </c>
      <c r="R4" s="45"/>
      <c r="S4" s="12"/>
      <c r="T4" s="12"/>
      <c r="U4" s="12"/>
      <c r="V4" s="12"/>
      <c r="W4" s="12"/>
      <c r="X4" s="31"/>
      <c r="Y4" s="31"/>
      <c r="Z4" s="32"/>
      <c r="AA4" s="32"/>
      <c r="AB4" s="32"/>
      <c r="AC4" s="32"/>
      <c r="AD4" s="32"/>
      <c r="AE4" s="33" t="s">
        <v>4</v>
      </c>
      <c r="AF4" s="34"/>
      <c r="AG4" s="38"/>
      <c r="AH4" s="46"/>
    </row>
    <row r="5" spans="1:44" s="35" customFormat="1" ht="26.65" customHeight="1">
      <c r="B5" s="47"/>
      <c r="C5" s="25"/>
      <c r="D5" s="48"/>
      <c r="E5" s="49"/>
      <c r="F5" s="28"/>
      <c r="G5" s="50"/>
      <c r="H5" s="12"/>
      <c r="I5" s="12"/>
      <c r="J5" s="12"/>
      <c r="K5" s="12"/>
      <c r="L5" s="12"/>
      <c r="M5" s="12"/>
      <c r="N5" s="29" t="s">
        <v>14</v>
      </c>
      <c r="O5" s="45">
        <v>0.64390000000000003</v>
      </c>
      <c r="P5" s="45">
        <v>0.42449999999999999</v>
      </c>
      <c r="Q5" s="45">
        <v>0.64390000000000003</v>
      </c>
      <c r="R5" s="45"/>
      <c r="S5" s="12"/>
      <c r="T5" s="12"/>
      <c r="U5" s="12"/>
      <c r="V5" s="12"/>
      <c r="W5" s="12"/>
      <c r="X5" s="31"/>
      <c r="Y5" s="31"/>
      <c r="AA5" s="32"/>
      <c r="AB5" s="32"/>
      <c r="AC5" s="32"/>
      <c r="AD5" s="32"/>
      <c r="AE5" s="33" t="s">
        <v>4</v>
      </c>
      <c r="AF5" s="34"/>
      <c r="AG5" s="38"/>
      <c r="AH5" s="51" t="s">
        <v>15</v>
      </c>
    </row>
    <row r="6" spans="1:44" s="35" customFormat="1" ht="26.65" customHeight="1">
      <c r="A6" s="23"/>
      <c r="B6" s="52" t="s">
        <v>16</v>
      </c>
      <c r="C6" s="53"/>
      <c r="D6" s="48" t="s">
        <v>3518</v>
      </c>
      <c r="E6" s="54"/>
      <c r="F6" s="55"/>
      <c r="G6" s="55"/>
      <c r="H6" s="12"/>
      <c r="I6" s="12"/>
      <c r="J6" s="12"/>
      <c r="K6" s="12"/>
      <c r="L6" s="12"/>
      <c r="M6" s="12"/>
      <c r="N6" s="29" t="s">
        <v>17</v>
      </c>
      <c r="O6" s="56">
        <v>0.20699999999999999</v>
      </c>
      <c r="P6" s="56">
        <v>0.26739999999999997</v>
      </c>
      <c r="Q6" s="56">
        <v>0.20699999999999999</v>
      </c>
      <c r="R6" s="56"/>
      <c r="S6" s="12"/>
      <c r="T6" s="12"/>
      <c r="U6" s="12"/>
      <c r="V6" s="12"/>
      <c r="W6" s="12"/>
      <c r="X6" s="31"/>
      <c r="Y6" s="31"/>
      <c r="AA6" s="32"/>
      <c r="AB6" s="32"/>
      <c r="AC6" s="32"/>
      <c r="AD6" s="32"/>
      <c r="AE6" s="33" t="s">
        <v>4</v>
      </c>
      <c r="AF6" s="34"/>
      <c r="AG6" s="38"/>
      <c r="AH6" s="33">
        <f>SUM(S19,S20)</f>
        <v>0</v>
      </c>
    </row>
    <row r="7" spans="1:44" s="35" customFormat="1" ht="26.65" customHeight="1">
      <c r="A7" s="23"/>
      <c r="B7" s="52" t="s">
        <v>18</v>
      </c>
      <c r="C7" s="53"/>
      <c r="D7" s="48" t="s">
        <v>3519</v>
      </c>
      <c r="E7" s="54"/>
      <c r="F7" s="57"/>
      <c r="G7" s="57"/>
      <c r="H7" s="12"/>
      <c r="I7" s="12"/>
      <c r="J7" s="12"/>
      <c r="K7" s="12"/>
      <c r="L7" s="12"/>
      <c r="M7" s="12"/>
      <c r="N7" s="29" t="s">
        <v>19</v>
      </c>
      <c r="O7" s="56">
        <v>0.1527</v>
      </c>
      <c r="P7" s="56">
        <v>0.1527</v>
      </c>
      <c r="Q7" s="56">
        <v>0.1527</v>
      </c>
      <c r="R7" s="56"/>
      <c r="S7" s="12"/>
      <c r="T7" s="12"/>
      <c r="U7" s="58" t="s">
        <v>20</v>
      </c>
      <c r="V7" s="59">
        <f>V15-U15</f>
        <v>0</v>
      </c>
      <c r="W7" s="60">
        <f>IFERROR((1-(V15/U15))*(-1),0)</f>
        <v>0</v>
      </c>
      <c r="X7" s="31"/>
      <c r="Y7" s="31"/>
      <c r="AA7" s="32"/>
      <c r="AB7" s="32"/>
      <c r="AC7" s="32"/>
      <c r="AD7" s="32"/>
      <c r="AE7" s="33" t="s">
        <v>4</v>
      </c>
      <c r="AF7" s="34"/>
      <c r="AG7" s="38"/>
      <c r="AH7" s="46"/>
    </row>
    <row r="8" spans="1:44" s="35" customFormat="1" ht="26.65" customHeight="1">
      <c r="A8" s="23"/>
      <c r="B8" s="52" t="s">
        <v>21</v>
      </c>
      <c r="C8" s="53"/>
      <c r="D8" s="48" t="s">
        <v>3520</v>
      </c>
      <c r="E8" s="61"/>
      <c r="F8" s="62"/>
      <c r="G8" s="62"/>
      <c r="H8" s="12"/>
      <c r="I8" s="12"/>
      <c r="J8" s="12"/>
      <c r="K8" s="12"/>
      <c r="L8" s="12"/>
      <c r="M8" s="12"/>
      <c r="N8" s="29" t="s">
        <v>22</v>
      </c>
      <c r="O8" s="56">
        <v>0.27850000000000003</v>
      </c>
      <c r="P8" s="56">
        <v>0.27850000000000003</v>
      </c>
      <c r="Q8" s="56">
        <v>0.27850000000000003</v>
      </c>
      <c r="R8" s="56"/>
      <c r="S8" s="12"/>
      <c r="T8" s="12"/>
      <c r="U8" s="58" t="s">
        <v>23</v>
      </c>
      <c r="V8" s="59" cm="1">
        <f t="array" aca="1" ref="V8" ca="1">IFERROR(SUM(IF(ISNUMBER(L42:L1268),L42:L1268,0)*IF(ISNUMBER(R42:R1268),R42:R1268,0)),0)</f>
        <v>0</v>
      </c>
      <c r="W8" s="60">
        <f ca="1">IFERROR(V8/U15,0)</f>
        <v>0</v>
      </c>
      <c r="X8" s="63"/>
      <c r="Y8" s="63"/>
      <c r="Z8" s="64"/>
      <c r="AA8" s="64"/>
      <c r="AB8" s="64"/>
      <c r="AC8" s="64"/>
      <c r="AD8" s="64"/>
      <c r="AE8" s="33" t="s">
        <v>4</v>
      </c>
      <c r="AF8" s="34"/>
      <c r="AG8" s="38"/>
      <c r="AH8" s="46"/>
      <c r="AM8" s="65"/>
    </row>
    <row r="9" spans="1:44" s="35" customFormat="1" ht="26.65" customHeight="1">
      <c r="A9" s="42"/>
      <c r="B9" s="52"/>
      <c r="C9" s="53"/>
      <c r="D9" s="48"/>
      <c r="E9" s="61"/>
      <c r="F9" s="43"/>
      <c r="G9" s="43"/>
      <c r="H9" s="15"/>
      <c r="I9" s="15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58" t="s">
        <v>24</v>
      </c>
      <c r="V9" s="59" cm="1">
        <f t="array" aca="1" ref="V9" ca="1">IFERROR(SUM(IF(ISNUMBER(M42:M1268),M42:M1268,0)*IF(ISNUMBER(R42:R1268),R42:R1268,0)),0)</f>
        <v>0</v>
      </c>
      <c r="W9" s="60">
        <f ca="1">IFERROR(V9/U15,0)</f>
        <v>0</v>
      </c>
      <c r="X9" s="28"/>
      <c r="Y9" s="28"/>
      <c r="Z9" s="66"/>
      <c r="AA9" s="66"/>
      <c r="AB9" s="66"/>
      <c r="AC9" s="66"/>
      <c r="AD9" s="66"/>
      <c r="AE9" s="33" t="s">
        <v>4</v>
      </c>
      <c r="AF9" s="34"/>
      <c r="AG9" s="38"/>
      <c r="AH9" s="46"/>
    </row>
    <row r="10" spans="1:44" s="35" customFormat="1" ht="26.65" customHeight="1">
      <c r="A10" s="42"/>
      <c r="B10" s="52"/>
      <c r="C10" s="53"/>
      <c r="D10" s="48"/>
      <c r="E10" s="27"/>
      <c r="F10" s="43"/>
      <c r="G10" s="43"/>
      <c r="H10" s="15"/>
      <c r="I10" s="15"/>
      <c r="J10" s="12"/>
      <c r="K10" s="67"/>
      <c r="L10" s="12"/>
      <c r="M10" s="12"/>
      <c r="N10" s="12"/>
      <c r="O10" s="12"/>
      <c r="P10" s="12"/>
      <c r="Q10" s="12"/>
      <c r="R10" s="12"/>
      <c r="S10" s="67"/>
      <c r="T10" s="68"/>
      <c r="U10" s="68"/>
      <c r="V10" s="68"/>
      <c r="W10" s="68"/>
      <c r="X10" s="28"/>
      <c r="Y10" s="28"/>
      <c r="Z10" s="66"/>
      <c r="AA10" s="66"/>
      <c r="AB10" s="66"/>
      <c r="AC10" s="66"/>
      <c r="AD10" s="66"/>
      <c r="AE10" s="33" t="s">
        <v>4</v>
      </c>
      <c r="AF10" s="34"/>
      <c r="AG10" s="38"/>
      <c r="AH10" s="46"/>
    </row>
    <row r="11" spans="1:44" s="35" customFormat="1" ht="26.65" customHeight="1">
      <c r="A11" s="69"/>
      <c r="B11" s="70"/>
      <c r="C11" s="71"/>
      <c r="D11" s="26"/>
      <c r="E11" s="72" t="s">
        <v>25</v>
      </c>
      <c r="F11" s="73"/>
      <c r="G11" s="73"/>
      <c r="H11" s="74"/>
      <c r="I11" s="74"/>
      <c r="J11" s="12"/>
      <c r="K11" s="12"/>
      <c r="L11" s="12"/>
      <c r="M11" s="12"/>
      <c r="N11" s="12"/>
      <c r="O11" s="12"/>
      <c r="P11" s="12"/>
      <c r="Q11" s="12"/>
      <c r="R11" s="12"/>
      <c r="S11" s="68"/>
      <c r="T11" s="68"/>
      <c r="U11" s="68"/>
      <c r="V11" s="68"/>
      <c r="W11" s="68"/>
      <c r="X11" s="28"/>
      <c r="Y11" s="28"/>
      <c r="Z11" s="66"/>
      <c r="AA11" s="66"/>
      <c r="AB11" s="66"/>
      <c r="AC11" s="66"/>
      <c r="AD11" s="66"/>
      <c r="AE11" s="33" t="s">
        <v>4</v>
      </c>
      <c r="AF11" s="34"/>
      <c r="AG11" s="38"/>
      <c r="AH11" s="46"/>
    </row>
    <row r="12" spans="1:44" s="35" customFormat="1" ht="26.65" customHeight="1" thickBot="1">
      <c r="A12" s="42"/>
      <c r="B12" s="75"/>
      <c r="C12" s="12"/>
      <c r="D12" s="43"/>
      <c r="E12" s="44"/>
      <c r="F12" s="43"/>
      <c r="G12" s="43"/>
      <c r="H12" s="15"/>
      <c r="I12" s="15"/>
      <c r="J12" s="12"/>
      <c r="K12" s="12"/>
      <c r="L12" s="12"/>
      <c r="M12" s="12"/>
      <c r="N12" s="12"/>
      <c r="O12" s="12"/>
      <c r="P12" s="12"/>
      <c r="Q12" s="12"/>
      <c r="R12" s="12"/>
      <c r="S12" s="76"/>
      <c r="T12" s="76"/>
      <c r="U12" s="76"/>
      <c r="V12" s="76"/>
      <c r="W12" s="76"/>
      <c r="X12" s="28"/>
      <c r="Y12" s="28"/>
      <c r="Z12" s="66"/>
      <c r="AA12" s="66"/>
      <c r="AB12" s="66"/>
      <c r="AC12" s="66"/>
      <c r="AD12" s="66"/>
      <c r="AE12" s="33" t="s">
        <v>4</v>
      </c>
      <c r="AF12" s="34"/>
      <c r="AG12" s="38"/>
      <c r="AH12" s="46"/>
    </row>
    <row r="13" spans="1:44" s="82" customFormat="1" ht="24.95" customHeight="1" thickTop="1">
      <c r="A13" s="69"/>
      <c r="B13" s="2466" t="s">
        <v>26</v>
      </c>
      <c r="C13" s="2468"/>
      <c r="D13" s="2470" t="s">
        <v>27</v>
      </c>
      <c r="E13" s="2471"/>
      <c r="F13" s="2474"/>
      <c r="G13" s="2428" t="s">
        <v>28</v>
      </c>
      <c r="H13" s="2453"/>
      <c r="I13" s="2455"/>
      <c r="J13" s="2452" t="s">
        <v>29</v>
      </c>
      <c r="K13" s="2438"/>
      <c r="L13" s="2442"/>
      <c r="M13" s="2452"/>
      <c r="N13" s="2448"/>
      <c r="O13" s="2458"/>
      <c r="P13" s="2460"/>
      <c r="Q13" s="2462"/>
      <c r="R13" s="77"/>
      <c r="S13" s="2436" t="s">
        <v>30</v>
      </c>
      <c r="T13" s="2430" t="s">
        <v>31</v>
      </c>
      <c r="U13" s="2432" t="s">
        <v>31</v>
      </c>
      <c r="V13" s="2432"/>
      <c r="W13" s="2434"/>
      <c r="X13" s="2438" t="s">
        <v>32</v>
      </c>
      <c r="Y13" s="2464" t="s">
        <v>32</v>
      </c>
      <c r="Z13" s="2476"/>
      <c r="AA13" s="2476"/>
      <c r="AB13" s="2457"/>
      <c r="AC13" s="2457"/>
      <c r="AD13" s="72"/>
      <c r="AE13" s="33" t="s">
        <v>4</v>
      </c>
      <c r="AF13" s="34"/>
      <c r="AG13" s="38"/>
      <c r="AH13" s="78" t="s">
        <v>33</v>
      </c>
      <c r="AI13" s="79" t="s">
        <v>34</v>
      </c>
      <c r="AJ13" s="80" t="s">
        <v>35</v>
      </c>
      <c r="AK13" s="81"/>
    </row>
    <row r="14" spans="1:44" s="82" customFormat="1" ht="24.95" customHeight="1" thickBot="1">
      <c r="A14" s="69"/>
      <c r="B14" s="2467"/>
      <c r="C14" s="2469"/>
      <c r="D14" s="2472"/>
      <c r="E14" s="2473"/>
      <c r="F14" s="2475"/>
      <c r="G14" s="2429"/>
      <c r="H14" s="2454"/>
      <c r="I14" s="2456"/>
      <c r="J14" s="83" t="s">
        <v>36</v>
      </c>
      <c r="K14" s="84" t="s">
        <v>37</v>
      </c>
      <c r="L14" s="85" t="s">
        <v>23</v>
      </c>
      <c r="M14" s="83" t="s">
        <v>24</v>
      </c>
      <c r="N14" s="2449"/>
      <c r="O14" s="2459"/>
      <c r="P14" s="2461"/>
      <c r="Q14" s="2463"/>
      <c r="R14" s="86"/>
      <c r="S14" s="2437"/>
      <c r="T14" s="2431"/>
      <c r="U14" s="87" t="s">
        <v>36</v>
      </c>
      <c r="V14" s="87" t="s">
        <v>37</v>
      </c>
      <c r="W14" s="88" t="s">
        <v>38</v>
      </c>
      <c r="X14" s="2439"/>
      <c r="Y14" s="2465"/>
      <c r="Z14" s="2476"/>
      <c r="AA14" s="2476"/>
      <c r="AB14" s="2457"/>
      <c r="AC14" s="2457"/>
      <c r="AD14" s="72"/>
      <c r="AE14" s="33" t="s">
        <v>4</v>
      </c>
      <c r="AF14" s="34"/>
      <c r="AG14" s="38"/>
      <c r="AH14" s="78" t="s">
        <v>33</v>
      </c>
      <c r="AI14" s="79" t="s">
        <v>34</v>
      </c>
      <c r="AJ14" s="80" t="s">
        <v>35</v>
      </c>
      <c r="AK14" s="81"/>
    </row>
    <row r="15" spans="1:44" s="82" customFormat="1" ht="24.95" customHeight="1" thickTop="1">
      <c r="A15" s="69"/>
      <c r="B15" s="89"/>
      <c r="C15" s="90"/>
      <c r="D15" s="91"/>
      <c r="E15" s="91"/>
      <c r="F15" s="91"/>
      <c r="G15" s="91"/>
      <c r="H15" s="90"/>
      <c r="I15" s="90"/>
      <c r="J15" s="92"/>
      <c r="K15" s="92"/>
      <c r="L15" s="92"/>
      <c r="M15" s="92"/>
      <c r="N15" s="92"/>
      <c r="O15" s="91"/>
      <c r="P15" s="91"/>
      <c r="Q15" s="91"/>
      <c r="R15" s="91"/>
      <c r="S15" s="93">
        <f t="shared" ref="S15:Y15" si="0">SUM(S16:S38)</f>
        <v>3092449.6799999992</v>
      </c>
      <c r="T15" s="93">
        <f t="shared" si="0"/>
        <v>3401198.44</v>
      </c>
      <c r="U15" s="93">
        <f t="shared" si="0"/>
        <v>0</v>
      </c>
      <c r="V15" s="93">
        <f t="shared" si="0"/>
        <v>0</v>
      </c>
      <c r="W15" s="93">
        <f t="shared" si="0"/>
        <v>0</v>
      </c>
      <c r="X15" s="94">
        <f t="shared" si="0"/>
        <v>1</v>
      </c>
      <c r="Y15" s="94">
        <f t="shared" si="0"/>
        <v>1.0000000000000002</v>
      </c>
      <c r="Z15" s="95"/>
      <c r="AA15" s="95"/>
      <c r="AB15" s="96"/>
      <c r="AC15" s="96"/>
      <c r="AD15" s="96"/>
      <c r="AE15" s="33" t="s">
        <v>4</v>
      </c>
      <c r="AF15" s="96"/>
      <c r="AG15" s="38"/>
      <c r="AH15" s="78"/>
      <c r="AI15" s="79"/>
      <c r="AJ15" s="80"/>
      <c r="AK15" s="81"/>
    </row>
    <row r="16" spans="1:44" s="82" customFormat="1" ht="26.65" hidden="1" customHeight="1">
      <c r="B16" s="97">
        <v>0</v>
      </c>
      <c r="C16" s="67"/>
      <c r="D16" s="98"/>
      <c r="E16" s="98"/>
      <c r="F16" s="98"/>
      <c r="G16" s="98"/>
      <c r="H16" s="67"/>
      <c r="I16" s="67"/>
      <c r="J16" s="99"/>
      <c r="K16" s="99"/>
      <c r="L16" s="99"/>
      <c r="M16" s="99"/>
      <c r="N16" s="99"/>
      <c r="O16" s="98"/>
      <c r="P16" s="98"/>
      <c r="Q16" s="98"/>
      <c r="R16" s="98"/>
      <c r="S16" s="100"/>
      <c r="T16" s="100"/>
      <c r="U16" s="100"/>
      <c r="V16" s="100"/>
      <c r="W16" s="100"/>
      <c r="X16" s="101"/>
      <c r="Y16" s="101"/>
      <c r="Z16" s="95"/>
      <c r="AA16" s="95"/>
      <c r="AB16" s="96"/>
      <c r="AC16" s="96"/>
      <c r="AD16" s="96"/>
      <c r="AE16" s="102"/>
      <c r="AF16" s="103"/>
      <c r="AG16" s="38"/>
      <c r="AH16" s="78"/>
      <c r="AI16" s="79"/>
      <c r="AJ16" s="80"/>
      <c r="AK16" s="81"/>
    </row>
    <row r="17" spans="2:41" s="82" customFormat="1" ht="24.95" customHeight="1">
      <c r="B17" s="104">
        <f t="shared" ref="B17:B37" ca="1" si="1">IF(S17=0,0,MAX(OFFSET(B17,-1,0,-AF17,1))+1)</f>
        <v>1</v>
      </c>
      <c r="C17" s="67"/>
      <c r="D17" s="26" t="s">
        <v>39</v>
      </c>
      <c r="E17" s="105"/>
      <c r="F17" s="106"/>
      <c r="G17" s="107" t="str">
        <f>G43</f>
        <v>M2</v>
      </c>
      <c r="H17" s="67"/>
      <c r="I17" s="67"/>
      <c r="J17" s="108">
        <f>J43</f>
        <v>0</v>
      </c>
      <c r="K17" s="108">
        <f>K43</f>
        <v>16</v>
      </c>
      <c r="L17" s="108">
        <f>L43</f>
        <v>16</v>
      </c>
      <c r="M17" s="108">
        <f>M43</f>
        <v>0</v>
      </c>
      <c r="N17" s="108"/>
      <c r="O17" s="68"/>
      <c r="P17" s="109"/>
      <c r="Q17" s="109"/>
      <c r="R17" s="109"/>
      <c r="S17" s="110">
        <f>S42</f>
        <v>101788.53</v>
      </c>
      <c r="T17" s="110">
        <f>T42</f>
        <v>104286.02</v>
      </c>
      <c r="U17" s="110">
        <f>U42</f>
        <v>0</v>
      </c>
      <c r="V17" s="110">
        <f>V42</f>
        <v>0</v>
      </c>
      <c r="W17" s="110">
        <f>W42</f>
        <v>0</v>
      </c>
      <c r="X17" s="111">
        <f t="shared" ref="X17:X37" si="2">IFERROR(S17/ORCAMENTO_VALOR_TOTAL_ND,0)</f>
        <v>3.2915177458926352E-2</v>
      </c>
      <c r="Y17" s="111">
        <f t="shared" ref="Y17:Y37" si="3">IFERROR(T17/ORCAMENTO_VALOR_TOTAL_DE,0)</f>
        <v>3.0661551167828954E-2</v>
      </c>
      <c r="Z17" s="112"/>
      <c r="AA17" s="112"/>
      <c r="AB17" s="113"/>
      <c r="AC17" s="112"/>
      <c r="AD17" s="112"/>
      <c r="AE17" s="114">
        <f t="shared" ref="AE17:AE37" ca="1" si="4">IFERROR(TRUNC(B17,0),0)</f>
        <v>1</v>
      </c>
      <c r="AF17" s="115">
        <v>1</v>
      </c>
      <c r="AG17" s="38"/>
      <c r="AH17" s="116" t="str">
        <f>IF(SUBTOTAL(109,S43:S78)=S17,"OK","ERRO")</f>
        <v>ERRO</v>
      </c>
      <c r="AI17" s="117" t="str">
        <f t="shared" ref="AI17:AI37" si="5">IF(X17=S17/S$1269,"OK","ERRO")</f>
        <v>OK</v>
      </c>
      <c r="AJ17" s="118">
        <f>S_Preliminares!N4</f>
        <v>12</v>
      </c>
      <c r="AK17" s="80"/>
      <c r="AO17" s="119"/>
    </row>
    <row r="18" spans="2:41" s="82" customFormat="1" ht="26.65" hidden="1" customHeight="1">
      <c r="B18" s="104">
        <f t="shared" ca="1" si="1"/>
        <v>0</v>
      </c>
      <c r="C18" s="67"/>
      <c r="D18" s="26" t="s">
        <v>40</v>
      </c>
      <c r="E18" s="68"/>
      <c r="F18" s="106"/>
      <c r="G18" s="107" t="str">
        <f>+G89</f>
        <v>M</v>
      </c>
      <c r="H18" s="120"/>
      <c r="I18" s="120"/>
      <c r="J18" s="121">
        <f>+J89</f>
        <v>0</v>
      </c>
      <c r="K18" s="121">
        <f>+K89</f>
        <v>0</v>
      </c>
      <c r="L18" s="121">
        <f>+L89</f>
        <v>0</v>
      </c>
      <c r="M18" s="121">
        <f>+M89</f>
        <v>0</v>
      </c>
      <c r="N18" s="121"/>
      <c r="O18" s="68"/>
      <c r="P18" s="109"/>
      <c r="Q18" s="109"/>
      <c r="R18" s="109"/>
      <c r="S18" s="110">
        <f>S79</f>
        <v>0</v>
      </c>
      <c r="T18" s="110">
        <f>T79</f>
        <v>0</v>
      </c>
      <c r="U18" s="110">
        <f>U79</f>
        <v>0</v>
      </c>
      <c r="V18" s="110">
        <f>V79</f>
        <v>0</v>
      </c>
      <c r="W18" s="110">
        <f>W79</f>
        <v>0</v>
      </c>
      <c r="X18" s="111">
        <f t="shared" si="2"/>
        <v>0</v>
      </c>
      <c r="Y18" s="111">
        <f t="shared" si="3"/>
        <v>0</v>
      </c>
      <c r="Z18" s="112"/>
      <c r="AA18" s="112"/>
      <c r="AB18" s="113"/>
      <c r="AC18" s="113"/>
      <c r="AD18" s="113"/>
      <c r="AE18" s="114">
        <f t="shared" ca="1" si="4"/>
        <v>0</v>
      </c>
      <c r="AF18" s="115">
        <v>2</v>
      </c>
      <c r="AG18" s="38"/>
      <c r="AH18" s="116" t="str">
        <f>IF(SUBTOTAL(109,S80:S115)=S18,"OK","ERRO")</f>
        <v>OK</v>
      </c>
      <c r="AI18" s="117" t="str">
        <f t="shared" si="5"/>
        <v>OK</v>
      </c>
      <c r="AJ18" s="118" t="e">
        <f>ROUND(SUM(AK80:AK89)/240,0)</f>
        <v>#DIV/0!</v>
      </c>
      <c r="AK18" s="122"/>
    </row>
    <row r="19" spans="2:41" s="82" customFormat="1" ht="26.65" hidden="1" customHeight="1">
      <c r="B19" s="104">
        <f t="shared" ca="1" si="1"/>
        <v>0</v>
      </c>
      <c r="C19" s="67"/>
      <c r="D19" s="26" t="s">
        <v>41</v>
      </c>
      <c r="E19" s="68"/>
      <c r="F19" s="106"/>
      <c r="G19" s="107" t="str">
        <f>G122</f>
        <v>M3</v>
      </c>
      <c r="H19" s="123"/>
      <c r="I19" s="123"/>
      <c r="J19" s="121">
        <f>SUM(J122:J141)+J143</f>
        <v>0</v>
      </c>
      <c r="K19" s="121">
        <f>SUM(K122:K141)+K143</f>
        <v>0</v>
      </c>
      <c r="L19" s="121">
        <f>SUM(L122:L141)+L143</f>
        <v>0</v>
      </c>
      <c r="M19" s="121">
        <f>SUM(M122:M141)+M143</f>
        <v>0</v>
      </c>
      <c r="N19" s="121"/>
      <c r="O19" s="68"/>
      <c r="P19" s="109"/>
      <c r="Q19" s="109"/>
      <c r="R19" s="109"/>
      <c r="S19" s="110">
        <f>S118</f>
        <v>0</v>
      </c>
      <c r="T19" s="110">
        <f>T118</f>
        <v>0</v>
      </c>
      <c r="U19" s="110">
        <f>U118</f>
        <v>0</v>
      </c>
      <c r="V19" s="110">
        <f>V118</f>
        <v>0</v>
      </c>
      <c r="W19" s="110">
        <f>W118</f>
        <v>0</v>
      </c>
      <c r="X19" s="111">
        <f t="shared" si="2"/>
        <v>0</v>
      </c>
      <c r="Y19" s="111">
        <f t="shared" si="3"/>
        <v>0</v>
      </c>
      <c r="Z19" s="112"/>
      <c r="AA19" s="112"/>
      <c r="AB19" s="113"/>
      <c r="AC19" s="113"/>
      <c r="AD19" s="113"/>
      <c r="AE19" s="114">
        <f t="shared" ca="1" si="4"/>
        <v>0</v>
      </c>
      <c r="AF19" s="115">
        <v>3</v>
      </c>
      <c r="AG19" s="38"/>
      <c r="AH19" s="124" t="str">
        <f>IF(SUBTOTAL(109,S119:S202)=S19,"OK","ERRO")</f>
        <v>OK</v>
      </c>
      <c r="AI19" s="117" t="str">
        <f t="shared" si="5"/>
        <v>OK</v>
      </c>
      <c r="AJ19" s="118" t="e">
        <f>ROUND(SUM(AK122:AK143)/240,0)</f>
        <v>#DIV/0!</v>
      </c>
    </row>
    <row r="20" spans="2:41" s="82" customFormat="1" ht="26.65" hidden="1" customHeight="1">
      <c r="B20" s="104">
        <f t="shared" ca="1" si="1"/>
        <v>0</v>
      </c>
      <c r="C20" s="67"/>
      <c r="D20" s="26" t="s">
        <v>42</v>
      </c>
      <c r="E20" s="68"/>
      <c r="F20" s="106"/>
      <c r="G20" s="107" t="str">
        <f>G217</f>
        <v>M</v>
      </c>
      <c r="H20" s="123"/>
      <c r="I20" s="123"/>
      <c r="J20" s="108">
        <f>SUM(J217:J237)+SUM(J256:J262)</f>
        <v>0</v>
      </c>
      <c r="K20" s="108">
        <f>SUM(K217:K237)+SUM(K256:K262)</f>
        <v>0</v>
      </c>
      <c r="L20" s="108">
        <f>SUM(L217:L237)+SUM(L256:L262)</f>
        <v>0</v>
      </c>
      <c r="M20" s="108">
        <f>SUM(M217:M237)+SUM(M256:M262)</f>
        <v>0</v>
      </c>
      <c r="N20" s="108"/>
      <c r="O20" s="68"/>
      <c r="P20" s="109"/>
      <c r="Q20" s="109"/>
      <c r="R20" s="109"/>
      <c r="S20" s="110">
        <f>S204</f>
        <v>0</v>
      </c>
      <c r="T20" s="110">
        <f>T204</f>
        <v>0</v>
      </c>
      <c r="U20" s="110">
        <f>U204</f>
        <v>0</v>
      </c>
      <c r="V20" s="110">
        <f>V204</f>
        <v>0</v>
      </c>
      <c r="W20" s="110">
        <f>W204</f>
        <v>0</v>
      </c>
      <c r="X20" s="111">
        <f t="shared" si="2"/>
        <v>0</v>
      </c>
      <c r="Y20" s="111">
        <f t="shared" si="3"/>
        <v>0</v>
      </c>
      <c r="Z20" s="112"/>
      <c r="AA20" s="112"/>
      <c r="AB20" s="113"/>
      <c r="AC20" s="113"/>
      <c r="AD20" s="113"/>
      <c r="AE20" s="114">
        <f t="shared" ca="1" si="4"/>
        <v>0</v>
      </c>
      <c r="AF20" s="115">
        <v>4</v>
      </c>
      <c r="AG20" s="38"/>
      <c r="AH20" s="116" t="str">
        <f>IF(SUBTOTAL(109,S205:S263)=S20,"OK","ERRO")</f>
        <v>OK</v>
      </c>
      <c r="AI20" s="117" t="str">
        <f t="shared" si="5"/>
        <v>OK</v>
      </c>
      <c r="AJ20" s="118" t="e">
        <f>ROUND(SUM(AK217:AK263)/240,0)</f>
        <v>#DIV/0!</v>
      </c>
    </row>
    <row r="21" spans="2:41" s="82" customFormat="1" ht="26.65" hidden="1" customHeight="1">
      <c r="B21" s="104">
        <f t="shared" ca="1" si="1"/>
        <v>0</v>
      </c>
      <c r="C21" s="67"/>
      <c r="D21" s="26" t="s">
        <v>43</v>
      </c>
      <c r="E21" s="68"/>
      <c r="F21" s="106"/>
      <c r="G21" s="107" t="str">
        <f>+G280</f>
        <v>UN</v>
      </c>
      <c r="H21" s="123"/>
      <c r="I21" s="123"/>
      <c r="J21" s="108">
        <f>SUM(J280:J286)+SUM(J296:J316)</f>
        <v>0</v>
      </c>
      <c r="K21" s="108">
        <f>SUM(K280:K286)+SUM(K296:K316)</f>
        <v>0</v>
      </c>
      <c r="L21" s="108">
        <f>SUM(L280:L286)+SUM(L296:L316)</f>
        <v>0</v>
      </c>
      <c r="M21" s="108">
        <f>SUM(M280:M286)+SUM(M296:M316)</f>
        <v>0</v>
      </c>
      <c r="N21" s="108"/>
      <c r="O21" s="68"/>
      <c r="P21" s="109"/>
      <c r="Q21" s="109"/>
      <c r="R21" s="109"/>
      <c r="S21" s="110">
        <f>S279</f>
        <v>0</v>
      </c>
      <c r="T21" s="110">
        <f>T279</f>
        <v>0</v>
      </c>
      <c r="U21" s="110">
        <f>U279</f>
        <v>0</v>
      </c>
      <c r="V21" s="110">
        <f>V279</f>
        <v>0</v>
      </c>
      <c r="W21" s="110">
        <f>W279</f>
        <v>0</v>
      </c>
      <c r="X21" s="111">
        <f t="shared" si="2"/>
        <v>0</v>
      </c>
      <c r="Y21" s="111">
        <f t="shared" si="3"/>
        <v>0</v>
      </c>
      <c r="Z21" s="112"/>
      <c r="AA21" s="112"/>
      <c r="AB21" s="113"/>
      <c r="AC21" s="113"/>
      <c r="AD21" s="113"/>
      <c r="AE21" s="114">
        <f t="shared" ca="1" si="4"/>
        <v>0</v>
      </c>
      <c r="AF21" s="115">
        <v>5</v>
      </c>
      <c r="AG21" s="38"/>
      <c r="AH21" s="116" t="str">
        <f>IF(SUBTOTAL(109,S280:S328)=S21,"OK","ERRO")</f>
        <v>OK</v>
      </c>
      <c r="AI21" s="117" t="str">
        <f t="shared" si="5"/>
        <v>OK</v>
      </c>
      <c r="AJ21" s="118" t="e">
        <f>ROUND(SUM(AK280:AK306)/240,0)</f>
        <v>#N/A</v>
      </c>
    </row>
    <row r="22" spans="2:41" s="82" customFormat="1" ht="26.65" hidden="1" customHeight="1">
      <c r="B22" s="104">
        <f t="shared" ca="1" si="1"/>
        <v>0</v>
      </c>
      <c r="C22" s="67"/>
      <c r="D22" s="26" t="s">
        <v>44</v>
      </c>
      <c r="E22" s="68"/>
      <c r="F22" s="106"/>
      <c r="G22" s="107" t="str">
        <f>G336</f>
        <v>M3</v>
      </c>
      <c r="H22" s="123"/>
      <c r="I22" s="123"/>
      <c r="J22" s="121">
        <f>SUM(J336:J337)</f>
        <v>0</v>
      </c>
      <c r="K22" s="121">
        <f>SUM(K336:K337)</f>
        <v>0</v>
      </c>
      <c r="L22" s="121">
        <f>SUM(L336:L337)</f>
        <v>0</v>
      </c>
      <c r="M22" s="121">
        <f>SUM(M336:M337)</f>
        <v>0</v>
      </c>
      <c r="N22" s="121"/>
      <c r="O22" s="68"/>
      <c r="P22" s="109"/>
      <c r="Q22" s="109"/>
      <c r="R22" s="109"/>
      <c r="S22" s="110">
        <f>S331</f>
        <v>0</v>
      </c>
      <c r="T22" s="110">
        <f>T331</f>
        <v>0</v>
      </c>
      <c r="U22" s="110">
        <f>U331</f>
        <v>0</v>
      </c>
      <c r="V22" s="110">
        <f>V331</f>
        <v>0</v>
      </c>
      <c r="W22" s="110">
        <f>W331</f>
        <v>0</v>
      </c>
      <c r="X22" s="111">
        <f t="shared" si="2"/>
        <v>0</v>
      </c>
      <c r="Y22" s="111">
        <f t="shared" si="3"/>
        <v>0</v>
      </c>
      <c r="Z22" s="112"/>
      <c r="AA22" s="112"/>
      <c r="AB22" s="113"/>
      <c r="AC22" s="113"/>
      <c r="AD22" s="113"/>
      <c r="AE22" s="114">
        <f t="shared" ca="1" si="4"/>
        <v>0</v>
      </c>
      <c r="AF22" s="115">
        <v>6</v>
      </c>
      <c r="AG22" s="38"/>
      <c r="AH22" s="124" t="str">
        <f>IF(SUBTOTAL(109,S332:S349)=S22,"OK","ERRO")</f>
        <v>OK</v>
      </c>
      <c r="AI22" s="117" t="str">
        <f t="shared" si="5"/>
        <v>OK</v>
      </c>
      <c r="AJ22" s="118"/>
    </row>
    <row r="23" spans="2:41" s="82" customFormat="1" ht="26.65" hidden="1" customHeight="1">
      <c r="B23" s="104">
        <f t="shared" ca="1" si="1"/>
        <v>0</v>
      </c>
      <c r="C23" s="67"/>
      <c r="D23" s="26" t="s">
        <v>45</v>
      </c>
      <c r="E23" s="68"/>
      <c r="F23" s="106"/>
      <c r="G23" s="107" t="str">
        <f>G360</f>
        <v>M3</v>
      </c>
      <c r="H23" s="123"/>
      <c r="I23" s="123"/>
      <c r="J23" s="121">
        <f>SUM(J360:J361)</f>
        <v>0</v>
      </c>
      <c r="K23" s="121">
        <f>SUM(K360:K361)</f>
        <v>0</v>
      </c>
      <c r="L23" s="121">
        <f>SUM(L360:L361)</f>
        <v>0</v>
      </c>
      <c r="M23" s="121">
        <f>SUM(M360:M361)</f>
        <v>0</v>
      </c>
      <c r="N23" s="121"/>
      <c r="O23" s="68"/>
      <c r="P23" s="109"/>
      <c r="Q23" s="109"/>
      <c r="R23" s="109"/>
      <c r="S23" s="110">
        <f>S351</f>
        <v>0</v>
      </c>
      <c r="T23" s="110">
        <f>T351</f>
        <v>0</v>
      </c>
      <c r="U23" s="110">
        <f>U351</f>
        <v>0</v>
      </c>
      <c r="V23" s="110">
        <f>V351</f>
        <v>0</v>
      </c>
      <c r="W23" s="110">
        <f>W351</f>
        <v>0</v>
      </c>
      <c r="X23" s="111">
        <f t="shared" si="2"/>
        <v>0</v>
      </c>
      <c r="Y23" s="111">
        <f t="shared" si="3"/>
        <v>0</v>
      </c>
      <c r="Z23" s="112"/>
      <c r="AA23" s="112"/>
      <c r="AB23" s="113"/>
      <c r="AC23" s="113"/>
      <c r="AD23" s="113"/>
      <c r="AE23" s="114">
        <f t="shared" ca="1" si="4"/>
        <v>0</v>
      </c>
      <c r="AF23" s="115">
        <v>7</v>
      </c>
      <c r="AG23" s="38"/>
      <c r="AH23" s="124" t="str">
        <f>IF(SUBTOTAL(109,S353:S452)=S23,"OK","ERRO")</f>
        <v>OK</v>
      </c>
      <c r="AI23" s="117" t="str">
        <f t="shared" si="5"/>
        <v>OK</v>
      </c>
      <c r="AJ23" s="118" t="e">
        <f>ROUND(AK360/240,0)</f>
        <v>#DIV/0!</v>
      </c>
    </row>
    <row r="24" spans="2:41" s="82" customFormat="1" ht="26.65" hidden="1" customHeight="1">
      <c r="B24" s="104">
        <f t="shared" ca="1" si="1"/>
        <v>0</v>
      </c>
      <c r="C24" s="67"/>
      <c r="D24" s="26" t="s">
        <v>46</v>
      </c>
      <c r="E24" s="68"/>
      <c r="F24" s="106"/>
      <c r="G24" s="107" t="str">
        <f>G456</f>
        <v>M</v>
      </c>
      <c r="H24" s="123"/>
      <c r="I24" s="123"/>
      <c r="J24" s="108">
        <f>Dre_Profunda!H3+Dre_Profunda!H15</f>
        <v>0</v>
      </c>
      <c r="K24" s="108">
        <f>Dre_Profunda!I3+Dre_Profunda!I15</f>
        <v>0</v>
      </c>
      <c r="L24" s="108">
        <f>Dre_Profunda!K3+Dre_Profunda!K15</f>
        <v>0</v>
      </c>
      <c r="M24" s="108">
        <f>Dre_Profunda!L3+Dre_Profunda!L15</f>
        <v>0</v>
      </c>
      <c r="N24" s="108"/>
      <c r="O24" s="68"/>
      <c r="P24" s="109"/>
      <c r="Q24" s="109"/>
      <c r="R24" s="109"/>
      <c r="S24" s="110">
        <f>S455</f>
        <v>0</v>
      </c>
      <c r="T24" s="110">
        <f>T455</f>
        <v>0</v>
      </c>
      <c r="U24" s="110">
        <f>U455</f>
        <v>0</v>
      </c>
      <c r="V24" s="110">
        <f>V455</f>
        <v>0</v>
      </c>
      <c r="W24" s="110">
        <f>W455</f>
        <v>0</v>
      </c>
      <c r="X24" s="111">
        <f t="shared" si="2"/>
        <v>0</v>
      </c>
      <c r="Y24" s="111">
        <f t="shared" si="3"/>
        <v>0</v>
      </c>
      <c r="Z24" s="112"/>
      <c r="AA24" s="112"/>
      <c r="AB24" s="113"/>
      <c r="AC24" s="113"/>
      <c r="AD24" s="113"/>
      <c r="AE24" s="114">
        <f t="shared" ca="1" si="4"/>
        <v>0</v>
      </c>
      <c r="AF24" s="115">
        <v>8</v>
      </c>
      <c r="AG24" s="38"/>
      <c r="AH24" s="116" t="str">
        <f>IF(SUBTOTAL(109,S456:S492)=S24,"OK","ERRO")</f>
        <v>OK</v>
      </c>
      <c r="AI24" s="117" t="str">
        <f t="shared" si="5"/>
        <v>OK</v>
      </c>
      <c r="AJ24" s="118">
        <f>ROUND(AK458/240,0)</f>
        <v>0</v>
      </c>
    </row>
    <row r="25" spans="2:41" s="82" customFormat="1" ht="26.65" hidden="1" customHeight="1">
      <c r="B25" s="104">
        <f t="shared" ca="1" si="1"/>
        <v>0</v>
      </c>
      <c r="C25" s="67"/>
      <c r="D25" s="26" t="s">
        <v>47</v>
      </c>
      <c r="E25" s="68"/>
      <c r="F25" s="106"/>
      <c r="G25" s="107" t="str">
        <f>G506</f>
        <v>M2</v>
      </c>
      <c r="H25" s="123"/>
      <c r="I25" s="123"/>
      <c r="J25" s="108">
        <f>J506</f>
        <v>0</v>
      </c>
      <c r="K25" s="108">
        <f>K506</f>
        <v>0</v>
      </c>
      <c r="L25" s="108">
        <f>L506</f>
        <v>0</v>
      </c>
      <c r="M25" s="108">
        <f>M506</f>
        <v>0</v>
      </c>
      <c r="N25" s="108"/>
      <c r="O25" s="68"/>
      <c r="P25" s="109"/>
      <c r="Q25" s="109"/>
      <c r="R25" s="109"/>
      <c r="S25" s="110">
        <f>S494</f>
        <v>0</v>
      </c>
      <c r="T25" s="110">
        <f>T494</f>
        <v>0</v>
      </c>
      <c r="U25" s="110">
        <f>U494</f>
        <v>0</v>
      </c>
      <c r="V25" s="110">
        <f>V494</f>
        <v>0</v>
      </c>
      <c r="W25" s="110">
        <f>W494</f>
        <v>0</v>
      </c>
      <c r="X25" s="111">
        <f t="shared" si="2"/>
        <v>0</v>
      </c>
      <c r="Y25" s="111">
        <f t="shared" si="3"/>
        <v>0</v>
      </c>
      <c r="Z25" s="112"/>
      <c r="AA25" s="112"/>
      <c r="AB25" s="113"/>
      <c r="AC25" s="113"/>
      <c r="AD25" s="113"/>
      <c r="AE25" s="114">
        <f t="shared" ca="1" si="4"/>
        <v>0</v>
      </c>
      <c r="AF25" s="115">
        <v>9</v>
      </c>
      <c r="AG25" s="38"/>
      <c r="AH25" s="116" t="str">
        <f>IF(SUBTOTAL(109,S495:S568)=S25,"OK","ERRO")</f>
        <v>OK</v>
      </c>
      <c r="AI25" s="117" t="str">
        <f t="shared" si="5"/>
        <v>OK</v>
      </c>
      <c r="AJ25" s="118" t="e">
        <f>ROUND(SUM(AK456:AK465)/240,0)</f>
        <v>#DIV/0!</v>
      </c>
    </row>
    <row r="26" spans="2:41" s="82" customFormat="1" ht="24.95" customHeight="1">
      <c r="B26" s="104">
        <f t="shared" ca="1" si="1"/>
        <v>2</v>
      </c>
      <c r="C26" s="67"/>
      <c r="D26" s="26" t="s">
        <v>48</v>
      </c>
      <c r="E26" s="68"/>
      <c r="F26" s="106"/>
      <c r="G26" s="107" t="str">
        <f>G597</f>
        <v>M2</v>
      </c>
      <c r="H26" s="123"/>
      <c r="I26" s="123"/>
      <c r="J26" s="121">
        <f>J597+J598</f>
        <v>0</v>
      </c>
      <c r="K26" s="121">
        <f>K597+K598</f>
        <v>25860</v>
      </c>
      <c r="L26" s="121">
        <f>L597+L598</f>
        <v>25860</v>
      </c>
      <c r="M26" s="121">
        <f>M597+M598</f>
        <v>0</v>
      </c>
      <c r="N26" s="121"/>
      <c r="O26" s="68"/>
      <c r="P26" s="109"/>
      <c r="Q26" s="109"/>
      <c r="R26" s="109"/>
      <c r="S26" s="110">
        <f>S571</f>
        <v>2889957.2299999995</v>
      </c>
      <c r="T26" s="110">
        <f>T571</f>
        <v>2959263.83</v>
      </c>
      <c r="U26" s="110">
        <f>U571</f>
        <v>0</v>
      </c>
      <c r="V26" s="110">
        <f>V571</f>
        <v>0</v>
      </c>
      <c r="W26" s="110">
        <f>W571</f>
        <v>0</v>
      </c>
      <c r="X26" s="111">
        <f t="shared" si="2"/>
        <v>0.93452037350531758</v>
      </c>
      <c r="Y26" s="111">
        <f t="shared" si="3"/>
        <v>0.87006503213614328</v>
      </c>
      <c r="Z26" s="112"/>
      <c r="AA26" s="112"/>
      <c r="AB26" s="113"/>
      <c r="AC26" s="113"/>
      <c r="AD26" s="113"/>
      <c r="AE26" s="114">
        <f t="shared" ca="1" si="4"/>
        <v>2</v>
      </c>
      <c r="AF26" s="115">
        <v>10</v>
      </c>
      <c r="AG26" s="38"/>
      <c r="AH26" s="124" t="str">
        <f>IF(SUBTOTAL(109,S572:S663)=S26,"OK","ERRO")</f>
        <v>OK</v>
      </c>
      <c r="AI26" s="117" t="str">
        <f t="shared" si="5"/>
        <v>OK</v>
      </c>
      <c r="AJ26" s="118"/>
    </row>
    <row r="27" spans="2:41" s="82" customFormat="1" ht="26.65" hidden="1" customHeight="1">
      <c r="B27" s="104">
        <f t="shared" ca="1" si="1"/>
        <v>0</v>
      </c>
      <c r="C27" s="67"/>
      <c r="D27" s="26" t="s">
        <v>49</v>
      </c>
      <c r="E27" s="68"/>
      <c r="F27" s="106"/>
      <c r="G27" s="107" t="str">
        <f>G671</f>
        <v>M2</v>
      </c>
      <c r="H27" s="123"/>
      <c r="I27" s="123"/>
      <c r="J27" s="108">
        <f>J671</f>
        <v>0</v>
      </c>
      <c r="K27" s="108">
        <f>K671</f>
        <v>0</v>
      </c>
      <c r="L27" s="108">
        <f>L671</f>
        <v>0</v>
      </c>
      <c r="M27" s="108">
        <f>M671</f>
        <v>0</v>
      </c>
      <c r="N27" s="108"/>
      <c r="O27" s="68"/>
      <c r="P27" s="109"/>
      <c r="Q27" s="109"/>
      <c r="R27" s="109"/>
      <c r="S27" s="110">
        <f>S666</f>
        <v>0</v>
      </c>
      <c r="T27" s="110">
        <f>T666</f>
        <v>0</v>
      </c>
      <c r="U27" s="110">
        <f>U666</f>
        <v>0</v>
      </c>
      <c r="V27" s="110">
        <f>V666</f>
        <v>0</v>
      </c>
      <c r="W27" s="110">
        <f>W666</f>
        <v>0</v>
      </c>
      <c r="X27" s="111">
        <f t="shared" si="2"/>
        <v>0</v>
      </c>
      <c r="Y27" s="111">
        <f t="shared" si="3"/>
        <v>0</v>
      </c>
      <c r="Z27" s="112"/>
      <c r="AA27" s="112"/>
      <c r="AB27" s="113"/>
      <c r="AC27" s="113"/>
      <c r="AD27" s="113"/>
      <c r="AE27" s="114">
        <f t="shared" ca="1" si="4"/>
        <v>0</v>
      </c>
      <c r="AF27" s="115">
        <v>11</v>
      </c>
      <c r="AG27" s="38"/>
      <c r="AH27" s="116" t="str">
        <f>IF(SUBTOTAL(109,S667:S717)=S27,"OK","ERRO")</f>
        <v>OK</v>
      </c>
      <c r="AI27" s="117" t="str">
        <f t="shared" si="5"/>
        <v>OK</v>
      </c>
      <c r="AJ27" s="118"/>
    </row>
    <row r="28" spans="2:41" s="82" customFormat="1" ht="26.65" hidden="1" customHeight="1">
      <c r="B28" s="104">
        <f t="shared" ca="1" si="1"/>
        <v>0</v>
      </c>
      <c r="C28" s="67"/>
      <c r="D28" s="26" t="s">
        <v>50</v>
      </c>
      <c r="E28" s="68"/>
      <c r="F28" s="106"/>
      <c r="G28" s="107" t="str">
        <f>G722</f>
        <v>M3</v>
      </c>
      <c r="H28" s="123"/>
      <c r="I28" s="123"/>
      <c r="J28" s="121">
        <f>J722+J724++J727</f>
        <v>0</v>
      </c>
      <c r="K28" s="121">
        <f>K722+K724++K727</f>
        <v>0</v>
      </c>
      <c r="L28" s="121">
        <f>L722+L724++L727</f>
        <v>0</v>
      </c>
      <c r="M28" s="121">
        <f>M722+M724++M727</f>
        <v>0</v>
      </c>
      <c r="N28" s="121"/>
      <c r="O28" s="68"/>
      <c r="P28" s="109"/>
      <c r="Q28" s="109"/>
      <c r="R28" s="109"/>
      <c r="S28" s="110">
        <f>S720</f>
        <v>0</v>
      </c>
      <c r="T28" s="110">
        <f>T720</f>
        <v>0</v>
      </c>
      <c r="U28" s="110">
        <f>U720</f>
        <v>0</v>
      </c>
      <c r="V28" s="110">
        <f>V720</f>
        <v>0</v>
      </c>
      <c r="W28" s="110">
        <f>W720</f>
        <v>0</v>
      </c>
      <c r="X28" s="111">
        <f t="shared" si="2"/>
        <v>0</v>
      </c>
      <c r="Y28" s="111">
        <f t="shared" si="3"/>
        <v>0</v>
      </c>
      <c r="AA28" s="112"/>
      <c r="AB28" s="113"/>
      <c r="AC28" s="113"/>
      <c r="AD28" s="113"/>
      <c r="AE28" s="114">
        <f t="shared" ca="1" si="4"/>
        <v>0</v>
      </c>
      <c r="AF28" s="115">
        <v>12</v>
      </c>
      <c r="AG28" s="38"/>
      <c r="AH28" s="124" t="str">
        <f>IF(SUBTOTAL(109,S721:S742)=S28,"OK","ERRO")</f>
        <v>OK</v>
      </c>
      <c r="AI28" s="117" t="str">
        <f t="shared" si="5"/>
        <v>OK</v>
      </c>
      <c r="AJ28" s="118" t="e">
        <f>ROUND(AK722/240,0)</f>
        <v>#DIV/0!</v>
      </c>
    </row>
    <row r="29" spans="2:41" s="82" customFormat="1" ht="26.65" hidden="1" customHeight="1">
      <c r="B29" s="104">
        <f t="shared" ca="1" si="1"/>
        <v>0</v>
      </c>
      <c r="C29" s="67"/>
      <c r="D29" s="26" t="s">
        <v>51</v>
      </c>
      <c r="E29" s="68"/>
      <c r="F29" s="106"/>
      <c r="G29" s="107" t="str">
        <f>G755</f>
        <v>M2</v>
      </c>
      <c r="H29" s="123"/>
      <c r="I29" s="123"/>
      <c r="J29" s="108">
        <f>J755</f>
        <v>0</v>
      </c>
      <c r="K29" s="108">
        <f>K755</f>
        <v>0</v>
      </c>
      <c r="L29" s="108">
        <f>L755</f>
        <v>0</v>
      </c>
      <c r="M29" s="108">
        <f>M755</f>
        <v>0</v>
      </c>
      <c r="N29" s="108"/>
      <c r="O29" s="68"/>
      <c r="P29" s="109"/>
      <c r="Q29" s="109"/>
      <c r="R29" s="109"/>
      <c r="S29" s="110">
        <f>S745</f>
        <v>0</v>
      </c>
      <c r="T29" s="110">
        <f>T745</f>
        <v>0</v>
      </c>
      <c r="U29" s="110">
        <f>U745</f>
        <v>0</v>
      </c>
      <c r="V29" s="110">
        <f>V745</f>
        <v>0</v>
      </c>
      <c r="W29" s="110">
        <f>W745</f>
        <v>0</v>
      </c>
      <c r="X29" s="111">
        <f t="shared" si="2"/>
        <v>0</v>
      </c>
      <c r="Y29" s="111">
        <f t="shared" si="3"/>
        <v>0</v>
      </c>
      <c r="Z29" s="112"/>
      <c r="AA29" s="112"/>
      <c r="AB29" s="113"/>
      <c r="AC29" s="113"/>
      <c r="AD29" s="113"/>
      <c r="AE29" s="114">
        <f t="shared" ca="1" si="4"/>
        <v>0</v>
      </c>
      <c r="AF29" s="115">
        <v>13</v>
      </c>
      <c r="AG29" s="38"/>
      <c r="AH29" s="116" t="str">
        <f>IF(SUBTOTAL(109,S746:S832)=S29,"OK","ERRO")</f>
        <v>OK</v>
      </c>
      <c r="AI29" s="117" t="str">
        <f t="shared" si="5"/>
        <v>OK</v>
      </c>
      <c r="AJ29" s="118" t="e">
        <f>ROUND(AK746/240,0)</f>
        <v>#DIV/0!</v>
      </c>
      <c r="AM29" s="125"/>
      <c r="AO29" s="125"/>
    </row>
    <row r="30" spans="2:41" s="82" customFormat="1" ht="26.65" hidden="1" customHeight="1">
      <c r="B30" s="104">
        <f t="shared" ca="1" si="1"/>
        <v>0</v>
      </c>
      <c r="C30" s="67"/>
      <c r="D30" s="26" t="s">
        <v>52</v>
      </c>
      <c r="E30" s="105"/>
      <c r="F30" s="106"/>
      <c r="G30" s="107" t="str">
        <f>G836</f>
        <v>M</v>
      </c>
      <c r="H30" s="123"/>
      <c r="I30" s="123"/>
      <c r="J30" s="121">
        <f>SUM(J836:J842)</f>
        <v>0</v>
      </c>
      <c r="K30" s="121">
        <f>SUM(K836:K842)</f>
        <v>0</v>
      </c>
      <c r="L30" s="121">
        <f>SUM(L836:L842)</f>
        <v>0</v>
      </c>
      <c r="M30" s="121">
        <f>SUM(M836:M842)</f>
        <v>0</v>
      </c>
      <c r="N30" s="121"/>
      <c r="O30" s="68"/>
      <c r="P30" s="109"/>
      <c r="Q30" s="109"/>
      <c r="R30" s="109"/>
      <c r="S30" s="110">
        <f>S835</f>
        <v>0</v>
      </c>
      <c r="T30" s="110">
        <f>T835</f>
        <v>0</v>
      </c>
      <c r="U30" s="110">
        <f>U835</f>
        <v>0</v>
      </c>
      <c r="V30" s="110">
        <f>V835</f>
        <v>0</v>
      </c>
      <c r="W30" s="110">
        <f>W835</f>
        <v>0</v>
      </c>
      <c r="X30" s="111">
        <f t="shared" si="2"/>
        <v>0</v>
      </c>
      <c r="Y30" s="111">
        <f t="shared" si="3"/>
        <v>0</v>
      </c>
      <c r="Z30" s="112"/>
      <c r="AA30" s="112"/>
      <c r="AB30" s="113"/>
      <c r="AC30" s="113"/>
      <c r="AD30" s="113"/>
      <c r="AE30" s="114">
        <f t="shared" ca="1" si="4"/>
        <v>0</v>
      </c>
      <c r="AF30" s="115">
        <v>14</v>
      </c>
      <c r="AG30" s="38"/>
      <c r="AH30" s="124" t="str">
        <f>IF(SUBTOTAL(109,S836:S866)=S30,"OK","ERRO")</f>
        <v>OK</v>
      </c>
      <c r="AI30" s="117" t="str">
        <f t="shared" si="5"/>
        <v>OK</v>
      </c>
      <c r="AJ30" s="118">
        <f>ROUND(SUM(AK836:AK842)/240,0)</f>
        <v>0</v>
      </c>
      <c r="AK30" s="80"/>
    </row>
    <row r="31" spans="2:41" s="82" customFormat="1" ht="26.65" hidden="1" customHeight="1">
      <c r="B31" s="104">
        <f t="shared" ca="1" si="1"/>
        <v>0</v>
      </c>
      <c r="C31" s="67"/>
      <c r="D31" s="26" t="s">
        <v>53</v>
      </c>
      <c r="E31" s="68"/>
      <c r="F31" s="106"/>
      <c r="G31" s="107" t="str">
        <f>G876</f>
        <v>M2</v>
      </c>
      <c r="H31" s="123"/>
      <c r="I31" s="123"/>
      <c r="J31" s="108">
        <f>J876</f>
        <v>0</v>
      </c>
      <c r="K31" s="108">
        <f>K876</f>
        <v>0</v>
      </c>
      <c r="L31" s="108">
        <f>L876</f>
        <v>0</v>
      </c>
      <c r="M31" s="108">
        <f>M876</f>
        <v>0</v>
      </c>
      <c r="N31" s="108"/>
      <c r="O31" s="68"/>
      <c r="P31" s="109"/>
      <c r="Q31" s="109"/>
      <c r="R31" s="109"/>
      <c r="S31" s="110">
        <f>S869</f>
        <v>0</v>
      </c>
      <c r="T31" s="110">
        <f>T869</f>
        <v>0</v>
      </c>
      <c r="U31" s="110">
        <f>U869</f>
        <v>0</v>
      </c>
      <c r="V31" s="110">
        <f>V869</f>
        <v>0</v>
      </c>
      <c r="W31" s="110">
        <f>W869</f>
        <v>0</v>
      </c>
      <c r="X31" s="111">
        <f t="shared" si="2"/>
        <v>0</v>
      </c>
      <c r="Y31" s="111">
        <f t="shared" si="3"/>
        <v>0</v>
      </c>
      <c r="Z31" s="112"/>
      <c r="AA31" s="112"/>
      <c r="AB31" s="113"/>
      <c r="AC31" s="113"/>
      <c r="AD31" s="113"/>
      <c r="AE31" s="114">
        <f t="shared" ca="1" si="4"/>
        <v>0</v>
      </c>
      <c r="AF31" s="115">
        <v>15</v>
      </c>
      <c r="AG31" s="38"/>
      <c r="AH31" s="124" t="str">
        <f>IF(SUBTOTAL(109,S870:S915)=S31,"OK","ERRO")</f>
        <v>OK</v>
      </c>
      <c r="AI31" s="117" t="str">
        <f t="shared" si="5"/>
        <v>OK</v>
      </c>
      <c r="AJ31" s="118" t="e">
        <f>ROUND(SUM(AK876:AK880)/240,0)</f>
        <v>#DIV/0!</v>
      </c>
      <c r="AK31" s="122"/>
    </row>
    <row r="32" spans="2:41" s="82" customFormat="1" ht="26.65" hidden="1" customHeight="1">
      <c r="B32" s="104">
        <f t="shared" ca="1" si="1"/>
        <v>0</v>
      </c>
      <c r="C32" s="67"/>
      <c r="D32" s="26" t="s">
        <v>54</v>
      </c>
      <c r="E32" s="68"/>
      <c r="F32" s="106"/>
      <c r="G32" s="107" t="s">
        <v>55</v>
      </c>
      <c r="H32" s="123"/>
      <c r="I32" s="123"/>
      <c r="J32" s="126"/>
      <c r="K32" s="108"/>
      <c r="L32" s="126"/>
      <c r="M32" s="126"/>
      <c r="N32" s="108"/>
      <c r="O32" s="68"/>
      <c r="P32" s="109"/>
      <c r="Q32" s="109"/>
      <c r="R32" s="109"/>
      <c r="S32" s="110">
        <f>S917</f>
        <v>0</v>
      </c>
      <c r="T32" s="110">
        <f>T917</f>
        <v>0</v>
      </c>
      <c r="U32" s="110">
        <f>U917</f>
        <v>0</v>
      </c>
      <c r="V32" s="110">
        <f>V917</f>
        <v>0</v>
      </c>
      <c r="W32" s="110">
        <f>W917</f>
        <v>0</v>
      </c>
      <c r="X32" s="111">
        <f t="shared" si="2"/>
        <v>0</v>
      </c>
      <c r="Y32" s="111">
        <f t="shared" si="3"/>
        <v>0</v>
      </c>
      <c r="Z32" s="112"/>
      <c r="AA32" s="112"/>
      <c r="AB32" s="113"/>
      <c r="AC32" s="113"/>
      <c r="AD32" s="113"/>
      <c r="AE32" s="114">
        <f t="shared" ca="1" si="4"/>
        <v>0</v>
      </c>
      <c r="AF32" s="115">
        <v>16</v>
      </c>
      <c r="AG32" s="38"/>
      <c r="AH32" s="116" t="str">
        <f>IF(SUBTOTAL(109,S918:S958)=S32,"OK","ERRO")</f>
        <v>OK</v>
      </c>
      <c r="AI32" s="117" t="str">
        <f t="shared" si="5"/>
        <v>OK</v>
      </c>
      <c r="AJ32" s="118"/>
      <c r="AK32" s="80"/>
    </row>
    <row r="33" spans="1:44" s="82" customFormat="1" ht="26.65" hidden="1" customHeight="1">
      <c r="B33" s="104">
        <f t="shared" ca="1" si="1"/>
        <v>0</v>
      </c>
      <c r="C33" s="67"/>
      <c r="D33" s="26" t="s">
        <v>56</v>
      </c>
      <c r="E33" s="68"/>
      <c r="F33" s="106"/>
      <c r="G33" s="107" t="s">
        <v>55</v>
      </c>
      <c r="H33" s="123"/>
      <c r="I33" s="123"/>
      <c r="J33" s="126"/>
      <c r="K33" s="108"/>
      <c r="L33" s="126"/>
      <c r="M33" s="126"/>
      <c r="N33" s="108"/>
      <c r="O33" s="68"/>
      <c r="P33" s="109"/>
      <c r="Q33" s="109"/>
      <c r="R33" s="109"/>
      <c r="S33" s="110">
        <f>S961</f>
        <v>0</v>
      </c>
      <c r="T33" s="110">
        <f>T961</f>
        <v>0</v>
      </c>
      <c r="U33" s="110">
        <f>U961</f>
        <v>0</v>
      </c>
      <c r="V33" s="110">
        <f>V961</f>
        <v>0</v>
      </c>
      <c r="W33" s="110">
        <f>W961</f>
        <v>0</v>
      </c>
      <c r="X33" s="111">
        <f t="shared" si="2"/>
        <v>0</v>
      </c>
      <c r="Y33" s="111">
        <f t="shared" si="3"/>
        <v>0</v>
      </c>
      <c r="Z33" s="112"/>
      <c r="AA33" s="112"/>
      <c r="AB33" s="113"/>
      <c r="AC33" s="113"/>
      <c r="AD33" s="113"/>
      <c r="AE33" s="114">
        <f t="shared" ca="1" si="4"/>
        <v>0</v>
      </c>
      <c r="AF33" s="115">
        <v>17</v>
      </c>
      <c r="AG33" s="38"/>
      <c r="AH33" s="116" t="str">
        <f>IF(SUBTOTAL(109,S964:S1115)=S33,"OK","ERRO")</f>
        <v>OK</v>
      </c>
      <c r="AI33" s="117" t="str">
        <f t="shared" si="5"/>
        <v>OK</v>
      </c>
      <c r="AJ33" s="118"/>
      <c r="AK33" s="80"/>
    </row>
    <row r="34" spans="1:44" s="82" customFormat="1" ht="26.65" hidden="1" customHeight="1">
      <c r="B34" s="104">
        <f t="shared" ca="1" si="1"/>
        <v>0</v>
      </c>
      <c r="C34" s="67"/>
      <c r="D34" s="26" t="s">
        <v>57</v>
      </c>
      <c r="E34" s="68"/>
      <c r="F34" s="106"/>
      <c r="G34" s="107" t="s">
        <v>58</v>
      </c>
      <c r="H34" s="67"/>
      <c r="I34" s="67"/>
      <c r="J34" s="121">
        <f>Ciclovia!I2</f>
        <v>0</v>
      </c>
      <c r="K34" s="121">
        <f>Ciclovia!J2</f>
        <v>0</v>
      </c>
      <c r="L34" s="121">
        <f>Ciclovia!L2</f>
        <v>0</v>
      </c>
      <c r="M34" s="121">
        <f>Ciclovia!M2</f>
        <v>0</v>
      </c>
      <c r="N34" s="121"/>
      <c r="O34" s="68"/>
      <c r="P34" s="109"/>
      <c r="Q34" s="109"/>
      <c r="R34" s="109"/>
      <c r="S34" s="110">
        <f>S1118</f>
        <v>0</v>
      </c>
      <c r="T34" s="110">
        <f>T1118</f>
        <v>0</v>
      </c>
      <c r="U34" s="110">
        <f>U1118</f>
        <v>0</v>
      </c>
      <c r="V34" s="110">
        <f>V1118</f>
        <v>0</v>
      </c>
      <c r="W34" s="110">
        <f>W1118</f>
        <v>0</v>
      </c>
      <c r="X34" s="111">
        <f t="shared" si="2"/>
        <v>0</v>
      </c>
      <c r="Y34" s="111">
        <f t="shared" si="3"/>
        <v>0</v>
      </c>
      <c r="Z34" s="112"/>
      <c r="AA34" s="112"/>
      <c r="AB34" s="113"/>
      <c r="AC34" s="113"/>
      <c r="AD34" s="113"/>
      <c r="AE34" s="114">
        <f t="shared" ca="1" si="4"/>
        <v>0</v>
      </c>
      <c r="AF34" s="115">
        <v>18</v>
      </c>
      <c r="AG34" s="38"/>
      <c r="AH34" s="124" t="str">
        <f>IF(SUBTOTAL(109,S1119:S1193)=S34,"OK","ERRO")</f>
        <v>OK</v>
      </c>
      <c r="AI34" s="117" t="str">
        <f t="shared" si="5"/>
        <v>OK</v>
      </c>
      <c r="AJ34" s="118" t="e">
        <f>ROUND(SUM(AK1120:AK1143)/240,0)</f>
        <v>#DIV/0!</v>
      </c>
      <c r="AK34" s="80"/>
    </row>
    <row r="35" spans="1:44" s="82" customFormat="1" ht="26.65" hidden="1" customHeight="1">
      <c r="B35" s="104">
        <f t="shared" ca="1" si="1"/>
        <v>0</v>
      </c>
      <c r="C35" s="67"/>
      <c r="D35" s="26" t="s">
        <v>59</v>
      </c>
      <c r="E35" s="68"/>
      <c r="F35" s="106"/>
      <c r="G35" s="107" t="str">
        <f>G1197</f>
        <v>M2</v>
      </c>
      <c r="H35" s="67"/>
      <c r="I35" s="67"/>
      <c r="J35" s="121">
        <f>SUM(J1197:J1207)</f>
        <v>0</v>
      </c>
      <c r="K35" s="121">
        <f>SUM(K1197:K1207)</f>
        <v>0</v>
      </c>
      <c r="L35" s="121">
        <f>SUM(L1197:L1207)</f>
        <v>0</v>
      </c>
      <c r="M35" s="121">
        <f>SUM(M1197:M1207)</f>
        <v>0</v>
      </c>
      <c r="N35" s="121"/>
      <c r="O35" s="68"/>
      <c r="P35" s="109"/>
      <c r="Q35" s="109"/>
      <c r="R35" s="109"/>
      <c r="S35" s="110">
        <f>S1196</f>
        <v>0</v>
      </c>
      <c r="T35" s="110">
        <f>T1196</f>
        <v>0</v>
      </c>
      <c r="U35" s="110">
        <f>U1196</f>
        <v>0</v>
      </c>
      <c r="V35" s="110">
        <f>V1196</f>
        <v>0</v>
      </c>
      <c r="W35" s="110">
        <f>W1196</f>
        <v>0</v>
      </c>
      <c r="X35" s="111">
        <f t="shared" si="2"/>
        <v>0</v>
      </c>
      <c r="Y35" s="111">
        <f t="shared" si="3"/>
        <v>0</v>
      </c>
      <c r="Z35" s="112"/>
      <c r="AA35" s="112"/>
      <c r="AB35" s="113"/>
      <c r="AC35" s="113"/>
      <c r="AD35" s="113"/>
      <c r="AE35" s="114">
        <f t="shared" ca="1" si="4"/>
        <v>0</v>
      </c>
      <c r="AF35" s="115">
        <v>19</v>
      </c>
      <c r="AG35" s="38"/>
      <c r="AH35" s="116" t="str">
        <f>IF(SUBTOTAL(109,S1197:S1225)=S35,"OK","ERRO")</f>
        <v>OK</v>
      </c>
      <c r="AI35" s="117" t="str">
        <f t="shared" si="5"/>
        <v>OK</v>
      </c>
      <c r="AJ35" s="118"/>
      <c r="AK35" s="80"/>
    </row>
    <row r="36" spans="1:44" s="82" customFormat="1" ht="24.95" customHeight="1">
      <c r="B36" s="104">
        <f t="shared" ca="1" si="1"/>
        <v>3</v>
      </c>
      <c r="C36" s="67"/>
      <c r="D36" s="26" t="s">
        <v>60</v>
      </c>
      <c r="E36" s="105"/>
      <c r="F36" s="106"/>
      <c r="G36" s="107" t="s">
        <v>61</v>
      </c>
      <c r="H36" s="67"/>
      <c r="I36" s="67"/>
      <c r="J36" s="108">
        <f>S_Preliminares!M4</f>
        <v>0</v>
      </c>
      <c r="K36" s="108">
        <f>S_Preliminares!N4</f>
        <v>12</v>
      </c>
      <c r="L36" s="108">
        <f>S_Preliminares!P4</f>
        <v>0</v>
      </c>
      <c r="M36" s="108">
        <f>S_Preliminares!Q4</f>
        <v>0</v>
      </c>
      <c r="N36" s="108"/>
      <c r="O36" s="68"/>
      <c r="P36" s="109"/>
      <c r="Q36" s="109"/>
      <c r="R36" s="109"/>
      <c r="S36" s="110">
        <f>S1227</f>
        <v>100703.92</v>
      </c>
      <c r="T36" s="110">
        <f>T1227</f>
        <v>337648.59</v>
      </c>
      <c r="U36" s="110">
        <f>U1227</f>
        <v>0</v>
      </c>
      <c r="V36" s="110">
        <f>V1227</f>
        <v>0</v>
      </c>
      <c r="W36" s="110">
        <f>W1227</f>
        <v>0</v>
      </c>
      <c r="X36" s="111">
        <f t="shared" si="2"/>
        <v>3.2564449035756018E-2</v>
      </c>
      <c r="Y36" s="111">
        <f t="shared" si="3"/>
        <v>9.9273416696027905E-2</v>
      </c>
      <c r="Z36" s="112"/>
      <c r="AA36" s="112"/>
      <c r="AB36" s="113"/>
      <c r="AC36" s="113"/>
      <c r="AD36" s="113"/>
      <c r="AE36" s="114">
        <f t="shared" ca="1" si="4"/>
        <v>3</v>
      </c>
      <c r="AF36" s="115">
        <v>20</v>
      </c>
      <c r="AG36" s="38"/>
      <c r="AH36" s="116" t="str">
        <f>IF(SUBTOTAL(109,S1228:S1228)=S36,"OK","ERRO")</f>
        <v>OK</v>
      </c>
      <c r="AI36" s="117" t="str">
        <f t="shared" si="5"/>
        <v>OK</v>
      </c>
      <c r="AJ36" s="118"/>
      <c r="AK36" s="122"/>
    </row>
    <row r="37" spans="1:44" s="82" customFormat="1" ht="26.65" hidden="1" customHeight="1">
      <c r="B37" s="104">
        <f t="shared" ca="1" si="1"/>
        <v>0</v>
      </c>
      <c r="C37" s="67"/>
      <c r="D37" s="26" t="s">
        <v>62</v>
      </c>
      <c r="E37" s="68"/>
      <c r="F37" s="106"/>
      <c r="G37" s="107" t="str">
        <f>G1250</f>
        <v>m²</v>
      </c>
      <c r="H37" s="67"/>
      <c r="I37" s="67"/>
      <c r="J37" s="121">
        <f>J1250+J1257</f>
        <v>0</v>
      </c>
      <c r="K37" s="121">
        <f>K1250+K1257</f>
        <v>0</v>
      </c>
      <c r="L37" s="121">
        <f>L1250+L1257</f>
        <v>0</v>
      </c>
      <c r="M37" s="121">
        <f>M1250+M1257</f>
        <v>0</v>
      </c>
      <c r="N37" s="121"/>
      <c r="O37" s="68"/>
      <c r="P37" s="109"/>
      <c r="Q37" s="109"/>
      <c r="R37" s="109"/>
      <c r="S37" s="110">
        <f>S1230</f>
        <v>0</v>
      </c>
      <c r="T37" s="110">
        <f>T1230</f>
        <v>0</v>
      </c>
      <c r="U37" s="110">
        <f>U1230</f>
        <v>0</v>
      </c>
      <c r="V37" s="110">
        <f>V1230</f>
        <v>0</v>
      </c>
      <c r="W37" s="110">
        <f>W1230</f>
        <v>0</v>
      </c>
      <c r="X37" s="111">
        <f t="shared" si="2"/>
        <v>0</v>
      </c>
      <c r="Y37" s="111">
        <f t="shared" si="3"/>
        <v>0</v>
      </c>
      <c r="Z37" s="112"/>
      <c r="AA37" s="112"/>
      <c r="AB37" s="113"/>
      <c r="AC37" s="113"/>
      <c r="AD37" s="113"/>
      <c r="AE37" s="114">
        <f t="shared" ca="1" si="4"/>
        <v>0</v>
      </c>
      <c r="AF37" s="115">
        <v>21</v>
      </c>
      <c r="AG37" s="38"/>
      <c r="AH37" s="124" t="str">
        <f>IF(SUBTOTAL(109,S1231:S1267)=S37,"OK","ERRO")</f>
        <v>OK</v>
      </c>
      <c r="AI37" s="117" t="str">
        <f t="shared" si="5"/>
        <v>OK</v>
      </c>
      <c r="AJ37" s="118"/>
      <c r="AK37" s="80"/>
    </row>
    <row r="38" spans="1:44" s="82" customFormat="1" ht="26.65" hidden="1" customHeight="1">
      <c r="B38" s="98"/>
      <c r="C38" s="67"/>
      <c r="D38" s="26"/>
      <c r="E38" s="68"/>
      <c r="F38" s="106"/>
      <c r="G38" s="127"/>
      <c r="H38" s="67"/>
      <c r="I38" s="67"/>
      <c r="J38" s="121"/>
      <c r="K38" s="121"/>
      <c r="L38" s="121"/>
      <c r="M38" s="121"/>
      <c r="N38" s="121"/>
      <c r="O38" s="109"/>
      <c r="P38" s="109"/>
      <c r="Q38" s="109"/>
      <c r="R38" s="109"/>
      <c r="S38" s="110"/>
      <c r="T38" s="110"/>
      <c r="U38" s="110"/>
      <c r="V38" s="110"/>
      <c r="W38" s="110"/>
      <c r="X38" s="111"/>
      <c r="Y38" s="111"/>
      <c r="Z38" s="112"/>
      <c r="AA38" s="112"/>
      <c r="AB38" s="112"/>
      <c r="AC38" s="112"/>
      <c r="AD38" s="112"/>
      <c r="AE38" s="128"/>
      <c r="AF38" s="112"/>
      <c r="AG38" s="38"/>
      <c r="AH38" s="124"/>
      <c r="AI38" s="117"/>
      <c r="AJ38" s="118"/>
      <c r="AK38" s="80"/>
    </row>
    <row r="39" spans="1:44" s="82" customFormat="1" ht="24.95" customHeight="1" thickBot="1">
      <c r="A39" s="95"/>
      <c r="B39" s="129"/>
      <c r="C39" s="68"/>
      <c r="D39" s="130"/>
      <c r="E39" s="27"/>
      <c r="F39" s="53"/>
      <c r="G39" s="53"/>
      <c r="H39" s="67"/>
      <c r="I39" s="67"/>
      <c r="J39" s="121"/>
      <c r="K39" s="121"/>
      <c r="L39" s="121"/>
      <c r="M39" s="121"/>
      <c r="N39" s="121"/>
      <c r="O39" s="109"/>
      <c r="P39" s="109"/>
      <c r="Q39" s="109"/>
      <c r="R39" s="109"/>
      <c r="S39" s="110"/>
      <c r="T39" s="110"/>
      <c r="U39" s="110"/>
      <c r="V39" s="110"/>
      <c r="W39" s="110"/>
      <c r="X39" s="111"/>
      <c r="Y39" s="111"/>
      <c r="Z39" s="112"/>
      <c r="AA39" s="112"/>
      <c r="AB39" s="112"/>
      <c r="AC39" s="112"/>
      <c r="AD39" s="112"/>
      <c r="AE39" s="128" t="s">
        <v>4</v>
      </c>
      <c r="AF39" s="112"/>
      <c r="AG39" s="38"/>
      <c r="AH39" s="124"/>
      <c r="AI39" s="117"/>
      <c r="AJ39" s="80"/>
      <c r="AK39" s="80"/>
    </row>
    <row r="40" spans="1:44" s="68" customFormat="1" ht="24" customHeight="1" thickTop="1" thickBot="1">
      <c r="A40" s="2448" t="s">
        <v>26</v>
      </c>
      <c r="B40" s="2450" t="s">
        <v>63</v>
      </c>
      <c r="C40" s="2440" t="s">
        <v>64</v>
      </c>
      <c r="D40" s="2448" t="s">
        <v>65</v>
      </c>
      <c r="E40" s="2444" t="s">
        <v>66</v>
      </c>
      <c r="F40" s="2444" t="s">
        <v>67</v>
      </c>
      <c r="G40" s="2428" t="s">
        <v>28</v>
      </c>
      <c r="H40" s="2442" t="s">
        <v>68</v>
      </c>
      <c r="I40" s="2444" t="s">
        <v>69</v>
      </c>
      <c r="J40" s="2452" t="s">
        <v>29</v>
      </c>
      <c r="K40" s="2438"/>
      <c r="L40" s="2442"/>
      <c r="M40" s="2452"/>
      <c r="N40" s="2448" t="s">
        <v>70</v>
      </c>
      <c r="O40" s="2446" t="s">
        <v>71</v>
      </c>
      <c r="P40" s="2430" t="s">
        <v>72</v>
      </c>
      <c r="Q40" s="2432" t="s">
        <v>73</v>
      </c>
      <c r="R40" s="2434" t="s">
        <v>74</v>
      </c>
      <c r="S40" s="2436" t="s">
        <v>75</v>
      </c>
      <c r="T40" s="2430" t="s">
        <v>76</v>
      </c>
      <c r="U40" s="2432" t="s">
        <v>31</v>
      </c>
      <c r="V40" s="2432"/>
      <c r="W40" s="2434"/>
      <c r="X40" s="2438" t="s">
        <v>32</v>
      </c>
      <c r="Y40" s="2440" t="s">
        <v>32</v>
      </c>
      <c r="Z40" s="2438" t="s">
        <v>77</v>
      </c>
      <c r="AA40" s="2442" t="s">
        <v>77</v>
      </c>
      <c r="AB40" s="2444" t="s">
        <v>78</v>
      </c>
      <c r="AC40" s="2428" t="s">
        <v>79</v>
      </c>
      <c r="AD40" s="99"/>
      <c r="AE40" s="131" t="s">
        <v>4</v>
      </c>
      <c r="AF40" s="99"/>
      <c r="AG40" s="132"/>
      <c r="AH40" s="133"/>
      <c r="AI40" s="134" t="s">
        <v>80</v>
      </c>
    </row>
    <row r="41" spans="1:44" s="68" customFormat="1" ht="24" customHeight="1" thickTop="1" thickBot="1">
      <c r="A41" s="2449"/>
      <c r="B41" s="2451"/>
      <c r="C41" s="2441"/>
      <c r="D41" s="2449"/>
      <c r="E41" s="2445"/>
      <c r="F41" s="2445"/>
      <c r="G41" s="2429"/>
      <c r="H41" s="2443"/>
      <c r="I41" s="2445"/>
      <c r="J41" s="83" t="s">
        <v>36</v>
      </c>
      <c r="K41" s="84" t="s">
        <v>37</v>
      </c>
      <c r="L41" s="85" t="s">
        <v>23</v>
      </c>
      <c r="M41" s="83" t="s">
        <v>24</v>
      </c>
      <c r="N41" s="2449"/>
      <c r="O41" s="2447"/>
      <c r="P41" s="2431"/>
      <c r="Q41" s="2433"/>
      <c r="R41" s="2435"/>
      <c r="S41" s="2437"/>
      <c r="T41" s="2431"/>
      <c r="U41" s="87" t="s">
        <v>36</v>
      </c>
      <c r="V41" s="87" t="s">
        <v>37</v>
      </c>
      <c r="W41" s="88" t="s">
        <v>38</v>
      </c>
      <c r="X41" s="2439"/>
      <c r="Y41" s="2441"/>
      <c r="Z41" s="2439"/>
      <c r="AA41" s="2443"/>
      <c r="AB41" s="2445"/>
      <c r="AC41" s="2429"/>
      <c r="AD41" s="99"/>
      <c r="AE41" s="33" t="s">
        <v>4</v>
      </c>
      <c r="AF41" s="99"/>
      <c r="AG41" s="132"/>
      <c r="AH41" s="133"/>
      <c r="AI41" s="134" t="s">
        <v>80</v>
      </c>
    </row>
    <row r="42" spans="1:44" s="105" customFormat="1" ht="24.95" customHeight="1" thickTop="1">
      <c r="A42" s="135">
        <f ca="1">$B$17</f>
        <v>1</v>
      </c>
      <c r="B42" s="136"/>
      <c r="C42" s="137"/>
      <c r="D42" s="138"/>
      <c r="E42" s="139" t="str">
        <f>$D$17</f>
        <v>SERVIÇOS PRELIMINARES</v>
      </c>
      <c r="F42" s="140"/>
      <c r="G42" s="141"/>
      <c r="H42" s="142" t="s">
        <v>81</v>
      </c>
      <c r="I42" s="142" t="s">
        <v>81</v>
      </c>
      <c r="J42" s="143"/>
      <c r="K42" s="143"/>
      <c r="L42" s="143"/>
      <c r="M42" s="143"/>
      <c r="N42" s="143"/>
      <c r="O42" s="144" t="str">
        <f ca="1">CONCATENATE("SUB-TOTAL ",$A42)</f>
        <v>SUB-TOTAL 1</v>
      </c>
      <c r="P42" s="144" t="str">
        <f ca="1">CONCATENATE("SUB-TOTAL ",$A42)</f>
        <v>SUB-TOTAL 1</v>
      </c>
      <c r="Q42" s="144" t="str">
        <f ca="1">CONCATENATE("SUB-TOTAL ",$A42)</f>
        <v>SUB-TOTAL 1</v>
      </c>
      <c r="R42" s="144" t="str">
        <f ca="1">CONCATENATE("SUB-TOTAL ",$A42)</f>
        <v>SUB-TOTAL 1</v>
      </c>
      <c r="S42" s="145">
        <f>SUM(S43:S77)</f>
        <v>101788.53</v>
      </c>
      <c r="T42" s="145">
        <f>SUM(T43:T77)</f>
        <v>104286.02</v>
      </c>
      <c r="U42" s="144">
        <f>SUM(U43:U77)</f>
        <v>0</v>
      </c>
      <c r="V42" s="144">
        <f>SUM(V43:V77)</f>
        <v>0</v>
      </c>
      <c r="W42" s="144">
        <f>SUM(W43:W77)</f>
        <v>0</v>
      </c>
      <c r="X42" s="146">
        <f>$S42/ORCAMENTO_VALOR_TOTAL_ND</f>
        <v>3.2915177458926352E-2</v>
      </c>
      <c r="Y42" s="146">
        <f>$T42/ORCAMENTO_VALOR_TOTAL_DE</f>
        <v>3.0661551167828954E-2</v>
      </c>
      <c r="Z42" s="146"/>
      <c r="AA42" s="146"/>
      <c r="AB42" s="146">
        <f>IFERROR($S42/$S42,0)</f>
        <v>1</v>
      </c>
      <c r="AC42" s="146">
        <f>IFERROR($T42/$T42,0)</f>
        <v>1</v>
      </c>
      <c r="AD42" s="147"/>
      <c r="AE42" s="148">
        <f t="shared" ref="AE42" ca="1" si="6">IF(S42&gt;0,IFERROR(TRUNC(A42,0),0),0)</f>
        <v>1</v>
      </c>
      <c r="AF42" s="149"/>
      <c r="AG42" s="150"/>
      <c r="AH42" s="151">
        <f>S42/S$42</f>
        <v>1</v>
      </c>
      <c r="AK42" s="49"/>
      <c r="AL42" s="49"/>
      <c r="AM42" s="49"/>
      <c r="AN42" s="49"/>
      <c r="AO42" s="49"/>
      <c r="AP42" s="49"/>
      <c r="AQ42" s="49"/>
      <c r="AR42" s="49"/>
    </row>
    <row r="43" spans="1:44" s="49" customFormat="1" ht="39.950000000000003" customHeight="1">
      <c r="A43" s="152">
        <f t="shared" ref="A43:A61" ca="1" si="7">IF(K43&gt;0,A42+0.01,A42)</f>
        <v>1.01</v>
      </c>
      <c r="B43" s="153" t="s">
        <v>82</v>
      </c>
      <c r="C43" s="154" t="str">
        <f>TEXT(B43,"")</f>
        <v>SP/0001</v>
      </c>
      <c r="D43" s="154" t="s">
        <v>3549</v>
      </c>
      <c r="E43" s="155" t="s">
        <v>3544</v>
      </c>
      <c r="F43" s="154"/>
      <c r="G43" s="154" t="s">
        <v>1418</v>
      </c>
      <c r="H43" s="152">
        <v>360.72</v>
      </c>
      <c r="I43" s="152">
        <v>354.66</v>
      </c>
      <c r="J43" s="156"/>
      <c r="K43" s="156">
        <f>S_Preliminares!N3</f>
        <v>16</v>
      </c>
      <c r="L43" s="156">
        <f>IF($K43&gt;$J43,$K43-$J43,0)</f>
        <v>16</v>
      </c>
      <c r="M43" s="156">
        <f>IF($K43&lt;$J43,$J43-$K43,0)</f>
        <v>0</v>
      </c>
      <c r="N43" s="156" t="s">
        <v>83</v>
      </c>
      <c r="O43" s="157" cm="1">
        <f t="array" ref="O43">TRUNC($H43*(1+_xlfn.SWITCH($N43,"BDI 1",$O$6,"BDI 2",$O$7,"BDI 3",$O$8)),2)</f>
        <v>435.38</v>
      </c>
      <c r="P43" s="157" cm="1">
        <f t="array" ref="P43">TRUNC($I43*(1+_xlfn.SWITCH($N43,"BDI 1",$P$6,"BDI 2",$P$7,"BDI 3",$P$8)),2)</f>
        <v>449.49</v>
      </c>
      <c r="Q43" s="157">
        <v>0</v>
      </c>
      <c r="R43" s="157">
        <f>$Q43-($Q43*LICITACAO_DESCONTO)</f>
        <v>0</v>
      </c>
      <c r="S43" s="156">
        <f>TRUNC($K43*$O43,2)</f>
        <v>6966.08</v>
      </c>
      <c r="T43" s="156">
        <f>TRUNC($K43*$P43,2)</f>
        <v>7191.84</v>
      </c>
      <c r="U43" s="156">
        <f>TRUNC($J43*$R43,2)</f>
        <v>0</v>
      </c>
      <c r="V43" s="156">
        <f>TRUNC($K43*$Q43,2)</f>
        <v>0</v>
      </c>
      <c r="W43" s="156">
        <f>TRUNC(V43-U43,2)</f>
        <v>0</v>
      </c>
      <c r="X43" s="158">
        <f>$S43/ORCAMENTO_VALOR_TOTAL_ND</f>
        <v>2.2526090060744335E-3</v>
      </c>
      <c r="Y43" s="158">
        <f>$T43/ORCAMENTO_VALOR_TOTAL_DE</f>
        <v>2.1145017342769335E-3</v>
      </c>
      <c r="Z43" s="158" cm="1">
        <f t="array" ref="Z43">_xlfn.SWITCH($N43,"BDI 1",$O$6,"BDI 2",$O$7,"BDI 3",$O$8)</f>
        <v>0.20699999999999999</v>
      </c>
      <c r="AA43" s="158" cm="1">
        <f t="array" ref="AA43">_xlfn.SWITCH($N43,"BDI 1",$P$6,"BDI 2",$P$7,"BDI 3",$P$8)</f>
        <v>0.26739999999999997</v>
      </c>
      <c r="AB43" s="158">
        <f ca="1">IFERROR($S43/_xlfn.XLOOKUP($AE43,$B$16:$B$38,$S$16:$S$38),0)</f>
        <v>0</v>
      </c>
      <c r="AC43" s="158">
        <f ca="1">IFERROR($T43/_xlfn.XLOOKUP($AE43,$B$16:$B$38,$T$16:$T$38),0)</f>
        <v>0</v>
      </c>
      <c r="AD43" s="147"/>
      <c r="AE43" s="148">
        <f ca="1">IF(S43&gt;0,IFERROR(TRUNC(A43,0),0),0)</f>
        <v>1</v>
      </c>
      <c r="AF43" s="149"/>
      <c r="AG43" s="150"/>
      <c r="AH43" s="159">
        <f>S43/S$42</f>
        <v>6.8436787524095294E-2</v>
      </c>
      <c r="AI43" s="160"/>
    </row>
    <row r="44" spans="1:44" s="49" customFormat="1" ht="40.15" hidden="1" customHeight="1">
      <c r="A44" s="152">
        <f t="shared" ca="1" si="7"/>
        <v>1.01</v>
      </c>
      <c r="B44" s="153"/>
      <c r="C44" s="154"/>
      <c r="D44" s="154"/>
      <c r="E44" s="161" t="s">
        <v>84</v>
      </c>
      <c r="F44" s="154"/>
      <c r="G44" s="154"/>
      <c r="H44" s="152"/>
      <c r="I44" s="152"/>
      <c r="J44" s="154"/>
      <c r="K44" s="154"/>
      <c r="L44" s="154"/>
      <c r="M44" s="154"/>
      <c r="N44" s="154"/>
      <c r="O44" s="154"/>
      <c r="P44" s="154"/>
      <c r="Q44" s="154"/>
      <c r="R44" s="154"/>
      <c r="S44" s="162"/>
      <c r="T44" s="162"/>
      <c r="U44" s="162"/>
      <c r="V44" s="162"/>
      <c r="W44" s="162"/>
      <c r="X44" s="163"/>
      <c r="Y44" s="163"/>
      <c r="Z44" s="163"/>
      <c r="AA44" s="163"/>
      <c r="AB44" s="163"/>
      <c r="AC44" s="163"/>
      <c r="AD44" s="147"/>
      <c r="AE44" s="148">
        <f t="shared" ref="AE44:AE71" si="8">IF(S44&gt;0,IFERROR(TRUNC(A44,0),0),0)</f>
        <v>0</v>
      </c>
      <c r="AF44" s="149"/>
      <c r="AG44" s="150"/>
      <c r="AH44" s="159"/>
      <c r="AI44" s="160" t="s">
        <v>85</v>
      </c>
      <c r="AK44" s="105"/>
      <c r="AL44" s="105"/>
      <c r="AM44" s="105"/>
      <c r="AN44" s="105"/>
      <c r="AO44" s="105"/>
      <c r="AP44" s="105"/>
      <c r="AQ44" s="105"/>
      <c r="AR44" s="105"/>
    </row>
    <row r="45" spans="1:44" s="49" customFormat="1" ht="39.950000000000003" customHeight="1">
      <c r="A45" s="152">
        <f t="shared" ca="1" si="7"/>
        <v>1.02</v>
      </c>
      <c r="B45" s="153" t="s">
        <v>86</v>
      </c>
      <c r="C45" s="154" t="str">
        <f>TEXT(B45,"0")</f>
        <v>10775</v>
      </c>
      <c r="D45" s="154" t="s">
        <v>3579</v>
      </c>
      <c r="E45" s="155" t="s">
        <v>1435</v>
      </c>
      <c r="F45" s="154"/>
      <c r="G45" s="154" t="s">
        <v>3542</v>
      </c>
      <c r="H45" s="152">
        <v>832.5</v>
      </c>
      <c r="I45" s="152">
        <v>832.5</v>
      </c>
      <c r="J45" s="156"/>
      <c r="K45" s="156">
        <f>S_Preliminares!N8</f>
        <v>12</v>
      </c>
      <c r="L45" s="156">
        <f t="shared" ref="L45:L71" si="9">IF($K45&gt;$J45,$K45-$J45,0)</f>
        <v>12</v>
      </c>
      <c r="M45" s="156">
        <f t="shared" ref="M45:M71" si="10">IF($K45&lt;$J45,$J45-$K45,0)</f>
        <v>0</v>
      </c>
      <c r="N45" s="156" t="s">
        <v>83</v>
      </c>
      <c r="O45" s="157" cm="1">
        <f t="array" ref="O45">TRUNC($H45*(1+_xlfn.SWITCH($N45,"BDI 1",$O$6,"BDI 2",$O$7,"BDI 3",$O$8)),2)</f>
        <v>1004.82</v>
      </c>
      <c r="P45" s="157" cm="1">
        <f t="array" ref="P45">TRUNC($I45*(1+_xlfn.SWITCH($N45,"BDI 1",$P$6,"BDI 2",$P$7,"BDI 3",$P$8)),2)</f>
        <v>1055.1099999999999</v>
      </c>
      <c r="Q45" s="157">
        <v>0</v>
      </c>
      <c r="R45" s="157">
        <f t="shared" ref="R45:R71" si="11">$Q45-($Q45*LICITACAO_DESCONTO)</f>
        <v>0</v>
      </c>
      <c r="S45" s="156">
        <f t="shared" ref="S45:S71" si="12">TRUNC($K45*$O45,2)</f>
        <v>12057.84</v>
      </c>
      <c r="T45" s="156">
        <f t="shared" ref="T45:T71" si="13">TRUNC($K45*$P45,2)</f>
        <v>12661.32</v>
      </c>
      <c r="U45" s="156">
        <f t="shared" ref="U45:U71" si="14">TRUNC($J45*$R45,2)</f>
        <v>0</v>
      </c>
      <c r="V45" s="156">
        <f t="shared" ref="V45:V71" si="15">TRUNC($K45*$Q45,2)</f>
        <v>0</v>
      </c>
      <c r="W45" s="156">
        <f t="shared" ref="W45:W71" si="16">TRUNC(V45-U45,2)</f>
        <v>0</v>
      </c>
      <c r="X45" s="158">
        <f t="shared" ref="X45" si="17">$S45/ORCAMENTO_VALOR_TOTAL_ND</f>
        <v>3.8991224588010116E-3</v>
      </c>
      <c r="Y45" s="158">
        <f t="shared" ref="Y45" si="18">$T45/ORCAMENTO_VALOR_TOTAL_DE</f>
        <v>3.7226054943151161E-3</v>
      </c>
      <c r="Z45" s="158" cm="1">
        <f t="array" ref="Z45">_xlfn.SWITCH($N45,"BDI 1",$O$6,"BDI 2",$O$7,"BDI 3",$O$8)</f>
        <v>0.20699999999999999</v>
      </c>
      <c r="AA45" s="158" cm="1">
        <f t="array" ref="AA45">_xlfn.SWITCH($N45,"BDI 1",$P$6,"BDI 2",$P$7,"BDI 3",$P$8)</f>
        <v>0.26739999999999997</v>
      </c>
      <c r="AB45" s="158">
        <f t="shared" ref="AB45:AB71" ca="1" si="19">IFERROR($S45/_xlfn.XLOOKUP($AE45,$B$16:$B$38,$S$16:$S$38),0)</f>
        <v>0</v>
      </c>
      <c r="AC45" s="158">
        <f t="shared" ref="AC45:AC71" ca="1" si="20">IFERROR($T45/_xlfn.XLOOKUP($AE45,$B$16:$B$38,$T$16:$T$38),0)</f>
        <v>0</v>
      </c>
      <c r="AD45" s="147"/>
      <c r="AE45" s="148">
        <f t="shared" ca="1" si="8"/>
        <v>1</v>
      </c>
      <c r="AF45" s="149"/>
      <c r="AG45" s="150"/>
      <c r="AH45" s="159">
        <f t="shared" ref="AH45:AH71" si="21">S45/S$42</f>
        <v>0.11845971250395305</v>
      </c>
      <c r="AI45" s="160"/>
    </row>
    <row r="46" spans="1:44" s="49" customFormat="1" ht="39.950000000000003" customHeight="1">
      <c r="A46" s="152">
        <f t="shared" ca="1" si="7"/>
        <v>1.03</v>
      </c>
      <c r="B46" s="153" t="s">
        <v>87</v>
      </c>
      <c r="C46" s="154" t="str">
        <f t="shared" ref="C46:C71" si="22">TEXT(B46,"0")</f>
        <v>10776</v>
      </c>
      <c r="D46" s="154" t="s">
        <v>3579</v>
      </c>
      <c r="E46" s="155" t="s">
        <v>1440</v>
      </c>
      <c r="F46" s="154"/>
      <c r="G46" s="154" t="s">
        <v>3542</v>
      </c>
      <c r="H46" s="152">
        <v>650.39</v>
      </c>
      <c r="I46" s="152">
        <v>650.39</v>
      </c>
      <c r="J46" s="156"/>
      <c r="K46" s="156">
        <f>S_Preliminares!N9</f>
        <v>12</v>
      </c>
      <c r="L46" s="156">
        <f t="shared" si="9"/>
        <v>12</v>
      </c>
      <c r="M46" s="156">
        <f t="shared" si="10"/>
        <v>0</v>
      </c>
      <c r="N46" s="156" t="s">
        <v>83</v>
      </c>
      <c r="O46" s="157" cm="1">
        <f t="array" ref="O46">TRUNC($H46*(1+_xlfn.SWITCH($N46,"BDI 1",$O$6,"BDI 2",$O$7,"BDI 3",$O$8)),2)</f>
        <v>785.02</v>
      </c>
      <c r="P46" s="157" cm="1">
        <f t="array" ref="P46">TRUNC($I46*(1+_xlfn.SWITCH($N46,"BDI 1",$P$6,"BDI 2",$P$7,"BDI 3",$P$8)),2)</f>
        <v>824.3</v>
      </c>
      <c r="Q46" s="157">
        <v>0</v>
      </c>
      <c r="R46" s="157">
        <f t="shared" si="11"/>
        <v>0</v>
      </c>
      <c r="S46" s="156">
        <f t="shared" si="12"/>
        <v>9420.24</v>
      </c>
      <c r="T46" s="156">
        <f t="shared" si="13"/>
        <v>9891.6</v>
      </c>
      <c r="U46" s="156">
        <f t="shared" si="14"/>
        <v>0</v>
      </c>
      <c r="V46" s="156">
        <f t="shared" si="15"/>
        <v>0</v>
      </c>
      <c r="W46" s="156">
        <f t="shared" si="16"/>
        <v>0</v>
      </c>
      <c r="X46" s="158">
        <f t="shared" ref="X46" si="23">$S46/ORCAMENTO_VALOR_TOTAL_ND</f>
        <v>3.0462063977707153E-3</v>
      </c>
      <c r="Y46" s="158">
        <f t="shared" ref="Y46" si="24">$T46/ORCAMENTO_VALOR_TOTAL_DE</f>
        <v>2.9082690041454923E-3</v>
      </c>
      <c r="Z46" s="158" cm="1">
        <f t="array" ref="Z46">_xlfn.SWITCH($N46,"BDI 1",$O$6,"BDI 2",$O$7,"BDI 3",$O$8)</f>
        <v>0.20699999999999999</v>
      </c>
      <c r="AA46" s="158" cm="1">
        <f t="array" ref="AA46">_xlfn.SWITCH($N46,"BDI 1",$P$6,"BDI 2",$P$7,"BDI 3",$P$8)</f>
        <v>0.26739999999999997</v>
      </c>
      <c r="AB46" s="158">
        <f t="shared" ca="1" si="19"/>
        <v>0</v>
      </c>
      <c r="AC46" s="158">
        <f t="shared" ca="1" si="20"/>
        <v>0</v>
      </c>
      <c r="AD46" s="147"/>
      <c r="AE46" s="148">
        <f t="shared" ca="1" si="8"/>
        <v>1</v>
      </c>
      <c r="AF46" s="149"/>
      <c r="AG46" s="150"/>
      <c r="AH46" s="159">
        <f t="shared" si="21"/>
        <v>9.2547166168919032E-2</v>
      </c>
      <c r="AI46" s="160"/>
    </row>
    <row r="47" spans="1:44" s="49" customFormat="1" ht="39.950000000000003" customHeight="1">
      <c r="A47" s="152">
        <f t="shared" ca="1" si="7"/>
        <v>1.04</v>
      </c>
      <c r="B47" s="153" t="s">
        <v>88</v>
      </c>
      <c r="C47" s="154" t="str">
        <f t="shared" si="22"/>
        <v>10777</v>
      </c>
      <c r="D47" s="154" t="s">
        <v>3579</v>
      </c>
      <c r="E47" s="155" t="s">
        <v>1449</v>
      </c>
      <c r="F47" s="154"/>
      <c r="G47" s="154" t="s">
        <v>3542</v>
      </c>
      <c r="H47" s="152">
        <v>945.23</v>
      </c>
      <c r="I47" s="152">
        <v>945.23</v>
      </c>
      <c r="J47" s="156"/>
      <c r="K47" s="156">
        <f>S_Preliminares!N10</f>
        <v>12</v>
      </c>
      <c r="L47" s="156">
        <f t="shared" si="9"/>
        <v>12</v>
      </c>
      <c r="M47" s="156">
        <f t="shared" si="10"/>
        <v>0</v>
      </c>
      <c r="N47" s="156" t="s">
        <v>83</v>
      </c>
      <c r="O47" s="157" cm="1">
        <f t="array" ref="O47">TRUNC($H47*(1+_xlfn.SWITCH($N47,"BDI 1",$O$6,"BDI 2",$O$7,"BDI 3",$O$8)),2)</f>
        <v>1140.8900000000001</v>
      </c>
      <c r="P47" s="157" cm="1">
        <f t="array" ref="P47">TRUNC($I47*(1+_xlfn.SWITCH($N47,"BDI 1",$P$6,"BDI 2",$P$7,"BDI 3",$P$8)),2)</f>
        <v>1197.98</v>
      </c>
      <c r="Q47" s="157">
        <v>0</v>
      </c>
      <c r="R47" s="157">
        <f t="shared" si="11"/>
        <v>0</v>
      </c>
      <c r="S47" s="156">
        <f t="shared" si="12"/>
        <v>13690.68</v>
      </c>
      <c r="T47" s="156">
        <f t="shared" si="13"/>
        <v>14375.76</v>
      </c>
      <c r="U47" s="156">
        <f t="shared" si="14"/>
        <v>0</v>
      </c>
      <c r="V47" s="156">
        <f t="shared" si="15"/>
        <v>0</v>
      </c>
      <c r="W47" s="156">
        <f t="shared" si="16"/>
        <v>0</v>
      </c>
      <c r="X47" s="158">
        <f t="shared" ref="X47" si="25">$S47/ORCAMENTO_VALOR_TOTAL_ND</f>
        <v>4.427131050358757E-3</v>
      </c>
      <c r="Y47" s="158">
        <f t="shared" ref="Y47" si="26">$T47/ORCAMENTO_VALOR_TOTAL_DE</f>
        <v>4.226674877576388E-3</v>
      </c>
      <c r="Z47" s="158" cm="1">
        <f t="array" ref="Z47">_xlfn.SWITCH($N47,"BDI 1",$O$6,"BDI 2",$O$7,"BDI 3",$O$8)</f>
        <v>0.20699999999999999</v>
      </c>
      <c r="AA47" s="158" cm="1">
        <f t="array" ref="AA47">_xlfn.SWITCH($N47,"BDI 1",$P$6,"BDI 2",$P$7,"BDI 3",$P$8)</f>
        <v>0.26739999999999997</v>
      </c>
      <c r="AB47" s="158">
        <f t="shared" ca="1" si="19"/>
        <v>0</v>
      </c>
      <c r="AC47" s="158">
        <f t="shared" ca="1" si="20"/>
        <v>0</v>
      </c>
      <c r="AD47" s="164"/>
      <c r="AE47" s="148">
        <f t="shared" ca="1" si="8"/>
        <v>1</v>
      </c>
      <c r="AF47" s="149"/>
      <c r="AG47" s="150"/>
      <c r="AH47" s="159">
        <f t="shared" si="21"/>
        <v>0.13450120558770226</v>
      </c>
      <c r="AI47" s="160"/>
    </row>
    <row r="48" spans="1:44" s="49" customFormat="1" ht="39.950000000000003" customHeight="1">
      <c r="A48" s="152">
        <f t="shared" ca="1" si="7"/>
        <v>1.05</v>
      </c>
      <c r="B48" s="153" t="s">
        <v>89</v>
      </c>
      <c r="C48" s="154" t="str">
        <f t="shared" si="22"/>
        <v>IEQ000430</v>
      </c>
      <c r="D48" s="154" t="s">
        <v>3580</v>
      </c>
      <c r="E48" s="155" t="s">
        <v>3540</v>
      </c>
      <c r="F48" s="154"/>
      <c r="G48" s="154" t="s">
        <v>3541</v>
      </c>
      <c r="H48" s="152">
        <v>1550</v>
      </c>
      <c r="I48" s="152">
        <v>1550</v>
      </c>
      <c r="J48" s="156"/>
      <c r="K48" s="156">
        <f>S_Preliminares!N12</f>
        <v>12</v>
      </c>
      <c r="L48" s="156">
        <f t="shared" si="9"/>
        <v>12</v>
      </c>
      <c r="M48" s="156">
        <f t="shared" si="10"/>
        <v>0</v>
      </c>
      <c r="N48" s="156" t="s">
        <v>83</v>
      </c>
      <c r="O48" s="157" cm="1">
        <f t="array" ref="O48">TRUNC($H48*(1+_xlfn.SWITCH($N48,"BDI 1",$O$6,"BDI 2",$O$7,"BDI 3",$O$8)),2)</f>
        <v>1870.85</v>
      </c>
      <c r="P48" s="157" cm="1">
        <f t="array" ref="P48">TRUNC($I48*(1+_xlfn.SWITCH($N48,"BDI 1",$P$6,"BDI 2",$P$7,"BDI 3",$P$8)),2)</f>
        <v>1964.47</v>
      </c>
      <c r="Q48" s="157">
        <v>0</v>
      </c>
      <c r="R48" s="157">
        <f t="shared" si="11"/>
        <v>0</v>
      </c>
      <c r="S48" s="156">
        <f t="shared" si="12"/>
        <v>22450.2</v>
      </c>
      <c r="T48" s="156">
        <f t="shared" si="13"/>
        <v>23573.64</v>
      </c>
      <c r="U48" s="156">
        <f t="shared" si="14"/>
        <v>0</v>
      </c>
      <c r="V48" s="156">
        <f t="shared" si="15"/>
        <v>0</v>
      </c>
      <c r="W48" s="156">
        <f t="shared" si="16"/>
        <v>0</v>
      </c>
      <c r="X48" s="158">
        <f t="shared" ref="X48" si="27">$S48/ORCAMENTO_VALOR_TOTAL_ND</f>
        <v>7.2596815867994992E-3</v>
      </c>
      <c r="Y48" s="158">
        <f t="shared" ref="Y48" si="28">$T48/ORCAMENTO_VALOR_TOTAL_DE</f>
        <v>6.9309804811035968E-3</v>
      </c>
      <c r="Z48" s="158" cm="1">
        <f t="array" ref="Z48">_xlfn.SWITCH($N48,"BDI 1",$O$6,"BDI 2",$O$7,"BDI 3",$O$8)</f>
        <v>0.20699999999999999</v>
      </c>
      <c r="AA48" s="158" cm="1">
        <f t="array" ref="AA48">_xlfn.SWITCH($N48,"BDI 1",$P$6,"BDI 2",$P$7,"BDI 3",$P$8)</f>
        <v>0.26739999999999997</v>
      </c>
      <c r="AB48" s="158">
        <f t="shared" ca="1" si="19"/>
        <v>0</v>
      </c>
      <c r="AC48" s="158">
        <f t="shared" ca="1" si="20"/>
        <v>0</v>
      </c>
      <c r="AD48" s="164"/>
      <c r="AE48" s="148">
        <f t="shared" ca="1" si="8"/>
        <v>1</v>
      </c>
      <c r="AF48" s="149"/>
      <c r="AG48" s="150"/>
      <c r="AH48" s="159">
        <f t="shared" si="21"/>
        <v>0.22055726711054774</v>
      </c>
      <c r="AI48" s="160"/>
    </row>
    <row r="49" spans="1:44" s="49" customFormat="1" ht="39.950000000000003" customHeight="1">
      <c r="A49" s="152">
        <f t="shared" ca="1" si="7"/>
        <v>1.06</v>
      </c>
      <c r="B49" s="153" t="s">
        <v>90</v>
      </c>
      <c r="C49" s="154" t="str">
        <f t="shared" si="22"/>
        <v>98525</v>
      </c>
      <c r="D49" s="154" t="s">
        <v>1416</v>
      </c>
      <c r="E49" s="155" t="s">
        <v>1417</v>
      </c>
      <c r="F49" s="154"/>
      <c r="G49" s="154" t="s">
        <v>1418</v>
      </c>
      <c r="H49" s="152">
        <v>0.63</v>
      </c>
      <c r="I49" s="152">
        <v>0.37</v>
      </c>
      <c r="J49" s="156"/>
      <c r="K49" s="156">
        <f>S_Preliminares!N15</f>
        <v>2500</v>
      </c>
      <c r="L49" s="156">
        <f t="shared" si="9"/>
        <v>2500</v>
      </c>
      <c r="M49" s="156">
        <f t="shared" si="10"/>
        <v>0</v>
      </c>
      <c r="N49" s="156" t="s">
        <v>83</v>
      </c>
      <c r="O49" s="157" cm="1">
        <f t="array" ref="O49">TRUNC($H49*(1+_xlfn.SWITCH($N49,"BDI 1",$O$6,"BDI 2",$O$7,"BDI 3",$O$8)),2)</f>
        <v>0.76</v>
      </c>
      <c r="P49" s="157" cm="1">
        <f t="array" ref="P49">TRUNC($I49*(1+_xlfn.SWITCH($N49,"BDI 1",$P$6,"BDI 2",$P$7,"BDI 3",$P$8)),2)</f>
        <v>0.46</v>
      </c>
      <c r="Q49" s="157">
        <v>0</v>
      </c>
      <c r="R49" s="157">
        <f t="shared" si="11"/>
        <v>0</v>
      </c>
      <c r="S49" s="156">
        <f t="shared" si="12"/>
        <v>1900</v>
      </c>
      <c r="T49" s="156">
        <f t="shared" si="13"/>
        <v>1150</v>
      </c>
      <c r="U49" s="156">
        <f t="shared" si="14"/>
        <v>0</v>
      </c>
      <c r="V49" s="156">
        <f t="shared" si="15"/>
        <v>0</v>
      </c>
      <c r="W49" s="156">
        <f t="shared" si="16"/>
        <v>0</v>
      </c>
      <c r="X49" s="158">
        <f t="shared" ref="X49" si="29">$S49/ORCAMENTO_VALOR_TOTAL_ND</f>
        <v>6.1439964966543935E-4</v>
      </c>
      <c r="Y49" s="158">
        <f t="shared" ref="Y49" si="30">$T49/ORCAMENTO_VALOR_TOTAL_DE</f>
        <v>3.381161141541627E-4</v>
      </c>
      <c r="Z49" s="158" cm="1">
        <f t="array" ref="Z49">_xlfn.SWITCH($N49,"BDI 1",$O$6,"BDI 2",$O$7,"BDI 3",$O$8)</f>
        <v>0.20699999999999999</v>
      </c>
      <c r="AA49" s="158" cm="1">
        <f t="array" ref="AA49">_xlfn.SWITCH($N49,"BDI 1",$P$6,"BDI 2",$P$7,"BDI 3",$P$8)</f>
        <v>0.26739999999999997</v>
      </c>
      <c r="AB49" s="158">
        <f t="shared" ca="1" si="19"/>
        <v>0</v>
      </c>
      <c r="AC49" s="158">
        <f t="shared" ca="1" si="20"/>
        <v>0</v>
      </c>
      <c r="AD49" s="164"/>
      <c r="AE49" s="148">
        <f t="shared" ca="1" si="8"/>
        <v>1</v>
      </c>
      <c r="AF49" s="149"/>
      <c r="AG49" s="150"/>
      <c r="AH49" s="159">
        <f t="shared" si="21"/>
        <v>1.8666150302003574E-2</v>
      </c>
      <c r="AI49" s="160"/>
    </row>
    <row r="50" spans="1:44" s="49" customFormat="1" ht="39.950000000000003" customHeight="1">
      <c r="A50" s="152">
        <f t="shared" ca="1" si="7"/>
        <v>1.07</v>
      </c>
      <c r="B50" s="153" t="s">
        <v>91</v>
      </c>
      <c r="C50" s="154" t="str">
        <f t="shared" si="22"/>
        <v>SC/0068</v>
      </c>
      <c r="D50" s="154" t="s">
        <v>3549</v>
      </c>
      <c r="E50" s="155" t="s">
        <v>1425</v>
      </c>
      <c r="F50" s="154"/>
      <c r="G50" s="154" t="s">
        <v>1418</v>
      </c>
      <c r="H50" s="152">
        <v>5.0199999999999996</v>
      </c>
      <c r="I50" s="152">
        <v>5.01</v>
      </c>
      <c r="J50" s="156"/>
      <c r="K50" s="156">
        <f>S_Preliminares!N16</f>
        <v>625</v>
      </c>
      <c r="L50" s="156">
        <f t="shared" si="9"/>
        <v>625</v>
      </c>
      <c r="M50" s="156">
        <f t="shared" si="10"/>
        <v>0</v>
      </c>
      <c r="N50" s="156" t="s">
        <v>92</v>
      </c>
      <c r="O50" s="157" cm="1">
        <f t="array" ref="O50">TRUNC($H50*(1+_xlfn.SWITCH($N50,"BDI 1",$O$6,"BDI 2",$O$7,"BDI 3",$O$8)),2)</f>
        <v>5.78</v>
      </c>
      <c r="P50" s="157" cm="1">
        <f t="array" ref="P50">TRUNC($I50*(1+_xlfn.SWITCH($N50,"BDI 1",$P$6,"BDI 2",$P$7,"BDI 3",$P$8)),2)</f>
        <v>5.77</v>
      </c>
      <c r="Q50" s="157">
        <v>0</v>
      </c>
      <c r="R50" s="157">
        <f t="shared" si="11"/>
        <v>0</v>
      </c>
      <c r="S50" s="156">
        <f t="shared" si="12"/>
        <v>3612.5</v>
      </c>
      <c r="T50" s="156">
        <f t="shared" si="13"/>
        <v>3606.25</v>
      </c>
      <c r="U50" s="156">
        <f t="shared" si="14"/>
        <v>0</v>
      </c>
      <c r="V50" s="156">
        <f t="shared" si="15"/>
        <v>0</v>
      </c>
      <c r="W50" s="156">
        <f t="shared" si="16"/>
        <v>0</v>
      </c>
      <c r="X50" s="158">
        <f t="shared" ref="X50" si="31">$S50/ORCAMENTO_VALOR_TOTAL_ND</f>
        <v>1.168167754956E-3</v>
      </c>
      <c r="Y50" s="158">
        <f t="shared" ref="Y50" si="32">$T50/ORCAMENTO_VALOR_TOTAL_DE</f>
        <v>1.060288031885608E-3</v>
      </c>
      <c r="Z50" s="158" cm="1">
        <f t="array" ref="Z50">_xlfn.SWITCH($N50,"BDI 1",$O$6,"BDI 2",$O$7,"BDI 3",$O$8)</f>
        <v>0.1527</v>
      </c>
      <c r="AA50" s="158" cm="1">
        <f t="array" ref="AA50">_xlfn.SWITCH($N50,"BDI 1",$P$6,"BDI 2",$P$7,"BDI 3",$P$8)</f>
        <v>0.1527</v>
      </c>
      <c r="AB50" s="158">
        <f t="shared" ca="1" si="19"/>
        <v>0</v>
      </c>
      <c r="AC50" s="158">
        <f t="shared" ca="1" si="20"/>
        <v>0</v>
      </c>
      <c r="AD50" s="164"/>
      <c r="AE50" s="148">
        <f t="shared" ca="1" si="8"/>
        <v>1</v>
      </c>
      <c r="AF50" s="149"/>
      <c r="AG50" s="150"/>
      <c r="AH50" s="159">
        <f t="shared" si="21"/>
        <v>3.5490246297888377E-2</v>
      </c>
      <c r="AI50" s="160"/>
    </row>
    <row r="51" spans="1:44" s="49" customFormat="1" ht="50.1" customHeight="1">
      <c r="A51" s="152">
        <f t="shared" ca="1" si="7"/>
        <v>1.08</v>
      </c>
      <c r="B51" s="153" t="s">
        <v>93</v>
      </c>
      <c r="C51" s="154" t="str">
        <f t="shared" si="22"/>
        <v>101203</v>
      </c>
      <c r="D51" s="154" t="s">
        <v>1416</v>
      </c>
      <c r="E51" s="155" t="s">
        <v>1432</v>
      </c>
      <c r="F51" s="154"/>
      <c r="G51" s="154" t="s">
        <v>58</v>
      </c>
      <c r="H51" s="152">
        <v>40.98</v>
      </c>
      <c r="I51" s="152">
        <v>38.450000000000003</v>
      </c>
      <c r="J51" s="156"/>
      <c r="K51" s="156">
        <f>IF(S_Preliminares!J13="C",S_Preliminares!N13,"0")</f>
        <v>200</v>
      </c>
      <c r="L51" s="156">
        <f t="shared" si="9"/>
        <v>200</v>
      </c>
      <c r="M51" s="156">
        <f t="shared" si="10"/>
        <v>0</v>
      </c>
      <c r="N51" s="156" t="s">
        <v>92</v>
      </c>
      <c r="O51" s="157" cm="1">
        <f t="array" ref="O51">TRUNC($H51*(1+_xlfn.SWITCH($N51,"BDI 1",$O$6,"BDI 2",$O$7,"BDI 3",$O$8)),2)</f>
        <v>47.23</v>
      </c>
      <c r="P51" s="157" cm="1">
        <f t="array" ref="P51">TRUNC($I51*(1+_xlfn.SWITCH($N51,"BDI 1",$P$6,"BDI 2",$P$7,"BDI 3",$P$8)),2)</f>
        <v>44.32</v>
      </c>
      <c r="Q51" s="157">
        <v>0</v>
      </c>
      <c r="R51" s="157">
        <f t="shared" si="11"/>
        <v>0</v>
      </c>
      <c r="S51" s="156">
        <f t="shared" si="12"/>
        <v>9446</v>
      </c>
      <c r="T51" s="156">
        <f t="shared" si="13"/>
        <v>8864</v>
      </c>
      <c r="U51" s="156">
        <f t="shared" si="14"/>
        <v>0</v>
      </c>
      <c r="V51" s="156">
        <f t="shared" si="15"/>
        <v>0</v>
      </c>
      <c r="W51" s="156">
        <f t="shared" si="16"/>
        <v>0</v>
      </c>
      <c r="X51" s="158">
        <f t="shared" ref="X51" si="33">$S51/ORCAMENTO_VALOR_TOTAL_ND</f>
        <v>3.0545363635472319E-3</v>
      </c>
      <c r="Y51" s="158">
        <f t="shared" ref="Y51" si="34">$T51/ORCAMENTO_VALOR_TOTAL_DE</f>
        <v>2.6061402050978249E-3</v>
      </c>
      <c r="Z51" s="158" cm="1">
        <f t="array" ref="Z51">_xlfn.SWITCH($N51,"BDI 1",$O$6,"BDI 2",$O$7,"BDI 3",$O$8)</f>
        <v>0.1527</v>
      </c>
      <c r="AA51" s="158" cm="1">
        <f t="array" ref="AA51">_xlfn.SWITCH($N51,"BDI 1",$P$6,"BDI 2",$P$7,"BDI 3",$P$8)</f>
        <v>0.1527</v>
      </c>
      <c r="AB51" s="158">
        <f t="shared" ca="1" si="19"/>
        <v>0</v>
      </c>
      <c r="AC51" s="158">
        <f t="shared" ca="1" si="20"/>
        <v>0</v>
      </c>
      <c r="AD51" s="164"/>
      <c r="AE51" s="148">
        <f t="shared" ca="1" si="8"/>
        <v>1</v>
      </c>
      <c r="AF51" s="149"/>
      <c r="AG51" s="150"/>
      <c r="AH51" s="159">
        <f t="shared" si="21"/>
        <v>9.2800239869855666E-2</v>
      </c>
      <c r="AI51" s="160"/>
    </row>
    <row r="52" spans="1:44" s="49" customFormat="1" ht="40.15" hidden="1" customHeight="1">
      <c r="A52" s="152">
        <f t="shared" ca="1" si="7"/>
        <v>1.08</v>
      </c>
      <c r="B52" s="153">
        <v>10776</v>
      </c>
      <c r="C52" s="154" t="str">
        <f t="shared" si="22"/>
        <v>10776</v>
      </c>
      <c r="D52" s="154" t="s">
        <v>3579</v>
      </c>
      <c r="E52" s="155" t="s">
        <v>1440</v>
      </c>
      <c r="F52" s="154"/>
      <c r="G52" s="154" t="s">
        <v>3542</v>
      </c>
      <c r="H52" s="152">
        <v>650.39</v>
      </c>
      <c r="I52" s="152">
        <v>650.39</v>
      </c>
      <c r="J52" s="156"/>
      <c r="K52" s="156"/>
      <c r="L52" s="156">
        <f t="shared" si="9"/>
        <v>0</v>
      </c>
      <c r="M52" s="156">
        <f t="shared" si="10"/>
        <v>0</v>
      </c>
      <c r="N52" s="156" t="s">
        <v>92</v>
      </c>
      <c r="O52" s="157" cm="1">
        <f t="array" ref="O52">TRUNC($H52*(1+_xlfn.SWITCH($N52,"BDI 1",$O$6,"BDI 2",$O$7,"BDI 3",$O$8)),2)</f>
        <v>749.7</v>
      </c>
      <c r="P52" s="157" cm="1">
        <f t="array" ref="P52">TRUNC($I52*(1+_xlfn.SWITCH($N52,"BDI 1",$P$6,"BDI 2",$P$7,"BDI 3",$P$8)),2)</f>
        <v>749.7</v>
      </c>
      <c r="Q52" s="157">
        <v>0</v>
      </c>
      <c r="R52" s="157">
        <f t="shared" si="11"/>
        <v>0</v>
      </c>
      <c r="S52" s="156">
        <f t="shared" si="12"/>
        <v>0</v>
      </c>
      <c r="T52" s="156">
        <f t="shared" si="13"/>
        <v>0</v>
      </c>
      <c r="U52" s="156">
        <f t="shared" si="14"/>
        <v>0</v>
      </c>
      <c r="V52" s="156">
        <f t="shared" si="15"/>
        <v>0</v>
      </c>
      <c r="W52" s="156">
        <f t="shared" si="16"/>
        <v>0</v>
      </c>
      <c r="X52" s="158">
        <f t="shared" ref="X52" si="35">$S52/ORCAMENTO_VALOR_TOTAL_ND</f>
        <v>0</v>
      </c>
      <c r="Y52" s="158">
        <f t="shared" ref="Y52" si="36">$T52/ORCAMENTO_VALOR_TOTAL_DE</f>
        <v>0</v>
      </c>
      <c r="Z52" s="158" cm="1">
        <f t="array" ref="Z52">_xlfn.SWITCH($N52,"BDI 1",$O$6,"BDI 2",$O$7,"BDI 3",$O$8)</f>
        <v>0.1527</v>
      </c>
      <c r="AA52" s="158" cm="1">
        <f t="array" ref="AA52">_xlfn.SWITCH($N52,"BDI 1",$P$6,"BDI 2",$P$7,"BDI 3",$P$8)</f>
        <v>0.1527</v>
      </c>
      <c r="AB52" s="158">
        <f t="shared" ca="1" si="19"/>
        <v>0</v>
      </c>
      <c r="AC52" s="158">
        <f t="shared" ca="1" si="20"/>
        <v>0</v>
      </c>
      <c r="AD52" s="164"/>
      <c r="AE52" s="148">
        <f t="shared" si="8"/>
        <v>0</v>
      </c>
      <c r="AF52" s="149"/>
      <c r="AG52" s="150"/>
      <c r="AH52" s="159">
        <f t="shared" si="21"/>
        <v>0</v>
      </c>
      <c r="AI52" s="160"/>
    </row>
    <row r="53" spans="1:44" s="49" customFormat="1" ht="49.9" hidden="1" customHeight="1">
      <c r="A53" s="152">
        <f t="shared" ca="1" si="7"/>
        <v>1.08</v>
      </c>
      <c r="B53" s="153">
        <v>94210</v>
      </c>
      <c r="C53" s="154" t="str">
        <f t="shared" si="22"/>
        <v>94210</v>
      </c>
      <c r="D53" s="154" t="s">
        <v>1416</v>
      </c>
      <c r="E53" s="155" t="s">
        <v>1444</v>
      </c>
      <c r="F53" s="154"/>
      <c r="G53" s="154" t="s">
        <v>1418</v>
      </c>
      <c r="H53" s="152">
        <v>50.46</v>
      </c>
      <c r="I53" s="152">
        <v>48.28</v>
      </c>
      <c r="J53" s="156"/>
      <c r="K53" s="156"/>
      <c r="L53" s="156">
        <f t="shared" si="9"/>
        <v>0</v>
      </c>
      <c r="M53" s="156">
        <f t="shared" si="10"/>
        <v>0</v>
      </c>
      <c r="N53" s="156" t="s">
        <v>83</v>
      </c>
      <c r="O53" s="157" cm="1">
        <f t="array" ref="O53">TRUNC($H53*(1+_xlfn.SWITCH($N53,"BDI 1",$O$6,"BDI 2",$O$7,"BDI 3",$O$8)),2)</f>
        <v>60.9</v>
      </c>
      <c r="P53" s="157" cm="1">
        <f t="array" ref="P53">TRUNC($I53*(1+_xlfn.SWITCH($N53,"BDI 1",$P$6,"BDI 2",$P$7,"BDI 3",$P$8)),2)</f>
        <v>61.19</v>
      </c>
      <c r="Q53" s="157">
        <v>0</v>
      </c>
      <c r="R53" s="157">
        <f t="shared" si="11"/>
        <v>0</v>
      </c>
      <c r="S53" s="156">
        <f t="shared" si="12"/>
        <v>0</v>
      </c>
      <c r="T53" s="156">
        <f t="shared" si="13"/>
        <v>0</v>
      </c>
      <c r="U53" s="156">
        <f t="shared" si="14"/>
        <v>0</v>
      </c>
      <c r="V53" s="156">
        <f t="shared" si="15"/>
        <v>0</v>
      </c>
      <c r="W53" s="156">
        <f t="shared" si="16"/>
        <v>0</v>
      </c>
      <c r="X53" s="158">
        <f t="shared" ref="X53" si="37">$S53/ORCAMENTO_VALOR_TOTAL_ND</f>
        <v>0</v>
      </c>
      <c r="Y53" s="158">
        <f t="shared" ref="Y53" si="38">$T53/ORCAMENTO_VALOR_TOTAL_DE</f>
        <v>0</v>
      </c>
      <c r="Z53" s="158" cm="1">
        <f t="array" ref="Z53">_xlfn.SWITCH($N53,"BDI 1",$O$6,"BDI 2",$O$7,"BDI 3",$O$8)</f>
        <v>0.20699999999999999</v>
      </c>
      <c r="AA53" s="158" cm="1">
        <f t="array" ref="AA53">_xlfn.SWITCH($N53,"BDI 1",$P$6,"BDI 2",$P$7,"BDI 3",$P$8)</f>
        <v>0.26739999999999997</v>
      </c>
      <c r="AB53" s="158">
        <f t="shared" ca="1" si="19"/>
        <v>0</v>
      </c>
      <c r="AC53" s="158">
        <f t="shared" ca="1" si="20"/>
        <v>0</v>
      </c>
      <c r="AD53" s="164"/>
      <c r="AE53" s="148">
        <f t="shared" si="8"/>
        <v>0</v>
      </c>
      <c r="AF53" s="149"/>
      <c r="AG53" s="150"/>
      <c r="AH53" s="159">
        <f t="shared" si="21"/>
        <v>0</v>
      </c>
      <c r="AI53" s="160"/>
      <c r="AK53" s="105"/>
      <c r="AL53" s="105"/>
      <c r="AM53" s="105"/>
      <c r="AN53" s="105"/>
      <c r="AO53" s="105"/>
      <c r="AP53" s="105"/>
      <c r="AQ53" s="105"/>
      <c r="AR53" s="105"/>
    </row>
    <row r="54" spans="1:44" s="49" customFormat="1" ht="40.15" hidden="1" customHeight="1">
      <c r="A54" s="152">
        <f t="shared" ca="1" si="7"/>
        <v>1.08</v>
      </c>
      <c r="B54" s="153">
        <v>10777</v>
      </c>
      <c r="C54" s="154" t="str">
        <f t="shared" si="22"/>
        <v>10777</v>
      </c>
      <c r="D54" s="154" t="s">
        <v>3579</v>
      </c>
      <c r="E54" s="155" t="s">
        <v>1449</v>
      </c>
      <c r="F54" s="154"/>
      <c r="G54" s="154" t="s">
        <v>3542</v>
      </c>
      <c r="H54" s="152">
        <v>945.23</v>
      </c>
      <c r="I54" s="152">
        <v>945.23</v>
      </c>
      <c r="J54" s="156"/>
      <c r="K54" s="156">
        <f>CANTEIRO!I19</f>
        <v>0</v>
      </c>
      <c r="L54" s="156">
        <f t="shared" si="9"/>
        <v>0</v>
      </c>
      <c r="M54" s="156">
        <f t="shared" si="10"/>
        <v>0</v>
      </c>
      <c r="N54" s="156" t="s">
        <v>92</v>
      </c>
      <c r="O54" s="157" cm="1">
        <f t="array" ref="O54">TRUNC($H54*(1+_xlfn.SWITCH($N54,"BDI 1",$O$6,"BDI 2",$O$7,"BDI 3",$O$8)),2)</f>
        <v>1089.56</v>
      </c>
      <c r="P54" s="157" cm="1">
        <f t="array" ref="P54">TRUNC($I54*(1+_xlfn.SWITCH($N54,"BDI 1",$P$6,"BDI 2",$P$7,"BDI 3",$P$8)),2)</f>
        <v>1089.56</v>
      </c>
      <c r="Q54" s="157">
        <v>0</v>
      </c>
      <c r="R54" s="157">
        <f t="shared" si="11"/>
        <v>0</v>
      </c>
      <c r="S54" s="156">
        <f t="shared" si="12"/>
        <v>0</v>
      </c>
      <c r="T54" s="156">
        <f t="shared" si="13"/>
        <v>0</v>
      </c>
      <c r="U54" s="156">
        <f t="shared" si="14"/>
        <v>0</v>
      </c>
      <c r="V54" s="156">
        <f t="shared" si="15"/>
        <v>0</v>
      </c>
      <c r="W54" s="156">
        <f t="shared" si="16"/>
        <v>0</v>
      </c>
      <c r="X54" s="158">
        <f t="shared" ref="X54" si="39">$S54/ORCAMENTO_VALOR_TOTAL_ND</f>
        <v>0</v>
      </c>
      <c r="Y54" s="158">
        <f t="shared" ref="Y54" si="40">$T54/ORCAMENTO_VALOR_TOTAL_DE</f>
        <v>0</v>
      </c>
      <c r="Z54" s="158" cm="1">
        <f t="array" ref="Z54">_xlfn.SWITCH($N54,"BDI 1",$O$6,"BDI 2",$O$7,"BDI 3",$O$8)</f>
        <v>0.1527</v>
      </c>
      <c r="AA54" s="158" cm="1">
        <f t="array" ref="AA54">_xlfn.SWITCH($N54,"BDI 1",$P$6,"BDI 2",$P$7,"BDI 3",$P$8)</f>
        <v>0.1527</v>
      </c>
      <c r="AB54" s="158">
        <f t="shared" ca="1" si="19"/>
        <v>0</v>
      </c>
      <c r="AC54" s="158">
        <f t="shared" ca="1" si="20"/>
        <v>0</v>
      </c>
      <c r="AD54" s="164"/>
      <c r="AE54" s="148">
        <f t="shared" si="8"/>
        <v>0</v>
      </c>
      <c r="AF54" s="149"/>
      <c r="AG54" s="150"/>
      <c r="AH54" s="159">
        <f t="shared" si="21"/>
        <v>0</v>
      </c>
      <c r="AI54" s="160"/>
      <c r="AK54" s="105"/>
      <c r="AL54" s="105"/>
      <c r="AM54" s="105"/>
      <c r="AN54" s="105"/>
      <c r="AO54" s="105"/>
      <c r="AP54" s="105"/>
      <c r="AQ54" s="105"/>
      <c r="AR54" s="105"/>
    </row>
    <row r="55" spans="1:44" s="49" customFormat="1" ht="40.15" hidden="1" customHeight="1">
      <c r="A55" s="152">
        <f t="shared" ca="1" si="7"/>
        <v>1.08</v>
      </c>
      <c r="B55" s="153">
        <v>10779</v>
      </c>
      <c r="C55" s="154" t="str">
        <f t="shared" si="22"/>
        <v>10779</v>
      </c>
      <c r="D55" s="154" t="s">
        <v>3579</v>
      </c>
      <c r="E55" s="155" t="s">
        <v>1451</v>
      </c>
      <c r="F55" s="154"/>
      <c r="G55" s="154" t="s">
        <v>3542</v>
      </c>
      <c r="H55" s="152">
        <v>1040.6199999999999</v>
      </c>
      <c r="I55" s="152">
        <v>1040.6199999999999</v>
      </c>
      <c r="J55" s="156"/>
      <c r="K55" s="156"/>
      <c r="L55" s="156">
        <f t="shared" si="9"/>
        <v>0</v>
      </c>
      <c r="M55" s="156">
        <f t="shared" si="10"/>
        <v>0</v>
      </c>
      <c r="N55" s="156" t="s">
        <v>92</v>
      </c>
      <c r="O55" s="157" cm="1">
        <f t="array" ref="O55">TRUNC($H55*(1+_xlfn.SWITCH($N55,"BDI 1",$O$6,"BDI 2",$O$7,"BDI 3",$O$8)),2)</f>
        <v>1199.52</v>
      </c>
      <c r="P55" s="157" cm="1">
        <f t="array" ref="P55">TRUNC($I55*(1+_xlfn.SWITCH($N55,"BDI 1",$P$6,"BDI 2",$P$7,"BDI 3",$P$8)),2)</f>
        <v>1199.52</v>
      </c>
      <c r="Q55" s="157">
        <v>0</v>
      </c>
      <c r="R55" s="157">
        <f t="shared" si="11"/>
        <v>0</v>
      </c>
      <c r="S55" s="156">
        <f t="shared" si="12"/>
        <v>0</v>
      </c>
      <c r="T55" s="156">
        <f t="shared" si="13"/>
        <v>0</v>
      </c>
      <c r="U55" s="156">
        <f t="shared" si="14"/>
        <v>0</v>
      </c>
      <c r="V55" s="156">
        <f t="shared" si="15"/>
        <v>0</v>
      </c>
      <c r="W55" s="156">
        <f t="shared" si="16"/>
        <v>0</v>
      </c>
      <c r="X55" s="158">
        <f t="shared" ref="X55" si="41">$S55/ORCAMENTO_VALOR_TOTAL_ND</f>
        <v>0</v>
      </c>
      <c r="Y55" s="158">
        <f t="shared" ref="Y55" si="42">$T55/ORCAMENTO_VALOR_TOTAL_DE</f>
        <v>0</v>
      </c>
      <c r="Z55" s="158" cm="1">
        <f t="array" ref="Z55">_xlfn.SWITCH($N55,"BDI 1",$O$6,"BDI 2",$O$7,"BDI 3",$O$8)</f>
        <v>0.1527</v>
      </c>
      <c r="AA55" s="158" cm="1">
        <f t="array" ref="AA55">_xlfn.SWITCH($N55,"BDI 1",$P$6,"BDI 2",$P$7,"BDI 3",$P$8)</f>
        <v>0.1527</v>
      </c>
      <c r="AB55" s="158">
        <f t="shared" ca="1" si="19"/>
        <v>0</v>
      </c>
      <c r="AC55" s="158">
        <f t="shared" ca="1" si="20"/>
        <v>0</v>
      </c>
      <c r="AD55" s="164"/>
      <c r="AE55" s="148">
        <f t="shared" si="8"/>
        <v>0</v>
      </c>
      <c r="AF55" s="149"/>
      <c r="AG55" s="150"/>
      <c r="AH55" s="159">
        <f t="shared" si="21"/>
        <v>0</v>
      </c>
      <c r="AI55" s="160"/>
      <c r="AK55" s="105"/>
      <c r="AL55" s="105"/>
      <c r="AM55" s="105"/>
      <c r="AN55" s="105"/>
      <c r="AO55" s="105"/>
      <c r="AP55" s="105"/>
      <c r="AQ55" s="105"/>
      <c r="AR55" s="105"/>
    </row>
    <row r="56" spans="1:44" s="49" customFormat="1" ht="40.15" hidden="1" customHeight="1">
      <c r="A56" s="152">
        <f t="shared" ca="1" si="7"/>
        <v>1.08</v>
      </c>
      <c r="B56" s="153">
        <v>10778</v>
      </c>
      <c r="C56" s="154" t="str">
        <f t="shared" si="22"/>
        <v>10778</v>
      </c>
      <c r="D56" s="154" t="s">
        <v>3579</v>
      </c>
      <c r="E56" s="155" t="s">
        <v>1453</v>
      </c>
      <c r="F56" s="154"/>
      <c r="G56" s="154" t="s">
        <v>3542</v>
      </c>
      <c r="H56" s="152">
        <v>1040.6199999999999</v>
      </c>
      <c r="I56" s="152">
        <v>1040.6199999999999</v>
      </c>
      <c r="J56" s="156"/>
      <c r="K56" s="156"/>
      <c r="L56" s="156">
        <f t="shared" si="9"/>
        <v>0</v>
      </c>
      <c r="M56" s="156">
        <f t="shared" si="10"/>
        <v>0</v>
      </c>
      <c r="N56" s="156" t="s">
        <v>92</v>
      </c>
      <c r="O56" s="157" cm="1">
        <f t="array" ref="O56">TRUNC($H56*(1+_xlfn.SWITCH($N56,"BDI 1",$O$6,"BDI 2",$O$7,"BDI 3",$O$8)),2)</f>
        <v>1199.52</v>
      </c>
      <c r="P56" s="157" cm="1">
        <f t="array" ref="P56">TRUNC($I56*(1+_xlfn.SWITCH($N56,"BDI 1",$P$6,"BDI 2",$P$7,"BDI 3",$P$8)),2)</f>
        <v>1199.52</v>
      </c>
      <c r="Q56" s="157">
        <v>0</v>
      </c>
      <c r="R56" s="157">
        <f t="shared" si="11"/>
        <v>0</v>
      </c>
      <c r="S56" s="156">
        <f t="shared" si="12"/>
        <v>0</v>
      </c>
      <c r="T56" s="156">
        <f t="shared" si="13"/>
        <v>0</v>
      </c>
      <c r="U56" s="156">
        <f t="shared" si="14"/>
        <v>0</v>
      </c>
      <c r="V56" s="156">
        <f t="shared" si="15"/>
        <v>0</v>
      </c>
      <c r="W56" s="156">
        <f t="shared" si="16"/>
        <v>0</v>
      </c>
      <c r="X56" s="158">
        <f t="shared" ref="X56" si="43">$S56/ORCAMENTO_VALOR_TOTAL_ND</f>
        <v>0</v>
      </c>
      <c r="Y56" s="158">
        <f t="shared" ref="Y56" si="44">$T56/ORCAMENTO_VALOR_TOTAL_DE</f>
        <v>0</v>
      </c>
      <c r="Z56" s="158" cm="1">
        <f t="array" ref="Z56">_xlfn.SWITCH($N56,"BDI 1",$O$6,"BDI 2",$O$7,"BDI 3",$O$8)</f>
        <v>0.1527</v>
      </c>
      <c r="AA56" s="158" cm="1">
        <f t="array" ref="AA56">_xlfn.SWITCH($N56,"BDI 1",$P$6,"BDI 2",$P$7,"BDI 3",$P$8)</f>
        <v>0.1527</v>
      </c>
      <c r="AB56" s="158">
        <f t="shared" ca="1" si="19"/>
        <v>0</v>
      </c>
      <c r="AC56" s="158">
        <f t="shared" ca="1" si="20"/>
        <v>0</v>
      </c>
      <c r="AD56" s="164"/>
      <c r="AE56" s="148">
        <f t="shared" si="8"/>
        <v>0</v>
      </c>
      <c r="AF56" s="149"/>
      <c r="AG56" s="150"/>
      <c r="AH56" s="159">
        <f t="shared" si="21"/>
        <v>0</v>
      </c>
      <c r="AI56" s="160"/>
      <c r="AK56" s="105"/>
      <c r="AL56" s="105"/>
      <c r="AM56" s="105"/>
      <c r="AN56" s="105"/>
      <c r="AO56" s="105"/>
      <c r="AP56" s="105"/>
      <c r="AQ56" s="105"/>
      <c r="AR56" s="105"/>
    </row>
    <row r="57" spans="1:44" s="49" customFormat="1" ht="40.15" hidden="1" customHeight="1">
      <c r="A57" s="152">
        <f t="shared" ca="1" si="7"/>
        <v>1.08</v>
      </c>
      <c r="B57" s="153">
        <v>10776</v>
      </c>
      <c r="C57" s="154" t="str">
        <f t="shared" si="22"/>
        <v>10776</v>
      </c>
      <c r="D57" s="154" t="s">
        <v>3579</v>
      </c>
      <c r="E57" s="155" t="s">
        <v>1440</v>
      </c>
      <c r="F57" s="154"/>
      <c r="G57" s="154" t="s">
        <v>3542</v>
      </c>
      <c r="H57" s="152">
        <v>650.39</v>
      </c>
      <c r="I57" s="152">
        <v>650.39</v>
      </c>
      <c r="J57" s="156"/>
      <c r="K57" s="156"/>
      <c r="L57" s="156">
        <f t="shared" si="9"/>
        <v>0</v>
      </c>
      <c r="M57" s="156">
        <f t="shared" si="10"/>
        <v>0</v>
      </c>
      <c r="N57" s="156" t="s">
        <v>92</v>
      </c>
      <c r="O57" s="157" cm="1">
        <f t="array" ref="O57">TRUNC($H57*(1+_xlfn.SWITCH($N57,"BDI 1",$O$6,"BDI 2",$O$7,"BDI 3",$O$8)),2)</f>
        <v>749.7</v>
      </c>
      <c r="P57" s="157" cm="1">
        <f t="array" ref="P57">TRUNC($I57*(1+_xlfn.SWITCH($N57,"BDI 1",$P$6,"BDI 2",$P$7,"BDI 3",$P$8)),2)</f>
        <v>749.7</v>
      </c>
      <c r="Q57" s="157">
        <v>0</v>
      </c>
      <c r="R57" s="157">
        <f t="shared" si="11"/>
        <v>0</v>
      </c>
      <c r="S57" s="156">
        <f t="shared" si="12"/>
        <v>0</v>
      </c>
      <c r="T57" s="156">
        <f t="shared" si="13"/>
        <v>0</v>
      </c>
      <c r="U57" s="156">
        <f t="shared" si="14"/>
        <v>0</v>
      </c>
      <c r="V57" s="156">
        <f t="shared" si="15"/>
        <v>0</v>
      </c>
      <c r="W57" s="156">
        <f t="shared" si="16"/>
        <v>0</v>
      </c>
      <c r="X57" s="158">
        <f t="shared" ref="X57" si="45">$S57/ORCAMENTO_VALOR_TOTAL_ND</f>
        <v>0</v>
      </c>
      <c r="Y57" s="158">
        <f t="shared" ref="Y57" si="46">$T57/ORCAMENTO_VALOR_TOTAL_DE</f>
        <v>0</v>
      </c>
      <c r="Z57" s="158" cm="1">
        <f t="array" ref="Z57">_xlfn.SWITCH($N57,"BDI 1",$O$6,"BDI 2",$O$7,"BDI 3",$O$8)</f>
        <v>0.1527</v>
      </c>
      <c r="AA57" s="158" cm="1">
        <f t="array" ref="AA57">_xlfn.SWITCH($N57,"BDI 1",$P$6,"BDI 2",$P$7,"BDI 3",$P$8)</f>
        <v>0.1527</v>
      </c>
      <c r="AB57" s="158">
        <f t="shared" ca="1" si="19"/>
        <v>0</v>
      </c>
      <c r="AC57" s="158">
        <f t="shared" ca="1" si="20"/>
        <v>0</v>
      </c>
      <c r="AD57" s="164"/>
      <c r="AE57" s="148">
        <f t="shared" si="8"/>
        <v>0</v>
      </c>
      <c r="AF57" s="149"/>
      <c r="AG57" s="150"/>
      <c r="AH57" s="159">
        <f t="shared" si="21"/>
        <v>0</v>
      </c>
      <c r="AI57" s="160"/>
      <c r="AK57" s="105"/>
      <c r="AL57" s="105"/>
      <c r="AM57" s="105"/>
      <c r="AN57" s="105"/>
      <c r="AO57" s="105"/>
      <c r="AP57" s="105"/>
      <c r="AQ57" s="105"/>
      <c r="AR57" s="105"/>
    </row>
    <row r="58" spans="1:44" s="49" customFormat="1" ht="40.15" hidden="1" customHeight="1">
      <c r="A58" s="152">
        <f t="shared" ca="1" si="7"/>
        <v>1.08</v>
      </c>
      <c r="B58" s="153">
        <v>101905</v>
      </c>
      <c r="C58" s="154" t="str">
        <f t="shared" si="22"/>
        <v>101905</v>
      </c>
      <c r="D58" s="154" t="s">
        <v>1416</v>
      </c>
      <c r="E58" s="155" t="s">
        <v>1461</v>
      </c>
      <c r="F58" s="154"/>
      <c r="G58" s="154" t="s">
        <v>1412</v>
      </c>
      <c r="H58" s="152">
        <v>265.19</v>
      </c>
      <c r="I58" s="152">
        <v>260.61</v>
      </c>
      <c r="J58" s="156"/>
      <c r="K58" s="156"/>
      <c r="L58" s="156">
        <f t="shared" si="9"/>
        <v>0</v>
      </c>
      <c r="M58" s="156">
        <f t="shared" si="10"/>
        <v>0</v>
      </c>
      <c r="N58" s="156" t="s">
        <v>83</v>
      </c>
      <c r="O58" s="157" cm="1">
        <f t="array" ref="O58">TRUNC($H58*(1+_xlfn.SWITCH($N58,"BDI 1",$O$6,"BDI 2",$O$7,"BDI 3",$O$8)),2)</f>
        <v>320.08</v>
      </c>
      <c r="P58" s="157" cm="1">
        <f t="array" ref="P58">TRUNC($I58*(1+_xlfn.SWITCH($N58,"BDI 1",$P$6,"BDI 2",$P$7,"BDI 3",$P$8)),2)</f>
        <v>330.29</v>
      </c>
      <c r="Q58" s="157">
        <v>0</v>
      </c>
      <c r="R58" s="157">
        <f t="shared" si="11"/>
        <v>0</v>
      </c>
      <c r="S58" s="156">
        <f t="shared" si="12"/>
        <v>0</v>
      </c>
      <c r="T58" s="156">
        <f t="shared" si="13"/>
        <v>0</v>
      </c>
      <c r="U58" s="156">
        <f t="shared" si="14"/>
        <v>0</v>
      </c>
      <c r="V58" s="156">
        <f t="shared" si="15"/>
        <v>0</v>
      </c>
      <c r="W58" s="156">
        <f t="shared" si="16"/>
        <v>0</v>
      </c>
      <c r="X58" s="158">
        <f t="shared" ref="X58" si="47">$S58/ORCAMENTO_VALOR_TOTAL_ND</f>
        <v>0</v>
      </c>
      <c r="Y58" s="158">
        <f t="shared" ref="Y58" si="48">$T58/ORCAMENTO_VALOR_TOTAL_DE</f>
        <v>0</v>
      </c>
      <c r="Z58" s="158" cm="1">
        <f t="array" ref="Z58">_xlfn.SWITCH($N58,"BDI 1",$O$6,"BDI 2",$O$7,"BDI 3",$O$8)</f>
        <v>0.20699999999999999</v>
      </c>
      <c r="AA58" s="158" cm="1">
        <f t="array" ref="AA58">_xlfn.SWITCH($N58,"BDI 1",$P$6,"BDI 2",$P$7,"BDI 3",$P$8)</f>
        <v>0.26739999999999997</v>
      </c>
      <c r="AB58" s="158">
        <f t="shared" ca="1" si="19"/>
        <v>0</v>
      </c>
      <c r="AC58" s="158">
        <f t="shared" ca="1" si="20"/>
        <v>0</v>
      </c>
      <c r="AD58" s="164"/>
      <c r="AE58" s="148">
        <f t="shared" si="8"/>
        <v>0</v>
      </c>
      <c r="AF58" s="149"/>
      <c r="AG58" s="150"/>
      <c r="AH58" s="159">
        <f t="shared" si="21"/>
        <v>0</v>
      </c>
      <c r="AI58" s="160"/>
      <c r="AK58" s="105"/>
      <c r="AL58" s="105"/>
      <c r="AM58" s="105"/>
      <c r="AN58" s="105"/>
      <c r="AO58" s="105"/>
      <c r="AP58" s="105"/>
      <c r="AQ58" s="105"/>
      <c r="AR58" s="105"/>
    </row>
    <row r="59" spans="1:44" s="49" customFormat="1" ht="40.15" hidden="1" customHeight="1">
      <c r="A59" s="152">
        <f t="shared" ca="1" si="7"/>
        <v>1.08</v>
      </c>
      <c r="B59" s="153">
        <v>101909</v>
      </c>
      <c r="C59" s="154" t="str">
        <f t="shared" si="22"/>
        <v>101909</v>
      </c>
      <c r="D59" s="154" t="s">
        <v>1416</v>
      </c>
      <c r="E59" s="155" t="s">
        <v>1462</v>
      </c>
      <c r="F59" s="154"/>
      <c r="G59" s="154" t="s">
        <v>1412</v>
      </c>
      <c r="H59" s="152">
        <v>299.94</v>
      </c>
      <c r="I59" s="152">
        <v>294.99</v>
      </c>
      <c r="J59" s="156"/>
      <c r="K59" s="156"/>
      <c r="L59" s="156">
        <f t="shared" si="9"/>
        <v>0</v>
      </c>
      <c r="M59" s="156">
        <f t="shared" si="10"/>
        <v>0</v>
      </c>
      <c r="N59" s="156" t="s">
        <v>83</v>
      </c>
      <c r="O59" s="157" cm="1">
        <f t="array" ref="O59">TRUNC($H59*(1+_xlfn.SWITCH($N59,"BDI 1",$O$6,"BDI 2",$O$7,"BDI 3",$O$8)),2)</f>
        <v>362.02</v>
      </c>
      <c r="P59" s="157" cm="1">
        <f t="array" ref="P59">TRUNC($I59*(1+_xlfn.SWITCH($N59,"BDI 1",$P$6,"BDI 2",$P$7,"BDI 3",$P$8)),2)</f>
        <v>373.87</v>
      </c>
      <c r="Q59" s="157">
        <v>0</v>
      </c>
      <c r="R59" s="157">
        <f t="shared" si="11"/>
        <v>0</v>
      </c>
      <c r="S59" s="156">
        <f t="shared" si="12"/>
        <v>0</v>
      </c>
      <c r="T59" s="156">
        <f t="shared" si="13"/>
        <v>0</v>
      </c>
      <c r="U59" s="156">
        <f t="shared" si="14"/>
        <v>0</v>
      </c>
      <c r="V59" s="156">
        <f t="shared" si="15"/>
        <v>0</v>
      </c>
      <c r="W59" s="156">
        <f t="shared" si="16"/>
        <v>0</v>
      </c>
      <c r="X59" s="158">
        <f t="shared" ref="X59" si="49">$S59/ORCAMENTO_VALOR_TOTAL_ND</f>
        <v>0</v>
      </c>
      <c r="Y59" s="158">
        <f t="shared" ref="Y59" si="50">$T59/ORCAMENTO_VALOR_TOTAL_DE</f>
        <v>0</v>
      </c>
      <c r="Z59" s="158" cm="1">
        <f t="array" ref="Z59">_xlfn.SWITCH($N59,"BDI 1",$O$6,"BDI 2",$O$7,"BDI 3",$O$8)</f>
        <v>0.20699999999999999</v>
      </c>
      <c r="AA59" s="158" cm="1">
        <f t="array" ref="AA59">_xlfn.SWITCH($N59,"BDI 1",$P$6,"BDI 2",$P$7,"BDI 3",$P$8)</f>
        <v>0.26739999999999997</v>
      </c>
      <c r="AB59" s="158">
        <f t="shared" ca="1" si="19"/>
        <v>0</v>
      </c>
      <c r="AC59" s="158">
        <f t="shared" ca="1" si="20"/>
        <v>0</v>
      </c>
      <c r="AD59" s="164"/>
      <c r="AE59" s="148">
        <f t="shared" si="8"/>
        <v>0</v>
      </c>
      <c r="AF59" s="149"/>
      <c r="AG59" s="150"/>
      <c r="AH59" s="159">
        <f t="shared" si="21"/>
        <v>0</v>
      </c>
      <c r="AI59" s="160"/>
      <c r="AK59" s="105"/>
      <c r="AL59" s="105"/>
      <c r="AM59" s="105"/>
      <c r="AN59" s="105"/>
      <c r="AO59" s="105"/>
      <c r="AP59" s="105"/>
      <c r="AQ59" s="105"/>
      <c r="AR59" s="105"/>
    </row>
    <row r="60" spans="1:44" s="49" customFormat="1" ht="40.15" hidden="1" customHeight="1">
      <c r="A60" s="152">
        <f t="shared" ca="1" si="7"/>
        <v>1.08</v>
      </c>
      <c r="B60" s="153">
        <v>10776</v>
      </c>
      <c r="C60" s="154" t="str">
        <f t="shared" si="22"/>
        <v>10776</v>
      </c>
      <c r="D60" s="154" t="s">
        <v>3579</v>
      </c>
      <c r="E60" s="155" t="s">
        <v>1440</v>
      </c>
      <c r="F60" s="154"/>
      <c r="G60" s="154" t="s">
        <v>3542</v>
      </c>
      <c r="H60" s="152">
        <v>650.39</v>
      </c>
      <c r="I60" s="152">
        <v>650.39</v>
      </c>
      <c r="J60" s="156"/>
      <c r="K60" s="156"/>
      <c r="L60" s="156">
        <f t="shared" si="9"/>
        <v>0</v>
      </c>
      <c r="M60" s="156">
        <f t="shared" si="10"/>
        <v>0</v>
      </c>
      <c r="N60" s="156" t="s">
        <v>92</v>
      </c>
      <c r="O60" s="157" cm="1">
        <f t="array" ref="O60">TRUNC($H60*(1+_xlfn.SWITCH($N60,"BDI 1",$O$6,"BDI 2",$O$7,"BDI 3",$O$8)),2)</f>
        <v>749.7</v>
      </c>
      <c r="P60" s="157" cm="1">
        <f t="array" ref="P60">TRUNC($I60*(1+_xlfn.SWITCH($N60,"BDI 1",$P$6,"BDI 2",$P$7,"BDI 3",$P$8)),2)</f>
        <v>749.7</v>
      </c>
      <c r="Q60" s="157">
        <v>0</v>
      </c>
      <c r="R60" s="157">
        <f t="shared" si="11"/>
        <v>0</v>
      </c>
      <c r="S60" s="156">
        <f t="shared" si="12"/>
        <v>0</v>
      </c>
      <c r="T60" s="156">
        <f t="shared" si="13"/>
        <v>0</v>
      </c>
      <c r="U60" s="156">
        <f t="shared" si="14"/>
        <v>0</v>
      </c>
      <c r="V60" s="156">
        <f t="shared" si="15"/>
        <v>0</v>
      </c>
      <c r="W60" s="156">
        <f t="shared" si="16"/>
        <v>0</v>
      </c>
      <c r="X60" s="158">
        <f t="shared" ref="X60" si="51">$S60/ORCAMENTO_VALOR_TOTAL_ND</f>
        <v>0</v>
      </c>
      <c r="Y60" s="158">
        <f t="shared" ref="Y60" si="52">$T60/ORCAMENTO_VALOR_TOTAL_DE</f>
        <v>0</v>
      </c>
      <c r="Z60" s="158" cm="1">
        <f t="array" ref="Z60">_xlfn.SWITCH($N60,"BDI 1",$O$6,"BDI 2",$O$7,"BDI 3",$O$8)</f>
        <v>0.1527</v>
      </c>
      <c r="AA60" s="158" cm="1">
        <f t="array" ref="AA60">_xlfn.SWITCH($N60,"BDI 1",$P$6,"BDI 2",$P$7,"BDI 3",$P$8)</f>
        <v>0.1527</v>
      </c>
      <c r="AB60" s="158">
        <f t="shared" ca="1" si="19"/>
        <v>0</v>
      </c>
      <c r="AC60" s="158">
        <f t="shared" ca="1" si="20"/>
        <v>0</v>
      </c>
      <c r="AD60" s="164"/>
      <c r="AE60" s="148">
        <f t="shared" si="8"/>
        <v>0</v>
      </c>
      <c r="AF60" s="149"/>
      <c r="AG60" s="150"/>
      <c r="AH60" s="159">
        <f t="shared" si="21"/>
        <v>0</v>
      </c>
      <c r="AI60" s="160"/>
      <c r="AK60" s="105"/>
      <c r="AL60" s="105"/>
      <c r="AM60" s="105"/>
      <c r="AN60" s="105"/>
      <c r="AO60" s="105"/>
      <c r="AP60" s="105"/>
      <c r="AQ60" s="105"/>
      <c r="AR60" s="105"/>
    </row>
    <row r="61" spans="1:44" s="49" customFormat="1" ht="39.950000000000003" customHeight="1">
      <c r="A61" s="152">
        <f t="shared" ca="1" si="7"/>
        <v>1.0900000000000001</v>
      </c>
      <c r="B61" s="153" t="s">
        <v>94</v>
      </c>
      <c r="C61" s="154" t="str">
        <f t="shared" si="22"/>
        <v>SC/0120</v>
      </c>
      <c r="D61" s="154" t="s">
        <v>3549</v>
      </c>
      <c r="E61" s="155" t="s">
        <v>3543</v>
      </c>
      <c r="F61" s="154"/>
      <c r="G61" s="154" t="s">
        <v>1418</v>
      </c>
      <c r="H61" s="152">
        <v>989.46</v>
      </c>
      <c r="I61" s="152">
        <v>939.81</v>
      </c>
      <c r="J61" s="156"/>
      <c r="K61" s="156">
        <f>S_Preliminares!N14</f>
        <v>7.2</v>
      </c>
      <c r="L61" s="156">
        <f t="shared" si="9"/>
        <v>7.2</v>
      </c>
      <c r="M61" s="156">
        <f t="shared" si="10"/>
        <v>0</v>
      </c>
      <c r="N61" s="156" t="s">
        <v>83</v>
      </c>
      <c r="O61" s="157" cm="1">
        <f t="array" ref="O61">TRUNC($H61*(1+_xlfn.SWITCH($N61,"BDI 1",$O$6,"BDI 2",$O$7,"BDI 3",$O$8)),2)</f>
        <v>1194.27</v>
      </c>
      <c r="P61" s="157" cm="1">
        <f t="array" ref="P61">TRUNC($I61*(1+_xlfn.SWITCH($N61,"BDI 1",$P$6,"BDI 2",$P$7,"BDI 3",$P$8)),2)</f>
        <v>1191.1099999999999</v>
      </c>
      <c r="Q61" s="157">
        <v>0</v>
      </c>
      <c r="R61" s="157">
        <f t="shared" si="11"/>
        <v>0</v>
      </c>
      <c r="S61" s="156">
        <f t="shared" si="12"/>
        <v>8598.74</v>
      </c>
      <c r="T61" s="156">
        <f t="shared" si="13"/>
        <v>8575.99</v>
      </c>
      <c r="U61" s="156">
        <f t="shared" si="14"/>
        <v>0</v>
      </c>
      <c r="V61" s="156">
        <f t="shared" si="15"/>
        <v>0</v>
      </c>
      <c r="W61" s="156">
        <f t="shared" si="16"/>
        <v>0</v>
      </c>
      <c r="X61" s="158">
        <f t="shared" ref="X61" si="53">$S61/ORCAMENTO_VALOR_TOTAL_ND</f>
        <v>2.7805593913495792E-3</v>
      </c>
      <c r="Y61" s="158">
        <f t="shared" ref="Y61" si="54">$T61/ORCAMENTO_VALOR_TOTAL_DE</f>
        <v>2.5214612294130068E-3</v>
      </c>
      <c r="Z61" s="158" cm="1">
        <f t="array" ref="Z61">_xlfn.SWITCH($N61,"BDI 1",$O$6,"BDI 2",$O$7,"BDI 3",$O$8)</f>
        <v>0.20699999999999999</v>
      </c>
      <c r="AA61" s="158" cm="1">
        <f t="array" ref="AA61">_xlfn.SWITCH($N61,"BDI 1",$P$6,"BDI 2",$P$7,"BDI 3",$P$8)</f>
        <v>0.26739999999999997</v>
      </c>
      <c r="AB61" s="158">
        <f t="shared" ca="1" si="19"/>
        <v>0</v>
      </c>
      <c r="AC61" s="158">
        <f t="shared" ca="1" si="20"/>
        <v>0</v>
      </c>
      <c r="AD61" s="164"/>
      <c r="AE61" s="148">
        <f t="shared" ca="1" si="8"/>
        <v>1</v>
      </c>
      <c r="AF61" s="149"/>
      <c r="AG61" s="150"/>
      <c r="AH61" s="159">
        <f t="shared" si="21"/>
        <v>8.4476512235710649E-2</v>
      </c>
      <c r="AI61" s="160"/>
      <c r="AK61" s="105"/>
      <c r="AL61" s="105"/>
      <c r="AM61" s="105"/>
      <c r="AN61" s="105"/>
      <c r="AO61" s="105"/>
      <c r="AP61" s="105"/>
      <c r="AQ61" s="105"/>
      <c r="AR61" s="105"/>
    </row>
    <row r="62" spans="1:44" s="49" customFormat="1" ht="60" hidden="1" customHeight="1">
      <c r="A62" s="152" t="e">
        <f>IF(K62&gt;0,#REF!+0.01,#REF!)</f>
        <v>#REF!</v>
      </c>
      <c r="B62" s="153" t="s">
        <v>95</v>
      </c>
      <c r="C62" s="154" t="str">
        <f t="shared" si="22"/>
        <v>SP/0020</v>
      </c>
      <c r="D62" s="154" t="s">
        <v>3549</v>
      </c>
      <c r="E62" s="155" t="s">
        <v>3581</v>
      </c>
      <c r="F62" s="154"/>
      <c r="G62" s="154" t="s">
        <v>1418</v>
      </c>
      <c r="H62" s="152">
        <v>142.72</v>
      </c>
      <c r="I62" s="152">
        <v>136.78</v>
      </c>
      <c r="J62" s="156"/>
      <c r="K62" s="156">
        <f>S_Preliminares!N18</f>
        <v>0</v>
      </c>
      <c r="L62" s="156">
        <f t="shared" si="9"/>
        <v>0</v>
      </c>
      <c r="M62" s="156">
        <f t="shared" si="10"/>
        <v>0</v>
      </c>
      <c r="N62" s="156" t="s">
        <v>83</v>
      </c>
      <c r="O62" s="157" cm="1">
        <f t="array" ref="O62">TRUNC($H62*(1+_xlfn.SWITCH($N62,"BDI 1",$O$6,"BDI 2",$O$7,"BDI 3",$O$8)),2)</f>
        <v>172.26</v>
      </c>
      <c r="P62" s="157" cm="1">
        <f t="array" ref="P62">TRUNC($I62*(1+_xlfn.SWITCH($N62,"BDI 1",$P$6,"BDI 2",$P$7,"BDI 3",$P$8)),2)</f>
        <v>173.35</v>
      </c>
      <c r="Q62" s="157">
        <v>0</v>
      </c>
      <c r="R62" s="157">
        <f t="shared" si="11"/>
        <v>0</v>
      </c>
      <c r="S62" s="156">
        <f t="shared" si="12"/>
        <v>0</v>
      </c>
      <c r="T62" s="156">
        <f t="shared" si="13"/>
        <v>0</v>
      </c>
      <c r="U62" s="156">
        <f t="shared" si="14"/>
        <v>0</v>
      </c>
      <c r="V62" s="156">
        <f t="shared" si="15"/>
        <v>0</v>
      </c>
      <c r="W62" s="156">
        <f t="shared" si="16"/>
        <v>0</v>
      </c>
      <c r="X62" s="158">
        <f t="shared" ref="X62" si="55">$S62/ORCAMENTO_VALOR_TOTAL_ND</f>
        <v>0</v>
      </c>
      <c r="Y62" s="158">
        <f t="shared" ref="Y62" si="56">$T62/ORCAMENTO_VALOR_TOTAL_DE</f>
        <v>0</v>
      </c>
      <c r="Z62" s="158" cm="1">
        <f t="array" ref="Z62">_xlfn.SWITCH($N62,"BDI 1",$O$6,"BDI 2",$O$7,"BDI 3",$O$8)</f>
        <v>0.20699999999999999</v>
      </c>
      <c r="AA62" s="158" cm="1">
        <f t="array" ref="AA62">_xlfn.SWITCH($N62,"BDI 1",$P$6,"BDI 2",$P$7,"BDI 3",$P$8)</f>
        <v>0.26739999999999997</v>
      </c>
      <c r="AB62" s="158">
        <f t="shared" ca="1" si="19"/>
        <v>0</v>
      </c>
      <c r="AC62" s="158">
        <f t="shared" ca="1" si="20"/>
        <v>0</v>
      </c>
      <c r="AD62" s="164"/>
      <c r="AE62" s="148">
        <f t="shared" si="8"/>
        <v>0</v>
      </c>
      <c r="AF62" s="149"/>
      <c r="AG62" s="150"/>
      <c r="AH62" s="159">
        <f t="shared" si="21"/>
        <v>0</v>
      </c>
      <c r="AI62" s="160"/>
      <c r="AK62" s="105"/>
      <c r="AL62" s="105"/>
      <c r="AM62" s="105"/>
      <c r="AN62" s="105"/>
      <c r="AO62" s="105"/>
    </row>
    <row r="63" spans="1:44" s="49" customFormat="1" ht="40.15" hidden="1" customHeight="1">
      <c r="A63" s="152" t="e">
        <f t="shared" ref="A63:A78" si="57">IF(K63&gt;0,A62+0.01,A62)</f>
        <v>#REF!</v>
      </c>
      <c r="B63" s="153" t="s">
        <v>96</v>
      </c>
      <c r="C63" s="154" t="str">
        <f t="shared" si="22"/>
        <v>SP/0025</v>
      </c>
      <c r="D63" s="154" t="s">
        <v>3549</v>
      </c>
      <c r="E63" s="155" t="s">
        <v>3582</v>
      </c>
      <c r="F63" s="154"/>
      <c r="G63" s="154" t="s">
        <v>58</v>
      </c>
      <c r="H63" s="152">
        <v>4.0999999999999996</v>
      </c>
      <c r="I63" s="152">
        <v>3.98</v>
      </c>
      <c r="J63" s="156"/>
      <c r="K63" s="156">
        <f>S_Preliminares!N19</f>
        <v>0</v>
      </c>
      <c r="L63" s="156">
        <f t="shared" si="9"/>
        <v>0</v>
      </c>
      <c r="M63" s="156">
        <f t="shared" si="10"/>
        <v>0</v>
      </c>
      <c r="N63" s="156" t="s">
        <v>83</v>
      </c>
      <c r="O63" s="157" cm="1">
        <f t="array" ref="O63">TRUNC($H63*(1+_xlfn.SWITCH($N63,"BDI 1",$O$6,"BDI 2",$O$7,"BDI 3",$O$8)),2)</f>
        <v>4.9400000000000004</v>
      </c>
      <c r="P63" s="157" cm="1">
        <f t="array" ref="P63">TRUNC($I63*(1+_xlfn.SWITCH($N63,"BDI 1",$P$6,"BDI 2",$P$7,"BDI 3",$P$8)),2)</f>
        <v>5.04</v>
      </c>
      <c r="Q63" s="157">
        <v>0</v>
      </c>
      <c r="R63" s="157">
        <f t="shared" si="11"/>
        <v>0</v>
      </c>
      <c r="S63" s="156">
        <f t="shared" si="12"/>
        <v>0</v>
      </c>
      <c r="T63" s="156">
        <f t="shared" si="13"/>
        <v>0</v>
      </c>
      <c r="U63" s="156">
        <f t="shared" si="14"/>
        <v>0</v>
      </c>
      <c r="V63" s="156">
        <f t="shared" si="15"/>
        <v>0</v>
      </c>
      <c r="W63" s="156">
        <f t="shared" si="16"/>
        <v>0</v>
      </c>
      <c r="X63" s="158">
        <f t="shared" ref="X63" si="58">$S63/ORCAMENTO_VALOR_TOTAL_ND</f>
        <v>0</v>
      </c>
      <c r="Y63" s="158">
        <f t="shared" ref="Y63" si="59">$T63/ORCAMENTO_VALOR_TOTAL_DE</f>
        <v>0</v>
      </c>
      <c r="Z63" s="158" cm="1">
        <f t="array" ref="Z63">_xlfn.SWITCH($N63,"BDI 1",$O$6,"BDI 2",$O$7,"BDI 3",$O$8)</f>
        <v>0.20699999999999999</v>
      </c>
      <c r="AA63" s="158" cm="1">
        <f t="array" ref="AA63">_xlfn.SWITCH($N63,"BDI 1",$P$6,"BDI 2",$P$7,"BDI 3",$P$8)</f>
        <v>0.26739999999999997</v>
      </c>
      <c r="AB63" s="158">
        <f t="shared" ca="1" si="19"/>
        <v>0</v>
      </c>
      <c r="AC63" s="158">
        <f t="shared" ca="1" si="20"/>
        <v>0</v>
      </c>
      <c r="AD63" s="164"/>
      <c r="AE63" s="148">
        <f t="shared" si="8"/>
        <v>0</v>
      </c>
      <c r="AF63" s="149"/>
      <c r="AG63" s="150"/>
      <c r="AH63" s="159">
        <f t="shared" si="21"/>
        <v>0</v>
      </c>
      <c r="AI63" s="160"/>
      <c r="AK63" s="105"/>
      <c r="AL63" s="105"/>
      <c r="AM63" s="105"/>
      <c r="AN63" s="105"/>
      <c r="AO63" s="105"/>
    </row>
    <row r="64" spans="1:44" s="49" customFormat="1" ht="60" hidden="1" customHeight="1">
      <c r="A64" s="152" t="e">
        <f t="shared" si="57"/>
        <v>#REF!</v>
      </c>
      <c r="B64" s="153" t="s">
        <v>97</v>
      </c>
      <c r="C64" s="154" t="str">
        <f t="shared" si="22"/>
        <v>SP/0030</v>
      </c>
      <c r="D64" s="154" t="s">
        <v>3549</v>
      </c>
      <c r="E64" s="155" t="s">
        <v>3583</v>
      </c>
      <c r="F64" s="154"/>
      <c r="G64" s="154" t="s">
        <v>58</v>
      </c>
      <c r="H64" s="152">
        <v>6.66</v>
      </c>
      <c r="I64" s="152">
        <v>6.41</v>
      </c>
      <c r="J64" s="156"/>
      <c r="K64" s="156">
        <f>S_Preliminares!N20</f>
        <v>0</v>
      </c>
      <c r="L64" s="156">
        <f t="shared" si="9"/>
        <v>0</v>
      </c>
      <c r="M64" s="156">
        <f t="shared" si="10"/>
        <v>0</v>
      </c>
      <c r="N64" s="156" t="s">
        <v>83</v>
      </c>
      <c r="O64" s="157" cm="1">
        <f t="array" ref="O64">TRUNC($H64*(1+_xlfn.SWITCH($N64,"BDI 1",$O$6,"BDI 2",$O$7,"BDI 3",$O$8)),2)</f>
        <v>8.0299999999999994</v>
      </c>
      <c r="P64" s="157" cm="1">
        <f t="array" ref="P64">TRUNC($I64*(1+_xlfn.SWITCH($N64,"BDI 1",$P$6,"BDI 2",$P$7,"BDI 3",$P$8)),2)</f>
        <v>8.1199999999999992</v>
      </c>
      <c r="Q64" s="157">
        <v>0</v>
      </c>
      <c r="R64" s="157">
        <f t="shared" si="11"/>
        <v>0</v>
      </c>
      <c r="S64" s="156">
        <f t="shared" si="12"/>
        <v>0</v>
      </c>
      <c r="T64" s="156">
        <f t="shared" si="13"/>
        <v>0</v>
      </c>
      <c r="U64" s="156">
        <f t="shared" si="14"/>
        <v>0</v>
      </c>
      <c r="V64" s="156">
        <f t="shared" si="15"/>
        <v>0</v>
      </c>
      <c r="W64" s="156">
        <f t="shared" si="16"/>
        <v>0</v>
      </c>
      <c r="X64" s="158">
        <f t="shared" ref="X64" si="60">$S64/ORCAMENTO_VALOR_TOTAL_ND</f>
        <v>0</v>
      </c>
      <c r="Y64" s="158">
        <f t="shared" ref="Y64" si="61">$T64/ORCAMENTO_VALOR_TOTAL_DE</f>
        <v>0</v>
      </c>
      <c r="Z64" s="158" cm="1">
        <f t="array" ref="Z64">_xlfn.SWITCH($N64,"BDI 1",$O$6,"BDI 2",$O$7,"BDI 3",$O$8)</f>
        <v>0.20699999999999999</v>
      </c>
      <c r="AA64" s="158" cm="1">
        <f t="array" ref="AA64">_xlfn.SWITCH($N64,"BDI 1",$P$6,"BDI 2",$P$7,"BDI 3",$P$8)</f>
        <v>0.26739999999999997</v>
      </c>
      <c r="AB64" s="158">
        <f t="shared" ca="1" si="19"/>
        <v>0</v>
      </c>
      <c r="AC64" s="158">
        <f t="shared" ca="1" si="20"/>
        <v>0</v>
      </c>
      <c r="AD64" s="164"/>
      <c r="AE64" s="148">
        <f t="shared" si="8"/>
        <v>0</v>
      </c>
      <c r="AF64" s="149"/>
      <c r="AG64" s="150"/>
      <c r="AH64" s="159">
        <f t="shared" si="21"/>
        <v>0</v>
      </c>
      <c r="AI64" s="160"/>
      <c r="AK64" s="105"/>
    </row>
    <row r="65" spans="1:44" s="49" customFormat="1" ht="40.15" hidden="1" customHeight="1">
      <c r="A65" s="152" t="e">
        <f t="shared" si="57"/>
        <v>#REF!</v>
      </c>
      <c r="B65" s="153">
        <v>13244</v>
      </c>
      <c r="C65" s="154" t="str">
        <f t="shared" si="22"/>
        <v>13244</v>
      </c>
      <c r="D65" s="154" t="s">
        <v>3579</v>
      </c>
      <c r="E65" s="155" t="s">
        <v>3584</v>
      </c>
      <c r="F65" s="154"/>
      <c r="G65" s="154" t="s">
        <v>1412</v>
      </c>
      <c r="H65" s="152">
        <v>46.75</v>
      </c>
      <c r="I65" s="152">
        <v>46.75</v>
      </c>
      <c r="J65" s="156"/>
      <c r="K65" s="156">
        <f>S_Preliminares!N21</f>
        <v>0</v>
      </c>
      <c r="L65" s="156">
        <f t="shared" si="9"/>
        <v>0</v>
      </c>
      <c r="M65" s="156">
        <f t="shared" si="10"/>
        <v>0</v>
      </c>
      <c r="N65" s="156" t="s">
        <v>92</v>
      </c>
      <c r="O65" s="157" cm="1">
        <f t="array" ref="O65">TRUNC($H65*(1+_xlfn.SWITCH($N65,"BDI 1",$O$6,"BDI 2",$O$7,"BDI 3",$O$8)),2)</f>
        <v>53.88</v>
      </c>
      <c r="P65" s="157" cm="1">
        <f t="array" ref="P65">TRUNC($I65*(1+_xlfn.SWITCH($N65,"BDI 1",$P$6,"BDI 2",$P$7,"BDI 3",$P$8)),2)</f>
        <v>53.88</v>
      </c>
      <c r="Q65" s="157">
        <v>0</v>
      </c>
      <c r="R65" s="157">
        <f t="shared" si="11"/>
        <v>0</v>
      </c>
      <c r="S65" s="156">
        <f t="shared" si="12"/>
        <v>0</v>
      </c>
      <c r="T65" s="156">
        <f t="shared" si="13"/>
        <v>0</v>
      </c>
      <c r="U65" s="156">
        <f t="shared" si="14"/>
        <v>0</v>
      </c>
      <c r="V65" s="156">
        <f t="shared" si="15"/>
        <v>0</v>
      </c>
      <c r="W65" s="156">
        <f t="shared" si="16"/>
        <v>0</v>
      </c>
      <c r="X65" s="158">
        <f t="shared" ref="X65" si="62">$S65/ORCAMENTO_VALOR_TOTAL_ND</f>
        <v>0</v>
      </c>
      <c r="Y65" s="158">
        <f t="shared" ref="Y65" si="63">$T65/ORCAMENTO_VALOR_TOTAL_DE</f>
        <v>0</v>
      </c>
      <c r="Z65" s="158" cm="1">
        <f t="array" ref="Z65">_xlfn.SWITCH($N65,"BDI 1",$O$6,"BDI 2",$O$7,"BDI 3",$O$8)</f>
        <v>0.1527</v>
      </c>
      <c r="AA65" s="158" cm="1">
        <f t="array" ref="AA65">_xlfn.SWITCH($N65,"BDI 1",$P$6,"BDI 2",$P$7,"BDI 3",$P$8)</f>
        <v>0.1527</v>
      </c>
      <c r="AB65" s="158">
        <f t="shared" ca="1" si="19"/>
        <v>0</v>
      </c>
      <c r="AC65" s="158">
        <f t="shared" ca="1" si="20"/>
        <v>0</v>
      </c>
      <c r="AD65" s="164"/>
      <c r="AE65" s="148">
        <f t="shared" si="8"/>
        <v>0</v>
      </c>
      <c r="AF65" s="149"/>
      <c r="AG65" s="150"/>
      <c r="AH65" s="159">
        <f t="shared" si="21"/>
        <v>0</v>
      </c>
      <c r="AI65" s="160"/>
      <c r="AK65" s="105"/>
    </row>
    <row r="66" spans="1:44" s="49" customFormat="1" ht="40.15" hidden="1" customHeight="1">
      <c r="A66" s="152" t="e">
        <f t="shared" si="57"/>
        <v>#REF!</v>
      </c>
      <c r="B66" s="153">
        <v>98458</v>
      </c>
      <c r="C66" s="154" t="str">
        <f t="shared" si="22"/>
        <v>98458</v>
      </c>
      <c r="D66" s="154" t="s">
        <v>1416</v>
      </c>
      <c r="E66" s="155" t="s">
        <v>3585</v>
      </c>
      <c r="F66" s="154"/>
      <c r="G66" s="154" t="s">
        <v>1418</v>
      </c>
      <c r="H66" s="152">
        <v>95.31</v>
      </c>
      <c r="I66" s="152">
        <v>153.38999999999999</v>
      </c>
      <c r="J66" s="156"/>
      <c r="K66" s="156"/>
      <c r="L66" s="156">
        <f t="shared" si="9"/>
        <v>0</v>
      </c>
      <c r="M66" s="156">
        <f t="shared" si="10"/>
        <v>0</v>
      </c>
      <c r="N66" s="156" t="s">
        <v>83</v>
      </c>
      <c r="O66" s="157" cm="1">
        <f t="array" ref="O66">TRUNC($H66*(1+_xlfn.SWITCH($N66,"BDI 1",$O$6,"BDI 2",$O$7,"BDI 3",$O$8)),2)</f>
        <v>115.03</v>
      </c>
      <c r="P66" s="157" cm="1">
        <f t="array" ref="P66">TRUNC($I66*(1+_xlfn.SWITCH($N66,"BDI 1",$P$6,"BDI 2",$P$7,"BDI 3",$P$8)),2)</f>
        <v>194.4</v>
      </c>
      <c r="Q66" s="157">
        <v>0</v>
      </c>
      <c r="R66" s="157">
        <f t="shared" si="11"/>
        <v>0</v>
      </c>
      <c r="S66" s="156">
        <f t="shared" si="12"/>
        <v>0</v>
      </c>
      <c r="T66" s="156">
        <f t="shared" si="13"/>
        <v>0</v>
      </c>
      <c r="U66" s="156">
        <f t="shared" si="14"/>
        <v>0</v>
      </c>
      <c r="V66" s="156">
        <f t="shared" si="15"/>
        <v>0</v>
      </c>
      <c r="W66" s="156">
        <f t="shared" si="16"/>
        <v>0</v>
      </c>
      <c r="X66" s="158">
        <f t="shared" ref="X66" si="64">$S66/ORCAMENTO_VALOR_TOTAL_ND</f>
        <v>0</v>
      </c>
      <c r="Y66" s="158">
        <f t="shared" ref="Y66" si="65">$T66/ORCAMENTO_VALOR_TOTAL_DE</f>
        <v>0</v>
      </c>
      <c r="Z66" s="158" cm="1">
        <f t="array" ref="Z66">_xlfn.SWITCH($N66,"BDI 1",$O$6,"BDI 2",$O$7,"BDI 3",$O$8)</f>
        <v>0.20699999999999999</v>
      </c>
      <c r="AA66" s="158" cm="1">
        <f t="array" ref="AA66">_xlfn.SWITCH($N66,"BDI 1",$P$6,"BDI 2",$P$7,"BDI 3",$P$8)</f>
        <v>0.26739999999999997</v>
      </c>
      <c r="AB66" s="158">
        <f t="shared" ca="1" si="19"/>
        <v>0</v>
      </c>
      <c r="AC66" s="158">
        <f t="shared" ca="1" si="20"/>
        <v>0</v>
      </c>
      <c r="AD66" s="164"/>
      <c r="AE66" s="148">
        <f t="shared" si="8"/>
        <v>0</v>
      </c>
      <c r="AF66" s="149"/>
      <c r="AG66" s="150"/>
      <c r="AH66" s="159">
        <f t="shared" si="21"/>
        <v>0</v>
      </c>
      <c r="AI66" s="160"/>
      <c r="AK66" s="105"/>
      <c r="AL66" s="105"/>
      <c r="AM66" s="105"/>
      <c r="AN66" s="105"/>
      <c r="AO66" s="105"/>
    </row>
    <row r="67" spans="1:44" s="49" customFormat="1" ht="40.15" hidden="1" customHeight="1">
      <c r="A67" s="152" t="e">
        <f t="shared" si="57"/>
        <v>#REF!</v>
      </c>
      <c r="B67" s="153" t="s">
        <v>89</v>
      </c>
      <c r="C67" s="154" t="str">
        <f t="shared" si="22"/>
        <v>IEQ000430</v>
      </c>
      <c r="D67" s="154" t="s">
        <v>3580</v>
      </c>
      <c r="E67" s="155" t="s">
        <v>3540</v>
      </c>
      <c r="F67" s="154"/>
      <c r="G67" s="154" t="s">
        <v>3541</v>
      </c>
      <c r="H67" s="152">
        <v>1550</v>
      </c>
      <c r="I67" s="152">
        <v>1550</v>
      </c>
      <c r="J67" s="156"/>
      <c r="K67" s="156"/>
      <c r="L67" s="156">
        <f t="shared" si="9"/>
        <v>0</v>
      </c>
      <c r="M67" s="156">
        <f t="shared" si="10"/>
        <v>0</v>
      </c>
      <c r="N67" s="156" t="s">
        <v>83</v>
      </c>
      <c r="O67" s="157" cm="1">
        <f t="array" ref="O67">TRUNC($H67*(1+_xlfn.SWITCH($N67,"BDI 1",$O$6,"BDI 2",$O$7,"BDI 3",$O$8)),2)</f>
        <v>1870.85</v>
      </c>
      <c r="P67" s="157" cm="1">
        <f t="array" ref="P67">TRUNC($I67*(1+_xlfn.SWITCH($N67,"BDI 1",$P$6,"BDI 2",$P$7,"BDI 3",$P$8)),2)</f>
        <v>1964.47</v>
      </c>
      <c r="Q67" s="157">
        <v>0</v>
      </c>
      <c r="R67" s="157">
        <f t="shared" si="11"/>
        <v>0</v>
      </c>
      <c r="S67" s="156">
        <f t="shared" si="12"/>
        <v>0</v>
      </c>
      <c r="T67" s="156">
        <f t="shared" si="13"/>
        <v>0</v>
      </c>
      <c r="U67" s="156">
        <f t="shared" si="14"/>
        <v>0</v>
      </c>
      <c r="V67" s="156">
        <f t="shared" si="15"/>
        <v>0</v>
      </c>
      <c r="W67" s="156">
        <f t="shared" si="16"/>
        <v>0</v>
      </c>
      <c r="X67" s="158">
        <f t="shared" ref="X67" si="66">$S67/ORCAMENTO_VALOR_TOTAL_ND</f>
        <v>0</v>
      </c>
      <c r="Y67" s="158">
        <f t="shared" ref="Y67" si="67">$T67/ORCAMENTO_VALOR_TOTAL_DE</f>
        <v>0</v>
      </c>
      <c r="Z67" s="158" cm="1">
        <f t="array" ref="Z67">_xlfn.SWITCH($N67,"BDI 1",$O$6,"BDI 2",$O$7,"BDI 3",$O$8)</f>
        <v>0.20699999999999999</v>
      </c>
      <c r="AA67" s="158" cm="1">
        <f t="array" ref="AA67">_xlfn.SWITCH($N67,"BDI 1",$P$6,"BDI 2",$P$7,"BDI 3",$P$8)</f>
        <v>0.26739999999999997</v>
      </c>
      <c r="AB67" s="158">
        <f t="shared" ca="1" si="19"/>
        <v>0</v>
      </c>
      <c r="AC67" s="158">
        <f t="shared" ca="1" si="20"/>
        <v>0</v>
      </c>
      <c r="AD67" s="164"/>
      <c r="AE67" s="148">
        <f t="shared" si="8"/>
        <v>0</v>
      </c>
      <c r="AF67" s="149"/>
      <c r="AG67" s="150"/>
      <c r="AH67" s="159">
        <f t="shared" si="21"/>
        <v>0</v>
      </c>
      <c r="AI67" s="160"/>
      <c r="AK67" s="49" t="s">
        <v>98</v>
      </c>
    </row>
    <row r="68" spans="1:44" s="49" customFormat="1" ht="40.15" hidden="1" customHeight="1">
      <c r="A68" s="152" t="e">
        <f t="shared" si="57"/>
        <v>#REF!</v>
      </c>
      <c r="B68" s="153" t="s">
        <v>99</v>
      </c>
      <c r="C68" s="154" t="str">
        <f t="shared" si="22"/>
        <v>SP/0050</v>
      </c>
      <c r="D68" s="154" t="s">
        <v>3549</v>
      </c>
      <c r="E68" s="155" t="s">
        <v>3586</v>
      </c>
      <c r="F68" s="154"/>
      <c r="G68" s="154" t="s">
        <v>1412</v>
      </c>
      <c r="H68" s="152">
        <v>288.48</v>
      </c>
      <c r="I68" s="152">
        <v>269.77999999999997</v>
      </c>
      <c r="J68" s="156"/>
      <c r="K68" s="156">
        <f>S_Preliminares!N22</f>
        <v>0</v>
      </c>
      <c r="L68" s="156">
        <f t="shared" si="9"/>
        <v>0</v>
      </c>
      <c r="M68" s="156">
        <f t="shared" si="10"/>
        <v>0</v>
      </c>
      <c r="N68" s="156" t="s">
        <v>83</v>
      </c>
      <c r="O68" s="157" cm="1">
        <f t="array" ref="O68">TRUNC($H68*(1+_xlfn.SWITCH($N68,"BDI 1",$O$6,"BDI 2",$O$7,"BDI 3",$O$8)),2)</f>
        <v>348.19</v>
      </c>
      <c r="P68" s="157" cm="1">
        <f t="array" ref="P68">TRUNC($I68*(1+_xlfn.SWITCH($N68,"BDI 1",$P$6,"BDI 2",$P$7,"BDI 3",$P$8)),2)</f>
        <v>341.91</v>
      </c>
      <c r="Q68" s="157">
        <v>0</v>
      </c>
      <c r="R68" s="157">
        <f t="shared" si="11"/>
        <v>0</v>
      </c>
      <c r="S68" s="156">
        <f t="shared" si="12"/>
        <v>0</v>
      </c>
      <c r="T68" s="156">
        <f t="shared" si="13"/>
        <v>0</v>
      </c>
      <c r="U68" s="156">
        <f t="shared" si="14"/>
        <v>0</v>
      </c>
      <c r="V68" s="156">
        <f t="shared" si="15"/>
        <v>0</v>
      </c>
      <c r="W68" s="156">
        <f t="shared" si="16"/>
        <v>0</v>
      </c>
      <c r="X68" s="158">
        <f t="shared" ref="X68" si="68">$S68/ORCAMENTO_VALOR_TOTAL_ND</f>
        <v>0</v>
      </c>
      <c r="Y68" s="158">
        <f t="shared" ref="Y68" si="69">$T68/ORCAMENTO_VALOR_TOTAL_DE</f>
        <v>0</v>
      </c>
      <c r="Z68" s="158" cm="1">
        <f t="array" ref="Z68">_xlfn.SWITCH($N68,"BDI 1",$O$6,"BDI 2",$O$7,"BDI 3",$O$8)</f>
        <v>0.20699999999999999</v>
      </c>
      <c r="AA68" s="158" cm="1">
        <f t="array" ref="AA68">_xlfn.SWITCH($N68,"BDI 1",$P$6,"BDI 2",$P$7,"BDI 3",$P$8)</f>
        <v>0.26739999999999997</v>
      </c>
      <c r="AB68" s="158">
        <f t="shared" ca="1" si="19"/>
        <v>0</v>
      </c>
      <c r="AC68" s="158">
        <f t="shared" ca="1" si="20"/>
        <v>0</v>
      </c>
      <c r="AD68" s="164"/>
      <c r="AE68" s="148">
        <f t="shared" si="8"/>
        <v>0</v>
      </c>
      <c r="AF68" s="149"/>
      <c r="AG68" s="150"/>
      <c r="AH68" s="159">
        <f t="shared" si="21"/>
        <v>0</v>
      </c>
      <c r="AI68" s="160"/>
      <c r="AK68" s="105"/>
    </row>
    <row r="69" spans="1:44" s="49" customFormat="1" ht="40.15" hidden="1" customHeight="1">
      <c r="A69" s="152" t="e">
        <f t="shared" si="57"/>
        <v>#REF!</v>
      </c>
      <c r="B69" s="153" t="s">
        <v>100</v>
      </c>
      <c r="C69" s="154" t="str">
        <f t="shared" si="22"/>
        <v>SP/0060</v>
      </c>
      <c r="D69" s="154" t="s">
        <v>3549</v>
      </c>
      <c r="E69" s="155" t="s">
        <v>3587</v>
      </c>
      <c r="F69" s="154"/>
      <c r="G69" s="154" t="s">
        <v>1412</v>
      </c>
      <c r="H69" s="152">
        <v>248.68</v>
      </c>
      <c r="I69" s="152">
        <v>233.32</v>
      </c>
      <c r="J69" s="156"/>
      <c r="K69" s="156">
        <f>S_Preliminares!N23</f>
        <v>0</v>
      </c>
      <c r="L69" s="156">
        <f t="shared" si="9"/>
        <v>0</v>
      </c>
      <c r="M69" s="156">
        <f t="shared" si="10"/>
        <v>0</v>
      </c>
      <c r="N69" s="156" t="s">
        <v>83</v>
      </c>
      <c r="O69" s="157" cm="1">
        <f t="array" ref="O69">TRUNC($H69*(1+_xlfn.SWITCH($N69,"BDI 1",$O$6,"BDI 2",$O$7,"BDI 3",$O$8)),2)</f>
        <v>300.14999999999998</v>
      </c>
      <c r="P69" s="157" cm="1">
        <f t="array" ref="P69">TRUNC($I69*(1+_xlfn.SWITCH($N69,"BDI 1",$P$6,"BDI 2",$P$7,"BDI 3",$P$8)),2)</f>
        <v>295.7</v>
      </c>
      <c r="Q69" s="157">
        <v>0</v>
      </c>
      <c r="R69" s="157">
        <f t="shared" si="11"/>
        <v>0</v>
      </c>
      <c r="S69" s="156">
        <f t="shared" si="12"/>
        <v>0</v>
      </c>
      <c r="T69" s="156">
        <f t="shared" si="13"/>
        <v>0</v>
      </c>
      <c r="U69" s="156">
        <f t="shared" si="14"/>
        <v>0</v>
      </c>
      <c r="V69" s="156">
        <f t="shared" si="15"/>
        <v>0</v>
      </c>
      <c r="W69" s="156">
        <f t="shared" si="16"/>
        <v>0</v>
      </c>
      <c r="X69" s="158">
        <f t="shared" ref="X69" si="70">$S69/ORCAMENTO_VALOR_TOTAL_ND</f>
        <v>0</v>
      </c>
      <c r="Y69" s="158">
        <f t="shared" ref="Y69" si="71">$T69/ORCAMENTO_VALOR_TOTAL_DE</f>
        <v>0</v>
      </c>
      <c r="Z69" s="158" cm="1">
        <f t="array" ref="Z69">_xlfn.SWITCH($N69,"BDI 1",$O$6,"BDI 2",$O$7,"BDI 3",$O$8)</f>
        <v>0.20699999999999999</v>
      </c>
      <c r="AA69" s="158" cm="1">
        <f t="array" ref="AA69">_xlfn.SWITCH($N69,"BDI 1",$P$6,"BDI 2",$P$7,"BDI 3",$P$8)</f>
        <v>0.26739999999999997</v>
      </c>
      <c r="AB69" s="158">
        <f t="shared" ca="1" si="19"/>
        <v>0</v>
      </c>
      <c r="AC69" s="158">
        <f t="shared" ca="1" si="20"/>
        <v>0</v>
      </c>
      <c r="AD69" s="164"/>
      <c r="AE69" s="148">
        <f t="shared" si="8"/>
        <v>0</v>
      </c>
      <c r="AF69" s="149"/>
      <c r="AG69" s="150"/>
      <c r="AH69" s="159">
        <f t="shared" si="21"/>
        <v>0</v>
      </c>
      <c r="AI69" s="160"/>
      <c r="AK69" s="105"/>
      <c r="AL69" s="105"/>
      <c r="AM69" s="105"/>
      <c r="AN69" s="105"/>
      <c r="AO69" s="105"/>
      <c r="AP69" s="105"/>
      <c r="AQ69" s="105"/>
      <c r="AR69" s="105"/>
    </row>
    <row r="70" spans="1:44" s="49" customFormat="1" ht="40.15" hidden="1" customHeight="1">
      <c r="A70" s="152" t="e">
        <f t="shared" si="57"/>
        <v>#REF!</v>
      </c>
      <c r="B70" s="153">
        <v>100575</v>
      </c>
      <c r="C70" s="154" t="str">
        <f t="shared" si="22"/>
        <v>100575</v>
      </c>
      <c r="D70" s="154" t="s">
        <v>1416</v>
      </c>
      <c r="E70" s="155" t="s">
        <v>3588</v>
      </c>
      <c r="F70" s="154"/>
      <c r="G70" s="154" t="s">
        <v>1418</v>
      </c>
      <c r="H70" s="152">
        <v>0.14000000000000001</v>
      </c>
      <c r="I70" s="152">
        <v>0.12</v>
      </c>
      <c r="J70" s="156"/>
      <c r="K70" s="156">
        <f>S_Preliminares!N24</f>
        <v>0</v>
      </c>
      <c r="L70" s="156">
        <f t="shared" si="9"/>
        <v>0</v>
      </c>
      <c r="M70" s="156">
        <f t="shared" si="10"/>
        <v>0</v>
      </c>
      <c r="N70" s="156" t="s">
        <v>83</v>
      </c>
      <c r="O70" s="157" cm="1">
        <f t="array" ref="O70">TRUNC($H70*(1+_xlfn.SWITCH($N70,"BDI 1",$O$6,"BDI 2",$O$7,"BDI 3",$O$8)),2)</f>
        <v>0.16</v>
      </c>
      <c r="P70" s="157" cm="1">
        <f t="array" ref="P70">TRUNC($I70*(1+_xlfn.SWITCH($N70,"BDI 1",$P$6,"BDI 2",$P$7,"BDI 3",$P$8)),2)</f>
        <v>0.15</v>
      </c>
      <c r="Q70" s="157">
        <v>0</v>
      </c>
      <c r="R70" s="157">
        <f t="shared" si="11"/>
        <v>0</v>
      </c>
      <c r="S70" s="156">
        <f t="shared" si="12"/>
        <v>0</v>
      </c>
      <c r="T70" s="156">
        <f t="shared" si="13"/>
        <v>0</v>
      </c>
      <c r="U70" s="156">
        <f t="shared" si="14"/>
        <v>0</v>
      </c>
      <c r="V70" s="156">
        <f t="shared" si="15"/>
        <v>0</v>
      </c>
      <c r="W70" s="156">
        <f t="shared" si="16"/>
        <v>0</v>
      </c>
      <c r="X70" s="158">
        <f t="shared" ref="X70" si="72">$S70/ORCAMENTO_VALOR_TOTAL_ND</f>
        <v>0</v>
      </c>
      <c r="Y70" s="158">
        <f t="shared" ref="Y70" si="73">$T70/ORCAMENTO_VALOR_TOTAL_DE</f>
        <v>0</v>
      </c>
      <c r="Z70" s="158" cm="1">
        <f t="array" ref="Z70">_xlfn.SWITCH($N70,"BDI 1",$O$6,"BDI 2",$O$7,"BDI 3",$O$8)</f>
        <v>0.20699999999999999</v>
      </c>
      <c r="AA70" s="158" cm="1">
        <f t="array" ref="AA70">_xlfn.SWITCH($N70,"BDI 1",$P$6,"BDI 2",$P$7,"BDI 3",$P$8)</f>
        <v>0.26739999999999997</v>
      </c>
      <c r="AB70" s="158">
        <f t="shared" ca="1" si="19"/>
        <v>0</v>
      </c>
      <c r="AC70" s="158">
        <f t="shared" ca="1" si="20"/>
        <v>0</v>
      </c>
      <c r="AD70" s="164"/>
      <c r="AE70" s="148">
        <f t="shared" si="8"/>
        <v>0</v>
      </c>
      <c r="AF70" s="149"/>
      <c r="AG70" s="150"/>
      <c r="AH70" s="159">
        <f t="shared" si="21"/>
        <v>0</v>
      </c>
      <c r="AI70" s="160"/>
      <c r="AK70" s="105"/>
      <c r="AL70" s="105"/>
      <c r="AM70" s="105"/>
      <c r="AN70" s="105"/>
      <c r="AO70" s="105"/>
      <c r="AP70" s="105"/>
      <c r="AQ70" s="105"/>
      <c r="AR70" s="105"/>
    </row>
    <row r="71" spans="1:44" s="49" customFormat="1" ht="49.9" hidden="1" customHeight="1">
      <c r="A71" s="152" t="e">
        <f t="shared" si="57"/>
        <v>#REF!</v>
      </c>
      <c r="B71" s="153">
        <v>100979</v>
      </c>
      <c r="C71" s="154" t="str">
        <f t="shared" si="22"/>
        <v>100979</v>
      </c>
      <c r="D71" s="154" t="s">
        <v>1416</v>
      </c>
      <c r="E71" s="155" t="s">
        <v>1420</v>
      </c>
      <c r="F71" s="154"/>
      <c r="G71" s="154" t="s">
        <v>464</v>
      </c>
      <c r="H71" s="152">
        <v>6.4</v>
      </c>
      <c r="I71" s="152">
        <v>6.4</v>
      </c>
      <c r="J71" s="156"/>
      <c r="K71" s="156">
        <f>S_Preliminares!N25</f>
        <v>500</v>
      </c>
      <c r="L71" s="156">
        <f t="shared" si="9"/>
        <v>500</v>
      </c>
      <c r="M71" s="156">
        <f t="shared" si="10"/>
        <v>0</v>
      </c>
      <c r="N71" s="156" t="s">
        <v>83</v>
      </c>
      <c r="O71" s="157" cm="1">
        <f t="array" ref="O71">TRUNC($H71*(1+_xlfn.SWITCH($N71,"BDI 1",$O$6,"BDI 2",$O$7,"BDI 3",$O$8)),2)</f>
        <v>7.72</v>
      </c>
      <c r="P71" s="157" cm="1">
        <f t="array" ref="P71">TRUNC($I71*(1+_xlfn.SWITCH($N71,"BDI 1",$P$6,"BDI 2",$P$7,"BDI 3",$P$8)),2)</f>
        <v>8.11</v>
      </c>
      <c r="Q71" s="157">
        <v>0</v>
      </c>
      <c r="R71" s="157">
        <f t="shared" si="11"/>
        <v>0</v>
      </c>
      <c r="S71" s="156">
        <f t="shared" si="12"/>
        <v>3860</v>
      </c>
      <c r="T71" s="156">
        <f t="shared" si="13"/>
        <v>4055</v>
      </c>
      <c r="U71" s="156">
        <f t="shared" si="14"/>
        <v>0</v>
      </c>
      <c r="V71" s="156">
        <f t="shared" si="15"/>
        <v>0</v>
      </c>
      <c r="W71" s="156">
        <f t="shared" si="16"/>
        <v>0</v>
      </c>
      <c r="X71" s="158">
        <f t="shared" ref="X71" si="74">$S71/ORCAMENTO_VALOR_TOTAL_ND</f>
        <v>1.2482013935308401E-3</v>
      </c>
      <c r="Y71" s="158">
        <f t="shared" ref="Y71" si="75">$T71/ORCAMENTO_VALOR_TOTAL_DE</f>
        <v>1.1922268199088086E-3</v>
      </c>
      <c r="Z71" s="158" cm="1">
        <f t="array" ref="Z71">_xlfn.SWITCH($N71,"BDI 1",$O$6,"BDI 2",$O$7,"BDI 3",$O$8)</f>
        <v>0.20699999999999999</v>
      </c>
      <c r="AA71" s="158" cm="1">
        <f t="array" ref="AA71">_xlfn.SWITCH($N71,"BDI 1",$P$6,"BDI 2",$P$7,"BDI 3",$P$8)</f>
        <v>0.26739999999999997</v>
      </c>
      <c r="AB71" s="158">
        <f t="shared" ca="1" si="19"/>
        <v>0</v>
      </c>
      <c r="AC71" s="158">
        <f t="shared" ca="1" si="20"/>
        <v>0</v>
      </c>
      <c r="AD71" s="164"/>
      <c r="AE71" s="148">
        <f t="shared" si="8"/>
        <v>0</v>
      </c>
      <c r="AF71" s="149"/>
      <c r="AG71" s="150"/>
      <c r="AH71" s="159">
        <f t="shared" si="21"/>
        <v>3.7921757981965162E-2</v>
      </c>
      <c r="AI71" s="165" t="s">
        <v>101</v>
      </c>
      <c r="AK71" s="105"/>
      <c r="AL71" s="105"/>
      <c r="AM71" s="105"/>
      <c r="AN71" s="105"/>
      <c r="AO71" s="105"/>
      <c r="AP71" s="105"/>
      <c r="AQ71" s="105"/>
      <c r="AR71" s="105"/>
    </row>
    <row r="72" spans="1:44" s="49" customFormat="1" ht="40.15" hidden="1" customHeight="1">
      <c r="A72" s="10" t="e">
        <f t="shared" si="57"/>
        <v>#REF!</v>
      </c>
      <c r="B72" s="153"/>
      <c r="C72" s="154"/>
      <c r="D72" s="154"/>
      <c r="E72" s="161" t="s">
        <v>102</v>
      </c>
      <c r="F72" s="154"/>
      <c r="G72" s="154"/>
      <c r="H72" s="152"/>
      <c r="I72" s="152"/>
      <c r="J72" s="154"/>
      <c r="K72" s="154"/>
      <c r="L72" s="154"/>
      <c r="M72" s="154"/>
      <c r="N72" s="154"/>
      <c r="O72" s="154"/>
      <c r="P72" s="154"/>
      <c r="Q72" s="154"/>
      <c r="R72" s="154"/>
      <c r="S72" s="162"/>
      <c r="T72" s="162"/>
      <c r="U72" s="162"/>
      <c r="V72" s="162"/>
      <c r="W72" s="162"/>
      <c r="X72" s="163"/>
      <c r="Y72" s="163"/>
      <c r="Z72" s="163"/>
      <c r="AA72" s="163"/>
      <c r="AB72" s="163"/>
      <c r="AC72" s="163"/>
      <c r="AD72" s="164"/>
      <c r="AE72" s="148">
        <f>IF(SUM(S73:S74)&gt;0,IFERROR(TRUNC(A72,0),0),0)</f>
        <v>0</v>
      </c>
      <c r="AF72" s="149"/>
      <c r="AG72" s="150"/>
      <c r="AH72" s="159"/>
      <c r="AI72" s="160" t="s">
        <v>85</v>
      </c>
      <c r="AK72" s="105"/>
      <c r="AL72" s="105"/>
      <c r="AM72" s="105"/>
      <c r="AN72" s="105"/>
      <c r="AO72" s="105"/>
      <c r="AP72" s="105"/>
      <c r="AQ72" s="105"/>
      <c r="AR72" s="105"/>
    </row>
    <row r="73" spans="1:44" s="49" customFormat="1" ht="40.15" hidden="1" customHeight="1">
      <c r="A73" s="152" t="e">
        <f t="shared" si="57"/>
        <v>#REF!</v>
      </c>
      <c r="B73" s="153">
        <v>95876</v>
      </c>
      <c r="C73" s="154" t="str">
        <f>TEXT(B73,"0")</f>
        <v>95876</v>
      </c>
      <c r="D73" s="154" t="s">
        <v>1416</v>
      </c>
      <c r="E73" s="155" t="s">
        <v>3537</v>
      </c>
      <c r="F73" s="154">
        <f>IF(Dados_DMT!$B$17&lt;30,Dados_DMT!$B$17,30)</f>
        <v>3.5</v>
      </c>
      <c r="G73" s="154" t="s">
        <v>3538</v>
      </c>
      <c r="H73" s="152">
        <v>2.09</v>
      </c>
      <c r="I73" s="152">
        <v>2.1</v>
      </c>
      <c r="J73" s="156"/>
      <c r="K73" s="156">
        <f>ROUND(K71*F73,2)</f>
        <v>1750</v>
      </c>
      <c r="L73" s="156">
        <f>IF($K73&gt;$J73,$K73-$J73,0)</f>
        <v>1750</v>
      </c>
      <c r="M73" s="156">
        <f>IF($K73&lt;$J73,$J73-$K73,0)</f>
        <v>0</v>
      </c>
      <c r="N73" s="156" t="s">
        <v>83</v>
      </c>
      <c r="O73" s="157" cm="1">
        <f t="array" ref="O73">TRUNC($H73*(1+_xlfn.SWITCH($N73,"BDI 1",$O$6,"BDI 2",$O$7,"BDI 3",$O$8)),2)</f>
        <v>2.52</v>
      </c>
      <c r="P73" s="157" cm="1">
        <f t="array" ref="P73">TRUNC($I73*(1+_xlfn.SWITCH($N73,"BDI 1",$P$6,"BDI 2",$P$7,"BDI 3",$P$8)),2)</f>
        <v>2.66</v>
      </c>
      <c r="Q73" s="157">
        <v>0</v>
      </c>
      <c r="R73" s="157">
        <f>$Q73-($Q73*LICITACAO_DESCONTO)</f>
        <v>0</v>
      </c>
      <c r="S73" s="156">
        <f>TRUNC($K73*$O73,2)</f>
        <v>4410</v>
      </c>
      <c r="T73" s="156">
        <f>TRUNC($K73*$P73,2)</f>
        <v>4655</v>
      </c>
      <c r="U73" s="156">
        <f>TRUNC($J73*$R73,2)</f>
        <v>0</v>
      </c>
      <c r="V73" s="156">
        <f>TRUNC($K73*$Q73,2)</f>
        <v>0</v>
      </c>
      <c r="W73" s="156">
        <f>TRUNC(V73-U73,2)</f>
        <v>0</v>
      </c>
      <c r="X73" s="158">
        <f>$S73/ORCAMENTO_VALOR_TOTAL_ND</f>
        <v>1.4260539236971514E-3</v>
      </c>
      <c r="Y73" s="158">
        <f>$T73/ORCAMENTO_VALOR_TOTAL_DE</f>
        <v>1.3686352272935891E-3</v>
      </c>
      <c r="Z73" s="158" cm="1">
        <f t="array" ref="Z73">_xlfn.SWITCH($N73,"BDI 1",$O$6,"BDI 2",$O$7,"BDI 3",$O$8)</f>
        <v>0.20699999999999999</v>
      </c>
      <c r="AA73" s="158" cm="1">
        <f t="array" ref="AA73">_xlfn.SWITCH($N73,"BDI 1",$P$6,"BDI 2",$P$7,"BDI 3",$P$8)</f>
        <v>0.26739999999999997</v>
      </c>
      <c r="AB73" s="158">
        <f ca="1">IFERROR($S73/_xlfn.XLOOKUP($AE73,$B$16:$B$38,$S$16:$S$38),0)</f>
        <v>0</v>
      </c>
      <c r="AC73" s="158">
        <f ca="1">IFERROR($T73/_xlfn.XLOOKUP($AE73,$B$16:$B$38,$T$16:$T$38),0)</f>
        <v>0</v>
      </c>
      <c r="AD73" s="164"/>
      <c r="AE73" s="148">
        <f t="shared" ref="AE73:AE74" si="76">IF(S73&gt;0,IFERROR(TRUNC(A73,0),0),0)</f>
        <v>0</v>
      </c>
      <c r="AF73" s="149"/>
      <c r="AG73" s="150"/>
      <c r="AH73" s="159">
        <f>S73/S$42</f>
        <v>4.3325117279913561E-2</v>
      </c>
      <c r="AI73" s="166">
        <f>IF(K73=0,0,K73/F73)</f>
        <v>500</v>
      </c>
      <c r="AK73" s="167"/>
      <c r="AL73" s="105"/>
      <c r="AM73" s="105"/>
      <c r="AN73" s="105"/>
      <c r="AO73" s="105"/>
      <c r="AP73" s="105"/>
      <c r="AQ73" s="105"/>
      <c r="AR73" s="105"/>
    </row>
    <row r="74" spans="1:44" s="49" customFormat="1" ht="40.15" hidden="1" customHeight="1">
      <c r="A74" s="152" t="e">
        <f t="shared" si="57"/>
        <v>#REF!</v>
      </c>
      <c r="B74" s="153">
        <v>93593</v>
      </c>
      <c r="C74" s="154" t="str">
        <f>TEXT(B74,"0")</f>
        <v>93593</v>
      </c>
      <c r="D74" s="154" t="s">
        <v>1416</v>
      </c>
      <c r="E74" s="155" t="s">
        <v>3545</v>
      </c>
      <c r="F74" s="154">
        <f>Dados_DMT!$B$17-F73</f>
        <v>0</v>
      </c>
      <c r="G74" s="154" t="s">
        <v>3538</v>
      </c>
      <c r="H74" s="152">
        <v>0.84</v>
      </c>
      <c r="I74" s="152">
        <v>0.85</v>
      </c>
      <c r="J74" s="156"/>
      <c r="K74" s="156">
        <f>ROUND(K71*F74,2)</f>
        <v>0</v>
      </c>
      <c r="L74" s="156">
        <f>IF($K74&gt;$J74,$K74-$J74,0)</f>
        <v>0</v>
      </c>
      <c r="M74" s="156">
        <f>IF($K74&lt;$J74,$J74-$K74,0)</f>
        <v>0</v>
      </c>
      <c r="N74" s="156" t="s">
        <v>83</v>
      </c>
      <c r="O74" s="157" cm="1">
        <f t="array" ref="O74">TRUNC($H74*(1+_xlfn.SWITCH($N74,"BDI 1",$O$6,"BDI 2",$O$7,"BDI 3",$O$8)),2)</f>
        <v>1.01</v>
      </c>
      <c r="P74" s="157" cm="1">
        <f t="array" ref="P74">TRUNC($I74*(1+_xlfn.SWITCH($N74,"BDI 1",$P$6,"BDI 2",$P$7,"BDI 3",$P$8)),2)</f>
        <v>1.07</v>
      </c>
      <c r="Q74" s="157">
        <v>0</v>
      </c>
      <c r="R74" s="157">
        <f>$Q74-($Q74*LICITACAO_DESCONTO)</f>
        <v>0</v>
      </c>
      <c r="S74" s="156">
        <f>TRUNC($K74*$O74,2)</f>
        <v>0</v>
      </c>
      <c r="T74" s="156">
        <f>TRUNC($K74*$P74,2)</f>
        <v>0</v>
      </c>
      <c r="U74" s="156">
        <f>TRUNC($J74*$R74,2)</f>
        <v>0</v>
      </c>
      <c r="V74" s="156">
        <f>TRUNC($K74*$Q74,2)</f>
        <v>0</v>
      </c>
      <c r="W74" s="156">
        <f>TRUNC(V74-U74,2)</f>
        <v>0</v>
      </c>
      <c r="X74" s="158">
        <f>$S74/ORCAMENTO_VALOR_TOTAL_ND</f>
        <v>0</v>
      </c>
      <c r="Y74" s="158">
        <f>$T74/ORCAMENTO_VALOR_TOTAL_DE</f>
        <v>0</v>
      </c>
      <c r="Z74" s="158" cm="1">
        <f t="array" ref="Z74">_xlfn.SWITCH($N74,"BDI 1",$O$6,"BDI 2",$O$7,"BDI 3",$O$8)</f>
        <v>0.20699999999999999</v>
      </c>
      <c r="AA74" s="158" cm="1">
        <f t="array" ref="AA74">_xlfn.SWITCH($N74,"BDI 1",$P$6,"BDI 2",$P$7,"BDI 3",$P$8)</f>
        <v>0.26739999999999997</v>
      </c>
      <c r="AB74" s="158">
        <f ca="1">IFERROR($S74/_xlfn.XLOOKUP($AE74,$B$16:$B$38,$S$16:$S$38),0)</f>
        <v>0</v>
      </c>
      <c r="AC74" s="158">
        <f ca="1">IFERROR($T74/_xlfn.XLOOKUP($AE74,$B$16:$B$38,$T$16:$T$38),0)</f>
        <v>0</v>
      </c>
      <c r="AD74" s="164"/>
      <c r="AE74" s="148">
        <f t="shared" si="76"/>
        <v>0</v>
      </c>
      <c r="AF74" s="149"/>
      <c r="AG74" s="150"/>
      <c r="AH74" s="159">
        <f>S74/S$42</f>
        <v>0</v>
      </c>
      <c r="AI74" s="166">
        <f>IF(K74=0,0,K74/F74)</f>
        <v>0</v>
      </c>
      <c r="AK74" s="105"/>
      <c r="AL74" s="105"/>
      <c r="AM74" s="105"/>
      <c r="AN74" s="105"/>
      <c r="AO74" s="105"/>
      <c r="AP74" s="105"/>
      <c r="AQ74" s="105"/>
      <c r="AR74" s="105"/>
    </row>
    <row r="75" spans="1:44" s="49" customFormat="1" ht="40.15" hidden="1" customHeight="1">
      <c r="A75" s="10" t="e">
        <f t="shared" si="57"/>
        <v>#REF!</v>
      </c>
      <c r="B75" s="153"/>
      <c r="C75" s="154"/>
      <c r="D75" s="154"/>
      <c r="E75" s="161" t="s">
        <v>103</v>
      </c>
      <c r="F75" s="154"/>
      <c r="G75" s="154"/>
      <c r="H75" s="152"/>
      <c r="I75" s="152"/>
      <c r="J75" s="154"/>
      <c r="K75" s="154"/>
      <c r="L75" s="154"/>
      <c r="M75" s="154"/>
      <c r="N75" s="154"/>
      <c r="O75" s="154"/>
      <c r="P75" s="154"/>
      <c r="Q75" s="154"/>
      <c r="R75" s="154"/>
      <c r="S75" s="162"/>
      <c r="T75" s="162"/>
      <c r="U75" s="162"/>
      <c r="V75" s="162"/>
      <c r="W75" s="162"/>
      <c r="X75" s="163"/>
      <c r="Y75" s="163"/>
      <c r="Z75" s="163"/>
      <c r="AA75" s="163"/>
      <c r="AB75" s="163"/>
      <c r="AC75" s="163"/>
      <c r="AD75" s="164"/>
      <c r="AE75" s="148">
        <f>IF(SUM(S76:S77)&gt;0,IFERROR(TRUNC(A75,0),0),0)</f>
        <v>0</v>
      </c>
      <c r="AF75" s="149"/>
      <c r="AG75" s="150"/>
      <c r="AH75" s="159"/>
      <c r="AI75" s="160" t="s">
        <v>85</v>
      </c>
      <c r="AK75" s="105"/>
      <c r="AL75" s="105"/>
      <c r="AM75" s="105"/>
      <c r="AN75" s="105"/>
      <c r="AO75" s="105"/>
      <c r="AP75" s="105"/>
      <c r="AQ75" s="105"/>
      <c r="AR75" s="105"/>
    </row>
    <row r="76" spans="1:44" s="49" customFormat="1" ht="40.15" hidden="1" customHeight="1">
      <c r="A76" s="152" t="e">
        <f t="shared" si="57"/>
        <v>#REF!</v>
      </c>
      <c r="B76" s="153">
        <v>95876</v>
      </c>
      <c r="C76" s="154" t="str">
        <f>TEXT(B76,"0")</f>
        <v>95876</v>
      </c>
      <c r="D76" s="154" t="s">
        <v>1416</v>
      </c>
      <c r="E76" s="155" t="s">
        <v>3537</v>
      </c>
      <c r="F76" s="154">
        <f>IF(Dados_DMT!$B$34&lt;30,Dados_DMT!$B$34,30)</f>
        <v>30</v>
      </c>
      <c r="G76" s="154" t="s">
        <v>3538</v>
      </c>
      <c r="H76" s="152">
        <v>2.09</v>
      </c>
      <c r="I76" s="152">
        <v>2.1</v>
      </c>
      <c r="J76" s="156"/>
      <c r="K76" s="156">
        <f>ROUND(S_Preliminares!N17*1.1*F76,2)</f>
        <v>1031.25</v>
      </c>
      <c r="L76" s="156">
        <f>IF($K76&gt;$J76,$K76-$J76,0)</f>
        <v>1031.25</v>
      </c>
      <c r="M76" s="156">
        <f>IF($K76&lt;$J76,$J76-$K76,0)</f>
        <v>0</v>
      </c>
      <c r="N76" s="156" t="s">
        <v>83</v>
      </c>
      <c r="O76" s="157" cm="1">
        <f t="array" ref="O76">TRUNC($H76*(1+_xlfn.SWITCH($N76,"BDI 1",$O$6,"BDI 2",$O$7,"BDI 3",$O$8)),2)</f>
        <v>2.52</v>
      </c>
      <c r="P76" s="157" cm="1">
        <f t="array" ref="P76">TRUNC($I76*(1+_xlfn.SWITCH($N76,"BDI 1",$P$6,"BDI 2",$P$7,"BDI 3",$P$8)),2)</f>
        <v>2.66</v>
      </c>
      <c r="Q76" s="157">
        <v>0</v>
      </c>
      <c r="R76" s="157">
        <f>$Q76-($Q76*LICITACAO_DESCONTO)</f>
        <v>0</v>
      </c>
      <c r="S76" s="156">
        <f>TRUNC($K76*$O76,2)</f>
        <v>2598.75</v>
      </c>
      <c r="T76" s="156">
        <f>TRUNC($K76*$P76,2)</f>
        <v>2743.12</v>
      </c>
      <c r="U76" s="156">
        <f>TRUNC($J76*$R76,2)</f>
        <v>0</v>
      </c>
      <c r="V76" s="156">
        <f>TRUNC($K76*$Q76,2)</f>
        <v>0</v>
      </c>
      <c r="W76" s="156">
        <f>TRUNC(V76-U76,2)</f>
        <v>0</v>
      </c>
      <c r="X76" s="158">
        <f>$S76/ORCAMENTO_VALOR_TOTAL_ND</f>
        <v>8.4035320503582139E-4</v>
      </c>
      <c r="Y76" s="158">
        <f>$T76/ORCAMENTO_VALOR_TOTAL_DE</f>
        <v>8.0651571744223198E-4</v>
      </c>
      <c r="Z76" s="158" cm="1">
        <f t="array" ref="Z76">_xlfn.SWITCH($N76,"BDI 1",$O$6,"BDI 2",$O$7,"BDI 3",$O$8)</f>
        <v>0.20699999999999999</v>
      </c>
      <c r="AA76" s="158" cm="1">
        <f t="array" ref="AA76">_xlfn.SWITCH($N76,"BDI 1",$P$6,"BDI 2",$P$7,"BDI 3",$P$8)</f>
        <v>0.26739999999999997</v>
      </c>
      <c r="AB76" s="158">
        <f ca="1">IFERROR($S76/_xlfn.XLOOKUP($AE76,$B$16:$B$38,$S$16:$S$38),0)</f>
        <v>0</v>
      </c>
      <c r="AC76" s="158">
        <f ca="1">IFERROR($T76/_xlfn.XLOOKUP($AE76,$B$16:$B$38,$T$16:$T$38),0)</f>
        <v>0</v>
      </c>
      <c r="AD76" s="164"/>
      <c r="AE76" s="148">
        <f t="shared" ref="AE76:AE77" si="77">IF(S76&gt;0,IFERROR(TRUNC(A76,0),0),0)</f>
        <v>0</v>
      </c>
      <c r="AF76" s="149"/>
      <c r="AG76" s="150"/>
      <c r="AH76" s="159">
        <f>S76/S$42</f>
        <v>2.5530872682806207E-2</v>
      </c>
      <c r="AI76" s="166">
        <f>IF(K76=0,0,K76/F76)</f>
        <v>34.375</v>
      </c>
      <c r="AK76" s="105"/>
      <c r="AL76" s="105"/>
      <c r="AM76" s="105"/>
      <c r="AN76" s="105"/>
      <c r="AO76" s="105"/>
      <c r="AP76" s="105"/>
      <c r="AQ76" s="105"/>
      <c r="AR76" s="105"/>
    </row>
    <row r="77" spans="1:44" s="49" customFormat="1" ht="40.15" hidden="1" customHeight="1">
      <c r="A77" s="152" t="e">
        <f t="shared" si="57"/>
        <v>#REF!</v>
      </c>
      <c r="B77" s="153">
        <v>93593</v>
      </c>
      <c r="C77" s="154" t="str">
        <f>TEXT(B77,"0")</f>
        <v>93593</v>
      </c>
      <c r="D77" s="154" t="s">
        <v>1416</v>
      </c>
      <c r="E77" s="155" t="s">
        <v>3545</v>
      </c>
      <c r="F77" s="154">
        <f>Dados_DMT!$B$34-F76</f>
        <v>80</v>
      </c>
      <c r="G77" s="154" t="s">
        <v>3538</v>
      </c>
      <c r="H77" s="152">
        <v>0.84</v>
      </c>
      <c r="I77" s="152">
        <v>0.85</v>
      </c>
      <c r="J77" s="156"/>
      <c r="K77" s="156">
        <f>ROUND(S_Preliminares!N17*1.1*F77,2)</f>
        <v>2750</v>
      </c>
      <c r="L77" s="156">
        <f>IF($K77&gt;$J77,$K77-$J77,0)</f>
        <v>2750</v>
      </c>
      <c r="M77" s="156">
        <f>IF($K77&lt;$J77,$J77-$K77,0)</f>
        <v>0</v>
      </c>
      <c r="N77" s="156" t="s">
        <v>83</v>
      </c>
      <c r="O77" s="157" cm="1">
        <f t="array" ref="O77">TRUNC($H77*(1+_xlfn.SWITCH($N77,"BDI 1",$O$6,"BDI 2",$O$7,"BDI 3",$O$8)),2)</f>
        <v>1.01</v>
      </c>
      <c r="P77" s="157" cm="1">
        <f t="array" ref="P77">TRUNC($I77*(1+_xlfn.SWITCH($N77,"BDI 1",$P$6,"BDI 2",$P$7,"BDI 3",$P$8)),2)</f>
        <v>1.07</v>
      </c>
      <c r="Q77" s="157">
        <v>0</v>
      </c>
      <c r="R77" s="157">
        <f>$Q77-($Q77*LICITACAO_DESCONTO)</f>
        <v>0</v>
      </c>
      <c r="S77" s="156">
        <f>TRUNC($K77*$O77,2)</f>
        <v>2777.5</v>
      </c>
      <c r="T77" s="156">
        <f>TRUNC($K77*$P77,2)</f>
        <v>2942.5</v>
      </c>
      <c r="U77" s="156">
        <f>TRUNC($J77*$R77,2)</f>
        <v>0</v>
      </c>
      <c r="V77" s="156">
        <f>TRUNC($K77*$Q77,2)</f>
        <v>0</v>
      </c>
      <c r="W77" s="156">
        <f>TRUNC(V77-U77,2)</f>
        <v>0</v>
      </c>
      <c r="X77" s="158">
        <f>$S77/ORCAMENTO_VALOR_TOTAL_ND</f>
        <v>8.9815527733987262E-4</v>
      </c>
      <c r="Y77" s="158">
        <f>$T77/ORCAMENTO_VALOR_TOTAL_DE</f>
        <v>8.6513623121619459E-4</v>
      </c>
      <c r="Z77" s="158" cm="1">
        <f t="array" ref="Z77">_xlfn.SWITCH($N77,"BDI 1",$O$6,"BDI 2",$O$7,"BDI 3",$O$8)</f>
        <v>0.20699999999999999</v>
      </c>
      <c r="AA77" s="158" cm="1">
        <f t="array" ref="AA77">_xlfn.SWITCH($N77,"BDI 1",$P$6,"BDI 2",$P$7,"BDI 3",$P$8)</f>
        <v>0.26739999999999997</v>
      </c>
      <c r="AB77" s="158">
        <f ca="1">IFERROR($S77/_xlfn.XLOOKUP($AE77,$B$16:$B$38,$S$16:$S$38),0)</f>
        <v>0</v>
      </c>
      <c r="AC77" s="158">
        <f ca="1">IFERROR($T77/_xlfn.XLOOKUP($AE77,$B$16:$B$38,$T$16:$T$38),0)</f>
        <v>0</v>
      </c>
      <c r="AD77" s="164"/>
      <c r="AE77" s="148">
        <f t="shared" si="77"/>
        <v>0</v>
      </c>
      <c r="AF77" s="149"/>
      <c r="AG77" s="150"/>
      <c r="AH77" s="159">
        <f>S77/S$42</f>
        <v>2.7286964454639438E-2</v>
      </c>
      <c r="AI77" s="166">
        <f>IF(K77=0,0,K77/F77)</f>
        <v>34.375</v>
      </c>
      <c r="AK77" s="105"/>
      <c r="AL77" s="105"/>
      <c r="AM77" s="105"/>
      <c r="AN77" s="105"/>
      <c r="AO77" s="105"/>
      <c r="AP77" s="105"/>
      <c r="AQ77" s="105"/>
      <c r="AR77" s="105"/>
    </row>
    <row r="78" spans="1:44" s="49" customFormat="1" ht="40.15" hidden="1" customHeight="1">
      <c r="A78" s="10" t="e">
        <f t="shared" si="57"/>
        <v>#REF!</v>
      </c>
      <c r="B78" s="153"/>
      <c r="C78" s="154"/>
      <c r="D78" s="154"/>
      <c r="E78" s="155"/>
      <c r="F78" s="154"/>
      <c r="G78" s="154"/>
      <c r="H78" s="154"/>
      <c r="I78" s="154"/>
      <c r="J78" s="168"/>
      <c r="K78" s="168"/>
      <c r="L78" s="168"/>
      <c r="M78" s="168"/>
      <c r="N78" s="168"/>
      <c r="O78" s="157"/>
      <c r="P78" s="157"/>
      <c r="Q78" s="157"/>
      <c r="R78" s="157"/>
      <c r="S78" s="162"/>
      <c r="T78" s="162"/>
      <c r="U78" s="162"/>
      <c r="V78" s="162"/>
      <c r="W78" s="162"/>
      <c r="X78" s="163"/>
      <c r="Y78" s="163"/>
      <c r="Z78" s="163"/>
      <c r="AA78" s="163"/>
      <c r="AB78" s="163"/>
      <c r="AC78" s="163"/>
      <c r="AD78" s="164"/>
      <c r="AE78" s="148">
        <f>IF(S79&gt;0,IFERROR(TRUNC(A79,0),0),0)</f>
        <v>0</v>
      </c>
      <c r="AF78" s="149"/>
      <c r="AG78" s="150"/>
      <c r="AH78" s="159"/>
      <c r="AI78" s="160"/>
      <c r="AK78" s="105"/>
      <c r="AL78" s="105"/>
      <c r="AM78" s="105"/>
      <c r="AN78" s="105"/>
      <c r="AO78" s="105"/>
      <c r="AP78" s="105"/>
      <c r="AQ78" s="105"/>
      <c r="AR78" s="105"/>
    </row>
    <row r="79" spans="1:44" s="105" customFormat="1" ht="40.15" hidden="1" customHeight="1">
      <c r="A79" s="169">
        <f ca="1">$B$18</f>
        <v>0</v>
      </c>
      <c r="B79" s="170"/>
      <c r="C79" s="171"/>
      <c r="D79" s="172"/>
      <c r="E79" s="173" t="str">
        <f>$D$18</f>
        <v>REMOÇÕES, DEMOLIÇÕES E SUPRESSÕES</v>
      </c>
      <c r="F79" s="174">
        <v>0</v>
      </c>
      <c r="G79" s="175"/>
      <c r="H79" s="176" t="s">
        <v>104</v>
      </c>
      <c r="I79" s="176" t="s">
        <v>104</v>
      </c>
      <c r="J79" s="177"/>
      <c r="K79" s="177"/>
      <c r="L79" s="177"/>
      <c r="M79" s="177"/>
      <c r="N79" s="177"/>
      <c r="O79" s="178" t="str">
        <f ca="1">CONCATENATE("SUB-TOTAL ",$A79)</f>
        <v>SUB-TOTAL 0</v>
      </c>
      <c r="P79" s="178" t="e" cm="1">
        <f t="array" ref="P79">TRUNC($I79*(1+_xlfn.SWITCH($N79,"BDI 1",$P$6,"BDI 2",$P$7,"BDI 3",$P$8)),2)</f>
        <v>#VALUE!</v>
      </c>
      <c r="Q79" s="178" t="str">
        <f ca="1">CONCATENATE("SUB-TOTAL ",$A79)</f>
        <v>SUB-TOTAL 0</v>
      </c>
      <c r="R79" s="178"/>
      <c r="S79" s="179">
        <f>SUM(S80:S116)</f>
        <v>0</v>
      </c>
      <c r="T79" s="179">
        <f>SUM(T80:T116)</f>
        <v>0</v>
      </c>
      <c r="U79" s="179">
        <f>SUM(U80:U116)</f>
        <v>0</v>
      </c>
      <c r="V79" s="179">
        <f>SUM(V80:V116)</f>
        <v>0</v>
      </c>
      <c r="W79" s="179">
        <f t="shared" ref="W79:W105" si="78">TRUNC(V79-U79,2)</f>
        <v>0</v>
      </c>
      <c r="X79" s="180">
        <f t="shared" ref="X79" si="79">$S79/ORCAMENTO_VALOR_TOTAL_ND</f>
        <v>0</v>
      </c>
      <c r="Y79" s="180">
        <f t="shared" ref="Y79" si="80">$T79/ORCAMENTO_VALOR_TOTAL_DE</f>
        <v>0</v>
      </c>
      <c r="Z79" s="180"/>
      <c r="AA79" s="180"/>
      <c r="AB79" s="180">
        <f>IFERROR($S79/$S79,0)</f>
        <v>0</v>
      </c>
      <c r="AC79" s="180">
        <f>IFERROR($T79/$T79,0)</f>
        <v>0</v>
      </c>
      <c r="AD79" s="147"/>
      <c r="AE79" s="148">
        <f t="shared" ref="AE79:AE105" si="81">IF(S79&gt;0,IFERROR(TRUNC(A79,0),0),0)</f>
        <v>0</v>
      </c>
      <c r="AF79" s="149"/>
      <c r="AG79" s="150"/>
      <c r="AH79" s="151" t="e">
        <f t="shared" ref="AH79:AH105" si="82">S79/$S$79</f>
        <v>#DIV/0!</v>
      </c>
      <c r="AJ79" s="181" t="s">
        <v>105</v>
      </c>
      <c r="AK79" s="181" t="s">
        <v>106</v>
      </c>
    </row>
    <row r="80" spans="1:44" s="49" customFormat="1" ht="40.15" hidden="1" customHeight="1">
      <c r="A80" s="152">
        <f t="shared" ref="A80:A117" ca="1" si="83">IF(K80&gt;0,A79+0.01,A79)</f>
        <v>0</v>
      </c>
      <c r="B80" s="153" t="s">
        <v>107</v>
      </c>
      <c r="C80" s="154" t="str">
        <f t="shared" ref="C80:C105" si="84">TEXT(B80,"0")</f>
        <v>SR/0010</v>
      </c>
      <c r="D80" s="154" t="s">
        <v>3549</v>
      </c>
      <c r="E80" s="155" t="s">
        <v>3589</v>
      </c>
      <c r="F80" s="154"/>
      <c r="G80" s="154" t="s">
        <v>464</v>
      </c>
      <c r="H80" s="152">
        <v>282.77999999999997</v>
      </c>
      <c r="I80" s="152">
        <v>257</v>
      </c>
      <c r="J80" s="156"/>
      <c r="K80" s="156">
        <f>Demolicao!M5</f>
        <v>0</v>
      </c>
      <c r="L80" s="156">
        <f t="shared" ref="L80:L105" si="85">IF($K80&gt;$J80,$K80-$J80,0)</f>
        <v>0</v>
      </c>
      <c r="M80" s="156">
        <f t="shared" ref="M80:M105" si="86">IF($K80&lt;$J80,$J80-$K80,0)</f>
        <v>0</v>
      </c>
      <c r="N80" s="156" t="s">
        <v>83</v>
      </c>
      <c r="O80" s="157" cm="1">
        <f t="array" ref="O80">TRUNC($H80*(1+_xlfn.SWITCH($N80,"BDI 1",$O$6,"BDI 2",$O$7,"BDI 3",$O$8)),2)</f>
        <v>341.31</v>
      </c>
      <c r="P80" s="157" cm="1">
        <f t="array" ref="P80">TRUNC($I80*(1+_xlfn.SWITCH($N80,"BDI 1",$P$6,"BDI 2",$P$7,"BDI 3",$P$8)),2)</f>
        <v>325.72000000000003</v>
      </c>
      <c r="Q80" s="157">
        <v>0</v>
      </c>
      <c r="R80" s="157">
        <f t="shared" ref="R80:R105" si="87">$Q80-($Q80*LICITACAO_DESCONTO)</f>
        <v>0</v>
      </c>
      <c r="S80" s="156">
        <f t="shared" ref="S80:S105" si="88">TRUNC($K80*$O80,2)</f>
        <v>0</v>
      </c>
      <c r="T80" s="156">
        <f t="shared" ref="T80:T105" si="89">TRUNC($K80*$P80,2)</f>
        <v>0</v>
      </c>
      <c r="U80" s="156">
        <f t="shared" ref="U80:U105" si="90">TRUNC($J80*$R80,2)</f>
        <v>0</v>
      </c>
      <c r="V80" s="156">
        <f t="shared" ref="V80:V105" si="91">TRUNC($K80*$Q80,2)</f>
        <v>0</v>
      </c>
      <c r="W80" s="156">
        <f t="shared" si="78"/>
        <v>0</v>
      </c>
      <c r="X80" s="158">
        <f t="shared" ref="X80" si="92">$S80/ORCAMENTO_VALOR_TOTAL_ND</f>
        <v>0</v>
      </c>
      <c r="Y80" s="158">
        <f t="shared" ref="Y80" si="93">$T80/ORCAMENTO_VALOR_TOTAL_DE</f>
        <v>0</v>
      </c>
      <c r="Z80" s="158" cm="1">
        <f t="array" ref="Z80">_xlfn.SWITCH($N80,"BDI 1",$O$6,"BDI 2",$O$7,"BDI 3",$O$8)</f>
        <v>0.20699999999999999</v>
      </c>
      <c r="AA80" s="158" cm="1">
        <f t="array" ref="AA80">_xlfn.SWITCH($N80,"BDI 1",$P$6,"BDI 2",$P$7,"BDI 3",$P$8)</f>
        <v>0.26739999999999997</v>
      </c>
      <c r="AB80" s="158">
        <f t="shared" ref="AB80:AB105" ca="1" si="94">IFERROR($S80/_xlfn.XLOOKUP($AE80,$B$16:$B$38,$S$16:$S$38),0)</f>
        <v>0</v>
      </c>
      <c r="AC80" s="158">
        <f t="shared" ref="AC80:AC105" ca="1" si="95">IFERROR($T80/_xlfn.XLOOKUP($AE80,$B$16:$B$38,$T$16:$T$38),0)</f>
        <v>0</v>
      </c>
      <c r="AD80" s="164"/>
      <c r="AE80" s="148">
        <f t="shared" si="81"/>
        <v>0</v>
      </c>
      <c r="AF80" s="149"/>
      <c r="AG80" s="150"/>
      <c r="AH80" s="159" t="e">
        <f t="shared" si="82"/>
        <v>#DIV/0!</v>
      </c>
      <c r="AI80" s="160"/>
      <c r="AJ80" s="182">
        <v>0.08</v>
      </c>
      <c r="AK80" s="183">
        <f t="shared" ref="AK80:AK89" si="96">K80/AJ80</f>
        <v>0</v>
      </c>
      <c r="AM80" s="105"/>
      <c r="AN80" s="105"/>
      <c r="AO80" s="105"/>
      <c r="AP80" s="105"/>
      <c r="AQ80" s="105"/>
      <c r="AR80" s="105"/>
    </row>
    <row r="81" spans="1:44" s="49" customFormat="1" ht="40.15" hidden="1" customHeight="1">
      <c r="A81" s="152">
        <f t="shared" ca="1" si="83"/>
        <v>0</v>
      </c>
      <c r="B81" s="153" t="s">
        <v>108</v>
      </c>
      <c r="C81" s="154" t="str">
        <f t="shared" si="84"/>
        <v>SR/0020</v>
      </c>
      <c r="D81" s="154" t="s">
        <v>3549</v>
      </c>
      <c r="E81" s="155" t="s">
        <v>3590</v>
      </c>
      <c r="F81" s="154"/>
      <c r="G81" s="154" t="s">
        <v>464</v>
      </c>
      <c r="H81" s="152">
        <v>253.4</v>
      </c>
      <c r="I81" s="152">
        <v>247.04</v>
      </c>
      <c r="J81" s="156"/>
      <c r="K81" s="156">
        <f>Demolicao!M10</f>
        <v>0</v>
      </c>
      <c r="L81" s="156">
        <f t="shared" si="85"/>
        <v>0</v>
      </c>
      <c r="M81" s="156">
        <f t="shared" si="86"/>
        <v>0</v>
      </c>
      <c r="N81" s="156" t="s">
        <v>83</v>
      </c>
      <c r="O81" s="157" cm="1">
        <f t="array" ref="O81">TRUNC($H81*(1+_xlfn.SWITCH($N81,"BDI 1",$O$6,"BDI 2",$O$7,"BDI 3",$O$8)),2)</f>
        <v>305.85000000000002</v>
      </c>
      <c r="P81" s="157" cm="1">
        <f t="array" ref="P81">TRUNC($I81*(1+_xlfn.SWITCH($N81,"BDI 1",$P$6,"BDI 2",$P$7,"BDI 3",$P$8)),2)</f>
        <v>313.08999999999997</v>
      </c>
      <c r="Q81" s="157">
        <v>0</v>
      </c>
      <c r="R81" s="157">
        <f t="shared" si="87"/>
        <v>0</v>
      </c>
      <c r="S81" s="156">
        <f t="shared" si="88"/>
        <v>0</v>
      </c>
      <c r="T81" s="156">
        <f t="shared" si="89"/>
        <v>0</v>
      </c>
      <c r="U81" s="156">
        <f t="shared" si="90"/>
        <v>0</v>
      </c>
      <c r="V81" s="156">
        <f t="shared" si="91"/>
        <v>0</v>
      </c>
      <c r="W81" s="156">
        <f t="shared" si="78"/>
        <v>0</v>
      </c>
      <c r="X81" s="158">
        <f t="shared" ref="X81" si="97">$S81/ORCAMENTO_VALOR_TOTAL_ND</f>
        <v>0</v>
      </c>
      <c r="Y81" s="158">
        <f t="shared" ref="Y81" si="98">$T81/ORCAMENTO_VALOR_TOTAL_DE</f>
        <v>0</v>
      </c>
      <c r="Z81" s="158" cm="1">
        <f t="array" ref="Z81">_xlfn.SWITCH($N81,"BDI 1",$O$6,"BDI 2",$O$7,"BDI 3",$O$8)</f>
        <v>0.20699999999999999</v>
      </c>
      <c r="AA81" s="158" cm="1">
        <f t="array" ref="AA81">_xlfn.SWITCH($N81,"BDI 1",$P$6,"BDI 2",$P$7,"BDI 3",$P$8)</f>
        <v>0.26739999999999997</v>
      </c>
      <c r="AB81" s="158">
        <f t="shared" ca="1" si="94"/>
        <v>0</v>
      </c>
      <c r="AC81" s="158">
        <f t="shared" ca="1" si="95"/>
        <v>0</v>
      </c>
      <c r="AD81" s="164"/>
      <c r="AE81" s="148">
        <f t="shared" si="81"/>
        <v>0</v>
      </c>
      <c r="AF81" s="149"/>
      <c r="AG81" s="150"/>
      <c r="AH81" s="159" t="e">
        <f t="shared" si="82"/>
        <v>#DIV/0!</v>
      </c>
      <c r="AI81" s="160"/>
      <c r="AJ81" s="182">
        <v>0.6</v>
      </c>
      <c r="AK81" s="183">
        <f t="shared" si="96"/>
        <v>0</v>
      </c>
      <c r="AM81" s="105"/>
      <c r="AN81" s="105"/>
      <c r="AO81" s="105"/>
      <c r="AP81" s="105"/>
      <c r="AQ81" s="105"/>
      <c r="AR81" s="105"/>
    </row>
    <row r="82" spans="1:44" s="49" customFormat="1" ht="40.15" hidden="1" customHeight="1">
      <c r="A82" s="152">
        <f t="shared" ca="1" si="83"/>
        <v>0</v>
      </c>
      <c r="B82" s="153" t="s">
        <v>109</v>
      </c>
      <c r="C82" s="154" t="str">
        <f t="shared" si="84"/>
        <v>SR/0030</v>
      </c>
      <c r="D82" s="154" t="s">
        <v>3549</v>
      </c>
      <c r="E82" s="155" t="s">
        <v>3591</v>
      </c>
      <c r="F82" s="154"/>
      <c r="G82" s="154" t="s">
        <v>464</v>
      </c>
      <c r="H82" s="152">
        <v>452.46</v>
      </c>
      <c r="I82" s="152">
        <v>411.2</v>
      </c>
      <c r="J82" s="156"/>
      <c r="K82" s="156">
        <f>Demolicao!M15</f>
        <v>0</v>
      </c>
      <c r="L82" s="156">
        <f t="shared" si="85"/>
        <v>0</v>
      </c>
      <c r="M82" s="156">
        <f t="shared" si="86"/>
        <v>0</v>
      </c>
      <c r="N82" s="156" t="s">
        <v>83</v>
      </c>
      <c r="O82" s="157" cm="1">
        <f t="array" ref="O82">TRUNC($H82*(1+_xlfn.SWITCH($N82,"BDI 1",$O$6,"BDI 2",$O$7,"BDI 3",$O$8)),2)</f>
        <v>546.11</v>
      </c>
      <c r="P82" s="157" cm="1">
        <f t="array" ref="P82">TRUNC($I82*(1+_xlfn.SWITCH($N82,"BDI 1",$P$6,"BDI 2",$P$7,"BDI 3",$P$8)),2)</f>
        <v>521.15</v>
      </c>
      <c r="Q82" s="157">
        <v>0</v>
      </c>
      <c r="R82" s="157">
        <f t="shared" si="87"/>
        <v>0</v>
      </c>
      <c r="S82" s="156">
        <f t="shared" si="88"/>
        <v>0</v>
      </c>
      <c r="T82" s="156">
        <f t="shared" si="89"/>
        <v>0</v>
      </c>
      <c r="U82" s="156">
        <f t="shared" si="90"/>
        <v>0</v>
      </c>
      <c r="V82" s="156">
        <f t="shared" si="91"/>
        <v>0</v>
      </c>
      <c r="W82" s="156">
        <f t="shared" si="78"/>
        <v>0</v>
      </c>
      <c r="X82" s="158">
        <f t="shared" ref="X82" si="99">$S82/ORCAMENTO_VALOR_TOTAL_ND</f>
        <v>0</v>
      </c>
      <c r="Y82" s="158">
        <f t="shared" ref="Y82" si="100">$T82/ORCAMENTO_VALOR_TOTAL_DE</f>
        <v>0</v>
      </c>
      <c r="Z82" s="158" cm="1">
        <f t="array" ref="Z82">_xlfn.SWITCH($N82,"BDI 1",$O$6,"BDI 2",$O$7,"BDI 3",$O$8)</f>
        <v>0.20699999999999999</v>
      </c>
      <c r="AA82" s="158" cm="1">
        <f t="array" ref="AA82">_xlfn.SWITCH($N82,"BDI 1",$P$6,"BDI 2",$P$7,"BDI 3",$P$8)</f>
        <v>0.26739999999999997</v>
      </c>
      <c r="AB82" s="158">
        <f t="shared" ca="1" si="94"/>
        <v>0</v>
      </c>
      <c r="AC82" s="158">
        <f t="shared" ca="1" si="95"/>
        <v>0</v>
      </c>
      <c r="AD82" s="164"/>
      <c r="AE82" s="148">
        <f t="shared" si="81"/>
        <v>0</v>
      </c>
      <c r="AF82" s="149"/>
      <c r="AG82" s="150"/>
      <c r="AH82" s="159" t="e">
        <f t="shared" si="82"/>
        <v>#DIV/0!</v>
      </c>
      <c r="AI82" s="160"/>
      <c r="AJ82" s="182">
        <v>0.05</v>
      </c>
      <c r="AK82" s="183">
        <f t="shared" si="96"/>
        <v>0</v>
      </c>
      <c r="AM82" s="105"/>
      <c r="AN82" s="105"/>
      <c r="AO82" s="105"/>
      <c r="AP82" s="105"/>
      <c r="AQ82" s="105"/>
      <c r="AR82" s="105"/>
    </row>
    <row r="83" spans="1:44" s="49" customFormat="1" ht="40.15" hidden="1" customHeight="1">
      <c r="A83" s="152">
        <f t="shared" ca="1" si="83"/>
        <v>0</v>
      </c>
      <c r="B83" s="153" t="s">
        <v>110</v>
      </c>
      <c r="C83" s="154" t="str">
        <f t="shared" si="84"/>
        <v>SR/0040</v>
      </c>
      <c r="D83" s="154" t="s">
        <v>3549</v>
      </c>
      <c r="E83" s="155" t="s">
        <v>3592</v>
      </c>
      <c r="F83" s="154"/>
      <c r="G83" s="154" t="s">
        <v>464</v>
      </c>
      <c r="H83" s="152">
        <v>63.08</v>
      </c>
      <c r="I83" s="152">
        <v>62.72</v>
      </c>
      <c r="J83" s="156"/>
      <c r="K83" s="156">
        <f>Demolicao!M20</f>
        <v>0</v>
      </c>
      <c r="L83" s="156">
        <f t="shared" si="85"/>
        <v>0</v>
      </c>
      <c r="M83" s="156">
        <f t="shared" si="86"/>
        <v>0</v>
      </c>
      <c r="N83" s="156" t="s">
        <v>83</v>
      </c>
      <c r="O83" s="157" cm="1">
        <f t="array" ref="O83">TRUNC($H83*(1+_xlfn.SWITCH($N83,"BDI 1",$O$6,"BDI 2",$O$7,"BDI 3",$O$8)),2)</f>
        <v>76.13</v>
      </c>
      <c r="P83" s="157" cm="1">
        <f t="array" ref="P83">TRUNC($I83*(1+_xlfn.SWITCH($N83,"BDI 1",$P$6,"BDI 2",$P$7,"BDI 3",$P$8)),2)</f>
        <v>79.489999999999995</v>
      </c>
      <c r="Q83" s="157">
        <v>0</v>
      </c>
      <c r="R83" s="157">
        <f t="shared" si="87"/>
        <v>0</v>
      </c>
      <c r="S83" s="156">
        <f t="shared" si="88"/>
        <v>0</v>
      </c>
      <c r="T83" s="156">
        <f t="shared" si="89"/>
        <v>0</v>
      </c>
      <c r="U83" s="156">
        <f t="shared" si="90"/>
        <v>0</v>
      </c>
      <c r="V83" s="156">
        <f t="shared" si="91"/>
        <v>0</v>
      </c>
      <c r="W83" s="156">
        <f t="shared" si="78"/>
        <v>0</v>
      </c>
      <c r="X83" s="158">
        <f t="shared" ref="X83" si="101">$S83/ORCAMENTO_VALOR_TOTAL_ND</f>
        <v>0</v>
      </c>
      <c r="Y83" s="158">
        <f t="shared" ref="Y83" si="102">$T83/ORCAMENTO_VALOR_TOTAL_DE</f>
        <v>0</v>
      </c>
      <c r="Z83" s="158" cm="1">
        <f t="array" ref="Z83">_xlfn.SWITCH($N83,"BDI 1",$O$6,"BDI 2",$O$7,"BDI 3",$O$8)</f>
        <v>0.20699999999999999</v>
      </c>
      <c r="AA83" s="158" cm="1">
        <f t="array" ref="AA83">_xlfn.SWITCH($N83,"BDI 1",$P$6,"BDI 2",$P$7,"BDI 3",$P$8)</f>
        <v>0.26739999999999997</v>
      </c>
      <c r="AB83" s="158">
        <f t="shared" ca="1" si="94"/>
        <v>0</v>
      </c>
      <c r="AC83" s="158">
        <f t="shared" ca="1" si="95"/>
        <v>0</v>
      </c>
      <c r="AD83" s="164"/>
      <c r="AE83" s="148">
        <f t="shared" si="81"/>
        <v>0</v>
      </c>
      <c r="AF83" s="149"/>
      <c r="AG83" s="150"/>
      <c r="AH83" s="159" t="e">
        <f t="shared" si="82"/>
        <v>#DIV/0!</v>
      </c>
      <c r="AI83" s="160"/>
      <c r="AJ83" s="182">
        <v>4.7699999999999996</v>
      </c>
      <c r="AK83" s="183">
        <f t="shared" si="96"/>
        <v>0</v>
      </c>
      <c r="AM83" s="105"/>
      <c r="AN83" s="105"/>
      <c r="AO83" s="105"/>
      <c r="AP83" s="105"/>
      <c r="AQ83" s="105"/>
      <c r="AR83" s="105"/>
    </row>
    <row r="84" spans="1:44" s="49" customFormat="1" ht="40.15" hidden="1" customHeight="1">
      <c r="A84" s="152">
        <f t="shared" ca="1" si="83"/>
        <v>0</v>
      </c>
      <c r="B84" s="153">
        <v>97624</v>
      </c>
      <c r="C84" s="154" t="str">
        <f t="shared" si="84"/>
        <v>97624</v>
      </c>
      <c r="D84" s="154" t="s">
        <v>1416</v>
      </c>
      <c r="E84" s="155" t="s">
        <v>3593</v>
      </c>
      <c r="F84" s="154"/>
      <c r="G84" s="154" t="s">
        <v>464</v>
      </c>
      <c r="H84" s="152">
        <v>99.68</v>
      </c>
      <c r="I84" s="152">
        <v>90.56</v>
      </c>
      <c r="J84" s="156"/>
      <c r="K84" s="156">
        <f>Demolicao!M25</f>
        <v>0</v>
      </c>
      <c r="L84" s="156">
        <f t="shared" si="85"/>
        <v>0</v>
      </c>
      <c r="M84" s="156">
        <f t="shared" si="86"/>
        <v>0</v>
      </c>
      <c r="N84" s="156" t="s">
        <v>83</v>
      </c>
      <c r="O84" s="157" cm="1">
        <f t="array" ref="O84">TRUNC($H84*(1+_xlfn.SWITCH($N84,"BDI 1",$O$6,"BDI 2",$O$7,"BDI 3",$O$8)),2)</f>
        <v>120.31</v>
      </c>
      <c r="P84" s="157" cm="1">
        <f t="array" ref="P84">TRUNC($I84*(1+_xlfn.SWITCH($N84,"BDI 1",$P$6,"BDI 2",$P$7,"BDI 3",$P$8)),2)</f>
        <v>114.77</v>
      </c>
      <c r="Q84" s="157">
        <v>0</v>
      </c>
      <c r="R84" s="157">
        <f t="shared" si="87"/>
        <v>0</v>
      </c>
      <c r="S84" s="156">
        <f t="shared" si="88"/>
        <v>0</v>
      </c>
      <c r="T84" s="156">
        <f t="shared" si="89"/>
        <v>0</v>
      </c>
      <c r="U84" s="156">
        <f t="shared" si="90"/>
        <v>0</v>
      </c>
      <c r="V84" s="156">
        <f t="shared" si="91"/>
        <v>0</v>
      </c>
      <c r="W84" s="156">
        <f t="shared" si="78"/>
        <v>0</v>
      </c>
      <c r="X84" s="158">
        <f t="shared" ref="X84" si="103">$S84/ORCAMENTO_VALOR_TOTAL_ND</f>
        <v>0</v>
      </c>
      <c r="Y84" s="158">
        <f t="shared" ref="Y84" si="104">$T84/ORCAMENTO_VALOR_TOTAL_DE</f>
        <v>0</v>
      </c>
      <c r="Z84" s="158" cm="1">
        <f t="array" ref="Z84">_xlfn.SWITCH($N84,"BDI 1",$O$6,"BDI 2",$O$7,"BDI 3",$O$8)</f>
        <v>0.20699999999999999</v>
      </c>
      <c r="AA84" s="158" cm="1">
        <f t="array" ref="AA84">_xlfn.SWITCH($N84,"BDI 1",$P$6,"BDI 2",$P$7,"BDI 3",$P$8)</f>
        <v>0.26739999999999997</v>
      </c>
      <c r="AB84" s="158">
        <f t="shared" ca="1" si="94"/>
        <v>0</v>
      </c>
      <c r="AC84" s="158">
        <f t="shared" ca="1" si="95"/>
        <v>0</v>
      </c>
      <c r="AD84" s="164"/>
      <c r="AE84" s="148">
        <f t="shared" si="81"/>
        <v>0</v>
      </c>
      <c r="AF84" s="149"/>
      <c r="AG84" s="150"/>
      <c r="AH84" s="159" t="e">
        <f t="shared" si="82"/>
        <v>#DIV/0!</v>
      </c>
      <c r="AI84" s="160"/>
      <c r="AJ84" s="182">
        <v>0</v>
      </c>
      <c r="AK84" s="183" t="e">
        <f t="shared" si="96"/>
        <v>#DIV/0!</v>
      </c>
      <c r="AM84" s="105"/>
      <c r="AN84" s="105"/>
      <c r="AO84" s="105"/>
      <c r="AP84" s="105"/>
      <c r="AQ84" s="105"/>
      <c r="AR84" s="105"/>
    </row>
    <row r="85" spans="1:44" s="49" customFormat="1" ht="40.15" hidden="1" customHeight="1">
      <c r="A85" s="152">
        <f t="shared" ca="1" si="83"/>
        <v>0</v>
      </c>
      <c r="B85" s="153" t="s">
        <v>111</v>
      </c>
      <c r="C85" s="154" t="str">
        <f t="shared" si="84"/>
        <v>SR/0070</v>
      </c>
      <c r="D85" s="154" t="s">
        <v>3549</v>
      </c>
      <c r="E85" s="155" t="s">
        <v>3594</v>
      </c>
      <c r="F85" s="154"/>
      <c r="G85" s="154" t="s">
        <v>464</v>
      </c>
      <c r="H85" s="152">
        <v>90.49</v>
      </c>
      <c r="I85" s="152">
        <v>82.24</v>
      </c>
      <c r="J85" s="156"/>
      <c r="K85" s="156">
        <f>Demolicao!M30</f>
        <v>0</v>
      </c>
      <c r="L85" s="156">
        <f t="shared" si="85"/>
        <v>0</v>
      </c>
      <c r="M85" s="156">
        <f t="shared" si="86"/>
        <v>0</v>
      </c>
      <c r="N85" s="156" t="s">
        <v>83</v>
      </c>
      <c r="O85" s="157" cm="1">
        <f t="array" ref="O85">TRUNC($H85*(1+_xlfn.SWITCH($N85,"BDI 1",$O$6,"BDI 2",$O$7,"BDI 3",$O$8)),2)</f>
        <v>109.22</v>
      </c>
      <c r="P85" s="157" cm="1">
        <f t="array" ref="P85">TRUNC($I85*(1+_xlfn.SWITCH($N85,"BDI 1",$P$6,"BDI 2",$P$7,"BDI 3",$P$8)),2)</f>
        <v>104.23</v>
      </c>
      <c r="Q85" s="157">
        <v>0</v>
      </c>
      <c r="R85" s="157">
        <f t="shared" si="87"/>
        <v>0</v>
      </c>
      <c r="S85" s="156">
        <f t="shared" si="88"/>
        <v>0</v>
      </c>
      <c r="T85" s="156">
        <f t="shared" si="89"/>
        <v>0</v>
      </c>
      <c r="U85" s="156">
        <f t="shared" si="90"/>
        <v>0</v>
      </c>
      <c r="V85" s="156">
        <f t="shared" si="91"/>
        <v>0</v>
      </c>
      <c r="W85" s="156">
        <f t="shared" si="78"/>
        <v>0</v>
      </c>
      <c r="X85" s="158">
        <f t="shared" ref="X85" si="105">$S85/ORCAMENTO_VALOR_TOTAL_ND</f>
        <v>0</v>
      </c>
      <c r="Y85" s="158">
        <f t="shared" ref="Y85" si="106">$T85/ORCAMENTO_VALOR_TOTAL_DE</f>
        <v>0</v>
      </c>
      <c r="Z85" s="158" cm="1">
        <f t="array" ref="Z85">_xlfn.SWITCH($N85,"BDI 1",$O$6,"BDI 2",$O$7,"BDI 3",$O$8)</f>
        <v>0.20699999999999999</v>
      </c>
      <c r="AA85" s="158" cm="1">
        <f t="array" ref="AA85">_xlfn.SWITCH($N85,"BDI 1",$P$6,"BDI 2",$P$7,"BDI 3",$P$8)</f>
        <v>0.26739999999999997</v>
      </c>
      <c r="AB85" s="158">
        <f t="shared" ca="1" si="94"/>
        <v>0</v>
      </c>
      <c r="AC85" s="158">
        <f t="shared" ca="1" si="95"/>
        <v>0</v>
      </c>
      <c r="AD85" s="164"/>
      <c r="AE85" s="148">
        <f t="shared" si="81"/>
        <v>0</v>
      </c>
      <c r="AF85" s="149"/>
      <c r="AG85" s="150"/>
      <c r="AH85" s="159" t="e">
        <f t="shared" si="82"/>
        <v>#DIV/0!</v>
      </c>
      <c r="AI85" s="160"/>
      <c r="AJ85" s="182">
        <v>2.5</v>
      </c>
      <c r="AK85" s="183">
        <f t="shared" si="96"/>
        <v>0</v>
      </c>
      <c r="AM85" s="105"/>
      <c r="AN85" s="105"/>
      <c r="AO85" s="105"/>
      <c r="AP85" s="105"/>
      <c r="AQ85" s="105"/>
      <c r="AR85" s="105"/>
    </row>
    <row r="86" spans="1:44" s="49" customFormat="1" ht="40.15" hidden="1" customHeight="1">
      <c r="A86" s="152">
        <f t="shared" ca="1" si="83"/>
        <v>0</v>
      </c>
      <c r="B86" s="153" t="s">
        <v>112</v>
      </c>
      <c r="C86" s="154" t="str">
        <f t="shared" si="84"/>
        <v>SR/0050</v>
      </c>
      <c r="D86" s="154" t="s">
        <v>3549</v>
      </c>
      <c r="E86" s="155" t="s">
        <v>3595</v>
      </c>
      <c r="F86" s="154"/>
      <c r="G86" s="154" t="s">
        <v>1418</v>
      </c>
      <c r="H86" s="152">
        <v>11.87</v>
      </c>
      <c r="I86" s="152">
        <v>10.77</v>
      </c>
      <c r="J86" s="156"/>
      <c r="K86" s="156">
        <f>Demolicao!M34</f>
        <v>0</v>
      </c>
      <c r="L86" s="156">
        <f t="shared" si="85"/>
        <v>0</v>
      </c>
      <c r="M86" s="156">
        <f t="shared" si="86"/>
        <v>0</v>
      </c>
      <c r="N86" s="156" t="s">
        <v>83</v>
      </c>
      <c r="O86" s="157" cm="1">
        <f t="array" ref="O86">TRUNC($H86*(1+_xlfn.SWITCH($N86,"BDI 1",$O$6,"BDI 2",$O$7,"BDI 3",$O$8)),2)</f>
        <v>14.32</v>
      </c>
      <c r="P86" s="157" cm="1">
        <f t="array" ref="P86">TRUNC($I86*(1+_xlfn.SWITCH($N86,"BDI 1",$P$6,"BDI 2",$P$7,"BDI 3",$P$8)),2)</f>
        <v>13.64</v>
      </c>
      <c r="Q86" s="157">
        <v>0</v>
      </c>
      <c r="R86" s="157">
        <f t="shared" si="87"/>
        <v>0</v>
      </c>
      <c r="S86" s="156">
        <f t="shared" si="88"/>
        <v>0</v>
      </c>
      <c r="T86" s="156">
        <f t="shared" si="89"/>
        <v>0</v>
      </c>
      <c r="U86" s="156">
        <f t="shared" si="90"/>
        <v>0</v>
      </c>
      <c r="V86" s="156">
        <f t="shared" si="91"/>
        <v>0</v>
      </c>
      <c r="W86" s="156">
        <f t="shared" si="78"/>
        <v>0</v>
      </c>
      <c r="X86" s="158">
        <f t="shared" ref="X86" si="107">$S86/ORCAMENTO_VALOR_TOTAL_ND</f>
        <v>0</v>
      </c>
      <c r="Y86" s="158">
        <f t="shared" ref="Y86" si="108">$T86/ORCAMENTO_VALOR_TOTAL_DE</f>
        <v>0</v>
      </c>
      <c r="Z86" s="158" cm="1">
        <f t="array" ref="Z86">_xlfn.SWITCH($N86,"BDI 1",$O$6,"BDI 2",$O$7,"BDI 3",$O$8)</f>
        <v>0.20699999999999999</v>
      </c>
      <c r="AA86" s="158" cm="1">
        <f t="array" ref="AA86">_xlfn.SWITCH($N86,"BDI 1",$P$6,"BDI 2",$P$7,"BDI 3",$P$8)</f>
        <v>0.26739999999999997</v>
      </c>
      <c r="AB86" s="158">
        <f t="shared" ca="1" si="94"/>
        <v>0</v>
      </c>
      <c r="AC86" s="158">
        <f t="shared" ca="1" si="95"/>
        <v>0</v>
      </c>
      <c r="AD86" s="164"/>
      <c r="AE86" s="148">
        <f t="shared" si="81"/>
        <v>0</v>
      </c>
      <c r="AF86" s="149"/>
      <c r="AG86" s="150"/>
      <c r="AH86" s="159" t="e">
        <f t="shared" si="82"/>
        <v>#DIV/0!</v>
      </c>
      <c r="AI86" s="160"/>
      <c r="AJ86" s="184">
        <v>7.15</v>
      </c>
      <c r="AK86" s="183">
        <f t="shared" si="96"/>
        <v>0</v>
      </c>
      <c r="AM86" s="105"/>
      <c r="AN86" s="105"/>
      <c r="AO86" s="105"/>
      <c r="AP86" s="105"/>
      <c r="AQ86" s="105"/>
      <c r="AR86" s="105"/>
    </row>
    <row r="87" spans="1:44" s="49" customFormat="1" ht="40.15" hidden="1" customHeight="1">
      <c r="A87" s="152">
        <f t="shared" ca="1" si="83"/>
        <v>0</v>
      </c>
      <c r="B87" s="153">
        <v>97636</v>
      </c>
      <c r="C87" s="154" t="str">
        <f t="shared" si="84"/>
        <v>97636</v>
      </c>
      <c r="D87" s="154" t="s">
        <v>1416</v>
      </c>
      <c r="E87" s="155" t="s">
        <v>3596</v>
      </c>
      <c r="F87" s="154"/>
      <c r="G87" s="154" t="s">
        <v>1418</v>
      </c>
      <c r="H87" s="152">
        <v>20.57</v>
      </c>
      <c r="I87" s="152">
        <v>19.809999999999999</v>
      </c>
      <c r="J87" s="156"/>
      <c r="K87" s="156">
        <f>Demolicao!M40</f>
        <v>0</v>
      </c>
      <c r="L87" s="156">
        <f t="shared" si="85"/>
        <v>0</v>
      </c>
      <c r="M87" s="156">
        <f t="shared" si="86"/>
        <v>0</v>
      </c>
      <c r="N87" s="156" t="s">
        <v>83</v>
      </c>
      <c r="O87" s="157" cm="1">
        <f t="array" ref="O87">TRUNC($H87*(1+_xlfn.SWITCH($N87,"BDI 1",$O$6,"BDI 2",$O$7,"BDI 3",$O$8)),2)</f>
        <v>24.82</v>
      </c>
      <c r="P87" s="157" cm="1">
        <f t="array" ref="P87">TRUNC($I87*(1+_xlfn.SWITCH($N87,"BDI 1",$P$6,"BDI 2",$P$7,"BDI 3",$P$8)),2)</f>
        <v>25.1</v>
      </c>
      <c r="Q87" s="157">
        <v>0</v>
      </c>
      <c r="R87" s="157">
        <f t="shared" si="87"/>
        <v>0</v>
      </c>
      <c r="S87" s="156">
        <f t="shared" si="88"/>
        <v>0</v>
      </c>
      <c r="T87" s="156">
        <f t="shared" si="89"/>
        <v>0</v>
      </c>
      <c r="U87" s="156">
        <f t="shared" si="90"/>
        <v>0</v>
      </c>
      <c r="V87" s="156">
        <f t="shared" si="91"/>
        <v>0</v>
      </c>
      <c r="W87" s="156">
        <f t="shared" si="78"/>
        <v>0</v>
      </c>
      <c r="X87" s="158">
        <f t="shared" ref="X87" si="109">$S87/ORCAMENTO_VALOR_TOTAL_ND</f>
        <v>0</v>
      </c>
      <c r="Y87" s="158">
        <f t="shared" ref="Y87" si="110">$T87/ORCAMENTO_VALOR_TOTAL_DE</f>
        <v>0</v>
      </c>
      <c r="Z87" s="158" cm="1">
        <f t="array" ref="Z87">_xlfn.SWITCH($N87,"BDI 1",$O$6,"BDI 2",$O$7,"BDI 3",$O$8)</f>
        <v>0.20699999999999999</v>
      </c>
      <c r="AA87" s="158" cm="1">
        <f t="array" ref="AA87">_xlfn.SWITCH($N87,"BDI 1",$P$6,"BDI 2",$P$7,"BDI 3",$P$8)</f>
        <v>0.26739999999999997</v>
      </c>
      <c r="AB87" s="158">
        <f t="shared" ca="1" si="94"/>
        <v>0</v>
      </c>
      <c r="AC87" s="158">
        <f t="shared" ca="1" si="95"/>
        <v>0</v>
      </c>
      <c r="AD87" s="164"/>
      <c r="AE87" s="148">
        <f t="shared" si="81"/>
        <v>0</v>
      </c>
      <c r="AF87" s="149"/>
      <c r="AG87" s="150"/>
      <c r="AH87" s="159" t="e">
        <f t="shared" si="82"/>
        <v>#DIV/0!</v>
      </c>
      <c r="AI87" s="160"/>
      <c r="AJ87" s="182">
        <v>0</v>
      </c>
      <c r="AK87" s="183" t="e">
        <f t="shared" si="96"/>
        <v>#DIV/0!</v>
      </c>
      <c r="AM87" s="105"/>
      <c r="AN87" s="105"/>
      <c r="AO87" s="105"/>
      <c r="AP87" s="105"/>
      <c r="AQ87" s="105"/>
      <c r="AR87" s="105"/>
    </row>
    <row r="88" spans="1:44" s="49" customFormat="1" ht="40.15" hidden="1" customHeight="1">
      <c r="A88" s="152">
        <f t="shared" ca="1" si="83"/>
        <v>0</v>
      </c>
      <c r="B88" s="153" t="s">
        <v>113</v>
      </c>
      <c r="C88" s="154" t="str">
        <f t="shared" si="84"/>
        <v>SR/0060</v>
      </c>
      <c r="D88" s="154" t="s">
        <v>3549</v>
      </c>
      <c r="E88" s="155" t="s">
        <v>3597</v>
      </c>
      <c r="F88" s="154"/>
      <c r="G88" s="154" t="s">
        <v>1418</v>
      </c>
      <c r="H88" s="152">
        <v>13.2</v>
      </c>
      <c r="I88" s="152">
        <v>12.53</v>
      </c>
      <c r="J88" s="156"/>
      <c r="K88" s="156">
        <f>Demolicao!M46</f>
        <v>0</v>
      </c>
      <c r="L88" s="156">
        <f t="shared" si="85"/>
        <v>0</v>
      </c>
      <c r="M88" s="156">
        <f t="shared" si="86"/>
        <v>0</v>
      </c>
      <c r="N88" s="156" t="s">
        <v>83</v>
      </c>
      <c r="O88" s="157" cm="1">
        <f t="array" ref="O88">TRUNC($H88*(1+_xlfn.SWITCH($N88,"BDI 1",$O$6,"BDI 2",$O$7,"BDI 3",$O$8)),2)</f>
        <v>15.93</v>
      </c>
      <c r="P88" s="157" cm="1">
        <f t="array" ref="P88">TRUNC($I88*(1+_xlfn.SWITCH($N88,"BDI 1",$P$6,"BDI 2",$P$7,"BDI 3",$P$8)),2)</f>
        <v>15.88</v>
      </c>
      <c r="Q88" s="157">
        <v>0</v>
      </c>
      <c r="R88" s="157">
        <f t="shared" si="87"/>
        <v>0</v>
      </c>
      <c r="S88" s="156">
        <f t="shared" si="88"/>
        <v>0</v>
      </c>
      <c r="T88" s="156">
        <f t="shared" si="89"/>
        <v>0</v>
      </c>
      <c r="U88" s="156">
        <f t="shared" si="90"/>
        <v>0</v>
      </c>
      <c r="V88" s="156">
        <f t="shared" si="91"/>
        <v>0</v>
      </c>
      <c r="W88" s="156">
        <f t="shared" si="78"/>
        <v>0</v>
      </c>
      <c r="X88" s="158">
        <f t="shared" ref="X88" si="111">$S88/ORCAMENTO_VALOR_TOTAL_ND</f>
        <v>0</v>
      </c>
      <c r="Y88" s="158">
        <f t="shared" ref="Y88" si="112">$T88/ORCAMENTO_VALOR_TOTAL_DE</f>
        <v>0</v>
      </c>
      <c r="Z88" s="158" cm="1">
        <f t="array" ref="Z88">_xlfn.SWITCH($N88,"BDI 1",$O$6,"BDI 2",$O$7,"BDI 3",$O$8)</f>
        <v>0.20699999999999999</v>
      </c>
      <c r="AA88" s="158" cm="1">
        <f t="array" ref="AA88">_xlfn.SWITCH($N88,"BDI 1",$P$6,"BDI 2",$P$7,"BDI 3",$P$8)</f>
        <v>0.26739999999999997</v>
      </c>
      <c r="AB88" s="158">
        <f t="shared" ca="1" si="94"/>
        <v>0</v>
      </c>
      <c r="AC88" s="158">
        <f t="shared" ca="1" si="95"/>
        <v>0</v>
      </c>
      <c r="AD88" s="164"/>
      <c r="AE88" s="148">
        <f t="shared" si="81"/>
        <v>0</v>
      </c>
      <c r="AF88" s="149"/>
      <c r="AG88" s="150"/>
      <c r="AH88" s="159" t="e">
        <f t="shared" si="82"/>
        <v>#DIV/0!</v>
      </c>
      <c r="AI88" s="160"/>
      <c r="AJ88" s="182">
        <v>21.78</v>
      </c>
      <c r="AK88" s="183">
        <f t="shared" si="96"/>
        <v>0</v>
      </c>
      <c r="AM88" s="105"/>
      <c r="AN88" s="105"/>
      <c r="AO88" s="105"/>
      <c r="AP88" s="105"/>
      <c r="AQ88" s="105"/>
      <c r="AR88" s="105"/>
    </row>
    <row r="89" spans="1:44" s="49" customFormat="1" ht="40.15" hidden="1" customHeight="1">
      <c r="A89" s="152">
        <f t="shared" ca="1" si="83"/>
        <v>0</v>
      </c>
      <c r="B89" s="153" t="s">
        <v>114</v>
      </c>
      <c r="C89" s="154" t="str">
        <f t="shared" si="84"/>
        <v>SR/0100</v>
      </c>
      <c r="D89" s="154" t="s">
        <v>3549</v>
      </c>
      <c r="E89" s="155" t="s">
        <v>3598</v>
      </c>
      <c r="F89" s="154"/>
      <c r="G89" s="154" t="s">
        <v>58</v>
      </c>
      <c r="H89" s="152">
        <v>4.37</v>
      </c>
      <c r="I89" s="152">
        <v>4.2699999999999996</v>
      </c>
      <c r="J89" s="156"/>
      <c r="K89" s="156">
        <f>Demolicao!M54</f>
        <v>0</v>
      </c>
      <c r="L89" s="156">
        <f t="shared" si="85"/>
        <v>0</v>
      </c>
      <c r="M89" s="156">
        <f t="shared" si="86"/>
        <v>0</v>
      </c>
      <c r="N89" s="156" t="s">
        <v>83</v>
      </c>
      <c r="O89" s="157" cm="1">
        <f t="array" ref="O89">TRUNC($H89*(1+_xlfn.SWITCH($N89,"BDI 1",$O$6,"BDI 2",$O$7,"BDI 3",$O$8)),2)</f>
        <v>5.27</v>
      </c>
      <c r="P89" s="157" cm="1">
        <f t="array" ref="P89">TRUNC($I89*(1+_xlfn.SWITCH($N89,"BDI 1",$P$6,"BDI 2",$P$7,"BDI 3",$P$8)),2)</f>
        <v>5.41</v>
      </c>
      <c r="Q89" s="157">
        <v>0</v>
      </c>
      <c r="R89" s="157">
        <f t="shared" si="87"/>
        <v>0</v>
      </c>
      <c r="S89" s="156">
        <f t="shared" si="88"/>
        <v>0</v>
      </c>
      <c r="T89" s="156">
        <f t="shared" si="89"/>
        <v>0</v>
      </c>
      <c r="U89" s="156">
        <f t="shared" si="90"/>
        <v>0</v>
      </c>
      <c r="V89" s="156">
        <f t="shared" si="91"/>
        <v>0</v>
      </c>
      <c r="W89" s="156">
        <f t="shared" si="78"/>
        <v>0</v>
      </c>
      <c r="X89" s="158">
        <f t="shared" ref="X89" si="113">$S89/ORCAMENTO_VALOR_TOTAL_ND</f>
        <v>0</v>
      </c>
      <c r="Y89" s="158">
        <f t="shared" ref="Y89" si="114">$T89/ORCAMENTO_VALOR_TOTAL_DE</f>
        <v>0</v>
      </c>
      <c r="Z89" s="158" cm="1">
        <f t="array" ref="Z89">_xlfn.SWITCH($N89,"BDI 1",$O$6,"BDI 2",$O$7,"BDI 3",$O$8)</f>
        <v>0.20699999999999999</v>
      </c>
      <c r="AA89" s="158" cm="1">
        <f t="array" ref="AA89">_xlfn.SWITCH($N89,"BDI 1",$P$6,"BDI 2",$P$7,"BDI 3",$P$8)</f>
        <v>0.26739999999999997</v>
      </c>
      <c r="AB89" s="158">
        <f t="shared" ca="1" si="94"/>
        <v>0</v>
      </c>
      <c r="AC89" s="158">
        <f t="shared" ca="1" si="95"/>
        <v>0</v>
      </c>
      <c r="AD89" s="164"/>
      <c r="AE89" s="148">
        <f t="shared" si="81"/>
        <v>0</v>
      </c>
      <c r="AF89" s="149"/>
      <c r="AG89" s="150"/>
      <c r="AH89" s="159" t="e">
        <f t="shared" si="82"/>
        <v>#DIV/0!</v>
      </c>
      <c r="AI89" s="160"/>
      <c r="AJ89" s="182">
        <v>12</v>
      </c>
      <c r="AK89" s="183">
        <f t="shared" si="96"/>
        <v>0</v>
      </c>
      <c r="AM89" s="105"/>
      <c r="AN89" s="105"/>
      <c r="AO89" s="105"/>
      <c r="AP89" s="105"/>
      <c r="AQ89" s="105"/>
      <c r="AR89" s="105"/>
    </row>
    <row r="90" spans="1:44" s="49" customFormat="1" ht="40.15" hidden="1" customHeight="1">
      <c r="A90" s="152">
        <f t="shared" ca="1" si="83"/>
        <v>0</v>
      </c>
      <c r="B90" s="153" t="s">
        <v>115</v>
      </c>
      <c r="C90" s="154" t="str">
        <f t="shared" si="84"/>
        <v>SR/0080</v>
      </c>
      <c r="D90" s="154" t="s">
        <v>3549</v>
      </c>
      <c r="E90" s="155" t="s">
        <v>3599</v>
      </c>
      <c r="F90" s="154"/>
      <c r="G90" s="154" t="s">
        <v>1412</v>
      </c>
      <c r="H90" s="152">
        <v>474.77</v>
      </c>
      <c r="I90" s="152">
        <v>445.81</v>
      </c>
      <c r="J90" s="156"/>
      <c r="K90" s="156">
        <f>Demolicao!M55</f>
        <v>0</v>
      </c>
      <c r="L90" s="156">
        <f t="shared" si="85"/>
        <v>0</v>
      </c>
      <c r="M90" s="156">
        <f t="shared" si="86"/>
        <v>0</v>
      </c>
      <c r="N90" s="156" t="s">
        <v>83</v>
      </c>
      <c r="O90" s="157" cm="1">
        <f t="array" ref="O90">TRUNC($H90*(1+_xlfn.SWITCH($N90,"BDI 1",$O$6,"BDI 2",$O$7,"BDI 3",$O$8)),2)</f>
        <v>573.04</v>
      </c>
      <c r="P90" s="157" cm="1">
        <f t="array" ref="P90">TRUNC($I90*(1+_xlfn.SWITCH($N90,"BDI 1",$P$6,"BDI 2",$P$7,"BDI 3",$P$8)),2)</f>
        <v>565.01</v>
      </c>
      <c r="Q90" s="157">
        <v>0</v>
      </c>
      <c r="R90" s="157">
        <f t="shared" si="87"/>
        <v>0</v>
      </c>
      <c r="S90" s="156">
        <f t="shared" si="88"/>
        <v>0</v>
      </c>
      <c r="T90" s="156">
        <f t="shared" si="89"/>
        <v>0</v>
      </c>
      <c r="U90" s="156">
        <f t="shared" si="90"/>
        <v>0</v>
      </c>
      <c r="V90" s="156">
        <f t="shared" si="91"/>
        <v>0</v>
      </c>
      <c r="W90" s="156">
        <f t="shared" si="78"/>
        <v>0</v>
      </c>
      <c r="X90" s="158">
        <f t="shared" ref="X90" si="115">$S90/ORCAMENTO_VALOR_TOTAL_ND</f>
        <v>0</v>
      </c>
      <c r="Y90" s="158">
        <f t="shared" ref="Y90" si="116">$T90/ORCAMENTO_VALOR_TOTAL_DE</f>
        <v>0</v>
      </c>
      <c r="Z90" s="158" cm="1">
        <f t="array" ref="Z90">_xlfn.SWITCH($N90,"BDI 1",$O$6,"BDI 2",$O$7,"BDI 3",$O$8)</f>
        <v>0.20699999999999999</v>
      </c>
      <c r="AA90" s="158" cm="1">
        <f t="array" ref="AA90">_xlfn.SWITCH($N90,"BDI 1",$P$6,"BDI 2",$P$7,"BDI 3",$P$8)</f>
        <v>0.26739999999999997</v>
      </c>
      <c r="AB90" s="158">
        <f t="shared" ca="1" si="94"/>
        <v>0</v>
      </c>
      <c r="AC90" s="158">
        <f t="shared" ca="1" si="95"/>
        <v>0</v>
      </c>
      <c r="AD90" s="164"/>
      <c r="AE90" s="148">
        <f t="shared" si="81"/>
        <v>0</v>
      </c>
      <c r="AF90" s="149"/>
      <c r="AG90" s="150"/>
      <c r="AH90" s="159" t="e">
        <f t="shared" si="82"/>
        <v>#DIV/0!</v>
      </c>
      <c r="AI90" s="160"/>
      <c r="AJ90" s="105"/>
      <c r="AK90" s="105"/>
      <c r="AM90" s="105"/>
      <c r="AN90" s="105"/>
      <c r="AO90" s="105"/>
      <c r="AP90" s="105"/>
      <c r="AQ90" s="105"/>
      <c r="AR90" s="105"/>
    </row>
    <row r="91" spans="1:44" s="49" customFormat="1" ht="40.15" hidden="1" customHeight="1">
      <c r="A91" s="152">
        <f t="shared" ca="1" si="83"/>
        <v>0</v>
      </c>
      <c r="B91" s="153" t="s">
        <v>116</v>
      </c>
      <c r="C91" s="154" t="str">
        <f t="shared" si="84"/>
        <v>SR/0090</v>
      </c>
      <c r="D91" s="154" t="s">
        <v>3549</v>
      </c>
      <c r="E91" s="155" t="s">
        <v>3600</v>
      </c>
      <c r="F91" s="154"/>
      <c r="G91" s="154" t="s">
        <v>1412</v>
      </c>
      <c r="H91" s="152">
        <v>1010.51</v>
      </c>
      <c r="I91" s="152">
        <v>918.37</v>
      </c>
      <c r="J91" s="156"/>
      <c r="K91" s="156">
        <f>Demolicao!M56</f>
        <v>0</v>
      </c>
      <c r="L91" s="156">
        <f t="shared" si="85"/>
        <v>0</v>
      </c>
      <c r="M91" s="156">
        <f t="shared" si="86"/>
        <v>0</v>
      </c>
      <c r="N91" s="156" t="s">
        <v>83</v>
      </c>
      <c r="O91" s="157" cm="1">
        <f t="array" ref="O91">TRUNC($H91*(1+_xlfn.SWITCH($N91,"BDI 1",$O$6,"BDI 2",$O$7,"BDI 3",$O$8)),2)</f>
        <v>1219.68</v>
      </c>
      <c r="P91" s="157" cm="1">
        <f t="array" ref="P91">TRUNC($I91*(1+_xlfn.SWITCH($N91,"BDI 1",$P$6,"BDI 2",$P$7,"BDI 3",$P$8)),2)</f>
        <v>1163.94</v>
      </c>
      <c r="Q91" s="157">
        <v>0</v>
      </c>
      <c r="R91" s="157">
        <f t="shared" si="87"/>
        <v>0</v>
      </c>
      <c r="S91" s="156">
        <f t="shared" si="88"/>
        <v>0</v>
      </c>
      <c r="T91" s="156">
        <f t="shared" si="89"/>
        <v>0</v>
      </c>
      <c r="U91" s="156">
        <f t="shared" si="90"/>
        <v>0</v>
      </c>
      <c r="V91" s="156">
        <f t="shared" si="91"/>
        <v>0</v>
      </c>
      <c r="W91" s="156">
        <f t="shared" si="78"/>
        <v>0</v>
      </c>
      <c r="X91" s="158">
        <f t="shared" ref="X91" si="117">$S91/ORCAMENTO_VALOR_TOTAL_ND</f>
        <v>0</v>
      </c>
      <c r="Y91" s="158">
        <f t="shared" ref="Y91" si="118">$T91/ORCAMENTO_VALOR_TOTAL_DE</f>
        <v>0</v>
      </c>
      <c r="Z91" s="158" cm="1">
        <f t="array" ref="Z91">_xlfn.SWITCH($N91,"BDI 1",$O$6,"BDI 2",$O$7,"BDI 3",$O$8)</f>
        <v>0.20699999999999999</v>
      </c>
      <c r="AA91" s="158" cm="1">
        <f t="array" ref="AA91">_xlfn.SWITCH($N91,"BDI 1",$P$6,"BDI 2",$P$7,"BDI 3",$P$8)</f>
        <v>0.26739999999999997</v>
      </c>
      <c r="AB91" s="158">
        <f t="shared" ca="1" si="94"/>
        <v>0</v>
      </c>
      <c r="AC91" s="158">
        <f t="shared" ca="1" si="95"/>
        <v>0</v>
      </c>
      <c r="AD91" s="164"/>
      <c r="AE91" s="148">
        <f t="shared" si="81"/>
        <v>0</v>
      </c>
      <c r="AF91" s="149"/>
      <c r="AG91" s="150"/>
      <c r="AH91" s="159" t="e">
        <f t="shared" si="82"/>
        <v>#DIV/0!</v>
      </c>
      <c r="AI91" s="160"/>
      <c r="AJ91" s="105"/>
      <c r="AK91" s="105"/>
      <c r="AM91" s="105"/>
      <c r="AN91" s="105"/>
      <c r="AO91" s="105"/>
      <c r="AP91" s="105"/>
      <c r="AQ91" s="105"/>
      <c r="AR91" s="105"/>
    </row>
    <row r="92" spans="1:44" s="49" customFormat="1" ht="40.15" hidden="1" customHeight="1">
      <c r="A92" s="152">
        <f t="shared" ca="1" si="83"/>
        <v>0</v>
      </c>
      <c r="B92" s="153" t="s">
        <v>117</v>
      </c>
      <c r="C92" s="154" t="str">
        <f t="shared" si="84"/>
        <v>SR/0120</v>
      </c>
      <c r="D92" s="154" t="s">
        <v>3549</v>
      </c>
      <c r="E92" s="155" t="s">
        <v>3601</v>
      </c>
      <c r="F92" s="154"/>
      <c r="G92" s="154" t="s">
        <v>58</v>
      </c>
      <c r="H92" s="152">
        <v>50.59</v>
      </c>
      <c r="I92" s="152">
        <v>45.82</v>
      </c>
      <c r="J92" s="156"/>
      <c r="K92" s="156">
        <f>+Pav_Terraplenagem!J25</f>
        <v>0</v>
      </c>
      <c r="L92" s="156">
        <f t="shared" si="85"/>
        <v>0</v>
      </c>
      <c r="M92" s="156">
        <f t="shared" si="86"/>
        <v>0</v>
      </c>
      <c r="N92" s="156" t="s">
        <v>83</v>
      </c>
      <c r="O92" s="157" cm="1">
        <f t="array" ref="O92">TRUNC($H92*(1+_xlfn.SWITCH($N92,"BDI 1",$O$6,"BDI 2",$O$7,"BDI 3",$O$8)),2)</f>
        <v>61.06</v>
      </c>
      <c r="P92" s="157" cm="1">
        <f t="array" ref="P92">TRUNC($I92*(1+_xlfn.SWITCH($N92,"BDI 1",$P$6,"BDI 2",$P$7,"BDI 3",$P$8)),2)</f>
        <v>58.07</v>
      </c>
      <c r="Q92" s="157">
        <v>0</v>
      </c>
      <c r="R92" s="157">
        <f t="shared" si="87"/>
        <v>0</v>
      </c>
      <c r="S92" s="156">
        <f t="shared" si="88"/>
        <v>0</v>
      </c>
      <c r="T92" s="156">
        <f t="shared" si="89"/>
        <v>0</v>
      </c>
      <c r="U92" s="156">
        <f t="shared" si="90"/>
        <v>0</v>
      </c>
      <c r="V92" s="156">
        <f t="shared" si="91"/>
        <v>0</v>
      </c>
      <c r="W92" s="156">
        <f t="shared" si="78"/>
        <v>0</v>
      </c>
      <c r="X92" s="158">
        <f t="shared" ref="X92" si="119">$S92/ORCAMENTO_VALOR_TOTAL_ND</f>
        <v>0</v>
      </c>
      <c r="Y92" s="158">
        <f t="shared" ref="Y92" si="120">$T92/ORCAMENTO_VALOR_TOTAL_DE</f>
        <v>0</v>
      </c>
      <c r="Z92" s="158" cm="1">
        <f t="array" ref="Z92">_xlfn.SWITCH($N92,"BDI 1",$O$6,"BDI 2",$O$7,"BDI 3",$O$8)</f>
        <v>0.20699999999999999</v>
      </c>
      <c r="AA92" s="158" cm="1">
        <f t="array" ref="AA92">_xlfn.SWITCH($N92,"BDI 1",$P$6,"BDI 2",$P$7,"BDI 3",$P$8)</f>
        <v>0.26739999999999997</v>
      </c>
      <c r="AB92" s="158">
        <f t="shared" ca="1" si="94"/>
        <v>0</v>
      </c>
      <c r="AC92" s="158">
        <f t="shared" ca="1" si="95"/>
        <v>0</v>
      </c>
      <c r="AD92" s="164"/>
      <c r="AE92" s="148">
        <f t="shared" si="81"/>
        <v>0</v>
      </c>
      <c r="AF92" s="149"/>
      <c r="AG92" s="150"/>
      <c r="AH92" s="159" t="e">
        <f t="shared" si="82"/>
        <v>#DIV/0!</v>
      </c>
      <c r="AI92" s="160"/>
      <c r="AJ92" s="105"/>
      <c r="AK92" s="105"/>
      <c r="AM92" s="105"/>
      <c r="AN92" s="105"/>
      <c r="AO92" s="105"/>
      <c r="AP92" s="105"/>
      <c r="AQ92" s="105"/>
      <c r="AR92" s="105"/>
    </row>
    <row r="93" spans="1:44" s="49" customFormat="1" ht="40.15" hidden="1" customHeight="1">
      <c r="A93" s="152">
        <f t="shared" ca="1" si="83"/>
        <v>0</v>
      </c>
      <c r="B93" s="153">
        <v>98526</v>
      </c>
      <c r="C93" s="154" t="str">
        <f t="shared" si="84"/>
        <v>98526</v>
      </c>
      <c r="D93" s="154" t="s">
        <v>1416</v>
      </c>
      <c r="E93" s="155" t="s">
        <v>3602</v>
      </c>
      <c r="F93" s="154"/>
      <c r="G93" s="154" t="s">
        <v>1412</v>
      </c>
      <c r="H93" s="152">
        <v>127.76</v>
      </c>
      <c r="I93" s="152">
        <v>79.36</v>
      </c>
      <c r="J93" s="156"/>
      <c r="K93" s="156">
        <f>Demolicao!M57</f>
        <v>0</v>
      </c>
      <c r="L93" s="156">
        <f t="shared" si="85"/>
        <v>0</v>
      </c>
      <c r="M93" s="156">
        <f t="shared" si="86"/>
        <v>0</v>
      </c>
      <c r="N93" s="156" t="s">
        <v>83</v>
      </c>
      <c r="O93" s="157" cm="1">
        <f t="array" ref="O93">TRUNC($H93*(1+_xlfn.SWITCH($N93,"BDI 1",$O$6,"BDI 2",$O$7,"BDI 3",$O$8)),2)</f>
        <v>154.19999999999999</v>
      </c>
      <c r="P93" s="157" cm="1">
        <f t="array" ref="P93">TRUNC($I93*(1+_xlfn.SWITCH($N93,"BDI 1",$P$6,"BDI 2",$P$7,"BDI 3",$P$8)),2)</f>
        <v>100.58</v>
      </c>
      <c r="Q93" s="157">
        <v>0</v>
      </c>
      <c r="R93" s="157">
        <f t="shared" si="87"/>
        <v>0</v>
      </c>
      <c r="S93" s="156">
        <f t="shared" si="88"/>
        <v>0</v>
      </c>
      <c r="T93" s="156">
        <f t="shared" si="89"/>
        <v>0</v>
      </c>
      <c r="U93" s="156">
        <f t="shared" si="90"/>
        <v>0</v>
      </c>
      <c r="V93" s="156">
        <f t="shared" si="91"/>
        <v>0</v>
      </c>
      <c r="W93" s="156">
        <f t="shared" si="78"/>
        <v>0</v>
      </c>
      <c r="X93" s="158">
        <f t="shared" ref="X93" si="121">$S93/ORCAMENTO_VALOR_TOTAL_ND</f>
        <v>0</v>
      </c>
      <c r="Y93" s="158">
        <f t="shared" ref="Y93" si="122">$T93/ORCAMENTO_VALOR_TOTAL_DE</f>
        <v>0</v>
      </c>
      <c r="Z93" s="158" cm="1">
        <f t="array" ref="Z93">_xlfn.SWITCH($N93,"BDI 1",$O$6,"BDI 2",$O$7,"BDI 3",$O$8)</f>
        <v>0.20699999999999999</v>
      </c>
      <c r="AA93" s="158" cm="1">
        <f t="array" ref="AA93">_xlfn.SWITCH($N93,"BDI 1",$P$6,"BDI 2",$P$7,"BDI 3",$P$8)</f>
        <v>0.26739999999999997</v>
      </c>
      <c r="AB93" s="158">
        <f t="shared" ca="1" si="94"/>
        <v>0</v>
      </c>
      <c r="AC93" s="158">
        <f t="shared" ca="1" si="95"/>
        <v>0</v>
      </c>
      <c r="AD93" s="164"/>
      <c r="AE93" s="148">
        <f t="shared" si="81"/>
        <v>0</v>
      </c>
      <c r="AF93" s="149"/>
      <c r="AG93" s="150"/>
      <c r="AH93" s="159" t="e">
        <f t="shared" si="82"/>
        <v>#DIV/0!</v>
      </c>
      <c r="AI93" s="160"/>
      <c r="AJ93" s="105"/>
      <c r="AK93" s="105"/>
      <c r="AM93" s="105"/>
      <c r="AN93" s="105"/>
      <c r="AO93" s="105"/>
      <c r="AP93" s="105"/>
      <c r="AQ93" s="105"/>
      <c r="AR93" s="105"/>
    </row>
    <row r="94" spans="1:44" s="49" customFormat="1" ht="40.15" hidden="1" customHeight="1">
      <c r="A94" s="152">
        <f t="shared" ca="1" si="83"/>
        <v>0</v>
      </c>
      <c r="B94" s="153">
        <v>98527</v>
      </c>
      <c r="C94" s="154" t="str">
        <f t="shared" si="84"/>
        <v>98527</v>
      </c>
      <c r="D94" s="154" t="s">
        <v>1416</v>
      </c>
      <c r="E94" s="155" t="s">
        <v>3603</v>
      </c>
      <c r="F94" s="154"/>
      <c r="G94" s="154" t="s">
        <v>1412</v>
      </c>
      <c r="H94" s="152">
        <v>212.03</v>
      </c>
      <c r="I94" s="152">
        <v>170.86</v>
      </c>
      <c r="J94" s="156"/>
      <c r="K94" s="156">
        <f>Demolicao!M58</f>
        <v>0</v>
      </c>
      <c r="L94" s="156">
        <f t="shared" si="85"/>
        <v>0</v>
      </c>
      <c r="M94" s="156">
        <f t="shared" si="86"/>
        <v>0</v>
      </c>
      <c r="N94" s="156" t="s">
        <v>83</v>
      </c>
      <c r="O94" s="157" cm="1">
        <f t="array" ref="O94">TRUNC($H94*(1+_xlfn.SWITCH($N94,"BDI 1",$O$6,"BDI 2",$O$7,"BDI 3",$O$8)),2)</f>
        <v>255.92</v>
      </c>
      <c r="P94" s="157" cm="1">
        <f t="array" ref="P94">TRUNC($I94*(1+_xlfn.SWITCH($N94,"BDI 1",$P$6,"BDI 2",$P$7,"BDI 3",$P$8)),2)</f>
        <v>216.54</v>
      </c>
      <c r="Q94" s="157">
        <v>0</v>
      </c>
      <c r="R94" s="157">
        <f t="shared" si="87"/>
        <v>0</v>
      </c>
      <c r="S94" s="156">
        <f t="shared" si="88"/>
        <v>0</v>
      </c>
      <c r="T94" s="156">
        <f t="shared" si="89"/>
        <v>0</v>
      </c>
      <c r="U94" s="156">
        <f t="shared" si="90"/>
        <v>0</v>
      </c>
      <c r="V94" s="156">
        <f t="shared" si="91"/>
        <v>0</v>
      </c>
      <c r="W94" s="156">
        <f t="shared" si="78"/>
        <v>0</v>
      </c>
      <c r="X94" s="158">
        <f t="shared" ref="X94" si="123">$S94/ORCAMENTO_VALOR_TOTAL_ND</f>
        <v>0</v>
      </c>
      <c r="Y94" s="158">
        <f t="shared" ref="Y94" si="124">$T94/ORCAMENTO_VALOR_TOTAL_DE</f>
        <v>0</v>
      </c>
      <c r="Z94" s="158" cm="1">
        <f t="array" ref="Z94">_xlfn.SWITCH($N94,"BDI 1",$O$6,"BDI 2",$O$7,"BDI 3",$O$8)</f>
        <v>0.20699999999999999</v>
      </c>
      <c r="AA94" s="158" cm="1">
        <f t="array" ref="AA94">_xlfn.SWITCH($N94,"BDI 1",$P$6,"BDI 2",$P$7,"BDI 3",$P$8)</f>
        <v>0.26739999999999997</v>
      </c>
      <c r="AB94" s="158">
        <f t="shared" ca="1" si="94"/>
        <v>0</v>
      </c>
      <c r="AC94" s="158">
        <f t="shared" ca="1" si="95"/>
        <v>0</v>
      </c>
      <c r="AD94" s="164"/>
      <c r="AE94" s="148">
        <f t="shared" si="81"/>
        <v>0</v>
      </c>
      <c r="AF94" s="149"/>
      <c r="AG94" s="150"/>
      <c r="AH94" s="159" t="e">
        <f t="shared" si="82"/>
        <v>#DIV/0!</v>
      </c>
      <c r="AI94" s="160"/>
      <c r="AJ94" s="105"/>
      <c r="AK94" s="105"/>
      <c r="AM94" s="105"/>
      <c r="AN94" s="105"/>
      <c r="AO94" s="105"/>
      <c r="AP94" s="105"/>
      <c r="AQ94" s="105"/>
      <c r="AR94" s="105"/>
    </row>
    <row r="95" spans="1:44" s="49" customFormat="1" ht="40.15" hidden="1" customHeight="1">
      <c r="A95" s="152">
        <f t="shared" ca="1" si="83"/>
        <v>0</v>
      </c>
      <c r="B95" s="153">
        <v>98528</v>
      </c>
      <c r="C95" s="154" t="str">
        <f t="shared" si="84"/>
        <v>98528</v>
      </c>
      <c r="D95" s="154" t="s">
        <v>1416</v>
      </c>
      <c r="E95" s="155" t="s">
        <v>3604</v>
      </c>
      <c r="F95" s="154"/>
      <c r="G95" s="154" t="s">
        <v>1412</v>
      </c>
      <c r="H95" s="152">
        <v>279.45</v>
      </c>
      <c r="I95" s="152">
        <v>249.88</v>
      </c>
      <c r="J95" s="156"/>
      <c r="K95" s="156">
        <f>Demolicao!M59</f>
        <v>0</v>
      </c>
      <c r="L95" s="156">
        <f t="shared" si="85"/>
        <v>0</v>
      </c>
      <c r="M95" s="156">
        <f t="shared" si="86"/>
        <v>0</v>
      </c>
      <c r="N95" s="156" t="s">
        <v>83</v>
      </c>
      <c r="O95" s="157" cm="1">
        <f t="array" ref="O95">TRUNC($H95*(1+_xlfn.SWITCH($N95,"BDI 1",$O$6,"BDI 2",$O$7,"BDI 3",$O$8)),2)</f>
        <v>337.29</v>
      </c>
      <c r="P95" s="157" cm="1">
        <f t="array" ref="P95">TRUNC($I95*(1+_xlfn.SWITCH($N95,"BDI 1",$P$6,"BDI 2",$P$7,"BDI 3",$P$8)),2)</f>
        <v>316.69</v>
      </c>
      <c r="Q95" s="157">
        <v>0</v>
      </c>
      <c r="R95" s="157">
        <f t="shared" si="87"/>
        <v>0</v>
      </c>
      <c r="S95" s="156">
        <f t="shared" si="88"/>
        <v>0</v>
      </c>
      <c r="T95" s="156">
        <f t="shared" si="89"/>
        <v>0</v>
      </c>
      <c r="U95" s="156">
        <f t="shared" si="90"/>
        <v>0</v>
      </c>
      <c r="V95" s="156">
        <f t="shared" si="91"/>
        <v>0</v>
      </c>
      <c r="W95" s="156">
        <f t="shared" si="78"/>
        <v>0</v>
      </c>
      <c r="X95" s="158">
        <f t="shared" ref="X95" si="125">$S95/ORCAMENTO_VALOR_TOTAL_ND</f>
        <v>0</v>
      </c>
      <c r="Y95" s="158">
        <f t="shared" ref="Y95" si="126">$T95/ORCAMENTO_VALOR_TOTAL_DE</f>
        <v>0</v>
      </c>
      <c r="Z95" s="158" cm="1">
        <f t="array" ref="Z95">_xlfn.SWITCH($N95,"BDI 1",$O$6,"BDI 2",$O$7,"BDI 3",$O$8)</f>
        <v>0.20699999999999999</v>
      </c>
      <c r="AA95" s="158" cm="1">
        <f t="array" ref="AA95">_xlfn.SWITCH($N95,"BDI 1",$P$6,"BDI 2",$P$7,"BDI 3",$P$8)</f>
        <v>0.26739999999999997</v>
      </c>
      <c r="AB95" s="158">
        <f t="shared" ca="1" si="94"/>
        <v>0</v>
      </c>
      <c r="AC95" s="158">
        <f t="shared" ca="1" si="95"/>
        <v>0</v>
      </c>
      <c r="AD95" s="164"/>
      <c r="AE95" s="148">
        <f t="shared" si="81"/>
        <v>0</v>
      </c>
      <c r="AF95" s="149"/>
      <c r="AG95" s="150"/>
      <c r="AH95" s="159" t="e">
        <f t="shared" si="82"/>
        <v>#DIV/0!</v>
      </c>
      <c r="AI95" s="160"/>
      <c r="AJ95" s="105"/>
      <c r="AK95" s="105"/>
      <c r="AM95" s="105"/>
      <c r="AN95" s="105"/>
      <c r="AO95" s="105"/>
      <c r="AP95" s="105"/>
      <c r="AQ95" s="105"/>
      <c r="AR95" s="105"/>
    </row>
    <row r="96" spans="1:44" s="49" customFormat="1" ht="40.15" hidden="1" customHeight="1">
      <c r="A96" s="152">
        <f t="shared" ca="1" si="83"/>
        <v>0</v>
      </c>
      <c r="B96" s="153">
        <v>98529</v>
      </c>
      <c r="C96" s="154" t="str">
        <f t="shared" si="84"/>
        <v>98529</v>
      </c>
      <c r="D96" s="154" t="s">
        <v>1416</v>
      </c>
      <c r="E96" s="155" t="s">
        <v>3605</v>
      </c>
      <c r="F96" s="154"/>
      <c r="G96" s="154" t="s">
        <v>1412</v>
      </c>
      <c r="H96" s="152">
        <v>71.05</v>
      </c>
      <c r="I96" s="152">
        <v>61.41</v>
      </c>
      <c r="J96" s="156"/>
      <c r="K96" s="156">
        <f>Demolicao!M60</f>
        <v>0</v>
      </c>
      <c r="L96" s="156">
        <f t="shared" si="85"/>
        <v>0</v>
      </c>
      <c r="M96" s="156">
        <f t="shared" si="86"/>
        <v>0</v>
      </c>
      <c r="N96" s="156" t="s">
        <v>83</v>
      </c>
      <c r="O96" s="157" cm="1">
        <f t="array" ref="O96">TRUNC($H96*(1+_xlfn.SWITCH($N96,"BDI 1",$O$6,"BDI 2",$O$7,"BDI 3",$O$8)),2)</f>
        <v>85.75</v>
      </c>
      <c r="P96" s="157" cm="1">
        <f t="array" ref="P96">TRUNC($I96*(1+_xlfn.SWITCH($N96,"BDI 1",$P$6,"BDI 2",$P$7,"BDI 3",$P$8)),2)</f>
        <v>77.83</v>
      </c>
      <c r="Q96" s="157">
        <v>0</v>
      </c>
      <c r="R96" s="157">
        <f t="shared" si="87"/>
        <v>0</v>
      </c>
      <c r="S96" s="156">
        <f t="shared" si="88"/>
        <v>0</v>
      </c>
      <c r="T96" s="156">
        <f t="shared" si="89"/>
        <v>0</v>
      </c>
      <c r="U96" s="156">
        <f t="shared" si="90"/>
        <v>0</v>
      </c>
      <c r="V96" s="156">
        <f t="shared" si="91"/>
        <v>0</v>
      </c>
      <c r="W96" s="156">
        <f t="shared" si="78"/>
        <v>0</v>
      </c>
      <c r="X96" s="158">
        <f t="shared" ref="X96" si="127">$S96/ORCAMENTO_VALOR_TOTAL_ND</f>
        <v>0</v>
      </c>
      <c r="Y96" s="158">
        <f t="shared" ref="Y96" si="128">$T96/ORCAMENTO_VALOR_TOTAL_DE</f>
        <v>0</v>
      </c>
      <c r="Z96" s="158" cm="1">
        <f t="array" ref="Z96">_xlfn.SWITCH($N96,"BDI 1",$O$6,"BDI 2",$O$7,"BDI 3",$O$8)</f>
        <v>0.20699999999999999</v>
      </c>
      <c r="AA96" s="158" cm="1">
        <f t="array" ref="AA96">_xlfn.SWITCH($N96,"BDI 1",$P$6,"BDI 2",$P$7,"BDI 3",$P$8)</f>
        <v>0.26739999999999997</v>
      </c>
      <c r="AB96" s="158">
        <f t="shared" ca="1" si="94"/>
        <v>0</v>
      </c>
      <c r="AC96" s="158">
        <f t="shared" ca="1" si="95"/>
        <v>0</v>
      </c>
      <c r="AD96" s="164"/>
      <c r="AE96" s="148">
        <f t="shared" si="81"/>
        <v>0</v>
      </c>
      <c r="AF96" s="149"/>
      <c r="AG96" s="150"/>
      <c r="AH96" s="159" t="e">
        <f t="shared" si="82"/>
        <v>#DIV/0!</v>
      </c>
      <c r="AI96" s="160"/>
      <c r="AJ96" s="105"/>
      <c r="AK96" s="105"/>
      <c r="AM96" s="105"/>
      <c r="AN96" s="105"/>
      <c r="AO96" s="105"/>
      <c r="AP96" s="105"/>
      <c r="AQ96" s="105"/>
      <c r="AR96" s="105"/>
    </row>
    <row r="97" spans="1:44" s="49" customFormat="1" ht="40.15" hidden="1" customHeight="1">
      <c r="A97" s="152">
        <f t="shared" ca="1" si="83"/>
        <v>0</v>
      </c>
      <c r="B97" s="153">
        <v>98530</v>
      </c>
      <c r="C97" s="154" t="str">
        <f t="shared" si="84"/>
        <v>98530</v>
      </c>
      <c r="D97" s="154" t="s">
        <v>1416</v>
      </c>
      <c r="E97" s="155" t="s">
        <v>3606</v>
      </c>
      <c r="F97" s="154"/>
      <c r="G97" s="154" t="s">
        <v>1412</v>
      </c>
      <c r="H97" s="152">
        <v>139.46</v>
      </c>
      <c r="I97" s="152">
        <v>109.4</v>
      </c>
      <c r="J97" s="156"/>
      <c r="K97" s="156">
        <f>Demolicao!M61</f>
        <v>0</v>
      </c>
      <c r="L97" s="156">
        <f t="shared" si="85"/>
        <v>0</v>
      </c>
      <c r="M97" s="156">
        <f t="shared" si="86"/>
        <v>0</v>
      </c>
      <c r="N97" s="156" t="s">
        <v>83</v>
      </c>
      <c r="O97" s="157" cm="1">
        <f t="array" ref="O97">TRUNC($H97*(1+_xlfn.SWITCH($N97,"BDI 1",$O$6,"BDI 2",$O$7,"BDI 3",$O$8)),2)</f>
        <v>168.32</v>
      </c>
      <c r="P97" s="157" cm="1">
        <f t="array" ref="P97">TRUNC($I97*(1+_xlfn.SWITCH($N97,"BDI 1",$P$6,"BDI 2",$P$7,"BDI 3",$P$8)),2)</f>
        <v>138.65</v>
      </c>
      <c r="Q97" s="157">
        <v>0</v>
      </c>
      <c r="R97" s="157">
        <f t="shared" si="87"/>
        <v>0</v>
      </c>
      <c r="S97" s="156">
        <f t="shared" si="88"/>
        <v>0</v>
      </c>
      <c r="T97" s="156">
        <f t="shared" si="89"/>
        <v>0</v>
      </c>
      <c r="U97" s="156">
        <f t="shared" si="90"/>
        <v>0</v>
      </c>
      <c r="V97" s="156">
        <f t="shared" si="91"/>
        <v>0</v>
      </c>
      <c r="W97" s="156">
        <f t="shared" si="78"/>
        <v>0</v>
      </c>
      <c r="X97" s="158">
        <f t="shared" ref="X97" si="129">$S97/ORCAMENTO_VALOR_TOTAL_ND</f>
        <v>0</v>
      </c>
      <c r="Y97" s="158">
        <f t="shared" ref="Y97" si="130">$T97/ORCAMENTO_VALOR_TOTAL_DE</f>
        <v>0</v>
      </c>
      <c r="Z97" s="158" cm="1">
        <f t="array" ref="Z97">_xlfn.SWITCH($N97,"BDI 1",$O$6,"BDI 2",$O$7,"BDI 3",$O$8)</f>
        <v>0.20699999999999999</v>
      </c>
      <c r="AA97" s="158" cm="1">
        <f t="array" ref="AA97">_xlfn.SWITCH($N97,"BDI 1",$P$6,"BDI 2",$P$7,"BDI 3",$P$8)</f>
        <v>0.26739999999999997</v>
      </c>
      <c r="AB97" s="158">
        <f t="shared" ca="1" si="94"/>
        <v>0</v>
      </c>
      <c r="AC97" s="158">
        <f t="shared" ca="1" si="95"/>
        <v>0</v>
      </c>
      <c r="AD97" s="164"/>
      <c r="AE97" s="148">
        <f t="shared" si="81"/>
        <v>0</v>
      </c>
      <c r="AF97" s="149"/>
      <c r="AG97" s="150"/>
      <c r="AH97" s="159" t="e">
        <f t="shared" si="82"/>
        <v>#DIV/0!</v>
      </c>
      <c r="AI97" s="160"/>
      <c r="AJ97" s="105"/>
      <c r="AK97" s="105"/>
      <c r="AM97" s="105"/>
      <c r="AN97" s="105"/>
      <c r="AO97" s="105"/>
      <c r="AP97" s="105"/>
      <c r="AQ97" s="105"/>
      <c r="AR97" s="105"/>
    </row>
    <row r="98" spans="1:44" s="49" customFormat="1" ht="40.15" hidden="1" customHeight="1">
      <c r="A98" s="152">
        <f t="shared" ca="1" si="83"/>
        <v>0</v>
      </c>
      <c r="B98" s="153">
        <v>98531</v>
      </c>
      <c r="C98" s="154" t="str">
        <f t="shared" si="84"/>
        <v>98531</v>
      </c>
      <c r="D98" s="154" t="s">
        <v>1416</v>
      </c>
      <c r="E98" s="155" t="s">
        <v>3607</v>
      </c>
      <c r="F98" s="154"/>
      <c r="G98" s="154" t="s">
        <v>1412</v>
      </c>
      <c r="H98" s="152">
        <v>371.76</v>
      </c>
      <c r="I98" s="152">
        <v>268.7</v>
      </c>
      <c r="J98" s="156"/>
      <c r="K98" s="156">
        <f>Demolicao!M62</f>
        <v>0</v>
      </c>
      <c r="L98" s="156">
        <f t="shared" si="85"/>
        <v>0</v>
      </c>
      <c r="M98" s="156">
        <f t="shared" si="86"/>
        <v>0</v>
      </c>
      <c r="N98" s="156" t="s">
        <v>83</v>
      </c>
      <c r="O98" s="157" cm="1">
        <f t="array" ref="O98">TRUNC($H98*(1+_xlfn.SWITCH($N98,"BDI 1",$O$6,"BDI 2",$O$7,"BDI 3",$O$8)),2)</f>
        <v>448.71</v>
      </c>
      <c r="P98" s="157" cm="1">
        <f t="array" ref="P98">TRUNC($I98*(1+_xlfn.SWITCH($N98,"BDI 1",$P$6,"BDI 2",$P$7,"BDI 3",$P$8)),2)</f>
        <v>340.55</v>
      </c>
      <c r="Q98" s="157">
        <v>0</v>
      </c>
      <c r="R98" s="157">
        <f t="shared" si="87"/>
        <v>0</v>
      </c>
      <c r="S98" s="156">
        <f t="shared" si="88"/>
        <v>0</v>
      </c>
      <c r="T98" s="156">
        <f t="shared" si="89"/>
        <v>0</v>
      </c>
      <c r="U98" s="156">
        <f t="shared" si="90"/>
        <v>0</v>
      </c>
      <c r="V98" s="156">
        <f t="shared" si="91"/>
        <v>0</v>
      </c>
      <c r="W98" s="156">
        <f t="shared" si="78"/>
        <v>0</v>
      </c>
      <c r="X98" s="158">
        <f t="shared" ref="X98" si="131">$S98/ORCAMENTO_VALOR_TOTAL_ND</f>
        <v>0</v>
      </c>
      <c r="Y98" s="158">
        <f t="shared" ref="Y98" si="132">$T98/ORCAMENTO_VALOR_TOTAL_DE</f>
        <v>0</v>
      </c>
      <c r="Z98" s="158" cm="1">
        <f t="array" ref="Z98">_xlfn.SWITCH($N98,"BDI 1",$O$6,"BDI 2",$O$7,"BDI 3",$O$8)</f>
        <v>0.20699999999999999</v>
      </c>
      <c r="AA98" s="158" cm="1">
        <f t="array" ref="AA98">_xlfn.SWITCH($N98,"BDI 1",$P$6,"BDI 2",$P$7,"BDI 3",$P$8)</f>
        <v>0.26739999999999997</v>
      </c>
      <c r="AB98" s="158">
        <f t="shared" ca="1" si="94"/>
        <v>0</v>
      </c>
      <c r="AC98" s="158">
        <f t="shared" ca="1" si="95"/>
        <v>0</v>
      </c>
      <c r="AD98" s="164"/>
      <c r="AE98" s="148">
        <f t="shared" si="81"/>
        <v>0</v>
      </c>
      <c r="AF98" s="149"/>
      <c r="AG98" s="150"/>
      <c r="AH98" s="159" t="e">
        <f t="shared" si="82"/>
        <v>#DIV/0!</v>
      </c>
      <c r="AI98" s="160"/>
      <c r="AJ98" s="105"/>
      <c r="AK98" s="105"/>
      <c r="AM98" s="105"/>
      <c r="AN98" s="105"/>
      <c r="AO98" s="105"/>
      <c r="AP98" s="105"/>
      <c r="AQ98" s="105"/>
      <c r="AR98" s="105"/>
    </row>
    <row r="99" spans="1:44" s="49" customFormat="1" ht="40.15" hidden="1" customHeight="1">
      <c r="A99" s="152">
        <f t="shared" ca="1" si="83"/>
        <v>0</v>
      </c>
      <c r="B99" s="153">
        <v>98532</v>
      </c>
      <c r="C99" s="154" t="str">
        <f t="shared" si="84"/>
        <v>98532</v>
      </c>
      <c r="D99" s="154" t="s">
        <v>1416</v>
      </c>
      <c r="E99" s="155" t="s">
        <v>3608</v>
      </c>
      <c r="F99" s="154"/>
      <c r="G99" s="154" t="s">
        <v>1412</v>
      </c>
      <c r="H99" s="152">
        <v>29.47</v>
      </c>
      <c r="I99" s="152">
        <v>112.57</v>
      </c>
      <c r="J99" s="156"/>
      <c r="K99" s="156">
        <f>Demolicao!M63</f>
        <v>0</v>
      </c>
      <c r="L99" s="156">
        <f t="shared" si="85"/>
        <v>0</v>
      </c>
      <c r="M99" s="156">
        <f t="shared" si="86"/>
        <v>0</v>
      </c>
      <c r="N99" s="156" t="s">
        <v>83</v>
      </c>
      <c r="O99" s="157" cm="1">
        <f t="array" ref="O99">TRUNC($H99*(1+_xlfn.SWITCH($N99,"BDI 1",$O$6,"BDI 2",$O$7,"BDI 3",$O$8)),2)</f>
        <v>35.57</v>
      </c>
      <c r="P99" s="157" cm="1">
        <f t="array" ref="P99">TRUNC($I99*(1+_xlfn.SWITCH($N99,"BDI 1",$P$6,"BDI 2",$P$7,"BDI 3",$P$8)),2)</f>
        <v>142.66999999999999</v>
      </c>
      <c r="Q99" s="157">
        <v>0</v>
      </c>
      <c r="R99" s="157">
        <f t="shared" si="87"/>
        <v>0</v>
      </c>
      <c r="S99" s="156">
        <f t="shared" si="88"/>
        <v>0</v>
      </c>
      <c r="T99" s="156">
        <f t="shared" si="89"/>
        <v>0</v>
      </c>
      <c r="U99" s="156">
        <f t="shared" si="90"/>
        <v>0</v>
      </c>
      <c r="V99" s="156">
        <f t="shared" si="91"/>
        <v>0</v>
      </c>
      <c r="W99" s="156">
        <f t="shared" si="78"/>
        <v>0</v>
      </c>
      <c r="X99" s="158">
        <f t="shared" ref="X99" si="133">$S99/ORCAMENTO_VALOR_TOTAL_ND</f>
        <v>0</v>
      </c>
      <c r="Y99" s="158">
        <f t="shared" ref="Y99" si="134">$T99/ORCAMENTO_VALOR_TOTAL_DE</f>
        <v>0</v>
      </c>
      <c r="Z99" s="158" cm="1">
        <f t="array" ref="Z99">_xlfn.SWITCH($N99,"BDI 1",$O$6,"BDI 2",$O$7,"BDI 3",$O$8)</f>
        <v>0.20699999999999999</v>
      </c>
      <c r="AA99" s="158" cm="1">
        <f t="array" ref="AA99">_xlfn.SWITCH($N99,"BDI 1",$P$6,"BDI 2",$P$7,"BDI 3",$P$8)</f>
        <v>0.26739999999999997</v>
      </c>
      <c r="AB99" s="158">
        <f t="shared" ca="1" si="94"/>
        <v>0</v>
      </c>
      <c r="AC99" s="158">
        <f t="shared" ca="1" si="95"/>
        <v>0</v>
      </c>
      <c r="AD99" s="164"/>
      <c r="AE99" s="148">
        <f t="shared" si="81"/>
        <v>0</v>
      </c>
      <c r="AF99" s="149"/>
      <c r="AG99" s="150"/>
      <c r="AH99" s="159" t="e">
        <f t="shared" si="82"/>
        <v>#DIV/0!</v>
      </c>
      <c r="AI99" s="160"/>
      <c r="AJ99" s="105"/>
      <c r="AK99" s="105"/>
      <c r="AM99" s="105"/>
      <c r="AN99" s="105"/>
      <c r="AO99" s="105"/>
      <c r="AP99" s="105"/>
      <c r="AQ99" s="105"/>
      <c r="AR99" s="105"/>
    </row>
    <row r="100" spans="1:44" s="49" customFormat="1" ht="40.15" hidden="1" customHeight="1">
      <c r="A100" s="152">
        <f t="shared" ca="1" si="83"/>
        <v>0</v>
      </c>
      <c r="B100" s="153">
        <v>98533</v>
      </c>
      <c r="C100" s="154" t="str">
        <f t="shared" si="84"/>
        <v>98533</v>
      </c>
      <c r="D100" s="154" t="s">
        <v>1416</v>
      </c>
      <c r="E100" s="155" t="s">
        <v>3609</v>
      </c>
      <c r="F100" s="154"/>
      <c r="G100" s="154" t="s">
        <v>1412</v>
      </c>
      <c r="H100" s="152">
        <v>111.36</v>
      </c>
      <c r="I100" s="152">
        <v>304.81</v>
      </c>
      <c r="J100" s="156"/>
      <c r="K100" s="156">
        <f>Demolicao!M64</f>
        <v>0</v>
      </c>
      <c r="L100" s="156">
        <f t="shared" si="85"/>
        <v>0</v>
      </c>
      <c r="M100" s="156">
        <f t="shared" si="86"/>
        <v>0</v>
      </c>
      <c r="N100" s="156" t="s">
        <v>83</v>
      </c>
      <c r="O100" s="157" cm="1">
        <f t="array" ref="O100">TRUNC($H100*(1+_xlfn.SWITCH($N100,"BDI 1",$O$6,"BDI 2",$O$7,"BDI 3",$O$8)),2)</f>
        <v>134.41</v>
      </c>
      <c r="P100" s="157" cm="1">
        <f t="array" ref="P100">TRUNC($I100*(1+_xlfn.SWITCH($N100,"BDI 1",$P$6,"BDI 2",$P$7,"BDI 3",$P$8)),2)</f>
        <v>386.31</v>
      </c>
      <c r="Q100" s="157">
        <v>0</v>
      </c>
      <c r="R100" s="157">
        <f t="shared" si="87"/>
        <v>0</v>
      </c>
      <c r="S100" s="156">
        <f t="shared" si="88"/>
        <v>0</v>
      </c>
      <c r="T100" s="156">
        <f t="shared" si="89"/>
        <v>0</v>
      </c>
      <c r="U100" s="156">
        <f t="shared" si="90"/>
        <v>0</v>
      </c>
      <c r="V100" s="156">
        <f t="shared" si="91"/>
        <v>0</v>
      </c>
      <c r="W100" s="156">
        <f t="shared" si="78"/>
        <v>0</v>
      </c>
      <c r="X100" s="158">
        <f t="shared" ref="X100" si="135">$S100/ORCAMENTO_VALOR_TOTAL_ND</f>
        <v>0</v>
      </c>
      <c r="Y100" s="158">
        <f t="shared" ref="Y100" si="136">$T100/ORCAMENTO_VALOR_TOTAL_DE</f>
        <v>0</v>
      </c>
      <c r="Z100" s="158" cm="1">
        <f t="array" ref="Z100">_xlfn.SWITCH($N100,"BDI 1",$O$6,"BDI 2",$O$7,"BDI 3",$O$8)</f>
        <v>0.20699999999999999</v>
      </c>
      <c r="AA100" s="158" cm="1">
        <f t="array" ref="AA100">_xlfn.SWITCH($N100,"BDI 1",$P$6,"BDI 2",$P$7,"BDI 3",$P$8)</f>
        <v>0.26739999999999997</v>
      </c>
      <c r="AB100" s="158">
        <f t="shared" ca="1" si="94"/>
        <v>0</v>
      </c>
      <c r="AC100" s="158">
        <f t="shared" ca="1" si="95"/>
        <v>0</v>
      </c>
      <c r="AD100" s="164"/>
      <c r="AE100" s="148">
        <f t="shared" si="81"/>
        <v>0</v>
      </c>
      <c r="AF100" s="149"/>
      <c r="AG100" s="150"/>
      <c r="AH100" s="159" t="e">
        <f t="shared" si="82"/>
        <v>#DIV/0!</v>
      </c>
      <c r="AI100" s="160"/>
      <c r="AJ100" s="105"/>
      <c r="AK100" s="105"/>
      <c r="AM100" s="105"/>
      <c r="AN100" s="105"/>
      <c r="AO100" s="105"/>
      <c r="AP100" s="105"/>
      <c r="AQ100" s="105"/>
      <c r="AR100" s="105"/>
    </row>
    <row r="101" spans="1:44" s="49" customFormat="1" ht="40.15" hidden="1" customHeight="1">
      <c r="A101" s="152">
        <f t="shared" ca="1" si="83"/>
        <v>0</v>
      </c>
      <c r="B101" s="153">
        <v>98534</v>
      </c>
      <c r="C101" s="154" t="str">
        <f t="shared" si="84"/>
        <v>98534</v>
      </c>
      <c r="D101" s="154" t="s">
        <v>1416</v>
      </c>
      <c r="E101" s="155" t="s">
        <v>3610</v>
      </c>
      <c r="F101" s="154"/>
      <c r="G101" s="154" t="s">
        <v>1412</v>
      </c>
      <c r="H101" s="152">
        <v>308.02999999999997</v>
      </c>
      <c r="I101" s="152">
        <v>784.98</v>
      </c>
      <c r="J101" s="156"/>
      <c r="K101" s="156">
        <f>Demolicao!M65</f>
        <v>0</v>
      </c>
      <c r="L101" s="156">
        <f t="shared" si="85"/>
        <v>0</v>
      </c>
      <c r="M101" s="156">
        <f t="shared" si="86"/>
        <v>0</v>
      </c>
      <c r="N101" s="156" t="s">
        <v>83</v>
      </c>
      <c r="O101" s="157" cm="1">
        <f t="array" ref="O101">TRUNC($H101*(1+_xlfn.SWITCH($N101,"BDI 1",$O$6,"BDI 2",$O$7,"BDI 3",$O$8)),2)</f>
        <v>371.79</v>
      </c>
      <c r="P101" s="157" cm="1">
        <f t="array" ref="P101">TRUNC($I101*(1+_xlfn.SWITCH($N101,"BDI 1",$P$6,"BDI 2",$P$7,"BDI 3",$P$8)),2)</f>
        <v>994.88</v>
      </c>
      <c r="Q101" s="157">
        <v>0</v>
      </c>
      <c r="R101" s="157">
        <f t="shared" si="87"/>
        <v>0</v>
      </c>
      <c r="S101" s="156">
        <f t="shared" si="88"/>
        <v>0</v>
      </c>
      <c r="T101" s="156">
        <f t="shared" si="89"/>
        <v>0</v>
      </c>
      <c r="U101" s="156">
        <f t="shared" si="90"/>
        <v>0</v>
      </c>
      <c r="V101" s="156">
        <f t="shared" si="91"/>
        <v>0</v>
      </c>
      <c r="W101" s="156">
        <f t="shared" si="78"/>
        <v>0</v>
      </c>
      <c r="X101" s="158">
        <f t="shared" ref="X101" si="137">$S101/ORCAMENTO_VALOR_TOTAL_ND</f>
        <v>0</v>
      </c>
      <c r="Y101" s="158">
        <f t="shared" ref="Y101" si="138">$T101/ORCAMENTO_VALOR_TOTAL_DE</f>
        <v>0</v>
      </c>
      <c r="Z101" s="158" cm="1">
        <f t="array" ref="Z101">_xlfn.SWITCH($N101,"BDI 1",$O$6,"BDI 2",$O$7,"BDI 3",$O$8)</f>
        <v>0.20699999999999999</v>
      </c>
      <c r="AA101" s="158" cm="1">
        <f t="array" ref="AA101">_xlfn.SWITCH($N101,"BDI 1",$P$6,"BDI 2",$P$7,"BDI 3",$P$8)</f>
        <v>0.26739999999999997</v>
      </c>
      <c r="AB101" s="158">
        <f t="shared" ca="1" si="94"/>
        <v>0</v>
      </c>
      <c r="AC101" s="158">
        <f t="shared" ca="1" si="95"/>
        <v>0</v>
      </c>
      <c r="AD101" s="164"/>
      <c r="AE101" s="148">
        <f t="shared" si="81"/>
        <v>0</v>
      </c>
      <c r="AF101" s="149"/>
      <c r="AG101" s="150"/>
      <c r="AH101" s="159" t="e">
        <f t="shared" si="82"/>
        <v>#DIV/0!</v>
      </c>
      <c r="AI101" s="160"/>
      <c r="AJ101" s="105"/>
      <c r="AK101" s="105"/>
      <c r="AM101" s="105"/>
      <c r="AN101" s="105"/>
      <c r="AO101" s="105"/>
      <c r="AP101" s="105"/>
      <c r="AQ101" s="105"/>
      <c r="AR101" s="105"/>
    </row>
    <row r="102" spans="1:44" s="49" customFormat="1" ht="40.15" hidden="1" customHeight="1">
      <c r="A102" s="152">
        <f t="shared" ca="1" si="83"/>
        <v>0</v>
      </c>
      <c r="B102" s="153">
        <v>98535</v>
      </c>
      <c r="C102" s="154" t="str">
        <f t="shared" si="84"/>
        <v>98535</v>
      </c>
      <c r="D102" s="154" t="s">
        <v>1416</v>
      </c>
      <c r="E102" s="155" t="s">
        <v>3611</v>
      </c>
      <c r="F102" s="154"/>
      <c r="G102" s="154" t="s">
        <v>1412</v>
      </c>
      <c r="H102" s="152">
        <v>645.82000000000005</v>
      </c>
      <c r="I102" s="152">
        <v>1235.46</v>
      </c>
      <c r="J102" s="156"/>
      <c r="K102" s="156">
        <f>Demolicao!M66</f>
        <v>0</v>
      </c>
      <c r="L102" s="156">
        <f t="shared" si="85"/>
        <v>0</v>
      </c>
      <c r="M102" s="156">
        <f t="shared" si="86"/>
        <v>0</v>
      </c>
      <c r="N102" s="156" t="s">
        <v>83</v>
      </c>
      <c r="O102" s="157" cm="1">
        <f t="array" ref="O102">TRUNC($H102*(1+_xlfn.SWITCH($N102,"BDI 1",$O$6,"BDI 2",$O$7,"BDI 3",$O$8)),2)</f>
        <v>779.5</v>
      </c>
      <c r="P102" s="157" cm="1">
        <f t="array" ref="P102">TRUNC($I102*(1+_xlfn.SWITCH($N102,"BDI 1",$P$6,"BDI 2",$P$7,"BDI 3",$P$8)),2)</f>
        <v>1565.82</v>
      </c>
      <c r="Q102" s="157">
        <v>0</v>
      </c>
      <c r="R102" s="157">
        <f t="shared" si="87"/>
        <v>0</v>
      </c>
      <c r="S102" s="156">
        <f t="shared" si="88"/>
        <v>0</v>
      </c>
      <c r="T102" s="156">
        <f t="shared" si="89"/>
        <v>0</v>
      </c>
      <c r="U102" s="156">
        <f t="shared" si="90"/>
        <v>0</v>
      </c>
      <c r="V102" s="156">
        <f t="shared" si="91"/>
        <v>0</v>
      </c>
      <c r="W102" s="156">
        <f t="shared" si="78"/>
        <v>0</v>
      </c>
      <c r="X102" s="158">
        <f t="shared" ref="X102" si="139">$S102/ORCAMENTO_VALOR_TOTAL_ND</f>
        <v>0</v>
      </c>
      <c r="Y102" s="158">
        <f t="shared" ref="Y102" si="140">$T102/ORCAMENTO_VALOR_TOTAL_DE</f>
        <v>0</v>
      </c>
      <c r="Z102" s="158" cm="1">
        <f t="array" ref="Z102">_xlfn.SWITCH($N102,"BDI 1",$O$6,"BDI 2",$O$7,"BDI 3",$O$8)</f>
        <v>0.20699999999999999</v>
      </c>
      <c r="AA102" s="158" cm="1">
        <f t="array" ref="AA102">_xlfn.SWITCH($N102,"BDI 1",$P$6,"BDI 2",$P$7,"BDI 3",$P$8)</f>
        <v>0.26739999999999997</v>
      </c>
      <c r="AB102" s="158">
        <f t="shared" ca="1" si="94"/>
        <v>0</v>
      </c>
      <c r="AC102" s="158">
        <f t="shared" ca="1" si="95"/>
        <v>0</v>
      </c>
      <c r="AD102" s="164"/>
      <c r="AE102" s="148">
        <f t="shared" si="81"/>
        <v>0</v>
      </c>
      <c r="AF102" s="149"/>
      <c r="AG102" s="150"/>
      <c r="AH102" s="159" t="e">
        <f t="shared" si="82"/>
        <v>#DIV/0!</v>
      </c>
      <c r="AI102" s="160"/>
      <c r="AJ102" s="105"/>
      <c r="AK102" s="105"/>
      <c r="AM102" s="105"/>
      <c r="AN102" s="105"/>
      <c r="AO102" s="105"/>
      <c r="AP102" s="105"/>
      <c r="AQ102" s="105"/>
      <c r="AR102" s="105"/>
    </row>
    <row r="103" spans="1:44" s="49" customFormat="1" ht="49.9" hidden="1" customHeight="1">
      <c r="A103" s="152">
        <f t="shared" ca="1" si="83"/>
        <v>0</v>
      </c>
      <c r="B103" s="153">
        <v>100983</v>
      </c>
      <c r="C103" s="154" t="str">
        <f t="shared" si="84"/>
        <v>100983</v>
      </c>
      <c r="D103" s="154" t="s">
        <v>1416</v>
      </c>
      <c r="E103" s="155" t="s">
        <v>3612</v>
      </c>
      <c r="F103" s="154"/>
      <c r="G103" s="154" t="s">
        <v>464</v>
      </c>
      <c r="H103" s="152">
        <v>8.64</v>
      </c>
      <c r="I103" s="152">
        <v>8.66</v>
      </c>
      <c r="J103" s="156"/>
      <c r="K103" s="156">
        <f>Demolicao!M52+IF(Demolicao!M72&lt;=50,Demolicao!M72,0)+Demolicao!M50</f>
        <v>0</v>
      </c>
      <c r="L103" s="156">
        <f t="shared" si="85"/>
        <v>0</v>
      </c>
      <c r="M103" s="156">
        <f t="shared" si="86"/>
        <v>0</v>
      </c>
      <c r="N103" s="156" t="s">
        <v>83</v>
      </c>
      <c r="O103" s="157" cm="1">
        <f t="array" ref="O103">TRUNC($H103*(1+_xlfn.SWITCH($N103,"BDI 1",$O$6,"BDI 2",$O$7,"BDI 3",$O$8)),2)</f>
        <v>10.42</v>
      </c>
      <c r="P103" s="157" cm="1">
        <f t="array" ref="P103">TRUNC($I103*(1+_xlfn.SWITCH($N103,"BDI 1",$P$6,"BDI 2",$P$7,"BDI 3",$P$8)),2)</f>
        <v>10.97</v>
      </c>
      <c r="Q103" s="157">
        <v>0</v>
      </c>
      <c r="R103" s="157">
        <f t="shared" si="87"/>
        <v>0</v>
      </c>
      <c r="S103" s="156">
        <f t="shared" si="88"/>
        <v>0</v>
      </c>
      <c r="T103" s="156">
        <f t="shared" si="89"/>
        <v>0</v>
      </c>
      <c r="U103" s="156">
        <f t="shared" si="90"/>
        <v>0</v>
      </c>
      <c r="V103" s="156">
        <f t="shared" si="91"/>
        <v>0</v>
      </c>
      <c r="W103" s="156">
        <f t="shared" si="78"/>
        <v>0</v>
      </c>
      <c r="X103" s="158">
        <f t="shared" ref="X103" si="141">$S103/ORCAMENTO_VALOR_TOTAL_ND</f>
        <v>0</v>
      </c>
      <c r="Y103" s="158">
        <f t="shared" ref="Y103" si="142">$T103/ORCAMENTO_VALOR_TOTAL_DE</f>
        <v>0</v>
      </c>
      <c r="Z103" s="158" cm="1">
        <f t="array" ref="Z103">_xlfn.SWITCH($N103,"BDI 1",$O$6,"BDI 2",$O$7,"BDI 3",$O$8)</f>
        <v>0.20699999999999999</v>
      </c>
      <c r="AA103" s="158" cm="1">
        <f t="array" ref="AA103">_xlfn.SWITCH($N103,"BDI 1",$P$6,"BDI 2",$P$7,"BDI 3",$P$8)</f>
        <v>0.26739999999999997</v>
      </c>
      <c r="AB103" s="158">
        <f t="shared" ca="1" si="94"/>
        <v>0</v>
      </c>
      <c r="AC103" s="158">
        <f t="shared" ca="1" si="95"/>
        <v>0</v>
      </c>
      <c r="AD103" s="164"/>
      <c r="AE103" s="148">
        <f t="shared" si="81"/>
        <v>0</v>
      </c>
      <c r="AF103" s="149"/>
      <c r="AG103" s="150"/>
      <c r="AH103" s="159" t="e">
        <f t="shared" si="82"/>
        <v>#DIV/0!</v>
      </c>
      <c r="AI103" s="160"/>
      <c r="AJ103" s="105"/>
      <c r="AK103" s="105"/>
      <c r="AM103" s="105"/>
      <c r="AN103" s="105"/>
      <c r="AO103" s="105"/>
      <c r="AP103" s="105"/>
      <c r="AQ103" s="105"/>
      <c r="AR103" s="105"/>
    </row>
    <row r="104" spans="1:44" s="49" customFormat="1" ht="49.9" hidden="1" customHeight="1">
      <c r="A104" s="152">
        <f t="shared" ca="1" si="83"/>
        <v>0</v>
      </c>
      <c r="B104" s="153">
        <v>100983</v>
      </c>
      <c r="C104" s="154" t="str">
        <f t="shared" si="84"/>
        <v>100983</v>
      </c>
      <c r="D104" s="154" t="s">
        <v>1416</v>
      </c>
      <c r="E104" s="155" t="s">
        <v>3612</v>
      </c>
      <c r="F104" s="154"/>
      <c r="G104" s="154" t="s">
        <v>464</v>
      </c>
      <c r="H104" s="152">
        <v>8.64</v>
      </c>
      <c r="I104" s="152">
        <v>8.66</v>
      </c>
      <c r="J104" s="156"/>
      <c r="K104" s="156">
        <f>IF(Demolicao!M72&gt;50,Demolicao!M72,0)</f>
        <v>0</v>
      </c>
      <c r="L104" s="156">
        <f t="shared" si="85"/>
        <v>0</v>
      </c>
      <c r="M104" s="156">
        <f t="shared" si="86"/>
        <v>0</v>
      </c>
      <c r="N104" s="156" t="s">
        <v>83</v>
      </c>
      <c r="O104" s="157" cm="1">
        <f t="array" ref="O104">TRUNC($H104*(1+_xlfn.SWITCH($N104,"BDI 1",$O$6,"BDI 2",$O$7,"BDI 3",$O$8)),2)</f>
        <v>10.42</v>
      </c>
      <c r="P104" s="157" cm="1">
        <f t="array" ref="P104">TRUNC($I104*(1+_xlfn.SWITCH($N104,"BDI 1",$P$6,"BDI 2",$P$7,"BDI 3",$P$8)),2)</f>
        <v>10.97</v>
      </c>
      <c r="Q104" s="157">
        <v>0</v>
      </c>
      <c r="R104" s="157">
        <f t="shared" si="87"/>
        <v>0</v>
      </c>
      <c r="S104" s="156">
        <f t="shared" si="88"/>
        <v>0</v>
      </c>
      <c r="T104" s="156">
        <f t="shared" si="89"/>
        <v>0</v>
      </c>
      <c r="U104" s="156">
        <f t="shared" si="90"/>
        <v>0</v>
      </c>
      <c r="V104" s="156">
        <f t="shared" si="91"/>
        <v>0</v>
      </c>
      <c r="W104" s="156">
        <f t="shared" si="78"/>
        <v>0</v>
      </c>
      <c r="X104" s="158">
        <f t="shared" ref="X104" si="143">$S104/ORCAMENTO_VALOR_TOTAL_ND</f>
        <v>0</v>
      </c>
      <c r="Y104" s="158">
        <f t="shared" ref="Y104" si="144">$T104/ORCAMENTO_VALOR_TOTAL_DE</f>
        <v>0</v>
      </c>
      <c r="Z104" s="158" cm="1">
        <f t="array" ref="Z104">_xlfn.SWITCH($N104,"BDI 1",$O$6,"BDI 2",$O$7,"BDI 3",$O$8)</f>
        <v>0.20699999999999999</v>
      </c>
      <c r="AA104" s="158" cm="1">
        <f t="array" ref="AA104">_xlfn.SWITCH($N104,"BDI 1",$P$6,"BDI 2",$P$7,"BDI 3",$P$8)</f>
        <v>0.26739999999999997</v>
      </c>
      <c r="AB104" s="158">
        <f t="shared" ca="1" si="94"/>
        <v>0</v>
      </c>
      <c r="AC104" s="158">
        <f t="shared" ca="1" si="95"/>
        <v>0</v>
      </c>
      <c r="AD104" s="164"/>
      <c r="AE104" s="148">
        <f t="shared" si="81"/>
        <v>0</v>
      </c>
      <c r="AF104" s="149"/>
      <c r="AG104" s="150"/>
      <c r="AH104" s="159" t="e">
        <f t="shared" si="82"/>
        <v>#DIV/0!</v>
      </c>
      <c r="AI104" s="160"/>
      <c r="AJ104" s="105"/>
      <c r="AK104" s="105"/>
      <c r="AM104" s="105"/>
      <c r="AN104" s="105"/>
      <c r="AO104" s="105"/>
      <c r="AP104" s="105"/>
      <c r="AQ104" s="105"/>
      <c r="AR104" s="105"/>
    </row>
    <row r="105" spans="1:44" s="49" customFormat="1" ht="40.15" hidden="1" customHeight="1">
      <c r="A105" s="152">
        <f t="shared" ca="1" si="83"/>
        <v>0</v>
      </c>
      <c r="B105" s="153" t="s">
        <v>118</v>
      </c>
      <c r="C105" s="154" t="str">
        <f t="shared" si="84"/>
        <v>ST/0070</v>
      </c>
      <c r="D105" s="154" t="s">
        <v>3549</v>
      </c>
      <c r="E105" s="155" t="s">
        <v>3613</v>
      </c>
      <c r="F105" s="154"/>
      <c r="G105" s="154" t="s">
        <v>3614</v>
      </c>
      <c r="H105" s="152">
        <v>30.97</v>
      </c>
      <c r="I105" s="152">
        <v>30.02</v>
      </c>
      <c r="J105" s="156"/>
      <c r="K105" s="156">
        <f>Demolicao!M75</f>
        <v>0</v>
      </c>
      <c r="L105" s="156">
        <f t="shared" si="85"/>
        <v>0</v>
      </c>
      <c r="M105" s="156">
        <f t="shared" si="86"/>
        <v>0</v>
      </c>
      <c r="N105" s="156" t="s">
        <v>83</v>
      </c>
      <c r="O105" s="157" cm="1">
        <f t="array" ref="O105">TRUNC($H105*(1+_xlfn.SWITCH($N105,"BDI 1",$O$6,"BDI 2",$O$7,"BDI 3",$O$8)),2)</f>
        <v>37.380000000000003</v>
      </c>
      <c r="P105" s="157" cm="1">
        <f t="array" ref="P105">TRUNC($I105*(1+_xlfn.SWITCH($N105,"BDI 1",$P$6,"BDI 2",$P$7,"BDI 3",$P$8)),2)</f>
        <v>38.04</v>
      </c>
      <c r="Q105" s="157">
        <v>0</v>
      </c>
      <c r="R105" s="157">
        <f t="shared" si="87"/>
        <v>0</v>
      </c>
      <c r="S105" s="156">
        <f t="shared" si="88"/>
        <v>0</v>
      </c>
      <c r="T105" s="156">
        <f t="shared" si="89"/>
        <v>0</v>
      </c>
      <c r="U105" s="156">
        <f t="shared" si="90"/>
        <v>0</v>
      </c>
      <c r="V105" s="156">
        <f t="shared" si="91"/>
        <v>0</v>
      </c>
      <c r="W105" s="156">
        <f t="shared" si="78"/>
        <v>0</v>
      </c>
      <c r="X105" s="158">
        <f t="shared" ref="X105" si="145">$S105/ORCAMENTO_VALOR_TOTAL_ND</f>
        <v>0</v>
      </c>
      <c r="Y105" s="158">
        <f t="shared" ref="Y105" si="146">$T105/ORCAMENTO_VALOR_TOTAL_DE</f>
        <v>0</v>
      </c>
      <c r="Z105" s="158" cm="1">
        <f t="array" ref="Z105">_xlfn.SWITCH($N105,"BDI 1",$O$6,"BDI 2",$O$7,"BDI 3",$O$8)</f>
        <v>0.20699999999999999</v>
      </c>
      <c r="AA105" s="158" cm="1">
        <f t="array" ref="AA105">_xlfn.SWITCH($N105,"BDI 1",$P$6,"BDI 2",$P$7,"BDI 3",$P$8)</f>
        <v>0.26739999999999997</v>
      </c>
      <c r="AB105" s="158">
        <f t="shared" ca="1" si="94"/>
        <v>0</v>
      </c>
      <c r="AC105" s="158">
        <f t="shared" ca="1" si="95"/>
        <v>0</v>
      </c>
      <c r="AD105" s="164"/>
      <c r="AE105" s="148">
        <f t="shared" si="81"/>
        <v>0</v>
      </c>
      <c r="AF105" s="149"/>
      <c r="AG105" s="150"/>
      <c r="AH105" s="159" t="e">
        <f t="shared" si="82"/>
        <v>#DIV/0!</v>
      </c>
      <c r="AI105" s="160"/>
      <c r="AJ105" s="105"/>
      <c r="AK105" s="105"/>
      <c r="AM105" s="105"/>
      <c r="AN105" s="105"/>
      <c r="AO105" s="105"/>
      <c r="AP105" s="105"/>
      <c r="AQ105" s="105"/>
      <c r="AR105" s="105"/>
    </row>
    <row r="106" spans="1:44" s="49" customFormat="1" ht="40.15" hidden="1" customHeight="1">
      <c r="A106" s="10">
        <f t="shared" ca="1" si="83"/>
        <v>0</v>
      </c>
      <c r="B106" s="153"/>
      <c r="C106" s="154"/>
      <c r="D106" s="154"/>
      <c r="E106" s="161" t="s">
        <v>119</v>
      </c>
      <c r="F106" s="160"/>
      <c r="G106" s="160"/>
      <c r="H106" s="185"/>
      <c r="I106" s="185"/>
      <c r="J106" s="160"/>
      <c r="K106" s="160"/>
      <c r="L106" s="160"/>
      <c r="M106" s="160"/>
      <c r="N106" s="160"/>
      <c r="O106" s="160"/>
      <c r="P106" s="160"/>
      <c r="Q106" s="160"/>
      <c r="R106" s="160"/>
      <c r="S106" s="162"/>
      <c r="T106" s="162"/>
      <c r="U106" s="162"/>
      <c r="V106" s="162"/>
      <c r="W106" s="162"/>
      <c r="X106" s="163"/>
      <c r="Y106" s="163"/>
      <c r="Z106" s="163"/>
      <c r="AA106" s="163"/>
      <c r="AB106" s="163"/>
      <c r="AC106" s="163"/>
      <c r="AD106" s="164"/>
      <c r="AE106" s="148">
        <f>IF(SUM(S107)&gt;0,IFERROR(TRUNC(A106,0),0),0)</f>
        <v>0</v>
      </c>
      <c r="AF106" s="149"/>
      <c r="AG106" s="150"/>
      <c r="AH106" s="159"/>
      <c r="AI106" s="160" t="s">
        <v>120</v>
      </c>
      <c r="AJ106" s="105"/>
      <c r="AK106" s="105"/>
      <c r="AM106" s="105"/>
      <c r="AN106" s="105"/>
      <c r="AO106" s="105"/>
      <c r="AP106" s="105"/>
      <c r="AQ106" s="105"/>
      <c r="AR106" s="105"/>
    </row>
    <row r="107" spans="1:44" s="49" customFormat="1" ht="40.15" hidden="1" customHeight="1">
      <c r="A107" s="152">
        <f t="shared" ca="1" si="83"/>
        <v>0</v>
      </c>
      <c r="B107" s="153">
        <v>95876</v>
      </c>
      <c r="C107" s="154" t="str">
        <f>TEXT(B107,"0")</f>
        <v>95876</v>
      </c>
      <c r="D107" s="154" t="s">
        <v>1416</v>
      </c>
      <c r="E107" s="155" t="s">
        <v>3537</v>
      </c>
      <c r="F107" s="154">
        <f>Dados_DMT!$B$15</f>
        <v>1</v>
      </c>
      <c r="G107" s="154" t="s">
        <v>3538</v>
      </c>
      <c r="H107" s="152">
        <v>2.09</v>
      </c>
      <c r="I107" s="152">
        <v>2.1</v>
      </c>
      <c r="J107" s="156"/>
      <c r="K107" s="156">
        <f>ROUND(Demolicao!M71*F107,2)</f>
        <v>0</v>
      </c>
      <c r="L107" s="156">
        <f>IF($K107&gt;$J107,$K107-$J107,0)</f>
        <v>0</v>
      </c>
      <c r="M107" s="156">
        <f>IF($K107&lt;$J107,$J107-$K107,0)</f>
        <v>0</v>
      </c>
      <c r="N107" s="156" t="s">
        <v>83</v>
      </c>
      <c r="O107" s="157" cm="1">
        <f t="array" ref="O107">TRUNC($H107*(1+_xlfn.SWITCH($N107,"BDI 1",$O$6,"BDI 2",$O$7,"BDI 3",$O$8)),2)</f>
        <v>2.52</v>
      </c>
      <c r="P107" s="157" cm="1">
        <f t="array" ref="P107">TRUNC($I107*(1+_xlfn.SWITCH($N107,"BDI 1",$P$6,"BDI 2",$P$7,"BDI 3",$P$8)),2)</f>
        <v>2.66</v>
      </c>
      <c r="Q107" s="157">
        <v>0</v>
      </c>
      <c r="R107" s="157">
        <f>$Q107-($Q107*LICITACAO_DESCONTO)</f>
        <v>0</v>
      </c>
      <c r="S107" s="156">
        <f>TRUNC($K107*$O107,2)</f>
        <v>0</v>
      </c>
      <c r="T107" s="156">
        <f>TRUNC($K107*$P107,2)</f>
        <v>0</v>
      </c>
      <c r="U107" s="156">
        <f>TRUNC($J107*$R107,2)</f>
        <v>0</v>
      </c>
      <c r="V107" s="156">
        <f>TRUNC($K107*$Q107,2)</f>
        <v>0</v>
      </c>
      <c r="W107" s="156">
        <f>TRUNC(V107-U107,2)</f>
        <v>0</v>
      </c>
      <c r="X107" s="158">
        <f>$S107/ORCAMENTO_VALOR_TOTAL_ND</f>
        <v>0</v>
      </c>
      <c r="Y107" s="158">
        <f>$T107/ORCAMENTO_VALOR_TOTAL_DE</f>
        <v>0</v>
      </c>
      <c r="Z107" s="158" cm="1">
        <f t="array" ref="Z107">_xlfn.SWITCH($N107,"BDI 1",$O$6,"BDI 2",$O$7,"BDI 3",$O$8)</f>
        <v>0.20699999999999999</v>
      </c>
      <c r="AA107" s="158" cm="1">
        <f t="array" ref="AA107">_xlfn.SWITCH($N107,"BDI 1",$P$6,"BDI 2",$P$7,"BDI 3",$P$8)</f>
        <v>0.26739999999999997</v>
      </c>
      <c r="AB107" s="158">
        <f ca="1">IFERROR($S107/_xlfn.XLOOKUP($AE107,$B$16:$B$38,$S$16:$S$38),0)</f>
        <v>0</v>
      </c>
      <c r="AC107" s="158">
        <f ca="1">IFERROR($T107/_xlfn.XLOOKUP($AE107,$B$16:$B$38,$T$16:$T$38),0)</f>
        <v>0</v>
      </c>
      <c r="AD107" s="164"/>
      <c r="AE107" s="148">
        <f t="shared" ref="AE107" si="147">IF(S107&gt;0,IFERROR(TRUNC(A107,0),0),0)</f>
        <v>0</v>
      </c>
      <c r="AF107" s="149"/>
      <c r="AG107" s="150"/>
      <c r="AH107" s="159" t="e">
        <f>S107/$S$79</f>
        <v>#DIV/0!</v>
      </c>
      <c r="AI107" s="160"/>
      <c r="AJ107" s="105"/>
      <c r="AK107" s="105"/>
      <c r="AM107" s="105"/>
      <c r="AN107" s="105"/>
      <c r="AO107" s="105"/>
      <c r="AP107" s="105"/>
      <c r="AQ107" s="105"/>
      <c r="AR107" s="105"/>
    </row>
    <row r="108" spans="1:44" s="49" customFormat="1" ht="40.15" hidden="1" customHeight="1">
      <c r="A108" s="10">
        <f t="shared" ca="1" si="83"/>
        <v>0</v>
      </c>
      <c r="B108" s="153"/>
      <c r="C108" s="154"/>
      <c r="D108" s="154"/>
      <c r="E108" s="161" t="s">
        <v>121</v>
      </c>
      <c r="F108" s="160"/>
      <c r="G108" s="160"/>
      <c r="H108" s="185"/>
      <c r="I108" s="185"/>
      <c r="J108" s="160"/>
      <c r="K108" s="160"/>
      <c r="L108" s="160"/>
      <c r="M108" s="160"/>
      <c r="N108" s="160"/>
      <c r="O108" s="160"/>
      <c r="P108" s="160"/>
      <c r="Q108" s="160"/>
      <c r="R108" s="160"/>
      <c r="S108" s="162"/>
      <c r="T108" s="162"/>
      <c r="U108" s="162"/>
      <c r="V108" s="162"/>
      <c r="W108" s="162"/>
      <c r="X108" s="163"/>
      <c r="Y108" s="163"/>
      <c r="Z108" s="163"/>
      <c r="AA108" s="163"/>
      <c r="AB108" s="163"/>
      <c r="AC108" s="163"/>
      <c r="AD108" s="164"/>
      <c r="AE108" s="148">
        <f>IF(SUM(S109:S110)&gt;0,IFERROR(TRUNC(A108,0),0),0)</f>
        <v>0</v>
      </c>
      <c r="AF108" s="149"/>
      <c r="AG108" s="150"/>
      <c r="AH108" s="159"/>
      <c r="AI108" s="160" t="s">
        <v>85</v>
      </c>
      <c r="AJ108" s="105"/>
      <c r="AK108" s="105"/>
      <c r="AM108" s="105"/>
      <c r="AN108" s="105"/>
      <c r="AO108" s="105"/>
      <c r="AP108" s="105"/>
      <c r="AQ108" s="105"/>
      <c r="AR108" s="105"/>
    </row>
    <row r="109" spans="1:44" s="49" customFormat="1" ht="40.15" hidden="1" customHeight="1">
      <c r="A109" s="152">
        <f t="shared" ca="1" si="83"/>
        <v>0</v>
      </c>
      <c r="B109" s="153">
        <v>95876</v>
      </c>
      <c r="C109" s="154" t="str">
        <f>TEXT(B109,"0")</f>
        <v>95876</v>
      </c>
      <c r="D109" s="154" t="s">
        <v>1416</v>
      </c>
      <c r="E109" s="155" t="s">
        <v>3537</v>
      </c>
      <c r="F109" s="154">
        <f>IF(Dados_DMT!$B$17&lt;30,Dados_DMT!$B$17,30)</f>
        <v>3.5</v>
      </c>
      <c r="G109" s="154" t="s">
        <v>3538</v>
      </c>
      <c r="H109" s="152">
        <v>2.09</v>
      </c>
      <c r="I109" s="152">
        <v>2.1</v>
      </c>
      <c r="J109" s="156"/>
      <c r="K109" s="156">
        <f>ROUND(Demolicao!M70*F109,2)</f>
        <v>0</v>
      </c>
      <c r="L109" s="156">
        <f>IF($K109&gt;$J109,$K109-$J109,0)</f>
        <v>0</v>
      </c>
      <c r="M109" s="156">
        <f>IF($K109&lt;$J109,$J109-$K109,0)</f>
        <v>0</v>
      </c>
      <c r="N109" s="156" t="s">
        <v>83</v>
      </c>
      <c r="O109" s="157" cm="1">
        <f t="array" ref="O109">TRUNC($H109*(1+_xlfn.SWITCH($N109,"BDI 1",$O$6,"BDI 2",$O$7,"BDI 3",$O$8)),2)</f>
        <v>2.52</v>
      </c>
      <c r="P109" s="157" cm="1">
        <f t="array" ref="P109">TRUNC($I109*(1+_xlfn.SWITCH($N109,"BDI 1",$P$6,"BDI 2",$P$7,"BDI 3",$P$8)),2)</f>
        <v>2.66</v>
      </c>
      <c r="Q109" s="157">
        <v>0</v>
      </c>
      <c r="R109" s="157">
        <f>$Q109-($Q109*LICITACAO_DESCONTO)</f>
        <v>0</v>
      </c>
      <c r="S109" s="156">
        <f>TRUNC($K109*$O109,2)</f>
        <v>0</v>
      </c>
      <c r="T109" s="156">
        <f>TRUNC($K109*$P109,2)</f>
        <v>0</v>
      </c>
      <c r="U109" s="156">
        <f>TRUNC($J109*$R109,2)</f>
        <v>0</v>
      </c>
      <c r="V109" s="156">
        <f>TRUNC($K109*$Q109,2)</f>
        <v>0</v>
      </c>
      <c r="W109" s="156">
        <f>TRUNC(V109-U109,2)</f>
        <v>0</v>
      </c>
      <c r="X109" s="158">
        <f>$S109/ORCAMENTO_VALOR_TOTAL_ND</f>
        <v>0</v>
      </c>
      <c r="Y109" s="158">
        <f>$T109/ORCAMENTO_VALOR_TOTAL_DE</f>
        <v>0</v>
      </c>
      <c r="Z109" s="158" cm="1">
        <f t="array" ref="Z109">_xlfn.SWITCH($N109,"BDI 1",$O$6,"BDI 2",$O$7,"BDI 3",$O$8)</f>
        <v>0.20699999999999999</v>
      </c>
      <c r="AA109" s="158" cm="1">
        <f t="array" ref="AA109">_xlfn.SWITCH($N109,"BDI 1",$P$6,"BDI 2",$P$7,"BDI 3",$P$8)</f>
        <v>0.26739999999999997</v>
      </c>
      <c r="AB109" s="158">
        <f ca="1">IFERROR($S109/_xlfn.XLOOKUP($AE109,$B$16:$B$38,$S$16:$S$38),0)</f>
        <v>0</v>
      </c>
      <c r="AC109" s="158">
        <f ca="1">IFERROR($T109/_xlfn.XLOOKUP($AE109,$B$16:$B$38,$T$16:$T$38),0)</f>
        <v>0</v>
      </c>
      <c r="AD109" s="164"/>
      <c r="AE109" s="148">
        <f t="shared" ref="AE109:AE110" si="148">IF(S109&gt;0,IFERROR(TRUNC(A109,0),0),0)</f>
        <v>0</v>
      </c>
      <c r="AF109" s="149"/>
      <c r="AG109" s="150"/>
      <c r="AH109" s="159" t="e">
        <f>S109/$S$79</f>
        <v>#DIV/0!</v>
      </c>
      <c r="AI109" s="166">
        <f>IF(K109=0,0,K109/F109)</f>
        <v>0</v>
      </c>
      <c r="AJ109" s="105"/>
      <c r="AK109" s="105"/>
      <c r="AM109" s="105"/>
      <c r="AN109" s="105"/>
      <c r="AO109" s="105"/>
      <c r="AP109" s="105"/>
      <c r="AQ109" s="105"/>
      <c r="AR109" s="105"/>
    </row>
    <row r="110" spans="1:44" s="49" customFormat="1" ht="40.15" hidden="1" customHeight="1">
      <c r="A110" s="152">
        <f t="shared" ca="1" si="83"/>
        <v>0</v>
      </c>
      <c r="B110" s="153">
        <v>93593</v>
      </c>
      <c r="C110" s="154" t="str">
        <f>TEXT(B110,"0")</f>
        <v>93593</v>
      </c>
      <c r="D110" s="154" t="s">
        <v>1416</v>
      </c>
      <c r="E110" s="155" t="s">
        <v>3545</v>
      </c>
      <c r="F110" s="154">
        <f>Dados_DMT!$B$17-F109</f>
        <v>0</v>
      </c>
      <c r="G110" s="154" t="s">
        <v>3538</v>
      </c>
      <c r="H110" s="152">
        <v>0.84</v>
      </c>
      <c r="I110" s="152">
        <v>0.85</v>
      </c>
      <c r="J110" s="156"/>
      <c r="K110" s="156">
        <f>ROUND(Demolicao!M70*F110,2)</f>
        <v>0</v>
      </c>
      <c r="L110" s="156">
        <f>IF($K110&gt;$J110,$K110-$J110,0)</f>
        <v>0</v>
      </c>
      <c r="M110" s="156">
        <f>IF($K110&lt;$J110,$J110-$K110,0)</f>
        <v>0</v>
      </c>
      <c r="N110" s="156" t="s">
        <v>83</v>
      </c>
      <c r="O110" s="157" cm="1">
        <f t="array" ref="O110">TRUNC($H110*(1+_xlfn.SWITCH($N110,"BDI 1",$O$6,"BDI 2",$O$7,"BDI 3",$O$8)),2)</f>
        <v>1.01</v>
      </c>
      <c r="P110" s="157" cm="1">
        <f t="array" ref="P110">TRUNC($I110*(1+_xlfn.SWITCH($N110,"BDI 1",$P$6,"BDI 2",$P$7,"BDI 3",$P$8)),2)</f>
        <v>1.07</v>
      </c>
      <c r="Q110" s="157">
        <v>0</v>
      </c>
      <c r="R110" s="157">
        <f>$Q110-($Q110*LICITACAO_DESCONTO)</f>
        <v>0</v>
      </c>
      <c r="S110" s="156">
        <f>TRUNC($K110*$O110,2)</f>
        <v>0</v>
      </c>
      <c r="T110" s="156">
        <f>TRUNC($K110*$P110,2)</f>
        <v>0</v>
      </c>
      <c r="U110" s="156">
        <f>TRUNC($J110*$R110,2)</f>
        <v>0</v>
      </c>
      <c r="V110" s="156">
        <f>TRUNC($K110*$Q110,2)</f>
        <v>0</v>
      </c>
      <c r="W110" s="156">
        <f>TRUNC(V110-U110,2)</f>
        <v>0</v>
      </c>
      <c r="X110" s="158">
        <f>$S110/ORCAMENTO_VALOR_TOTAL_ND</f>
        <v>0</v>
      </c>
      <c r="Y110" s="158">
        <f>$T110/ORCAMENTO_VALOR_TOTAL_DE</f>
        <v>0</v>
      </c>
      <c r="Z110" s="158" cm="1">
        <f t="array" ref="Z110">_xlfn.SWITCH($N110,"BDI 1",$O$6,"BDI 2",$O$7,"BDI 3",$O$8)</f>
        <v>0.20699999999999999</v>
      </c>
      <c r="AA110" s="158" cm="1">
        <f t="array" ref="AA110">_xlfn.SWITCH($N110,"BDI 1",$P$6,"BDI 2",$P$7,"BDI 3",$P$8)</f>
        <v>0.26739999999999997</v>
      </c>
      <c r="AB110" s="158">
        <f ca="1">IFERROR($S110/_xlfn.XLOOKUP($AE110,$B$16:$B$38,$S$16:$S$38),0)</f>
        <v>0</v>
      </c>
      <c r="AC110" s="158">
        <f ca="1">IFERROR($T110/_xlfn.XLOOKUP($AE110,$B$16:$B$38,$T$16:$T$38),0)</f>
        <v>0</v>
      </c>
      <c r="AD110" s="164"/>
      <c r="AE110" s="148">
        <f t="shared" si="148"/>
        <v>0</v>
      </c>
      <c r="AF110" s="149"/>
      <c r="AG110" s="150"/>
      <c r="AH110" s="159" t="e">
        <f>S110/$S$79</f>
        <v>#DIV/0!</v>
      </c>
      <c r="AI110" s="166">
        <f>IF(K110=0,0,K110/F110)</f>
        <v>0</v>
      </c>
      <c r="AJ110" s="105"/>
      <c r="AK110" s="105"/>
      <c r="AM110" s="105"/>
      <c r="AN110" s="105"/>
      <c r="AO110" s="105"/>
      <c r="AP110" s="105"/>
      <c r="AQ110" s="105"/>
      <c r="AR110" s="105"/>
    </row>
    <row r="111" spans="1:44" s="49" customFormat="1" ht="40.15" hidden="1" customHeight="1">
      <c r="A111" s="10">
        <f t="shared" ca="1" si="83"/>
        <v>0</v>
      </c>
      <c r="B111" s="153"/>
      <c r="C111" s="154"/>
      <c r="D111" s="154"/>
      <c r="E111" s="161" t="s">
        <v>122</v>
      </c>
      <c r="F111" s="160"/>
      <c r="G111" s="160"/>
      <c r="H111" s="185"/>
      <c r="I111" s="185"/>
      <c r="J111" s="160"/>
      <c r="K111" s="160"/>
      <c r="L111" s="160"/>
      <c r="M111" s="160"/>
      <c r="N111" s="160"/>
      <c r="O111" s="160"/>
      <c r="P111" s="160"/>
      <c r="Q111" s="160"/>
      <c r="R111" s="160"/>
      <c r="S111" s="162"/>
      <c r="T111" s="162"/>
      <c r="U111" s="162"/>
      <c r="V111" s="162"/>
      <c r="W111" s="162"/>
      <c r="X111" s="163"/>
      <c r="Y111" s="163"/>
      <c r="Z111" s="163"/>
      <c r="AA111" s="163"/>
      <c r="AB111" s="163"/>
      <c r="AC111" s="163"/>
      <c r="AD111" s="164"/>
      <c r="AE111" s="148">
        <f>IF(SUM(S112:S113)&gt;0,IFERROR(TRUNC(A111,0),0),0)</f>
        <v>0</v>
      </c>
      <c r="AF111" s="149"/>
      <c r="AG111" s="150"/>
      <c r="AH111" s="159"/>
      <c r="AI111" s="160" t="s">
        <v>123</v>
      </c>
      <c r="AJ111" s="105"/>
      <c r="AK111" s="105"/>
      <c r="AM111" s="105"/>
      <c r="AN111" s="105"/>
      <c r="AO111" s="105"/>
      <c r="AP111" s="105"/>
      <c r="AQ111" s="105"/>
      <c r="AR111" s="105"/>
    </row>
    <row r="112" spans="1:44" s="49" customFormat="1" ht="40.15" hidden="1" customHeight="1">
      <c r="A112" s="152">
        <f t="shared" ca="1" si="83"/>
        <v>0</v>
      </c>
      <c r="B112" s="153">
        <v>95876</v>
      </c>
      <c r="C112" s="154" t="str">
        <f>TEXT(B112,"0")</f>
        <v>95876</v>
      </c>
      <c r="D112" s="154" t="s">
        <v>1416</v>
      </c>
      <c r="E112" s="155" t="s">
        <v>3537</v>
      </c>
      <c r="F112" s="154">
        <f>Dados_DMT!$B$19</f>
        <v>0</v>
      </c>
      <c r="G112" s="154" t="s">
        <v>3538</v>
      </c>
      <c r="H112" s="152">
        <v>2.09</v>
      </c>
      <c r="I112" s="152">
        <v>2.1</v>
      </c>
      <c r="J112" s="156"/>
      <c r="K112" s="156">
        <f>ROUND(Demolicao!M73*F112,2)</f>
        <v>0</v>
      </c>
      <c r="L112" s="156">
        <f>IF($K112&gt;$J112,$K112-$J112,0)</f>
        <v>0</v>
      </c>
      <c r="M112" s="156">
        <f>IF($K112&lt;$J112,$J112-$K112,0)</f>
        <v>0</v>
      </c>
      <c r="N112" s="156" t="s">
        <v>83</v>
      </c>
      <c r="O112" s="157" cm="1">
        <f t="array" ref="O112">TRUNC($H112*(1+_xlfn.SWITCH($N112,"BDI 1",$O$6,"BDI 2",$O$7,"BDI 3",$O$8)),2)</f>
        <v>2.52</v>
      </c>
      <c r="P112" s="157" cm="1">
        <f t="array" ref="P112">TRUNC($I112*(1+_xlfn.SWITCH($N112,"BDI 1",$P$6,"BDI 2",$P$7,"BDI 3",$P$8)),2)</f>
        <v>2.66</v>
      </c>
      <c r="Q112" s="157">
        <v>0</v>
      </c>
      <c r="R112" s="157">
        <f>$Q112-($Q112*LICITACAO_DESCONTO)</f>
        <v>0</v>
      </c>
      <c r="S112" s="156">
        <f>TRUNC($K112*$O112,2)</f>
        <v>0</v>
      </c>
      <c r="T112" s="156">
        <f>TRUNC($K112*$P112,2)</f>
        <v>0</v>
      </c>
      <c r="U112" s="156">
        <f>TRUNC($J112*$R112,2)</f>
        <v>0</v>
      </c>
      <c r="V112" s="156">
        <f>TRUNC($K112*$Q112,2)</f>
        <v>0</v>
      </c>
      <c r="W112" s="156">
        <f>TRUNC(V112-U112,2)</f>
        <v>0</v>
      </c>
      <c r="X112" s="158">
        <f>$S112/ORCAMENTO_VALOR_TOTAL_ND</f>
        <v>0</v>
      </c>
      <c r="Y112" s="158">
        <f>$T112/ORCAMENTO_VALOR_TOTAL_DE</f>
        <v>0</v>
      </c>
      <c r="Z112" s="158" cm="1">
        <f t="array" ref="Z112">_xlfn.SWITCH($N112,"BDI 1",$O$6,"BDI 2",$O$7,"BDI 3",$O$8)</f>
        <v>0.20699999999999999</v>
      </c>
      <c r="AA112" s="158" cm="1">
        <f t="array" ref="AA112">_xlfn.SWITCH($N112,"BDI 1",$P$6,"BDI 2",$P$7,"BDI 3",$P$8)</f>
        <v>0.26739999999999997</v>
      </c>
      <c r="AB112" s="158">
        <f ca="1">IFERROR($S112/_xlfn.XLOOKUP($AE112,$B$16:$B$38,$S$16:$S$38),0)</f>
        <v>0</v>
      </c>
      <c r="AC112" s="158">
        <f ca="1">IFERROR($T112/_xlfn.XLOOKUP($AE112,$B$16:$B$38,$T$16:$T$38),0)</f>
        <v>0</v>
      </c>
      <c r="AD112" s="164"/>
      <c r="AE112" s="148">
        <f t="shared" ref="AE112:AE113" si="149">IF(S112&gt;0,IFERROR(TRUNC(A112,0),0),0)</f>
        <v>0</v>
      </c>
      <c r="AF112" s="149"/>
      <c r="AG112" s="150"/>
      <c r="AH112" s="159" t="e">
        <f>S112/$S$79</f>
        <v>#DIV/0!</v>
      </c>
      <c r="AI112" s="166">
        <f>IF(K112=0,0,K112/F112)</f>
        <v>0</v>
      </c>
      <c r="AJ112" s="105"/>
      <c r="AK112" s="105"/>
      <c r="AM112" s="105"/>
      <c r="AN112" s="105"/>
      <c r="AO112" s="105"/>
      <c r="AP112" s="105"/>
      <c r="AQ112" s="105"/>
      <c r="AR112" s="105"/>
    </row>
    <row r="113" spans="1:44" s="49" customFormat="1" ht="40.15" hidden="1" customHeight="1">
      <c r="A113" s="152">
        <f t="shared" ca="1" si="83"/>
        <v>0</v>
      </c>
      <c r="B113" s="153">
        <v>93593</v>
      </c>
      <c r="C113" s="154" t="str">
        <f>TEXT(B113,"0")</f>
        <v>93593</v>
      </c>
      <c r="D113" s="154" t="s">
        <v>1416</v>
      </c>
      <c r="E113" s="155" t="s">
        <v>3545</v>
      </c>
      <c r="F113" s="154">
        <f>Dados_DMT!$B$19-F112</f>
        <v>0</v>
      </c>
      <c r="G113" s="154" t="s">
        <v>3538</v>
      </c>
      <c r="H113" s="152">
        <v>0.84</v>
      </c>
      <c r="I113" s="152">
        <v>0.85</v>
      </c>
      <c r="J113" s="156"/>
      <c r="K113" s="156">
        <f>ROUND(Demolicao!M73*F113,2)</f>
        <v>0</v>
      </c>
      <c r="L113" s="156">
        <f>IF($K113&gt;$J113,$K113-$J113,0)</f>
        <v>0</v>
      </c>
      <c r="M113" s="156">
        <f>IF($K113&lt;$J113,$J113-$K113,0)</f>
        <v>0</v>
      </c>
      <c r="N113" s="156" t="s">
        <v>83</v>
      </c>
      <c r="O113" s="157" cm="1">
        <f t="array" ref="O113">TRUNC($H113*(1+_xlfn.SWITCH($N113,"BDI 1",$O$6,"BDI 2",$O$7,"BDI 3",$O$8)),2)</f>
        <v>1.01</v>
      </c>
      <c r="P113" s="157" cm="1">
        <f t="array" ref="P113">TRUNC($I113*(1+_xlfn.SWITCH($N113,"BDI 1",$P$6,"BDI 2",$P$7,"BDI 3",$P$8)),2)</f>
        <v>1.07</v>
      </c>
      <c r="Q113" s="157">
        <v>0</v>
      </c>
      <c r="R113" s="157">
        <f>$Q113-($Q113*LICITACAO_DESCONTO)</f>
        <v>0</v>
      </c>
      <c r="S113" s="156">
        <f>TRUNC($K113*$O113,2)</f>
        <v>0</v>
      </c>
      <c r="T113" s="156">
        <f>TRUNC($K113*$P113,2)</f>
        <v>0</v>
      </c>
      <c r="U113" s="156">
        <f>TRUNC($J113*$R113,2)</f>
        <v>0</v>
      </c>
      <c r="V113" s="156">
        <f>TRUNC($K113*$Q113,2)</f>
        <v>0</v>
      </c>
      <c r="W113" s="156">
        <f>TRUNC(V113-U113,2)</f>
        <v>0</v>
      </c>
      <c r="X113" s="158">
        <f>$S113/ORCAMENTO_VALOR_TOTAL_ND</f>
        <v>0</v>
      </c>
      <c r="Y113" s="158">
        <f>$T113/ORCAMENTO_VALOR_TOTAL_DE</f>
        <v>0</v>
      </c>
      <c r="Z113" s="158" cm="1">
        <f t="array" ref="Z113">_xlfn.SWITCH($N113,"BDI 1",$O$6,"BDI 2",$O$7,"BDI 3",$O$8)</f>
        <v>0.20699999999999999</v>
      </c>
      <c r="AA113" s="158" cm="1">
        <f t="array" ref="AA113">_xlfn.SWITCH($N113,"BDI 1",$P$6,"BDI 2",$P$7,"BDI 3",$P$8)</f>
        <v>0.26739999999999997</v>
      </c>
      <c r="AB113" s="158">
        <f ca="1">IFERROR($S113/_xlfn.XLOOKUP($AE113,$B$16:$B$38,$S$16:$S$38),0)</f>
        <v>0</v>
      </c>
      <c r="AC113" s="158">
        <f ca="1">IFERROR($T113/_xlfn.XLOOKUP($AE113,$B$16:$B$38,$T$16:$T$38),0)</f>
        <v>0</v>
      </c>
      <c r="AD113" s="164"/>
      <c r="AE113" s="148">
        <f t="shared" si="149"/>
        <v>0</v>
      </c>
      <c r="AF113" s="149"/>
      <c r="AG113" s="150"/>
      <c r="AH113" s="159" t="e">
        <f>S113/$S$79</f>
        <v>#DIV/0!</v>
      </c>
      <c r="AI113" s="166">
        <f>IF(K113=0,0,K113/F113)</f>
        <v>0</v>
      </c>
      <c r="AJ113" s="105"/>
      <c r="AK113" s="105"/>
      <c r="AM113" s="105"/>
      <c r="AN113" s="105"/>
      <c r="AO113" s="105"/>
      <c r="AP113" s="105"/>
      <c r="AQ113" s="105"/>
      <c r="AR113" s="105"/>
    </row>
    <row r="114" spans="1:44" s="49" customFormat="1" ht="40.15" hidden="1" customHeight="1">
      <c r="A114" s="10">
        <f t="shared" ca="1" si="83"/>
        <v>0</v>
      </c>
      <c r="B114" s="153"/>
      <c r="C114" s="154"/>
      <c r="D114" s="154"/>
      <c r="E114" s="161" t="s">
        <v>124</v>
      </c>
      <c r="F114" s="160"/>
      <c r="G114" s="160"/>
      <c r="H114" s="185"/>
      <c r="I114" s="185"/>
      <c r="J114" s="160"/>
      <c r="K114" s="160"/>
      <c r="L114" s="160"/>
      <c r="M114" s="160"/>
      <c r="N114" s="160"/>
      <c r="O114" s="160"/>
      <c r="P114" s="160"/>
      <c r="Q114" s="160"/>
      <c r="R114" s="160"/>
      <c r="S114" s="162"/>
      <c r="T114" s="162"/>
      <c r="U114" s="162"/>
      <c r="V114" s="162"/>
      <c r="W114" s="162"/>
      <c r="X114" s="163"/>
      <c r="Y114" s="163"/>
      <c r="Z114" s="163"/>
      <c r="AA114" s="163"/>
      <c r="AB114" s="163"/>
      <c r="AC114" s="163"/>
      <c r="AD114" s="164"/>
      <c r="AE114" s="148">
        <f>IF(SUM(S115:S116)&gt;0,IFERROR(TRUNC(A114,0),0),0)</f>
        <v>0</v>
      </c>
      <c r="AF114" s="149"/>
      <c r="AG114" s="150"/>
      <c r="AH114" s="159"/>
      <c r="AI114" s="160" t="s">
        <v>125</v>
      </c>
      <c r="AJ114" s="105"/>
      <c r="AK114" s="105"/>
      <c r="AM114" s="105"/>
      <c r="AN114" s="105"/>
      <c r="AO114" s="105"/>
      <c r="AP114" s="105"/>
      <c r="AQ114" s="105"/>
      <c r="AR114" s="105"/>
    </row>
    <row r="115" spans="1:44" s="49" customFormat="1" ht="40.15" hidden="1" customHeight="1">
      <c r="A115" s="152">
        <f t="shared" ca="1" si="83"/>
        <v>0</v>
      </c>
      <c r="B115" s="153">
        <v>100947</v>
      </c>
      <c r="C115" s="154" t="str">
        <f>TEXT(B115,"0")</f>
        <v>100947</v>
      </c>
      <c r="D115" s="154" t="s">
        <v>1416</v>
      </c>
      <c r="E115" s="155" t="s">
        <v>385</v>
      </c>
      <c r="F115" s="154">
        <f>IF(Dados_DMT!$B$17&lt;30,Dados_DMT!$B$17,30)</f>
        <v>3.5</v>
      </c>
      <c r="G115" s="154" t="s">
        <v>3534</v>
      </c>
      <c r="H115" s="152">
        <v>2.15</v>
      </c>
      <c r="I115" s="152">
        <v>2.13</v>
      </c>
      <c r="J115" s="156"/>
      <c r="K115" s="156">
        <f>ROUND(Demolicao!M75*F115,2)</f>
        <v>0</v>
      </c>
      <c r="L115" s="156">
        <f>IF($K115&gt;$J115,$K115-$J115,0)</f>
        <v>0</v>
      </c>
      <c r="M115" s="156">
        <f>IF($K115&lt;$J115,$J115-$K115,0)</f>
        <v>0</v>
      </c>
      <c r="N115" s="156" t="s">
        <v>83</v>
      </c>
      <c r="O115" s="157" cm="1">
        <f t="array" ref="O115">TRUNC($H115*(1+_xlfn.SWITCH($N115,"BDI 1",$O$6,"BDI 2",$O$7,"BDI 3",$O$8)),2)</f>
        <v>2.59</v>
      </c>
      <c r="P115" s="157" cm="1">
        <f t="array" ref="P115">TRUNC($I115*(1+_xlfn.SWITCH($N115,"BDI 1",$P$6,"BDI 2",$P$7,"BDI 3",$P$8)),2)</f>
        <v>2.69</v>
      </c>
      <c r="Q115" s="157">
        <v>0</v>
      </c>
      <c r="R115" s="157">
        <f>$Q115-($Q115*LICITACAO_DESCONTO)</f>
        <v>0</v>
      </c>
      <c r="S115" s="156">
        <f>TRUNC($K115*$O115,2)</f>
        <v>0</v>
      </c>
      <c r="T115" s="156">
        <f>TRUNC($K115*$P115,2)</f>
        <v>0</v>
      </c>
      <c r="U115" s="156">
        <f>TRUNC($J115*$R115,2)</f>
        <v>0</v>
      </c>
      <c r="V115" s="156">
        <f>TRUNC($K115*$Q115,2)</f>
        <v>0</v>
      </c>
      <c r="W115" s="156">
        <f>TRUNC(V115-U115,2)</f>
        <v>0</v>
      </c>
      <c r="X115" s="158">
        <f>$S115/ORCAMENTO_VALOR_TOTAL_ND</f>
        <v>0</v>
      </c>
      <c r="Y115" s="158">
        <f>$T115/ORCAMENTO_VALOR_TOTAL_DE</f>
        <v>0</v>
      </c>
      <c r="Z115" s="158" cm="1">
        <f t="array" ref="Z115">_xlfn.SWITCH($N115,"BDI 1",$O$6,"BDI 2",$O$7,"BDI 3",$O$8)</f>
        <v>0.20699999999999999</v>
      </c>
      <c r="AA115" s="158" cm="1">
        <f t="array" ref="AA115">_xlfn.SWITCH($N115,"BDI 1",$P$6,"BDI 2",$P$7,"BDI 3",$P$8)</f>
        <v>0.26739999999999997</v>
      </c>
      <c r="AB115" s="158">
        <f ca="1">IFERROR($S115/_xlfn.XLOOKUP($AE115,$B$16:$B$38,$S$16:$S$38),0)</f>
        <v>0</v>
      </c>
      <c r="AC115" s="158">
        <f ca="1">IFERROR($T115/_xlfn.XLOOKUP($AE115,$B$16:$B$38,$T$16:$T$38),0)</f>
        <v>0</v>
      </c>
      <c r="AD115" s="164"/>
      <c r="AE115" s="148">
        <f t="shared" ref="AE115:AE116" si="150">IF(S115&gt;0,IFERROR(TRUNC(A115,0),0),0)</f>
        <v>0</v>
      </c>
      <c r="AF115" s="149"/>
      <c r="AG115" s="150"/>
      <c r="AH115" s="159" t="e">
        <f>S115/$S$79</f>
        <v>#DIV/0!</v>
      </c>
      <c r="AJ115" s="105"/>
      <c r="AK115" s="105"/>
      <c r="AM115" s="105"/>
      <c r="AN115" s="105"/>
      <c r="AO115" s="105"/>
      <c r="AP115" s="105"/>
      <c r="AQ115" s="105"/>
      <c r="AR115" s="105"/>
    </row>
    <row r="116" spans="1:44" s="49" customFormat="1" ht="40.15" hidden="1" customHeight="1">
      <c r="A116" s="152">
        <f t="shared" ca="1" si="83"/>
        <v>0</v>
      </c>
      <c r="B116" s="153">
        <v>100948</v>
      </c>
      <c r="C116" s="154" t="str">
        <f>TEXT(B116,"0")</f>
        <v>100948</v>
      </c>
      <c r="D116" s="154" t="s">
        <v>1416</v>
      </c>
      <c r="E116" s="155" t="s">
        <v>3615</v>
      </c>
      <c r="F116" s="154">
        <f>Dados_DMT!$B$17-F115</f>
        <v>0</v>
      </c>
      <c r="G116" s="154" t="s">
        <v>3534</v>
      </c>
      <c r="H116" s="152">
        <v>0.85</v>
      </c>
      <c r="I116" s="152">
        <v>0.84</v>
      </c>
      <c r="J116" s="156"/>
      <c r="K116" s="156">
        <f>ROUND(Demolicao!M75*F116,2)</f>
        <v>0</v>
      </c>
      <c r="L116" s="156">
        <f>IF($K116&gt;$J116,$K116-$J116,0)</f>
        <v>0</v>
      </c>
      <c r="M116" s="156">
        <f>IF($K116&lt;$J116,$J116-$K116,0)</f>
        <v>0</v>
      </c>
      <c r="N116" s="156" t="s">
        <v>83</v>
      </c>
      <c r="O116" s="157" cm="1">
        <f t="array" ref="O116">TRUNC($H116*(1+_xlfn.SWITCH($N116,"BDI 1",$O$6,"BDI 2",$O$7,"BDI 3",$O$8)),2)</f>
        <v>1.02</v>
      </c>
      <c r="P116" s="157" cm="1">
        <f t="array" ref="P116">TRUNC($I116*(1+_xlfn.SWITCH($N116,"BDI 1",$P$6,"BDI 2",$P$7,"BDI 3",$P$8)),2)</f>
        <v>1.06</v>
      </c>
      <c r="Q116" s="157">
        <v>0</v>
      </c>
      <c r="R116" s="157">
        <f>$Q116-($Q116*LICITACAO_DESCONTO)</f>
        <v>0</v>
      </c>
      <c r="S116" s="156">
        <f>TRUNC($K116*$O116,2)</f>
        <v>0</v>
      </c>
      <c r="T116" s="156">
        <f>TRUNC($K116*$P116,2)</f>
        <v>0</v>
      </c>
      <c r="U116" s="156">
        <f>TRUNC($J116*$R116,2)</f>
        <v>0</v>
      </c>
      <c r="V116" s="156">
        <f>TRUNC($K116*$Q116,2)</f>
        <v>0</v>
      </c>
      <c r="W116" s="156">
        <f>TRUNC(V116-U116,2)</f>
        <v>0</v>
      </c>
      <c r="X116" s="158">
        <f>$S116/ORCAMENTO_VALOR_TOTAL_ND</f>
        <v>0</v>
      </c>
      <c r="Y116" s="158">
        <f>$T116/ORCAMENTO_VALOR_TOTAL_DE</f>
        <v>0</v>
      </c>
      <c r="Z116" s="158" cm="1">
        <f t="array" ref="Z116">_xlfn.SWITCH($N116,"BDI 1",$O$6,"BDI 2",$O$7,"BDI 3",$O$8)</f>
        <v>0.20699999999999999</v>
      </c>
      <c r="AA116" s="158" cm="1">
        <f t="array" ref="AA116">_xlfn.SWITCH($N116,"BDI 1",$P$6,"BDI 2",$P$7,"BDI 3",$P$8)</f>
        <v>0.26739999999999997</v>
      </c>
      <c r="AB116" s="158">
        <f ca="1">IFERROR($S116/_xlfn.XLOOKUP($AE116,$B$16:$B$38,$S$16:$S$38),0)</f>
        <v>0</v>
      </c>
      <c r="AC116" s="158">
        <f ca="1">IFERROR($T116/_xlfn.XLOOKUP($AE116,$B$16:$B$38,$T$16:$T$38),0)</f>
        <v>0</v>
      </c>
      <c r="AD116" s="164"/>
      <c r="AE116" s="148">
        <f t="shared" si="150"/>
        <v>0</v>
      </c>
      <c r="AF116" s="149"/>
      <c r="AG116" s="150"/>
      <c r="AH116" s="159" t="e">
        <f>S116/$S$79</f>
        <v>#DIV/0!</v>
      </c>
      <c r="AJ116" s="105"/>
      <c r="AK116" s="105"/>
      <c r="AM116" s="105"/>
      <c r="AN116" s="105"/>
      <c r="AO116" s="105"/>
      <c r="AP116" s="105"/>
      <c r="AQ116" s="105"/>
      <c r="AR116" s="105"/>
    </row>
    <row r="117" spans="1:44" s="49" customFormat="1" ht="40.15" hidden="1" customHeight="1">
      <c r="A117" s="10">
        <f t="shared" ca="1" si="83"/>
        <v>0</v>
      </c>
      <c r="B117" s="153"/>
      <c r="C117" s="154"/>
      <c r="D117" s="154"/>
      <c r="E117" s="155"/>
      <c r="F117" s="154"/>
      <c r="G117" s="154"/>
      <c r="H117" s="154"/>
      <c r="I117" s="154"/>
      <c r="J117" s="168"/>
      <c r="K117" s="168"/>
      <c r="L117" s="168"/>
      <c r="M117" s="168"/>
      <c r="N117" s="168"/>
      <c r="O117" s="157"/>
      <c r="P117" s="157"/>
      <c r="Q117" s="157"/>
      <c r="R117" s="157"/>
      <c r="S117" s="162"/>
      <c r="T117" s="162"/>
      <c r="U117" s="162"/>
      <c r="V117" s="162"/>
      <c r="W117" s="162"/>
      <c r="X117" s="163"/>
      <c r="Y117" s="163"/>
      <c r="Z117" s="163"/>
      <c r="AA117" s="163"/>
      <c r="AB117" s="163"/>
      <c r="AC117" s="163"/>
      <c r="AD117" s="164"/>
      <c r="AE117" s="148">
        <f>IF(S118&gt;0,IFERROR(TRUNC(A118,0),0),0)</f>
        <v>0</v>
      </c>
      <c r="AF117" s="149"/>
      <c r="AG117" s="150"/>
      <c r="AH117" s="159"/>
      <c r="AI117" s="160"/>
      <c r="AJ117" s="105"/>
      <c r="AK117" s="105"/>
      <c r="AM117" s="105"/>
      <c r="AN117" s="105"/>
      <c r="AO117" s="105"/>
      <c r="AP117" s="105"/>
      <c r="AQ117" s="105"/>
      <c r="AR117" s="105"/>
    </row>
    <row r="118" spans="1:44" s="105" customFormat="1" ht="40.15" hidden="1" customHeight="1">
      <c r="A118" s="186">
        <f ca="1">$B$19</f>
        <v>0</v>
      </c>
      <c r="B118" s="172"/>
      <c r="C118" s="171"/>
      <c r="D118" s="172"/>
      <c r="E118" s="187" t="str">
        <f>$D$19</f>
        <v>MICRODRENAGEM - TERRAPLENAGEM</v>
      </c>
      <c r="F118" s="174">
        <v>0</v>
      </c>
      <c r="G118" s="175"/>
      <c r="H118" s="176" t="s">
        <v>126</v>
      </c>
      <c r="I118" s="176" t="s">
        <v>126</v>
      </c>
      <c r="J118" s="177"/>
      <c r="K118" s="177"/>
      <c r="L118" s="177"/>
      <c r="M118" s="177"/>
      <c r="N118" s="177"/>
      <c r="O118" s="178" t="str">
        <f ca="1">CONCATENATE("SUB-TOTAL ",$A118)</f>
        <v>SUB-TOTAL 0</v>
      </c>
      <c r="P118" s="178" t="e" cm="1">
        <f t="array" ref="P118">TRUNC($I118*(1+_xlfn.SWITCH($N118,"BDI 1",$P$6,"BDI 2",$P$7,"BDI 3",$P$8)),2)</f>
        <v>#VALUE!</v>
      </c>
      <c r="Q118" s="178" t="str">
        <f ca="1">CONCATENATE("SUB-TOTAL ",$A118)</f>
        <v>SUB-TOTAL 0</v>
      </c>
      <c r="R118" s="178"/>
      <c r="S118" s="179">
        <f>SUM(S119:S202)</f>
        <v>0</v>
      </c>
      <c r="T118" s="179">
        <f>SUM(T119:T202)</f>
        <v>0</v>
      </c>
      <c r="U118" s="179">
        <f>SUM(U119:U202)</f>
        <v>0</v>
      </c>
      <c r="V118" s="179">
        <f>SUM(V119:V202)</f>
        <v>0</v>
      </c>
      <c r="W118" s="179">
        <f t="shared" ref="W118:W181" si="151">TRUNC(V118-U118,2)</f>
        <v>0</v>
      </c>
      <c r="X118" s="180">
        <f t="shared" ref="X118" si="152">$S118/ORCAMENTO_VALOR_TOTAL_ND</f>
        <v>0</v>
      </c>
      <c r="Y118" s="180">
        <f t="shared" ref="Y118" si="153">$T118/ORCAMENTO_VALOR_TOTAL_DE</f>
        <v>0</v>
      </c>
      <c r="Z118" s="180"/>
      <c r="AA118" s="180"/>
      <c r="AB118" s="180">
        <f>IFERROR($S118/$S118,0)</f>
        <v>0</v>
      </c>
      <c r="AC118" s="180">
        <f>IFERROR($T118/$T118,0)</f>
        <v>0</v>
      </c>
      <c r="AD118" s="147"/>
      <c r="AE118" s="148">
        <f t="shared" ref="AE118:AE181" si="154">IF(S118&gt;0,IFERROR(TRUNC(A118,0),0),0)</f>
        <v>0</v>
      </c>
      <c r="AF118" s="149"/>
      <c r="AG118" s="150"/>
      <c r="AH118" s="151" t="e">
        <f t="shared" ref="AH118:AH181" si="155">S118/S$118</f>
        <v>#DIV/0!</v>
      </c>
    </row>
    <row r="119" spans="1:44" s="49" customFormat="1" ht="40.15" hidden="1" customHeight="1">
      <c r="A119" s="152">
        <f t="shared" ref="A119:A182" ca="1" si="156">IF(K119&gt;0,A118+0.01,A118)</f>
        <v>0</v>
      </c>
      <c r="B119" s="153" t="s">
        <v>127</v>
      </c>
      <c r="C119" s="154" t="str">
        <f t="shared" ref="C119:C182" si="157">TEXT(B119,"0")</f>
        <v>DR/0050</v>
      </c>
      <c r="D119" s="154" t="s">
        <v>3549</v>
      </c>
      <c r="E119" s="155" t="s">
        <v>3616</v>
      </c>
      <c r="F119" s="154"/>
      <c r="G119" s="154" t="s">
        <v>3617</v>
      </c>
      <c r="H119" s="152">
        <v>13.36</v>
      </c>
      <c r="I119" s="152">
        <v>13.22</v>
      </c>
      <c r="J119" s="156"/>
      <c r="K119" s="156">
        <f>Dre_Terraplenagem!AI191</f>
        <v>0</v>
      </c>
      <c r="L119" s="156">
        <f t="shared" ref="L119:L182" si="158">IF($K119&gt;$J119,$K119-$J119,0)</f>
        <v>0</v>
      </c>
      <c r="M119" s="156">
        <f t="shared" ref="M119:M182" si="159">IF($K119&lt;$J119,$J119-$K119,0)</f>
        <v>0</v>
      </c>
      <c r="N119" s="156" t="s">
        <v>83</v>
      </c>
      <c r="O119" s="157" cm="1">
        <f t="array" ref="O119">TRUNC($H119*(1+_xlfn.SWITCH($N119,"BDI 1",$O$6,"BDI 2",$O$7,"BDI 3",$O$8)),2)</f>
        <v>16.12</v>
      </c>
      <c r="P119" s="157" cm="1">
        <f t="array" ref="P119">TRUNC($I119*(1+_xlfn.SWITCH($N119,"BDI 1",$P$6,"BDI 2",$P$7,"BDI 3",$P$8)),2)</f>
        <v>16.75</v>
      </c>
      <c r="Q119" s="157">
        <v>0</v>
      </c>
      <c r="R119" s="157">
        <f t="shared" ref="R119:R182" si="160">$Q119-($Q119*LICITACAO_DESCONTO)</f>
        <v>0</v>
      </c>
      <c r="S119" s="156">
        <f t="shared" ref="S119:S182" si="161">TRUNC($K119*$O119,2)</f>
        <v>0</v>
      </c>
      <c r="T119" s="156">
        <f t="shared" ref="T119:T182" si="162">TRUNC($K119*$P119,2)</f>
        <v>0</v>
      </c>
      <c r="U119" s="156">
        <f t="shared" ref="U119:U182" si="163">TRUNC($J119*$R119,2)</f>
        <v>0</v>
      </c>
      <c r="V119" s="156">
        <f t="shared" ref="V119:V182" si="164">TRUNC($K119*$Q119,2)</f>
        <v>0</v>
      </c>
      <c r="W119" s="156">
        <f t="shared" si="151"/>
        <v>0</v>
      </c>
      <c r="X119" s="158">
        <f t="shared" ref="X119" si="165">$S119/ORCAMENTO_VALOR_TOTAL_ND</f>
        <v>0</v>
      </c>
      <c r="Y119" s="158">
        <f t="shared" ref="Y119" si="166">$T119/ORCAMENTO_VALOR_TOTAL_DE</f>
        <v>0</v>
      </c>
      <c r="Z119" s="158" cm="1">
        <f t="array" ref="Z119">_xlfn.SWITCH($N119,"BDI 1",$O$6,"BDI 2",$O$7,"BDI 3",$O$8)</f>
        <v>0.20699999999999999</v>
      </c>
      <c r="AA119" s="158" cm="1">
        <f t="array" ref="AA119">_xlfn.SWITCH($N119,"BDI 1",$P$6,"BDI 2",$P$7,"BDI 3",$P$8)</f>
        <v>0.26739999999999997</v>
      </c>
      <c r="AB119" s="158">
        <f t="shared" ref="AB119:AB182" ca="1" si="167">IFERROR($S119/_xlfn.XLOOKUP($AE119,$B$16:$B$38,$S$16:$S$38),0)</f>
        <v>0</v>
      </c>
      <c r="AC119" s="158">
        <f t="shared" ref="AC119:AC182" ca="1" si="168">IFERROR($T119/_xlfn.XLOOKUP($AE119,$B$16:$B$38,$T$16:$T$38),0)</f>
        <v>0</v>
      </c>
      <c r="AD119" s="164"/>
      <c r="AE119" s="148">
        <f t="shared" si="154"/>
        <v>0</v>
      </c>
      <c r="AF119" s="149"/>
      <c r="AG119" s="150"/>
      <c r="AH119" s="159" t="e">
        <f t="shared" si="155"/>
        <v>#DIV/0!</v>
      </c>
      <c r="AI119" s="160"/>
      <c r="AJ119" s="105"/>
      <c r="AK119" s="105"/>
      <c r="AM119" s="105"/>
      <c r="AN119" s="105"/>
      <c r="AO119" s="105"/>
      <c r="AP119" s="105"/>
      <c r="AQ119" s="105"/>
      <c r="AR119" s="105"/>
    </row>
    <row r="120" spans="1:44" s="49" customFormat="1" ht="40.15" hidden="1" customHeight="1">
      <c r="A120" s="152">
        <f t="shared" ca="1" si="156"/>
        <v>0</v>
      </c>
      <c r="B120" s="153" t="s">
        <v>128</v>
      </c>
      <c r="C120" s="154" t="str">
        <f t="shared" si="157"/>
        <v>DR/0040</v>
      </c>
      <c r="D120" s="154" t="s">
        <v>3549</v>
      </c>
      <c r="E120" s="155" t="s">
        <v>3618</v>
      </c>
      <c r="F120" s="154"/>
      <c r="G120" s="154" t="s">
        <v>58</v>
      </c>
      <c r="H120" s="152">
        <v>79.19</v>
      </c>
      <c r="I120" s="152">
        <v>73.44</v>
      </c>
      <c r="J120" s="156"/>
      <c r="K120" s="156">
        <f>Dre_Ser_Prelim!AI35</f>
        <v>0</v>
      </c>
      <c r="L120" s="156">
        <f t="shared" si="158"/>
        <v>0</v>
      </c>
      <c r="M120" s="156">
        <f t="shared" si="159"/>
        <v>0</v>
      </c>
      <c r="N120" s="156" t="s">
        <v>83</v>
      </c>
      <c r="O120" s="157" cm="1">
        <f t="array" ref="O120">TRUNC($H120*(1+_xlfn.SWITCH($N120,"BDI 1",$O$6,"BDI 2",$O$7,"BDI 3",$O$8)),2)</f>
        <v>95.58</v>
      </c>
      <c r="P120" s="157" cm="1">
        <f t="array" ref="P120">TRUNC($I120*(1+_xlfn.SWITCH($N120,"BDI 1",$P$6,"BDI 2",$P$7,"BDI 3",$P$8)),2)</f>
        <v>93.07</v>
      </c>
      <c r="Q120" s="157">
        <v>0</v>
      </c>
      <c r="R120" s="157">
        <f t="shared" si="160"/>
        <v>0</v>
      </c>
      <c r="S120" s="156">
        <f t="shared" si="161"/>
        <v>0</v>
      </c>
      <c r="T120" s="156">
        <f t="shared" si="162"/>
        <v>0</v>
      </c>
      <c r="U120" s="156">
        <f t="shared" si="163"/>
        <v>0</v>
      </c>
      <c r="V120" s="156">
        <f t="shared" si="164"/>
        <v>0</v>
      </c>
      <c r="W120" s="156">
        <f t="shared" si="151"/>
        <v>0</v>
      </c>
      <c r="X120" s="158">
        <f t="shared" ref="X120" si="169">$S120/ORCAMENTO_VALOR_TOTAL_ND</f>
        <v>0</v>
      </c>
      <c r="Y120" s="158">
        <f t="shared" ref="Y120" si="170">$T120/ORCAMENTO_VALOR_TOTAL_DE</f>
        <v>0</v>
      </c>
      <c r="Z120" s="158" cm="1">
        <f t="array" ref="Z120">_xlfn.SWITCH($N120,"BDI 1",$O$6,"BDI 2",$O$7,"BDI 3",$O$8)</f>
        <v>0.20699999999999999</v>
      </c>
      <c r="AA120" s="158" cm="1">
        <f t="array" ref="AA120">_xlfn.SWITCH($N120,"BDI 1",$P$6,"BDI 2",$P$7,"BDI 3",$P$8)</f>
        <v>0.26739999999999997</v>
      </c>
      <c r="AB120" s="158">
        <f t="shared" ca="1" si="167"/>
        <v>0</v>
      </c>
      <c r="AC120" s="158">
        <f t="shared" ca="1" si="168"/>
        <v>0</v>
      </c>
      <c r="AD120" s="164"/>
      <c r="AE120" s="148">
        <f t="shared" si="154"/>
        <v>0</v>
      </c>
      <c r="AF120" s="149"/>
      <c r="AG120" s="150"/>
      <c r="AH120" s="159" t="e">
        <f t="shared" si="155"/>
        <v>#DIV/0!</v>
      </c>
      <c r="AI120" s="160"/>
      <c r="AJ120" s="105"/>
      <c r="AK120" s="105"/>
      <c r="AM120" s="105"/>
      <c r="AN120" s="105"/>
      <c r="AO120" s="105"/>
      <c r="AP120" s="105"/>
      <c r="AQ120" s="105"/>
      <c r="AR120" s="105"/>
    </row>
    <row r="121" spans="1:44" s="49" customFormat="1" ht="40.15" hidden="1" customHeight="1">
      <c r="A121" s="152">
        <f t="shared" ca="1" si="156"/>
        <v>0</v>
      </c>
      <c r="B121" s="153" t="s">
        <v>129</v>
      </c>
      <c r="C121" s="154" t="str">
        <f t="shared" si="157"/>
        <v>DR/0045</v>
      </c>
      <c r="D121" s="154" t="s">
        <v>3549</v>
      </c>
      <c r="E121" s="155" t="s">
        <v>3619</v>
      </c>
      <c r="F121" s="154"/>
      <c r="G121" s="154" t="s">
        <v>58</v>
      </c>
      <c r="H121" s="152">
        <v>134.24</v>
      </c>
      <c r="I121" s="152">
        <v>126.14</v>
      </c>
      <c r="J121" s="156"/>
      <c r="K121" s="156">
        <f>Dre_Ser_Prelim!AI36</f>
        <v>0</v>
      </c>
      <c r="L121" s="156">
        <f t="shared" si="158"/>
        <v>0</v>
      </c>
      <c r="M121" s="156">
        <f t="shared" si="159"/>
        <v>0</v>
      </c>
      <c r="N121" s="156" t="s">
        <v>83</v>
      </c>
      <c r="O121" s="157" cm="1">
        <f t="array" ref="O121">TRUNC($H121*(1+_xlfn.SWITCH($N121,"BDI 1",$O$6,"BDI 2",$O$7,"BDI 3",$O$8)),2)</f>
        <v>162.02000000000001</v>
      </c>
      <c r="P121" s="157" cm="1">
        <f t="array" ref="P121">TRUNC($I121*(1+_xlfn.SWITCH($N121,"BDI 1",$P$6,"BDI 2",$P$7,"BDI 3",$P$8)),2)</f>
        <v>159.86000000000001</v>
      </c>
      <c r="Q121" s="157">
        <v>0</v>
      </c>
      <c r="R121" s="157">
        <f t="shared" si="160"/>
        <v>0</v>
      </c>
      <c r="S121" s="156">
        <f t="shared" si="161"/>
        <v>0</v>
      </c>
      <c r="T121" s="156">
        <f t="shared" si="162"/>
        <v>0</v>
      </c>
      <c r="U121" s="156">
        <f t="shared" si="163"/>
        <v>0</v>
      </c>
      <c r="V121" s="156">
        <f t="shared" si="164"/>
        <v>0</v>
      </c>
      <c r="W121" s="156">
        <f t="shared" si="151"/>
        <v>0</v>
      </c>
      <c r="X121" s="158">
        <f t="shared" ref="X121" si="171">$S121/ORCAMENTO_VALOR_TOTAL_ND</f>
        <v>0</v>
      </c>
      <c r="Y121" s="158">
        <f t="shared" ref="Y121" si="172">$T121/ORCAMENTO_VALOR_TOTAL_DE</f>
        <v>0</v>
      </c>
      <c r="Z121" s="158" cm="1">
        <f t="array" ref="Z121">_xlfn.SWITCH($N121,"BDI 1",$O$6,"BDI 2",$O$7,"BDI 3",$O$8)</f>
        <v>0.20699999999999999</v>
      </c>
      <c r="AA121" s="158" cm="1">
        <f t="array" ref="AA121">_xlfn.SWITCH($N121,"BDI 1",$P$6,"BDI 2",$P$7,"BDI 3",$P$8)</f>
        <v>0.26739999999999997</v>
      </c>
      <c r="AB121" s="158">
        <f t="shared" ca="1" si="167"/>
        <v>0</v>
      </c>
      <c r="AC121" s="158">
        <f t="shared" ca="1" si="168"/>
        <v>0</v>
      </c>
      <c r="AD121" s="164"/>
      <c r="AE121" s="148">
        <f t="shared" si="154"/>
        <v>0</v>
      </c>
      <c r="AF121" s="149"/>
      <c r="AG121" s="150"/>
      <c r="AH121" s="159" t="e">
        <f t="shared" si="155"/>
        <v>#DIV/0!</v>
      </c>
      <c r="AI121" s="160"/>
      <c r="AJ121" s="181" t="s">
        <v>105</v>
      </c>
      <c r="AK121" s="181" t="s">
        <v>106</v>
      </c>
      <c r="AM121" s="105"/>
      <c r="AN121" s="105"/>
      <c r="AO121" s="105"/>
      <c r="AP121" s="105"/>
      <c r="AQ121" s="105"/>
      <c r="AR121" s="105"/>
    </row>
    <row r="122" spans="1:44" s="49" customFormat="1" ht="49.9" hidden="1" customHeight="1">
      <c r="A122" s="152">
        <f t="shared" ca="1" si="156"/>
        <v>0</v>
      </c>
      <c r="B122" s="153">
        <v>90099</v>
      </c>
      <c r="C122" s="154" t="str">
        <f t="shared" si="157"/>
        <v>90099</v>
      </c>
      <c r="D122" s="154" t="s">
        <v>1416</v>
      </c>
      <c r="E122" s="155" t="s">
        <v>3620</v>
      </c>
      <c r="F122" s="154"/>
      <c r="G122" s="154" t="s">
        <v>464</v>
      </c>
      <c r="H122" s="152">
        <v>15.75</v>
      </c>
      <c r="I122" s="152">
        <v>15.19</v>
      </c>
      <c r="J122" s="156"/>
      <c r="K122" s="156">
        <f>Dre_Terraplenagem!AI60</f>
        <v>0</v>
      </c>
      <c r="L122" s="156">
        <f t="shared" si="158"/>
        <v>0</v>
      </c>
      <c r="M122" s="156">
        <f t="shared" si="159"/>
        <v>0</v>
      </c>
      <c r="N122" s="156" t="s">
        <v>83</v>
      </c>
      <c r="O122" s="157" cm="1">
        <f t="array" ref="O122">TRUNC($H122*(1+_xlfn.SWITCH($N122,"BDI 1",$O$6,"BDI 2",$O$7,"BDI 3",$O$8)),2)</f>
        <v>19.010000000000002</v>
      </c>
      <c r="P122" s="157" cm="1">
        <f t="array" ref="P122">TRUNC($I122*(1+_xlfn.SWITCH($N122,"BDI 1",$P$6,"BDI 2",$P$7,"BDI 3",$P$8)),2)</f>
        <v>19.25</v>
      </c>
      <c r="Q122" s="157">
        <v>0</v>
      </c>
      <c r="R122" s="157">
        <f t="shared" si="160"/>
        <v>0</v>
      </c>
      <c r="S122" s="156">
        <f t="shared" si="161"/>
        <v>0</v>
      </c>
      <c r="T122" s="156">
        <f t="shared" si="162"/>
        <v>0</v>
      </c>
      <c r="U122" s="156">
        <f t="shared" si="163"/>
        <v>0</v>
      </c>
      <c r="V122" s="156">
        <f t="shared" si="164"/>
        <v>0</v>
      </c>
      <c r="W122" s="156">
        <f t="shared" si="151"/>
        <v>0</v>
      </c>
      <c r="X122" s="158">
        <f t="shared" ref="X122" si="173">$S122/ORCAMENTO_VALOR_TOTAL_ND</f>
        <v>0</v>
      </c>
      <c r="Y122" s="158">
        <f t="shared" ref="Y122" si="174">$T122/ORCAMENTO_VALOR_TOTAL_DE</f>
        <v>0</v>
      </c>
      <c r="Z122" s="158" cm="1">
        <f t="array" ref="Z122">_xlfn.SWITCH($N122,"BDI 1",$O$6,"BDI 2",$O$7,"BDI 3",$O$8)</f>
        <v>0.20699999999999999</v>
      </c>
      <c r="AA122" s="158" cm="1">
        <f t="array" ref="AA122">_xlfn.SWITCH($N122,"BDI 1",$P$6,"BDI 2",$P$7,"BDI 3",$P$8)</f>
        <v>0.26739999999999997</v>
      </c>
      <c r="AB122" s="158">
        <f t="shared" ca="1" si="167"/>
        <v>0</v>
      </c>
      <c r="AC122" s="158">
        <f t="shared" ca="1" si="168"/>
        <v>0</v>
      </c>
      <c r="AD122" s="164"/>
      <c r="AE122" s="148">
        <f t="shared" si="154"/>
        <v>0</v>
      </c>
      <c r="AF122" s="149"/>
      <c r="AG122" s="150"/>
      <c r="AH122" s="159" t="e">
        <f t="shared" si="155"/>
        <v>#DIV/0!</v>
      </c>
      <c r="AI122" s="2425">
        <v>0</v>
      </c>
      <c r="AJ122" s="182">
        <v>0</v>
      </c>
      <c r="AK122" s="183" t="e">
        <f t="shared" ref="AK122:AK141" si="175">K122/AJ122</f>
        <v>#DIV/0!</v>
      </c>
      <c r="AM122" s="105"/>
      <c r="AN122" s="105"/>
      <c r="AO122" s="105"/>
      <c r="AP122" s="105"/>
      <c r="AQ122" s="105"/>
      <c r="AR122" s="105"/>
    </row>
    <row r="123" spans="1:44" s="49" customFormat="1" ht="49.9" hidden="1" customHeight="1">
      <c r="A123" s="152">
        <f t="shared" ca="1" si="156"/>
        <v>0</v>
      </c>
      <c r="B123" s="153">
        <v>90100</v>
      </c>
      <c r="C123" s="154" t="str">
        <f t="shared" si="157"/>
        <v>90100</v>
      </c>
      <c r="D123" s="154" t="s">
        <v>1416</v>
      </c>
      <c r="E123" s="155" t="s">
        <v>3621</v>
      </c>
      <c r="F123" s="154"/>
      <c r="G123" s="154" t="s">
        <v>464</v>
      </c>
      <c r="H123" s="152">
        <v>13.38</v>
      </c>
      <c r="I123" s="152">
        <v>12.89</v>
      </c>
      <c r="J123" s="156"/>
      <c r="K123" s="156">
        <f>Dre_Terraplenagem!AI61</f>
        <v>0</v>
      </c>
      <c r="L123" s="156">
        <f t="shared" si="158"/>
        <v>0</v>
      </c>
      <c r="M123" s="156">
        <f t="shared" si="159"/>
        <v>0</v>
      </c>
      <c r="N123" s="156" t="s">
        <v>83</v>
      </c>
      <c r="O123" s="157" cm="1">
        <f t="array" ref="O123">TRUNC($H123*(1+_xlfn.SWITCH($N123,"BDI 1",$O$6,"BDI 2",$O$7,"BDI 3",$O$8)),2)</f>
        <v>16.14</v>
      </c>
      <c r="P123" s="157" cm="1">
        <f t="array" ref="P123">TRUNC($I123*(1+_xlfn.SWITCH($N123,"BDI 1",$P$6,"BDI 2",$P$7,"BDI 3",$P$8)),2)</f>
        <v>16.329999999999998</v>
      </c>
      <c r="Q123" s="157">
        <v>0</v>
      </c>
      <c r="R123" s="157">
        <f t="shared" si="160"/>
        <v>0</v>
      </c>
      <c r="S123" s="156">
        <f t="shared" si="161"/>
        <v>0</v>
      </c>
      <c r="T123" s="156">
        <f t="shared" si="162"/>
        <v>0</v>
      </c>
      <c r="U123" s="156">
        <f t="shared" si="163"/>
        <v>0</v>
      </c>
      <c r="V123" s="156">
        <f t="shared" si="164"/>
        <v>0</v>
      </c>
      <c r="W123" s="156">
        <f t="shared" si="151"/>
        <v>0</v>
      </c>
      <c r="X123" s="158">
        <f t="shared" ref="X123" si="176">$S123/ORCAMENTO_VALOR_TOTAL_ND</f>
        <v>0</v>
      </c>
      <c r="Y123" s="158">
        <f t="shared" ref="Y123" si="177">$T123/ORCAMENTO_VALOR_TOTAL_DE</f>
        <v>0</v>
      </c>
      <c r="Z123" s="158" cm="1">
        <f t="array" ref="Z123">_xlfn.SWITCH($N123,"BDI 1",$O$6,"BDI 2",$O$7,"BDI 3",$O$8)</f>
        <v>0.20699999999999999</v>
      </c>
      <c r="AA123" s="158" cm="1">
        <f t="array" ref="AA123">_xlfn.SWITCH($N123,"BDI 1",$P$6,"BDI 2",$P$7,"BDI 3",$P$8)</f>
        <v>0.26739999999999997</v>
      </c>
      <c r="AB123" s="158">
        <f t="shared" ca="1" si="167"/>
        <v>0</v>
      </c>
      <c r="AC123" s="158">
        <f t="shared" ca="1" si="168"/>
        <v>0</v>
      </c>
      <c r="AD123" s="164"/>
      <c r="AE123" s="148">
        <f t="shared" si="154"/>
        <v>0</v>
      </c>
      <c r="AF123" s="149"/>
      <c r="AG123" s="150"/>
      <c r="AH123" s="159" t="e">
        <f t="shared" si="155"/>
        <v>#DIV/0!</v>
      </c>
      <c r="AI123" s="2425"/>
      <c r="AJ123" s="182">
        <v>0</v>
      </c>
      <c r="AK123" s="183" t="e">
        <f t="shared" si="175"/>
        <v>#DIV/0!</v>
      </c>
      <c r="AM123" s="105"/>
      <c r="AN123" s="105"/>
      <c r="AO123" s="105"/>
      <c r="AP123" s="105"/>
      <c r="AQ123" s="105"/>
      <c r="AR123" s="105"/>
    </row>
    <row r="124" spans="1:44" s="49" customFormat="1" ht="49.9" hidden="1" customHeight="1">
      <c r="A124" s="152">
        <f t="shared" ca="1" si="156"/>
        <v>0</v>
      </c>
      <c r="B124" s="153">
        <v>90082</v>
      </c>
      <c r="C124" s="154" t="str">
        <f t="shared" si="157"/>
        <v>90082</v>
      </c>
      <c r="D124" s="154" t="s">
        <v>1416</v>
      </c>
      <c r="E124" s="155" t="s">
        <v>3622</v>
      </c>
      <c r="F124" s="154"/>
      <c r="G124" s="154" t="s">
        <v>464</v>
      </c>
      <c r="H124" s="152">
        <v>10.6</v>
      </c>
      <c r="I124" s="152">
        <v>10.42</v>
      </c>
      <c r="J124" s="156"/>
      <c r="K124" s="156">
        <f>Dre_Terraplenagem!AI62</f>
        <v>0</v>
      </c>
      <c r="L124" s="156">
        <f t="shared" si="158"/>
        <v>0</v>
      </c>
      <c r="M124" s="156">
        <f t="shared" si="159"/>
        <v>0</v>
      </c>
      <c r="N124" s="156" t="s">
        <v>83</v>
      </c>
      <c r="O124" s="157" cm="1">
        <f t="array" ref="O124">TRUNC($H124*(1+_xlfn.SWITCH($N124,"BDI 1",$O$6,"BDI 2",$O$7,"BDI 3",$O$8)),2)</f>
        <v>12.79</v>
      </c>
      <c r="P124" s="157" cm="1">
        <f t="array" ref="P124">TRUNC($I124*(1+_xlfn.SWITCH($N124,"BDI 1",$P$6,"BDI 2",$P$7,"BDI 3",$P$8)),2)</f>
        <v>13.2</v>
      </c>
      <c r="Q124" s="157">
        <v>0</v>
      </c>
      <c r="R124" s="157">
        <f t="shared" si="160"/>
        <v>0</v>
      </c>
      <c r="S124" s="156">
        <f t="shared" si="161"/>
        <v>0</v>
      </c>
      <c r="T124" s="156">
        <f t="shared" si="162"/>
        <v>0</v>
      </c>
      <c r="U124" s="156">
        <f t="shared" si="163"/>
        <v>0</v>
      </c>
      <c r="V124" s="156">
        <f t="shared" si="164"/>
        <v>0</v>
      </c>
      <c r="W124" s="156">
        <f t="shared" si="151"/>
        <v>0</v>
      </c>
      <c r="X124" s="158">
        <f t="shared" ref="X124" si="178">$S124/ORCAMENTO_VALOR_TOTAL_ND</f>
        <v>0</v>
      </c>
      <c r="Y124" s="158">
        <f t="shared" ref="Y124" si="179">$T124/ORCAMENTO_VALOR_TOTAL_DE</f>
        <v>0</v>
      </c>
      <c r="Z124" s="158" cm="1">
        <f t="array" ref="Z124">_xlfn.SWITCH($N124,"BDI 1",$O$6,"BDI 2",$O$7,"BDI 3",$O$8)</f>
        <v>0.20699999999999999</v>
      </c>
      <c r="AA124" s="158" cm="1">
        <f t="array" ref="AA124">_xlfn.SWITCH($N124,"BDI 1",$P$6,"BDI 2",$P$7,"BDI 3",$P$8)</f>
        <v>0.26739999999999997</v>
      </c>
      <c r="AB124" s="158">
        <f t="shared" ca="1" si="167"/>
        <v>0</v>
      </c>
      <c r="AC124" s="158">
        <f t="shared" ca="1" si="168"/>
        <v>0</v>
      </c>
      <c r="AD124" s="164"/>
      <c r="AE124" s="148">
        <f t="shared" si="154"/>
        <v>0</v>
      </c>
      <c r="AF124" s="149"/>
      <c r="AG124" s="150"/>
      <c r="AH124" s="159" t="e">
        <f t="shared" si="155"/>
        <v>#DIV/0!</v>
      </c>
      <c r="AI124" s="2425"/>
      <c r="AJ124" s="182">
        <v>0</v>
      </c>
      <c r="AK124" s="183" t="e">
        <f t="shared" si="175"/>
        <v>#DIV/0!</v>
      </c>
      <c r="AM124" s="105"/>
      <c r="AN124" s="105"/>
      <c r="AO124" s="105"/>
      <c r="AP124" s="105"/>
      <c r="AQ124" s="105"/>
      <c r="AR124" s="105"/>
    </row>
    <row r="125" spans="1:44" s="49" customFormat="1" ht="49.9" hidden="1" customHeight="1">
      <c r="A125" s="152">
        <f t="shared" ca="1" si="156"/>
        <v>0</v>
      </c>
      <c r="B125" s="153">
        <v>90101</v>
      </c>
      <c r="C125" s="154" t="str">
        <f t="shared" si="157"/>
        <v>90101</v>
      </c>
      <c r="D125" s="154" t="s">
        <v>1416</v>
      </c>
      <c r="E125" s="155" t="s">
        <v>3623</v>
      </c>
      <c r="F125" s="154"/>
      <c r="G125" s="154" t="s">
        <v>464</v>
      </c>
      <c r="H125" s="152">
        <v>13.22</v>
      </c>
      <c r="I125" s="152">
        <v>12.75</v>
      </c>
      <c r="J125" s="156"/>
      <c r="K125" s="156">
        <f>Dre_Terraplenagem!AI63</f>
        <v>0</v>
      </c>
      <c r="L125" s="156">
        <f t="shared" si="158"/>
        <v>0</v>
      </c>
      <c r="M125" s="156">
        <f t="shared" si="159"/>
        <v>0</v>
      </c>
      <c r="N125" s="156" t="s">
        <v>83</v>
      </c>
      <c r="O125" s="157" cm="1">
        <f t="array" ref="O125">TRUNC($H125*(1+_xlfn.SWITCH($N125,"BDI 1",$O$6,"BDI 2",$O$7,"BDI 3",$O$8)),2)</f>
        <v>15.95</v>
      </c>
      <c r="P125" s="157" cm="1">
        <f t="array" ref="P125">TRUNC($I125*(1+_xlfn.SWITCH($N125,"BDI 1",$P$6,"BDI 2",$P$7,"BDI 3",$P$8)),2)</f>
        <v>16.149999999999999</v>
      </c>
      <c r="Q125" s="157">
        <v>0</v>
      </c>
      <c r="R125" s="157">
        <f t="shared" si="160"/>
        <v>0</v>
      </c>
      <c r="S125" s="156">
        <f t="shared" si="161"/>
        <v>0</v>
      </c>
      <c r="T125" s="156">
        <f t="shared" si="162"/>
        <v>0</v>
      </c>
      <c r="U125" s="156">
        <f t="shared" si="163"/>
        <v>0</v>
      </c>
      <c r="V125" s="156">
        <f t="shared" si="164"/>
        <v>0</v>
      </c>
      <c r="W125" s="156">
        <f t="shared" si="151"/>
        <v>0</v>
      </c>
      <c r="X125" s="158">
        <f t="shared" ref="X125" si="180">$S125/ORCAMENTO_VALOR_TOTAL_ND</f>
        <v>0</v>
      </c>
      <c r="Y125" s="158">
        <f t="shared" ref="Y125" si="181">$T125/ORCAMENTO_VALOR_TOTAL_DE</f>
        <v>0</v>
      </c>
      <c r="Z125" s="158" cm="1">
        <f t="array" ref="Z125">_xlfn.SWITCH($N125,"BDI 1",$O$6,"BDI 2",$O$7,"BDI 3",$O$8)</f>
        <v>0.20699999999999999</v>
      </c>
      <c r="AA125" s="158" cm="1">
        <f t="array" ref="AA125">_xlfn.SWITCH($N125,"BDI 1",$P$6,"BDI 2",$P$7,"BDI 3",$P$8)</f>
        <v>0.26739999999999997</v>
      </c>
      <c r="AB125" s="158">
        <f t="shared" ca="1" si="167"/>
        <v>0</v>
      </c>
      <c r="AC125" s="158">
        <f t="shared" ca="1" si="168"/>
        <v>0</v>
      </c>
      <c r="AD125" s="164"/>
      <c r="AE125" s="148">
        <f t="shared" si="154"/>
        <v>0</v>
      </c>
      <c r="AF125" s="149"/>
      <c r="AG125" s="150"/>
      <c r="AH125" s="159" t="e">
        <f t="shared" si="155"/>
        <v>#DIV/0!</v>
      </c>
      <c r="AI125" s="2422">
        <v>0</v>
      </c>
      <c r="AJ125" s="182">
        <v>0</v>
      </c>
      <c r="AK125" s="183" t="e">
        <f t="shared" si="175"/>
        <v>#DIV/0!</v>
      </c>
      <c r="AM125" s="105"/>
      <c r="AN125" s="105"/>
      <c r="AO125" s="105"/>
      <c r="AP125" s="105"/>
      <c r="AQ125" s="105"/>
      <c r="AR125" s="105"/>
    </row>
    <row r="126" spans="1:44" s="49" customFormat="1" ht="49.9" hidden="1" customHeight="1">
      <c r="A126" s="152">
        <f t="shared" ca="1" si="156"/>
        <v>0</v>
      </c>
      <c r="B126" s="153">
        <v>90102</v>
      </c>
      <c r="C126" s="154" t="str">
        <f t="shared" si="157"/>
        <v>90102</v>
      </c>
      <c r="D126" s="154" t="s">
        <v>1416</v>
      </c>
      <c r="E126" s="155" t="s">
        <v>3624</v>
      </c>
      <c r="F126" s="154"/>
      <c r="G126" s="154" t="s">
        <v>464</v>
      </c>
      <c r="H126" s="152">
        <v>12.02</v>
      </c>
      <c r="I126" s="152">
        <v>11.6</v>
      </c>
      <c r="J126" s="156"/>
      <c r="K126" s="156">
        <f>Dre_Terraplenagem!AI64</f>
        <v>0</v>
      </c>
      <c r="L126" s="156">
        <f t="shared" si="158"/>
        <v>0</v>
      </c>
      <c r="M126" s="156">
        <f t="shared" si="159"/>
        <v>0</v>
      </c>
      <c r="N126" s="156" t="s">
        <v>83</v>
      </c>
      <c r="O126" s="157" cm="1">
        <f t="array" ref="O126">TRUNC($H126*(1+_xlfn.SWITCH($N126,"BDI 1",$O$6,"BDI 2",$O$7,"BDI 3",$O$8)),2)</f>
        <v>14.5</v>
      </c>
      <c r="P126" s="157" cm="1">
        <f t="array" ref="P126">TRUNC($I126*(1+_xlfn.SWITCH($N126,"BDI 1",$P$6,"BDI 2",$P$7,"BDI 3",$P$8)),2)</f>
        <v>14.7</v>
      </c>
      <c r="Q126" s="157">
        <v>0</v>
      </c>
      <c r="R126" s="157">
        <f t="shared" si="160"/>
        <v>0</v>
      </c>
      <c r="S126" s="156">
        <f t="shared" si="161"/>
        <v>0</v>
      </c>
      <c r="T126" s="156">
        <f t="shared" si="162"/>
        <v>0</v>
      </c>
      <c r="U126" s="156">
        <f t="shared" si="163"/>
        <v>0</v>
      </c>
      <c r="V126" s="156">
        <f t="shared" si="164"/>
        <v>0</v>
      </c>
      <c r="W126" s="156">
        <f t="shared" si="151"/>
        <v>0</v>
      </c>
      <c r="X126" s="158">
        <f t="shared" ref="X126" si="182">$S126/ORCAMENTO_VALOR_TOTAL_ND</f>
        <v>0</v>
      </c>
      <c r="Y126" s="158">
        <f t="shared" ref="Y126" si="183">$T126/ORCAMENTO_VALOR_TOTAL_DE</f>
        <v>0</v>
      </c>
      <c r="Z126" s="158" cm="1">
        <f t="array" ref="Z126">_xlfn.SWITCH($N126,"BDI 1",$O$6,"BDI 2",$O$7,"BDI 3",$O$8)</f>
        <v>0.20699999999999999</v>
      </c>
      <c r="AA126" s="158" cm="1">
        <f t="array" ref="AA126">_xlfn.SWITCH($N126,"BDI 1",$P$6,"BDI 2",$P$7,"BDI 3",$P$8)</f>
        <v>0.26739999999999997</v>
      </c>
      <c r="AB126" s="158">
        <f t="shared" ca="1" si="167"/>
        <v>0</v>
      </c>
      <c r="AC126" s="158">
        <f t="shared" ca="1" si="168"/>
        <v>0</v>
      </c>
      <c r="AD126" s="164"/>
      <c r="AE126" s="148">
        <f t="shared" si="154"/>
        <v>0</v>
      </c>
      <c r="AF126" s="149"/>
      <c r="AG126" s="150"/>
      <c r="AH126" s="159" t="e">
        <f t="shared" si="155"/>
        <v>#DIV/0!</v>
      </c>
      <c r="AI126" s="2422"/>
      <c r="AJ126" s="182">
        <v>0</v>
      </c>
      <c r="AK126" s="183" t="e">
        <f t="shared" si="175"/>
        <v>#DIV/0!</v>
      </c>
      <c r="AM126" s="105"/>
      <c r="AN126" s="105"/>
      <c r="AO126" s="105"/>
      <c r="AP126" s="105"/>
      <c r="AQ126" s="105"/>
      <c r="AR126" s="105"/>
    </row>
    <row r="127" spans="1:44" s="49" customFormat="1" ht="49.9" hidden="1" customHeight="1">
      <c r="A127" s="152">
        <f t="shared" ca="1" si="156"/>
        <v>0</v>
      </c>
      <c r="B127" s="153">
        <v>102278</v>
      </c>
      <c r="C127" s="154" t="str">
        <f t="shared" si="157"/>
        <v>102278</v>
      </c>
      <c r="D127" s="154" t="s">
        <v>1416</v>
      </c>
      <c r="E127" s="155" t="s">
        <v>3625</v>
      </c>
      <c r="F127" s="154"/>
      <c r="G127" s="154" t="s">
        <v>464</v>
      </c>
      <c r="H127" s="152">
        <v>9.24</v>
      </c>
      <c r="I127" s="152">
        <v>9.11</v>
      </c>
      <c r="J127" s="156"/>
      <c r="K127" s="156">
        <f>Dre_Terraplenagem!AI65</f>
        <v>0</v>
      </c>
      <c r="L127" s="156">
        <f t="shared" si="158"/>
        <v>0</v>
      </c>
      <c r="M127" s="156">
        <f t="shared" si="159"/>
        <v>0</v>
      </c>
      <c r="N127" s="156" t="s">
        <v>83</v>
      </c>
      <c r="O127" s="157" cm="1">
        <f t="array" ref="O127">TRUNC($H127*(1+_xlfn.SWITCH($N127,"BDI 1",$O$6,"BDI 2",$O$7,"BDI 3",$O$8)),2)</f>
        <v>11.15</v>
      </c>
      <c r="P127" s="157" cm="1">
        <f t="array" ref="P127">TRUNC($I127*(1+_xlfn.SWITCH($N127,"BDI 1",$P$6,"BDI 2",$P$7,"BDI 3",$P$8)),2)</f>
        <v>11.54</v>
      </c>
      <c r="Q127" s="157">
        <v>0</v>
      </c>
      <c r="R127" s="157">
        <f t="shared" si="160"/>
        <v>0</v>
      </c>
      <c r="S127" s="156">
        <f t="shared" si="161"/>
        <v>0</v>
      </c>
      <c r="T127" s="156">
        <f t="shared" si="162"/>
        <v>0</v>
      </c>
      <c r="U127" s="156">
        <f t="shared" si="163"/>
        <v>0</v>
      </c>
      <c r="V127" s="156">
        <f t="shared" si="164"/>
        <v>0</v>
      </c>
      <c r="W127" s="156">
        <f t="shared" si="151"/>
        <v>0</v>
      </c>
      <c r="X127" s="158">
        <f t="shared" ref="X127" si="184">$S127/ORCAMENTO_VALOR_TOTAL_ND</f>
        <v>0</v>
      </c>
      <c r="Y127" s="158">
        <f t="shared" ref="Y127" si="185">$T127/ORCAMENTO_VALOR_TOTAL_DE</f>
        <v>0</v>
      </c>
      <c r="Z127" s="158" cm="1">
        <f t="array" ref="Z127">_xlfn.SWITCH($N127,"BDI 1",$O$6,"BDI 2",$O$7,"BDI 3",$O$8)</f>
        <v>0.20699999999999999</v>
      </c>
      <c r="AA127" s="158" cm="1">
        <f t="array" ref="AA127">_xlfn.SWITCH($N127,"BDI 1",$P$6,"BDI 2",$P$7,"BDI 3",$P$8)</f>
        <v>0.26739999999999997</v>
      </c>
      <c r="AB127" s="158">
        <f t="shared" ca="1" si="167"/>
        <v>0</v>
      </c>
      <c r="AC127" s="158">
        <f t="shared" ca="1" si="168"/>
        <v>0</v>
      </c>
      <c r="AD127" s="164"/>
      <c r="AE127" s="148">
        <f t="shared" si="154"/>
        <v>0</v>
      </c>
      <c r="AF127" s="149"/>
      <c r="AG127" s="150"/>
      <c r="AH127" s="159" t="e">
        <f t="shared" si="155"/>
        <v>#DIV/0!</v>
      </c>
      <c r="AI127" s="2422"/>
      <c r="AJ127" s="182">
        <v>14.75</v>
      </c>
      <c r="AK127" s="183">
        <f t="shared" si="175"/>
        <v>0</v>
      </c>
      <c r="AM127" s="105"/>
      <c r="AN127" s="105"/>
      <c r="AO127" s="105"/>
      <c r="AP127" s="105"/>
      <c r="AQ127" s="105"/>
      <c r="AR127" s="105"/>
    </row>
    <row r="128" spans="1:44" s="49" customFormat="1" ht="49.9" hidden="1" customHeight="1">
      <c r="A128" s="152">
        <f t="shared" ca="1" si="156"/>
        <v>0</v>
      </c>
      <c r="B128" s="153">
        <v>90086</v>
      </c>
      <c r="C128" s="154" t="str">
        <f t="shared" si="157"/>
        <v>90086</v>
      </c>
      <c r="D128" s="154" t="s">
        <v>1416</v>
      </c>
      <c r="E128" s="155" t="s">
        <v>3626</v>
      </c>
      <c r="F128" s="154"/>
      <c r="G128" s="154" t="s">
        <v>464</v>
      </c>
      <c r="H128" s="152">
        <v>9.6999999999999993</v>
      </c>
      <c r="I128" s="152">
        <v>9.5399999999999991</v>
      </c>
      <c r="J128" s="156"/>
      <c r="K128" s="156">
        <f>Dre_Terraplenagem!AI66</f>
        <v>0</v>
      </c>
      <c r="L128" s="156">
        <f t="shared" si="158"/>
        <v>0</v>
      </c>
      <c r="M128" s="156">
        <f t="shared" si="159"/>
        <v>0</v>
      </c>
      <c r="N128" s="156" t="s">
        <v>83</v>
      </c>
      <c r="O128" s="157" cm="1">
        <f t="array" ref="O128">TRUNC($H128*(1+_xlfn.SWITCH($N128,"BDI 1",$O$6,"BDI 2",$O$7,"BDI 3",$O$8)),2)</f>
        <v>11.7</v>
      </c>
      <c r="P128" s="157" cm="1">
        <f t="array" ref="P128">TRUNC($I128*(1+_xlfn.SWITCH($N128,"BDI 1",$P$6,"BDI 2",$P$7,"BDI 3",$P$8)),2)</f>
        <v>12.09</v>
      </c>
      <c r="Q128" s="157">
        <v>0</v>
      </c>
      <c r="R128" s="157">
        <f t="shared" si="160"/>
        <v>0</v>
      </c>
      <c r="S128" s="156">
        <f t="shared" si="161"/>
        <v>0</v>
      </c>
      <c r="T128" s="156">
        <f t="shared" si="162"/>
        <v>0</v>
      </c>
      <c r="U128" s="156">
        <f t="shared" si="163"/>
        <v>0</v>
      </c>
      <c r="V128" s="156">
        <f t="shared" si="164"/>
        <v>0</v>
      </c>
      <c r="W128" s="156">
        <f t="shared" si="151"/>
        <v>0</v>
      </c>
      <c r="X128" s="158">
        <f t="shared" ref="X128" si="186">$S128/ORCAMENTO_VALOR_TOTAL_ND</f>
        <v>0</v>
      </c>
      <c r="Y128" s="158">
        <f t="shared" ref="Y128" si="187">$T128/ORCAMENTO_VALOR_TOTAL_DE</f>
        <v>0</v>
      </c>
      <c r="Z128" s="158" cm="1">
        <f t="array" ref="Z128">_xlfn.SWITCH($N128,"BDI 1",$O$6,"BDI 2",$O$7,"BDI 3",$O$8)</f>
        <v>0.20699999999999999</v>
      </c>
      <c r="AA128" s="158" cm="1">
        <f t="array" ref="AA128">_xlfn.SWITCH($N128,"BDI 1",$P$6,"BDI 2",$P$7,"BDI 3",$P$8)</f>
        <v>0.26739999999999997</v>
      </c>
      <c r="AB128" s="158">
        <f t="shared" ca="1" si="167"/>
        <v>0</v>
      </c>
      <c r="AC128" s="158">
        <f t="shared" ca="1" si="168"/>
        <v>0</v>
      </c>
      <c r="AD128" s="164"/>
      <c r="AE128" s="148">
        <f t="shared" si="154"/>
        <v>0</v>
      </c>
      <c r="AF128" s="149"/>
      <c r="AG128" s="150"/>
      <c r="AH128" s="159" t="e">
        <f t="shared" si="155"/>
        <v>#DIV/0!</v>
      </c>
      <c r="AI128" s="2423">
        <v>0</v>
      </c>
      <c r="AJ128" s="182">
        <v>0</v>
      </c>
      <c r="AK128" s="183" t="e">
        <f t="shared" si="175"/>
        <v>#DIV/0!</v>
      </c>
      <c r="AM128" s="105"/>
      <c r="AN128" s="105"/>
      <c r="AO128" s="105"/>
      <c r="AP128" s="105"/>
      <c r="AQ128" s="105"/>
      <c r="AR128" s="105"/>
    </row>
    <row r="129" spans="1:44" s="49" customFormat="1" ht="49.9" hidden="1" customHeight="1">
      <c r="A129" s="152">
        <f t="shared" ca="1" si="156"/>
        <v>0</v>
      </c>
      <c r="B129" s="153">
        <v>90087</v>
      </c>
      <c r="C129" s="154" t="str">
        <f t="shared" si="157"/>
        <v>90087</v>
      </c>
      <c r="D129" s="154" t="s">
        <v>1416</v>
      </c>
      <c r="E129" s="155" t="s">
        <v>3627</v>
      </c>
      <c r="F129" s="154"/>
      <c r="G129" s="154" t="s">
        <v>464</v>
      </c>
      <c r="H129" s="152">
        <v>8.86</v>
      </c>
      <c r="I129" s="152">
        <v>8.76</v>
      </c>
      <c r="J129" s="156"/>
      <c r="K129" s="156">
        <f>Dre_Terraplenagem!AI67</f>
        <v>0</v>
      </c>
      <c r="L129" s="156">
        <f t="shared" si="158"/>
        <v>0</v>
      </c>
      <c r="M129" s="156">
        <f t="shared" si="159"/>
        <v>0</v>
      </c>
      <c r="N129" s="156" t="s">
        <v>83</v>
      </c>
      <c r="O129" s="157" cm="1">
        <f t="array" ref="O129">TRUNC($H129*(1+_xlfn.SWITCH($N129,"BDI 1",$O$6,"BDI 2",$O$7,"BDI 3",$O$8)),2)</f>
        <v>10.69</v>
      </c>
      <c r="P129" s="157" cm="1">
        <f t="array" ref="P129">TRUNC($I129*(1+_xlfn.SWITCH($N129,"BDI 1",$P$6,"BDI 2",$P$7,"BDI 3",$P$8)),2)</f>
        <v>11.1</v>
      </c>
      <c r="Q129" s="157">
        <v>0</v>
      </c>
      <c r="R129" s="157">
        <f t="shared" si="160"/>
        <v>0</v>
      </c>
      <c r="S129" s="156">
        <f t="shared" si="161"/>
        <v>0</v>
      </c>
      <c r="T129" s="156">
        <f t="shared" si="162"/>
        <v>0</v>
      </c>
      <c r="U129" s="156">
        <f t="shared" si="163"/>
        <v>0</v>
      </c>
      <c r="V129" s="156">
        <f t="shared" si="164"/>
        <v>0</v>
      </c>
      <c r="W129" s="156">
        <f t="shared" si="151"/>
        <v>0</v>
      </c>
      <c r="X129" s="158">
        <f t="shared" ref="X129" si="188">$S129/ORCAMENTO_VALOR_TOTAL_ND</f>
        <v>0</v>
      </c>
      <c r="Y129" s="158">
        <f t="shared" ref="Y129" si="189">$T129/ORCAMENTO_VALOR_TOTAL_DE</f>
        <v>0</v>
      </c>
      <c r="Z129" s="158" cm="1">
        <f t="array" ref="Z129">_xlfn.SWITCH($N129,"BDI 1",$O$6,"BDI 2",$O$7,"BDI 3",$O$8)</f>
        <v>0.20699999999999999</v>
      </c>
      <c r="AA129" s="158" cm="1">
        <f t="array" ref="AA129">_xlfn.SWITCH($N129,"BDI 1",$P$6,"BDI 2",$P$7,"BDI 3",$P$8)</f>
        <v>0.26739999999999997</v>
      </c>
      <c r="AB129" s="158">
        <f t="shared" ca="1" si="167"/>
        <v>0</v>
      </c>
      <c r="AC129" s="158">
        <f t="shared" ca="1" si="168"/>
        <v>0</v>
      </c>
      <c r="AD129" s="164"/>
      <c r="AE129" s="148">
        <f t="shared" si="154"/>
        <v>0</v>
      </c>
      <c r="AF129" s="149"/>
      <c r="AG129" s="150"/>
      <c r="AH129" s="159" t="e">
        <f t="shared" si="155"/>
        <v>#DIV/0!</v>
      </c>
      <c r="AI129" s="2423"/>
      <c r="AJ129" s="182">
        <v>0</v>
      </c>
      <c r="AK129" s="183" t="e">
        <f t="shared" si="175"/>
        <v>#DIV/0!</v>
      </c>
      <c r="AM129" s="105"/>
      <c r="AN129" s="105"/>
      <c r="AO129" s="105"/>
      <c r="AP129" s="105"/>
      <c r="AQ129" s="105"/>
      <c r="AR129" s="105"/>
    </row>
    <row r="130" spans="1:44" s="49" customFormat="1" ht="49.9" hidden="1" customHeight="1">
      <c r="A130" s="152">
        <f t="shared" ca="1" si="156"/>
        <v>0</v>
      </c>
      <c r="B130" s="153">
        <v>102277</v>
      </c>
      <c r="C130" s="154" t="str">
        <f t="shared" si="157"/>
        <v>102277</v>
      </c>
      <c r="D130" s="154" t="s">
        <v>1416</v>
      </c>
      <c r="E130" s="155" t="s">
        <v>3628</v>
      </c>
      <c r="F130" s="154"/>
      <c r="G130" s="154" t="s">
        <v>464</v>
      </c>
      <c r="H130" s="152">
        <v>9.42</v>
      </c>
      <c r="I130" s="152">
        <v>9.26</v>
      </c>
      <c r="J130" s="156"/>
      <c r="K130" s="156">
        <f>Dre_Terraplenagem!AI68</f>
        <v>0</v>
      </c>
      <c r="L130" s="156">
        <f t="shared" si="158"/>
        <v>0</v>
      </c>
      <c r="M130" s="156">
        <f t="shared" si="159"/>
        <v>0</v>
      </c>
      <c r="N130" s="156" t="s">
        <v>83</v>
      </c>
      <c r="O130" s="157" cm="1">
        <f t="array" ref="O130">TRUNC($H130*(1+_xlfn.SWITCH($N130,"BDI 1",$O$6,"BDI 2",$O$7,"BDI 3",$O$8)),2)</f>
        <v>11.36</v>
      </c>
      <c r="P130" s="157" cm="1">
        <f t="array" ref="P130">TRUNC($I130*(1+_xlfn.SWITCH($N130,"BDI 1",$P$6,"BDI 2",$P$7,"BDI 3",$P$8)),2)</f>
        <v>11.73</v>
      </c>
      <c r="Q130" s="157">
        <v>0</v>
      </c>
      <c r="R130" s="157">
        <f t="shared" si="160"/>
        <v>0</v>
      </c>
      <c r="S130" s="156">
        <f t="shared" si="161"/>
        <v>0</v>
      </c>
      <c r="T130" s="156">
        <f t="shared" si="162"/>
        <v>0</v>
      </c>
      <c r="U130" s="156">
        <f t="shared" si="163"/>
        <v>0</v>
      </c>
      <c r="V130" s="156">
        <f t="shared" si="164"/>
        <v>0</v>
      </c>
      <c r="W130" s="156">
        <f t="shared" si="151"/>
        <v>0</v>
      </c>
      <c r="X130" s="158">
        <f t="shared" ref="X130" si="190">$S130/ORCAMENTO_VALOR_TOTAL_ND</f>
        <v>0</v>
      </c>
      <c r="Y130" s="158">
        <f t="shared" ref="Y130" si="191">$T130/ORCAMENTO_VALOR_TOTAL_DE</f>
        <v>0</v>
      </c>
      <c r="Z130" s="158" cm="1">
        <f t="array" ref="Z130">_xlfn.SWITCH($N130,"BDI 1",$O$6,"BDI 2",$O$7,"BDI 3",$O$8)</f>
        <v>0.20699999999999999</v>
      </c>
      <c r="AA130" s="158" cm="1">
        <f t="array" ref="AA130">_xlfn.SWITCH($N130,"BDI 1",$P$6,"BDI 2",$P$7,"BDI 3",$P$8)</f>
        <v>0.26739999999999997</v>
      </c>
      <c r="AB130" s="158">
        <f t="shared" ca="1" si="167"/>
        <v>0</v>
      </c>
      <c r="AC130" s="158">
        <f t="shared" ca="1" si="168"/>
        <v>0</v>
      </c>
      <c r="AD130" s="164"/>
      <c r="AE130" s="148">
        <f t="shared" si="154"/>
        <v>0</v>
      </c>
      <c r="AF130" s="149"/>
      <c r="AG130" s="150"/>
      <c r="AH130" s="159" t="e">
        <f t="shared" si="155"/>
        <v>#DIV/0!</v>
      </c>
      <c r="AI130" s="2426">
        <v>0</v>
      </c>
      <c r="AJ130" s="182">
        <v>18.73</v>
      </c>
      <c r="AK130" s="183">
        <f t="shared" si="175"/>
        <v>0</v>
      </c>
      <c r="AM130" s="105"/>
      <c r="AN130" s="105"/>
      <c r="AO130" s="105"/>
      <c r="AP130" s="105"/>
      <c r="AQ130" s="105"/>
      <c r="AR130" s="105"/>
    </row>
    <row r="131" spans="1:44" s="49" customFormat="1" ht="49.9" hidden="1" customHeight="1">
      <c r="A131" s="152">
        <f t="shared" ca="1" si="156"/>
        <v>0</v>
      </c>
      <c r="B131" s="153">
        <v>90090</v>
      </c>
      <c r="C131" s="154" t="str">
        <f t="shared" si="157"/>
        <v>90090</v>
      </c>
      <c r="D131" s="154" t="s">
        <v>1416</v>
      </c>
      <c r="E131" s="155" t="s">
        <v>3629</v>
      </c>
      <c r="F131" s="154"/>
      <c r="G131" s="154" t="s">
        <v>464</v>
      </c>
      <c r="H131" s="152">
        <v>8.67</v>
      </c>
      <c r="I131" s="152">
        <v>8.5500000000000007</v>
      </c>
      <c r="J131" s="156"/>
      <c r="K131" s="156">
        <f>Dre_Terraplenagem!AI69</f>
        <v>0</v>
      </c>
      <c r="L131" s="156">
        <f t="shared" si="158"/>
        <v>0</v>
      </c>
      <c r="M131" s="156">
        <f t="shared" si="159"/>
        <v>0</v>
      </c>
      <c r="N131" s="156" t="s">
        <v>83</v>
      </c>
      <c r="O131" s="157" cm="1">
        <f t="array" ref="O131">TRUNC($H131*(1+_xlfn.SWITCH($N131,"BDI 1",$O$6,"BDI 2",$O$7,"BDI 3",$O$8)),2)</f>
        <v>10.46</v>
      </c>
      <c r="P131" s="157" cm="1">
        <f t="array" ref="P131">TRUNC($I131*(1+_xlfn.SWITCH($N131,"BDI 1",$P$6,"BDI 2",$P$7,"BDI 3",$P$8)),2)</f>
        <v>10.83</v>
      </c>
      <c r="Q131" s="157">
        <v>0</v>
      </c>
      <c r="R131" s="157">
        <f t="shared" si="160"/>
        <v>0</v>
      </c>
      <c r="S131" s="156">
        <f t="shared" si="161"/>
        <v>0</v>
      </c>
      <c r="T131" s="156">
        <f t="shared" si="162"/>
        <v>0</v>
      </c>
      <c r="U131" s="156">
        <f t="shared" si="163"/>
        <v>0</v>
      </c>
      <c r="V131" s="156">
        <f t="shared" si="164"/>
        <v>0</v>
      </c>
      <c r="W131" s="156">
        <f t="shared" si="151"/>
        <v>0</v>
      </c>
      <c r="X131" s="158">
        <f t="shared" ref="X131" si="192">$S131/ORCAMENTO_VALOR_TOTAL_ND</f>
        <v>0</v>
      </c>
      <c r="Y131" s="158">
        <f t="shared" ref="Y131" si="193">$T131/ORCAMENTO_VALOR_TOTAL_DE</f>
        <v>0</v>
      </c>
      <c r="Z131" s="158" cm="1">
        <f t="array" ref="Z131">_xlfn.SWITCH($N131,"BDI 1",$O$6,"BDI 2",$O$7,"BDI 3",$O$8)</f>
        <v>0.20699999999999999</v>
      </c>
      <c r="AA131" s="158" cm="1">
        <f t="array" ref="AA131">_xlfn.SWITCH($N131,"BDI 1",$P$6,"BDI 2",$P$7,"BDI 3",$P$8)</f>
        <v>0.26739999999999997</v>
      </c>
      <c r="AB131" s="158">
        <f t="shared" ca="1" si="167"/>
        <v>0</v>
      </c>
      <c r="AC131" s="158">
        <f t="shared" ca="1" si="168"/>
        <v>0</v>
      </c>
      <c r="AD131" s="164"/>
      <c r="AE131" s="148">
        <f t="shared" si="154"/>
        <v>0</v>
      </c>
      <c r="AF131" s="149"/>
      <c r="AG131" s="150"/>
      <c r="AH131" s="159" t="e">
        <f t="shared" si="155"/>
        <v>#DIV/0!</v>
      </c>
      <c r="AI131" s="2426"/>
      <c r="AJ131" s="182">
        <v>0</v>
      </c>
      <c r="AK131" s="183" t="e">
        <f t="shared" si="175"/>
        <v>#DIV/0!</v>
      </c>
      <c r="AM131" s="105"/>
      <c r="AN131" s="105"/>
      <c r="AO131" s="105"/>
      <c r="AP131" s="105"/>
      <c r="AQ131" s="105"/>
      <c r="AR131" s="105"/>
    </row>
    <row r="132" spans="1:44" s="49" customFormat="1" ht="49.9" hidden="1" customHeight="1">
      <c r="A132" s="152">
        <f t="shared" ca="1" si="156"/>
        <v>0</v>
      </c>
      <c r="B132" s="153">
        <v>90105</v>
      </c>
      <c r="C132" s="154" t="str">
        <f t="shared" si="157"/>
        <v>90105</v>
      </c>
      <c r="D132" s="154" t="s">
        <v>1416</v>
      </c>
      <c r="E132" s="155" t="s">
        <v>3630</v>
      </c>
      <c r="F132" s="154"/>
      <c r="G132" s="154" t="s">
        <v>464</v>
      </c>
      <c r="H132" s="152">
        <v>8.68</v>
      </c>
      <c r="I132" s="152">
        <v>8.3800000000000008</v>
      </c>
      <c r="J132" s="156"/>
      <c r="K132" s="156">
        <f>Dre_Terraplenagem!AI70</f>
        <v>0</v>
      </c>
      <c r="L132" s="156">
        <f t="shared" si="158"/>
        <v>0</v>
      </c>
      <c r="M132" s="156">
        <f t="shared" si="159"/>
        <v>0</v>
      </c>
      <c r="N132" s="156" t="s">
        <v>83</v>
      </c>
      <c r="O132" s="157" cm="1">
        <f t="array" ref="O132">TRUNC($H132*(1+_xlfn.SWITCH($N132,"BDI 1",$O$6,"BDI 2",$O$7,"BDI 3",$O$8)),2)</f>
        <v>10.47</v>
      </c>
      <c r="P132" s="157" cm="1">
        <f t="array" ref="P132">TRUNC($I132*(1+_xlfn.SWITCH($N132,"BDI 1",$P$6,"BDI 2",$P$7,"BDI 3",$P$8)),2)</f>
        <v>10.62</v>
      </c>
      <c r="Q132" s="157">
        <v>0</v>
      </c>
      <c r="R132" s="157">
        <f t="shared" si="160"/>
        <v>0</v>
      </c>
      <c r="S132" s="156">
        <f t="shared" si="161"/>
        <v>0</v>
      </c>
      <c r="T132" s="156">
        <f t="shared" si="162"/>
        <v>0</v>
      </c>
      <c r="U132" s="156">
        <f t="shared" si="163"/>
        <v>0</v>
      </c>
      <c r="V132" s="156">
        <f t="shared" si="164"/>
        <v>0</v>
      </c>
      <c r="W132" s="156">
        <f t="shared" si="151"/>
        <v>0</v>
      </c>
      <c r="X132" s="158">
        <f t="shared" ref="X132" si="194">$S132/ORCAMENTO_VALOR_TOTAL_ND</f>
        <v>0</v>
      </c>
      <c r="Y132" s="158">
        <f t="shared" ref="Y132" si="195">$T132/ORCAMENTO_VALOR_TOTAL_DE</f>
        <v>0</v>
      </c>
      <c r="Z132" s="158" cm="1">
        <f t="array" ref="Z132">_xlfn.SWITCH($N132,"BDI 1",$O$6,"BDI 2",$O$7,"BDI 3",$O$8)</f>
        <v>0.20699999999999999</v>
      </c>
      <c r="AA132" s="158" cm="1">
        <f t="array" ref="AA132">_xlfn.SWITCH($N132,"BDI 1",$P$6,"BDI 2",$P$7,"BDI 3",$P$8)</f>
        <v>0.26739999999999997</v>
      </c>
      <c r="AB132" s="158">
        <f t="shared" ca="1" si="167"/>
        <v>0</v>
      </c>
      <c r="AC132" s="158">
        <f t="shared" ca="1" si="168"/>
        <v>0</v>
      </c>
      <c r="AD132" s="164"/>
      <c r="AE132" s="148">
        <f t="shared" si="154"/>
        <v>0</v>
      </c>
      <c r="AF132" s="149"/>
      <c r="AG132" s="150"/>
      <c r="AH132" s="159" t="e">
        <f t="shared" si="155"/>
        <v>#DIV/0!</v>
      </c>
      <c r="AI132" s="2425">
        <v>0</v>
      </c>
      <c r="AJ132" s="182">
        <v>0</v>
      </c>
      <c r="AK132" s="183" t="e">
        <f t="shared" si="175"/>
        <v>#DIV/0!</v>
      </c>
      <c r="AM132" s="105"/>
      <c r="AN132" s="105"/>
      <c r="AO132" s="105"/>
      <c r="AP132" s="105"/>
      <c r="AQ132" s="105"/>
      <c r="AR132" s="105"/>
    </row>
    <row r="133" spans="1:44" s="49" customFormat="1" ht="49.9" hidden="1" customHeight="1">
      <c r="A133" s="152">
        <f t="shared" ca="1" si="156"/>
        <v>0</v>
      </c>
      <c r="B133" s="153">
        <v>90106</v>
      </c>
      <c r="C133" s="154" t="str">
        <f t="shared" si="157"/>
        <v>90106</v>
      </c>
      <c r="D133" s="154" t="s">
        <v>1416</v>
      </c>
      <c r="E133" s="155" t="s">
        <v>3631</v>
      </c>
      <c r="F133" s="154"/>
      <c r="G133" s="154" t="s">
        <v>464</v>
      </c>
      <c r="H133" s="152">
        <v>7.39</v>
      </c>
      <c r="I133" s="152">
        <v>7.12</v>
      </c>
      <c r="J133" s="156"/>
      <c r="K133" s="156">
        <f>Dre_Terraplenagem!AI71</f>
        <v>0</v>
      </c>
      <c r="L133" s="156">
        <f t="shared" si="158"/>
        <v>0</v>
      </c>
      <c r="M133" s="156">
        <f t="shared" si="159"/>
        <v>0</v>
      </c>
      <c r="N133" s="156" t="s">
        <v>83</v>
      </c>
      <c r="O133" s="157" cm="1">
        <f t="array" ref="O133">TRUNC($H133*(1+_xlfn.SWITCH($N133,"BDI 1",$O$6,"BDI 2",$O$7,"BDI 3",$O$8)),2)</f>
        <v>8.91</v>
      </c>
      <c r="P133" s="157" cm="1">
        <f t="array" ref="P133">TRUNC($I133*(1+_xlfn.SWITCH($N133,"BDI 1",$P$6,"BDI 2",$P$7,"BDI 3",$P$8)),2)</f>
        <v>9.02</v>
      </c>
      <c r="Q133" s="157">
        <v>0</v>
      </c>
      <c r="R133" s="157">
        <f t="shared" si="160"/>
        <v>0</v>
      </c>
      <c r="S133" s="156">
        <f t="shared" si="161"/>
        <v>0</v>
      </c>
      <c r="T133" s="156">
        <f t="shared" si="162"/>
        <v>0</v>
      </c>
      <c r="U133" s="156">
        <f t="shared" si="163"/>
        <v>0</v>
      </c>
      <c r="V133" s="156">
        <f t="shared" si="164"/>
        <v>0</v>
      </c>
      <c r="W133" s="156">
        <f t="shared" si="151"/>
        <v>0</v>
      </c>
      <c r="X133" s="158">
        <f t="shared" ref="X133" si="196">$S133/ORCAMENTO_VALOR_TOTAL_ND</f>
        <v>0</v>
      </c>
      <c r="Y133" s="158">
        <f t="shared" ref="Y133" si="197">$T133/ORCAMENTO_VALOR_TOTAL_DE</f>
        <v>0</v>
      </c>
      <c r="Z133" s="158" cm="1">
        <f t="array" ref="Z133">_xlfn.SWITCH($N133,"BDI 1",$O$6,"BDI 2",$O$7,"BDI 3",$O$8)</f>
        <v>0.20699999999999999</v>
      </c>
      <c r="AA133" s="158" cm="1">
        <f t="array" ref="AA133">_xlfn.SWITCH($N133,"BDI 1",$P$6,"BDI 2",$P$7,"BDI 3",$P$8)</f>
        <v>0.26739999999999997</v>
      </c>
      <c r="AB133" s="158">
        <f t="shared" ca="1" si="167"/>
        <v>0</v>
      </c>
      <c r="AC133" s="158">
        <f t="shared" ca="1" si="168"/>
        <v>0</v>
      </c>
      <c r="AD133" s="164"/>
      <c r="AE133" s="148">
        <f t="shared" si="154"/>
        <v>0</v>
      </c>
      <c r="AF133" s="149"/>
      <c r="AG133" s="150"/>
      <c r="AH133" s="159" t="e">
        <f t="shared" si="155"/>
        <v>#DIV/0!</v>
      </c>
      <c r="AI133" s="2425"/>
      <c r="AJ133" s="182">
        <v>0</v>
      </c>
      <c r="AK133" s="183" t="e">
        <f t="shared" si="175"/>
        <v>#DIV/0!</v>
      </c>
      <c r="AM133" s="105"/>
      <c r="AN133" s="105"/>
      <c r="AO133" s="105"/>
      <c r="AP133" s="105"/>
      <c r="AQ133" s="105"/>
      <c r="AR133" s="105"/>
    </row>
    <row r="134" spans="1:44" s="49" customFormat="1" ht="49.9" hidden="1" customHeight="1">
      <c r="A134" s="152">
        <f t="shared" ca="1" si="156"/>
        <v>0</v>
      </c>
      <c r="B134" s="153">
        <v>90091</v>
      </c>
      <c r="C134" s="154" t="str">
        <f t="shared" si="157"/>
        <v>90091</v>
      </c>
      <c r="D134" s="154" t="s">
        <v>1416</v>
      </c>
      <c r="E134" s="155" t="s">
        <v>3632</v>
      </c>
      <c r="F134" s="154"/>
      <c r="G134" s="154" t="s">
        <v>464</v>
      </c>
      <c r="H134" s="152">
        <v>5.72</v>
      </c>
      <c r="I134" s="152">
        <v>5.63</v>
      </c>
      <c r="J134" s="156"/>
      <c r="K134" s="156">
        <f>Dre_Terraplenagem!AI72+Dre_Terraplenagem!AI196</f>
        <v>0</v>
      </c>
      <c r="L134" s="156">
        <f t="shared" si="158"/>
        <v>0</v>
      </c>
      <c r="M134" s="156">
        <f t="shared" si="159"/>
        <v>0</v>
      </c>
      <c r="N134" s="156" t="s">
        <v>83</v>
      </c>
      <c r="O134" s="157" cm="1">
        <f t="array" ref="O134">TRUNC($H134*(1+_xlfn.SWITCH($N134,"BDI 1",$O$6,"BDI 2",$O$7,"BDI 3",$O$8)),2)</f>
        <v>6.9</v>
      </c>
      <c r="P134" s="157" cm="1">
        <f t="array" ref="P134">TRUNC($I134*(1+_xlfn.SWITCH($N134,"BDI 1",$P$6,"BDI 2",$P$7,"BDI 3",$P$8)),2)</f>
        <v>7.13</v>
      </c>
      <c r="Q134" s="157">
        <v>0</v>
      </c>
      <c r="R134" s="157">
        <f t="shared" si="160"/>
        <v>0</v>
      </c>
      <c r="S134" s="156">
        <f t="shared" si="161"/>
        <v>0</v>
      </c>
      <c r="T134" s="156">
        <f t="shared" si="162"/>
        <v>0</v>
      </c>
      <c r="U134" s="156">
        <f t="shared" si="163"/>
        <v>0</v>
      </c>
      <c r="V134" s="156">
        <f t="shared" si="164"/>
        <v>0</v>
      </c>
      <c r="W134" s="156">
        <f t="shared" si="151"/>
        <v>0</v>
      </c>
      <c r="X134" s="158">
        <f t="shared" ref="X134" si="198">$S134/ORCAMENTO_VALOR_TOTAL_ND</f>
        <v>0</v>
      </c>
      <c r="Y134" s="158">
        <f t="shared" ref="Y134" si="199">$T134/ORCAMENTO_VALOR_TOTAL_DE</f>
        <v>0</v>
      </c>
      <c r="Z134" s="158" cm="1">
        <f t="array" ref="Z134">_xlfn.SWITCH($N134,"BDI 1",$O$6,"BDI 2",$O$7,"BDI 3",$O$8)</f>
        <v>0.20699999999999999</v>
      </c>
      <c r="AA134" s="158" cm="1">
        <f t="array" ref="AA134">_xlfn.SWITCH($N134,"BDI 1",$P$6,"BDI 2",$P$7,"BDI 3",$P$8)</f>
        <v>0.26739999999999997</v>
      </c>
      <c r="AB134" s="158">
        <f t="shared" ca="1" si="167"/>
        <v>0</v>
      </c>
      <c r="AC134" s="158">
        <f t="shared" ca="1" si="168"/>
        <v>0</v>
      </c>
      <c r="AD134" s="164"/>
      <c r="AE134" s="148">
        <f t="shared" si="154"/>
        <v>0</v>
      </c>
      <c r="AF134" s="149"/>
      <c r="AG134" s="150"/>
      <c r="AH134" s="159" t="e">
        <f t="shared" si="155"/>
        <v>#DIV/0!</v>
      </c>
      <c r="AI134" s="2425"/>
      <c r="AJ134" s="182">
        <v>0</v>
      </c>
      <c r="AK134" s="183" t="e">
        <f t="shared" si="175"/>
        <v>#DIV/0!</v>
      </c>
      <c r="AM134" s="105"/>
      <c r="AN134" s="105"/>
      <c r="AO134" s="105"/>
      <c r="AP134" s="105"/>
      <c r="AQ134" s="105"/>
      <c r="AR134" s="105"/>
    </row>
    <row r="135" spans="1:44" s="49" customFormat="1" ht="49.9" hidden="1" customHeight="1">
      <c r="A135" s="152">
        <f t="shared" ca="1" si="156"/>
        <v>0</v>
      </c>
      <c r="B135" s="153">
        <v>90107</v>
      </c>
      <c r="C135" s="154" t="str">
        <f t="shared" si="157"/>
        <v>90107</v>
      </c>
      <c r="D135" s="154" t="s">
        <v>1416</v>
      </c>
      <c r="E135" s="155" t="s">
        <v>3633</v>
      </c>
      <c r="F135" s="154"/>
      <c r="G135" s="154" t="s">
        <v>464</v>
      </c>
      <c r="H135" s="152">
        <v>7.28</v>
      </c>
      <c r="I135" s="152">
        <v>7.03</v>
      </c>
      <c r="J135" s="156"/>
      <c r="K135" s="156">
        <f>Dre_Terraplenagem!AI73</f>
        <v>0</v>
      </c>
      <c r="L135" s="156">
        <f t="shared" si="158"/>
        <v>0</v>
      </c>
      <c r="M135" s="156">
        <f t="shared" si="159"/>
        <v>0</v>
      </c>
      <c r="N135" s="156" t="s">
        <v>83</v>
      </c>
      <c r="O135" s="157" cm="1">
        <f t="array" ref="O135">TRUNC($H135*(1+_xlfn.SWITCH($N135,"BDI 1",$O$6,"BDI 2",$O$7,"BDI 3",$O$8)),2)</f>
        <v>8.7799999999999994</v>
      </c>
      <c r="P135" s="157" cm="1">
        <f t="array" ref="P135">TRUNC($I135*(1+_xlfn.SWITCH($N135,"BDI 1",$P$6,"BDI 2",$P$7,"BDI 3",$P$8)),2)</f>
        <v>8.9</v>
      </c>
      <c r="Q135" s="157">
        <v>0</v>
      </c>
      <c r="R135" s="157">
        <f t="shared" si="160"/>
        <v>0</v>
      </c>
      <c r="S135" s="156">
        <f t="shared" si="161"/>
        <v>0</v>
      </c>
      <c r="T135" s="156">
        <f t="shared" si="162"/>
        <v>0</v>
      </c>
      <c r="U135" s="156">
        <f t="shared" si="163"/>
        <v>0</v>
      </c>
      <c r="V135" s="156">
        <f t="shared" si="164"/>
        <v>0</v>
      </c>
      <c r="W135" s="156">
        <f t="shared" si="151"/>
        <v>0</v>
      </c>
      <c r="X135" s="158">
        <f t="shared" ref="X135" si="200">$S135/ORCAMENTO_VALOR_TOTAL_ND</f>
        <v>0</v>
      </c>
      <c r="Y135" s="158">
        <f t="shared" ref="Y135" si="201">$T135/ORCAMENTO_VALOR_TOTAL_DE</f>
        <v>0</v>
      </c>
      <c r="Z135" s="158" cm="1">
        <f t="array" ref="Z135">_xlfn.SWITCH($N135,"BDI 1",$O$6,"BDI 2",$O$7,"BDI 3",$O$8)</f>
        <v>0.20699999999999999</v>
      </c>
      <c r="AA135" s="158" cm="1">
        <f t="array" ref="AA135">_xlfn.SWITCH($N135,"BDI 1",$P$6,"BDI 2",$P$7,"BDI 3",$P$8)</f>
        <v>0.26739999999999997</v>
      </c>
      <c r="AB135" s="158">
        <f t="shared" ca="1" si="167"/>
        <v>0</v>
      </c>
      <c r="AC135" s="158">
        <f t="shared" ca="1" si="168"/>
        <v>0</v>
      </c>
      <c r="AD135" s="164"/>
      <c r="AE135" s="148">
        <f t="shared" si="154"/>
        <v>0</v>
      </c>
      <c r="AF135" s="149"/>
      <c r="AG135" s="150"/>
      <c r="AH135" s="159" t="e">
        <f t="shared" si="155"/>
        <v>#DIV/0!</v>
      </c>
      <c r="AI135" s="2422">
        <v>0</v>
      </c>
      <c r="AJ135" s="182">
        <v>0</v>
      </c>
      <c r="AK135" s="183" t="e">
        <f t="shared" si="175"/>
        <v>#DIV/0!</v>
      </c>
      <c r="AM135" s="105"/>
      <c r="AN135" s="105"/>
      <c r="AO135" s="105"/>
      <c r="AP135" s="105"/>
      <c r="AQ135" s="105"/>
      <c r="AR135" s="105"/>
    </row>
    <row r="136" spans="1:44" s="49" customFormat="1" ht="49.9" hidden="1" customHeight="1">
      <c r="A136" s="152">
        <f t="shared" ca="1" si="156"/>
        <v>0</v>
      </c>
      <c r="B136" s="153">
        <v>90108</v>
      </c>
      <c r="C136" s="154" t="str">
        <f t="shared" si="157"/>
        <v>90108</v>
      </c>
      <c r="D136" s="154" t="s">
        <v>1416</v>
      </c>
      <c r="E136" s="155" t="s">
        <v>3634</v>
      </c>
      <c r="F136" s="154"/>
      <c r="G136" s="154" t="s">
        <v>464</v>
      </c>
      <c r="H136" s="152">
        <v>6.63</v>
      </c>
      <c r="I136" s="152">
        <v>6.4</v>
      </c>
      <c r="J136" s="156"/>
      <c r="K136" s="156">
        <f>Dre_Terraplenagem!AI74</f>
        <v>0</v>
      </c>
      <c r="L136" s="156">
        <f t="shared" si="158"/>
        <v>0</v>
      </c>
      <c r="M136" s="156">
        <f t="shared" si="159"/>
        <v>0</v>
      </c>
      <c r="N136" s="156" t="s">
        <v>83</v>
      </c>
      <c r="O136" s="157" cm="1">
        <f t="array" ref="O136">TRUNC($H136*(1+_xlfn.SWITCH($N136,"BDI 1",$O$6,"BDI 2",$O$7,"BDI 3",$O$8)),2)</f>
        <v>8</v>
      </c>
      <c r="P136" s="157" cm="1">
        <f t="array" ref="P136">TRUNC($I136*(1+_xlfn.SWITCH($N136,"BDI 1",$P$6,"BDI 2",$P$7,"BDI 3",$P$8)),2)</f>
        <v>8.11</v>
      </c>
      <c r="Q136" s="157">
        <v>0</v>
      </c>
      <c r="R136" s="157">
        <f t="shared" si="160"/>
        <v>0</v>
      </c>
      <c r="S136" s="156">
        <f t="shared" si="161"/>
        <v>0</v>
      </c>
      <c r="T136" s="156">
        <f t="shared" si="162"/>
        <v>0</v>
      </c>
      <c r="U136" s="156">
        <f t="shared" si="163"/>
        <v>0</v>
      </c>
      <c r="V136" s="156">
        <f t="shared" si="164"/>
        <v>0</v>
      </c>
      <c r="W136" s="156">
        <f t="shared" si="151"/>
        <v>0</v>
      </c>
      <c r="X136" s="158">
        <f t="shared" ref="X136" si="202">$S136/ORCAMENTO_VALOR_TOTAL_ND</f>
        <v>0</v>
      </c>
      <c r="Y136" s="158">
        <f t="shared" ref="Y136" si="203">$T136/ORCAMENTO_VALOR_TOTAL_DE</f>
        <v>0</v>
      </c>
      <c r="Z136" s="158" cm="1">
        <f t="array" ref="Z136">_xlfn.SWITCH($N136,"BDI 1",$O$6,"BDI 2",$O$7,"BDI 3",$O$8)</f>
        <v>0.20699999999999999</v>
      </c>
      <c r="AA136" s="158" cm="1">
        <f t="array" ref="AA136">_xlfn.SWITCH($N136,"BDI 1",$P$6,"BDI 2",$P$7,"BDI 3",$P$8)</f>
        <v>0.26739999999999997</v>
      </c>
      <c r="AB136" s="158">
        <f t="shared" ca="1" si="167"/>
        <v>0</v>
      </c>
      <c r="AC136" s="158">
        <f t="shared" ca="1" si="168"/>
        <v>0</v>
      </c>
      <c r="AD136" s="164"/>
      <c r="AE136" s="148">
        <f t="shared" si="154"/>
        <v>0</v>
      </c>
      <c r="AF136" s="149"/>
      <c r="AG136" s="150"/>
      <c r="AH136" s="159" t="e">
        <f t="shared" si="155"/>
        <v>#DIV/0!</v>
      </c>
      <c r="AI136" s="2422"/>
      <c r="AJ136" s="182">
        <v>0</v>
      </c>
      <c r="AK136" s="183" t="e">
        <f t="shared" si="175"/>
        <v>#DIV/0!</v>
      </c>
      <c r="AM136" s="105"/>
      <c r="AN136" s="105"/>
      <c r="AO136" s="105"/>
      <c r="AP136" s="105"/>
      <c r="AQ136" s="105"/>
      <c r="AR136" s="105"/>
    </row>
    <row r="137" spans="1:44" s="49" customFormat="1" ht="49.9" hidden="1" customHeight="1">
      <c r="A137" s="152">
        <f t="shared" ca="1" si="156"/>
        <v>0</v>
      </c>
      <c r="B137" s="153">
        <v>102281</v>
      </c>
      <c r="C137" s="154" t="str">
        <f t="shared" si="157"/>
        <v>102281</v>
      </c>
      <c r="D137" s="154" t="s">
        <v>1416</v>
      </c>
      <c r="E137" s="155" t="s">
        <v>3635</v>
      </c>
      <c r="F137" s="154"/>
      <c r="G137" s="154" t="s">
        <v>464</v>
      </c>
      <c r="H137" s="152">
        <v>5.0999999999999996</v>
      </c>
      <c r="I137" s="152">
        <v>5.03</v>
      </c>
      <c r="J137" s="156"/>
      <c r="K137" s="156">
        <f>Dre_Terraplenagem!AI75+Dre_Terraplenagem!AI197</f>
        <v>0</v>
      </c>
      <c r="L137" s="156">
        <f t="shared" si="158"/>
        <v>0</v>
      </c>
      <c r="M137" s="156">
        <f t="shared" si="159"/>
        <v>0</v>
      </c>
      <c r="N137" s="156" t="s">
        <v>83</v>
      </c>
      <c r="O137" s="157" cm="1">
        <f t="array" ref="O137">TRUNC($H137*(1+_xlfn.SWITCH($N137,"BDI 1",$O$6,"BDI 2",$O$7,"BDI 3",$O$8)),2)</f>
        <v>6.15</v>
      </c>
      <c r="P137" s="157" cm="1">
        <f t="array" ref="P137">TRUNC($I137*(1+_xlfn.SWITCH($N137,"BDI 1",$P$6,"BDI 2",$P$7,"BDI 3",$P$8)),2)</f>
        <v>6.37</v>
      </c>
      <c r="Q137" s="157">
        <v>0</v>
      </c>
      <c r="R137" s="157">
        <f t="shared" si="160"/>
        <v>0</v>
      </c>
      <c r="S137" s="156">
        <f t="shared" si="161"/>
        <v>0</v>
      </c>
      <c r="T137" s="156">
        <f t="shared" si="162"/>
        <v>0</v>
      </c>
      <c r="U137" s="156">
        <f t="shared" si="163"/>
        <v>0</v>
      </c>
      <c r="V137" s="156">
        <f t="shared" si="164"/>
        <v>0</v>
      </c>
      <c r="W137" s="156">
        <f t="shared" si="151"/>
        <v>0</v>
      </c>
      <c r="X137" s="158">
        <f t="shared" ref="X137" si="204">$S137/ORCAMENTO_VALOR_TOTAL_ND</f>
        <v>0</v>
      </c>
      <c r="Y137" s="158">
        <f t="shared" ref="Y137" si="205">$T137/ORCAMENTO_VALOR_TOTAL_DE</f>
        <v>0</v>
      </c>
      <c r="Z137" s="158" cm="1">
        <f t="array" ref="Z137">_xlfn.SWITCH($N137,"BDI 1",$O$6,"BDI 2",$O$7,"BDI 3",$O$8)</f>
        <v>0.20699999999999999</v>
      </c>
      <c r="AA137" s="158" cm="1">
        <f t="array" ref="AA137">_xlfn.SWITCH($N137,"BDI 1",$P$6,"BDI 2",$P$7,"BDI 3",$P$8)</f>
        <v>0.26739999999999997</v>
      </c>
      <c r="AB137" s="158">
        <f t="shared" ca="1" si="167"/>
        <v>0</v>
      </c>
      <c r="AC137" s="158">
        <f t="shared" ca="1" si="168"/>
        <v>0</v>
      </c>
      <c r="AD137" s="164"/>
      <c r="AE137" s="148">
        <f t="shared" si="154"/>
        <v>0</v>
      </c>
      <c r="AF137" s="149"/>
      <c r="AG137" s="150"/>
      <c r="AH137" s="159" t="e">
        <f t="shared" si="155"/>
        <v>#DIV/0!</v>
      </c>
      <c r="AI137" s="2422"/>
      <c r="AJ137" s="182">
        <v>24.69</v>
      </c>
      <c r="AK137" s="183">
        <f t="shared" si="175"/>
        <v>0</v>
      </c>
      <c r="AM137" s="105"/>
      <c r="AN137" s="105"/>
      <c r="AO137" s="105"/>
      <c r="AP137" s="105"/>
      <c r="AQ137" s="105"/>
      <c r="AR137" s="105"/>
    </row>
    <row r="138" spans="1:44" s="49" customFormat="1" ht="49.9" hidden="1" customHeight="1">
      <c r="A138" s="152">
        <f t="shared" ca="1" si="156"/>
        <v>0</v>
      </c>
      <c r="B138" s="153">
        <v>90094</v>
      </c>
      <c r="C138" s="154" t="str">
        <f t="shared" si="157"/>
        <v>90094</v>
      </c>
      <c r="D138" s="154" t="s">
        <v>1416</v>
      </c>
      <c r="E138" s="155" t="s">
        <v>3636</v>
      </c>
      <c r="F138" s="154"/>
      <c r="G138" s="154" t="s">
        <v>464</v>
      </c>
      <c r="H138" s="152">
        <v>5.36</v>
      </c>
      <c r="I138" s="152">
        <v>5.27</v>
      </c>
      <c r="J138" s="156"/>
      <c r="K138" s="156">
        <f>Dre_Terraplenagem!AI76</f>
        <v>0</v>
      </c>
      <c r="L138" s="156">
        <f t="shared" si="158"/>
        <v>0</v>
      </c>
      <c r="M138" s="156">
        <f t="shared" si="159"/>
        <v>0</v>
      </c>
      <c r="N138" s="156" t="s">
        <v>83</v>
      </c>
      <c r="O138" s="157" cm="1">
        <f t="array" ref="O138">TRUNC($H138*(1+_xlfn.SWITCH($N138,"BDI 1",$O$6,"BDI 2",$O$7,"BDI 3",$O$8)),2)</f>
        <v>6.46</v>
      </c>
      <c r="P138" s="157" cm="1">
        <f t="array" ref="P138">TRUNC($I138*(1+_xlfn.SWITCH($N138,"BDI 1",$P$6,"BDI 2",$P$7,"BDI 3",$P$8)),2)</f>
        <v>6.67</v>
      </c>
      <c r="Q138" s="157">
        <v>0</v>
      </c>
      <c r="R138" s="157">
        <f t="shared" si="160"/>
        <v>0</v>
      </c>
      <c r="S138" s="156">
        <f t="shared" si="161"/>
        <v>0</v>
      </c>
      <c r="T138" s="156">
        <f t="shared" si="162"/>
        <v>0</v>
      </c>
      <c r="U138" s="156">
        <f t="shared" si="163"/>
        <v>0</v>
      </c>
      <c r="V138" s="156">
        <f t="shared" si="164"/>
        <v>0</v>
      </c>
      <c r="W138" s="156">
        <f t="shared" si="151"/>
        <v>0</v>
      </c>
      <c r="X138" s="158">
        <f t="shared" ref="X138" si="206">$S138/ORCAMENTO_VALOR_TOTAL_ND</f>
        <v>0</v>
      </c>
      <c r="Y138" s="158">
        <f t="shared" ref="Y138" si="207">$T138/ORCAMENTO_VALOR_TOTAL_DE</f>
        <v>0</v>
      </c>
      <c r="Z138" s="158" cm="1">
        <f t="array" ref="Z138">_xlfn.SWITCH($N138,"BDI 1",$O$6,"BDI 2",$O$7,"BDI 3",$O$8)</f>
        <v>0.20699999999999999</v>
      </c>
      <c r="AA138" s="158" cm="1">
        <f t="array" ref="AA138">_xlfn.SWITCH($N138,"BDI 1",$P$6,"BDI 2",$P$7,"BDI 3",$P$8)</f>
        <v>0.26739999999999997</v>
      </c>
      <c r="AB138" s="158">
        <f t="shared" ca="1" si="167"/>
        <v>0</v>
      </c>
      <c r="AC138" s="158">
        <f t="shared" ca="1" si="168"/>
        <v>0</v>
      </c>
      <c r="AD138" s="164"/>
      <c r="AE138" s="148">
        <f t="shared" si="154"/>
        <v>0</v>
      </c>
      <c r="AF138" s="149"/>
      <c r="AG138" s="150"/>
      <c r="AH138" s="159" t="e">
        <f t="shared" si="155"/>
        <v>#DIV/0!</v>
      </c>
      <c r="AI138" s="2423">
        <v>0</v>
      </c>
      <c r="AJ138" s="182">
        <v>0</v>
      </c>
      <c r="AK138" s="183" t="e">
        <f t="shared" si="175"/>
        <v>#DIV/0!</v>
      </c>
      <c r="AM138" s="105"/>
      <c r="AN138" s="105"/>
      <c r="AO138" s="105"/>
      <c r="AP138" s="105"/>
      <c r="AQ138" s="105"/>
      <c r="AR138" s="105"/>
    </row>
    <row r="139" spans="1:44" s="49" customFormat="1" ht="49.9" hidden="1" customHeight="1">
      <c r="A139" s="152">
        <f t="shared" ca="1" si="156"/>
        <v>0</v>
      </c>
      <c r="B139" s="153">
        <v>90095</v>
      </c>
      <c r="C139" s="154" t="str">
        <f t="shared" si="157"/>
        <v>90095</v>
      </c>
      <c r="D139" s="154" t="s">
        <v>1416</v>
      </c>
      <c r="E139" s="155" t="s">
        <v>3637</v>
      </c>
      <c r="F139" s="154"/>
      <c r="G139" s="154" t="s">
        <v>464</v>
      </c>
      <c r="H139" s="152">
        <v>4.87</v>
      </c>
      <c r="I139" s="152">
        <v>4.82</v>
      </c>
      <c r="J139" s="156"/>
      <c r="K139" s="156">
        <f>Dre_Terraplenagem!AI77</f>
        <v>0</v>
      </c>
      <c r="L139" s="156">
        <f t="shared" si="158"/>
        <v>0</v>
      </c>
      <c r="M139" s="156">
        <f t="shared" si="159"/>
        <v>0</v>
      </c>
      <c r="N139" s="156" t="s">
        <v>83</v>
      </c>
      <c r="O139" s="157" cm="1">
        <f t="array" ref="O139">TRUNC($H139*(1+_xlfn.SWITCH($N139,"BDI 1",$O$6,"BDI 2",$O$7,"BDI 3",$O$8)),2)</f>
        <v>5.87</v>
      </c>
      <c r="P139" s="157" cm="1">
        <f t="array" ref="P139">TRUNC($I139*(1+_xlfn.SWITCH($N139,"BDI 1",$P$6,"BDI 2",$P$7,"BDI 3",$P$8)),2)</f>
        <v>6.1</v>
      </c>
      <c r="Q139" s="157">
        <v>0</v>
      </c>
      <c r="R139" s="157">
        <f t="shared" si="160"/>
        <v>0</v>
      </c>
      <c r="S139" s="156">
        <f t="shared" si="161"/>
        <v>0</v>
      </c>
      <c r="T139" s="156">
        <f t="shared" si="162"/>
        <v>0</v>
      </c>
      <c r="U139" s="156">
        <f t="shared" si="163"/>
        <v>0</v>
      </c>
      <c r="V139" s="156">
        <f t="shared" si="164"/>
        <v>0</v>
      </c>
      <c r="W139" s="156">
        <f t="shared" si="151"/>
        <v>0</v>
      </c>
      <c r="X139" s="158">
        <f t="shared" ref="X139" si="208">$S139/ORCAMENTO_VALOR_TOTAL_ND</f>
        <v>0</v>
      </c>
      <c r="Y139" s="158">
        <f t="shared" ref="Y139" si="209">$T139/ORCAMENTO_VALOR_TOTAL_DE</f>
        <v>0</v>
      </c>
      <c r="Z139" s="158" cm="1">
        <f t="array" ref="Z139">_xlfn.SWITCH($N139,"BDI 1",$O$6,"BDI 2",$O$7,"BDI 3",$O$8)</f>
        <v>0.20699999999999999</v>
      </c>
      <c r="AA139" s="158" cm="1">
        <f t="array" ref="AA139">_xlfn.SWITCH($N139,"BDI 1",$P$6,"BDI 2",$P$7,"BDI 3",$P$8)</f>
        <v>0.26739999999999997</v>
      </c>
      <c r="AB139" s="158">
        <f t="shared" ca="1" si="167"/>
        <v>0</v>
      </c>
      <c r="AC139" s="158">
        <f t="shared" ca="1" si="168"/>
        <v>0</v>
      </c>
      <c r="AD139" s="164"/>
      <c r="AE139" s="148">
        <f t="shared" si="154"/>
        <v>0</v>
      </c>
      <c r="AF139" s="149"/>
      <c r="AG139" s="150"/>
      <c r="AH139" s="159" t="e">
        <f t="shared" si="155"/>
        <v>#DIV/0!</v>
      </c>
      <c r="AI139" s="2423"/>
      <c r="AJ139" s="182">
        <v>0</v>
      </c>
      <c r="AK139" s="183" t="e">
        <f t="shared" si="175"/>
        <v>#DIV/0!</v>
      </c>
      <c r="AM139" s="105"/>
      <c r="AN139" s="105"/>
      <c r="AO139" s="105"/>
      <c r="AP139" s="105"/>
      <c r="AQ139" s="105"/>
      <c r="AR139" s="105"/>
    </row>
    <row r="140" spans="1:44" s="49" customFormat="1" ht="49.9" hidden="1" customHeight="1">
      <c r="A140" s="152">
        <f t="shared" ca="1" si="156"/>
        <v>0</v>
      </c>
      <c r="B140" s="153">
        <v>102280</v>
      </c>
      <c r="C140" s="154" t="str">
        <f t="shared" si="157"/>
        <v>102280</v>
      </c>
      <c r="D140" s="154" t="s">
        <v>1416</v>
      </c>
      <c r="E140" s="155" t="s">
        <v>3638</v>
      </c>
      <c r="F140" s="154"/>
      <c r="G140" s="154" t="s">
        <v>464</v>
      </c>
      <c r="H140" s="152">
        <v>5.2</v>
      </c>
      <c r="I140" s="152">
        <v>5.1100000000000003</v>
      </c>
      <c r="J140" s="156"/>
      <c r="K140" s="156">
        <f>Dre_Terraplenagem!AI78</f>
        <v>0</v>
      </c>
      <c r="L140" s="156">
        <f t="shared" si="158"/>
        <v>0</v>
      </c>
      <c r="M140" s="156">
        <f t="shared" si="159"/>
        <v>0</v>
      </c>
      <c r="N140" s="156" t="s">
        <v>83</v>
      </c>
      <c r="O140" s="157" cm="1">
        <f t="array" ref="O140">TRUNC($H140*(1+_xlfn.SWITCH($N140,"BDI 1",$O$6,"BDI 2",$O$7,"BDI 3",$O$8)),2)</f>
        <v>6.27</v>
      </c>
      <c r="P140" s="157" cm="1">
        <f t="array" ref="P140">TRUNC($I140*(1+_xlfn.SWITCH($N140,"BDI 1",$P$6,"BDI 2",$P$7,"BDI 3",$P$8)),2)</f>
        <v>6.47</v>
      </c>
      <c r="Q140" s="157">
        <v>0</v>
      </c>
      <c r="R140" s="157">
        <f t="shared" si="160"/>
        <v>0</v>
      </c>
      <c r="S140" s="156">
        <f t="shared" si="161"/>
        <v>0</v>
      </c>
      <c r="T140" s="156">
        <f t="shared" si="162"/>
        <v>0</v>
      </c>
      <c r="U140" s="156">
        <f t="shared" si="163"/>
        <v>0</v>
      </c>
      <c r="V140" s="156">
        <f t="shared" si="164"/>
        <v>0</v>
      </c>
      <c r="W140" s="156">
        <f t="shared" si="151"/>
        <v>0</v>
      </c>
      <c r="X140" s="158">
        <f t="shared" ref="X140" si="210">$S140/ORCAMENTO_VALOR_TOTAL_ND</f>
        <v>0</v>
      </c>
      <c r="Y140" s="158">
        <f t="shared" ref="Y140" si="211">$T140/ORCAMENTO_VALOR_TOTAL_DE</f>
        <v>0</v>
      </c>
      <c r="Z140" s="158" cm="1">
        <f t="array" ref="Z140">_xlfn.SWITCH($N140,"BDI 1",$O$6,"BDI 2",$O$7,"BDI 3",$O$8)</f>
        <v>0.20699999999999999</v>
      </c>
      <c r="AA140" s="158" cm="1">
        <f t="array" ref="AA140">_xlfn.SWITCH($N140,"BDI 1",$P$6,"BDI 2",$P$7,"BDI 3",$P$8)</f>
        <v>0.26739999999999997</v>
      </c>
      <c r="AB140" s="158">
        <f t="shared" ca="1" si="167"/>
        <v>0</v>
      </c>
      <c r="AC140" s="158">
        <f t="shared" ca="1" si="168"/>
        <v>0</v>
      </c>
      <c r="AD140" s="164"/>
      <c r="AE140" s="148">
        <f t="shared" si="154"/>
        <v>0</v>
      </c>
      <c r="AF140" s="149"/>
      <c r="AG140" s="150"/>
      <c r="AH140" s="159" t="e">
        <f t="shared" si="155"/>
        <v>#DIV/0!</v>
      </c>
      <c r="AI140" s="2426">
        <v>0</v>
      </c>
      <c r="AJ140" s="182">
        <v>21.19</v>
      </c>
      <c r="AK140" s="183">
        <f t="shared" si="175"/>
        <v>0</v>
      </c>
      <c r="AM140" s="105"/>
      <c r="AN140" s="105"/>
      <c r="AO140" s="105"/>
      <c r="AP140" s="105"/>
      <c r="AQ140" s="105"/>
      <c r="AR140" s="105"/>
    </row>
    <row r="141" spans="1:44" s="49" customFormat="1" ht="49.9" hidden="1" customHeight="1">
      <c r="A141" s="152">
        <f t="shared" ca="1" si="156"/>
        <v>0</v>
      </c>
      <c r="B141" s="153">
        <v>90098</v>
      </c>
      <c r="C141" s="154" t="str">
        <f t="shared" si="157"/>
        <v>90098</v>
      </c>
      <c r="D141" s="154" t="s">
        <v>1416</v>
      </c>
      <c r="E141" s="155" t="s">
        <v>3639</v>
      </c>
      <c r="F141" s="154"/>
      <c r="G141" s="154" t="s">
        <v>464</v>
      </c>
      <c r="H141" s="152">
        <v>4.8</v>
      </c>
      <c r="I141" s="152">
        <v>4.7300000000000004</v>
      </c>
      <c r="J141" s="156"/>
      <c r="K141" s="156">
        <f>Dre_Terraplenagem!AI79</f>
        <v>0</v>
      </c>
      <c r="L141" s="156">
        <f t="shared" si="158"/>
        <v>0</v>
      </c>
      <c r="M141" s="156">
        <f t="shared" si="159"/>
        <v>0</v>
      </c>
      <c r="N141" s="156" t="s">
        <v>83</v>
      </c>
      <c r="O141" s="157" cm="1">
        <f t="array" ref="O141">TRUNC($H141*(1+_xlfn.SWITCH($N141,"BDI 1",$O$6,"BDI 2",$O$7,"BDI 3",$O$8)),2)</f>
        <v>5.79</v>
      </c>
      <c r="P141" s="157" cm="1">
        <f t="array" ref="P141">TRUNC($I141*(1+_xlfn.SWITCH($N141,"BDI 1",$P$6,"BDI 2",$P$7,"BDI 3",$P$8)),2)</f>
        <v>5.99</v>
      </c>
      <c r="Q141" s="157">
        <v>0</v>
      </c>
      <c r="R141" s="157">
        <f t="shared" si="160"/>
        <v>0</v>
      </c>
      <c r="S141" s="156">
        <f t="shared" si="161"/>
        <v>0</v>
      </c>
      <c r="T141" s="156">
        <f t="shared" si="162"/>
        <v>0</v>
      </c>
      <c r="U141" s="156">
        <f t="shared" si="163"/>
        <v>0</v>
      </c>
      <c r="V141" s="156">
        <f t="shared" si="164"/>
        <v>0</v>
      </c>
      <c r="W141" s="156">
        <f t="shared" si="151"/>
        <v>0</v>
      </c>
      <c r="X141" s="158">
        <f t="shared" ref="X141" si="212">$S141/ORCAMENTO_VALOR_TOTAL_ND</f>
        <v>0</v>
      </c>
      <c r="Y141" s="158">
        <f t="shared" ref="Y141" si="213">$T141/ORCAMENTO_VALOR_TOTAL_DE</f>
        <v>0</v>
      </c>
      <c r="Z141" s="158" cm="1">
        <f t="array" ref="Z141">_xlfn.SWITCH($N141,"BDI 1",$O$6,"BDI 2",$O$7,"BDI 3",$O$8)</f>
        <v>0.20699999999999999</v>
      </c>
      <c r="AA141" s="158" cm="1">
        <f t="array" ref="AA141">_xlfn.SWITCH($N141,"BDI 1",$P$6,"BDI 2",$P$7,"BDI 3",$P$8)</f>
        <v>0.26739999999999997</v>
      </c>
      <c r="AB141" s="158">
        <f t="shared" ca="1" si="167"/>
        <v>0</v>
      </c>
      <c r="AC141" s="158">
        <f t="shared" ca="1" si="168"/>
        <v>0</v>
      </c>
      <c r="AD141" s="164"/>
      <c r="AE141" s="148">
        <f t="shared" si="154"/>
        <v>0</v>
      </c>
      <c r="AF141" s="149"/>
      <c r="AG141" s="150"/>
      <c r="AH141" s="159" t="e">
        <f t="shared" si="155"/>
        <v>#DIV/0!</v>
      </c>
      <c r="AI141" s="2426"/>
      <c r="AJ141" s="182">
        <v>0</v>
      </c>
      <c r="AK141" s="183" t="e">
        <f t="shared" si="175"/>
        <v>#DIV/0!</v>
      </c>
      <c r="AM141" s="105"/>
      <c r="AN141" s="105"/>
      <c r="AO141" s="105"/>
      <c r="AP141" s="105"/>
      <c r="AQ141" s="105"/>
      <c r="AR141" s="105"/>
    </row>
    <row r="142" spans="1:44" s="49" customFormat="1" ht="40.15" hidden="1" customHeight="1">
      <c r="A142" s="152">
        <f t="shared" ca="1" si="156"/>
        <v>0</v>
      </c>
      <c r="B142" s="153">
        <v>93358</v>
      </c>
      <c r="C142" s="154" t="str">
        <f t="shared" si="157"/>
        <v>93358</v>
      </c>
      <c r="D142" s="154" t="s">
        <v>1416</v>
      </c>
      <c r="E142" s="155" t="s">
        <v>3640</v>
      </c>
      <c r="F142" s="154"/>
      <c r="G142" s="154" t="s">
        <v>464</v>
      </c>
      <c r="H142" s="152">
        <v>79.63</v>
      </c>
      <c r="I142" s="152">
        <v>72.430000000000007</v>
      </c>
      <c r="J142" s="156"/>
      <c r="K142" s="156">
        <f>Dre_Terraplenagem!AI81</f>
        <v>0</v>
      </c>
      <c r="L142" s="156">
        <f t="shared" si="158"/>
        <v>0</v>
      </c>
      <c r="M142" s="156">
        <f t="shared" si="159"/>
        <v>0</v>
      </c>
      <c r="N142" s="156" t="s">
        <v>83</v>
      </c>
      <c r="O142" s="157" cm="1">
        <f t="array" ref="O142">TRUNC($H142*(1+_xlfn.SWITCH($N142,"BDI 1",$O$6,"BDI 2",$O$7,"BDI 3",$O$8)),2)</f>
        <v>96.11</v>
      </c>
      <c r="P142" s="157" cm="1">
        <f t="array" ref="P142">TRUNC($I142*(1+_xlfn.SWITCH($N142,"BDI 1",$P$6,"BDI 2",$P$7,"BDI 3",$P$8)),2)</f>
        <v>91.79</v>
      </c>
      <c r="Q142" s="157">
        <v>0</v>
      </c>
      <c r="R142" s="157">
        <f t="shared" si="160"/>
        <v>0</v>
      </c>
      <c r="S142" s="156">
        <f t="shared" si="161"/>
        <v>0</v>
      </c>
      <c r="T142" s="156">
        <f t="shared" si="162"/>
        <v>0</v>
      </c>
      <c r="U142" s="156">
        <f t="shared" si="163"/>
        <v>0</v>
      </c>
      <c r="V142" s="156">
        <f t="shared" si="164"/>
        <v>0</v>
      </c>
      <c r="W142" s="156">
        <f t="shared" si="151"/>
        <v>0</v>
      </c>
      <c r="X142" s="158">
        <f t="shared" ref="X142" si="214">$S142/ORCAMENTO_VALOR_TOTAL_ND</f>
        <v>0</v>
      </c>
      <c r="Y142" s="158">
        <f t="shared" ref="Y142" si="215">$T142/ORCAMENTO_VALOR_TOTAL_DE</f>
        <v>0</v>
      </c>
      <c r="Z142" s="158" cm="1">
        <f t="array" ref="Z142">_xlfn.SWITCH($N142,"BDI 1",$O$6,"BDI 2",$O$7,"BDI 3",$O$8)</f>
        <v>0.20699999999999999</v>
      </c>
      <c r="AA142" s="158" cm="1">
        <f t="array" ref="AA142">_xlfn.SWITCH($N142,"BDI 1",$P$6,"BDI 2",$P$7,"BDI 3",$P$8)</f>
        <v>0.26739999999999997</v>
      </c>
      <c r="AB142" s="158">
        <f t="shared" ca="1" si="167"/>
        <v>0</v>
      </c>
      <c r="AC142" s="158">
        <f t="shared" ca="1" si="168"/>
        <v>0</v>
      </c>
      <c r="AD142" s="164"/>
      <c r="AE142" s="148">
        <f t="shared" si="154"/>
        <v>0</v>
      </c>
      <c r="AF142" s="149"/>
      <c r="AG142" s="150"/>
      <c r="AH142" s="159" t="e">
        <f t="shared" si="155"/>
        <v>#DIV/0!</v>
      </c>
      <c r="AI142" s="160"/>
      <c r="AJ142" s="182"/>
      <c r="AK142" s="183"/>
      <c r="AM142" s="105"/>
      <c r="AN142" s="105"/>
      <c r="AO142" s="105"/>
      <c r="AP142" s="105"/>
      <c r="AQ142" s="105"/>
      <c r="AR142" s="105"/>
    </row>
    <row r="143" spans="1:44" s="49" customFormat="1" ht="40.15" hidden="1" customHeight="1">
      <c r="A143" s="152">
        <f t="shared" ca="1" si="156"/>
        <v>0</v>
      </c>
      <c r="B143" s="153" t="s">
        <v>130</v>
      </c>
      <c r="C143" s="154" t="str">
        <f t="shared" si="157"/>
        <v>DR/0020</v>
      </c>
      <c r="D143" s="154" t="s">
        <v>3549</v>
      </c>
      <c r="E143" s="155" t="s">
        <v>3641</v>
      </c>
      <c r="F143" s="154"/>
      <c r="G143" s="154" t="s">
        <v>464</v>
      </c>
      <c r="H143" s="152">
        <v>471.96</v>
      </c>
      <c r="I143" s="152">
        <v>455.98</v>
      </c>
      <c r="J143" s="156"/>
      <c r="K143" s="156">
        <f>Dre_Terraplenagem!AI59</f>
        <v>0</v>
      </c>
      <c r="L143" s="156">
        <f t="shared" si="158"/>
        <v>0</v>
      </c>
      <c r="M143" s="156">
        <f t="shared" si="159"/>
        <v>0</v>
      </c>
      <c r="N143" s="156" t="s">
        <v>83</v>
      </c>
      <c r="O143" s="157" cm="1">
        <f t="array" ref="O143">TRUNC($H143*(1+_xlfn.SWITCH($N143,"BDI 1",$O$6,"BDI 2",$O$7,"BDI 3",$O$8)),2)</f>
        <v>569.65</v>
      </c>
      <c r="P143" s="157" cm="1">
        <f t="array" ref="P143">TRUNC($I143*(1+_xlfn.SWITCH($N143,"BDI 1",$P$6,"BDI 2",$P$7,"BDI 3",$P$8)),2)</f>
        <v>577.9</v>
      </c>
      <c r="Q143" s="157">
        <v>0</v>
      </c>
      <c r="R143" s="157">
        <f t="shared" si="160"/>
        <v>0</v>
      </c>
      <c r="S143" s="156">
        <f t="shared" si="161"/>
        <v>0</v>
      </c>
      <c r="T143" s="156">
        <f t="shared" si="162"/>
        <v>0</v>
      </c>
      <c r="U143" s="156">
        <f t="shared" si="163"/>
        <v>0</v>
      </c>
      <c r="V143" s="156">
        <f t="shared" si="164"/>
        <v>0</v>
      </c>
      <c r="W143" s="156">
        <f t="shared" si="151"/>
        <v>0</v>
      </c>
      <c r="X143" s="158">
        <f t="shared" ref="X143" si="216">$S143/ORCAMENTO_VALOR_TOTAL_ND</f>
        <v>0</v>
      </c>
      <c r="Y143" s="158">
        <f t="shared" ref="Y143" si="217">$T143/ORCAMENTO_VALOR_TOTAL_DE</f>
        <v>0</v>
      </c>
      <c r="Z143" s="158" cm="1">
        <f t="array" ref="Z143">_xlfn.SWITCH($N143,"BDI 1",$O$6,"BDI 2",$O$7,"BDI 3",$O$8)</f>
        <v>0.20699999999999999</v>
      </c>
      <c r="AA143" s="158" cm="1">
        <f t="array" ref="AA143">_xlfn.SWITCH($N143,"BDI 1",$P$6,"BDI 2",$P$7,"BDI 3",$P$8)</f>
        <v>0.26739999999999997</v>
      </c>
      <c r="AB143" s="158">
        <f t="shared" ca="1" si="167"/>
        <v>0</v>
      </c>
      <c r="AC143" s="158">
        <f t="shared" ca="1" si="168"/>
        <v>0</v>
      </c>
      <c r="AD143" s="164"/>
      <c r="AE143" s="148">
        <f t="shared" si="154"/>
        <v>0</v>
      </c>
      <c r="AF143" s="149"/>
      <c r="AG143" s="150"/>
      <c r="AH143" s="159" t="e">
        <f t="shared" si="155"/>
        <v>#DIV/0!</v>
      </c>
      <c r="AI143" s="160"/>
      <c r="AJ143" s="182">
        <v>3</v>
      </c>
      <c r="AK143" s="183">
        <f>K143/AJ143</f>
        <v>0</v>
      </c>
      <c r="AM143" s="105"/>
      <c r="AN143" s="105"/>
      <c r="AO143" s="105"/>
      <c r="AP143" s="105"/>
      <c r="AQ143" s="105"/>
      <c r="AR143" s="105"/>
    </row>
    <row r="144" spans="1:44" s="49" customFormat="1" ht="40.15" hidden="1" customHeight="1">
      <c r="A144" s="152">
        <f t="shared" ca="1" si="156"/>
        <v>0</v>
      </c>
      <c r="B144" s="153">
        <v>101570</v>
      </c>
      <c r="C144" s="154" t="str">
        <f t="shared" si="157"/>
        <v>101570</v>
      </c>
      <c r="D144" s="154" t="s">
        <v>1416</v>
      </c>
      <c r="E144" s="155" t="s">
        <v>3642</v>
      </c>
      <c r="F144" s="154"/>
      <c r="G144" s="154" t="s">
        <v>1418</v>
      </c>
      <c r="H144" s="152">
        <v>22.76</v>
      </c>
      <c r="I144" s="152">
        <v>21.39</v>
      </c>
      <c r="J144" s="156"/>
      <c r="K144" s="156">
        <f>Dre_Terraplenagem!AI100</f>
        <v>0</v>
      </c>
      <c r="L144" s="156">
        <f t="shared" si="158"/>
        <v>0</v>
      </c>
      <c r="M144" s="156">
        <f t="shared" si="159"/>
        <v>0</v>
      </c>
      <c r="N144" s="156" t="s">
        <v>83</v>
      </c>
      <c r="O144" s="157" cm="1">
        <f t="array" ref="O144">TRUNC($H144*(1+_xlfn.SWITCH($N144,"BDI 1",$O$6,"BDI 2",$O$7,"BDI 3",$O$8)),2)</f>
        <v>27.47</v>
      </c>
      <c r="P144" s="157" cm="1">
        <f t="array" ref="P144">TRUNC($I144*(1+_xlfn.SWITCH($N144,"BDI 1",$P$6,"BDI 2",$P$7,"BDI 3",$P$8)),2)</f>
        <v>27.1</v>
      </c>
      <c r="Q144" s="157">
        <v>0</v>
      </c>
      <c r="R144" s="157">
        <f t="shared" si="160"/>
        <v>0</v>
      </c>
      <c r="S144" s="156">
        <f t="shared" si="161"/>
        <v>0</v>
      </c>
      <c r="T144" s="156">
        <f t="shared" si="162"/>
        <v>0</v>
      </c>
      <c r="U144" s="156">
        <f t="shared" si="163"/>
        <v>0</v>
      </c>
      <c r="V144" s="156">
        <f t="shared" si="164"/>
        <v>0</v>
      </c>
      <c r="W144" s="156">
        <f t="shared" si="151"/>
        <v>0</v>
      </c>
      <c r="X144" s="158">
        <f t="shared" ref="X144" si="218">$S144/ORCAMENTO_VALOR_TOTAL_ND</f>
        <v>0</v>
      </c>
      <c r="Y144" s="158">
        <f t="shared" ref="Y144" si="219">$T144/ORCAMENTO_VALOR_TOTAL_DE</f>
        <v>0</v>
      </c>
      <c r="Z144" s="158" cm="1">
        <f t="array" ref="Z144">_xlfn.SWITCH($N144,"BDI 1",$O$6,"BDI 2",$O$7,"BDI 3",$O$8)</f>
        <v>0.20699999999999999</v>
      </c>
      <c r="AA144" s="158" cm="1">
        <f t="array" ref="AA144">_xlfn.SWITCH($N144,"BDI 1",$P$6,"BDI 2",$P$7,"BDI 3",$P$8)</f>
        <v>0.26739999999999997</v>
      </c>
      <c r="AB144" s="158">
        <f t="shared" ca="1" si="167"/>
        <v>0</v>
      </c>
      <c r="AC144" s="158">
        <f t="shared" ca="1" si="168"/>
        <v>0</v>
      </c>
      <c r="AD144" s="164"/>
      <c r="AE144" s="148">
        <f t="shared" si="154"/>
        <v>0</v>
      </c>
      <c r="AF144" s="149"/>
      <c r="AG144" s="150"/>
      <c r="AH144" s="159" t="e">
        <f t="shared" si="155"/>
        <v>#DIV/0!</v>
      </c>
      <c r="AI144" s="2422">
        <v>0</v>
      </c>
      <c r="AJ144" s="105"/>
      <c r="AK144" s="167"/>
      <c r="AM144" s="105"/>
      <c r="AN144" s="105"/>
      <c r="AO144" s="105"/>
      <c r="AP144" s="105"/>
      <c r="AQ144" s="105"/>
      <c r="AR144" s="105"/>
    </row>
    <row r="145" spans="1:44" s="49" customFormat="1" ht="40.15" hidden="1" customHeight="1">
      <c r="A145" s="152">
        <f t="shared" ca="1" si="156"/>
        <v>0</v>
      </c>
      <c r="B145" s="153">
        <v>101571</v>
      </c>
      <c r="C145" s="154" t="str">
        <f t="shared" si="157"/>
        <v>101571</v>
      </c>
      <c r="D145" s="154" t="s">
        <v>1416</v>
      </c>
      <c r="E145" s="155" t="s">
        <v>3643</v>
      </c>
      <c r="F145" s="154"/>
      <c r="G145" s="154" t="s">
        <v>1418</v>
      </c>
      <c r="H145" s="152">
        <v>30.8</v>
      </c>
      <c r="I145" s="152">
        <v>28.7</v>
      </c>
      <c r="J145" s="156"/>
      <c r="K145" s="156">
        <f>Dre_Terraplenagem!AI101</f>
        <v>0</v>
      </c>
      <c r="L145" s="156">
        <f t="shared" si="158"/>
        <v>0</v>
      </c>
      <c r="M145" s="156">
        <f t="shared" si="159"/>
        <v>0</v>
      </c>
      <c r="N145" s="156" t="s">
        <v>83</v>
      </c>
      <c r="O145" s="157" cm="1">
        <f t="array" ref="O145">TRUNC($H145*(1+_xlfn.SWITCH($N145,"BDI 1",$O$6,"BDI 2",$O$7,"BDI 3",$O$8)),2)</f>
        <v>37.17</v>
      </c>
      <c r="P145" s="157" cm="1">
        <f t="array" ref="P145">TRUNC($I145*(1+_xlfn.SWITCH($N145,"BDI 1",$P$6,"BDI 2",$P$7,"BDI 3",$P$8)),2)</f>
        <v>36.369999999999997</v>
      </c>
      <c r="Q145" s="157">
        <v>0</v>
      </c>
      <c r="R145" s="157">
        <f t="shared" si="160"/>
        <v>0</v>
      </c>
      <c r="S145" s="156">
        <f t="shared" si="161"/>
        <v>0</v>
      </c>
      <c r="T145" s="156">
        <f t="shared" si="162"/>
        <v>0</v>
      </c>
      <c r="U145" s="156">
        <f t="shared" si="163"/>
        <v>0</v>
      </c>
      <c r="V145" s="156">
        <f t="shared" si="164"/>
        <v>0</v>
      </c>
      <c r="W145" s="156">
        <f t="shared" si="151"/>
        <v>0</v>
      </c>
      <c r="X145" s="158">
        <f t="shared" ref="X145" si="220">$S145/ORCAMENTO_VALOR_TOTAL_ND</f>
        <v>0</v>
      </c>
      <c r="Y145" s="158">
        <f t="shared" ref="Y145" si="221">$T145/ORCAMENTO_VALOR_TOTAL_DE</f>
        <v>0</v>
      </c>
      <c r="Z145" s="158" cm="1">
        <f t="array" ref="Z145">_xlfn.SWITCH($N145,"BDI 1",$O$6,"BDI 2",$O$7,"BDI 3",$O$8)</f>
        <v>0.20699999999999999</v>
      </c>
      <c r="AA145" s="158" cm="1">
        <f t="array" ref="AA145">_xlfn.SWITCH($N145,"BDI 1",$P$6,"BDI 2",$P$7,"BDI 3",$P$8)</f>
        <v>0.26739999999999997</v>
      </c>
      <c r="AB145" s="158">
        <f t="shared" ca="1" si="167"/>
        <v>0</v>
      </c>
      <c r="AC145" s="158">
        <f t="shared" ca="1" si="168"/>
        <v>0</v>
      </c>
      <c r="AD145" s="164"/>
      <c r="AE145" s="148">
        <f t="shared" si="154"/>
        <v>0</v>
      </c>
      <c r="AF145" s="149"/>
      <c r="AG145" s="150"/>
      <c r="AH145" s="159" t="e">
        <f t="shared" si="155"/>
        <v>#DIV/0!</v>
      </c>
      <c r="AI145" s="2422"/>
      <c r="AJ145" s="105"/>
      <c r="AK145" s="105"/>
      <c r="AM145" s="105"/>
      <c r="AN145" s="105"/>
      <c r="AO145" s="105"/>
      <c r="AP145" s="105"/>
      <c r="AQ145" s="105"/>
      <c r="AR145" s="105"/>
    </row>
    <row r="146" spans="1:44" s="49" customFormat="1" ht="40.15" hidden="1" customHeight="1">
      <c r="A146" s="152">
        <f t="shared" ca="1" si="156"/>
        <v>0</v>
      </c>
      <c r="B146" s="153">
        <v>101572</v>
      </c>
      <c r="C146" s="154" t="str">
        <f t="shared" si="157"/>
        <v>101572</v>
      </c>
      <c r="D146" s="154" t="s">
        <v>1416</v>
      </c>
      <c r="E146" s="155" t="s">
        <v>3644</v>
      </c>
      <c r="F146" s="154"/>
      <c r="G146" s="154" t="s">
        <v>1418</v>
      </c>
      <c r="H146" s="152">
        <v>18.02</v>
      </c>
      <c r="I146" s="152">
        <v>16.989999999999998</v>
      </c>
      <c r="J146" s="156"/>
      <c r="K146" s="156">
        <f>Dre_Terraplenagem!AI102</f>
        <v>0</v>
      </c>
      <c r="L146" s="156">
        <f t="shared" si="158"/>
        <v>0</v>
      </c>
      <c r="M146" s="156">
        <f t="shared" si="159"/>
        <v>0</v>
      </c>
      <c r="N146" s="156" t="s">
        <v>83</v>
      </c>
      <c r="O146" s="157" cm="1">
        <f t="array" ref="O146">TRUNC($H146*(1+_xlfn.SWITCH($N146,"BDI 1",$O$6,"BDI 2",$O$7,"BDI 3",$O$8)),2)</f>
        <v>21.75</v>
      </c>
      <c r="P146" s="157" cm="1">
        <f t="array" ref="P146">TRUNC($I146*(1+_xlfn.SWITCH($N146,"BDI 1",$P$6,"BDI 2",$P$7,"BDI 3",$P$8)),2)</f>
        <v>21.53</v>
      </c>
      <c r="Q146" s="157">
        <v>0</v>
      </c>
      <c r="R146" s="157">
        <f t="shared" si="160"/>
        <v>0</v>
      </c>
      <c r="S146" s="156">
        <f t="shared" si="161"/>
        <v>0</v>
      </c>
      <c r="T146" s="156">
        <f t="shared" si="162"/>
        <v>0</v>
      </c>
      <c r="U146" s="156">
        <f t="shared" si="163"/>
        <v>0</v>
      </c>
      <c r="V146" s="156">
        <f t="shared" si="164"/>
        <v>0</v>
      </c>
      <c r="W146" s="156">
        <f t="shared" si="151"/>
        <v>0</v>
      </c>
      <c r="X146" s="158">
        <f t="shared" ref="X146" si="222">$S146/ORCAMENTO_VALOR_TOTAL_ND</f>
        <v>0</v>
      </c>
      <c r="Y146" s="158">
        <f t="shared" ref="Y146" si="223">$T146/ORCAMENTO_VALOR_TOTAL_DE</f>
        <v>0</v>
      </c>
      <c r="Z146" s="158" cm="1">
        <f t="array" ref="Z146">_xlfn.SWITCH($N146,"BDI 1",$O$6,"BDI 2",$O$7,"BDI 3",$O$8)</f>
        <v>0.20699999999999999</v>
      </c>
      <c r="AA146" s="158" cm="1">
        <f t="array" ref="AA146">_xlfn.SWITCH($N146,"BDI 1",$P$6,"BDI 2",$P$7,"BDI 3",$P$8)</f>
        <v>0.26739999999999997</v>
      </c>
      <c r="AB146" s="158">
        <f t="shared" ca="1" si="167"/>
        <v>0</v>
      </c>
      <c r="AC146" s="158">
        <f t="shared" ca="1" si="168"/>
        <v>0</v>
      </c>
      <c r="AD146" s="164"/>
      <c r="AE146" s="148">
        <f t="shared" si="154"/>
        <v>0</v>
      </c>
      <c r="AF146" s="149"/>
      <c r="AG146" s="150"/>
      <c r="AH146" s="159" t="e">
        <f t="shared" si="155"/>
        <v>#DIV/0!</v>
      </c>
      <c r="AI146" s="2422"/>
      <c r="AJ146" s="105"/>
      <c r="AK146" s="105"/>
      <c r="AM146" s="105"/>
      <c r="AN146" s="105"/>
      <c r="AO146" s="105"/>
      <c r="AP146" s="105"/>
      <c r="AQ146" s="105"/>
      <c r="AR146" s="105"/>
    </row>
    <row r="147" spans="1:44" s="49" customFormat="1" ht="40.15" hidden="1" customHeight="1">
      <c r="A147" s="152">
        <f t="shared" ca="1" si="156"/>
        <v>0</v>
      </c>
      <c r="B147" s="153">
        <v>101573</v>
      </c>
      <c r="C147" s="154" t="str">
        <f t="shared" si="157"/>
        <v>101573</v>
      </c>
      <c r="D147" s="154" t="s">
        <v>1416</v>
      </c>
      <c r="E147" s="155" t="s">
        <v>3645</v>
      </c>
      <c r="F147" s="154"/>
      <c r="G147" s="154" t="s">
        <v>1418</v>
      </c>
      <c r="H147" s="152">
        <v>26.05</v>
      </c>
      <c r="I147" s="152">
        <v>24.3</v>
      </c>
      <c r="J147" s="156"/>
      <c r="K147" s="156">
        <f>Dre_Terraplenagem!AI103</f>
        <v>0</v>
      </c>
      <c r="L147" s="156">
        <f t="shared" si="158"/>
        <v>0</v>
      </c>
      <c r="M147" s="156">
        <f t="shared" si="159"/>
        <v>0</v>
      </c>
      <c r="N147" s="156" t="s">
        <v>83</v>
      </c>
      <c r="O147" s="157" cm="1">
        <f t="array" ref="O147">TRUNC($H147*(1+_xlfn.SWITCH($N147,"BDI 1",$O$6,"BDI 2",$O$7,"BDI 3",$O$8)),2)</f>
        <v>31.44</v>
      </c>
      <c r="P147" s="157" cm="1">
        <f t="array" ref="P147">TRUNC($I147*(1+_xlfn.SWITCH($N147,"BDI 1",$P$6,"BDI 2",$P$7,"BDI 3",$P$8)),2)</f>
        <v>30.79</v>
      </c>
      <c r="Q147" s="157">
        <v>0</v>
      </c>
      <c r="R147" s="157">
        <f t="shared" si="160"/>
        <v>0</v>
      </c>
      <c r="S147" s="156">
        <f t="shared" si="161"/>
        <v>0</v>
      </c>
      <c r="T147" s="156">
        <f t="shared" si="162"/>
        <v>0</v>
      </c>
      <c r="U147" s="156">
        <f t="shared" si="163"/>
        <v>0</v>
      </c>
      <c r="V147" s="156">
        <f t="shared" si="164"/>
        <v>0</v>
      </c>
      <c r="W147" s="156">
        <f t="shared" si="151"/>
        <v>0</v>
      </c>
      <c r="X147" s="158">
        <f t="shared" ref="X147" si="224">$S147/ORCAMENTO_VALOR_TOTAL_ND</f>
        <v>0</v>
      </c>
      <c r="Y147" s="158">
        <f t="shared" ref="Y147" si="225">$T147/ORCAMENTO_VALOR_TOTAL_DE</f>
        <v>0</v>
      </c>
      <c r="Z147" s="158" cm="1">
        <f t="array" ref="Z147">_xlfn.SWITCH($N147,"BDI 1",$O$6,"BDI 2",$O$7,"BDI 3",$O$8)</f>
        <v>0.20699999999999999</v>
      </c>
      <c r="AA147" s="158" cm="1">
        <f t="array" ref="AA147">_xlfn.SWITCH($N147,"BDI 1",$P$6,"BDI 2",$P$7,"BDI 3",$P$8)</f>
        <v>0.26739999999999997</v>
      </c>
      <c r="AB147" s="158">
        <f t="shared" ca="1" si="167"/>
        <v>0</v>
      </c>
      <c r="AC147" s="158">
        <f t="shared" ca="1" si="168"/>
        <v>0</v>
      </c>
      <c r="AD147" s="164"/>
      <c r="AE147" s="148">
        <f t="shared" si="154"/>
        <v>0</v>
      </c>
      <c r="AF147" s="149"/>
      <c r="AG147" s="150"/>
      <c r="AH147" s="159" t="e">
        <f t="shared" si="155"/>
        <v>#DIV/0!</v>
      </c>
      <c r="AI147" s="2422"/>
      <c r="AJ147" s="105"/>
      <c r="AK147" s="105"/>
      <c r="AM147" s="105"/>
      <c r="AN147" s="105"/>
      <c r="AO147" s="105"/>
      <c r="AP147" s="105"/>
      <c r="AQ147" s="105"/>
      <c r="AR147" s="105"/>
    </row>
    <row r="148" spans="1:44" s="49" customFormat="1" ht="40.15" hidden="1" customHeight="1">
      <c r="A148" s="152">
        <f t="shared" ca="1" si="156"/>
        <v>0</v>
      </c>
      <c r="B148" s="153">
        <v>101578</v>
      </c>
      <c r="C148" s="154" t="str">
        <f t="shared" si="157"/>
        <v>101578</v>
      </c>
      <c r="D148" s="154" t="s">
        <v>1416</v>
      </c>
      <c r="E148" s="155" t="s">
        <v>3646</v>
      </c>
      <c r="F148" s="154"/>
      <c r="G148" s="154" t="s">
        <v>1418</v>
      </c>
      <c r="H148" s="152">
        <v>34.71</v>
      </c>
      <c r="I148" s="152">
        <v>33.53</v>
      </c>
      <c r="J148" s="156"/>
      <c r="K148" s="156">
        <f>Dre_Terraplenagem!AI107</f>
        <v>0</v>
      </c>
      <c r="L148" s="156">
        <f t="shared" si="158"/>
        <v>0</v>
      </c>
      <c r="M148" s="156">
        <f t="shared" si="159"/>
        <v>0</v>
      </c>
      <c r="N148" s="156" t="s">
        <v>83</v>
      </c>
      <c r="O148" s="157" cm="1">
        <f t="array" ref="O148">TRUNC($H148*(1+_xlfn.SWITCH($N148,"BDI 1",$O$6,"BDI 2",$O$7,"BDI 3",$O$8)),2)</f>
        <v>41.89</v>
      </c>
      <c r="P148" s="157" cm="1">
        <f t="array" ref="P148">TRUNC($I148*(1+_xlfn.SWITCH($N148,"BDI 1",$P$6,"BDI 2",$P$7,"BDI 3",$P$8)),2)</f>
        <v>42.49</v>
      </c>
      <c r="Q148" s="157">
        <v>0</v>
      </c>
      <c r="R148" s="157">
        <f t="shared" si="160"/>
        <v>0</v>
      </c>
      <c r="S148" s="156">
        <f t="shared" si="161"/>
        <v>0</v>
      </c>
      <c r="T148" s="156">
        <f t="shared" si="162"/>
        <v>0</v>
      </c>
      <c r="U148" s="156">
        <f t="shared" si="163"/>
        <v>0</v>
      </c>
      <c r="V148" s="156">
        <f t="shared" si="164"/>
        <v>0</v>
      </c>
      <c r="W148" s="156">
        <f t="shared" si="151"/>
        <v>0</v>
      </c>
      <c r="X148" s="158">
        <f t="shared" ref="X148" si="226">$S148/ORCAMENTO_VALOR_TOTAL_ND</f>
        <v>0</v>
      </c>
      <c r="Y148" s="158">
        <f t="shared" ref="Y148" si="227">$T148/ORCAMENTO_VALOR_TOTAL_DE</f>
        <v>0</v>
      </c>
      <c r="Z148" s="158" cm="1">
        <f t="array" ref="Z148">_xlfn.SWITCH($N148,"BDI 1",$O$6,"BDI 2",$O$7,"BDI 3",$O$8)</f>
        <v>0.20699999999999999</v>
      </c>
      <c r="AA148" s="158" cm="1">
        <f t="array" ref="AA148">_xlfn.SWITCH($N148,"BDI 1",$P$6,"BDI 2",$P$7,"BDI 3",$P$8)</f>
        <v>0.26739999999999997</v>
      </c>
      <c r="AB148" s="158">
        <f t="shared" ca="1" si="167"/>
        <v>0</v>
      </c>
      <c r="AC148" s="158">
        <f t="shared" ca="1" si="168"/>
        <v>0</v>
      </c>
      <c r="AD148" s="164"/>
      <c r="AE148" s="148">
        <f t="shared" si="154"/>
        <v>0</v>
      </c>
      <c r="AF148" s="149"/>
      <c r="AG148" s="150"/>
      <c r="AH148" s="159" t="e">
        <f t="shared" si="155"/>
        <v>#DIV/0!</v>
      </c>
      <c r="AI148" s="188"/>
      <c r="AJ148" s="105"/>
      <c r="AK148" s="105"/>
      <c r="AM148" s="105"/>
      <c r="AN148" s="105"/>
      <c r="AO148" s="105"/>
      <c r="AP148" s="105"/>
      <c r="AQ148" s="105"/>
      <c r="AR148" s="105"/>
    </row>
    <row r="149" spans="1:44" s="49" customFormat="1" ht="40.15" hidden="1" customHeight="1">
      <c r="A149" s="152">
        <f t="shared" ca="1" si="156"/>
        <v>0</v>
      </c>
      <c r="B149" s="153">
        <v>101579</v>
      </c>
      <c r="C149" s="154" t="str">
        <f t="shared" si="157"/>
        <v>101579</v>
      </c>
      <c r="D149" s="154" t="s">
        <v>1416</v>
      </c>
      <c r="E149" s="155" t="s">
        <v>3647</v>
      </c>
      <c r="F149" s="154"/>
      <c r="G149" s="154" t="s">
        <v>1418</v>
      </c>
      <c r="H149" s="152">
        <v>44.92</v>
      </c>
      <c r="I149" s="152">
        <v>42.8</v>
      </c>
      <c r="J149" s="156"/>
      <c r="K149" s="156">
        <f>Dre_Terraplenagem!AI108</f>
        <v>0</v>
      </c>
      <c r="L149" s="156">
        <f t="shared" si="158"/>
        <v>0</v>
      </c>
      <c r="M149" s="156">
        <f t="shared" si="159"/>
        <v>0</v>
      </c>
      <c r="N149" s="156" t="s">
        <v>83</v>
      </c>
      <c r="O149" s="157" cm="1">
        <f t="array" ref="O149">TRUNC($H149*(1+_xlfn.SWITCH($N149,"BDI 1",$O$6,"BDI 2",$O$7,"BDI 3",$O$8)),2)</f>
        <v>54.21</v>
      </c>
      <c r="P149" s="157" cm="1">
        <f t="array" ref="P149">TRUNC($I149*(1+_xlfn.SWITCH($N149,"BDI 1",$P$6,"BDI 2",$P$7,"BDI 3",$P$8)),2)</f>
        <v>54.24</v>
      </c>
      <c r="Q149" s="157">
        <v>0</v>
      </c>
      <c r="R149" s="157">
        <f t="shared" si="160"/>
        <v>0</v>
      </c>
      <c r="S149" s="156">
        <f t="shared" si="161"/>
        <v>0</v>
      </c>
      <c r="T149" s="156">
        <f t="shared" si="162"/>
        <v>0</v>
      </c>
      <c r="U149" s="156">
        <f t="shared" si="163"/>
        <v>0</v>
      </c>
      <c r="V149" s="156">
        <f t="shared" si="164"/>
        <v>0</v>
      </c>
      <c r="W149" s="156">
        <f t="shared" si="151"/>
        <v>0</v>
      </c>
      <c r="X149" s="158">
        <f t="shared" ref="X149" si="228">$S149/ORCAMENTO_VALOR_TOTAL_ND</f>
        <v>0</v>
      </c>
      <c r="Y149" s="158">
        <f t="shared" ref="Y149" si="229">$T149/ORCAMENTO_VALOR_TOTAL_DE</f>
        <v>0</v>
      </c>
      <c r="Z149" s="158" cm="1">
        <f t="array" ref="Z149">_xlfn.SWITCH($N149,"BDI 1",$O$6,"BDI 2",$O$7,"BDI 3",$O$8)</f>
        <v>0.20699999999999999</v>
      </c>
      <c r="AA149" s="158" cm="1">
        <f t="array" ref="AA149">_xlfn.SWITCH($N149,"BDI 1",$P$6,"BDI 2",$P$7,"BDI 3",$P$8)</f>
        <v>0.26739999999999997</v>
      </c>
      <c r="AB149" s="158">
        <f t="shared" ca="1" si="167"/>
        <v>0</v>
      </c>
      <c r="AC149" s="158">
        <f t="shared" ca="1" si="168"/>
        <v>0</v>
      </c>
      <c r="AD149" s="164"/>
      <c r="AE149" s="148">
        <f t="shared" si="154"/>
        <v>0</v>
      </c>
      <c r="AF149" s="149"/>
      <c r="AG149" s="150"/>
      <c r="AH149" s="159" t="e">
        <f t="shared" si="155"/>
        <v>#DIV/0!</v>
      </c>
      <c r="AI149" s="188"/>
      <c r="AJ149" s="105"/>
      <c r="AK149" s="105"/>
      <c r="AM149" s="105"/>
      <c r="AN149" s="105"/>
      <c r="AO149" s="105"/>
      <c r="AP149" s="105"/>
      <c r="AQ149" s="105"/>
      <c r="AR149" s="105"/>
    </row>
    <row r="150" spans="1:44" s="49" customFormat="1" ht="40.15" hidden="1" customHeight="1">
      <c r="A150" s="152">
        <f t="shared" ca="1" si="156"/>
        <v>0</v>
      </c>
      <c r="B150" s="153">
        <v>101586</v>
      </c>
      <c r="C150" s="154" t="str">
        <f t="shared" si="157"/>
        <v>101586</v>
      </c>
      <c r="D150" s="154" t="s">
        <v>1416</v>
      </c>
      <c r="E150" s="155" t="s">
        <v>3648</v>
      </c>
      <c r="F150" s="154"/>
      <c r="G150" s="154" t="s">
        <v>1418</v>
      </c>
      <c r="H150" s="152">
        <v>49.8</v>
      </c>
      <c r="I150" s="152">
        <v>48.73</v>
      </c>
      <c r="J150" s="156"/>
      <c r="K150" s="156">
        <f>Dre_Terraplenagem!AI111</f>
        <v>0</v>
      </c>
      <c r="L150" s="156">
        <f t="shared" si="158"/>
        <v>0</v>
      </c>
      <c r="M150" s="156">
        <f t="shared" si="159"/>
        <v>0</v>
      </c>
      <c r="N150" s="156" t="s">
        <v>83</v>
      </c>
      <c r="O150" s="157" cm="1">
        <f t="array" ref="O150">TRUNC($H150*(1+_xlfn.SWITCH($N150,"BDI 1",$O$6,"BDI 2",$O$7,"BDI 3",$O$8)),2)</f>
        <v>60.1</v>
      </c>
      <c r="P150" s="157" cm="1">
        <f t="array" ref="P150">TRUNC($I150*(1+_xlfn.SWITCH($N150,"BDI 1",$P$6,"BDI 2",$P$7,"BDI 3",$P$8)),2)</f>
        <v>61.76</v>
      </c>
      <c r="Q150" s="157">
        <v>0</v>
      </c>
      <c r="R150" s="157">
        <f t="shared" si="160"/>
        <v>0</v>
      </c>
      <c r="S150" s="156">
        <f t="shared" si="161"/>
        <v>0</v>
      </c>
      <c r="T150" s="156">
        <f t="shared" si="162"/>
        <v>0</v>
      </c>
      <c r="U150" s="156">
        <f t="shared" si="163"/>
        <v>0</v>
      </c>
      <c r="V150" s="156">
        <f t="shared" si="164"/>
        <v>0</v>
      </c>
      <c r="W150" s="156">
        <f t="shared" si="151"/>
        <v>0</v>
      </c>
      <c r="X150" s="158">
        <f t="shared" ref="X150" si="230">$S150/ORCAMENTO_VALOR_TOTAL_ND</f>
        <v>0</v>
      </c>
      <c r="Y150" s="158">
        <f t="shared" ref="Y150" si="231">$T150/ORCAMENTO_VALOR_TOTAL_DE</f>
        <v>0</v>
      </c>
      <c r="Z150" s="158" cm="1">
        <f t="array" ref="Z150">_xlfn.SWITCH($N150,"BDI 1",$O$6,"BDI 2",$O$7,"BDI 3",$O$8)</f>
        <v>0.20699999999999999</v>
      </c>
      <c r="AA150" s="158" cm="1">
        <f t="array" ref="AA150">_xlfn.SWITCH($N150,"BDI 1",$P$6,"BDI 2",$P$7,"BDI 3",$P$8)</f>
        <v>0.26739999999999997</v>
      </c>
      <c r="AB150" s="158">
        <f t="shared" ca="1" si="167"/>
        <v>0</v>
      </c>
      <c r="AC150" s="158">
        <f t="shared" ca="1" si="168"/>
        <v>0</v>
      </c>
      <c r="AD150" s="164"/>
      <c r="AE150" s="148">
        <f t="shared" si="154"/>
        <v>0</v>
      </c>
      <c r="AF150" s="149"/>
      <c r="AG150" s="150"/>
      <c r="AH150" s="159" t="e">
        <f t="shared" si="155"/>
        <v>#DIV/0!</v>
      </c>
      <c r="AI150" s="188"/>
      <c r="AJ150" s="105"/>
      <c r="AK150" s="105"/>
      <c r="AM150" s="105"/>
      <c r="AN150" s="105"/>
      <c r="AO150" s="105"/>
      <c r="AP150" s="105"/>
      <c r="AQ150" s="105"/>
      <c r="AR150" s="105"/>
    </row>
    <row r="151" spans="1:44" s="49" customFormat="1" ht="40.15" hidden="1" customHeight="1">
      <c r="A151" s="152">
        <f t="shared" ca="1" si="156"/>
        <v>0</v>
      </c>
      <c r="B151" s="153">
        <v>101587</v>
      </c>
      <c r="C151" s="154" t="str">
        <f t="shared" si="157"/>
        <v>101587</v>
      </c>
      <c r="D151" s="154" t="s">
        <v>1416</v>
      </c>
      <c r="E151" s="155" t="s">
        <v>3649</v>
      </c>
      <c r="F151" s="154"/>
      <c r="G151" s="154" t="s">
        <v>1418</v>
      </c>
      <c r="H151" s="152">
        <v>65.790000000000006</v>
      </c>
      <c r="I151" s="152">
        <v>63.25</v>
      </c>
      <c r="J151" s="156"/>
      <c r="K151" s="156">
        <f>Dre_Terraplenagem!AI112</f>
        <v>0</v>
      </c>
      <c r="L151" s="156">
        <f t="shared" si="158"/>
        <v>0</v>
      </c>
      <c r="M151" s="156">
        <f t="shared" si="159"/>
        <v>0</v>
      </c>
      <c r="N151" s="156" t="s">
        <v>83</v>
      </c>
      <c r="O151" s="157" cm="1">
        <f t="array" ref="O151">TRUNC($H151*(1+_xlfn.SWITCH($N151,"BDI 1",$O$6,"BDI 2",$O$7,"BDI 3",$O$8)),2)</f>
        <v>79.400000000000006</v>
      </c>
      <c r="P151" s="157" cm="1">
        <f t="array" ref="P151">TRUNC($I151*(1+_xlfn.SWITCH($N151,"BDI 1",$P$6,"BDI 2",$P$7,"BDI 3",$P$8)),2)</f>
        <v>80.16</v>
      </c>
      <c r="Q151" s="157">
        <v>0</v>
      </c>
      <c r="R151" s="157">
        <f t="shared" si="160"/>
        <v>0</v>
      </c>
      <c r="S151" s="156">
        <f t="shared" si="161"/>
        <v>0</v>
      </c>
      <c r="T151" s="156">
        <f t="shared" si="162"/>
        <v>0</v>
      </c>
      <c r="U151" s="156">
        <f t="shared" si="163"/>
        <v>0</v>
      </c>
      <c r="V151" s="156">
        <f t="shared" si="164"/>
        <v>0</v>
      </c>
      <c r="W151" s="156">
        <f t="shared" si="151"/>
        <v>0</v>
      </c>
      <c r="X151" s="158">
        <f t="shared" ref="X151" si="232">$S151/ORCAMENTO_VALOR_TOTAL_ND</f>
        <v>0</v>
      </c>
      <c r="Y151" s="158">
        <f t="shared" ref="Y151" si="233">$T151/ORCAMENTO_VALOR_TOTAL_DE</f>
        <v>0</v>
      </c>
      <c r="Z151" s="158" cm="1">
        <f t="array" ref="Z151">_xlfn.SWITCH($N151,"BDI 1",$O$6,"BDI 2",$O$7,"BDI 3",$O$8)</f>
        <v>0.20699999999999999</v>
      </c>
      <c r="AA151" s="158" cm="1">
        <f t="array" ref="AA151">_xlfn.SWITCH($N151,"BDI 1",$P$6,"BDI 2",$P$7,"BDI 3",$P$8)</f>
        <v>0.26739999999999997</v>
      </c>
      <c r="AB151" s="158">
        <f t="shared" ca="1" si="167"/>
        <v>0</v>
      </c>
      <c r="AC151" s="158">
        <f t="shared" ca="1" si="168"/>
        <v>0</v>
      </c>
      <c r="AD151" s="164"/>
      <c r="AE151" s="148">
        <f t="shared" si="154"/>
        <v>0</v>
      </c>
      <c r="AF151" s="149"/>
      <c r="AG151" s="150"/>
      <c r="AH151" s="159" t="e">
        <f t="shared" si="155"/>
        <v>#DIV/0!</v>
      </c>
      <c r="AI151" s="188"/>
      <c r="AJ151" s="105"/>
      <c r="AK151" s="105"/>
      <c r="AM151" s="105"/>
      <c r="AN151" s="105"/>
      <c r="AO151" s="105"/>
      <c r="AP151" s="105"/>
      <c r="AQ151" s="105"/>
      <c r="AR151" s="105"/>
    </row>
    <row r="152" spans="1:44" s="49" customFormat="1" ht="49.9" hidden="1" customHeight="1">
      <c r="A152" s="152">
        <f t="shared" ca="1" si="156"/>
        <v>0</v>
      </c>
      <c r="B152" s="153" t="s">
        <v>131</v>
      </c>
      <c r="C152" s="154" t="str">
        <f t="shared" si="157"/>
        <v>ES/0010</v>
      </c>
      <c r="D152" s="154" t="s">
        <v>3549</v>
      </c>
      <c r="E152" s="155" t="s">
        <v>3650</v>
      </c>
      <c r="F152" s="154"/>
      <c r="G152" s="154" t="s">
        <v>1418</v>
      </c>
      <c r="H152" s="152">
        <v>22.43</v>
      </c>
      <c r="I152" s="152">
        <v>21.7</v>
      </c>
      <c r="J152" s="156"/>
      <c r="K152" s="156">
        <f>Dre_Terraplenagem!AI116</f>
        <v>0</v>
      </c>
      <c r="L152" s="156">
        <f t="shared" si="158"/>
        <v>0</v>
      </c>
      <c r="M152" s="156">
        <f t="shared" si="159"/>
        <v>0</v>
      </c>
      <c r="N152" s="156" t="s">
        <v>83</v>
      </c>
      <c r="O152" s="157" cm="1">
        <f t="array" ref="O152">TRUNC($H152*(1+_xlfn.SWITCH($N152,"BDI 1",$O$6,"BDI 2",$O$7,"BDI 3",$O$8)),2)</f>
        <v>27.07</v>
      </c>
      <c r="P152" s="157" cm="1">
        <f t="array" ref="P152">TRUNC($I152*(1+_xlfn.SWITCH($N152,"BDI 1",$P$6,"BDI 2",$P$7,"BDI 3",$P$8)),2)</f>
        <v>27.5</v>
      </c>
      <c r="Q152" s="157">
        <v>0</v>
      </c>
      <c r="R152" s="157">
        <f t="shared" si="160"/>
        <v>0</v>
      </c>
      <c r="S152" s="156">
        <f t="shared" si="161"/>
        <v>0</v>
      </c>
      <c r="T152" s="156">
        <f t="shared" si="162"/>
        <v>0</v>
      </c>
      <c r="U152" s="156">
        <f t="shared" si="163"/>
        <v>0</v>
      </c>
      <c r="V152" s="156">
        <f t="shared" si="164"/>
        <v>0</v>
      </c>
      <c r="W152" s="156">
        <f t="shared" si="151"/>
        <v>0</v>
      </c>
      <c r="X152" s="158">
        <f t="shared" ref="X152" si="234">$S152/ORCAMENTO_VALOR_TOTAL_ND</f>
        <v>0</v>
      </c>
      <c r="Y152" s="158">
        <f t="shared" ref="Y152" si="235">$T152/ORCAMENTO_VALOR_TOTAL_DE</f>
        <v>0</v>
      </c>
      <c r="Z152" s="158" cm="1">
        <f t="array" ref="Z152">_xlfn.SWITCH($N152,"BDI 1",$O$6,"BDI 2",$O$7,"BDI 3",$O$8)</f>
        <v>0.20699999999999999</v>
      </c>
      <c r="AA152" s="158" cm="1">
        <f t="array" ref="AA152">_xlfn.SWITCH($N152,"BDI 1",$P$6,"BDI 2",$P$7,"BDI 3",$P$8)</f>
        <v>0.26739999999999997</v>
      </c>
      <c r="AB152" s="158">
        <f t="shared" ca="1" si="167"/>
        <v>0</v>
      </c>
      <c r="AC152" s="158">
        <f t="shared" ca="1" si="168"/>
        <v>0</v>
      </c>
      <c r="AD152" s="164"/>
      <c r="AE152" s="148">
        <f t="shared" si="154"/>
        <v>0</v>
      </c>
      <c r="AF152" s="149"/>
      <c r="AG152" s="150"/>
      <c r="AH152" s="159" t="e">
        <f t="shared" si="155"/>
        <v>#DIV/0!</v>
      </c>
      <c r="AI152" s="189">
        <v>0</v>
      </c>
      <c r="AJ152" s="105"/>
      <c r="AK152" s="105"/>
      <c r="AM152" s="105"/>
      <c r="AN152" s="105"/>
      <c r="AO152" s="105"/>
      <c r="AP152" s="105"/>
      <c r="AQ152" s="105"/>
      <c r="AR152" s="105"/>
    </row>
    <row r="153" spans="1:44" s="49" customFormat="1" ht="49.9" hidden="1" customHeight="1">
      <c r="A153" s="152">
        <f t="shared" ca="1" si="156"/>
        <v>0</v>
      </c>
      <c r="B153" s="153" t="s">
        <v>132</v>
      </c>
      <c r="C153" s="154" t="str">
        <f t="shared" si="157"/>
        <v>ES/0015</v>
      </c>
      <c r="D153" s="154" t="s">
        <v>3549</v>
      </c>
      <c r="E153" s="155" t="s">
        <v>3651</v>
      </c>
      <c r="F153" s="154"/>
      <c r="G153" s="154" t="s">
        <v>1418</v>
      </c>
      <c r="H153" s="152">
        <v>19.11</v>
      </c>
      <c r="I153" s="152">
        <v>18.52</v>
      </c>
      <c r="J153" s="156"/>
      <c r="K153" s="156">
        <f>Dre_Terraplenagem!AI117</f>
        <v>0</v>
      </c>
      <c r="L153" s="156">
        <f t="shared" si="158"/>
        <v>0</v>
      </c>
      <c r="M153" s="156">
        <f t="shared" si="159"/>
        <v>0</v>
      </c>
      <c r="N153" s="156" t="s">
        <v>83</v>
      </c>
      <c r="O153" s="157" cm="1">
        <f t="array" ref="O153">TRUNC($H153*(1+_xlfn.SWITCH($N153,"BDI 1",$O$6,"BDI 2",$O$7,"BDI 3",$O$8)),2)</f>
        <v>23.06</v>
      </c>
      <c r="P153" s="157" cm="1">
        <f t="array" ref="P153">TRUNC($I153*(1+_xlfn.SWITCH($N153,"BDI 1",$P$6,"BDI 2",$P$7,"BDI 3",$P$8)),2)</f>
        <v>23.47</v>
      </c>
      <c r="Q153" s="157">
        <v>0</v>
      </c>
      <c r="R153" s="157">
        <f t="shared" si="160"/>
        <v>0</v>
      </c>
      <c r="S153" s="156">
        <f t="shared" si="161"/>
        <v>0</v>
      </c>
      <c r="T153" s="156">
        <f t="shared" si="162"/>
        <v>0</v>
      </c>
      <c r="U153" s="156">
        <f t="shared" si="163"/>
        <v>0</v>
      </c>
      <c r="V153" s="156">
        <f t="shared" si="164"/>
        <v>0</v>
      </c>
      <c r="W153" s="156">
        <f t="shared" si="151"/>
        <v>0</v>
      </c>
      <c r="X153" s="158">
        <f t="shared" ref="X153" si="236">$S153/ORCAMENTO_VALOR_TOTAL_ND</f>
        <v>0</v>
      </c>
      <c r="Y153" s="158">
        <f t="shared" ref="Y153" si="237">$T153/ORCAMENTO_VALOR_TOTAL_DE</f>
        <v>0</v>
      </c>
      <c r="Z153" s="158" cm="1">
        <f t="array" ref="Z153">_xlfn.SWITCH($N153,"BDI 1",$O$6,"BDI 2",$O$7,"BDI 3",$O$8)</f>
        <v>0.20699999999999999</v>
      </c>
      <c r="AA153" s="158" cm="1">
        <f t="array" ref="AA153">_xlfn.SWITCH($N153,"BDI 1",$P$6,"BDI 2",$P$7,"BDI 3",$P$8)</f>
        <v>0.26739999999999997</v>
      </c>
      <c r="AB153" s="158">
        <f t="shared" ca="1" si="167"/>
        <v>0</v>
      </c>
      <c r="AC153" s="158">
        <f t="shared" ca="1" si="168"/>
        <v>0</v>
      </c>
      <c r="AD153" s="164"/>
      <c r="AE153" s="148">
        <f t="shared" si="154"/>
        <v>0</v>
      </c>
      <c r="AF153" s="149"/>
      <c r="AG153" s="150"/>
      <c r="AH153" s="159" t="e">
        <f t="shared" si="155"/>
        <v>#DIV/0!</v>
      </c>
      <c r="AI153" s="189">
        <v>0</v>
      </c>
      <c r="AJ153" s="105"/>
      <c r="AK153" s="105"/>
      <c r="AM153" s="105"/>
      <c r="AN153" s="105"/>
      <c r="AO153" s="105"/>
      <c r="AP153" s="105"/>
      <c r="AQ153" s="105"/>
      <c r="AR153" s="105"/>
    </row>
    <row r="154" spans="1:44" s="49" customFormat="1" ht="40.15" hidden="1" customHeight="1">
      <c r="A154" s="152">
        <f t="shared" ca="1" si="156"/>
        <v>0</v>
      </c>
      <c r="B154" s="153">
        <v>101616</v>
      </c>
      <c r="C154" s="154" t="str">
        <f t="shared" si="157"/>
        <v>101616</v>
      </c>
      <c r="D154" s="154" t="s">
        <v>1416</v>
      </c>
      <c r="E154" s="155" t="s">
        <v>3652</v>
      </c>
      <c r="F154" s="154"/>
      <c r="G154" s="154" t="s">
        <v>1418</v>
      </c>
      <c r="H154" s="152">
        <v>5.84</v>
      </c>
      <c r="I154" s="152">
        <v>5.29</v>
      </c>
      <c r="J154" s="156"/>
      <c r="K154" s="156">
        <f>Dre_Terraplenagem!AI118</f>
        <v>0</v>
      </c>
      <c r="L154" s="156">
        <f t="shared" si="158"/>
        <v>0</v>
      </c>
      <c r="M154" s="156">
        <f t="shared" si="159"/>
        <v>0</v>
      </c>
      <c r="N154" s="156" t="s">
        <v>83</v>
      </c>
      <c r="O154" s="157" cm="1">
        <f t="array" ref="O154">TRUNC($H154*(1+_xlfn.SWITCH($N154,"BDI 1",$O$6,"BDI 2",$O$7,"BDI 3",$O$8)),2)</f>
        <v>7.04</v>
      </c>
      <c r="P154" s="157" cm="1">
        <f t="array" ref="P154">TRUNC($I154*(1+_xlfn.SWITCH($N154,"BDI 1",$P$6,"BDI 2",$P$7,"BDI 3",$P$8)),2)</f>
        <v>6.7</v>
      </c>
      <c r="Q154" s="157">
        <v>0</v>
      </c>
      <c r="R154" s="157">
        <f t="shared" si="160"/>
        <v>0</v>
      </c>
      <c r="S154" s="156">
        <f t="shared" si="161"/>
        <v>0</v>
      </c>
      <c r="T154" s="156">
        <f t="shared" si="162"/>
        <v>0</v>
      </c>
      <c r="U154" s="156">
        <f t="shared" si="163"/>
        <v>0</v>
      </c>
      <c r="V154" s="156">
        <f t="shared" si="164"/>
        <v>0</v>
      </c>
      <c r="W154" s="156">
        <f t="shared" si="151"/>
        <v>0</v>
      </c>
      <c r="X154" s="158">
        <f t="shared" ref="X154" si="238">$S154/ORCAMENTO_VALOR_TOTAL_ND</f>
        <v>0</v>
      </c>
      <c r="Y154" s="158">
        <f t="shared" ref="Y154" si="239">$T154/ORCAMENTO_VALOR_TOTAL_DE</f>
        <v>0</v>
      </c>
      <c r="Z154" s="158" cm="1">
        <f t="array" ref="Z154">_xlfn.SWITCH($N154,"BDI 1",$O$6,"BDI 2",$O$7,"BDI 3",$O$8)</f>
        <v>0.20699999999999999</v>
      </c>
      <c r="AA154" s="158" cm="1">
        <f t="array" ref="AA154">_xlfn.SWITCH($N154,"BDI 1",$P$6,"BDI 2",$P$7,"BDI 3",$P$8)</f>
        <v>0.26739999999999997</v>
      </c>
      <c r="AB154" s="158">
        <f t="shared" ca="1" si="167"/>
        <v>0</v>
      </c>
      <c r="AC154" s="158">
        <f t="shared" ca="1" si="168"/>
        <v>0</v>
      </c>
      <c r="AD154" s="164"/>
      <c r="AE154" s="148">
        <f t="shared" si="154"/>
        <v>0</v>
      </c>
      <c r="AF154" s="149"/>
      <c r="AG154" s="150"/>
      <c r="AH154" s="159" t="e">
        <f t="shared" si="155"/>
        <v>#DIV/0!</v>
      </c>
      <c r="AI154" s="2427">
        <v>0</v>
      </c>
      <c r="AJ154" s="105"/>
      <c r="AK154" s="105"/>
      <c r="AM154" s="105"/>
      <c r="AN154" s="105"/>
      <c r="AO154" s="105"/>
      <c r="AP154" s="105"/>
      <c r="AQ154" s="105"/>
      <c r="AR154" s="105"/>
    </row>
    <row r="155" spans="1:44" s="49" customFormat="1" ht="40.15" hidden="1" customHeight="1">
      <c r="A155" s="152">
        <f t="shared" ca="1" si="156"/>
        <v>0</v>
      </c>
      <c r="B155" s="153">
        <v>101617</v>
      </c>
      <c r="C155" s="154" t="str">
        <f t="shared" si="157"/>
        <v>101617</v>
      </c>
      <c r="D155" s="154" t="s">
        <v>1416</v>
      </c>
      <c r="E155" s="155" t="s">
        <v>3653</v>
      </c>
      <c r="F155" s="154"/>
      <c r="G155" s="154" t="s">
        <v>1418</v>
      </c>
      <c r="H155" s="152">
        <v>2.87</v>
      </c>
      <c r="I155" s="152">
        <v>2.62</v>
      </c>
      <c r="J155" s="156"/>
      <c r="K155" s="156">
        <f>Dre_Terraplenagem!AI119</f>
        <v>0</v>
      </c>
      <c r="L155" s="156">
        <f t="shared" si="158"/>
        <v>0</v>
      </c>
      <c r="M155" s="156">
        <f t="shared" si="159"/>
        <v>0</v>
      </c>
      <c r="N155" s="156" t="s">
        <v>83</v>
      </c>
      <c r="O155" s="157" cm="1">
        <f t="array" ref="O155">TRUNC($H155*(1+_xlfn.SWITCH($N155,"BDI 1",$O$6,"BDI 2",$O$7,"BDI 3",$O$8)),2)</f>
        <v>3.46</v>
      </c>
      <c r="P155" s="157" cm="1">
        <f t="array" ref="P155">TRUNC($I155*(1+_xlfn.SWITCH($N155,"BDI 1",$P$6,"BDI 2",$P$7,"BDI 3",$P$8)),2)</f>
        <v>3.32</v>
      </c>
      <c r="Q155" s="157">
        <v>0</v>
      </c>
      <c r="R155" s="157">
        <f t="shared" si="160"/>
        <v>0</v>
      </c>
      <c r="S155" s="156">
        <f t="shared" si="161"/>
        <v>0</v>
      </c>
      <c r="T155" s="156">
        <f t="shared" si="162"/>
        <v>0</v>
      </c>
      <c r="U155" s="156">
        <f t="shared" si="163"/>
        <v>0</v>
      </c>
      <c r="V155" s="156">
        <f t="shared" si="164"/>
        <v>0</v>
      </c>
      <c r="W155" s="156">
        <f t="shared" si="151"/>
        <v>0</v>
      </c>
      <c r="X155" s="158">
        <f t="shared" ref="X155" si="240">$S155/ORCAMENTO_VALOR_TOTAL_ND</f>
        <v>0</v>
      </c>
      <c r="Y155" s="158">
        <f t="shared" ref="Y155" si="241">$T155/ORCAMENTO_VALOR_TOTAL_DE</f>
        <v>0</v>
      </c>
      <c r="Z155" s="158" cm="1">
        <f t="array" ref="Z155">_xlfn.SWITCH($N155,"BDI 1",$O$6,"BDI 2",$O$7,"BDI 3",$O$8)</f>
        <v>0.20699999999999999</v>
      </c>
      <c r="AA155" s="158" cm="1">
        <f t="array" ref="AA155">_xlfn.SWITCH($N155,"BDI 1",$P$6,"BDI 2",$P$7,"BDI 3",$P$8)</f>
        <v>0.26739999999999997</v>
      </c>
      <c r="AB155" s="158">
        <f t="shared" ca="1" si="167"/>
        <v>0</v>
      </c>
      <c r="AC155" s="158">
        <f t="shared" ca="1" si="168"/>
        <v>0</v>
      </c>
      <c r="AD155" s="164"/>
      <c r="AE155" s="148">
        <f t="shared" si="154"/>
        <v>0</v>
      </c>
      <c r="AF155" s="149"/>
      <c r="AG155" s="150"/>
      <c r="AH155" s="159" t="e">
        <f t="shared" si="155"/>
        <v>#DIV/0!</v>
      </c>
      <c r="AI155" s="2427"/>
      <c r="AJ155" s="105"/>
      <c r="AK155" s="105"/>
      <c r="AM155" s="105"/>
      <c r="AN155" s="105"/>
      <c r="AO155" s="105"/>
      <c r="AP155" s="105"/>
      <c r="AQ155" s="105"/>
      <c r="AR155" s="105"/>
    </row>
    <row r="156" spans="1:44" s="49" customFormat="1" ht="40.15" hidden="1" customHeight="1">
      <c r="A156" s="152">
        <f t="shared" ca="1" si="156"/>
        <v>0</v>
      </c>
      <c r="B156" s="153">
        <v>101623</v>
      </c>
      <c r="C156" s="154" t="str">
        <f t="shared" si="157"/>
        <v>101623</v>
      </c>
      <c r="D156" s="154" t="s">
        <v>1416</v>
      </c>
      <c r="E156" s="155" t="s">
        <v>3654</v>
      </c>
      <c r="F156" s="154"/>
      <c r="G156" s="154" t="s">
        <v>464</v>
      </c>
      <c r="H156" s="152">
        <v>236.63</v>
      </c>
      <c r="I156" s="152">
        <v>234.74</v>
      </c>
      <c r="J156" s="156"/>
      <c r="K156" s="156">
        <f>Dre_Terraplenagem!AI167+Dre_Terraplenagem!AI173</f>
        <v>0</v>
      </c>
      <c r="L156" s="156">
        <f t="shared" si="158"/>
        <v>0</v>
      </c>
      <c r="M156" s="156">
        <f t="shared" si="159"/>
        <v>0</v>
      </c>
      <c r="N156" s="156" t="s">
        <v>83</v>
      </c>
      <c r="O156" s="157" cm="1">
        <f t="array" ref="O156">TRUNC($H156*(1+_xlfn.SWITCH($N156,"BDI 1",$O$6,"BDI 2",$O$7,"BDI 3",$O$8)),2)</f>
        <v>285.61</v>
      </c>
      <c r="P156" s="157" cm="1">
        <f t="array" ref="P156">TRUNC($I156*(1+_xlfn.SWITCH($N156,"BDI 1",$P$6,"BDI 2",$P$7,"BDI 3",$P$8)),2)</f>
        <v>297.5</v>
      </c>
      <c r="Q156" s="157">
        <v>0</v>
      </c>
      <c r="R156" s="157">
        <f t="shared" si="160"/>
        <v>0</v>
      </c>
      <c r="S156" s="156">
        <f t="shared" si="161"/>
        <v>0</v>
      </c>
      <c r="T156" s="156">
        <f t="shared" si="162"/>
        <v>0</v>
      </c>
      <c r="U156" s="156">
        <f t="shared" si="163"/>
        <v>0</v>
      </c>
      <c r="V156" s="156">
        <f t="shared" si="164"/>
        <v>0</v>
      </c>
      <c r="W156" s="156">
        <f t="shared" si="151"/>
        <v>0</v>
      </c>
      <c r="X156" s="158">
        <f t="shared" ref="X156" si="242">$S156/ORCAMENTO_VALOR_TOTAL_ND</f>
        <v>0</v>
      </c>
      <c r="Y156" s="158">
        <f t="shared" ref="Y156" si="243">$T156/ORCAMENTO_VALOR_TOTAL_DE</f>
        <v>0</v>
      </c>
      <c r="Z156" s="158" cm="1">
        <f t="array" ref="Z156">_xlfn.SWITCH($N156,"BDI 1",$O$6,"BDI 2",$O$7,"BDI 3",$O$8)</f>
        <v>0.20699999999999999</v>
      </c>
      <c r="AA156" s="158" cm="1">
        <f t="array" ref="AA156">_xlfn.SWITCH($N156,"BDI 1",$P$6,"BDI 2",$P$7,"BDI 3",$P$8)</f>
        <v>0.26739999999999997</v>
      </c>
      <c r="AB156" s="158">
        <f t="shared" ca="1" si="167"/>
        <v>0</v>
      </c>
      <c r="AC156" s="158">
        <f t="shared" ca="1" si="168"/>
        <v>0</v>
      </c>
      <c r="AD156" s="164"/>
      <c r="AE156" s="148">
        <f t="shared" si="154"/>
        <v>0</v>
      </c>
      <c r="AF156" s="149"/>
      <c r="AG156" s="150"/>
      <c r="AH156" s="159" t="e">
        <f t="shared" si="155"/>
        <v>#DIV/0!</v>
      </c>
      <c r="AI156" s="2426">
        <v>0</v>
      </c>
      <c r="AJ156" s="105"/>
      <c r="AK156" s="105"/>
      <c r="AM156" s="105"/>
      <c r="AN156" s="105"/>
      <c r="AO156" s="105"/>
      <c r="AP156" s="105"/>
      <c r="AQ156" s="105"/>
      <c r="AR156" s="105"/>
    </row>
    <row r="157" spans="1:44" s="49" customFormat="1" ht="40.15" hidden="1" customHeight="1">
      <c r="A157" s="152">
        <f t="shared" ca="1" si="156"/>
        <v>0</v>
      </c>
      <c r="B157" s="153">
        <v>101624</v>
      </c>
      <c r="C157" s="154" t="str">
        <f t="shared" si="157"/>
        <v>101624</v>
      </c>
      <c r="D157" s="154" t="s">
        <v>1416</v>
      </c>
      <c r="E157" s="155" t="s">
        <v>3655</v>
      </c>
      <c r="F157" s="154"/>
      <c r="G157" s="154" t="s">
        <v>464</v>
      </c>
      <c r="H157" s="152">
        <v>192.34</v>
      </c>
      <c r="I157" s="152">
        <v>193.31</v>
      </c>
      <c r="J157" s="156"/>
      <c r="K157" s="156">
        <f>Dre_Terraplenagem!AI168+Dre_Terraplenagem!AI174</f>
        <v>0</v>
      </c>
      <c r="L157" s="156">
        <f t="shared" si="158"/>
        <v>0</v>
      </c>
      <c r="M157" s="156">
        <f t="shared" si="159"/>
        <v>0</v>
      </c>
      <c r="N157" s="156" t="s">
        <v>83</v>
      </c>
      <c r="O157" s="157" cm="1">
        <f t="array" ref="O157">TRUNC($H157*(1+_xlfn.SWITCH($N157,"BDI 1",$O$6,"BDI 2",$O$7,"BDI 3",$O$8)),2)</f>
        <v>232.15</v>
      </c>
      <c r="P157" s="157" cm="1">
        <f t="array" ref="P157">TRUNC($I157*(1+_xlfn.SWITCH($N157,"BDI 1",$P$6,"BDI 2",$P$7,"BDI 3",$P$8)),2)</f>
        <v>245</v>
      </c>
      <c r="Q157" s="157">
        <v>0</v>
      </c>
      <c r="R157" s="157">
        <f t="shared" si="160"/>
        <v>0</v>
      </c>
      <c r="S157" s="156">
        <f t="shared" si="161"/>
        <v>0</v>
      </c>
      <c r="T157" s="156">
        <f t="shared" si="162"/>
        <v>0</v>
      </c>
      <c r="U157" s="156">
        <f t="shared" si="163"/>
        <v>0</v>
      </c>
      <c r="V157" s="156">
        <f t="shared" si="164"/>
        <v>0</v>
      </c>
      <c r="W157" s="156">
        <f t="shared" si="151"/>
        <v>0</v>
      </c>
      <c r="X157" s="158">
        <f t="shared" ref="X157" si="244">$S157/ORCAMENTO_VALOR_TOTAL_ND</f>
        <v>0</v>
      </c>
      <c r="Y157" s="158">
        <f t="shared" ref="Y157" si="245">$T157/ORCAMENTO_VALOR_TOTAL_DE</f>
        <v>0</v>
      </c>
      <c r="Z157" s="158" cm="1">
        <f t="array" ref="Z157">_xlfn.SWITCH($N157,"BDI 1",$O$6,"BDI 2",$O$7,"BDI 3",$O$8)</f>
        <v>0.20699999999999999</v>
      </c>
      <c r="AA157" s="158" cm="1">
        <f t="array" ref="AA157">_xlfn.SWITCH($N157,"BDI 1",$P$6,"BDI 2",$P$7,"BDI 3",$P$8)</f>
        <v>0.26739999999999997</v>
      </c>
      <c r="AB157" s="158">
        <f t="shared" ca="1" si="167"/>
        <v>0</v>
      </c>
      <c r="AC157" s="158">
        <f t="shared" ca="1" si="168"/>
        <v>0</v>
      </c>
      <c r="AD157" s="164"/>
      <c r="AE157" s="148">
        <f t="shared" si="154"/>
        <v>0</v>
      </c>
      <c r="AF157" s="149"/>
      <c r="AG157" s="150"/>
      <c r="AH157" s="159" t="e">
        <f t="shared" si="155"/>
        <v>#DIV/0!</v>
      </c>
      <c r="AI157" s="2426"/>
      <c r="AJ157" s="105"/>
      <c r="AK157" s="105"/>
      <c r="AM157" s="105"/>
      <c r="AN157" s="105"/>
      <c r="AO157" s="105"/>
      <c r="AP157" s="105"/>
      <c r="AQ157" s="105"/>
      <c r="AR157" s="105"/>
    </row>
    <row r="158" spans="1:44" s="49" customFormat="1" ht="40.15" hidden="1" customHeight="1">
      <c r="A158" s="152">
        <f t="shared" ca="1" si="156"/>
        <v>0</v>
      </c>
      <c r="B158" s="153">
        <v>101622</v>
      </c>
      <c r="C158" s="154" t="str">
        <f t="shared" si="157"/>
        <v>101622</v>
      </c>
      <c r="D158" s="154" t="s">
        <v>1416</v>
      </c>
      <c r="E158" s="155" t="s">
        <v>3656</v>
      </c>
      <c r="F158" s="154"/>
      <c r="G158" s="154" t="s">
        <v>464</v>
      </c>
      <c r="H158" s="152">
        <v>204.43</v>
      </c>
      <c r="I158" s="152">
        <v>203.37</v>
      </c>
      <c r="J158" s="156"/>
      <c r="K158" s="156">
        <f>Dre_Terraplenagem!AI157</f>
        <v>0</v>
      </c>
      <c r="L158" s="156">
        <f t="shared" si="158"/>
        <v>0</v>
      </c>
      <c r="M158" s="156">
        <f t="shared" si="159"/>
        <v>0</v>
      </c>
      <c r="N158" s="156" t="s">
        <v>83</v>
      </c>
      <c r="O158" s="157" cm="1">
        <f t="array" ref="O158">TRUNC($H158*(1+_xlfn.SWITCH($N158,"BDI 1",$O$6,"BDI 2",$O$7,"BDI 3",$O$8)),2)</f>
        <v>246.74</v>
      </c>
      <c r="P158" s="157" cm="1">
        <f t="array" ref="P158">TRUNC($I158*(1+_xlfn.SWITCH($N158,"BDI 1",$P$6,"BDI 2",$P$7,"BDI 3",$P$8)),2)</f>
        <v>257.75</v>
      </c>
      <c r="Q158" s="157">
        <v>0</v>
      </c>
      <c r="R158" s="157">
        <f t="shared" si="160"/>
        <v>0</v>
      </c>
      <c r="S158" s="156">
        <f t="shared" si="161"/>
        <v>0</v>
      </c>
      <c r="T158" s="156">
        <f t="shared" si="162"/>
        <v>0</v>
      </c>
      <c r="U158" s="156">
        <f t="shared" si="163"/>
        <v>0</v>
      </c>
      <c r="V158" s="156">
        <f t="shared" si="164"/>
        <v>0</v>
      </c>
      <c r="W158" s="156">
        <f t="shared" si="151"/>
        <v>0</v>
      </c>
      <c r="X158" s="158">
        <f t="shared" ref="X158" si="246">$S158/ORCAMENTO_VALOR_TOTAL_ND</f>
        <v>0</v>
      </c>
      <c r="Y158" s="158">
        <f t="shared" ref="Y158" si="247">$T158/ORCAMENTO_VALOR_TOTAL_DE</f>
        <v>0</v>
      </c>
      <c r="Z158" s="158" cm="1">
        <f t="array" ref="Z158">_xlfn.SWITCH($N158,"BDI 1",$O$6,"BDI 2",$O$7,"BDI 3",$O$8)</f>
        <v>0.20699999999999999</v>
      </c>
      <c r="AA158" s="158" cm="1">
        <f t="array" ref="AA158">_xlfn.SWITCH($N158,"BDI 1",$P$6,"BDI 2",$P$7,"BDI 3",$P$8)</f>
        <v>0.26739999999999997</v>
      </c>
      <c r="AB158" s="158">
        <f t="shared" ca="1" si="167"/>
        <v>0</v>
      </c>
      <c r="AC158" s="158">
        <f t="shared" ca="1" si="168"/>
        <v>0</v>
      </c>
      <c r="AD158" s="164"/>
      <c r="AE158" s="148">
        <f t="shared" si="154"/>
        <v>0</v>
      </c>
      <c r="AF158" s="149"/>
      <c r="AG158" s="150"/>
      <c r="AH158" s="159" t="e">
        <f t="shared" si="155"/>
        <v>#DIV/0!</v>
      </c>
      <c r="AI158" s="2426"/>
      <c r="AJ158" s="105"/>
      <c r="AK158" s="105"/>
      <c r="AM158" s="105"/>
      <c r="AN158" s="105"/>
      <c r="AO158" s="105"/>
      <c r="AP158" s="105"/>
      <c r="AQ158" s="105"/>
      <c r="AR158" s="105"/>
    </row>
    <row r="159" spans="1:44" s="49" customFormat="1" ht="40.15" hidden="1" customHeight="1">
      <c r="A159" s="152">
        <f t="shared" ca="1" si="156"/>
        <v>0</v>
      </c>
      <c r="B159" s="153">
        <v>101625</v>
      </c>
      <c r="C159" s="154" t="str">
        <f t="shared" si="157"/>
        <v>101625</v>
      </c>
      <c r="D159" s="154" t="s">
        <v>1416</v>
      </c>
      <c r="E159" s="155" t="s">
        <v>3657</v>
      </c>
      <c r="F159" s="154"/>
      <c r="G159" s="154" t="s">
        <v>464</v>
      </c>
      <c r="H159" s="152">
        <v>165.71</v>
      </c>
      <c r="I159" s="152">
        <v>167.16</v>
      </c>
      <c r="J159" s="156"/>
      <c r="K159" s="156">
        <f>Dre_Terraplenagem!AI158</f>
        <v>0</v>
      </c>
      <c r="L159" s="156">
        <f t="shared" si="158"/>
        <v>0</v>
      </c>
      <c r="M159" s="156">
        <f t="shared" si="159"/>
        <v>0</v>
      </c>
      <c r="N159" s="156" t="s">
        <v>83</v>
      </c>
      <c r="O159" s="157" cm="1">
        <f t="array" ref="O159">TRUNC($H159*(1+_xlfn.SWITCH($N159,"BDI 1",$O$6,"BDI 2",$O$7,"BDI 3",$O$8)),2)</f>
        <v>200.01</v>
      </c>
      <c r="P159" s="157" cm="1">
        <f t="array" ref="P159">TRUNC($I159*(1+_xlfn.SWITCH($N159,"BDI 1",$P$6,"BDI 2",$P$7,"BDI 3",$P$8)),2)</f>
        <v>211.85</v>
      </c>
      <c r="Q159" s="157">
        <v>0</v>
      </c>
      <c r="R159" s="157">
        <f t="shared" si="160"/>
        <v>0</v>
      </c>
      <c r="S159" s="156">
        <f t="shared" si="161"/>
        <v>0</v>
      </c>
      <c r="T159" s="156">
        <f t="shared" si="162"/>
        <v>0</v>
      </c>
      <c r="U159" s="156">
        <f t="shared" si="163"/>
        <v>0</v>
      </c>
      <c r="V159" s="156">
        <f t="shared" si="164"/>
        <v>0</v>
      </c>
      <c r="W159" s="156">
        <f t="shared" si="151"/>
        <v>0</v>
      </c>
      <c r="X159" s="158">
        <f t="shared" ref="X159" si="248">$S159/ORCAMENTO_VALOR_TOTAL_ND</f>
        <v>0</v>
      </c>
      <c r="Y159" s="158">
        <f t="shared" ref="Y159" si="249">$T159/ORCAMENTO_VALOR_TOTAL_DE</f>
        <v>0</v>
      </c>
      <c r="Z159" s="158" cm="1">
        <f t="array" ref="Z159">_xlfn.SWITCH($N159,"BDI 1",$O$6,"BDI 2",$O$7,"BDI 3",$O$8)</f>
        <v>0.20699999999999999</v>
      </c>
      <c r="AA159" s="158" cm="1">
        <f t="array" ref="AA159">_xlfn.SWITCH($N159,"BDI 1",$P$6,"BDI 2",$P$7,"BDI 3",$P$8)</f>
        <v>0.26739999999999997</v>
      </c>
      <c r="AB159" s="158">
        <f t="shared" ca="1" si="167"/>
        <v>0</v>
      </c>
      <c r="AC159" s="158">
        <f t="shared" ca="1" si="168"/>
        <v>0</v>
      </c>
      <c r="AD159" s="164"/>
      <c r="AE159" s="148">
        <f t="shared" si="154"/>
        <v>0</v>
      </c>
      <c r="AF159" s="149"/>
      <c r="AG159" s="150"/>
      <c r="AH159" s="159" t="e">
        <f t="shared" si="155"/>
        <v>#DIV/0!</v>
      </c>
      <c r="AI159" s="2426"/>
      <c r="AJ159" s="105"/>
      <c r="AK159" s="105"/>
      <c r="AM159" s="105"/>
      <c r="AN159" s="105"/>
      <c r="AO159" s="105"/>
      <c r="AP159" s="105"/>
      <c r="AQ159" s="105"/>
      <c r="AR159" s="105"/>
    </row>
    <row r="160" spans="1:44" s="49" customFormat="1" ht="40.15" hidden="1" customHeight="1">
      <c r="A160" s="152">
        <f t="shared" ca="1" si="156"/>
        <v>0</v>
      </c>
      <c r="B160" s="153">
        <v>96616</v>
      </c>
      <c r="C160" s="154" t="str">
        <f t="shared" si="157"/>
        <v>96616</v>
      </c>
      <c r="D160" s="154" t="s">
        <v>1416</v>
      </c>
      <c r="E160" s="155" t="s">
        <v>3658</v>
      </c>
      <c r="F160" s="154"/>
      <c r="G160" s="154" t="s">
        <v>464</v>
      </c>
      <c r="H160" s="152">
        <v>745.23</v>
      </c>
      <c r="I160" s="152">
        <v>722.87</v>
      </c>
      <c r="J160" s="156"/>
      <c r="K160" s="156">
        <f>Dre_Terraplenagem!AI163</f>
        <v>0</v>
      </c>
      <c r="L160" s="156">
        <f t="shared" si="158"/>
        <v>0</v>
      </c>
      <c r="M160" s="156">
        <f t="shared" si="159"/>
        <v>0</v>
      </c>
      <c r="N160" s="156" t="s">
        <v>83</v>
      </c>
      <c r="O160" s="157" cm="1">
        <f t="array" ref="O160">TRUNC($H160*(1+_xlfn.SWITCH($N160,"BDI 1",$O$6,"BDI 2",$O$7,"BDI 3",$O$8)),2)</f>
        <v>899.49</v>
      </c>
      <c r="P160" s="157" cm="1">
        <f t="array" ref="P160">TRUNC($I160*(1+_xlfn.SWITCH($N160,"BDI 1",$P$6,"BDI 2",$P$7,"BDI 3",$P$8)),2)</f>
        <v>916.16</v>
      </c>
      <c r="Q160" s="157">
        <v>0</v>
      </c>
      <c r="R160" s="157">
        <f t="shared" si="160"/>
        <v>0</v>
      </c>
      <c r="S160" s="156">
        <f t="shared" si="161"/>
        <v>0</v>
      </c>
      <c r="T160" s="156">
        <f t="shared" si="162"/>
        <v>0</v>
      </c>
      <c r="U160" s="156">
        <f t="shared" si="163"/>
        <v>0</v>
      </c>
      <c r="V160" s="156">
        <f t="shared" si="164"/>
        <v>0</v>
      </c>
      <c r="W160" s="156">
        <f t="shared" si="151"/>
        <v>0</v>
      </c>
      <c r="X160" s="158">
        <f t="shared" ref="X160" si="250">$S160/ORCAMENTO_VALOR_TOTAL_ND</f>
        <v>0</v>
      </c>
      <c r="Y160" s="158">
        <f t="shared" ref="Y160" si="251">$T160/ORCAMENTO_VALOR_TOTAL_DE</f>
        <v>0</v>
      </c>
      <c r="Z160" s="158" cm="1">
        <f t="array" ref="Z160">_xlfn.SWITCH($N160,"BDI 1",$O$6,"BDI 2",$O$7,"BDI 3",$O$8)</f>
        <v>0.20699999999999999</v>
      </c>
      <c r="AA160" s="158" cm="1">
        <f t="array" ref="AA160">_xlfn.SWITCH($N160,"BDI 1",$P$6,"BDI 2",$P$7,"BDI 3",$P$8)</f>
        <v>0.26739999999999997</v>
      </c>
      <c r="AB160" s="158">
        <f t="shared" ca="1" si="167"/>
        <v>0</v>
      </c>
      <c r="AC160" s="158">
        <f t="shared" ca="1" si="168"/>
        <v>0</v>
      </c>
      <c r="AD160" s="164"/>
      <c r="AE160" s="148">
        <f t="shared" si="154"/>
        <v>0</v>
      </c>
      <c r="AF160" s="149"/>
      <c r="AG160" s="150"/>
      <c r="AH160" s="159" t="e">
        <f t="shared" si="155"/>
        <v>#DIV/0!</v>
      </c>
      <c r="AI160" s="190"/>
      <c r="AJ160" s="105"/>
      <c r="AK160" s="105"/>
      <c r="AM160" s="105"/>
      <c r="AN160" s="105"/>
      <c r="AO160" s="105"/>
      <c r="AP160" s="105"/>
      <c r="AQ160" s="105"/>
      <c r="AR160" s="105"/>
    </row>
    <row r="161" spans="1:44" s="49" customFormat="1" ht="40.15" hidden="1" customHeight="1">
      <c r="A161" s="152">
        <f t="shared" ca="1" si="156"/>
        <v>0</v>
      </c>
      <c r="B161" s="153" t="s">
        <v>133</v>
      </c>
      <c r="C161" s="154" t="str">
        <f t="shared" si="157"/>
        <v>DR/0032</v>
      </c>
      <c r="D161" s="154" t="s">
        <v>3549</v>
      </c>
      <c r="E161" s="155" t="s">
        <v>3659</v>
      </c>
      <c r="F161" s="154"/>
      <c r="G161" s="154" t="s">
        <v>464</v>
      </c>
      <c r="H161" s="152">
        <v>258.72000000000003</v>
      </c>
      <c r="I161" s="152">
        <v>246.98</v>
      </c>
      <c r="J161" s="156"/>
      <c r="K161" s="156">
        <f>Dre_Terraplenagem!AI184+Dre_Terraplenagem!AI179</f>
        <v>0</v>
      </c>
      <c r="L161" s="156">
        <f t="shared" si="158"/>
        <v>0</v>
      </c>
      <c r="M161" s="156">
        <f t="shared" si="159"/>
        <v>0</v>
      </c>
      <c r="N161" s="156" t="s">
        <v>83</v>
      </c>
      <c r="O161" s="157" cm="1">
        <f t="array" ref="O161">TRUNC($H161*(1+_xlfn.SWITCH($N161,"BDI 1",$O$6,"BDI 2",$O$7,"BDI 3",$O$8)),2)</f>
        <v>312.27</v>
      </c>
      <c r="P161" s="157" cm="1">
        <f t="array" ref="P161">TRUNC($I161*(1+_xlfn.SWITCH($N161,"BDI 1",$P$6,"BDI 2",$P$7,"BDI 3",$P$8)),2)</f>
        <v>313.02</v>
      </c>
      <c r="Q161" s="157">
        <v>0</v>
      </c>
      <c r="R161" s="157">
        <f t="shared" si="160"/>
        <v>0</v>
      </c>
      <c r="S161" s="156">
        <f t="shared" si="161"/>
        <v>0</v>
      </c>
      <c r="T161" s="156">
        <f t="shared" si="162"/>
        <v>0</v>
      </c>
      <c r="U161" s="156">
        <f t="shared" si="163"/>
        <v>0</v>
      </c>
      <c r="V161" s="156">
        <f t="shared" si="164"/>
        <v>0</v>
      </c>
      <c r="W161" s="156">
        <f t="shared" si="151"/>
        <v>0</v>
      </c>
      <c r="X161" s="158">
        <f t="shared" ref="X161" si="252">$S161/ORCAMENTO_VALOR_TOTAL_ND</f>
        <v>0</v>
      </c>
      <c r="Y161" s="158">
        <f t="shared" ref="Y161" si="253">$T161/ORCAMENTO_VALOR_TOTAL_DE</f>
        <v>0</v>
      </c>
      <c r="Z161" s="158" cm="1">
        <f t="array" ref="Z161">_xlfn.SWITCH($N161,"BDI 1",$O$6,"BDI 2",$O$7,"BDI 3",$O$8)</f>
        <v>0.20699999999999999</v>
      </c>
      <c r="AA161" s="158" cm="1">
        <f t="array" ref="AA161">_xlfn.SWITCH($N161,"BDI 1",$P$6,"BDI 2",$P$7,"BDI 3",$P$8)</f>
        <v>0.26739999999999997</v>
      </c>
      <c r="AB161" s="158">
        <f t="shared" ca="1" si="167"/>
        <v>0</v>
      </c>
      <c r="AC161" s="158">
        <f t="shared" ca="1" si="168"/>
        <v>0</v>
      </c>
      <c r="AD161" s="164"/>
      <c r="AE161" s="148">
        <f t="shared" si="154"/>
        <v>0</v>
      </c>
      <c r="AF161" s="149"/>
      <c r="AG161" s="150"/>
      <c r="AH161" s="159" t="e">
        <f t="shared" si="155"/>
        <v>#DIV/0!</v>
      </c>
      <c r="AI161" s="160"/>
      <c r="AJ161" s="105"/>
      <c r="AK161" s="105"/>
      <c r="AM161" s="105"/>
      <c r="AN161" s="105"/>
      <c r="AO161" s="105"/>
      <c r="AP161" s="105"/>
      <c r="AQ161" s="105"/>
      <c r="AR161" s="105"/>
    </row>
    <row r="162" spans="1:44" s="49" customFormat="1" ht="49.9" hidden="1" customHeight="1">
      <c r="A162" s="152">
        <f t="shared" ca="1" si="156"/>
        <v>0</v>
      </c>
      <c r="B162" s="153">
        <v>104733</v>
      </c>
      <c r="C162" s="154" t="str">
        <f t="shared" si="157"/>
        <v>104733</v>
      </c>
      <c r="D162" s="154" t="s">
        <v>1416</v>
      </c>
      <c r="E162" s="155" t="s">
        <v>3660</v>
      </c>
      <c r="F162" s="154"/>
      <c r="G162" s="154" t="s">
        <v>464</v>
      </c>
      <c r="H162" s="152">
        <v>18.8</v>
      </c>
      <c r="I162" s="152">
        <v>18.12</v>
      </c>
      <c r="J162" s="156"/>
      <c r="K162" s="156">
        <f>Dre_Terraplenagem!AI134</f>
        <v>0</v>
      </c>
      <c r="L162" s="156">
        <f t="shared" si="158"/>
        <v>0</v>
      </c>
      <c r="M162" s="156">
        <f t="shared" si="159"/>
        <v>0</v>
      </c>
      <c r="N162" s="156" t="s">
        <v>83</v>
      </c>
      <c r="O162" s="157" cm="1">
        <f t="array" ref="O162">TRUNC($H162*(1+_xlfn.SWITCH($N162,"BDI 1",$O$6,"BDI 2",$O$7,"BDI 3",$O$8)),2)</f>
        <v>22.69</v>
      </c>
      <c r="P162" s="157" cm="1">
        <f t="array" ref="P162">TRUNC($I162*(1+_xlfn.SWITCH($N162,"BDI 1",$P$6,"BDI 2",$P$7,"BDI 3",$P$8)),2)</f>
        <v>22.96</v>
      </c>
      <c r="Q162" s="157">
        <v>0</v>
      </c>
      <c r="R162" s="157">
        <f t="shared" si="160"/>
        <v>0</v>
      </c>
      <c r="S162" s="156">
        <f t="shared" si="161"/>
        <v>0</v>
      </c>
      <c r="T162" s="156">
        <f t="shared" si="162"/>
        <v>0</v>
      </c>
      <c r="U162" s="156">
        <f t="shared" si="163"/>
        <v>0</v>
      </c>
      <c r="V162" s="156">
        <f t="shared" si="164"/>
        <v>0</v>
      </c>
      <c r="W162" s="156">
        <f t="shared" si="151"/>
        <v>0</v>
      </c>
      <c r="X162" s="158">
        <f t="shared" ref="X162" si="254">$S162/ORCAMENTO_VALOR_TOTAL_ND</f>
        <v>0</v>
      </c>
      <c r="Y162" s="158">
        <f t="shared" ref="Y162" si="255">$T162/ORCAMENTO_VALOR_TOTAL_DE</f>
        <v>0</v>
      </c>
      <c r="Z162" s="158" cm="1">
        <f t="array" ref="Z162">_xlfn.SWITCH($N162,"BDI 1",$O$6,"BDI 2",$O$7,"BDI 3",$O$8)</f>
        <v>0.20699999999999999</v>
      </c>
      <c r="AA162" s="158" cm="1">
        <f t="array" ref="AA162">_xlfn.SWITCH($N162,"BDI 1",$P$6,"BDI 2",$P$7,"BDI 3",$P$8)</f>
        <v>0.26739999999999997</v>
      </c>
      <c r="AB162" s="158">
        <f t="shared" ca="1" si="167"/>
        <v>0</v>
      </c>
      <c r="AC162" s="158">
        <f t="shared" ca="1" si="168"/>
        <v>0</v>
      </c>
      <c r="AD162" s="164"/>
      <c r="AE162" s="148">
        <f t="shared" si="154"/>
        <v>0</v>
      </c>
      <c r="AF162" s="149"/>
      <c r="AG162" s="150"/>
      <c r="AH162" s="159" t="e">
        <f t="shared" si="155"/>
        <v>#DIV/0!</v>
      </c>
      <c r="AI162" s="2425">
        <v>0</v>
      </c>
      <c r="AJ162" s="105"/>
      <c r="AK162" s="105"/>
      <c r="AM162" s="105"/>
      <c r="AN162" s="105"/>
      <c r="AO162" s="105"/>
      <c r="AP162" s="105"/>
      <c r="AQ162" s="105"/>
      <c r="AR162" s="105"/>
    </row>
    <row r="163" spans="1:44" s="49" customFormat="1" ht="49.9" hidden="1" customHeight="1">
      <c r="A163" s="152">
        <f t="shared" ca="1" si="156"/>
        <v>0</v>
      </c>
      <c r="B163" s="153">
        <v>104734</v>
      </c>
      <c r="C163" s="154" t="str">
        <f t="shared" si="157"/>
        <v>104734</v>
      </c>
      <c r="D163" s="154" t="s">
        <v>1416</v>
      </c>
      <c r="E163" s="155" t="s">
        <v>3661</v>
      </c>
      <c r="F163" s="154"/>
      <c r="G163" s="154" t="s">
        <v>464</v>
      </c>
      <c r="H163" s="152">
        <v>13.67</v>
      </c>
      <c r="I163" s="152">
        <v>13.2</v>
      </c>
      <c r="J163" s="156"/>
      <c r="K163" s="156">
        <f>Dre_Terraplenagem!AI135</f>
        <v>0</v>
      </c>
      <c r="L163" s="156">
        <f t="shared" si="158"/>
        <v>0</v>
      </c>
      <c r="M163" s="156">
        <f t="shared" si="159"/>
        <v>0</v>
      </c>
      <c r="N163" s="156" t="s">
        <v>83</v>
      </c>
      <c r="O163" s="157" cm="1">
        <f t="array" ref="O163">TRUNC($H163*(1+_xlfn.SWITCH($N163,"BDI 1",$O$6,"BDI 2",$O$7,"BDI 3",$O$8)),2)</f>
        <v>16.489999999999998</v>
      </c>
      <c r="P163" s="157" cm="1">
        <f t="array" ref="P163">TRUNC($I163*(1+_xlfn.SWITCH($N163,"BDI 1",$P$6,"BDI 2",$P$7,"BDI 3",$P$8)),2)</f>
        <v>16.72</v>
      </c>
      <c r="Q163" s="157">
        <v>0</v>
      </c>
      <c r="R163" s="157">
        <f t="shared" si="160"/>
        <v>0</v>
      </c>
      <c r="S163" s="156">
        <f t="shared" si="161"/>
        <v>0</v>
      </c>
      <c r="T163" s="156">
        <f t="shared" si="162"/>
        <v>0</v>
      </c>
      <c r="U163" s="156">
        <f t="shared" si="163"/>
        <v>0</v>
      </c>
      <c r="V163" s="156">
        <f t="shared" si="164"/>
        <v>0</v>
      </c>
      <c r="W163" s="156">
        <f t="shared" si="151"/>
        <v>0</v>
      </c>
      <c r="X163" s="158">
        <f t="shared" ref="X163" si="256">$S163/ORCAMENTO_VALOR_TOTAL_ND</f>
        <v>0</v>
      </c>
      <c r="Y163" s="158">
        <f t="shared" ref="Y163" si="257">$T163/ORCAMENTO_VALOR_TOTAL_DE</f>
        <v>0</v>
      </c>
      <c r="Z163" s="158" cm="1">
        <f t="array" ref="Z163">_xlfn.SWITCH($N163,"BDI 1",$O$6,"BDI 2",$O$7,"BDI 3",$O$8)</f>
        <v>0.20699999999999999</v>
      </c>
      <c r="AA163" s="158" cm="1">
        <f t="array" ref="AA163">_xlfn.SWITCH($N163,"BDI 1",$P$6,"BDI 2",$P$7,"BDI 3",$P$8)</f>
        <v>0.26739999999999997</v>
      </c>
      <c r="AB163" s="158">
        <f t="shared" ca="1" si="167"/>
        <v>0</v>
      </c>
      <c r="AC163" s="158">
        <f t="shared" ca="1" si="168"/>
        <v>0</v>
      </c>
      <c r="AD163" s="164"/>
      <c r="AE163" s="148">
        <f t="shared" si="154"/>
        <v>0</v>
      </c>
      <c r="AF163" s="149"/>
      <c r="AG163" s="150"/>
      <c r="AH163" s="159" t="e">
        <f t="shared" si="155"/>
        <v>#DIV/0!</v>
      </c>
      <c r="AI163" s="2425"/>
      <c r="AJ163" s="105"/>
      <c r="AK163" s="105"/>
      <c r="AM163" s="105"/>
      <c r="AN163" s="105"/>
      <c r="AO163" s="105"/>
      <c r="AP163" s="105"/>
      <c r="AQ163" s="105"/>
      <c r="AR163" s="105"/>
    </row>
    <row r="164" spans="1:44" s="49" customFormat="1" ht="49.9" hidden="1" customHeight="1">
      <c r="A164" s="152">
        <f t="shared" ca="1" si="156"/>
        <v>0</v>
      </c>
      <c r="B164" s="153">
        <v>104728</v>
      </c>
      <c r="C164" s="154" t="str">
        <f t="shared" si="157"/>
        <v>104728</v>
      </c>
      <c r="D164" s="154" t="s">
        <v>1416</v>
      </c>
      <c r="E164" s="155" t="s">
        <v>3662</v>
      </c>
      <c r="F164" s="154"/>
      <c r="G164" s="154" t="s">
        <v>464</v>
      </c>
      <c r="H164" s="152">
        <v>17.93</v>
      </c>
      <c r="I164" s="152">
        <v>17.63</v>
      </c>
      <c r="J164" s="156"/>
      <c r="K164" s="156">
        <f>Dre_Terraplenagem!AI136</f>
        <v>0</v>
      </c>
      <c r="L164" s="156">
        <f t="shared" si="158"/>
        <v>0</v>
      </c>
      <c r="M164" s="156">
        <f t="shared" si="159"/>
        <v>0</v>
      </c>
      <c r="N164" s="156" t="s">
        <v>83</v>
      </c>
      <c r="O164" s="157" cm="1">
        <f t="array" ref="O164">TRUNC($H164*(1+_xlfn.SWITCH($N164,"BDI 1",$O$6,"BDI 2",$O$7,"BDI 3",$O$8)),2)</f>
        <v>21.64</v>
      </c>
      <c r="P164" s="157" cm="1">
        <f t="array" ref="P164">TRUNC($I164*(1+_xlfn.SWITCH($N164,"BDI 1",$P$6,"BDI 2",$P$7,"BDI 3",$P$8)),2)</f>
        <v>22.34</v>
      </c>
      <c r="Q164" s="157">
        <v>0</v>
      </c>
      <c r="R164" s="157">
        <f t="shared" si="160"/>
        <v>0</v>
      </c>
      <c r="S164" s="156">
        <f t="shared" si="161"/>
        <v>0</v>
      </c>
      <c r="T164" s="156">
        <f t="shared" si="162"/>
        <v>0</v>
      </c>
      <c r="U164" s="156">
        <f t="shared" si="163"/>
        <v>0</v>
      </c>
      <c r="V164" s="156">
        <f t="shared" si="164"/>
        <v>0</v>
      </c>
      <c r="W164" s="156">
        <f t="shared" si="151"/>
        <v>0</v>
      </c>
      <c r="X164" s="158">
        <f t="shared" ref="X164" si="258">$S164/ORCAMENTO_VALOR_TOTAL_ND</f>
        <v>0</v>
      </c>
      <c r="Y164" s="158">
        <f t="shared" ref="Y164" si="259">$T164/ORCAMENTO_VALOR_TOTAL_DE</f>
        <v>0</v>
      </c>
      <c r="Z164" s="158" cm="1">
        <f t="array" ref="Z164">_xlfn.SWITCH($N164,"BDI 1",$O$6,"BDI 2",$O$7,"BDI 3",$O$8)</f>
        <v>0.20699999999999999</v>
      </c>
      <c r="AA164" s="158" cm="1">
        <f t="array" ref="AA164">_xlfn.SWITCH($N164,"BDI 1",$P$6,"BDI 2",$P$7,"BDI 3",$P$8)</f>
        <v>0.26739999999999997</v>
      </c>
      <c r="AB164" s="158">
        <f t="shared" ca="1" si="167"/>
        <v>0</v>
      </c>
      <c r="AC164" s="158">
        <f t="shared" ca="1" si="168"/>
        <v>0</v>
      </c>
      <c r="AD164" s="164"/>
      <c r="AE164" s="148">
        <f t="shared" si="154"/>
        <v>0</v>
      </c>
      <c r="AF164" s="149"/>
      <c r="AG164" s="150"/>
      <c r="AH164" s="159" t="e">
        <f t="shared" si="155"/>
        <v>#DIV/0!</v>
      </c>
      <c r="AI164" s="2425"/>
      <c r="AJ164" s="105"/>
      <c r="AK164" s="105"/>
      <c r="AM164" s="105"/>
      <c r="AN164" s="105"/>
      <c r="AO164" s="105"/>
      <c r="AP164" s="105"/>
      <c r="AQ164" s="105"/>
      <c r="AR164" s="105"/>
    </row>
    <row r="165" spans="1:44" s="49" customFormat="1" ht="49.9" hidden="1" customHeight="1">
      <c r="A165" s="152">
        <f t="shared" ca="1" si="156"/>
        <v>0</v>
      </c>
      <c r="B165" s="153">
        <v>104735</v>
      </c>
      <c r="C165" s="154" t="str">
        <f t="shared" si="157"/>
        <v>104735</v>
      </c>
      <c r="D165" s="154" t="s">
        <v>1416</v>
      </c>
      <c r="E165" s="155" t="s">
        <v>3663</v>
      </c>
      <c r="F165" s="154"/>
      <c r="G165" s="154" t="s">
        <v>464</v>
      </c>
      <c r="H165" s="152">
        <v>11.16</v>
      </c>
      <c r="I165" s="152">
        <v>10.79</v>
      </c>
      <c r="J165" s="156"/>
      <c r="K165" s="156">
        <f>Dre_Terraplenagem!AI137</f>
        <v>0</v>
      </c>
      <c r="L165" s="156">
        <f t="shared" si="158"/>
        <v>0</v>
      </c>
      <c r="M165" s="156">
        <f t="shared" si="159"/>
        <v>0</v>
      </c>
      <c r="N165" s="156" t="s">
        <v>83</v>
      </c>
      <c r="O165" s="157" cm="1">
        <f t="array" ref="O165">TRUNC($H165*(1+_xlfn.SWITCH($N165,"BDI 1",$O$6,"BDI 2",$O$7,"BDI 3",$O$8)),2)</f>
        <v>13.47</v>
      </c>
      <c r="P165" s="157" cm="1">
        <f t="array" ref="P165">TRUNC($I165*(1+_xlfn.SWITCH($N165,"BDI 1",$P$6,"BDI 2",$P$7,"BDI 3",$P$8)),2)</f>
        <v>13.67</v>
      </c>
      <c r="Q165" s="157">
        <v>0</v>
      </c>
      <c r="R165" s="157">
        <f t="shared" si="160"/>
        <v>0</v>
      </c>
      <c r="S165" s="156">
        <f t="shared" si="161"/>
        <v>0</v>
      </c>
      <c r="T165" s="156">
        <f t="shared" si="162"/>
        <v>0</v>
      </c>
      <c r="U165" s="156">
        <f t="shared" si="163"/>
        <v>0</v>
      </c>
      <c r="V165" s="156">
        <f t="shared" si="164"/>
        <v>0</v>
      </c>
      <c r="W165" s="156">
        <f t="shared" si="151"/>
        <v>0</v>
      </c>
      <c r="X165" s="158">
        <f t="shared" ref="X165" si="260">$S165/ORCAMENTO_VALOR_TOTAL_ND</f>
        <v>0</v>
      </c>
      <c r="Y165" s="158">
        <f t="shared" ref="Y165" si="261">$T165/ORCAMENTO_VALOR_TOTAL_DE</f>
        <v>0</v>
      </c>
      <c r="Z165" s="158" cm="1">
        <f t="array" ref="Z165">_xlfn.SWITCH($N165,"BDI 1",$O$6,"BDI 2",$O$7,"BDI 3",$O$8)</f>
        <v>0.20699999999999999</v>
      </c>
      <c r="AA165" s="158" cm="1">
        <f t="array" ref="AA165">_xlfn.SWITCH($N165,"BDI 1",$P$6,"BDI 2",$P$7,"BDI 3",$P$8)</f>
        <v>0.26739999999999997</v>
      </c>
      <c r="AB165" s="158">
        <f t="shared" ca="1" si="167"/>
        <v>0</v>
      </c>
      <c r="AC165" s="158">
        <f t="shared" ca="1" si="168"/>
        <v>0</v>
      </c>
      <c r="AD165" s="164"/>
      <c r="AE165" s="148">
        <f t="shared" si="154"/>
        <v>0</v>
      </c>
      <c r="AF165" s="149"/>
      <c r="AG165" s="150"/>
      <c r="AH165" s="159" t="e">
        <f t="shared" si="155"/>
        <v>#DIV/0!</v>
      </c>
      <c r="AI165" s="2422">
        <v>0</v>
      </c>
      <c r="AJ165" s="105"/>
      <c r="AK165" s="105"/>
      <c r="AM165" s="105"/>
      <c r="AN165" s="105"/>
      <c r="AO165" s="105"/>
      <c r="AP165" s="105"/>
      <c r="AQ165" s="105"/>
      <c r="AR165" s="105"/>
    </row>
    <row r="166" spans="1:44" s="49" customFormat="1" ht="49.9" hidden="1" customHeight="1">
      <c r="A166" s="152">
        <f t="shared" ca="1" si="156"/>
        <v>0</v>
      </c>
      <c r="B166" s="153">
        <v>104736</v>
      </c>
      <c r="C166" s="154" t="str">
        <f t="shared" si="157"/>
        <v>104736</v>
      </c>
      <c r="D166" s="154" t="s">
        <v>1416</v>
      </c>
      <c r="E166" s="155" t="s">
        <v>3664</v>
      </c>
      <c r="F166" s="154"/>
      <c r="G166" s="154" t="s">
        <v>464</v>
      </c>
      <c r="H166" s="152">
        <v>8.3800000000000008</v>
      </c>
      <c r="I166" s="152">
        <v>8.1199999999999992</v>
      </c>
      <c r="J166" s="156"/>
      <c r="K166" s="156">
        <f>Dre_Terraplenagem!AI138</f>
        <v>0</v>
      </c>
      <c r="L166" s="156">
        <f t="shared" si="158"/>
        <v>0</v>
      </c>
      <c r="M166" s="156">
        <f t="shared" si="159"/>
        <v>0</v>
      </c>
      <c r="N166" s="156" t="s">
        <v>83</v>
      </c>
      <c r="O166" s="157" cm="1">
        <f t="array" ref="O166">TRUNC($H166*(1+_xlfn.SWITCH($N166,"BDI 1",$O$6,"BDI 2",$O$7,"BDI 3",$O$8)),2)</f>
        <v>10.11</v>
      </c>
      <c r="P166" s="157" cm="1">
        <f t="array" ref="P166">TRUNC($I166*(1+_xlfn.SWITCH($N166,"BDI 1",$P$6,"BDI 2",$P$7,"BDI 3",$P$8)),2)</f>
        <v>10.29</v>
      </c>
      <c r="Q166" s="157">
        <v>0</v>
      </c>
      <c r="R166" s="157">
        <f t="shared" si="160"/>
        <v>0</v>
      </c>
      <c r="S166" s="156">
        <f t="shared" si="161"/>
        <v>0</v>
      </c>
      <c r="T166" s="156">
        <f t="shared" si="162"/>
        <v>0</v>
      </c>
      <c r="U166" s="156">
        <f t="shared" si="163"/>
        <v>0</v>
      </c>
      <c r="V166" s="156">
        <f t="shared" si="164"/>
        <v>0</v>
      </c>
      <c r="W166" s="156">
        <f t="shared" si="151"/>
        <v>0</v>
      </c>
      <c r="X166" s="158">
        <f t="shared" ref="X166" si="262">$S166/ORCAMENTO_VALOR_TOTAL_ND</f>
        <v>0</v>
      </c>
      <c r="Y166" s="158">
        <f t="shared" ref="Y166" si="263">$T166/ORCAMENTO_VALOR_TOTAL_DE</f>
        <v>0</v>
      </c>
      <c r="Z166" s="158" cm="1">
        <f t="array" ref="Z166">_xlfn.SWITCH($N166,"BDI 1",$O$6,"BDI 2",$O$7,"BDI 3",$O$8)</f>
        <v>0.20699999999999999</v>
      </c>
      <c r="AA166" s="158" cm="1">
        <f t="array" ref="AA166">_xlfn.SWITCH($N166,"BDI 1",$P$6,"BDI 2",$P$7,"BDI 3",$P$8)</f>
        <v>0.26739999999999997</v>
      </c>
      <c r="AB166" s="158">
        <f t="shared" ca="1" si="167"/>
        <v>0</v>
      </c>
      <c r="AC166" s="158">
        <f t="shared" ca="1" si="168"/>
        <v>0</v>
      </c>
      <c r="AD166" s="164"/>
      <c r="AE166" s="148">
        <f t="shared" si="154"/>
        <v>0</v>
      </c>
      <c r="AF166" s="149"/>
      <c r="AG166" s="150"/>
      <c r="AH166" s="159" t="e">
        <f t="shared" si="155"/>
        <v>#DIV/0!</v>
      </c>
      <c r="AI166" s="2422"/>
      <c r="AJ166" s="105"/>
      <c r="AK166" s="105"/>
      <c r="AM166" s="105"/>
      <c r="AN166" s="105"/>
      <c r="AO166" s="105"/>
      <c r="AP166" s="105"/>
      <c r="AQ166" s="105"/>
      <c r="AR166" s="105"/>
    </row>
    <row r="167" spans="1:44" s="49" customFormat="1" ht="49.9" hidden="1" customHeight="1">
      <c r="A167" s="152">
        <f t="shared" ca="1" si="156"/>
        <v>0</v>
      </c>
      <c r="B167" s="153">
        <v>104730</v>
      </c>
      <c r="C167" s="154" t="str">
        <f t="shared" si="157"/>
        <v>104730</v>
      </c>
      <c r="D167" s="154" t="s">
        <v>1416</v>
      </c>
      <c r="E167" s="155" t="s">
        <v>3665</v>
      </c>
      <c r="F167" s="154"/>
      <c r="G167" s="154" t="s">
        <v>464</v>
      </c>
      <c r="H167" s="152">
        <v>11.94</v>
      </c>
      <c r="I167" s="152">
        <v>11.75</v>
      </c>
      <c r="J167" s="156"/>
      <c r="K167" s="156">
        <f>Dre_Terraplenagem!AI139</f>
        <v>0</v>
      </c>
      <c r="L167" s="156">
        <f t="shared" si="158"/>
        <v>0</v>
      </c>
      <c r="M167" s="156">
        <f t="shared" si="159"/>
        <v>0</v>
      </c>
      <c r="N167" s="156" t="s">
        <v>83</v>
      </c>
      <c r="O167" s="157" cm="1">
        <f t="array" ref="O167">TRUNC($H167*(1+_xlfn.SWITCH($N167,"BDI 1",$O$6,"BDI 2",$O$7,"BDI 3",$O$8)),2)</f>
        <v>14.41</v>
      </c>
      <c r="P167" s="157" cm="1">
        <f t="array" ref="P167">TRUNC($I167*(1+_xlfn.SWITCH($N167,"BDI 1",$P$6,"BDI 2",$P$7,"BDI 3",$P$8)),2)</f>
        <v>14.89</v>
      </c>
      <c r="Q167" s="157">
        <v>0</v>
      </c>
      <c r="R167" s="157">
        <f t="shared" si="160"/>
        <v>0</v>
      </c>
      <c r="S167" s="156">
        <f t="shared" si="161"/>
        <v>0</v>
      </c>
      <c r="T167" s="156">
        <f t="shared" si="162"/>
        <v>0</v>
      </c>
      <c r="U167" s="156">
        <f t="shared" si="163"/>
        <v>0</v>
      </c>
      <c r="V167" s="156">
        <f t="shared" si="164"/>
        <v>0</v>
      </c>
      <c r="W167" s="156">
        <f t="shared" si="151"/>
        <v>0</v>
      </c>
      <c r="X167" s="158">
        <f t="shared" ref="X167" si="264">$S167/ORCAMENTO_VALOR_TOTAL_ND</f>
        <v>0</v>
      </c>
      <c r="Y167" s="158">
        <f t="shared" ref="Y167" si="265">$T167/ORCAMENTO_VALOR_TOTAL_DE</f>
        <v>0</v>
      </c>
      <c r="Z167" s="158" cm="1">
        <f t="array" ref="Z167">_xlfn.SWITCH($N167,"BDI 1",$O$6,"BDI 2",$O$7,"BDI 3",$O$8)</f>
        <v>0.20699999999999999</v>
      </c>
      <c r="AA167" s="158" cm="1">
        <f t="array" ref="AA167">_xlfn.SWITCH($N167,"BDI 1",$P$6,"BDI 2",$P$7,"BDI 3",$P$8)</f>
        <v>0.26739999999999997</v>
      </c>
      <c r="AB167" s="158">
        <f t="shared" ca="1" si="167"/>
        <v>0</v>
      </c>
      <c r="AC167" s="158">
        <f t="shared" ca="1" si="168"/>
        <v>0</v>
      </c>
      <c r="AD167" s="164"/>
      <c r="AE167" s="148">
        <f t="shared" si="154"/>
        <v>0</v>
      </c>
      <c r="AF167" s="149"/>
      <c r="AG167" s="150"/>
      <c r="AH167" s="159" t="e">
        <f t="shared" si="155"/>
        <v>#DIV/0!</v>
      </c>
      <c r="AI167" s="2422"/>
      <c r="AJ167" s="105"/>
      <c r="AK167" s="105"/>
      <c r="AM167" s="105"/>
      <c r="AN167" s="105"/>
      <c r="AO167" s="105"/>
      <c r="AP167" s="105"/>
      <c r="AQ167" s="105"/>
      <c r="AR167" s="105"/>
    </row>
    <row r="168" spans="1:44" s="49" customFormat="1" ht="49.9" hidden="1" customHeight="1">
      <c r="A168" s="152">
        <f t="shared" ca="1" si="156"/>
        <v>0</v>
      </c>
      <c r="B168" s="153">
        <v>104731</v>
      </c>
      <c r="C168" s="154" t="str">
        <f t="shared" si="157"/>
        <v>104731</v>
      </c>
      <c r="D168" s="154" t="s">
        <v>1416</v>
      </c>
      <c r="E168" s="155" t="s">
        <v>3666</v>
      </c>
      <c r="F168" s="154"/>
      <c r="G168" s="154" t="s">
        <v>464</v>
      </c>
      <c r="H168" s="152">
        <v>11.35</v>
      </c>
      <c r="I168" s="152">
        <v>11.16</v>
      </c>
      <c r="J168" s="156"/>
      <c r="K168" s="156">
        <f>Dre_Terraplenagem!AI140+Dre_Terraplenagem!AI142+Dre_Terraplenagem!AI150</f>
        <v>0</v>
      </c>
      <c r="L168" s="156">
        <f t="shared" si="158"/>
        <v>0</v>
      </c>
      <c r="M168" s="156">
        <f t="shared" si="159"/>
        <v>0</v>
      </c>
      <c r="N168" s="156" t="s">
        <v>83</v>
      </c>
      <c r="O168" s="157" cm="1">
        <f t="array" ref="O168">TRUNC($H168*(1+_xlfn.SWITCH($N168,"BDI 1",$O$6,"BDI 2",$O$7,"BDI 3",$O$8)),2)</f>
        <v>13.69</v>
      </c>
      <c r="P168" s="157" cm="1">
        <f t="array" ref="P168">TRUNC($I168*(1+_xlfn.SWITCH($N168,"BDI 1",$P$6,"BDI 2",$P$7,"BDI 3",$P$8)),2)</f>
        <v>14.14</v>
      </c>
      <c r="Q168" s="157">
        <v>0</v>
      </c>
      <c r="R168" s="157">
        <f t="shared" si="160"/>
        <v>0</v>
      </c>
      <c r="S168" s="156">
        <f t="shared" si="161"/>
        <v>0</v>
      </c>
      <c r="T168" s="156">
        <f t="shared" si="162"/>
        <v>0</v>
      </c>
      <c r="U168" s="156">
        <f t="shared" si="163"/>
        <v>0</v>
      </c>
      <c r="V168" s="156">
        <f t="shared" si="164"/>
        <v>0</v>
      </c>
      <c r="W168" s="156">
        <f t="shared" si="151"/>
        <v>0</v>
      </c>
      <c r="X168" s="158">
        <f t="shared" ref="X168" si="266">$S168/ORCAMENTO_VALOR_TOTAL_ND</f>
        <v>0</v>
      </c>
      <c r="Y168" s="158">
        <f t="shared" ref="Y168" si="267">$T168/ORCAMENTO_VALOR_TOTAL_DE</f>
        <v>0</v>
      </c>
      <c r="Z168" s="158" cm="1">
        <f t="array" ref="Z168">_xlfn.SWITCH($N168,"BDI 1",$O$6,"BDI 2",$O$7,"BDI 3",$O$8)</f>
        <v>0.20699999999999999</v>
      </c>
      <c r="AA168" s="158" cm="1">
        <f t="array" ref="AA168">_xlfn.SWITCH($N168,"BDI 1",$P$6,"BDI 2",$P$7,"BDI 3",$P$8)</f>
        <v>0.26739999999999997</v>
      </c>
      <c r="AB168" s="158">
        <f t="shared" ca="1" si="167"/>
        <v>0</v>
      </c>
      <c r="AC168" s="158">
        <f t="shared" ca="1" si="168"/>
        <v>0</v>
      </c>
      <c r="AD168" s="164"/>
      <c r="AE168" s="148">
        <f t="shared" si="154"/>
        <v>0</v>
      </c>
      <c r="AF168" s="149"/>
      <c r="AG168" s="150"/>
      <c r="AH168" s="159" t="e">
        <f t="shared" si="155"/>
        <v>#DIV/0!</v>
      </c>
      <c r="AI168" s="2423">
        <v>0</v>
      </c>
      <c r="AJ168" s="105"/>
      <c r="AK168" s="105"/>
      <c r="AM168" s="105"/>
      <c r="AN168" s="105"/>
      <c r="AO168" s="105"/>
      <c r="AP168" s="105"/>
      <c r="AQ168" s="105"/>
      <c r="AR168" s="105"/>
    </row>
    <row r="169" spans="1:44" s="49" customFormat="1" ht="49.9" hidden="1" customHeight="1">
      <c r="A169" s="152">
        <f t="shared" ca="1" si="156"/>
        <v>0</v>
      </c>
      <c r="B169" s="153">
        <v>104732</v>
      </c>
      <c r="C169" s="154" t="str">
        <f t="shared" si="157"/>
        <v>104732</v>
      </c>
      <c r="D169" s="154" t="s">
        <v>1416</v>
      </c>
      <c r="E169" s="155" t="s">
        <v>3667</v>
      </c>
      <c r="F169" s="154"/>
      <c r="G169" s="154" t="s">
        <v>464</v>
      </c>
      <c r="H169" s="152">
        <v>9.24</v>
      </c>
      <c r="I169" s="152">
        <v>9.07</v>
      </c>
      <c r="J169" s="156"/>
      <c r="K169" s="156">
        <f>Dre_Terraplenagem!AI141+Dre_Terraplenagem!AI143+Dre_Terraplenagem!AI151</f>
        <v>0</v>
      </c>
      <c r="L169" s="156">
        <f t="shared" si="158"/>
        <v>0</v>
      </c>
      <c r="M169" s="156">
        <f t="shared" si="159"/>
        <v>0</v>
      </c>
      <c r="N169" s="156" t="s">
        <v>83</v>
      </c>
      <c r="O169" s="157" cm="1">
        <f t="array" ref="O169">TRUNC($H169*(1+_xlfn.SWITCH($N169,"BDI 1",$O$6,"BDI 2",$O$7,"BDI 3",$O$8)),2)</f>
        <v>11.15</v>
      </c>
      <c r="P169" s="157" cm="1">
        <f t="array" ref="P169">TRUNC($I169*(1+_xlfn.SWITCH($N169,"BDI 1",$P$6,"BDI 2",$P$7,"BDI 3",$P$8)),2)</f>
        <v>11.49</v>
      </c>
      <c r="Q169" s="157">
        <v>0</v>
      </c>
      <c r="R169" s="157">
        <f t="shared" si="160"/>
        <v>0</v>
      </c>
      <c r="S169" s="156">
        <f t="shared" si="161"/>
        <v>0</v>
      </c>
      <c r="T169" s="156">
        <f t="shared" si="162"/>
        <v>0</v>
      </c>
      <c r="U169" s="156">
        <f t="shared" si="163"/>
        <v>0</v>
      </c>
      <c r="V169" s="156">
        <f t="shared" si="164"/>
        <v>0</v>
      </c>
      <c r="W169" s="156">
        <f t="shared" si="151"/>
        <v>0</v>
      </c>
      <c r="X169" s="158">
        <f t="shared" ref="X169" si="268">$S169/ORCAMENTO_VALOR_TOTAL_ND</f>
        <v>0</v>
      </c>
      <c r="Y169" s="158">
        <f t="shared" ref="Y169" si="269">$T169/ORCAMENTO_VALOR_TOTAL_DE</f>
        <v>0</v>
      </c>
      <c r="Z169" s="158" cm="1">
        <f t="array" ref="Z169">_xlfn.SWITCH($N169,"BDI 1",$O$6,"BDI 2",$O$7,"BDI 3",$O$8)</f>
        <v>0.20699999999999999</v>
      </c>
      <c r="AA169" s="158" cm="1">
        <f t="array" ref="AA169">_xlfn.SWITCH($N169,"BDI 1",$P$6,"BDI 2",$P$7,"BDI 3",$P$8)</f>
        <v>0.26739999999999997</v>
      </c>
      <c r="AB169" s="158">
        <f t="shared" ca="1" si="167"/>
        <v>0</v>
      </c>
      <c r="AC169" s="158">
        <f t="shared" ca="1" si="168"/>
        <v>0</v>
      </c>
      <c r="AD169" s="164"/>
      <c r="AE169" s="148">
        <f t="shared" si="154"/>
        <v>0</v>
      </c>
      <c r="AF169" s="149"/>
      <c r="AG169" s="150"/>
      <c r="AH169" s="159" t="e">
        <f t="shared" si="155"/>
        <v>#DIV/0!</v>
      </c>
      <c r="AI169" s="2423"/>
      <c r="AJ169" s="105"/>
      <c r="AK169" s="105"/>
      <c r="AM169" s="105"/>
      <c r="AN169" s="105"/>
      <c r="AO169" s="105"/>
      <c r="AP169" s="105"/>
      <c r="AQ169" s="105"/>
      <c r="AR169" s="105"/>
    </row>
    <row r="170" spans="1:44" s="193" customFormat="1" ht="49.9" hidden="1" customHeight="1">
      <c r="A170" s="152">
        <f t="shared" ca="1" si="156"/>
        <v>0</v>
      </c>
      <c r="B170" s="153">
        <v>104731</v>
      </c>
      <c r="C170" s="154" t="str">
        <f t="shared" si="157"/>
        <v>104731</v>
      </c>
      <c r="D170" s="154" t="s">
        <v>1416</v>
      </c>
      <c r="E170" s="155" t="s">
        <v>3666</v>
      </c>
      <c r="F170" s="154"/>
      <c r="G170" s="154" t="s">
        <v>464</v>
      </c>
      <c r="H170" s="152">
        <v>11.35</v>
      </c>
      <c r="I170" s="152">
        <v>11.16</v>
      </c>
      <c r="J170" s="156"/>
      <c r="K170" s="156">
        <v>0</v>
      </c>
      <c r="L170" s="156">
        <f t="shared" si="158"/>
        <v>0</v>
      </c>
      <c r="M170" s="156">
        <f t="shared" si="159"/>
        <v>0</v>
      </c>
      <c r="N170" s="156" t="s">
        <v>83</v>
      </c>
      <c r="O170" s="157" cm="1">
        <f t="array" ref="O170">TRUNC($H170*(1+_xlfn.SWITCH($N170,"BDI 1",$O$6,"BDI 2",$O$7,"BDI 3",$O$8)),2)</f>
        <v>13.69</v>
      </c>
      <c r="P170" s="157" cm="1">
        <f t="array" ref="P170">TRUNC($I170*(1+_xlfn.SWITCH($N170,"BDI 1",$P$6,"BDI 2",$P$7,"BDI 3",$P$8)),2)</f>
        <v>14.14</v>
      </c>
      <c r="Q170" s="157">
        <v>0</v>
      </c>
      <c r="R170" s="157">
        <f t="shared" si="160"/>
        <v>0</v>
      </c>
      <c r="S170" s="156">
        <f t="shared" si="161"/>
        <v>0</v>
      </c>
      <c r="T170" s="156">
        <f t="shared" si="162"/>
        <v>0</v>
      </c>
      <c r="U170" s="156">
        <f t="shared" si="163"/>
        <v>0</v>
      </c>
      <c r="V170" s="156">
        <f t="shared" si="164"/>
        <v>0</v>
      </c>
      <c r="W170" s="156">
        <f t="shared" si="151"/>
        <v>0</v>
      </c>
      <c r="X170" s="158">
        <f t="shared" ref="X170" si="270">$S170/ORCAMENTO_VALOR_TOTAL_ND</f>
        <v>0</v>
      </c>
      <c r="Y170" s="158">
        <f t="shared" ref="Y170" si="271">$T170/ORCAMENTO_VALOR_TOTAL_DE</f>
        <v>0</v>
      </c>
      <c r="Z170" s="158" cm="1">
        <f t="array" ref="Z170">_xlfn.SWITCH($N170,"BDI 1",$O$6,"BDI 2",$O$7,"BDI 3",$O$8)</f>
        <v>0.20699999999999999</v>
      </c>
      <c r="AA170" s="158" cm="1">
        <f t="array" ref="AA170">_xlfn.SWITCH($N170,"BDI 1",$P$6,"BDI 2",$P$7,"BDI 3",$P$8)</f>
        <v>0.26739999999999997</v>
      </c>
      <c r="AB170" s="158">
        <f t="shared" ca="1" si="167"/>
        <v>0</v>
      </c>
      <c r="AC170" s="158">
        <f t="shared" ca="1" si="168"/>
        <v>0</v>
      </c>
      <c r="AD170" s="164"/>
      <c r="AE170" s="148">
        <f t="shared" si="154"/>
        <v>0</v>
      </c>
      <c r="AF170" s="149"/>
      <c r="AG170" s="150"/>
      <c r="AH170" s="191" t="e">
        <f t="shared" si="155"/>
        <v>#DIV/0!</v>
      </c>
      <c r="AI170" s="2424">
        <v>0</v>
      </c>
      <c r="AJ170" s="192"/>
      <c r="AK170" s="192"/>
      <c r="AM170" s="192"/>
      <c r="AN170" s="192"/>
      <c r="AO170" s="105"/>
      <c r="AP170" s="192"/>
      <c r="AQ170" s="192"/>
      <c r="AR170" s="192"/>
    </row>
    <row r="171" spans="1:44" s="193" customFormat="1" ht="49.9" hidden="1" customHeight="1">
      <c r="A171" s="152">
        <f t="shared" ca="1" si="156"/>
        <v>0</v>
      </c>
      <c r="B171" s="153">
        <v>104732</v>
      </c>
      <c r="C171" s="154" t="str">
        <f t="shared" si="157"/>
        <v>104732</v>
      </c>
      <c r="D171" s="154" t="s">
        <v>1416</v>
      </c>
      <c r="E171" s="155" t="s">
        <v>3667</v>
      </c>
      <c r="F171" s="154"/>
      <c r="G171" s="154" t="s">
        <v>464</v>
      </c>
      <c r="H171" s="152">
        <v>9.24</v>
      </c>
      <c r="I171" s="152">
        <v>9.07</v>
      </c>
      <c r="J171" s="156"/>
      <c r="K171" s="156">
        <v>0</v>
      </c>
      <c r="L171" s="156">
        <f t="shared" si="158"/>
        <v>0</v>
      </c>
      <c r="M171" s="156">
        <f t="shared" si="159"/>
        <v>0</v>
      </c>
      <c r="N171" s="156" t="s">
        <v>83</v>
      </c>
      <c r="O171" s="157" cm="1">
        <f t="array" ref="O171">TRUNC($H171*(1+_xlfn.SWITCH($N171,"BDI 1",$O$6,"BDI 2",$O$7,"BDI 3",$O$8)),2)</f>
        <v>11.15</v>
      </c>
      <c r="P171" s="157" cm="1">
        <f t="array" ref="P171">TRUNC($I171*(1+_xlfn.SWITCH($N171,"BDI 1",$P$6,"BDI 2",$P$7,"BDI 3",$P$8)),2)</f>
        <v>11.49</v>
      </c>
      <c r="Q171" s="157">
        <v>0</v>
      </c>
      <c r="R171" s="157">
        <f t="shared" si="160"/>
        <v>0</v>
      </c>
      <c r="S171" s="156">
        <f t="shared" si="161"/>
        <v>0</v>
      </c>
      <c r="T171" s="156">
        <f t="shared" si="162"/>
        <v>0</v>
      </c>
      <c r="U171" s="156">
        <f t="shared" si="163"/>
        <v>0</v>
      </c>
      <c r="V171" s="156">
        <f t="shared" si="164"/>
        <v>0</v>
      </c>
      <c r="W171" s="156">
        <f t="shared" si="151"/>
        <v>0</v>
      </c>
      <c r="X171" s="158">
        <f t="shared" ref="X171" si="272">$S171/ORCAMENTO_VALOR_TOTAL_ND</f>
        <v>0</v>
      </c>
      <c r="Y171" s="158">
        <f t="shared" ref="Y171" si="273">$T171/ORCAMENTO_VALOR_TOTAL_DE</f>
        <v>0</v>
      </c>
      <c r="Z171" s="158" cm="1">
        <f t="array" ref="Z171">_xlfn.SWITCH($N171,"BDI 1",$O$6,"BDI 2",$O$7,"BDI 3",$O$8)</f>
        <v>0.20699999999999999</v>
      </c>
      <c r="AA171" s="158" cm="1">
        <f t="array" ref="AA171">_xlfn.SWITCH($N171,"BDI 1",$P$6,"BDI 2",$P$7,"BDI 3",$P$8)</f>
        <v>0.26739999999999997</v>
      </c>
      <c r="AB171" s="158">
        <f t="shared" ca="1" si="167"/>
        <v>0</v>
      </c>
      <c r="AC171" s="158">
        <f t="shared" ca="1" si="168"/>
        <v>0</v>
      </c>
      <c r="AD171" s="164"/>
      <c r="AE171" s="148">
        <f t="shared" si="154"/>
        <v>0</v>
      </c>
      <c r="AF171" s="149"/>
      <c r="AG171" s="150"/>
      <c r="AH171" s="191" t="e">
        <f t="shared" si="155"/>
        <v>#DIV/0!</v>
      </c>
      <c r="AI171" s="2424"/>
      <c r="AJ171" s="192"/>
      <c r="AK171" s="192"/>
      <c r="AM171" s="192"/>
      <c r="AN171" s="192"/>
      <c r="AO171" s="105"/>
      <c r="AP171" s="192"/>
      <c r="AQ171" s="192"/>
      <c r="AR171" s="192"/>
    </row>
    <row r="172" spans="1:44" s="49" customFormat="1" ht="49.9" hidden="1" customHeight="1">
      <c r="A172" s="152">
        <f t="shared" ca="1" si="156"/>
        <v>0</v>
      </c>
      <c r="B172" s="153">
        <v>93378</v>
      </c>
      <c r="C172" s="154" t="str">
        <f t="shared" si="157"/>
        <v>93378</v>
      </c>
      <c r="D172" s="154" t="s">
        <v>1416</v>
      </c>
      <c r="E172" s="155" t="s">
        <v>3668</v>
      </c>
      <c r="F172" s="154"/>
      <c r="G172" s="154" t="s">
        <v>464</v>
      </c>
      <c r="H172" s="152">
        <v>22.94</v>
      </c>
      <c r="I172" s="152">
        <v>21.86</v>
      </c>
      <c r="J172" s="156"/>
      <c r="K172" s="156">
        <f>Dre_Terraplenagem!AI144</f>
        <v>0</v>
      </c>
      <c r="L172" s="156">
        <f t="shared" si="158"/>
        <v>0</v>
      </c>
      <c r="M172" s="156">
        <f t="shared" si="159"/>
        <v>0</v>
      </c>
      <c r="N172" s="156" t="s">
        <v>83</v>
      </c>
      <c r="O172" s="157" cm="1">
        <f t="array" ref="O172">TRUNC($H172*(1+_xlfn.SWITCH($N172,"BDI 1",$O$6,"BDI 2",$O$7,"BDI 3",$O$8)),2)</f>
        <v>27.68</v>
      </c>
      <c r="P172" s="157" cm="1">
        <f t="array" ref="P172">TRUNC($I172*(1+_xlfn.SWITCH($N172,"BDI 1",$P$6,"BDI 2",$P$7,"BDI 3",$P$8)),2)</f>
        <v>27.7</v>
      </c>
      <c r="Q172" s="157">
        <v>0</v>
      </c>
      <c r="R172" s="157">
        <f t="shared" si="160"/>
        <v>0</v>
      </c>
      <c r="S172" s="156">
        <f t="shared" si="161"/>
        <v>0</v>
      </c>
      <c r="T172" s="156">
        <f t="shared" si="162"/>
        <v>0</v>
      </c>
      <c r="U172" s="156">
        <f t="shared" si="163"/>
        <v>0</v>
      </c>
      <c r="V172" s="156">
        <f t="shared" si="164"/>
        <v>0</v>
      </c>
      <c r="W172" s="156">
        <f t="shared" si="151"/>
        <v>0</v>
      </c>
      <c r="X172" s="158">
        <f t="shared" ref="X172" si="274">$S172/ORCAMENTO_VALOR_TOTAL_ND</f>
        <v>0</v>
      </c>
      <c r="Y172" s="158">
        <f t="shared" ref="Y172" si="275">$T172/ORCAMENTO_VALOR_TOTAL_DE</f>
        <v>0</v>
      </c>
      <c r="Z172" s="158" cm="1">
        <f t="array" ref="Z172">_xlfn.SWITCH($N172,"BDI 1",$O$6,"BDI 2",$O$7,"BDI 3",$O$8)</f>
        <v>0.20699999999999999</v>
      </c>
      <c r="AA172" s="158" cm="1">
        <f t="array" ref="AA172">_xlfn.SWITCH($N172,"BDI 1",$P$6,"BDI 2",$P$7,"BDI 3",$P$8)</f>
        <v>0.26739999999999997</v>
      </c>
      <c r="AB172" s="158">
        <f t="shared" ca="1" si="167"/>
        <v>0</v>
      </c>
      <c r="AC172" s="158">
        <f t="shared" ca="1" si="168"/>
        <v>0</v>
      </c>
      <c r="AD172" s="164"/>
      <c r="AE172" s="148">
        <f t="shared" si="154"/>
        <v>0</v>
      </c>
      <c r="AF172" s="149"/>
      <c r="AG172" s="150"/>
      <c r="AH172" s="159" t="e">
        <f t="shared" si="155"/>
        <v>#DIV/0!</v>
      </c>
      <c r="AI172" s="2425">
        <v>0</v>
      </c>
      <c r="AJ172" s="105"/>
      <c r="AK172" s="105"/>
      <c r="AM172" s="105"/>
      <c r="AN172" s="105"/>
      <c r="AO172" s="105"/>
      <c r="AP172" s="105"/>
      <c r="AQ172" s="105"/>
      <c r="AR172" s="105"/>
    </row>
    <row r="173" spans="1:44" s="49" customFormat="1" ht="49.9" hidden="1" customHeight="1">
      <c r="A173" s="152">
        <f t="shared" ca="1" si="156"/>
        <v>0</v>
      </c>
      <c r="B173" s="153">
        <v>93379</v>
      </c>
      <c r="C173" s="154" t="str">
        <f t="shared" si="157"/>
        <v>93379</v>
      </c>
      <c r="D173" s="154" t="s">
        <v>1416</v>
      </c>
      <c r="E173" s="155" t="s">
        <v>3669</v>
      </c>
      <c r="F173" s="154"/>
      <c r="G173" s="154" t="s">
        <v>464</v>
      </c>
      <c r="H173" s="152">
        <v>17.62</v>
      </c>
      <c r="I173" s="152">
        <v>16.78</v>
      </c>
      <c r="J173" s="156"/>
      <c r="K173" s="156">
        <f>Dre_Terraplenagem!AI145</f>
        <v>0</v>
      </c>
      <c r="L173" s="156">
        <f t="shared" si="158"/>
        <v>0</v>
      </c>
      <c r="M173" s="156">
        <f t="shared" si="159"/>
        <v>0</v>
      </c>
      <c r="N173" s="156" t="s">
        <v>83</v>
      </c>
      <c r="O173" s="157" cm="1">
        <f t="array" ref="O173">TRUNC($H173*(1+_xlfn.SWITCH($N173,"BDI 1",$O$6,"BDI 2",$O$7,"BDI 3",$O$8)),2)</f>
        <v>21.26</v>
      </c>
      <c r="P173" s="157" cm="1">
        <f t="array" ref="P173">TRUNC($I173*(1+_xlfn.SWITCH($N173,"BDI 1",$P$6,"BDI 2",$P$7,"BDI 3",$P$8)),2)</f>
        <v>21.26</v>
      </c>
      <c r="Q173" s="157">
        <v>0</v>
      </c>
      <c r="R173" s="157">
        <f t="shared" si="160"/>
        <v>0</v>
      </c>
      <c r="S173" s="156">
        <f t="shared" si="161"/>
        <v>0</v>
      </c>
      <c r="T173" s="156">
        <f t="shared" si="162"/>
        <v>0</v>
      </c>
      <c r="U173" s="156">
        <f t="shared" si="163"/>
        <v>0</v>
      </c>
      <c r="V173" s="156">
        <f t="shared" si="164"/>
        <v>0</v>
      </c>
      <c r="W173" s="156">
        <f t="shared" si="151"/>
        <v>0</v>
      </c>
      <c r="X173" s="158">
        <f t="shared" ref="X173" si="276">$S173/ORCAMENTO_VALOR_TOTAL_ND</f>
        <v>0</v>
      </c>
      <c r="Y173" s="158">
        <f t="shared" ref="Y173" si="277">$T173/ORCAMENTO_VALOR_TOTAL_DE</f>
        <v>0</v>
      </c>
      <c r="Z173" s="158" cm="1">
        <f t="array" ref="Z173">_xlfn.SWITCH($N173,"BDI 1",$O$6,"BDI 2",$O$7,"BDI 3",$O$8)</f>
        <v>0.20699999999999999</v>
      </c>
      <c r="AA173" s="158" cm="1">
        <f t="array" ref="AA173">_xlfn.SWITCH($N173,"BDI 1",$P$6,"BDI 2",$P$7,"BDI 3",$P$8)</f>
        <v>0.26739999999999997</v>
      </c>
      <c r="AB173" s="158">
        <f t="shared" ca="1" si="167"/>
        <v>0</v>
      </c>
      <c r="AC173" s="158">
        <f t="shared" ca="1" si="168"/>
        <v>0</v>
      </c>
      <c r="AD173" s="164"/>
      <c r="AE173" s="148">
        <f t="shared" si="154"/>
        <v>0</v>
      </c>
      <c r="AF173" s="149"/>
      <c r="AG173" s="150"/>
      <c r="AH173" s="159" t="e">
        <f t="shared" si="155"/>
        <v>#DIV/0!</v>
      </c>
      <c r="AI173" s="2425"/>
      <c r="AJ173" s="105"/>
      <c r="AK173" s="105"/>
      <c r="AM173" s="105"/>
      <c r="AN173" s="105"/>
      <c r="AO173" s="105"/>
      <c r="AP173" s="105"/>
      <c r="AQ173" s="105"/>
      <c r="AR173" s="105"/>
    </row>
    <row r="174" spans="1:44" s="49" customFormat="1" ht="49.9" hidden="1" customHeight="1">
      <c r="A174" s="152">
        <f t="shared" ca="1" si="156"/>
        <v>0</v>
      </c>
      <c r="B174" s="153">
        <v>93367</v>
      </c>
      <c r="C174" s="154" t="str">
        <f t="shared" si="157"/>
        <v>93367</v>
      </c>
      <c r="D174" s="154" t="s">
        <v>1416</v>
      </c>
      <c r="E174" s="155" t="s">
        <v>3670</v>
      </c>
      <c r="F174" s="154"/>
      <c r="G174" s="154" t="s">
        <v>464</v>
      </c>
      <c r="H174" s="152">
        <v>21.71</v>
      </c>
      <c r="I174" s="152">
        <v>21.07</v>
      </c>
      <c r="J174" s="156"/>
      <c r="K174" s="156">
        <f>Dre_Terraplenagem!AI146</f>
        <v>0</v>
      </c>
      <c r="L174" s="156">
        <f t="shared" si="158"/>
        <v>0</v>
      </c>
      <c r="M174" s="156">
        <f t="shared" si="159"/>
        <v>0</v>
      </c>
      <c r="N174" s="156" t="s">
        <v>83</v>
      </c>
      <c r="O174" s="157" cm="1">
        <f t="array" ref="O174">TRUNC($H174*(1+_xlfn.SWITCH($N174,"BDI 1",$O$6,"BDI 2",$O$7,"BDI 3",$O$8)),2)</f>
        <v>26.2</v>
      </c>
      <c r="P174" s="157" cm="1">
        <f t="array" ref="P174">TRUNC($I174*(1+_xlfn.SWITCH($N174,"BDI 1",$P$6,"BDI 2",$P$7,"BDI 3",$P$8)),2)</f>
        <v>26.7</v>
      </c>
      <c r="Q174" s="157">
        <v>0</v>
      </c>
      <c r="R174" s="157">
        <f t="shared" si="160"/>
        <v>0</v>
      </c>
      <c r="S174" s="156">
        <f t="shared" si="161"/>
        <v>0</v>
      </c>
      <c r="T174" s="156">
        <f t="shared" si="162"/>
        <v>0</v>
      </c>
      <c r="U174" s="156">
        <f t="shared" si="163"/>
        <v>0</v>
      </c>
      <c r="V174" s="156">
        <f t="shared" si="164"/>
        <v>0</v>
      </c>
      <c r="W174" s="156">
        <f t="shared" si="151"/>
        <v>0</v>
      </c>
      <c r="X174" s="158">
        <f t="shared" ref="X174" si="278">$S174/ORCAMENTO_VALOR_TOTAL_ND</f>
        <v>0</v>
      </c>
      <c r="Y174" s="158">
        <f t="shared" ref="Y174" si="279">$T174/ORCAMENTO_VALOR_TOTAL_DE</f>
        <v>0</v>
      </c>
      <c r="Z174" s="158" cm="1">
        <f t="array" ref="Z174">_xlfn.SWITCH($N174,"BDI 1",$O$6,"BDI 2",$O$7,"BDI 3",$O$8)</f>
        <v>0.20699999999999999</v>
      </c>
      <c r="AA174" s="158" cm="1">
        <f t="array" ref="AA174">_xlfn.SWITCH($N174,"BDI 1",$P$6,"BDI 2",$P$7,"BDI 3",$P$8)</f>
        <v>0.26739999999999997</v>
      </c>
      <c r="AB174" s="158">
        <f t="shared" ca="1" si="167"/>
        <v>0</v>
      </c>
      <c r="AC174" s="158">
        <f t="shared" ca="1" si="168"/>
        <v>0</v>
      </c>
      <c r="AD174" s="164"/>
      <c r="AE174" s="148">
        <f t="shared" si="154"/>
        <v>0</v>
      </c>
      <c r="AF174" s="149"/>
      <c r="AG174" s="150"/>
      <c r="AH174" s="159" t="e">
        <f t="shared" si="155"/>
        <v>#DIV/0!</v>
      </c>
      <c r="AI174" s="2425"/>
      <c r="AJ174" s="105"/>
      <c r="AK174" s="105"/>
      <c r="AM174" s="105"/>
      <c r="AN174" s="105"/>
      <c r="AO174" s="105"/>
      <c r="AP174" s="105"/>
      <c r="AQ174" s="105"/>
      <c r="AR174" s="105"/>
    </row>
    <row r="175" spans="1:44" s="49" customFormat="1" ht="49.9" hidden="1" customHeight="1">
      <c r="A175" s="152">
        <f t="shared" ca="1" si="156"/>
        <v>0</v>
      </c>
      <c r="B175" s="153">
        <v>93380</v>
      </c>
      <c r="C175" s="154" t="str">
        <f t="shared" si="157"/>
        <v>93380</v>
      </c>
      <c r="D175" s="154" t="s">
        <v>1416</v>
      </c>
      <c r="E175" s="155" t="s">
        <v>3671</v>
      </c>
      <c r="F175" s="154"/>
      <c r="G175" s="154" t="s">
        <v>464</v>
      </c>
      <c r="H175" s="152">
        <v>14.99</v>
      </c>
      <c r="I175" s="152">
        <v>14.28</v>
      </c>
      <c r="J175" s="156"/>
      <c r="K175" s="156">
        <f>Dre_Terraplenagem!AI147</f>
        <v>0</v>
      </c>
      <c r="L175" s="156">
        <f t="shared" si="158"/>
        <v>0</v>
      </c>
      <c r="M175" s="156">
        <f t="shared" si="159"/>
        <v>0</v>
      </c>
      <c r="N175" s="156" t="s">
        <v>83</v>
      </c>
      <c r="O175" s="157" cm="1">
        <f t="array" ref="O175">TRUNC($H175*(1+_xlfn.SWITCH($N175,"BDI 1",$O$6,"BDI 2",$O$7,"BDI 3",$O$8)),2)</f>
        <v>18.09</v>
      </c>
      <c r="P175" s="157" cm="1">
        <f t="array" ref="P175">TRUNC($I175*(1+_xlfn.SWITCH($N175,"BDI 1",$P$6,"BDI 2",$P$7,"BDI 3",$P$8)),2)</f>
        <v>18.09</v>
      </c>
      <c r="Q175" s="157">
        <v>0</v>
      </c>
      <c r="R175" s="157">
        <f t="shared" si="160"/>
        <v>0</v>
      </c>
      <c r="S175" s="156">
        <f t="shared" si="161"/>
        <v>0</v>
      </c>
      <c r="T175" s="156">
        <f t="shared" si="162"/>
        <v>0</v>
      </c>
      <c r="U175" s="156">
        <f t="shared" si="163"/>
        <v>0</v>
      </c>
      <c r="V175" s="156">
        <f t="shared" si="164"/>
        <v>0</v>
      </c>
      <c r="W175" s="156">
        <f t="shared" si="151"/>
        <v>0</v>
      </c>
      <c r="X175" s="158">
        <f t="shared" ref="X175" si="280">$S175/ORCAMENTO_VALOR_TOTAL_ND</f>
        <v>0</v>
      </c>
      <c r="Y175" s="158">
        <f t="shared" ref="Y175" si="281">$T175/ORCAMENTO_VALOR_TOTAL_DE</f>
        <v>0</v>
      </c>
      <c r="Z175" s="158" cm="1">
        <f t="array" ref="Z175">_xlfn.SWITCH($N175,"BDI 1",$O$6,"BDI 2",$O$7,"BDI 3",$O$8)</f>
        <v>0.20699999999999999</v>
      </c>
      <c r="AA175" s="158" cm="1">
        <f t="array" ref="AA175">_xlfn.SWITCH($N175,"BDI 1",$P$6,"BDI 2",$P$7,"BDI 3",$P$8)</f>
        <v>0.26739999999999997</v>
      </c>
      <c r="AB175" s="158">
        <f t="shared" ca="1" si="167"/>
        <v>0</v>
      </c>
      <c r="AC175" s="158">
        <f t="shared" ca="1" si="168"/>
        <v>0</v>
      </c>
      <c r="AD175" s="164"/>
      <c r="AE175" s="148">
        <f t="shared" si="154"/>
        <v>0</v>
      </c>
      <c r="AF175" s="149"/>
      <c r="AG175" s="150"/>
      <c r="AH175" s="159" t="e">
        <f t="shared" si="155"/>
        <v>#DIV/0!</v>
      </c>
      <c r="AI175" s="2422">
        <v>0</v>
      </c>
      <c r="AJ175" s="105"/>
      <c r="AK175" s="105"/>
      <c r="AM175" s="105"/>
      <c r="AN175" s="105"/>
      <c r="AO175" s="105"/>
      <c r="AP175" s="105"/>
      <c r="AQ175" s="105"/>
      <c r="AR175" s="105"/>
    </row>
    <row r="176" spans="1:44" s="49" customFormat="1" ht="49.9" hidden="1" customHeight="1">
      <c r="A176" s="152">
        <f t="shared" ca="1" si="156"/>
        <v>0</v>
      </c>
      <c r="B176" s="153">
        <v>93381</v>
      </c>
      <c r="C176" s="154" t="str">
        <f t="shared" si="157"/>
        <v>93381</v>
      </c>
      <c r="D176" s="154" t="s">
        <v>1416</v>
      </c>
      <c r="E176" s="155" t="s">
        <v>3672</v>
      </c>
      <c r="F176" s="154"/>
      <c r="G176" s="154" t="s">
        <v>464</v>
      </c>
      <c r="H176" s="152">
        <v>12.13</v>
      </c>
      <c r="I176" s="152">
        <v>11.53</v>
      </c>
      <c r="J176" s="156"/>
      <c r="K176" s="156">
        <f>Dre_Terraplenagem!AI148</f>
        <v>0</v>
      </c>
      <c r="L176" s="156">
        <f t="shared" si="158"/>
        <v>0</v>
      </c>
      <c r="M176" s="156">
        <f t="shared" si="159"/>
        <v>0</v>
      </c>
      <c r="N176" s="156" t="s">
        <v>83</v>
      </c>
      <c r="O176" s="157" cm="1">
        <f t="array" ref="O176">TRUNC($H176*(1+_xlfn.SWITCH($N176,"BDI 1",$O$6,"BDI 2",$O$7,"BDI 3",$O$8)),2)</f>
        <v>14.64</v>
      </c>
      <c r="P176" s="157" cm="1">
        <f t="array" ref="P176">TRUNC($I176*(1+_xlfn.SWITCH($N176,"BDI 1",$P$6,"BDI 2",$P$7,"BDI 3",$P$8)),2)</f>
        <v>14.61</v>
      </c>
      <c r="Q176" s="157">
        <v>0</v>
      </c>
      <c r="R176" s="157">
        <f t="shared" si="160"/>
        <v>0</v>
      </c>
      <c r="S176" s="156">
        <f t="shared" si="161"/>
        <v>0</v>
      </c>
      <c r="T176" s="156">
        <f t="shared" si="162"/>
        <v>0</v>
      </c>
      <c r="U176" s="156">
        <f t="shared" si="163"/>
        <v>0</v>
      </c>
      <c r="V176" s="156">
        <f t="shared" si="164"/>
        <v>0</v>
      </c>
      <c r="W176" s="156">
        <f t="shared" si="151"/>
        <v>0</v>
      </c>
      <c r="X176" s="158">
        <f t="shared" ref="X176" si="282">$S176/ORCAMENTO_VALOR_TOTAL_ND</f>
        <v>0</v>
      </c>
      <c r="Y176" s="158">
        <f t="shared" ref="Y176" si="283">$T176/ORCAMENTO_VALOR_TOTAL_DE</f>
        <v>0</v>
      </c>
      <c r="Z176" s="158" cm="1">
        <f t="array" ref="Z176">_xlfn.SWITCH($N176,"BDI 1",$O$6,"BDI 2",$O$7,"BDI 3",$O$8)</f>
        <v>0.20699999999999999</v>
      </c>
      <c r="AA176" s="158" cm="1">
        <f t="array" ref="AA176">_xlfn.SWITCH($N176,"BDI 1",$P$6,"BDI 2",$P$7,"BDI 3",$P$8)</f>
        <v>0.26739999999999997</v>
      </c>
      <c r="AB176" s="158">
        <f t="shared" ca="1" si="167"/>
        <v>0</v>
      </c>
      <c r="AC176" s="158">
        <f t="shared" ca="1" si="168"/>
        <v>0</v>
      </c>
      <c r="AD176" s="164"/>
      <c r="AE176" s="148">
        <f t="shared" si="154"/>
        <v>0</v>
      </c>
      <c r="AF176" s="149"/>
      <c r="AG176" s="150"/>
      <c r="AH176" s="159" t="e">
        <f t="shared" si="155"/>
        <v>#DIV/0!</v>
      </c>
      <c r="AI176" s="2422"/>
      <c r="AJ176" s="105"/>
      <c r="AK176" s="105"/>
      <c r="AM176" s="105"/>
      <c r="AN176" s="105"/>
      <c r="AO176" s="105"/>
      <c r="AP176" s="105"/>
      <c r="AQ176" s="105"/>
      <c r="AR176" s="105"/>
    </row>
    <row r="177" spans="1:44" s="49" customFormat="1" ht="49.9" hidden="1" customHeight="1">
      <c r="A177" s="152">
        <f t="shared" ca="1" si="156"/>
        <v>0</v>
      </c>
      <c r="B177" s="153">
        <v>93369</v>
      </c>
      <c r="C177" s="154" t="str">
        <f t="shared" si="157"/>
        <v>93369</v>
      </c>
      <c r="D177" s="154" t="s">
        <v>1416</v>
      </c>
      <c r="E177" s="155" t="s">
        <v>3673</v>
      </c>
      <c r="F177" s="154"/>
      <c r="G177" s="154" t="s">
        <v>464</v>
      </c>
      <c r="H177" s="152">
        <v>15.69</v>
      </c>
      <c r="I177" s="152">
        <v>15.16</v>
      </c>
      <c r="J177" s="156"/>
      <c r="K177" s="156">
        <f>Dre_Terraplenagem!AI149</f>
        <v>0</v>
      </c>
      <c r="L177" s="156">
        <f t="shared" si="158"/>
        <v>0</v>
      </c>
      <c r="M177" s="156">
        <f t="shared" si="159"/>
        <v>0</v>
      </c>
      <c r="N177" s="156" t="s">
        <v>83</v>
      </c>
      <c r="O177" s="157" cm="1">
        <f t="array" ref="O177">TRUNC($H177*(1+_xlfn.SWITCH($N177,"BDI 1",$O$6,"BDI 2",$O$7,"BDI 3",$O$8)),2)</f>
        <v>18.93</v>
      </c>
      <c r="P177" s="157" cm="1">
        <f t="array" ref="P177">TRUNC($I177*(1+_xlfn.SWITCH($N177,"BDI 1",$P$6,"BDI 2",$P$7,"BDI 3",$P$8)),2)</f>
        <v>19.21</v>
      </c>
      <c r="Q177" s="157">
        <v>0</v>
      </c>
      <c r="R177" s="157">
        <f t="shared" si="160"/>
        <v>0</v>
      </c>
      <c r="S177" s="156">
        <f t="shared" si="161"/>
        <v>0</v>
      </c>
      <c r="T177" s="156">
        <f t="shared" si="162"/>
        <v>0</v>
      </c>
      <c r="U177" s="156">
        <f t="shared" si="163"/>
        <v>0</v>
      </c>
      <c r="V177" s="156">
        <f t="shared" si="164"/>
        <v>0</v>
      </c>
      <c r="W177" s="156">
        <f t="shared" si="151"/>
        <v>0</v>
      </c>
      <c r="X177" s="158">
        <f t="shared" ref="X177" si="284">$S177/ORCAMENTO_VALOR_TOTAL_ND</f>
        <v>0</v>
      </c>
      <c r="Y177" s="158">
        <f t="shared" ref="Y177" si="285">$T177/ORCAMENTO_VALOR_TOTAL_DE</f>
        <v>0</v>
      </c>
      <c r="Z177" s="158" cm="1">
        <f t="array" ref="Z177">_xlfn.SWITCH($N177,"BDI 1",$O$6,"BDI 2",$O$7,"BDI 3",$O$8)</f>
        <v>0.20699999999999999</v>
      </c>
      <c r="AA177" s="158" cm="1">
        <f t="array" ref="AA177">_xlfn.SWITCH($N177,"BDI 1",$P$6,"BDI 2",$P$7,"BDI 3",$P$8)</f>
        <v>0.26739999999999997</v>
      </c>
      <c r="AB177" s="158">
        <f t="shared" ca="1" si="167"/>
        <v>0</v>
      </c>
      <c r="AC177" s="158">
        <f t="shared" ca="1" si="168"/>
        <v>0</v>
      </c>
      <c r="AD177" s="164"/>
      <c r="AE177" s="148">
        <f t="shared" si="154"/>
        <v>0</v>
      </c>
      <c r="AF177" s="149"/>
      <c r="AG177" s="150"/>
      <c r="AH177" s="159" t="e">
        <f t="shared" si="155"/>
        <v>#DIV/0!</v>
      </c>
      <c r="AI177" s="2422"/>
      <c r="AJ177" s="105"/>
      <c r="AK177" s="105"/>
      <c r="AM177" s="105"/>
      <c r="AN177" s="105"/>
      <c r="AO177" s="105"/>
      <c r="AP177" s="105"/>
      <c r="AQ177" s="105"/>
      <c r="AR177" s="105"/>
    </row>
    <row r="178" spans="1:44" s="49" customFormat="1" ht="49.9" hidden="1" customHeight="1">
      <c r="A178" s="152">
        <f t="shared" ca="1" si="156"/>
        <v>0</v>
      </c>
      <c r="B178" s="153">
        <v>93372</v>
      </c>
      <c r="C178" s="154" t="str">
        <f t="shared" si="157"/>
        <v>93372</v>
      </c>
      <c r="D178" s="154" t="s">
        <v>1416</v>
      </c>
      <c r="E178" s="155" t="s">
        <v>3674</v>
      </c>
      <c r="F178" s="154"/>
      <c r="G178" s="154" t="s">
        <v>464</v>
      </c>
      <c r="H178" s="152">
        <v>15.09</v>
      </c>
      <c r="I178" s="152">
        <v>14.56</v>
      </c>
      <c r="J178" s="156"/>
      <c r="K178" s="156">
        <f>Dre_Terraplenagem!AI152</f>
        <v>0</v>
      </c>
      <c r="L178" s="156">
        <f t="shared" si="158"/>
        <v>0</v>
      </c>
      <c r="M178" s="156">
        <f t="shared" si="159"/>
        <v>0</v>
      </c>
      <c r="N178" s="156" t="s">
        <v>83</v>
      </c>
      <c r="O178" s="157" cm="1">
        <f t="array" ref="O178">TRUNC($H178*(1+_xlfn.SWITCH($N178,"BDI 1",$O$6,"BDI 2",$O$7,"BDI 3",$O$8)),2)</f>
        <v>18.21</v>
      </c>
      <c r="P178" s="157" cm="1">
        <f t="array" ref="P178">TRUNC($I178*(1+_xlfn.SWITCH($N178,"BDI 1",$P$6,"BDI 2",$P$7,"BDI 3",$P$8)),2)</f>
        <v>18.45</v>
      </c>
      <c r="Q178" s="157">
        <v>0</v>
      </c>
      <c r="R178" s="157">
        <f t="shared" si="160"/>
        <v>0</v>
      </c>
      <c r="S178" s="156">
        <f t="shared" si="161"/>
        <v>0</v>
      </c>
      <c r="T178" s="156">
        <f t="shared" si="162"/>
        <v>0</v>
      </c>
      <c r="U178" s="156">
        <f t="shared" si="163"/>
        <v>0</v>
      </c>
      <c r="V178" s="156">
        <f t="shared" si="164"/>
        <v>0</v>
      </c>
      <c r="W178" s="156">
        <f t="shared" si="151"/>
        <v>0</v>
      </c>
      <c r="X178" s="158">
        <f t="shared" ref="X178" si="286">$S178/ORCAMENTO_VALOR_TOTAL_ND</f>
        <v>0</v>
      </c>
      <c r="Y178" s="158">
        <f t="shared" ref="Y178" si="287">$T178/ORCAMENTO_VALOR_TOTAL_DE</f>
        <v>0</v>
      </c>
      <c r="Z178" s="158" cm="1">
        <f t="array" ref="Z178">_xlfn.SWITCH($N178,"BDI 1",$O$6,"BDI 2",$O$7,"BDI 3",$O$8)</f>
        <v>0.20699999999999999</v>
      </c>
      <c r="AA178" s="158" cm="1">
        <f t="array" ref="AA178">_xlfn.SWITCH($N178,"BDI 1",$P$6,"BDI 2",$P$7,"BDI 3",$P$8)</f>
        <v>0.26739999999999997</v>
      </c>
      <c r="AB178" s="158">
        <f t="shared" ca="1" si="167"/>
        <v>0</v>
      </c>
      <c r="AC178" s="158">
        <f t="shared" ca="1" si="168"/>
        <v>0</v>
      </c>
      <c r="AD178" s="164"/>
      <c r="AE178" s="148">
        <f t="shared" si="154"/>
        <v>0</v>
      </c>
      <c r="AF178" s="149"/>
      <c r="AG178" s="150"/>
      <c r="AH178" s="159" t="e">
        <f t="shared" si="155"/>
        <v>#DIV/0!</v>
      </c>
      <c r="AI178" s="2426">
        <v>0</v>
      </c>
      <c r="AJ178" s="105"/>
      <c r="AK178" s="105"/>
      <c r="AM178" s="105"/>
      <c r="AN178" s="105"/>
      <c r="AO178" s="105"/>
      <c r="AP178" s="105"/>
      <c r="AQ178" s="105"/>
      <c r="AR178" s="105"/>
    </row>
    <row r="179" spans="1:44" s="49" customFormat="1" ht="49.9" hidden="1" customHeight="1">
      <c r="A179" s="152">
        <f t="shared" ca="1" si="156"/>
        <v>0</v>
      </c>
      <c r="B179" s="153">
        <v>93373</v>
      </c>
      <c r="C179" s="154" t="str">
        <f t="shared" si="157"/>
        <v>93373</v>
      </c>
      <c r="D179" s="154" t="s">
        <v>1416</v>
      </c>
      <c r="E179" s="155" t="s">
        <v>3675</v>
      </c>
      <c r="F179" s="154"/>
      <c r="G179" s="154" t="s">
        <v>464</v>
      </c>
      <c r="H179" s="152">
        <v>12.97</v>
      </c>
      <c r="I179" s="152">
        <v>12.47</v>
      </c>
      <c r="J179" s="156"/>
      <c r="K179" s="156">
        <f>Dre_Terraplenagem!AI153</f>
        <v>0</v>
      </c>
      <c r="L179" s="156">
        <f t="shared" si="158"/>
        <v>0</v>
      </c>
      <c r="M179" s="156">
        <f t="shared" si="159"/>
        <v>0</v>
      </c>
      <c r="N179" s="156" t="s">
        <v>83</v>
      </c>
      <c r="O179" s="157" cm="1">
        <f t="array" ref="O179">TRUNC($H179*(1+_xlfn.SWITCH($N179,"BDI 1",$O$6,"BDI 2",$O$7,"BDI 3",$O$8)),2)</f>
        <v>15.65</v>
      </c>
      <c r="P179" s="157" cm="1">
        <f t="array" ref="P179">TRUNC($I179*(1+_xlfn.SWITCH($N179,"BDI 1",$P$6,"BDI 2",$P$7,"BDI 3",$P$8)),2)</f>
        <v>15.8</v>
      </c>
      <c r="Q179" s="157">
        <v>0</v>
      </c>
      <c r="R179" s="157">
        <f t="shared" si="160"/>
        <v>0</v>
      </c>
      <c r="S179" s="156">
        <f t="shared" si="161"/>
        <v>0</v>
      </c>
      <c r="T179" s="156">
        <f t="shared" si="162"/>
        <v>0</v>
      </c>
      <c r="U179" s="156">
        <f t="shared" si="163"/>
        <v>0</v>
      </c>
      <c r="V179" s="156">
        <f t="shared" si="164"/>
        <v>0</v>
      </c>
      <c r="W179" s="156">
        <f t="shared" si="151"/>
        <v>0</v>
      </c>
      <c r="X179" s="158">
        <f t="shared" ref="X179" si="288">$S179/ORCAMENTO_VALOR_TOTAL_ND</f>
        <v>0</v>
      </c>
      <c r="Y179" s="158">
        <f t="shared" ref="Y179" si="289">$T179/ORCAMENTO_VALOR_TOTAL_DE</f>
        <v>0</v>
      </c>
      <c r="Z179" s="158" cm="1">
        <f t="array" ref="Z179">_xlfn.SWITCH($N179,"BDI 1",$O$6,"BDI 2",$O$7,"BDI 3",$O$8)</f>
        <v>0.20699999999999999</v>
      </c>
      <c r="AA179" s="158" cm="1">
        <f t="array" ref="AA179">_xlfn.SWITCH($N179,"BDI 1",$P$6,"BDI 2",$P$7,"BDI 3",$P$8)</f>
        <v>0.26739999999999997</v>
      </c>
      <c r="AB179" s="158">
        <f t="shared" ca="1" si="167"/>
        <v>0</v>
      </c>
      <c r="AC179" s="158">
        <f t="shared" ca="1" si="168"/>
        <v>0</v>
      </c>
      <c r="AD179" s="164"/>
      <c r="AE179" s="148">
        <f t="shared" si="154"/>
        <v>0</v>
      </c>
      <c r="AF179" s="149"/>
      <c r="AG179" s="150"/>
      <c r="AH179" s="159" t="e">
        <f t="shared" si="155"/>
        <v>#DIV/0!</v>
      </c>
      <c r="AI179" s="2426"/>
      <c r="AJ179" s="105"/>
      <c r="AK179" s="105"/>
      <c r="AM179" s="105"/>
      <c r="AN179" s="105"/>
      <c r="AO179" s="105"/>
      <c r="AP179" s="105"/>
      <c r="AQ179" s="105"/>
      <c r="AR179" s="105"/>
    </row>
    <row r="180" spans="1:44" s="49" customFormat="1" ht="40.15" hidden="1" customHeight="1">
      <c r="A180" s="152">
        <f t="shared" ca="1" si="156"/>
        <v>0</v>
      </c>
      <c r="B180" s="153">
        <v>94342</v>
      </c>
      <c r="C180" s="154" t="str">
        <f t="shared" si="157"/>
        <v>94342</v>
      </c>
      <c r="D180" s="154" t="s">
        <v>1416</v>
      </c>
      <c r="E180" s="155" t="s">
        <v>3676</v>
      </c>
      <c r="F180" s="154"/>
      <c r="G180" s="154" t="s">
        <v>464</v>
      </c>
      <c r="H180" s="152">
        <v>94.25</v>
      </c>
      <c r="I180" s="152">
        <v>95.32</v>
      </c>
      <c r="J180" s="156"/>
      <c r="K180" s="156">
        <f>Dre_Terraplenagem!AI133</f>
        <v>0</v>
      </c>
      <c r="L180" s="156">
        <f t="shared" si="158"/>
        <v>0</v>
      </c>
      <c r="M180" s="156">
        <f t="shared" si="159"/>
        <v>0</v>
      </c>
      <c r="N180" s="156" t="s">
        <v>83</v>
      </c>
      <c r="O180" s="157" cm="1">
        <f t="array" ref="O180">TRUNC($H180*(1+_xlfn.SWITCH($N180,"BDI 1",$O$6,"BDI 2",$O$7,"BDI 3",$O$8)),2)</f>
        <v>113.75</v>
      </c>
      <c r="P180" s="157" cm="1">
        <f t="array" ref="P180">TRUNC($I180*(1+_xlfn.SWITCH($N180,"BDI 1",$P$6,"BDI 2",$P$7,"BDI 3",$P$8)),2)</f>
        <v>120.8</v>
      </c>
      <c r="Q180" s="157">
        <v>0</v>
      </c>
      <c r="R180" s="157">
        <f t="shared" si="160"/>
        <v>0</v>
      </c>
      <c r="S180" s="156">
        <f t="shared" si="161"/>
        <v>0</v>
      </c>
      <c r="T180" s="156">
        <f t="shared" si="162"/>
        <v>0</v>
      </c>
      <c r="U180" s="156">
        <f t="shared" si="163"/>
        <v>0</v>
      </c>
      <c r="V180" s="156">
        <f t="shared" si="164"/>
        <v>0</v>
      </c>
      <c r="W180" s="156">
        <f t="shared" si="151"/>
        <v>0</v>
      </c>
      <c r="X180" s="158">
        <f t="shared" ref="X180" si="290">$S180/ORCAMENTO_VALOR_TOTAL_ND</f>
        <v>0</v>
      </c>
      <c r="Y180" s="158">
        <f t="shared" ref="Y180" si="291">$T180/ORCAMENTO_VALOR_TOTAL_DE</f>
        <v>0</v>
      </c>
      <c r="Z180" s="158" cm="1">
        <f t="array" ref="Z180">_xlfn.SWITCH($N180,"BDI 1",$O$6,"BDI 2",$O$7,"BDI 3",$O$8)</f>
        <v>0.20699999999999999</v>
      </c>
      <c r="AA180" s="158" cm="1">
        <f t="array" ref="AA180">_xlfn.SWITCH($N180,"BDI 1",$P$6,"BDI 2",$P$7,"BDI 3",$P$8)</f>
        <v>0.26739999999999997</v>
      </c>
      <c r="AB180" s="158">
        <f t="shared" ca="1" si="167"/>
        <v>0</v>
      </c>
      <c r="AC180" s="158">
        <f t="shared" ca="1" si="168"/>
        <v>0</v>
      </c>
      <c r="AD180" s="164"/>
      <c r="AE180" s="148">
        <f t="shared" si="154"/>
        <v>0</v>
      </c>
      <c r="AF180" s="149"/>
      <c r="AG180" s="150"/>
      <c r="AH180" s="159" t="e">
        <f t="shared" si="155"/>
        <v>#DIV/0!</v>
      </c>
      <c r="AI180" s="160"/>
      <c r="AJ180" s="105"/>
      <c r="AK180" s="105"/>
      <c r="AM180" s="105"/>
      <c r="AN180" s="105"/>
      <c r="AO180" s="105"/>
      <c r="AP180" s="105"/>
      <c r="AQ180" s="105"/>
      <c r="AR180" s="105"/>
    </row>
    <row r="181" spans="1:44" s="49" customFormat="1" ht="49.9" hidden="1" customHeight="1">
      <c r="A181" s="152">
        <f t="shared" ca="1" si="156"/>
        <v>0</v>
      </c>
      <c r="B181" s="153">
        <v>101230</v>
      </c>
      <c r="C181" s="154" t="str">
        <f t="shared" si="157"/>
        <v>101230</v>
      </c>
      <c r="D181" s="154" t="s">
        <v>1416</v>
      </c>
      <c r="E181" s="155" t="s">
        <v>3677</v>
      </c>
      <c r="F181" s="154"/>
      <c r="G181" s="154" t="s">
        <v>464</v>
      </c>
      <c r="H181" s="152">
        <v>10.7</v>
      </c>
      <c r="I181" s="152">
        <v>10.73</v>
      </c>
      <c r="J181" s="156"/>
      <c r="K181" s="156">
        <f>IF(K183=0,Dre_Terraplenagem!AI204,0)</f>
        <v>0</v>
      </c>
      <c r="L181" s="156">
        <f t="shared" si="158"/>
        <v>0</v>
      </c>
      <c r="M181" s="156">
        <f t="shared" si="159"/>
        <v>0</v>
      </c>
      <c r="N181" s="156" t="s">
        <v>83</v>
      </c>
      <c r="O181" s="157" cm="1">
        <f t="array" ref="O181">TRUNC($H181*(1+_xlfn.SWITCH($N181,"BDI 1",$O$6,"BDI 2",$O$7,"BDI 3",$O$8)),2)</f>
        <v>12.91</v>
      </c>
      <c r="P181" s="157" cm="1">
        <f t="array" ref="P181">TRUNC($I181*(1+_xlfn.SWITCH($N181,"BDI 1",$P$6,"BDI 2",$P$7,"BDI 3",$P$8)),2)</f>
        <v>13.59</v>
      </c>
      <c r="Q181" s="157">
        <v>0</v>
      </c>
      <c r="R181" s="157">
        <f t="shared" si="160"/>
        <v>0</v>
      </c>
      <c r="S181" s="156">
        <f t="shared" si="161"/>
        <v>0</v>
      </c>
      <c r="T181" s="156">
        <f t="shared" si="162"/>
        <v>0</v>
      </c>
      <c r="U181" s="156">
        <f t="shared" si="163"/>
        <v>0</v>
      </c>
      <c r="V181" s="156">
        <f t="shared" si="164"/>
        <v>0</v>
      </c>
      <c r="W181" s="156">
        <f t="shared" si="151"/>
        <v>0</v>
      </c>
      <c r="X181" s="158">
        <f t="shared" ref="X181" si="292">$S181/ORCAMENTO_VALOR_TOTAL_ND</f>
        <v>0</v>
      </c>
      <c r="Y181" s="158">
        <f t="shared" ref="Y181" si="293">$T181/ORCAMENTO_VALOR_TOTAL_DE</f>
        <v>0</v>
      </c>
      <c r="Z181" s="158" cm="1">
        <f t="array" ref="Z181">_xlfn.SWITCH($N181,"BDI 1",$O$6,"BDI 2",$O$7,"BDI 3",$O$8)</f>
        <v>0.20699999999999999</v>
      </c>
      <c r="AA181" s="158" cm="1">
        <f t="array" ref="AA181">_xlfn.SWITCH($N181,"BDI 1",$P$6,"BDI 2",$P$7,"BDI 3",$P$8)</f>
        <v>0.26739999999999997</v>
      </c>
      <c r="AB181" s="158">
        <f t="shared" ca="1" si="167"/>
        <v>0</v>
      </c>
      <c r="AC181" s="158">
        <f t="shared" ca="1" si="168"/>
        <v>0</v>
      </c>
      <c r="AD181" s="164"/>
      <c r="AE181" s="148">
        <f t="shared" si="154"/>
        <v>0</v>
      </c>
      <c r="AF181" s="149"/>
      <c r="AG181" s="150"/>
      <c r="AH181" s="159" t="e">
        <f t="shared" si="155"/>
        <v>#DIV/0!</v>
      </c>
      <c r="AI181" s="160"/>
      <c r="AJ181" s="105"/>
      <c r="AK181" s="105"/>
      <c r="AM181" s="105"/>
      <c r="AN181" s="105"/>
      <c r="AO181" s="105"/>
      <c r="AP181" s="105"/>
      <c r="AQ181" s="105"/>
      <c r="AR181" s="105"/>
    </row>
    <row r="182" spans="1:44" s="49" customFormat="1" ht="40.15" hidden="1" customHeight="1">
      <c r="A182" s="152">
        <f t="shared" ca="1" si="156"/>
        <v>0</v>
      </c>
      <c r="B182" s="153">
        <v>368</v>
      </c>
      <c r="C182" s="154" t="str">
        <f t="shared" si="157"/>
        <v>368</v>
      </c>
      <c r="D182" s="154" t="s">
        <v>3579</v>
      </c>
      <c r="E182" s="155" t="s">
        <v>3678</v>
      </c>
      <c r="F182" s="154"/>
      <c r="G182" s="154" t="s">
        <v>464</v>
      </c>
      <c r="H182" s="152">
        <v>50.25</v>
      </c>
      <c r="I182" s="152">
        <v>50.25</v>
      </c>
      <c r="J182" s="156"/>
      <c r="K182" s="156">
        <f>ROUND(K180*1.25,2)</f>
        <v>0</v>
      </c>
      <c r="L182" s="156">
        <f t="shared" si="158"/>
        <v>0</v>
      </c>
      <c r="M182" s="156">
        <f t="shared" si="159"/>
        <v>0</v>
      </c>
      <c r="N182" s="156" t="s">
        <v>92</v>
      </c>
      <c r="O182" s="157" cm="1">
        <f t="array" ref="O182">TRUNC($H182*(1+_xlfn.SWITCH($N182,"BDI 1",$O$6,"BDI 2",$O$7,"BDI 3",$O$8)),2)</f>
        <v>57.92</v>
      </c>
      <c r="P182" s="157" cm="1">
        <f t="array" ref="P182">TRUNC($I182*(1+_xlfn.SWITCH($N182,"BDI 1",$P$6,"BDI 2",$P$7,"BDI 3",$P$8)),2)</f>
        <v>57.92</v>
      </c>
      <c r="Q182" s="157">
        <v>0</v>
      </c>
      <c r="R182" s="157">
        <f t="shared" si="160"/>
        <v>0</v>
      </c>
      <c r="S182" s="156">
        <f t="shared" si="161"/>
        <v>0</v>
      </c>
      <c r="T182" s="156">
        <f t="shared" si="162"/>
        <v>0</v>
      </c>
      <c r="U182" s="156">
        <f t="shared" si="163"/>
        <v>0</v>
      </c>
      <c r="V182" s="156">
        <f t="shared" si="164"/>
        <v>0</v>
      </c>
      <c r="W182" s="156">
        <f>TRUNC(V182-U182,2)</f>
        <v>0</v>
      </c>
      <c r="X182" s="158">
        <f t="shared" ref="X182" si="294">$S182/ORCAMENTO_VALOR_TOTAL_ND</f>
        <v>0</v>
      </c>
      <c r="Y182" s="158">
        <f t="shared" ref="Y182" si="295">$T182/ORCAMENTO_VALOR_TOTAL_DE</f>
        <v>0</v>
      </c>
      <c r="Z182" s="158" cm="1">
        <f t="array" ref="Z182">_xlfn.SWITCH($N182,"BDI 1",$O$6,"BDI 2",$O$7,"BDI 3",$O$8)</f>
        <v>0.1527</v>
      </c>
      <c r="AA182" s="158" cm="1">
        <f t="array" ref="AA182">_xlfn.SWITCH($N182,"BDI 1",$P$6,"BDI 2",$P$7,"BDI 3",$P$8)</f>
        <v>0.1527</v>
      </c>
      <c r="AB182" s="158">
        <f t="shared" ca="1" si="167"/>
        <v>0</v>
      </c>
      <c r="AC182" s="158">
        <f t="shared" ca="1" si="168"/>
        <v>0</v>
      </c>
      <c r="AD182" s="164"/>
      <c r="AE182" s="148">
        <f t="shared" ref="AE182:AE185" si="296">IF(S182&gt;0,IFERROR(TRUNC(A182,0),0),0)</f>
        <v>0</v>
      </c>
      <c r="AF182" s="149"/>
      <c r="AG182" s="150"/>
      <c r="AH182" s="159" t="e">
        <f t="shared" ref="AH182:AH185" si="297">S182/S$118</f>
        <v>#DIV/0!</v>
      </c>
      <c r="AI182" s="160"/>
      <c r="AJ182" s="105"/>
      <c r="AK182" s="105"/>
      <c r="AM182" s="105"/>
      <c r="AN182" s="105"/>
      <c r="AO182" s="105"/>
      <c r="AP182" s="105"/>
      <c r="AQ182" s="105"/>
      <c r="AR182" s="105"/>
    </row>
    <row r="183" spans="1:44" s="49" customFormat="1" ht="40.15" hidden="1" customHeight="1">
      <c r="A183" s="152">
        <f t="shared" ref="A183:A203" ca="1" si="298">IF(K183&gt;0,A182+0.01,A182)</f>
        <v>0</v>
      </c>
      <c r="B183" s="153">
        <v>6079</v>
      </c>
      <c r="C183" s="154" t="str">
        <f>TEXT(B183,"0")</f>
        <v>6079</v>
      </c>
      <c r="D183" s="154" t="s">
        <v>3579</v>
      </c>
      <c r="E183" s="155" t="s">
        <v>3679</v>
      </c>
      <c r="F183" s="154"/>
      <c r="G183" s="154" t="s">
        <v>464</v>
      </c>
      <c r="H183" s="152">
        <v>37.35</v>
      </c>
      <c r="I183" s="152">
        <v>37.35</v>
      </c>
      <c r="J183" s="156"/>
      <c r="K183" s="156">
        <f>IF(AI183="COMERCIAL",Dre_Terraplenagem!AI204,0)</f>
        <v>0</v>
      </c>
      <c r="L183" s="156">
        <f>IF($K183&gt;$J183,$K183-$J183,0)</f>
        <v>0</v>
      </c>
      <c r="M183" s="156">
        <f>IF($K183&lt;$J183,$J183-$K183,0)</f>
        <v>0</v>
      </c>
      <c r="N183" s="156" t="s">
        <v>92</v>
      </c>
      <c r="O183" s="157" cm="1">
        <f t="array" ref="O183">TRUNC($H183*(1+_xlfn.SWITCH($N183,"BDI 1",$O$6,"BDI 2",$O$7,"BDI 3",$O$8)),2)</f>
        <v>43.05</v>
      </c>
      <c r="P183" s="157" cm="1">
        <f t="array" ref="P183">TRUNC($I183*(1+_xlfn.SWITCH($N183,"BDI 1",$P$6,"BDI 2",$P$7,"BDI 3",$P$8)),2)</f>
        <v>43.05</v>
      </c>
      <c r="Q183" s="157">
        <v>0</v>
      </c>
      <c r="R183" s="157">
        <f t="shared" ref="R183:R185" si="299">$Q183-($Q183*LICITACAO_DESCONTO)</f>
        <v>0</v>
      </c>
      <c r="S183" s="156">
        <f>TRUNC($K183*$O183,2)</f>
        <v>0</v>
      </c>
      <c r="T183" s="156">
        <f>TRUNC($K183*$P183,2)</f>
        <v>0</v>
      </c>
      <c r="U183" s="156">
        <f>TRUNC($J183*$R183,2)</f>
        <v>0</v>
      </c>
      <c r="V183" s="156">
        <f>TRUNC($K183*$Q183,2)</f>
        <v>0</v>
      </c>
      <c r="W183" s="156">
        <f>TRUNC(V183-U183,2)</f>
        <v>0</v>
      </c>
      <c r="X183" s="158">
        <f t="shared" ref="X183" si="300">$S183/ORCAMENTO_VALOR_TOTAL_ND</f>
        <v>0</v>
      </c>
      <c r="Y183" s="158">
        <f t="shared" ref="Y183" si="301">$T183/ORCAMENTO_VALOR_TOTAL_DE</f>
        <v>0</v>
      </c>
      <c r="Z183" s="158" cm="1">
        <f t="array" ref="Z183">_xlfn.SWITCH($N183,"BDI 1",$O$6,"BDI 2",$O$7,"BDI 3",$O$8)</f>
        <v>0.1527</v>
      </c>
      <c r="AA183" s="158" cm="1">
        <f t="array" ref="AA183">_xlfn.SWITCH($N183,"BDI 1",$P$6,"BDI 2",$P$7,"BDI 3",$P$8)</f>
        <v>0.1527</v>
      </c>
      <c r="AB183" s="158">
        <f t="shared" ref="AB183:AB185" ca="1" si="302">IFERROR($S183/_xlfn.XLOOKUP($AE183,$B$16:$B$38,$S$16:$S$38),0)</f>
        <v>0</v>
      </c>
      <c r="AC183" s="158">
        <f t="shared" ref="AC183:AC185" ca="1" si="303">IFERROR($T183/_xlfn.XLOOKUP($AE183,$B$16:$B$38,$T$16:$T$38),0)</f>
        <v>0</v>
      </c>
      <c r="AD183" s="164"/>
      <c r="AE183" s="148">
        <f t="shared" si="296"/>
        <v>0</v>
      </c>
      <c r="AF183" s="149"/>
      <c r="AG183" s="150"/>
      <c r="AH183" s="159" t="e">
        <f t="shared" si="297"/>
        <v>#DIV/0!</v>
      </c>
      <c r="AI183" s="165" t="s">
        <v>134</v>
      </c>
      <c r="AJ183" s="105"/>
      <c r="AK183" s="105"/>
      <c r="AM183" s="105"/>
      <c r="AN183" s="105"/>
      <c r="AO183" s="105"/>
      <c r="AP183" s="105"/>
      <c r="AQ183" s="105"/>
      <c r="AR183" s="105"/>
    </row>
    <row r="184" spans="1:44" s="49" customFormat="1" ht="40.15" hidden="1" customHeight="1">
      <c r="A184" s="152">
        <f t="shared" ca="1" si="298"/>
        <v>0</v>
      </c>
      <c r="B184" s="153">
        <v>103946</v>
      </c>
      <c r="C184" s="154" t="str">
        <f>TEXT(B184,"0")</f>
        <v>103946</v>
      </c>
      <c r="D184" s="154" t="s">
        <v>1416</v>
      </c>
      <c r="E184" s="155" t="s">
        <v>3680</v>
      </c>
      <c r="F184" s="154"/>
      <c r="G184" s="154" t="s">
        <v>1418</v>
      </c>
      <c r="H184" s="152">
        <v>13.06</v>
      </c>
      <c r="I184" s="152">
        <v>12.44</v>
      </c>
      <c r="J184" s="156"/>
      <c r="K184" s="156">
        <f>Dre_Terraplenagem!AI188</f>
        <v>0</v>
      </c>
      <c r="L184" s="156">
        <f>IF($K184&gt;$J184,$K184-$J184,0)</f>
        <v>0</v>
      </c>
      <c r="M184" s="156">
        <f>IF($K184&lt;$J184,$J184-$K184,0)</f>
        <v>0</v>
      </c>
      <c r="N184" s="156" t="s">
        <v>83</v>
      </c>
      <c r="O184" s="157" cm="1">
        <f t="array" ref="O184">TRUNC($H184*(1+_xlfn.SWITCH($N184,"BDI 1",$O$6,"BDI 2",$O$7,"BDI 3",$O$8)),2)</f>
        <v>15.76</v>
      </c>
      <c r="P184" s="157" cm="1">
        <f t="array" ref="P184">TRUNC($I184*(1+_xlfn.SWITCH($N184,"BDI 1",$P$6,"BDI 2",$P$7,"BDI 3",$P$8)),2)</f>
        <v>15.76</v>
      </c>
      <c r="Q184" s="157">
        <v>0</v>
      </c>
      <c r="R184" s="157">
        <f t="shared" si="299"/>
        <v>0</v>
      </c>
      <c r="S184" s="156">
        <f>TRUNC($K184*$O184,2)</f>
        <v>0</v>
      </c>
      <c r="T184" s="156">
        <f>TRUNC($K184*$P184,2)</f>
        <v>0</v>
      </c>
      <c r="U184" s="156">
        <f>TRUNC($J184*$R184,2)</f>
        <v>0</v>
      </c>
      <c r="V184" s="156">
        <f>TRUNC($K184*$Q184,2)</f>
        <v>0</v>
      </c>
      <c r="W184" s="156">
        <f>TRUNC(V184-U184,2)</f>
        <v>0</v>
      </c>
      <c r="X184" s="158">
        <f t="shared" ref="X184" si="304">$S184/ORCAMENTO_VALOR_TOTAL_ND</f>
        <v>0</v>
      </c>
      <c r="Y184" s="158">
        <f t="shared" ref="Y184" si="305">$T184/ORCAMENTO_VALOR_TOTAL_DE</f>
        <v>0</v>
      </c>
      <c r="Z184" s="158" cm="1">
        <f t="array" ref="Z184">_xlfn.SWITCH($N184,"BDI 1",$O$6,"BDI 2",$O$7,"BDI 3",$O$8)</f>
        <v>0.20699999999999999</v>
      </c>
      <c r="AA184" s="158" cm="1">
        <f t="array" ref="AA184">_xlfn.SWITCH($N184,"BDI 1",$P$6,"BDI 2",$P$7,"BDI 3",$P$8)</f>
        <v>0.26739999999999997</v>
      </c>
      <c r="AB184" s="158">
        <f t="shared" ca="1" si="302"/>
        <v>0</v>
      </c>
      <c r="AC184" s="158">
        <f t="shared" ca="1" si="303"/>
        <v>0</v>
      </c>
      <c r="AD184" s="164"/>
      <c r="AE184" s="148">
        <f t="shared" si="296"/>
        <v>0</v>
      </c>
      <c r="AF184" s="149"/>
      <c r="AG184" s="150"/>
      <c r="AH184" s="159" t="e">
        <f t="shared" si="297"/>
        <v>#DIV/0!</v>
      </c>
      <c r="AI184" s="165" t="s">
        <v>135</v>
      </c>
      <c r="AJ184" s="105"/>
      <c r="AK184" s="105"/>
      <c r="AM184" s="105"/>
      <c r="AN184" s="105"/>
      <c r="AO184" s="105"/>
      <c r="AP184" s="105"/>
      <c r="AQ184" s="105"/>
      <c r="AR184" s="105"/>
    </row>
    <row r="185" spans="1:44" s="49" customFormat="1" ht="49.9" hidden="1" customHeight="1">
      <c r="A185" s="152">
        <f t="shared" ca="1" si="298"/>
        <v>0</v>
      </c>
      <c r="B185" s="153">
        <v>100979</v>
      </c>
      <c r="C185" s="154" t="str">
        <f>TEXT(B185,"0")</f>
        <v>100979</v>
      </c>
      <c r="D185" s="154" t="s">
        <v>1416</v>
      </c>
      <c r="E185" s="155" t="s">
        <v>1420</v>
      </c>
      <c r="F185" s="154"/>
      <c r="G185" s="154" t="s">
        <v>464</v>
      </c>
      <c r="H185" s="152">
        <v>6.4</v>
      </c>
      <c r="I185" s="152">
        <v>6.4</v>
      </c>
      <c r="J185" s="156"/>
      <c r="K185" s="156">
        <f>Dre_Terraplenagem!AI200</f>
        <v>0</v>
      </c>
      <c r="L185" s="156">
        <f>IF($K185&gt;$J185,$K185-$J185,0)</f>
        <v>0</v>
      </c>
      <c r="M185" s="156">
        <f>IF($K185&lt;$J185,$J185-$K185,0)</f>
        <v>0</v>
      </c>
      <c r="N185" s="156" t="s">
        <v>83</v>
      </c>
      <c r="O185" s="157" cm="1">
        <f t="array" ref="O185">TRUNC($H185*(1+_xlfn.SWITCH($N185,"BDI 1",$O$6,"BDI 2",$O$7,"BDI 3",$O$8)),2)</f>
        <v>7.72</v>
      </c>
      <c r="P185" s="157" cm="1">
        <f t="array" ref="P185">TRUNC($I185*(1+_xlfn.SWITCH($N185,"BDI 1",$P$6,"BDI 2",$P$7,"BDI 3",$P$8)),2)</f>
        <v>8.11</v>
      </c>
      <c r="Q185" s="157">
        <v>0</v>
      </c>
      <c r="R185" s="157">
        <f t="shared" si="299"/>
        <v>0</v>
      </c>
      <c r="S185" s="156">
        <f>TRUNC($K185*$O185,2)</f>
        <v>0</v>
      </c>
      <c r="T185" s="156">
        <f>TRUNC($K185*$P185,2)</f>
        <v>0</v>
      </c>
      <c r="U185" s="156">
        <f>TRUNC($J185*$R185,2)</f>
        <v>0</v>
      </c>
      <c r="V185" s="156">
        <f>TRUNC($K185*$Q185,2)</f>
        <v>0</v>
      </c>
      <c r="W185" s="156">
        <f>TRUNC(V185-U185,2)</f>
        <v>0</v>
      </c>
      <c r="X185" s="158">
        <f t="shared" ref="X185" si="306">$S185/ORCAMENTO_VALOR_TOTAL_ND</f>
        <v>0</v>
      </c>
      <c r="Y185" s="158">
        <f t="shared" ref="Y185" si="307">$T185/ORCAMENTO_VALOR_TOTAL_DE</f>
        <v>0</v>
      </c>
      <c r="Z185" s="158" cm="1">
        <f t="array" ref="Z185">_xlfn.SWITCH($N185,"BDI 1",$O$6,"BDI 2",$O$7,"BDI 3",$O$8)</f>
        <v>0.20699999999999999</v>
      </c>
      <c r="AA185" s="158" cm="1">
        <f t="array" ref="AA185">_xlfn.SWITCH($N185,"BDI 1",$P$6,"BDI 2",$P$7,"BDI 3",$P$8)</f>
        <v>0.26739999999999997</v>
      </c>
      <c r="AB185" s="158">
        <f t="shared" ca="1" si="302"/>
        <v>0</v>
      </c>
      <c r="AC185" s="158">
        <f t="shared" ca="1" si="303"/>
        <v>0</v>
      </c>
      <c r="AD185" s="164"/>
      <c r="AE185" s="148">
        <f t="shared" si="296"/>
        <v>0</v>
      </c>
      <c r="AF185" s="149"/>
      <c r="AG185" s="150"/>
      <c r="AH185" s="159" t="e">
        <f t="shared" si="297"/>
        <v>#DIV/0!</v>
      </c>
      <c r="AI185" s="165" t="s">
        <v>101</v>
      </c>
      <c r="AJ185" s="105"/>
      <c r="AK185" s="105"/>
      <c r="AM185" s="105"/>
      <c r="AN185" s="105"/>
      <c r="AO185" s="105"/>
      <c r="AP185" s="105"/>
      <c r="AQ185" s="105"/>
      <c r="AR185" s="105"/>
    </row>
    <row r="186" spans="1:44" s="49" customFormat="1" ht="40.15" hidden="1" customHeight="1">
      <c r="A186" s="10">
        <f t="shared" ca="1" si="298"/>
        <v>0</v>
      </c>
      <c r="B186" s="153"/>
      <c r="C186" s="154"/>
      <c r="D186" s="154"/>
      <c r="E186" s="161" t="s">
        <v>119</v>
      </c>
      <c r="F186" s="154"/>
      <c r="G186" s="154"/>
      <c r="H186" s="152"/>
      <c r="I186" s="152"/>
      <c r="J186" s="154"/>
      <c r="K186" s="154"/>
      <c r="L186" s="154"/>
      <c r="M186" s="154"/>
      <c r="N186" s="154"/>
      <c r="O186" s="154"/>
      <c r="P186" s="154"/>
      <c r="Q186" s="154"/>
      <c r="R186" s="154"/>
      <c r="S186" s="162"/>
      <c r="T186" s="162"/>
      <c r="U186" s="162"/>
      <c r="V186" s="162"/>
      <c r="W186" s="162"/>
      <c r="X186" s="163"/>
      <c r="Y186" s="163"/>
      <c r="Z186" s="163"/>
      <c r="AA186" s="163"/>
      <c r="AB186" s="163"/>
      <c r="AC186" s="163"/>
      <c r="AD186" s="164"/>
      <c r="AE186" s="148">
        <f>IF(SUM(S187)&gt;0,IFERROR(TRUNC(A186,0),0),0)</f>
        <v>0</v>
      </c>
      <c r="AF186" s="149"/>
      <c r="AG186" s="150"/>
      <c r="AH186" s="159"/>
      <c r="AI186" s="160" t="s">
        <v>120</v>
      </c>
      <c r="AJ186" s="105"/>
      <c r="AK186" s="105"/>
      <c r="AM186" s="105"/>
      <c r="AN186" s="105"/>
      <c r="AO186" s="105"/>
      <c r="AP186" s="105"/>
      <c r="AQ186" s="105"/>
      <c r="AR186" s="105"/>
    </row>
    <row r="187" spans="1:44" s="49" customFormat="1" ht="40.15" hidden="1" customHeight="1">
      <c r="A187" s="152">
        <f t="shared" ca="1" si="298"/>
        <v>0</v>
      </c>
      <c r="B187" s="153">
        <v>95876</v>
      </c>
      <c r="C187" s="154" t="str">
        <f>TEXT(B187,"0")</f>
        <v>95876</v>
      </c>
      <c r="D187" s="154" t="s">
        <v>1416</v>
      </c>
      <c r="E187" s="155" t="s">
        <v>3537</v>
      </c>
      <c r="F187" s="154">
        <f>Dados_DMT!$B$15</f>
        <v>1</v>
      </c>
      <c r="G187" s="154" t="s">
        <v>3538</v>
      </c>
      <c r="H187" s="152">
        <v>2.09</v>
      </c>
      <c r="I187" s="152">
        <v>2.1</v>
      </c>
      <c r="J187" s="156"/>
      <c r="K187" s="156">
        <f>ROUND(Dre_Terraplenagem!AI201*F187,2)</f>
        <v>0</v>
      </c>
      <c r="L187" s="156">
        <f>IF($K187&gt;$J187,$K187-$J187,0)</f>
        <v>0</v>
      </c>
      <c r="M187" s="156">
        <f>IF($K187&lt;$J187,$J187-$K187,0)</f>
        <v>0</v>
      </c>
      <c r="N187" s="156" t="s">
        <v>83</v>
      </c>
      <c r="O187" s="157" cm="1">
        <f t="array" ref="O187">TRUNC($H187*(1+_xlfn.SWITCH($N187,"BDI 1",$O$6,"BDI 2",$O$7,"BDI 3",$O$8)),2)</f>
        <v>2.52</v>
      </c>
      <c r="P187" s="157" cm="1">
        <f t="array" ref="P187">TRUNC($I187*(1+_xlfn.SWITCH($N187,"BDI 1",$P$6,"BDI 2",$P$7,"BDI 3",$P$8)),2)</f>
        <v>2.66</v>
      </c>
      <c r="Q187" s="157">
        <v>0</v>
      </c>
      <c r="R187" s="157">
        <f>$Q187-($Q187*LICITACAO_DESCONTO)</f>
        <v>0</v>
      </c>
      <c r="S187" s="156">
        <f>TRUNC($K187*$O187,2)</f>
        <v>0</v>
      </c>
      <c r="T187" s="156">
        <f>TRUNC($K187*$P187,2)</f>
        <v>0</v>
      </c>
      <c r="U187" s="156">
        <f>TRUNC($J187*$R187,2)</f>
        <v>0</v>
      </c>
      <c r="V187" s="156">
        <f>TRUNC($K187*$Q187,2)</f>
        <v>0</v>
      </c>
      <c r="W187" s="156">
        <f>TRUNC(V187-U187,2)</f>
        <v>0</v>
      </c>
      <c r="X187" s="158">
        <f>$S187/ORCAMENTO_VALOR_TOTAL_ND</f>
        <v>0</v>
      </c>
      <c r="Y187" s="158">
        <f>$T187/ORCAMENTO_VALOR_TOTAL_DE</f>
        <v>0</v>
      </c>
      <c r="Z187" s="158" cm="1">
        <f t="array" ref="Z187">_xlfn.SWITCH($N187,"BDI 1",$O$6,"BDI 2",$O$7,"BDI 3",$O$8)</f>
        <v>0.20699999999999999</v>
      </c>
      <c r="AA187" s="158" cm="1">
        <f t="array" ref="AA187">_xlfn.SWITCH($N187,"BDI 1",$P$6,"BDI 2",$P$7,"BDI 3",$P$8)</f>
        <v>0.26739999999999997</v>
      </c>
      <c r="AB187" s="158">
        <f ca="1">IFERROR($S187/_xlfn.XLOOKUP($AE187,$B$16:$B$38,$S$16:$S$38),0)</f>
        <v>0</v>
      </c>
      <c r="AC187" s="158">
        <f ca="1">IFERROR($T187/_xlfn.XLOOKUP($AE187,$B$16:$B$38,$T$16:$T$38),0)</f>
        <v>0</v>
      </c>
      <c r="AD187" s="164"/>
      <c r="AE187" s="148">
        <f t="shared" ref="AE187" si="308">IF(S187&gt;0,IFERROR(TRUNC(A187,0),0),0)</f>
        <v>0</v>
      </c>
      <c r="AF187" s="149"/>
      <c r="AG187" s="150"/>
      <c r="AH187" s="159" t="e">
        <f>S187/S$118</f>
        <v>#DIV/0!</v>
      </c>
      <c r="AI187" s="160"/>
      <c r="AJ187" s="105"/>
      <c r="AK187" s="105"/>
      <c r="AM187" s="105"/>
      <c r="AN187" s="105"/>
      <c r="AO187" s="105"/>
      <c r="AP187" s="105"/>
      <c r="AQ187" s="105"/>
      <c r="AR187" s="105"/>
    </row>
    <row r="188" spans="1:44" s="49" customFormat="1" ht="40.15" hidden="1" customHeight="1">
      <c r="A188" s="10">
        <f t="shared" ca="1" si="298"/>
        <v>0</v>
      </c>
      <c r="B188" s="153"/>
      <c r="C188" s="154"/>
      <c r="D188" s="154"/>
      <c r="E188" s="161" t="s">
        <v>136</v>
      </c>
      <c r="F188" s="154"/>
      <c r="G188" s="154"/>
      <c r="H188" s="152"/>
      <c r="I188" s="152"/>
      <c r="J188" s="154"/>
      <c r="K188" s="154"/>
      <c r="L188" s="154"/>
      <c r="M188" s="154"/>
      <c r="N188" s="154"/>
      <c r="O188" s="154"/>
      <c r="P188" s="154"/>
      <c r="Q188" s="154"/>
      <c r="R188" s="154"/>
      <c r="S188" s="162"/>
      <c r="T188" s="162"/>
      <c r="U188" s="162"/>
      <c r="V188" s="162"/>
      <c r="W188" s="162"/>
      <c r="X188" s="163"/>
      <c r="Y188" s="163"/>
      <c r="Z188" s="163"/>
      <c r="AA188" s="163"/>
      <c r="AB188" s="163"/>
      <c r="AC188" s="163"/>
      <c r="AD188" s="164"/>
      <c r="AE188" s="148">
        <f>IF(SUM(S189:S190)&gt;0,IFERROR(TRUNC(A188,0),0),0)</f>
        <v>0</v>
      </c>
      <c r="AF188" s="149"/>
      <c r="AG188" s="150"/>
      <c r="AH188" s="159"/>
      <c r="AI188" s="160" t="s">
        <v>123</v>
      </c>
      <c r="AJ188" s="105"/>
      <c r="AK188" s="105"/>
      <c r="AM188" s="105"/>
      <c r="AN188" s="105"/>
      <c r="AO188" s="105"/>
      <c r="AP188" s="105"/>
      <c r="AQ188" s="105"/>
      <c r="AR188" s="105"/>
    </row>
    <row r="189" spans="1:44" s="49" customFormat="1" ht="40.15" hidden="1" customHeight="1">
      <c r="A189" s="152">
        <f t="shared" ca="1" si="298"/>
        <v>0</v>
      </c>
      <c r="B189" s="153">
        <v>95876</v>
      </c>
      <c r="C189" s="154" t="str">
        <f>TEXT(B189,"0")</f>
        <v>95876</v>
      </c>
      <c r="D189" s="154" t="s">
        <v>1416</v>
      </c>
      <c r="E189" s="155" t="s">
        <v>3537</v>
      </c>
      <c r="F189" s="154">
        <f>IF(Dados_DMT!$B$16&lt;30,Dados_DMT!$B$16,30)</f>
        <v>0</v>
      </c>
      <c r="G189" s="154" t="s">
        <v>3538</v>
      </c>
      <c r="H189" s="152">
        <v>2.09</v>
      </c>
      <c r="I189" s="152">
        <v>2.1</v>
      </c>
      <c r="J189" s="156"/>
      <c r="K189" s="156">
        <f>ROUND(Dre_Terraplenagem!AI202*F189,2)</f>
        <v>0</v>
      </c>
      <c r="L189" s="156">
        <f>IF($K189&gt;$J189,$K189-$J189,0)</f>
        <v>0</v>
      </c>
      <c r="M189" s="156">
        <f>IF($K189&lt;$J189,$J189-$K189,0)</f>
        <v>0</v>
      </c>
      <c r="N189" s="156" t="s">
        <v>83</v>
      </c>
      <c r="O189" s="157" cm="1">
        <f t="array" ref="O189">TRUNC($H189*(1+_xlfn.SWITCH($N189,"BDI 1",$O$6,"BDI 2",$O$7,"BDI 3",$O$8)),2)</f>
        <v>2.52</v>
      </c>
      <c r="P189" s="157" cm="1">
        <f t="array" ref="P189">TRUNC($I189*(1+_xlfn.SWITCH($N189,"BDI 1",$P$6,"BDI 2",$P$7,"BDI 3",$P$8)),2)</f>
        <v>2.66</v>
      </c>
      <c r="Q189" s="157">
        <v>0</v>
      </c>
      <c r="R189" s="157">
        <f>$Q189-($Q189*LICITACAO_DESCONTO)</f>
        <v>0</v>
      </c>
      <c r="S189" s="156">
        <f>TRUNC($K189*$O189,2)</f>
        <v>0</v>
      </c>
      <c r="T189" s="156">
        <f>TRUNC($K189*$P189,2)</f>
        <v>0</v>
      </c>
      <c r="U189" s="156">
        <f>TRUNC($J189*$R189,2)</f>
        <v>0</v>
      </c>
      <c r="V189" s="156">
        <f>TRUNC($K189*$Q189,2)</f>
        <v>0</v>
      </c>
      <c r="W189" s="156">
        <f>TRUNC(V189-U189,2)</f>
        <v>0</v>
      </c>
      <c r="X189" s="158">
        <f>$S189/ORCAMENTO_VALOR_TOTAL_ND</f>
        <v>0</v>
      </c>
      <c r="Y189" s="158">
        <f>$T189/ORCAMENTO_VALOR_TOTAL_DE</f>
        <v>0</v>
      </c>
      <c r="Z189" s="158" cm="1">
        <f t="array" ref="Z189">_xlfn.SWITCH($N189,"BDI 1",$O$6,"BDI 2",$O$7,"BDI 3",$O$8)</f>
        <v>0.20699999999999999</v>
      </c>
      <c r="AA189" s="158" cm="1">
        <f t="array" ref="AA189">_xlfn.SWITCH($N189,"BDI 1",$P$6,"BDI 2",$P$7,"BDI 3",$P$8)</f>
        <v>0.26739999999999997</v>
      </c>
      <c r="AB189" s="158">
        <f ca="1">IFERROR($S189/_xlfn.XLOOKUP($AE189,$B$16:$B$38,$S$16:$S$38),0)</f>
        <v>0</v>
      </c>
      <c r="AC189" s="158">
        <f ca="1">IFERROR($T189/_xlfn.XLOOKUP($AE189,$B$16:$B$38,$T$16:$T$38),0)</f>
        <v>0</v>
      </c>
      <c r="AD189" s="164"/>
      <c r="AE189" s="148">
        <f t="shared" ref="AE189:AE190" si="309">IF(S189&gt;0,IFERROR(TRUNC(A189,0),0),0)</f>
        <v>0</v>
      </c>
      <c r="AF189" s="149"/>
      <c r="AG189" s="150"/>
      <c r="AH189" s="159" t="e">
        <f>S189/S$118</f>
        <v>#DIV/0!</v>
      </c>
      <c r="AI189" s="166">
        <f>IF(K189=0,0,K189/F189)</f>
        <v>0</v>
      </c>
      <c r="AJ189" s="105"/>
      <c r="AK189" s="105"/>
      <c r="AM189" s="105"/>
      <c r="AN189" s="105"/>
      <c r="AO189" s="105"/>
      <c r="AP189" s="105"/>
      <c r="AQ189" s="105"/>
      <c r="AR189" s="105"/>
    </row>
    <row r="190" spans="1:44" s="49" customFormat="1" ht="40.15" hidden="1" customHeight="1">
      <c r="A190" s="152">
        <f t="shared" ca="1" si="298"/>
        <v>0</v>
      </c>
      <c r="B190" s="153">
        <v>93593</v>
      </c>
      <c r="C190" s="154" t="str">
        <f>TEXT(B190,"0")</f>
        <v>93593</v>
      </c>
      <c r="D190" s="154" t="s">
        <v>1416</v>
      </c>
      <c r="E190" s="155" t="s">
        <v>3545</v>
      </c>
      <c r="F190" s="154">
        <f>Dados_DMT!$B$16-F189</f>
        <v>0</v>
      </c>
      <c r="G190" s="154" t="s">
        <v>3538</v>
      </c>
      <c r="H190" s="152">
        <v>0.84</v>
      </c>
      <c r="I190" s="152">
        <v>0.85</v>
      </c>
      <c r="J190" s="156"/>
      <c r="K190" s="156">
        <f>ROUND(Dre_Terraplenagem!AI202*F190,2)</f>
        <v>0</v>
      </c>
      <c r="L190" s="156">
        <f>IF($K190&gt;$J190,$K190-$J190,0)</f>
        <v>0</v>
      </c>
      <c r="M190" s="156">
        <f>IF($K190&lt;$J190,$J190-$K190,0)</f>
        <v>0</v>
      </c>
      <c r="N190" s="156" t="s">
        <v>83</v>
      </c>
      <c r="O190" s="157" cm="1">
        <f t="array" ref="O190">TRUNC($H190*(1+_xlfn.SWITCH($N190,"BDI 1",$O$6,"BDI 2",$O$7,"BDI 3",$O$8)),2)</f>
        <v>1.01</v>
      </c>
      <c r="P190" s="157" cm="1">
        <f t="array" ref="P190">TRUNC($I190*(1+_xlfn.SWITCH($N190,"BDI 1",$P$6,"BDI 2",$P$7,"BDI 3",$P$8)),2)</f>
        <v>1.07</v>
      </c>
      <c r="Q190" s="157">
        <v>0</v>
      </c>
      <c r="R190" s="157">
        <f>$Q190-($Q190*LICITACAO_DESCONTO)</f>
        <v>0</v>
      </c>
      <c r="S190" s="156">
        <f>TRUNC($K190*$O190,2)</f>
        <v>0</v>
      </c>
      <c r="T190" s="156">
        <f>TRUNC($K190*$P190,2)</f>
        <v>0</v>
      </c>
      <c r="U190" s="156">
        <f>TRUNC($J190*$R190,2)</f>
        <v>0</v>
      </c>
      <c r="V190" s="156">
        <f>TRUNC($K190*$Q190,2)</f>
        <v>0</v>
      </c>
      <c r="W190" s="156">
        <f>TRUNC(V190-U190,2)</f>
        <v>0</v>
      </c>
      <c r="X190" s="158">
        <f>$S190/ORCAMENTO_VALOR_TOTAL_ND</f>
        <v>0</v>
      </c>
      <c r="Y190" s="158">
        <f>$T190/ORCAMENTO_VALOR_TOTAL_DE</f>
        <v>0</v>
      </c>
      <c r="Z190" s="158" cm="1">
        <f t="array" ref="Z190">_xlfn.SWITCH($N190,"BDI 1",$O$6,"BDI 2",$O$7,"BDI 3",$O$8)</f>
        <v>0.20699999999999999</v>
      </c>
      <c r="AA190" s="158" cm="1">
        <f t="array" ref="AA190">_xlfn.SWITCH($N190,"BDI 1",$P$6,"BDI 2",$P$7,"BDI 3",$P$8)</f>
        <v>0.26739999999999997</v>
      </c>
      <c r="AB190" s="158">
        <f ca="1">IFERROR($S190/_xlfn.XLOOKUP($AE190,$B$16:$B$38,$S$16:$S$38),0)</f>
        <v>0</v>
      </c>
      <c r="AC190" s="158">
        <f ca="1">IFERROR($T190/_xlfn.XLOOKUP($AE190,$B$16:$B$38,$T$16:$T$38),0)</f>
        <v>0</v>
      </c>
      <c r="AD190" s="164"/>
      <c r="AE190" s="148">
        <f t="shared" si="309"/>
        <v>0</v>
      </c>
      <c r="AF190" s="149"/>
      <c r="AG190" s="150"/>
      <c r="AH190" s="159"/>
      <c r="AI190" s="166"/>
      <c r="AJ190" s="105"/>
      <c r="AK190" s="105"/>
      <c r="AM190" s="105"/>
      <c r="AN190" s="105"/>
      <c r="AO190" s="105"/>
      <c r="AP190" s="105"/>
      <c r="AQ190" s="105"/>
      <c r="AR190" s="105"/>
    </row>
    <row r="191" spans="1:44" s="49" customFormat="1" ht="40.15" hidden="1" customHeight="1">
      <c r="A191" s="10">
        <f t="shared" ca="1" si="298"/>
        <v>0</v>
      </c>
      <c r="B191" s="153"/>
      <c r="C191" s="154"/>
      <c r="D191" s="154"/>
      <c r="E191" s="161" t="s">
        <v>137</v>
      </c>
      <c r="F191" s="154"/>
      <c r="G191" s="154"/>
      <c r="H191" s="152"/>
      <c r="I191" s="152"/>
      <c r="J191" s="154"/>
      <c r="K191" s="154"/>
      <c r="L191" s="154"/>
      <c r="M191" s="154"/>
      <c r="N191" s="154"/>
      <c r="O191" s="154"/>
      <c r="P191" s="154"/>
      <c r="Q191" s="154"/>
      <c r="R191" s="154"/>
      <c r="S191" s="162"/>
      <c r="T191" s="162"/>
      <c r="U191" s="162"/>
      <c r="V191" s="162"/>
      <c r="W191" s="162"/>
      <c r="X191" s="163"/>
      <c r="Y191" s="163"/>
      <c r="Z191" s="163"/>
      <c r="AA191" s="163"/>
      <c r="AB191" s="163"/>
      <c r="AC191" s="163"/>
      <c r="AD191" s="164"/>
      <c r="AE191" s="148">
        <f>IF(SUM(S192:S193)&gt;0,IFERROR(TRUNC(A191,0),0),0)</f>
        <v>0</v>
      </c>
      <c r="AF191" s="149"/>
      <c r="AG191" s="150"/>
      <c r="AH191" s="159"/>
      <c r="AI191" s="160" t="s">
        <v>138</v>
      </c>
      <c r="AJ191" s="105"/>
      <c r="AK191" s="105"/>
      <c r="AM191" s="105"/>
      <c r="AN191" s="105"/>
      <c r="AO191" s="105"/>
      <c r="AP191" s="105"/>
      <c r="AQ191" s="105"/>
      <c r="AR191" s="105"/>
    </row>
    <row r="192" spans="1:44" s="49" customFormat="1" ht="40.15" hidden="1" customHeight="1">
      <c r="A192" s="152">
        <f t="shared" ca="1" si="298"/>
        <v>0</v>
      </c>
      <c r="B192" s="153">
        <v>95876</v>
      </c>
      <c r="C192" s="154" t="str">
        <f>TEXT(B192,"0")</f>
        <v>95876</v>
      </c>
      <c r="D192" s="154" t="s">
        <v>1416</v>
      </c>
      <c r="E192" s="155" t="s">
        <v>3537</v>
      </c>
      <c r="F192" s="154">
        <f>IF(Dados_DMT!$B$17&lt;30,Dados_DMT!$B$17,30)</f>
        <v>3.5</v>
      </c>
      <c r="G192" s="154" t="s">
        <v>3538</v>
      </c>
      <c r="H192" s="152">
        <v>2.09</v>
      </c>
      <c r="I192" s="152">
        <v>2.1</v>
      </c>
      <c r="J192" s="156"/>
      <c r="K192" s="156">
        <f>ROUND(Dre_Terraplenagem!AI203*F192,2)</f>
        <v>0</v>
      </c>
      <c r="L192" s="156">
        <f>IF($K192&gt;$J192,$K192-$J192,0)</f>
        <v>0</v>
      </c>
      <c r="M192" s="156">
        <f>IF($K192&lt;$J192,$J192-$K192,0)</f>
        <v>0</v>
      </c>
      <c r="N192" s="156" t="s">
        <v>83</v>
      </c>
      <c r="O192" s="157" cm="1">
        <f t="array" ref="O192">TRUNC($H192*(1+_xlfn.SWITCH($N192,"BDI 1",$O$6,"BDI 2",$O$7,"BDI 3",$O$8)),2)</f>
        <v>2.52</v>
      </c>
      <c r="P192" s="157" cm="1">
        <f t="array" ref="P192">TRUNC($I192*(1+_xlfn.SWITCH($N192,"BDI 1",$P$6,"BDI 2",$P$7,"BDI 3",$P$8)),2)</f>
        <v>2.66</v>
      </c>
      <c r="Q192" s="157">
        <v>0</v>
      </c>
      <c r="R192" s="157">
        <f>$Q192-($Q192*LICITACAO_DESCONTO)</f>
        <v>0</v>
      </c>
      <c r="S192" s="156">
        <f>TRUNC($K192*$O192,2)</f>
        <v>0</v>
      </c>
      <c r="T192" s="156">
        <f>TRUNC($K192*$P192,2)</f>
        <v>0</v>
      </c>
      <c r="U192" s="156">
        <f>TRUNC($J192*$R192,2)</f>
        <v>0</v>
      </c>
      <c r="V192" s="156">
        <f>TRUNC($K192*$Q192,2)</f>
        <v>0</v>
      </c>
      <c r="W192" s="156">
        <f>TRUNC(V192-U192,2)</f>
        <v>0</v>
      </c>
      <c r="X192" s="158">
        <f>$S192/ORCAMENTO_VALOR_TOTAL_ND</f>
        <v>0</v>
      </c>
      <c r="Y192" s="158">
        <f>$T192/ORCAMENTO_VALOR_TOTAL_DE</f>
        <v>0</v>
      </c>
      <c r="Z192" s="158" cm="1">
        <f t="array" ref="Z192">_xlfn.SWITCH($N192,"BDI 1",$O$6,"BDI 2",$O$7,"BDI 3",$O$8)</f>
        <v>0.20699999999999999</v>
      </c>
      <c r="AA192" s="158" cm="1">
        <f t="array" ref="AA192">_xlfn.SWITCH($N192,"BDI 1",$P$6,"BDI 2",$P$7,"BDI 3",$P$8)</f>
        <v>0.26739999999999997</v>
      </c>
      <c r="AB192" s="158">
        <f ca="1">IFERROR($S192/_xlfn.XLOOKUP($AE192,$B$16:$B$38,$S$16:$S$38),0)</f>
        <v>0</v>
      </c>
      <c r="AC192" s="158">
        <f ca="1">IFERROR($T192/_xlfn.XLOOKUP($AE192,$B$16:$B$38,$T$16:$T$38),0)</f>
        <v>0</v>
      </c>
      <c r="AD192" s="164"/>
      <c r="AE192" s="148">
        <f t="shared" ref="AE192:AE193" si="310">IF(S192&gt;0,IFERROR(TRUNC(A192,0),0),0)</f>
        <v>0</v>
      </c>
      <c r="AF192" s="149"/>
      <c r="AG192" s="150"/>
      <c r="AH192" s="159" t="e">
        <f>S192/S$118</f>
        <v>#DIV/0!</v>
      </c>
      <c r="AI192" s="166">
        <f>IF(K192=0,0,K192/F192)</f>
        <v>0</v>
      </c>
      <c r="AJ192" s="105"/>
      <c r="AK192" s="105"/>
      <c r="AM192" s="105"/>
      <c r="AN192" s="105"/>
      <c r="AO192" s="105"/>
      <c r="AP192" s="105"/>
      <c r="AQ192" s="105"/>
      <c r="AR192" s="105"/>
    </row>
    <row r="193" spans="1:44" s="49" customFormat="1" ht="40.15" hidden="1" customHeight="1">
      <c r="A193" s="152">
        <f t="shared" ca="1" si="298"/>
        <v>0</v>
      </c>
      <c r="B193" s="153">
        <v>93593</v>
      </c>
      <c r="C193" s="154" t="str">
        <f>TEXT(B193,"0")</f>
        <v>93593</v>
      </c>
      <c r="D193" s="154" t="s">
        <v>1416</v>
      </c>
      <c r="E193" s="155" t="s">
        <v>3545</v>
      </c>
      <c r="F193" s="154">
        <f>Dados_DMT!$B$17-F192</f>
        <v>0</v>
      </c>
      <c r="G193" s="154" t="s">
        <v>3538</v>
      </c>
      <c r="H193" s="152">
        <v>0.84</v>
      </c>
      <c r="I193" s="152">
        <v>0.85</v>
      </c>
      <c r="J193" s="156"/>
      <c r="K193" s="156">
        <f>ROUND(Dre_Terraplenagem!AI203*F193,2)</f>
        <v>0</v>
      </c>
      <c r="L193" s="156">
        <f>IF($K193&gt;$J193,$K193-$J193,0)</f>
        <v>0</v>
      </c>
      <c r="M193" s="156">
        <f>IF($K193&lt;$J193,$J193-$K193,0)</f>
        <v>0</v>
      </c>
      <c r="N193" s="156" t="s">
        <v>83</v>
      </c>
      <c r="O193" s="157" cm="1">
        <f t="array" ref="O193">TRUNC($H193*(1+_xlfn.SWITCH($N193,"BDI 1",$O$6,"BDI 2",$O$7,"BDI 3",$O$8)),2)</f>
        <v>1.01</v>
      </c>
      <c r="P193" s="157" cm="1">
        <f t="array" ref="P193">TRUNC($I193*(1+_xlfn.SWITCH($N193,"BDI 1",$P$6,"BDI 2",$P$7,"BDI 3",$P$8)),2)</f>
        <v>1.07</v>
      </c>
      <c r="Q193" s="157">
        <v>0</v>
      </c>
      <c r="R193" s="157">
        <f>$Q193-($Q193*LICITACAO_DESCONTO)</f>
        <v>0</v>
      </c>
      <c r="S193" s="156">
        <f>TRUNC($K193*$O193,2)</f>
        <v>0</v>
      </c>
      <c r="T193" s="156">
        <f>TRUNC($K193*$P193,2)</f>
        <v>0</v>
      </c>
      <c r="U193" s="156">
        <f>TRUNC($J193*$R193,2)</f>
        <v>0</v>
      </c>
      <c r="V193" s="156">
        <f>TRUNC($K193*$Q193,2)</f>
        <v>0</v>
      </c>
      <c r="W193" s="156">
        <f>TRUNC(V193-U193,2)</f>
        <v>0</v>
      </c>
      <c r="X193" s="158">
        <f>$S193/ORCAMENTO_VALOR_TOTAL_ND</f>
        <v>0</v>
      </c>
      <c r="Y193" s="158">
        <f>$T193/ORCAMENTO_VALOR_TOTAL_DE</f>
        <v>0</v>
      </c>
      <c r="Z193" s="158" cm="1">
        <f t="array" ref="Z193">_xlfn.SWITCH($N193,"BDI 1",$O$6,"BDI 2",$O$7,"BDI 3",$O$8)</f>
        <v>0.20699999999999999</v>
      </c>
      <c r="AA193" s="158" cm="1">
        <f t="array" ref="AA193">_xlfn.SWITCH($N193,"BDI 1",$P$6,"BDI 2",$P$7,"BDI 3",$P$8)</f>
        <v>0.26739999999999997</v>
      </c>
      <c r="AB193" s="158">
        <f ca="1">IFERROR($S193/_xlfn.XLOOKUP($AE193,$B$16:$B$38,$S$16:$S$38),0)</f>
        <v>0</v>
      </c>
      <c r="AC193" s="158">
        <f ca="1">IFERROR($T193/_xlfn.XLOOKUP($AE193,$B$16:$B$38,$T$16:$T$38),0)</f>
        <v>0</v>
      </c>
      <c r="AD193" s="164"/>
      <c r="AE193" s="148">
        <f t="shared" si="310"/>
        <v>0</v>
      </c>
      <c r="AF193" s="149"/>
      <c r="AG193" s="150"/>
      <c r="AH193" s="159" t="e">
        <f>S193/S$118</f>
        <v>#DIV/0!</v>
      </c>
      <c r="AI193" s="166"/>
      <c r="AJ193" s="105"/>
      <c r="AK193" s="105"/>
      <c r="AM193" s="105"/>
      <c r="AN193" s="105"/>
      <c r="AO193" s="105"/>
      <c r="AP193" s="105"/>
      <c r="AQ193" s="105"/>
      <c r="AR193" s="105"/>
    </row>
    <row r="194" spans="1:44" s="49" customFormat="1" ht="40.15" hidden="1" customHeight="1">
      <c r="A194" s="10">
        <f t="shared" ca="1" si="298"/>
        <v>0</v>
      </c>
      <c r="B194" s="153"/>
      <c r="C194" s="154"/>
      <c r="D194" s="154"/>
      <c r="E194" s="161" t="s">
        <v>139</v>
      </c>
      <c r="F194" s="154"/>
      <c r="G194" s="154"/>
      <c r="H194" s="152"/>
      <c r="I194" s="152"/>
      <c r="J194" s="154"/>
      <c r="K194" s="154"/>
      <c r="L194" s="154"/>
      <c r="M194" s="154"/>
      <c r="N194" s="154"/>
      <c r="O194" s="154"/>
      <c r="P194" s="154"/>
      <c r="Q194" s="154"/>
      <c r="R194" s="154"/>
      <c r="S194" s="162"/>
      <c r="T194" s="162"/>
      <c r="U194" s="162"/>
      <c r="V194" s="162"/>
      <c r="W194" s="162"/>
      <c r="X194" s="163"/>
      <c r="Y194" s="163"/>
      <c r="Z194" s="163"/>
      <c r="AA194" s="163"/>
      <c r="AB194" s="163"/>
      <c r="AC194" s="163"/>
      <c r="AD194" s="164"/>
      <c r="AE194" s="148">
        <f>IF(SUM(S195:S196)&gt;0,IFERROR(TRUNC(A194,0),0),0)</f>
        <v>0</v>
      </c>
      <c r="AF194" s="149"/>
      <c r="AG194" s="150"/>
      <c r="AH194" s="159"/>
      <c r="AI194" s="160"/>
      <c r="AJ194" s="105"/>
      <c r="AK194" s="105"/>
      <c r="AM194" s="105"/>
      <c r="AN194" s="105"/>
      <c r="AO194" s="105"/>
      <c r="AP194" s="105"/>
      <c r="AQ194" s="105"/>
      <c r="AR194" s="105"/>
    </row>
    <row r="195" spans="1:44" s="49" customFormat="1" ht="40.15" hidden="1" customHeight="1">
      <c r="A195" s="152">
        <f t="shared" ca="1" si="298"/>
        <v>0</v>
      </c>
      <c r="B195" s="153">
        <v>95876</v>
      </c>
      <c r="C195" s="154" t="str">
        <f>TEXT(B195,"0")</f>
        <v>95876</v>
      </c>
      <c r="D195" s="154" t="s">
        <v>1416</v>
      </c>
      <c r="E195" s="155" t="s">
        <v>3537</v>
      </c>
      <c r="F195" s="154">
        <f>IF(Dados_DMT!$B$14&lt;30,Dados_DMT!$B$14,30)</f>
        <v>3.5</v>
      </c>
      <c r="G195" s="154" t="s">
        <v>3538</v>
      </c>
      <c r="H195" s="152">
        <v>2.09</v>
      </c>
      <c r="I195" s="152">
        <v>2.1</v>
      </c>
      <c r="J195" s="156"/>
      <c r="K195" s="156">
        <f>ROUND(Dre_Terraplenagem!AI204*F195,2)</f>
        <v>0</v>
      </c>
      <c r="L195" s="156">
        <f>IF($K195&gt;$J195,$K195-$J195,0)</f>
        <v>0</v>
      </c>
      <c r="M195" s="156">
        <f>IF($K195&lt;$J195,$J195-$K195,0)</f>
        <v>0</v>
      </c>
      <c r="N195" s="156" t="s">
        <v>83</v>
      </c>
      <c r="O195" s="157" cm="1">
        <f t="array" ref="O195">TRUNC($H195*(1+_xlfn.SWITCH($N195,"BDI 1",$O$6,"BDI 2",$O$7,"BDI 3",$O$8)),2)</f>
        <v>2.52</v>
      </c>
      <c r="P195" s="157" cm="1">
        <f t="array" ref="P195">TRUNC($I195*(1+_xlfn.SWITCH($N195,"BDI 1",$P$6,"BDI 2",$P$7,"BDI 3",$P$8)),2)</f>
        <v>2.66</v>
      </c>
      <c r="Q195" s="157">
        <v>0</v>
      </c>
      <c r="R195" s="157">
        <f>$Q195-($Q195*LICITACAO_DESCONTO)</f>
        <v>0</v>
      </c>
      <c r="S195" s="156">
        <f>TRUNC($K195*$O195,2)</f>
        <v>0</v>
      </c>
      <c r="T195" s="156">
        <f>TRUNC($K195*$P195,2)</f>
        <v>0</v>
      </c>
      <c r="U195" s="156">
        <f>TRUNC($J195*$R195,2)</f>
        <v>0</v>
      </c>
      <c r="V195" s="156">
        <f>TRUNC($K195*$Q195,2)</f>
        <v>0</v>
      </c>
      <c r="W195" s="156">
        <f>TRUNC(V195-U195,2)</f>
        <v>0</v>
      </c>
      <c r="X195" s="158">
        <f>$S195/ORCAMENTO_VALOR_TOTAL_ND</f>
        <v>0</v>
      </c>
      <c r="Y195" s="158">
        <f>$T195/ORCAMENTO_VALOR_TOTAL_DE</f>
        <v>0</v>
      </c>
      <c r="Z195" s="158" cm="1">
        <f t="array" ref="Z195">_xlfn.SWITCH($N195,"BDI 1",$O$6,"BDI 2",$O$7,"BDI 3",$O$8)</f>
        <v>0.20699999999999999</v>
      </c>
      <c r="AA195" s="158" cm="1">
        <f t="array" ref="AA195">_xlfn.SWITCH($N195,"BDI 1",$P$6,"BDI 2",$P$7,"BDI 3",$P$8)</f>
        <v>0.26739999999999997</v>
      </c>
      <c r="AB195" s="158">
        <f ca="1">IFERROR($S195/_xlfn.XLOOKUP($AE195,$B$16:$B$38,$S$16:$S$38),0)</f>
        <v>0</v>
      </c>
      <c r="AC195" s="158">
        <f ca="1">IFERROR($T195/_xlfn.XLOOKUP($AE195,$B$16:$B$38,$T$16:$T$38),0)</f>
        <v>0</v>
      </c>
      <c r="AD195" s="164"/>
      <c r="AE195" s="148">
        <f t="shared" ref="AE195:AE196" si="311">IF(S195&gt;0,IFERROR(TRUNC(A195,0),0),0)</f>
        <v>0</v>
      </c>
      <c r="AF195" s="149"/>
      <c r="AG195" s="150"/>
      <c r="AH195" s="159" t="e">
        <f>S195/S$118</f>
        <v>#DIV/0!</v>
      </c>
      <c r="AI195" s="166">
        <f>IF(K195=0,0,K195/F195)</f>
        <v>0</v>
      </c>
      <c r="AJ195" s="105"/>
      <c r="AK195" s="105"/>
      <c r="AM195" s="105"/>
      <c r="AN195" s="105"/>
      <c r="AO195" s="105"/>
      <c r="AP195" s="105"/>
      <c r="AQ195" s="105"/>
      <c r="AR195" s="105"/>
    </row>
    <row r="196" spans="1:44" s="49" customFormat="1" ht="40.15" hidden="1" customHeight="1">
      <c r="A196" s="152">
        <f t="shared" ca="1" si="298"/>
        <v>0</v>
      </c>
      <c r="B196" s="153">
        <v>93593</v>
      </c>
      <c r="C196" s="154" t="str">
        <f>TEXT(B196,"0")</f>
        <v>93593</v>
      </c>
      <c r="D196" s="154" t="s">
        <v>1416</v>
      </c>
      <c r="E196" s="155" t="s">
        <v>3545</v>
      </c>
      <c r="F196" s="154">
        <f>Dados_DMT!$B$14-F195</f>
        <v>0</v>
      </c>
      <c r="G196" s="154" t="s">
        <v>3538</v>
      </c>
      <c r="H196" s="152">
        <v>0.84</v>
      </c>
      <c r="I196" s="152">
        <v>0.85</v>
      </c>
      <c r="J196" s="156"/>
      <c r="K196" s="156">
        <f>ROUND(Dre_Terraplenagem!AI204*F196,2)</f>
        <v>0</v>
      </c>
      <c r="L196" s="156">
        <f>IF($K196&gt;$J196,$K196-$J196,0)</f>
        <v>0</v>
      </c>
      <c r="M196" s="156">
        <f>IF($K196&lt;$J196,$J196-$K196,0)</f>
        <v>0</v>
      </c>
      <c r="N196" s="156" t="s">
        <v>83</v>
      </c>
      <c r="O196" s="157" cm="1">
        <f t="array" ref="O196">TRUNC($H196*(1+_xlfn.SWITCH($N196,"BDI 1",$O$6,"BDI 2",$O$7,"BDI 3",$O$8)),2)</f>
        <v>1.01</v>
      </c>
      <c r="P196" s="157" cm="1">
        <f t="array" ref="P196">TRUNC($I196*(1+_xlfn.SWITCH($N196,"BDI 1",$P$6,"BDI 2",$P$7,"BDI 3",$P$8)),2)</f>
        <v>1.07</v>
      </c>
      <c r="Q196" s="157">
        <v>0</v>
      </c>
      <c r="R196" s="157">
        <f>$Q196-($Q196*LICITACAO_DESCONTO)</f>
        <v>0</v>
      </c>
      <c r="S196" s="156">
        <f>TRUNC($K196*$O196,2)</f>
        <v>0</v>
      </c>
      <c r="T196" s="156">
        <f>TRUNC($K196*$P196,2)</f>
        <v>0</v>
      </c>
      <c r="U196" s="156">
        <f>TRUNC($J196*$R196,2)</f>
        <v>0</v>
      </c>
      <c r="V196" s="156">
        <f>TRUNC($K196*$Q196,2)</f>
        <v>0</v>
      </c>
      <c r="W196" s="156">
        <f>TRUNC(V196-U196,2)</f>
        <v>0</v>
      </c>
      <c r="X196" s="158">
        <f>$S196/ORCAMENTO_VALOR_TOTAL_ND</f>
        <v>0</v>
      </c>
      <c r="Y196" s="158">
        <f>$T196/ORCAMENTO_VALOR_TOTAL_DE</f>
        <v>0</v>
      </c>
      <c r="Z196" s="158" cm="1">
        <f t="array" ref="Z196">_xlfn.SWITCH($N196,"BDI 1",$O$6,"BDI 2",$O$7,"BDI 3",$O$8)</f>
        <v>0.20699999999999999</v>
      </c>
      <c r="AA196" s="158" cm="1">
        <f t="array" ref="AA196">_xlfn.SWITCH($N196,"BDI 1",$P$6,"BDI 2",$P$7,"BDI 3",$P$8)</f>
        <v>0.26739999999999997</v>
      </c>
      <c r="AB196" s="158">
        <f ca="1">IFERROR($S196/_xlfn.XLOOKUP($AE196,$B$16:$B$38,$S$16:$S$38),0)</f>
        <v>0</v>
      </c>
      <c r="AC196" s="158">
        <f ca="1">IFERROR($T196/_xlfn.XLOOKUP($AE196,$B$16:$B$38,$T$16:$T$38),0)</f>
        <v>0</v>
      </c>
      <c r="AD196" s="164"/>
      <c r="AE196" s="148">
        <f t="shared" si="311"/>
        <v>0</v>
      </c>
      <c r="AF196" s="149"/>
      <c r="AG196" s="150"/>
      <c r="AH196" s="159" t="e">
        <f>S196/S$118</f>
        <v>#DIV/0!</v>
      </c>
      <c r="AI196" s="166"/>
      <c r="AJ196" s="105"/>
      <c r="AK196" s="105"/>
      <c r="AM196" s="105"/>
      <c r="AN196" s="105"/>
      <c r="AO196" s="105"/>
      <c r="AP196" s="105"/>
      <c r="AQ196" s="105"/>
      <c r="AR196" s="105"/>
    </row>
    <row r="197" spans="1:44" s="49" customFormat="1" ht="40.15" hidden="1" customHeight="1">
      <c r="A197" s="10">
        <f t="shared" ca="1" si="298"/>
        <v>0</v>
      </c>
      <c r="B197" s="153"/>
      <c r="C197" s="154"/>
      <c r="D197" s="154"/>
      <c r="E197" s="161" t="s">
        <v>140</v>
      </c>
      <c r="F197" s="154"/>
      <c r="G197" s="154"/>
      <c r="H197" s="152"/>
      <c r="I197" s="152"/>
      <c r="J197" s="154"/>
      <c r="K197" s="154"/>
      <c r="L197" s="154"/>
      <c r="M197" s="154"/>
      <c r="N197" s="154"/>
      <c r="O197" s="154"/>
      <c r="P197" s="154"/>
      <c r="Q197" s="154"/>
      <c r="R197" s="154"/>
      <c r="S197" s="162"/>
      <c r="T197" s="162"/>
      <c r="U197" s="162"/>
      <c r="V197" s="162"/>
      <c r="W197" s="162"/>
      <c r="X197" s="163"/>
      <c r="Y197" s="163"/>
      <c r="Z197" s="163"/>
      <c r="AA197" s="163"/>
      <c r="AB197" s="163"/>
      <c r="AC197" s="163"/>
      <c r="AD197" s="164"/>
      <c r="AE197" s="148">
        <f>IF(SUM(S198:S199)&gt;0,IFERROR(TRUNC(A197,0),0),0)</f>
        <v>0</v>
      </c>
      <c r="AF197" s="149"/>
      <c r="AG197" s="150"/>
      <c r="AH197" s="159"/>
      <c r="AI197" s="160"/>
      <c r="AJ197" s="105"/>
      <c r="AK197" s="105"/>
      <c r="AM197" s="105"/>
      <c r="AN197" s="105"/>
      <c r="AO197" s="105"/>
      <c r="AP197" s="105"/>
      <c r="AQ197" s="105"/>
      <c r="AR197" s="105"/>
    </row>
    <row r="198" spans="1:44" s="49" customFormat="1" ht="40.15" hidden="1" customHeight="1">
      <c r="A198" s="152">
        <f t="shared" ca="1" si="298"/>
        <v>0</v>
      </c>
      <c r="B198" s="153">
        <v>95876</v>
      </c>
      <c r="C198" s="154" t="str">
        <f>TEXT(B198,"0")</f>
        <v>95876</v>
      </c>
      <c r="D198" s="154" t="s">
        <v>1416</v>
      </c>
      <c r="E198" s="155" t="s">
        <v>3537</v>
      </c>
      <c r="F198" s="154">
        <f>IF(Dados_DMT!$B$21&lt;30,Dados_DMT!$B$21,30)</f>
        <v>0</v>
      </c>
      <c r="G198" s="154" t="s">
        <v>3538</v>
      </c>
      <c r="H198" s="152">
        <v>2.09</v>
      </c>
      <c r="I198" s="152">
        <v>2.1</v>
      </c>
      <c r="J198" s="156"/>
      <c r="K198" s="156">
        <f>ROUND(Dre_Terraplenagem!AI209*F198,2)</f>
        <v>0</v>
      </c>
      <c r="L198" s="156">
        <f>IF($K198&gt;$J198,$K198-$J198,0)</f>
        <v>0</v>
      </c>
      <c r="M198" s="156">
        <f>IF($K198&lt;$J198,$J198-$K198,0)</f>
        <v>0</v>
      </c>
      <c r="N198" s="156" t="s">
        <v>83</v>
      </c>
      <c r="O198" s="157" cm="1">
        <f t="array" ref="O198">TRUNC($H198*(1+_xlfn.SWITCH($N198,"BDI 1",$O$6,"BDI 2",$O$7,"BDI 3",$O$8)),2)</f>
        <v>2.52</v>
      </c>
      <c r="P198" s="157" cm="1">
        <f t="array" ref="P198">TRUNC($I198*(1+_xlfn.SWITCH($N198,"BDI 1",$P$6,"BDI 2",$P$7,"BDI 3",$P$8)),2)</f>
        <v>2.66</v>
      </c>
      <c r="Q198" s="157">
        <v>0</v>
      </c>
      <c r="R198" s="157">
        <f>$Q198-($Q198*LICITACAO_DESCONTO)</f>
        <v>0</v>
      </c>
      <c r="S198" s="156">
        <f>TRUNC($K198*$O198,2)</f>
        <v>0</v>
      </c>
      <c r="T198" s="156">
        <f>TRUNC($K198*$P198,2)</f>
        <v>0</v>
      </c>
      <c r="U198" s="156">
        <f>TRUNC($J198*$R198,2)</f>
        <v>0</v>
      </c>
      <c r="V198" s="156">
        <f>TRUNC($K198*$Q198,2)</f>
        <v>0</v>
      </c>
      <c r="W198" s="156">
        <f>TRUNC(V198-U198,2)</f>
        <v>0</v>
      </c>
      <c r="X198" s="158">
        <f>$S198/ORCAMENTO_VALOR_TOTAL_ND</f>
        <v>0</v>
      </c>
      <c r="Y198" s="158">
        <f>$T198/ORCAMENTO_VALOR_TOTAL_DE</f>
        <v>0</v>
      </c>
      <c r="Z198" s="158" cm="1">
        <f t="array" ref="Z198">_xlfn.SWITCH($N198,"BDI 1",$O$6,"BDI 2",$O$7,"BDI 3",$O$8)</f>
        <v>0.20699999999999999</v>
      </c>
      <c r="AA198" s="158" cm="1">
        <f t="array" ref="AA198">_xlfn.SWITCH($N198,"BDI 1",$P$6,"BDI 2",$P$7,"BDI 3",$P$8)</f>
        <v>0.26739999999999997</v>
      </c>
      <c r="AB198" s="158">
        <f ca="1">IFERROR($S198/_xlfn.XLOOKUP($AE198,$B$16:$B$38,$S$16:$S$38),0)</f>
        <v>0</v>
      </c>
      <c r="AC198" s="158">
        <f ca="1">IFERROR($T198/_xlfn.XLOOKUP($AE198,$B$16:$B$38,$T$16:$T$38),0)</f>
        <v>0</v>
      </c>
      <c r="AD198" s="164"/>
      <c r="AE198" s="148">
        <f t="shared" ref="AE198:AE199" si="312">IF(S198&gt;0,IFERROR(TRUNC(A198,0),0),0)</f>
        <v>0</v>
      </c>
      <c r="AF198" s="149"/>
      <c r="AG198" s="150"/>
      <c r="AH198" s="159" t="e">
        <f>S198/S$118</f>
        <v>#DIV/0!</v>
      </c>
      <c r="AI198" s="166">
        <f>IF(K198=0,0,K198/F198)</f>
        <v>0</v>
      </c>
      <c r="AJ198" s="105"/>
      <c r="AK198" s="105"/>
      <c r="AM198" s="105"/>
      <c r="AN198" s="105"/>
      <c r="AO198" s="105"/>
      <c r="AP198" s="105"/>
      <c r="AQ198" s="105"/>
      <c r="AR198" s="105"/>
    </row>
    <row r="199" spans="1:44" s="49" customFormat="1" ht="40.15" hidden="1" customHeight="1">
      <c r="A199" s="152">
        <f t="shared" ca="1" si="298"/>
        <v>0</v>
      </c>
      <c r="B199" s="153">
        <v>93593</v>
      </c>
      <c r="C199" s="154" t="str">
        <f>TEXT(B199,"0")</f>
        <v>93593</v>
      </c>
      <c r="D199" s="154" t="s">
        <v>1416</v>
      </c>
      <c r="E199" s="155" t="s">
        <v>3545</v>
      </c>
      <c r="F199" s="154">
        <f>Dados_DMT!$B$21-F198</f>
        <v>0</v>
      </c>
      <c r="G199" s="154" t="s">
        <v>3538</v>
      </c>
      <c r="H199" s="152">
        <v>0.84</v>
      </c>
      <c r="I199" s="152">
        <v>0.85</v>
      </c>
      <c r="J199" s="156"/>
      <c r="K199" s="156">
        <f>ROUND(Dre_Terraplenagem!AI209*F199,2)</f>
        <v>0</v>
      </c>
      <c r="L199" s="156">
        <f>IF($K199&gt;$J199,$K199-$J199,0)</f>
        <v>0</v>
      </c>
      <c r="M199" s="156">
        <f>IF($K199&lt;$J199,$J199-$K199,0)</f>
        <v>0</v>
      </c>
      <c r="N199" s="156" t="s">
        <v>83</v>
      </c>
      <c r="O199" s="157" cm="1">
        <f t="array" ref="O199">TRUNC($H199*(1+_xlfn.SWITCH($N199,"BDI 1",$O$6,"BDI 2",$O$7,"BDI 3",$O$8)),2)</f>
        <v>1.01</v>
      </c>
      <c r="P199" s="157" cm="1">
        <f t="array" ref="P199">TRUNC($I199*(1+_xlfn.SWITCH($N199,"BDI 1",$P$6,"BDI 2",$P$7,"BDI 3",$P$8)),2)</f>
        <v>1.07</v>
      </c>
      <c r="Q199" s="157">
        <v>0</v>
      </c>
      <c r="R199" s="157">
        <f>$Q199-($Q199*LICITACAO_DESCONTO)</f>
        <v>0</v>
      </c>
      <c r="S199" s="156">
        <f>TRUNC($K199*$O199,2)</f>
        <v>0</v>
      </c>
      <c r="T199" s="156">
        <f>TRUNC($K199*$P199,2)</f>
        <v>0</v>
      </c>
      <c r="U199" s="156">
        <f>TRUNC($J199*$R199,2)</f>
        <v>0</v>
      </c>
      <c r="V199" s="156">
        <f>TRUNC($K199*$Q199,2)</f>
        <v>0</v>
      </c>
      <c r="W199" s="156">
        <f>TRUNC(V199-U199,2)</f>
        <v>0</v>
      </c>
      <c r="X199" s="158">
        <f>$S199/ORCAMENTO_VALOR_TOTAL_ND</f>
        <v>0</v>
      </c>
      <c r="Y199" s="158">
        <f>$T199/ORCAMENTO_VALOR_TOTAL_DE</f>
        <v>0</v>
      </c>
      <c r="Z199" s="158" cm="1">
        <f t="array" ref="Z199">_xlfn.SWITCH($N199,"BDI 1",$O$6,"BDI 2",$O$7,"BDI 3",$O$8)</f>
        <v>0.20699999999999999</v>
      </c>
      <c r="AA199" s="158" cm="1">
        <f t="array" ref="AA199">_xlfn.SWITCH($N199,"BDI 1",$P$6,"BDI 2",$P$7,"BDI 3",$P$8)</f>
        <v>0.26739999999999997</v>
      </c>
      <c r="AB199" s="158">
        <f ca="1">IFERROR($S199/_xlfn.XLOOKUP($AE199,$B$16:$B$38,$S$16:$S$38),0)</f>
        <v>0</v>
      </c>
      <c r="AC199" s="158">
        <f ca="1">IFERROR($T199/_xlfn.XLOOKUP($AE199,$B$16:$B$38,$T$16:$T$38),0)</f>
        <v>0</v>
      </c>
      <c r="AD199" s="164"/>
      <c r="AE199" s="148">
        <f t="shared" si="312"/>
        <v>0</v>
      </c>
      <c r="AF199" s="149"/>
      <c r="AG199" s="150"/>
      <c r="AH199" s="159" t="e">
        <f>S199/S$118</f>
        <v>#DIV/0!</v>
      </c>
      <c r="AI199" s="166"/>
      <c r="AJ199" s="105"/>
      <c r="AK199" s="105"/>
      <c r="AM199" s="105"/>
      <c r="AN199" s="105"/>
      <c r="AO199" s="105"/>
      <c r="AP199" s="105"/>
      <c r="AQ199" s="105"/>
      <c r="AR199" s="105"/>
    </row>
    <row r="200" spans="1:44" s="49" customFormat="1" ht="40.15" hidden="1" customHeight="1">
      <c r="A200" s="10">
        <f t="shared" ca="1" si="298"/>
        <v>0</v>
      </c>
      <c r="B200" s="153"/>
      <c r="C200" s="154"/>
      <c r="D200" s="154"/>
      <c r="E200" s="161" t="s">
        <v>103</v>
      </c>
      <c r="F200" s="154"/>
      <c r="G200" s="154"/>
      <c r="H200" s="152"/>
      <c r="I200" s="152"/>
      <c r="J200" s="154"/>
      <c r="K200" s="154"/>
      <c r="L200" s="154"/>
      <c r="M200" s="154"/>
      <c r="N200" s="154"/>
      <c r="O200" s="154"/>
      <c r="P200" s="154"/>
      <c r="Q200" s="154"/>
      <c r="R200" s="154"/>
      <c r="S200" s="162"/>
      <c r="T200" s="162"/>
      <c r="U200" s="162"/>
      <c r="V200" s="162"/>
      <c r="W200" s="162"/>
      <c r="X200" s="163"/>
      <c r="Y200" s="163"/>
      <c r="Z200" s="163"/>
      <c r="AA200" s="163"/>
      <c r="AB200" s="163"/>
      <c r="AC200" s="163"/>
      <c r="AD200" s="164"/>
      <c r="AE200" s="148">
        <f>IF(SUM(S201:S202)&gt;0,IFERROR(TRUNC(A200,0),0),0)</f>
        <v>0</v>
      </c>
      <c r="AF200" s="149"/>
      <c r="AG200" s="150"/>
      <c r="AH200" s="159"/>
      <c r="AI200" s="160"/>
      <c r="AJ200" s="105"/>
      <c r="AK200" s="105"/>
      <c r="AM200" s="105"/>
      <c r="AN200" s="105"/>
      <c r="AO200" s="105"/>
      <c r="AP200" s="105"/>
      <c r="AQ200" s="105"/>
      <c r="AR200" s="105"/>
    </row>
    <row r="201" spans="1:44" s="49" customFormat="1" ht="40.15" hidden="1" customHeight="1">
      <c r="A201" s="152">
        <f t="shared" ca="1" si="298"/>
        <v>0</v>
      </c>
      <c r="B201" s="153">
        <v>95876</v>
      </c>
      <c r="C201" s="154" t="str">
        <f>TEXT(B201,"0")</f>
        <v>95876</v>
      </c>
      <c r="D201" s="154" t="s">
        <v>1416</v>
      </c>
      <c r="E201" s="155" t="s">
        <v>3537</v>
      </c>
      <c r="F201" s="154">
        <f>IF(Dados_DMT!$B$34&lt;30,Dados_DMT!$B$34,30)</f>
        <v>30</v>
      </c>
      <c r="G201" s="154" t="s">
        <v>3538</v>
      </c>
      <c r="H201" s="152">
        <v>2.09</v>
      </c>
      <c r="I201" s="152">
        <v>2.1</v>
      </c>
      <c r="J201" s="156"/>
      <c r="K201" s="156">
        <f>ROUND(Dre_Terraplenagem!AI211*F201,2)</f>
        <v>0</v>
      </c>
      <c r="L201" s="156">
        <f>IF($K201&gt;$J201,$K201-$J201,0)</f>
        <v>0</v>
      </c>
      <c r="M201" s="156">
        <f>IF($K201&lt;$J201,$J201-$K201,0)</f>
        <v>0</v>
      </c>
      <c r="N201" s="156" t="s">
        <v>83</v>
      </c>
      <c r="O201" s="157" cm="1">
        <f t="array" ref="O201">TRUNC($H201*(1+_xlfn.SWITCH($N201,"BDI 1",$O$6,"BDI 2",$O$7,"BDI 3",$O$8)),2)</f>
        <v>2.52</v>
      </c>
      <c r="P201" s="157" cm="1">
        <f t="array" ref="P201">TRUNC($I201*(1+_xlfn.SWITCH($N201,"BDI 1",$P$6,"BDI 2",$P$7,"BDI 3",$P$8)),2)</f>
        <v>2.66</v>
      </c>
      <c r="Q201" s="157">
        <v>0</v>
      </c>
      <c r="R201" s="157">
        <f>$Q201-($Q201*LICITACAO_DESCONTO)</f>
        <v>0</v>
      </c>
      <c r="S201" s="156">
        <f>TRUNC($K201*$O201,2)</f>
        <v>0</v>
      </c>
      <c r="T201" s="156">
        <f>TRUNC($K201*$P201,2)</f>
        <v>0</v>
      </c>
      <c r="U201" s="156">
        <f>TRUNC($J201*$R201,2)</f>
        <v>0</v>
      </c>
      <c r="V201" s="156">
        <f>TRUNC($K201*$Q201,2)</f>
        <v>0</v>
      </c>
      <c r="W201" s="156">
        <f>TRUNC(V201-U201,2)</f>
        <v>0</v>
      </c>
      <c r="X201" s="158">
        <f>$S201/ORCAMENTO_VALOR_TOTAL_ND</f>
        <v>0</v>
      </c>
      <c r="Y201" s="158">
        <f>$T201/ORCAMENTO_VALOR_TOTAL_DE</f>
        <v>0</v>
      </c>
      <c r="Z201" s="158" cm="1">
        <f t="array" ref="Z201">_xlfn.SWITCH($N201,"BDI 1",$O$6,"BDI 2",$O$7,"BDI 3",$O$8)</f>
        <v>0.20699999999999999</v>
      </c>
      <c r="AA201" s="158" cm="1">
        <f t="array" ref="AA201">_xlfn.SWITCH($N201,"BDI 1",$P$6,"BDI 2",$P$7,"BDI 3",$P$8)</f>
        <v>0.26739999999999997</v>
      </c>
      <c r="AB201" s="158">
        <f ca="1">IFERROR($S201/_xlfn.XLOOKUP($AE201,$B$16:$B$38,$S$16:$S$38),0)</f>
        <v>0</v>
      </c>
      <c r="AC201" s="158">
        <f ca="1">IFERROR($T201/_xlfn.XLOOKUP($AE201,$B$16:$B$38,$T$16:$T$38),0)</f>
        <v>0</v>
      </c>
      <c r="AD201" s="164"/>
      <c r="AE201" s="148">
        <f t="shared" ref="AE201:AE202" si="313">IF(S201&gt;0,IFERROR(TRUNC(A201,0),0),0)</f>
        <v>0</v>
      </c>
      <c r="AF201" s="149"/>
      <c r="AG201" s="150"/>
      <c r="AH201" s="159" t="e">
        <f>S201/S$118</f>
        <v>#DIV/0!</v>
      </c>
      <c r="AI201" s="160"/>
      <c r="AJ201" s="105"/>
      <c r="AK201" s="105"/>
      <c r="AM201" s="105"/>
      <c r="AN201" s="105"/>
      <c r="AO201" s="105"/>
      <c r="AP201" s="105"/>
      <c r="AQ201" s="105"/>
      <c r="AR201" s="105"/>
    </row>
    <row r="202" spans="1:44" s="49" customFormat="1" ht="40.15" hidden="1" customHeight="1">
      <c r="A202" s="152">
        <f t="shared" ca="1" si="298"/>
        <v>0</v>
      </c>
      <c r="B202" s="153">
        <v>93593</v>
      </c>
      <c r="C202" s="154" t="str">
        <f>TEXT(B202,"0")</f>
        <v>93593</v>
      </c>
      <c r="D202" s="154" t="s">
        <v>1416</v>
      </c>
      <c r="E202" s="155" t="s">
        <v>3545</v>
      </c>
      <c r="F202" s="154">
        <f>Dados_DMT!$B$34-F201</f>
        <v>80</v>
      </c>
      <c r="G202" s="154" t="s">
        <v>3538</v>
      </c>
      <c r="H202" s="152">
        <v>0.84</v>
      </c>
      <c r="I202" s="152">
        <v>0.85</v>
      </c>
      <c r="J202" s="156"/>
      <c r="K202" s="156">
        <f>ROUND(Dre_Terraplenagem!AI211*F202,2)</f>
        <v>0</v>
      </c>
      <c r="L202" s="156">
        <f>IF($K202&gt;$J202,$K202-$J202,0)</f>
        <v>0</v>
      </c>
      <c r="M202" s="156">
        <f>IF($K202&lt;$J202,$J202-$K202,0)</f>
        <v>0</v>
      </c>
      <c r="N202" s="156" t="s">
        <v>83</v>
      </c>
      <c r="O202" s="157" cm="1">
        <f t="array" ref="O202">TRUNC($H202*(1+_xlfn.SWITCH($N202,"BDI 1",$O$6,"BDI 2",$O$7,"BDI 3",$O$8)),2)</f>
        <v>1.01</v>
      </c>
      <c r="P202" s="157" cm="1">
        <f t="array" ref="P202">TRUNC($I202*(1+_xlfn.SWITCH($N202,"BDI 1",$P$6,"BDI 2",$P$7,"BDI 3",$P$8)),2)</f>
        <v>1.07</v>
      </c>
      <c r="Q202" s="157">
        <v>0</v>
      </c>
      <c r="R202" s="157">
        <f>$Q202-($Q202*LICITACAO_DESCONTO)</f>
        <v>0</v>
      </c>
      <c r="S202" s="156">
        <f>TRUNC($K202*$O202,2)</f>
        <v>0</v>
      </c>
      <c r="T202" s="156">
        <f>TRUNC($K202*$P202,2)</f>
        <v>0</v>
      </c>
      <c r="U202" s="156">
        <f>TRUNC($J202*$R202,2)</f>
        <v>0</v>
      </c>
      <c r="V202" s="156">
        <f>TRUNC($K202*$Q202,2)</f>
        <v>0</v>
      </c>
      <c r="W202" s="156">
        <f>TRUNC(V202-U202,2)</f>
        <v>0</v>
      </c>
      <c r="X202" s="158">
        <f>$S202/ORCAMENTO_VALOR_TOTAL_ND</f>
        <v>0</v>
      </c>
      <c r="Y202" s="158">
        <f>$T202/ORCAMENTO_VALOR_TOTAL_DE</f>
        <v>0</v>
      </c>
      <c r="Z202" s="158" cm="1">
        <f t="array" ref="Z202">_xlfn.SWITCH($N202,"BDI 1",$O$6,"BDI 2",$O$7,"BDI 3",$O$8)</f>
        <v>0.20699999999999999</v>
      </c>
      <c r="AA202" s="158" cm="1">
        <f t="array" ref="AA202">_xlfn.SWITCH($N202,"BDI 1",$P$6,"BDI 2",$P$7,"BDI 3",$P$8)</f>
        <v>0.26739999999999997</v>
      </c>
      <c r="AB202" s="158">
        <f ca="1">IFERROR($S202/_xlfn.XLOOKUP($AE202,$B$16:$B$38,$S$16:$S$38),0)</f>
        <v>0</v>
      </c>
      <c r="AC202" s="158">
        <f ca="1">IFERROR($T202/_xlfn.XLOOKUP($AE202,$B$16:$B$38,$T$16:$T$38),0)</f>
        <v>0</v>
      </c>
      <c r="AD202" s="164"/>
      <c r="AE202" s="148">
        <f t="shared" si="313"/>
        <v>0</v>
      </c>
      <c r="AF202" s="149"/>
      <c r="AG202" s="150"/>
      <c r="AH202" s="159" t="e">
        <f>S202/S$118</f>
        <v>#DIV/0!</v>
      </c>
      <c r="AI202" s="166">
        <f>IF(K202=0,0,K202/F202)</f>
        <v>0</v>
      </c>
      <c r="AJ202" s="105"/>
      <c r="AK202" s="105"/>
      <c r="AM202" s="105"/>
      <c r="AN202" s="105"/>
      <c r="AO202" s="105"/>
      <c r="AP202" s="105"/>
      <c r="AQ202" s="105"/>
      <c r="AR202" s="105"/>
    </row>
    <row r="203" spans="1:44" s="49" customFormat="1" ht="30" hidden="1" customHeight="1" thickBot="1">
      <c r="A203" s="10">
        <f t="shared" ca="1" si="298"/>
        <v>0</v>
      </c>
      <c r="B203" s="153"/>
      <c r="C203" s="154"/>
      <c r="D203" s="154"/>
      <c r="E203" s="155"/>
      <c r="F203" s="154"/>
      <c r="G203" s="154"/>
      <c r="H203" s="154"/>
      <c r="I203" s="154"/>
      <c r="J203" s="154"/>
      <c r="K203" s="154"/>
      <c r="L203" s="154"/>
      <c r="M203" s="154"/>
      <c r="N203" s="154"/>
      <c r="O203" s="157"/>
      <c r="P203" s="157"/>
      <c r="Q203" s="157"/>
      <c r="R203" s="157"/>
      <c r="S203" s="162"/>
      <c r="T203" s="162"/>
      <c r="U203" s="162"/>
      <c r="V203" s="162"/>
      <c r="W203" s="162"/>
      <c r="X203" s="163"/>
      <c r="Y203" s="163"/>
      <c r="Z203" s="163"/>
      <c r="AA203" s="163"/>
      <c r="AB203" s="163"/>
      <c r="AC203" s="163"/>
      <c r="AD203" s="164"/>
      <c r="AE203" s="148">
        <f>IF(S204&gt;0,IFERROR(TRUNC(A204,0),0),0)</f>
        <v>0</v>
      </c>
      <c r="AF203" s="149"/>
      <c r="AG203" s="150"/>
      <c r="AH203" s="159"/>
      <c r="AI203" s="185"/>
      <c r="AJ203" s="105"/>
      <c r="AK203" s="105"/>
      <c r="AM203" s="105"/>
      <c r="AN203" s="105"/>
      <c r="AO203" s="105"/>
      <c r="AP203" s="105"/>
      <c r="AQ203" s="105"/>
      <c r="AR203" s="105"/>
    </row>
    <row r="204" spans="1:44" s="105" customFormat="1" ht="40.15" hidden="1" customHeight="1" thickTop="1" thickBot="1">
      <c r="A204" s="186">
        <f ca="1">$B$20</f>
        <v>0</v>
      </c>
      <c r="B204" s="170"/>
      <c r="C204" s="171"/>
      <c r="D204" s="172"/>
      <c r="E204" s="173" t="str">
        <f>$D$20</f>
        <v>MICRODRENAGEM - GALERIAS</v>
      </c>
      <c r="F204" s="174">
        <v>0</v>
      </c>
      <c r="G204" s="175"/>
      <c r="H204" s="176" t="s">
        <v>141</v>
      </c>
      <c r="I204" s="176" t="s">
        <v>141</v>
      </c>
      <c r="J204" s="177"/>
      <c r="K204" s="177"/>
      <c r="L204" s="177"/>
      <c r="M204" s="177"/>
      <c r="N204" s="177"/>
      <c r="O204" s="178" t="str">
        <f ca="1">CONCATENATE("SUB-TOTAL ",$A204)</f>
        <v>SUB-TOTAL 0</v>
      </c>
      <c r="P204" s="178" t="e" cm="1">
        <f t="array" ref="P204">TRUNC($I204*(1+_xlfn.SWITCH($N204,"BDI 1",$P$6,"BDI 2",$P$7,"BDI 3",$P$8)),2)</f>
        <v>#VALUE!</v>
      </c>
      <c r="Q204" s="178" t="str">
        <f ca="1">CONCATENATE("SUB-TOTAL ",$A204)</f>
        <v>SUB-TOTAL 0</v>
      </c>
      <c r="R204" s="178"/>
      <c r="S204" s="179">
        <f>SUM(S205:S277)</f>
        <v>0</v>
      </c>
      <c r="T204" s="179">
        <f>SUM(T205:T277)</f>
        <v>0</v>
      </c>
      <c r="U204" s="179">
        <f>SUM(U205:U277)</f>
        <v>0</v>
      </c>
      <c r="V204" s="179">
        <f>SUM(V205:V277)</f>
        <v>0</v>
      </c>
      <c r="W204" s="179">
        <f t="shared" ref="W204:W267" si="314">TRUNC(V204-U204,2)</f>
        <v>0</v>
      </c>
      <c r="X204" s="180">
        <f t="shared" ref="X204" si="315">$S204/ORCAMENTO_VALOR_TOTAL_ND</f>
        <v>0</v>
      </c>
      <c r="Y204" s="180">
        <f t="shared" ref="Y204" si="316">$T204/ORCAMENTO_VALOR_TOTAL_DE</f>
        <v>0</v>
      </c>
      <c r="Z204" s="180"/>
      <c r="AA204" s="180"/>
      <c r="AB204" s="180">
        <f>IFERROR($S204/$S204,0)</f>
        <v>0</v>
      </c>
      <c r="AC204" s="180">
        <f>IFERROR($T204/$T204,0)</f>
        <v>0</v>
      </c>
      <c r="AD204" s="147"/>
      <c r="AE204" s="148">
        <f t="shared" ref="AE204:AE267" si="317">IF(S204&gt;0,IFERROR(TRUNC(A204,0),0),0)</f>
        <v>0</v>
      </c>
      <c r="AF204" s="149"/>
      <c r="AG204" s="150"/>
      <c r="AH204" s="151" t="e">
        <f t="shared" ref="AH204:AH263" si="318">S204/S$204</f>
        <v>#DIV/0!</v>
      </c>
      <c r="AI204" s="194" t="s">
        <v>142</v>
      </c>
      <c r="AJ204" s="194" t="str">
        <f>IF(SUMPRODUCT(Dren_Quantificacao!D4:CO4,Dren_Quantificacao!D5:CO5)=SUM(K205:K216)+SUM(K229:K237)+SUM(K256:K262),"OK","Erro")</f>
        <v>Erro</v>
      </c>
      <c r="AO204" s="49"/>
      <c r="AP204" s="49"/>
      <c r="AQ204" s="49"/>
      <c r="AR204" s="49"/>
    </row>
    <row r="205" spans="1:44" s="49" customFormat="1" ht="40.15" hidden="1" customHeight="1" thickTop="1">
      <c r="A205" s="152">
        <f t="shared" ref="A205:A268" ca="1" si="319">IF(K205&gt;0,A204+0.01,A204)</f>
        <v>0</v>
      </c>
      <c r="B205" s="153">
        <v>7781</v>
      </c>
      <c r="C205" s="154" t="str">
        <f t="shared" ref="C205:C268" si="320">TEXT(B205,"0")</f>
        <v>7781</v>
      </c>
      <c r="D205" s="154" t="s">
        <v>3579</v>
      </c>
      <c r="E205" s="155" t="s">
        <v>3681</v>
      </c>
      <c r="F205" s="154"/>
      <c r="G205" s="154" t="s">
        <v>58</v>
      </c>
      <c r="H205" s="152">
        <v>73.260000000000005</v>
      </c>
      <c r="I205" s="152">
        <v>73.260000000000005</v>
      </c>
      <c r="J205" s="156"/>
      <c r="K205" s="156">
        <f>Dre_Disp_Estruturais!AI10+Dre_Disp_Estruturais!AI13</f>
        <v>0</v>
      </c>
      <c r="L205" s="156">
        <f t="shared" ref="L205:L268" si="321">IF($K205&gt;$J205,$K205-$J205,0)</f>
        <v>0</v>
      </c>
      <c r="M205" s="156">
        <f t="shared" ref="M205:M268" si="322">IF($K205&lt;$J205,$J205-$K205,0)</f>
        <v>0</v>
      </c>
      <c r="N205" s="156" t="s">
        <v>92</v>
      </c>
      <c r="O205" s="157" cm="1">
        <f t="array" ref="O205">TRUNC($H205*(1+_xlfn.SWITCH($N205,"BDI 1",$O$6,"BDI 2",$O$7,"BDI 3",$O$8)),2)</f>
        <v>84.44</v>
      </c>
      <c r="P205" s="157" cm="1">
        <f t="array" ref="P205">TRUNC($I205*(1+_xlfn.SWITCH($N205,"BDI 1",$P$6,"BDI 2",$P$7,"BDI 3",$P$8)),2)</f>
        <v>84.44</v>
      </c>
      <c r="Q205" s="157">
        <v>0</v>
      </c>
      <c r="R205" s="157">
        <f t="shared" ref="R205:R268" si="323">$Q205-($Q205*LICITACAO_DESCONTO)</f>
        <v>0</v>
      </c>
      <c r="S205" s="156">
        <f t="shared" ref="S205:S268" si="324">TRUNC($K205*$O205,2)</f>
        <v>0</v>
      </c>
      <c r="T205" s="156">
        <f t="shared" ref="T205:T268" si="325">TRUNC($K205*$P205,2)</f>
        <v>0</v>
      </c>
      <c r="U205" s="156">
        <f t="shared" ref="U205:U268" si="326">TRUNC($J205*$R205,2)</f>
        <v>0</v>
      </c>
      <c r="V205" s="156">
        <f t="shared" ref="V205:V268" si="327">TRUNC($K205*$Q205,2)</f>
        <v>0</v>
      </c>
      <c r="W205" s="156">
        <f t="shared" si="314"/>
        <v>0</v>
      </c>
      <c r="X205" s="158">
        <f t="shared" ref="X205" si="328">$S205/ORCAMENTO_VALOR_TOTAL_ND</f>
        <v>0</v>
      </c>
      <c r="Y205" s="158">
        <f t="shared" ref="Y205" si="329">$T205/ORCAMENTO_VALOR_TOTAL_DE</f>
        <v>0</v>
      </c>
      <c r="Z205" s="158" cm="1">
        <f t="array" ref="Z205">_xlfn.SWITCH($N205,"BDI 1",$O$6,"BDI 2",$O$7,"BDI 3",$O$8)</f>
        <v>0.1527</v>
      </c>
      <c r="AA205" s="158" cm="1">
        <f t="array" ref="AA205">_xlfn.SWITCH($N205,"BDI 1",$P$6,"BDI 2",$P$7,"BDI 3",$P$8)</f>
        <v>0.1527</v>
      </c>
      <c r="AB205" s="158">
        <f t="shared" ref="AB205:AB268" ca="1" si="330">IFERROR($S205/_xlfn.XLOOKUP($AE205,$B$16:$B$38,$S$16:$S$38),0)</f>
        <v>0</v>
      </c>
      <c r="AC205" s="158">
        <f t="shared" ref="AC205:AC268" ca="1" si="331">IFERROR($T205/_xlfn.XLOOKUP($AE205,$B$16:$B$38,$T$16:$T$38),0)</f>
        <v>0</v>
      </c>
      <c r="AD205" s="164"/>
      <c r="AE205" s="148">
        <f t="shared" si="317"/>
        <v>0</v>
      </c>
      <c r="AF205" s="149"/>
      <c r="AG205" s="150"/>
      <c r="AH205" s="159" t="e">
        <f t="shared" si="318"/>
        <v>#DIV/0!</v>
      </c>
      <c r="AI205" s="195"/>
      <c r="AJ205" s="196">
        <f>SUMPRODUCT(Dren_Quantificacao!D4:BP4,Dren_Quantificacao!D5:BP5)</f>
        <v>2836</v>
      </c>
      <c r="AK205" s="197"/>
      <c r="AM205" s="105"/>
      <c r="AN205" s="105"/>
      <c r="AO205" s="105"/>
      <c r="AP205" s="105"/>
      <c r="AQ205" s="105"/>
      <c r="AR205" s="105"/>
    </row>
    <row r="206" spans="1:44" s="49" customFormat="1" ht="40.15" hidden="1" customHeight="1">
      <c r="A206" s="152">
        <f t="shared" ca="1" si="319"/>
        <v>0</v>
      </c>
      <c r="B206" s="153">
        <v>7791</v>
      </c>
      <c r="C206" s="154" t="str">
        <f t="shared" si="320"/>
        <v>7791</v>
      </c>
      <c r="D206" s="154" t="s">
        <v>3579</v>
      </c>
      <c r="E206" s="155" t="s">
        <v>3682</v>
      </c>
      <c r="F206" s="154"/>
      <c r="G206" s="154" t="s">
        <v>58</v>
      </c>
      <c r="H206" s="152">
        <v>130.53</v>
      </c>
      <c r="I206" s="152">
        <v>130.53</v>
      </c>
      <c r="J206" s="156"/>
      <c r="K206" s="156">
        <f>Dre_Disp_Estruturais!AI11+Dre_Disp_Estruturais!AI12+Dre_Disp_Estruturais!AI14+Dre_Disp_Estruturais!AI15</f>
        <v>0</v>
      </c>
      <c r="L206" s="156">
        <f t="shared" si="321"/>
        <v>0</v>
      </c>
      <c r="M206" s="156">
        <f t="shared" si="322"/>
        <v>0</v>
      </c>
      <c r="N206" s="156" t="s">
        <v>92</v>
      </c>
      <c r="O206" s="157" cm="1">
        <f t="array" ref="O206">TRUNC($H206*(1+_xlfn.SWITCH($N206,"BDI 1",$O$6,"BDI 2",$O$7,"BDI 3",$O$8)),2)</f>
        <v>150.46</v>
      </c>
      <c r="P206" s="157" cm="1">
        <f t="array" ref="P206">TRUNC($I206*(1+_xlfn.SWITCH($N206,"BDI 1",$P$6,"BDI 2",$P$7,"BDI 3",$P$8)),2)</f>
        <v>150.46</v>
      </c>
      <c r="Q206" s="157">
        <v>0</v>
      </c>
      <c r="R206" s="157">
        <f t="shared" si="323"/>
        <v>0</v>
      </c>
      <c r="S206" s="156">
        <f t="shared" si="324"/>
        <v>0</v>
      </c>
      <c r="T206" s="156">
        <f t="shared" si="325"/>
        <v>0</v>
      </c>
      <c r="U206" s="156">
        <f t="shared" si="326"/>
        <v>0</v>
      </c>
      <c r="V206" s="156">
        <f t="shared" si="327"/>
        <v>0</v>
      </c>
      <c r="W206" s="156">
        <f t="shared" si="314"/>
        <v>0</v>
      </c>
      <c r="X206" s="158">
        <f t="shared" ref="X206" si="332">$S206/ORCAMENTO_VALOR_TOTAL_ND</f>
        <v>0</v>
      </c>
      <c r="Y206" s="158">
        <f t="shared" ref="Y206" si="333">$T206/ORCAMENTO_VALOR_TOTAL_DE</f>
        <v>0</v>
      </c>
      <c r="Z206" s="158" cm="1">
        <f t="array" ref="Z206">_xlfn.SWITCH($N206,"BDI 1",$O$6,"BDI 2",$O$7,"BDI 3",$O$8)</f>
        <v>0.1527</v>
      </c>
      <c r="AA206" s="158" cm="1">
        <f t="array" ref="AA206">_xlfn.SWITCH($N206,"BDI 1",$P$6,"BDI 2",$P$7,"BDI 3",$P$8)</f>
        <v>0.1527</v>
      </c>
      <c r="AB206" s="158">
        <f t="shared" ca="1" si="330"/>
        <v>0</v>
      </c>
      <c r="AC206" s="158">
        <f t="shared" ca="1" si="331"/>
        <v>0</v>
      </c>
      <c r="AD206" s="164"/>
      <c r="AE206" s="148">
        <f t="shared" si="317"/>
        <v>0</v>
      </c>
      <c r="AF206" s="149"/>
      <c r="AG206" s="150"/>
      <c r="AH206" s="159" t="e">
        <f t="shared" si="318"/>
        <v>#DIV/0!</v>
      </c>
      <c r="AI206" s="195"/>
      <c r="AJ206" s="196">
        <f>SUM(K205:K216)</f>
        <v>0</v>
      </c>
      <c r="AK206" s="197"/>
      <c r="AM206" s="105"/>
      <c r="AN206" s="105"/>
      <c r="AO206" s="105"/>
      <c r="AP206" s="105"/>
      <c r="AQ206" s="105"/>
      <c r="AR206" s="105"/>
    </row>
    <row r="207" spans="1:44" s="49" customFormat="1" ht="40.15" hidden="1" customHeight="1">
      <c r="A207" s="152">
        <f t="shared" ca="1" si="319"/>
        <v>0</v>
      </c>
      <c r="B207" s="153">
        <v>7725</v>
      </c>
      <c r="C207" s="154" t="str">
        <f t="shared" si="320"/>
        <v>7725</v>
      </c>
      <c r="D207" s="154" t="s">
        <v>3579</v>
      </c>
      <c r="E207" s="155" t="s">
        <v>3683</v>
      </c>
      <c r="F207" s="154"/>
      <c r="G207" s="154" t="s">
        <v>58</v>
      </c>
      <c r="H207" s="152">
        <v>258</v>
      </c>
      <c r="I207" s="152">
        <v>258</v>
      </c>
      <c r="J207" s="156"/>
      <c r="K207" s="156">
        <f>Dre_Disp_Estruturais!AI16+Dre_Disp_Estruturais!AI21</f>
        <v>0</v>
      </c>
      <c r="L207" s="156">
        <f t="shared" si="321"/>
        <v>0</v>
      </c>
      <c r="M207" s="156">
        <f t="shared" si="322"/>
        <v>0</v>
      </c>
      <c r="N207" s="156" t="s">
        <v>92</v>
      </c>
      <c r="O207" s="157" cm="1">
        <f t="array" ref="O207">TRUNC($H207*(1+_xlfn.SWITCH($N207,"BDI 1",$O$6,"BDI 2",$O$7,"BDI 3",$O$8)),2)</f>
        <v>297.39</v>
      </c>
      <c r="P207" s="157" cm="1">
        <f t="array" ref="P207">TRUNC($I207*(1+_xlfn.SWITCH($N207,"BDI 1",$P$6,"BDI 2",$P$7,"BDI 3",$P$8)),2)</f>
        <v>297.39</v>
      </c>
      <c r="Q207" s="157">
        <v>0</v>
      </c>
      <c r="R207" s="157">
        <f t="shared" si="323"/>
        <v>0</v>
      </c>
      <c r="S207" s="156">
        <f t="shared" si="324"/>
        <v>0</v>
      </c>
      <c r="T207" s="156">
        <f t="shared" si="325"/>
        <v>0</v>
      </c>
      <c r="U207" s="156">
        <f t="shared" si="326"/>
        <v>0</v>
      </c>
      <c r="V207" s="156">
        <f t="shared" si="327"/>
        <v>0</v>
      </c>
      <c r="W207" s="156">
        <f t="shared" si="314"/>
        <v>0</v>
      </c>
      <c r="X207" s="158">
        <f t="shared" ref="X207" si="334">$S207/ORCAMENTO_VALOR_TOTAL_ND</f>
        <v>0</v>
      </c>
      <c r="Y207" s="158">
        <f t="shared" ref="Y207" si="335">$T207/ORCAMENTO_VALOR_TOTAL_DE</f>
        <v>0</v>
      </c>
      <c r="Z207" s="158" cm="1">
        <f t="array" ref="Z207">_xlfn.SWITCH($N207,"BDI 1",$O$6,"BDI 2",$O$7,"BDI 3",$O$8)</f>
        <v>0.1527</v>
      </c>
      <c r="AA207" s="158" cm="1">
        <f t="array" ref="AA207">_xlfn.SWITCH($N207,"BDI 1",$P$6,"BDI 2",$P$7,"BDI 3",$P$8)</f>
        <v>0.1527</v>
      </c>
      <c r="AB207" s="158">
        <f t="shared" ca="1" si="330"/>
        <v>0</v>
      </c>
      <c r="AC207" s="158">
        <f t="shared" ca="1" si="331"/>
        <v>0</v>
      </c>
      <c r="AD207" s="164"/>
      <c r="AE207" s="148">
        <f t="shared" si="317"/>
        <v>0</v>
      </c>
      <c r="AF207" s="149"/>
      <c r="AG207" s="150"/>
      <c r="AH207" s="159" t="e">
        <f t="shared" si="318"/>
        <v>#DIV/0!</v>
      </c>
      <c r="AI207" s="195"/>
      <c r="AJ207" s="196">
        <f>SUM(K229:K237)</f>
        <v>0</v>
      </c>
      <c r="AK207" s="196">
        <f>SUM(K238:K255)</f>
        <v>0</v>
      </c>
      <c r="AM207" s="105"/>
      <c r="AN207" s="105"/>
      <c r="AO207" s="105"/>
      <c r="AP207" s="105"/>
      <c r="AQ207" s="105"/>
      <c r="AR207" s="105"/>
    </row>
    <row r="208" spans="1:44" s="49" customFormat="1" ht="40.15" hidden="1" customHeight="1">
      <c r="A208" s="152">
        <f t="shared" ca="1" si="319"/>
        <v>0</v>
      </c>
      <c r="B208" s="153">
        <v>7750</v>
      </c>
      <c r="C208" s="154" t="str">
        <f t="shared" si="320"/>
        <v>7750</v>
      </c>
      <c r="D208" s="154" t="s">
        <v>3579</v>
      </c>
      <c r="E208" s="155" t="s">
        <v>3684</v>
      </c>
      <c r="F208" s="154"/>
      <c r="G208" s="154" t="s">
        <v>58</v>
      </c>
      <c r="H208" s="152">
        <v>429.27</v>
      </c>
      <c r="I208" s="152">
        <v>429.27</v>
      </c>
      <c r="J208" s="156"/>
      <c r="K208" s="156">
        <f>Dre_Disp_Estruturais!AI17+Dre_Disp_Estruturais!AI22</f>
        <v>0</v>
      </c>
      <c r="L208" s="156">
        <f t="shared" si="321"/>
        <v>0</v>
      </c>
      <c r="M208" s="156">
        <f t="shared" si="322"/>
        <v>0</v>
      </c>
      <c r="N208" s="156" t="s">
        <v>92</v>
      </c>
      <c r="O208" s="157" cm="1">
        <f t="array" ref="O208">TRUNC($H208*(1+_xlfn.SWITCH($N208,"BDI 1",$O$6,"BDI 2",$O$7,"BDI 3",$O$8)),2)</f>
        <v>494.81</v>
      </c>
      <c r="P208" s="157" cm="1">
        <f t="array" ref="P208">TRUNC($I208*(1+_xlfn.SWITCH($N208,"BDI 1",$P$6,"BDI 2",$P$7,"BDI 3",$P$8)),2)</f>
        <v>494.81</v>
      </c>
      <c r="Q208" s="157">
        <v>0</v>
      </c>
      <c r="R208" s="157">
        <f t="shared" si="323"/>
        <v>0</v>
      </c>
      <c r="S208" s="156">
        <f t="shared" si="324"/>
        <v>0</v>
      </c>
      <c r="T208" s="156">
        <f t="shared" si="325"/>
        <v>0</v>
      </c>
      <c r="U208" s="156">
        <f t="shared" si="326"/>
        <v>0</v>
      </c>
      <c r="V208" s="156">
        <f t="shared" si="327"/>
        <v>0</v>
      </c>
      <c r="W208" s="156">
        <f t="shared" si="314"/>
        <v>0</v>
      </c>
      <c r="X208" s="158">
        <f t="shared" ref="X208" si="336">$S208/ORCAMENTO_VALOR_TOTAL_ND</f>
        <v>0</v>
      </c>
      <c r="Y208" s="158">
        <f t="shared" ref="Y208" si="337">$T208/ORCAMENTO_VALOR_TOTAL_DE</f>
        <v>0</v>
      </c>
      <c r="Z208" s="158" cm="1">
        <f t="array" ref="Z208">_xlfn.SWITCH($N208,"BDI 1",$O$6,"BDI 2",$O$7,"BDI 3",$O$8)</f>
        <v>0.1527</v>
      </c>
      <c r="AA208" s="158" cm="1">
        <f t="array" ref="AA208">_xlfn.SWITCH($N208,"BDI 1",$P$6,"BDI 2",$P$7,"BDI 3",$P$8)</f>
        <v>0.1527</v>
      </c>
      <c r="AB208" s="158">
        <f t="shared" ca="1" si="330"/>
        <v>0</v>
      </c>
      <c r="AC208" s="158">
        <f t="shared" ca="1" si="331"/>
        <v>0</v>
      </c>
      <c r="AD208" s="164"/>
      <c r="AE208" s="148">
        <f t="shared" si="317"/>
        <v>0</v>
      </c>
      <c r="AF208" s="149"/>
      <c r="AG208" s="150"/>
      <c r="AH208" s="159" t="e">
        <f t="shared" si="318"/>
        <v>#DIV/0!</v>
      </c>
      <c r="AI208" s="195"/>
      <c r="AJ208" s="196">
        <f>SUM(K256:K262)</f>
        <v>0</v>
      </c>
      <c r="AK208" s="197"/>
      <c r="AM208" s="105"/>
      <c r="AN208" s="105"/>
      <c r="AO208" s="105"/>
      <c r="AP208" s="105"/>
      <c r="AQ208" s="105"/>
      <c r="AR208" s="105"/>
    </row>
    <row r="209" spans="1:44" s="49" customFormat="1" ht="40.15" hidden="1" customHeight="1">
      <c r="A209" s="152">
        <f t="shared" ca="1" si="319"/>
        <v>0</v>
      </c>
      <c r="B209" s="153">
        <v>7753</v>
      </c>
      <c r="C209" s="154" t="str">
        <f t="shared" si="320"/>
        <v>7753</v>
      </c>
      <c r="D209" s="154" t="s">
        <v>3579</v>
      </c>
      <c r="E209" s="155" t="s">
        <v>3685</v>
      </c>
      <c r="F209" s="154"/>
      <c r="G209" s="154" t="s">
        <v>58</v>
      </c>
      <c r="H209" s="152">
        <v>502.99</v>
      </c>
      <c r="I209" s="152">
        <v>502.99</v>
      </c>
      <c r="J209" s="156"/>
      <c r="K209" s="156">
        <f>Dre_Disp_Estruturais!AI18+Dre_Disp_Estruturais!AI23</f>
        <v>0</v>
      </c>
      <c r="L209" s="156">
        <f t="shared" si="321"/>
        <v>0</v>
      </c>
      <c r="M209" s="156">
        <f t="shared" si="322"/>
        <v>0</v>
      </c>
      <c r="N209" s="156" t="s">
        <v>92</v>
      </c>
      <c r="O209" s="157" cm="1">
        <f t="array" ref="O209">TRUNC($H209*(1+_xlfn.SWITCH($N209,"BDI 1",$O$6,"BDI 2",$O$7,"BDI 3",$O$8)),2)</f>
        <v>579.79</v>
      </c>
      <c r="P209" s="157" cm="1">
        <f t="array" ref="P209">TRUNC($I209*(1+_xlfn.SWITCH($N209,"BDI 1",$P$6,"BDI 2",$P$7,"BDI 3",$P$8)),2)</f>
        <v>579.79</v>
      </c>
      <c r="Q209" s="157">
        <v>0</v>
      </c>
      <c r="R209" s="157">
        <f t="shared" si="323"/>
        <v>0</v>
      </c>
      <c r="S209" s="156">
        <f t="shared" si="324"/>
        <v>0</v>
      </c>
      <c r="T209" s="156">
        <f t="shared" si="325"/>
        <v>0</v>
      </c>
      <c r="U209" s="156">
        <f t="shared" si="326"/>
        <v>0</v>
      </c>
      <c r="V209" s="156">
        <f t="shared" si="327"/>
        <v>0</v>
      </c>
      <c r="W209" s="156">
        <f t="shared" si="314"/>
        <v>0</v>
      </c>
      <c r="X209" s="158">
        <f t="shared" ref="X209" si="338">$S209/ORCAMENTO_VALOR_TOTAL_ND</f>
        <v>0</v>
      </c>
      <c r="Y209" s="158">
        <f t="shared" ref="Y209" si="339">$T209/ORCAMENTO_VALOR_TOTAL_DE</f>
        <v>0</v>
      </c>
      <c r="Z209" s="158" cm="1">
        <f t="array" ref="Z209">_xlfn.SWITCH($N209,"BDI 1",$O$6,"BDI 2",$O$7,"BDI 3",$O$8)</f>
        <v>0.1527</v>
      </c>
      <c r="AA209" s="158" cm="1">
        <f t="array" ref="AA209">_xlfn.SWITCH($N209,"BDI 1",$P$6,"BDI 2",$P$7,"BDI 3",$P$8)</f>
        <v>0.1527</v>
      </c>
      <c r="AB209" s="158">
        <f t="shared" ca="1" si="330"/>
        <v>0</v>
      </c>
      <c r="AC209" s="158">
        <f t="shared" ca="1" si="331"/>
        <v>0</v>
      </c>
      <c r="AD209" s="164"/>
      <c r="AE209" s="148">
        <f t="shared" si="317"/>
        <v>0</v>
      </c>
      <c r="AF209" s="149"/>
      <c r="AG209" s="150"/>
      <c r="AH209" s="159" t="e">
        <f t="shared" si="318"/>
        <v>#DIV/0!</v>
      </c>
      <c r="AI209" s="195"/>
      <c r="AJ209" s="167"/>
      <c r="AK209" s="105"/>
      <c r="AM209" s="105"/>
      <c r="AN209" s="105"/>
      <c r="AO209" s="105"/>
      <c r="AP209" s="105"/>
      <c r="AQ209" s="105"/>
      <c r="AR209" s="105"/>
    </row>
    <row r="210" spans="1:44" s="49" customFormat="1" ht="40.15" hidden="1" customHeight="1">
      <c r="A210" s="152">
        <f t="shared" ca="1" si="319"/>
        <v>0</v>
      </c>
      <c r="B210" s="153">
        <v>7757</v>
      </c>
      <c r="C210" s="154" t="str">
        <f t="shared" si="320"/>
        <v>7757</v>
      </c>
      <c r="D210" s="154" t="s">
        <v>3579</v>
      </c>
      <c r="E210" s="155" t="s">
        <v>3686</v>
      </c>
      <c r="F210" s="154"/>
      <c r="G210" s="154" t="s">
        <v>58</v>
      </c>
      <c r="H210" s="152">
        <v>751.23</v>
      </c>
      <c r="I210" s="152">
        <v>751.23</v>
      </c>
      <c r="J210" s="156"/>
      <c r="K210" s="156">
        <f>Dre_Disp_Estruturais!AI19+Dre_Disp_Estruturais!AI24</f>
        <v>0</v>
      </c>
      <c r="L210" s="156">
        <f t="shared" si="321"/>
        <v>0</v>
      </c>
      <c r="M210" s="156">
        <f t="shared" si="322"/>
        <v>0</v>
      </c>
      <c r="N210" s="156" t="s">
        <v>92</v>
      </c>
      <c r="O210" s="157" cm="1">
        <f t="array" ref="O210">TRUNC($H210*(1+_xlfn.SWITCH($N210,"BDI 1",$O$6,"BDI 2",$O$7,"BDI 3",$O$8)),2)</f>
        <v>865.94</v>
      </c>
      <c r="P210" s="157" cm="1">
        <f t="array" ref="P210">TRUNC($I210*(1+_xlfn.SWITCH($N210,"BDI 1",$P$6,"BDI 2",$P$7,"BDI 3",$P$8)),2)</f>
        <v>865.94</v>
      </c>
      <c r="Q210" s="157">
        <v>0</v>
      </c>
      <c r="R210" s="157">
        <f t="shared" si="323"/>
        <v>0</v>
      </c>
      <c r="S210" s="156">
        <f t="shared" si="324"/>
        <v>0</v>
      </c>
      <c r="T210" s="156">
        <f t="shared" si="325"/>
        <v>0</v>
      </c>
      <c r="U210" s="156">
        <f t="shared" si="326"/>
        <v>0</v>
      </c>
      <c r="V210" s="156">
        <f t="shared" si="327"/>
        <v>0</v>
      </c>
      <c r="W210" s="156">
        <f t="shared" si="314"/>
        <v>0</v>
      </c>
      <c r="X210" s="158">
        <f t="shared" ref="X210" si="340">$S210/ORCAMENTO_VALOR_TOTAL_ND</f>
        <v>0</v>
      </c>
      <c r="Y210" s="158">
        <f t="shared" ref="Y210" si="341">$T210/ORCAMENTO_VALOR_TOTAL_DE</f>
        <v>0</v>
      </c>
      <c r="Z210" s="158" cm="1">
        <f t="array" ref="Z210">_xlfn.SWITCH($N210,"BDI 1",$O$6,"BDI 2",$O$7,"BDI 3",$O$8)</f>
        <v>0.1527</v>
      </c>
      <c r="AA210" s="158" cm="1">
        <f t="array" ref="AA210">_xlfn.SWITCH($N210,"BDI 1",$P$6,"BDI 2",$P$7,"BDI 3",$P$8)</f>
        <v>0.1527</v>
      </c>
      <c r="AB210" s="158">
        <f t="shared" ca="1" si="330"/>
        <v>0</v>
      </c>
      <c r="AC210" s="158">
        <f t="shared" ca="1" si="331"/>
        <v>0</v>
      </c>
      <c r="AD210" s="164"/>
      <c r="AE210" s="148">
        <f t="shared" si="317"/>
        <v>0</v>
      </c>
      <c r="AF210" s="149"/>
      <c r="AG210" s="150"/>
      <c r="AH210" s="159" t="e">
        <f t="shared" si="318"/>
        <v>#DIV/0!</v>
      </c>
      <c r="AI210" s="195"/>
      <c r="AJ210" s="167"/>
      <c r="AK210" s="105"/>
      <c r="AM210" s="105"/>
      <c r="AN210" s="105"/>
      <c r="AO210" s="105"/>
      <c r="AP210" s="105"/>
      <c r="AQ210" s="105"/>
      <c r="AR210" s="105"/>
    </row>
    <row r="211" spans="1:44" s="49" customFormat="1" ht="40.15" hidden="1" customHeight="1">
      <c r="A211" s="152">
        <f t="shared" ca="1" si="319"/>
        <v>0</v>
      </c>
      <c r="B211" s="153">
        <v>7758</v>
      </c>
      <c r="C211" s="154" t="str">
        <f t="shared" si="320"/>
        <v>7758</v>
      </c>
      <c r="D211" s="154" t="s">
        <v>3579</v>
      </c>
      <c r="E211" s="155" t="s">
        <v>3687</v>
      </c>
      <c r="F211" s="154"/>
      <c r="G211" s="154" t="s">
        <v>58</v>
      </c>
      <c r="H211" s="152">
        <v>1088.3599999999999</v>
      </c>
      <c r="I211" s="152">
        <v>1088.3599999999999</v>
      </c>
      <c r="J211" s="156"/>
      <c r="K211" s="156">
        <f>Dre_Disp_Estruturais!AI20+Dre_Disp_Estruturais!AI25</f>
        <v>0</v>
      </c>
      <c r="L211" s="156">
        <f t="shared" si="321"/>
        <v>0</v>
      </c>
      <c r="M211" s="156">
        <f t="shared" si="322"/>
        <v>0</v>
      </c>
      <c r="N211" s="156" t="s">
        <v>92</v>
      </c>
      <c r="O211" s="157" cm="1">
        <f t="array" ref="O211">TRUNC($H211*(1+_xlfn.SWITCH($N211,"BDI 1",$O$6,"BDI 2",$O$7,"BDI 3",$O$8)),2)</f>
        <v>1254.55</v>
      </c>
      <c r="P211" s="157" cm="1">
        <f t="array" ref="P211">TRUNC($I211*(1+_xlfn.SWITCH($N211,"BDI 1",$P$6,"BDI 2",$P$7,"BDI 3",$P$8)),2)</f>
        <v>1254.55</v>
      </c>
      <c r="Q211" s="157">
        <v>0</v>
      </c>
      <c r="R211" s="157">
        <f t="shared" si="323"/>
        <v>0</v>
      </c>
      <c r="S211" s="156">
        <f t="shared" si="324"/>
        <v>0</v>
      </c>
      <c r="T211" s="156">
        <f t="shared" si="325"/>
        <v>0</v>
      </c>
      <c r="U211" s="156">
        <f t="shared" si="326"/>
        <v>0</v>
      </c>
      <c r="V211" s="156">
        <f t="shared" si="327"/>
        <v>0</v>
      </c>
      <c r="W211" s="156">
        <f t="shared" si="314"/>
        <v>0</v>
      </c>
      <c r="X211" s="158">
        <f t="shared" ref="X211" si="342">$S211/ORCAMENTO_VALOR_TOTAL_ND</f>
        <v>0</v>
      </c>
      <c r="Y211" s="158">
        <f t="shared" ref="Y211" si="343">$T211/ORCAMENTO_VALOR_TOTAL_DE</f>
        <v>0</v>
      </c>
      <c r="Z211" s="158" cm="1">
        <f t="array" ref="Z211">_xlfn.SWITCH($N211,"BDI 1",$O$6,"BDI 2",$O$7,"BDI 3",$O$8)</f>
        <v>0.1527</v>
      </c>
      <c r="AA211" s="158" cm="1">
        <f t="array" ref="AA211">_xlfn.SWITCH($N211,"BDI 1",$P$6,"BDI 2",$P$7,"BDI 3",$P$8)</f>
        <v>0.1527</v>
      </c>
      <c r="AB211" s="158">
        <f t="shared" ca="1" si="330"/>
        <v>0</v>
      </c>
      <c r="AC211" s="158">
        <f t="shared" ca="1" si="331"/>
        <v>0</v>
      </c>
      <c r="AD211" s="164"/>
      <c r="AE211" s="148">
        <f t="shared" si="317"/>
        <v>0</v>
      </c>
      <c r="AF211" s="149"/>
      <c r="AG211" s="150"/>
      <c r="AH211" s="159" t="e">
        <f t="shared" si="318"/>
        <v>#DIV/0!</v>
      </c>
      <c r="AI211" s="195"/>
      <c r="AJ211" s="105"/>
      <c r="AK211" s="105"/>
      <c r="AM211" s="105"/>
      <c r="AN211" s="105"/>
      <c r="AO211" s="105"/>
      <c r="AP211" s="105"/>
      <c r="AQ211" s="105"/>
      <c r="AR211" s="105"/>
    </row>
    <row r="212" spans="1:44" s="49" customFormat="1" ht="40.15" hidden="1" customHeight="1">
      <c r="A212" s="152">
        <f t="shared" ca="1" si="319"/>
        <v>0</v>
      </c>
      <c r="B212" s="153">
        <v>7762</v>
      </c>
      <c r="C212" s="154" t="str">
        <f t="shared" si="320"/>
        <v>7762</v>
      </c>
      <c r="D212" s="154" t="s">
        <v>3579</v>
      </c>
      <c r="E212" s="155" t="s">
        <v>3688</v>
      </c>
      <c r="F212" s="154"/>
      <c r="G212" s="154" t="s">
        <v>58</v>
      </c>
      <c r="H212" s="152">
        <v>223.85</v>
      </c>
      <c r="I212" s="152">
        <v>223.85</v>
      </c>
      <c r="J212" s="156"/>
      <c r="K212" s="156">
        <f>Dre_Disp_Estruturais!AI26+Dre_Disp_Estruturais!AI31</f>
        <v>0</v>
      </c>
      <c r="L212" s="156">
        <f t="shared" si="321"/>
        <v>0</v>
      </c>
      <c r="M212" s="156">
        <f t="shared" si="322"/>
        <v>0</v>
      </c>
      <c r="N212" s="156" t="s">
        <v>92</v>
      </c>
      <c r="O212" s="157" cm="1">
        <f t="array" ref="O212">TRUNC($H212*(1+_xlfn.SWITCH($N212,"BDI 1",$O$6,"BDI 2",$O$7,"BDI 3",$O$8)),2)</f>
        <v>258.02999999999997</v>
      </c>
      <c r="P212" s="157" cm="1">
        <f t="array" ref="P212">TRUNC($I212*(1+_xlfn.SWITCH($N212,"BDI 1",$P$6,"BDI 2",$P$7,"BDI 3",$P$8)),2)</f>
        <v>258.02999999999997</v>
      </c>
      <c r="Q212" s="157">
        <v>0</v>
      </c>
      <c r="R212" s="157">
        <f t="shared" si="323"/>
        <v>0</v>
      </c>
      <c r="S212" s="156">
        <f t="shared" si="324"/>
        <v>0</v>
      </c>
      <c r="T212" s="156">
        <f t="shared" si="325"/>
        <v>0</v>
      </c>
      <c r="U212" s="156">
        <f t="shared" si="326"/>
        <v>0</v>
      </c>
      <c r="V212" s="156">
        <f t="shared" si="327"/>
        <v>0</v>
      </c>
      <c r="W212" s="156">
        <f t="shared" si="314"/>
        <v>0</v>
      </c>
      <c r="X212" s="158">
        <f t="shared" ref="X212" si="344">$S212/ORCAMENTO_VALOR_TOTAL_ND</f>
        <v>0</v>
      </c>
      <c r="Y212" s="158">
        <f t="shared" ref="Y212" si="345">$T212/ORCAMENTO_VALOR_TOTAL_DE</f>
        <v>0</v>
      </c>
      <c r="Z212" s="158" cm="1">
        <f t="array" ref="Z212">_xlfn.SWITCH($N212,"BDI 1",$O$6,"BDI 2",$O$7,"BDI 3",$O$8)</f>
        <v>0.1527</v>
      </c>
      <c r="AA212" s="158" cm="1">
        <f t="array" ref="AA212">_xlfn.SWITCH($N212,"BDI 1",$P$6,"BDI 2",$P$7,"BDI 3",$P$8)</f>
        <v>0.1527</v>
      </c>
      <c r="AB212" s="158">
        <f t="shared" ca="1" si="330"/>
        <v>0</v>
      </c>
      <c r="AC212" s="158">
        <f t="shared" ca="1" si="331"/>
        <v>0</v>
      </c>
      <c r="AD212" s="164"/>
      <c r="AE212" s="148">
        <f t="shared" si="317"/>
        <v>0</v>
      </c>
      <c r="AF212" s="149"/>
      <c r="AG212" s="150"/>
      <c r="AH212" s="159" t="e">
        <f t="shared" si="318"/>
        <v>#DIV/0!</v>
      </c>
      <c r="AI212" s="195"/>
      <c r="AJ212" s="105"/>
      <c r="AK212" s="105"/>
      <c r="AM212" s="105"/>
      <c r="AN212" s="105"/>
      <c r="AO212" s="105"/>
      <c r="AP212" s="105"/>
      <c r="AQ212" s="105"/>
      <c r="AR212" s="105"/>
    </row>
    <row r="213" spans="1:44" s="49" customFormat="1" ht="40.15" hidden="1" customHeight="1">
      <c r="A213" s="152">
        <f t="shared" ca="1" si="319"/>
        <v>0</v>
      </c>
      <c r="B213" s="153">
        <v>7763</v>
      </c>
      <c r="C213" s="154" t="str">
        <f t="shared" si="320"/>
        <v>7763</v>
      </c>
      <c r="D213" s="154" t="s">
        <v>3579</v>
      </c>
      <c r="E213" s="155" t="s">
        <v>3689</v>
      </c>
      <c r="F213" s="154"/>
      <c r="G213" s="154" t="s">
        <v>58</v>
      </c>
      <c r="H213" s="152">
        <v>417.35</v>
      </c>
      <c r="I213" s="152">
        <v>417.35</v>
      </c>
      <c r="J213" s="156"/>
      <c r="K213" s="156">
        <f>Dre_Disp_Estruturais!AI27+Dre_Disp_Estruturais!AI32</f>
        <v>0</v>
      </c>
      <c r="L213" s="156">
        <f t="shared" si="321"/>
        <v>0</v>
      </c>
      <c r="M213" s="156">
        <f t="shared" si="322"/>
        <v>0</v>
      </c>
      <c r="N213" s="156" t="s">
        <v>92</v>
      </c>
      <c r="O213" s="157" cm="1">
        <f t="array" ref="O213">TRUNC($H213*(1+_xlfn.SWITCH($N213,"BDI 1",$O$6,"BDI 2",$O$7,"BDI 3",$O$8)),2)</f>
        <v>481.07</v>
      </c>
      <c r="P213" s="157" cm="1">
        <f t="array" ref="P213">TRUNC($I213*(1+_xlfn.SWITCH($N213,"BDI 1",$P$6,"BDI 2",$P$7,"BDI 3",$P$8)),2)</f>
        <v>481.07</v>
      </c>
      <c r="Q213" s="157">
        <v>0</v>
      </c>
      <c r="R213" s="157">
        <f t="shared" si="323"/>
        <v>0</v>
      </c>
      <c r="S213" s="156">
        <f t="shared" si="324"/>
        <v>0</v>
      </c>
      <c r="T213" s="156">
        <f t="shared" si="325"/>
        <v>0</v>
      </c>
      <c r="U213" s="156">
        <f t="shared" si="326"/>
        <v>0</v>
      </c>
      <c r="V213" s="156">
        <f t="shared" si="327"/>
        <v>0</v>
      </c>
      <c r="W213" s="156">
        <f t="shared" si="314"/>
        <v>0</v>
      </c>
      <c r="X213" s="158">
        <f t="shared" ref="X213" si="346">$S213/ORCAMENTO_VALOR_TOTAL_ND</f>
        <v>0</v>
      </c>
      <c r="Y213" s="158">
        <f t="shared" ref="Y213" si="347">$T213/ORCAMENTO_VALOR_TOTAL_DE</f>
        <v>0</v>
      </c>
      <c r="Z213" s="158" cm="1">
        <f t="array" ref="Z213">_xlfn.SWITCH($N213,"BDI 1",$O$6,"BDI 2",$O$7,"BDI 3",$O$8)</f>
        <v>0.1527</v>
      </c>
      <c r="AA213" s="158" cm="1">
        <f t="array" ref="AA213">_xlfn.SWITCH($N213,"BDI 1",$P$6,"BDI 2",$P$7,"BDI 3",$P$8)</f>
        <v>0.1527</v>
      </c>
      <c r="AB213" s="158">
        <f t="shared" ca="1" si="330"/>
        <v>0</v>
      </c>
      <c r="AC213" s="158">
        <f t="shared" ca="1" si="331"/>
        <v>0</v>
      </c>
      <c r="AD213" s="164"/>
      <c r="AE213" s="148">
        <f t="shared" si="317"/>
        <v>0</v>
      </c>
      <c r="AF213" s="149"/>
      <c r="AG213" s="150"/>
      <c r="AH213" s="159" t="e">
        <f t="shared" si="318"/>
        <v>#DIV/0!</v>
      </c>
      <c r="AI213" s="195"/>
      <c r="AJ213" s="105"/>
      <c r="AK213" s="105"/>
      <c r="AM213" s="105"/>
      <c r="AN213" s="105"/>
      <c r="AO213" s="105"/>
      <c r="AP213" s="105"/>
      <c r="AQ213" s="105"/>
      <c r="AR213" s="105"/>
    </row>
    <row r="214" spans="1:44" s="49" customFormat="1" ht="40.15" hidden="1" customHeight="1">
      <c r="A214" s="152">
        <f t="shared" ca="1" si="319"/>
        <v>0</v>
      </c>
      <c r="B214" s="153">
        <v>7765</v>
      </c>
      <c r="C214" s="154" t="str">
        <f t="shared" si="320"/>
        <v>7765</v>
      </c>
      <c r="D214" s="154" t="s">
        <v>3579</v>
      </c>
      <c r="E214" s="155" t="s">
        <v>3690</v>
      </c>
      <c r="F214" s="154"/>
      <c r="G214" s="154" t="s">
        <v>58</v>
      </c>
      <c r="H214" s="152">
        <v>552.85</v>
      </c>
      <c r="I214" s="152">
        <v>552.85</v>
      </c>
      <c r="J214" s="156"/>
      <c r="K214" s="156">
        <f>Dre_Disp_Estruturais!AI28+Dre_Disp_Estruturais!AI33</f>
        <v>0</v>
      </c>
      <c r="L214" s="156">
        <f t="shared" si="321"/>
        <v>0</v>
      </c>
      <c r="M214" s="156">
        <f t="shared" si="322"/>
        <v>0</v>
      </c>
      <c r="N214" s="156" t="s">
        <v>92</v>
      </c>
      <c r="O214" s="157" cm="1">
        <f t="array" ref="O214">TRUNC($H214*(1+_xlfn.SWITCH($N214,"BDI 1",$O$6,"BDI 2",$O$7,"BDI 3",$O$8)),2)</f>
        <v>637.27</v>
      </c>
      <c r="P214" s="157" cm="1">
        <f t="array" ref="P214">TRUNC($I214*(1+_xlfn.SWITCH($N214,"BDI 1",$P$6,"BDI 2",$P$7,"BDI 3",$P$8)),2)</f>
        <v>637.27</v>
      </c>
      <c r="Q214" s="157">
        <v>0</v>
      </c>
      <c r="R214" s="157">
        <f t="shared" si="323"/>
        <v>0</v>
      </c>
      <c r="S214" s="156">
        <f t="shared" si="324"/>
        <v>0</v>
      </c>
      <c r="T214" s="156">
        <f t="shared" si="325"/>
        <v>0</v>
      </c>
      <c r="U214" s="156">
        <f t="shared" si="326"/>
        <v>0</v>
      </c>
      <c r="V214" s="156">
        <f t="shared" si="327"/>
        <v>0</v>
      </c>
      <c r="W214" s="156">
        <f t="shared" si="314"/>
        <v>0</v>
      </c>
      <c r="X214" s="158">
        <f t="shared" ref="X214" si="348">$S214/ORCAMENTO_VALOR_TOTAL_ND</f>
        <v>0</v>
      </c>
      <c r="Y214" s="158">
        <f t="shared" ref="Y214" si="349">$T214/ORCAMENTO_VALOR_TOTAL_DE</f>
        <v>0</v>
      </c>
      <c r="Z214" s="158" cm="1">
        <f t="array" ref="Z214">_xlfn.SWITCH($N214,"BDI 1",$O$6,"BDI 2",$O$7,"BDI 3",$O$8)</f>
        <v>0.1527</v>
      </c>
      <c r="AA214" s="158" cm="1">
        <f t="array" ref="AA214">_xlfn.SWITCH($N214,"BDI 1",$P$6,"BDI 2",$P$7,"BDI 3",$P$8)</f>
        <v>0.1527</v>
      </c>
      <c r="AB214" s="158">
        <f t="shared" ca="1" si="330"/>
        <v>0</v>
      </c>
      <c r="AC214" s="158">
        <f t="shared" ca="1" si="331"/>
        <v>0</v>
      </c>
      <c r="AD214" s="164"/>
      <c r="AE214" s="148">
        <f t="shared" si="317"/>
        <v>0</v>
      </c>
      <c r="AF214" s="149"/>
      <c r="AG214" s="150"/>
      <c r="AH214" s="159" t="e">
        <f t="shared" si="318"/>
        <v>#DIV/0!</v>
      </c>
      <c r="AI214" s="195"/>
      <c r="AJ214" s="105"/>
      <c r="AK214" s="105"/>
      <c r="AM214" s="105"/>
      <c r="AN214" s="105"/>
      <c r="AO214" s="105"/>
      <c r="AP214" s="105"/>
      <c r="AQ214" s="105"/>
      <c r="AR214" s="105"/>
    </row>
    <row r="215" spans="1:44" s="49" customFormat="1" ht="40.15" hidden="1" customHeight="1">
      <c r="A215" s="152">
        <f t="shared" ca="1" si="319"/>
        <v>0</v>
      </c>
      <c r="B215" s="153">
        <v>7766</v>
      </c>
      <c r="C215" s="154" t="str">
        <f t="shared" si="320"/>
        <v>7766</v>
      </c>
      <c r="D215" s="154" t="s">
        <v>3579</v>
      </c>
      <c r="E215" s="155" t="s">
        <v>3691</v>
      </c>
      <c r="F215" s="154"/>
      <c r="G215" s="154" t="s">
        <v>58</v>
      </c>
      <c r="H215" s="152">
        <v>810.85</v>
      </c>
      <c r="I215" s="152">
        <v>810.85</v>
      </c>
      <c r="J215" s="156"/>
      <c r="K215" s="156">
        <f>Dre_Disp_Estruturais!AI29+Dre_Disp_Estruturais!AI34</f>
        <v>0</v>
      </c>
      <c r="L215" s="156">
        <f t="shared" si="321"/>
        <v>0</v>
      </c>
      <c r="M215" s="156">
        <f t="shared" si="322"/>
        <v>0</v>
      </c>
      <c r="N215" s="156" t="s">
        <v>92</v>
      </c>
      <c r="O215" s="157" cm="1">
        <f t="array" ref="O215">TRUNC($H215*(1+_xlfn.SWITCH($N215,"BDI 1",$O$6,"BDI 2",$O$7,"BDI 3",$O$8)),2)</f>
        <v>934.66</v>
      </c>
      <c r="P215" s="157" cm="1">
        <f t="array" ref="P215">TRUNC($I215*(1+_xlfn.SWITCH($N215,"BDI 1",$P$6,"BDI 2",$P$7,"BDI 3",$P$8)),2)</f>
        <v>934.66</v>
      </c>
      <c r="Q215" s="157">
        <v>0</v>
      </c>
      <c r="R215" s="157">
        <f t="shared" si="323"/>
        <v>0</v>
      </c>
      <c r="S215" s="156">
        <f t="shared" si="324"/>
        <v>0</v>
      </c>
      <c r="T215" s="156">
        <f t="shared" si="325"/>
        <v>0</v>
      </c>
      <c r="U215" s="156">
        <f t="shared" si="326"/>
        <v>0</v>
      </c>
      <c r="V215" s="156">
        <f t="shared" si="327"/>
        <v>0</v>
      </c>
      <c r="W215" s="156">
        <f t="shared" si="314"/>
        <v>0</v>
      </c>
      <c r="X215" s="158">
        <f t="shared" ref="X215" si="350">$S215/ORCAMENTO_VALOR_TOTAL_ND</f>
        <v>0</v>
      </c>
      <c r="Y215" s="158">
        <f t="shared" ref="Y215" si="351">$T215/ORCAMENTO_VALOR_TOTAL_DE</f>
        <v>0</v>
      </c>
      <c r="Z215" s="158" cm="1">
        <f t="array" ref="Z215">_xlfn.SWITCH($N215,"BDI 1",$O$6,"BDI 2",$O$7,"BDI 3",$O$8)</f>
        <v>0.1527</v>
      </c>
      <c r="AA215" s="158" cm="1">
        <f t="array" ref="AA215">_xlfn.SWITCH($N215,"BDI 1",$P$6,"BDI 2",$P$7,"BDI 3",$P$8)</f>
        <v>0.1527</v>
      </c>
      <c r="AB215" s="158">
        <f t="shared" ca="1" si="330"/>
        <v>0</v>
      </c>
      <c r="AC215" s="158">
        <f t="shared" ca="1" si="331"/>
        <v>0</v>
      </c>
      <c r="AD215" s="164"/>
      <c r="AE215" s="148">
        <f t="shared" si="317"/>
        <v>0</v>
      </c>
      <c r="AF215" s="149"/>
      <c r="AG215" s="150"/>
      <c r="AH215" s="159" t="e">
        <f t="shared" si="318"/>
        <v>#DIV/0!</v>
      </c>
      <c r="AI215" s="195"/>
      <c r="AJ215" s="105"/>
      <c r="AK215" s="105"/>
      <c r="AM215" s="105"/>
      <c r="AN215" s="105"/>
      <c r="AO215" s="105"/>
      <c r="AP215" s="105"/>
      <c r="AQ215" s="105"/>
      <c r="AR215" s="105"/>
    </row>
    <row r="216" spans="1:44" s="49" customFormat="1" ht="40.15" hidden="1" customHeight="1">
      <c r="A216" s="152">
        <f t="shared" ca="1" si="319"/>
        <v>0</v>
      </c>
      <c r="B216" s="153">
        <v>7767</v>
      </c>
      <c r="C216" s="154" t="str">
        <f t="shared" si="320"/>
        <v>7767</v>
      </c>
      <c r="D216" s="154" t="s">
        <v>3579</v>
      </c>
      <c r="E216" s="155" t="s">
        <v>3692</v>
      </c>
      <c r="F216" s="154"/>
      <c r="G216" s="154" t="s">
        <v>58</v>
      </c>
      <c r="H216" s="152">
        <v>1164.25</v>
      </c>
      <c r="I216" s="152">
        <v>1164.25</v>
      </c>
      <c r="J216" s="156"/>
      <c r="K216" s="156">
        <f>Dre_Disp_Estruturais!AI30+Dre_Disp_Estruturais!AI35</f>
        <v>0</v>
      </c>
      <c r="L216" s="156">
        <f t="shared" si="321"/>
        <v>0</v>
      </c>
      <c r="M216" s="156">
        <f t="shared" si="322"/>
        <v>0</v>
      </c>
      <c r="N216" s="156" t="s">
        <v>92</v>
      </c>
      <c r="O216" s="157" cm="1">
        <f t="array" ref="O216">TRUNC($H216*(1+_xlfn.SWITCH($N216,"BDI 1",$O$6,"BDI 2",$O$7,"BDI 3",$O$8)),2)</f>
        <v>1342.03</v>
      </c>
      <c r="P216" s="157" cm="1">
        <f t="array" ref="P216">TRUNC($I216*(1+_xlfn.SWITCH($N216,"BDI 1",$P$6,"BDI 2",$P$7,"BDI 3",$P$8)),2)</f>
        <v>1342.03</v>
      </c>
      <c r="Q216" s="157">
        <v>0</v>
      </c>
      <c r="R216" s="157">
        <f t="shared" si="323"/>
        <v>0</v>
      </c>
      <c r="S216" s="156">
        <f t="shared" si="324"/>
        <v>0</v>
      </c>
      <c r="T216" s="156">
        <f t="shared" si="325"/>
        <v>0</v>
      </c>
      <c r="U216" s="156">
        <f t="shared" si="326"/>
        <v>0</v>
      </c>
      <c r="V216" s="156">
        <f t="shared" si="327"/>
        <v>0</v>
      </c>
      <c r="W216" s="156">
        <f t="shared" si="314"/>
        <v>0</v>
      </c>
      <c r="X216" s="158">
        <f t="shared" ref="X216" si="352">$S216/ORCAMENTO_VALOR_TOTAL_ND</f>
        <v>0</v>
      </c>
      <c r="Y216" s="158">
        <f t="shared" ref="Y216" si="353">$T216/ORCAMENTO_VALOR_TOTAL_DE</f>
        <v>0</v>
      </c>
      <c r="Z216" s="158" cm="1">
        <f t="array" ref="Z216">_xlfn.SWITCH($N216,"BDI 1",$O$6,"BDI 2",$O$7,"BDI 3",$O$8)</f>
        <v>0.1527</v>
      </c>
      <c r="AA216" s="158" cm="1">
        <f t="array" ref="AA216">_xlfn.SWITCH($N216,"BDI 1",$P$6,"BDI 2",$P$7,"BDI 3",$P$8)</f>
        <v>0.1527</v>
      </c>
      <c r="AB216" s="158">
        <f t="shared" ca="1" si="330"/>
        <v>0</v>
      </c>
      <c r="AC216" s="158">
        <f t="shared" ca="1" si="331"/>
        <v>0</v>
      </c>
      <c r="AD216" s="164"/>
      <c r="AE216" s="148">
        <f t="shared" si="317"/>
        <v>0</v>
      </c>
      <c r="AF216" s="149"/>
      <c r="AG216" s="150"/>
      <c r="AH216" s="159" t="e">
        <f t="shared" si="318"/>
        <v>#DIV/0!</v>
      </c>
      <c r="AI216" s="195"/>
      <c r="AJ216" s="181" t="s">
        <v>105</v>
      </c>
      <c r="AK216" s="181" t="s">
        <v>106</v>
      </c>
      <c r="AM216" s="105"/>
      <c r="AN216" s="105"/>
      <c r="AO216" s="105"/>
      <c r="AP216" s="105"/>
      <c r="AQ216" s="105"/>
      <c r="AR216" s="105"/>
    </row>
    <row r="217" spans="1:44" s="49" customFormat="1" ht="49.9" hidden="1" customHeight="1">
      <c r="A217" s="152">
        <f t="shared" ca="1" si="319"/>
        <v>0</v>
      </c>
      <c r="B217" s="153">
        <v>92821</v>
      </c>
      <c r="C217" s="154" t="str">
        <f t="shared" si="320"/>
        <v>92821</v>
      </c>
      <c r="D217" s="154" t="s">
        <v>1416</v>
      </c>
      <c r="E217" s="155" t="s">
        <v>3693</v>
      </c>
      <c r="F217" s="154"/>
      <c r="G217" s="154" t="s">
        <v>58</v>
      </c>
      <c r="H217" s="152">
        <v>33.93</v>
      </c>
      <c r="I217" s="152">
        <v>55.71</v>
      </c>
      <c r="J217" s="156"/>
      <c r="K217" s="156">
        <f>Dre_Disp_Estruturais!AI10</f>
        <v>0</v>
      </c>
      <c r="L217" s="156">
        <f t="shared" si="321"/>
        <v>0</v>
      </c>
      <c r="M217" s="156">
        <f t="shared" si="322"/>
        <v>0</v>
      </c>
      <c r="N217" s="156" t="s">
        <v>83</v>
      </c>
      <c r="O217" s="157" cm="1">
        <f t="array" ref="O217">TRUNC($H217*(1+_xlfn.SWITCH($N217,"BDI 1",$O$6,"BDI 2",$O$7,"BDI 3",$O$8)),2)</f>
        <v>40.950000000000003</v>
      </c>
      <c r="P217" s="157" cm="1">
        <f t="array" ref="P217">TRUNC($I217*(1+_xlfn.SWITCH($N217,"BDI 1",$P$6,"BDI 2",$P$7,"BDI 3",$P$8)),2)</f>
        <v>70.599999999999994</v>
      </c>
      <c r="Q217" s="157">
        <v>0</v>
      </c>
      <c r="R217" s="157">
        <f t="shared" si="323"/>
        <v>0</v>
      </c>
      <c r="S217" s="156">
        <f t="shared" si="324"/>
        <v>0</v>
      </c>
      <c r="T217" s="156">
        <f t="shared" si="325"/>
        <v>0</v>
      </c>
      <c r="U217" s="156">
        <f t="shared" si="326"/>
        <v>0</v>
      </c>
      <c r="V217" s="156">
        <f t="shared" si="327"/>
        <v>0</v>
      </c>
      <c r="W217" s="156">
        <f t="shared" si="314"/>
        <v>0</v>
      </c>
      <c r="X217" s="158">
        <f t="shared" ref="X217" si="354">$S217/ORCAMENTO_VALOR_TOTAL_ND</f>
        <v>0</v>
      </c>
      <c r="Y217" s="158">
        <f t="shared" ref="Y217" si="355">$T217/ORCAMENTO_VALOR_TOTAL_DE</f>
        <v>0</v>
      </c>
      <c r="Z217" s="158" cm="1">
        <f t="array" ref="Z217">_xlfn.SWITCH($N217,"BDI 1",$O$6,"BDI 2",$O$7,"BDI 3",$O$8)</f>
        <v>0.20699999999999999</v>
      </c>
      <c r="AA217" s="158" cm="1">
        <f t="array" ref="AA217">_xlfn.SWITCH($N217,"BDI 1",$P$6,"BDI 2",$P$7,"BDI 3",$P$8)</f>
        <v>0.26739999999999997</v>
      </c>
      <c r="AB217" s="158">
        <f t="shared" ca="1" si="330"/>
        <v>0</v>
      </c>
      <c r="AC217" s="158">
        <f t="shared" ca="1" si="331"/>
        <v>0</v>
      </c>
      <c r="AD217" s="164"/>
      <c r="AE217" s="148">
        <f t="shared" si="317"/>
        <v>0</v>
      </c>
      <c r="AF217" s="149"/>
      <c r="AG217" s="150"/>
      <c r="AH217" s="159" t="e">
        <f t="shared" si="318"/>
        <v>#DIV/0!</v>
      </c>
      <c r="AI217" s="195"/>
      <c r="AJ217" s="198">
        <v>4</v>
      </c>
      <c r="AK217" s="199">
        <f t="shared" ref="AK217:AK222" si="356">K217/AJ217</f>
        <v>0</v>
      </c>
      <c r="AM217" s="105"/>
      <c r="AN217" s="105"/>
      <c r="AO217" s="105"/>
      <c r="AP217" s="105"/>
      <c r="AQ217" s="105"/>
      <c r="AR217" s="105"/>
    </row>
    <row r="218" spans="1:44" s="49" customFormat="1" ht="49.9" hidden="1" customHeight="1">
      <c r="A218" s="152">
        <f t="shared" ca="1" si="319"/>
        <v>0</v>
      </c>
      <c r="B218" s="153">
        <v>92824</v>
      </c>
      <c r="C218" s="154" t="str">
        <f t="shared" si="320"/>
        <v>92824</v>
      </c>
      <c r="D218" s="154" t="s">
        <v>1416</v>
      </c>
      <c r="E218" s="155" t="s">
        <v>3694</v>
      </c>
      <c r="F218" s="154"/>
      <c r="G218" s="154" t="s">
        <v>58</v>
      </c>
      <c r="H218" s="152">
        <v>54.02</v>
      </c>
      <c r="I218" s="152">
        <v>80.92</v>
      </c>
      <c r="J218" s="156"/>
      <c r="K218" s="156">
        <f>Dre_Disp_Estruturais!AI11+Dre_Disp_Estruturais!AI12+Dre_Disp_Estruturais!AI16+Dre_Disp_Estruturais!AI26</f>
        <v>0</v>
      </c>
      <c r="L218" s="156">
        <f t="shared" si="321"/>
        <v>0</v>
      </c>
      <c r="M218" s="156">
        <f t="shared" si="322"/>
        <v>0</v>
      </c>
      <c r="N218" s="156" t="s">
        <v>83</v>
      </c>
      <c r="O218" s="157" cm="1">
        <f t="array" ref="O218">TRUNC($H218*(1+_xlfn.SWITCH($N218,"BDI 1",$O$6,"BDI 2",$O$7,"BDI 3",$O$8)),2)</f>
        <v>65.2</v>
      </c>
      <c r="P218" s="157" cm="1">
        <f t="array" ref="P218">TRUNC($I218*(1+_xlfn.SWITCH($N218,"BDI 1",$P$6,"BDI 2",$P$7,"BDI 3",$P$8)),2)</f>
        <v>102.55</v>
      </c>
      <c r="Q218" s="157">
        <v>0</v>
      </c>
      <c r="R218" s="157">
        <f t="shared" si="323"/>
        <v>0</v>
      </c>
      <c r="S218" s="156">
        <f t="shared" si="324"/>
        <v>0</v>
      </c>
      <c r="T218" s="156">
        <f t="shared" si="325"/>
        <v>0</v>
      </c>
      <c r="U218" s="156">
        <f t="shared" si="326"/>
        <v>0</v>
      </c>
      <c r="V218" s="156">
        <f t="shared" si="327"/>
        <v>0</v>
      </c>
      <c r="W218" s="156">
        <f t="shared" si="314"/>
        <v>0</v>
      </c>
      <c r="X218" s="158">
        <f t="shared" ref="X218" si="357">$S218/ORCAMENTO_VALOR_TOTAL_ND</f>
        <v>0</v>
      </c>
      <c r="Y218" s="158">
        <f t="shared" ref="Y218" si="358">$T218/ORCAMENTO_VALOR_TOTAL_DE</f>
        <v>0</v>
      </c>
      <c r="Z218" s="158" cm="1">
        <f t="array" ref="Z218">_xlfn.SWITCH($N218,"BDI 1",$O$6,"BDI 2",$O$7,"BDI 3",$O$8)</f>
        <v>0.20699999999999999</v>
      </c>
      <c r="AA218" s="158" cm="1">
        <f t="array" ref="AA218">_xlfn.SWITCH($N218,"BDI 1",$P$6,"BDI 2",$P$7,"BDI 3",$P$8)</f>
        <v>0.26739999999999997</v>
      </c>
      <c r="AB218" s="158">
        <f t="shared" ca="1" si="330"/>
        <v>0</v>
      </c>
      <c r="AC218" s="158">
        <f t="shared" ca="1" si="331"/>
        <v>0</v>
      </c>
      <c r="AD218" s="164"/>
      <c r="AE218" s="148">
        <f t="shared" si="317"/>
        <v>0</v>
      </c>
      <c r="AF218" s="149"/>
      <c r="AG218" s="150"/>
      <c r="AH218" s="159" t="e">
        <f t="shared" si="318"/>
        <v>#DIV/0!</v>
      </c>
      <c r="AI218" s="195"/>
      <c r="AJ218" s="198">
        <v>3</v>
      </c>
      <c r="AK218" s="199">
        <f t="shared" si="356"/>
        <v>0</v>
      </c>
      <c r="AM218" s="105"/>
      <c r="AN218" s="105"/>
      <c r="AO218" s="105"/>
      <c r="AP218" s="105"/>
      <c r="AQ218" s="105"/>
      <c r="AR218" s="105"/>
    </row>
    <row r="219" spans="1:44" s="49" customFormat="1" ht="49.9" hidden="1" customHeight="1">
      <c r="A219" s="152">
        <f t="shared" ca="1" si="319"/>
        <v>0</v>
      </c>
      <c r="B219" s="153">
        <v>92826</v>
      </c>
      <c r="C219" s="154" t="str">
        <f t="shared" si="320"/>
        <v>92826</v>
      </c>
      <c r="D219" s="154" t="s">
        <v>1416</v>
      </c>
      <c r="E219" s="155" t="s">
        <v>3695</v>
      </c>
      <c r="F219" s="154"/>
      <c r="G219" s="154" t="s">
        <v>58</v>
      </c>
      <c r="H219" s="152">
        <v>75.06</v>
      </c>
      <c r="I219" s="152">
        <v>108.54</v>
      </c>
      <c r="J219" s="156"/>
      <c r="K219" s="156">
        <f>Dre_Disp_Estruturais!AI17+Dre_Disp_Estruturais!AI27</f>
        <v>0</v>
      </c>
      <c r="L219" s="156">
        <f t="shared" si="321"/>
        <v>0</v>
      </c>
      <c r="M219" s="156">
        <f t="shared" si="322"/>
        <v>0</v>
      </c>
      <c r="N219" s="156" t="s">
        <v>83</v>
      </c>
      <c r="O219" s="157" cm="1">
        <f t="array" ref="O219">TRUNC($H219*(1+_xlfn.SWITCH($N219,"BDI 1",$O$6,"BDI 2",$O$7,"BDI 3",$O$8)),2)</f>
        <v>90.59</v>
      </c>
      <c r="P219" s="157" cm="1">
        <f t="array" ref="P219">TRUNC($I219*(1+_xlfn.SWITCH($N219,"BDI 1",$P$6,"BDI 2",$P$7,"BDI 3",$P$8)),2)</f>
        <v>137.56</v>
      </c>
      <c r="Q219" s="157">
        <v>0</v>
      </c>
      <c r="R219" s="157">
        <f t="shared" si="323"/>
        <v>0</v>
      </c>
      <c r="S219" s="156">
        <f t="shared" si="324"/>
        <v>0</v>
      </c>
      <c r="T219" s="156">
        <f t="shared" si="325"/>
        <v>0</v>
      </c>
      <c r="U219" s="156">
        <f t="shared" si="326"/>
        <v>0</v>
      </c>
      <c r="V219" s="156">
        <f t="shared" si="327"/>
        <v>0</v>
      </c>
      <c r="W219" s="156">
        <f t="shared" si="314"/>
        <v>0</v>
      </c>
      <c r="X219" s="158">
        <f t="shared" ref="X219" si="359">$S219/ORCAMENTO_VALOR_TOTAL_ND</f>
        <v>0</v>
      </c>
      <c r="Y219" s="158">
        <f t="shared" ref="Y219" si="360">$T219/ORCAMENTO_VALOR_TOTAL_DE</f>
        <v>0</v>
      </c>
      <c r="Z219" s="158" cm="1">
        <f t="array" ref="Z219">_xlfn.SWITCH($N219,"BDI 1",$O$6,"BDI 2",$O$7,"BDI 3",$O$8)</f>
        <v>0.20699999999999999</v>
      </c>
      <c r="AA219" s="158" cm="1">
        <f t="array" ref="AA219">_xlfn.SWITCH($N219,"BDI 1",$P$6,"BDI 2",$P$7,"BDI 3",$P$8)</f>
        <v>0.26739999999999997</v>
      </c>
      <c r="AB219" s="158">
        <f t="shared" ca="1" si="330"/>
        <v>0</v>
      </c>
      <c r="AC219" s="158">
        <f t="shared" ca="1" si="331"/>
        <v>0</v>
      </c>
      <c r="AD219" s="164"/>
      <c r="AE219" s="148">
        <f t="shared" si="317"/>
        <v>0</v>
      </c>
      <c r="AF219" s="149"/>
      <c r="AG219" s="150"/>
      <c r="AH219" s="159" t="e">
        <f t="shared" si="318"/>
        <v>#DIV/0!</v>
      </c>
      <c r="AI219" s="195"/>
      <c r="AJ219" s="198">
        <v>2</v>
      </c>
      <c r="AK219" s="199">
        <f t="shared" si="356"/>
        <v>0</v>
      </c>
      <c r="AM219" s="105"/>
      <c r="AN219" s="105"/>
      <c r="AO219" s="105"/>
      <c r="AP219" s="105"/>
      <c r="AQ219" s="105"/>
      <c r="AR219" s="105"/>
    </row>
    <row r="220" spans="1:44" s="49" customFormat="1" ht="49.9" hidden="1" customHeight="1">
      <c r="A220" s="152">
        <f t="shared" ca="1" si="319"/>
        <v>0</v>
      </c>
      <c r="B220" s="153">
        <v>92828</v>
      </c>
      <c r="C220" s="154" t="str">
        <f t="shared" si="320"/>
        <v>92828</v>
      </c>
      <c r="D220" s="154" t="s">
        <v>1416</v>
      </c>
      <c r="E220" s="155" t="s">
        <v>3696</v>
      </c>
      <c r="F220" s="154"/>
      <c r="G220" s="154" t="s">
        <v>58</v>
      </c>
      <c r="H220" s="152">
        <v>97.11</v>
      </c>
      <c r="I220" s="152">
        <v>142.02000000000001</v>
      </c>
      <c r="J220" s="156"/>
      <c r="K220" s="156">
        <f>Dre_Disp_Estruturais!AI18+Dre_Disp_Estruturais!AI28</f>
        <v>0</v>
      </c>
      <c r="L220" s="156">
        <f t="shared" si="321"/>
        <v>0</v>
      </c>
      <c r="M220" s="156">
        <f t="shared" si="322"/>
        <v>0</v>
      </c>
      <c r="N220" s="156" t="s">
        <v>83</v>
      </c>
      <c r="O220" s="157" cm="1">
        <f t="array" ref="O220">TRUNC($H220*(1+_xlfn.SWITCH($N220,"BDI 1",$O$6,"BDI 2",$O$7,"BDI 3",$O$8)),2)</f>
        <v>117.21</v>
      </c>
      <c r="P220" s="157" cm="1">
        <f t="array" ref="P220">TRUNC($I220*(1+_xlfn.SWITCH($N220,"BDI 1",$P$6,"BDI 2",$P$7,"BDI 3",$P$8)),2)</f>
        <v>179.99</v>
      </c>
      <c r="Q220" s="157">
        <v>0</v>
      </c>
      <c r="R220" s="157">
        <f t="shared" si="323"/>
        <v>0</v>
      </c>
      <c r="S220" s="156">
        <f t="shared" si="324"/>
        <v>0</v>
      </c>
      <c r="T220" s="156">
        <f t="shared" si="325"/>
        <v>0</v>
      </c>
      <c r="U220" s="156">
        <f t="shared" si="326"/>
        <v>0</v>
      </c>
      <c r="V220" s="156">
        <f t="shared" si="327"/>
        <v>0</v>
      </c>
      <c r="W220" s="156">
        <f t="shared" si="314"/>
        <v>0</v>
      </c>
      <c r="X220" s="158">
        <f t="shared" ref="X220" si="361">$S220/ORCAMENTO_VALOR_TOTAL_ND</f>
        <v>0</v>
      </c>
      <c r="Y220" s="158">
        <f t="shared" ref="Y220" si="362">$T220/ORCAMENTO_VALOR_TOTAL_DE</f>
        <v>0</v>
      </c>
      <c r="Z220" s="158" cm="1">
        <f t="array" ref="Z220">_xlfn.SWITCH($N220,"BDI 1",$O$6,"BDI 2",$O$7,"BDI 3",$O$8)</f>
        <v>0.20699999999999999</v>
      </c>
      <c r="AA220" s="158" cm="1">
        <f t="array" ref="AA220">_xlfn.SWITCH($N220,"BDI 1",$P$6,"BDI 2",$P$7,"BDI 3",$P$8)</f>
        <v>0.26739999999999997</v>
      </c>
      <c r="AB220" s="158">
        <f t="shared" ca="1" si="330"/>
        <v>0</v>
      </c>
      <c r="AC220" s="158">
        <f t="shared" ca="1" si="331"/>
        <v>0</v>
      </c>
      <c r="AD220" s="164"/>
      <c r="AE220" s="148">
        <f t="shared" si="317"/>
        <v>0</v>
      </c>
      <c r="AF220" s="149"/>
      <c r="AG220" s="150"/>
      <c r="AH220" s="159" t="e">
        <f t="shared" si="318"/>
        <v>#DIV/0!</v>
      </c>
      <c r="AI220" s="195"/>
      <c r="AJ220" s="198">
        <v>1.5</v>
      </c>
      <c r="AK220" s="199">
        <f t="shared" si="356"/>
        <v>0</v>
      </c>
      <c r="AM220" s="105"/>
      <c r="AN220" s="105"/>
      <c r="AO220" s="105"/>
      <c r="AP220" s="105"/>
      <c r="AQ220" s="105"/>
      <c r="AR220" s="105"/>
    </row>
    <row r="221" spans="1:44" s="49" customFormat="1" ht="49.9" hidden="1" customHeight="1">
      <c r="A221" s="152">
        <f t="shared" ca="1" si="319"/>
        <v>0</v>
      </c>
      <c r="B221" s="153">
        <v>92830</v>
      </c>
      <c r="C221" s="154" t="str">
        <f t="shared" si="320"/>
        <v>92830</v>
      </c>
      <c r="D221" s="154" t="s">
        <v>1416</v>
      </c>
      <c r="E221" s="155" t="s">
        <v>3697</v>
      </c>
      <c r="F221" s="154"/>
      <c r="G221" s="154" t="s">
        <v>58</v>
      </c>
      <c r="H221" s="152">
        <v>120.1</v>
      </c>
      <c r="I221" s="152">
        <v>176.16</v>
      </c>
      <c r="J221" s="156"/>
      <c r="K221" s="156">
        <f>Dre_Disp_Estruturais!AI19+Dre_Disp_Estruturais!AI29</f>
        <v>0</v>
      </c>
      <c r="L221" s="156">
        <f t="shared" si="321"/>
        <v>0</v>
      </c>
      <c r="M221" s="156">
        <f t="shared" si="322"/>
        <v>0</v>
      </c>
      <c r="N221" s="156" t="s">
        <v>83</v>
      </c>
      <c r="O221" s="157" cm="1">
        <f t="array" ref="O221">TRUNC($H221*(1+_xlfn.SWITCH($N221,"BDI 1",$O$6,"BDI 2",$O$7,"BDI 3",$O$8)),2)</f>
        <v>144.96</v>
      </c>
      <c r="P221" s="157" cm="1">
        <f t="array" ref="P221">TRUNC($I221*(1+_xlfn.SWITCH($N221,"BDI 1",$P$6,"BDI 2",$P$7,"BDI 3",$P$8)),2)</f>
        <v>223.26</v>
      </c>
      <c r="Q221" s="157">
        <v>0</v>
      </c>
      <c r="R221" s="157">
        <f t="shared" si="323"/>
        <v>0</v>
      </c>
      <c r="S221" s="156">
        <f t="shared" si="324"/>
        <v>0</v>
      </c>
      <c r="T221" s="156">
        <f t="shared" si="325"/>
        <v>0</v>
      </c>
      <c r="U221" s="156">
        <f t="shared" si="326"/>
        <v>0</v>
      </c>
      <c r="V221" s="156">
        <f t="shared" si="327"/>
        <v>0</v>
      </c>
      <c r="W221" s="156">
        <f t="shared" si="314"/>
        <v>0</v>
      </c>
      <c r="X221" s="158">
        <f t="shared" ref="X221" si="363">$S221/ORCAMENTO_VALOR_TOTAL_ND</f>
        <v>0</v>
      </c>
      <c r="Y221" s="158">
        <f t="shared" ref="Y221" si="364">$T221/ORCAMENTO_VALOR_TOTAL_DE</f>
        <v>0</v>
      </c>
      <c r="Z221" s="158" cm="1">
        <f t="array" ref="Z221">_xlfn.SWITCH($N221,"BDI 1",$O$6,"BDI 2",$O$7,"BDI 3",$O$8)</f>
        <v>0.20699999999999999</v>
      </c>
      <c r="AA221" s="158" cm="1">
        <f t="array" ref="AA221">_xlfn.SWITCH($N221,"BDI 1",$P$6,"BDI 2",$P$7,"BDI 3",$P$8)</f>
        <v>0.26739999999999997</v>
      </c>
      <c r="AB221" s="158">
        <f t="shared" ca="1" si="330"/>
        <v>0</v>
      </c>
      <c r="AC221" s="158">
        <f t="shared" ca="1" si="331"/>
        <v>0</v>
      </c>
      <c r="AD221" s="164"/>
      <c r="AE221" s="148">
        <f t="shared" si="317"/>
        <v>0</v>
      </c>
      <c r="AF221" s="149"/>
      <c r="AG221" s="150"/>
      <c r="AH221" s="159" t="e">
        <f t="shared" si="318"/>
        <v>#DIV/0!</v>
      </c>
      <c r="AI221" s="195"/>
      <c r="AJ221" s="198">
        <v>1.3</v>
      </c>
      <c r="AK221" s="199">
        <f t="shared" si="356"/>
        <v>0</v>
      </c>
      <c r="AM221" s="105"/>
      <c r="AN221" s="105"/>
      <c r="AO221" s="105"/>
      <c r="AP221" s="105"/>
      <c r="AQ221" s="105"/>
      <c r="AR221" s="105"/>
    </row>
    <row r="222" spans="1:44" s="49" customFormat="1" ht="49.9" hidden="1" customHeight="1">
      <c r="A222" s="152">
        <f t="shared" ca="1" si="319"/>
        <v>0</v>
      </c>
      <c r="B222" s="153">
        <v>92832</v>
      </c>
      <c r="C222" s="154" t="str">
        <f t="shared" si="320"/>
        <v>92832</v>
      </c>
      <c r="D222" s="154" t="s">
        <v>1416</v>
      </c>
      <c r="E222" s="155" t="s">
        <v>3698</v>
      </c>
      <c r="F222" s="154"/>
      <c r="G222" s="154" t="s">
        <v>58</v>
      </c>
      <c r="H222" s="152">
        <v>156.41</v>
      </c>
      <c r="I222" s="152">
        <v>234.19</v>
      </c>
      <c r="J222" s="156"/>
      <c r="K222" s="156">
        <f>Dre_Disp_Estruturais!AI20+Dre_Disp_Estruturais!AI30</f>
        <v>0</v>
      </c>
      <c r="L222" s="156">
        <f t="shared" si="321"/>
        <v>0</v>
      </c>
      <c r="M222" s="156">
        <f t="shared" si="322"/>
        <v>0</v>
      </c>
      <c r="N222" s="156" t="s">
        <v>83</v>
      </c>
      <c r="O222" s="157" cm="1">
        <f t="array" ref="O222">TRUNC($H222*(1+_xlfn.SWITCH($N222,"BDI 1",$O$6,"BDI 2",$O$7,"BDI 3",$O$8)),2)</f>
        <v>188.78</v>
      </c>
      <c r="P222" s="157" cm="1">
        <f t="array" ref="P222">TRUNC($I222*(1+_xlfn.SWITCH($N222,"BDI 1",$P$6,"BDI 2",$P$7,"BDI 3",$P$8)),2)</f>
        <v>296.81</v>
      </c>
      <c r="Q222" s="157">
        <v>0</v>
      </c>
      <c r="R222" s="157">
        <f t="shared" si="323"/>
        <v>0</v>
      </c>
      <c r="S222" s="156">
        <f t="shared" si="324"/>
        <v>0</v>
      </c>
      <c r="T222" s="156">
        <f t="shared" si="325"/>
        <v>0</v>
      </c>
      <c r="U222" s="156">
        <f t="shared" si="326"/>
        <v>0</v>
      </c>
      <c r="V222" s="156">
        <f t="shared" si="327"/>
        <v>0</v>
      </c>
      <c r="W222" s="156">
        <f t="shared" si="314"/>
        <v>0</v>
      </c>
      <c r="X222" s="158">
        <f t="shared" ref="X222" si="365">$S222/ORCAMENTO_VALOR_TOTAL_ND</f>
        <v>0</v>
      </c>
      <c r="Y222" s="158">
        <f t="shared" ref="Y222" si="366">$T222/ORCAMENTO_VALOR_TOTAL_DE</f>
        <v>0</v>
      </c>
      <c r="Z222" s="158" cm="1">
        <f t="array" ref="Z222">_xlfn.SWITCH($N222,"BDI 1",$O$6,"BDI 2",$O$7,"BDI 3",$O$8)</f>
        <v>0.20699999999999999</v>
      </c>
      <c r="AA222" s="158" cm="1">
        <f t="array" ref="AA222">_xlfn.SWITCH($N222,"BDI 1",$P$6,"BDI 2",$P$7,"BDI 3",$P$8)</f>
        <v>0.26739999999999997</v>
      </c>
      <c r="AB222" s="158">
        <f t="shared" ca="1" si="330"/>
        <v>0</v>
      </c>
      <c r="AC222" s="158">
        <f t="shared" ca="1" si="331"/>
        <v>0</v>
      </c>
      <c r="AD222" s="164"/>
      <c r="AE222" s="148">
        <f t="shared" si="317"/>
        <v>0</v>
      </c>
      <c r="AF222" s="149"/>
      <c r="AG222" s="150"/>
      <c r="AH222" s="159" t="e">
        <f t="shared" si="318"/>
        <v>#DIV/0!</v>
      </c>
      <c r="AI222" s="195"/>
      <c r="AJ222" s="198">
        <v>1</v>
      </c>
      <c r="AK222" s="199">
        <f t="shared" si="356"/>
        <v>0</v>
      </c>
      <c r="AM222" s="105"/>
      <c r="AN222" s="105"/>
      <c r="AO222" s="105"/>
      <c r="AP222" s="105"/>
      <c r="AQ222" s="105"/>
      <c r="AR222" s="105"/>
    </row>
    <row r="223" spans="1:44" s="49" customFormat="1" ht="49.9" hidden="1" customHeight="1">
      <c r="A223" s="152">
        <f t="shared" ca="1" si="319"/>
        <v>0</v>
      </c>
      <c r="B223" s="153">
        <v>92809</v>
      </c>
      <c r="C223" s="154" t="str">
        <f t="shared" si="320"/>
        <v>92809</v>
      </c>
      <c r="D223" s="154" t="s">
        <v>1416</v>
      </c>
      <c r="E223" s="155" t="s">
        <v>3699</v>
      </c>
      <c r="F223" s="154"/>
      <c r="G223" s="154" t="s">
        <v>58</v>
      </c>
      <c r="H223" s="152">
        <v>30.77</v>
      </c>
      <c r="I223" s="152">
        <v>46.77</v>
      </c>
      <c r="J223" s="156"/>
      <c r="K223" s="156">
        <f>Dre_Disp_Estruturais!AI13</f>
        <v>0</v>
      </c>
      <c r="L223" s="156">
        <f t="shared" si="321"/>
        <v>0</v>
      </c>
      <c r="M223" s="156">
        <f t="shared" si="322"/>
        <v>0</v>
      </c>
      <c r="N223" s="156" t="s">
        <v>83</v>
      </c>
      <c r="O223" s="157" cm="1">
        <f t="array" ref="O223">TRUNC($H223*(1+_xlfn.SWITCH($N223,"BDI 1",$O$6,"BDI 2",$O$7,"BDI 3",$O$8)),2)</f>
        <v>37.130000000000003</v>
      </c>
      <c r="P223" s="157" cm="1">
        <f t="array" ref="P223">TRUNC($I223*(1+_xlfn.SWITCH($N223,"BDI 1",$P$6,"BDI 2",$P$7,"BDI 3",$P$8)),2)</f>
        <v>59.27</v>
      </c>
      <c r="Q223" s="157">
        <v>0</v>
      </c>
      <c r="R223" s="157">
        <f t="shared" si="323"/>
        <v>0</v>
      </c>
      <c r="S223" s="156">
        <f t="shared" si="324"/>
        <v>0</v>
      </c>
      <c r="T223" s="156">
        <f t="shared" si="325"/>
        <v>0</v>
      </c>
      <c r="U223" s="156">
        <f t="shared" si="326"/>
        <v>0</v>
      </c>
      <c r="V223" s="156">
        <f t="shared" si="327"/>
        <v>0</v>
      </c>
      <c r="W223" s="156">
        <f t="shared" si="314"/>
        <v>0</v>
      </c>
      <c r="X223" s="158">
        <f t="shared" ref="X223" si="367">$S223/ORCAMENTO_VALOR_TOTAL_ND</f>
        <v>0</v>
      </c>
      <c r="Y223" s="158">
        <f t="shared" ref="Y223" si="368">$T223/ORCAMENTO_VALOR_TOTAL_DE</f>
        <v>0</v>
      </c>
      <c r="Z223" s="158" cm="1">
        <f t="array" ref="Z223">_xlfn.SWITCH($N223,"BDI 1",$O$6,"BDI 2",$O$7,"BDI 3",$O$8)</f>
        <v>0.20699999999999999</v>
      </c>
      <c r="AA223" s="158" cm="1">
        <f t="array" ref="AA223">_xlfn.SWITCH($N223,"BDI 1",$P$6,"BDI 2",$P$7,"BDI 3",$P$8)</f>
        <v>0.26739999999999997</v>
      </c>
      <c r="AB223" s="158">
        <f t="shared" ca="1" si="330"/>
        <v>0</v>
      </c>
      <c r="AC223" s="158">
        <f t="shared" ca="1" si="331"/>
        <v>0</v>
      </c>
      <c r="AD223" s="164"/>
      <c r="AE223" s="148">
        <f t="shared" si="317"/>
        <v>0</v>
      </c>
      <c r="AF223" s="149"/>
      <c r="AG223" s="150"/>
      <c r="AH223" s="159" t="e">
        <f t="shared" si="318"/>
        <v>#DIV/0!</v>
      </c>
      <c r="AI223" s="195"/>
      <c r="AJ223" s="198"/>
      <c r="AK223" s="199"/>
      <c r="AM223" s="105"/>
      <c r="AN223" s="105"/>
      <c r="AO223" s="105"/>
      <c r="AP223" s="105"/>
      <c r="AQ223" s="105"/>
      <c r="AR223" s="105"/>
    </row>
    <row r="224" spans="1:44" s="49" customFormat="1" ht="49.9" hidden="1" customHeight="1">
      <c r="A224" s="152">
        <f t="shared" ca="1" si="319"/>
        <v>0</v>
      </c>
      <c r="B224" s="153">
        <v>92811</v>
      </c>
      <c r="C224" s="154" t="str">
        <f t="shared" si="320"/>
        <v>92811</v>
      </c>
      <c r="D224" s="154" t="s">
        <v>1416</v>
      </c>
      <c r="E224" s="155" t="s">
        <v>3700</v>
      </c>
      <c r="F224" s="154"/>
      <c r="G224" s="154" t="s">
        <v>58</v>
      </c>
      <c r="H224" s="152">
        <v>48.99</v>
      </c>
      <c r="I224" s="152">
        <v>67.94</v>
      </c>
      <c r="J224" s="156"/>
      <c r="K224" s="156">
        <f>Dre_Disp_Estruturais!AI14+Dre_Disp_Estruturais!AI15+Dre_Disp_Estruturais!AI21+Dre_Disp_Estruturais!AI31</f>
        <v>0</v>
      </c>
      <c r="L224" s="156">
        <f t="shared" si="321"/>
        <v>0</v>
      </c>
      <c r="M224" s="156">
        <f t="shared" si="322"/>
        <v>0</v>
      </c>
      <c r="N224" s="156" t="s">
        <v>83</v>
      </c>
      <c r="O224" s="157" cm="1">
        <f t="array" ref="O224">TRUNC($H224*(1+_xlfn.SWITCH($N224,"BDI 1",$O$6,"BDI 2",$O$7,"BDI 3",$O$8)),2)</f>
        <v>59.13</v>
      </c>
      <c r="P224" s="157" cm="1">
        <f t="array" ref="P224">TRUNC($I224*(1+_xlfn.SWITCH($N224,"BDI 1",$P$6,"BDI 2",$P$7,"BDI 3",$P$8)),2)</f>
        <v>86.1</v>
      </c>
      <c r="Q224" s="157">
        <v>0</v>
      </c>
      <c r="R224" s="157">
        <f t="shared" si="323"/>
        <v>0</v>
      </c>
      <c r="S224" s="156">
        <f t="shared" si="324"/>
        <v>0</v>
      </c>
      <c r="T224" s="156">
        <f t="shared" si="325"/>
        <v>0</v>
      </c>
      <c r="U224" s="156">
        <f t="shared" si="326"/>
        <v>0</v>
      </c>
      <c r="V224" s="156">
        <f t="shared" si="327"/>
        <v>0</v>
      </c>
      <c r="W224" s="156">
        <f t="shared" si="314"/>
        <v>0</v>
      </c>
      <c r="X224" s="158">
        <f t="shared" ref="X224" si="369">$S224/ORCAMENTO_VALOR_TOTAL_ND</f>
        <v>0</v>
      </c>
      <c r="Y224" s="158">
        <f t="shared" ref="Y224" si="370">$T224/ORCAMENTO_VALOR_TOTAL_DE</f>
        <v>0</v>
      </c>
      <c r="Z224" s="158" cm="1">
        <f t="array" ref="Z224">_xlfn.SWITCH($N224,"BDI 1",$O$6,"BDI 2",$O$7,"BDI 3",$O$8)</f>
        <v>0.20699999999999999</v>
      </c>
      <c r="AA224" s="158" cm="1">
        <f t="array" ref="AA224">_xlfn.SWITCH($N224,"BDI 1",$P$6,"BDI 2",$P$7,"BDI 3",$P$8)</f>
        <v>0.26739999999999997</v>
      </c>
      <c r="AB224" s="158">
        <f t="shared" ca="1" si="330"/>
        <v>0</v>
      </c>
      <c r="AC224" s="158">
        <f t="shared" ca="1" si="331"/>
        <v>0</v>
      </c>
      <c r="AD224" s="164"/>
      <c r="AE224" s="148">
        <f t="shared" si="317"/>
        <v>0</v>
      </c>
      <c r="AF224" s="149"/>
      <c r="AG224" s="150"/>
      <c r="AH224" s="159" t="e">
        <f t="shared" si="318"/>
        <v>#DIV/0!</v>
      </c>
      <c r="AI224" s="195"/>
      <c r="AJ224" s="198"/>
      <c r="AK224" s="199"/>
      <c r="AM224" s="105"/>
      <c r="AN224" s="105"/>
      <c r="AO224" s="105"/>
      <c r="AP224" s="105"/>
      <c r="AQ224" s="105"/>
      <c r="AR224" s="105"/>
    </row>
    <row r="225" spans="1:44" s="49" customFormat="1" ht="49.9" hidden="1" customHeight="1">
      <c r="A225" s="152">
        <f t="shared" ca="1" si="319"/>
        <v>0</v>
      </c>
      <c r="B225" s="153">
        <v>92813</v>
      </c>
      <c r="C225" s="154" t="str">
        <f t="shared" si="320"/>
        <v>92813</v>
      </c>
      <c r="D225" s="154" t="s">
        <v>1416</v>
      </c>
      <c r="E225" s="155" t="s">
        <v>3701</v>
      </c>
      <c r="F225" s="154"/>
      <c r="G225" s="154" t="s">
        <v>58</v>
      </c>
      <c r="H225" s="152">
        <v>68.150000000000006</v>
      </c>
      <c r="I225" s="152">
        <v>91.64</v>
      </c>
      <c r="J225" s="156"/>
      <c r="K225" s="156">
        <f>Dre_Disp_Estruturais!AI22+Dre_Disp_Estruturais!AI32</f>
        <v>0</v>
      </c>
      <c r="L225" s="156">
        <f t="shared" si="321"/>
        <v>0</v>
      </c>
      <c r="M225" s="156">
        <f t="shared" si="322"/>
        <v>0</v>
      </c>
      <c r="N225" s="156" t="s">
        <v>83</v>
      </c>
      <c r="O225" s="157" cm="1">
        <f t="array" ref="O225">TRUNC($H225*(1+_xlfn.SWITCH($N225,"BDI 1",$O$6,"BDI 2",$O$7,"BDI 3",$O$8)),2)</f>
        <v>82.25</v>
      </c>
      <c r="P225" s="157" cm="1">
        <f t="array" ref="P225">TRUNC($I225*(1+_xlfn.SWITCH($N225,"BDI 1",$P$6,"BDI 2",$P$7,"BDI 3",$P$8)),2)</f>
        <v>116.14</v>
      </c>
      <c r="Q225" s="157">
        <v>0</v>
      </c>
      <c r="R225" s="157">
        <f t="shared" si="323"/>
        <v>0</v>
      </c>
      <c r="S225" s="156">
        <f t="shared" si="324"/>
        <v>0</v>
      </c>
      <c r="T225" s="156">
        <f t="shared" si="325"/>
        <v>0</v>
      </c>
      <c r="U225" s="156">
        <f t="shared" si="326"/>
        <v>0</v>
      </c>
      <c r="V225" s="156">
        <f t="shared" si="327"/>
        <v>0</v>
      </c>
      <c r="W225" s="156">
        <f t="shared" si="314"/>
        <v>0</v>
      </c>
      <c r="X225" s="158">
        <f t="shared" ref="X225" si="371">$S225/ORCAMENTO_VALOR_TOTAL_ND</f>
        <v>0</v>
      </c>
      <c r="Y225" s="158">
        <f t="shared" ref="Y225" si="372">$T225/ORCAMENTO_VALOR_TOTAL_DE</f>
        <v>0</v>
      </c>
      <c r="Z225" s="158" cm="1">
        <f t="array" ref="Z225">_xlfn.SWITCH($N225,"BDI 1",$O$6,"BDI 2",$O$7,"BDI 3",$O$8)</f>
        <v>0.20699999999999999</v>
      </c>
      <c r="AA225" s="158" cm="1">
        <f t="array" ref="AA225">_xlfn.SWITCH($N225,"BDI 1",$P$6,"BDI 2",$P$7,"BDI 3",$P$8)</f>
        <v>0.26739999999999997</v>
      </c>
      <c r="AB225" s="158">
        <f t="shared" ca="1" si="330"/>
        <v>0</v>
      </c>
      <c r="AC225" s="158">
        <f t="shared" ca="1" si="331"/>
        <v>0</v>
      </c>
      <c r="AD225" s="164"/>
      <c r="AE225" s="148">
        <f t="shared" si="317"/>
        <v>0</v>
      </c>
      <c r="AF225" s="149"/>
      <c r="AG225" s="150"/>
      <c r="AH225" s="159" t="e">
        <f t="shared" si="318"/>
        <v>#DIV/0!</v>
      </c>
      <c r="AI225" s="195"/>
      <c r="AJ225" s="198">
        <v>0</v>
      </c>
      <c r="AK225" s="199"/>
      <c r="AM225" s="105"/>
      <c r="AN225" s="105"/>
      <c r="AO225" s="105"/>
      <c r="AP225" s="105"/>
      <c r="AQ225" s="105"/>
      <c r="AR225" s="105"/>
    </row>
    <row r="226" spans="1:44" s="49" customFormat="1" ht="49.9" hidden="1" customHeight="1">
      <c r="A226" s="152">
        <f t="shared" ca="1" si="319"/>
        <v>0</v>
      </c>
      <c r="B226" s="153">
        <v>92815</v>
      </c>
      <c r="C226" s="154" t="str">
        <f t="shared" si="320"/>
        <v>92815</v>
      </c>
      <c r="D226" s="154" t="s">
        <v>1416</v>
      </c>
      <c r="E226" s="155" t="s">
        <v>3702</v>
      </c>
      <c r="F226" s="154"/>
      <c r="G226" s="154" t="s">
        <v>58</v>
      </c>
      <c r="H226" s="152">
        <v>88.29</v>
      </c>
      <c r="I226" s="152">
        <v>121</v>
      </c>
      <c r="J226" s="156"/>
      <c r="K226" s="156">
        <f>Dre_Disp_Estruturais!AI23+Dre_Disp_Estruturais!AI33</f>
        <v>0</v>
      </c>
      <c r="L226" s="156">
        <f t="shared" si="321"/>
        <v>0</v>
      </c>
      <c r="M226" s="156">
        <f t="shared" si="322"/>
        <v>0</v>
      </c>
      <c r="N226" s="156" t="s">
        <v>83</v>
      </c>
      <c r="O226" s="157" cm="1">
        <f t="array" ref="O226">TRUNC($H226*(1+_xlfn.SWITCH($N226,"BDI 1",$O$6,"BDI 2",$O$7,"BDI 3",$O$8)),2)</f>
        <v>106.56</v>
      </c>
      <c r="P226" s="157" cm="1">
        <f t="array" ref="P226">TRUNC($I226*(1+_xlfn.SWITCH($N226,"BDI 1",$P$6,"BDI 2",$P$7,"BDI 3",$P$8)),2)</f>
        <v>153.35</v>
      </c>
      <c r="Q226" s="157">
        <v>0</v>
      </c>
      <c r="R226" s="157">
        <f t="shared" si="323"/>
        <v>0</v>
      </c>
      <c r="S226" s="156">
        <f t="shared" si="324"/>
        <v>0</v>
      </c>
      <c r="T226" s="156">
        <f t="shared" si="325"/>
        <v>0</v>
      </c>
      <c r="U226" s="156">
        <f t="shared" si="326"/>
        <v>0</v>
      </c>
      <c r="V226" s="156">
        <f t="shared" si="327"/>
        <v>0</v>
      </c>
      <c r="W226" s="156">
        <f t="shared" si="314"/>
        <v>0</v>
      </c>
      <c r="X226" s="158">
        <f t="shared" ref="X226" si="373">$S226/ORCAMENTO_VALOR_TOTAL_ND</f>
        <v>0</v>
      </c>
      <c r="Y226" s="158">
        <f t="shared" ref="Y226" si="374">$T226/ORCAMENTO_VALOR_TOTAL_DE</f>
        <v>0</v>
      </c>
      <c r="Z226" s="158" cm="1">
        <f t="array" ref="Z226">_xlfn.SWITCH($N226,"BDI 1",$O$6,"BDI 2",$O$7,"BDI 3",$O$8)</f>
        <v>0.20699999999999999</v>
      </c>
      <c r="AA226" s="158" cm="1">
        <f t="array" ref="AA226">_xlfn.SWITCH($N226,"BDI 1",$P$6,"BDI 2",$P$7,"BDI 3",$P$8)</f>
        <v>0.26739999999999997</v>
      </c>
      <c r="AB226" s="158">
        <f t="shared" ca="1" si="330"/>
        <v>0</v>
      </c>
      <c r="AC226" s="158">
        <f t="shared" ca="1" si="331"/>
        <v>0</v>
      </c>
      <c r="AD226" s="164"/>
      <c r="AE226" s="148">
        <f t="shared" si="317"/>
        <v>0</v>
      </c>
      <c r="AF226" s="149"/>
      <c r="AG226" s="150"/>
      <c r="AH226" s="159" t="e">
        <f t="shared" si="318"/>
        <v>#DIV/0!</v>
      </c>
      <c r="AI226" s="195"/>
      <c r="AJ226" s="198">
        <v>0</v>
      </c>
      <c r="AK226" s="199"/>
      <c r="AM226" s="105"/>
      <c r="AN226" s="105"/>
      <c r="AO226" s="105"/>
      <c r="AP226" s="105"/>
      <c r="AQ226" s="105"/>
      <c r="AR226" s="105"/>
    </row>
    <row r="227" spans="1:44" s="49" customFormat="1" ht="49.9" hidden="1" customHeight="1">
      <c r="A227" s="152">
        <f t="shared" ca="1" si="319"/>
        <v>0</v>
      </c>
      <c r="B227" s="153">
        <v>92817</v>
      </c>
      <c r="C227" s="154" t="str">
        <f t="shared" si="320"/>
        <v>92817</v>
      </c>
      <c r="D227" s="154" t="s">
        <v>1416</v>
      </c>
      <c r="E227" s="155" t="s">
        <v>3703</v>
      </c>
      <c r="F227" s="154"/>
      <c r="G227" s="154" t="s">
        <v>58</v>
      </c>
      <c r="H227" s="152">
        <v>109.4</v>
      </c>
      <c r="I227" s="152">
        <v>151.41</v>
      </c>
      <c r="J227" s="156"/>
      <c r="K227" s="156">
        <f>Dre_Disp_Estruturais!AI24+Dre_Disp_Estruturais!AI34</f>
        <v>0</v>
      </c>
      <c r="L227" s="156">
        <f t="shared" si="321"/>
        <v>0</v>
      </c>
      <c r="M227" s="156">
        <f t="shared" si="322"/>
        <v>0</v>
      </c>
      <c r="N227" s="156" t="s">
        <v>83</v>
      </c>
      <c r="O227" s="157" cm="1">
        <f t="array" ref="O227">TRUNC($H227*(1+_xlfn.SWITCH($N227,"BDI 1",$O$6,"BDI 2",$O$7,"BDI 3",$O$8)),2)</f>
        <v>132.04</v>
      </c>
      <c r="P227" s="157" cm="1">
        <f t="array" ref="P227">TRUNC($I227*(1+_xlfn.SWITCH($N227,"BDI 1",$P$6,"BDI 2",$P$7,"BDI 3",$P$8)),2)</f>
        <v>191.89</v>
      </c>
      <c r="Q227" s="157">
        <v>0</v>
      </c>
      <c r="R227" s="157">
        <f t="shared" si="323"/>
        <v>0</v>
      </c>
      <c r="S227" s="156">
        <f t="shared" si="324"/>
        <v>0</v>
      </c>
      <c r="T227" s="156">
        <f t="shared" si="325"/>
        <v>0</v>
      </c>
      <c r="U227" s="156">
        <f t="shared" si="326"/>
        <v>0</v>
      </c>
      <c r="V227" s="156">
        <f t="shared" si="327"/>
        <v>0</v>
      </c>
      <c r="W227" s="156">
        <f t="shared" si="314"/>
        <v>0</v>
      </c>
      <c r="X227" s="158">
        <f t="shared" ref="X227" si="375">$S227/ORCAMENTO_VALOR_TOTAL_ND</f>
        <v>0</v>
      </c>
      <c r="Y227" s="158">
        <f t="shared" ref="Y227" si="376">$T227/ORCAMENTO_VALOR_TOTAL_DE</f>
        <v>0</v>
      </c>
      <c r="Z227" s="158" cm="1">
        <f t="array" ref="Z227">_xlfn.SWITCH($N227,"BDI 1",$O$6,"BDI 2",$O$7,"BDI 3",$O$8)</f>
        <v>0.20699999999999999</v>
      </c>
      <c r="AA227" s="158" cm="1">
        <f t="array" ref="AA227">_xlfn.SWITCH($N227,"BDI 1",$P$6,"BDI 2",$P$7,"BDI 3",$P$8)</f>
        <v>0.26739999999999997</v>
      </c>
      <c r="AB227" s="158">
        <f t="shared" ca="1" si="330"/>
        <v>0</v>
      </c>
      <c r="AC227" s="158">
        <f t="shared" ca="1" si="331"/>
        <v>0</v>
      </c>
      <c r="AD227" s="164"/>
      <c r="AE227" s="148">
        <f t="shared" si="317"/>
        <v>0</v>
      </c>
      <c r="AF227" s="149"/>
      <c r="AG227" s="150"/>
      <c r="AH227" s="159" t="e">
        <f t="shared" si="318"/>
        <v>#DIV/0!</v>
      </c>
      <c r="AI227" s="195"/>
      <c r="AJ227" s="198">
        <v>0</v>
      </c>
      <c r="AK227" s="199"/>
      <c r="AM227" s="105"/>
      <c r="AN227" s="105"/>
      <c r="AO227" s="105"/>
      <c r="AP227" s="105"/>
      <c r="AQ227" s="105"/>
      <c r="AR227" s="105"/>
    </row>
    <row r="228" spans="1:44" s="49" customFormat="1" ht="49.9" hidden="1" customHeight="1">
      <c r="A228" s="152">
        <f t="shared" ca="1" si="319"/>
        <v>0</v>
      </c>
      <c r="B228" s="153">
        <v>92819</v>
      </c>
      <c r="C228" s="154" t="str">
        <f t="shared" si="320"/>
        <v>92819</v>
      </c>
      <c r="D228" s="154" t="s">
        <v>1416</v>
      </c>
      <c r="E228" s="155" t="s">
        <v>3704</v>
      </c>
      <c r="F228" s="154"/>
      <c r="G228" s="154" t="s">
        <v>58</v>
      </c>
      <c r="H228" s="152">
        <v>142.88</v>
      </c>
      <c r="I228" s="152">
        <v>203.82</v>
      </c>
      <c r="J228" s="156"/>
      <c r="K228" s="156">
        <f>Dre_Disp_Estruturais!AI25+Dre_Disp_Estruturais!AI35</f>
        <v>0</v>
      </c>
      <c r="L228" s="156">
        <f t="shared" si="321"/>
        <v>0</v>
      </c>
      <c r="M228" s="156">
        <f t="shared" si="322"/>
        <v>0</v>
      </c>
      <c r="N228" s="156" t="s">
        <v>83</v>
      </c>
      <c r="O228" s="157" cm="1">
        <f t="array" ref="O228">TRUNC($H228*(1+_xlfn.SWITCH($N228,"BDI 1",$O$6,"BDI 2",$O$7,"BDI 3",$O$8)),2)</f>
        <v>172.45</v>
      </c>
      <c r="P228" s="157" cm="1">
        <f t="array" ref="P228">TRUNC($I228*(1+_xlfn.SWITCH($N228,"BDI 1",$P$6,"BDI 2",$P$7,"BDI 3",$P$8)),2)</f>
        <v>258.32</v>
      </c>
      <c r="Q228" s="157">
        <v>0</v>
      </c>
      <c r="R228" s="157">
        <f t="shared" si="323"/>
        <v>0</v>
      </c>
      <c r="S228" s="156">
        <f t="shared" si="324"/>
        <v>0</v>
      </c>
      <c r="T228" s="156">
        <f t="shared" si="325"/>
        <v>0</v>
      </c>
      <c r="U228" s="156">
        <f t="shared" si="326"/>
        <v>0</v>
      </c>
      <c r="V228" s="156">
        <f t="shared" si="327"/>
        <v>0</v>
      </c>
      <c r="W228" s="156">
        <f t="shared" si="314"/>
        <v>0</v>
      </c>
      <c r="X228" s="158">
        <f t="shared" ref="X228" si="377">$S228/ORCAMENTO_VALOR_TOTAL_ND</f>
        <v>0</v>
      </c>
      <c r="Y228" s="158">
        <f t="shared" ref="Y228" si="378">$T228/ORCAMENTO_VALOR_TOTAL_DE</f>
        <v>0</v>
      </c>
      <c r="Z228" s="158" cm="1">
        <f t="array" ref="Z228">_xlfn.SWITCH($N228,"BDI 1",$O$6,"BDI 2",$O$7,"BDI 3",$O$8)</f>
        <v>0.20699999999999999</v>
      </c>
      <c r="AA228" s="158" cm="1">
        <f t="array" ref="AA228">_xlfn.SWITCH($N228,"BDI 1",$P$6,"BDI 2",$P$7,"BDI 3",$P$8)</f>
        <v>0.26739999999999997</v>
      </c>
      <c r="AB228" s="158">
        <f t="shared" ca="1" si="330"/>
        <v>0</v>
      </c>
      <c r="AC228" s="158">
        <f t="shared" ca="1" si="331"/>
        <v>0</v>
      </c>
      <c r="AD228" s="164"/>
      <c r="AE228" s="148">
        <f t="shared" si="317"/>
        <v>0</v>
      </c>
      <c r="AF228" s="149"/>
      <c r="AG228" s="150"/>
      <c r="AH228" s="159" t="e">
        <f t="shared" si="318"/>
        <v>#DIV/0!</v>
      </c>
      <c r="AI228" s="195"/>
      <c r="AJ228" s="198">
        <v>0</v>
      </c>
      <c r="AK228" s="199"/>
      <c r="AM228" s="105"/>
      <c r="AN228" s="105"/>
      <c r="AO228" s="105"/>
      <c r="AP228" s="105"/>
      <c r="AQ228" s="105"/>
      <c r="AR228" s="105"/>
    </row>
    <row r="229" spans="1:44" s="49" customFormat="1" ht="40.15" hidden="1" customHeight="1">
      <c r="A229" s="152">
        <f t="shared" ca="1" si="319"/>
        <v>0</v>
      </c>
      <c r="B229" s="153" t="s">
        <v>143</v>
      </c>
      <c r="C229" s="154" t="str">
        <f t="shared" si="320"/>
        <v>M0131</v>
      </c>
      <c r="D229" s="154" t="s">
        <v>3705</v>
      </c>
      <c r="E229" s="155" t="s">
        <v>3706</v>
      </c>
      <c r="F229" s="154"/>
      <c r="G229" s="154" t="s">
        <v>1431</v>
      </c>
      <c r="H229" s="152">
        <v>205.78280000000001</v>
      </c>
      <c r="I229" s="152">
        <v>205.78280000000001</v>
      </c>
      <c r="J229" s="156"/>
      <c r="K229" s="156">
        <f>K238+K247</f>
        <v>0</v>
      </c>
      <c r="L229" s="156">
        <f t="shared" si="321"/>
        <v>0</v>
      </c>
      <c r="M229" s="156">
        <f t="shared" si="322"/>
        <v>0</v>
      </c>
      <c r="N229" s="156" t="s">
        <v>92</v>
      </c>
      <c r="O229" s="157" cm="1">
        <f t="array" ref="O229">TRUNC($H229*(1+_xlfn.SWITCH($N229,"BDI 1",$O$6,"BDI 2",$O$7,"BDI 3",$O$8)),2)</f>
        <v>237.2</v>
      </c>
      <c r="P229" s="157" cm="1">
        <f t="array" ref="P229">TRUNC($I229*(1+_xlfn.SWITCH($N229,"BDI 1",$P$6,"BDI 2",$P$7,"BDI 3",$P$8)),2)</f>
        <v>237.2</v>
      </c>
      <c r="Q229" s="157">
        <v>0</v>
      </c>
      <c r="R229" s="157">
        <f t="shared" si="323"/>
        <v>0</v>
      </c>
      <c r="S229" s="156">
        <f t="shared" si="324"/>
        <v>0</v>
      </c>
      <c r="T229" s="156">
        <f t="shared" si="325"/>
        <v>0</v>
      </c>
      <c r="U229" s="156">
        <f t="shared" si="326"/>
        <v>0</v>
      </c>
      <c r="V229" s="156">
        <f t="shared" si="327"/>
        <v>0</v>
      </c>
      <c r="W229" s="156">
        <f t="shared" si="314"/>
        <v>0</v>
      </c>
      <c r="X229" s="158">
        <f t="shared" ref="X229" si="379">$S229/ORCAMENTO_VALOR_TOTAL_ND</f>
        <v>0</v>
      </c>
      <c r="Y229" s="158">
        <f t="shared" ref="Y229" si="380">$T229/ORCAMENTO_VALOR_TOTAL_DE</f>
        <v>0</v>
      </c>
      <c r="Z229" s="158" cm="1">
        <f t="array" ref="Z229">_xlfn.SWITCH($N229,"BDI 1",$O$6,"BDI 2",$O$7,"BDI 3",$O$8)</f>
        <v>0.1527</v>
      </c>
      <c r="AA229" s="158" cm="1">
        <f t="array" ref="AA229">_xlfn.SWITCH($N229,"BDI 1",$P$6,"BDI 2",$P$7,"BDI 3",$P$8)</f>
        <v>0.1527</v>
      </c>
      <c r="AB229" s="158">
        <f t="shared" ca="1" si="330"/>
        <v>0</v>
      </c>
      <c r="AC229" s="158">
        <f t="shared" ca="1" si="331"/>
        <v>0</v>
      </c>
      <c r="AD229" s="164"/>
      <c r="AE229" s="148">
        <f t="shared" si="317"/>
        <v>0</v>
      </c>
      <c r="AF229" s="149"/>
      <c r="AG229" s="150"/>
      <c r="AH229" s="159" t="e">
        <f t="shared" si="318"/>
        <v>#DIV/0!</v>
      </c>
      <c r="AI229" s="200">
        <v>0</v>
      </c>
      <c r="AJ229" s="105"/>
      <c r="AK229" s="105"/>
      <c r="AM229" s="105"/>
      <c r="AN229" s="105"/>
      <c r="AO229" s="105"/>
      <c r="AP229" s="105"/>
      <c r="AQ229" s="105"/>
      <c r="AR229" s="105"/>
    </row>
    <row r="230" spans="1:44" s="49" customFormat="1" ht="40.15" hidden="1" customHeight="1">
      <c r="A230" s="152">
        <f t="shared" ca="1" si="319"/>
        <v>0</v>
      </c>
      <c r="B230" s="153" t="s">
        <v>144</v>
      </c>
      <c r="C230" s="154" t="str">
        <f t="shared" si="320"/>
        <v>M0133</v>
      </c>
      <c r="D230" s="154" t="s">
        <v>3705</v>
      </c>
      <c r="E230" s="155" t="s">
        <v>3707</v>
      </c>
      <c r="F230" s="154"/>
      <c r="G230" s="154" t="s">
        <v>1431</v>
      </c>
      <c r="H230" s="152">
        <v>333.8913</v>
      </c>
      <c r="I230" s="152">
        <v>333.8913</v>
      </c>
      <c r="J230" s="156"/>
      <c r="K230" s="156">
        <f t="shared" ref="K230:K237" si="381">K239+K248</f>
        <v>0</v>
      </c>
      <c r="L230" s="156">
        <f t="shared" si="321"/>
        <v>0</v>
      </c>
      <c r="M230" s="156">
        <f t="shared" si="322"/>
        <v>0</v>
      </c>
      <c r="N230" s="156" t="s">
        <v>92</v>
      </c>
      <c r="O230" s="157" cm="1">
        <f t="array" ref="O230">TRUNC($H230*(1+_xlfn.SWITCH($N230,"BDI 1",$O$6,"BDI 2",$O$7,"BDI 3",$O$8)),2)</f>
        <v>384.87</v>
      </c>
      <c r="P230" s="157" cm="1">
        <f t="array" ref="P230">TRUNC($I230*(1+_xlfn.SWITCH($N230,"BDI 1",$P$6,"BDI 2",$P$7,"BDI 3",$P$8)),2)</f>
        <v>384.87</v>
      </c>
      <c r="Q230" s="157">
        <v>0</v>
      </c>
      <c r="R230" s="157">
        <f t="shared" si="323"/>
        <v>0</v>
      </c>
      <c r="S230" s="156">
        <f t="shared" si="324"/>
        <v>0</v>
      </c>
      <c r="T230" s="156">
        <f t="shared" si="325"/>
        <v>0</v>
      </c>
      <c r="U230" s="156">
        <f t="shared" si="326"/>
        <v>0</v>
      </c>
      <c r="V230" s="156">
        <f t="shared" si="327"/>
        <v>0</v>
      </c>
      <c r="W230" s="156">
        <f t="shared" si="314"/>
        <v>0</v>
      </c>
      <c r="X230" s="158">
        <f t="shared" ref="X230" si="382">$S230/ORCAMENTO_VALOR_TOTAL_ND</f>
        <v>0</v>
      </c>
      <c r="Y230" s="158">
        <f t="shared" ref="Y230" si="383">$T230/ORCAMENTO_VALOR_TOTAL_DE</f>
        <v>0</v>
      </c>
      <c r="Z230" s="158" cm="1">
        <f t="array" ref="Z230">_xlfn.SWITCH($N230,"BDI 1",$O$6,"BDI 2",$O$7,"BDI 3",$O$8)</f>
        <v>0.1527</v>
      </c>
      <c r="AA230" s="158" cm="1">
        <f t="array" ref="AA230">_xlfn.SWITCH($N230,"BDI 1",$P$6,"BDI 2",$P$7,"BDI 3",$P$8)</f>
        <v>0.1527</v>
      </c>
      <c r="AB230" s="158">
        <f t="shared" ca="1" si="330"/>
        <v>0</v>
      </c>
      <c r="AC230" s="158">
        <f t="shared" ca="1" si="331"/>
        <v>0</v>
      </c>
      <c r="AD230" s="164"/>
      <c r="AE230" s="148">
        <f t="shared" si="317"/>
        <v>0</v>
      </c>
      <c r="AF230" s="149"/>
      <c r="AG230" s="150"/>
      <c r="AH230" s="159" t="e">
        <f t="shared" si="318"/>
        <v>#DIV/0!</v>
      </c>
      <c r="AI230" s="200">
        <v>0</v>
      </c>
      <c r="AJ230" s="105"/>
      <c r="AK230" s="105"/>
      <c r="AM230" s="105"/>
      <c r="AN230" s="105"/>
      <c r="AO230" s="105"/>
      <c r="AP230" s="105"/>
      <c r="AQ230" s="105"/>
      <c r="AR230" s="105"/>
    </row>
    <row r="231" spans="1:44" s="49" customFormat="1" ht="40.15" hidden="1" customHeight="1">
      <c r="A231" s="152">
        <f t="shared" ca="1" si="319"/>
        <v>0</v>
      </c>
      <c r="B231" s="153" t="s">
        <v>145</v>
      </c>
      <c r="C231" s="154" t="str">
        <f t="shared" si="320"/>
        <v>M0134</v>
      </c>
      <c r="D231" s="154" t="s">
        <v>3705</v>
      </c>
      <c r="E231" s="155" t="s">
        <v>3708</v>
      </c>
      <c r="F231" s="154"/>
      <c r="G231" s="154" t="s">
        <v>1431</v>
      </c>
      <c r="H231" s="152">
        <v>493.34379999999999</v>
      </c>
      <c r="I231" s="152">
        <v>493.34379999999999</v>
      </c>
      <c r="J231" s="156"/>
      <c r="K231" s="156">
        <f t="shared" si="381"/>
        <v>0</v>
      </c>
      <c r="L231" s="156">
        <f t="shared" si="321"/>
        <v>0</v>
      </c>
      <c r="M231" s="156">
        <f t="shared" si="322"/>
        <v>0</v>
      </c>
      <c r="N231" s="156" t="s">
        <v>92</v>
      </c>
      <c r="O231" s="157" cm="1">
        <f t="array" ref="O231">TRUNC($H231*(1+_xlfn.SWITCH($N231,"BDI 1",$O$6,"BDI 2",$O$7,"BDI 3",$O$8)),2)</f>
        <v>568.66999999999996</v>
      </c>
      <c r="P231" s="157" cm="1">
        <f t="array" ref="P231">TRUNC($I231*(1+_xlfn.SWITCH($N231,"BDI 1",$P$6,"BDI 2",$P$7,"BDI 3",$P$8)),2)</f>
        <v>568.66999999999996</v>
      </c>
      <c r="Q231" s="157">
        <v>0</v>
      </c>
      <c r="R231" s="157">
        <f t="shared" si="323"/>
        <v>0</v>
      </c>
      <c r="S231" s="156">
        <f t="shared" si="324"/>
        <v>0</v>
      </c>
      <c r="T231" s="156">
        <f t="shared" si="325"/>
        <v>0</v>
      </c>
      <c r="U231" s="156">
        <f t="shared" si="326"/>
        <v>0</v>
      </c>
      <c r="V231" s="156">
        <f t="shared" si="327"/>
        <v>0</v>
      </c>
      <c r="W231" s="156">
        <f t="shared" si="314"/>
        <v>0</v>
      </c>
      <c r="X231" s="158">
        <f t="shared" ref="X231" si="384">$S231/ORCAMENTO_VALOR_TOTAL_ND</f>
        <v>0</v>
      </c>
      <c r="Y231" s="158">
        <f t="shared" ref="Y231" si="385">$T231/ORCAMENTO_VALOR_TOTAL_DE</f>
        <v>0</v>
      </c>
      <c r="Z231" s="158" cm="1">
        <f t="array" ref="Z231">_xlfn.SWITCH($N231,"BDI 1",$O$6,"BDI 2",$O$7,"BDI 3",$O$8)</f>
        <v>0.1527</v>
      </c>
      <c r="AA231" s="158" cm="1">
        <f t="array" ref="AA231">_xlfn.SWITCH($N231,"BDI 1",$P$6,"BDI 2",$P$7,"BDI 3",$P$8)</f>
        <v>0.1527</v>
      </c>
      <c r="AB231" s="158">
        <f t="shared" ca="1" si="330"/>
        <v>0</v>
      </c>
      <c r="AC231" s="158">
        <f t="shared" ca="1" si="331"/>
        <v>0</v>
      </c>
      <c r="AD231" s="164"/>
      <c r="AE231" s="148">
        <f t="shared" si="317"/>
        <v>0</v>
      </c>
      <c r="AF231" s="149"/>
      <c r="AG231" s="150"/>
      <c r="AH231" s="159" t="e">
        <f t="shared" si="318"/>
        <v>#DIV/0!</v>
      </c>
      <c r="AI231" s="200">
        <v>0</v>
      </c>
      <c r="AJ231" s="105"/>
      <c r="AK231" s="105"/>
      <c r="AM231" s="105"/>
      <c r="AN231" s="105"/>
      <c r="AO231" s="105"/>
      <c r="AP231" s="105"/>
      <c r="AQ231" s="105"/>
      <c r="AR231" s="105"/>
    </row>
    <row r="232" spans="1:44" s="49" customFormat="1" ht="40.15" hidden="1" customHeight="1">
      <c r="A232" s="152">
        <f t="shared" ca="1" si="319"/>
        <v>0</v>
      </c>
      <c r="B232" s="153" t="s">
        <v>146</v>
      </c>
      <c r="C232" s="154" t="str">
        <f t="shared" si="320"/>
        <v>M0135</v>
      </c>
      <c r="D232" s="154" t="s">
        <v>3705</v>
      </c>
      <c r="E232" s="155" t="s">
        <v>3709</v>
      </c>
      <c r="F232" s="154"/>
      <c r="G232" s="154" t="s">
        <v>1431</v>
      </c>
      <c r="H232" s="152">
        <v>648.72709999999995</v>
      </c>
      <c r="I232" s="152">
        <v>648.72709999999995</v>
      </c>
      <c r="J232" s="156"/>
      <c r="K232" s="156">
        <f t="shared" si="381"/>
        <v>0</v>
      </c>
      <c r="L232" s="156">
        <f t="shared" si="321"/>
        <v>0</v>
      </c>
      <c r="M232" s="156">
        <f t="shared" si="322"/>
        <v>0</v>
      </c>
      <c r="N232" s="156" t="s">
        <v>92</v>
      </c>
      <c r="O232" s="157" cm="1">
        <f t="array" ref="O232">TRUNC($H232*(1+_xlfn.SWITCH($N232,"BDI 1",$O$6,"BDI 2",$O$7,"BDI 3",$O$8)),2)</f>
        <v>747.78</v>
      </c>
      <c r="P232" s="157" cm="1">
        <f t="array" ref="P232">TRUNC($I232*(1+_xlfn.SWITCH($N232,"BDI 1",$P$6,"BDI 2",$P$7,"BDI 3",$P$8)),2)</f>
        <v>747.78</v>
      </c>
      <c r="Q232" s="157">
        <v>0</v>
      </c>
      <c r="R232" s="157">
        <f t="shared" si="323"/>
        <v>0</v>
      </c>
      <c r="S232" s="156">
        <f t="shared" si="324"/>
        <v>0</v>
      </c>
      <c r="T232" s="156">
        <f t="shared" si="325"/>
        <v>0</v>
      </c>
      <c r="U232" s="156">
        <f t="shared" si="326"/>
        <v>0</v>
      </c>
      <c r="V232" s="156">
        <f t="shared" si="327"/>
        <v>0</v>
      </c>
      <c r="W232" s="156">
        <f t="shared" si="314"/>
        <v>0</v>
      </c>
      <c r="X232" s="158">
        <f t="shared" ref="X232" si="386">$S232/ORCAMENTO_VALOR_TOTAL_ND</f>
        <v>0</v>
      </c>
      <c r="Y232" s="158">
        <f t="shared" ref="Y232" si="387">$T232/ORCAMENTO_VALOR_TOTAL_DE</f>
        <v>0</v>
      </c>
      <c r="Z232" s="158" cm="1">
        <f t="array" ref="Z232">_xlfn.SWITCH($N232,"BDI 1",$O$6,"BDI 2",$O$7,"BDI 3",$O$8)</f>
        <v>0.1527</v>
      </c>
      <c r="AA232" s="158" cm="1">
        <f t="array" ref="AA232">_xlfn.SWITCH($N232,"BDI 1",$P$6,"BDI 2",$P$7,"BDI 3",$P$8)</f>
        <v>0.1527</v>
      </c>
      <c r="AB232" s="158">
        <f t="shared" ca="1" si="330"/>
        <v>0</v>
      </c>
      <c r="AC232" s="158">
        <f t="shared" ca="1" si="331"/>
        <v>0</v>
      </c>
      <c r="AD232" s="164"/>
      <c r="AE232" s="148">
        <f t="shared" si="317"/>
        <v>0</v>
      </c>
      <c r="AF232" s="149"/>
      <c r="AG232" s="150"/>
      <c r="AH232" s="159" t="e">
        <f t="shared" si="318"/>
        <v>#DIV/0!</v>
      </c>
      <c r="AI232" s="200">
        <v>0</v>
      </c>
      <c r="AJ232" s="105"/>
      <c r="AK232" s="105"/>
      <c r="AM232" s="105"/>
      <c r="AN232" s="105"/>
      <c r="AO232" s="105"/>
      <c r="AP232" s="105"/>
      <c r="AQ232" s="105"/>
      <c r="AR232" s="105"/>
    </row>
    <row r="233" spans="1:44" s="49" customFormat="1" ht="40.15" hidden="1" customHeight="1">
      <c r="A233" s="152">
        <f t="shared" ca="1" si="319"/>
        <v>0</v>
      </c>
      <c r="B233" s="153" t="s">
        <v>147</v>
      </c>
      <c r="C233" s="154" t="str">
        <f t="shared" si="320"/>
        <v>M0136</v>
      </c>
      <c r="D233" s="154" t="s">
        <v>3705</v>
      </c>
      <c r="E233" s="155" t="s">
        <v>3710</v>
      </c>
      <c r="F233" s="154"/>
      <c r="G233" s="154" t="s">
        <v>1431</v>
      </c>
      <c r="H233" s="152">
        <v>720.72889999999995</v>
      </c>
      <c r="I233" s="152">
        <v>720.72889999999995</v>
      </c>
      <c r="J233" s="156"/>
      <c r="K233" s="156">
        <f t="shared" si="381"/>
        <v>0</v>
      </c>
      <c r="L233" s="156">
        <f t="shared" si="321"/>
        <v>0</v>
      </c>
      <c r="M233" s="156">
        <f t="shared" si="322"/>
        <v>0</v>
      </c>
      <c r="N233" s="156" t="s">
        <v>92</v>
      </c>
      <c r="O233" s="157" cm="1">
        <f t="array" ref="O233">TRUNC($H233*(1+_xlfn.SWITCH($N233,"BDI 1",$O$6,"BDI 2",$O$7,"BDI 3",$O$8)),2)</f>
        <v>830.78</v>
      </c>
      <c r="P233" s="157" cm="1">
        <f t="array" ref="P233">TRUNC($I233*(1+_xlfn.SWITCH($N233,"BDI 1",$P$6,"BDI 2",$P$7,"BDI 3",$P$8)),2)</f>
        <v>830.78</v>
      </c>
      <c r="Q233" s="157">
        <v>0</v>
      </c>
      <c r="R233" s="157">
        <f t="shared" si="323"/>
        <v>0</v>
      </c>
      <c r="S233" s="156">
        <f t="shared" si="324"/>
        <v>0</v>
      </c>
      <c r="T233" s="156">
        <f t="shared" si="325"/>
        <v>0</v>
      </c>
      <c r="U233" s="156">
        <f t="shared" si="326"/>
        <v>0</v>
      </c>
      <c r="V233" s="156">
        <f t="shared" si="327"/>
        <v>0</v>
      </c>
      <c r="W233" s="156">
        <f t="shared" si="314"/>
        <v>0</v>
      </c>
      <c r="X233" s="158">
        <f t="shared" ref="X233" si="388">$S233/ORCAMENTO_VALOR_TOTAL_ND</f>
        <v>0</v>
      </c>
      <c r="Y233" s="158">
        <f t="shared" ref="Y233" si="389">$T233/ORCAMENTO_VALOR_TOTAL_DE</f>
        <v>0</v>
      </c>
      <c r="Z233" s="158" cm="1">
        <f t="array" ref="Z233">_xlfn.SWITCH($N233,"BDI 1",$O$6,"BDI 2",$O$7,"BDI 3",$O$8)</f>
        <v>0.1527</v>
      </c>
      <c r="AA233" s="158" cm="1">
        <f t="array" ref="AA233">_xlfn.SWITCH($N233,"BDI 1",$P$6,"BDI 2",$P$7,"BDI 3",$P$8)</f>
        <v>0.1527</v>
      </c>
      <c r="AB233" s="158">
        <f t="shared" ca="1" si="330"/>
        <v>0</v>
      </c>
      <c r="AC233" s="158">
        <f t="shared" ca="1" si="331"/>
        <v>0</v>
      </c>
      <c r="AD233" s="164"/>
      <c r="AE233" s="148">
        <f t="shared" si="317"/>
        <v>0</v>
      </c>
      <c r="AF233" s="149"/>
      <c r="AG233" s="150"/>
      <c r="AH233" s="159" t="e">
        <f t="shared" si="318"/>
        <v>#DIV/0!</v>
      </c>
      <c r="AI233" s="200">
        <v>0</v>
      </c>
      <c r="AJ233" s="105"/>
      <c r="AK233" s="105"/>
      <c r="AM233" s="105"/>
      <c r="AN233" s="105"/>
      <c r="AO233" s="105"/>
      <c r="AP233" s="105"/>
      <c r="AQ233" s="105"/>
      <c r="AR233" s="105"/>
    </row>
    <row r="234" spans="1:44" s="49" customFormat="1" ht="40.15" hidden="1" customHeight="1">
      <c r="A234" s="152">
        <f t="shared" ca="1" si="319"/>
        <v>0</v>
      </c>
      <c r="B234" s="153" t="s">
        <v>148</v>
      </c>
      <c r="C234" s="154" t="str">
        <f t="shared" si="320"/>
        <v>M0137</v>
      </c>
      <c r="D234" s="154" t="s">
        <v>3705</v>
      </c>
      <c r="E234" s="155" t="s">
        <v>3711</v>
      </c>
      <c r="F234" s="154"/>
      <c r="G234" s="154" t="s">
        <v>1431</v>
      </c>
      <c r="H234" s="152">
        <v>1021.168</v>
      </c>
      <c r="I234" s="152">
        <v>1021.168</v>
      </c>
      <c r="J234" s="156"/>
      <c r="K234" s="156">
        <f t="shared" si="381"/>
        <v>0</v>
      </c>
      <c r="L234" s="156">
        <f t="shared" si="321"/>
        <v>0</v>
      </c>
      <c r="M234" s="156">
        <f t="shared" si="322"/>
        <v>0</v>
      </c>
      <c r="N234" s="156" t="s">
        <v>92</v>
      </c>
      <c r="O234" s="157" cm="1">
        <f t="array" ref="O234">TRUNC($H234*(1+_xlfn.SWITCH($N234,"BDI 1",$O$6,"BDI 2",$O$7,"BDI 3",$O$8)),2)</f>
        <v>1177.0999999999999</v>
      </c>
      <c r="P234" s="157" cm="1">
        <f t="array" ref="P234">TRUNC($I234*(1+_xlfn.SWITCH($N234,"BDI 1",$P$6,"BDI 2",$P$7,"BDI 3",$P$8)),2)</f>
        <v>1177.0999999999999</v>
      </c>
      <c r="Q234" s="157">
        <v>0</v>
      </c>
      <c r="R234" s="157">
        <f t="shared" si="323"/>
        <v>0</v>
      </c>
      <c r="S234" s="156">
        <f t="shared" si="324"/>
        <v>0</v>
      </c>
      <c r="T234" s="156">
        <f t="shared" si="325"/>
        <v>0</v>
      </c>
      <c r="U234" s="156">
        <f t="shared" si="326"/>
        <v>0</v>
      </c>
      <c r="V234" s="156">
        <f t="shared" si="327"/>
        <v>0</v>
      </c>
      <c r="W234" s="156">
        <f t="shared" si="314"/>
        <v>0</v>
      </c>
      <c r="X234" s="158">
        <f t="shared" ref="X234" si="390">$S234/ORCAMENTO_VALOR_TOTAL_ND</f>
        <v>0</v>
      </c>
      <c r="Y234" s="158">
        <f t="shared" ref="Y234" si="391">$T234/ORCAMENTO_VALOR_TOTAL_DE</f>
        <v>0</v>
      </c>
      <c r="Z234" s="158" cm="1">
        <f t="array" ref="Z234">_xlfn.SWITCH($N234,"BDI 1",$O$6,"BDI 2",$O$7,"BDI 3",$O$8)</f>
        <v>0.1527</v>
      </c>
      <c r="AA234" s="158" cm="1">
        <f t="array" ref="AA234">_xlfn.SWITCH($N234,"BDI 1",$P$6,"BDI 2",$P$7,"BDI 3",$P$8)</f>
        <v>0.1527</v>
      </c>
      <c r="AB234" s="158">
        <f t="shared" ca="1" si="330"/>
        <v>0</v>
      </c>
      <c r="AC234" s="158">
        <f t="shared" ca="1" si="331"/>
        <v>0</v>
      </c>
      <c r="AD234" s="164"/>
      <c r="AE234" s="148">
        <f t="shared" si="317"/>
        <v>0</v>
      </c>
      <c r="AF234" s="149"/>
      <c r="AG234" s="150"/>
      <c r="AH234" s="159" t="e">
        <f t="shared" si="318"/>
        <v>#DIV/0!</v>
      </c>
      <c r="AI234" s="200">
        <v>0</v>
      </c>
      <c r="AJ234" s="105"/>
      <c r="AK234" s="105"/>
      <c r="AM234" s="105"/>
      <c r="AN234" s="105"/>
      <c r="AO234" s="105"/>
      <c r="AP234" s="105"/>
      <c r="AQ234" s="105"/>
      <c r="AR234" s="105"/>
    </row>
    <row r="235" spans="1:44" s="49" customFormat="1" ht="40.15" hidden="1" customHeight="1">
      <c r="A235" s="152">
        <f t="shared" ca="1" si="319"/>
        <v>0</v>
      </c>
      <c r="B235" s="153" t="s">
        <v>149</v>
      </c>
      <c r="C235" s="154" t="str">
        <f t="shared" si="320"/>
        <v>M0139</v>
      </c>
      <c r="D235" s="154" t="s">
        <v>3705</v>
      </c>
      <c r="E235" s="155" t="s">
        <v>3712</v>
      </c>
      <c r="F235" s="154"/>
      <c r="G235" s="154" t="s">
        <v>1431</v>
      </c>
      <c r="H235" s="152">
        <v>1284.1985</v>
      </c>
      <c r="I235" s="152">
        <v>1284.1985</v>
      </c>
      <c r="J235" s="156"/>
      <c r="K235" s="156">
        <f t="shared" si="381"/>
        <v>0</v>
      </c>
      <c r="L235" s="156">
        <f t="shared" si="321"/>
        <v>0</v>
      </c>
      <c r="M235" s="156">
        <f t="shared" si="322"/>
        <v>0</v>
      </c>
      <c r="N235" s="156" t="s">
        <v>92</v>
      </c>
      <c r="O235" s="157" cm="1">
        <f t="array" ref="O235">TRUNC($H235*(1+_xlfn.SWITCH($N235,"BDI 1",$O$6,"BDI 2",$O$7,"BDI 3",$O$8)),2)</f>
        <v>1480.29</v>
      </c>
      <c r="P235" s="157" cm="1">
        <f t="array" ref="P235">TRUNC($I235*(1+_xlfn.SWITCH($N235,"BDI 1",$P$6,"BDI 2",$P$7,"BDI 3",$P$8)),2)</f>
        <v>1480.29</v>
      </c>
      <c r="Q235" s="157">
        <v>0</v>
      </c>
      <c r="R235" s="157">
        <f t="shared" si="323"/>
        <v>0</v>
      </c>
      <c r="S235" s="156">
        <f t="shared" si="324"/>
        <v>0</v>
      </c>
      <c r="T235" s="156">
        <f t="shared" si="325"/>
        <v>0</v>
      </c>
      <c r="U235" s="156">
        <f t="shared" si="326"/>
        <v>0</v>
      </c>
      <c r="V235" s="156">
        <f t="shared" si="327"/>
        <v>0</v>
      </c>
      <c r="W235" s="156">
        <f t="shared" si="314"/>
        <v>0</v>
      </c>
      <c r="X235" s="158">
        <f t="shared" ref="X235" si="392">$S235/ORCAMENTO_VALOR_TOTAL_ND</f>
        <v>0</v>
      </c>
      <c r="Y235" s="158">
        <f t="shared" ref="Y235" si="393">$T235/ORCAMENTO_VALOR_TOTAL_DE</f>
        <v>0</v>
      </c>
      <c r="Z235" s="158" cm="1">
        <f t="array" ref="Z235">_xlfn.SWITCH($N235,"BDI 1",$O$6,"BDI 2",$O$7,"BDI 3",$O$8)</f>
        <v>0.1527</v>
      </c>
      <c r="AA235" s="158" cm="1">
        <f t="array" ref="AA235">_xlfn.SWITCH($N235,"BDI 1",$P$6,"BDI 2",$P$7,"BDI 3",$P$8)</f>
        <v>0.1527</v>
      </c>
      <c r="AB235" s="158">
        <f t="shared" ca="1" si="330"/>
        <v>0</v>
      </c>
      <c r="AC235" s="158">
        <f t="shared" ca="1" si="331"/>
        <v>0</v>
      </c>
      <c r="AD235" s="164"/>
      <c r="AE235" s="148">
        <f t="shared" si="317"/>
        <v>0</v>
      </c>
      <c r="AF235" s="149"/>
      <c r="AG235" s="150"/>
      <c r="AH235" s="159" t="e">
        <f t="shared" si="318"/>
        <v>#DIV/0!</v>
      </c>
      <c r="AI235" s="200">
        <v>0</v>
      </c>
      <c r="AJ235" s="105"/>
      <c r="AK235" s="105"/>
      <c r="AM235" s="105"/>
      <c r="AN235" s="105"/>
      <c r="AO235" s="105"/>
      <c r="AP235" s="105"/>
      <c r="AQ235" s="105"/>
      <c r="AR235" s="105"/>
    </row>
    <row r="236" spans="1:44" s="49" customFormat="1" ht="40.15" hidden="1" customHeight="1">
      <c r="A236" s="152">
        <f t="shared" ca="1" si="319"/>
        <v>0</v>
      </c>
      <c r="B236" s="153" t="s">
        <v>150</v>
      </c>
      <c r="C236" s="154" t="str">
        <f t="shared" si="320"/>
        <v>M0142</v>
      </c>
      <c r="D236" s="154" t="s">
        <v>3705</v>
      </c>
      <c r="E236" s="155" t="s">
        <v>3713</v>
      </c>
      <c r="F236" s="154"/>
      <c r="G236" s="154" t="s">
        <v>1431</v>
      </c>
      <c r="H236" s="152">
        <v>1704.6243999999999</v>
      </c>
      <c r="I236" s="152">
        <v>1704.6243999999999</v>
      </c>
      <c r="J236" s="156"/>
      <c r="K236" s="156">
        <f t="shared" si="381"/>
        <v>0</v>
      </c>
      <c r="L236" s="156">
        <f t="shared" si="321"/>
        <v>0</v>
      </c>
      <c r="M236" s="156">
        <f t="shared" si="322"/>
        <v>0</v>
      </c>
      <c r="N236" s="156" t="s">
        <v>92</v>
      </c>
      <c r="O236" s="157" cm="1">
        <f t="array" ref="O236">TRUNC($H236*(1+_xlfn.SWITCH($N236,"BDI 1",$O$6,"BDI 2",$O$7,"BDI 3",$O$8)),2)</f>
        <v>1964.92</v>
      </c>
      <c r="P236" s="157" cm="1">
        <f t="array" ref="P236">TRUNC($I236*(1+_xlfn.SWITCH($N236,"BDI 1",$P$6,"BDI 2",$P$7,"BDI 3",$P$8)),2)</f>
        <v>1964.92</v>
      </c>
      <c r="Q236" s="157">
        <v>0</v>
      </c>
      <c r="R236" s="157">
        <f t="shared" si="323"/>
        <v>0</v>
      </c>
      <c r="S236" s="156">
        <f t="shared" si="324"/>
        <v>0</v>
      </c>
      <c r="T236" s="156">
        <f t="shared" si="325"/>
        <v>0</v>
      </c>
      <c r="U236" s="156">
        <f t="shared" si="326"/>
        <v>0</v>
      </c>
      <c r="V236" s="156">
        <f t="shared" si="327"/>
        <v>0</v>
      </c>
      <c r="W236" s="156">
        <f t="shared" si="314"/>
        <v>0</v>
      </c>
      <c r="X236" s="158">
        <f t="shared" ref="X236" si="394">$S236/ORCAMENTO_VALOR_TOTAL_ND</f>
        <v>0</v>
      </c>
      <c r="Y236" s="158">
        <f t="shared" ref="Y236" si="395">$T236/ORCAMENTO_VALOR_TOTAL_DE</f>
        <v>0</v>
      </c>
      <c r="Z236" s="158" cm="1">
        <f t="array" ref="Z236">_xlfn.SWITCH($N236,"BDI 1",$O$6,"BDI 2",$O$7,"BDI 3",$O$8)</f>
        <v>0.1527</v>
      </c>
      <c r="AA236" s="158" cm="1">
        <f t="array" ref="AA236">_xlfn.SWITCH($N236,"BDI 1",$P$6,"BDI 2",$P$7,"BDI 3",$P$8)</f>
        <v>0.1527</v>
      </c>
      <c r="AB236" s="158">
        <f t="shared" ca="1" si="330"/>
        <v>0</v>
      </c>
      <c r="AC236" s="158">
        <f t="shared" ca="1" si="331"/>
        <v>0</v>
      </c>
      <c r="AD236" s="164"/>
      <c r="AE236" s="148">
        <f t="shared" si="317"/>
        <v>0</v>
      </c>
      <c r="AF236" s="149"/>
      <c r="AG236" s="150"/>
      <c r="AH236" s="159" t="e">
        <f t="shared" si="318"/>
        <v>#DIV/0!</v>
      </c>
      <c r="AI236" s="200">
        <v>0</v>
      </c>
      <c r="AJ236" s="105"/>
      <c r="AK236" s="105"/>
      <c r="AM236" s="105"/>
      <c r="AN236" s="105"/>
      <c r="AO236" s="105"/>
      <c r="AP236" s="105"/>
      <c r="AQ236" s="105"/>
      <c r="AR236" s="105"/>
    </row>
    <row r="237" spans="1:44" s="49" customFormat="1" ht="40.15" hidden="1" customHeight="1">
      <c r="A237" s="152">
        <f t="shared" ca="1" si="319"/>
        <v>0</v>
      </c>
      <c r="B237" s="153" t="s">
        <v>151</v>
      </c>
      <c r="C237" s="154" t="str">
        <f t="shared" si="320"/>
        <v>M0143</v>
      </c>
      <c r="D237" s="154" t="s">
        <v>3705</v>
      </c>
      <c r="E237" s="155" t="s">
        <v>3714</v>
      </c>
      <c r="F237" s="154"/>
      <c r="G237" s="154" t="s">
        <v>1431</v>
      </c>
      <c r="H237" s="152">
        <v>1973.231</v>
      </c>
      <c r="I237" s="152">
        <v>1973.231</v>
      </c>
      <c r="J237" s="156"/>
      <c r="K237" s="156">
        <f t="shared" si="381"/>
        <v>0</v>
      </c>
      <c r="L237" s="156">
        <f t="shared" si="321"/>
        <v>0</v>
      </c>
      <c r="M237" s="156">
        <f t="shared" si="322"/>
        <v>0</v>
      </c>
      <c r="N237" s="156" t="s">
        <v>92</v>
      </c>
      <c r="O237" s="157" cm="1">
        <f t="array" ref="O237">TRUNC($H237*(1+_xlfn.SWITCH($N237,"BDI 1",$O$6,"BDI 2",$O$7,"BDI 3",$O$8)),2)</f>
        <v>2274.54</v>
      </c>
      <c r="P237" s="157" cm="1">
        <f t="array" ref="P237">TRUNC($I237*(1+_xlfn.SWITCH($N237,"BDI 1",$P$6,"BDI 2",$P$7,"BDI 3",$P$8)),2)</f>
        <v>2274.54</v>
      </c>
      <c r="Q237" s="157">
        <v>0</v>
      </c>
      <c r="R237" s="157">
        <f t="shared" si="323"/>
        <v>0</v>
      </c>
      <c r="S237" s="156">
        <f t="shared" si="324"/>
        <v>0</v>
      </c>
      <c r="T237" s="156">
        <f t="shared" si="325"/>
        <v>0</v>
      </c>
      <c r="U237" s="156">
        <f t="shared" si="326"/>
        <v>0</v>
      </c>
      <c r="V237" s="156">
        <f t="shared" si="327"/>
        <v>0</v>
      </c>
      <c r="W237" s="156">
        <f t="shared" si="314"/>
        <v>0</v>
      </c>
      <c r="X237" s="158">
        <f t="shared" ref="X237" si="396">$S237/ORCAMENTO_VALOR_TOTAL_ND</f>
        <v>0</v>
      </c>
      <c r="Y237" s="158">
        <f t="shared" ref="Y237" si="397">$T237/ORCAMENTO_VALOR_TOTAL_DE</f>
        <v>0</v>
      </c>
      <c r="Z237" s="158" cm="1">
        <f t="array" ref="Z237">_xlfn.SWITCH($N237,"BDI 1",$O$6,"BDI 2",$O$7,"BDI 3",$O$8)</f>
        <v>0.1527</v>
      </c>
      <c r="AA237" s="158" cm="1">
        <f t="array" ref="AA237">_xlfn.SWITCH($N237,"BDI 1",$P$6,"BDI 2",$P$7,"BDI 3",$P$8)</f>
        <v>0.1527</v>
      </c>
      <c r="AB237" s="158">
        <f t="shared" ca="1" si="330"/>
        <v>0</v>
      </c>
      <c r="AC237" s="158">
        <f t="shared" ca="1" si="331"/>
        <v>0</v>
      </c>
      <c r="AD237" s="164"/>
      <c r="AE237" s="148">
        <f t="shared" si="317"/>
        <v>0</v>
      </c>
      <c r="AF237" s="149"/>
      <c r="AG237" s="150"/>
      <c r="AH237" s="159" t="e">
        <f t="shared" si="318"/>
        <v>#DIV/0!</v>
      </c>
      <c r="AI237" s="200">
        <v>0</v>
      </c>
      <c r="AJ237" s="181" t="s">
        <v>105</v>
      </c>
      <c r="AK237" s="181" t="s">
        <v>106</v>
      </c>
      <c r="AM237" s="105"/>
      <c r="AN237" s="105"/>
      <c r="AO237" s="105"/>
      <c r="AP237" s="105"/>
      <c r="AQ237" s="105"/>
      <c r="AR237" s="105"/>
    </row>
    <row r="238" spans="1:44" s="49" customFormat="1" ht="49.9" hidden="1" customHeight="1">
      <c r="A238" s="152">
        <f t="shared" ca="1" si="319"/>
        <v>0</v>
      </c>
      <c r="B238" s="153" t="s">
        <v>152</v>
      </c>
      <c r="C238" s="154" t="str">
        <f t="shared" si="320"/>
        <v>DR/0060</v>
      </c>
      <c r="D238" s="154" t="s">
        <v>3549</v>
      </c>
      <c r="E238" s="155" t="s">
        <v>3715</v>
      </c>
      <c r="F238" s="154"/>
      <c r="G238" s="154" t="s">
        <v>58</v>
      </c>
      <c r="H238" s="152">
        <v>2.35</v>
      </c>
      <c r="I238" s="152">
        <v>2.13</v>
      </c>
      <c r="J238" s="156"/>
      <c r="K238" s="156">
        <f>Dre_Disp_Estruturais!AI36</f>
        <v>0</v>
      </c>
      <c r="L238" s="156">
        <f t="shared" si="321"/>
        <v>0</v>
      </c>
      <c r="M238" s="156">
        <f t="shared" si="322"/>
        <v>0</v>
      </c>
      <c r="N238" s="156" t="s">
        <v>83</v>
      </c>
      <c r="O238" s="157" cm="1">
        <f t="array" ref="O238">TRUNC($H238*(1+_xlfn.SWITCH($N238,"BDI 1",$O$6,"BDI 2",$O$7,"BDI 3",$O$8)),2)</f>
        <v>2.83</v>
      </c>
      <c r="P238" s="157" cm="1">
        <f t="array" ref="P238">TRUNC($I238*(1+_xlfn.SWITCH($N238,"BDI 1",$P$6,"BDI 2",$P$7,"BDI 3",$P$8)),2)</f>
        <v>2.69</v>
      </c>
      <c r="Q238" s="157">
        <v>0</v>
      </c>
      <c r="R238" s="157">
        <f t="shared" si="323"/>
        <v>0</v>
      </c>
      <c r="S238" s="156">
        <f t="shared" si="324"/>
        <v>0</v>
      </c>
      <c r="T238" s="156">
        <f t="shared" si="325"/>
        <v>0</v>
      </c>
      <c r="U238" s="156">
        <f t="shared" si="326"/>
        <v>0</v>
      </c>
      <c r="V238" s="156">
        <f t="shared" si="327"/>
        <v>0</v>
      </c>
      <c r="W238" s="156">
        <f t="shared" si="314"/>
        <v>0</v>
      </c>
      <c r="X238" s="158">
        <f t="shared" ref="X238" si="398">$S238/ORCAMENTO_VALOR_TOTAL_ND</f>
        <v>0</v>
      </c>
      <c r="Y238" s="158">
        <f t="shared" ref="Y238" si="399">$T238/ORCAMENTO_VALOR_TOTAL_DE</f>
        <v>0</v>
      </c>
      <c r="Z238" s="158" cm="1">
        <f t="array" ref="Z238">_xlfn.SWITCH($N238,"BDI 1",$O$6,"BDI 2",$O$7,"BDI 3",$O$8)</f>
        <v>0.20699999999999999</v>
      </c>
      <c r="AA238" s="158" cm="1">
        <f t="array" ref="AA238">_xlfn.SWITCH($N238,"BDI 1",$P$6,"BDI 2",$P$7,"BDI 3",$P$8)</f>
        <v>0.26739999999999997</v>
      </c>
      <c r="AB238" s="158">
        <f t="shared" ca="1" si="330"/>
        <v>0</v>
      </c>
      <c r="AC238" s="158">
        <f t="shared" ca="1" si="331"/>
        <v>0</v>
      </c>
      <c r="AD238" s="164"/>
      <c r="AE238" s="148">
        <f t="shared" si="317"/>
        <v>0</v>
      </c>
      <c r="AF238" s="149"/>
      <c r="AG238" s="150"/>
      <c r="AH238" s="159" t="e">
        <f t="shared" si="318"/>
        <v>#DIV/0!</v>
      </c>
      <c r="AI238" s="195"/>
      <c r="AJ238" s="198">
        <v>150</v>
      </c>
      <c r="AK238" s="199">
        <f t="shared" ref="AK238:AK263" si="400">K238/AJ238</f>
        <v>0</v>
      </c>
      <c r="AM238" s="105"/>
      <c r="AN238" s="105"/>
      <c r="AO238" s="105"/>
      <c r="AP238" s="105"/>
      <c r="AQ238" s="105"/>
      <c r="AR238" s="105"/>
    </row>
    <row r="239" spans="1:44" s="49" customFormat="1" ht="60" hidden="1" customHeight="1">
      <c r="A239" s="152">
        <f t="shared" ca="1" si="319"/>
        <v>0</v>
      </c>
      <c r="B239" s="153" t="s">
        <v>153</v>
      </c>
      <c r="C239" s="154" t="str">
        <f t="shared" si="320"/>
        <v>DR/0070</v>
      </c>
      <c r="D239" s="154" t="s">
        <v>3549</v>
      </c>
      <c r="E239" s="155" t="s">
        <v>3716</v>
      </c>
      <c r="F239" s="154"/>
      <c r="G239" s="154" t="s">
        <v>58</v>
      </c>
      <c r="H239" s="152">
        <v>4.03</v>
      </c>
      <c r="I239" s="152">
        <v>3.66</v>
      </c>
      <c r="J239" s="156"/>
      <c r="K239" s="156">
        <f>Dre_Disp_Estruturais!AI37+Dre_Disp_Estruturais!AI38</f>
        <v>0</v>
      </c>
      <c r="L239" s="156">
        <f t="shared" si="321"/>
        <v>0</v>
      </c>
      <c r="M239" s="156">
        <f t="shared" si="322"/>
        <v>0</v>
      </c>
      <c r="N239" s="156" t="s">
        <v>83</v>
      </c>
      <c r="O239" s="157" cm="1">
        <f t="array" ref="O239">TRUNC($H239*(1+_xlfn.SWITCH($N239,"BDI 1",$O$6,"BDI 2",$O$7,"BDI 3",$O$8)),2)</f>
        <v>4.8600000000000003</v>
      </c>
      <c r="P239" s="157" cm="1">
        <f t="array" ref="P239">TRUNC($I239*(1+_xlfn.SWITCH($N239,"BDI 1",$P$6,"BDI 2",$P$7,"BDI 3",$P$8)),2)</f>
        <v>4.63</v>
      </c>
      <c r="Q239" s="157">
        <v>0</v>
      </c>
      <c r="R239" s="157">
        <f t="shared" si="323"/>
        <v>0</v>
      </c>
      <c r="S239" s="156">
        <f t="shared" si="324"/>
        <v>0</v>
      </c>
      <c r="T239" s="156">
        <f t="shared" si="325"/>
        <v>0</v>
      </c>
      <c r="U239" s="156">
        <f t="shared" si="326"/>
        <v>0</v>
      </c>
      <c r="V239" s="156">
        <f t="shared" si="327"/>
        <v>0</v>
      </c>
      <c r="W239" s="156">
        <f t="shared" si="314"/>
        <v>0</v>
      </c>
      <c r="X239" s="158">
        <f t="shared" ref="X239" si="401">$S239/ORCAMENTO_VALOR_TOTAL_ND</f>
        <v>0</v>
      </c>
      <c r="Y239" s="158">
        <f t="shared" ref="Y239" si="402">$T239/ORCAMENTO_VALOR_TOTAL_DE</f>
        <v>0</v>
      </c>
      <c r="Z239" s="158" cm="1">
        <f t="array" ref="Z239">_xlfn.SWITCH($N239,"BDI 1",$O$6,"BDI 2",$O$7,"BDI 3",$O$8)</f>
        <v>0.20699999999999999</v>
      </c>
      <c r="AA239" s="158" cm="1">
        <f t="array" ref="AA239">_xlfn.SWITCH($N239,"BDI 1",$P$6,"BDI 2",$P$7,"BDI 3",$P$8)</f>
        <v>0.26739999999999997</v>
      </c>
      <c r="AB239" s="158">
        <f t="shared" ca="1" si="330"/>
        <v>0</v>
      </c>
      <c r="AC239" s="158">
        <f t="shared" ca="1" si="331"/>
        <v>0</v>
      </c>
      <c r="AD239" s="164"/>
      <c r="AE239" s="148">
        <f t="shared" si="317"/>
        <v>0</v>
      </c>
      <c r="AF239" s="149"/>
      <c r="AG239" s="150"/>
      <c r="AH239" s="159" t="e">
        <f t="shared" si="318"/>
        <v>#DIV/0!</v>
      </c>
      <c r="AI239" s="195"/>
      <c r="AJ239" s="198">
        <v>130</v>
      </c>
      <c r="AK239" s="199">
        <f t="shared" si="400"/>
        <v>0</v>
      </c>
      <c r="AM239" s="105"/>
      <c r="AN239" s="105"/>
      <c r="AO239" s="105"/>
      <c r="AP239" s="105"/>
      <c r="AQ239" s="105"/>
      <c r="AR239" s="105"/>
    </row>
    <row r="240" spans="1:44" s="49" customFormat="1" ht="40.15" hidden="1" customHeight="1">
      <c r="A240" s="152">
        <f t="shared" ca="1" si="319"/>
        <v>0</v>
      </c>
      <c r="B240" s="153">
        <v>90747</v>
      </c>
      <c r="C240" s="154" t="str">
        <f t="shared" si="320"/>
        <v>90747</v>
      </c>
      <c r="D240" s="154" t="s">
        <v>1416</v>
      </c>
      <c r="E240" s="155" t="s">
        <v>3717</v>
      </c>
      <c r="F240" s="154"/>
      <c r="G240" s="154" t="s">
        <v>58</v>
      </c>
      <c r="H240" s="152">
        <v>15.45</v>
      </c>
      <c r="I240" s="152">
        <v>14.96</v>
      </c>
      <c r="J240" s="156"/>
      <c r="K240" s="156">
        <f>Dre_Disp_Estruturais!AI39</f>
        <v>0</v>
      </c>
      <c r="L240" s="156">
        <f t="shared" si="321"/>
        <v>0</v>
      </c>
      <c r="M240" s="156">
        <f t="shared" si="322"/>
        <v>0</v>
      </c>
      <c r="N240" s="156" t="s">
        <v>83</v>
      </c>
      <c r="O240" s="157" cm="1">
        <f t="array" ref="O240">TRUNC($H240*(1+_xlfn.SWITCH($N240,"BDI 1",$O$6,"BDI 2",$O$7,"BDI 3",$O$8)),2)</f>
        <v>18.64</v>
      </c>
      <c r="P240" s="157" cm="1">
        <f t="array" ref="P240">TRUNC($I240*(1+_xlfn.SWITCH($N240,"BDI 1",$P$6,"BDI 2",$P$7,"BDI 3",$P$8)),2)</f>
        <v>18.96</v>
      </c>
      <c r="Q240" s="157">
        <v>0</v>
      </c>
      <c r="R240" s="157">
        <f t="shared" si="323"/>
        <v>0</v>
      </c>
      <c r="S240" s="156">
        <f t="shared" si="324"/>
        <v>0</v>
      </c>
      <c r="T240" s="156">
        <f t="shared" si="325"/>
        <v>0</v>
      </c>
      <c r="U240" s="156">
        <f t="shared" si="326"/>
        <v>0</v>
      </c>
      <c r="V240" s="156">
        <f t="shared" si="327"/>
        <v>0</v>
      </c>
      <c r="W240" s="156">
        <f t="shared" si="314"/>
        <v>0</v>
      </c>
      <c r="X240" s="158">
        <f t="shared" ref="X240" si="403">$S240/ORCAMENTO_VALOR_TOTAL_ND</f>
        <v>0</v>
      </c>
      <c r="Y240" s="158">
        <f t="shared" ref="Y240" si="404">$T240/ORCAMENTO_VALOR_TOTAL_DE</f>
        <v>0</v>
      </c>
      <c r="Z240" s="158" cm="1">
        <f t="array" ref="Z240">_xlfn.SWITCH($N240,"BDI 1",$O$6,"BDI 2",$O$7,"BDI 3",$O$8)</f>
        <v>0.20699999999999999</v>
      </c>
      <c r="AA240" s="158" cm="1">
        <f t="array" ref="AA240">_xlfn.SWITCH($N240,"BDI 1",$P$6,"BDI 2",$P$7,"BDI 3",$P$8)</f>
        <v>0.26739999999999997</v>
      </c>
      <c r="AB240" s="158">
        <f t="shared" ca="1" si="330"/>
        <v>0</v>
      </c>
      <c r="AC240" s="158">
        <f t="shared" ca="1" si="331"/>
        <v>0</v>
      </c>
      <c r="AD240" s="164"/>
      <c r="AE240" s="148">
        <f t="shared" si="317"/>
        <v>0</v>
      </c>
      <c r="AF240" s="149"/>
      <c r="AG240" s="150"/>
      <c r="AH240" s="159" t="e">
        <f t="shared" si="318"/>
        <v>#DIV/0!</v>
      </c>
      <c r="AI240" s="195"/>
      <c r="AJ240" s="198">
        <v>102</v>
      </c>
      <c r="AK240" s="199">
        <f t="shared" si="400"/>
        <v>0</v>
      </c>
      <c r="AM240" s="105"/>
      <c r="AN240" s="105"/>
      <c r="AO240" s="105"/>
      <c r="AP240" s="105"/>
      <c r="AQ240" s="105"/>
      <c r="AR240" s="105"/>
    </row>
    <row r="241" spans="1:44" s="49" customFormat="1" ht="60" hidden="1" customHeight="1">
      <c r="A241" s="152">
        <f t="shared" ca="1" si="319"/>
        <v>0</v>
      </c>
      <c r="B241" s="153" t="s">
        <v>154</v>
      </c>
      <c r="C241" s="154" t="str">
        <f t="shared" si="320"/>
        <v>DR/0080</v>
      </c>
      <c r="D241" s="154" t="s">
        <v>3549</v>
      </c>
      <c r="E241" s="155" t="s">
        <v>3718</v>
      </c>
      <c r="F241" s="154"/>
      <c r="G241" s="154" t="s">
        <v>58</v>
      </c>
      <c r="H241" s="152">
        <v>25.44</v>
      </c>
      <c r="I241" s="152">
        <v>24.63</v>
      </c>
      <c r="J241" s="156"/>
      <c r="K241" s="156">
        <f>Dre_Disp_Estruturais!AI40</f>
        <v>0</v>
      </c>
      <c r="L241" s="156">
        <f t="shared" si="321"/>
        <v>0</v>
      </c>
      <c r="M241" s="156">
        <f t="shared" si="322"/>
        <v>0</v>
      </c>
      <c r="N241" s="156" t="s">
        <v>83</v>
      </c>
      <c r="O241" s="157" cm="1">
        <f t="array" ref="O241">TRUNC($H241*(1+_xlfn.SWITCH($N241,"BDI 1",$O$6,"BDI 2",$O$7,"BDI 3",$O$8)),2)</f>
        <v>30.7</v>
      </c>
      <c r="P241" s="157" cm="1">
        <f t="array" ref="P241">TRUNC($I241*(1+_xlfn.SWITCH($N241,"BDI 1",$P$6,"BDI 2",$P$7,"BDI 3",$P$8)),2)</f>
        <v>31.21</v>
      </c>
      <c r="Q241" s="157">
        <v>0</v>
      </c>
      <c r="R241" s="157">
        <f t="shared" si="323"/>
        <v>0</v>
      </c>
      <c r="S241" s="156">
        <f t="shared" si="324"/>
        <v>0</v>
      </c>
      <c r="T241" s="156">
        <f t="shared" si="325"/>
        <v>0</v>
      </c>
      <c r="U241" s="156">
        <f t="shared" si="326"/>
        <v>0</v>
      </c>
      <c r="V241" s="156">
        <f t="shared" si="327"/>
        <v>0</v>
      </c>
      <c r="W241" s="156">
        <f t="shared" si="314"/>
        <v>0</v>
      </c>
      <c r="X241" s="158">
        <f t="shared" ref="X241" si="405">$S241/ORCAMENTO_VALOR_TOTAL_ND</f>
        <v>0</v>
      </c>
      <c r="Y241" s="158">
        <f t="shared" ref="Y241" si="406">$T241/ORCAMENTO_VALOR_TOTAL_DE</f>
        <v>0</v>
      </c>
      <c r="Z241" s="158" cm="1">
        <f t="array" ref="Z241">_xlfn.SWITCH($N241,"BDI 1",$O$6,"BDI 2",$O$7,"BDI 3",$O$8)</f>
        <v>0.20699999999999999</v>
      </c>
      <c r="AA241" s="158" cm="1">
        <f t="array" ref="AA241">_xlfn.SWITCH($N241,"BDI 1",$P$6,"BDI 2",$P$7,"BDI 3",$P$8)</f>
        <v>0.26739999999999997</v>
      </c>
      <c r="AB241" s="158">
        <f t="shared" ca="1" si="330"/>
        <v>0</v>
      </c>
      <c r="AC241" s="158">
        <f t="shared" ca="1" si="331"/>
        <v>0</v>
      </c>
      <c r="AD241" s="164"/>
      <c r="AE241" s="148">
        <f t="shared" si="317"/>
        <v>0</v>
      </c>
      <c r="AF241" s="149"/>
      <c r="AG241" s="150"/>
      <c r="AH241" s="159" t="e">
        <f t="shared" si="318"/>
        <v>#DIV/0!</v>
      </c>
      <c r="AI241" s="195"/>
      <c r="AJ241" s="198">
        <v>88</v>
      </c>
      <c r="AK241" s="199">
        <f t="shared" si="400"/>
        <v>0</v>
      </c>
      <c r="AM241" s="105"/>
      <c r="AN241" s="105"/>
      <c r="AO241" s="105"/>
      <c r="AP241" s="105"/>
      <c r="AQ241" s="105"/>
      <c r="AR241" s="105"/>
    </row>
    <row r="242" spans="1:44" s="49" customFormat="1" ht="40.15" hidden="1" customHeight="1">
      <c r="A242" s="152">
        <f t="shared" ca="1" si="319"/>
        <v>0</v>
      </c>
      <c r="B242" s="153">
        <v>94876</v>
      </c>
      <c r="C242" s="154" t="str">
        <f t="shared" si="320"/>
        <v>94876</v>
      </c>
      <c r="D242" s="154" t="s">
        <v>1416</v>
      </c>
      <c r="E242" s="155" t="s">
        <v>3719</v>
      </c>
      <c r="F242" s="154"/>
      <c r="G242" s="154" t="s">
        <v>58</v>
      </c>
      <c r="H242" s="152">
        <v>26.66</v>
      </c>
      <c r="I242" s="152">
        <v>25.92</v>
      </c>
      <c r="J242" s="156"/>
      <c r="K242" s="156">
        <f>Dre_Disp_Estruturais!AI41</f>
        <v>0</v>
      </c>
      <c r="L242" s="156">
        <f t="shared" si="321"/>
        <v>0</v>
      </c>
      <c r="M242" s="156">
        <f t="shared" si="322"/>
        <v>0</v>
      </c>
      <c r="N242" s="156" t="s">
        <v>83</v>
      </c>
      <c r="O242" s="157" cm="1">
        <f t="array" ref="O242">TRUNC($H242*(1+_xlfn.SWITCH($N242,"BDI 1",$O$6,"BDI 2",$O$7,"BDI 3",$O$8)),2)</f>
        <v>32.17</v>
      </c>
      <c r="P242" s="157" cm="1">
        <f t="array" ref="P242">TRUNC($I242*(1+_xlfn.SWITCH($N242,"BDI 1",$P$6,"BDI 2",$P$7,"BDI 3",$P$8)),2)</f>
        <v>32.85</v>
      </c>
      <c r="Q242" s="157">
        <v>0</v>
      </c>
      <c r="R242" s="157">
        <f t="shared" si="323"/>
        <v>0</v>
      </c>
      <c r="S242" s="156">
        <f t="shared" si="324"/>
        <v>0</v>
      </c>
      <c r="T242" s="156">
        <f t="shared" si="325"/>
        <v>0</v>
      </c>
      <c r="U242" s="156">
        <f t="shared" si="326"/>
        <v>0</v>
      </c>
      <c r="V242" s="156">
        <f t="shared" si="327"/>
        <v>0</v>
      </c>
      <c r="W242" s="156">
        <f t="shared" si="314"/>
        <v>0</v>
      </c>
      <c r="X242" s="158">
        <f t="shared" ref="X242" si="407">$S242/ORCAMENTO_VALOR_TOTAL_ND</f>
        <v>0</v>
      </c>
      <c r="Y242" s="158">
        <f t="shared" ref="Y242" si="408">$T242/ORCAMENTO_VALOR_TOTAL_DE</f>
        <v>0</v>
      </c>
      <c r="Z242" s="158" cm="1">
        <f t="array" ref="Z242">_xlfn.SWITCH($N242,"BDI 1",$O$6,"BDI 2",$O$7,"BDI 3",$O$8)</f>
        <v>0.20699999999999999</v>
      </c>
      <c r="AA242" s="158" cm="1">
        <f t="array" ref="AA242">_xlfn.SWITCH($N242,"BDI 1",$P$6,"BDI 2",$P$7,"BDI 3",$P$8)</f>
        <v>0.26739999999999997</v>
      </c>
      <c r="AB242" s="158">
        <f t="shared" ca="1" si="330"/>
        <v>0</v>
      </c>
      <c r="AC242" s="158">
        <f t="shared" ca="1" si="331"/>
        <v>0</v>
      </c>
      <c r="AD242" s="164"/>
      <c r="AE242" s="148">
        <f t="shared" si="317"/>
        <v>0</v>
      </c>
      <c r="AF242" s="149"/>
      <c r="AG242" s="150"/>
      <c r="AH242" s="159" t="e">
        <f t="shared" si="318"/>
        <v>#DIV/0!</v>
      </c>
      <c r="AI242" s="195"/>
      <c r="AJ242" s="198">
        <v>85</v>
      </c>
      <c r="AK242" s="199">
        <f t="shared" si="400"/>
        <v>0</v>
      </c>
      <c r="AM242" s="105"/>
      <c r="AN242" s="105"/>
      <c r="AO242" s="105"/>
      <c r="AP242" s="105"/>
      <c r="AQ242" s="105"/>
      <c r="AR242" s="105"/>
    </row>
    <row r="243" spans="1:44" s="49" customFormat="1" ht="40.15" hidden="1" customHeight="1">
      <c r="A243" s="152">
        <f t="shared" ca="1" si="319"/>
        <v>0</v>
      </c>
      <c r="B243" s="153">
        <v>94878</v>
      </c>
      <c r="C243" s="154" t="str">
        <f t="shared" si="320"/>
        <v>94878</v>
      </c>
      <c r="D243" s="154" t="s">
        <v>1416</v>
      </c>
      <c r="E243" s="155" t="s">
        <v>3720</v>
      </c>
      <c r="F243" s="154"/>
      <c r="G243" s="154" t="s">
        <v>58</v>
      </c>
      <c r="H243" s="152">
        <v>30.73</v>
      </c>
      <c r="I243" s="152">
        <v>29.86</v>
      </c>
      <c r="J243" s="156"/>
      <c r="K243" s="156">
        <f>Dre_Disp_Estruturais!AI42</f>
        <v>0</v>
      </c>
      <c r="L243" s="156">
        <f t="shared" si="321"/>
        <v>0</v>
      </c>
      <c r="M243" s="156">
        <f t="shared" si="322"/>
        <v>0</v>
      </c>
      <c r="N243" s="156" t="s">
        <v>83</v>
      </c>
      <c r="O243" s="157" cm="1">
        <f t="array" ref="O243">TRUNC($H243*(1+_xlfn.SWITCH($N243,"BDI 1",$O$6,"BDI 2",$O$7,"BDI 3",$O$8)),2)</f>
        <v>37.090000000000003</v>
      </c>
      <c r="P243" s="157" cm="1">
        <f t="array" ref="P243">TRUNC($I243*(1+_xlfn.SWITCH($N243,"BDI 1",$P$6,"BDI 2",$P$7,"BDI 3",$P$8)),2)</f>
        <v>37.840000000000003</v>
      </c>
      <c r="Q243" s="157">
        <v>0</v>
      </c>
      <c r="R243" s="157">
        <f t="shared" si="323"/>
        <v>0</v>
      </c>
      <c r="S243" s="156">
        <f t="shared" si="324"/>
        <v>0</v>
      </c>
      <c r="T243" s="156">
        <f t="shared" si="325"/>
        <v>0</v>
      </c>
      <c r="U243" s="156">
        <f t="shared" si="326"/>
        <v>0</v>
      </c>
      <c r="V243" s="156">
        <f t="shared" si="327"/>
        <v>0</v>
      </c>
      <c r="W243" s="156">
        <f t="shared" si="314"/>
        <v>0</v>
      </c>
      <c r="X243" s="158">
        <f t="shared" ref="X243" si="409">$S243/ORCAMENTO_VALOR_TOTAL_ND</f>
        <v>0</v>
      </c>
      <c r="Y243" s="158">
        <f t="shared" ref="Y243" si="410">$T243/ORCAMENTO_VALOR_TOTAL_DE</f>
        <v>0</v>
      </c>
      <c r="Z243" s="158" cm="1">
        <f t="array" ref="Z243">_xlfn.SWITCH($N243,"BDI 1",$O$6,"BDI 2",$O$7,"BDI 3",$O$8)</f>
        <v>0.20699999999999999</v>
      </c>
      <c r="AA243" s="158" cm="1">
        <f t="array" ref="AA243">_xlfn.SWITCH($N243,"BDI 1",$P$6,"BDI 2",$P$7,"BDI 3",$P$8)</f>
        <v>0.26739999999999997</v>
      </c>
      <c r="AB243" s="158">
        <f t="shared" ca="1" si="330"/>
        <v>0</v>
      </c>
      <c r="AC243" s="158">
        <f t="shared" ca="1" si="331"/>
        <v>0</v>
      </c>
      <c r="AD243" s="164"/>
      <c r="AE243" s="148">
        <f t="shared" si="317"/>
        <v>0</v>
      </c>
      <c r="AF243" s="149"/>
      <c r="AG243" s="150"/>
      <c r="AH243" s="159" t="e">
        <f t="shared" si="318"/>
        <v>#DIV/0!</v>
      </c>
      <c r="AI243" s="195"/>
      <c r="AJ243" s="198">
        <v>78</v>
      </c>
      <c r="AK243" s="199">
        <f t="shared" si="400"/>
        <v>0</v>
      </c>
      <c r="AM243" s="105"/>
      <c r="AN243" s="105"/>
      <c r="AO243" s="105"/>
      <c r="AP243" s="105"/>
      <c r="AQ243" s="105"/>
      <c r="AR243" s="105"/>
    </row>
    <row r="244" spans="1:44" s="49" customFormat="1" ht="40.15" hidden="1" customHeight="1">
      <c r="A244" s="152">
        <f t="shared" ca="1" si="319"/>
        <v>0</v>
      </c>
      <c r="B244" s="153">
        <v>94880</v>
      </c>
      <c r="C244" s="154" t="str">
        <f t="shared" si="320"/>
        <v>94880</v>
      </c>
      <c r="D244" s="154" t="s">
        <v>1416</v>
      </c>
      <c r="E244" s="155" t="s">
        <v>3721</v>
      </c>
      <c r="F244" s="154"/>
      <c r="G244" s="154" t="s">
        <v>58</v>
      </c>
      <c r="H244" s="152">
        <v>40.15</v>
      </c>
      <c r="I244" s="152">
        <v>39.090000000000003</v>
      </c>
      <c r="J244" s="156"/>
      <c r="K244" s="156">
        <f>Dre_Disp_Estruturais!AI43</f>
        <v>0</v>
      </c>
      <c r="L244" s="156">
        <f t="shared" si="321"/>
        <v>0</v>
      </c>
      <c r="M244" s="156">
        <f t="shared" si="322"/>
        <v>0</v>
      </c>
      <c r="N244" s="156" t="s">
        <v>83</v>
      </c>
      <c r="O244" s="157" cm="1">
        <f t="array" ref="O244">TRUNC($H244*(1+_xlfn.SWITCH($N244,"BDI 1",$O$6,"BDI 2",$O$7,"BDI 3",$O$8)),2)</f>
        <v>48.46</v>
      </c>
      <c r="P244" s="157" cm="1">
        <f t="array" ref="P244">TRUNC($I244*(1+_xlfn.SWITCH($N244,"BDI 1",$P$6,"BDI 2",$P$7,"BDI 3",$P$8)),2)</f>
        <v>49.54</v>
      </c>
      <c r="Q244" s="157">
        <v>0</v>
      </c>
      <c r="R244" s="157">
        <f t="shared" si="323"/>
        <v>0</v>
      </c>
      <c r="S244" s="156">
        <f t="shared" si="324"/>
        <v>0</v>
      </c>
      <c r="T244" s="156">
        <f t="shared" si="325"/>
        <v>0</v>
      </c>
      <c r="U244" s="156">
        <f t="shared" si="326"/>
        <v>0</v>
      </c>
      <c r="V244" s="156">
        <f t="shared" si="327"/>
        <v>0</v>
      </c>
      <c r="W244" s="156">
        <f t="shared" si="314"/>
        <v>0</v>
      </c>
      <c r="X244" s="158">
        <f t="shared" ref="X244" si="411">$S244/ORCAMENTO_VALOR_TOTAL_ND</f>
        <v>0</v>
      </c>
      <c r="Y244" s="158">
        <f t="shared" ref="Y244" si="412">$T244/ORCAMENTO_VALOR_TOTAL_DE</f>
        <v>0</v>
      </c>
      <c r="Z244" s="158" cm="1">
        <f t="array" ref="Z244">_xlfn.SWITCH($N244,"BDI 1",$O$6,"BDI 2",$O$7,"BDI 3",$O$8)</f>
        <v>0.20699999999999999</v>
      </c>
      <c r="AA244" s="158" cm="1">
        <f t="array" ref="AA244">_xlfn.SWITCH($N244,"BDI 1",$P$6,"BDI 2",$P$7,"BDI 3",$P$8)</f>
        <v>0.26739999999999997</v>
      </c>
      <c r="AB244" s="158">
        <f t="shared" ca="1" si="330"/>
        <v>0</v>
      </c>
      <c r="AC244" s="158">
        <f t="shared" ca="1" si="331"/>
        <v>0</v>
      </c>
      <c r="AD244" s="164"/>
      <c r="AE244" s="148">
        <f t="shared" si="317"/>
        <v>0</v>
      </c>
      <c r="AF244" s="149"/>
      <c r="AG244" s="150"/>
      <c r="AH244" s="159" t="e">
        <f t="shared" si="318"/>
        <v>#DIV/0!</v>
      </c>
      <c r="AI244" s="195"/>
      <c r="AJ244" s="198">
        <v>72</v>
      </c>
      <c r="AK244" s="199">
        <f t="shared" si="400"/>
        <v>0</v>
      </c>
      <c r="AM244" s="105"/>
      <c r="AN244" s="105"/>
      <c r="AO244" s="105"/>
      <c r="AP244" s="105"/>
      <c r="AQ244" s="105"/>
      <c r="AR244" s="105"/>
    </row>
    <row r="245" spans="1:44" s="49" customFormat="1" ht="40.15" hidden="1" customHeight="1">
      <c r="A245" s="152">
        <f t="shared" ca="1" si="319"/>
        <v>0</v>
      </c>
      <c r="B245" s="153">
        <v>94882</v>
      </c>
      <c r="C245" s="154" t="str">
        <f t="shared" si="320"/>
        <v>94882</v>
      </c>
      <c r="D245" s="154" t="s">
        <v>1416</v>
      </c>
      <c r="E245" s="155" t="s">
        <v>3722</v>
      </c>
      <c r="F245" s="154"/>
      <c r="G245" s="154" t="s">
        <v>58</v>
      </c>
      <c r="H245" s="152">
        <v>46.42</v>
      </c>
      <c r="I245" s="152">
        <v>45.16</v>
      </c>
      <c r="J245" s="156"/>
      <c r="K245" s="156">
        <f>Dre_Disp_Estruturais!AI44</f>
        <v>0</v>
      </c>
      <c r="L245" s="156">
        <f t="shared" si="321"/>
        <v>0</v>
      </c>
      <c r="M245" s="156">
        <f t="shared" si="322"/>
        <v>0</v>
      </c>
      <c r="N245" s="156" t="s">
        <v>83</v>
      </c>
      <c r="O245" s="157" cm="1">
        <f t="array" ref="O245">TRUNC($H245*(1+_xlfn.SWITCH($N245,"BDI 1",$O$6,"BDI 2",$O$7,"BDI 3",$O$8)),2)</f>
        <v>56.02</v>
      </c>
      <c r="P245" s="157" cm="1">
        <f t="array" ref="P245">TRUNC($I245*(1+_xlfn.SWITCH($N245,"BDI 1",$P$6,"BDI 2",$P$7,"BDI 3",$P$8)),2)</f>
        <v>57.23</v>
      </c>
      <c r="Q245" s="157">
        <v>0</v>
      </c>
      <c r="R245" s="157">
        <f t="shared" si="323"/>
        <v>0</v>
      </c>
      <c r="S245" s="156">
        <f t="shared" si="324"/>
        <v>0</v>
      </c>
      <c r="T245" s="156">
        <f t="shared" si="325"/>
        <v>0</v>
      </c>
      <c r="U245" s="156">
        <f t="shared" si="326"/>
        <v>0</v>
      </c>
      <c r="V245" s="156">
        <f t="shared" si="327"/>
        <v>0</v>
      </c>
      <c r="W245" s="156">
        <f t="shared" si="314"/>
        <v>0</v>
      </c>
      <c r="X245" s="158">
        <f t="shared" ref="X245" si="413">$S245/ORCAMENTO_VALOR_TOTAL_ND</f>
        <v>0</v>
      </c>
      <c r="Y245" s="158">
        <f t="shared" ref="Y245" si="414">$T245/ORCAMENTO_VALOR_TOTAL_DE</f>
        <v>0</v>
      </c>
      <c r="Z245" s="158" cm="1">
        <f t="array" ref="Z245">_xlfn.SWITCH($N245,"BDI 1",$O$6,"BDI 2",$O$7,"BDI 3",$O$8)</f>
        <v>0.20699999999999999</v>
      </c>
      <c r="AA245" s="158" cm="1">
        <f t="array" ref="AA245">_xlfn.SWITCH($N245,"BDI 1",$P$6,"BDI 2",$P$7,"BDI 3",$P$8)</f>
        <v>0.26739999999999997</v>
      </c>
      <c r="AB245" s="158">
        <f t="shared" ca="1" si="330"/>
        <v>0</v>
      </c>
      <c r="AC245" s="158">
        <f t="shared" ca="1" si="331"/>
        <v>0</v>
      </c>
      <c r="AD245" s="164"/>
      <c r="AE245" s="148">
        <f t="shared" si="317"/>
        <v>0</v>
      </c>
      <c r="AF245" s="149"/>
      <c r="AG245" s="150"/>
      <c r="AH245" s="159" t="e">
        <f t="shared" si="318"/>
        <v>#DIV/0!</v>
      </c>
      <c r="AI245" s="195"/>
      <c r="AJ245" s="198">
        <v>68</v>
      </c>
      <c r="AK245" s="199">
        <f t="shared" si="400"/>
        <v>0</v>
      </c>
      <c r="AM245" s="105"/>
      <c r="AN245" s="105"/>
      <c r="AO245" s="105"/>
      <c r="AP245" s="105"/>
      <c r="AQ245" s="105"/>
      <c r="AR245" s="105"/>
    </row>
    <row r="246" spans="1:44" s="49" customFormat="1" ht="40.15" hidden="1" customHeight="1">
      <c r="A246" s="152">
        <f t="shared" ca="1" si="319"/>
        <v>0</v>
      </c>
      <c r="B246" s="153">
        <v>94884</v>
      </c>
      <c r="C246" s="154" t="str">
        <f t="shared" si="320"/>
        <v>94884</v>
      </c>
      <c r="D246" s="154" t="s">
        <v>1416</v>
      </c>
      <c r="E246" s="155" t="s">
        <v>3723</v>
      </c>
      <c r="F246" s="154"/>
      <c r="G246" s="154" t="s">
        <v>58</v>
      </c>
      <c r="H246" s="152">
        <v>59.12</v>
      </c>
      <c r="I246" s="152">
        <v>57.45</v>
      </c>
      <c r="J246" s="156"/>
      <c r="K246" s="156">
        <f>Dre_Disp_Estruturais!AI45</f>
        <v>0</v>
      </c>
      <c r="L246" s="156">
        <f t="shared" si="321"/>
        <v>0</v>
      </c>
      <c r="M246" s="156">
        <f t="shared" si="322"/>
        <v>0</v>
      </c>
      <c r="N246" s="156" t="s">
        <v>83</v>
      </c>
      <c r="O246" s="157" cm="1">
        <f t="array" ref="O246">TRUNC($H246*(1+_xlfn.SWITCH($N246,"BDI 1",$O$6,"BDI 2",$O$7,"BDI 3",$O$8)),2)</f>
        <v>71.349999999999994</v>
      </c>
      <c r="P246" s="157" cm="1">
        <f t="array" ref="P246">TRUNC($I246*(1+_xlfn.SWITCH($N246,"BDI 1",$P$6,"BDI 2",$P$7,"BDI 3",$P$8)),2)</f>
        <v>72.81</v>
      </c>
      <c r="Q246" s="157">
        <v>0</v>
      </c>
      <c r="R246" s="157">
        <f t="shared" si="323"/>
        <v>0</v>
      </c>
      <c r="S246" s="156">
        <f t="shared" si="324"/>
        <v>0</v>
      </c>
      <c r="T246" s="156">
        <f t="shared" si="325"/>
        <v>0</v>
      </c>
      <c r="U246" s="156">
        <f t="shared" si="326"/>
        <v>0</v>
      </c>
      <c r="V246" s="156">
        <f t="shared" si="327"/>
        <v>0</v>
      </c>
      <c r="W246" s="156">
        <f t="shared" si="314"/>
        <v>0</v>
      </c>
      <c r="X246" s="158">
        <f t="shared" ref="X246" si="415">$S246/ORCAMENTO_VALOR_TOTAL_ND</f>
        <v>0</v>
      </c>
      <c r="Y246" s="158">
        <f t="shared" ref="Y246" si="416">$T246/ORCAMENTO_VALOR_TOTAL_DE</f>
        <v>0</v>
      </c>
      <c r="Z246" s="158" cm="1">
        <f t="array" ref="Z246">_xlfn.SWITCH($N246,"BDI 1",$O$6,"BDI 2",$O$7,"BDI 3",$O$8)</f>
        <v>0.20699999999999999</v>
      </c>
      <c r="AA246" s="158" cm="1">
        <f t="array" ref="AA246">_xlfn.SWITCH($N246,"BDI 1",$P$6,"BDI 2",$P$7,"BDI 3",$P$8)</f>
        <v>0.26739999999999997</v>
      </c>
      <c r="AB246" s="158">
        <f t="shared" ca="1" si="330"/>
        <v>0</v>
      </c>
      <c r="AC246" s="158">
        <f t="shared" ca="1" si="331"/>
        <v>0</v>
      </c>
      <c r="AD246" s="164"/>
      <c r="AE246" s="148">
        <f t="shared" si="317"/>
        <v>0</v>
      </c>
      <c r="AF246" s="149"/>
      <c r="AG246" s="150"/>
      <c r="AH246" s="159" t="e">
        <f t="shared" si="318"/>
        <v>#DIV/0!</v>
      </c>
      <c r="AI246" s="195"/>
      <c r="AJ246" s="198">
        <v>60</v>
      </c>
      <c r="AK246" s="199">
        <f t="shared" si="400"/>
        <v>0</v>
      </c>
      <c r="AM246" s="105"/>
      <c r="AN246" s="105"/>
      <c r="AO246" s="105"/>
      <c r="AP246" s="105"/>
      <c r="AQ246" s="105"/>
      <c r="AR246" s="105"/>
    </row>
    <row r="247" spans="1:44" s="49" customFormat="1" ht="49.9" hidden="1" customHeight="1">
      <c r="A247" s="152">
        <f t="shared" ca="1" si="319"/>
        <v>0</v>
      </c>
      <c r="B247" s="153" t="s">
        <v>152</v>
      </c>
      <c r="C247" s="154" t="str">
        <f t="shared" si="320"/>
        <v>DR/0060</v>
      </c>
      <c r="D247" s="154" t="s">
        <v>3549</v>
      </c>
      <c r="E247" s="155" t="s">
        <v>3715</v>
      </c>
      <c r="F247" s="154"/>
      <c r="G247" s="154" t="s">
        <v>58</v>
      </c>
      <c r="H247" s="152">
        <v>2.35</v>
      </c>
      <c r="I247" s="152">
        <v>2.13</v>
      </c>
      <c r="J247" s="156"/>
      <c r="K247" s="156">
        <f>Dre_Disp_Estruturais!AI46</f>
        <v>0</v>
      </c>
      <c r="L247" s="156">
        <f t="shared" si="321"/>
        <v>0</v>
      </c>
      <c r="M247" s="156">
        <f t="shared" si="322"/>
        <v>0</v>
      </c>
      <c r="N247" s="156" t="s">
        <v>83</v>
      </c>
      <c r="O247" s="157" cm="1">
        <f t="array" ref="O247">TRUNC($H247*(1+_xlfn.SWITCH($N247,"BDI 1",$O$6,"BDI 2",$O$7,"BDI 3",$O$8)),2)</f>
        <v>2.83</v>
      </c>
      <c r="P247" s="157" cm="1">
        <f t="array" ref="P247">TRUNC($I247*(1+_xlfn.SWITCH($N247,"BDI 1",$P$6,"BDI 2",$P$7,"BDI 3",$P$8)),2)</f>
        <v>2.69</v>
      </c>
      <c r="Q247" s="157">
        <v>0</v>
      </c>
      <c r="R247" s="157">
        <f t="shared" si="323"/>
        <v>0</v>
      </c>
      <c r="S247" s="156">
        <f t="shared" si="324"/>
        <v>0</v>
      </c>
      <c r="T247" s="156">
        <f t="shared" si="325"/>
        <v>0</v>
      </c>
      <c r="U247" s="156">
        <f t="shared" si="326"/>
        <v>0</v>
      </c>
      <c r="V247" s="156">
        <f t="shared" si="327"/>
        <v>0</v>
      </c>
      <c r="W247" s="156">
        <f t="shared" si="314"/>
        <v>0</v>
      </c>
      <c r="X247" s="158">
        <f t="shared" ref="X247" si="417">$S247/ORCAMENTO_VALOR_TOTAL_ND</f>
        <v>0</v>
      </c>
      <c r="Y247" s="158">
        <f t="shared" ref="Y247" si="418">$T247/ORCAMENTO_VALOR_TOTAL_DE</f>
        <v>0</v>
      </c>
      <c r="Z247" s="158" cm="1">
        <f t="array" ref="Z247">_xlfn.SWITCH($N247,"BDI 1",$O$6,"BDI 2",$O$7,"BDI 3",$O$8)</f>
        <v>0.20699999999999999</v>
      </c>
      <c r="AA247" s="158" cm="1">
        <f t="array" ref="AA247">_xlfn.SWITCH($N247,"BDI 1",$P$6,"BDI 2",$P$7,"BDI 3",$P$8)</f>
        <v>0.26739999999999997</v>
      </c>
      <c r="AB247" s="158">
        <f t="shared" ca="1" si="330"/>
        <v>0</v>
      </c>
      <c r="AC247" s="158">
        <f t="shared" ca="1" si="331"/>
        <v>0</v>
      </c>
      <c r="AD247" s="164"/>
      <c r="AE247" s="148">
        <f t="shared" si="317"/>
        <v>0</v>
      </c>
      <c r="AF247" s="149"/>
      <c r="AG247" s="150"/>
      <c r="AH247" s="159" t="e">
        <f t="shared" si="318"/>
        <v>#DIV/0!</v>
      </c>
      <c r="AI247" s="195"/>
      <c r="AJ247" s="198">
        <v>150</v>
      </c>
      <c r="AK247" s="199">
        <f t="shared" si="400"/>
        <v>0</v>
      </c>
      <c r="AM247" s="105"/>
      <c r="AN247" s="105"/>
      <c r="AO247" s="105"/>
      <c r="AP247" s="105"/>
      <c r="AQ247" s="105"/>
      <c r="AR247" s="105"/>
    </row>
    <row r="248" spans="1:44" s="49" customFormat="1" ht="60" hidden="1" customHeight="1">
      <c r="A248" s="152">
        <f t="shared" ca="1" si="319"/>
        <v>0</v>
      </c>
      <c r="B248" s="153" t="s">
        <v>153</v>
      </c>
      <c r="C248" s="154" t="str">
        <f t="shared" si="320"/>
        <v>DR/0070</v>
      </c>
      <c r="D248" s="154" t="s">
        <v>3549</v>
      </c>
      <c r="E248" s="155" t="s">
        <v>3716</v>
      </c>
      <c r="F248" s="154"/>
      <c r="G248" s="154" t="s">
        <v>58</v>
      </c>
      <c r="H248" s="152">
        <v>4.03</v>
      </c>
      <c r="I248" s="152">
        <v>3.66</v>
      </c>
      <c r="J248" s="156"/>
      <c r="K248" s="156">
        <f>Dre_Disp_Estruturais!AI47+Dre_Disp_Estruturais!AI48</f>
        <v>0</v>
      </c>
      <c r="L248" s="156">
        <f t="shared" si="321"/>
        <v>0</v>
      </c>
      <c r="M248" s="156">
        <f t="shared" si="322"/>
        <v>0</v>
      </c>
      <c r="N248" s="156" t="s">
        <v>83</v>
      </c>
      <c r="O248" s="157" cm="1">
        <f t="array" ref="O248">TRUNC($H248*(1+_xlfn.SWITCH($N248,"BDI 1",$O$6,"BDI 2",$O$7,"BDI 3",$O$8)),2)</f>
        <v>4.8600000000000003</v>
      </c>
      <c r="P248" s="157" cm="1">
        <f t="array" ref="P248">TRUNC($I248*(1+_xlfn.SWITCH($N248,"BDI 1",$P$6,"BDI 2",$P$7,"BDI 3",$P$8)),2)</f>
        <v>4.63</v>
      </c>
      <c r="Q248" s="157">
        <v>0</v>
      </c>
      <c r="R248" s="157">
        <f t="shared" si="323"/>
        <v>0</v>
      </c>
      <c r="S248" s="156">
        <f t="shared" si="324"/>
        <v>0</v>
      </c>
      <c r="T248" s="156">
        <f t="shared" si="325"/>
        <v>0</v>
      </c>
      <c r="U248" s="156">
        <f t="shared" si="326"/>
        <v>0</v>
      </c>
      <c r="V248" s="156">
        <f t="shared" si="327"/>
        <v>0</v>
      </c>
      <c r="W248" s="156">
        <f t="shared" si="314"/>
        <v>0</v>
      </c>
      <c r="X248" s="158">
        <f t="shared" ref="X248" si="419">$S248/ORCAMENTO_VALOR_TOTAL_ND</f>
        <v>0</v>
      </c>
      <c r="Y248" s="158">
        <f t="shared" ref="Y248" si="420">$T248/ORCAMENTO_VALOR_TOTAL_DE</f>
        <v>0</v>
      </c>
      <c r="Z248" s="158" cm="1">
        <f t="array" ref="Z248">_xlfn.SWITCH($N248,"BDI 1",$O$6,"BDI 2",$O$7,"BDI 3",$O$8)</f>
        <v>0.20699999999999999</v>
      </c>
      <c r="AA248" s="158" cm="1">
        <f t="array" ref="AA248">_xlfn.SWITCH($N248,"BDI 1",$P$6,"BDI 2",$P$7,"BDI 3",$P$8)</f>
        <v>0.26739999999999997</v>
      </c>
      <c r="AB248" s="158">
        <f t="shared" ca="1" si="330"/>
        <v>0</v>
      </c>
      <c r="AC248" s="158">
        <f t="shared" ca="1" si="331"/>
        <v>0</v>
      </c>
      <c r="AD248" s="164"/>
      <c r="AE248" s="148">
        <f t="shared" si="317"/>
        <v>0</v>
      </c>
      <c r="AF248" s="149"/>
      <c r="AG248" s="150"/>
      <c r="AH248" s="159" t="e">
        <f t="shared" si="318"/>
        <v>#DIV/0!</v>
      </c>
      <c r="AI248" s="195"/>
      <c r="AJ248" s="198">
        <v>130</v>
      </c>
      <c r="AK248" s="199">
        <f t="shared" si="400"/>
        <v>0</v>
      </c>
      <c r="AM248" s="105"/>
      <c r="AN248" s="105"/>
      <c r="AO248" s="105"/>
      <c r="AP248" s="105"/>
      <c r="AQ248" s="105"/>
      <c r="AR248" s="105"/>
    </row>
    <row r="249" spans="1:44" s="49" customFormat="1" ht="40.15" hidden="1" customHeight="1">
      <c r="A249" s="152">
        <f t="shared" ca="1" si="319"/>
        <v>0</v>
      </c>
      <c r="B249" s="153">
        <v>90747</v>
      </c>
      <c r="C249" s="154" t="str">
        <f t="shared" si="320"/>
        <v>90747</v>
      </c>
      <c r="D249" s="154" t="s">
        <v>1416</v>
      </c>
      <c r="E249" s="155" t="s">
        <v>3717</v>
      </c>
      <c r="F249" s="154"/>
      <c r="G249" s="154" t="s">
        <v>58</v>
      </c>
      <c r="H249" s="152">
        <v>15.45</v>
      </c>
      <c r="I249" s="152">
        <v>14.96</v>
      </c>
      <c r="J249" s="156"/>
      <c r="K249" s="156">
        <f>Dre_Disp_Estruturais!AI49</f>
        <v>0</v>
      </c>
      <c r="L249" s="156">
        <f t="shared" si="321"/>
        <v>0</v>
      </c>
      <c r="M249" s="156">
        <f t="shared" si="322"/>
        <v>0</v>
      </c>
      <c r="N249" s="156" t="s">
        <v>83</v>
      </c>
      <c r="O249" s="157" cm="1">
        <f t="array" ref="O249">TRUNC($H249*(1+_xlfn.SWITCH($N249,"BDI 1",$O$6,"BDI 2",$O$7,"BDI 3",$O$8)),2)</f>
        <v>18.64</v>
      </c>
      <c r="P249" s="157" cm="1">
        <f t="array" ref="P249">TRUNC($I249*(1+_xlfn.SWITCH($N249,"BDI 1",$P$6,"BDI 2",$P$7,"BDI 3",$P$8)),2)</f>
        <v>18.96</v>
      </c>
      <c r="Q249" s="157">
        <v>0</v>
      </c>
      <c r="R249" s="157">
        <f t="shared" si="323"/>
        <v>0</v>
      </c>
      <c r="S249" s="156">
        <f t="shared" si="324"/>
        <v>0</v>
      </c>
      <c r="T249" s="156">
        <f t="shared" si="325"/>
        <v>0</v>
      </c>
      <c r="U249" s="156">
        <f t="shared" si="326"/>
        <v>0</v>
      </c>
      <c r="V249" s="156">
        <f t="shared" si="327"/>
        <v>0</v>
      </c>
      <c r="W249" s="156">
        <f t="shared" si="314"/>
        <v>0</v>
      </c>
      <c r="X249" s="158">
        <f t="shared" ref="X249" si="421">$S249/ORCAMENTO_VALOR_TOTAL_ND</f>
        <v>0</v>
      </c>
      <c r="Y249" s="158">
        <f t="shared" ref="Y249" si="422">$T249/ORCAMENTO_VALOR_TOTAL_DE</f>
        <v>0</v>
      </c>
      <c r="Z249" s="158" cm="1">
        <f t="array" ref="Z249">_xlfn.SWITCH($N249,"BDI 1",$O$6,"BDI 2",$O$7,"BDI 3",$O$8)</f>
        <v>0.20699999999999999</v>
      </c>
      <c r="AA249" s="158" cm="1">
        <f t="array" ref="AA249">_xlfn.SWITCH($N249,"BDI 1",$P$6,"BDI 2",$P$7,"BDI 3",$P$8)</f>
        <v>0.26739999999999997</v>
      </c>
      <c r="AB249" s="158">
        <f t="shared" ca="1" si="330"/>
        <v>0</v>
      </c>
      <c r="AC249" s="158">
        <f t="shared" ca="1" si="331"/>
        <v>0</v>
      </c>
      <c r="AD249" s="164"/>
      <c r="AE249" s="148">
        <f t="shared" si="317"/>
        <v>0</v>
      </c>
      <c r="AF249" s="149"/>
      <c r="AG249" s="150"/>
      <c r="AH249" s="159" t="e">
        <f t="shared" si="318"/>
        <v>#DIV/0!</v>
      </c>
      <c r="AI249" s="195"/>
      <c r="AJ249" s="198">
        <v>102</v>
      </c>
      <c r="AK249" s="199">
        <f t="shared" si="400"/>
        <v>0</v>
      </c>
      <c r="AM249" s="105"/>
      <c r="AN249" s="105"/>
      <c r="AO249" s="105"/>
      <c r="AP249" s="105"/>
      <c r="AQ249" s="105"/>
      <c r="AR249" s="105"/>
    </row>
    <row r="250" spans="1:44" s="49" customFormat="1" ht="40.15" hidden="1" customHeight="1">
      <c r="A250" s="152">
        <f t="shared" ca="1" si="319"/>
        <v>0</v>
      </c>
      <c r="B250" s="153">
        <v>94876</v>
      </c>
      <c r="C250" s="154" t="str">
        <f t="shared" si="320"/>
        <v>94876</v>
      </c>
      <c r="D250" s="154" t="s">
        <v>1416</v>
      </c>
      <c r="E250" s="155" t="s">
        <v>3719</v>
      </c>
      <c r="F250" s="154"/>
      <c r="G250" s="154" t="s">
        <v>58</v>
      </c>
      <c r="H250" s="152">
        <v>26.66</v>
      </c>
      <c r="I250" s="152">
        <v>25.92</v>
      </c>
      <c r="J250" s="156"/>
      <c r="K250" s="156">
        <f>Dre_Disp_Estruturais!AI50</f>
        <v>0</v>
      </c>
      <c r="L250" s="156">
        <f t="shared" si="321"/>
        <v>0</v>
      </c>
      <c r="M250" s="156">
        <f t="shared" si="322"/>
        <v>0</v>
      </c>
      <c r="N250" s="156" t="s">
        <v>83</v>
      </c>
      <c r="O250" s="157" cm="1">
        <f t="array" ref="O250">TRUNC($H250*(1+_xlfn.SWITCH($N250,"BDI 1",$O$6,"BDI 2",$O$7,"BDI 3",$O$8)),2)</f>
        <v>32.17</v>
      </c>
      <c r="P250" s="157" cm="1">
        <f t="array" ref="P250">TRUNC($I250*(1+_xlfn.SWITCH($N250,"BDI 1",$P$6,"BDI 2",$P$7,"BDI 3",$P$8)),2)</f>
        <v>32.85</v>
      </c>
      <c r="Q250" s="157">
        <v>0</v>
      </c>
      <c r="R250" s="157">
        <f t="shared" si="323"/>
        <v>0</v>
      </c>
      <c r="S250" s="156">
        <f t="shared" si="324"/>
        <v>0</v>
      </c>
      <c r="T250" s="156">
        <f t="shared" si="325"/>
        <v>0</v>
      </c>
      <c r="U250" s="156">
        <f t="shared" si="326"/>
        <v>0</v>
      </c>
      <c r="V250" s="156">
        <f t="shared" si="327"/>
        <v>0</v>
      </c>
      <c r="W250" s="156">
        <f t="shared" si="314"/>
        <v>0</v>
      </c>
      <c r="X250" s="158">
        <f t="shared" ref="X250" si="423">$S250/ORCAMENTO_VALOR_TOTAL_ND</f>
        <v>0</v>
      </c>
      <c r="Y250" s="158">
        <f t="shared" ref="Y250" si="424">$T250/ORCAMENTO_VALOR_TOTAL_DE</f>
        <v>0</v>
      </c>
      <c r="Z250" s="158" cm="1">
        <f t="array" ref="Z250">_xlfn.SWITCH($N250,"BDI 1",$O$6,"BDI 2",$O$7,"BDI 3",$O$8)</f>
        <v>0.20699999999999999</v>
      </c>
      <c r="AA250" s="158" cm="1">
        <f t="array" ref="AA250">_xlfn.SWITCH($N250,"BDI 1",$P$6,"BDI 2",$P$7,"BDI 3",$P$8)</f>
        <v>0.26739999999999997</v>
      </c>
      <c r="AB250" s="158">
        <f t="shared" ca="1" si="330"/>
        <v>0</v>
      </c>
      <c r="AC250" s="158">
        <f t="shared" ca="1" si="331"/>
        <v>0</v>
      </c>
      <c r="AD250" s="164"/>
      <c r="AE250" s="148">
        <f t="shared" si="317"/>
        <v>0</v>
      </c>
      <c r="AF250" s="149"/>
      <c r="AG250" s="150"/>
      <c r="AH250" s="159" t="e">
        <f t="shared" si="318"/>
        <v>#DIV/0!</v>
      </c>
      <c r="AI250" s="195"/>
      <c r="AJ250" s="198">
        <v>85</v>
      </c>
      <c r="AK250" s="199">
        <f t="shared" si="400"/>
        <v>0</v>
      </c>
      <c r="AM250" s="105"/>
      <c r="AN250" s="105"/>
      <c r="AO250" s="105"/>
      <c r="AP250" s="105"/>
      <c r="AQ250" s="105"/>
      <c r="AR250" s="105"/>
    </row>
    <row r="251" spans="1:44" s="49" customFormat="1" ht="60" hidden="1" customHeight="1">
      <c r="A251" s="152">
        <f t="shared" ca="1" si="319"/>
        <v>0</v>
      </c>
      <c r="B251" s="153" t="s">
        <v>154</v>
      </c>
      <c r="C251" s="154" t="str">
        <f t="shared" si="320"/>
        <v>DR/0080</v>
      </c>
      <c r="D251" s="154" t="s">
        <v>3549</v>
      </c>
      <c r="E251" s="155" t="s">
        <v>3718</v>
      </c>
      <c r="F251" s="154"/>
      <c r="G251" s="154" t="s">
        <v>58</v>
      </c>
      <c r="H251" s="152">
        <v>25.44</v>
      </c>
      <c r="I251" s="152">
        <v>24.63</v>
      </c>
      <c r="J251" s="156"/>
      <c r="K251" s="156">
        <f>Dre_Disp_Estruturais!AI51</f>
        <v>0</v>
      </c>
      <c r="L251" s="156">
        <f t="shared" si="321"/>
        <v>0</v>
      </c>
      <c r="M251" s="156">
        <f t="shared" si="322"/>
        <v>0</v>
      </c>
      <c r="N251" s="156" t="s">
        <v>83</v>
      </c>
      <c r="O251" s="157" cm="1">
        <f t="array" ref="O251">TRUNC($H251*(1+_xlfn.SWITCH($N251,"BDI 1",$O$6,"BDI 2",$O$7,"BDI 3",$O$8)),2)</f>
        <v>30.7</v>
      </c>
      <c r="P251" s="157" cm="1">
        <f t="array" ref="P251">TRUNC($I251*(1+_xlfn.SWITCH($N251,"BDI 1",$P$6,"BDI 2",$P$7,"BDI 3",$P$8)),2)</f>
        <v>31.21</v>
      </c>
      <c r="Q251" s="157">
        <v>0</v>
      </c>
      <c r="R251" s="157">
        <f t="shared" si="323"/>
        <v>0</v>
      </c>
      <c r="S251" s="156">
        <f t="shared" si="324"/>
        <v>0</v>
      </c>
      <c r="T251" s="156">
        <f t="shared" si="325"/>
        <v>0</v>
      </c>
      <c r="U251" s="156">
        <f t="shared" si="326"/>
        <v>0</v>
      </c>
      <c r="V251" s="156">
        <f t="shared" si="327"/>
        <v>0</v>
      </c>
      <c r="W251" s="156">
        <f t="shared" si="314"/>
        <v>0</v>
      </c>
      <c r="X251" s="158">
        <f t="shared" ref="X251" si="425">$S251/ORCAMENTO_VALOR_TOTAL_ND</f>
        <v>0</v>
      </c>
      <c r="Y251" s="158">
        <f t="shared" ref="Y251" si="426">$T251/ORCAMENTO_VALOR_TOTAL_DE</f>
        <v>0</v>
      </c>
      <c r="Z251" s="158" cm="1">
        <f t="array" ref="Z251">_xlfn.SWITCH($N251,"BDI 1",$O$6,"BDI 2",$O$7,"BDI 3",$O$8)</f>
        <v>0.20699999999999999</v>
      </c>
      <c r="AA251" s="158" cm="1">
        <f t="array" ref="AA251">_xlfn.SWITCH($N251,"BDI 1",$P$6,"BDI 2",$P$7,"BDI 3",$P$8)</f>
        <v>0.26739999999999997</v>
      </c>
      <c r="AB251" s="158">
        <f t="shared" ca="1" si="330"/>
        <v>0</v>
      </c>
      <c r="AC251" s="158">
        <f t="shared" ca="1" si="331"/>
        <v>0</v>
      </c>
      <c r="AD251" s="164"/>
      <c r="AE251" s="148">
        <f t="shared" si="317"/>
        <v>0</v>
      </c>
      <c r="AF251" s="149"/>
      <c r="AG251" s="150"/>
      <c r="AH251" s="159" t="e">
        <f t="shared" si="318"/>
        <v>#DIV/0!</v>
      </c>
      <c r="AI251" s="195"/>
      <c r="AJ251" s="198">
        <v>88</v>
      </c>
      <c r="AK251" s="199">
        <f t="shared" si="400"/>
        <v>0</v>
      </c>
      <c r="AM251" s="105"/>
      <c r="AN251" s="105"/>
      <c r="AO251" s="105"/>
      <c r="AP251" s="105"/>
      <c r="AQ251" s="105"/>
      <c r="AR251" s="105"/>
    </row>
    <row r="252" spans="1:44" s="49" customFormat="1" ht="40.15" hidden="1" customHeight="1">
      <c r="A252" s="152">
        <f t="shared" ca="1" si="319"/>
        <v>0</v>
      </c>
      <c r="B252" s="153">
        <v>94878</v>
      </c>
      <c r="C252" s="154" t="str">
        <f t="shared" si="320"/>
        <v>94878</v>
      </c>
      <c r="D252" s="154" t="s">
        <v>1416</v>
      </c>
      <c r="E252" s="155" t="s">
        <v>3720</v>
      </c>
      <c r="F252" s="154"/>
      <c r="G252" s="154" t="s">
        <v>58</v>
      </c>
      <c r="H252" s="152">
        <v>30.73</v>
      </c>
      <c r="I252" s="152">
        <v>29.86</v>
      </c>
      <c r="J252" s="156"/>
      <c r="K252" s="156">
        <f>Dre_Disp_Estruturais!AI52</f>
        <v>0</v>
      </c>
      <c r="L252" s="156">
        <f t="shared" si="321"/>
        <v>0</v>
      </c>
      <c r="M252" s="156">
        <f t="shared" si="322"/>
        <v>0</v>
      </c>
      <c r="N252" s="156" t="s">
        <v>83</v>
      </c>
      <c r="O252" s="157" cm="1">
        <f t="array" ref="O252">TRUNC($H252*(1+_xlfn.SWITCH($N252,"BDI 1",$O$6,"BDI 2",$O$7,"BDI 3",$O$8)),2)</f>
        <v>37.090000000000003</v>
      </c>
      <c r="P252" s="157" cm="1">
        <f t="array" ref="P252">TRUNC($I252*(1+_xlfn.SWITCH($N252,"BDI 1",$P$6,"BDI 2",$P$7,"BDI 3",$P$8)),2)</f>
        <v>37.840000000000003</v>
      </c>
      <c r="Q252" s="157">
        <v>0</v>
      </c>
      <c r="R252" s="157">
        <f t="shared" si="323"/>
        <v>0</v>
      </c>
      <c r="S252" s="156">
        <f t="shared" si="324"/>
        <v>0</v>
      </c>
      <c r="T252" s="156">
        <f t="shared" si="325"/>
        <v>0</v>
      </c>
      <c r="U252" s="156">
        <f t="shared" si="326"/>
        <v>0</v>
      </c>
      <c r="V252" s="156">
        <f t="shared" si="327"/>
        <v>0</v>
      </c>
      <c r="W252" s="156">
        <f t="shared" si="314"/>
        <v>0</v>
      </c>
      <c r="X252" s="158">
        <f t="shared" ref="X252" si="427">$S252/ORCAMENTO_VALOR_TOTAL_ND</f>
        <v>0</v>
      </c>
      <c r="Y252" s="158">
        <f t="shared" ref="Y252" si="428">$T252/ORCAMENTO_VALOR_TOTAL_DE</f>
        <v>0</v>
      </c>
      <c r="Z252" s="158" cm="1">
        <f t="array" ref="Z252">_xlfn.SWITCH($N252,"BDI 1",$O$6,"BDI 2",$O$7,"BDI 3",$O$8)</f>
        <v>0.20699999999999999</v>
      </c>
      <c r="AA252" s="158" cm="1">
        <f t="array" ref="AA252">_xlfn.SWITCH($N252,"BDI 1",$P$6,"BDI 2",$P$7,"BDI 3",$P$8)</f>
        <v>0.26739999999999997</v>
      </c>
      <c r="AB252" s="158">
        <f t="shared" ca="1" si="330"/>
        <v>0</v>
      </c>
      <c r="AC252" s="158">
        <f t="shared" ca="1" si="331"/>
        <v>0</v>
      </c>
      <c r="AD252" s="164"/>
      <c r="AE252" s="148">
        <f t="shared" si="317"/>
        <v>0</v>
      </c>
      <c r="AF252" s="149"/>
      <c r="AG252" s="150"/>
      <c r="AH252" s="159" t="e">
        <f t="shared" si="318"/>
        <v>#DIV/0!</v>
      </c>
      <c r="AI252" s="195"/>
      <c r="AJ252" s="198">
        <v>78</v>
      </c>
      <c r="AK252" s="199">
        <f t="shared" si="400"/>
        <v>0</v>
      </c>
      <c r="AM252" s="105"/>
      <c r="AN252" s="105"/>
      <c r="AO252" s="105"/>
      <c r="AP252" s="105"/>
      <c r="AQ252" s="105"/>
      <c r="AR252" s="105"/>
    </row>
    <row r="253" spans="1:44" s="49" customFormat="1" ht="40.15" hidden="1" customHeight="1">
      <c r="A253" s="152">
        <f t="shared" ca="1" si="319"/>
        <v>0</v>
      </c>
      <c r="B253" s="153">
        <v>94880</v>
      </c>
      <c r="C253" s="154" t="str">
        <f t="shared" si="320"/>
        <v>94880</v>
      </c>
      <c r="D253" s="154" t="s">
        <v>1416</v>
      </c>
      <c r="E253" s="155" t="s">
        <v>3721</v>
      </c>
      <c r="F253" s="154"/>
      <c r="G253" s="154" t="s">
        <v>58</v>
      </c>
      <c r="H253" s="152">
        <v>40.15</v>
      </c>
      <c r="I253" s="152">
        <v>39.090000000000003</v>
      </c>
      <c r="J253" s="156"/>
      <c r="K253" s="156">
        <f>Dre_Disp_Estruturais!AI53</f>
        <v>0</v>
      </c>
      <c r="L253" s="156">
        <f t="shared" si="321"/>
        <v>0</v>
      </c>
      <c r="M253" s="156">
        <f t="shared" si="322"/>
        <v>0</v>
      </c>
      <c r="N253" s="156" t="s">
        <v>83</v>
      </c>
      <c r="O253" s="157" cm="1">
        <f t="array" ref="O253">TRUNC($H253*(1+_xlfn.SWITCH($N253,"BDI 1",$O$6,"BDI 2",$O$7,"BDI 3",$O$8)),2)</f>
        <v>48.46</v>
      </c>
      <c r="P253" s="157" cm="1">
        <f t="array" ref="P253">TRUNC($I253*(1+_xlfn.SWITCH($N253,"BDI 1",$P$6,"BDI 2",$P$7,"BDI 3",$P$8)),2)</f>
        <v>49.54</v>
      </c>
      <c r="Q253" s="157">
        <v>0</v>
      </c>
      <c r="R253" s="157">
        <f t="shared" si="323"/>
        <v>0</v>
      </c>
      <c r="S253" s="156">
        <f t="shared" si="324"/>
        <v>0</v>
      </c>
      <c r="T253" s="156">
        <f t="shared" si="325"/>
        <v>0</v>
      </c>
      <c r="U253" s="156">
        <f t="shared" si="326"/>
        <v>0</v>
      </c>
      <c r="V253" s="156">
        <f t="shared" si="327"/>
        <v>0</v>
      </c>
      <c r="W253" s="156">
        <f t="shared" si="314"/>
        <v>0</v>
      </c>
      <c r="X253" s="158">
        <f t="shared" ref="X253" si="429">$S253/ORCAMENTO_VALOR_TOTAL_ND</f>
        <v>0</v>
      </c>
      <c r="Y253" s="158">
        <f t="shared" ref="Y253" si="430">$T253/ORCAMENTO_VALOR_TOTAL_DE</f>
        <v>0</v>
      </c>
      <c r="Z253" s="158" cm="1">
        <f t="array" ref="Z253">_xlfn.SWITCH($N253,"BDI 1",$O$6,"BDI 2",$O$7,"BDI 3",$O$8)</f>
        <v>0.20699999999999999</v>
      </c>
      <c r="AA253" s="158" cm="1">
        <f t="array" ref="AA253">_xlfn.SWITCH($N253,"BDI 1",$P$6,"BDI 2",$P$7,"BDI 3",$P$8)</f>
        <v>0.26739999999999997</v>
      </c>
      <c r="AB253" s="158">
        <f t="shared" ca="1" si="330"/>
        <v>0</v>
      </c>
      <c r="AC253" s="158">
        <f t="shared" ca="1" si="331"/>
        <v>0</v>
      </c>
      <c r="AD253" s="164"/>
      <c r="AE253" s="148">
        <f t="shared" si="317"/>
        <v>0</v>
      </c>
      <c r="AF253" s="149"/>
      <c r="AG253" s="150"/>
      <c r="AH253" s="159" t="e">
        <f t="shared" si="318"/>
        <v>#DIV/0!</v>
      </c>
      <c r="AI253" s="195"/>
      <c r="AJ253" s="198">
        <v>72</v>
      </c>
      <c r="AK253" s="199">
        <f t="shared" si="400"/>
        <v>0</v>
      </c>
      <c r="AM253" s="105"/>
      <c r="AN253" s="105"/>
      <c r="AO253" s="105"/>
      <c r="AP253" s="105"/>
      <c r="AQ253" s="105"/>
      <c r="AR253" s="105"/>
    </row>
    <row r="254" spans="1:44" s="49" customFormat="1" ht="40.15" hidden="1" customHeight="1">
      <c r="A254" s="152">
        <f t="shared" ca="1" si="319"/>
        <v>0</v>
      </c>
      <c r="B254" s="153">
        <v>94882</v>
      </c>
      <c r="C254" s="154" t="str">
        <f t="shared" si="320"/>
        <v>94882</v>
      </c>
      <c r="D254" s="154" t="s">
        <v>1416</v>
      </c>
      <c r="E254" s="155" t="s">
        <v>3722</v>
      </c>
      <c r="F254" s="154"/>
      <c r="G254" s="154" t="s">
        <v>58</v>
      </c>
      <c r="H254" s="152">
        <v>46.42</v>
      </c>
      <c r="I254" s="152">
        <v>45.16</v>
      </c>
      <c r="J254" s="156"/>
      <c r="K254" s="156">
        <f>Dre_Disp_Estruturais!AI54</f>
        <v>0</v>
      </c>
      <c r="L254" s="156">
        <f t="shared" si="321"/>
        <v>0</v>
      </c>
      <c r="M254" s="156">
        <f t="shared" si="322"/>
        <v>0</v>
      </c>
      <c r="N254" s="156" t="s">
        <v>83</v>
      </c>
      <c r="O254" s="157" cm="1">
        <f t="array" ref="O254">TRUNC($H254*(1+_xlfn.SWITCH($N254,"BDI 1",$O$6,"BDI 2",$O$7,"BDI 3",$O$8)),2)</f>
        <v>56.02</v>
      </c>
      <c r="P254" s="157" cm="1">
        <f t="array" ref="P254">TRUNC($I254*(1+_xlfn.SWITCH($N254,"BDI 1",$P$6,"BDI 2",$P$7,"BDI 3",$P$8)),2)</f>
        <v>57.23</v>
      </c>
      <c r="Q254" s="157">
        <v>0</v>
      </c>
      <c r="R254" s="157">
        <f t="shared" si="323"/>
        <v>0</v>
      </c>
      <c r="S254" s="156">
        <f t="shared" si="324"/>
        <v>0</v>
      </c>
      <c r="T254" s="156">
        <f t="shared" si="325"/>
        <v>0</v>
      </c>
      <c r="U254" s="156">
        <f t="shared" si="326"/>
        <v>0</v>
      </c>
      <c r="V254" s="156">
        <f t="shared" si="327"/>
        <v>0</v>
      </c>
      <c r="W254" s="156">
        <f t="shared" si="314"/>
        <v>0</v>
      </c>
      <c r="X254" s="158">
        <f t="shared" ref="X254" si="431">$S254/ORCAMENTO_VALOR_TOTAL_ND</f>
        <v>0</v>
      </c>
      <c r="Y254" s="158">
        <f t="shared" ref="Y254" si="432">$T254/ORCAMENTO_VALOR_TOTAL_DE</f>
        <v>0</v>
      </c>
      <c r="Z254" s="158" cm="1">
        <f t="array" ref="Z254">_xlfn.SWITCH($N254,"BDI 1",$O$6,"BDI 2",$O$7,"BDI 3",$O$8)</f>
        <v>0.20699999999999999</v>
      </c>
      <c r="AA254" s="158" cm="1">
        <f t="array" ref="AA254">_xlfn.SWITCH($N254,"BDI 1",$P$6,"BDI 2",$P$7,"BDI 3",$P$8)</f>
        <v>0.26739999999999997</v>
      </c>
      <c r="AB254" s="158">
        <f t="shared" ca="1" si="330"/>
        <v>0</v>
      </c>
      <c r="AC254" s="158">
        <f t="shared" ca="1" si="331"/>
        <v>0</v>
      </c>
      <c r="AD254" s="164"/>
      <c r="AE254" s="148">
        <f t="shared" si="317"/>
        <v>0</v>
      </c>
      <c r="AF254" s="149"/>
      <c r="AG254" s="150"/>
      <c r="AH254" s="159" t="e">
        <f t="shared" si="318"/>
        <v>#DIV/0!</v>
      </c>
      <c r="AI254" s="195"/>
      <c r="AJ254" s="198">
        <v>68</v>
      </c>
      <c r="AK254" s="199">
        <f t="shared" si="400"/>
        <v>0</v>
      </c>
      <c r="AM254" s="105"/>
      <c r="AN254" s="105"/>
      <c r="AO254" s="105"/>
      <c r="AP254" s="105"/>
      <c r="AQ254" s="105"/>
      <c r="AR254" s="105"/>
    </row>
    <row r="255" spans="1:44" s="49" customFormat="1" ht="40.15" hidden="1" customHeight="1">
      <c r="A255" s="152">
        <f t="shared" ca="1" si="319"/>
        <v>0</v>
      </c>
      <c r="B255" s="153">
        <v>94884</v>
      </c>
      <c r="C255" s="154" t="str">
        <f t="shared" si="320"/>
        <v>94884</v>
      </c>
      <c r="D255" s="154" t="s">
        <v>1416</v>
      </c>
      <c r="E255" s="155" t="s">
        <v>3723</v>
      </c>
      <c r="F255" s="154"/>
      <c r="G255" s="154" t="s">
        <v>58</v>
      </c>
      <c r="H255" s="152">
        <v>59.12</v>
      </c>
      <c r="I255" s="152">
        <v>57.45</v>
      </c>
      <c r="J255" s="156"/>
      <c r="K255" s="156">
        <f>Dre_Disp_Estruturais!AI55</f>
        <v>0</v>
      </c>
      <c r="L255" s="156">
        <f t="shared" si="321"/>
        <v>0</v>
      </c>
      <c r="M255" s="156">
        <f t="shared" si="322"/>
        <v>0</v>
      </c>
      <c r="N255" s="156" t="s">
        <v>83</v>
      </c>
      <c r="O255" s="157" cm="1">
        <f t="array" ref="O255">TRUNC($H255*(1+_xlfn.SWITCH($N255,"BDI 1",$O$6,"BDI 2",$O$7,"BDI 3",$O$8)),2)</f>
        <v>71.349999999999994</v>
      </c>
      <c r="P255" s="157" cm="1">
        <f t="array" ref="P255">TRUNC($I255*(1+_xlfn.SWITCH($N255,"BDI 1",$P$6,"BDI 2",$P$7,"BDI 3",$P$8)),2)</f>
        <v>72.81</v>
      </c>
      <c r="Q255" s="157">
        <v>0</v>
      </c>
      <c r="R255" s="157">
        <f t="shared" si="323"/>
        <v>0</v>
      </c>
      <c r="S255" s="156">
        <f t="shared" si="324"/>
        <v>0</v>
      </c>
      <c r="T255" s="156">
        <f t="shared" si="325"/>
        <v>0</v>
      </c>
      <c r="U255" s="156">
        <f t="shared" si="326"/>
        <v>0</v>
      </c>
      <c r="V255" s="156">
        <f t="shared" si="327"/>
        <v>0</v>
      </c>
      <c r="W255" s="156">
        <f t="shared" si="314"/>
        <v>0</v>
      </c>
      <c r="X255" s="158">
        <f t="shared" ref="X255" si="433">$S255/ORCAMENTO_VALOR_TOTAL_ND</f>
        <v>0</v>
      </c>
      <c r="Y255" s="158">
        <f t="shared" ref="Y255" si="434">$T255/ORCAMENTO_VALOR_TOTAL_DE</f>
        <v>0</v>
      </c>
      <c r="Z255" s="158" cm="1">
        <f t="array" ref="Z255">_xlfn.SWITCH($N255,"BDI 1",$O$6,"BDI 2",$O$7,"BDI 3",$O$8)</f>
        <v>0.20699999999999999</v>
      </c>
      <c r="AA255" s="158" cm="1">
        <f t="array" ref="AA255">_xlfn.SWITCH($N255,"BDI 1",$P$6,"BDI 2",$P$7,"BDI 3",$P$8)</f>
        <v>0.26739999999999997</v>
      </c>
      <c r="AB255" s="158">
        <f t="shared" ca="1" si="330"/>
        <v>0</v>
      </c>
      <c r="AC255" s="158">
        <f t="shared" ca="1" si="331"/>
        <v>0</v>
      </c>
      <c r="AD255" s="164"/>
      <c r="AE255" s="148">
        <f t="shared" si="317"/>
        <v>0</v>
      </c>
      <c r="AF255" s="149"/>
      <c r="AG255" s="150"/>
      <c r="AH255" s="159" t="e">
        <f t="shared" si="318"/>
        <v>#DIV/0!</v>
      </c>
      <c r="AI255" s="195"/>
      <c r="AJ255" s="198">
        <v>60</v>
      </c>
      <c r="AK255" s="199">
        <f t="shared" si="400"/>
        <v>0</v>
      </c>
      <c r="AM255" s="105"/>
      <c r="AN255" s="105"/>
      <c r="AO255" s="105"/>
      <c r="AP255" s="105"/>
      <c r="AQ255" s="105"/>
      <c r="AR255" s="105"/>
    </row>
    <row r="256" spans="1:44" s="49" customFormat="1" ht="40.15" hidden="1" customHeight="1">
      <c r="A256" s="152">
        <f t="shared" ca="1" si="319"/>
        <v>0</v>
      </c>
      <c r="B256" s="153" t="s">
        <v>155</v>
      </c>
      <c r="C256" s="154" t="str">
        <f t="shared" si="320"/>
        <v>DR/0091</v>
      </c>
      <c r="D256" s="154" t="s">
        <v>3549</v>
      </c>
      <c r="E256" s="155" t="s">
        <v>3724</v>
      </c>
      <c r="F256" s="154"/>
      <c r="G256" s="154" t="s">
        <v>58</v>
      </c>
      <c r="H256" s="152">
        <v>116.94</v>
      </c>
      <c r="I256" s="152">
        <v>110.9</v>
      </c>
      <c r="J256" s="156"/>
      <c r="K256" s="156">
        <f>Dre_Disp_Estruturais!AI56</f>
        <v>0</v>
      </c>
      <c r="L256" s="156">
        <f t="shared" si="321"/>
        <v>0</v>
      </c>
      <c r="M256" s="156">
        <f t="shared" si="322"/>
        <v>0</v>
      </c>
      <c r="N256" s="156" t="s">
        <v>83</v>
      </c>
      <c r="O256" s="157" cm="1">
        <f t="array" ref="O256">TRUNC($H256*(1+_xlfn.SWITCH($N256,"BDI 1",$O$6,"BDI 2",$O$7,"BDI 3",$O$8)),2)</f>
        <v>141.13999999999999</v>
      </c>
      <c r="P256" s="157" cm="1">
        <f t="array" ref="P256">TRUNC($I256*(1+_xlfn.SWITCH($N256,"BDI 1",$P$6,"BDI 2",$P$7,"BDI 3",$P$8)),2)</f>
        <v>140.55000000000001</v>
      </c>
      <c r="Q256" s="157">
        <v>0</v>
      </c>
      <c r="R256" s="157">
        <f t="shared" si="323"/>
        <v>0</v>
      </c>
      <c r="S256" s="156">
        <f t="shared" si="324"/>
        <v>0</v>
      </c>
      <c r="T256" s="156">
        <f t="shared" si="325"/>
        <v>0</v>
      </c>
      <c r="U256" s="156">
        <f t="shared" si="326"/>
        <v>0</v>
      </c>
      <c r="V256" s="156">
        <f t="shared" si="327"/>
        <v>0</v>
      </c>
      <c r="W256" s="156">
        <f t="shared" si="314"/>
        <v>0</v>
      </c>
      <c r="X256" s="158">
        <f t="shared" ref="X256" si="435">$S256/ORCAMENTO_VALOR_TOTAL_ND</f>
        <v>0</v>
      </c>
      <c r="Y256" s="158">
        <f t="shared" ref="Y256" si="436">$T256/ORCAMENTO_VALOR_TOTAL_DE</f>
        <v>0</v>
      </c>
      <c r="Z256" s="158" cm="1">
        <f t="array" ref="Z256">_xlfn.SWITCH($N256,"BDI 1",$O$6,"BDI 2",$O$7,"BDI 3",$O$8)</f>
        <v>0.20699999999999999</v>
      </c>
      <c r="AA256" s="158" cm="1">
        <f t="array" ref="AA256">_xlfn.SWITCH($N256,"BDI 1",$P$6,"BDI 2",$P$7,"BDI 3",$P$8)</f>
        <v>0.26739999999999997</v>
      </c>
      <c r="AB256" s="158">
        <f t="shared" ca="1" si="330"/>
        <v>0</v>
      </c>
      <c r="AC256" s="158">
        <f t="shared" ca="1" si="331"/>
        <v>0</v>
      </c>
      <c r="AD256" s="164"/>
      <c r="AE256" s="148">
        <f t="shared" si="317"/>
        <v>0</v>
      </c>
      <c r="AF256" s="149"/>
      <c r="AG256" s="150"/>
      <c r="AH256" s="159" t="e">
        <f t="shared" si="318"/>
        <v>#DIV/0!</v>
      </c>
      <c r="AI256" s="195"/>
      <c r="AJ256" s="198">
        <v>0</v>
      </c>
      <c r="AK256" s="199" t="e">
        <f t="shared" si="400"/>
        <v>#DIV/0!</v>
      </c>
      <c r="AM256" s="105"/>
      <c r="AN256" s="105"/>
      <c r="AO256" s="105"/>
      <c r="AP256" s="105"/>
      <c r="AQ256" s="105"/>
      <c r="AR256" s="105"/>
    </row>
    <row r="257" spans="1:44" s="49" customFormat="1" ht="49.9" hidden="1" customHeight="1">
      <c r="A257" s="152">
        <f t="shared" ca="1" si="319"/>
        <v>0</v>
      </c>
      <c r="B257" s="153">
        <v>37476</v>
      </c>
      <c r="C257" s="154" t="str">
        <f t="shared" si="320"/>
        <v>37476</v>
      </c>
      <c r="D257" s="154" t="s">
        <v>3579</v>
      </c>
      <c r="E257" s="155" t="s">
        <v>3725</v>
      </c>
      <c r="F257" s="154"/>
      <c r="G257" s="154" t="s">
        <v>1412</v>
      </c>
      <c r="H257" s="152">
        <v>4292.7700000000004</v>
      </c>
      <c r="I257" s="152">
        <v>4292.7700000000004</v>
      </c>
      <c r="J257" s="156"/>
      <c r="K257" s="156">
        <f>K256</f>
        <v>0</v>
      </c>
      <c r="L257" s="156">
        <f t="shared" si="321"/>
        <v>0</v>
      </c>
      <c r="M257" s="156">
        <f t="shared" si="322"/>
        <v>0</v>
      </c>
      <c r="N257" s="156" t="s">
        <v>92</v>
      </c>
      <c r="O257" s="157" cm="1">
        <f t="array" ref="O257">TRUNC($H257*(1+_xlfn.SWITCH($N257,"BDI 1",$O$6,"BDI 2",$O$7,"BDI 3",$O$8)),2)</f>
        <v>4948.2700000000004</v>
      </c>
      <c r="P257" s="157" cm="1">
        <f t="array" ref="P257">TRUNC($I257*(1+_xlfn.SWITCH($N257,"BDI 1",$P$6,"BDI 2",$P$7,"BDI 3",$P$8)),2)</f>
        <v>4948.2700000000004</v>
      </c>
      <c r="Q257" s="157">
        <v>0</v>
      </c>
      <c r="R257" s="157">
        <f t="shared" si="323"/>
        <v>0</v>
      </c>
      <c r="S257" s="156">
        <f t="shared" si="324"/>
        <v>0</v>
      </c>
      <c r="T257" s="156">
        <f t="shared" si="325"/>
        <v>0</v>
      </c>
      <c r="U257" s="156">
        <f t="shared" si="326"/>
        <v>0</v>
      </c>
      <c r="V257" s="156">
        <f t="shared" si="327"/>
        <v>0</v>
      </c>
      <c r="W257" s="156">
        <f t="shared" si="314"/>
        <v>0</v>
      </c>
      <c r="X257" s="158">
        <f t="shared" ref="X257" si="437">$S257/ORCAMENTO_VALOR_TOTAL_ND</f>
        <v>0</v>
      </c>
      <c r="Y257" s="158">
        <f t="shared" ref="Y257" si="438">$T257/ORCAMENTO_VALOR_TOTAL_DE</f>
        <v>0</v>
      </c>
      <c r="Z257" s="158" cm="1">
        <f t="array" ref="Z257">_xlfn.SWITCH($N257,"BDI 1",$O$6,"BDI 2",$O$7,"BDI 3",$O$8)</f>
        <v>0.1527</v>
      </c>
      <c r="AA257" s="158" cm="1">
        <f t="array" ref="AA257">_xlfn.SWITCH($N257,"BDI 1",$P$6,"BDI 2",$P$7,"BDI 3",$P$8)</f>
        <v>0.1527</v>
      </c>
      <c r="AB257" s="158">
        <f t="shared" ca="1" si="330"/>
        <v>0</v>
      </c>
      <c r="AC257" s="158">
        <f t="shared" ca="1" si="331"/>
        <v>0</v>
      </c>
      <c r="AD257" s="164"/>
      <c r="AE257" s="148">
        <f t="shared" si="317"/>
        <v>0</v>
      </c>
      <c r="AF257" s="149"/>
      <c r="AG257" s="150"/>
      <c r="AH257" s="159" t="e">
        <f t="shared" si="318"/>
        <v>#DIV/0!</v>
      </c>
      <c r="AI257" s="195"/>
      <c r="AJ257" s="198">
        <v>3.32</v>
      </c>
      <c r="AK257" s="199">
        <f t="shared" si="400"/>
        <v>0</v>
      </c>
      <c r="AM257" s="105"/>
      <c r="AN257" s="105"/>
      <c r="AO257" s="105"/>
      <c r="AP257" s="105"/>
      <c r="AQ257" s="105"/>
      <c r="AR257" s="105"/>
    </row>
    <row r="258" spans="1:44" s="49" customFormat="1" ht="40.15" hidden="1" customHeight="1">
      <c r="A258" s="152">
        <f t="shared" ca="1" si="319"/>
        <v>0</v>
      </c>
      <c r="B258" s="153" t="s">
        <v>156</v>
      </c>
      <c r="C258" s="154" t="str">
        <f t="shared" si="320"/>
        <v>DR/0096</v>
      </c>
      <c r="D258" s="154" t="s">
        <v>3549</v>
      </c>
      <c r="E258" s="155" t="s">
        <v>3726</v>
      </c>
      <c r="F258" s="154"/>
      <c r="G258" s="154" t="s">
        <v>58</v>
      </c>
      <c r="H258" s="152">
        <v>155.26</v>
      </c>
      <c r="I258" s="152">
        <v>147.01</v>
      </c>
      <c r="J258" s="156"/>
      <c r="K258" s="156">
        <f>Dre_Disp_Estruturais!AI57</f>
        <v>0</v>
      </c>
      <c r="L258" s="156">
        <f t="shared" si="321"/>
        <v>0</v>
      </c>
      <c r="M258" s="156">
        <f t="shared" si="322"/>
        <v>0</v>
      </c>
      <c r="N258" s="156" t="s">
        <v>83</v>
      </c>
      <c r="O258" s="157" cm="1">
        <f t="array" ref="O258">TRUNC($H258*(1+_xlfn.SWITCH($N258,"BDI 1",$O$6,"BDI 2",$O$7,"BDI 3",$O$8)),2)</f>
        <v>187.39</v>
      </c>
      <c r="P258" s="157" cm="1">
        <f t="array" ref="P258">TRUNC($I258*(1+_xlfn.SWITCH($N258,"BDI 1",$P$6,"BDI 2",$P$7,"BDI 3",$P$8)),2)</f>
        <v>186.32</v>
      </c>
      <c r="Q258" s="157">
        <v>0</v>
      </c>
      <c r="R258" s="157">
        <f t="shared" si="323"/>
        <v>0</v>
      </c>
      <c r="S258" s="156">
        <f t="shared" si="324"/>
        <v>0</v>
      </c>
      <c r="T258" s="156">
        <f t="shared" si="325"/>
        <v>0</v>
      </c>
      <c r="U258" s="156">
        <f t="shared" si="326"/>
        <v>0</v>
      </c>
      <c r="V258" s="156">
        <f t="shared" si="327"/>
        <v>0</v>
      </c>
      <c r="W258" s="156">
        <f t="shared" si="314"/>
        <v>0</v>
      </c>
      <c r="X258" s="158">
        <f t="shared" ref="X258" si="439">$S258/ORCAMENTO_VALOR_TOTAL_ND</f>
        <v>0</v>
      </c>
      <c r="Y258" s="158">
        <f t="shared" ref="Y258" si="440">$T258/ORCAMENTO_VALOR_TOTAL_DE</f>
        <v>0</v>
      </c>
      <c r="Z258" s="158" cm="1">
        <f t="array" ref="Z258">_xlfn.SWITCH($N258,"BDI 1",$O$6,"BDI 2",$O$7,"BDI 3",$O$8)</f>
        <v>0.20699999999999999</v>
      </c>
      <c r="AA258" s="158" cm="1">
        <f t="array" ref="AA258">_xlfn.SWITCH($N258,"BDI 1",$P$6,"BDI 2",$P$7,"BDI 3",$P$8)</f>
        <v>0.26739999999999997</v>
      </c>
      <c r="AB258" s="158">
        <f t="shared" ca="1" si="330"/>
        <v>0</v>
      </c>
      <c r="AC258" s="158">
        <f t="shared" ca="1" si="331"/>
        <v>0</v>
      </c>
      <c r="AD258" s="164"/>
      <c r="AE258" s="148">
        <f t="shared" si="317"/>
        <v>0</v>
      </c>
      <c r="AF258" s="149"/>
      <c r="AG258" s="150"/>
      <c r="AH258" s="159" t="e">
        <f t="shared" si="318"/>
        <v>#DIV/0!</v>
      </c>
      <c r="AI258" s="195"/>
      <c r="AJ258" s="198">
        <v>0</v>
      </c>
      <c r="AK258" s="199" t="e">
        <f t="shared" si="400"/>
        <v>#DIV/0!</v>
      </c>
      <c r="AM258" s="105"/>
      <c r="AN258" s="105"/>
      <c r="AO258" s="105"/>
      <c r="AP258" s="105"/>
      <c r="AQ258" s="105"/>
      <c r="AR258" s="105"/>
    </row>
    <row r="259" spans="1:44" s="49" customFormat="1" ht="49.9" hidden="1" customHeight="1">
      <c r="A259" s="152">
        <f t="shared" ca="1" si="319"/>
        <v>0</v>
      </c>
      <c r="B259" s="153">
        <v>37478</v>
      </c>
      <c r="C259" s="154" t="str">
        <f t="shared" si="320"/>
        <v>37478</v>
      </c>
      <c r="D259" s="154" t="s">
        <v>3579</v>
      </c>
      <c r="E259" s="155" t="s">
        <v>3727</v>
      </c>
      <c r="F259" s="154"/>
      <c r="G259" s="154" t="s">
        <v>1412</v>
      </c>
      <c r="H259" s="152">
        <v>5376.8</v>
      </c>
      <c r="I259" s="152">
        <v>5376.8</v>
      </c>
      <c r="J259" s="156"/>
      <c r="K259" s="156">
        <f>K258</f>
        <v>0</v>
      </c>
      <c r="L259" s="156">
        <f t="shared" si="321"/>
        <v>0</v>
      </c>
      <c r="M259" s="156">
        <f t="shared" si="322"/>
        <v>0</v>
      </c>
      <c r="N259" s="156" t="s">
        <v>92</v>
      </c>
      <c r="O259" s="157" cm="1">
        <f t="array" ref="O259">TRUNC($H259*(1+_xlfn.SWITCH($N259,"BDI 1",$O$6,"BDI 2",$O$7,"BDI 3",$O$8)),2)</f>
        <v>6197.83</v>
      </c>
      <c r="P259" s="157" cm="1">
        <f t="array" ref="P259">TRUNC($I259*(1+_xlfn.SWITCH($N259,"BDI 1",$P$6,"BDI 2",$P$7,"BDI 3",$P$8)),2)</f>
        <v>6197.83</v>
      </c>
      <c r="Q259" s="157">
        <v>0</v>
      </c>
      <c r="R259" s="157">
        <f t="shared" si="323"/>
        <v>0</v>
      </c>
      <c r="S259" s="156">
        <f t="shared" si="324"/>
        <v>0</v>
      </c>
      <c r="T259" s="156">
        <f t="shared" si="325"/>
        <v>0</v>
      </c>
      <c r="U259" s="156">
        <f t="shared" si="326"/>
        <v>0</v>
      </c>
      <c r="V259" s="156">
        <f t="shared" si="327"/>
        <v>0</v>
      </c>
      <c r="W259" s="156">
        <f t="shared" si="314"/>
        <v>0</v>
      </c>
      <c r="X259" s="158">
        <f t="shared" ref="X259" si="441">$S259/ORCAMENTO_VALOR_TOTAL_ND</f>
        <v>0</v>
      </c>
      <c r="Y259" s="158">
        <f t="shared" ref="Y259" si="442">$T259/ORCAMENTO_VALOR_TOTAL_DE</f>
        <v>0</v>
      </c>
      <c r="Z259" s="158" cm="1">
        <f t="array" ref="Z259">_xlfn.SWITCH($N259,"BDI 1",$O$6,"BDI 2",$O$7,"BDI 3",$O$8)</f>
        <v>0.1527</v>
      </c>
      <c r="AA259" s="158" cm="1">
        <f t="array" ref="AA259">_xlfn.SWITCH($N259,"BDI 1",$P$6,"BDI 2",$P$7,"BDI 3",$P$8)</f>
        <v>0.1527</v>
      </c>
      <c r="AB259" s="158">
        <f t="shared" ca="1" si="330"/>
        <v>0</v>
      </c>
      <c r="AC259" s="158">
        <f t="shared" ca="1" si="331"/>
        <v>0</v>
      </c>
      <c r="AD259" s="164"/>
      <c r="AE259" s="148">
        <f t="shared" si="317"/>
        <v>0</v>
      </c>
      <c r="AF259" s="149"/>
      <c r="AG259" s="150"/>
      <c r="AH259" s="159" t="e">
        <f t="shared" si="318"/>
        <v>#DIV/0!</v>
      </c>
      <c r="AI259" s="195"/>
      <c r="AJ259" s="198">
        <v>2.85</v>
      </c>
      <c r="AK259" s="199">
        <f t="shared" si="400"/>
        <v>0</v>
      </c>
      <c r="AM259" s="105"/>
      <c r="AN259" s="105"/>
      <c r="AO259" s="105"/>
      <c r="AP259" s="105"/>
      <c r="AQ259" s="105"/>
      <c r="AR259" s="105"/>
    </row>
    <row r="260" spans="1:44" s="49" customFormat="1" ht="40.15" hidden="1" customHeight="1">
      <c r="A260" s="152">
        <f t="shared" ca="1" si="319"/>
        <v>0</v>
      </c>
      <c r="B260" s="153" t="s">
        <v>157</v>
      </c>
      <c r="C260" s="154" t="str">
        <f t="shared" si="320"/>
        <v>DR/0101</v>
      </c>
      <c r="D260" s="154" t="s">
        <v>3549</v>
      </c>
      <c r="E260" s="155" t="s">
        <v>3728</v>
      </c>
      <c r="F260" s="154"/>
      <c r="G260" s="154" t="s">
        <v>58</v>
      </c>
      <c r="H260" s="152">
        <v>232.86</v>
      </c>
      <c r="I260" s="152">
        <v>222.14</v>
      </c>
      <c r="J260" s="156"/>
      <c r="K260" s="156">
        <f>Dre_Disp_Estruturais!AI58</f>
        <v>0</v>
      </c>
      <c r="L260" s="156">
        <f t="shared" si="321"/>
        <v>0</v>
      </c>
      <c r="M260" s="156">
        <f t="shared" si="322"/>
        <v>0</v>
      </c>
      <c r="N260" s="156" t="s">
        <v>83</v>
      </c>
      <c r="O260" s="157" cm="1">
        <f t="array" ref="O260">TRUNC($H260*(1+_xlfn.SWITCH($N260,"BDI 1",$O$6,"BDI 2",$O$7,"BDI 3",$O$8)),2)</f>
        <v>281.06</v>
      </c>
      <c r="P260" s="157" cm="1">
        <f t="array" ref="P260">TRUNC($I260*(1+_xlfn.SWITCH($N260,"BDI 1",$P$6,"BDI 2",$P$7,"BDI 3",$P$8)),2)</f>
        <v>281.54000000000002</v>
      </c>
      <c r="Q260" s="157">
        <v>0</v>
      </c>
      <c r="R260" s="157">
        <f t="shared" si="323"/>
        <v>0</v>
      </c>
      <c r="S260" s="156">
        <f t="shared" si="324"/>
        <v>0</v>
      </c>
      <c r="T260" s="156">
        <f t="shared" si="325"/>
        <v>0</v>
      </c>
      <c r="U260" s="156">
        <f t="shared" si="326"/>
        <v>0</v>
      </c>
      <c r="V260" s="156">
        <f t="shared" si="327"/>
        <v>0</v>
      </c>
      <c r="W260" s="156">
        <f t="shared" si="314"/>
        <v>0</v>
      </c>
      <c r="X260" s="158">
        <f t="shared" ref="X260" si="443">$S260/ORCAMENTO_VALOR_TOTAL_ND</f>
        <v>0</v>
      </c>
      <c r="Y260" s="158">
        <f t="shared" ref="Y260" si="444">$T260/ORCAMENTO_VALOR_TOTAL_DE</f>
        <v>0</v>
      </c>
      <c r="Z260" s="158" cm="1">
        <f t="array" ref="Z260">_xlfn.SWITCH($N260,"BDI 1",$O$6,"BDI 2",$O$7,"BDI 3",$O$8)</f>
        <v>0.20699999999999999</v>
      </c>
      <c r="AA260" s="158" cm="1">
        <f t="array" ref="AA260">_xlfn.SWITCH($N260,"BDI 1",$P$6,"BDI 2",$P$7,"BDI 3",$P$8)</f>
        <v>0.26739999999999997</v>
      </c>
      <c r="AB260" s="158">
        <f t="shared" ca="1" si="330"/>
        <v>0</v>
      </c>
      <c r="AC260" s="158">
        <f t="shared" ca="1" si="331"/>
        <v>0</v>
      </c>
      <c r="AD260" s="164"/>
      <c r="AE260" s="148">
        <f t="shared" si="317"/>
        <v>0</v>
      </c>
      <c r="AF260" s="149"/>
      <c r="AG260" s="150"/>
      <c r="AH260" s="159" t="e">
        <f t="shared" si="318"/>
        <v>#DIV/0!</v>
      </c>
      <c r="AI260" s="195"/>
      <c r="AJ260" s="198">
        <v>0</v>
      </c>
      <c r="AK260" s="199" t="e">
        <f t="shared" si="400"/>
        <v>#DIV/0!</v>
      </c>
      <c r="AM260" s="105"/>
      <c r="AN260" s="105"/>
      <c r="AO260" s="105"/>
      <c r="AP260" s="105"/>
      <c r="AQ260" s="105"/>
      <c r="AR260" s="105"/>
    </row>
    <row r="261" spans="1:44" s="49" customFormat="1" ht="49.9" hidden="1" customHeight="1">
      <c r="A261" s="152">
        <f t="shared" ca="1" si="319"/>
        <v>0</v>
      </c>
      <c r="B261" s="153">
        <v>37477</v>
      </c>
      <c r="C261" s="154" t="str">
        <f t="shared" si="320"/>
        <v>37477</v>
      </c>
      <c r="D261" s="154" t="s">
        <v>3579</v>
      </c>
      <c r="E261" s="155" t="s">
        <v>3729</v>
      </c>
      <c r="F261" s="154"/>
      <c r="G261" s="154" t="s">
        <v>1412</v>
      </c>
      <c r="H261" s="152">
        <v>7284.7</v>
      </c>
      <c r="I261" s="152">
        <v>7284.7</v>
      </c>
      <c r="J261" s="156"/>
      <c r="K261" s="156">
        <f>K260</f>
        <v>0</v>
      </c>
      <c r="L261" s="156">
        <f t="shared" si="321"/>
        <v>0</v>
      </c>
      <c r="M261" s="156">
        <f t="shared" si="322"/>
        <v>0</v>
      </c>
      <c r="N261" s="156" t="s">
        <v>92</v>
      </c>
      <c r="O261" s="157" cm="1">
        <f t="array" ref="O261">TRUNC($H261*(1+_xlfn.SWITCH($N261,"BDI 1",$O$6,"BDI 2",$O$7,"BDI 3",$O$8)),2)</f>
        <v>8397.07</v>
      </c>
      <c r="P261" s="157" cm="1">
        <f t="array" ref="P261">TRUNC($I261*(1+_xlfn.SWITCH($N261,"BDI 1",$P$6,"BDI 2",$P$7,"BDI 3",$P$8)),2)</f>
        <v>8397.07</v>
      </c>
      <c r="Q261" s="157">
        <v>0</v>
      </c>
      <c r="R261" s="157">
        <f t="shared" si="323"/>
        <v>0</v>
      </c>
      <c r="S261" s="156">
        <f t="shared" si="324"/>
        <v>0</v>
      </c>
      <c r="T261" s="156">
        <f t="shared" si="325"/>
        <v>0</v>
      </c>
      <c r="U261" s="156">
        <f t="shared" si="326"/>
        <v>0</v>
      </c>
      <c r="V261" s="156">
        <f t="shared" si="327"/>
        <v>0</v>
      </c>
      <c r="W261" s="156">
        <f t="shared" si="314"/>
        <v>0</v>
      </c>
      <c r="X261" s="158">
        <f t="shared" ref="X261" si="445">$S261/ORCAMENTO_VALOR_TOTAL_ND</f>
        <v>0</v>
      </c>
      <c r="Y261" s="158">
        <f t="shared" ref="Y261" si="446">$T261/ORCAMENTO_VALOR_TOTAL_DE</f>
        <v>0</v>
      </c>
      <c r="Z261" s="158" cm="1">
        <f t="array" ref="Z261">_xlfn.SWITCH($N261,"BDI 1",$O$6,"BDI 2",$O$7,"BDI 3",$O$8)</f>
        <v>0.1527</v>
      </c>
      <c r="AA261" s="158" cm="1">
        <f t="array" ref="AA261">_xlfn.SWITCH($N261,"BDI 1",$P$6,"BDI 2",$P$7,"BDI 3",$P$8)</f>
        <v>0.1527</v>
      </c>
      <c r="AB261" s="158">
        <f t="shared" ca="1" si="330"/>
        <v>0</v>
      </c>
      <c r="AC261" s="158">
        <f t="shared" ca="1" si="331"/>
        <v>0</v>
      </c>
      <c r="AD261" s="164"/>
      <c r="AE261" s="148">
        <f t="shared" si="317"/>
        <v>0</v>
      </c>
      <c r="AF261" s="149"/>
      <c r="AG261" s="150"/>
      <c r="AH261" s="159" t="e">
        <f t="shared" si="318"/>
        <v>#DIV/0!</v>
      </c>
      <c r="AI261" s="195"/>
      <c r="AJ261" s="198">
        <v>2.4900000000000002</v>
      </c>
      <c r="AK261" s="199">
        <f t="shared" si="400"/>
        <v>0</v>
      </c>
      <c r="AM261" s="105"/>
      <c r="AN261" s="105"/>
      <c r="AO261" s="105"/>
      <c r="AP261" s="105"/>
      <c r="AQ261" s="105"/>
      <c r="AR261" s="105"/>
    </row>
    <row r="262" spans="1:44" s="49" customFormat="1" ht="40.15" hidden="1" customHeight="1">
      <c r="A262" s="152">
        <f t="shared" ca="1" si="319"/>
        <v>0</v>
      </c>
      <c r="B262" s="153" t="s">
        <v>158</v>
      </c>
      <c r="C262" s="154" t="str">
        <f t="shared" si="320"/>
        <v>DR/0106</v>
      </c>
      <c r="D262" s="154" t="s">
        <v>3549</v>
      </c>
      <c r="E262" s="155" t="s">
        <v>3730</v>
      </c>
      <c r="F262" s="154"/>
      <c r="G262" s="154" t="s">
        <v>58</v>
      </c>
      <c r="H262" s="152">
        <v>311.82</v>
      </c>
      <c r="I262" s="152">
        <v>297.45</v>
      </c>
      <c r="J262" s="156"/>
      <c r="K262" s="156">
        <f>Dre_Disp_Estruturais!AI59</f>
        <v>0</v>
      </c>
      <c r="L262" s="156">
        <f t="shared" si="321"/>
        <v>0</v>
      </c>
      <c r="M262" s="156">
        <f t="shared" si="322"/>
        <v>0</v>
      </c>
      <c r="N262" s="156" t="s">
        <v>83</v>
      </c>
      <c r="O262" s="157" cm="1">
        <f t="array" ref="O262">TRUNC($H262*(1+_xlfn.SWITCH($N262,"BDI 1",$O$6,"BDI 2",$O$7,"BDI 3",$O$8)),2)</f>
        <v>376.36</v>
      </c>
      <c r="P262" s="157" cm="1">
        <f t="array" ref="P262">TRUNC($I262*(1+_xlfn.SWITCH($N262,"BDI 1",$P$6,"BDI 2",$P$7,"BDI 3",$P$8)),2)</f>
        <v>376.98</v>
      </c>
      <c r="Q262" s="157">
        <v>0</v>
      </c>
      <c r="R262" s="157">
        <f t="shared" si="323"/>
        <v>0</v>
      </c>
      <c r="S262" s="156">
        <f t="shared" si="324"/>
        <v>0</v>
      </c>
      <c r="T262" s="156">
        <f t="shared" si="325"/>
        <v>0</v>
      </c>
      <c r="U262" s="156">
        <f t="shared" si="326"/>
        <v>0</v>
      </c>
      <c r="V262" s="156">
        <f t="shared" si="327"/>
        <v>0</v>
      </c>
      <c r="W262" s="156">
        <f t="shared" si="314"/>
        <v>0</v>
      </c>
      <c r="X262" s="158">
        <f t="shared" ref="X262" si="447">$S262/ORCAMENTO_VALOR_TOTAL_ND</f>
        <v>0</v>
      </c>
      <c r="Y262" s="158">
        <f t="shared" ref="Y262" si="448">$T262/ORCAMENTO_VALOR_TOTAL_DE</f>
        <v>0</v>
      </c>
      <c r="Z262" s="158" cm="1">
        <f t="array" ref="Z262">_xlfn.SWITCH($N262,"BDI 1",$O$6,"BDI 2",$O$7,"BDI 3",$O$8)</f>
        <v>0.20699999999999999</v>
      </c>
      <c r="AA262" s="158" cm="1">
        <f t="array" ref="AA262">_xlfn.SWITCH($N262,"BDI 1",$P$6,"BDI 2",$P$7,"BDI 3",$P$8)</f>
        <v>0.26739999999999997</v>
      </c>
      <c r="AB262" s="158">
        <f t="shared" ca="1" si="330"/>
        <v>0</v>
      </c>
      <c r="AC262" s="158">
        <f t="shared" ca="1" si="331"/>
        <v>0</v>
      </c>
      <c r="AD262" s="164"/>
      <c r="AE262" s="148">
        <f t="shared" si="317"/>
        <v>0</v>
      </c>
      <c r="AF262" s="149"/>
      <c r="AG262" s="150"/>
      <c r="AH262" s="159" t="e">
        <f t="shared" si="318"/>
        <v>#DIV/0!</v>
      </c>
      <c r="AI262" s="195"/>
      <c r="AJ262" s="198">
        <v>0</v>
      </c>
      <c r="AK262" s="199" t="e">
        <f t="shared" si="400"/>
        <v>#DIV/0!</v>
      </c>
      <c r="AM262" s="105"/>
      <c r="AN262" s="105"/>
      <c r="AO262" s="105"/>
      <c r="AP262" s="105"/>
      <c r="AQ262" s="105"/>
      <c r="AR262" s="105"/>
    </row>
    <row r="263" spans="1:44" s="49" customFormat="1" ht="49.9" hidden="1" customHeight="1">
      <c r="A263" s="152">
        <f t="shared" ca="1" si="319"/>
        <v>0</v>
      </c>
      <c r="B263" s="153">
        <v>37479</v>
      </c>
      <c r="C263" s="154" t="str">
        <f t="shared" si="320"/>
        <v>37479</v>
      </c>
      <c r="D263" s="154" t="s">
        <v>3579</v>
      </c>
      <c r="E263" s="155" t="s">
        <v>3731</v>
      </c>
      <c r="F263" s="154"/>
      <c r="G263" s="154" t="s">
        <v>1412</v>
      </c>
      <c r="H263" s="152">
        <v>8639.74</v>
      </c>
      <c r="I263" s="152">
        <v>8639.74</v>
      </c>
      <c r="J263" s="156"/>
      <c r="K263" s="156">
        <f>K262</f>
        <v>0</v>
      </c>
      <c r="L263" s="156">
        <f t="shared" si="321"/>
        <v>0</v>
      </c>
      <c r="M263" s="156">
        <f t="shared" si="322"/>
        <v>0</v>
      </c>
      <c r="N263" s="156" t="s">
        <v>92</v>
      </c>
      <c r="O263" s="157" cm="1">
        <f t="array" ref="O263">TRUNC($H263*(1+_xlfn.SWITCH($N263,"BDI 1",$O$6,"BDI 2",$O$7,"BDI 3",$O$8)),2)</f>
        <v>9959.02</v>
      </c>
      <c r="P263" s="157" cm="1">
        <f t="array" ref="P263">TRUNC($I263*(1+_xlfn.SWITCH($N263,"BDI 1",$P$6,"BDI 2",$P$7,"BDI 3",$P$8)),2)</f>
        <v>9959.02</v>
      </c>
      <c r="Q263" s="157">
        <v>0</v>
      </c>
      <c r="R263" s="157">
        <f t="shared" si="323"/>
        <v>0</v>
      </c>
      <c r="S263" s="156">
        <f t="shared" si="324"/>
        <v>0</v>
      </c>
      <c r="T263" s="156">
        <f t="shared" si="325"/>
        <v>0</v>
      </c>
      <c r="U263" s="156">
        <f t="shared" si="326"/>
        <v>0</v>
      </c>
      <c r="V263" s="156">
        <f t="shared" si="327"/>
        <v>0</v>
      </c>
      <c r="W263" s="156">
        <f t="shared" si="314"/>
        <v>0</v>
      </c>
      <c r="X263" s="158">
        <f t="shared" ref="X263" si="449">$S263/ORCAMENTO_VALOR_TOTAL_ND</f>
        <v>0</v>
      </c>
      <c r="Y263" s="158">
        <f t="shared" ref="Y263" si="450">$T263/ORCAMENTO_VALOR_TOTAL_DE</f>
        <v>0</v>
      </c>
      <c r="Z263" s="158" cm="1">
        <f t="array" ref="Z263">_xlfn.SWITCH($N263,"BDI 1",$O$6,"BDI 2",$O$7,"BDI 3",$O$8)</f>
        <v>0.1527</v>
      </c>
      <c r="AA263" s="158" cm="1">
        <f t="array" ref="AA263">_xlfn.SWITCH($N263,"BDI 1",$P$6,"BDI 2",$P$7,"BDI 3",$P$8)</f>
        <v>0.1527</v>
      </c>
      <c r="AB263" s="158">
        <f t="shared" ca="1" si="330"/>
        <v>0</v>
      </c>
      <c r="AC263" s="158">
        <f t="shared" ca="1" si="331"/>
        <v>0</v>
      </c>
      <c r="AD263" s="164"/>
      <c r="AE263" s="148">
        <f t="shared" si="317"/>
        <v>0</v>
      </c>
      <c r="AF263" s="149"/>
      <c r="AG263" s="150"/>
      <c r="AH263" s="159" t="e">
        <f t="shared" si="318"/>
        <v>#DIV/0!</v>
      </c>
      <c r="AI263" s="195"/>
      <c r="AJ263" s="198">
        <v>1.99</v>
      </c>
      <c r="AK263" s="199">
        <f t="shared" si="400"/>
        <v>0</v>
      </c>
      <c r="AM263" s="105"/>
      <c r="AN263" s="105"/>
      <c r="AO263" s="105"/>
      <c r="AP263" s="105"/>
      <c r="AQ263" s="105"/>
      <c r="AR263" s="105"/>
    </row>
    <row r="264" spans="1:44" s="49" customFormat="1" ht="40.15" hidden="1" customHeight="1">
      <c r="A264" s="152">
        <f t="shared" ca="1" si="319"/>
        <v>0</v>
      </c>
      <c r="B264" s="153">
        <v>101014</v>
      </c>
      <c r="C264" s="154" t="str">
        <f t="shared" si="320"/>
        <v>101014</v>
      </c>
      <c r="D264" s="154" t="s">
        <v>1416</v>
      </c>
      <c r="E264" s="155" t="s">
        <v>3732</v>
      </c>
      <c r="F264" s="154"/>
      <c r="G264" s="154" t="s">
        <v>3614</v>
      </c>
      <c r="H264" s="152">
        <v>39.659999999999997</v>
      </c>
      <c r="I264" s="152">
        <v>38.82</v>
      </c>
      <c r="J264" s="156"/>
      <c r="K264" s="156">
        <f>ROUND(K205*0.18,2)</f>
        <v>0</v>
      </c>
      <c r="L264" s="156">
        <f t="shared" si="321"/>
        <v>0</v>
      </c>
      <c r="M264" s="156">
        <f t="shared" si="322"/>
        <v>0</v>
      </c>
      <c r="N264" s="156" t="s">
        <v>83</v>
      </c>
      <c r="O264" s="157" cm="1">
        <f t="array" ref="O264">TRUNC($H264*(1+_xlfn.SWITCH($N264,"BDI 1",$O$6,"BDI 2",$O$7,"BDI 3",$O$8)),2)</f>
        <v>47.86</v>
      </c>
      <c r="P264" s="157" cm="1">
        <f t="array" ref="P264">TRUNC($I264*(1+_xlfn.SWITCH($N264,"BDI 1",$P$6,"BDI 2",$P$7,"BDI 3",$P$8)),2)</f>
        <v>49.2</v>
      </c>
      <c r="Q264" s="157">
        <v>0</v>
      </c>
      <c r="R264" s="157">
        <f t="shared" si="323"/>
        <v>0</v>
      </c>
      <c r="S264" s="156">
        <f t="shared" si="324"/>
        <v>0</v>
      </c>
      <c r="T264" s="156">
        <f t="shared" si="325"/>
        <v>0</v>
      </c>
      <c r="U264" s="156">
        <f t="shared" si="326"/>
        <v>0</v>
      </c>
      <c r="V264" s="156">
        <f t="shared" si="327"/>
        <v>0</v>
      </c>
      <c r="W264" s="156">
        <f t="shared" si="314"/>
        <v>0</v>
      </c>
      <c r="X264" s="158">
        <f t="shared" ref="X264" si="451">$S264/ORCAMENTO_VALOR_TOTAL_ND</f>
        <v>0</v>
      </c>
      <c r="Y264" s="158">
        <f t="shared" ref="Y264" si="452">$T264/ORCAMENTO_VALOR_TOTAL_DE</f>
        <v>0</v>
      </c>
      <c r="Z264" s="158" cm="1">
        <f t="array" ref="Z264">_xlfn.SWITCH($N264,"BDI 1",$O$6,"BDI 2",$O$7,"BDI 3",$O$8)</f>
        <v>0.20699999999999999</v>
      </c>
      <c r="AA264" s="158" cm="1">
        <f t="array" ref="AA264">_xlfn.SWITCH($N264,"BDI 1",$P$6,"BDI 2",$P$7,"BDI 3",$P$8)</f>
        <v>0.26739999999999997</v>
      </c>
      <c r="AB264" s="158">
        <f t="shared" ca="1" si="330"/>
        <v>0</v>
      </c>
      <c r="AC264" s="158">
        <f t="shared" ca="1" si="331"/>
        <v>0</v>
      </c>
      <c r="AD264" s="164"/>
      <c r="AE264" s="148">
        <f t="shared" si="317"/>
        <v>0</v>
      </c>
      <c r="AF264" s="149"/>
      <c r="AG264" s="150"/>
      <c r="AH264" s="159" t="e">
        <v>#DIV/0!</v>
      </c>
      <c r="AI264" s="195" t="s">
        <v>159</v>
      </c>
      <c r="AJ264" s="196"/>
      <c r="AK264" s="197"/>
      <c r="AM264" s="105"/>
      <c r="AN264" s="105"/>
      <c r="AO264" s="105"/>
      <c r="AP264" s="105"/>
      <c r="AQ264" s="105"/>
      <c r="AR264" s="105"/>
    </row>
    <row r="265" spans="1:44" s="49" customFormat="1" ht="40.15" hidden="1" customHeight="1">
      <c r="A265" s="152">
        <f t="shared" ca="1" si="319"/>
        <v>0</v>
      </c>
      <c r="B265" s="153">
        <v>101015</v>
      </c>
      <c r="C265" s="154" t="str">
        <f t="shared" si="320"/>
        <v>101015</v>
      </c>
      <c r="D265" s="154" t="s">
        <v>1416</v>
      </c>
      <c r="E265" s="155" t="s">
        <v>3733</v>
      </c>
      <c r="F265" s="154"/>
      <c r="G265" s="154" t="s">
        <v>3614</v>
      </c>
      <c r="H265" s="152">
        <v>32.590000000000003</v>
      </c>
      <c r="I265" s="152">
        <v>31.88</v>
      </c>
      <c r="J265" s="156"/>
      <c r="K265" s="156"/>
      <c r="L265" s="156">
        <f t="shared" si="321"/>
        <v>0</v>
      </c>
      <c r="M265" s="156">
        <f t="shared" si="322"/>
        <v>0</v>
      </c>
      <c r="N265" s="156" t="s">
        <v>83</v>
      </c>
      <c r="O265" s="157" cm="1">
        <f t="array" ref="O265">TRUNC($H265*(1+_xlfn.SWITCH($N265,"BDI 1",$O$6,"BDI 2",$O$7,"BDI 3",$O$8)),2)</f>
        <v>39.33</v>
      </c>
      <c r="P265" s="157" cm="1">
        <f t="array" ref="P265">TRUNC($I265*(1+_xlfn.SWITCH($N265,"BDI 1",$P$6,"BDI 2",$P$7,"BDI 3",$P$8)),2)</f>
        <v>40.4</v>
      </c>
      <c r="Q265" s="157">
        <v>0</v>
      </c>
      <c r="R265" s="157">
        <f t="shared" si="323"/>
        <v>0</v>
      </c>
      <c r="S265" s="156">
        <f t="shared" si="324"/>
        <v>0</v>
      </c>
      <c r="T265" s="156">
        <f t="shared" si="325"/>
        <v>0</v>
      </c>
      <c r="U265" s="156">
        <f t="shared" si="326"/>
        <v>0</v>
      </c>
      <c r="V265" s="156">
        <f t="shared" si="327"/>
        <v>0</v>
      </c>
      <c r="W265" s="156">
        <f t="shared" si="314"/>
        <v>0</v>
      </c>
      <c r="X265" s="158">
        <f t="shared" ref="X265" si="453">$S265/ORCAMENTO_VALOR_TOTAL_ND</f>
        <v>0</v>
      </c>
      <c r="Y265" s="158">
        <f t="shared" ref="Y265" si="454">$T265/ORCAMENTO_VALOR_TOTAL_DE</f>
        <v>0</v>
      </c>
      <c r="Z265" s="158" cm="1">
        <f t="array" ref="Z265">_xlfn.SWITCH($N265,"BDI 1",$O$6,"BDI 2",$O$7,"BDI 3",$O$8)</f>
        <v>0.20699999999999999</v>
      </c>
      <c r="AA265" s="158" cm="1">
        <f t="array" ref="AA265">_xlfn.SWITCH($N265,"BDI 1",$P$6,"BDI 2",$P$7,"BDI 3",$P$8)</f>
        <v>0.26739999999999997</v>
      </c>
      <c r="AB265" s="158">
        <f t="shared" ca="1" si="330"/>
        <v>0</v>
      </c>
      <c r="AC265" s="158">
        <f t="shared" ca="1" si="331"/>
        <v>0</v>
      </c>
      <c r="AD265" s="164"/>
      <c r="AE265" s="148">
        <f t="shared" si="317"/>
        <v>0</v>
      </c>
      <c r="AF265" s="149"/>
      <c r="AG265" s="150"/>
      <c r="AH265" s="159" t="e">
        <v>#DIV/0!</v>
      </c>
      <c r="AI265" s="195"/>
      <c r="AJ265" s="196"/>
      <c r="AK265" s="197"/>
      <c r="AM265" s="105"/>
      <c r="AN265" s="105"/>
      <c r="AO265" s="105"/>
      <c r="AP265" s="105"/>
      <c r="AQ265" s="105"/>
      <c r="AR265" s="105"/>
    </row>
    <row r="266" spans="1:44" s="49" customFormat="1" ht="40.15" hidden="1" customHeight="1">
      <c r="A266" s="152">
        <f t="shared" ca="1" si="319"/>
        <v>0</v>
      </c>
      <c r="B266" s="153">
        <v>101463</v>
      </c>
      <c r="C266" s="154" t="str">
        <f t="shared" si="320"/>
        <v>101463</v>
      </c>
      <c r="D266" s="154" t="s">
        <v>1416</v>
      </c>
      <c r="E266" s="155" t="s">
        <v>3734</v>
      </c>
      <c r="F266" s="154"/>
      <c r="G266" s="154" t="s">
        <v>3614</v>
      </c>
      <c r="H266" s="152">
        <v>43.42</v>
      </c>
      <c r="I266" s="152">
        <v>42.49</v>
      </c>
      <c r="J266" s="156"/>
      <c r="K266" s="156">
        <f>ROUND(K206*0.325+K207*0.35+K212*(1/1.5)*(373.34/1000),2)</f>
        <v>0</v>
      </c>
      <c r="L266" s="156">
        <f t="shared" si="321"/>
        <v>0</v>
      </c>
      <c r="M266" s="156">
        <f t="shared" si="322"/>
        <v>0</v>
      </c>
      <c r="N266" s="156" t="s">
        <v>83</v>
      </c>
      <c r="O266" s="157" cm="1">
        <f t="array" ref="O266">TRUNC($H266*(1+_xlfn.SWITCH($N266,"BDI 1",$O$6,"BDI 2",$O$7,"BDI 3",$O$8)),2)</f>
        <v>52.4</v>
      </c>
      <c r="P266" s="157" cm="1">
        <f t="array" ref="P266">TRUNC($I266*(1+_xlfn.SWITCH($N266,"BDI 1",$P$6,"BDI 2",$P$7,"BDI 3",$P$8)),2)</f>
        <v>53.85</v>
      </c>
      <c r="Q266" s="157">
        <v>0</v>
      </c>
      <c r="R266" s="157">
        <f t="shared" si="323"/>
        <v>0</v>
      </c>
      <c r="S266" s="156">
        <f t="shared" si="324"/>
        <v>0</v>
      </c>
      <c r="T266" s="156">
        <f t="shared" si="325"/>
        <v>0</v>
      </c>
      <c r="U266" s="156">
        <f t="shared" si="326"/>
        <v>0</v>
      </c>
      <c r="V266" s="156">
        <f t="shared" si="327"/>
        <v>0</v>
      </c>
      <c r="W266" s="156">
        <f t="shared" si="314"/>
        <v>0</v>
      </c>
      <c r="X266" s="158">
        <f t="shared" ref="X266" si="455">$S266/ORCAMENTO_VALOR_TOTAL_ND</f>
        <v>0</v>
      </c>
      <c r="Y266" s="158">
        <f t="shared" ref="Y266" si="456">$T266/ORCAMENTO_VALOR_TOTAL_DE</f>
        <v>0</v>
      </c>
      <c r="Z266" s="158" cm="1">
        <f t="array" ref="Z266">_xlfn.SWITCH($N266,"BDI 1",$O$6,"BDI 2",$O$7,"BDI 3",$O$8)</f>
        <v>0.20699999999999999</v>
      </c>
      <c r="AA266" s="158" cm="1">
        <f t="array" ref="AA266">_xlfn.SWITCH($N266,"BDI 1",$P$6,"BDI 2",$P$7,"BDI 3",$P$8)</f>
        <v>0.26739999999999997</v>
      </c>
      <c r="AB266" s="158">
        <f t="shared" ca="1" si="330"/>
        <v>0</v>
      </c>
      <c r="AC266" s="158">
        <f t="shared" ca="1" si="331"/>
        <v>0</v>
      </c>
      <c r="AD266" s="164"/>
      <c r="AE266" s="148">
        <f t="shared" si="317"/>
        <v>0</v>
      </c>
      <c r="AF266" s="149"/>
      <c r="AG266" s="150"/>
      <c r="AH266" s="159" t="e">
        <v>#DIV/0!</v>
      </c>
      <c r="AI266" s="195"/>
      <c r="AJ266" s="196"/>
      <c r="AK266" s="197"/>
      <c r="AM266" s="105"/>
      <c r="AN266" s="105"/>
      <c r="AO266" s="105"/>
      <c r="AP266" s="105"/>
      <c r="AQ266" s="105"/>
      <c r="AR266" s="105"/>
    </row>
    <row r="267" spans="1:44" s="49" customFormat="1" ht="40.15" hidden="1" customHeight="1">
      <c r="A267" s="152">
        <f t="shared" ca="1" si="319"/>
        <v>0</v>
      </c>
      <c r="B267" s="153">
        <v>101465</v>
      </c>
      <c r="C267" s="154" t="str">
        <f t="shared" si="320"/>
        <v>101465</v>
      </c>
      <c r="D267" s="154" t="s">
        <v>1416</v>
      </c>
      <c r="E267" s="155" t="s">
        <v>3735</v>
      </c>
      <c r="F267" s="154"/>
      <c r="G267" s="154" t="s">
        <v>3614</v>
      </c>
      <c r="H267" s="152">
        <v>25.5</v>
      </c>
      <c r="I267" s="152">
        <v>24.95</v>
      </c>
      <c r="J267" s="156"/>
      <c r="K267" s="156">
        <f>ROUND(K208*(0.63*(1/2))+K213*0.734*(1/1.5),2)</f>
        <v>0</v>
      </c>
      <c r="L267" s="156">
        <f t="shared" si="321"/>
        <v>0</v>
      </c>
      <c r="M267" s="156">
        <f t="shared" si="322"/>
        <v>0</v>
      </c>
      <c r="N267" s="156" t="s">
        <v>83</v>
      </c>
      <c r="O267" s="157" cm="1">
        <f t="array" ref="O267">TRUNC($H267*(1+_xlfn.SWITCH($N267,"BDI 1",$O$6,"BDI 2",$O$7,"BDI 3",$O$8)),2)</f>
        <v>30.77</v>
      </c>
      <c r="P267" s="157" cm="1">
        <f t="array" ref="P267">TRUNC($I267*(1+_xlfn.SWITCH($N267,"BDI 1",$P$6,"BDI 2",$P$7,"BDI 3",$P$8)),2)</f>
        <v>31.62</v>
      </c>
      <c r="Q267" s="157">
        <v>0</v>
      </c>
      <c r="R267" s="157">
        <f t="shared" si="323"/>
        <v>0</v>
      </c>
      <c r="S267" s="156">
        <f t="shared" si="324"/>
        <v>0</v>
      </c>
      <c r="T267" s="156">
        <f t="shared" si="325"/>
        <v>0</v>
      </c>
      <c r="U267" s="156">
        <f t="shared" si="326"/>
        <v>0</v>
      </c>
      <c r="V267" s="156">
        <f t="shared" si="327"/>
        <v>0</v>
      </c>
      <c r="W267" s="156">
        <f t="shared" si="314"/>
        <v>0</v>
      </c>
      <c r="X267" s="158">
        <f t="shared" ref="X267" si="457">$S267/ORCAMENTO_VALOR_TOTAL_ND</f>
        <v>0</v>
      </c>
      <c r="Y267" s="158">
        <f t="shared" ref="Y267" si="458">$T267/ORCAMENTO_VALOR_TOTAL_DE</f>
        <v>0</v>
      </c>
      <c r="Z267" s="158" cm="1">
        <f t="array" ref="Z267">_xlfn.SWITCH($N267,"BDI 1",$O$6,"BDI 2",$O$7,"BDI 3",$O$8)</f>
        <v>0.20699999999999999</v>
      </c>
      <c r="AA267" s="158" cm="1">
        <f t="array" ref="AA267">_xlfn.SWITCH($N267,"BDI 1",$P$6,"BDI 2",$P$7,"BDI 3",$P$8)</f>
        <v>0.26739999999999997</v>
      </c>
      <c r="AB267" s="158">
        <f t="shared" ca="1" si="330"/>
        <v>0</v>
      </c>
      <c r="AC267" s="158">
        <f t="shared" ca="1" si="331"/>
        <v>0</v>
      </c>
      <c r="AD267" s="164"/>
      <c r="AE267" s="148">
        <f t="shared" si="317"/>
        <v>0</v>
      </c>
      <c r="AF267" s="149"/>
      <c r="AG267" s="150"/>
      <c r="AH267" s="159" t="e">
        <v>#DIV/0!</v>
      </c>
      <c r="AI267" s="195"/>
      <c r="AJ267" s="196"/>
      <c r="AK267" s="197"/>
      <c r="AM267" s="105"/>
      <c r="AN267" s="105"/>
      <c r="AO267" s="105"/>
      <c r="AP267" s="105"/>
      <c r="AQ267" s="105"/>
      <c r="AR267" s="105"/>
    </row>
    <row r="268" spans="1:44" s="49" customFormat="1" ht="40.15" hidden="1" customHeight="1">
      <c r="A268" s="152">
        <f t="shared" ca="1" si="319"/>
        <v>0</v>
      </c>
      <c r="B268" s="153">
        <v>101467</v>
      </c>
      <c r="C268" s="154" t="str">
        <f t="shared" si="320"/>
        <v>101467</v>
      </c>
      <c r="D268" s="154" t="s">
        <v>1416</v>
      </c>
      <c r="E268" s="155" t="s">
        <v>3736</v>
      </c>
      <c r="F268" s="154"/>
      <c r="G268" s="154" t="s">
        <v>3614</v>
      </c>
      <c r="H268" s="152">
        <v>17.350000000000001</v>
      </c>
      <c r="I268" s="152">
        <v>16.98</v>
      </c>
      <c r="J268" s="156"/>
      <c r="K268" s="156">
        <f>ROUND(K209*0.65*(1/1.5)+K214*0.8*(1/1.5),2)</f>
        <v>0</v>
      </c>
      <c r="L268" s="156">
        <f t="shared" si="321"/>
        <v>0</v>
      </c>
      <c r="M268" s="156">
        <f t="shared" si="322"/>
        <v>0</v>
      </c>
      <c r="N268" s="156" t="s">
        <v>83</v>
      </c>
      <c r="O268" s="157" cm="1">
        <f t="array" ref="O268">TRUNC($H268*(1+_xlfn.SWITCH($N268,"BDI 1",$O$6,"BDI 2",$O$7,"BDI 3",$O$8)),2)</f>
        <v>20.94</v>
      </c>
      <c r="P268" s="157" cm="1">
        <f t="array" ref="P268">TRUNC($I268*(1+_xlfn.SWITCH($N268,"BDI 1",$P$6,"BDI 2",$P$7,"BDI 3",$P$8)),2)</f>
        <v>21.52</v>
      </c>
      <c r="Q268" s="157">
        <v>0</v>
      </c>
      <c r="R268" s="157">
        <f t="shared" si="323"/>
        <v>0</v>
      </c>
      <c r="S268" s="156">
        <f t="shared" si="324"/>
        <v>0</v>
      </c>
      <c r="T268" s="156">
        <f t="shared" si="325"/>
        <v>0</v>
      </c>
      <c r="U268" s="156">
        <f t="shared" si="326"/>
        <v>0</v>
      </c>
      <c r="V268" s="156">
        <f t="shared" si="327"/>
        <v>0</v>
      </c>
      <c r="W268" s="156">
        <f t="shared" ref="W268:W277" si="459">TRUNC(V268-U268,2)</f>
        <v>0</v>
      </c>
      <c r="X268" s="158">
        <f t="shared" ref="X268" si="460">$S268/ORCAMENTO_VALOR_TOTAL_ND</f>
        <v>0</v>
      </c>
      <c r="Y268" s="158">
        <f t="shared" ref="Y268" si="461">$T268/ORCAMENTO_VALOR_TOTAL_DE</f>
        <v>0</v>
      </c>
      <c r="Z268" s="158" cm="1">
        <f t="array" ref="Z268">_xlfn.SWITCH($N268,"BDI 1",$O$6,"BDI 2",$O$7,"BDI 3",$O$8)</f>
        <v>0.20699999999999999</v>
      </c>
      <c r="AA268" s="158" cm="1">
        <f t="array" ref="AA268">_xlfn.SWITCH($N268,"BDI 1",$P$6,"BDI 2",$P$7,"BDI 3",$P$8)</f>
        <v>0.26739999999999997</v>
      </c>
      <c r="AB268" s="158">
        <f t="shared" ca="1" si="330"/>
        <v>0</v>
      </c>
      <c r="AC268" s="158">
        <f t="shared" ca="1" si="331"/>
        <v>0</v>
      </c>
      <c r="AD268" s="164"/>
      <c r="AE268" s="148">
        <f t="shared" ref="AE268:AE277" si="462">IF(S268&gt;0,IFERROR(TRUNC(A268,0),0),0)</f>
        <v>0</v>
      </c>
      <c r="AF268" s="149"/>
      <c r="AG268" s="150"/>
      <c r="AH268" s="159" t="e">
        <v>#DIV/0!</v>
      </c>
      <c r="AI268" s="195"/>
      <c r="AJ268" s="196"/>
      <c r="AK268" s="197"/>
      <c r="AM268" s="105"/>
      <c r="AN268" s="105"/>
      <c r="AO268" s="105"/>
      <c r="AP268" s="105"/>
      <c r="AQ268" s="105"/>
      <c r="AR268" s="105"/>
    </row>
    <row r="269" spans="1:44" s="49" customFormat="1" ht="40.15" hidden="1" customHeight="1">
      <c r="A269" s="152">
        <f t="shared" ref="A269:A278" ca="1" si="463">IF(K269&gt;0,A268+0.01,A268)</f>
        <v>0</v>
      </c>
      <c r="B269" s="153">
        <v>101468</v>
      </c>
      <c r="C269" s="154" t="str">
        <f t="shared" ref="C269:C277" si="464">TEXT(B269,"0")</f>
        <v>101468</v>
      </c>
      <c r="D269" s="154" t="s">
        <v>1416</v>
      </c>
      <c r="E269" s="155" t="s">
        <v>3737</v>
      </c>
      <c r="F269" s="154"/>
      <c r="G269" s="154" t="s">
        <v>3614</v>
      </c>
      <c r="H269" s="152">
        <v>15.88</v>
      </c>
      <c r="I269" s="152">
        <v>15.54</v>
      </c>
      <c r="J269" s="156"/>
      <c r="K269" s="156">
        <f>ROUND(K215*1.2*(1/1.5)+K216*1.74067*(1/1.5)+K210*1.7*(1/1.5)+K211*2.9*(1/1.5),2)</f>
        <v>0</v>
      </c>
      <c r="L269" s="156">
        <f t="shared" ref="L269:L277" si="465">IF($K269&gt;$J269,$K269-$J269,0)</f>
        <v>0</v>
      </c>
      <c r="M269" s="156">
        <f t="shared" ref="M269:M277" si="466">IF($K269&lt;$J269,$J269-$K269,0)</f>
        <v>0</v>
      </c>
      <c r="N269" s="156" t="s">
        <v>83</v>
      </c>
      <c r="O269" s="157" cm="1">
        <f t="array" ref="O269">TRUNC($H269*(1+_xlfn.SWITCH($N269,"BDI 1",$O$6,"BDI 2",$O$7,"BDI 3",$O$8)),2)</f>
        <v>19.16</v>
      </c>
      <c r="P269" s="157" cm="1">
        <f t="array" ref="P269">TRUNC($I269*(1+_xlfn.SWITCH($N269,"BDI 1",$P$6,"BDI 2",$P$7,"BDI 3",$P$8)),2)</f>
        <v>19.690000000000001</v>
      </c>
      <c r="Q269" s="157">
        <v>0</v>
      </c>
      <c r="R269" s="157">
        <f t="shared" ref="R269:R277" si="467">$Q269-($Q269*LICITACAO_DESCONTO)</f>
        <v>0</v>
      </c>
      <c r="S269" s="156">
        <f t="shared" ref="S269:S277" si="468">TRUNC($K269*$O269,2)</f>
        <v>0</v>
      </c>
      <c r="T269" s="156">
        <f t="shared" ref="T269:T277" si="469">TRUNC($K269*$P269,2)</f>
        <v>0</v>
      </c>
      <c r="U269" s="156">
        <f t="shared" ref="U269:U277" si="470">TRUNC($J269*$R269,2)</f>
        <v>0</v>
      </c>
      <c r="V269" s="156">
        <f t="shared" ref="V269:V277" si="471">TRUNC($K269*$Q269,2)</f>
        <v>0</v>
      </c>
      <c r="W269" s="156">
        <f t="shared" si="459"/>
        <v>0</v>
      </c>
      <c r="X269" s="158">
        <f t="shared" ref="X269" si="472">$S269/ORCAMENTO_VALOR_TOTAL_ND</f>
        <v>0</v>
      </c>
      <c r="Y269" s="158">
        <f t="shared" ref="Y269" si="473">$T269/ORCAMENTO_VALOR_TOTAL_DE</f>
        <v>0</v>
      </c>
      <c r="Z269" s="158" cm="1">
        <f t="array" ref="Z269">_xlfn.SWITCH($N269,"BDI 1",$O$6,"BDI 2",$O$7,"BDI 3",$O$8)</f>
        <v>0.20699999999999999</v>
      </c>
      <c r="AA269" s="158" cm="1">
        <f t="array" ref="AA269">_xlfn.SWITCH($N269,"BDI 1",$P$6,"BDI 2",$P$7,"BDI 3",$P$8)</f>
        <v>0.26739999999999997</v>
      </c>
      <c r="AB269" s="158">
        <f t="shared" ref="AB269:AB277" ca="1" si="474">IFERROR($S269/_xlfn.XLOOKUP($AE269,$B$16:$B$38,$S$16:$S$38),0)</f>
        <v>0</v>
      </c>
      <c r="AC269" s="158">
        <f t="shared" ref="AC269:AC277" ca="1" si="475">IFERROR($T269/_xlfn.XLOOKUP($AE269,$B$16:$B$38,$T$16:$T$38),0)</f>
        <v>0</v>
      </c>
      <c r="AD269" s="164"/>
      <c r="AE269" s="148">
        <f t="shared" si="462"/>
        <v>0</v>
      </c>
      <c r="AF269" s="149"/>
      <c r="AG269" s="150"/>
      <c r="AH269" s="159" t="e">
        <v>#DIV/0!</v>
      </c>
      <c r="AI269" s="195"/>
      <c r="AJ269" s="196"/>
      <c r="AK269" s="197"/>
      <c r="AM269" s="105"/>
      <c r="AN269" s="105"/>
      <c r="AO269" s="105"/>
      <c r="AP269" s="105"/>
      <c r="AQ269" s="105"/>
      <c r="AR269" s="105"/>
    </row>
    <row r="270" spans="1:44" s="49" customFormat="1" ht="50.65" hidden="1" customHeight="1">
      <c r="A270" s="152">
        <f t="shared" ca="1" si="463"/>
        <v>0</v>
      </c>
      <c r="B270" s="153">
        <v>101482</v>
      </c>
      <c r="C270" s="154" t="str">
        <f t="shared" si="464"/>
        <v>101482</v>
      </c>
      <c r="D270" s="154" t="s">
        <v>1416</v>
      </c>
      <c r="E270" s="155" t="s">
        <v>3738</v>
      </c>
      <c r="F270" s="154"/>
      <c r="G270" s="154" t="s">
        <v>3614</v>
      </c>
      <c r="H270" s="152">
        <v>34.31</v>
      </c>
      <c r="I270" s="152">
        <v>33.57</v>
      </c>
      <c r="J270" s="156"/>
      <c r="K270" s="156">
        <f>ROUND(K229*0.0259,2)</f>
        <v>0</v>
      </c>
      <c r="L270" s="156">
        <f t="shared" si="465"/>
        <v>0</v>
      </c>
      <c r="M270" s="156">
        <f t="shared" si="466"/>
        <v>0</v>
      </c>
      <c r="N270" s="156" t="s">
        <v>83</v>
      </c>
      <c r="O270" s="157" cm="1">
        <f t="array" ref="O270">TRUNC($H270*(1+_xlfn.SWITCH($N270,"BDI 1",$O$6,"BDI 2",$O$7,"BDI 3",$O$8)),2)</f>
        <v>41.41</v>
      </c>
      <c r="P270" s="157" cm="1">
        <f t="array" ref="P270">TRUNC($I270*(1+_xlfn.SWITCH($N270,"BDI 1",$P$6,"BDI 2",$P$7,"BDI 3",$P$8)),2)</f>
        <v>42.54</v>
      </c>
      <c r="Q270" s="157">
        <v>0</v>
      </c>
      <c r="R270" s="157">
        <f t="shared" si="467"/>
        <v>0</v>
      </c>
      <c r="S270" s="156">
        <f t="shared" si="468"/>
        <v>0</v>
      </c>
      <c r="T270" s="156">
        <f t="shared" si="469"/>
        <v>0</v>
      </c>
      <c r="U270" s="156">
        <f t="shared" si="470"/>
        <v>0</v>
      </c>
      <c r="V270" s="156">
        <f t="shared" si="471"/>
        <v>0</v>
      </c>
      <c r="W270" s="156">
        <f t="shared" si="459"/>
        <v>0</v>
      </c>
      <c r="X270" s="158">
        <f t="shared" ref="X270" si="476">$S270/ORCAMENTO_VALOR_TOTAL_ND</f>
        <v>0</v>
      </c>
      <c r="Y270" s="158">
        <f t="shared" ref="Y270" si="477">$T270/ORCAMENTO_VALOR_TOTAL_DE</f>
        <v>0</v>
      </c>
      <c r="Z270" s="158" cm="1">
        <f t="array" ref="Z270">_xlfn.SWITCH($N270,"BDI 1",$O$6,"BDI 2",$O$7,"BDI 3",$O$8)</f>
        <v>0.20699999999999999</v>
      </c>
      <c r="AA270" s="158" cm="1">
        <f t="array" ref="AA270">_xlfn.SWITCH($N270,"BDI 1",$P$6,"BDI 2",$P$7,"BDI 3",$P$8)</f>
        <v>0.26739999999999997</v>
      </c>
      <c r="AB270" s="158">
        <f t="shared" ca="1" si="474"/>
        <v>0</v>
      </c>
      <c r="AC270" s="158">
        <f t="shared" ca="1" si="475"/>
        <v>0</v>
      </c>
      <c r="AD270" s="164"/>
      <c r="AE270" s="148">
        <f t="shared" si="462"/>
        <v>0</v>
      </c>
      <c r="AF270" s="149"/>
      <c r="AG270" s="150"/>
      <c r="AH270" s="159" t="e">
        <v>#DIV/0!</v>
      </c>
      <c r="AI270" s="201" t="s">
        <v>160</v>
      </c>
      <c r="AJ270" s="202" t="s">
        <v>161</v>
      </c>
      <c r="AK270" s="167"/>
      <c r="AM270" s="105"/>
      <c r="AN270" s="105"/>
      <c r="AO270" s="105"/>
      <c r="AP270" s="105"/>
      <c r="AQ270" s="105"/>
      <c r="AR270" s="105"/>
    </row>
    <row r="271" spans="1:44" s="49" customFormat="1" ht="40.15" hidden="1" customHeight="1">
      <c r="A271" s="152">
        <f t="shared" ca="1" si="463"/>
        <v>0</v>
      </c>
      <c r="B271" s="153">
        <v>101483</v>
      </c>
      <c r="C271" s="154" t="str">
        <f t="shared" si="464"/>
        <v>101483</v>
      </c>
      <c r="D271" s="154" t="s">
        <v>1416</v>
      </c>
      <c r="E271" s="155" t="s">
        <v>3739</v>
      </c>
      <c r="F271" s="154"/>
      <c r="G271" s="154" t="s">
        <v>3614</v>
      </c>
      <c r="H271" s="152">
        <v>35.61</v>
      </c>
      <c r="I271" s="152">
        <v>34.840000000000003</v>
      </c>
      <c r="J271" s="156"/>
      <c r="K271" s="156">
        <f>ROUND(K230*0.0497,2)</f>
        <v>0</v>
      </c>
      <c r="L271" s="156">
        <f t="shared" si="465"/>
        <v>0</v>
      </c>
      <c r="M271" s="156">
        <f t="shared" si="466"/>
        <v>0</v>
      </c>
      <c r="N271" s="156" t="s">
        <v>83</v>
      </c>
      <c r="O271" s="157" cm="1">
        <f t="array" ref="O271">TRUNC($H271*(1+_xlfn.SWITCH($N271,"BDI 1",$O$6,"BDI 2",$O$7,"BDI 3",$O$8)),2)</f>
        <v>42.98</v>
      </c>
      <c r="P271" s="157" cm="1">
        <f t="array" ref="P271">TRUNC($I271*(1+_xlfn.SWITCH($N271,"BDI 1",$P$6,"BDI 2",$P$7,"BDI 3",$P$8)),2)</f>
        <v>44.15</v>
      </c>
      <c r="Q271" s="157">
        <v>0</v>
      </c>
      <c r="R271" s="157">
        <f t="shared" si="467"/>
        <v>0</v>
      </c>
      <c r="S271" s="156">
        <f t="shared" si="468"/>
        <v>0</v>
      </c>
      <c r="T271" s="156">
        <f t="shared" si="469"/>
        <v>0</v>
      </c>
      <c r="U271" s="156">
        <f t="shared" si="470"/>
        <v>0</v>
      </c>
      <c r="V271" s="156">
        <f t="shared" si="471"/>
        <v>0</v>
      </c>
      <c r="W271" s="156">
        <f t="shared" si="459"/>
        <v>0</v>
      </c>
      <c r="X271" s="158">
        <f t="shared" ref="X271" si="478">$S271/ORCAMENTO_VALOR_TOTAL_ND</f>
        <v>0</v>
      </c>
      <c r="Y271" s="158">
        <f t="shared" ref="Y271" si="479">$T271/ORCAMENTO_VALOR_TOTAL_DE</f>
        <v>0</v>
      </c>
      <c r="Z271" s="158" cm="1">
        <f t="array" ref="Z271">_xlfn.SWITCH($N271,"BDI 1",$O$6,"BDI 2",$O$7,"BDI 3",$O$8)</f>
        <v>0.20699999999999999</v>
      </c>
      <c r="AA271" s="158" cm="1">
        <f t="array" ref="AA271">_xlfn.SWITCH($N271,"BDI 1",$P$6,"BDI 2",$P$7,"BDI 3",$P$8)</f>
        <v>0.26739999999999997</v>
      </c>
      <c r="AB271" s="158">
        <f t="shared" ca="1" si="474"/>
        <v>0</v>
      </c>
      <c r="AC271" s="158">
        <f t="shared" ca="1" si="475"/>
        <v>0</v>
      </c>
      <c r="AD271" s="164"/>
      <c r="AE271" s="148">
        <f t="shared" si="462"/>
        <v>0</v>
      </c>
      <c r="AF271" s="149"/>
      <c r="AG271" s="150"/>
      <c r="AH271" s="159" t="e">
        <v>#DIV/0!</v>
      </c>
      <c r="AI271" s="195"/>
      <c r="AJ271" s="203"/>
      <c r="AK271" s="167"/>
      <c r="AM271" s="105"/>
      <c r="AN271" s="105"/>
      <c r="AO271" s="105"/>
      <c r="AP271" s="105"/>
      <c r="AQ271" s="105"/>
      <c r="AR271" s="105"/>
    </row>
    <row r="272" spans="1:44" s="49" customFormat="1" ht="40.15" hidden="1" customHeight="1">
      <c r="A272" s="152">
        <f t="shared" ca="1" si="463"/>
        <v>0</v>
      </c>
      <c r="B272" s="153">
        <v>101484</v>
      </c>
      <c r="C272" s="154" t="str">
        <f t="shared" si="464"/>
        <v>101484</v>
      </c>
      <c r="D272" s="154" t="s">
        <v>1416</v>
      </c>
      <c r="E272" s="155" t="s">
        <v>3740</v>
      </c>
      <c r="F272" s="154"/>
      <c r="G272" s="154" t="s">
        <v>3614</v>
      </c>
      <c r="H272" s="152">
        <v>184.54</v>
      </c>
      <c r="I272" s="152">
        <v>180.58</v>
      </c>
      <c r="J272" s="156"/>
      <c r="K272" s="156">
        <f>ROUND(K231*0.0182,2)</f>
        <v>0</v>
      </c>
      <c r="L272" s="156">
        <f t="shared" si="465"/>
        <v>0</v>
      </c>
      <c r="M272" s="156">
        <f t="shared" si="466"/>
        <v>0</v>
      </c>
      <c r="N272" s="156" t="s">
        <v>83</v>
      </c>
      <c r="O272" s="157" cm="1">
        <f t="array" ref="O272">TRUNC($H272*(1+_xlfn.SWITCH($N272,"BDI 1",$O$6,"BDI 2",$O$7,"BDI 3",$O$8)),2)</f>
        <v>222.73</v>
      </c>
      <c r="P272" s="157" cm="1">
        <f t="array" ref="P272">TRUNC($I272*(1+_xlfn.SWITCH($N272,"BDI 1",$P$6,"BDI 2",$P$7,"BDI 3",$P$8)),2)</f>
        <v>228.86</v>
      </c>
      <c r="Q272" s="157">
        <v>0</v>
      </c>
      <c r="R272" s="157">
        <f t="shared" si="467"/>
        <v>0</v>
      </c>
      <c r="S272" s="156">
        <f t="shared" si="468"/>
        <v>0</v>
      </c>
      <c r="T272" s="156">
        <f t="shared" si="469"/>
        <v>0</v>
      </c>
      <c r="U272" s="156">
        <f t="shared" si="470"/>
        <v>0</v>
      </c>
      <c r="V272" s="156">
        <f t="shared" si="471"/>
        <v>0</v>
      </c>
      <c r="W272" s="156">
        <f t="shared" si="459"/>
        <v>0</v>
      </c>
      <c r="X272" s="158">
        <f t="shared" ref="X272" si="480">$S272/ORCAMENTO_VALOR_TOTAL_ND</f>
        <v>0</v>
      </c>
      <c r="Y272" s="158">
        <f t="shared" ref="Y272" si="481">$T272/ORCAMENTO_VALOR_TOTAL_DE</f>
        <v>0</v>
      </c>
      <c r="Z272" s="158" cm="1">
        <f t="array" ref="Z272">_xlfn.SWITCH($N272,"BDI 1",$O$6,"BDI 2",$O$7,"BDI 3",$O$8)</f>
        <v>0.20699999999999999</v>
      </c>
      <c r="AA272" s="158" cm="1">
        <f t="array" ref="AA272">_xlfn.SWITCH($N272,"BDI 1",$P$6,"BDI 2",$P$7,"BDI 3",$P$8)</f>
        <v>0.26739999999999997</v>
      </c>
      <c r="AB272" s="158">
        <f t="shared" ca="1" si="474"/>
        <v>0</v>
      </c>
      <c r="AC272" s="158">
        <f t="shared" ca="1" si="475"/>
        <v>0</v>
      </c>
      <c r="AD272" s="164"/>
      <c r="AE272" s="148">
        <f t="shared" si="462"/>
        <v>0</v>
      </c>
      <c r="AF272" s="149"/>
      <c r="AG272" s="150"/>
      <c r="AH272" s="159" t="e">
        <v>#DIV/0!</v>
      </c>
      <c r="AI272" s="195"/>
      <c r="AJ272" s="203"/>
      <c r="AK272" s="167"/>
      <c r="AM272" s="105"/>
      <c r="AN272" s="105"/>
      <c r="AO272" s="105"/>
      <c r="AP272" s="105"/>
      <c r="AQ272" s="105"/>
      <c r="AR272" s="105"/>
    </row>
    <row r="273" spans="1:44" s="49" customFormat="1" ht="40.15" hidden="1" customHeight="1">
      <c r="A273" s="152">
        <f t="shared" ca="1" si="463"/>
        <v>0</v>
      </c>
      <c r="B273" s="153">
        <v>101485</v>
      </c>
      <c r="C273" s="154" t="str">
        <f t="shared" si="464"/>
        <v>101485</v>
      </c>
      <c r="D273" s="154" t="s">
        <v>1416</v>
      </c>
      <c r="E273" s="155" t="s">
        <v>3741</v>
      </c>
      <c r="F273" s="154"/>
      <c r="G273" s="154" t="s">
        <v>3614</v>
      </c>
      <c r="H273" s="152">
        <v>141.65</v>
      </c>
      <c r="I273" s="152">
        <v>138.61000000000001</v>
      </c>
      <c r="J273" s="156"/>
      <c r="K273" s="156">
        <f>ROUND(K232*0.025,2)</f>
        <v>0</v>
      </c>
      <c r="L273" s="156">
        <f t="shared" si="465"/>
        <v>0</v>
      </c>
      <c r="M273" s="156">
        <f t="shared" si="466"/>
        <v>0</v>
      </c>
      <c r="N273" s="156" t="s">
        <v>83</v>
      </c>
      <c r="O273" s="157" cm="1">
        <f t="array" ref="O273">TRUNC($H273*(1+_xlfn.SWITCH($N273,"BDI 1",$O$6,"BDI 2",$O$7,"BDI 3",$O$8)),2)</f>
        <v>170.97</v>
      </c>
      <c r="P273" s="157" cm="1">
        <f t="array" ref="P273">TRUNC($I273*(1+_xlfn.SWITCH($N273,"BDI 1",$P$6,"BDI 2",$P$7,"BDI 3",$P$8)),2)</f>
        <v>175.67</v>
      </c>
      <c r="Q273" s="157">
        <v>0</v>
      </c>
      <c r="R273" s="157">
        <f t="shared" si="467"/>
        <v>0</v>
      </c>
      <c r="S273" s="156">
        <f t="shared" si="468"/>
        <v>0</v>
      </c>
      <c r="T273" s="156">
        <f t="shared" si="469"/>
        <v>0</v>
      </c>
      <c r="U273" s="156">
        <f t="shared" si="470"/>
        <v>0</v>
      </c>
      <c r="V273" s="156">
        <f t="shared" si="471"/>
        <v>0</v>
      </c>
      <c r="W273" s="156">
        <f t="shared" si="459"/>
        <v>0</v>
      </c>
      <c r="X273" s="158">
        <f t="shared" ref="X273" si="482">$S273/ORCAMENTO_VALOR_TOTAL_ND</f>
        <v>0</v>
      </c>
      <c r="Y273" s="158">
        <f t="shared" ref="Y273" si="483">$T273/ORCAMENTO_VALOR_TOTAL_DE</f>
        <v>0</v>
      </c>
      <c r="Z273" s="158" cm="1">
        <f t="array" ref="Z273">_xlfn.SWITCH($N273,"BDI 1",$O$6,"BDI 2",$O$7,"BDI 3",$O$8)</f>
        <v>0.20699999999999999</v>
      </c>
      <c r="AA273" s="158" cm="1">
        <f t="array" ref="AA273">_xlfn.SWITCH($N273,"BDI 1",$P$6,"BDI 2",$P$7,"BDI 3",$P$8)</f>
        <v>0.26739999999999997</v>
      </c>
      <c r="AB273" s="158">
        <f t="shared" ca="1" si="474"/>
        <v>0</v>
      </c>
      <c r="AC273" s="158">
        <f t="shared" ca="1" si="475"/>
        <v>0</v>
      </c>
      <c r="AD273" s="164"/>
      <c r="AE273" s="148">
        <f t="shared" si="462"/>
        <v>0</v>
      </c>
      <c r="AF273" s="149"/>
      <c r="AG273" s="150"/>
      <c r="AH273" s="159" t="e">
        <v>#DIV/0!</v>
      </c>
      <c r="AI273" s="195"/>
      <c r="AJ273" s="203"/>
      <c r="AK273" s="167"/>
      <c r="AM273" s="105"/>
      <c r="AN273" s="105"/>
      <c r="AO273" s="105"/>
      <c r="AP273" s="105"/>
      <c r="AQ273" s="105"/>
      <c r="AR273" s="105"/>
    </row>
    <row r="274" spans="1:44" s="49" customFormat="1" ht="40.15" hidden="1" customHeight="1">
      <c r="A274" s="152">
        <f t="shared" ca="1" si="463"/>
        <v>0</v>
      </c>
      <c r="B274" s="153">
        <v>101475</v>
      </c>
      <c r="C274" s="154" t="str">
        <f t="shared" si="464"/>
        <v>101475</v>
      </c>
      <c r="D274" s="154" t="s">
        <v>1416</v>
      </c>
      <c r="E274" s="155" t="s">
        <v>3742</v>
      </c>
      <c r="F274" s="154"/>
      <c r="G274" s="154" t="s">
        <v>3614</v>
      </c>
      <c r="H274" s="152">
        <v>17.21</v>
      </c>
      <c r="I274" s="152">
        <v>16.84</v>
      </c>
      <c r="J274" s="156"/>
      <c r="K274" s="156">
        <f>ROUND(K233*0.19/6,2)</f>
        <v>0</v>
      </c>
      <c r="L274" s="156">
        <f t="shared" si="465"/>
        <v>0</v>
      </c>
      <c r="M274" s="156">
        <f t="shared" si="466"/>
        <v>0</v>
      </c>
      <c r="N274" s="156" t="s">
        <v>83</v>
      </c>
      <c r="O274" s="157" cm="1">
        <f t="array" ref="O274">TRUNC($H274*(1+_xlfn.SWITCH($N274,"BDI 1",$O$6,"BDI 2",$O$7,"BDI 3",$O$8)),2)</f>
        <v>20.77</v>
      </c>
      <c r="P274" s="157" cm="1">
        <f t="array" ref="P274">TRUNC($I274*(1+_xlfn.SWITCH($N274,"BDI 1",$P$6,"BDI 2",$P$7,"BDI 3",$P$8)),2)</f>
        <v>21.34</v>
      </c>
      <c r="Q274" s="157">
        <v>0</v>
      </c>
      <c r="R274" s="157">
        <f t="shared" si="467"/>
        <v>0</v>
      </c>
      <c r="S274" s="156">
        <f t="shared" si="468"/>
        <v>0</v>
      </c>
      <c r="T274" s="156">
        <f t="shared" si="469"/>
        <v>0</v>
      </c>
      <c r="U274" s="156">
        <f t="shared" si="470"/>
        <v>0</v>
      </c>
      <c r="V274" s="156">
        <f t="shared" si="471"/>
        <v>0</v>
      </c>
      <c r="W274" s="156">
        <f t="shared" si="459"/>
        <v>0</v>
      </c>
      <c r="X274" s="158">
        <f t="shared" ref="X274" si="484">$S274/ORCAMENTO_VALOR_TOTAL_ND</f>
        <v>0</v>
      </c>
      <c r="Y274" s="158">
        <f t="shared" ref="Y274" si="485">$T274/ORCAMENTO_VALOR_TOTAL_DE</f>
        <v>0</v>
      </c>
      <c r="Z274" s="158" cm="1">
        <f t="array" ref="Z274">_xlfn.SWITCH($N274,"BDI 1",$O$6,"BDI 2",$O$7,"BDI 3",$O$8)</f>
        <v>0.20699999999999999</v>
      </c>
      <c r="AA274" s="158" cm="1">
        <f t="array" ref="AA274">_xlfn.SWITCH($N274,"BDI 1",$P$6,"BDI 2",$P$7,"BDI 3",$P$8)</f>
        <v>0.26739999999999997</v>
      </c>
      <c r="AB274" s="158">
        <f t="shared" ca="1" si="474"/>
        <v>0</v>
      </c>
      <c r="AC274" s="158">
        <f t="shared" ca="1" si="475"/>
        <v>0</v>
      </c>
      <c r="AD274" s="164"/>
      <c r="AE274" s="148">
        <f t="shared" si="462"/>
        <v>0</v>
      </c>
      <c r="AF274" s="149"/>
      <c r="AG274" s="150"/>
      <c r="AH274" s="159" t="e">
        <v>#DIV/0!</v>
      </c>
      <c r="AI274" s="195"/>
      <c r="AJ274" s="203"/>
      <c r="AK274" s="167"/>
      <c r="AM274" s="105"/>
      <c r="AN274" s="105"/>
      <c r="AO274" s="105"/>
      <c r="AP274" s="105"/>
      <c r="AQ274" s="105"/>
      <c r="AR274" s="105"/>
    </row>
    <row r="275" spans="1:44" s="49" customFormat="1" ht="40.15" hidden="1" customHeight="1">
      <c r="A275" s="152">
        <f t="shared" ca="1" si="463"/>
        <v>0</v>
      </c>
      <c r="B275" s="153">
        <v>101486</v>
      </c>
      <c r="C275" s="154" t="str">
        <f t="shared" si="464"/>
        <v>101486</v>
      </c>
      <c r="D275" s="154" t="s">
        <v>1416</v>
      </c>
      <c r="E275" s="155" t="s">
        <v>3743</v>
      </c>
      <c r="F275" s="154"/>
      <c r="G275" s="154" t="s">
        <v>3614</v>
      </c>
      <c r="H275" s="152">
        <v>127.6</v>
      </c>
      <c r="I275" s="152">
        <v>124.86</v>
      </c>
      <c r="J275" s="156"/>
      <c r="K275" s="156">
        <f>ROUND(K234*0.0305,2)</f>
        <v>0</v>
      </c>
      <c r="L275" s="156">
        <f t="shared" si="465"/>
        <v>0</v>
      </c>
      <c r="M275" s="156">
        <f t="shared" si="466"/>
        <v>0</v>
      </c>
      <c r="N275" s="156" t="s">
        <v>83</v>
      </c>
      <c r="O275" s="157" cm="1">
        <f t="array" ref="O275">TRUNC($H275*(1+_xlfn.SWITCH($N275,"BDI 1",$O$6,"BDI 2",$O$7,"BDI 3",$O$8)),2)</f>
        <v>154.01</v>
      </c>
      <c r="P275" s="157" cm="1">
        <f t="array" ref="P275">TRUNC($I275*(1+_xlfn.SWITCH($N275,"BDI 1",$P$6,"BDI 2",$P$7,"BDI 3",$P$8)),2)</f>
        <v>158.24</v>
      </c>
      <c r="Q275" s="157">
        <v>0</v>
      </c>
      <c r="R275" s="157">
        <f t="shared" si="467"/>
        <v>0</v>
      </c>
      <c r="S275" s="156">
        <f t="shared" si="468"/>
        <v>0</v>
      </c>
      <c r="T275" s="156">
        <f t="shared" si="469"/>
        <v>0</v>
      </c>
      <c r="U275" s="156">
        <f t="shared" si="470"/>
        <v>0</v>
      </c>
      <c r="V275" s="156">
        <f t="shared" si="471"/>
        <v>0</v>
      </c>
      <c r="W275" s="156">
        <f t="shared" si="459"/>
        <v>0</v>
      </c>
      <c r="X275" s="158">
        <f t="shared" ref="X275" si="486">$S275/ORCAMENTO_VALOR_TOTAL_ND</f>
        <v>0</v>
      </c>
      <c r="Y275" s="158">
        <f t="shared" ref="Y275" si="487">$T275/ORCAMENTO_VALOR_TOTAL_DE</f>
        <v>0</v>
      </c>
      <c r="Z275" s="158" cm="1">
        <f t="array" ref="Z275">_xlfn.SWITCH($N275,"BDI 1",$O$6,"BDI 2",$O$7,"BDI 3",$O$8)</f>
        <v>0.20699999999999999</v>
      </c>
      <c r="AA275" s="158" cm="1">
        <f t="array" ref="AA275">_xlfn.SWITCH($N275,"BDI 1",$P$6,"BDI 2",$P$7,"BDI 3",$P$8)</f>
        <v>0.26739999999999997</v>
      </c>
      <c r="AB275" s="158">
        <f t="shared" ca="1" si="474"/>
        <v>0</v>
      </c>
      <c r="AC275" s="158">
        <f t="shared" ca="1" si="475"/>
        <v>0</v>
      </c>
      <c r="AD275" s="164"/>
      <c r="AE275" s="148">
        <f t="shared" si="462"/>
        <v>0</v>
      </c>
      <c r="AF275" s="149"/>
      <c r="AG275" s="150"/>
      <c r="AH275" s="159" t="e">
        <v>#DIV/0!</v>
      </c>
      <c r="AI275" s="195"/>
      <c r="AJ275" s="203"/>
      <c r="AK275" s="167"/>
      <c r="AM275" s="105"/>
      <c r="AN275" s="105"/>
      <c r="AO275" s="105"/>
      <c r="AP275" s="105"/>
      <c r="AQ275" s="105"/>
      <c r="AR275" s="105"/>
    </row>
    <row r="276" spans="1:44" s="49" customFormat="1" ht="40.15" hidden="1" customHeight="1">
      <c r="A276" s="152">
        <f t="shared" ca="1" si="463"/>
        <v>0</v>
      </c>
      <c r="B276" s="153">
        <v>101487</v>
      </c>
      <c r="C276" s="154" t="str">
        <f t="shared" si="464"/>
        <v>101487</v>
      </c>
      <c r="D276" s="154" t="s">
        <v>1416</v>
      </c>
      <c r="E276" s="155" t="s">
        <v>3744</v>
      </c>
      <c r="F276" s="154"/>
      <c r="G276" s="154" t="s">
        <v>3614</v>
      </c>
      <c r="H276" s="152">
        <v>93.43</v>
      </c>
      <c r="I276" s="152">
        <v>91.42</v>
      </c>
      <c r="J276" s="156"/>
      <c r="K276" s="156">
        <f>ROUND(K235*0.0417,2)</f>
        <v>0</v>
      </c>
      <c r="L276" s="156">
        <f t="shared" si="465"/>
        <v>0</v>
      </c>
      <c r="M276" s="156">
        <f t="shared" si="466"/>
        <v>0</v>
      </c>
      <c r="N276" s="156" t="s">
        <v>83</v>
      </c>
      <c r="O276" s="157" cm="1">
        <f t="array" ref="O276">TRUNC($H276*(1+_xlfn.SWITCH($N276,"BDI 1",$O$6,"BDI 2",$O$7,"BDI 3",$O$8)),2)</f>
        <v>112.77</v>
      </c>
      <c r="P276" s="157" cm="1">
        <f t="array" ref="P276">TRUNC($I276*(1+_xlfn.SWITCH($N276,"BDI 1",$P$6,"BDI 2",$P$7,"BDI 3",$P$8)),2)</f>
        <v>115.86</v>
      </c>
      <c r="Q276" s="157">
        <v>0</v>
      </c>
      <c r="R276" s="157">
        <f t="shared" si="467"/>
        <v>0</v>
      </c>
      <c r="S276" s="156">
        <f t="shared" si="468"/>
        <v>0</v>
      </c>
      <c r="T276" s="156">
        <f t="shared" si="469"/>
        <v>0</v>
      </c>
      <c r="U276" s="156">
        <f t="shared" si="470"/>
        <v>0</v>
      </c>
      <c r="V276" s="156">
        <f t="shared" si="471"/>
        <v>0</v>
      </c>
      <c r="W276" s="156">
        <f t="shared" si="459"/>
        <v>0</v>
      </c>
      <c r="X276" s="158">
        <f t="shared" ref="X276" si="488">$S276/ORCAMENTO_VALOR_TOTAL_ND</f>
        <v>0</v>
      </c>
      <c r="Y276" s="158">
        <f t="shared" ref="Y276" si="489">$T276/ORCAMENTO_VALOR_TOTAL_DE</f>
        <v>0</v>
      </c>
      <c r="Z276" s="158" cm="1">
        <f t="array" ref="Z276">_xlfn.SWITCH($N276,"BDI 1",$O$6,"BDI 2",$O$7,"BDI 3",$O$8)</f>
        <v>0.20699999999999999</v>
      </c>
      <c r="AA276" s="158" cm="1">
        <f t="array" ref="AA276">_xlfn.SWITCH($N276,"BDI 1",$P$6,"BDI 2",$P$7,"BDI 3",$P$8)</f>
        <v>0.26739999999999997</v>
      </c>
      <c r="AB276" s="158">
        <f t="shared" ca="1" si="474"/>
        <v>0</v>
      </c>
      <c r="AC276" s="158">
        <f t="shared" ca="1" si="475"/>
        <v>0</v>
      </c>
      <c r="AD276" s="164"/>
      <c r="AE276" s="148">
        <f t="shared" si="462"/>
        <v>0</v>
      </c>
      <c r="AF276" s="149"/>
      <c r="AG276" s="150"/>
      <c r="AH276" s="159" t="e">
        <v>#DIV/0!</v>
      </c>
      <c r="AI276" s="195"/>
      <c r="AJ276" s="203"/>
      <c r="AK276" s="167"/>
      <c r="AM276" s="105"/>
      <c r="AN276" s="105"/>
      <c r="AO276" s="105"/>
      <c r="AP276" s="105"/>
      <c r="AQ276" s="105"/>
      <c r="AR276" s="105"/>
    </row>
    <row r="277" spans="1:44" s="49" customFormat="1" ht="40.15" hidden="1" customHeight="1">
      <c r="A277" s="152">
        <f t="shared" ca="1" si="463"/>
        <v>0</v>
      </c>
      <c r="B277" s="153">
        <v>101488</v>
      </c>
      <c r="C277" s="154" t="str">
        <f t="shared" si="464"/>
        <v>101488</v>
      </c>
      <c r="D277" s="154" t="s">
        <v>1416</v>
      </c>
      <c r="E277" s="155" t="s">
        <v>3745</v>
      </c>
      <c r="F277" s="154"/>
      <c r="G277" s="154" t="s">
        <v>3614</v>
      </c>
      <c r="H277" s="152">
        <v>80.84</v>
      </c>
      <c r="I277" s="152">
        <v>79.099999999999994</v>
      </c>
      <c r="J277" s="156"/>
      <c r="K277" s="156">
        <f>ROUND(K236*0.0513+K237*0.405/6,2)</f>
        <v>0</v>
      </c>
      <c r="L277" s="156">
        <f t="shared" si="465"/>
        <v>0</v>
      </c>
      <c r="M277" s="156">
        <f t="shared" si="466"/>
        <v>0</v>
      </c>
      <c r="N277" s="156" t="s">
        <v>83</v>
      </c>
      <c r="O277" s="157" cm="1">
        <f t="array" ref="O277">TRUNC($H277*(1+_xlfn.SWITCH($N277,"BDI 1",$O$6,"BDI 2",$O$7,"BDI 3",$O$8)),2)</f>
        <v>97.57</v>
      </c>
      <c r="P277" s="157" cm="1">
        <f t="array" ref="P277">TRUNC($I277*(1+_xlfn.SWITCH($N277,"BDI 1",$P$6,"BDI 2",$P$7,"BDI 3",$P$8)),2)</f>
        <v>100.25</v>
      </c>
      <c r="Q277" s="157">
        <v>0</v>
      </c>
      <c r="R277" s="157">
        <f t="shared" si="467"/>
        <v>0</v>
      </c>
      <c r="S277" s="156">
        <f t="shared" si="468"/>
        <v>0</v>
      </c>
      <c r="T277" s="156">
        <f t="shared" si="469"/>
        <v>0</v>
      </c>
      <c r="U277" s="156">
        <f t="shared" si="470"/>
        <v>0</v>
      </c>
      <c r="V277" s="156">
        <f t="shared" si="471"/>
        <v>0</v>
      </c>
      <c r="W277" s="156">
        <f t="shared" si="459"/>
        <v>0</v>
      </c>
      <c r="X277" s="158">
        <f t="shared" ref="X277" si="490">$S277/ORCAMENTO_VALOR_TOTAL_ND</f>
        <v>0</v>
      </c>
      <c r="Y277" s="158">
        <f t="shared" ref="Y277" si="491">$T277/ORCAMENTO_VALOR_TOTAL_DE</f>
        <v>0</v>
      </c>
      <c r="Z277" s="158" cm="1">
        <f t="array" ref="Z277">_xlfn.SWITCH($N277,"BDI 1",$O$6,"BDI 2",$O$7,"BDI 3",$O$8)</f>
        <v>0.20699999999999999</v>
      </c>
      <c r="AA277" s="158" cm="1">
        <f t="array" ref="AA277">_xlfn.SWITCH($N277,"BDI 1",$P$6,"BDI 2",$P$7,"BDI 3",$P$8)</f>
        <v>0.26739999999999997</v>
      </c>
      <c r="AB277" s="158">
        <f t="shared" ca="1" si="474"/>
        <v>0</v>
      </c>
      <c r="AC277" s="158">
        <f t="shared" ca="1" si="475"/>
        <v>0</v>
      </c>
      <c r="AD277" s="164"/>
      <c r="AE277" s="148">
        <f t="shared" si="462"/>
        <v>0</v>
      </c>
      <c r="AF277" s="149"/>
      <c r="AG277" s="150"/>
      <c r="AH277" s="159" t="e">
        <v>#DIV/0!</v>
      </c>
      <c r="AI277" s="195"/>
      <c r="AJ277" s="203"/>
      <c r="AK277" s="167"/>
      <c r="AM277" s="105"/>
      <c r="AN277" s="105"/>
      <c r="AO277" s="105"/>
      <c r="AP277" s="105"/>
      <c r="AQ277" s="105"/>
      <c r="AR277" s="105"/>
    </row>
    <row r="278" spans="1:44" s="49" customFormat="1" ht="40.15" hidden="1" customHeight="1">
      <c r="A278" s="10">
        <f t="shared" ca="1" si="463"/>
        <v>0</v>
      </c>
      <c r="B278" s="153"/>
      <c r="C278" s="154"/>
      <c r="D278" s="154"/>
      <c r="E278" s="155"/>
      <c r="F278" s="154"/>
      <c r="G278" s="154"/>
      <c r="H278" s="154"/>
      <c r="I278" s="154"/>
      <c r="J278" s="154"/>
      <c r="K278" s="154"/>
      <c r="L278" s="154"/>
      <c r="M278" s="154"/>
      <c r="N278" s="154"/>
      <c r="O278" s="157"/>
      <c r="P278" s="157"/>
      <c r="Q278" s="157"/>
      <c r="R278" s="157"/>
      <c r="S278" s="162"/>
      <c r="T278" s="162"/>
      <c r="U278" s="162"/>
      <c r="V278" s="162"/>
      <c r="W278" s="162"/>
      <c r="X278" s="163"/>
      <c r="Y278" s="163"/>
      <c r="Z278" s="163"/>
      <c r="AA278" s="163"/>
      <c r="AB278" s="163"/>
      <c r="AC278" s="163"/>
      <c r="AD278" s="164"/>
      <c r="AE278" s="148">
        <f>IF(S279&gt;0,IFERROR(TRUNC(A279,0),0),0)</f>
        <v>0</v>
      </c>
      <c r="AF278" s="149"/>
      <c r="AG278" s="150"/>
      <c r="AH278" s="159"/>
      <c r="AI278" s="185"/>
      <c r="AJ278" s="105"/>
      <c r="AK278" s="105"/>
      <c r="AM278" s="105"/>
      <c r="AN278" s="105"/>
      <c r="AO278" s="105"/>
      <c r="AP278" s="105"/>
      <c r="AQ278" s="105"/>
      <c r="AR278" s="105"/>
    </row>
    <row r="279" spans="1:44" s="105" customFormat="1" ht="40.15" hidden="1" customHeight="1">
      <c r="A279" s="186">
        <f ca="1">$B$21</f>
        <v>0</v>
      </c>
      <c r="B279" s="170"/>
      <c r="C279" s="171"/>
      <c r="D279" s="172"/>
      <c r="E279" s="173" t="str">
        <f>$D$21</f>
        <v>MICRODRENAGEM - DISPOSITIVOS AUXILIARES</v>
      </c>
      <c r="F279" s="174">
        <v>0</v>
      </c>
      <c r="G279" s="175"/>
      <c r="H279" s="176" t="s">
        <v>141</v>
      </c>
      <c r="I279" s="176" t="s">
        <v>141</v>
      </c>
      <c r="J279" s="177"/>
      <c r="K279" s="177"/>
      <c r="L279" s="177"/>
      <c r="M279" s="177"/>
      <c r="N279" s="177"/>
      <c r="O279" s="178" t="str">
        <f ca="1">CONCATENATE("SUB-TOTAL ",$A279)</f>
        <v>SUB-TOTAL 0</v>
      </c>
      <c r="P279" s="178" t="e" cm="1">
        <f t="array" ref="P279">TRUNC($I279*(1+_xlfn.SWITCH($N279,"BDI 1",$P$6,"BDI 2",$P$7,"BDI 3",$P$8)),2)</f>
        <v>#VALUE!</v>
      </c>
      <c r="Q279" s="178" t="str">
        <f ca="1">CONCATENATE("SUB-TOTAL ",$A279)</f>
        <v>SUB-TOTAL 0</v>
      </c>
      <c r="R279" s="178"/>
      <c r="S279" s="179">
        <f>SUM(S280:S329)</f>
        <v>0</v>
      </c>
      <c r="T279" s="179">
        <f>SUM(T280:T329)</f>
        <v>0</v>
      </c>
      <c r="U279" s="179">
        <f>SUM(U280:U329)</f>
        <v>0</v>
      </c>
      <c r="V279" s="179">
        <f>SUM(V280:V329)</f>
        <v>0</v>
      </c>
      <c r="W279" s="179">
        <f t="shared" ref="W279:W323" si="492">TRUNC(V279-U279,2)</f>
        <v>0</v>
      </c>
      <c r="X279" s="180">
        <f t="shared" ref="X279" si="493">$S279/ORCAMENTO_VALOR_TOTAL_ND</f>
        <v>0</v>
      </c>
      <c r="Y279" s="180">
        <f t="shared" ref="Y279" si="494">$T279/ORCAMENTO_VALOR_TOTAL_DE</f>
        <v>0</v>
      </c>
      <c r="Z279" s="180"/>
      <c r="AA279" s="180"/>
      <c r="AB279" s="180">
        <f>IFERROR($S279/$S279,0)</f>
        <v>0</v>
      </c>
      <c r="AC279" s="180">
        <f>IFERROR($T279/$T279,0)</f>
        <v>0</v>
      </c>
      <c r="AD279" s="147"/>
      <c r="AE279" s="148">
        <f t="shared" ref="AE279:AE323" si="495">IF(S279&gt;0,IFERROR(TRUNC(A279,0),0),0)</f>
        <v>0</v>
      </c>
      <c r="AF279" s="149"/>
      <c r="AG279" s="150"/>
      <c r="AH279" s="151" t="e">
        <f t="shared" ref="AH279:AH323" si="496">S279/S$204</f>
        <v>#DIV/0!</v>
      </c>
      <c r="AI279" s="160"/>
      <c r="AJ279" s="181" t="s">
        <v>105</v>
      </c>
      <c r="AK279" s="181" t="s">
        <v>106</v>
      </c>
    </row>
    <row r="280" spans="1:44" s="49" customFormat="1" ht="49.9" hidden="1" customHeight="1">
      <c r="A280" s="152">
        <f t="shared" ref="A280:A330" ca="1" si="497">IF(K280&gt;0,A279+0.01,A279)</f>
        <v>0</v>
      </c>
      <c r="B280" s="153" t="s">
        <v>162</v>
      </c>
      <c r="C280" s="154" t="str">
        <f t="shared" ref="C280:C323" si="498">TEXT(B280,"0")</f>
        <v>DR/0166</v>
      </c>
      <c r="D280" s="154" t="s">
        <v>3549</v>
      </c>
      <c r="E280" s="155" t="s">
        <v>3746</v>
      </c>
      <c r="F280" s="154"/>
      <c r="G280" s="154" t="s">
        <v>1412</v>
      </c>
      <c r="H280" s="152">
        <v>4379.01</v>
      </c>
      <c r="I280" s="152">
        <v>4170.59</v>
      </c>
      <c r="J280" s="156"/>
      <c r="K280" s="156">
        <f>Dre_Disp_Estruturais!AI60</f>
        <v>0</v>
      </c>
      <c r="L280" s="156">
        <f t="shared" ref="L280:L323" si="499">IF($K280&gt;$J280,$K280-$J280,0)</f>
        <v>0</v>
      </c>
      <c r="M280" s="156">
        <f t="shared" ref="M280:M323" si="500">IF($K280&lt;$J280,$J280-$K280,0)</f>
        <v>0</v>
      </c>
      <c r="N280" s="156" t="s">
        <v>83</v>
      </c>
      <c r="O280" s="157" cm="1">
        <f t="array" ref="O280">TRUNC($H280*(1+_xlfn.SWITCH($N280,"BDI 1",$O$6,"BDI 2",$O$7,"BDI 3",$O$8)),2)</f>
        <v>5285.46</v>
      </c>
      <c r="P280" s="157" cm="1">
        <f t="array" ref="P280">TRUNC($I280*(1+_xlfn.SWITCH($N280,"BDI 1",$P$6,"BDI 2",$P$7,"BDI 3",$P$8)),2)</f>
        <v>5285.8</v>
      </c>
      <c r="Q280" s="157">
        <v>0</v>
      </c>
      <c r="R280" s="157">
        <f t="shared" ref="R280:R323" si="501">$Q280-($Q280*LICITACAO_DESCONTO)</f>
        <v>0</v>
      </c>
      <c r="S280" s="156">
        <f t="shared" ref="S280:S323" si="502">TRUNC($K280*$O280,2)</f>
        <v>0</v>
      </c>
      <c r="T280" s="156">
        <f t="shared" ref="T280:T323" si="503">TRUNC($K280*$P280,2)</f>
        <v>0</v>
      </c>
      <c r="U280" s="156">
        <f t="shared" ref="U280:U323" si="504">TRUNC($J280*$R280,2)</f>
        <v>0</v>
      </c>
      <c r="V280" s="156">
        <f t="shared" ref="V280:V323" si="505">TRUNC($K280*$Q280,2)</f>
        <v>0</v>
      </c>
      <c r="W280" s="156">
        <f t="shared" si="492"/>
        <v>0</v>
      </c>
      <c r="X280" s="158">
        <f t="shared" ref="X280" si="506">$S280/ORCAMENTO_VALOR_TOTAL_ND</f>
        <v>0</v>
      </c>
      <c r="Y280" s="158">
        <f t="shared" ref="Y280" si="507">$T280/ORCAMENTO_VALOR_TOTAL_DE</f>
        <v>0</v>
      </c>
      <c r="Z280" s="158" cm="1">
        <f t="array" ref="Z280">_xlfn.SWITCH($N280,"BDI 1",$O$6,"BDI 2",$O$7,"BDI 3",$O$8)</f>
        <v>0.20699999999999999</v>
      </c>
      <c r="AA280" s="158" cm="1">
        <f t="array" ref="AA280">_xlfn.SWITCH($N280,"BDI 1",$P$6,"BDI 2",$P$7,"BDI 3",$P$8)</f>
        <v>0.26739999999999997</v>
      </c>
      <c r="AB280" s="158">
        <f t="shared" ref="AB280:AB323" ca="1" si="508">IFERROR($S280/_xlfn.XLOOKUP($AE280,$B$16:$B$38,$S$16:$S$38),0)</f>
        <v>0</v>
      </c>
      <c r="AC280" s="158">
        <f t="shared" ref="AC280:AC323" ca="1" si="509">IFERROR($T280/_xlfn.XLOOKUP($AE280,$B$16:$B$38,$T$16:$T$38),0)</f>
        <v>0</v>
      </c>
      <c r="AD280" s="164"/>
      <c r="AE280" s="148">
        <f t="shared" si="495"/>
        <v>0</v>
      </c>
      <c r="AF280" s="149"/>
      <c r="AG280" s="150"/>
      <c r="AH280" s="159" t="e">
        <f t="shared" si="496"/>
        <v>#DIV/0!</v>
      </c>
      <c r="AI280" s="160"/>
      <c r="AJ280" s="204"/>
      <c r="AK280" s="199">
        <f t="shared" ref="AK280:AK306" si="510">AJ280*K280</f>
        <v>0</v>
      </c>
      <c r="AM280" s="105"/>
      <c r="AN280" s="105"/>
      <c r="AO280" s="105"/>
      <c r="AP280" s="105"/>
      <c r="AQ280" s="105"/>
      <c r="AR280" s="105"/>
    </row>
    <row r="281" spans="1:44" s="49" customFormat="1" ht="49.9" hidden="1" customHeight="1">
      <c r="A281" s="152">
        <f t="shared" ca="1" si="497"/>
        <v>0</v>
      </c>
      <c r="B281" s="153" t="s">
        <v>163</v>
      </c>
      <c r="C281" s="154" t="str">
        <f t="shared" si="498"/>
        <v>DR/0136</v>
      </c>
      <c r="D281" s="154" t="s">
        <v>3549</v>
      </c>
      <c r="E281" s="155" t="s">
        <v>3747</v>
      </c>
      <c r="F281" s="154"/>
      <c r="G281" s="154" t="s">
        <v>1412</v>
      </c>
      <c r="H281" s="152">
        <v>9161.61</v>
      </c>
      <c r="I281" s="152">
        <v>8779.23</v>
      </c>
      <c r="J281" s="156"/>
      <c r="K281" s="156">
        <f>Dre_Disp_Estruturais!AI61</f>
        <v>0</v>
      </c>
      <c r="L281" s="156">
        <f t="shared" si="499"/>
        <v>0</v>
      </c>
      <c r="M281" s="156">
        <f t="shared" si="500"/>
        <v>0</v>
      </c>
      <c r="N281" s="156" t="s">
        <v>83</v>
      </c>
      <c r="O281" s="157" cm="1">
        <f t="array" ref="O281">TRUNC($H281*(1+_xlfn.SWITCH($N281,"BDI 1",$O$6,"BDI 2",$O$7,"BDI 3",$O$8)),2)</f>
        <v>11058.06</v>
      </c>
      <c r="P281" s="157" cm="1">
        <f t="array" ref="P281">TRUNC($I281*(1+_xlfn.SWITCH($N281,"BDI 1",$P$6,"BDI 2",$P$7,"BDI 3",$P$8)),2)</f>
        <v>11126.79</v>
      </c>
      <c r="Q281" s="157">
        <v>0</v>
      </c>
      <c r="R281" s="157">
        <f t="shared" si="501"/>
        <v>0</v>
      </c>
      <c r="S281" s="156">
        <f t="shared" si="502"/>
        <v>0</v>
      </c>
      <c r="T281" s="156">
        <f t="shared" si="503"/>
        <v>0</v>
      </c>
      <c r="U281" s="156">
        <f t="shared" si="504"/>
        <v>0</v>
      </c>
      <c r="V281" s="156">
        <f t="shared" si="505"/>
        <v>0</v>
      </c>
      <c r="W281" s="156">
        <f t="shared" si="492"/>
        <v>0</v>
      </c>
      <c r="X281" s="158">
        <f t="shared" ref="X281" si="511">$S281/ORCAMENTO_VALOR_TOTAL_ND</f>
        <v>0</v>
      </c>
      <c r="Y281" s="158">
        <f t="shared" ref="Y281" si="512">$T281/ORCAMENTO_VALOR_TOTAL_DE</f>
        <v>0</v>
      </c>
      <c r="Z281" s="158" cm="1">
        <f t="array" ref="Z281">_xlfn.SWITCH($N281,"BDI 1",$O$6,"BDI 2",$O$7,"BDI 3",$O$8)</f>
        <v>0.20699999999999999</v>
      </c>
      <c r="AA281" s="158" cm="1">
        <f t="array" ref="AA281">_xlfn.SWITCH($N281,"BDI 1",$P$6,"BDI 2",$P$7,"BDI 3",$P$8)</f>
        <v>0.26739999999999997</v>
      </c>
      <c r="AB281" s="158">
        <f t="shared" ca="1" si="508"/>
        <v>0</v>
      </c>
      <c r="AC281" s="158">
        <f t="shared" ca="1" si="509"/>
        <v>0</v>
      </c>
      <c r="AD281" s="164"/>
      <c r="AE281" s="148">
        <f t="shared" si="495"/>
        <v>0</v>
      </c>
      <c r="AF281" s="149"/>
      <c r="AG281" s="150"/>
      <c r="AH281" s="159" t="e">
        <f t="shared" si="496"/>
        <v>#DIV/0!</v>
      </c>
      <c r="AI281" s="160"/>
      <c r="AJ281" s="204">
        <v>0</v>
      </c>
      <c r="AK281" s="199">
        <f t="shared" si="510"/>
        <v>0</v>
      </c>
      <c r="AM281" s="105"/>
      <c r="AN281" s="105"/>
      <c r="AO281" s="105"/>
      <c r="AP281" s="105"/>
      <c r="AQ281" s="105"/>
      <c r="AR281" s="105"/>
    </row>
    <row r="282" spans="1:44" s="49" customFormat="1" ht="49.9" hidden="1" customHeight="1">
      <c r="A282" s="152">
        <f t="shared" ca="1" si="497"/>
        <v>0</v>
      </c>
      <c r="B282" s="153" t="s">
        <v>164</v>
      </c>
      <c r="C282" s="154" t="str">
        <f t="shared" si="498"/>
        <v>DR/0141</v>
      </c>
      <c r="D282" s="154" t="s">
        <v>3549</v>
      </c>
      <c r="E282" s="155" t="s">
        <v>3748</v>
      </c>
      <c r="F282" s="154"/>
      <c r="G282" s="154" t="s">
        <v>1412</v>
      </c>
      <c r="H282" s="152">
        <v>13854.39</v>
      </c>
      <c r="I282" s="152">
        <v>13305.09</v>
      </c>
      <c r="J282" s="156"/>
      <c r="K282" s="156">
        <f>Dre_Disp_Estruturais!AI62</f>
        <v>0</v>
      </c>
      <c r="L282" s="156">
        <f t="shared" si="499"/>
        <v>0</v>
      </c>
      <c r="M282" s="156">
        <f t="shared" si="500"/>
        <v>0</v>
      </c>
      <c r="N282" s="156" t="s">
        <v>83</v>
      </c>
      <c r="O282" s="157" cm="1">
        <f t="array" ref="O282">TRUNC($H282*(1+_xlfn.SWITCH($N282,"BDI 1",$O$6,"BDI 2",$O$7,"BDI 3",$O$8)),2)</f>
        <v>16722.240000000002</v>
      </c>
      <c r="P282" s="157" cm="1">
        <f t="array" ref="P282">TRUNC($I282*(1+_xlfn.SWITCH($N282,"BDI 1",$P$6,"BDI 2",$P$7,"BDI 3",$P$8)),2)</f>
        <v>16862.87</v>
      </c>
      <c r="Q282" s="157">
        <v>0</v>
      </c>
      <c r="R282" s="157">
        <f t="shared" si="501"/>
        <v>0</v>
      </c>
      <c r="S282" s="156">
        <f t="shared" si="502"/>
        <v>0</v>
      </c>
      <c r="T282" s="156">
        <f t="shared" si="503"/>
        <v>0</v>
      </c>
      <c r="U282" s="156">
        <f t="shared" si="504"/>
        <v>0</v>
      </c>
      <c r="V282" s="156">
        <f t="shared" si="505"/>
        <v>0</v>
      </c>
      <c r="W282" s="156">
        <f t="shared" si="492"/>
        <v>0</v>
      </c>
      <c r="X282" s="158">
        <f t="shared" ref="X282" si="513">$S282/ORCAMENTO_VALOR_TOTAL_ND</f>
        <v>0</v>
      </c>
      <c r="Y282" s="158">
        <f t="shared" ref="Y282" si="514">$T282/ORCAMENTO_VALOR_TOTAL_DE</f>
        <v>0</v>
      </c>
      <c r="Z282" s="158" cm="1">
        <f t="array" ref="Z282">_xlfn.SWITCH($N282,"BDI 1",$O$6,"BDI 2",$O$7,"BDI 3",$O$8)</f>
        <v>0.20699999999999999</v>
      </c>
      <c r="AA282" s="158" cm="1">
        <f t="array" ref="AA282">_xlfn.SWITCH($N282,"BDI 1",$P$6,"BDI 2",$P$7,"BDI 3",$P$8)</f>
        <v>0.26739999999999997</v>
      </c>
      <c r="AB282" s="158">
        <f t="shared" ca="1" si="508"/>
        <v>0</v>
      </c>
      <c r="AC282" s="158">
        <f t="shared" ca="1" si="509"/>
        <v>0</v>
      </c>
      <c r="AD282" s="164"/>
      <c r="AE282" s="148">
        <f t="shared" si="495"/>
        <v>0</v>
      </c>
      <c r="AF282" s="149"/>
      <c r="AG282" s="150"/>
      <c r="AH282" s="159" t="e">
        <f t="shared" si="496"/>
        <v>#DIV/0!</v>
      </c>
      <c r="AI282" s="160"/>
      <c r="AJ282" s="204">
        <v>0</v>
      </c>
      <c r="AK282" s="199">
        <f t="shared" si="510"/>
        <v>0</v>
      </c>
      <c r="AM282" s="105"/>
      <c r="AN282" s="105"/>
      <c r="AO282" s="105"/>
      <c r="AP282" s="105"/>
      <c r="AQ282" s="105"/>
      <c r="AR282" s="105"/>
    </row>
    <row r="283" spans="1:44" s="49" customFormat="1" ht="49.9" hidden="1" customHeight="1">
      <c r="A283" s="152">
        <f t="shared" ca="1" si="497"/>
        <v>0</v>
      </c>
      <c r="B283" s="153" t="s">
        <v>165</v>
      </c>
      <c r="C283" s="154" t="str">
        <f t="shared" si="498"/>
        <v>DR/0146</v>
      </c>
      <c r="D283" s="154" t="s">
        <v>3549</v>
      </c>
      <c r="E283" s="155" t="s">
        <v>3749</v>
      </c>
      <c r="F283" s="154"/>
      <c r="G283" s="154" t="s">
        <v>1412</v>
      </c>
      <c r="H283" s="152">
        <v>16482.009999999998</v>
      </c>
      <c r="I283" s="152">
        <v>15905.74</v>
      </c>
      <c r="J283" s="156"/>
      <c r="K283" s="156">
        <f>Dre_Disp_Estruturais!AI63</f>
        <v>0</v>
      </c>
      <c r="L283" s="156">
        <f t="shared" si="499"/>
        <v>0</v>
      </c>
      <c r="M283" s="156">
        <f t="shared" si="500"/>
        <v>0</v>
      </c>
      <c r="N283" s="156" t="s">
        <v>83</v>
      </c>
      <c r="O283" s="157" cm="1">
        <f t="array" ref="O283">TRUNC($H283*(1+_xlfn.SWITCH($N283,"BDI 1",$O$6,"BDI 2",$O$7,"BDI 3",$O$8)),2)</f>
        <v>19893.78</v>
      </c>
      <c r="P283" s="157" cm="1">
        <f t="array" ref="P283">TRUNC($I283*(1+_xlfn.SWITCH($N283,"BDI 1",$P$6,"BDI 2",$P$7,"BDI 3",$P$8)),2)</f>
        <v>20158.93</v>
      </c>
      <c r="Q283" s="157">
        <v>0</v>
      </c>
      <c r="R283" s="157">
        <f t="shared" si="501"/>
        <v>0</v>
      </c>
      <c r="S283" s="156">
        <f t="shared" si="502"/>
        <v>0</v>
      </c>
      <c r="T283" s="156">
        <f t="shared" si="503"/>
        <v>0</v>
      </c>
      <c r="U283" s="156">
        <f t="shared" si="504"/>
        <v>0</v>
      </c>
      <c r="V283" s="156">
        <f t="shared" si="505"/>
        <v>0</v>
      </c>
      <c r="W283" s="156">
        <f t="shared" si="492"/>
        <v>0</v>
      </c>
      <c r="X283" s="158">
        <f t="shared" ref="X283" si="515">$S283/ORCAMENTO_VALOR_TOTAL_ND</f>
        <v>0</v>
      </c>
      <c r="Y283" s="158">
        <f t="shared" ref="Y283" si="516">$T283/ORCAMENTO_VALOR_TOTAL_DE</f>
        <v>0</v>
      </c>
      <c r="Z283" s="158" cm="1">
        <f t="array" ref="Z283">_xlfn.SWITCH($N283,"BDI 1",$O$6,"BDI 2",$O$7,"BDI 3",$O$8)</f>
        <v>0.20699999999999999</v>
      </c>
      <c r="AA283" s="158" cm="1">
        <f t="array" ref="AA283">_xlfn.SWITCH($N283,"BDI 1",$P$6,"BDI 2",$P$7,"BDI 3",$P$8)</f>
        <v>0.26739999999999997</v>
      </c>
      <c r="AB283" s="158">
        <f t="shared" ca="1" si="508"/>
        <v>0</v>
      </c>
      <c r="AC283" s="158">
        <f t="shared" ca="1" si="509"/>
        <v>0</v>
      </c>
      <c r="AD283" s="164"/>
      <c r="AE283" s="148">
        <f t="shared" si="495"/>
        <v>0</v>
      </c>
      <c r="AF283" s="149"/>
      <c r="AG283" s="150"/>
      <c r="AH283" s="159" t="e">
        <f t="shared" si="496"/>
        <v>#DIV/0!</v>
      </c>
      <c r="AI283" s="160"/>
      <c r="AJ283" s="204">
        <v>0</v>
      </c>
      <c r="AK283" s="199">
        <f t="shared" si="510"/>
        <v>0</v>
      </c>
      <c r="AM283" s="105"/>
      <c r="AN283" s="105"/>
      <c r="AO283" s="105"/>
      <c r="AP283" s="105"/>
      <c r="AQ283" s="105"/>
      <c r="AR283" s="105"/>
    </row>
    <row r="284" spans="1:44" s="49" customFormat="1" ht="49.9" hidden="1" customHeight="1">
      <c r="A284" s="152">
        <f t="shared" ca="1" si="497"/>
        <v>0</v>
      </c>
      <c r="B284" s="153" t="s">
        <v>166</v>
      </c>
      <c r="C284" s="154" t="str">
        <f t="shared" si="498"/>
        <v>DR/0151</v>
      </c>
      <c r="D284" s="154" t="s">
        <v>3549</v>
      </c>
      <c r="E284" s="155" t="s">
        <v>3750</v>
      </c>
      <c r="F284" s="154"/>
      <c r="G284" s="154" t="s">
        <v>1412</v>
      </c>
      <c r="H284" s="152">
        <v>23433.38</v>
      </c>
      <c r="I284" s="152">
        <v>22495.34</v>
      </c>
      <c r="J284" s="156"/>
      <c r="K284" s="156">
        <f>Dre_Disp_Estruturais!AI64</f>
        <v>0</v>
      </c>
      <c r="L284" s="156">
        <f t="shared" si="499"/>
        <v>0</v>
      </c>
      <c r="M284" s="156">
        <f t="shared" si="500"/>
        <v>0</v>
      </c>
      <c r="N284" s="156" t="s">
        <v>83</v>
      </c>
      <c r="O284" s="157" cm="1">
        <f t="array" ref="O284">TRUNC($H284*(1+_xlfn.SWITCH($N284,"BDI 1",$O$6,"BDI 2",$O$7,"BDI 3",$O$8)),2)</f>
        <v>28284.080000000002</v>
      </c>
      <c r="P284" s="157" cm="1">
        <f t="array" ref="P284">TRUNC($I284*(1+_xlfn.SWITCH($N284,"BDI 1",$P$6,"BDI 2",$P$7,"BDI 3",$P$8)),2)</f>
        <v>28510.59</v>
      </c>
      <c r="Q284" s="157">
        <v>0</v>
      </c>
      <c r="R284" s="157">
        <f t="shared" si="501"/>
        <v>0</v>
      </c>
      <c r="S284" s="156">
        <f t="shared" si="502"/>
        <v>0</v>
      </c>
      <c r="T284" s="156">
        <f t="shared" si="503"/>
        <v>0</v>
      </c>
      <c r="U284" s="156">
        <f t="shared" si="504"/>
        <v>0</v>
      </c>
      <c r="V284" s="156">
        <f t="shared" si="505"/>
        <v>0</v>
      </c>
      <c r="W284" s="156">
        <f t="shared" si="492"/>
        <v>0</v>
      </c>
      <c r="X284" s="158">
        <f t="shared" ref="X284" si="517">$S284/ORCAMENTO_VALOR_TOTAL_ND</f>
        <v>0</v>
      </c>
      <c r="Y284" s="158">
        <f t="shared" ref="Y284" si="518">$T284/ORCAMENTO_VALOR_TOTAL_DE</f>
        <v>0</v>
      </c>
      <c r="Z284" s="158" cm="1">
        <f t="array" ref="Z284">_xlfn.SWITCH($N284,"BDI 1",$O$6,"BDI 2",$O$7,"BDI 3",$O$8)</f>
        <v>0.20699999999999999</v>
      </c>
      <c r="AA284" s="158" cm="1">
        <f t="array" ref="AA284">_xlfn.SWITCH($N284,"BDI 1",$P$6,"BDI 2",$P$7,"BDI 3",$P$8)</f>
        <v>0.26739999999999997</v>
      </c>
      <c r="AB284" s="158">
        <f t="shared" ca="1" si="508"/>
        <v>0</v>
      </c>
      <c r="AC284" s="158">
        <f t="shared" ca="1" si="509"/>
        <v>0</v>
      </c>
      <c r="AD284" s="164"/>
      <c r="AE284" s="148">
        <f t="shared" si="495"/>
        <v>0</v>
      </c>
      <c r="AF284" s="149"/>
      <c r="AG284" s="150"/>
      <c r="AH284" s="159" t="e">
        <f t="shared" si="496"/>
        <v>#DIV/0!</v>
      </c>
      <c r="AI284" s="160"/>
      <c r="AJ284" s="204">
        <v>0</v>
      </c>
      <c r="AK284" s="199">
        <f t="shared" si="510"/>
        <v>0</v>
      </c>
      <c r="AM284" s="105"/>
      <c r="AN284" s="105"/>
      <c r="AO284" s="105"/>
      <c r="AP284" s="105"/>
      <c r="AQ284" s="105"/>
      <c r="AR284" s="105"/>
    </row>
    <row r="285" spans="1:44" s="49" customFormat="1" ht="49.9" hidden="1" customHeight="1">
      <c r="A285" s="152">
        <f t="shared" ca="1" si="497"/>
        <v>0</v>
      </c>
      <c r="B285" s="153" t="s">
        <v>167</v>
      </c>
      <c r="C285" s="154" t="str">
        <f t="shared" si="498"/>
        <v>DR/0156</v>
      </c>
      <c r="D285" s="154" t="s">
        <v>3549</v>
      </c>
      <c r="E285" s="155" t="s">
        <v>3751</v>
      </c>
      <c r="F285" s="154"/>
      <c r="G285" s="154" t="s">
        <v>1412</v>
      </c>
      <c r="H285" s="152">
        <v>31903.13</v>
      </c>
      <c r="I285" s="152">
        <v>30546.69</v>
      </c>
      <c r="J285" s="156"/>
      <c r="K285" s="156">
        <f>Dre_Disp_Estruturais!AI65</f>
        <v>0</v>
      </c>
      <c r="L285" s="156">
        <f t="shared" si="499"/>
        <v>0</v>
      </c>
      <c r="M285" s="156">
        <f t="shared" si="500"/>
        <v>0</v>
      </c>
      <c r="N285" s="156" t="s">
        <v>83</v>
      </c>
      <c r="O285" s="157" cm="1">
        <f t="array" ref="O285">TRUNC($H285*(1+_xlfn.SWITCH($N285,"BDI 1",$O$6,"BDI 2",$O$7,"BDI 3",$O$8)),2)</f>
        <v>38507.07</v>
      </c>
      <c r="P285" s="157" cm="1">
        <f t="array" ref="P285">TRUNC($I285*(1+_xlfn.SWITCH($N285,"BDI 1",$P$6,"BDI 2",$P$7,"BDI 3",$P$8)),2)</f>
        <v>38714.870000000003</v>
      </c>
      <c r="Q285" s="157">
        <v>0</v>
      </c>
      <c r="R285" s="157">
        <f t="shared" si="501"/>
        <v>0</v>
      </c>
      <c r="S285" s="156">
        <f t="shared" si="502"/>
        <v>0</v>
      </c>
      <c r="T285" s="156">
        <f t="shared" si="503"/>
        <v>0</v>
      </c>
      <c r="U285" s="156">
        <f t="shared" si="504"/>
        <v>0</v>
      </c>
      <c r="V285" s="156">
        <f t="shared" si="505"/>
        <v>0</v>
      </c>
      <c r="W285" s="156">
        <f t="shared" si="492"/>
        <v>0</v>
      </c>
      <c r="X285" s="158">
        <f t="shared" ref="X285" si="519">$S285/ORCAMENTO_VALOR_TOTAL_ND</f>
        <v>0</v>
      </c>
      <c r="Y285" s="158">
        <f t="shared" ref="Y285" si="520">$T285/ORCAMENTO_VALOR_TOTAL_DE</f>
        <v>0</v>
      </c>
      <c r="Z285" s="158" cm="1">
        <f t="array" ref="Z285">_xlfn.SWITCH($N285,"BDI 1",$O$6,"BDI 2",$O$7,"BDI 3",$O$8)</f>
        <v>0.20699999999999999</v>
      </c>
      <c r="AA285" s="158" cm="1">
        <f t="array" ref="AA285">_xlfn.SWITCH($N285,"BDI 1",$P$6,"BDI 2",$P$7,"BDI 3",$P$8)</f>
        <v>0.26739999999999997</v>
      </c>
      <c r="AB285" s="158">
        <f t="shared" ca="1" si="508"/>
        <v>0</v>
      </c>
      <c r="AC285" s="158">
        <f t="shared" ca="1" si="509"/>
        <v>0</v>
      </c>
      <c r="AD285" s="164"/>
      <c r="AE285" s="148">
        <f t="shared" si="495"/>
        <v>0</v>
      </c>
      <c r="AF285" s="149"/>
      <c r="AG285" s="150"/>
      <c r="AH285" s="159" t="e">
        <f t="shared" si="496"/>
        <v>#DIV/0!</v>
      </c>
      <c r="AI285" s="160"/>
      <c r="AJ285" s="204">
        <v>0</v>
      </c>
      <c r="AK285" s="199">
        <f t="shared" si="510"/>
        <v>0</v>
      </c>
      <c r="AM285" s="105"/>
      <c r="AN285" s="105"/>
      <c r="AO285" s="105"/>
      <c r="AP285" s="105"/>
      <c r="AQ285" s="105"/>
      <c r="AR285" s="105"/>
    </row>
    <row r="286" spans="1:44" s="49" customFormat="1" ht="49.9" hidden="1" customHeight="1">
      <c r="A286" s="152">
        <f t="shared" ca="1" si="497"/>
        <v>0</v>
      </c>
      <c r="B286" s="153" t="s">
        <v>168</v>
      </c>
      <c r="C286" s="154" t="str">
        <f t="shared" si="498"/>
        <v>DR/0161</v>
      </c>
      <c r="D286" s="154" t="s">
        <v>3549</v>
      </c>
      <c r="E286" s="155" t="s">
        <v>3752</v>
      </c>
      <c r="F286" s="154"/>
      <c r="G286" s="154" t="s">
        <v>1412</v>
      </c>
      <c r="H286" s="152">
        <v>38297.839999999997</v>
      </c>
      <c r="I286" s="152">
        <v>36709.89</v>
      </c>
      <c r="J286" s="156"/>
      <c r="K286" s="156">
        <f>Dre_Disp_Estruturais!AI66</f>
        <v>0</v>
      </c>
      <c r="L286" s="156">
        <f t="shared" si="499"/>
        <v>0</v>
      </c>
      <c r="M286" s="156">
        <f t="shared" si="500"/>
        <v>0</v>
      </c>
      <c r="N286" s="156" t="s">
        <v>83</v>
      </c>
      <c r="O286" s="157" cm="1">
        <f t="array" ref="O286">TRUNC($H286*(1+_xlfn.SWITCH($N286,"BDI 1",$O$6,"BDI 2",$O$7,"BDI 3",$O$8)),2)</f>
        <v>46225.49</v>
      </c>
      <c r="P286" s="157" cm="1">
        <f t="array" ref="P286">TRUNC($I286*(1+_xlfn.SWITCH($N286,"BDI 1",$P$6,"BDI 2",$P$7,"BDI 3",$P$8)),2)</f>
        <v>46526.11</v>
      </c>
      <c r="Q286" s="157">
        <v>0</v>
      </c>
      <c r="R286" s="157">
        <f t="shared" si="501"/>
        <v>0</v>
      </c>
      <c r="S286" s="156">
        <f t="shared" si="502"/>
        <v>0</v>
      </c>
      <c r="T286" s="156">
        <f t="shared" si="503"/>
        <v>0</v>
      </c>
      <c r="U286" s="156">
        <f t="shared" si="504"/>
        <v>0</v>
      </c>
      <c r="V286" s="156">
        <f t="shared" si="505"/>
        <v>0</v>
      </c>
      <c r="W286" s="156">
        <f t="shared" si="492"/>
        <v>0</v>
      </c>
      <c r="X286" s="158">
        <f t="shared" ref="X286" si="521">$S286/ORCAMENTO_VALOR_TOTAL_ND</f>
        <v>0</v>
      </c>
      <c r="Y286" s="158">
        <f t="shared" ref="Y286" si="522">$T286/ORCAMENTO_VALOR_TOTAL_DE</f>
        <v>0</v>
      </c>
      <c r="Z286" s="158" cm="1">
        <f t="array" ref="Z286">_xlfn.SWITCH($N286,"BDI 1",$O$6,"BDI 2",$O$7,"BDI 3",$O$8)</f>
        <v>0.20699999999999999</v>
      </c>
      <c r="AA286" s="158" cm="1">
        <f t="array" ref="AA286">_xlfn.SWITCH($N286,"BDI 1",$P$6,"BDI 2",$P$7,"BDI 3",$P$8)</f>
        <v>0.26739999999999997</v>
      </c>
      <c r="AB286" s="158">
        <f t="shared" ca="1" si="508"/>
        <v>0</v>
      </c>
      <c r="AC286" s="158">
        <f t="shared" ca="1" si="509"/>
        <v>0</v>
      </c>
      <c r="AD286" s="164"/>
      <c r="AE286" s="148">
        <f t="shared" si="495"/>
        <v>0</v>
      </c>
      <c r="AF286" s="149"/>
      <c r="AG286" s="150"/>
      <c r="AH286" s="159" t="e">
        <f t="shared" si="496"/>
        <v>#DIV/0!</v>
      </c>
      <c r="AI286" s="160"/>
      <c r="AJ286" s="198">
        <v>0</v>
      </c>
      <c r="AK286" s="199">
        <f t="shared" si="510"/>
        <v>0</v>
      </c>
      <c r="AM286" s="105"/>
      <c r="AN286" s="105"/>
      <c r="AO286" s="105"/>
      <c r="AP286" s="105"/>
      <c r="AQ286" s="105"/>
      <c r="AR286" s="105"/>
    </row>
    <row r="287" spans="1:44" s="49" customFormat="1" ht="40.15" hidden="1" customHeight="1">
      <c r="A287" s="152">
        <f t="shared" ca="1" si="497"/>
        <v>0</v>
      </c>
      <c r="B287" s="153" t="s">
        <v>169</v>
      </c>
      <c r="C287" s="154" t="str">
        <f t="shared" si="498"/>
        <v>DR/0171</v>
      </c>
      <c r="D287" s="154" t="s">
        <v>3549</v>
      </c>
      <c r="E287" s="155" t="s">
        <v>3753</v>
      </c>
      <c r="F287" s="154"/>
      <c r="G287" s="154" t="s">
        <v>1412</v>
      </c>
      <c r="H287" s="152">
        <v>361.8</v>
      </c>
      <c r="I287" s="152">
        <v>350.65</v>
      </c>
      <c r="J287" s="156"/>
      <c r="K287" s="156">
        <f>Dre_Disp_Estruturais!AI76</f>
        <v>0</v>
      </c>
      <c r="L287" s="156">
        <f t="shared" si="499"/>
        <v>0</v>
      </c>
      <c r="M287" s="156">
        <f t="shared" si="500"/>
        <v>0</v>
      </c>
      <c r="N287" s="156" t="s">
        <v>83</v>
      </c>
      <c r="O287" s="157" cm="1">
        <f t="array" ref="O287">TRUNC($H287*(1+_xlfn.SWITCH($N287,"BDI 1",$O$6,"BDI 2",$O$7,"BDI 3",$O$8)),2)</f>
        <v>436.69</v>
      </c>
      <c r="P287" s="157" cm="1">
        <f t="array" ref="P287">TRUNC($I287*(1+_xlfn.SWITCH($N287,"BDI 1",$P$6,"BDI 2",$P$7,"BDI 3",$P$8)),2)</f>
        <v>444.41</v>
      </c>
      <c r="Q287" s="157">
        <v>0</v>
      </c>
      <c r="R287" s="157">
        <f t="shared" si="501"/>
        <v>0</v>
      </c>
      <c r="S287" s="156">
        <f t="shared" si="502"/>
        <v>0</v>
      </c>
      <c r="T287" s="156">
        <f t="shared" si="503"/>
        <v>0</v>
      </c>
      <c r="U287" s="156">
        <f t="shared" si="504"/>
        <v>0</v>
      </c>
      <c r="V287" s="156">
        <f t="shared" si="505"/>
        <v>0</v>
      </c>
      <c r="W287" s="156">
        <f t="shared" si="492"/>
        <v>0</v>
      </c>
      <c r="X287" s="158">
        <f t="shared" ref="X287" si="523">$S287/ORCAMENTO_VALOR_TOTAL_ND</f>
        <v>0</v>
      </c>
      <c r="Y287" s="158">
        <f t="shared" ref="Y287" si="524">$T287/ORCAMENTO_VALOR_TOTAL_DE</f>
        <v>0</v>
      </c>
      <c r="Z287" s="158" cm="1">
        <f t="array" ref="Z287">_xlfn.SWITCH($N287,"BDI 1",$O$6,"BDI 2",$O$7,"BDI 3",$O$8)</f>
        <v>0.20699999999999999</v>
      </c>
      <c r="AA287" s="158" cm="1">
        <f t="array" ref="AA287">_xlfn.SWITCH($N287,"BDI 1",$P$6,"BDI 2",$P$7,"BDI 3",$P$8)</f>
        <v>0.26739999999999997</v>
      </c>
      <c r="AB287" s="158">
        <f t="shared" ca="1" si="508"/>
        <v>0</v>
      </c>
      <c r="AC287" s="158">
        <f t="shared" ca="1" si="509"/>
        <v>0</v>
      </c>
      <c r="AD287" s="164"/>
      <c r="AE287" s="148">
        <f t="shared" si="495"/>
        <v>0</v>
      </c>
      <c r="AF287" s="149"/>
      <c r="AG287" s="150"/>
      <c r="AH287" s="159" t="e">
        <f t="shared" si="496"/>
        <v>#DIV/0!</v>
      </c>
      <c r="AI287" s="160"/>
      <c r="AJ287" s="198">
        <v>0</v>
      </c>
      <c r="AK287" s="199">
        <f t="shared" si="510"/>
        <v>0</v>
      </c>
      <c r="AM287" s="105"/>
      <c r="AN287" s="105"/>
      <c r="AO287" s="105"/>
      <c r="AP287" s="105"/>
      <c r="AQ287" s="105"/>
      <c r="AR287" s="105"/>
    </row>
    <row r="288" spans="1:44" s="49" customFormat="1" ht="40.15" hidden="1" customHeight="1">
      <c r="A288" s="152">
        <f t="shared" ca="1" si="497"/>
        <v>0</v>
      </c>
      <c r="B288" s="153" t="s">
        <v>170</v>
      </c>
      <c r="C288" s="154" t="str">
        <f t="shared" si="498"/>
        <v>DR/0176</v>
      </c>
      <c r="D288" s="154" t="s">
        <v>3549</v>
      </c>
      <c r="E288" s="155" t="s">
        <v>3754</v>
      </c>
      <c r="F288" s="154"/>
      <c r="G288" s="154" t="s">
        <v>1412</v>
      </c>
      <c r="H288" s="152">
        <v>446.28</v>
      </c>
      <c r="I288" s="152">
        <v>432.54</v>
      </c>
      <c r="J288" s="156"/>
      <c r="K288" s="156">
        <f>Dre_Disp_Estruturais!AI77</f>
        <v>0</v>
      </c>
      <c r="L288" s="156">
        <f t="shared" si="499"/>
        <v>0</v>
      </c>
      <c r="M288" s="156">
        <f t="shared" si="500"/>
        <v>0</v>
      </c>
      <c r="N288" s="156" t="s">
        <v>83</v>
      </c>
      <c r="O288" s="157" cm="1">
        <f t="array" ref="O288">TRUNC($H288*(1+_xlfn.SWITCH($N288,"BDI 1",$O$6,"BDI 2",$O$7,"BDI 3",$O$8)),2)</f>
        <v>538.65</v>
      </c>
      <c r="P288" s="157" cm="1">
        <f t="array" ref="P288">TRUNC($I288*(1+_xlfn.SWITCH($N288,"BDI 1",$P$6,"BDI 2",$P$7,"BDI 3",$P$8)),2)</f>
        <v>548.20000000000005</v>
      </c>
      <c r="Q288" s="157">
        <v>0</v>
      </c>
      <c r="R288" s="157">
        <f t="shared" si="501"/>
        <v>0</v>
      </c>
      <c r="S288" s="156">
        <f t="shared" si="502"/>
        <v>0</v>
      </c>
      <c r="T288" s="156">
        <f t="shared" si="503"/>
        <v>0</v>
      </c>
      <c r="U288" s="156">
        <f t="shared" si="504"/>
        <v>0</v>
      </c>
      <c r="V288" s="156">
        <f t="shared" si="505"/>
        <v>0</v>
      </c>
      <c r="W288" s="156">
        <f t="shared" si="492"/>
        <v>0</v>
      </c>
      <c r="X288" s="158">
        <f t="shared" ref="X288" si="525">$S288/ORCAMENTO_VALOR_TOTAL_ND</f>
        <v>0</v>
      </c>
      <c r="Y288" s="158">
        <f t="shared" ref="Y288" si="526">$T288/ORCAMENTO_VALOR_TOTAL_DE</f>
        <v>0</v>
      </c>
      <c r="Z288" s="158" cm="1">
        <f t="array" ref="Z288">_xlfn.SWITCH($N288,"BDI 1",$O$6,"BDI 2",$O$7,"BDI 3",$O$8)</f>
        <v>0.20699999999999999</v>
      </c>
      <c r="AA288" s="158" cm="1">
        <f t="array" ref="AA288">_xlfn.SWITCH($N288,"BDI 1",$P$6,"BDI 2",$P$7,"BDI 3",$P$8)</f>
        <v>0.26739999999999997</v>
      </c>
      <c r="AB288" s="158">
        <f t="shared" ca="1" si="508"/>
        <v>0</v>
      </c>
      <c r="AC288" s="158">
        <f t="shared" ca="1" si="509"/>
        <v>0</v>
      </c>
      <c r="AD288" s="164"/>
      <c r="AE288" s="148">
        <f t="shared" si="495"/>
        <v>0</v>
      </c>
      <c r="AF288" s="149"/>
      <c r="AG288" s="150"/>
      <c r="AH288" s="159" t="e">
        <f t="shared" si="496"/>
        <v>#DIV/0!</v>
      </c>
      <c r="AI288" s="160"/>
      <c r="AJ288" s="198">
        <v>0</v>
      </c>
      <c r="AK288" s="199">
        <f t="shared" si="510"/>
        <v>0</v>
      </c>
      <c r="AM288" s="105"/>
      <c r="AN288" s="105"/>
      <c r="AO288" s="105"/>
      <c r="AP288" s="105"/>
      <c r="AQ288" s="105"/>
      <c r="AR288" s="105"/>
    </row>
    <row r="289" spans="1:44" s="49" customFormat="1" ht="40.15" hidden="1" customHeight="1">
      <c r="A289" s="152">
        <f t="shared" ca="1" si="497"/>
        <v>0</v>
      </c>
      <c r="B289" s="153" t="s">
        <v>171</v>
      </c>
      <c r="C289" s="154" t="str">
        <f t="shared" si="498"/>
        <v>DR/0181</v>
      </c>
      <c r="D289" s="154" t="s">
        <v>3549</v>
      </c>
      <c r="E289" s="155" t="s">
        <v>3755</v>
      </c>
      <c r="F289" s="154"/>
      <c r="G289" s="154" t="s">
        <v>1412</v>
      </c>
      <c r="H289" s="152">
        <v>502.04</v>
      </c>
      <c r="I289" s="152">
        <v>486.59</v>
      </c>
      <c r="J289" s="156"/>
      <c r="K289" s="156">
        <f>Dre_Disp_Estruturais!AI78</f>
        <v>0</v>
      </c>
      <c r="L289" s="156">
        <f t="shared" si="499"/>
        <v>0</v>
      </c>
      <c r="M289" s="156">
        <f t="shared" si="500"/>
        <v>0</v>
      </c>
      <c r="N289" s="156" t="s">
        <v>83</v>
      </c>
      <c r="O289" s="157" cm="1">
        <f t="array" ref="O289">TRUNC($H289*(1+_xlfn.SWITCH($N289,"BDI 1",$O$6,"BDI 2",$O$7,"BDI 3",$O$8)),2)</f>
        <v>605.96</v>
      </c>
      <c r="P289" s="157" cm="1">
        <f t="array" ref="P289">TRUNC($I289*(1+_xlfn.SWITCH($N289,"BDI 1",$P$6,"BDI 2",$P$7,"BDI 3",$P$8)),2)</f>
        <v>616.70000000000005</v>
      </c>
      <c r="Q289" s="157">
        <v>0</v>
      </c>
      <c r="R289" s="157">
        <f t="shared" si="501"/>
        <v>0</v>
      </c>
      <c r="S289" s="156">
        <f t="shared" si="502"/>
        <v>0</v>
      </c>
      <c r="T289" s="156">
        <f t="shared" si="503"/>
        <v>0</v>
      </c>
      <c r="U289" s="156">
        <f t="shared" si="504"/>
        <v>0</v>
      </c>
      <c r="V289" s="156">
        <f t="shared" si="505"/>
        <v>0</v>
      </c>
      <c r="W289" s="156">
        <f t="shared" si="492"/>
        <v>0</v>
      </c>
      <c r="X289" s="158">
        <f t="shared" ref="X289" si="527">$S289/ORCAMENTO_VALOR_TOTAL_ND</f>
        <v>0</v>
      </c>
      <c r="Y289" s="158">
        <f t="shared" ref="Y289" si="528">$T289/ORCAMENTO_VALOR_TOTAL_DE</f>
        <v>0</v>
      </c>
      <c r="Z289" s="158" cm="1">
        <f t="array" ref="Z289">_xlfn.SWITCH($N289,"BDI 1",$O$6,"BDI 2",$O$7,"BDI 3",$O$8)</f>
        <v>0.20699999999999999</v>
      </c>
      <c r="AA289" s="158" cm="1">
        <f t="array" ref="AA289">_xlfn.SWITCH($N289,"BDI 1",$P$6,"BDI 2",$P$7,"BDI 3",$P$8)</f>
        <v>0.26739999999999997</v>
      </c>
      <c r="AB289" s="158">
        <f t="shared" ca="1" si="508"/>
        <v>0</v>
      </c>
      <c r="AC289" s="158">
        <f t="shared" ca="1" si="509"/>
        <v>0</v>
      </c>
      <c r="AD289" s="164"/>
      <c r="AE289" s="148">
        <f t="shared" si="495"/>
        <v>0</v>
      </c>
      <c r="AF289" s="149"/>
      <c r="AG289" s="150"/>
      <c r="AH289" s="159" t="e">
        <f t="shared" si="496"/>
        <v>#DIV/0!</v>
      </c>
      <c r="AI289" s="160"/>
      <c r="AJ289" s="198">
        <v>0</v>
      </c>
      <c r="AK289" s="199">
        <f t="shared" si="510"/>
        <v>0</v>
      </c>
      <c r="AM289" s="105"/>
      <c r="AN289" s="105"/>
      <c r="AO289" s="105"/>
      <c r="AP289" s="105"/>
      <c r="AQ289" s="105"/>
      <c r="AR289" s="105"/>
    </row>
    <row r="290" spans="1:44" s="49" customFormat="1" ht="40.15" hidden="1" customHeight="1">
      <c r="A290" s="152">
        <f t="shared" ca="1" si="497"/>
        <v>0</v>
      </c>
      <c r="B290" s="153" t="s">
        <v>172</v>
      </c>
      <c r="C290" s="154" t="str">
        <f t="shared" si="498"/>
        <v>DR/0186</v>
      </c>
      <c r="D290" s="154" t="s">
        <v>3549</v>
      </c>
      <c r="E290" s="155" t="s">
        <v>3756</v>
      </c>
      <c r="F290" s="154"/>
      <c r="G290" s="154" t="s">
        <v>1412</v>
      </c>
      <c r="H290" s="152">
        <v>614.15</v>
      </c>
      <c r="I290" s="152">
        <v>595.27</v>
      </c>
      <c r="J290" s="156"/>
      <c r="K290" s="156">
        <f>Dre_Disp_Estruturais!AI79</f>
        <v>0</v>
      </c>
      <c r="L290" s="156">
        <f t="shared" si="499"/>
        <v>0</v>
      </c>
      <c r="M290" s="156">
        <f t="shared" si="500"/>
        <v>0</v>
      </c>
      <c r="N290" s="156" t="s">
        <v>83</v>
      </c>
      <c r="O290" s="157" cm="1">
        <f t="array" ref="O290">TRUNC($H290*(1+_xlfn.SWITCH($N290,"BDI 1",$O$6,"BDI 2",$O$7,"BDI 3",$O$8)),2)</f>
        <v>741.27</v>
      </c>
      <c r="P290" s="157" cm="1">
        <f t="array" ref="P290">TRUNC($I290*(1+_xlfn.SWITCH($N290,"BDI 1",$P$6,"BDI 2",$P$7,"BDI 3",$P$8)),2)</f>
        <v>754.44</v>
      </c>
      <c r="Q290" s="157">
        <v>0</v>
      </c>
      <c r="R290" s="157">
        <f t="shared" si="501"/>
        <v>0</v>
      </c>
      <c r="S290" s="156">
        <f t="shared" si="502"/>
        <v>0</v>
      </c>
      <c r="T290" s="156">
        <f t="shared" si="503"/>
        <v>0</v>
      </c>
      <c r="U290" s="156">
        <f t="shared" si="504"/>
        <v>0</v>
      </c>
      <c r="V290" s="156">
        <f t="shared" si="505"/>
        <v>0</v>
      </c>
      <c r="W290" s="156">
        <f t="shared" si="492"/>
        <v>0</v>
      </c>
      <c r="X290" s="158">
        <f t="shared" ref="X290" si="529">$S290/ORCAMENTO_VALOR_TOTAL_ND</f>
        <v>0</v>
      </c>
      <c r="Y290" s="158">
        <f t="shared" ref="Y290" si="530">$T290/ORCAMENTO_VALOR_TOTAL_DE</f>
        <v>0</v>
      </c>
      <c r="Z290" s="158" cm="1">
        <f t="array" ref="Z290">_xlfn.SWITCH($N290,"BDI 1",$O$6,"BDI 2",$O$7,"BDI 3",$O$8)</f>
        <v>0.20699999999999999</v>
      </c>
      <c r="AA290" s="158" cm="1">
        <f t="array" ref="AA290">_xlfn.SWITCH($N290,"BDI 1",$P$6,"BDI 2",$P$7,"BDI 3",$P$8)</f>
        <v>0.26739999999999997</v>
      </c>
      <c r="AB290" s="158">
        <f t="shared" ca="1" si="508"/>
        <v>0</v>
      </c>
      <c r="AC290" s="158">
        <f t="shared" ca="1" si="509"/>
        <v>0</v>
      </c>
      <c r="AD290" s="164"/>
      <c r="AE290" s="148">
        <f t="shared" si="495"/>
        <v>0</v>
      </c>
      <c r="AF290" s="149"/>
      <c r="AG290" s="150"/>
      <c r="AH290" s="159" t="e">
        <f t="shared" si="496"/>
        <v>#DIV/0!</v>
      </c>
      <c r="AI290" s="160"/>
      <c r="AJ290" s="198">
        <v>0</v>
      </c>
      <c r="AK290" s="199">
        <f t="shared" si="510"/>
        <v>0</v>
      </c>
      <c r="AM290" s="105"/>
      <c r="AN290" s="105"/>
      <c r="AO290" s="105"/>
      <c r="AP290" s="105"/>
      <c r="AQ290" s="105"/>
      <c r="AR290" s="105"/>
    </row>
    <row r="291" spans="1:44" s="49" customFormat="1" ht="40.15" hidden="1" customHeight="1">
      <c r="A291" s="152">
        <f t="shared" ca="1" si="497"/>
        <v>0</v>
      </c>
      <c r="B291" s="153" t="s">
        <v>173</v>
      </c>
      <c r="C291" s="154" t="str">
        <f t="shared" si="498"/>
        <v>DR/0191</v>
      </c>
      <c r="D291" s="154" t="s">
        <v>3549</v>
      </c>
      <c r="E291" s="155" t="s">
        <v>3757</v>
      </c>
      <c r="F291" s="154"/>
      <c r="G291" s="154" t="s">
        <v>1412</v>
      </c>
      <c r="H291" s="152">
        <v>782.03</v>
      </c>
      <c r="I291" s="152">
        <v>757.99</v>
      </c>
      <c r="J291" s="156"/>
      <c r="K291" s="156">
        <f>Dre_Disp_Estruturais!AI80</f>
        <v>0</v>
      </c>
      <c r="L291" s="156">
        <f t="shared" si="499"/>
        <v>0</v>
      </c>
      <c r="M291" s="156">
        <f t="shared" si="500"/>
        <v>0</v>
      </c>
      <c r="N291" s="156" t="s">
        <v>83</v>
      </c>
      <c r="O291" s="157" cm="1">
        <f t="array" ref="O291">TRUNC($H291*(1+_xlfn.SWITCH($N291,"BDI 1",$O$6,"BDI 2",$O$7,"BDI 3",$O$8)),2)</f>
        <v>943.91</v>
      </c>
      <c r="P291" s="157" cm="1">
        <f t="array" ref="P291">TRUNC($I291*(1+_xlfn.SWITCH($N291,"BDI 1",$P$6,"BDI 2",$P$7,"BDI 3",$P$8)),2)</f>
        <v>960.67</v>
      </c>
      <c r="Q291" s="157">
        <v>0</v>
      </c>
      <c r="R291" s="157">
        <f t="shared" si="501"/>
        <v>0</v>
      </c>
      <c r="S291" s="156">
        <f t="shared" si="502"/>
        <v>0</v>
      </c>
      <c r="T291" s="156">
        <f t="shared" si="503"/>
        <v>0</v>
      </c>
      <c r="U291" s="156">
        <f t="shared" si="504"/>
        <v>0</v>
      </c>
      <c r="V291" s="156">
        <f t="shared" si="505"/>
        <v>0</v>
      </c>
      <c r="W291" s="156">
        <f t="shared" si="492"/>
        <v>0</v>
      </c>
      <c r="X291" s="158">
        <f t="shared" ref="X291" si="531">$S291/ORCAMENTO_VALOR_TOTAL_ND</f>
        <v>0</v>
      </c>
      <c r="Y291" s="158">
        <f t="shared" ref="Y291" si="532">$T291/ORCAMENTO_VALOR_TOTAL_DE</f>
        <v>0</v>
      </c>
      <c r="Z291" s="158" cm="1">
        <f t="array" ref="Z291">_xlfn.SWITCH($N291,"BDI 1",$O$6,"BDI 2",$O$7,"BDI 3",$O$8)</f>
        <v>0.20699999999999999</v>
      </c>
      <c r="AA291" s="158" cm="1">
        <f t="array" ref="AA291">_xlfn.SWITCH($N291,"BDI 1",$P$6,"BDI 2",$P$7,"BDI 3",$P$8)</f>
        <v>0.26739999999999997</v>
      </c>
      <c r="AB291" s="158">
        <f t="shared" ca="1" si="508"/>
        <v>0</v>
      </c>
      <c r="AC291" s="158">
        <f t="shared" ca="1" si="509"/>
        <v>0</v>
      </c>
      <c r="AD291" s="164"/>
      <c r="AE291" s="148">
        <f t="shared" si="495"/>
        <v>0</v>
      </c>
      <c r="AF291" s="149"/>
      <c r="AG291" s="150"/>
      <c r="AH291" s="159" t="e">
        <f t="shared" si="496"/>
        <v>#DIV/0!</v>
      </c>
      <c r="AI291" s="160"/>
      <c r="AJ291" s="198">
        <v>0</v>
      </c>
      <c r="AK291" s="199">
        <f t="shared" si="510"/>
        <v>0</v>
      </c>
      <c r="AM291" s="105"/>
      <c r="AN291" s="105"/>
      <c r="AO291" s="105"/>
      <c r="AP291" s="105"/>
      <c r="AQ291" s="105"/>
      <c r="AR291" s="105"/>
    </row>
    <row r="292" spans="1:44" s="49" customFormat="1" ht="40.15" hidden="1" customHeight="1">
      <c r="A292" s="152">
        <f t="shared" ca="1" si="497"/>
        <v>0</v>
      </c>
      <c r="B292" s="153" t="s">
        <v>174</v>
      </c>
      <c r="C292" s="154" t="str">
        <f t="shared" si="498"/>
        <v>DR/0196</v>
      </c>
      <c r="D292" s="154" t="s">
        <v>3549</v>
      </c>
      <c r="E292" s="155" t="s">
        <v>3758</v>
      </c>
      <c r="F292" s="154"/>
      <c r="G292" s="154" t="s">
        <v>1412</v>
      </c>
      <c r="H292" s="152">
        <v>922.26</v>
      </c>
      <c r="I292" s="152">
        <v>893.92</v>
      </c>
      <c r="J292" s="156"/>
      <c r="K292" s="156">
        <f>Dre_Disp_Estruturais!AI81</f>
        <v>0</v>
      </c>
      <c r="L292" s="156">
        <f t="shared" si="499"/>
        <v>0</v>
      </c>
      <c r="M292" s="156">
        <f t="shared" si="500"/>
        <v>0</v>
      </c>
      <c r="N292" s="156" t="s">
        <v>83</v>
      </c>
      <c r="O292" s="157" cm="1">
        <f t="array" ref="O292">TRUNC($H292*(1+_xlfn.SWITCH($N292,"BDI 1",$O$6,"BDI 2",$O$7,"BDI 3",$O$8)),2)</f>
        <v>1113.1600000000001</v>
      </c>
      <c r="P292" s="157" cm="1">
        <f t="array" ref="P292">TRUNC($I292*(1+_xlfn.SWITCH($N292,"BDI 1",$P$6,"BDI 2",$P$7,"BDI 3",$P$8)),2)</f>
        <v>1132.95</v>
      </c>
      <c r="Q292" s="157">
        <v>0</v>
      </c>
      <c r="R292" s="157">
        <f t="shared" si="501"/>
        <v>0</v>
      </c>
      <c r="S292" s="156">
        <f t="shared" si="502"/>
        <v>0</v>
      </c>
      <c r="T292" s="156">
        <f t="shared" si="503"/>
        <v>0</v>
      </c>
      <c r="U292" s="156">
        <f t="shared" si="504"/>
        <v>0</v>
      </c>
      <c r="V292" s="156">
        <f t="shared" si="505"/>
        <v>0</v>
      </c>
      <c r="W292" s="156">
        <f t="shared" si="492"/>
        <v>0</v>
      </c>
      <c r="X292" s="158">
        <f t="shared" ref="X292" si="533">$S292/ORCAMENTO_VALOR_TOTAL_ND</f>
        <v>0</v>
      </c>
      <c r="Y292" s="158">
        <f t="shared" ref="Y292" si="534">$T292/ORCAMENTO_VALOR_TOTAL_DE</f>
        <v>0</v>
      </c>
      <c r="Z292" s="158" cm="1">
        <f t="array" ref="Z292">_xlfn.SWITCH($N292,"BDI 1",$O$6,"BDI 2",$O$7,"BDI 3",$O$8)</f>
        <v>0.20699999999999999</v>
      </c>
      <c r="AA292" s="158" cm="1">
        <f t="array" ref="AA292">_xlfn.SWITCH($N292,"BDI 1",$P$6,"BDI 2",$P$7,"BDI 3",$P$8)</f>
        <v>0.26739999999999997</v>
      </c>
      <c r="AB292" s="158">
        <f t="shared" ca="1" si="508"/>
        <v>0</v>
      </c>
      <c r="AC292" s="158">
        <f t="shared" ca="1" si="509"/>
        <v>0</v>
      </c>
      <c r="AD292" s="164"/>
      <c r="AE292" s="148">
        <f t="shared" si="495"/>
        <v>0</v>
      </c>
      <c r="AF292" s="149"/>
      <c r="AG292" s="150"/>
      <c r="AH292" s="159" t="e">
        <f t="shared" si="496"/>
        <v>#DIV/0!</v>
      </c>
      <c r="AI292" s="160"/>
      <c r="AJ292" s="198">
        <v>0</v>
      </c>
      <c r="AK292" s="199">
        <f t="shared" si="510"/>
        <v>0</v>
      </c>
      <c r="AM292" s="105"/>
      <c r="AN292" s="105"/>
      <c r="AO292" s="105"/>
      <c r="AP292" s="105"/>
      <c r="AQ292" s="105"/>
      <c r="AR292" s="105"/>
    </row>
    <row r="293" spans="1:44" s="49" customFormat="1" ht="40.15" hidden="1" customHeight="1">
      <c r="A293" s="152">
        <f t="shared" ca="1" si="497"/>
        <v>0</v>
      </c>
      <c r="B293" s="153" t="s">
        <v>175</v>
      </c>
      <c r="C293" s="154" t="str">
        <f t="shared" si="498"/>
        <v>DR/0201</v>
      </c>
      <c r="D293" s="154" t="s">
        <v>3549</v>
      </c>
      <c r="E293" s="155" t="s">
        <v>3759</v>
      </c>
      <c r="F293" s="154"/>
      <c r="G293" s="154" t="s">
        <v>1412</v>
      </c>
      <c r="H293" s="152">
        <v>3581.1</v>
      </c>
      <c r="I293" s="152">
        <v>3478.12</v>
      </c>
      <c r="J293" s="156"/>
      <c r="K293" s="156">
        <f>Dre_Disp_Estruturais!AI82</f>
        <v>0</v>
      </c>
      <c r="L293" s="156">
        <f t="shared" si="499"/>
        <v>0</v>
      </c>
      <c r="M293" s="156">
        <f t="shared" si="500"/>
        <v>0</v>
      </c>
      <c r="N293" s="156" t="s">
        <v>83</v>
      </c>
      <c r="O293" s="157" cm="1">
        <f t="array" ref="O293">TRUNC($H293*(1+_xlfn.SWITCH($N293,"BDI 1",$O$6,"BDI 2",$O$7,"BDI 3",$O$8)),2)</f>
        <v>4322.38</v>
      </c>
      <c r="P293" s="157" cm="1">
        <f t="array" ref="P293">TRUNC($I293*(1+_xlfn.SWITCH($N293,"BDI 1",$P$6,"BDI 2",$P$7,"BDI 3",$P$8)),2)</f>
        <v>4408.16</v>
      </c>
      <c r="Q293" s="157">
        <v>0</v>
      </c>
      <c r="R293" s="157">
        <f t="shared" si="501"/>
        <v>0</v>
      </c>
      <c r="S293" s="156">
        <f t="shared" si="502"/>
        <v>0</v>
      </c>
      <c r="T293" s="156">
        <f t="shared" si="503"/>
        <v>0</v>
      </c>
      <c r="U293" s="156">
        <f t="shared" si="504"/>
        <v>0</v>
      </c>
      <c r="V293" s="156">
        <f t="shared" si="505"/>
        <v>0</v>
      </c>
      <c r="W293" s="156">
        <f t="shared" si="492"/>
        <v>0</v>
      </c>
      <c r="X293" s="158">
        <f t="shared" ref="X293" si="535">$S293/ORCAMENTO_VALOR_TOTAL_ND</f>
        <v>0</v>
      </c>
      <c r="Y293" s="158">
        <f t="shared" ref="Y293" si="536">$T293/ORCAMENTO_VALOR_TOTAL_DE</f>
        <v>0</v>
      </c>
      <c r="Z293" s="158" cm="1">
        <f t="array" ref="Z293">_xlfn.SWITCH($N293,"BDI 1",$O$6,"BDI 2",$O$7,"BDI 3",$O$8)</f>
        <v>0.20699999999999999</v>
      </c>
      <c r="AA293" s="158" cm="1">
        <f t="array" ref="AA293">_xlfn.SWITCH($N293,"BDI 1",$P$6,"BDI 2",$P$7,"BDI 3",$P$8)</f>
        <v>0.26739999999999997</v>
      </c>
      <c r="AB293" s="158">
        <f t="shared" ca="1" si="508"/>
        <v>0</v>
      </c>
      <c r="AC293" s="158">
        <f t="shared" ca="1" si="509"/>
        <v>0</v>
      </c>
      <c r="AD293" s="164"/>
      <c r="AE293" s="148">
        <f t="shared" si="495"/>
        <v>0</v>
      </c>
      <c r="AF293" s="149"/>
      <c r="AG293" s="150"/>
      <c r="AH293" s="159" t="e">
        <f t="shared" si="496"/>
        <v>#DIV/0!</v>
      </c>
      <c r="AI293" s="160"/>
      <c r="AJ293" s="204">
        <v>0</v>
      </c>
      <c r="AK293" s="199">
        <f t="shared" si="510"/>
        <v>0</v>
      </c>
      <c r="AM293" s="105"/>
      <c r="AN293" s="105"/>
      <c r="AO293" s="105"/>
      <c r="AP293" s="105"/>
      <c r="AQ293" s="105"/>
      <c r="AR293" s="105"/>
    </row>
    <row r="294" spans="1:44" s="49" customFormat="1" ht="40.15" hidden="1" customHeight="1">
      <c r="A294" s="152">
        <f t="shared" ca="1" si="497"/>
        <v>0</v>
      </c>
      <c r="B294" s="153">
        <v>98051</v>
      </c>
      <c r="C294" s="154" t="str">
        <f t="shared" si="498"/>
        <v>98051</v>
      </c>
      <c r="D294" s="154" t="s">
        <v>1416</v>
      </c>
      <c r="E294" s="155" t="s">
        <v>3760</v>
      </c>
      <c r="F294" s="154"/>
      <c r="G294" s="154" t="s">
        <v>58</v>
      </c>
      <c r="H294" s="152">
        <v>944.58</v>
      </c>
      <c r="I294" s="152">
        <v>909.11</v>
      </c>
      <c r="J294" s="156"/>
      <c r="K294" s="156">
        <f>Dre_Disp_Estruturais!AI83</f>
        <v>0</v>
      </c>
      <c r="L294" s="156">
        <f t="shared" si="499"/>
        <v>0</v>
      </c>
      <c r="M294" s="156">
        <f t="shared" si="500"/>
        <v>0</v>
      </c>
      <c r="N294" s="156" t="s">
        <v>83</v>
      </c>
      <c r="O294" s="157" cm="1">
        <f t="array" ref="O294">TRUNC($H294*(1+_xlfn.SWITCH($N294,"BDI 1",$O$6,"BDI 2",$O$7,"BDI 3",$O$8)),2)</f>
        <v>1140.0999999999999</v>
      </c>
      <c r="P294" s="157" cm="1">
        <f t="array" ref="P294">TRUNC($I294*(1+_xlfn.SWITCH($N294,"BDI 1",$P$6,"BDI 2",$P$7,"BDI 3",$P$8)),2)</f>
        <v>1152.2</v>
      </c>
      <c r="Q294" s="157">
        <v>0</v>
      </c>
      <c r="R294" s="157">
        <f t="shared" si="501"/>
        <v>0</v>
      </c>
      <c r="S294" s="156">
        <f t="shared" si="502"/>
        <v>0</v>
      </c>
      <c r="T294" s="156">
        <f t="shared" si="503"/>
        <v>0</v>
      </c>
      <c r="U294" s="156">
        <f t="shared" si="504"/>
        <v>0</v>
      </c>
      <c r="V294" s="156">
        <f t="shared" si="505"/>
        <v>0</v>
      </c>
      <c r="W294" s="156">
        <f t="shared" si="492"/>
        <v>0</v>
      </c>
      <c r="X294" s="158">
        <f t="shared" ref="X294" si="537">$S294/ORCAMENTO_VALOR_TOTAL_ND</f>
        <v>0</v>
      </c>
      <c r="Y294" s="158">
        <f t="shared" ref="Y294" si="538">$T294/ORCAMENTO_VALOR_TOTAL_DE</f>
        <v>0</v>
      </c>
      <c r="Z294" s="158" cm="1">
        <f t="array" ref="Z294">_xlfn.SWITCH($N294,"BDI 1",$O$6,"BDI 2",$O$7,"BDI 3",$O$8)</f>
        <v>0.20699999999999999</v>
      </c>
      <c r="AA294" s="158" cm="1">
        <f t="array" ref="AA294">_xlfn.SWITCH($N294,"BDI 1",$P$6,"BDI 2",$P$7,"BDI 3",$P$8)</f>
        <v>0.26739999999999997</v>
      </c>
      <c r="AB294" s="158">
        <f t="shared" ca="1" si="508"/>
        <v>0</v>
      </c>
      <c r="AC294" s="158">
        <f t="shared" ca="1" si="509"/>
        <v>0</v>
      </c>
      <c r="AD294" s="164"/>
      <c r="AE294" s="148">
        <f t="shared" si="495"/>
        <v>0</v>
      </c>
      <c r="AF294" s="149"/>
      <c r="AG294" s="150"/>
      <c r="AH294" s="159" t="e">
        <f t="shared" si="496"/>
        <v>#DIV/0!</v>
      </c>
      <c r="AI294" s="160"/>
      <c r="AJ294" s="198">
        <v>0</v>
      </c>
      <c r="AK294" s="199">
        <f t="shared" si="510"/>
        <v>0</v>
      </c>
      <c r="AM294" s="105"/>
      <c r="AN294" s="105"/>
      <c r="AO294" s="105"/>
      <c r="AP294" s="105"/>
      <c r="AQ294" s="105"/>
      <c r="AR294" s="105"/>
    </row>
    <row r="295" spans="1:44" s="49" customFormat="1" ht="49.9" hidden="1" customHeight="1">
      <c r="A295" s="152">
        <f t="shared" ca="1" si="497"/>
        <v>0</v>
      </c>
      <c r="B295" s="153" t="s">
        <v>176</v>
      </c>
      <c r="C295" s="154" t="str">
        <f t="shared" si="498"/>
        <v>DR/0355</v>
      </c>
      <c r="D295" s="154" t="s">
        <v>3549</v>
      </c>
      <c r="E295" s="155" t="s">
        <v>3761</v>
      </c>
      <c r="F295" s="154"/>
      <c r="G295" s="154" t="s">
        <v>1412</v>
      </c>
      <c r="H295" s="152">
        <v>992.12</v>
      </c>
      <c r="I295" s="152">
        <v>982.32</v>
      </c>
      <c r="J295" s="156"/>
      <c r="K295" s="156">
        <f>Dre_Disp_Estruturais!AI84</f>
        <v>0</v>
      </c>
      <c r="L295" s="156">
        <f t="shared" si="499"/>
        <v>0</v>
      </c>
      <c r="M295" s="156">
        <f t="shared" si="500"/>
        <v>0</v>
      </c>
      <c r="N295" s="156" t="s">
        <v>83</v>
      </c>
      <c r="O295" s="157" cm="1">
        <f t="array" ref="O295">TRUNC($H295*(1+_xlfn.SWITCH($N295,"BDI 1",$O$6,"BDI 2",$O$7,"BDI 3",$O$8)),2)</f>
        <v>1197.48</v>
      </c>
      <c r="P295" s="157" cm="1">
        <f t="array" ref="P295">TRUNC($I295*(1+_xlfn.SWITCH($N295,"BDI 1",$P$6,"BDI 2",$P$7,"BDI 3",$P$8)),2)</f>
        <v>1244.99</v>
      </c>
      <c r="Q295" s="157">
        <v>0</v>
      </c>
      <c r="R295" s="157">
        <f t="shared" si="501"/>
        <v>0</v>
      </c>
      <c r="S295" s="156">
        <f t="shared" si="502"/>
        <v>0</v>
      </c>
      <c r="T295" s="156">
        <f t="shared" si="503"/>
        <v>0</v>
      </c>
      <c r="U295" s="156">
        <f t="shared" si="504"/>
        <v>0</v>
      </c>
      <c r="V295" s="156">
        <f t="shared" si="505"/>
        <v>0</v>
      </c>
      <c r="W295" s="156">
        <f t="shared" si="492"/>
        <v>0</v>
      </c>
      <c r="X295" s="158">
        <f t="shared" ref="X295" si="539">$S295/ORCAMENTO_VALOR_TOTAL_ND</f>
        <v>0</v>
      </c>
      <c r="Y295" s="158">
        <f t="shared" ref="Y295" si="540">$T295/ORCAMENTO_VALOR_TOTAL_DE</f>
        <v>0</v>
      </c>
      <c r="Z295" s="158" cm="1">
        <f t="array" ref="Z295">_xlfn.SWITCH($N295,"BDI 1",$O$6,"BDI 2",$O$7,"BDI 3",$O$8)</f>
        <v>0.20699999999999999</v>
      </c>
      <c r="AA295" s="158" cm="1">
        <f t="array" ref="AA295">_xlfn.SWITCH($N295,"BDI 1",$P$6,"BDI 2",$P$7,"BDI 3",$P$8)</f>
        <v>0.26739999999999997</v>
      </c>
      <c r="AB295" s="158">
        <f t="shared" ca="1" si="508"/>
        <v>0</v>
      </c>
      <c r="AC295" s="158">
        <f t="shared" ca="1" si="509"/>
        <v>0</v>
      </c>
      <c r="AD295" s="164"/>
      <c r="AE295" s="148">
        <f t="shared" si="495"/>
        <v>0</v>
      </c>
      <c r="AF295" s="149"/>
      <c r="AG295" s="150"/>
      <c r="AH295" s="159" t="e">
        <f t="shared" si="496"/>
        <v>#DIV/0!</v>
      </c>
      <c r="AI295" s="205"/>
      <c r="AJ295" s="204">
        <v>53</v>
      </c>
      <c r="AK295" s="199">
        <f t="shared" si="510"/>
        <v>0</v>
      </c>
      <c r="AM295" s="105"/>
      <c r="AN295" s="105"/>
      <c r="AO295" s="105"/>
      <c r="AP295" s="105"/>
      <c r="AQ295" s="105"/>
      <c r="AR295" s="105"/>
    </row>
    <row r="296" spans="1:44" s="49" customFormat="1" ht="40.15" hidden="1" customHeight="1">
      <c r="A296" s="152">
        <f t="shared" ca="1" si="497"/>
        <v>0</v>
      </c>
      <c r="B296" s="153" t="s">
        <v>177</v>
      </c>
      <c r="C296" s="154" t="str">
        <f t="shared" si="498"/>
        <v>DR/0206</v>
      </c>
      <c r="D296" s="154" t="s">
        <v>3549</v>
      </c>
      <c r="E296" s="155" t="s">
        <v>3762</v>
      </c>
      <c r="F296" s="154"/>
      <c r="G296" s="154" t="s">
        <v>1412</v>
      </c>
      <c r="H296" s="152">
        <v>7079.69</v>
      </c>
      <c r="I296" s="152">
        <v>6794.56</v>
      </c>
      <c r="J296" s="156"/>
      <c r="K296" s="156">
        <f>Dre_Disp_Estruturais!AI99</f>
        <v>0</v>
      </c>
      <c r="L296" s="156">
        <f t="shared" si="499"/>
        <v>0</v>
      </c>
      <c r="M296" s="156">
        <f t="shared" si="500"/>
        <v>0</v>
      </c>
      <c r="N296" s="156" t="s">
        <v>83</v>
      </c>
      <c r="O296" s="157" cm="1">
        <f t="array" ref="O296">TRUNC($H296*(1+_xlfn.SWITCH($N296,"BDI 1",$O$6,"BDI 2",$O$7,"BDI 3",$O$8)),2)</f>
        <v>8545.18</v>
      </c>
      <c r="P296" s="157" cm="1">
        <f t="array" ref="P296">TRUNC($I296*(1+_xlfn.SWITCH($N296,"BDI 1",$P$6,"BDI 2",$P$7,"BDI 3",$P$8)),2)</f>
        <v>8611.42</v>
      </c>
      <c r="Q296" s="157">
        <v>0</v>
      </c>
      <c r="R296" s="157">
        <f t="shared" si="501"/>
        <v>0</v>
      </c>
      <c r="S296" s="156">
        <f t="shared" si="502"/>
        <v>0</v>
      </c>
      <c r="T296" s="156">
        <f t="shared" si="503"/>
        <v>0</v>
      </c>
      <c r="U296" s="156">
        <f t="shared" si="504"/>
        <v>0</v>
      </c>
      <c r="V296" s="156">
        <f t="shared" si="505"/>
        <v>0</v>
      </c>
      <c r="W296" s="156">
        <f t="shared" si="492"/>
        <v>0</v>
      </c>
      <c r="X296" s="158">
        <f t="shared" ref="X296" si="541">$S296/ORCAMENTO_VALOR_TOTAL_ND</f>
        <v>0</v>
      </c>
      <c r="Y296" s="158">
        <f t="shared" ref="Y296" si="542">$T296/ORCAMENTO_VALOR_TOTAL_DE</f>
        <v>0</v>
      </c>
      <c r="Z296" s="158" cm="1">
        <f t="array" ref="Z296">_xlfn.SWITCH($N296,"BDI 1",$O$6,"BDI 2",$O$7,"BDI 3",$O$8)</f>
        <v>0.20699999999999999</v>
      </c>
      <c r="AA296" s="158" cm="1">
        <f t="array" ref="AA296">_xlfn.SWITCH($N296,"BDI 1",$P$6,"BDI 2",$P$7,"BDI 3",$P$8)</f>
        <v>0.26739999999999997</v>
      </c>
      <c r="AB296" s="158">
        <f t="shared" ca="1" si="508"/>
        <v>0</v>
      </c>
      <c r="AC296" s="158">
        <f t="shared" ca="1" si="509"/>
        <v>0</v>
      </c>
      <c r="AD296" s="164"/>
      <c r="AE296" s="148">
        <f t="shared" si="495"/>
        <v>0</v>
      </c>
      <c r="AF296" s="149"/>
      <c r="AG296" s="150"/>
      <c r="AH296" s="159" t="e">
        <f t="shared" si="496"/>
        <v>#DIV/0!</v>
      </c>
      <c r="AI296" s="160"/>
      <c r="AJ296" s="204">
        <v>0</v>
      </c>
      <c r="AK296" s="199">
        <f t="shared" si="510"/>
        <v>0</v>
      </c>
      <c r="AM296" s="105"/>
      <c r="AN296" s="105"/>
      <c r="AO296" s="105"/>
      <c r="AP296" s="105"/>
      <c r="AQ296" s="105"/>
      <c r="AR296" s="105"/>
    </row>
    <row r="297" spans="1:44" s="49" customFormat="1" ht="40.15" hidden="1" customHeight="1">
      <c r="A297" s="152">
        <f t="shared" ca="1" si="497"/>
        <v>0</v>
      </c>
      <c r="B297" s="153" t="s">
        <v>178</v>
      </c>
      <c r="C297" s="154" t="str">
        <f t="shared" si="498"/>
        <v>DR/0211</v>
      </c>
      <c r="D297" s="154" t="s">
        <v>3549</v>
      </c>
      <c r="E297" s="155" t="s">
        <v>3763</v>
      </c>
      <c r="F297" s="154"/>
      <c r="G297" s="154" t="s">
        <v>1412</v>
      </c>
      <c r="H297" s="152">
        <v>7559.63</v>
      </c>
      <c r="I297" s="152">
        <v>7252.33</v>
      </c>
      <c r="J297" s="156"/>
      <c r="K297" s="156">
        <f>Dre_Disp_Estruturais!AI100</f>
        <v>0</v>
      </c>
      <c r="L297" s="156">
        <f t="shared" si="499"/>
        <v>0</v>
      </c>
      <c r="M297" s="156">
        <f t="shared" si="500"/>
        <v>0</v>
      </c>
      <c r="N297" s="156" t="s">
        <v>83</v>
      </c>
      <c r="O297" s="157" cm="1">
        <f t="array" ref="O297">TRUNC($H297*(1+_xlfn.SWITCH($N297,"BDI 1",$O$6,"BDI 2",$O$7,"BDI 3",$O$8)),2)</f>
        <v>9124.4699999999993</v>
      </c>
      <c r="P297" s="157" cm="1">
        <f t="array" ref="P297">TRUNC($I297*(1+_xlfn.SWITCH($N297,"BDI 1",$P$6,"BDI 2",$P$7,"BDI 3",$P$8)),2)</f>
        <v>9191.6</v>
      </c>
      <c r="Q297" s="157">
        <v>0</v>
      </c>
      <c r="R297" s="157">
        <f t="shared" si="501"/>
        <v>0</v>
      </c>
      <c r="S297" s="156">
        <f t="shared" si="502"/>
        <v>0</v>
      </c>
      <c r="T297" s="156">
        <f t="shared" si="503"/>
        <v>0</v>
      </c>
      <c r="U297" s="156">
        <f t="shared" si="504"/>
        <v>0</v>
      </c>
      <c r="V297" s="156">
        <f t="shared" si="505"/>
        <v>0</v>
      </c>
      <c r="W297" s="156">
        <f t="shared" si="492"/>
        <v>0</v>
      </c>
      <c r="X297" s="158">
        <f t="shared" ref="X297" si="543">$S297/ORCAMENTO_VALOR_TOTAL_ND</f>
        <v>0</v>
      </c>
      <c r="Y297" s="158">
        <f t="shared" ref="Y297" si="544">$T297/ORCAMENTO_VALOR_TOTAL_DE</f>
        <v>0</v>
      </c>
      <c r="Z297" s="158" cm="1">
        <f t="array" ref="Z297">_xlfn.SWITCH($N297,"BDI 1",$O$6,"BDI 2",$O$7,"BDI 3",$O$8)</f>
        <v>0.20699999999999999</v>
      </c>
      <c r="AA297" s="158" cm="1">
        <f t="array" ref="AA297">_xlfn.SWITCH($N297,"BDI 1",$P$6,"BDI 2",$P$7,"BDI 3",$P$8)</f>
        <v>0.26739999999999997</v>
      </c>
      <c r="AB297" s="158">
        <f t="shared" ca="1" si="508"/>
        <v>0</v>
      </c>
      <c r="AC297" s="158">
        <f t="shared" ca="1" si="509"/>
        <v>0</v>
      </c>
      <c r="AD297" s="164"/>
      <c r="AE297" s="148">
        <f t="shared" si="495"/>
        <v>0</v>
      </c>
      <c r="AF297" s="149"/>
      <c r="AG297" s="150"/>
      <c r="AH297" s="159" t="e">
        <f t="shared" si="496"/>
        <v>#DIV/0!</v>
      </c>
      <c r="AI297" s="160"/>
      <c r="AJ297" s="204">
        <v>0</v>
      </c>
      <c r="AK297" s="199">
        <f t="shared" si="510"/>
        <v>0</v>
      </c>
      <c r="AM297" s="105"/>
      <c r="AN297" s="105"/>
      <c r="AO297" s="105"/>
      <c r="AP297" s="105"/>
      <c r="AQ297" s="105"/>
      <c r="AR297" s="105"/>
    </row>
    <row r="298" spans="1:44" s="49" customFormat="1" ht="40.15" hidden="1" customHeight="1">
      <c r="A298" s="152">
        <f t="shared" ca="1" si="497"/>
        <v>0</v>
      </c>
      <c r="B298" s="153" t="s">
        <v>179</v>
      </c>
      <c r="C298" s="154" t="str">
        <f t="shared" si="498"/>
        <v>DR/0216</v>
      </c>
      <c r="D298" s="154" t="s">
        <v>3549</v>
      </c>
      <c r="E298" s="155" t="s">
        <v>3764</v>
      </c>
      <c r="F298" s="154"/>
      <c r="G298" s="154" t="s">
        <v>1412</v>
      </c>
      <c r="H298" s="152">
        <v>9322.2999999999993</v>
      </c>
      <c r="I298" s="152">
        <v>8950.73</v>
      </c>
      <c r="J298" s="156"/>
      <c r="K298" s="156">
        <f>Dre_Disp_Estruturais!AI101</f>
        <v>0</v>
      </c>
      <c r="L298" s="156">
        <f t="shared" si="499"/>
        <v>0</v>
      </c>
      <c r="M298" s="156">
        <f t="shared" si="500"/>
        <v>0</v>
      </c>
      <c r="N298" s="156" t="s">
        <v>83</v>
      </c>
      <c r="O298" s="157" cm="1">
        <f t="array" ref="O298">TRUNC($H298*(1+_xlfn.SWITCH($N298,"BDI 1",$O$6,"BDI 2",$O$7,"BDI 3",$O$8)),2)</f>
        <v>11252.01</v>
      </c>
      <c r="P298" s="157" cm="1">
        <f t="array" ref="P298">TRUNC($I298*(1+_xlfn.SWITCH($N298,"BDI 1",$P$6,"BDI 2",$P$7,"BDI 3",$P$8)),2)</f>
        <v>11344.15</v>
      </c>
      <c r="Q298" s="157">
        <v>0</v>
      </c>
      <c r="R298" s="157">
        <f t="shared" si="501"/>
        <v>0</v>
      </c>
      <c r="S298" s="156">
        <f t="shared" si="502"/>
        <v>0</v>
      </c>
      <c r="T298" s="156">
        <f t="shared" si="503"/>
        <v>0</v>
      </c>
      <c r="U298" s="156">
        <f t="shared" si="504"/>
        <v>0</v>
      </c>
      <c r="V298" s="156">
        <f t="shared" si="505"/>
        <v>0</v>
      </c>
      <c r="W298" s="156">
        <f t="shared" si="492"/>
        <v>0</v>
      </c>
      <c r="X298" s="158">
        <f t="shared" ref="X298" si="545">$S298/ORCAMENTO_VALOR_TOTAL_ND</f>
        <v>0</v>
      </c>
      <c r="Y298" s="158">
        <f t="shared" ref="Y298" si="546">$T298/ORCAMENTO_VALOR_TOTAL_DE</f>
        <v>0</v>
      </c>
      <c r="Z298" s="158" cm="1">
        <f t="array" ref="Z298">_xlfn.SWITCH($N298,"BDI 1",$O$6,"BDI 2",$O$7,"BDI 3",$O$8)</f>
        <v>0.20699999999999999</v>
      </c>
      <c r="AA298" s="158" cm="1">
        <f t="array" ref="AA298">_xlfn.SWITCH($N298,"BDI 1",$P$6,"BDI 2",$P$7,"BDI 3",$P$8)</f>
        <v>0.26739999999999997</v>
      </c>
      <c r="AB298" s="158">
        <f t="shared" ca="1" si="508"/>
        <v>0</v>
      </c>
      <c r="AC298" s="158">
        <f t="shared" ca="1" si="509"/>
        <v>0</v>
      </c>
      <c r="AD298" s="164"/>
      <c r="AE298" s="148">
        <f t="shared" si="495"/>
        <v>0</v>
      </c>
      <c r="AF298" s="149"/>
      <c r="AG298" s="150"/>
      <c r="AH298" s="159" t="e">
        <f t="shared" si="496"/>
        <v>#DIV/0!</v>
      </c>
      <c r="AI298" s="160"/>
      <c r="AJ298" s="204">
        <v>0</v>
      </c>
      <c r="AK298" s="199">
        <f t="shared" si="510"/>
        <v>0</v>
      </c>
      <c r="AM298" s="105"/>
      <c r="AN298" s="105"/>
      <c r="AO298" s="105"/>
      <c r="AP298" s="105"/>
      <c r="AQ298" s="105"/>
      <c r="AR298" s="105"/>
    </row>
    <row r="299" spans="1:44" s="49" customFormat="1" ht="49.9" hidden="1" customHeight="1">
      <c r="A299" s="152">
        <f t="shared" ca="1" si="497"/>
        <v>0</v>
      </c>
      <c r="B299" s="153" t="s">
        <v>180</v>
      </c>
      <c r="C299" s="154" t="str">
        <f t="shared" si="498"/>
        <v>DR/0235</v>
      </c>
      <c r="D299" s="154" t="s">
        <v>3549</v>
      </c>
      <c r="E299" s="155" t="s">
        <v>3765</v>
      </c>
      <c r="F299" s="154"/>
      <c r="G299" s="154" t="s">
        <v>1412</v>
      </c>
      <c r="H299" s="152">
        <v>5012.82</v>
      </c>
      <c r="I299" s="152">
        <v>4843.41</v>
      </c>
      <c r="J299" s="156"/>
      <c r="K299" s="156">
        <f>Dre_Disp_Estruturais!AI102</f>
        <v>0</v>
      </c>
      <c r="L299" s="156">
        <f t="shared" si="499"/>
        <v>0</v>
      </c>
      <c r="M299" s="156">
        <f t="shared" si="500"/>
        <v>0</v>
      </c>
      <c r="N299" s="156" t="s">
        <v>83</v>
      </c>
      <c r="O299" s="157" cm="1">
        <f t="array" ref="O299">TRUNC($H299*(1+_xlfn.SWITCH($N299,"BDI 1",$O$6,"BDI 2",$O$7,"BDI 3",$O$8)),2)</f>
        <v>6050.47</v>
      </c>
      <c r="P299" s="157" cm="1">
        <f t="array" ref="P299">TRUNC($I299*(1+_xlfn.SWITCH($N299,"BDI 1",$P$6,"BDI 2",$P$7,"BDI 3",$P$8)),2)</f>
        <v>6138.53</v>
      </c>
      <c r="Q299" s="157">
        <v>0</v>
      </c>
      <c r="R299" s="157">
        <f t="shared" si="501"/>
        <v>0</v>
      </c>
      <c r="S299" s="156">
        <f t="shared" si="502"/>
        <v>0</v>
      </c>
      <c r="T299" s="156">
        <f t="shared" si="503"/>
        <v>0</v>
      </c>
      <c r="U299" s="156">
        <f t="shared" si="504"/>
        <v>0</v>
      </c>
      <c r="V299" s="156">
        <f t="shared" si="505"/>
        <v>0</v>
      </c>
      <c r="W299" s="156">
        <f t="shared" si="492"/>
        <v>0</v>
      </c>
      <c r="X299" s="158">
        <f t="shared" ref="X299" si="547">$S299/ORCAMENTO_VALOR_TOTAL_ND</f>
        <v>0</v>
      </c>
      <c r="Y299" s="158">
        <f t="shared" ref="Y299" si="548">$T299/ORCAMENTO_VALOR_TOTAL_DE</f>
        <v>0</v>
      </c>
      <c r="Z299" s="158" cm="1">
        <f t="array" ref="Z299">_xlfn.SWITCH($N299,"BDI 1",$O$6,"BDI 2",$O$7,"BDI 3",$O$8)</f>
        <v>0.20699999999999999</v>
      </c>
      <c r="AA299" s="158" cm="1">
        <f t="array" ref="AA299">_xlfn.SWITCH($N299,"BDI 1",$P$6,"BDI 2",$P$7,"BDI 3",$P$8)</f>
        <v>0.26739999999999997</v>
      </c>
      <c r="AB299" s="158">
        <f t="shared" ca="1" si="508"/>
        <v>0</v>
      </c>
      <c r="AC299" s="158">
        <f t="shared" ca="1" si="509"/>
        <v>0</v>
      </c>
      <c r="AD299" s="164"/>
      <c r="AE299" s="148">
        <f t="shared" si="495"/>
        <v>0</v>
      </c>
      <c r="AF299" s="149"/>
      <c r="AG299" s="150"/>
      <c r="AH299" s="159" t="e">
        <f t="shared" si="496"/>
        <v>#DIV/0!</v>
      </c>
      <c r="AI299" s="160"/>
      <c r="AJ299" s="204">
        <v>0</v>
      </c>
      <c r="AK299" s="199">
        <f t="shared" si="510"/>
        <v>0</v>
      </c>
      <c r="AM299" s="105"/>
      <c r="AN299" s="105"/>
      <c r="AO299" s="105"/>
      <c r="AP299" s="105"/>
      <c r="AQ299" s="105"/>
      <c r="AR299" s="105"/>
    </row>
    <row r="300" spans="1:44" s="49" customFormat="1" ht="40.15" hidden="1" customHeight="1">
      <c r="A300" s="152">
        <f t="shared" ca="1" si="497"/>
        <v>0</v>
      </c>
      <c r="B300" s="153" t="s">
        <v>181</v>
      </c>
      <c r="C300" s="154" t="str">
        <f t="shared" si="498"/>
        <v>DR/0240</v>
      </c>
      <c r="D300" s="154">
        <v>0</v>
      </c>
      <c r="E300" s="155" t="s">
        <v>3766</v>
      </c>
      <c r="F300" s="154"/>
      <c r="G300" s="154">
        <v>0</v>
      </c>
      <c r="H300" s="152">
        <v>0</v>
      </c>
      <c r="I300" s="152">
        <v>0</v>
      </c>
      <c r="J300" s="156"/>
      <c r="K300" s="156">
        <f>Dre_Disp_Estruturais!AI103</f>
        <v>0</v>
      </c>
      <c r="L300" s="156">
        <f t="shared" si="499"/>
        <v>0</v>
      </c>
      <c r="M300" s="156">
        <f t="shared" si="500"/>
        <v>0</v>
      </c>
      <c r="N300" s="156" t="s">
        <v>83</v>
      </c>
      <c r="O300" s="157" cm="1">
        <f t="array" ref="O300">TRUNC($H300*(1+_xlfn.SWITCH($N300,"BDI 1",$O$6,"BDI 2",$O$7,"BDI 3",$O$8)),2)</f>
        <v>0</v>
      </c>
      <c r="P300" s="157" cm="1">
        <f t="array" ref="P300">TRUNC($I300*(1+_xlfn.SWITCH($N300,"BDI 1",$P$6,"BDI 2",$P$7,"BDI 3",$P$8)),2)</f>
        <v>0</v>
      </c>
      <c r="Q300" s="157">
        <v>0</v>
      </c>
      <c r="R300" s="157">
        <f t="shared" si="501"/>
        <v>0</v>
      </c>
      <c r="S300" s="156">
        <f t="shared" si="502"/>
        <v>0</v>
      </c>
      <c r="T300" s="156">
        <f t="shared" si="503"/>
        <v>0</v>
      </c>
      <c r="U300" s="156">
        <f t="shared" si="504"/>
        <v>0</v>
      </c>
      <c r="V300" s="156">
        <f t="shared" si="505"/>
        <v>0</v>
      </c>
      <c r="W300" s="156">
        <f t="shared" si="492"/>
        <v>0</v>
      </c>
      <c r="X300" s="158">
        <f t="shared" ref="X300" si="549">$S300/ORCAMENTO_VALOR_TOTAL_ND</f>
        <v>0</v>
      </c>
      <c r="Y300" s="158">
        <f t="shared" ref="Y300" si="550">$T300/ORCAMENTO_VALOR_TOTAL_DE</f>
        <v>0</v>
      </c>
      <c r="Z300" s="158" cm="1">
        <f t="array" ref="Z300">_xlfn.SWITCH($N300,"BDI 1",$O$6,"BDI 2",$O$7,"BDI 3",$O$8)</f>
        <v>0.20699999999999999</v>
      </c>
      <c r="AA300" s="158" cm="1">
        <f t="array" ref="AA300">_xlfn.SWITCH($N300,"BDI 1",$P$6,"BDI 2",$P$7,"BDI 3",$P$8)</f>
        <v>0.26739999999999997</v>
      </c>
      <c r="AB300" s="158">
        <f t="shared" ca="1" si="508"/>
        <v>0</v>
      </c>
      <c r="AC300" s="158">
        <f t="shared" ca="1" si="509"/>
        <v>0</v>
      </c>
      <c r="AD300" s="164"/>
      <c r="AE300" s="148">
        <f t="shared" si="495"/>
        <v>0</v>
      </c>
      <c r="AF300" s="149"/>
      <c r="AG300" s="150"/>
      <c r="AH300" s="159" t="e">
        <f t="shared" si="496"/>
        <v>#DIV/0!</v>
      </c>
      <c r="AI300" s="160"/>
      <c r="AJ300" s="204" t="e">
        <v>#N/A</v>
      </c>
      <c r="AK300" s="199" t="e">
        <f t="shared" si="510"/>
        <v>#N/A</v>
      </c>
      <c r="AM300" s="105"/>
      <c r="AN300" s="105"/>
      <c r="AO300" s="105"/>
      <c r="AP300" s="105"/>
      <c r="AQ300" s="105"/>
      <c r="AR300" s="105"/>
    </row>
    <row r="301" spans="1:44" s="49" customFormat="1" ht="49.9" hidden="1" customHeight="1">
      <c r="A301" s="152">
        <f t="shared" ca="1" si="497"/>
        <v>0</v>
      </c>
      <c r="B301" s="153" t="s">
        <v>182</v>
      </c>
      <c r="C301" s="154" t="str">
        <f t="shared" si="498"/>
        <v>DR/0250</v>
      </c>
      <c r="D301" s="154" t="s">
        <v>3549</v>
      </c>
      <c r="E301" s="155" t="s">
        <v>3767</v>
      </c>
      <c r="F301" s="154"/>
      <c r="G301" s="154" t="s">
        <v>1412</v>
      </c>
      <c r="H301" s="152">
        <v>1572</v>
      </c>
      <c r="I301" s="152">
        <v>1495.01</v>
      </c>
      <c r="J301" s="156"/>
      <c r="K301" s="156">
        <f>Dre_Disp_Estruturais!AI104</f>
        <v>0</v>
      </c>
      <c r="L301" s="156">
        <f t="shared" si="499"/>
        <v>0</v>
      </c>
      <c r="M301" s="156">
        <f t="shared" si="500"/>
        <v>0</v>
      </c>
      <c r="N301" s="156" t="s">
        <v>83</v>
      </c>
      <c r="O301" s="157" cm="1">
        <f t="array" ref="O301">TRUNC($H301*(1+_xlfn.SWITCH($N301,"BDI 1",$O$6,"BDI 2",$O$7,"BDI 3",$O$8)),2)</f>
        <v>1897.4</v>
      </c>
      <c r="P301" s="157" cm="1">
        <f t="array" ref="P301">TRUNC($I301*(1+_xlfn.SWITCH($N301,"BDI 1",$P$6,"BDI 2",$P$7,"BDI 3",$P$8)),2)</f>
        <v>1894.77</v>
      </c>
      <c r="Q301" s="157">
        <v>0</v>
      </c>
      <c r="R301" s="157">
        <f t="shared" si="501"/>
        <v>0</v>
      </c>
      <c r="S301" s="156">
        <f t="shared" si="502"/>
        <v>0</v>
      </c>
      <c r="T301" s="156">
        <f t="shared" si="503"/>
        <v>0</v>
      </c>
      <c r="U301" s="156">
        <f t="shared" si="504"/>
        <v>0</v>
      </c>
      <c r="V301" s="156">
        <f t="shared" si="505"/>
        <v>0</v>
      </c>
      <c r="W301" s="156">
        <f t="shared" si="492"/>
        <v>0</v>
      </c>
      <c r="X301" s="158">
        <f t="shared" ref="X301" si="551">$S301/ORCAMENTO_VALOR_TOTAL_ND</f>
        <v>0</v>
      </c>
      <c r="Y301" s="158">
        <f t="shared" ref="Y301" si="552">$T301/ORCAMENTO_VALOR_TOTAL_DE</f>
        <v>0</v>
      </c>
      <c r="Z301" s="158" cm="1">
        <f t="array" ref="Z301">_xlfn.SWITCH($N301,"BDI 1",$O$6,"BDI 2",$O$7,"BDI 3",$O$8)</f>
        <v>0.20699999999999999</v>
      </c>
      <c r="AA301" s="158" cm="1">
        <f t="array" ref="AA301">_xlfn.SWITCH($N301,"BDI 1",$P$6,"BDI 2",$P$7,"BDI 3",$P$8)</f>
        <v>0.26739999999999997</v>
      </c>
      <c r="AB301" s="158">
        <f t="shared" ca="1" si="508"/>
        <v>0</v>
      </c>
      <c r="AC301" s="158">
        <f t="shared" ca="1" si="509"/>
        <v>0</v>
      </c>
      <c r="AD301" s="164"/>
      <c r="AE301" s="148">
        <f t="shared" si="495"/>
        <v>0</v>
      </c>
      <c r="AF301" s="149"/>
      <c r="AG301" s="150"/>
      <c r="AH301" s="159" t="e">
        <f t="shared" si="496"/>
        <v>#DIV/0!</v>
      </c>
      <c r="AI301" s="2420">
        <v>0</v>
      </c>
      <c r="AJ301" s="204">
        <v>0</v>
      </c>
      <c r="AK301" s="199">
        <f t="shared" si="510"/>
        <v>0</v>
      </c>
      <c r="AM301" s="105"/>
      <c r="AN301" s="105"/>
      <c r="AO301" s="105"/>
      <c r="AP301" s="105"/>
      <c r="AQ301" s="105"/>
      <c r="AR301" s="105"/>
    </row>
    <row r="302" spans="1:44" s="49" customFormat="1" ht="49.9" hidden="1" customHeight="1">
      <c r="A302" s="152">
        <f t="shared" ca="1" si="497"/>
        <v>0</v>
      </c>
      <c r="B302" s="153" t="s">
        <v>183</v>
      </c>
      <c r="C302" s="154" t="str">
        <f t="shared" si="498"/>
        <v>DR/0255</v>
      </c>
      <c r="D302" s="154" t="s">
        <v>3549</v>
      </c>
      <c r="E302" s="155" t="s">
        <v>3768</v>
      </c>
      <c r="F302" s="154"/>
      <c r="G302" s="154" t="s">
        <v>1412</v>
      </c>
      <c r="H302" s="152">
        <v>2608.59</v>
      </c>
      <c r="I302" s="152">
        <v>2466.9899999999998</v>
      </c>
      <c r="J302" s="156"/>
      <c r="K302" s="156">
        <f>Dre_Disp_Estruturais!AI105</f>
        <v>0</v>
      </c>
      <c r="L302" s="156">
        <f t="shared" si="499"/>
        <v>0</v>
      </c>
      <c r="M302" s="156">
        <f t="shared" si="500"/>
        <v>0</v>
      </c>
      <c r="N302" s="156" t="s">
        <v>83</v>
      </c>
      <c r="O302" s="157" cm="1">
        <f t="array" ref="O302">TRUNC($H302*(1+_xlfn.SWITCH($N302,"BDI 1",$O$6,"BDI 2",$O$7,"BDI 3",$O$8)),2)</f>
        <v>3148.56</v>
      </c>
      <c r="P302" s="157" cm="1">
        <f t="array" ref="P302">TRUNC($I302*(1+_xlfn.SWITCH($N302,"BDI 1",$P$6,"BDI 2",$P$7,"BDI 3",$P$8)),2)</f>
        <v>3126.66</v>
      </c>
      <c r="Q302" s="157">
        <v>0</v>
      </c>
      <c r="R302" s="157">
        <f t="shared" si="501"/>
        <v>0</v>
      </c>
      <c r="S302" s="156">
        <f t="shared" si="502"/>
        <v>0</v>
      </c>
      <c r="T302" s="156">
        <f t="shared" si="503"/>
        <v>0</v>
      </c>
      <c r="U302" s="156">
        <f t="shared" si="504"/>
        <v>0</v>
      </c>
      <c r="V302" s="156">
        <f t="shared" si="505"/>
        <v>0</v>
      </c>
      <c r="W302" s="156">
        <f t="shared" si="492"/>
        <v>0</v>
      </c>
      <c r="X302" s="158">
        <f t="shared" ref="X302" si="553">$S302/ORCAMENTO_VALOR_TOTAL_ND</f>
        <v>0</v>
      </c>
      <c r="Y302" s="158">
        <f t="shared" ref="Y302" si="554">$T302/ORCAMENTO_VALOR_TOTAL_DE</f>
        <v>0</v>
      </c>
      <c r="Z302" s="158" cm="1">
        <f t="array" ref="Z302">_xlfn.SWITCH($N302,"BDI 1",$O$6,"BDI 2",$O$7,"BDI 3",$O$8)</f>
        <v>0.20699999999999999</v>
      </c>
      <c r="AA302" s="158" cm="1">
        <f t="array" ref="AA302">_xlfn.SWITCH($N302,"BDI 1",$P$6,"BDI 2",$P$7,"BDI 3",$P$8)</f>
        <v>0.26739999999999997</v>
      </c>
      <c r="AB302" s="158">
        <f t="shared" ca="1" si="508"/>
        <v>0</v>
      </c>
      <c r="AC302" s="158">
        <f t="shared" ca="1" si="509"/>
        <v>0</v>
      </c>
      <c r="AD302" s="164"/>
      <c r="AE302" s="148">
        <f t="shared" si="495"/>
        <v>0</v>
      </c>
      <c r="AF302" s="149"/>
      <c r="AG302" s="150"/>
      <c r="AH302" s="159" t="e">
        <f t="shared" si="496"/>
        <v>#DIV/0!</v>
      </c>
      <c r="AI302" s="2420"/>
      <c r="AJ302" s="204">
        <v>0</v>
      </c>
      <c r="AK302" s="199">
        <f t="shared" si="510"/>
        <v>0</v>
      </c>
      <c r="AM302" s="105"/>
      <c r="AN302" s="105"/>
      <c r="AO302" s="105"/>
      <c r="AP302" s="105"/>
      <c r="AQ302" s="105"/>
      <c r="AR302" s="105"/>
    </row>
    <row r="303" spans="1:44" s="49" customFormat="1" ht="49.9" hidden="1" customHeight="1">
      <c r="A303" s="152">
        <f t="shared" ca="1" si="497"/>
        <v>0</v>
      </c>
      <c r="B303" s="153" t="s">
        <v>184</v>
      </c>
      <c r="C303" s="154" t="str">
        <f t="shared" si="498"/>
        <v>DR/0260</v>
      </c>
      <c r="D303" s="154" t="s">
        <v>3549</v>
      </c>
      <c r="E303" s="155" t="s">
        <v>3769</v>
      </c>
      <c r="F303" s="154"/>
      <c r="G303" s="154" t="s">
        <v>1412</v>
      </c>
      <c r="H303" s="152">
        <v>3644.42</v>
      </c>
      <c r="I303" s="152">
        <v>3438.34</v>
      </c>
      <c r="J303" s="156"/>
      <c r="K303" s="156">
        <f>Dre_Disp_Estruturais!AI106</f>
        <v>0</v>
      </c>
      <c r="L303" s="156">
        <f t="shared" si="499"/>
        <v>0</v>
      </c>
      <c r="M303" s="156">
        <f t="shared" si="500"/>
        <v>0</v>
      </c>
      <c r="N303" s="156" t="s">
        <v>83</v>
      </c>
      <c r="O303" s="157" cm="1">
        <f t="array" ref="O303">TRUNC($H303*(1+_xlfn.SWITCH($N303,"BDI 1",$O$6,"BDI 2",$O$7,"BDI 3",$O$8)),2)</f>
        <v>4398.8100000000004</v>
      </c>
      <c r="P303" s="157" cm="1">
        <f t="array" ref="P303">TRUNC($I303*(1+_xlfn.SWITCH($N303,"BDI 1",$P$6,"BDI 2",$P$7,"BDI 3",$P$8)),2)</f>
        <v>4357.75</v>
      </c>
      <c r="Q303" s="157">
        <v>0</v>
      </c>
      <c r="R303" s="157">
        <f t="shared" si="501"/>
        <v>0</v>
      </c>
      <c r="S303" s="156">
        <f t="shared" si="502"/>
        <v>0</v>
      </c>
      <c r="T303" s="156">
        <f t="shared" si="503"/>
        <v>0</v>
      </c>
      <c r="U303" s="156">
        <f t="shared" si="504"/>
        <v>0</v>
      </c>
      <c r="V303" s="156">
        <f t="shared" si="505"/>
        <v>0</v>
      </c>
      <c r="W303" s="156">
        <f t="shared" si="492"/>
        <v>0</v>
      </c>
      <c r="X303" s="158">
        <f t="shared" ref="X303" si="555">$S303/ORCAMENTO_VALOR_TOTAL_ND</f>
        <v>0</v>
      </c>
      <c r="Y303" s="158">
        <f t="shared" ref="Y303" si="556">$T303/ORCAMENTO_VALOR_TOTAL_DE</f>
        <v>0</v>
      </c>
      <c r="Z303" s="158" cm="1">
        <f t="array" ref="Z303">_xlfn.SWITCH($N303,"BDI 1",$O$6,"BDI 2",$O$7,"BDI 3",$O$8)</f>
        <v>0.20699999999999999</v>
      </c>
      <c r="AA303" s="158" cm="1">
        <f t="array" ref="AA303">_xlfn.SWITCH($N303,"BDI 1",$P$6,"BDI 2",$P$7,"BDI 3",$P$8)</f>
        <v>0.26739999999999997</v>
      </c>
      <c r="AB303" s="158">
        <f t="shared" ca="1" si="508"/>
        <v>0</v>
      </c>
      <c r="AC303" s="158">
        <f t="shared" ca="1" si="509"/>
        <v>0</v>
      </c>
      <c r="AD303" s="164"/>
      <c r="AE303" s="148">
        <f t="shared" si="495"/>
        <v>0</v>
      </c>
      <c r="AF303" s="149"/>
      <c r="AG303" s="150"/>
      <c r="AH303" s="159" t="e">
        <f t="shared" si="496"/>
        <v>#DIV/0!</v>
      </c>
      <c r="AI303" s="2420"/>
      <c r="AJ303" s="204">
        <v>0</v>
      </c>
      <c r="AK303" s="199">
        <f t="shared" si="510"/>
        <v>0</v>
      </c>
      <c r="AM303" s="105"/>
      <c r="AN303" s="105"/>
      <c r="AO303" s="105"/>
      <c r="AP303" s="105"/>
      <c r="AQ303" s="105"/>
      <c r="AR303" s="105"/>
    </row>
    <row r="304" spans="1:44" s="49" customFormat="1" ht="49.9" hidden="1" customHeight="1">
      <c r="A304" s="152">
        <f t="shared" ca="1" si="497"/>
        <v>0</v>
      </c>
      <c r="B304" s="153" t="s">
        <v>185</v>
      </c>
      <c r="C304" s="154" t="str">
        <f t="shared" si="498"/>
        <v>DR/0265</v>
      </c>
      <c r="D304" s="154" t="s">
        <v>3549</v>
      </c>
      <c r="E304" s="155" t="s">
        <v>3770</v>
      </c>
      <c r="F304" s="154"/>
      <c r="G304" s="154" t="s">
        <v>1412</v>
      </c>
      <c r="H304" s="152">
        <v>1769.76</v>
      </c>
      <c r="I304" s="152">
        <v>1695.65</v>
      </c>
      <c r="J304" s="156"/>
      <c r="K304" s="156">
        <f>Dre_Disp_Estruturais!AI107</f>
        <v>0</v>
      </c>
      <c r="L304" s="156">
        <f t="shared" si="499"/>
        <v>0</v>
      </c>
      <c r="M304" s="156">
        <f t="shared" si="500"/>
        <v>0</v>
      </c>
      <c r="N304" s="156" t="s">
        <v>83</v>
      </c>
      <c r="O304" s="157" cm="1">
        <f t="array" ref="O304">TRUNC($H304*(1+_xlfn.SWITCH($N304,"BDI 1",$O$6,"BDI 2",$O$7,"BDI 3",$O$8)),2)</f>
        <v>2136.1</v>
      </c>
      <c r="P304" s="157" cm="1">
        <f t="array" ref="P304">TRUNC($I304*(1+_xlfn.SWITCH($N304,"BDI 1",$P$6,"BDI 2",$P$7,"BDI 3",$P$8)),2)</f>
        <v>2149.06</v>
      </c>
      <c r="Q304" s="157">
        <v>0</v>
      </c>
      <c r="R304" s="157">
        <f t="shared" si="501"/>
        <v>0</v>
      </c>
      <c r="S304" s="156">
        <f t="shared" si="502"/>
        <v>0</v>
      </c>
      <c r="T304" s="156">
        <f t="shared" si="503"/>
        <v>0</v>
      </c>
      <c r="U304" s="156">
        <f t="shared" si="504"/>
        <v>0</v>
      </c>
      <c r="V304" s="156">
        <f t="shared" si="505"/>
        <v>0</v>
      </c>
      <c r="W304" s="156">
        <f t="shared" si="492"/>
        <v>0</v>
      </c>
      <c r="X304" s="158">
        <f t="shared" ref="X304" si="557">$S304/ORCAMENTO_VALOR_TOTAL_ND</f>
        <v>0</v>
      </c>
      <c r="Y304" s="158">
        <f t="shared" ref="Y304" si="558">$T304/ORCAMENTO_VALOR_TOTAL_DE</f>
        <v>0</v>
      </c>
      <c r="Z304" s="158" cm="1">
        <f t="array" ref="Z304">_xlfn.SWITCH($N304,"BDI 1",$O$6,"BDI 2",$O$7,"BDI 3",$O$8)</f>
        <v>0.20699999999999999</v>
      </c>
      <c r="AA304" s="158" cm="1">
        <f t="array" ref="AA304">_xlfn.SWITCH($N304,"BDI 1",$P$6,"BDI 2",$P$7,"BDI 3",$P$8)</f>
        <v>0.26739999999999997</v>
      </c>
      <c r="AB304" s="158">
        <f t="shared" ca="1" si="508"/>
        <v>0</v>
      </c>
      <c r="AC304" s="158">
        <f t="shared" ca="1" si="509"/>
        <v>0</v>
      </c>
      <c r="AD304" s="164"/>
      <c r="AE304" s="148">
        <f t="shared" si="495"/>
        <v>0</v>
      </c>
      <c r="AF304" s="149"/>
      <c r="AG304" s="150"/>
      <c r="AH304" s="159" t="e">
        <f t="shared" si="496"/>
        <v>#DIV/0!</v>
      </c>
      <c r="AI304" s="2421">
        <v>0</v>
      </c>
      <c r="AJ304" s="204">
        <v>0</v>
      </c>
      <c r="AK304" s="199">
        <f t="shared" si="510"/>
        <v>0</v>
      </c>
      <c r="AM304" s="105"/>
      <c r="AN304" s="105"/>
      <c r="AO304" s="105"/>
      <c r="AP304" s="105"/>
      <c r="AQ304" s="105"/>
      <c r="AR304" s="105"/>
    </row>
    <row r="305" spans="1:44" s="49" customFormat="1" ht="49.9" hidden="1" customHeight="1">
      <c r="A305" s="152">
        <f t="shared" ca="1" si="497"/>
        <v>0</v>
      </c>
      <c r="B305" s="153" t="s">
        <v>186</v>
      </c>
      <c r="C305" s="154" t="str">
        <f t="shared" si="498"/>
        <v>DR/0270</v>
      </c>
      <c r="D305" s="154" t="s">
        <v>3549</v>
      </c>
      <c r="E305" s="155" t="s">
        <v>3771</v>
      </c>
      <c r="F305" s="154"/>
      <c r="G305" s="154" t="s">
        <v>1412</v>
      </c>
      <c r="H305" s="152">
        <v>3308.36</v>
      </c>
      <c r="I305" s="152">
        <v>3175.45</v>
      </c>
      <c r="J305" s="156"/>
      <c r="K305" s="156">
        <f>Dre_Disp_Estruturais!AI108</f>
        <v>0</v>
      </c>
      <c r="L305" s="156">
        <f t="shared" si="499"/>
        <v>0</v>
      </c>
      <c r="M305" s="156">
        <f t="shared" si="500"/>
        <v>0</v>
      </c>
      <c r="N305" s="156" t="s">
        <v>83</v>
      </c>
      <c r="O305" s="157" cm="1">
        <f t="array" ref="O305">TRUNC($H305*(1+_xlfn.SWITCH($N305,"BDI 1",$O$6,"BDI 2",$O$7,"BDI 3",$O$8)),2)</f>
        <v>3993.19</v>
      </c>
      <c r="P305" s="157" cm="1">
        <f t="array" ref="P305">TRUNC($I305*(1+_xlfn.SWITCH($N305,"BDI 1",$P$6,"BDI 2",$P$7,"BDI 3",$P$8)),2)</f>
        <v>4024.56</v>
      </c>
      <c r="Q305" s="157">
        <v>0</v>
      </c>
      <c r="R305" s="157">
        <f t="shared" si="501"/>
        <v>0</v>
      </c>
      <c r="S305" s="156">
        <f t="shared" si="502"/>
        <v>0</v>
      </c>
      <c r="T305" s="156">
        <f t="shared" si="503"/>
        <v>0</v>
      </c>
      <c r="U305" s="156">
        <f t="shared" si="504"/>
        <v>0</v>
      </c>
      <c r="V305" s="156">
        <f t="shared" si="505"/>
        <v>0</v>
      </c>
      <c r="W305" s="156">
        <f t="shared" si="492"/>
        <v>0</v>
      </c>
      <c r="X305" s="158">
        <f t="shared" ref="X305" si="559">$S305/ORCAMENTO_VALOR_TOTAL_ND</f>
        <v>0</v>
      </c>
      <c r="Y305" s="158">
        <f t="shared" ref="Y305" si="560">$T305/ORCAMENTO_VALOR_TOTAL_DE</f>
        <v>0</v>
      </c>
      <c r="Z305" s="158" cm="1">
        <f t="array" ref="Z305">_xlfn.SWITCH($N305,"BDI 1",$O$6,"BDI 2",$O$7,"BDI 3",$O$8)</f>
        <v>0.20699999999999999</v>
      </c>
      <c r="AA305" s="158" cm="1">
        <f t="array" ref="AA305">_xlfn.SWITCH($N305,"BDI 1",$P$6,"BDI 2",$P$7,"BDI 3",$P$8)</f>
        <v>0.26739999999999997</v>
      </c>
      <c r="AB305" s="158">
        <f t="shared" ca="1" si="508"/>
        <v>0</v>
      </c>
      <c r="AC305" s="158">
        <f t="shared" ca="1" si="509"/>
        <v>0</v>
      </c>
      <c r="AD305" s="164"/>
      <c r="AE305" s="148">
        <f t="shared" si="495"/>
        <v>0</v>
      </c>
      <c r="AF305" s="149"/>
      <c r="AG305" s="150"/>
      <c r="AH305" s="159" t="e">
        <f t="shared" si="496"/>
        <v>#DIV/0!</v>
      </c>
      <c r="AI305" s="2421"/>
      <c r="AJ305" s="204">
        <v>0</v>
      </c>
      <c r="AK305" s="199">
        <f t="shared" si="510"/>
        <v>0</v>
      </c>
      <c r="AM305" s="105"/>
      <c r="AN305" s="105"/>
      <c r="AO305" s="105"/>
      <c r="AP305" s="105"/>
      <c r="AQ305" s="105"/>
      <c r="AR305" s="105"/>
    </row>
    <row r="306" spans="1:44" s="49" customFormat="1" ht="49.9" hidden="1" customHeight="1">
      <c r="A306" s="152">
        <f t="shared" ca="1" si="497"/>
        <v>0</v>
      </c>
      <c r="B306" s="153" t="s">
        <v>187</v>
      </c>
      <c r="C306" s="154" t="str">
        <f t="shared" si="498"/>
        <v>DR/0275</v>
      </c>
      <c r="D306" s="154" t="s">
        <v>3549</v>
      </c>
      <c r="E306" s="155" t="s">
        <v>3772</v>
      </c>
      <c r="F306" s="154"/>
      <c r="G306" s="154" t="s">
        <v>1412</v>
      </c>
      <c r="H306" s="152">
        <v>4846.95</v>
      </c>
      <c r="I306" s="152">
        <v>4655.28</v>
      </c>
      <c r="J306" s="156"/>
      <c r="K306" s="156">
        <f>Dre_Disp_Estruturais!AI109</f>
        <v>0</v>
      </c>
      <c r="L306" s="156">
        <f t="shared" si="499"/>
        <v>0</v>
      </c>
      <c r="M306" s="156">
        <f t="shared" si="500"/>
        <v>0</v>
      </c>
      <c r="N306" s="156" t="s">
        <v>83</v>
      </c>
      <c r="O306" s="157" cm="1">
        <f t="array" ref="O306">TRUNC($H306*(1+_xlfn.SWITCH($N306,"BDI 1",$O$6,"BDI 2",$O$7,"BDI 3",$O$8)),2)</f>
        <v>5850.26</v>
      </c>
      <c r="P306" s="157" cm="1">
        <f t="array" ref="P306">TRUNC($I306*(1+_xlfn.SWITCH($N306,"BDI 1",$P$6,"BDI 2",$P$7,"BDI 3",$P$8)),2)</f>
        <v>5900.1</v>
      </c>
      <c r="Q306" s="157">
        <v>0</v>
      </c>
      <c r="R306" s="157">
        <f t="shared" si="501"/>
        <v>0</v>
      </c>
      <c r="S306" s="156">
        <f t="shared" si="502"/>
        <v>0</v>
      </c>
      <c r="T306" s="156">
        <f t="shared" si="503"/>
        <v>0</v>
      </c>
      <c r="U306" s="156">
        <f t="shared" si="504"/>
        <v>0</v>
      </c>
      <c r="V306" s="156">
        <f t="shared" si="505"/>
        <v>0</v>
      </c>
      <c r="W306" s="156">
        <f t="shared" si="492"/>
        <v>0</v>
      </c>
      <c r="X306" s="158">
        <f t="shared" ref="X306" si="561">$S306/ORCAMENTO_VALOR_TOTAL_ND</f>
        <v>0</v>
      </c>
      <c r="Y306" s="158">
        <f t="shared" ref="Y306" si="562">$T306/ORCAMENTO_VALOR_TOTAL_DE</f>
        <v>0</v>
      </c>
      <c r="Z306" s="158" cm="1">
        <f t="array" ref="Z306">_xlfn.SWITCH($N306,"BDI 1",$O$6,"BDI 2",$O$7,"BDI 3",$O$8)</f>
        <v>0.20699999999999999</v>
      </c>
      <c r="AA306" s="158" cm="1">
        <f t="array" ref="AA306">_xlfn.SWITCH($N306,"BDI 1",$P$6,"BDI 2",$P$7,"BDI 3",$P$8)</f>
        <v>0.26739999999999997</v>
      </c>
      <c r="AB306" s="158">
        <f t="shared" ca="1" si="508"/>
        <v>0</v>
      </c>
      <c r="AC306" s="158">
        <f t="shared" ca="1" si="509"/>
        <v>0</v>
      </c>
      <c r="AD306" s="164"/>
      <c r="AE306" s="148">
        <f t="shared" si="495"/>
        <v>0</v>
      </c>
      <c r="AF306" s="149"/>
      <c r="AG306" s="150"/>
      <c r="AH306" s="159" t="e">
        <f t="shared" si="496"/>
        <v>#DIV/0!</v>
      </c>
      <c r="AI306" s="2421"/>
      <c r="AJ306" s="204">
        <v>0</v>
      </c>
      <c r="AK306" s="199">
        <f t="shared" si="510"/>
        <v>0</v>
      </c>
      <c r="AM306" s="105"/>
      <c r="AN306" s="105"/>
      <c r="AO306" s="105"/>
      <c r="AP306" s="105"/>
      <c r="AQ306" s="105"/>
      <c r="AR306" s="105"/>
    </row>
    <row r="307" spans="1:44" s="49" customFormat="1" ht="40.15" hidden="1" customHeight="1">
      <c r="A307" s="152">
        <f t="shared" ca="1" si="497"/>
        <v>0</v>
      </c>
      <c r="B307" s="153" t="s">
        <v>188</v>
      </c>
      <c r="C307" s="154" t="str">
        <f t="shared" si="498"/>
        <v>DR/0305</v>
      </c>
      <c r="D307" s="154" t="s">
        <v>3549</v>
      </c>
      <c r="E307" s="155" t="s">
        <v>3773</v>
      </c>
      <c r="F307" s="154"/>
      <c r="G307" s="154" t="s">
        <v>1412</v>
      </c>
      <c r="H307" s="152">
        <v>997.53</v>
      </c>
      <c r="I307" s="152">
        <v>949.56</v>
      </c>
      <c r="J307" s="156"/>
      <c r="K307" s="156">
        <f>Dre_Disp_Estruturais!AI113</f>
        <v>0</v>
      </c>
      <c r="L307" s="156">
        <f t="shared" si="499"/>
        <v>0</v>
      </c>
      <c r="M307" s="156">
        <f t="shared" si="500"/>
        <v>0</v>
      </c>
      <c r="N307" s="156" t="s">
        <v>83</v>
      </c>
      <c r="O307" s="157" cm="1">
        <f t="array" ref="O307">TRUNC($H307*(1+_xlfn.SWITCH($N307,"BDI 1",$O$6,"BDI 2",$O$7,"BDI 3",$O$8)),2)</f>
        <v>1204.01</v>
      </c>
      <c r="P307" s="157" cm="1">
        <f t="array" ref="P307">TRUNC($I307*(1+_xlfn.SWITCH($N307,"BDI 1",$P$6,"BDI 2",$P$7,"BDI 3",$P$8)),2)</f>
        <v>1203.47</v>
      </c>
      <c r="Q307" s="157">
        <v>0</v>
      </c>
      <c r="R307" s="157">
        <f t="shared" si="501"/>
        <v>0</v>
      </c>
      <c r="S307" s="156">
        <f t="shared" si="502"/>
        <v>0</v>
      </c>
      <c r="T307" s="156">
        <f t="shared" si="503"/>
        <v>0</v>
      </c>
      <c r="U307" s="156">
        <f t="shared" si="504"/>
        <v>0</v>
      </c>
      <c r="V307" s="156">
        <f t="shared" si="505"/>
        <v>0</v>
      </c>
      <c r="W307" s="156">
        <f t="shared" si="492"/>
        <v>0</v>
      </c>
      <c r="X307" s="158">
        <f t="shared" ref="X307" si="563">$S307/ORCAMENTO_VALOR_TOTAL_ND</f>
        <v>0</v>
      </c>
      <c r="Y307" s="158">
        <f t="shared" ref="Y307" si="564">$T307/ORCAMENTO_VALOR_TOTAL_DE</f>
        <v>0</v>
      </c>
      <c r="Z307" s="158" cm="1">
        <f t="array" ref="Z307">_xlfn.SWITCH($N307,"BDI 1",$O$6,"BDI 2",$O$7,"BDI 3",$O$8)</f>
        <v>0.20699999999999999</v>
      </c>
      <c r="AA307" s="158" cm="1">
        <f t="array" ref="AA307">_xlfn.SWITCH($N307,"BDI 1",$P$6,"BDI 2",$P$7,"BDI 3",$P$8)</f>
        <v>0.26739999999999997</v>
      </c>
      <c r="AB307" s="158">
        <f t="shared" ca="1" si="508"/>
        <v>0</v>
      </c>
      <c r="AC307" s="158">
        <f t="shared" ca="1" si="509"/>
        <v>0</v>
      </c>
      <c r="AD307" s="164"/>
      <c r="AE307" s="148">
        <f t="shared" si="495"/>
        <v>0</v>
      </c>
      <c r="AF307" s="149"/>
      <c r="AG307" s="150"/>
      <c r="AH307" s="159" t="e">
        <f t="shared" si="496"/>
        <v>#DIV/0!</v>
      </c>
      <c r="AI307" s="160"/>
      <c r="AJ307" s="105"/>
      <c r="AK307" s="105"/>
      <c r="AM307" s="105"/>
      <c r="AN307" s="105"/>
      <c r="AO307" s="105"/>
      <c r="AP307" s="105"/>
      <c r="AQ307" s="105"/>
      <c r="AR307" s="105"/>
    </row>
    <row r="308" spans="1:44" s="49" customFormat="1" ht="40.15" hidden="1" customHeight="1">
      <c r="A308" s="152">
        <f t="shared" ca="1" si="497"/>
        <v>0</v>
      </c>
      <c r="B308" s="153" t="s">
        <v>189</v>
      </c>
      <c r="C308" s="154" t="str">
        <f t="shared" si="498"/>
        <v>DR/0310</v>
      </c>
      <c r="D308" s="154" t="s">
        <v>3549</v>
      </c>
      <c r="E308" s="155" t="s">
        <v>3774</v>
      </c>
      <c r="F308" s="154"/>
      <c r="G308" s="154" t="s">
        <v>1412</v>
      </c>
      <c r="H308" s="152">
        <v>1639.72</v>
      </c>
      <c r="I308" s="152">
        <v>1563.6</v>
      </c>
      <c r="J308" s="156"/>
      <c r="K308" s="156">
        <f>Dre_Disp_Estruturais!AI114</f>
        <v>0</v>
      </c>
      <c r="L308" s="156">
        <f t="shared" si="499"/>
        <v>0</v>
      </c>
      <c r="M308" s="156">
        <f t="shared" si="500"/>
        <v>0</v>
      </c>
      <c r="N308" s="156" t="s">
        <v>83</v>
      </c>
      <c r="O308" s="157" cm="1">
        <f t="array" ref="O308">TRUNC($H308*(1+_xlfn.SWITCH($N308,"BDI 1",$O$6,"BDI 2",$O$7,"BDI 3",$O$8)),2)</f>
        <v>1979.14</v>
      </c>
      <c r="P308" s="157" cm="1">
        <f t="array" ref="P308">TRUNC($I308*(1+_xlfn.SWITCH($N308,"BDI 1",$P$6,"BDI 2",$P$7,"BDI 3",$P$8)),2)</f>
        <v>1981.7</v>
      </c>
      <c r="Q308" s="157">
        <v>0</v>
      </c>
      <c r="R308" s="157">
        <f t="shared" si="501"/>
        <v>0</v>
      </c>
      <c r="S308" s="156">
        <f t="shared" si="502"/>
        <v>0</v>
      </c>
      <c r="T308" s="156">
        <f t="shared" si="503"/>
        <v>0</v>
      </c>
      <c r="U308" s="156">
        <f t="shared" si="504"/>
        <v>0</v>
      </c>
      <c r="V308" s="156">
        <f t="shared" si="505"/>
        <v>0</v>
      </c>
      <c r="W308" s="156">
        <f t="shared" si="492"/>
        <v>0</v>
      </c>
      <c r="X308" s="158">
        <f t="shared" ref="X308" si="565">$S308/ORCAMENTO_VALOR_TOTAL_ND</f>
        <v>0</v>
      </c>
      <c r="Y308" s="158">
        <f t="shared" ref="Y308" si="566">$T308/ORCAMENTO_VALOR_TOTAL_DE</f>
        <v>0</v>
      </c>
      <c r="Z308" s="158" cm="1">
        <f t="array" ref="Z308">_xlfn.SWITCH($N308,"BDI 1",$O$6,"BDI 2",$O$7,"BDI 3",$O$8)</f>
        <v>0.20699999999999999</v>
      </c>
      <c r="AA308" s="158" cm="1">
        <f t="array" ref="AA308">_xlfn.SWITCH($N308,"BDI 1",$P$6,"BDI 2",$P$7,"BDI 3",$P$8)</f>
        <v>0.26739999999999997</v>
      </c>
      <c r="AB308" s="158">
        <f t="shared" ca="1" si="508"/>
        <v>0</v>
      </c>
      <c r="AC308" s="158">
        <f t="shared" ca="1" si="509"/>
        <v>0</v>
      </c>
      <c r="AD308" s="164"/>
      <c r="AE308" s="148">
        <f t="shared" si="495"/>
        <v>0</v>
      </c>
      <c r="AF308" s="149"/>
      <c r="AG308" s="150"/>
      <c r="AH308" s="159" t="e">
        <f t="shared" si="496"/>
        <v>#DIV/0!</v>
      </c>
      <c r="AI308" s="160"/>
      <c r="AJ308" s="105"/>
      <c r="AK308" s="105"/>
      <c r="AM308" s="105"/>
      <c r="AN308" s="105"/>
      <c r="AO308" s="105"/>
      <c r="AP308" s="105"/>
      <c r="AQ308" s="105"/>
      <c r="AR308" s="105"/>
    </row>
    <row r="309" spans="1:44" s="49" customFormat="1" ht="40.15" hidden="1" customHeight="1">
      <c r="A309" s="152">
        <f t="shared" ca="1" si="497"/>
        <v>0</v>
      </c>
      <c r="B309" s="153" t="s">
        <v>190</v>
      </c>
      <c r="C309" s="154" t="str">
        <f t="shared" si="498"/>
        <v>DR/0315</v>
      </c>
      <c r="D309" s="154" t="s">
        <v>3549</v>
      </c>
      <c r="E309" s="155" t="s">
        <v>3775</v>
      </c>
      <c r="F309" s="154"/>
      <c r="G309" s="154" t="s">
        <v>1412</v>
      </c>
      <c r="H309" s="152">
        <v>2640.07</v>
      </c>
      <c r="I309" s="152">
        <v>2521.7600000000002</v>
      </c>
      <c r="J309" s="156"/>
      <c r="K309" s="156">
        <f>Dre_Disp_Estruturais!AI115</f>
        <v>0</v>
      </c>
      <c r="L309" s="156">
        <f t="shared" si="499"/>
        <v>0</v>
      </c>
      <c r="M309" s="156">
        <f t="shared" si="500"/>
        <v>0</v>
      </c>
      <c r="N309" s="156" t="s">
        <v>83</v>
      </c>
      <c r="O309" s="157" cm="1">
        <f t="array" ref="O309">TRUNC($H309*(1+_xlfn.SWITCH($N309,"BDI 1",$O$6,"BDI 2",$O$7,"BDI 3",$O$8)),2)</f>
        <v>3186.56</v>
      </c>
      <c r="P309" s="157" cm="1">
        <f t="array" ref="P309">TRUNC($I309*(1+_xlfn.SWITCH($N309,"BDI 1",$P$6,"BDI 2",$P$7,"BDI 3",$P$8)),2)</f>
        <v>3196.07</v>
      </c>
      <c r="Q309" s="157">
        <v>0</v>
      </c>
      <c r="R309" s="157">
        <f t="shared" si="501"/>
        <v>0</v>
      </c>
      <c r="S309" s="156">
        <f t="shared" si="502"/>
        <v>0</v>
      </c>
      <c r="T309" s="156">
        <f t="shared" si="503"/>
        <v>0</v>
      </c>
      <c r="U309" s="156">
        <f t="shared" si="504"/>
        <v>0</v>
      </c>
      <c r="V309" s="156">
        <f t="shared" si="505"/>
        <v>0</v>
      </c>
      <c r="W309" s="156">
        <f t="shared" si="492"/>
        <v>0</v>
      </c>
      <c r="X309" s="158">
        <f t="shared" ref="X309" si="567">$S309/ORCAMENTO_VALOR_TOTAL_ND</f>
        <v>0</v>
      </c>
      <c r="Y309" s="158">
        <f t="shared" ref="Y309" si="568">$T309/ORCAMENTO_VALOR_TOTAL_DE</f>
        <v>0</v>
      </c>
      <c r="Z309" s="158" cm="1">
        <f t="array" ref="Z309">_xlfn.SWITCH($N309,"BDI 1",$O$6,"BDI 2",$O$7,"BDI 3",$O$8)</f>
        <v>0.20699999999999999</v>
      </c>
      <c r="AA309" s="158" cm="1">
        <f t="array" ref="AA309">_xlfn.SWITCH($N309,"BDI 1",$P$6,"BDI 2",$P$7,"BDI 3",$P$8)</f>
        <v>0.26739999999999997</v>
      </c>
      <c r="AB309" s="158">
        <f t="shared" ca="1" si="508"/>
        <v>0</v>
      </c>
      <c r="AC309" s="158">
        <f t="shared" ca="1" si="509"/>
        <v>0</v>
      </c>
      <c r="AD309" s="164"/>
      <c r="AE309" s="148">
        <f t="shared" si="495"/>
        <v>0</v>
      </c>
      <c r="AF309" s="149"/>
      <c r="AG309" s="150"/>
      <c r="AH309" s="159" t="e">
        <f t="shared" si="496"/>
        <v>#DIV/0!</v>
      </c>
      <c r="AI309" s="160"/>
      <c r="AJ309" s="105"/>
      <c r="AK309" s="105"/>
      <c r="AM309" s="105"/>
      <c r="AN309" s="105"/>
      <c r="AO309" s="105"/>
      <c r="AP309" s="105"/>
      <c r="AQ309" s="105"/>
      <c r="AR309" s="105"/>
    </row>
    <row r="310" spans="1:44" s="49" customFormat="1" ht="40.15" hidden="1" customHeight="1">
      <c r="A310" s="152">
        <f t="shared" ca="1" si="497"/>
        <v>0</v>
      </c>
      <c r="B310" s="153" t="s">
        <v>191</v>
      </c>
      <c r="C310" s="154" t="str">
        <f t="shared" si="498"/>
        <v>DR/0320</v>
      </c>
      <c r="D310" s="154" t="s">
        <v>3549</v>
      </c>
      <c r="E310" s="155" t="s">
        <v>3776</v>
      </c>
      <c r="F310" s="154"/>
      <c r="G310" s="154" t="s">
        <v>1412</v>
      </c>
      <c r="H310" s="152">
        <v>3947.89</v>
      </c>
      <c r="I310" s="152">
        <v>3776.19</v>
      </c>
      <c r="J310" s="156"/>
      <c r="K310" s="156">
        <f>Dre_Disp_Estruturais!AI116</f>
        <v>0</v>
      </c>
      <c r="L310" s="156">
        <f t="shared" si="499"/>
        <v>0</v>
      </c>
      <c r="M310" s="156">
        <f t="shared" si="500"/>
        <v>0</v>
      </c>
      <c r="N310" s="156" t="s">
        <v>83</v>
      </c>
      <c r="O310" s="157" cm="1">
        <f t="array" ref="O310">TRUNC($H310*(1+_xlfn.SWITCH($N310,"BDI 1",$O$6,"BDI 2",$O$7,"BDI 3",$O$8)),2)</f>
        <v>4765.1000000000004</v>
      </c>
      <c r="P310" s="157" cm="1">
        <f t="array" ref="P310">TRUNC($I310*(1+_xlfn.SWITCH($N310,"BDI 1",$P$6,"BDI 2",$P$7,"BDI 3",$P$8)),2)</f>
        <v>4785.9399999999996</v>
      </c>
      <c r="Q310" s="157">
        <v>0</v>
      </c>
      <c r="R310" s="157">
        <f t="shared" si="501"/>
        <v>0</v>
      </c>
      <c r="S310" s="156">
        <f t="shared" si="502"/>
        <v>0</v>
      </c>
      <c r="T310" s="156">
        <f t="shared" si="503"/>
        <v>0</v>
      </c>
      <c r="U310" s="156">
        <f t="shared" si="504"/>
        <v>0</v>
      </c>
      <c r="V310" s="156">
        <f t="shared" si="505"/>
        <v>0</v>
      </c>
      <c r="W310" s="156">
        <f t="shared" si="492"/>
        <v>0</v>
      </c>
      <c r="X310" s="158">
        <f t="shared" ref="X310" si="569">$S310/ORCAMENTO_VALOR_TOTAL_ND</f>
        <v>0</v>
      </c>
      <c r="Y310" s="158">
        <f t="shared" ref="Y310" si="570">$T310/ORCAMENTO_VALOR_TOTAL_DE</f>
        <v>0</v>
      </c>
      <c r="Z310" s="158" cm="1">
        <f t="array" ref="Z310">_xlfn.SWITCH($N310,"BDI 1",$O$6,"BDI 2",$O$7,"BDI 3",$O$8)</f>
        <v>0.20699999999999999</v>
      </c>
      <c r="AA310" s="158" cm="1">
        <f t="array" ref="AA310">_xlfn.SWITCH($N310,"BDI 1",$P$6,"BDI 2",$P$7,"BDI 3",$P$8)</f>
        <v>0.26739999999999997</v>
      </c>
      <c r="AB310" s="158">
        <f t="shared" ca="1" si="508"/>
        <v>0</v>
      </c>
      <c r="AC310" s="158">
        <f t="shared" ca="1" si="509"/>
        <v>0</v>
      </c>
      <c r="AD310" s="164"/>
      <c r="AE310" s="148">
        <f t="shared" si="495"/>
        <v>0</v>
      </c>
      <c r="AF310" s="149"/>
      <c r="AG310" s="150"/>
      <c r="AH310" s="159" t="e">
        <f t="shared" si="496"/>
        <v>#DIV/0!</v>
      </c>
      <c r="AI310" s="160"/>
      <c r="AJ310" s="105"/>
      <c r="AK310" s="105"/>
      <c r="AM310" s="105"/>
      <c r="AN310" s="105"/>
      <c r="AO310" s="105"/>
      <c r="AP310" s="105"/>
      <c r="AQ310" s="105"/>
      <c r="AR310" s="105"/>
    </row>
    <row r="311" spans="1:44" s="49" customFormat="1" ht="40.15" hidden="1" customHeight="1">
      <c r="A311" s="152">
        <f t="shared" ca="1" si="497"/>
        <v>0</v>
      </c>
      <c r="B311" s="153" t="s">
        <v>192</v>
      </c>
      <c r="C311" s="154" t="str">
        <f t="shared" si="498"/>
        <v>DR/0325</v>
      </c>
      <c r="D311" s="154" t="s">
        <v>3549</v>
      </c>
      <c r="E311" s="155" t="s">
        <v>3777</v>
      </c>
      <c r="F311" s="154"/>
      <c r="G311" s="154" t="s">
        <v>1412</v>
      </c>
      <c r="H311" s="152">
        <v>5508.37</v>
      </c>
      <c r="I311" s="152">
        <v>5274.87</v>
      </c>
      <c r="J311" s="156"/>
      <c r="K311" s="156">
        <f>Dre_Disp_Estruturais!AI117</f>
        <v>0</v>
      </c>
      <c r="L311" s="156">
        <f t="shared" si="499"/>
        <v>0</v>
      </c>
      <c r="M311" s="156">
        <f t="shared" si="500"/>
        <v>0</v>
      </c>
      <c r="N311" s="156" t="s">
        <v>83</v>
      </c>
      <c r="O311" s="157" cm="1">
        <f t="array" ref="O311">TRUNC($H311*(1+_xlfn.SWITCH($N311,"BDI 1",$O$6,"BDI 2",$O$7,"BDI 3",$O$8)),2)</f>
        <v>6648.6</v>
      </c>
      <c r="P311" s="157" cm="1">
        <f t="array" ref="P311">TRUNC($I311*(1+_xlfn.SWITCH($N311,"BDI 1",$P$6,"BDI 2",$P$7,"BDI 3",$P$8)),2)</f>
        <v>6685.37</v>
      </c>
      <c r="Q311" s="157">
        <v>0</v>
      </c>
      <c r="R311" s="157">
        <f t="shared" si="501"/>
        <v>0</v>
      </c>
      <c r="S311" s="156">
        <f t="shared" si="502"/>
        <v>0</v>
      </c>
      <c r="T311" s="156">
        <f t="shared" si="503"/>
        <v>0</v>
      </c>
      <c r="U311" s="156">
        <f t="shared" si="504"/>
        <v>0</v>
      </c>
      <c r="V311" s="156">
        <f t="shared" si="505"/>
        <v>0</v>
      </c>
      <c r="W311" s="156">
        <f t="shared" si="492"/>
        <v>0</v>
      </c>
      <c r="X311" s="158">
        <f t="shared" ref="X311" si="571">$S311/ORCAMENTO_VALOR_TOTAL_ND</f>
        <v>0</v>
      </c>
      <c r="Y311" s="158">
        <f t="shared" ref="Y311" si="572">$T311/ORCAMENTO_VALOR_TOTAL_DE</f>
        <v>0</v>
      </c>
      <c r="Z311" s="158" cm="1">
        <f t="array" ref="Z311">_xlfn.SWITCH($N311,"BDI 1",$O$6,"BDI 2",$O$7,"BDI 3",$O$8)</f>
        <v>0.20699999999999999</v>
      </c>
      <c r="AA311" s="158" cm="1">
        <f t="array" ref="AA311">_xlfn.SWITCH($N311,"BDI 1",$P$6,"BDI 2",$P$7,"BDI 3",$P$8)</f>
        <v>0.26739999999999997</v>
      </c>
      <c r="AB311" s="158">
        <f t="shared" ca="1" si="508"/>
        <v>0</v>
      </c>
      <c r="AC311" s="158">
        <f t="shared" ca="1" si="509"/>
        <v>0</v>
      </c>
      <c r="AD311" s="164"/>
      <c r="AE311" s="148">
        <f t="shared" si="495"/>
        <v>0</v>
      </c>
      <c r="AF311" s="149"/>
      <c r="AG311" s="150"/>
      <c r="AH311" s="159" t="e">
        <f t="shared" si="496"/>
        <v>#DIV/0!</v>
      </c>
      <c r="AI311" s="160"/>
      <c r="AJ311" s="105"/>
      <c r="AK311" s="105"/>
      <c r="AM311" s="105"/>
      <c r="AN311" s="105"/>
      <c r="AO311" s="105"/>
      <c r="AP311" s="105"/>
      <c r="AQ311" s="105"/>
      <c r="AR311" s="105"/>
    </row>
    <row r="312" spans="1:44" s="49" customFormat="1" ht="40.15" hidden="1" customHeight="1">
      <c r="A312" s="152">
        <f t="shared" ca="1" si="497"/>
        <v>0</v>
      </c>
      <c r="B312" s="153" t="s">
        <v>193</v>
      </c>
      <c r="C312" s="154" t="str">
        <f t="shared" si="498"/>
        <v>DR/0330</v>
      </c>
      <c r="D312" s="154" t="s">
        <v>3549</v>
      </c>
      <c r="E312" s="155" t="s">
        <v>3778</v>
      </c>
      <c r="F312" s="154"/>
      <c r="G312" s="154" t="s">
        <v>1412</v>
      </c>
      <c r="H312" s="152">
        <v>8471.18</v>
      </c>
      <c r="I312" s="152">
        <v>8123.59</v>
      </c>
      <c r="J312" s="156"/>
      <c r="K312" s="156">
        <f>Dre_Disp_Estruturais!AI118</f>
        <v>0</v>
      </c>
      <c r="L312" s="156">
        <f t="shared" si="499"/>
        <v>0</v>
      </c>
      <c r="M312" s="156">
        <f t="shared" si="500"/>
        <v>0</v>
      </c>
      <c r="N312" s="156" t="s">
        <v>83</v>
      </c>
      <c r="O312" s="157" cm="1">
        <f t="array" ref="O312">TRUNC($H312*(1+_xlfn.SWITCH($N312,"BDI 1",$O$6,"BDI 2",$O$7,"BDI 3",$O$8)),2)</f>
        <v>10224.709999999999</v>
      </c>
      <c r="P312" s="157" cm="1">
        <f t="array" ref="P312">TRUNC($I312*(1+_xlfn.SWITCH($N312,"BDI 1",$P$6,"BDI 2",$P$7,"BDI 3",$P$8)),2)</f>
        <v>10295.83</v>
      </c>
      <c r="Q312" s="157">
        <v>0</v>
      </c>
      <c r="R312" s="157">
        <f t="shared" si="501"/>
        <v>0</v>
      </c>
      <c r="S312" s="156">
        <f t="shared" si="502"/>
        <v>0</v>
      </c>
      <c r="T312" s="156">
        <f t="shared" si="503"/>
        <v>0</v>
      </c>
      <c r="U312" s="156">
        <f t="shared" si="504"/>
        <v>0</v>
      </c>
      <c r="V312" s="156">
        <f t="shared" si="505"/>
        <v>0</v>
      </c>
      <c r="W312" s="156">
        <f t="shared" si="492"/>
        <v>0</v>
      </c>
      <c r="X312" s="158">
        <f t="shared" ref="X312" si="573">$S312/ORCAMENTO_VALOR_TOTAL_ND</f>
        <v>0</v>
      </c>
      <c r="Y312" s="158">
        <f t="shared" ref="Y312" si="574">$T312/ORCAMENTO_VALOR_TOTAL_DE</f>
        <v>0</v>
      </c>
      <c r="Z312" s="158" cm="1">
        <f t="array" ref="Z312">_xlfn.SWITCH($N312,"BDI 1",$O$6,"BDI 2",$O$7,"BDI 3",$O$8)</f>
        <v>0.20699999999999999</v>
      </c>
      <c r="AA312" s="158" cm="1">
        <f t="array" ref="AA312">_xlfn.SWITCH($N312,"BDI 1",$P$6,"BDI 2",$P$7,"BDI 3",$P$8)</f>
        <v>0.26739999999999997</v>
      </c>
      <c r="AB312" s="158">
        <f t="shared" ca="1" si="508"/>
        <v>0</v>
      </c>
      <c r="AC312" s="158">
        <f t="shared" ca="1" si="509"/>
        <v>0</v>
      </c>
      <c r="AD312" s="164"/>
      <c r="AE312" s="148">
        <f t="shared" si="495"/>
        <v>0</v>
      </c>
      <c r="AF312" s="149"/>
      <c r="AG312" s="150"/>
      <c r="AH312" s="159" t="e">
        <f t="shared" si="496"/>
        <v>#DIV/0!</v>
      </c>
      <c r="AI312" s="160"/>
      <c r="AJ312" s="105"/>
      <c r="AK312" s="105"/>
      <c r="AM312" s="105"/>
      <c r="AN312" s="105"/>
      <c r="AO312" s="105"/>
      <c r="AP312" s="105"/>
      <c r="AQ312" s="105"/>
      <c r="AR312" s="105"/>
    </row>
    <row r="313" spans="1:44" s="49" customFormat="1" ht="40.15" hidden="1" customHeight="1">
      <c r="A313" s="152">
        <f t="shared" ca="1" si="497"/>
        <v>0</v>
      </c>
      <c r="B313" s="153" t="s">
        <v>194</v>
      </c>
      <c r="C313" s="154" t="str">
        <f t="shared" si="498"/>
        <v>DR/0335</v>
      </c>
      <c r="D313" s="154" t="s">
        <v>3549</v>
      </c>
      <c r="E313" s="155" t="s">
        <v>3779</v>
      </c>
      <c r="F313" s="154"/>
      <c r="G313" s="154" t="s">
        <v>1412</v>
      </c>
      <c r="H313" s="152">
        <v>17045</v>
      </c>
      <c r="I313" s="152">
        <v>16299.25</v>
      </c>
      <c r="J313" s="156"/>
      <c r="K313" s="156">
        <f>Dre_Disp_Estruturais!AI119</f>
        <v>0</v>
      </c>
      <c r="L313" s="156">
        <f t="shared" si="499"/>
        <v>0</v>
      </c>
      <c r="M313" s="156">
        <f t="shared" si="500"/>
        <v>0</v>
      </c>
      <c r="N313" s="156" t="s">
        <v>83</v>
      </c>
      <c r="O313" s="157" cm="1">
        <f t="array" ref="O313">TRUNC($H313*(1+_xlfn.SWITCH($N313,"BDI 1",$O$6,"BDI 2",$O$7,"BDI 3",$O$8)),2)</f>
        <v>20573.310000000001</v>
      </c>
      <c r="P313" s="157" cm="1">
        <f t="array" ref="P313">TRUNC($I313*(1+_xlfn.SWITCH($N313,"BDI 1",$P$6,"BDI 2",$P$7,"BDI 3",$P$8)),2)</f>
        <v>20657.66</v>
      </c>
      <c r="Q313" s="157">
        <v>0</v>
      </c>
      <c r="R313" s="157">
        <f t="shared" si="501"/>
        <v>0</v>
      </c>
      <c r="S313" s="156">
        <f t="shared" si="502"/>
        <v>0</v>
      </c>
      <c r="T313" s="156">
        <f t="shared" si="503"/>
        <v>0</v>
      </c>
      <c r="U313" s="156">
        <f t="shared" si="504"/>
        <v>0</v>
      </c>
      <c r="V313" s="156">
        <f t="shared" si="505"/>
        <v>0</v>
      </c>
      <c r="W313" s="156">
        <f t="shared" si="492"/>
        <v>0</v>
      </c>
      <c r="X313" s="158">
        <f t="shared" ref="X313" si="575">$S313/ORCAMENTO_VALOR_TOTAL_ND</f>
        <v>0</v>
      </c>
      <c r="Y313" s="158">
        <f t="shared" ref="Y313" si="576">$T313/ORCAMENTO_VALOR_TOTAL_DE</f>
        <v>0</v>
      </c>
      <c r="Z313" s="158" cm="1">
        <f t="array" ref="Z313">_xlfn.SWITCH($N313,"BDI 1",$O$6,"BDI 2",$O$7,"BDI 3",$O$8)</f>
        <v>0.20699999999999999</v>
      </c>
      <c r="AA313" s="158" cm="1">
        <f t="array" ref="AA313">_xlfn.SWITCH($N313,"BDI 1",$P$6,"BDI 2",$P$7,"BDI 3",$P$8)</f>
        <v>0.26739999999999997</v>
      </c>
      <c r="AB313" s="158">
        <f t="shared" ca="1" si="508"/>
        <v>0</v>
      </c>
      <c r="AC313" s="158">
        <f t="shared" ca="1" si="509"/>
        <v>0</v>
      </c>
      <c r="AD313" s="164"/>
      <c r="AE313" s="148">
        <f t="shared" si="495"/>
        <v>0</v>
      </c>
      <c r="AF313" s="149"/>
      <c r="AG313" s="150"/>
      <c r="AH313" s="159" t="e">
        <f t="shared" si="496"/>
        <v>#DIV/0!</v>
      </c>
      <c r="AI313" s="160"/>
      <c r="AJ313" s="105"/>
      <c r="AK313" s="105"/>
      <c r="AM313" s="105"/>
      <c r="AN313" s="105"/>
      <c r="AO313" s="105"/>
      <c r="AP313" s="105"/>
      <c r="AQ313" s="105"/>
      <c r="AR313" s="105"/>
    </row>
    <row r="314" spans="1:44" s="49" customFormat="1" ht="40.15" hidden="1" customHeight="1">
      <c r="A314" s="152">
        <f t="shared" ca="1" si="497"/>
        <v>0</v>
      </c>
      <c r="B314" s="153" t="s">
        <v>195</v>
      </c>
      <c r="C314" s="154" t="str">
        <f t="shared" si="498"/>
        <v>DR/0340</v>
      </c>
      <c r="D314" s="154" t="s">
        <v>3549</v>
      </c>
      <c r="E314" s="155" t="s">
        <v>3780</v>
      </c>
      <c r="F314" s="154"/>
      <c r="G314" s="154" t="s">
        <v>1412</v>
      </c>
      <c r="H314" s="152">
        <v>26102.02</v>
      </c>
      <c r="I314" s="152">
        <v>25001.39</v>
      </c>
      <c r="J314" s="156"/>
      <c r="K314" s="156">
        <f>Dre_Disp_Estruturais!AI120</f>
        <v>0</v>
      </c>
      <c r="L314" s="156">
        <f t="shared" si="499"/>
        <v>0</v>
      </c>
      <c r="M314" s="156">
        <f t="shared" si="500"/>
        <v>0</v>
      </c>
      <c r="N314" s="156" t="s">
        <v>83</v>
      </c>
      <c r="O314" s="157" cm="1">
        <f t="array" ref="O314">TRUNC($H314*(1+_xlfn.SWITCH($N314,"BDI 1",$O$6,"BDI 2",$O$7,"BDI 3",$O$8)),2)</f>
        <v>31505.13</v>
      </c>
      <c r="P314" s="157" cm="1">
        <f t="array" ref="P314">TRUNC($I314*(1+_xlfn.SWITCH($N314,"BDI 1",$P$6,"BDI 2",$P$7,"BDI 3",$P$8)),2)</f>
        <v>31686.76</v>
      </c>
      <c r="Q314" s="157">
        <v>0</v>
      </c>
      <c r="R314" s="157">
        <f t="shared" si="501"/>
        <v>0</v>
      </c>
      <c r="S314" s="156">
        <f t="shared" si="502"/>
        <v>0</v>
      </c>
      <c r="T314" s="156">
        <f t="shared" si="503"/>
        <v>0</v>
      </c>
      <c r="U314" s="156">
        <f t="shared" si="504"/>
        <v>0</v>
      </c>
      <c r="V314" s="156">
        <f t="shared" si="505"/>
        <v>0</v>
      </c>
      <c r="W314" s="156">
        <f t="shared" si="492"/>
        <v>0</v>
      </c>
      <c r="X314" s="158">
        <f t="shared" ref="X314" si="577">$S314/ORCAMENTO_VALOR_TOTAL_ND</f>
        <v>0</v>
      </c>
      <c r="Y314" s="158">
        <f t="shared" ref="Y314" si="578">$T314/ORCAMENTO_VALOR_TOTAL_DE</f>
        <v>0</v>
      </c>
      <c r="Z314" s="158" cm="1">
        <f t="array" ref="Z314">_xlfn.SWITCH($N314,"BDI 1",$O$6,"BDI 2",$O$7,"BDI 3",$O$8)</f>
        <v>0.20699999999999999</v>
      </c>
      <c r="AA314" s="158" cm="1">
        <f t="array" ref="AA314">_xlfn.SWITCH($N314,"BDI 1",$P$6,"BDI 2",$P$7,"BDI 3",$P$8)</f>
        <v>0.26739999999999997</v>
      </c>
      <c r="AB314" s="158">
        <f t="shared" ca="1" si="508"/>
        <v>0</v>
      </c>
      <c r="AC314" s="158">
        <f t="shared" ca="1" si="509"/>
        <v>0</v>
      </c>
      <c r="AD314" s="164"/>
      <c r="AE314" s="148">
        <f t="shared" si="495"/>
        <v>0</v>
      </c>
      <c r="AF314" s="149"/>
      <c r="AG314" s="150"/>
      <c r="AH314" s="159" t="e">
        <f t="shared" si="496"/>
        <v>#DIV/0!</v>
      </c>
      <c r="AI314" s="160"/>
      <c r="AJ314" s="105"/>
      <c r="AK314" s="105"/>
      <c r="AM314" s="105"/>
      <c r="AN314" s="105"/>
      <c r="AO314" s="105"/>
      <c r="AP314" s="105"/>
      <c r="AQ314" s="105"/>
      <c r="AR314" s="105"/>
    </row>
    <row r="315" spans="1:44" s="49" customFormat="1" ht="40.15" hidden="1" customHeight="1">
      <c r="A315" s="152">
        <f t="shared" ca="1" si="497"/>
        <v>0</v>
      </c>
      <c r="B315" s="153" t="s">
        <v>196</v>
      </c>
      <c r="C315" s="154" t="str">
        <f t="shared" si="498"/>
        <v>DR/0345</v>
      </c>
      <c r="D315" s="154" t="s">
        <v>3549</v>
      </c>
      <c r="E315" s="155" t="s">
        <v>3781</v>
      </c>
      <c r="F315" s="154"/>
      <c r="G315" s="154" t="s">
        <v>1412</v>
      </c>
      <c r="H315" s="152">
        <v>34841.99</v>
      </c>
      <c r="I315" s="152">
        <v>33399.68</v>
      </c>
      <c r="J315" s="156"/>
      <c r="K315" s="156">
        <f>Dre_Disp_Estruturais!AI121</f>
        <v>0</v>
      </c>
      <c r="L315" s="156">
        <f t="shared" si="499"/>
        <v>0</v>
      </c>
      <c r="M315" s="156">
        <f t="shared" si="500"/>
        <v>0</v>
      </c>
      <c r="N315" s="156" t="s">
        <v>83</v>
      </c>
      <c r="O315" s="157" cm="1">
        <f t="array" ref="O315">TRUNC($H315*(1+_xlfn.SWITCH($N315,"BDI 1",$O$6,"BDI 2",$O$7,"BDI 3",$O$8)),2)</f>
        <v>42054.28</v>
      </c>
      <c r="P315" s="157" cm="1">
        <f t="array" ref="P315">TRUNC($I315*(1+_xlfn.SWITCH($N315,"BDI 1",$P$6,"BDI 2",$P$7,"BDI 3",$P$8)),2)</f>
        <v>42330.75</v>
      </c>
      <c r="Q315" s="157">
        <v>0</v>
      </c>
      <c r="R315" s="157">
        <f t="shared" si="501"/>
        <v>0</v>
      </c>
      <c r="S315" s="156">
        <f t="shared" si="502"/>
        <v>0</v>
      </c>
      <c r="T315" s="156">
        <f t="shared" si="503"/>
        <v>0</v>
      </c>
      <c r="U315" s="156">
        <f t="shared" si="504"/>
        <v>0</v>
      </c>
      <c r="V315" s="156">
        <f t="shared" si="505"/>
        <v>0</v>
      </c>
      <c r="W315" s="156">
        <f t="shared" si="492"/>
        <v>0</v>
      </c>
      <c r="X315" s="158">
        <f t="shared" ref="X315" si="579">$S315/ORCAMENTO_VALOR_TOTAL_ND</f>
        <v>0</v>
      </c>
      <c r="Y315" s="158">
        <f t="shared" ref="Y315" si="580">$T315/ORCAMENTO_VALOR_TOTAL_DE</f>
        <v>0</v>
      </c>
      <c r="Z315" s="158" cm="1">
        <f t="array" ref="Z315">_xlfn.SWITCH($N315,"BDI 1",$O$6,"BDI 2",$O$7,"BDI 3",$O$8)</f>
        <v>0.20699999999999999</v>
      </c>
      <c r="AA315" s="158" cm="1">
        <f t="array" ref="AA315">_xlfn.SWITCH($N315,"BDI 1",$P$6,"BDI 2",$P$7,"BDI 3",$P$8)</f>
        <v>0.26739999999999997</v>
      </c>
      <c r="AB315" s="158">
        <f t="shared" ca="1" si="508"/>
        <v>0</v>
      </c>
      <c r="AC315" s="158">
        <f t="shared" ca="1" si="509"/>
        <v>0</v>
      </c>
      <c r="AD315" s="164"/>
      <c r="AE315" s="148">
        <f t="shared" si="495"/>
        <v>0</v>
      </c>
      <c r="AF315" s="149"/>
      <c r="AG315" s="150"/>
      <c r="AH315" s="159" t="e">
        <f t="shared" si="496"/>
        <v>#DIV/0!</v>
      </c>
      <c r="AI315" s="160"/>
      <c r="AJ315" s="105"/>
      <c r="AK315" s="105"/>
      <c r="AM315" s="105"/>
      <c r="AN315" s="105"/>
      <c r="AO315" s="105"/>
      <c r="AP315" s="105"/>
      <c r="AQ315" s="105"/>
      <c r="AR315" s="105"/>
    </row>
    <row r="316" spans="1:44" s="49" customFormat="1" ht="40.15" hidden="1" customHeight="1">
      <c r="A316" s="152">
        <f t="shared" ca="1" si="497"/>
        <v>0</v>
      </c>
      <c r="B316" s="153" t="s">
        <v>197</v>
      </c>
      <c r="C316" s="154" t="str">
        <f t="shared" si="498"/>
        <v>DR/0350</v>
      </c>
      <c r="D316" s="154" t="s">
        <v>3549</v>
      </c>
      <c r="E316" s="155" t="s">
        <v>3782</v>
      </c>
      <c r="F316" s="154"/>
      <c r="G316" s="154" t="s">
        <v>1412</v>
      </c>
      <c r="H316" s="152">
        <v>48592.03</v>
      </c>
      <c r="I316" s="152">
        <v>46665.88</v>
      </c>
      <c r="J316" s="156"/>
      <c r="K316" s="156">
        <f>Dre_Disp_Estruturais!AI122</f>
        <v>0</v>
      </c>
      <c r="L316" s="156">
        <f t="shared" si="499"/>
        <v>0</v>
      </c>
      <c r="M316" s="156">
        <f t="shared" si="500"/>
        <v>0</v>
      </c>
      <c r="N316" s="156" t="s">
        <v>83</v>
      </c>
      <c r="O316" s="157" cm="1">
        <f t="array" ref="O316">TRUNC($H316*(1+_xlfn.SWITCH($N316,"BDI 1",$O$6,"BDI 2",$O$7,"BDI 3",$O$8)),2)</f>
        <v>58650.58</v>
      </c>
      <c r="P316" s="157" cm="1">
        <f t="array" ref="P316">TRUNC($I316*(1+_xlfn.SWITCH($N316,"BDI 1",$P$6,"BDI 2",$P$7,"BDI 3",$P$8)),2)</f>
        <v>59144.33</v>
      </c>
      <c r="Q316" s="157">
        <v>0</v>
      </c>
      <c r="R316" s="157">
        <f t="shared" si="501"/>
        <v>0</v>
      </c>
      <c r="S316" s="156">
        <f t="shared" si="502"/>
        <v>0</v>
      </c>
      <c r="T316" s="156">
        <f t="shared" si="503"/>
        <v>0</v>
      </c>
      <c r="U316" s="156">
        <f t="shared" si="504"/>
        <v>0</v>
      </c>
      <c r="V316" s="156">
        <f t="shared" si="505"/>
        <v>0</v>
      </c>
      <c r="W316" s="156">
        <f t="shared" si="492"/>
        <v>0</v>
      </c>
      <c r="X316" s="158">
        <f t="shared" ref="X316" si="581">$S316/ORCAMENTO_VALOR_TOTAL_ND</f>
        <v>0</v>
      </c>
      <c r="Y316" s="158">
        <f t="shared" ref="Y316" si="582">$T316/ORCAMENTO_VALOR_TOTAL_DE</f>
        <v>0</v>
      </c>
      <c r="Z316" s="158" cm="1">
        <f t="array" ref="Z316">_xlfn.SWITCH($N316,"BDI 1",$O$6,"BDI 2",$O$7,"BDI 3",$O$8)</f>
        <v>0.20699999999999999</v>
      </c>
      <c r="AA316" s="158" cm="1">
        <f t="array" ref="AA316">_xlfn.SWITCH($N316,"BDI 1",$P$6,"BDI 2",$P$7,"BDI 3",$P$8)</f>
        <v>0.26739999999999997</v>
      </c>
      <c r="AB316" s="158">
        <f t="shared" ca="1" si="508"/>
        <v>0</v>
      </c>
      <c r="AC316" s="158">
        <f t="shared" ca="1" si="509"/>
        <v>0</v>
      </c>
      <c r="AD316" s="164"/>
      <c r="AE316" s="148">
        <f t="shared" si="495"/>
        <v>0</v>
      </c>
      <c r="AF316" s="149"/>
      <c r="AG316" s="150"/>
      <c r="AH316" s="159" t="e">
        <f t="shared" si="496"/>
        <v>#DIV/0!</v>
      </c>
      <c r="AI316" s="160"/>
      <c r="AJ316" s="105"/>
      <c r="AK316" s="105"/>
      <c r="AM316" s="105"/>
      <c r="AN316" s="105"/>
      <c r="AO316" s="105"/>
      <c r="AP316" s="105"/>
      <c r="AQ316" s="105"/>
      <c r="AR316" s="105"/>
    </row>
    <row r="317" spans="1:44" s="49" customFormat="1" ht="49.9" hidden="1" customHeight="1">
      <c r="A317" s="152">
        <f t="shared" ca="1" si="497"/>
        <v>0</v>
      </c>
      <c r="B317" s="153" t="s">
        <v>198</v>
      </c>
      <c r="C317" s="154" t="str">
        <f t="shared" si="498"/>
        <v>DR/0280</v>
      </c>
      <c r="D317" s="154" t="s">
        <v>3549</v>
      </c>
      <c r="E317" s="155" t="s">
        <v>3783</v>
      </c>
      <c r="F317" s="154"/>
      <c r="G317" s="154" t="s">
        <v>1412</v>
      </c>
      <c r="H317" s="152">
        <v>969.05</v>
      </c>
      <c r="I317" s="152">
        <v>956.63</v>
      </c>
      <c r="J317" s="156"/>
      <c r="K317" s="156">
        <f>Dre_Disp_Estruturais!AI110</f>
        <v>0</v>
      </c>
      <c r="L317" s="156">
        <f t="shared" si="499"/>
        <v>0</v>
      </c>
      <c r="M317" s="156">
        <f t="shared" si="500"/>
        <v>0</v>
      </c>
      <c r="N317" s="156" t="s">
        <v>83</v>
      </c>
      <c r="O317" s="157" cm="1">
        <f t="array" ref="O317">TRUNC($H317*(1+_xlfn.SWITCH($N317,"BDI 1",$O$6,"BDI 2",$O$7,"BDI 3",$O$8)),2)</f>
        <v>1169.6400000000001</v>
      </c>
      <c r="P317" s="157" cm="1">
        <f t="array" ref="P317">TRUNC($I317*(1+_xlfn.SWITCH($N317,"BDI 1",$P$6,"BDI 2",$P$7,"BDI 3",$P$8)),2)</f>
        <v>1212.43</v>
      </c>
      <c r="Q317" s="157">
        <v>0</v>
      </c>
      <c r="R317" s="157">
        <f t="shared" si="501"/>
        <v>0</v>
      </c>
      <c r="S317" s="156">
        <f t="shared" si="502"/>
        <v>0</v>
      </c>
      <c r="T317" s="156">
        <f t="shared" si="503"/>
        <v>0</v>
      </c>
      <c r="U317" s="156">
        <f t="shared" si="504"/>
        <v>0</v>
      </c>
      <c r="V317" s="156">
        <f t="shared" si="505"/>
        <v>0</v>
      </c>
      <c r="W317" s="156">
        <f t="shared" si="492"/>
        <v>0</v>
      </c>
      <c r="X317" s="158">
        <f t="shared" ref="X317" si="583">$S317/ORCAMENTO_VALOR_TOTAL_ND</f>
        <v>0</v>
      </c>
      <c r="Y317" s="158">
        <f t="shared" ref="Y317" si="584">$T317/ORCAMENTO_VALOR_TOTAL_DE</f>
        <v>0</v>
      </c>
      <c r="Z317" s="158" cm="1">
        <f t="array" ref="Z317">_xlfn.SWITCH($N317,"BDI 1",$O$6,"BDI 2",$O$7,"BDI 3",$O$8)</f>
        <v>0.20699999999999999</v>
      </c>
      <c r="AA317" s="158" cm="1">
        <f t="array" ref="AA317">_xlfn.SWITCH($N317,"BDI 1",$P$6,"BDI 2",$P$7,"BDI 3",$P$8)</f>
        <v>0.26739999999999997</v>
      </c>
      <c r="AB317" s="158">
        <f t="shared" ca="1" si="508"/>
        <v>0</v>
      </c>
      <c r="AC317" s="158">
        <f t="shared" ca="1" si="509"/>
        <v>0</v>
      </c>
      <c r="AD317" s="164"/>
      <c r="AE317" s="148">
        <f t="shared" si="495"/>
        <v>0</v>
      </c>
      <c r="AF317" s="149"/>
      <c r="AG317" s="150"/>
      <c r="AH317" s="159" t="e">
        <f t="shared" si="496"/>
        <v>#DIV/0!</v>
      </c>
      <c r="AI317" s="160"/>
      <c r="AJ317" s="105"/>
      <c r="AK317" s="105"/>
      <c r="AM317" s="105"/>
      <c r="AN317" s="105"/>
      <c r="AO317" s="105"/>
      <c r="AP317" s="105"/>
      <c r="AQ317" s="105"/>
      <c r="AR317" s="105"/>
    </row>
    <row r="318" spans="1:44" s="49" customFormat="1" ht="49.9" hidden="1" customHeight="1">
      <c r="A318" s="152">
        <f t="shared" ca="1" si="497"/>
        <v>0</v>
      </c>
      <c r="B318" s="153" t="s">
        <v>199</v>
      </c>
      <c r="C318" s="154" t="str">
        <f t="shared" si="498"/>
        <v>DR/0285</v>
      </c>
      <c r="D318" s="154" t="s">
        <v>3549</v>
      </c>
      <c r="E318" s="155" t="s">
        <v>3784</v>
      </c>
      <c r="F318" s="154"/>
      <c r="G318" s="154" t="s">
        <v>1412</v>
      </c>
      <c r="H318" s="152">
        <v>1804.95</v>
      </c>
      <c r="I318" s="152">
        <v>1786.85</v>
      </c>
      <c r="J318" s="156"/>
      <c r="K318" s="156">
        <f>Dre_Disp_Estruturais!AI111</f>
        <v>0</v>
      </c>
      <c r="L318" s="156">
        <f t="shared" si="499"/>
        <v>0</v>
      </c>
      <c r="M318" s="156">
        <f t="shared" si="500"/>
        <v>0</v>
      </c>
      <c r="N318" s="156" t="s">
        <v>83</v>
      </c>
      <c r="O318" s="157" cm="1">
        <f t="array" ref="O318">TRUNC($H318*(1+_xlfn.SWITCH($N318,"BDI 1",$O$6,"BDI 2",$O$7,"BDI 3",$O$8)),2)</f>
        <v>2178.5700000000002</v>
      </c>
      <c r="P318" s="157" cm="1">
        <f t="array" ref="P318">TRUNC($I318*(1+_xlfn.SWITCH($N318,"BDI 1",$P$6,"BDI 2",$P$7,"BDI 3",$P$8)),2)</f>
        <v>2264.65</v>
      </c>
      <c r="Q318" s="157">
        <v>0</v>
      </c>
      <c r="R318" s="157">
        <f t="shared" si="501"/>
        <v>0</v>
      </c>
      <c r="S318" s="156">
        <f t="shared" si="502"/>
        <v>0</v>
      </c>
      <c r="T318" s="156">
        <f t="shared" si="503"/>
        <v>0</v>
      </c>
      <c r="U318" s="156">
        <f t="shared" si="504"/>
        <v>0</v>
      </c>
      <c r="V318" s="156">
        <f t="shared" si="505"/>
        <v>0</v>
      </c>
      <c r="W318" s="156">
        <f t="shared" si="492"/>
        <v>0</v>
      </c>
      <c r="X318" s="158">
        <f t="shared" ref="X318" si="585">$S318/ORCAMENTO_VALOR_TOTAL_ND</f>
        <v>0</v>
      </c>
      <c r="Y318" s="158">
        <f t="shared" ref="Y318" si="586">$T318/ORCAMENTO_VALOR_TOTAL_DE</f>
        <v>0</v>
      </c>
      <c r="Z318" s="158" cm="1">
        <f t="array" ref="Z318">_xlfn.SWITCH($N318,"BDI 1",$O$6,"BDI 2",$O$7,"BDI 3",$O$8)</f>
        <v>0.20699999999999999</v>
      </c>
      <c r="AA318" s="158" cm="1">
        <f t="array" ref="AA318">_xlfn.SWITCH($N318,"BDI 1",$P$6,"BDI 2",$P$7,"BDI 3",$P$8)</f>
        <v>0.26739999999999997</v>
      </c>
      <c r="AB318" s="158">
        <f t="shared" ca="1" si="508"/>
        <v>0</v>
      </c>
      <c r="AC318" s="158">
        <f t="shared" ca="1" si="509"/>
        <v>0</v>
      </c>
      <c r="AD318" s="164"/>
      <c r="AE318" s="148">
        <f t="shared" si="495"/>
        <v>0</v>
      </c>
      <c r="AF318" s="149"/>
      <c r="AG318" s="150"/>
      <c r="AH318" s="159" t="e">
        <f t="shared" si="496"/>
        <v>#DIV/0!</v>
      </c>
      <c r="AI318" s="160"/>
      <c r="AJ318" s="105"/>
      <c r="AK318" s="105"/>
      <c r="AM318" s="105"/>
      <c r="AN318" s="105"/>
      <c r="AO318" s="105"/>
      <c r="AP318" s="105"/>
      <c r="AQ318" s="105"/>
      <c r="AR318" s="105"/>
    </row>
    <row r="319" spans="1:44" s="49" customFormat="1" ht="49.9" hidden="1" customHeight="1">
      <c r="A319" s="152">
        <f t="shared" ca="1" si="497"/>
        <v>0</v>
      </c>
      <c r="B319" s="153" t="s">
        <v>200</v>
      </c>
      <c r="C319" s="154" t="str">
        <f t="shared" si="498"/>
        <v>DR/0290</v>
      </c>
      <c r="D319" s="154" t="s">
        <v>3549</v>
      </c>
      <c r="E319" s="155" t="s">
        <v>3783</v>
      </c>
      <c r="F319" s="154"/>
      <c r="G319" s="154" t="s">
        <v>1412</v>
      </c>
      <c r="H319" s="152">
        <v>2640.76</v>
      </c>
      <c r="I319" s="152">
        <v>2616.98</v>
      </c>
      <c r="J319" s="156"/>
      <c r="K319" s="156">
        <f>Dre_Disp_Estruturais!AI112</f>
        <v>0</v>
      </c>
      <c r="L319" s="156">
        <f t="shared" si="499"/>
        <v>0</v>
      </c>
      <c r="M319" s="156">
        <f t="shared" si="500"/>
        <v>0</v>
      </c>
      <c r="N319" s="156" t="s">
        <v>83</v>
      </c>
      <c r="O319" s="157" cm="1">
        <f t="array" ref="O319">TRUNC($H319*(1+_xlfn.SWITCH($N319,"BDI 1",$O$6,"BDI 2",$O$7,"BDI 3",$O$8)),2)</f>
        <v>3187.39</v>
      </c>
      <c r="P319" s="157" cm="1">
        <f t="array" ref="P319">TRUNC($I319*(1+_xlfn.SWITCH($N319,"BDI 1",$P$6,"BDI 2",$P$7,"BDI 3",$P$8)),2)</f>
        <v>3316.76</v>
      </c>
      <c r="Q319" s="157">
        <v>0</v>
      </c>
      <c r="R319" s="157">
        <f t="shared" si="501"/>
        <v>0</v>
      </c>
      <c r="S319" s="156">
        <f t="shared" si="502"/>
        <v>0</v>
      </c>
      <c r="T319" s="156">
        <f t="shared" si="503"/>
        <v>0</v>
      </c>
      <c r="U319" s="156">
        <f t="shared" si="504"/>
        <v>0</v>
      </c>
      <c r="V319" s="156">
        <f t="shared" si="505"/>
        <v>0</v>
      </c>
      <c r="W319" s="156">
        <f t="shared" si="492"/>
        <v>0</v>
      </c>
      <c r="X319" s="158">
        <f t="shared" ref="X319" si="587">$S319/ORCAMENTO_VALOR_TOTAL_ND</f>
        <v>0</v>
      </c>
      <c r="Y319" s="158">
        <f t="shared" ref="Y319" si="588">$T319/ORCAMENTO_VALOR_TOTAL_DE</f>
        <v>0</v>
      </c>
      <c r="Z319" s="158" cm="1">
        <f t="array" ref="Z319">_xlfn.SWITCH($N319,"BDI 1",$O$6,"BDI 2",$O$7,"BDI 3",$O$8)</f>
        <v>0.20699999999999999</v>
      </c>
      <c r="AA319" s="158" cm="1">
        <f t="array" ref="AA319">_xlfn.SWITCH($N319,"BDI 1",$P$6,"BDI 2",$P$7,"BDI 3",$P$8)</f>
        <v>0.26739999999999997</v>
      </c>
      <c r="AB319" s="158">
        <f t="shared" ca="1" si="508"/>
        <v>0</v>
      </c>
      <c r="AC319" s="158">
        <f t="shared" ca="1" si="509"/>
        <v>0</v>
      </c>
      <c r="AD319" s="164"/>
      <c r="AE319" s="148">
        <f t="shared" si="495"/>
        <v>0</v>
      </c>
      <c r="AF319" s="149"/>
      <c r="AG319" s="150"/>
      <c r="AH319" s="159" t="e">
        <f t="shared" si="496"/>
        <v>#DIV/0!</v>
      </c>
      <c r="AI319" s="160"/>
      <c r="AJ319" s="105"/>
      <c r="AK319" s="105"/>
      <c r="AM319" s="105"/>
      <c r="AN319" s="105"/>
      <c r="AO319" s="105"/>
      <c r="AP319" s="105"/>
      <c r="AQ319" s="105"/>
      <c r="AR319" s="105"/>
    </row>
    <row r="320" spans="1:44" s="49" customFormat="1" ht="49.9" hidden="1" customHeight="1">
      <c r="A320" s="152">
        <f t="shared" ca="1" si="497"/>
        <v>0</v>
      </c>
      <c r="B320" s="153" t="s">
        <v>201</v>
      </c>
      <c r="C320" s="154" t="str">
        <f t="shared" si="498"/>
        <v>DR/0385</v>
      </c>
      <c r="D320" s="154" t="s">
        <v>3549</v>
      </c>
      <c r="E320" s="155" t="s">
        <v>3785</v>
      </c>
      <c r="F320" s="154"/>
      <c r="G320" s="154" t="s">
        <v>1412</v>
      </c>
      <c r="H320" s="152">
        <v>943.77</v>
      </c>
      <c r="I320" s="152">
        <v>926.67</v>
      </c>
      <c r="J320" s="156"/>
      <c r="K320" s="156">
        <f>Dre_Disp_Estruturais!AI95</f>
        <v>0</v>
      </c>
      <c r="L320" s="156">
        <f t="shared" si="499"/>
        <v>0</v>
      </c>
      <c r="M320" s="156">
        <f t="shared" si="500"/>
        <v>0</v>
      </c>
      <c r="N320" s="156" t="s">
        <v>83</v>
      </c>
      <c r="O320" s="157" cm="1">
        <f t="array" ref="O320">TRUNC($H320*(1+_xlfn.SWITCH($N320,"BDI 1",$O$6,"BDI 2",$O$7,"BDI 3",$O$8)),2)</f>
        <v>1139.1300000000001</v>
      </c>
      <c r="P320" s="157" cm="1">
        <f t="array" ref="P320">TRUNC($I320*(1+_xlfn.SWITCH($N320,"BDI 1",$P$6,"BDI 2",$P$7,"BDI 3",$P$8)),2)</f>
        <v>1174.46</v>
      </c>
      <c r="Q320" s="157">
        <v>0</v>
      </c>
      <c r="R320" s="157">
        <f t="shared" si="501"/>
        <v>0</v>
      </c>
      <c r="S320" s="156">
        <f t="shared" si="502"/>
        <v>0</v>
      </c>
      <c r="T320" s="156">
        <f t="shared" si="503"/>
        <v>0</v>
      </c>
      <c r="U320" s="156">
        <f t="shared" si="504"/>
        <v>0</v>
      </c>
      <c r="V320" s="156">
        <f t="shared" si="505"/>
        <v>0</v>
      </c>
      <c r="W320" s="156">
        <f t="shared" si="492"/>
        <v>0</v>
      </c>
      <c r="X320" s="158">
        <f t="shared" ref="X320" si="589">$S320/ORCAMENTO_VALOR_TOTAL_ND</f>
        <v>0</v>
      </c>
      <c r="Y320" s="158">
        <f t="shared" ref="Y320" si="590">$T320/ORCAMENTO_VALOR_TOTAL_DE</f>
        <v>0</v>
      </c>
      <c r="Z320" s="158" cm="1">
        <f t="array" ref="Z320">_xlfn.SWITCH($N320,"BDI 1",$O$6,"BDI 2",$O$7,"BDI 3",$O$8)</f>
        <v>0.20699999999999999</v>
      </c>
      <c r="AA320" s="158" cm="1">
        <f t="array" ref="AA320">_xlfn.SWITCH($N320,"BDI 1",$P$6,"BDI 2",$P$7,"BDI 3",$P$8)</f>
        <v>0.26739999999999997</v>
      </c>
      <c r="AB320" s="158">
        <f t="shared" ca="1" si="508"/>
        <v>0</v>
      </c>
      <c r="AC320" s="158">
        <f t="shared" ca="1" si="509"/>
        <v>0</v>
      </c>
      <c r="AD320" s="164"/>
      <c r="AE320" s="148">
        <f t="shared" si="495"/>
        <v>0</v>
      </c>
      <c r="AF320" s="149"/>
      <c r="AG320" s="150"/>
      <c r="AH320" s="159" t="e">
        <f t="shared" si="496"/>
        <v>#DIV/0!</v>
      </c>
      <c r="AI320" s="160"/>
      <c r="AJ320" s="105"/>
      <c r="AK320" s="105"/>
      <c r="AM320" s="105"/>
      <c r="AN320" s="105"/>
      <c r="AO320" s="105"/>
      <c r="AP320" s="105"/>
      <c r="AQ320" s="105"/>
      <c r="AR320" s="105"/>
    </row>
    <row r="321" spans="1:44" s="49" customFormat="1" ht="49.9" hidden="1" customHeight="1">
      <c r="A321" s="152">
        <f t="shared" ca="1" si="497"/>
        <v>0</v>
      </c>
      <c r="B321" s="153" t="s">
        <v>202</v>
      </c>
      <c r="C321" s="154" t="str">
        <f t="shared" si="498"/>
        <v>DR/0390</v>
      </c>
      <c r="D321" s="154" t="s">
        <v>3549</v>
      </c>
      <c r="E321" s="155" t="s">
        <v>3786</v>
      </c>
      <c r="F321" s="154"/>
      <c r="G321" s="154" t="s">
        <v>1412</v>
      </c>
      <c r="H321" s="152">
        <v>229.76</v>
      </c>
      <c r="I321" s="152">
        <v>212.73</v>
      </c>
      <c r="J321" s="156"/>
      <c r="K321" s="156">
        <f>Dre_Disp_Estruturais!AI96</f>
        <v>0</v>
      </c>
      <c r="L321" s="156">
        <f t="shared" si="499"/>
        <v>0</v>
      </c>
      <c r="M321" s="156">
        <f t="shared" si="500"/>
        <v>0</v>
      </c>
      <c r="N321" s="156" t="s">
        <v>83</v>
      </c>
      <c r="O321" s="157" cm="1">
        <f t="array" ref="O321">TRUNC($H321*(1+_xlfn.SWITCH($N321,"BDI 1",$O$6,"BDI 2",$O$7,"BDI 3",$O$8)),2)</f>
        <v>277.32</v>
      </c>
      <c r="P321" s="157" cm="1">
        <f t="array" ref="P321">TRUNC($I321*(1+_xlfn.SWITCH($N321,"BDI 1",$P$6,"BDI 2",$P$7,"BDI 3",$P$8)),2)</f>
        <v>269.61</v>
      </c>
      <c r="Q321" s="157">
        <v>0</v>
      </c>
      <c r="R321" s="157">
        <f t="shared" si="501"/>
        <v>0</v>
      </c>
      <c r="S321" s="156">
        <f t="shared" si="502"/>
        <v>0</v>
      </c>
      <c r="T321" s="156">
        <f t="shared" si="503"/>
        <v>0</v>
      </c>
      <c r="U321" s="156">
        <f t="shared" si="504"/>
        <v>0</v>
      </c>
      <c r="V321" s="156">
        <f t="shared" si="505"/>
        <v>0</v>
      </c>
      <c r="W321" s="156">
        <f t="shared" si="492"/>
        <v>0</v>
      </c>
      <c r="X321" s="158">
        <f t="shared" ref="X321" si="591">$S321/ORCAMENTO_VALOR_TOTAL_ND</f>
        <v>0</v>
      </c>
      <c r="Y321" s="158">
        <f t="shared" ref="Y321" si="592">$T321/ORCAMENTO_VALOR_TOTAL_DE</f>
        <v>0</v>
      </c>
      <c r="Z321" s="158" cm="1">
        <f t="array" ref="Z321">_xlfn.SWITCH($N321,"BDI 1",$O$6,"BDI 2",$O$7,"BDI 3",$O$8)</f>
        <v>0.20699999999999999</v>
      </c>
      <c r="AA321" s="158" cm="1">
        <f t="array" ref="AA321">_xlfn.SWITCH($N321,"BDI 1",$P$6,"BDI 2",$P$7,"BDI 3",$P$8)</f>
        <v>0.26739999999999997</v>
      </c>
      <c r="AB321" s="158">
        <f t="shared" ca="1" si="508"/>
        <v>0</v>
      </c>
      <c r="AC321" s="158">
        <f t="shared" ca="1" si="509"/>
        <v>0</v>
      </c>
      <c r="AD321" s="164"/>
      <c r="AE321" s="148">
        <f t="shared" si="495"/>
        <v>0</v>
      </c>
      <c r="AF321" s="149"/>
      <c r="AG321" s="150"/>
      <c r="AH321" s="159" t="e">
        <f t="shared" si="496"/>
        <v>#DIV/0!</v>
      </c>
      <c r="AI321" s="160"/>
      <c r="AJ321" s="105"/>
      <c r="AK321" s="105"/>
      <c r="AM321" s="105"/>
      <c r="AN321" s="105"/>
      <c r="AO321" s="105"/>
      <c r="AP321" s="105"/>
      <c r="AQ321" s="105"/>
      <c r="AR321" s="105"/>
    </row>
    <row r="322" spans="1:44" s="49" customFormat="1" ht="49.9" hidden="1" customHeight="1">
      <c r="A322" s="152">
        <f t="shared" ca="1" si="497"/>
        <v>0</v>
      </c>
      <c r="B322" s="153" t="s">
        <v>203</v>
      </c>
      <c r="C322" s="154" t="str">
        <f t="shared" si="498"/>
        <v>DR/0365</v>
      </c>
      <c r="D322" s="154" t="s">
        <v>3549</v>
      </c>
      <c r="E322" s="155" t="s">
        <v>3787</v>
      </c>
      <c r="F322" s="154"/>
      <c r="G322" s="154" t="s">
        <v>1412</v>
      </c>
      <c r="H322" s="152">
        <v>1064.93</v>
      </c>
      <c r="I322" s="152">
        <v>1049.45</v>
      </c>
      <c r="J322" s="156"/>
      <c r="K322" s="156">
        <f>Dre_Disp_Estruturais!AI97</f>
        <v>0</v>
      </c>
      <c r="L322" s="156">
        <f t="shared" si="499"/>
        <v>0</v>
      </c>
      <c r="M322" s="156">
        <f t="shared" si="500"/>
        <v>0</v>
      </c>
      <c r="N322" s="156" t="s">
        <v>83</v>
      </c>
      <c r="O322" s="157" cm="1">
        <f t="array" ref="O322">TRUNC($H322*(1+_xlfn.SWITCH($N322,"BDI 1",$O$6,"BDI 2",$O$7,"BDI 3",$O$8)),2)</f>
        <v>1285.3699999999999</v>
      </c>
      <c r="P322" s="157" cm="1">
        <f t="array" ref="P322">TRUNC($I322*(1+_xlfn.SWITCH($N322,"BDI 1",$P$6,"BDI 2",$P$7,"BDI 3",$P$8)),2)</f>
        <v>1330.07</v>
      </c>
      <c r="Q322" s="157">
        <v>0</v>
      </c>
      <c r="R322" s="157">
        <f t="shared" si="501"/>
        <v>0</v>
      </c>
      <c r="S322" s="156">
        <f t="shared" si="502"/>
        <v>0</v>
      </c>
      <c r="T322" s="156">
        <f t="shared" si="503"/>
        <v>0</v>
      </c>
      <c r="U322" s="156">
        <f t="shared" si="504"/>
        <v>0</v>
      </c>
      <c r="V322" s="156">
        <f t="shared" si="505"/>
        <v>0</v>
      </c>
      <c r="W322" s="156">
        <f t="shared" si="492"/>
        <v>0</v>
      </c>
      <c r="X322" s="158">
        <f t="shared" ref="X322" si="593">$S322/ORCAMENTO_VALOR_TOTAL_ND</f>
        <v>0</v>
      </c>
      <c r="Y322" s="158">
        <f t="shared" ref="Y322" si="594">$T322/ORCAMENTO_VALOR_TOTAL_DE</f>
        <v>0</v>
      </c>
      <c r="Z322" s="158" cm="1">
        <f t="array" ref="Z322">_xlfn.SWITCH($N322,"BDI 1",$O$6,"BDI 2",$O$7,"BDI 3",$O$8)</f>
        <v>0.20699999999999999</v>
      </c>
      <c r="AA322" s="158" cm="1">
        <f t="array" ref="AA322">_xlfn.SWITCH($N322,"BDI 1",$P$6,"BDI 2",$P$7,"BDI 3",$P$8)</f>
        <v>0.26739999999999997</v>
      </c>
      <c r="AB322" s="158">
        <f t="shared" ca="1" si="508"/>
        <v>0</v>
      </c>
      <c r="AC322" s="158">
        <f t="shared" ca="1" si="509"/>
        <v>0</v>
      </c>
      <c r="AD322" s="164"/>
      <c r="AE322" s="148">
        <f t="shared" si="495"/>
        <v>0</v>
      </c>
      <c r="AF322" s="149"/>
      <c r="AG322" s="150"/>
      <c r="AH322" s="159" t="e">
        <f t="shared" si="496"/>
        <v>#DIV/0!</v>
      </c>
      <c r="AI322" s="160"/>
      <c r="AJ322" s="105"/>
      <c r="AK322" s="105"/>
      <c r="AM322" s="105"/>
      <c r="AN322" s="105"/>
      <c r="AO322" s="105"/>
      <c r="AP322" s="105"/>
      <c r="AQ322" s="105"/>
      <c r="AR322" s="105"/>
    </row>
    <row r="323" spans="1:44" s="49" customFormat="1" ht="49.9" hidden="1" customHeight="1">
      <c r="A323" s="152">
        <f t="shared" ca="1" si="497"/>
        <v>0</v>
      </c>
      <c r="B323" s="153" t="s">
        <v>204</v>
      </c>
      <c r="C323" s="154" t="str">
        <f t="shared" si="498"/>
        <v>DR/0370</v>
      </c>
      <c r="D323" s="154" t="s">
        <v>3549</v>
      </c>
      <c r="E323" s="155" t="s">
        <v>3788</v>
      </c>
      <c r="F323" s="154"/>
      <c r="G323" s="154" t="s">
        <v>1412</v>
      </c>
      <c r="H323" s="152">
        <v>222.87</v>
      </c>
      <c r="I323" s="152">
        <v>208.64</v>
      </c>
      <c r="J323" s="156"/>
      <c r="K323" s="156">
        <f>Dre_Disp_Estruturais!AI98</f>
        <v>0</v>
      </c>
      <c r="L323" s="156">
        <f t="shared" si="499"/>
        <v>0</v>
      </c>
      <c r="M323" s="156">
        <f t="shared" si="500"/>
        <v>0</v>
      </c>
      <c r="N323" s="156" t="s">
        <v>83</v>
      </c>
      <c r="O323" s="157" cm="1">
        <f t="array" ref="O323">TRUNC($H323*(1+_xlfn.SWITCH($N323,"BDI 1",$O$6,"BDI 2",$O$7,"BDI 3",$O$8)),2)</f>
        <v>269</v>
      </c>
      <c r="P323" s="157" cm="1">
        <f t="array" ref="P323">TRUNC($I323*(1+_xlfn.SWITCH($N323,"BDI 1",$P$6,"BDI 2",$P$7,"BDI 3",$P$8)),2)</f>
        <v>264.43</v>
      </c>
      <c r="Q323" s="157">
        <v>0</v>
      </c>
      <c r="R323" s="157">
        <f t="shared" si="501"/>
        <v>0</v>
      </c>
      <c r="S323" s="156">
        <f t="shared" si="502"/>
        <v>0</v>
      </c>
      <c r="T323" s="156">
        <f t="shared" si="503"/>
        <v>0</v>
      </c>
      <c r="U323" s="156">
        <f t="shared" si="504"/>
        <v>0</v>
      </c>
      <c r="V323" s="156">
        <f t="shared" si="505"/>
        <v>0</v>
      </c>
      <c r="W323" s="156">
        <f t="shared" si="492"/>
        <v>0</v>
      </c>
      <c r="X323" s="158">
        <f t="shared" ref="X323" si="595">$S323/ORCAMENTO_VALOR_TOTAL_ND</f>
        <v>0</v>
      </c>
      <c r="Y323" s="158">
        <f t="shared" ref="Y323" si="596">$T323/ORCAMENTO_VALOR_TOTAL_DE</f>
        <v>0</v>
      </c>
      <c r="Z323" s="158" cm="1">
        <f t="array" ref="Z323">_xlfn.SWITCH($N323,"BDI 1",$O$6,"BDI 2",$O$7,"BDI 3",$O$8)</f>
        <v>0.20699999999999999</v>
      </c>
      <c r="AA323" s="158" cm="1">
        <f t="array" ref="AA323">_xlfn.SWITCH($N323,"BDI 1",$P$6,"BDI 2",$P$7,"BDI 3",$P$8)</f>
        <v>0.26739999999999997</v>
      </c>
      <c r="AB323" s="158">
        <f t="shared" ca="1" si="508"/>
        <v>0</v>
      </c>
      <c r="AC323" s="158">
        <f t="shared" ca="1" si="509"/>
        <v>0</v>
      </c>
      <c r="AD323" s="164"/>
      <c r="AE323" s="148">
        <f t="shared" si="495"/>
        <v>0</v>
      </c>
      <c r="AF323" s="149"/>
      <c r="AG323" s="150"/>
      <c r="AH323" s="159" t="e">
        <f t="shared" si="496"/>
        <v>#DIV/0!</v>
      </c>
      <c r="AI323" s="160"/>
      <c r="AJ323" s="105"/>
      <c r="AK323" s="105"/>
      <c r="AM323" s="105"/>
      <c r="AN323" s="105"/>
      <c r="AO323" s="105"/>
      <c r="AP323" s="105"/>
      <c r="AQ323" s="105"/>
      <c r="AR323" s="105"/>
    </row>
    <row r="324" spans="1:44" s="49" customFormat="1" ht="40.15" hidden="1" customHeight="1">
      <c r="A324" s="10">
        <f t="shared" ca="1" si="497"/>
        <v>0</v>
      </c>
      <c r="B324" s="153"/>
      <c r="C324" s="154"/>
      <c r="D324" s="154"/>
      <c r="E324" s="161" t="s">
        <v>103</v>
      </c>
      <c r="F324" s="154"/>
      <c r="G324" s="154"/>
      <c r="H324" s="152"/>
      <c r="I324" s="152"/>
      <c r="J324" s="154"/>
      <c r="K324" s="154"/>
      <c r="L324" s="154"/>
      <c r="M324" s="154"/>
      <c r="N324" s="154"/>
      <c r="O324" s="154"/>
      <c r="P324" s="154"/>
      <c r="Q324" s="154"/>
      <c r="R324" s="154"/>
      <c r="S324" s="162"/>
      <c r="T324" s="162"/>
      <c r="U324" s="162"/>
      <c r="V324" s="162"/>
      <c r="W324" s="162"/>
      <c r="X324" s="163"/>
      <c r="Y324" s="163"/>
      <c r="Z324" s="163"/>
      <c r="AA324" s="163"/>
      <c r="AB324" s="163"/>
      <c r="AC324" s="163"/>
      <c r="AD324" s="164"/>
      <c r="AE324" s="148">
        <f>IF(SUM(S325:S326)&gt;0,IFERROR(TRUNC(A324,0),0),0)</f>
        <v>0</v>
      </c>
      <c r="AF324" s="149"/>
      <c r="AG324" s="150"/>
      <c r="AH324" s="159"/>
      <c r="AI324" s="160"/>
      <c r="AJ324" s="105"/>
      <c r="AK324" s="105"/>
      <c r="AM324" s="105"/>
      <c r="AN324" s="105"/>
      <c r="AO324" s="105"/>
      <c r="AP324" s="105"/>
      <c r="AQ324" s="105"/>
      <c r="AR324" s="105"/>
    </row>
    <row r="325" spans="1:44" s="49" customFormat="1" ht="40.15" hidden="1" customHeight="1">
      <c r="A325" s="152">
        <f t="shared" ca="1" si="497"/>
        <v>0</v>
      </c>
      <c r="B325" s="153">
        <v>95876</v>
      </c>
      <c r="C325" s="154" t="str">
        <f>TEXT(B325,"0")</f>
        <v>95876</v>
      </c>
      <c r="D325" s="154" t="s">
        <v>1416</v>
      </c>
      <c r="E325" s="155" t="s">
        <v>3537</v>
      </c>
      <c r="F325" s="154">
        <f>IF(Dados_DMT!$B$34&lt;30,Dados_DMT!$B$34,30)</f>
        <v>30</v>
      </c>
      <c r="G325" s="154" t="s">
        <v>3538</v>
      </c>
      <c r="H325" s="152">
        <v>2.09</v>
      </c>
      <c r="I325" s="152">
        <v>2.1</v>
      </c>
      <c r="J325" s="156"/>
      <c r="K325" s="156">
        <f>ROUND(Memoria_Insumos!C801*F325,2)</f>
        <v>0</v>
      </c>
      <c r="L325" s="156">
        <f>IF($K325&gt;$J325,$K325-$J325,0)</f>
        <v>0</v>
      </c>
      <c r="M325" s="156">
        <f>IF($K325&lt;$J325,$J325-$K325,0)</f>
        <v>0</v>
      </c>
      <c r="N325" s="156" t="s">
        <v>83</v>
      </c>
      <c r="O325" s="157" cm="1">
        <f t="array" ref="O325">TRUNC($H325*(1+_xlfn.SWITCH($N325,"BDI 1",$O$6,"BDI 2",$O$7,"BDI 3",$O$8)),2)</f>
        <v>2.52</v>
      </c>
      <c r="P325" s="157" cm="1">
        <f t="array" ref="P325">TRUNC($I325*(1+_xlfn.SWITCH($N325,"BDI 1",$P$6,"BDI 2",$P$7,"BDI 3",$P$8)),2)</f>
        <v>2.66</v>
      </c>
      <c r="Q325" s="157">
        <v>0</v>
      </c>
      <c r="R325" s="157">
        <f>$Q325-($Q325*LICITACAO_DESCONTO)</f>
        <v>0</v>
      </c>
      <c r="S325" s="156">
        <f>TRUNC($K325*$O325,2)</f>
        <v>0</v>
      </c>
      <c r="T325" s="156">
        <f>TRUNC($K325*$P325,2)</f>
        <v>0</v>
      </c>
      <c r="U325" s="156">
        <f>TRUNC($J325*$R325,2)</f>
        <v>0</v>
      </c>
      <c r="V325" s="156">
        <f>TRUNC($K325*$Q325,2)</f>
        <v>0</v>
      </c>
      <c r="W325" s="156">
        <f>TRUNC(V325-U325,2)</f>
        <v>0</v>
      </c>
      <c r="X325" s="158">
        <f>$S325/ORCAMENTO_VALOR_TOTAL_ND</f>
        <v>0</v>
      </c>
      <c r="Y325" s="158">
        <f>$T325/ORCAMENTO_VALOR_TOTAL_DE</f>
        <v>0</v>
      </c>
      <c r="Z325" s="158" cm="1">
        <f t="array" ref="Z325">_xlfn.SWITCH($N325,"BDI 1",$O$6,"BDI 2",$O$7,"BDI 3",$O$8)</f>
        <v>0.20699999999999999</v>
      </c>
      <c r="AA325" s="158" cm="1">
        <f t="array" ref="AA325">_xlfn.SWITCH($N325,"BDI 1",$P$6,"BDI 2",$P$7,"BDI 3",$P$8)</f>
        <v>0.26739999999999997</v>
      </c>
      <c r="AB325" s="158">
        <f ca="1">IFERROR($S325/_xlfn.XLOOKUP($AE325,$B$16:$B$38,$S$16:$S$38),0)</f>
        <v>0</v>
      </c>
      <c r="AC325" s="158">
        <f ca="1">IFERROR($T325/_xlfn.XLOOKUP($AE325,$B$16:$B$38,$T$16:$T$38),0)</f>
        <v>0</v>
      </c>
      <c r="AD325" s="164"/>
      <c r="AE325" s="148">
        <f t="shared" ref="AE325:AE326" si="597">IF(S325&gt;0,IFERROR(TRUNC(A325,0),0),0)</f>
        <v>0</v>
      </c>
      <c r="AF325" s="149"/>
      <c r="AG325" s="150"/>
      <c r="AH325" s="159" t="e">
        <f>S325/S$118</f>
        <v>#DIV/0!</v>
      </c>
      <c r="AI325" s="166">
        <f>IF(K325=0,0,K325/F325)</f>
        <v>0</v>
      </c>
      <c r="AJ325" s="105"/>
      <c r="AK325" s="105"/>
      <c r="AM325" s="105"/>
      <c r="AN325" s="105"/>
      <c r="AO325" s="105"/>
      <c r="AP325" s="105"/>
      <c r="AQ325" s="105"/>
      <c r="AR325" s="105"/>
    </row>
    <row r="326" spans="1:44" s="49" customFormat="1" ht="40.15" hidden="1" customHeight="1">
      <c r="A326" s="152">
        <f t="shared" ca="1" si="497"/>
        <v>0</v>
      </c>
      <c r="B326" s="153">
        <v>93593</v>
      </c>
      <c r="C326" s="154" t="str">
        <f>TEXT(B326,"0")</f>
        <v>93593</v>
      </c>
      <c r="D326" s="154" t="s">
        <v>1416</v>
      </c>
      <c r="E326" s="155" t="s">
        <v>3545</v>
      </c>
      <c r="F326" s="154">
        <f>Dados_DMT!B34-F325</f>
        <v>80</v>
      </c>
      <c r="G326" s="154" t="s">
        <v>3538</v>
      </c>
      <c r="H326" s="152">
        <v>0.84</v>
      </c>
      <c r="I326" s="152">
        <v>0.85</v>
      </c>
      <c r="J326" s="156"/>
      <c r="K326" s="156">
        <f>ROUND(Dre_Disp_Estruturais!AI155*F326,2)</f>
        <v>0</v>
      </c>
      <c r="L326" s="156">
        <f>IF($K326&gt;$J326,$K326-$J326,0)</f>
        <v>0</v>
      </c>
      <c r="M326" s="156">
        <f>IF($K326&lt;$J326,$J326-$K326,0)</f>
        <v>0</v>
      </c>
      <c r="N326" s="156" t="s">
        <v>83</v>
      </c>
      <c r="O326" s="157" cm="1">
        <f t="array" ref="O326">TRUNC($H326*(1+_xlfn.SWITCH($N326,"BDI 1",$O$6,"BDI 2",$O$7,"BDI 3",$O$8)),2)</f>
        <v>1.01</v>
      </c>
      <c r="P326" s="157" cm="1">
        <f t="array" ref="P326">TRUNC($I326*(1+_xlfn.SWITCH($N326,"BDI 1",$P$6,"BDI 2",$P$7,"BDI 3",$P$8)),2)</f>
        <v>1.07</v>
      </c>
      <c r="Q326" s="157">
        <v>0</v>
      </c>
      <c r="R326" s="157">
        <f>$Q326-($Q326*LICITACAO_DESCONTO)</f>
        <v>0</v>
      </c>
      <c r="S326" s="156">
        <f>TRUNC($K326*$O326,2)</f>
        <v>0</v>
      </c>
      <c r="T326" s="156">
        <f>TRUNC($K326*$P326,2)</f>
        <v>0</v>
      </c>
      <c r="U326" s="156">
        <f>TRUNC($J326*$R326,2)</f>
        <v>0</v>
      </c>
      <c r="V326" s="156">
        <f>TRUNC($K326*$Q326,2)</f>
        <v>0</v>
      </c>
      <c r="W326" s="156">
        <f>TRUNC(V326-U326,2)</f>
        <v>0</v>
      </c>
      <c r="X326" s="158">
        <f>$S326/ORCAMENTO_VALOR_TOTAL_ND</f>
        <v>0</v>
      </c>
      <c r="Y326" s="158">
        <f>$T326/ORCAMENTO_VALOR_TOTAL_DE</f>
        <v>0</v>
      </c>
      <c r="Z326" s="158" cm="1">
        <f t="array" ref="Z326">_xlfn.SWITCH($N326,"BDI 1",$O$6,"BDI 2",$O$7,"BDI 3",$O$8)</f>
        <v>0.20699999999999999</v>
      </c>
      <c r="AA326" s="158" cm="1">
        <f t="array" ref="AA326">_xlfn.SWITCH($N326,"BDI 1",$P$6,"BDI 2",$P$7,"BDI 3",$P$8)</f>
        <v>0.26739999999999997</v>
      </c>
      <c r="AB326" s="158">
        <f ca="1">IFERROR($S326/_xlfn.XLOOKUP($AE326,$B$16:$B$38,$S$16:$S$38),0)</f>
        <v>0</v>
      </c>
      <c r="AC326" s="158">
        <f ca="1">IFERROR($T326/_xlfn.XLOOKUP($AE326,$B$16:$B$38,$T$16:$T$38),0)</f>
        <v>0</v>
      </c>
      <c r="AD326" s="164"/>
      <c r="AE326" s="148">
        <f t="shared" si="597"/>
        <v>0</v>
      </c>
      <c r="AF326" s="149"/>
      <c r="AG326" s="150"/>
      <c r="AH326" s="159" t="e">
        <f>S326/S$118</f>
        <v>#DIV/0!</v>
      </c>
      <c r="AI326" s="166">
        <f>IF(K326=0,0,K326/F326)</f>
        <v>0</v>
      </c>
      <c r="AJ326" s="105"/>
      <c r="AK326" s="105"/>
      <c r="AM326" s="105"/>
      <c r="AN326" s="105"/>
      <c r="AO326" s="105"/>
      <c r="AP326" s="105"/>
      <c r="AQ326" s="105"/>
      <c r="AR326" s="105"/>
    </row>
    <row r="327" spans="1:44" s="49" customFormat="1" ht="40.15" hidden="1" customHeight="1">
      <c r="A327" s="10">
        <f t="shared" ca="1" si="497"/>
        <v>0</v>
      </c>
      <c r="B327" s="153"/>
      <c r="C327" s="154"/>
      <c r="D327" s="154"/>
      <c r="E327" s="161" t="s">
        <v>205</v>
      </c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62"/>
      <c r="T327" s="162"/>
      <c r="U327" s="162"/>
      <c r="V327" s="162"/>
      <c r="W327" s="162"/>
      <c r="X327" s="163"/>
      <c r="Y327" s="163"/>
      <c r="Z327" s="163"/>
      <c r="AA327" s="163"/>
      <c r="AB327" s="163"/>
      <c r="AC327" s="163"/>
      <c r="AD327" s="164"/>
      <c r="AE327" s="148">
        <f>IF(SUM(S328:S329)&gt;0,IFERROR(TRUNC(A327,0),0),0)</f>
        <v>0</v>
      </c>
      <c r="AF327" s="149"/>
      <c r="AG327" s="150"/>
      <c r="AH327" s="159"/>
      <c r="AI327" s="160"/>
      <c r="AJ327" s="105"/>
      <c r="AK327" s="105"/>
      <c r="AM327" s="105"/>
      <c r="AN327" s="105"/>
      <c r="AO327" s="105"/>
      <c r="AP327" s="105"/>
      <c r="AQ327" s="105"/>
      <c r="AR327" s="105"/>
    </row>
    <row r="328" spans="1:44" s="49" customFormat="1" ht="40.15" hidden="1" customHeight="1">
      <c r="A328" s="152">
        <f t="shared" ca="1" si="497"/>
        <v>0</v>
      </c>
      <c r="B328" s="153">
        <v>100952</v>
      </c>
      <c r="C328" s="154" t="str">
        <f>TEXT(B328,"0")</f>
        <v>100952</v>
      </c>
      <c r="D328" s="154" t="s">
        <v>1416</v>
      </c>
      <c r="E328" s="155" t="s">
        <v>3789</v>
      </c>
      <c r="F328" s="154">
        <f>IF(Dados_DMT!$B$13&lt;30,Dados_DMT!$B$13,30)</f>
        <v>30</v>
      </c>
      <c r="G328" s="154" t="s">
        <v>3534</v>
      </c>
      <c r="H328" s="152">
        <v>2.73</v>
      </c>
      <c r="I328" s="152">
        <v>2.71</v>
      </c>
      <c r="J328" s="156"/>
      <c r="K328" s="156">
        <f>ROUND(Dre_Disp_Estruturais!AI162*F328,2)</f>
        <v>0</v>
      </c>
      <c r="L328" s="156">
        <f>IF($K328&gt;$J328,$K328-$J328,0)</f>
        <v>0</v>
      </c>
      <c r="M328" s="156">
        <f>IF($K328&lt;$J328,$J328-$K328,0)</f>
        <v>0</v>
      </c>
      <c r="N328" s="156" t="s">
        <v>83</v>
      </c>
      <c r="O328" s="157" cm="1">
        <f t="array" ref="O328">TRUNC($H328*(1+_xlfn.SWITCH($N328,"BDI 1",$O$6,"BDI 2",$O$7,"BDI 3",$O$8)),2)</f>
        <v>3.29</v>
      </c>
      <c r="P328" s="157" cm="1">
        <f t="array" ref="P328">TRUNC($I328*(1+_xlfn.SWITCH($N328,"BDI 1",$P$6,"BDI 2",$P$7,"BDI 3",$P$8)),2)</f>
        <v>3.43</v>
      </c>
      <c r="Q328" s="157">
        <v>0</v>
      </c>
      <c r="R328" s="157">
        <f>$Q328-($Q328*LICITACAO_DESCONTO)</f>
        <v>0</v>
      </c>
      <c r="S328" s="156">
        <f>TRUNC($K328*$O328,2)</f>
        <v>0</v>
      </c>
      <c r="T328" s="156">
        <f>TRUNC($K328*$P328,2)</f>
        <v>0</v>
      </c>
      <c r="U328" s="156">
        <f>TRUNC($J328*$R328,2)</f>
        <v>0</v>
      </c>
      <c r="V328" s="156">
        <f>TRUNC($K328*$Q328,2)</f>
        <v>0</v>
      </c>
      <c r="W328" s="156">
        <f>TRUNC(V328-U328,2)</f>
        <v>0</v>
      </c>
      <c r="X328" s="158">
        <f>$S328/ORCAMENTO_VALOR_TOTAL_ND</f>
        <v>0</v>
      </c>
      <c r="Y328" s="158">
        <f>$T328/ORCAMENTO_VALOR_TOTAL_DE</f>
        <v>0</v>
      </c>
      <c r="Z328" s="158" cm="1">
        <f t="array" ref="Z328">_xlfn.SWITCH($N328,"BDI 1",$O$6,"BDI 2",$O$7,"BDI 3",$O$8)</f>
        <v>0.20699999999999999</v>
      </c>
      <c r="AA328" s="158" cm="1">
        <f t="array" ref="AA328">_xlfn.SWITCH($N328,"BDI 1",$P$6,"BDI 2",$P$7,"BDI 3",$P$8)</f>
        <v>0.26739999999999997</v>
      </c>
      <c r="AB328" s="158">
        <f ca="1">IFERROR($S328/_xlfn.XLOOKUP($AE328,$B$16:$B$38,$S$16:$S$38),0)</f>
        <v>0</v>
      </c>
      <c r="AC328" s="158">
        <f ca="1">IFERROR($T328/_xlfn.XLOOKUP($AE328,$B$16:$B$38,$T$16:$T$38),0)</f>
        <v>0</v>
      </c>
      <c r="AD328" s="164"/>
      <c r="AE328" s="148">
        <f t="shared" ref="AE328:AE329" si="598">IF(S328&gt;0,IFERROR(TRUNC(A328,0),0),0)</f>
        <v>0</v>
      </c>
      <c r="AF328" s="149"/>
      <c r="AG328" s="150"/>
      <c r="AH328" s="159" t="e">
        <f>S328/S$204</f>
        <v>#DIV/0!</v>
      </c>
      <c r="AI328" s="160"/>
      <c r="AJ328" s="105"/>
      <c r="AK328" s="105"/>
      <c r="AM328" s="105"/>
      <c r="AN328" s="105"/>
      <c r="AO328" s="105"/>
      <c r="AP328" s="105"/>
      <c r="AQ328" s="105"/>
      <c r="AR328" s="105"/>
    </row>
    <row r="329" spans="1:44" s="49" customFormat="1" ht="49.9" hidden="1" customHeight="1">
      <c r="A329" s="152">
        <f t="shared" ca="1" si="497"/>
        <v>0</v>
      </c>
      <c r="B329" s="153">
        <v>100953</v>
      </c>
      <c r="C329" s="154" t="str">
        <f>TEXT(B329,"0")</f>
        <v>100953</v>
      </c>
      <c r="D329" s="154" t="s">
        <v>1416</v>
      </c>
      <c r="E329" s="155" t="s">
        <v>3790</v>
      </c>
      <c r="F329" s="154">
        <f>Dados_DMT!B13-'Orcamento ND'!F328</f>
        <v>70</v>
      </c>
      <c r="G329" s="154" t="s">
        <v>3534</v>
      </c>
      <c r="H329" s="152">
        <v>1.08</v>
      </c>
      <c r="I329" s="152">
        <v>1.08</v>
      </c>
      <c r="J329" s="156"/>
      <c r="K329" s="156">
        <f>ROUND(Dre_Disp_Estruturais!AI162*F329,2)</f>
        <v>0</v>
      </c>
      <c r="L329" s="156">
        <f>IF($K329&gt;$J329,$K329-$J329,0)</f>
        <v>0</v>
      </c>
      <c r="M329" s="156">
        <f>IF($K329&lt;$J329,$J329-$K329,0)</f>
        <v>0</v>
      </c>
      <c r="N329" s="156" t="s">
        <v>83</v>
      </c>
      <c r="O329" s="157" cm="1">
        <f t="array" ref="O329">TRUNC($H329*(1+_xlfn.SWITCH($N329,"BDI 1",$O$6,"BDI 2",$O$7,"BDI 3",$O$8)),2)</f>
        <v>1.3</v>
      </c>
      <c r="P329" s="157" cm="1">
        <f t="array" ref="P329">TRUNC($I329*(1+_xlfn.SWITCH($N329,"BDI 1",$P$6,"BDI 2",$P$7,"BDI 3",$P$8)),2)</f>
        <v>1.36</v>
      </c>
      <c r="Q329" s="157">
        <v>0</v>
      </c>
      <c r="R329" s="157">
        <f>$Q329-($Q329*LICITACAO_DESCONTO)</f>
        <v>0</v>
      </c>
      <c r="S329" s="156">
        <f>TRUNC($K329*$O329,2)</f>
        <v>0</v>
      </c>
      <c r="T329" s="156">
        <f>TRUNC($K329*$P329,2)</f>
        <v>0</v>
      </c>
      <c r="U329" s="156">
        <f>TRUNC($J329*$R329,2)</f>
        <v>0</v>
      </c>
      <c r="V329" s="156">
        <f>TRUNC($K329*$Q329,2)</f>
        <v>0</v>
      </c>
      <c r="W329" s="156">
        <f>TRUNC(V329-U329,2)</f>
        <v>0</v>
      </c>
      <c r="X329" s="158">
        <f>$S329/ORCAMENTO_VALOR_TOTAL_ND</f>
        <v>0</v>
      </c>
      <c r="Y329" s="158">
        <f>$T329/ORCAMENTO_VALOR_TOTAL_DE</f>
        <v>0</v>
      </c>
      <c r="Z329" s="158" cm="1">
        <f t="array" ref="Z329">_xlfn.SWITCH($N329,"BDI 1",$O$6,"BDI 2",$O$7,"BDI 3",$O$8)</f>
        <v>0.20699999999999999</v>
      </c>
      <c r="AA329" s="158" cm="1">
        <f t="array" ref="AA329">_xlfn.SWITCH($N329,"BDI 1",$P$6,"BDI 2",$P$7,"BDI 3",$P$8)</f>
        <v>0.26739999999999997</v>
      </c>
      <c r="AB329" s="158">
        <f ca="1">IFERROR($S329/_xlfn.XLOOKUP($AE329,$B$16:$B$38,$S$16:$S$38),0)</f>
        <v>0</v>
      </c>
      <c r="AC329" s="158">
        <f ca="1">IFERROR($T329/_xlfn.XLOOKUP($AE329,$B$16:$B$38,$T$16:$T$38),0)</f>
        <v>0</v>
      </c>
      <c r="AD329" s="164"/>
      <c r="AE329" s="148">
        <f t="shared" si="598"/>
        <v>0</v>
      </c>
      <c r="AF329" s="149"/>
      <c r="AG329" s="150"/>
      <c r="AH329" s="159" t="e">
        <f>S329/S$204</f>
        <v>#DIV/0!</v>
      </c>
      <c r="AI329" s="160"/>
      <c r="AJ329" s="105"/>
      <c r="AK329" s="105"/>
      <c r="AM329" s="105"/>
      <c r="AN329" s="105"/>
      <c r="AO329" s="105"/>
      <c r="AP329" s="105"/>
      <c r="AQ329" s="105"/>
      <c r="AR329" s="105"/>
    </row>
    <row r="330" spans="1:44" s="49" customFormat="1" ht="40.15" hidden="1" customHeight="1">
      <c r="A330" s="10">
        <f t="shared" ca="1" si="497"/>
        <v>0</v>
      </c>
      <c r="B330" s="153"/>
      <c r="C330" s="154"/>
      <c r="D330" s="154"/>
      <c r="E330" s="155"/>
      <c r="F330" s="154"/>
      <c r="G330" s="154"/>
      <c r="H330" s="154"/>
      <c r="I330" s="154"/>
      <c r="J330" s="168"/>
      <c r="K330" s="168"/>
      <c r="L330" s="168"/>
      <c r="M330" s="168"/>
      <c r="N330" s="168"/>
      <c r="O330" s="157"/>
      <c r="P330" s="157"/>
      <c r="Q330" s="157"/>
      <c r="R330" s="157"/>
      <c r="S330" s="162"/>
      <c r="T330" s="162"/>
      <c r="U330" s="162"/>
      <c r="V330" s="162"/>
      <c r="W330" s="162"/>
      <c r="X330" s="163"/>
      <c r="Y330" s="163"/>
      <c r="Z330" s="163"/>
      <c r="AA330" s="163"/>
      <c r="AB330" s="163"/>
      <c r="AC330" s="163"/>
      <c r="AD330" s="164"/>
      <c r="AE330" s="148">
        <f>IF(S331&gt;0,IFERROR(TRUNC(A331,0),0),0)</f>
        <v>0</v>
      </c>
      <c r="AF330" s="149"/>
      <c r="AG330" s="150"/>
      <c r="AH330" s="159"/>
      <c r="AI330" s="160"/>
      <c r="AJ330" s="105"/>
      <c r="AK330" s="105"/>
      <c r="AM330" s="105"/>
      <c r="AN330" s="105"/>
      <c r="AO330" s="105"/>
      <c r="AP330" s="105"/>
      <c r="AQ330" s="105"/>
      <c r="AR330" s="105"/>
    </row>
    <row r="331" spans="1:44" s="105" customFormat="1" ht="40.15" hidden="1" customHeight="1">
      <c r="A331" s="186">
        <f ca="1">$B$22</f>
        <v>0</v>
      </c>
      <c r="B331" s="170"/>
      <c r="C331" s="171"/>
      <c r="D331" s="172"/>
      <c r="E331" s="187" t="str">
        <f>$D$22</f>
        <v>MICRODRENAGEM - SERVIÇOS DE ESTRUTURAS</v>
      </c>
      <c r="F331" s="174">
        <v>0</v>
      </c>
      <c r="G331" s="175"/>
      <c r="H331" s="176" t="s">
        <v>141</v>
      </c>
      <c r="I331" s="176" t="s">
        <v>141</v>
      </c>
      <c r="J331" s="177"/>
      <c r="K331" s="177"/>
      <c r="L331" s="177"/>
      <c r="M331" s="177"/>
      <c r="N331" s="177"/>
      <c r="O331" s="178" t="str">
        <f ca="1">CONCATENATE("SUB-TOTAL ",$A331)</f>
        <v>SUB-TOTAL 0</v>
      </c>
      <c r="P331" s="178" t="e" cm="1">
        <f t="array" ref="P331">TRUNC($I331*(1+_xlfn.SWITCH($N331,"BDI 1",$P$6,"BDI 2",$P$7,"BDI 3",$P$8)),2)</f>
        <v>#VALUE!</v>
      </c>
      <c r="Q331" s="178" t="str">
        <f ca="1">CONCATENATE("SUB-TOTAL ",$A331)</f>
        <v>SUB-TOTAL 0</v>
      </c>
      <c r="R331" s="178"/>
      <c r="S331" s="179">
        <f>SUM(S332:S349)</f>
        <v>0</v>
      </c>
      <c r="T331" s="179">
        <f>SUM(T332:T349)</f>
        <v>0</v>
      </c>
      <c r="U331" s="179">
        <f>SUM(U332:U349)</f>
        <v>0</v>
      </c>
      <c r="V331" s="179">
        <f>SUM(V332:V349)</f>
        <v>0</v>
      </c>
      <c r="W331" s="179">
        <f t="shared" ref="W331:W349" si="599">TRUNC(V331-U331,2)</f>
        <v>0</v>
      </c>
      <c r="X331" s="180">
        <f t="shared" ref="X331" si="600">$S331/ORCAMENTO_VALOR_TOTAL_ND</f>
        <v>0</v>
      </c>
      <c r="Y331" s="180">
        <f t="shared" ref="Y331" si="601">$T331/ORCAMENTO_VALOR_TOTAL_DE</f>
        <v>0</v>
      </c>
      <c r="Z331" s="180"/>
      <c r="AA331" s="180"/>
      <c r="AB331" s="180">
        <f>IFERROR($S331/$S331,0)</f>
        <v>0</v>
      </c>
      <c r="AC331" s="180">
        <f>IFERROR($T331/$T331,0)</f>
        <v>0</v>
      </c>
      <c r="AD331" s="147"/>
      <c r="AE331" s="148">
        <f t="shared" ref="AE331:AE349" si="602">IF(S331&gt;0,IFERROR(TRUNC(A331,0),0),0)</f>
        <v>0</v>
      </c>
      <c r="AF331" s="149"/>
      <c r="AG331" s="150"/>
      <c r="AH331" s="151" t="e">
        <f t="shared" ref="AH331:AH349" si="603">S331/$S$331</f>
        <v>#DIV/0!</v>
      </c>
    </row>
    <row r="332" spans="1:44" s="49" customFormat="1" ht="40.15" hidden="1" customHeight="1">
      <c r="A332" s="152">
        <f t="shared" ref="A332:A350" ca="1" si="604">IF(K332&gt;0,A331+0.01,A331)</f>
        <v>0</v>
      </c>
      <c r="B332" s="153">
        <v>94962</v>
      </c>
      <c r="C332" s="154" t="str">
        <f t="shared" ref="C332:C349" si="605">TEXT(B332,"0")</f>
        <v>94962</v>
      </c>
      <c r="D332" s="154" t="s">
        <v>1416</v>
      </c>
      <c r="E332" s="155" t="s">
        <v>3791</v>
      </c>
      <c r="F332" s="154"/>
      <c r="G332" s="154" t="s">
        <v>464</v>
      </c>
      <c r="H332" s="152">
        <v>385.31</v>
      </c>
      <c r="I332" s="152">
        <v>383.4</v>
      </c>
      <c r="J332" s="156"/>
      <c r="K332" s="156">
        <f>Dre_Disp_Estruturais!AI129+Dre_Disp_Estruturais!AI134</f>
        <v>0</v>
      </c>
      <c r="L332" s="156">
        <f t="shared" ref="L332:L349" si="606">IF($K332&gt;$J332,$K332-$J332,0)</f>
        <v>0</v>
      </c>
      <c r="M332" s="156">
        <f t="shared" ref="M332:M349" si="607">IF($K332&lt;$J332,$J332-$K332,0)</f>
        <v>0</v>
      </c>
      <c r="N332" s="156" t="s">
        <v>83</v>
      </c>
      <c r="O332" s="157" cm="1">
        <f t="array" ref="O332">TRUNC($H332*(1+_xlfn.SWITCH($N332,"BDI 1",$O$6,"BDI 2",$O$7,"BDI 3",$O$8)),2)</f>
        <v>465.06</v>
      </c>
      <c r="P332" s="157" cm="1">
        <f t="array" ref="P332">TRUNC($I332*(1+_xlfn.SWITCH($N332,"BDI 1",$P$6,"BDI 2",$P$7,"BDI 3",$P$8)),2)</f>
        <v>485.92</v>
      </c>
      <c r="Q332" s="157">
        <v>0</v>
      </c>
      <c r="R332" s="157">
        <f t="shared" ref="R332:R349" si="608">$Q332-($Q332*LICITACAO_DESCONTO)</f>
        <v>0</v>
      </c>
      <c r="S332" s="156">
        <f t="shared" ref="S332:S349" si="609">TRUNC($K332*$O332,2)</f>
        <v>0</v>
      </c>
      <c r="T332" s="156">
        <f t="shared" ref="T332:T349" si="610">TRUNC($K332*$P332,2)</f>
        <v>0</v>
      </c>
      <c r="U332" s="156">
        <f t="shared" ref="U332:U349" si="611">TRUNC($J332*$R332,2)</f>
        <v>0</v>
      </c>
      <c r="V332" s="156">
        <f t="shared" ref="V332:V349" si="612">TRUNC($K332*$Q332,2)</f>
        <v>0</v>
      </c>
      <c r="W332" s="156">
        <f t="shared" si="599"/>
        <v>0</v>
      </c>
      <c r="X332" s="158">
        <f t="shared" ref="X332" si="613">$S332/ORCAMENTO_VALOR_TOTAL_ND</f>
        <v>0</v>
      </c>
      <c r="Y332" s="158">
        <f t="shared" ref="Y332" si="614">$T332/ORCAMENTO_VALOR_TOTAL_DE</f>
        <v>0</v>
      </c>
      <c r="Z332" s="158" cm="1">
        <f t="array" ref="Z332">_xlfn.SWITCH($N332,"BDI 1",$O$6,"BDI 2",$O$7,"BDI 3",$O$8)</f>
        <v>0.20699999999999999</v>
      </c>
      <c r="AA332" s="158" cm="1">
        <f t="array" ref="AA332">_xlfn.SWITCH($N332,"BDI 1",$P$6,"BDI 2",$P$7,"BDI 3",$P$8)</f>
        <v>0.26739999999999997</v>
      </c>
      <c r="AB332" s="158">
        <f t="shared" ref="AB332:AB349" ca="1" si="615">IFERROR($S332/_xlfn.XLOOKUP($AE332,$B$16:$B$38,$S$16:$S$38),0)</f>
        <v>0</v>
      </c>
      <c r="AC332" s="158">
        <f t="shared" ref="AC332:AC349" ca="1" si="616">IFERROR($T332/_xlfn.XLOOKUP($AE332,$B$16:$B$38,$T$16:$T$38),0)</f>
        <v>0</v>
      </c>
      <c r="AD332" s="164"/>
      <c r="AE332" s="148">
        <f t="shared" si="602"/>
        <v>0</v>
      </c>
      <c r="AF332" s="149"/>
      <c r="AG332" s="150"/>
      <c r="AH332" s="159" t="e">
        <f t="shared" si="603"/>
        <v>#DIV/0!</v>
      </c>
      <c r="AI332" s="160"/>
      <c r="AJ332" s="105"/>
      <c r="AK332" s="105"/>
      <c r="AM332" s="105"/>
      <c r="AN332" s="105"/>
      <c r="AO332" s="105"/>
      <c r="AP332" s="105"/>
      <c r="AQ332" s="105"/>
      <c r="AR332" s="105"/>
    </row>
    <row r="333" spans="1:44" s="49" customFormat="1" ht="40.15" hidden="1" customHeight="1">
      <c r="A333" s="152">
        <f t="shared" ca="1" si="604"/>
        <v>0</v>
      </c>
      <c r="B333" s="153">
        <v>103670</v>
      </c>
      <c r="C333" s="154" t="str">
        <f t="shared" si="605"/>
        <v>103670</v>
      </c>
      <c r="D333" s="154" t="s">
        <v>1416</v>
      </c>
      <c r="E333" s="155" t="s">
        <v>3792</v>
      </c>
      <c r="F333" s="154"/>
      <c r="G333" s="154" t="s">
        <v>464</v>
      </c>
      <c r="H333" s="152">
        <v>272.37</v>
      </c>
      <c r="I333" s="152">
        <v>247.05</v>
      </c>
      <c r="J333" s="156"/>
      <c r="K333" s="156">
        <f>Dre_Disp_Estruturais!AI129+Dre_Disp_Estruturais!AI134+K334</f>
        <v>0</v>
      </c>
      <c r="L333" s="156">
        <f t="shared" si="606"/>
        <v>0</v>
      </c>
      <c r="M333" s="156">
        <f t="shared" si="607"/>
        <v>0</v>
      </c>
      <c r="N333" s="156" t="s">
        <v>83</v>
      </c>
      <c r="O333" s="157" cm="1">
        <f t="array" ref="O333">TRUNC($H333*(1+_xlfn.SWITCH($N333,"BDI 1",$O$6,"BDI 2",$O$7,"BDI 3",$O$8)),2)</f>
        <v>328.75</v>
      </c>
      <c r="P333" s="157" cm="1">
        <f t="array" ref="P333">TRUNC($I333*(1+_xlfn.SWITCH($N333,"BDI 1",$P$6,"BDI 2",$P$7,"BDI 3",$P$8)),2)</f>
        <v>313.11</v>
      </c>
      <c r="Q333" s="157">
        <v>0</v>
      </c>
      <c r="R333" s="157">
        <f t="shared" si="608"/>
        <v>0</v>
      </c>
      <c r="S333" s="156">
        <f t="shared" si="609"/>
        <v>0</v>
      </c>
      <c r="T333" s="156">
        <f t="shared" si="610"/>
        <v>0</v>
      </c>
      <c r="U333" s="156">
        <f t="shared" si="611"/>
        <v>0</v>
      </c>
      <c r="V333" s="156">
        <f t="shared" si="612"/>
        <v>0</v>
      </c>
      <c r="W333" s="156">
        <f t="shared" si="599"/>
        <v>0</v>
      </c>
      <c r="X333" s="158">
        <f t="shared" ref="X333" si="617">$S333/ORCAMENTO_VALOR_TOTAL_ND</f>
        <v>0</v>
      </c>
      <c r="Y333" s="158">
        <f t="shared" ref="Y333" si="618">$T333/ORCAMENTO_VALOR_TOTAL_DE</f>
        <v>0</v>
      </c>
      <c r="Z333" s="158" cm="1">
        <f t="array" ref="Z333">_xlfn.SWITCH($N333,"BDI 1",$O$6,"BDI 2",$O$7,"BDI 3",$O$8)</f>
        <v>0.20699999999999999</v>
      </c>
      <c r="AA333" s="158" cm="1">
        <f t="array" ref="AA333">_xlfn.SWITCH($N333,"BDI 1",$P$6,"BDI 2",$P$7,"BDI 3",$P$8)</f>
        <v>0.26739999999999997</v>
      </c>
      <c r="AB333" s="158">
        <f t="shared" ca="1" si="615"/>
        <v>0</v>
      </c>
      <c r="AC333" s="158">
        <f t="shared" ca="1" si="616"/>
        <v>0</v>
      </c>
      <c r="AD333" s="164"/>
      <c r="AE333" s="148">
        <f t="shared" si="602"/>
        <v>0</v>
      </c>
      <c r="AF333" s="149"/>
      <c r="AG333" s="150"/>
      <c r="AH333" s="159" t="e">
        <f t="shared" si="603"/>
        <v>#DIV/0!</v>
      </c>
      <c r="AI333" s="160"/>
      <c r="AJ333" s="105"/>
      <c r="AK333" s="105"/>
      <c r="AM333" s="105"/>
      <c r="AN333" s="105"/>
      <c r="AO333" s="105"/>
      <c r="AP333" s="105"/>
      <c r="AQ333" s="105"/>
      <c r="AR333" s="105"/>
    </row>
    <row r="334" spans="1:44" s="49" customFormat="1" ht="40.15" hidden="1" customHeight="1">
      <c r="A334" s="152">
        <f t="shared" ca="1" si="604"/>
        <v>0</v>
      </c>
      <c r="B334" s="153">
        <v>94964</v>
      </c>
      <c r="C334" s="154" t="str">
        <f t="shared" si="605"/>
        <v>94964</v>
      </c>
      <c r="D334" s="154" t="s">
        <v>1416</v>
      </c>
      <c r="E334" s="155" t="s">
        <v>3793</v>
      </c>
      <c r="F334" s="154"/>
      <c r="G334" s="154" t="s">
        <v>464</v>
      </c>
      <c r="H334" s="152">
        <v>470.38</v>
      </c>
      <c r="I334" s="152">
        <v>467.53</v>
      </c>
      <c r="J334" s="156"/>
      <c r="K334" s="156">
        <f>Dre_Disp_Estruturais!AI135</f>
        <v>0</v>
      </c>
      <c r="L334" s="156">
        <f t="shared" si="606"/>
        <v>0</v>
      </c>
      <c r="M334" s="156">
        <f t="shared" si="607"/>
        <v>0</v>
      </c>
      <c r="N334" s="156" t="s">
        <v>83</v>
      </c>
      <c r="O334" s="157" cm="1">
        <f t="array" ref="O334">TRUNC($H334*(1+_xlfn.SWITCH($N334,"BDI 1",$O$6,"BDI 2",$O$7,"BDI 3",$O$8)),2)</f>
        <v>567.74</v>
      </c>
      <c r="P334" s="157" cm="1">
        <f t="array" ref="P334">TRUNC($I334*(1+_xlfn.SWITCH($N334,"BDI 1",$P$6,"BDI 2",$P$7,"BDI 3",$P$8)),2)</f>
        <v>592.54</v>
      </c>
      <c r="Q334" s="157">
        <v>0</v>
      </c>
      <c r="R334" s="157">
        <f t="shared" si="608"/>
        <v>0</v>
      </c>
      <c r="S334" s="156">
        <f t="shared" si="609"/>
        <v>0</v>
      </c>
      <c r="T334" s="156">
        <f t="shared" si="610"/>
        <v>0</v>
      </c>
      <c r="U334" s="156">
        <f t="shared" si="611"/>
        <v>0</v>
      </c>
      <c r="V334" s="156">
        <f t="shared" si="612"/>
        <v>0</v>
      </c>
      <c r="W334" s="156">
        <f t="shared" si="599"/>
        <v>0</v>
      </c>
      <c r="X334" s="158">
        <f t="shared" ref="X334" si="619">$S334/ORCAMENTO_VALOR_TOTAL_ND</f>
        <v>0</v>
      </c>
      <c r="Y334" s="158">
        <f t="shared" ref="Y334" si="620">$T334/ORCAMENTO_VALOR_TOTAL_DE</f>
        <v>0</v>
      </c>
      <c r="Z334" s="158" cm="1">
        <f t="array" ref="Z334">_xlfn.SWITCH($N334,"BDI 1",$O$6,"BDI 2",$O$7,"BDI 3",$O$8)</f>
        <v>0.20699999999999999</v>
      </c>
      <c r="AA334" s="158" cm="1">
        <f t="array" ref="AA334">_xlfn.SWITCH($N334,"BDI 1",$P$6,"BDI 2",$P$7,"BDI 3",$P$8)</f>
        <v>0.26739999999999997</v>
      </c>
      <c r="AB334" s="158">
        <f t="shared" ca="1" si="615"/>
        <v>0</v>
      </c>
      <c r="AC334" s="158">
        <f t="shared" ca="1" si="616"/>
        <v>0</v>
      </c>
      <c r="AD334" s="164"/>
      <c r="AE334" s="148">
        <f t="shared" si="602"/>
        <v>0</v>
      </c>
      <c r="AF334" s="149"/>
      <c r="AG334" s="150"/>
      <c r="AH334" s="159" t="e">
        <f t="shared" si="603"/>
        <v>#DIV/0!</v>
      </c>
      <c r="AI334" s="160"/>
      <c r="AJ334" s="105"/>
      <c r="AK334" s="105"/>
      <c r="AM334" s="105"/>
      <c r="AN334" s="105"/>
      <c r="AO334" s="105"/>
      <c r="AP334" s="105"/>
      <c r="AQ334" s="105"/>
      <c r="AR334" s="105"/>
    </row>
    <row r="335" spans="1:44" s="49" customFormat="1" ht="40.15" hidden="1" customHeight="1">
      <c r="A335" s="152">
        <f t="shared" ca="1" si="604"/>
        <v>0</v>
      </c>
      <c r="B335" s="153">
        <v>34493</v>
      </c>
      <c r="C335" s="154" t="str">
        <f t="shared" si="605"/>
        <v>34493</v>
      </c>
      <c r="D335" s="154" t="s">
        <v>3579</v>
      </c>
      <c r="E335" s="155" t="s">
        <v>3794</v>
      </c>
      <c r="F335" s="154"/>
      <c r="G335" s="154" t="s">
        <v>464</v>
      </c>
      <c r="H335" s="152">
        <v>580.91999999999996</v>
      </c>
      <c r="I335" s="152">
        <v>580.91999999999996</v>
      </c>
      <c r="J335" s="156"/>
      <c r="K335" s="156">
        <f>Dre_Disp_Estruturais!AI130+Dre_Disp_Estruturais!AI136</f>
        <v>0</v>
      </c>
      <c r="L335" s="156">
        <f t="shared" si="606"/>
        <v>0</v>
      </c>
      <c r="M335" s="156">
        <f t="shared" si="607"/>
        <v>0</v>
      </c>
      <c r="N335" s="156" t="s">
        <v>92</v>
      </c>
      <c r="O335" s="157" cm="1">
        <f t="array" ref="O335">TRUNC($H335*(1+_xlfn.SWITCH($N335,"BDI 1",$O$6,"BDI 2",$O$7,"BDI 3",$O$8)),2)</f>
        <v>669.62</v>
      </c>
      <c r="P335" s="157" cm="1">
        <f t="array" ref="P335">TRUNC($I335*(1+_xlfn.SWITCH($N335,"BDI 1",$P$6,"BDI 2",$P$7,"BDI 3",$P$8)),2)</f>
        <v>669.62</v>
      </c>
      <c r="Q335" s="157">
        <v>0</v>
      </c>
      <c r="R335" s="157">
        <f t="shared" si="608"/>
        <v>0</v>
      </c>
      <c r="S335" s="156">
        <f t="shared" si="609"/>
        <v>0</v>
      </c>
      <c r="T335" s="156">
        <f t="shared" si="610"/>
        <v>0</v>
      </c>
      <c r="U335" s="156">
        <f t="shared" si="611"/>
        <v>0</v>
      </c>
      <c r="V335" s="156">
        <f t="shared" si="612"/>
        <v>0</v>
      </c>
      <c r="W335" s="156">
        <f t="shared" si="599"/>
        <v>0</v>
      </c>
      <c r="X335" s="158">
        <f t="shared" ref="X335" si="621">$S335/ORCAMENTO_VALOR_TOTAL_ND</f>
        <v>0</v>
      </c>
      <c r="Y335" s="158">
        <f t="shared" ref="Y335" si="622">$T335/ORCAMENTO_VALOR_TOTAL_DE</f>
        <v>0</v>
      </c>
      <c r="Z335" s="158" cm="1">
        <f t="array" ref="Z335">_xlfn.SWITCH($N335,"BDI 1",$O$6,"BDI 2",$O$7,"BDI 3",$O$8)</f>
        <v>0.1527</v>
      </c>
      <c r="AA335" s="158" cm="1">
        <f t="array" ref="AA335">_xlfn.SWITCH($N335,"BDI 1",$P$6,"BDI 2",$P$7,"BDI 3",$P$8)</f>
        <v>0.1527</v>
      </c>
      <c r="AB335" s="158">
        <f t="shared" ca="1" si="615"/>
        <v>0</v>
      </c>
      <c r="AC335" s="158">
        <f t="shared" ca="1" si="616"/>
        <v>0</v>
      </c>
      <c r="AD335" s="164"/>
      <c r="AE335" s="148">
        <f t="shared" si="602"/>
        <v>0</v>
      </c>
      <c r="AF335" s="149"/>
      <c r="AG335" s="150"/>
      <c r="AH335" s="159" t="e">
        <f t="shared" si="603"/>
        <v>#DIV/0!</v>
      </c>
      <c r="AI335" s="160"/>
      <c r="AJ335" s="105"/>
      <c r="AK335" s="105"/>
      <c r="AM335" s="105"/>
      <c r="AN335" s="105"/>
      <c r="AO335" s="105"/>
      <c r="AP335" s="105"/>
      <c r="AQ335" s="105"/>
      <c r="AR335" s="105"/>
    </row>
    <row r="336" spans="1:44" s="49" customFormat="1" ht="40.15" hidden="1" customHeight="1">
      <c r="A336" s="152">
        <f t="shared" ca="1" si="604"/>
        <v>0</v>
      </c>
      <c r="B336" s="153">
        <v>103673</v>
      </c>
      <c r="C336" s="154" t="str">
        <f t="shared" si="605"/>
        <v>103673</v>
      </c>
      <c r="D336" s="154" t="s">
        <v>1416</v>
      </c>
      <c r="E336" s="155" t="s">
        <v>3795</v>
      </c>
      <c r="F336" s="154"/>
      <c r="G336" s="154" t="s">
        <v>464</v>
      </c>
      <c r="H336" s="152">
        <v>38.33</v>
      </c>
      <c r="I336" s="152">
        <v>34.799999999999997</v>
      </c>
      <c r="J336" s="156"/>
      <c r="K336" s="156">
        <f>K335</f>
        <v>0</v>
      </c>
      <c r="L336" s="156">
        <f t="shared" si="606"/>
        <v>0</v>
      </c>
      <c r="M336" s="156">
        <f t="shared" si="607"/>
        <v>0</v>
      </c>
      <c r="N336" s="156" t="s">
        <v>83</v>
      </c>
      <c r="O336" s="157" cm="1">
        <f t="array" ref="O336">TRUNC($H336*(1+_xlfn.SWITCH($N336,"BDI 1",$O$6,"BDI 2",$O$7,"BDI 3",$O$8)),2)</f>
        <v>46.26</v>
      </c>
      <c r="P336" s="157" cm="1">
        <f t="array" ref="P336">TRUNC($I336*(1+_xlfn.SWITCH($N336,"BDI 1",$P$6,"BDI 2",$P$7,"BDI 3",$P$8)),2)</f>
        <v>44.1</v>
      </c>
      <c r="Q336" s="157">
        <v>0</v>
      </c>
      <c r="R336" s="157">
        <f t="shared" si="608"/>
        <v>0</v>
      </c>
      <c r="S336" s="156">
        <f t="shared" si="609"/>
        <v>0</v>
      </c>
      <c r="T336" s="156">
        <f t="shared" si="610"/>
        <v>0</v>
      </c>
      <c r="U336" s="156">
        <f t="shared" si="611"/>
        <v>0</v>
      </c>
      <c r="V336" s="156">
        <f t="shared" si="612"/>
        <v>0</v>
      </c>
      <c r="W336" s="156">
        <f t="shared" si="599"/>
        <v>0</v>
      </c>
      <c r="X336" s="158">
        <f t="shared" ref="X336" si="623">$S336/ORCAMENTO_VALOR_TOTAL_ND</f>
        <v>0</v>
      </c>
      <c r="Y336" s="158">
        <f t="shared" ref="Y336" si="624">$T336/ORCAMENTO_VALOR_TOTAL_DE</f>
        <v>0</v>
      </c>
      <c r="Z336" s="158" cm="1">
        <f t="array" ref="Z336">_xlfn.SWITCH($N336,"BDI 1",$O$6,"BDI 2",$O$7,"BDI 3",$O$8)</f>
        <v>0.20699999999999999</v>
      </c>
      <c r="AA336" s="158" cm="1">
        <f t="array" ref="AA336">_xlfn.SWITCH($N336,"BDI 1",$P$6,"BDI 2",$P$7,"BDI 3",$P$8)</f>
        <v>0.26739999999999997</v>
      </c>
      <c r="AB336" s="158">
        <f t="shared" ca="1" si="615"/>
        <v>0</v>
      </c>
      <c r="AC336" s="158">
        <f t="shared" ca="1" si="616"/>
        <v>0</v>
      </c>
      <c r="AD336" s="164"/>
      <c r="AE336" s="148">
        <f t="shared" si="602"/>
        <v>0</v>
      </c>
      <c r="AF336" s="149"/>
      <c r="AG336" s="150"/>
      <c r="AH336" s="159" t="e">
        <f t="shared" si="603"/>
        <v>#DIV/0!</v>
      </c>
      <c r="AI336" s="160"/>
      <c r="AJ336" s="105"/>
      <c r="AK336" s="105"/>
      <c r="AM336" s="105"/>
      <c r="AN336" s="105"/>
      <c r="AO336" s="105"/>
      <c r="AP336" s="105"/>
      <c r="AQ336" s="105"/>
      <c r="AR336" s="105"/>
    </row>
    <row r="337" spans="1:44" s="49" customFormat="1" ht="40.15" hidden="1" customHeight="1">
      <c r="A337" s="152">
        <f t="shared" ca="1" si="604"/>
        <v>0</v>
      </c>
      <c r="B337" s="153">
        <v>102487</v>
      </c>
      <c r="C337" s="154" t="str">
        <f t="shared" si="605"/>
        <v>102487</v>
      </c>
      <c r="D337" s="154" t="s">
        <v>1416</v>
      </c>
      <c r="E337" s="155" t="s">
        <v>3796</v>
      </c>
      <c r="F337" s="154"/>
      <c r="G337" s="154" t="s">
        <v>464</v>
      </c>
      <c r="H337" s="152">
        <v>558.70000000000005</v>
      </c>
      <c r="I337" s="152">
        <v>543.11</v>
      </c>
      <c r="J337" s="156"/>
      <c r="K337" s="156">
        <f>Dre_Disp_Estruturais!AI148</f>
        <v>0</v>
      </c>
      <c r="L337" s="156">
        <f t="shared" si="606"/>
        <v>0</v>
      </c>
      <c r="M337" s="156">
        <f t="shared" si="607"/>
        <v>0</v>
      </c>
      <c r="N337" s="156" t="s">
        <v>83</v>
      </c>
      <c r="O337" s="157" cm="1">
        <f t="array" ref="O337">TRUNC($H337*(1+_xlfn.SWITCH($N337,"BDI 1",$O$6,"BDI 2",$O$7,"BDI 3",$O$8)),2)</f>
        <v>674.35</v>
      </c>
      <c r="P337" s="157" cm="1">
        <f t="array" ref="P337">TRUNC($I337*(1+_xlfn.SWITCH($N337,"BDI 1",$P$6,"BDI 2",$P$7,"BDI 3",$P$8)),2)</f>
        <v>688.33</v>
      </c>
      <c r="Q337" s="157">
        <v>0</v>
      </c>
      <c r="R337" s="157">
        <f t="shared" si="608"/>
        <v>0</v>
      </c>
      <c r="S337" s="156">
        <f t="shared" si="609"/>
        <v>0</v>
      </c>
      <c r="T337" s="156">
        <f t="shared" si="610"/>
        <v>0</v>
      </c>
      <c r="U337" s="156">
        <f t="shared" si="611"/>
        <v>0</v>
      </c>
      <c r="V337" s="156">
        <f t="shared" si="612"/>
        <v>0</v>
      </c>
      <c r="W337" s="156">
        <f t="shared" si="599"/>
        <v>0</v>
      </c>
      <c r="X337" s="158">
        <f t="shared" ref="X337" si="625">$S337/ORCAMENTO_VALOR_TOTAL_ND</f>
        <v>0</v>
      </c>
      <c r="Y337" s="158">
        <f t="shared" ref="Y337" si="626">$T337/ORCAMENTO_VALOR_TOTAL_DE</f>
        <v>0</v>
      </c>
      <c r="Z337" s="158" cm="1">
        <f t="array" ref="Z337">_xlfn.SWITCH($N337,"BDI 1",$O$6,"BDI 2",$O$7,"BDI 3",$O$8)</f>
        <v>0.20699999999999999</v>
      </c>
      <c r="AA337" s="158" cm="1">
        <f t="array" ref="AA337">_xlfn.SWITCH($N337,"BDI 1",$P$6,"BDI 2",$P$7,"BDI 3",$P$8)</f>
        <v>0.26739999999999997</v>
      </c>
      <c r="AB337" s="158">
        <f t="shared" ca="1" si="615"/>
        <v>0</v>
      </c>
      <c r="AC337" s="158">
        <f t="shared" ca="1" si="616"/>
        <v>0</v>
      </c>
      <c r="AD337" s="164"/>
      <c r="AE337" s="148">
        <f t="shared" si="602"/>
        <v>0</v>
      </c>
      <c r="AF337" s="149"/>
      <c r="AG337" s="150"/>
      <c r="AH337" s="159" t="e">
        <f t="shared" si="603"/>
        <v>#DIV/0!</v>
      </c>
      <c r="AI337" s="160"/>
      <c r="AJ337" s="105"/>
      <c r="AK337" s="105"/>
      <c r="AM337" s="105"/>
      <c r="AN337" s="105"/>
      <c r="AO337" s="105"/>
      <c r="AP337" s="105"/>
      <c r="AQ337" s="105"/>
      <c r="AR337" s="105"/>
    </row>
    <row r="338" spans="1:44" s="49" customFormat="1" ht="40.15" hidden="1" customHeight="1">
      <c r="A338" s="152">
        <f t="shared" ca="1" si="604"/>
        <v>0</v>
      </c>
      <c r="B338" s="153">
        <v>92415</v>
      </c>
      <c r="C338" s="154" t="str">
        <f t="shared" si="605"/>
        <v>92415</v>
      </c>
      <c r="D338" s="154" t="s">
        <v>1416</v>
      </c>
      <c r="E338" s="155" t="s">
        <v>3797</v>
      </c>
      <c r="F338" s="154"/>
      <c r="G338" s="154" t="s">
        <v>1418</v>
      </c>
      <c r="H338" s="152">
        <v>148.03</v>
      </c>
      <c r="I338" s="152">
        <v>133.79</v>
      </c>
      <c r="J338" s="156"/>
      <c r="K338" s="156">
        <f>Dre_Disp_Estruturais!AI131+Dre_Disp_Estruturais!AI137</f>
        <v>0</v>
      </c>
      <c r="L338" s="156">
        <f t="shared" si="606"/>
        <v>0</v>
      </c>
      <c r="M338" s="156">
        <f t="shared" si="607"/>
        <v>0</v>
      </c>
      <c r="N338" s="156" t="s">
        <v>83</v>
      </c>
      <c r="O338" s="157" cm="1">
        <f t="array" ref="O338">TRUNC($H338*(1+_xlfn.SWITCH($N338,"BDI 1",$O$6,"BDI 2",$O$7,"BDI 3",$O$8)),2)</f>
        <v>178.67</v>
      </c>
      <c r="P338" s="157" cm="1">
        <f t="array" ref="P338">TRUNC($I338*(1+_xlfn.SWITCH($N338,"BDI 1",$P$6,"BDI 2",$P$7,"BDI 3",$P$8)),2)</f>
        <v>169.56</v>
      </c>
      <c r="Q338" s="157">
        <v>0</v>
      </c>
      <c r="R338" s="157">
        <f t="shared" si="608"/>
        <v>0</v>
      </c>
      <c r="S338" s="156">
        <f t="shared" si="609"/>
        <v>0</v>
      </c>
      <c r="T338" s="156">
        <f t="shared" si="610"/>
        <v>0</v>
      </c>
      <c r="U338" s="156">
        <f t="shared" si="611"/>
        <v>0</v>
      </c>
      <c r="V338" s="156">
        <f t="shared" si="612"/>
        <v>0</v>
      </c>
      <c r="W338" s="156">
        <f t="shared" si="599"/>
        <v>0</v>
      </c>
      <c r="X338" s="158">
        <f t="shared" ref="X338" si="627">$S338/ORCAMENTO_VALOR_TOTAL_ND</f>
        <v>0</v>
      </c>
      <c r="Y338" s="158">
        <f t="shared" ref="Y338" si="628">$T338/ORCAMENTO_VALOR_TOTAL_DE</f>
        <v>0</v>
      </c>
      <c r="Z338" s="158" cm="1">
        <f t="array" ref="Z338">_xlfn.SWITCH($N338,"BDI 1",$O$6,"BDI 2",$O$7,"BDI 3",$O$8)</f>
        <v>0.20699999999999999</v>
      </c>
      <c r="AA338" s="158" cm="1">
        <f t="array" ref="AA338">_xlfn.SWITCH($N338,"BDI 1",$P$6,"BDI 2",$P$7,"BDI 3",$P$8)</f>
        <v>0.26739999999999997</v>
      </c>
      <c r="AB338" s="158">
        <f t="shared" ca="1" si="615"/>
        <v>0</v>
      </c>
      <c r="AC338" s="158">
        <f t="shared" ca="1" si="616"/>
        <v>0</v>
      </c>
      <c r="AD338" s="164"/>
      <c r="AE338" s="148">
        <f t="shared" si="602"/>
        <v>0</v>
      </c>
      <c r="AF338" s="149"/>
      <c r="AG338" s="150"/>
      <c r="AH338" s="159" t="e">
        <f t="shared" si="603"/>
        <v>#DIV/0!</v>
      </c>
      <c r="AI338" s="160"/>
      <c r="AJ338" s="105"/>
      <c r="AK338" s="105"/>
      <c r="AM338" s="105"/>
      <c r="AN338" s="105"/>
      <c r="AO338" s="105"/>
      <c r="AP338" s="105"/>
      <c r="AQ338" s="105"/>
      <c r="AR338" s="105"/>
    </row>
    <row r="339" spans="1:44" s="49" customFormat="1" ht="40.15" hidden="1" customHeight="1">
      <c r="A339" s="152">
        <f t="shared" ca="1" si="604"/>
        <v>0</v>
      </c>
      <c r="B339" s="153">
        <v>92423</v>
      </c>
      <c r="C339" s="154" t="str">
        <f t="shared" si="605"/>
        <v>92423</v>
      </c>
      <c r="D339" s="154" t="s">
        <v>1416</v>
      </c>
      <c r="E339" s="155" t="s">
        <v>3798</v>
      </c>
      <c r="F339" s="154"/>
      <c r="G339" s="154" t="s">
        <v>1418</v>
      </c>
      <c r="H339" s="152">
        <v>80.2</v>
      </c>
      <c r="I339" s="152">
        <v>68.33</v>
      </c>
      <c r="J339" s="156"/>
      <c r="K339" s="156"/>
      <c r="L339" s="156">
        <f t="shared" si="606"/>
        <v>0</v>
      </c>
      <c r="M339" s="156">
        <f t="shared" si="607"/>
        <v>0</v>
      </c>
      <c r="N339" s="156" t="s">
        <v>83</v>
      </c>
      <c r="O339" s="157" cm="1">
        <f t="array" ref="O339">TRUNC($H339*(1+_xlfn.SWITCH($N339,"BDI 1",$O$6,"BDI 2",$O$7,"BDI 3",$O$8)),2)</f>
        <v>96.8</v>
      </c>
      <c r="P339" s="157" cm="1">
        <f t="array" ref="P339">TRUNC($I339*(1+_xlfn.SWITCH($N339,"BDI 1",$P$6,"BDI 2",$P$7,"BDI 3",$P$8)),2)</f>
        <v>86.6</v>
      </c>
      <c r="Q339" s="157">
        <v>0</v>
      </c>
      <c r="R339" s="157">
        <f t="shared" si="608"/>
        <v>0</v>
      </c>
      <c r="S339" s="156">
        <f t="shared" si="609"/>
        <v>0</v>
      </c>
      <c r="T339" s="156">
        <f t="shared" si="610"/>
        <v>0</v>
      </c>
      <c r="U339" s="156">
        <f t="shared" si="611"/>
        <v>0</v>
      </c>
      <c r="V339" s="156">
        <f t="shared" si="612"/>
        <v>0</v>
      </c>
      <c r="W339" s="156">
        <f t="shared" si="599"/>
        <v>0</v>
      </c>
      <c r="X339" s="158">
        <f t="shared" ref="X339" si="629">$S339/ORCAMENTO_VALOR_TOTAL_ND</f>
        <v>0</v>
      </c>
      <c r="Y339" s="158">
        <f t="shared" ref="Y339" si="630">$T339/ORCAMENTO_VALOR_TOTAL_DE</f>
        <v>0</v>
      </c>
      <c r="Z339" s="158" cm="1">
        <f t="array" ref="Z339">_xlfn.SWITCH($N339,"BDI 1",$O$6,"BDI 2",$O$7,"BDI 3",$O$8)</f>
        <v>0.20699999999999999</v>
      </c>
      <c r="AA339" s="158" cm="1">
        <f t="array" ref="AA339">_xlfn.SWITCH($N339,"BDI 1",$P$6,"BDI 2",$P$7,"BDI 3",$P$8)</f>
        <v>0.26739999999999997</v>
      </c>
      <c r="AB339" s="158">
        <f t="shared" ca="1" si="615"/>
        <v>0</v>
      </c>
      <c r="AC339" s="158">
        <f t="shared" ca="1" si="616"/>
        <v>0</v>
      </c>
      <c r="AD339" s="164"/>
      <c r="AE339" s="148">
        <f t="shared" si="602"/>
        <v>0</v>
      </c>
      <c r="AF339" s="149"/>
      <c r="AG339" s="150"/>
      <c r="AH339" s="159" t="e">
        <f t="shared" si="603"/>
        <v>#DIV/0!</v>
      </c>
      <c r="AI339" s="160"/>
      <c r="AJ339" s="105"/>
      <c r="AK339" s="105"/>
      <c r="AM339" s="105"/>
      <c r="AN339" s="105"/>
      <c r="AO339" s="105"/>
      <c r="AP339" s="105"/>
      <c r="AQ339" s="105"/>
      <c r="AR339" s="105"/>
    </row>
    <row r="340" spans="1:44" s="49" customFormat="1" ht="40.15" hidden="1" customHeight="1">
      <c r="A340" s="152">
        <f t="shared" ca="1" si="604"/>
        <v>0</v>
      </c>
      <c r="B340" s="153">
        <v>92411</v>
      </c>
      <c r="C340" s="154" t="str">
        <f t="shared" si="605"/>
        <v>92411</v>
      </c>
      <c r="D340" s="154" t="s">
        <v>1416</v>
      </c>
      <c r="E340" s="155" t="s">
        <v>3799</v>
      </c>
      <c r="F340" s="154"/>
      <c r="G340" s="154" t="s">
        <v>1418</v>
      </c>
      <c r="H340" s="152">
        <v>142.63</v>
      </c>
      <c r="I340" s="152">
        <v>134.08000000000001</v>
      </c>
      <c r="J340" s="156"/>
      <c r="K340" s="156"/>
      <c r="L340" s="156">
        <f t="shared" si="606"/>
        <v>0</v>
      </c>
      <c r="M340" s="156">
        <f t="shared" si="607"/>
        <v>0</v>
      </c>
      <c r="N340" s="156" t="s">
        <v>83</v>
      </c>
      <c r="O340" s="157" cm="1">
        <f t="array" ref="O340">TRUNC($H340*(1+_xlfn.SWITCH($N340,"BDI 1",$O$6,"BDI 2",$O$7,"BDI 3",$O$8)),2)</f>
        <v>172.15</v>
      </c>
      <c r="P340" s="157" cm="1">
        <f t="array" ref="P340">TRUNC($I340*(1+_xlfn.SWITCH($N340,"BDI 1",$P$6,"BDI 2",$P$7,"BDI 3",$P$8)),2)</f>
        <v>169.93</v>
      </c>
      <c r="Q340" s="157">
        <v>0</v>
      </c>
      <c r="R340" s="157">
        <f t="shared" si="608"/>
        <v>0</v>
      </c>
      <c r="S340" s="156">
        <f t="shared" si="609"/>
        <v>0</v>
      </c>
      <c r="T340" s="156">
        <f t="shared" si="610"/>
        <v>0</v>
      </c>
      <c r="U340" s="156">
        <f t="shared" si="611"/>
        <v>0</v>
      </c>
      <c r="V340" s="156">
        <f t="shared" si="612"/>
        <v>0</v>
      </c>
      <c r="W340" s="156">
        <f t="shared" si="599"/>
        <v>0</v>
      </c>
      <c r="X340" s="158">
        <f t="shared" ref="X340" si="631">$S340/ORCAMENTO_VALOR_TOTAL_ND</f>
        <v>0</v>
      </c>
      <c r="Y340" s="158">
        <f t="shared" ref="Y340" si="632">$T340/ORCAMENTO_VALOR_TOTAL_DE</f>
        <v>0</v>
      </c>
      <c r="Z340" s="158" cm="1">
        <f t="array" ref="Z340">_xlfn.SWITCH($N340,"BDI 1",$O$6,"BDI 2",$O$7,"BDI 3",$O$8)</f>
        <v>0.20699999999999999</v>
      </c>
      <c r="AA340" s="158" cm="1">
        <f t="array" ref="AA340">_xlfn.SWITCH($N340,"BDI 1",$P$6,"BDI 2",$P$7,"BDI 3",$P$8)</f>
        <v>0.26739999999999997</v>
      </c>
      <c r="AB340" s="158">
        <f t="shared" ca="1" si="615"/>
        <v>0</v>
      </c>
      <c r="AC340" s="158">
        <f t="shared" ca="1" si="616"/>
        <v>0</v>
      </c>
      <c r="AD340" s="164"/>
      <c r="AE340" s="148">
        <f t="shared" si="602"/>
        <v>0</v>
      </c>
      <c r="AF340" s="149"/>
      <c r="AG340" s="150"/>
      <c r="AH340" s="159" t="e">
        <f t="shared" si="603"/>
        <v>#DIV/0!</v>
      </c>
      <c r="AI340" s="160"/>
      <c r="AJ340" s="105"/>
      <c r="AK340" s="105"/>
      <c r="AM340" s="105"/>
      <c r="AN340" s="105"/>
      <c r="AO340" s="105"/>
      <c r="AP340" s="105"/>
      <c r="AQ340" s="105"/>
      <c r="AR340" s="105"/>
    </row>
    <row r="341" spans="1:44" s="49" customFormat="1" ht="40.15" hidden="1" customHeight="1">
      <c r="A341" s="152">
        <f t="shared" ca="1" si="604"/>
        <v>0</v>
      </c>
      <c r="B341" s="153">
        <v>92413</v>
      </c>
      <c r="C341" s="154" t="str">
        <f t="shared" si="605"/>
        <v>92413</v>
      </c>
      <c r="D341" s="154" t="s">
        <v>1416</v>
      </c>
      <c r="E341" s="155" t="s">
        <v>3800</v>
      </c>
      <c r="F341" s="154"/>
      <c r="G341" s="154" t="s">
        <v>1418</v>
      </c>
      <c r="H341" s="152">
        <v>93.28</v>
      </c>
      <c r="I341" s="152">
        <v>87.04</v>
      </c>
      <c r="J341" s="156"/>
      <c r="K341" s="156"/>
      <c r="L341" s="156">
        <f t="shared" si="606"/>
        <v>0</v>
      </c>
      <c r="M341" s="156">
        <f t="shared" si="607"/>
        <v>0</v>
      </c>
      <c r="N341" s="156" t="s">
        <v>83</v>
      </c>
      <c r="O341" s="157" cm="1">
        <f t="array" ref="O341">TRUNC($H341*(1+_xlfn.SWITCH($N341,"BDI 1",$O$6,"BDI 2",$O$7,"BDI 3",$O$8)),2)</f>
        <v>112.58</v>
      </c>
      <c r="P341" s="157" cm="1">
        <f t="array" ref="P341">TRUNC($I341*(1+_xlfn.SWITCH($N341,"BDI 1",$P$6,"BDI 2",$P$7,"BDI 3",$P$8)),2)</f>
        <v>110.31</v>
      </c>
      <c r="Q341" s="157">
        <v>0</v>
      </c>
      <c r="R341" s="157">
        <f t="shared" si="608"/>
        <v>0</v>
      </c>
      <c r="S341" s="156">
        <f t="shared" si="609"/>
        <v>0</v>
      </c>
      <c r="T341" s="156">
        <f t="shared" si="610"/>
        <v>0</v>
      </c>
      <c r="U341" s="156">
        <f t="shared" si="611"/>
        <v>0</v>
      </c>
      <c r="V341" s="156">
        <f t="shared" si="612"/>
        <v>0</v>
      </c>
      <c r="W341" s="156">
        <f t="shared" si="599"/>
        <v>0</v>
      </c>
      <c r="X341" s="158">
        <f t="shared" ref="X341" si="633">$S341/ORCAMENTO_VALOR_TOTAL_ND</f>
        <v>0</v>
      </c>
      <c r="Y341" s="158">
        <f t="shared" ref="Y341" si="634">$T341/ORCAMENTO_VALOR_TOTAL_DE</f>
        <v>0</v>
      </c>
      <c r="Z341" s="158" cm="1">
        <f t="array" ref="Z341">_xlfn.SWITCH($N341,"BDI 1",$O$6,"BDI 2",$O$7,"BDI 3",$O$8)</f>
        <v>0.20699999999999999</v>
      </c>
      <c r="AA341" s="158" cm="1">
        <f t="array" ref="AA341">_xlfn.SWITCH($N341,"BDI 1",$P$6,"BDI 2",$P$7,"BDI 3",$P$8)</f>
        <v>0.26739999999999997</v>
      </c>
      <c r="AB341" s="158">
        <f t="shared" ca="1" si="615"/>
        <v>0</v>
      </c>
      <c r="AC341" s="158">
        <f t="shared" ca="1" si="616"/>
        <v>0</v>
      </c>
      <c r="AD341" s="164"/>
      <c r="AE341" s="148">
        <f t="shared" si="602"/>
        <v>0</v>
      </c>
      <c r="AF341" s="149"/>
      <c r="AG341" s="150"/>
      <c r="AH341" s="159" t="e">
        <f t="shared" si="603"/>
        <v>#DIV/0!</v>
      </c>
      <c r="AI341" s="160"/>
      <c r="AJ341" s="105"/>
      <c r="AK341" s="105"/>
      <c r="AM341" s="105"/>
      <c r="AN341" s="105"/>
      <c r="AO341" s="105"/>
      <c r="AP341" s="105"/>
      <c r="AQ341" s="105"/>
      <c r="AR341" s="105"/>
    </row>
    <row r="342" spans="1:44" s="49" customFormat="1" ht="40.15" hidden="1" customHeight="1">
      <c r="A342" s="152">
        <f t="shared" ca="1" si="604"/>
        <v>0</v>
      </c>
      <c r="B342" s="153">
        <v>96543</v>
      </c>
      <c r="C342" s="154" t="str">
        <f t="shared" si="605"/>
        <v>96543</v>
      </c>
      <c r="D342" s="154" t="s">
        <v>1416</v>
      </c>
      <c r="E342" s="155" t="s">
        <v>3801</v>
      </c>
      <c r="F342" s="154"/>
      <c r="G342" s="154" t="s">
        <v>3802</v>
      </c>
      <c r="H342" s="152">
        <v>19.41</v>
      </c>
      <c r="I342" s="152">
        <v>18.38</v>
      </c>
      <c r="J342" s="156"/>
      <c r="K342" s="156">
        <f>Dre_Disp_Estruturais!AI139</f>
        <v>0</v>
      </c>
      <c r="L342" s="156">
        <f t="shared" si="606"/>
        <v>0</v>
      </c>
      <c r="M342" s="156">
        <f t="shared" si="607"/>
        <v>0</v>
      </c>
      <c r="N342" s="156" t="s">
        <v>83</v>
      </c>
      <c r="O342" s="157" cm="1">
        <f t="array" ref="O342">TRUNC($H342*(1+_xlfn.SWITCH($N342,"BDI 1",$O$6,"BDI 2",$O$7,"BDI 3",$O$8)),2)</f>
        <v>23.42</v>
      </c>
      <c r="P342" s="157" cm="1">
        <f t="array" ref="P342">TRUNC($I342*(1+_xlfn.SWITCH($N342,"BDI 1",$P$6,"BDI 2",$P$7,"BDI 3",$P$8)),2)</f>
        <v>23.29</v>
      </c>
      <c r="Q342" s="157">
        <v>0</v>
      </c>
      <c r="R342" s="157">
        <f t="shared" si="608"/>
        <v>0</v>
      </c>
      <c r="S342" s="156">
        <f t="shared" si="609"/>
        <v>0</v>
      </c>
      <c r="T342" s="156">
        <f t="shared" si="610"/>
        <v>0</v>
      </c>
      <c r="U342" s="156">
        <f t="shared" si="611"/>
        <v>0</v>
      </c>
      <c r="V342" s="156">
        <f t="shared" si="612"/>
        <v>0</v>
      </c>
      <c r="W342" s="156">
        <f t="shared" si="599"/>
        <v>0</v>
      </c>
      <c r="X342" s="158">
        <f t="shared" ref="X342" si="635">$S342/ORCAMENTO_VALOR_TOTAL_ND</f>
        <v>0</v>
      </c>
      <c r="Y342" s="158">
        <f t="shared" ref="Y342" si="636">$T342/ORCAMENTO_VALOR_TOTAL_DE</f>
        <v>0</v>
      </c>
      <c r="Z342" s="158" cm="1">
        <f t="array" ref="Z342">_xlfn.SWITCH($N342,"BDI 1",$O$6,"BDI 2",$O$7,"BDI 3",$O$8)</f>
        <v>0.20699999999999999</v>
      </c>
      <c r="AA342" s="158" cm="1">
        <f t="array" ref="AA342">_xlfn.SWITCH($N342,"BDI 1",$P$6,"BDI 2",$P$7,"BDI 3",$P$8)</f>
        <v>0.26739999999999997</v>
      </c>
      <c r="AB342" s="158">
        <f t="shared" ca="1" si="615"/>
        <v>0</v>
      </c>
      <c r="AC342" s="158">
        <f t="shared" ca="1" si="616"/>
        <v>0</v>
      </c>
      <c r="AD342" s="164"/>
      <c r="AE342" s="148">
        <f t="shared" si="602"/>
        <v>0</v>
      </c>
      <c r="AF342" s="149"/>
      <c r="AG342" s="150"/>
      <c r="AH342" s="159" t="e">
        <f t="shared" si="603"/>
        <v>#DIV/0!</v>
      </c>
      <c r="AI342" s="160"/>
      <c r="AJ342" s="105"/>
      <c r="AK342" s="105"/>
      <c r="AM342" s="105"/>
      <c r="AN342" s="105"/>
      <c r="AO342" s="105"/>
      <c r="AP342" s="105"/>
      <c r="AQ342" s="105"/>
      <c r="AR342" s="105"/>
    </row>
    <row r="343" spans="1:44" s="49" customFormat="1" ht="40.15" hidden="1" customHeight="1">
      <c r="A343" s="152">
        <f t="shared" ca="1" si="604"/>
        <v>0</v>
      </c>
      <c r="B343" s="153">
        <v>100342</v>
      </c>
      <c r="C343" s="154" t="str">
        <f t="shared" si="605"/>
        <v>100342</v>
      </c>
      <c r="D343" s="154" t="s">
        <v>1416</v>
      </c>
      <c r="E343" s="155" t="s">
        <v>3803</v>
      </c>
      <c r="F343" s="154"/>
      <c r="G343" s="154" t="s">
        <v>3802</v>
      </c>
      <c r="H343" s="152">
        <v>14.4</v>
      </c>
      <c r="I343" s="152">
        <v>13.93</v>
      </c>
      <c r="J343" s="156"/>
      <c r="K343" s="156">
        <f>Dre_Disp_Estruturais!AI132+Dre_Disp_Estruturais!AI140</f>
        <v>0</v>
      </c>
      <c r="L343" s="156">
        <f t="shared" si="606"/>
        <v>0</v>
      </c>
      <c r="M343" s="156">
        <f t="shared" si="607"/>
        <v>0</v>
      </c>
      <c r="N343" s="156" t="s">
        <v>83</v>
      </c>
      <c r="O343" s="157" cm="1">
        <f t="array" ref="O343">TRUNC($H343*(1+_xlfn.SWITCH($N343,"BDI 1",$O$6,"BDI 2",$O$7,"BDI 3",$O$8)),2)</f>
        <v>17.38</v>
      </c>
      <c r="P343" s="157" cm="1">
        <f t="array" ref="P343">TRUNC($I343*(1+_xlfn.SWITCH($N343,"BDI 1",$P$6,"BDI 2",$P$7,"BDI 3",$P$8)),2)</f>
        <v>17.649999999999999</v>
      </c>
      <c r="Q343" s="157">
        <v>0</v>
      </c>
      <c r="R343" s="157">
        <f t="shared" si="608"/>
        <v>0</v>
      </c>
      <c r="S343" s="156">
        <f t="shared" si="609"/>
        <v>0</v>
      </c>
      <c r="T343" s="156">
        <f t="shared" si="610"/>
        <v>0</v>
      </c>
      <c r="U343" s="156">
        <f t="shared" si="611"/>
        <v>0</v>
      </c>
      <c r="V343" s="156">
        <f t="shared" si="612"/>
        <v>0</v>
      </c>
      <c r="W343" s="156">
        <f t="shared" si="599"/>
        <v>0</v>
      </c>
      <c r="X343" s="158">
        <f t="shared" ref="X343" si="637">$S343/ORCAMENTO_VALOR_TOTAL_ND</f>
        <v>0</v>
      </c>
      <c r="Y343" s="158">
        <f t="shared" ref="Y343" si="638">$T343/ORCAMENTO_VALOR_TOTAL_DE</f>
        <v>0</v>
      </c>
      <c r="Z343" s="158" cm="1">
        <f t="array" ref="Z343">_xlfn.SWITCH($N343,"BDI 1",$O$6,"BDI 2",$O$7,"BDI 3",$O$8)</f>
        <v>0.20699999999999999</v>
      </c>
      <c r="AA343" s="158" cm="1">
        <f t="array" ref="AA343">_xlfn.SWITCH($N343,"BDI 1",$P$6,"BDI 2",$P$7,"BDI 3",$P$8)</f>
        <v>0.26739999999999997</v>
      </c>
      <c r="AB343" s="158">
        <f t="shared" ca="1" si="615"/>
        <v>0</v>
      </c>
      <c r="AC343" s="158">
        <f t="shared" ca="1" si="616"/>
        <v>0</v>
      </c>
      <c r="AD343" s="164"/>
      <c r="AE343" s="148">
        <f t="shared" si="602"/>
        <v>0</v>
      </c>
      <c r="AF343" s="149"/>
      <c r="AG343" s="150"/>
      <c r="AH343" s="159" t="e">
        <f t="shared" si="603"/>
        <v>#DIV/0!</v>
      </c>
      <c r="AI343" s="160"/>
      <c r="AJ343" s="105"/>
      <c r="AK343" s="105"/>
      <c r="AM343" s="105"/>
      <c r="AN343" s="105"/>
      <c r="AO343" s="105"/>
      <c r="AP343" s="105"/>
      <c r="AQ343" s="105"/>
      <c r="AR343" s="105"/>
    </row>
    <row r="344" spans="1:44" s="49" customFormat="1" ht="40.15" hidden="1" customHeight="1">
      <c r="A344" s="152">
        <f t="shared" ca="1" si="604"/>
        <v>0</v>
      </c>
      <c r="B344" s="153">
        <v>100343</v>
      </c>
      <c r="C344" s="154" t="str">
        <f t="shared" si="605"/>
        <v>100343</v>
      </c>
      <c r="D344" s="154" t="s">
        <v>1416</v>
      </c>
      <c r="E344" s="155" t="s">
        <v>3804</v>
      </c>
      <c r="F344" s="154"/>
      <c r="G344" s="154" t="s">
        <v>3802</v>
      </c>
      <c r="H344" s="152">
        <v>13.61</v>
      </c>
      <c r="I344" s="152">
        <v>13.26</v>
      </c>
      <c r="J344" s="156"/>
      <c r="K344" s="156">
        <f>Dre_Disp_Estruturais!AI141</f>
        <v>0</v>
      </c>
      <c r="L344" s="156">
        <f t="shared" si="606"/>
        <v>0</v>
      </c>
      <c r="M344" s="156">
        <f t="shared" si="607"/>
        <v>0</v>
      </c>
      <c r="N344" s="156" t="s">
        <v>83</v>
      </c>
      <c r="O344" s="157" cm="1">
        <f t="array" ref="O344">TRUNC($H344*(1+_xlfn.SWITCH($N344,"BDI 1",$O$6,"BDI 2",$O$7,"BDI 3",$O$8)),2)</f>
        <v>16.420000000000002</v>
      </c>
      <c r="P344" s="157" cm="1">
        <f t="array" ref="P344">TRUNC($I344*(1+_xlfn.SWITCH($N344,"BDI 1",$P$6,"BDI 2",$P$7,"BDI 3",$P$8)),2)</f>
        <v>16.8</v>
      </c>
      <c r="Q344" s="157">
        <v>0</v>
      </c>
      <c r="R344" s="157">
        <f t="shared" si="608"/>
        <v>0</v>
      </c>
      <c r="S344" s="156">
        <f t="shared" si="609"/>
        <v>0</v>
      </c>
      <c r="T344" s="156">
        <f t="shared" si="610"/>
        <v>0</v>
      </c>
      <c r="U344" s="156">
        <f t="shared" si="611"/>
        <v>0</v>
      </c>
      <c r="V344" s="156">
        <f t="shared" si="612"/>
        <v>0</v>
      </c>
      <c r="W344" s="156">
        <f t="shared" si="599"/>
        <v>0</v>
      </c>
      <c r="X344" s="158">
        <f t="shared" ref="X344" si="639">$S344/ORCAMENTO_VALOR_TOTAL_ND</f>
        <v>0</v>
      </c>
      <c r="Y344" s="158">
        <f t="shared" ref="Y344" si="640">$T344/ORCAMENTO_VALOR_TOTAL_DE</f>
        <v>0</v>
      </c>
      <c r="Z344" s="158" cm="1">
        <f t="array" ref="Z344">_xlfn.SWITCH($N344,"BDI 1",$O$6,"BDI 2",$O$7,"BDI 3",$O$8)</f>
        <v>0.20699999999999999</v>
      </c>
      <c r="AA344" s="158" cm="1">
        <f t="array" ref="AA344">_xlfn.SWITCH($N344,"BDI 1",$P$6,"BDI 2",$P$7,"BDI 3",$P$8)</f>
        <v>0.26739999999999997</v>
      </c>
      <c r="AB344" s="158">
        <f t="shared" ca="1" si="615"/>
        <v>0</v>
      </c>
      <c r="AC344" s="158">
        <f t="shared" ca="1" si="616"/>
        <v>0</v>
      </c>
      <c r="AD344" s="164"/>
      <c r="AE344" s="148">
        <f t="shared" si="602"/>
        <v>0</v>
      </c>
      <c r="AF344" s="149"/>
      <c r="AG344" s="150"/>
      <c r="AH344" s="159" t="e">
        <f t="shared" si="603"/>
        <v>#DIV/0!</v>
      </c>
      <c r="AI344" s="160"/>
      <c r="AJ344" s="105"/>
      <c r="AK344" s="105"/>
      <c r="AM344" s="105"/>
      <c r="AN344" s="105"/>
      <c r="AO344" s="105"/>
      <c r="AP344" s="105"/>
      <c r="AQ344" s="105"/>
      <c r="AR344" s="105"/>
    </row>
    <row r="345" spans="1:44" s="49" customFormat="1" ht="40.15" hidden="1" customHeight="1">
      <c r="A345" s="152">
        <f t="shared" ca="1" si="604"/>
        <v>0</v>
      </c>
      <c r="B345" s="153">
        <v>100344</v>
      </c>
      <c r="C345" s="154" t="str">
        <f t="shared" si="605"/>
        <v>100344</v>
      </c>
      <c r="D345" s="154" t="s">
        <v>1416</v>
      </c>
      <c r="E345" s="155" t="s">
        <v>3805</v>
      </c>
      <c r="F345" s="154"/>
      <c r="G345" s="154" t="s">
        <v>3802</v>
      </c>
      <c r="H345" s="152">
        <v>12.17</v>
      </c>
      <c r="I345" s="152">
        <v>11.92</v>
      </c>
      <c r="J345" s="156"/>
      <c r="K345" s="156">
        <f>Dre_Disp_Estruturais!AI142</f>
        <v>0</v>
      </c>
      <c r="L345" s="156">
        <f t="shared" si="606"/>
        <v>0</v>
      </c>
      <c r="M345" s="156">
        <f t="shared" si="607"/>
        <v>0</v>
      </c>
      <c r="N345" s="156" t="s">
        <v>83</v>
      </c>
      <c r="O345" s="157" cm="1">
        <f t="array" ref="O345">TRUNC($H345*(1+_xlfn.SWITCH($N345,"BDI 1",$O$6,"BDI 2",$O$7,"BDI 3",$O$8)),2)</f>
        <v>14.68</v>
      </c>
      <c r="P345" s="157" cm="1">
        <f t="array" ref="P345">TRUNC($I345*(1+_xlfn.SWITCH($N345,"BDI 1",$P$6,"BDI 2",$P$7,"BDI 3",$P$8)),2)</f>
        <v>15.1</v>
      </c>
      <c r="Q345" s="157">
        <v>0</v>
      </c>
      <c r="R345" s="157">
        <f t="shared" si="608"/>
        <v>0</v>
      </c>
      <c r="S345" s="156">
        <f t="shared" si="609"/>
        <v>0</v>
      </c>
      <c r="T345" s="156">
        <f t="shared" si="610"/>
        <v>0</v>
      </c>
      <c r="U345" s="156">
        <f t="shared" si="611"/>
        <v>0</v>
      </c>
      <c r="V345" s="156">
        <f t="shared" si="612"/>
        <v>0</v>
      </c>
      <c r="W345" s="156">
        <f t="shared" si="599"/>
        <v>0</v>
      </c>
      <c r="X345" s="158">
        <f t="shared" ref="X345" si="641">$S345/ORCAMENTO_VALOR_TOTAL_ND</f>
        <v>0</v>
      </c>
      <c r="Y345" s="158">
        <f t="shared" ref="Y345" si="642">$T345/ORCAMENTO_VALOR_TOTAL_DE</f>
        <v>0</v>
      </c>
      <c r="Z345" s="158" cm="1">
        <f t="array" ref="Z345">_xlfn.SWITCH($N345,"BDI 1",$O$6,"BDI 2",$O$7,"BDI 3",$O$8)</f>
        <v>0.20699999999999999</v>
      </c>
      <c r="AA345" s="158" cm="1">
        <f t="array" ref="AA345">_xlfn.SWITCH($N345,"BDI 1",$P$6,"BDI 2",$P$7,"BDI 3",$P$8)</f>
        <v>0.26739999999999997</v>
      </c>
      <c r="AB345" s="158">
        <f t="shared" ca="1" si="615"/>
        <v>0</v>
      </c>
      <c r="AC345" s="158">
        <f t="shared" ca="1" si="616"/>
        <v>0</v>
      </c>
      <c r="AD345" s="164"/>
      <c r="AE345" s="148">
        <f t="shared" si="602"/>
        <v>0</v>
      </c>
      <c r="AF345" s="149"/>
      <c r="AG345" s="150"/>
      <c r="AH345" s="159" t="e">
        <f t="shared" si="603"/>
        <v>#DIV/0!</v>
      </c>
      <c r="AI345" s="160"/>
      <c r="AJ345" s="105"/>
      <c r="AK345" s="105"/>
      <c r="AM345" s="105"/>
      <c r="AN345" s="105"/>
      <c r="AO345" s="105"/>
      <c r="AP345" s="105"/>
      <c r="AQ345" s="105"/>
      <c r="AR345" s="105"/>
    </row>
    <row r="346" spans="1:44" s="49" customFormat="1" ht="40.15" hidden="1" customHeight="1">
      <c r="A346" s="152">
        <f t="shared" ca="1" si="604"/>
        <v>0</v>
      </c>
      <c r="B346" s="153">
        <v>100345</v>
      </c>
      <c r="C346" s="154" t="str">
        <f t="shared" si="605"/>
        <v>100345</v>
      </c>
      <c r="D346" s="154" t="s">
        <v>1416</v>
      </c>
      <c r="E346" s="155" t="s">
        <v>3806</v>
      </c>
      <c r="F346" s="154"/>
      <c r="G346" s="154" t="s">
        <v>3802</v>
      </c>
      <c r="H346" s="152">
        <v>10.31</v>
      </c>
      <c r="I346" s="152">
        <v>10.1</v>
      </c>
      <c r="J346" s="156"/>
      <c r="K346" s="156">
        <f>Dre_Disp_Estruturais!AI143</f>
        <v>0</v>
      </c>
      <c r="L346" s="156">
        <f t="shared" si="606"/>
        <v>0</v>
      </c>
      <c r="M346" s="156">
        <f t="shared" si="607"/>
        <v>0</v>
      </c>
      <c r="N346" s="156" t="s">
        <v>83</v>
      </c>
      <c r="O346" s="157" cm="1">
        <f t="array" ref="O346">TRUNC($H346*(1+_xlfn.SWITCH($N346,"BDI 1",$O$6,"BDI 2",$O$7,"BDI 3",$O$8)),2)</f>
        <v>12.44</v>
      </c>
      <c r="P346" s="157" cm="1">
        <f t="array" ref="P346">TRUNC($I346*(1+_xlfn.SWITCH($N346,"BDI 1",$P$6,"BDI 2",$P$7,"BDI 3",$P$8)),2)</f>
        <v>12.8</v>
      </c>
      <c r="Q346" s="157">
        <v>0</v>
      </c>
      <c r="R346" s="157">
        <f t="shared" si="608"/>
        <v>0</v>
      </c>
      <c r="S346" s="156">
        <f t="shared" si="609"/>
        <v>0</v>
      </c>
      <c r="T346" s="156">
        <f t="shared" si="610"/>
        <v>0</v>
      </c>
      <c r="U346" s="156">
        <f t="shared" si="611"/>
        <v>0</v>
      </c>
      <c r="V346" s="156">
        <f t="shared" si="612"/>
        <v>0</v>
      </c>
      <c r="W346" s="156">
        <f t="shared" si="599"/>
        <v>0</v>
      </c>
      <c r="X346" s="158">
        <f t="shared" ref="X346" si="643">$S346/ORCAMENTO_VALOR_TOTAL_ND</f>
        <v>0</v>
      </c>
      <c r="Y346" s="158">
        <f t="shared" ref="Y346" si="644">$T346/ORCAMENTO_VALOR_TOTAL_DE</f>
        <v>0</v>
      </c>
      <c r="Z346" s="158" cm="1">
        <f t="array" ref="Z346">_xlfn.SWITCH($N346,"BDI 1",$O$6,"BDI 2",$O$7,"BDI 3",$O$8)</f>
        <v>0.20699999999999999</v>
      </c>
      <c r="AA346" s="158" cm="1">
        <f t="array" ref="AA346">_xlfn.SWITCH($N346,"BDI 1",$P$6,"BDI 2",$P$7,"BDI 3",$P$8)</f>
        <v>0.26739999999999997</v>
      </c>
      <c r="AB346" s="158">
        <f t="shared" ca="1" si="615"/>
        <v>0</v>
      </c>
      <c r="AC346" s="158">
        <f t="shared" ca="1" si="616"/>
        <v>0</v>
      </c>
      <c r="AD346" s="164"/>
      <c r="AE346" s="148">
        <f t="shared" si="602"/>
        <v>0</v>
      </c>
      <c r="AF346" s="149"/>
      <c r="AG346" s="150"/>
      <c r="AH346" s="159" t="e">
        <f t="shared" si="603"/>
        <v>#DIV/0!</v>
      </c>
      <c r="AI346" s="160"/>
      <c r="AJ346" s="105"/>
      <c r="AK346" s="105"/>
      <c r="AM346" s="105"/>
      <c r="AN346" s="105"/>
      <c r="AO346" s="105"/>
      <c r="AP346" s="105"/>
      <c r="AQ346" s="105"/>
      <c r="AR346" s="105"/>
    </row>
    <row r="347" spans="1:44" s="49" customFormat="1" ht="40.15" hidden="1" customHeight="1">
      <c r="A347" s="152">
        <f t="shared" ca="1" si="604"/>
        <v>0</v>
      </c>
      <c r="B347" s="153">
        <v>91593</v>
      </c>
      <c r="C347" s="154" t="str">
        <f t="shared" si="605"/>
        <v>91593</v>
      </c>
      <c r="D347" s="154" t="s">
        <v>1416</v>
      </c>
      <c r="E347" s="155" t="s">
        <v>3807</v>
      </c>
      <c r="F347" s="154"/>
      <c r="G347" s="154" t="s">
        <v>3802</v>
      </c>
      <c r="H347" s="152">
        <v>10.59</v>
      </c>
      <c r="I347" s="152">
        <v>10.220000000000001</v>
      </c>
      <c r="J347" s="156"/>
      <c r="K347" s="156">
        <f>Dre_Disp_Estruturais!AI138</f>
        <v>0</v>
      </c>
      <c r="L347" s="156">
        <f t="shared" si="606"/>
        <v>0</v>
      </c>
      <c r="M347" s="156">
        <f t="shared" si="607"/>
        <v>0</v>
      </c>
      <c r="N347" s="156" t="s">
        <v>83</v>
      </c>
      <c r="O347" s="157" cm="1">
        <f t="array" ref="O347">TRUNC($H347*(1+_xlfn.SWITCH($N347,"BDI 1",$O$6,"BDI 2",$O$7,"BDI 3",$O$8)),2)</f>
        <v>12.78</v>
      </c>
      <c r="P347" s="157" cm="1">
        <f t="array" ref="P347">TRUNC($I347*(1+_xlfn.SWITCH($N347,"BDI 1",$P$6,"BDI 2",$P$7,"BDI 3",$P$8)),2)</f>
        <v>12.95</v>
      </c>
      <c r="Q347" s="157">
        <v>0</v>
      </c>
      <c r="R347" s="157">
        <f t="shared" si="608"/>
        <v>0</v>
      </c>
      <c r="S347" s="156">
        <f t="shared" si="609"/>
        <v>0</v>
      </c>
      <c r="T347" s="156">
        <f t="shared" si="610"/>
        <v>0</v>
      </c>
      <c r="U347" s="156">
        <f t="shared" si="611"/>
        <v>0</v>
      </c>
      <c r="V347" s="156">
        <f t="shared" si="612"/>
        <v>0</v>
      </c>
      <c r="W347" s="156">
        <f t="shared" si="599"/>
        <v>0</v>
      </c>
      <c r="X347" s="158">
        <f t="shared" ref="X347" si="645">$S347/ORCAMENTO_VALOR_TOTAL_ND</f>
        <v>0</v>
      </c>
      <c r="Y347" s="158">
        <f t="shared" ref="Y347" si="646">$T347/ORCAMENTO_VALOR_TOTAL_DE</f>
        <v>0</v>
      </c>
      <c r="Z347" s="158" cm="1">
        <f t="array" ref="Z347">_xlfn.SWITCH($N347,"BDI 1",$O$6,"BDI 2",$O$7,"BDI 3",$O$8)</f>
        <v>0.20699999999999999</v>
      </c>
      <c r="AA347" s="158" cm="1">
        <f t="array" ref="AA347">_xlfn.SWITCH($N347,"BDI 1",$P$6,"BDI 2",$P$7,"BDI 3",$P$8)</f>
        <v>0.26739999999999997</v>
      </c>
      <c r="AB347" s="158">
        <f t="shared" ca="1" si="615"/>
        <v>0</v>
      </c>
      <c r="AC347" s="158">
        <f t="shared" ca="1" si="616"/>
        <v>0</v>
      </c>
      <c r="AD347" s="164"/>
      <c r="AE347" s="148">
        <f t="shared" si="602"/>
        <v>0</v>
      </c>
      <c r="AF347" s="149"/>
      <c r="AG347" s="150"/>
      <c r="AH347" s="159" t="e">
        <f t="shared" si="603"/>
        <v>#DIV/0!</v>
      </c>
      <c r="AI347" s="160"/>
      <c r="AJ347" s="105"/>
      <c r="AK347" s="105"/>
      <c r="AM347" s="105"/>
      <c r="AN347" s="105"/>
      <c r="AO347" s="105"/>
      <c r="AP347" s="105"/>
      <c r="AQ347" s="105"/>
      <c r="AR347" s="105"/>
    </row>
    <row r="348" spans="1:44" s="49" customFormat="1" ht="40.15" hidden="1" customHeight="1">
      <c r="A348" s="152">
        <f t="shared" ca="1" si="604"/>
        <v>0</v>
      </c>
      <c r="B348" s="153">
        <v>91594</v>
      </c>
      <c r="C348" s="154" t="str">
        <f t="shared" si="605"/>
        <v>91594</v>
      </c>
      <c r="D348" s="154" t="s">
        <v>1416</v>
      </c>
      <c r="E348" s="155" t="s">
        <v>3808</v>
      </c>
      <c r="F348" s="154"/>
      <c r="G348" s="154" t="s">
        <v>3802</v>
      </c>
      <c r="H348" s="152">
        <v>11</v>
      </c>
      <c r="I348" s="152">
        <v>10.61</v>
      </c>
      <c r="J348" s="156"/>
      <c r="K348" s="156"/>
      <c r="L348" s="156">
        <f t="shared" si="606"/>
        <v>0</v>
      </c>
      <c r="M348" s="156">
        <f t="shared" si="607"/>
        <v>0</v>
      </c>
      <c r="N348" s="156" t="s">
        <v>83</v>
      </c>
      <c r="O348" s="157" cm="1">
        <f t="array" ref="O348">TRUNC($H348*(1+_xlfn.SWITCH($N348,"BDI 1",$O$6,"BDI 2",$O$7,"BDI 3",$O$8)),2)</f>
        <v>13.27</v>
      </c>
      <c r="P348" s="157" cm="1">
        <f t="array" ref="P348">TRUNC($I348*(1+_xlfn.SWITCH($N348,"BDI 1",$P$6,"BDI 2",$P$7,"BDI 3",$P$8)),2)</f>
        <v>13.44</v>
      </c>
      <c r="Q348" s="157">
        <v>0</v>
      </c>
      <c r="R348" s="157">
        <f t="shared" si="608"/>
        <v>0</v>
      </c>
      <c r="S348" s="156">
        <f t="shared" si="609"/>
        <v>0</v>
      </c>
      <c r="T348" s="156">
        <f t="shared" si="610"/>
        <v>0</v>
      </c>
      <c r="U348" s="156">
        <f t="shared" si="611"/>
        <v>0</v>
      </c>
      <c r="V348" s="156">
        <f t="shared" si="612"/>
        <v>0</v>
      </c>
      <c r="W348" s="156">
        <f t="shared" si="599"/>
        <v>0</v>
      </c>
      <c r="X348" s="158">
        <f t="shared" ref="X348" si="647">$S348/ORCAMENTO_VALOR_TOTAL_ND</f>
        <v>0</v>
      </c>
      <c r="Y348" s="158">
        <f t="shared" ref="Y348" si="648">$T348/ORCAMENTO_VALOR_TOTAL_DE</f>
        <v>0</v>
      </c>
      <c r="Z348" s="158" cm="1">
        <f t="array" ref="Z348">_xlfn.SWITCH($N348,"BDI 1",$O$6,"BDI 2",$O$7,"BDI 3",$O$8)</f>
        <v>0.20699999999999999</v>
      </c>
      <c r="AA348" s="158" cm="1">
        <f t="array" ref="AA348">_xlfn.SWITCH($N348,"BDI 1",$P$6,"BDI 2",$P$7,"BDI 3",$P$8)</f>
        <v>0.26739999999999997</v>
      </c>
      <c r="AB348" s="158">
        <f t="shared" ca="1" si="615"/>
        <v>0</v>
      </c>
      <c r="AC348" s="158">
        <f t="shared" ca="1" si="616"/>
        <v>0</v>
      </c>
      <c r="AD348" s="164"/>
      <c r="AE348" s="148">
        <f t="shared" si="602"/>
        <v>0</v>
      </c>
      <c r="AF348" s="149"/>
      <c r="AG348" s="150"/>
      <c r="AH348" s="159" t="e">
        <f t="shared" si="603"/>
        <v>#DIV/0!</v>
      </c>
      <c r="AI348" s="160"/>
      <c r="AJ348" s="105"/>
      <c r="AK348" s="105"/>
      <c r="AM348" s="105"/>
      <c r="AN348" s="105"/>
      <c r="AO348" s="105"/>
      <c r="AP348" s="105"/>
      <c r="AQ348" s="105"/>
      <c r="AR348" s="105"/>
    </row>
    <row r="349" spans="1:44" s="49" customFormat="1" ht="40.15" hidden="1" customHeight="1">
      <c r="A349" s="152">
        <f t="shared" ca="1" si="604"/>
        <v>0</v>
      </c>
      <c r="B349" s="153">
        <v>101792</v>
      </c>
      <c r="C349" s="154" t="str">
        <f t="shared" si="605"/>
        <v>101792</v>
      </c>
      <c r="D349" s="154" t="s">
        <v>1416</v>
      </c>
      <c r="E349" s="155" t="s">
        <v>3809</v>
      </c>
      <c r="F349" s="154"/>
      <c r="G349" s="154" t="s">
        <v>464</v>
      </c>
      <c r="H349" s="152">
        <v>16.14</v>
      </c>
      <c r="I349" s="152">
        <v>15.51</v>
      </c>
      <c r="J349" s="156"/>
      <c r="K349" s="156">
        <f>Dre_Disp_Estruturais!AI133+Dre_Disp_Estruturais!AI144</f>
        <v>0</v>
      </c>
      <c r="L349" s="156">
        <f t="shared" si="606"/>
        <v>0</v>
      </c>
      <c r="M349" s="156">
        <f t="shared" si="607"/>
        <v>0</v>
      </c>
      <c r="N349" s="156" t="s">
        <v>83</v>
      </c>
      <c r="O349" s="157" cm="1">
        <f t="array" ref="O349">TRUNC($H349*(1+_xlfn.SWITCH($N349,"BDI 1",$O$6,"BDI 2",$O$7,"BDI 3",$O$8)),2)</f>
        <v>19.48</v>
      </c>
      <c r="P349" s="157" cm="1">
        <f t="array" ref="P349">TRUNC($I349*(1+_xlfn.SWITCH($N349,"BDI 1",$P$6,"BDI 2",$P$7,"BDI 3",$P$8)),2)</f>
        <v>19.649999999999999</v>
      </c>
      <c r="Q349" s="157">
        <v>0</v>
      </c>
      <c r="R349" s="157">
        <f t="shared" si="608"/>
        <v>0</v>
      </c>
      <c r="S349" s="156">
        <f t="shared" si="609"/>
        <v>0</v>
      </c>
      <c r="T349" s="156">
        <f t="shared" si="610"/>
        <v>0</v>
      </c>
      <c r="U349" s="156">
        <f t="shared" si="611"/>
        <v>0</v>
      </c>
      <c r="V349" s="156">
        <f t="shared" si="612"/>
        <v>0</v>
      </c>
      <c r="W349" s="156">
        <f t="shared" si="599"/>
        <v>0</v>
      </c>
      <c r="X349" s="158">
        <f t="shared" ref="X349" si="649">$S349/ORCAMENTO_VALOR_TOTAL_ND</f>
        <v>0</v>
      </c>
      <c r="Y349" s="158">
        <f t="shared" ref="Y349" si="650">$T349/ORCAMENTO_VALOR_TOTAL_DE</f>
        <v>0</v>
      </c>
      <c r="Z349" s="158" cm="1">
        <f t="array" ref="Z349">_xlfn.SWITCH($N349,"BDI 1",$O$6,"BDI 2",$O$7,"BDI 3",$O$8)</f>
        <v>0.20699999999999999</v>
      </c>
      <c r="AA349" s="158" cm="1">
        <f t="array" ref="AA349">_xlfn.SWITCH($N349,"BDI 1",$P$6,"BDI 2",$P$7,"BDI 3",$P$8)</f>
        <v>0.26739999999999997</v>
      </c>
      <c r="AB349" s="158">
        <f t="shared" ca="1" si="615"/>
        <v>0</v>
      </c>
      <c r="AC349" s="158">
        <f t="shared" ca="1" si="616"/>
        <v>0</v>
      </c>
      <c r="AD349" s="164"/>
      <c r="AE349" s="148">
        <f t="shared" si="602"/>
        <v>0</v>
      </c>
      <c r="AF349" s="149"/>
      <c r="AG349" s="150"/>
      <c r="AH349" s="159" t="e">
        <f t="shared" si="603"/>
        <v>#DIV/0!</v>
      </c>
      <c r="AI349" s="160"/>
      <c r="AJ349" s="105"/>
      <c r="AK349" s="105"/>
      <c r="AM349" s="105"/>
      <c r="AN349" s="105"/>
      <c r="AO349" s="105"/>
      <c r="AP349" s="105"/>
      <c r="AQ349" s="105"/>
      <c r="AR349" s="105"/>
    </row>
    <row r="350" spans="1:44" s="49" customFormat="1" ht="40.15" hidden="1" customHeight="1">
      <c r="A350" s="10">
        <f t="shared" ca="1" si="604"/>
        <v>0</v>
      </c>
      <c r="B350" s="153"/>
      <c r="C350" s="154"/>
      <c r="D350" s="154"/>
      <c r="E350" s="155"/>
      <c r="F350" s="154"/>
      <c r="G350" s="154"/>
      <c r="H350" s="154"/>
      <c r="I350" s="154"/>
      <c r="J350" s="168"/>
      <c r="K350" s="168"/>
      <c r="L350" s="168"/>
      <c r="M350" s="168"/>
      <c r="N350" s="168"/>
      <c r="O350" s="157"/>
      <c r="P350" s="157"/>
      <c r="Q350" s="157"/>
      <c r="R350" s="157"/>
      <c r="S350" s="162"/>
      <c r="T350" s="162"/>
      <c r="U350" s="162"/>
      <c r="V350" s="162"/>
      <c r="W350" s="162"/>
      <c r="X350" s="163"/>
      <c r="Y350" s="163"/>
      <c r="Z350" s="163"/>
      <c r="AA350" s="163"/>
      <c r="AB350" s="163"/>
      <c r="AC350" s="163"/>
      <c r="AD350" s="164"/>
      <c r="AE350" s="148">
        <f>IF(S351&gt;0,IFERROR(TRUNC(A351,0),0),0)</f>
        <v>0</v>
      </c>
      <c r="AF350" s="149"/>
      <c r="AG350" s="150"/>
      <c r="AH350" s="159"/>
      <c r="AI350" s="160"/>
      <c r="AJ350" s="105"/>
      <c r="AK350" s="105"/>
      <c r="AM350" s="105"/>
      <c r="AN350" s="105"/>
      <c r="AO350" s="206"/>
      <c r="AP350" s="206"/>
      <c r="AQ350" s="206"/>
      <c r="AR350" s="206"/>
    </row>
    <row r="351" spans="1:44" s="105" customFormat="1" ht="40.15" hidden="1" customHeight="1">
      <c r="A351" s="186">
        <f ca="1">$B$23</f>
        <v>0</v>
      </c>
      <c r="B351" s="170"/>
      <c r="C351" s="171"/>
      <c r="D351" s="172"/>
      <c r="E351" s="187" t="str">
        <f>$D$23</f>
        <v>MICRODRENAGEM - BACIA DE AMORTECIMENTO</v>
      </c>
      <c r="F351" s="174">
        <v>0</v>
      </c>
      <c r="G351" s="175"/>
      <c r="H351" s="176" t="s">
        <v>206</v>
      </c>
      <c r="I351" s="176" t="s">
        <v>206</v>
      </c>
      <c r="J351" s="177"/>
      <c r="K351" s="177"/>
      <c r="L351" s="177"/>
      <c r="M351" s="177"/>
      <c r="N351" s="177"/>
      <c r="O351" s="178" t="str">
        <f ca="1">CONCATENATE("SUB-TOTAL ",$A351)</f>
        <v>SUB-TOTAL 0</v>
      </c>
      <c r="P351" s="178" t="e" cm="1">
        <f t="array" ref="P351">TRUNC($I351*(1+_xlfn.SWITCH($N351,"BDI 1",$P$6,"BDI 2",$P$7,"BDI 3",$P$8)),2)</f>
        <v>#VALUE!</v>
      </c>
      <c r="Q351" s="178" t="str">
        <f ca="1">CONCATENATE("SUB-TOTAL ",$A351)</f>
        <v>SUB-TOTAL 0</v>
      </c>
      <c r="R351" s="178"/>
      <c r="S351" s="179">
        <f>SUM(S352:S453)</f>
        <v>0</v>
      </c>
      <c r="T351" s="179">
        <f>SUM(T352:T453)</f>
        <v>0</v>
      </c>
      <c r="U351" s="179">
        <f>SUM(U352:U453)</f>
        <v>0</v>
      </c>
      <c r="V351" s="179">
        <f>SUM(V352:V453)</f>
        <v>0</v>
      </c>
      <c r="W351" s="179">
        <f>TRUNC(V351-U351,2)</f>
        <v>0</v>
      </c>
      <c r="X351" s="180">
        <f>$S351/ORCAMENTO_VALOR_TOTAL_ND</f>
        <v>0</v>
      </c>
      <c r="Y351" s="180">
        <f>$T351/ORCAMENTO_VALOR_TOTAL_DE</f>
        <v>0</v>
      </c>
      <c r="Z351" s="180"/>
      <c r="AA351" s="180"/>
      <c r="AB351" s="180">
        <f>IFERROR($S351/$S351,0)</f>
        <v>0</v>
      </c>
      <c r="AC351" s="180">
        <f>IFERROR($T351/$T351,0)</f>
        <v>0</v>
      </c>
      <c r="AD351" s="147"/>
      <c r="AE351" s="148">
        <f t="shared" ref="AE351:AE414" si="651">IF(S351&gt;0,IFERROR(TRUNC(A351,0),0),0)</f>
        <v>0</v>
      </c>
      <c r="AF351" s="149"/>
      <c r="AG351" s="150"/>
      <c r="AH351" s="159" t="e">
        <f>S351/$S$351</f>
        <v>#DIV/0!</v>
      </c>
    </row>
    <row r="352" spans="1:44" s="49" customFormat="1" ht="40.15" hidden="1" customHeight="1">
      <c r="A352" s="152">
        <f t="shared" ref="A352:A415" ca="1" si="652">IF(K352&gt;0,A351+0.01,A351)</f>
        <v>0</v>
      </c>
      <c r="B352" s="153"/>
      <c r="C352" s="154"/>
      <c r="D352" s="154"/>
      <c r="E352" s="161" t="s">
        <v>39</v>
      </c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62"/>
      <c r="T352" s="162"/>
      <c r="U352" s="162"/>
      <c r="V352" s="162"/>
      <c r="W352" s="162"/>
      <c r="X352" s="163"/>
      <c r="Y352" s="163"/>
      <c r="Z352" s="163"/>
      <c r="AA352" s="163"/>
      <c r="AB352" s="163"/>
      <c r="AC352" s="163"/>
      <c r="AD352" s="164"/>
      <c r="AE352" s="148">
        <f t="shared" si="651"/>
        <v>0</v>
      </c>
      <c r="AF352" s="149"/>
      <c r="AG352" s="150"/>
      <c r="AH352" s="159"/>
      <c r="AI352" s="160"/>
      <c r="AJ352" s="105"/>
      <c r="AK352" s="105"/>
      <c r="AM352" s="105"/>
      <c r="AN352" s="105"/>
      <c r="AO352" s="105"/>
      <c r="AP352" s="105"/>
      <c r="AQ352" s="105"/>
      <c r="AR352" s="105"/>
    </row>
    <row r="353" spans="1:44" s="49" customFormat="1" ht="40.15" hidden="1" customHeight="1">
      <c r="A353" s="152">
        <f t="shared" ca="1" si="652"/>
        <v>0</v>
      </c>
      <c r="B353" s="153">
        <v>98525</v>
      </c>
      <c r="C353" s="154" t="str">
        <f t="shared" ref="C353:C358" si="653">TEXT(B353,"0")</f>
        <v>98525</v>
      </c>
      <c r="D353" s="154" t="s">
        <v>1416</v>
      </c>
      <c r="E353" s="155" t="s">
        <v>1417</v>
      </c>
      <c r="F353" s="154"/>
      <c r="G353" s="154" t="s">
        <v>1418</v>
      </c>
      <c r="H353" s="152">
        <v>0.63</v>
      </c>
      <c r="I353" s="152">
        <v>0.37</v>
      </c>
      <c r="J353" s="156"/>
      <c r="K353" s="156">
        <f>+Bacia_Amortecimento!J5+Bacia_Amortecimento!J6</f>
        <v>0</v>
      </c>
      <c r="L353" s="156">
        <f t="shared" ref="L353:L358" si="654">IF($K353&gt;$J353,$K353-$J353,0)</f>
        <v>0</v>
      </c>
      <c r="M353" s="156">
        <f t="shared" ref="M353:M358" si="655">IF($K353&lt;$J353,$J353-$K353,0)</f>
        <v>0</v>
      </c>
      <c r="N353" s="156" t="s">
        <v>83</v>
      </c>
      <c r="O353" s="157" cm="1">
        <f t="array" ref="O353">TRUNC($H353*(1+_xlfn.SWITCH($N353,"BDI 1",$O$6,"BDI 2",$O$7,"BDI 3",$O$8)),2)</f>
        <v>0.76</v>
      </c>
      <c r="P353" s="157" cm="1">
        <f t="array" ref="P353">TRUNC($I353*(1+_xlfn.SWITCH($N353,"BDI 1",$P$6,"BDI 2",$P$7,"BDI 3",$P$8)),2)</f>
        <v>0.46</v>
      </c>
      <c r="Q353" s="157">
        <v>0</v>
      </c>
      <c r="R353" s="157">
        <f t="shared" ref="R353:R358" si="656">$Q353-($Q353*LICITACAO_DESCONTO)</f>
        <v>0</v>
      </c>
      <c r="S353" s="156">
        <f t="shared" ref="S353:S358" si="657">TRUNC($K353*$O353,2)</f>
        <v>0</v>
      </c>
      <c r="T353" s="156">
        <f t="shared" ref="T353:T358" si="658">TRUNC($K353*$P353,2)</f>
        <v>0</v>
      </c>
      <c r="U353" s="156">
        <f t="shared" ref="U353:U358" si="659">TRUNC($J353*$R353,2)</f>
        <v>0</v>
      </c>
      <c r="V353" s="156">
        <f t="shared" ref="V353:V358" si="660">TRUNC($K353*$Q353,2)</f>
        <v>0</v>
      </c>
      <c r="W353" s="156">
        <f t="shared" ref="W353:W358" si="661">TRUNC(V353-U353,2)</f>
        <v>0</v>
      </c>
      <c r="X353" s="158">
        <f t="shared" ref="X353" si="662">$S353/ORCAMENTO_VALOR_TOTAL_ND</f>
        <v>0</v>
      </c>
      <c r="Y353" s="158">
        <f t="shared" ref="Y353" si="663">$T353/ORCAMENTO_VALOR_TOTAL_DE</f>
        <v>0</v>
      </c>
      <c r="Z353" s="158" cm="1">
        <f t="array" ref="Z353">_xlfn.SWITCH($N353,"BDI 1",$O$6,"BDI 2",$O$7,"BDI 3",$O$8)</f>
        <v>0.20699999999999999</v>
      </c>
      <c r="AA353" s="158" cm="1">
        <f t="array" ref="AA353">_xlfn.SWITCH($N353,"BDI 1",$P$6,"BDI 2",$P$7,"BDI 3",$P$8)</f>
        <v>0.26739999999999997</v>
      </c>
      <c r="AB353" s="158">
        <f t="shared" ref="AB353:AB358" ca="1" si="664">IFERROR($S353/_xlfn.XLOOKUP($AE353,$B$16:$B$38,$S$16:$S$38),0)</f>
        <v>0</v>
      </c>
      <c r="AC353" s="158">
        <f t="shared" ref="AC353:AC358" ca="1" si="665">IFERROR($T353/_xlfn.XLOOKUP($AE353,$B$16:$B$38,$T$16:$T$38),0)</f>
        <v>0</v>
      </c>
      <c r="AD353" s="164"/>
      <c r="AE353" s="148">
        <f t="shared" si="651"/>
        <v>0</v>
      </c>
      <c r="AF353" s="149"/>
      <c r="AG353" s="150"/>
      <c r="AH353" s="159" t="e">
        <f t="shared" ref="AH353:AH358" si="666">S353/$S$351</f>
        <v>#DIV/0!</v>
      </c>
      <c r="AI353" s="160"/>
      <c r="AJ353" s="105"/>
      <c r="AK353" s="105"/>
      <c r="AO353" s="105"/>
      <c r="AP353" s="105"/>
      <c r="AQ353" s="105"/>
      <c r="AR353" s="105"/>
    </row>
    <row r="354" spans="1:44" s="49" customFormat="1" ht="40.15" hidden="1" customHeight="1">
      <c r="A354" s="152">
        <f t="shared" ca="1" si="652"/>
        <v>0</v>
      </c>
      <c r="B354" s="153" t="s">
        <v>91</v>
      </c>
      <c r="C354" s="154" t="str">
        <f t="shared" si="653"/>
        <v>SC/0068</v>
      </c>
      <c r="D354" s="154" t="s">
        <v>3549</v>
      </c>
      <c r="E354" s="155" t="s">
        <v>1425</v>
      </c>
      <c r="F354" s="154"/>
      <c r="G354" s="154" t="s">
        <v>1418</v>
      </c>
      <c r="H354" s="152">
        <v>5.0199999999999996</v>
      </c>
      <c r="I354" s="152">
        <v>5.01</v>
      </c>
      <c r="J354" s="156"/>
      <c r="K354" s="156">
        <f>+Bacia_Amortecimento!J12</f>
        <v>0</v>
      </c>
      <c r="L354" s="156">
        <f t="shared" si="654"/>
        <v>0</v>
      </c>
      <c r="M354" s="156">
        <f t="shared" si="655"/>
        <v>0</v>
      </c>
      <c r="N354" s="156" t="s">
        <v>83</v>
      </c>
      <c r="O354" s="157" cm="1">
        <f t="array" ref="O354">TRUNC($H354*(1+_xlfn.SWITCH($N354,"BDI 1",$O$6,"BDI 2",$O$7,"BDI 3",$O$8)),2)</f>
        <v>6.05</v>
      </c>
      <c r="P354" s="157" cm="1">
        <f t="array" ref="P354">TRUNC($I354*(1+_xlfn.SWITCH($N354,"BDI 1",$P$6,"BDI 2",$P$7,"BDI 3",$P$8)),2)</f>
        <v>6.34</v>
      </c>
      <c r="Q354" s="157">
        <v>0</v>
      </c>
      <c r="R354" s="157">
        <f t="shared" si="656"/>
        <v>0</v>
      </c>
      <c r="S354" s="156">
        <f t="shared" si="657"/>
        <v>0</v>
      </c>
      <c r="T354" s="156">
        <f t="shared" si="658"/>
        <v>0</v>
      </c>
      <c r="U354" s="156">
        <f t="shared" si="659"/>
        <v>0</v>
      </c>
      <c r="V354" s="156">
        <f t="shared" si="660"/>
        <v>0</v>
      </c>
      <c r="W354" s="156">
        <f t="shared" si="661"/>
        <v>0</v>
      </c>
      <c r="X354" s="158">
        <f t="shared" ref="X354" si="667">$S354/ORCAMENTO_VALOR_TOTAL_ND</f>
        <v>0</v>
      </c>
      <c r="Y354" s="158">
        <f t="shared" ref="Y354" si="668">$T354/ORCAMENTO_VALOR_TOTAL_DE</f>
        <v>0</v>
      </c>
      <c r="Z354" s="158" cm="1">
        <f t="array" ref="Z354">_xlfn.SWITCH($N354,"BDI 1",$O$6,"BDI 2",$O$7,"BDI 3",$O$8)</f>
        <v>0.20699999999999999</v>
      </c>
      <c r="AA354" s="158" cm="1">
        <f t="array" ref="AA354">_xlfn.SWITCH($N354,"BDI 1",$P$6,"BDI 2",$P$7,"BDI 3",$P$8)</f>
        <v>0.26739999999999997</v>
      </c>
      <c r="AB354" s="158">
        <f t="shared" ca="1" si="664"/>
        <v>0</v>
      </c>
      <c r="AC354" s="158">
        <f t="shared" ca="1" si="665"/>
        <v>0</v>
      </c>
      <c r="AD354" s="164"/>
      <c r="AE354" s="148">
        <f t="shared" si="651"/>
        <v>0</v>
      </c>
      <c r="AF354" s="149"/>
      <c r="AG354" s="150"/>
      <c r="AH354" s="159" t="e">
        <f t="shared" si="666"/>
        <v>#DIV/0!</v>
      </c>
      <c r="AI354" s="160"/>
      <c r="AJ354" s="105"/>
      <c r="AK354" s="105"/>
      <c r="AL354" s="105"/>
      <c r="AM354" s="105"/>
      <c r="AN354" s="105"/>
      <c r="AO354" s="105"/>
      <c r="AP354" s="105"/>
      <c r="AQ354" s="105"/>
      <c r="AR354" s="105"/>
    </row>
    <row r="355" spans="1:44" s="49" customFormat="1" ht="60" hidden="1" customHeight="1">
      <c r="A355" s="152">
        <f t="shared" ca="1" si="652"/>
        <v>0</v>
      </c>
      <c r="B355" s="153" t="s">
        <v>95</v>
      </c>
      <c r="C355" s="154" t="str">
        <f t="shared" si="653"/>
        <v>SP/0020</v>
      </c>
      <c r="D355" s="154" t="s">
        <v>3549</v>
      </c>
      <c r="E355" s="155" t="s">
        <v>3581</v>
      </c>
      <c r="F355" s="154"/>
      <c r="G355" s="154" t="s">
        <v>1418</v>
      </c>
      <c r="H355" s="152">
        <v>142.72</v>
      </c>
      <c r="I355" s="152">
        <v>136.78</v>
      </c>
      <c r="J355" s="156"/>
      <c r="K355" s="156">
        <f>+Bacia_Amortecimento!J14</f>
        <v>0</v>
      </c>
      <c r="L355" s="156">
        <f t="shared" si="654"/>
        <v>0</v>
      </c>
      <c r="M355" s="156">
        <f t="shared" si="655"/>
        <v>0</v>
      </c>
      <c r="N355" s="156" t="s">
        <v>83</v>
      </c>
      <c r="O355" s="157" cm="1">
        <f t="array" ref="O355">TRUNC($H355*(1+_xlfn.SWITCH($N355,"BDI 1",$O$6,"BDI 2",$O$7,"BDI 3",$O$8)),2)</f>
        <v>172.26</v>
      </c>
      <c r="P355" s="157" cm="1">
        <f t="array" ref="P355">TRUNC($I355*(1+_xlfn.SWITCH($N355,"BDI 1",$P$6,"BDI 2",$P$7,"BDI 3",$P$8)),2)</f>
        <v>173.35</v>
      </c>
      <c r="Q355" s="157">
        <v>0</v>
      </c>
      <c r="R355" s="157">
        <f t="shared" si="656"/>
        <v>0</v>
      </c>
      <c r="S355" s="156">
        <f t="shared" si="657"/>
        <v>0</v>
      </c>
      <c r="T355" s="156">
        <f t="shared" si="658"/>
        <v>0</v>
      </c>
      <c r="U355" s="156">
        <f t="shared" si="659"/>
        <v>0</v>
      </c>
      <c r="V355" s="156">
        <f t="shared" si="660"/>
        <v>0</v>
      </c>
      <c r="W355" s="156">
        <f t="shared" si="661"/>
        <v>0</v>
      </c>
      <c r="X355" s="158">
        <f t="shared" ref="X355" si="669">$S355/ORCAMENTO_VALOR_TOTAL_ND</f>
        <v>0</v>
      </c>
      <c r="Y355" s="158">
        <f t="shared" ref="Y355" si="670">$T355/ORCAMENTO_VALOR_TOTAL_DE</f>
        <v>0</v>
      </c>
      <c r="Z355" s="158" cm="1">
        <f t="array" ref="Z355">_xlfn.SWITCH($N355,"BDI 1",$O$6,"BDI 2",$O$7,"BDI 3",$O$8)</f>
        <v>0.20699999999999999</v>
      </c>
      <c r="AA355" s="158" cm="1">
        <f t="array" ref="AA355">_xlfn.SWITCH($N355,"BDI 1",$P$6,"BDI 2",$P$7,"BDI 3",$P$8)</f>
        <v>0.26739999999999997</v>
      </c>
      <c r="AB355" s="158">
        <f t="shared" ca="1" si="664"/>
        <v>0</v>
      </c>
      <c r="AC355" s="158">
        <f t="shared" ca="1" si="665"/>
        <v>0</v>
      </c>
      <c r="AD355" s="164"/>
      <c r="AE355" s="148">
        <f t="shared" si="651"/>
        <v>0</v>
      </c>
      <c r="AF355" s="149"/>
      <c r="AG355" s="150"/>
      <c r="AH355" s="159" t="e">
        <f t="shared" si="666"/>
        <v>#DIV/0!</v>
      </c>
      <c r="AI355" s="160"/>
      <c r="AJ355" s="105"/>
      <c r="AK355" s="105"/>
      <c r="AL355" s="105"/>
      <c r="AM355" s="105"/>
      <c r="AN355" s="105"/>
      <c r="AO355" s="105"/>
      <c r="AP355" s="105"/>
      <c r="AQ355" s="105"/>
      <c r="AR355" s="105"/>
    </row>
    <row r="356" spans="1:44" s="49" customFormat="1" ht="60" hidden="1" customHeight="1">
      <c r="A356" s="152">
        <f t="shared" ca="1" si="652"/>
        <v>0</v>
      </c>
      <c r="B356" s="153" t="s">
        <v>97</v>
      </c>
      <c r="C356" s="154" t="str">
        <f t="shared" si="653"/>
        <v>SP/0030</v>
      </c>
      <c r="D356" s="154" t="s">
        <v>3549</v>
      </c>
      <c r="E356" s="155" t="s">
        <v>3583</v>
      </c>
      <c r="F356" s="154"/>
      <c r="G356" s="154" t="s">
        <v>58</v>
      </c>
      <c r="H356" s="152">
        <v>6.66</v>
      </c>
      <c r="I356" s="152">
        <v>6.41</v>
      </c>
      <c r="J356" s="156"/>
      <c r="K356" s="156">
        <f>+Bacia_Amortecimento!J15</f>
        <v>0</v>
      </c>
      <c r="L356" s="156">
        <f t="shared" si="654"/>
        <v>0</v>
      </c>
      <c r="M356" s="156">
        <f t="shared" si="655"/>
        <v>0</v>
      </c>
      <c r="N356" s="156" t="s">
        <v>83</v>
      </c>
      <c r="O356" s="157" cm="1">
        <f t="array" ref="O356">TRUNC($H356*(1+_xlfn.SWITCH($N356,"BDI 1",$O$6,"BDI 2",$O$7,"BDI 3",$O$8)),2)</f>
        <v>8.0299999999999994</v>
      </c>
      <c r="P356" s="157" cm="1">
        <f t="array" ref="P356">TRUNC($I356*(1+_xlfn.SWITCH($N356,"BDI 1",$P$6,"BDI 2",$P$7,"BDI 3",$P$8)),2)</f>
        <v>8.1199999999999992</v>
      </c>
      <c r="Q356" s="157">
        <v>0</v>
      </c>
      <c r="R356" s="157">
        <f t="shared" si="656"/>
        <v>0</v>
      </c>
      <c r="S356" s="156">
        <f t="shared" si="657"/>
        <v>0</v>
      </c>
      <c r="T356" s="156">
        <f t="shared" si="658"/>
        <v>0</v>
      </c>
      <c r="U356" s="156">
        <f t="shared" si="659"/>
        <v>0</v>
      </c>
      <c r="V356" s="156">
        <f t="shared" si="660"/>
        <v>0</v>
      </c>
      <c r="W356" s="156">
        <f t="shared" si="661"/>
        <v>0</v>
      </c>
      <c r="X356" s="158">
        <f t="shared" ref="X356" si="671">$S356/ORCAMENTO_VALOR_TOTAL_ND</f>
        <v>0</v>
      </c>
      <c r="Y356" s="158">
        <f t="shared" ref="Y356" si="672">$T356/ORCAMENTO_VALOR_TOTAL_DE</f>
        <v>0</v>
      </c>
      <c r="Z356" s="158" cm="1">
        <f t="array" ref="Z356">_xlfn.SWITCH($N356,"BDI 1",$O$6,"BDI 2",$O$7,"BDI 3",$O$8)</f>
        <v>0.20699999999999999</v>
      </c>
      <c r="AA356" s="158" cm="1">
        <f t="array" ref="AA356">_xlfn.SWITCH($N356,"BDI 1",$P$6,"BDI 2",$P$7,"BDI 3",$P$8)</f>
        <v>0.26739999999999997</v>
      </c>
      <c r="AB356" s="158">
        <f t="shared" ca="1" si="664"/>
        <v>0</v>
      </c>
      <c r="AC356" s="158">
        <f t="shared" ca="1" si="665"/>
        <v>0</v>
      </c>
      <c r="AD356" s="164"/>
      <c r="AE356" s="148">
        <f t="shared" si="651"/>
        <v>0</v>
      </c>
      <c r="AF356" s="149"/>
      <c r="AG356" s="150"/>
      <c r="AH356" s="159" t="e">
        <f t="shared" si="666"/>
        <v>#DIV/0!</v>
      </c>
      <c r="AI356" s="160"/>
      <c r="AJ356" s="105"/>
      <c r="AK356" s="105"/>
    </row>
    <row r="357" spans="1:44" s="49" customFormat="1" ht="40.15" hidden="1" customHeight="1">
      <c r="A357" s="152">
        <f t="shared" ca="1" si="652"/>
        <v>0</v>
      </c>
      <c r="B357" s="153">
        <v>13244</v>
      </c>
      <c r="C357" s="154" t="str">
        <f t="shared" si="653"/>
        <v>13244</v>
      </c>
      <c r="D357" s="154" t="s">
        <v>3579</v>
      </c>
      <c r="E357" s="155" t="s">
        <v>3584</v>
      </c>
      <c r="F357" s="154"/>
      <c r="G357" s="154" t="s">
        <v>1412</v>
      </c>
      <c r="H357" s="152">
        <v>46.75</v>
      </c>
      <c r="I357" s="152">
        <v>46.75</v>
      </c>
      <c r="J357" s="156"/>
      <c r="K357" s="156">
        <f>+Bacia_Amortecimento!J16</f>
        <v>0</v>
      </c>
      <c r="L357" s="156">
        <f t="shared" si="654"/>
        <v>0</v>
      </c>
      <c r="M357" s="156">
        <f t="shared" si="655"/>
        <v>0</v>
      </c>
      <c r="N357" s="156" t="s">
        <v>92</v>
      </c>
      <c r="O357" s="157" cm="1">
        <f t="array" ref="O357">TRUNC($H357*(1+_xlfn.SWITCH($N357,"BDI 1",$O$6,"BDI 2",$O$7,"BDI 3",$O$8)),2)</f>
        <v>53.88</v>
      </c>
      <c r="P357" s="157" cm="1">
        <f t="array" ref="P357">TRUNC($I357*(1+_xlfn.SWITCH($N357,"BDI 1",$P$6,"BDI 2",$P$7,"BDI 3",$P$8)),2)</f>
        <v>53.88</v>
      </c>
      <c r="Q357" s="157">
        <v>0</v>
      </c>
      <c r="R357" s="157">
        <f t="shared" si="656"/>
        <v>0</v>
      </c>
      <c r="S357" s="156">
        <f t="shared" si="657"/>
        <v>0</v>
      </c>
      <c r="T357" s="156">
        <f t="shared" si="658"/>
        <v>0</v>
      </c>
      <c r="U357" s="156">
        <f t="shared" si="659"/>
        <v>0</v>
      </c>
      <c r="V357" s="156">
        <f t="shared" si="660"/>
        <v>0</v>
      </c>
      <c r="W357" s="156">
        <f t="shared" si="661"/>
        <v>0</v>
      </c>
      <c r="X357" s="158">
        <f t="shared" ref="X357" si="673">$S357/ORCAMENTO_VALOR_TOTAL_ND</f>
        <v>0</v>
      </c>
      <c r="Y357" s="158">
        <f t="shared" ref="Y357" si="674">$T357/ORCAMENTO_VALOR_TOTAL_DE</f>
        <v>0</v>
      </c>
      <c r="Z357" s="158" cm="1">
        <f t="array" ref="Z357">_xlfn.SWITCH($N357,"BDI 1",$O$6,"BDI 2",$O$7,"BDI 3",$O$8)</f>
        <v>0.1527</v>
      </c>
      <c r="AA357" s="158" cm="1">
        <f t="array" ref="AA357">_xlfn.SWITCH($N357,"BDI 1",$P$6,"BDI 2",$P$7,"BDI 3",$P$8)</f>
        <v>0.1527</v>
      </c>
      <c r="AB357" s="158">
        <f t="shared" ca="1" si="664"/>
        <v>0</v>
      </c>
      <c r="AC357" s="158">
        <f t="shared" ca="1" si="665"/>
        <v>0</v>
      </c>
      <c r="AD357" s="164"/>
      <c r="AE357" s="148">
        <f t="shared" si="651"/>
        <v>0</v>
      </c>
      <c r="AF357" s="149"/>
      <c r="AG357" s="150"/>
      <c r="AH357" s="159" t="e">
        <f t="shared" si="666"/>
        <v>#DIV/0!</v>
      </c>
      <c r="AI357" s="160"/>
      <c r="AJ357" s="105"/>
      <c r="AK357" s="105"/>
    </row>
    <row r="358" spans="1:44" s="49" customFormat="1" ht="49.9" hidden="1" customHeight="1">
      <c r="A358" s="152">
        <f t="shared" ca="1" si="652"/>
        <v>0</v>
      </c>
      <c r="B358" s="153">
        <v>100978</v>
      </c>
      <c r="C358" s="154" t="str">
        <f t="shared" si="653"/>
        <v>100978</v>
      </c>
      <c r="D358" s="154" t="s">
        <v>1416</v>
      </c>
      <c r="E358" s="155" t="s">
        <v>3810</v>
      </c>
      <c r="F358" s="154"/>
      <c r="G358" s="154" t="s">
        <v>464</v>
      </c>
      <c r="H358" s="152">
        <v>6.64</v>
      </c>
      <c r="I358" s="152">
        <v>6.55</v>
      </c>
      <c r="J358" s="156"/>
      <c r="K358" s="156">
        <f>+Bacia_Amortecimento!J7</f>
        <v>0</v>
      </c>
      <c r="L358" s="156">
        <f t="shared" si="654"/>
        <v>0</v>
      </c>
      <c r="M358" s="156">
        <f t="shared" si="655"/>
        <v>0</v>
      </c>
      <c r="N358" s="156" t="s">
        <v>83</v>
      </c>
      <c r="O358" s="157" cm="1">
        <f t="array" ref="O358">TRUNC($H358*(1+_xlfn.SWITCH($N358,"BDI 1",$O$6,"BDI 2",$O$7,"BDI 3",$O$8)),2)</f>
        <v>8.01</v>
      </c>
      <c r="P358" s="157" cm="1">
        <f t="array" ref="P358">TRUNC($I358*(1+_xlfn.SWITCH($N358,"BDI 1",$P$6,"BDI 2",$P$7,"BDI 3",$P$8)),2)</f>
        <v>8.3000000000000007</v>
      </c>
      <c r="Q358" s="157">
        <v>0</v>
      </c>
      <c r="R358" s="157">
        <f t="shared" si="656"/>
        <v>0</v>
      </c>
      <c r="S358" s="156">
        <f t="shared" si="657"/>
        <v>0</v>
      </c>
      <c r="T358" s="156">
        <f t="shared" si="658"/>
        <v>0</v>
      </c>
      <c r="U358" s="156">
        <f t="shared" si="659"/>
        <v>0</v>
      </c>
      <c r="V358" s="156">
        <f t="shared" si="660"/>
        <v>0</v>
      </c>
      <c r="W358" s="156">
        <f t="shared" si="661"/>
        <v>0</v>
      </c>
      <c r="X358" s="158">
        <f t="shared" ref="X358" si="675">$S358/ORCAMENTO_VALOR_TOTAL_ND</f>
        <v>0</v>
      </c>
      <c r="Y358" s="158">
        <f t="shared" ref="Y358" si="676">$T358/ORCAMENTO_VALOR_TOTAL_DE</f>
        <v>0</v>
      </c>
      <c r="Z358" s="158" cm="1">
        <f t="array" ref="Z358">_xlfn.SWITCH($N358,"BDI 1",$O$6,"BDI 2",$O$7,"BDI 3",$O$8)</f>
        <v>0.20699999999999999</v>
      </c>
      <c r="AA358" s="158" cm="1">
        <f t="array" ref="AA358">_xlfn.SWITCH($N358,"BDI 1",$P$6,"BDI 2",$P$7,"BDI 3",$P$8)</f>
        <v>0.26739999999999997</v>
      </c>
      <c r="AB358" s="158">
        <f t="shared" ca="1" si="664"/>
        <v>0</v>
      </c>
      <c r="AC358" s="158">
        <f t="shared" ca="1" si="665"/>
        <v>0</v>
      </c>
      <c r="AD358" s="164"/>
      <c r="AE358" s="148">
        <f t="shared" si="651"/>
        <v>0</v>
      </c>
      <c r="AF358" s="149"/>
      <c r="AG358" s="150"/>
      <c r="AH358" s="159" t="e">
        <f t="shared" si="666"/>
        <v>#DIV/0!</v>
      </c>
      <c r="AI358" s="165" t="s">
        <v>101</v>
      </c>
      <c r="AJ358" s="105"/>
      <c r="AK358" s="105"/>
      <c r="AL358" s="105"/>
      <c r="AM358" s="105"/>
      <c r="AN358" s="105"/>
      <c r="AO358" s="105"/>
      <c r="AP358" s="105"/>
      <c r="AQ358" s="105"/>
      <c r="AR358" s="105"/>
    </row>
    <row r="359" spans="1:44" s="49" customFormat="1" ht="40.15" hidden="1" customHeight="1">
      <c r="A359" s="152">
        <f t="shared" ca="1" si="652"/>
        <v>0</v>
      </c>
      <c r="B359" s="153"/>
      <c r="C359" s="154"/>
      <c r="D359" s="154"/>
      <c r="E359" s="161" t="s">
        <v>207</v>
      </c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62"/>
      <c r="T359" s="162"/>
      <c r="U359" s="162"/>
      <c r="V359" s="162"/>
      <c r="W359" s="162"/>
      <c r="X359" s="163"/>
      <c r="Y359" s="163"/>
      <c r="Z359" s="163"/>
      <c r="AA359" s="163"/>
      <c r="AB359" s="163"/>
      <c r="AC359" s="163"/>
      <c r="AD359" s="164"/>
      <c r="AE359" s="148">
        <f t="shared" si="651"/>
        <v>0</v>
      </c>
      <c r="AF359" s="149"/>
      <c r="AG359" s="150"/>
      <c r="AH359" s="159"/>
      <c r="AI359" s="160"/>
      <c r="AJ359" s="181" t="s">
        <v>105</v>
      </c>
      <c r="AK359" s="181" t="s">
        <v>106</v>
      </c>
      <c r="AM359" s="105"/>
      <c r="AN359" s="105"/>
      <c r="AO359" s="105"/>
      <c r="AP359" s="105"/>
      <c r="AQ359" s="105"/>
      <c r="AR359" s="105"/>
    </row>
    <row r="360" spans="1:44" s="49" customFormat="1" ht="49.9" hidden="1" customHeight="1">
      <c r="A360" s="152">
        <f t="shared" ca="1" si="652"/>
        <v>0</v>
      </c>
      <c r="B360" s="153">
        <v>101266</v>
      </c>
      <c r="C360" s="154" t="str">
        <f t="shared" ref="C360:C381" si="677">TEXT(B360,"0")</f>
        <v>101266</v>
      </c>
      <c r="D360" s="154" t="s">
        <v>1416</v>
      </c>
      <c r="E360" s="155" t="s">
        <v>3811</v>
      </c>
      <c r="F360" s="154"/>
      <c r="G360" s="154" t="s">
        <v>464</v>
      </c>
      <c r="H360" s="152">
        <v>10.92</v>
      </c>
      <c r="I360" s="152">
        <v>10.8</v>
      </c>
      <c r="J360" s="156"/>
      <c r="K360" s="156">
        <f>Bacia_Amortecimento!J17</f>
        <v>0</v>
      </c>
      <c r="L360" s="156">
        <f t="shared" ref="L360:L381" si="678">IF($K360&gt;$J360,$K360-$J360,0)</f>
        <v>0</v>
      </c>
      <c r="M360" s="156">
        <f t="shared" ref="M360:M381" si="679">IF($K360&lt;$J360,$J360-$K360,0)</f>
        <v>0</v>
      </c>
      <c r="N360" s="156" t="s">
        <v>83</v>
      </c>
      <c r="O360" s="157" cm="1">
        <f t="array" ref="O360">TRUNC($H360*(1+_xlfn.SWITCH($N360,"BDI 1",$O$6,"BDI 2",$O$7,"BDI 3",$O$8)),2)</f>
        <v>13.18</v>
      </c>
      <c r="P360" s="157" cm="1">
        <f t="array" ref="P360">TRUNC($I360*(1+_xlfn.SWITCH($N360,"BDI 1",$P$6,"BDI 2",$P$7,"BDI 3",$P$8)),2)</f>
        <v>13.68</v>
      </c>
      <c r="Q360" s="157">
        <v>0</v>
      </c>
      <c r="R360" s="157">
        <f t="shared" ref="R360:R381" si="680">$Q360-($Q360*LICITACAO_DESCONTO)</f>
        <v>0</v>
      </c>
      <c r="S360" s="156">
        <f t="shared" ref="S360:S381" si="681">TRUNC($K360*$O360,2)</f>
        <v>0</v>
      </c>
      <c r="T360" s="156">
        <f t="shared" ref="T360:T381" si="682">TRUNC($K360*$P360,2)</f>
        <v>0</v>
      </c>
      <c r="U360" s="156">
        <f t="shared" ref="U360:U381" si="683">TRUNC($J360*$R360,2)</f>
        <v>0</v>
      </c>
      <c r="V360" s="156">
        <f t="shared" ref="V360:V381" si="684">TRUNC($K360*$Q360,2)</f>
        <v>0</v>
      </c>
      <c r="W360" s="156">
        <f t="shared" ref="W360:W381" si="685">TRUNC(V360-U360,2)</f>
        <v>0</v>
      </c>
      <c r="X360" s="158">
        <f t="shared" ref="X360" si="686">$S360/ORCAMENTO_VALOR_TOTAL_ND</f>
        <v>0</v>
      </c>
      <c r="Y360" s="158">
        <f t="shared" ref="Y360" si="687">$T360/ORCAMENTO_VALOR_TOTAL_DE</f>
        <v>0</v>
      </c>
      <c r="Z360" s="158" cm="1">
        <f t="array" ref="Z360">_xlfn.SWITCH($N360,"BDI 1",$O$6,"BDI 2",$O$7,"BDI 3",$O$8)</f>
        <v>0.20699999999999999</v>
      </c>
      <c r="AA360" s="158" cm="1">
        <f t="array" ref="AA360">_xlfn.SWITCH($N360,"BDI 1",$P$6,"BDI 2",$P$7,"BDI 3",$P$8)</f>
        <v>0.26739999999999997</v>
      </c>
      <c r="AB360" s="158">
        <f t="shared" ref="AB360:AB381" ca="1" si="688">IFERROR($S360/_xlfn.XLOOKUP($AE360,$B$16:$B$38,$S$16:$S$38),0)</f>
        <v>0</v>
      </c>
      <c r="AC360" s="158">
        <f t="shared" ref="AC360:AC381" ca="1" si="689">IFERROR($T360/_xlfn.XLOOKUP($AE360,$B$16:$B$38,$T$16:$T$38),0)</f>
        <v>0</v>
      </c>
      <c r="AD360" s="164"/>
      <c r="AE360" s="148">
        <f t="shared" si="651"/>
        <v>0</v>
      </c>
      <c r="AF360" s="149"/>
      <c r="AG360" s="150"/>
      <c r="AH360" s="159" t="e">
        <f t="shared" ref="AH360:AH381" si="690">S360/$S$351</f>
        <v>#DIV/0!</v>
      </c>
      <c r="AI360" s="160"/>
      <c r="AJ360" s="198">
        <v>0</v>
      </c>
      <c r="AK360" s="199" t="e">
        <f>K360/AJ360</f>
        <v>#DIV/0!</v>
      </c>
    </row>
    <row r="361" spans="1:44" s="49" customFormat="1" ht="40.15" hidden="1" customHeight="1">
      <c r="A361" s="152">
        <f t="shared" ca="1" si="652"/>
        <v>0</v>
      </c>
      <c r="B361" s="153" t="s">
        <v>130</v>
      </c>
      <c r="C361" s="154" t="str">
        <f t="shared" si="677"/>
        <v>DR/0020</v>
      </c>
      <c r="D361" s="154" t="s">
        <v>3549</v>
      </c>
      <c r="E361" s="155" t="s">
        <v>3641</v>
      </c>
      <c r="F361" s="154"/>
      <c r="G361" s="154" t="s">
        <v>464</v>
      </c>
      <c r="H361" s="152">
        <v>471.96</v>
      </c>
      <c r="I361" s="152">
        <v>455.98</v>
      </c>
      <c r="J361" s="156"/>
      <c r="K361" s="156">
        <f>Bacia_Amortecimento!J18</f>
        <v>0</v>
      </c>
      <c r="L361" s="156">
        <f t="shared" si="678"/>
        <v>0</v>
      </c>
      <c r="M361" s="156">
        <f t="shared" si="679"/>
        <v>0</v>
      </c>
      <c r="N361" s="156" t="s">
        <v>83</v>
      </c>
      <c r="O361" s="157" cm="1">
        <f t="array" ref="O361">TRUNC($H361*(1+_xlfn.SWITCH($N361,"BDI 1",$O$6,"BDI 2",$O$7,"BDI 3",$O$8)),2)</f>
        <v>569.65</v>
      </c>
      <c r="P361" s="157" cm="1">
        <f t="array" ref="P361">TRUNC($I361*(1+_xlfn.SWITCH($N361,"BDI 1",$P$6,"BDI 2",$P$7,"BDI 3",$P$8)),2)</f>
        <v>577.9</v>
      </c>
      <c r="Q361" s="157">
        <v>0</v>
      </c>
      <c r="R361" s="157">
        <f t="shared" si="680"/>
        <v>0</v>
      </c>
      <c r="S361" s="156">
        <f t="shared" si="681"/>
        <v>0</v>
      </c>
      <c r="T361" s="156">
        <f t="shared" si="682"/>
        <v>0</v>
      </c>
      <c r="U361" s="156">
        <f t="shared" si="683"/>
        <v>0</v>
      </c>
      <c r="V361" s="156">
        <f t="shared" si="684"/>
        <v>0</v>
      </c>
      <c r="W361" s="156">
        <f t="shared" si="685"/>
        <v>0</v>
      </c>
      <c r="X361" s="158">
        <f t="shared" ref="X361" si="691">$S361/ORCAMENTO_VALOR_TOTAL_ND</f>
        <v>0</v>
      </c>
      <c r="Y361" s="158">
        <f t="shared" ref="Y361" si="692">$T361/ORCAMENTO_VALOR_TOTAL_DE</f>
        <v>0</v>
      </c>
      <c r="Z361" s="158" cm="1">
        <f t="array" ref="Z361">_xlfn.SWITCH($N361,"BDI 1",$O$6,"BDI 2",$O$7,"BDI 3",$O$8)</f>
        <v>0.20699999999999999</v>
      </c>
      <c r="AA361" s="158" cm="1">
        <f t="array" ref="AA361">_xlfn.SWITCH($N361,"BDI 1",$P$6,"BDI 2",$P$7,"BDI 3",$P$8)</f>
        <v>0.26739999999999997</v>
      </c>
      <c r="AB361" s="158">
        <f t="shared" ca="1" si="688"/>
        <v>0</v>
      </c>
      <c r="AC361" s="158">
        <f t="shared" ca="1" si="689"/>
        <v>0</v>
      </c>
      <c r="AD361" s="164"/>
      <c r="AE361" s="148">
        <f t="shared" si="651"/>
        <v>0</v>
      </c>
      <c r="AF361" s="149"/>
      <c r="AG361" s="150"/>
      <c r="AH361" s="159" t="e">
        <f t="shared" si="690"/>
        <v>#DIV/0!</v>
      </c>
      <c r="AI361" s="160"/>
      <c r="AJ361" s="198">
        <v>3</v>
      </c>
      <c r="AK361" s="199">
        <f>K361/AJ361</f>
        <v>0</v>
      </c>
      <c r="AL361" s="105"/>
      <c r="AM361" s="105"/>
      <c r="AN361" s="105"/>
      <c r="AO361" s="105"/>
      <c r="AP361" s="105"/>
      <c r="AQ361" s="105"/>
      <c r="AR361" s="105"/>
    </row>
    <row r="362" spans="1:44" s="49" customFormat="1" ht="40.15" hidden="1" customHeight="1">
      <c r="A362" s="152">
        <f t="shared" ca="1" si="652"/>
        <v>0</v>
      </c>
      <c r="B362" s="153" t="s">
        <v>208</v>
      </c>
      <c r="C362" s="154" t="str">
        <f t="shared" si="677"/>
        <v>DR/0007</v>
      </c>
      <c r="D362" s="154" t="s">
        <v>3549</v>
      </c>
      <c r="E362" s="155" t="s">
        <v>3812</v>
      </c>
      <c r="F362" s="154"/>
      <c r="G362" s="154" t="s">
        <v>464</v>
      </c>
      <c r="H362" s="152">
        <v>6.01</v>
      </c>
      <c r="I362" s="152">
        <v>5.89</v>
      </c>
      <c r="J362" s="156"/>
      <c r="K362" s="156">
        <f>Bacia_Amortecimento!J19</f>
        <v>0</v>
      </c>
      <c r="L362" s="156">
        <f t="shared" si="678"/>
        <v>0</v>
      </c>
      <c r="M362" s="156">
        <f t="shared" si="679"/>
        <v>0</v>
      </c>
      <c r="N362" s="156" t="s">
        <v>83</v>
      </c>
      <c r="O362" s="157" cm="1">
        <f t="array" ref="O362">TRUNC($H362*(1+_xlfn.SWITCH($N362,"BDI 1",$O$6,"BDI 2",$O$7,"BDI 3",$O$8)),2)</f>
        <v>7.25</v>
      </c>
      <c r="P362" s="157" cm="1">
        <f t="array" ref="P362">TRUNC($I362*(1+_xlfn.SWITCH($N362,"BDI 1",$P$6,"BDI 2",$P$7,"BDI 3",$P$8)),2)</f>
        <v>7.46</v>
      </c>
      <c r="Q362" s="157">
        <v>0</v>
      </c>
      <c r="R362" s="157">
        <f t="shared" si="680"/>
        <v>0</v>
      </c>
      <c r="S362" s="156">
        <f t="shared" si="681"/>
        <v>0</v>
      </c>
      <c r="T362" s="156">
        <f t="shared" si="682"/>
        <v>0</v>
      </c>
      <c r="U362" s="156">
        <f t="shared" si="683"/>
        <v>0</v>
      </c>
      <c r="V362" s="156">
        <f t="shared" si="684"/>
        <v>0</v>
      </c>
      <c r="W362" s="156">
        <f t="shared" si="685"/>
        <v>0</v>
      </c>
      <c r="X362" s="158">
        <f t="shared" ref="X362" si="693">$S362/ORCAMENTO_VALOR_TOTAL_ND</f>
        <v>0</v>
      </c>
      <c r="Y362" s="158">
        <f t="shared" ref="Y362" si="694">$T362/ORCAMENTO_VALOR_TOTAL_DE</f>
        <v>0</v>
      </c>
      <c r="Z362" s="158" cm="1">
        <f t="array" ref="Z362">_xlfn.SWITCH($N362,"BDI 1",$O$6,"BDI 2",$O$7,"BDI 3",$O$8)</f>
        <v>0.20699999999999999</v>
      </c>
      <c r="AA362" s="158" cm="1">
        <f t="array" ref="AA362">_xlfn.SWITCH($N362,"BDI 1",$P$6,"BDI 2",$P$7,"BDI 3",$P$8)</f>
        <v>0.26739999999999997</v>
      </c>
      <c r="AB362" s="158">
        <f t="shared" ca="1" si="688"/>
        <v>0</v>
      </c>
      <c r="AC362" s="158">
        <f t="shared" ca="1" si="689"/>
        <v>0</v>
      </c>
      <c r="AD362" s="164"/>
      <c r="AE362" s="148">
        <f t="shared" si="651"/>
        <v>0</v>
      </c>
      <c r="AF362" s="149"/>
      <c r="AG362" s="150"/>
      <c r="AH362" s="159" t="e">
        <f t="shared" si="690"/>
        <v>#DIV/0!</v>
      </c>
      <c r="AI362" s="160"/>
      <c r="AK362" s="105"/>
      <c r="AL362" s="105"/>
      <c r="AM362" s="105"/>
      <c r="AN362" s="105"/>
      <c r="AO362" s="105"/>
      <c r="AP362" s="105"/>
      <c r="AQ362" s="105"/>
      <c r="AR362" s="105"/>
    </row>
    <row r="363" spans="1:44" s="49" customFormat="1" ht="40.15" hidden="1" customHeight="1">
      <c r="A363" s="152">
        <f t="shared" ca="1" si="652"/>
        <v>0</v>
      </c>
      <c r="B363" s="153">
        <v>100575</v>
      </c>
      <c r="C363" s="154" t="str">
        <f t="shared" si="677"/>
        <v>100575</v>
      </c>
      <c r="D363" s="154" t="s">
        <v>1416</v>
      </c>
      <c r="E363" s="155" t="s">
        <v>3588</v>
      </c>
      <c r="F363" s="154"/>
      <c r="G363" s="154" t="s">
        <v>1418</v>
      </c>
      <c r="H363" s="152">
        <v>0.14000000000000001</v>
      </c>
      <c r="I363" s="152">
        <v>0.12</v>
      </c>
      <c r="J363" s="156"/>
      <c r="K363" s="156">
        <f>Bacia_Amortecimento!G5</f>
        <v>0</v>
      </c>
      <c r="L363" s="156">
        <f t="shared" si="678"/>
        <v>0</v>
      </c>
      <c r="M363" s="156">
        <f t="shared" si="679"/>
        <v>0</v>
      </c>
      <c r="N363" s="156" t="s">
        <v>83</v>
      </c>
      <c r="O363" s="157" cm="1">
        <f t="array" ref="O363">TRUNC($H363*(1+_xlfn.SWITCH($N363,"BDI 1",$O$6,"BDI 2",$O$7,"BDI 3",$O$8)),2)</f>
        <v>0.16</v>
      </c>
      <c r="P363" s="157" cm="1">
        <f t="array" ref="P363">TRUNC($I363*(1+_xlfn.SWITCH($N363,"BDI 1",$P$6,"BDI 2",$P$7,"BDI 3",$P$8)),2)</f>
        <v>0.15</v>
      </c>
      <c r="Q363" s="157">
        <v>0</v>
      </c>
      <c r="R363" s="157">
        <f t="shared" si="680"/>
        <v>0</v>
      </c>
      <c r="S363" s="156">
        <f t="shared" si="681"/>
        <v>0</v>
      </c>
      <c r="T363" s="156">
        <f t="shared" si="682"/>
        <v>0</v>
      </c>
      <c r="U363" s="156">
        <f t="shared" si="683"/>
        <v>0</v>
      </c>
      <c r="V363" s="156">
        <f t="shared" si="684"/>
        <v>0</v>
      </c>
      <c r="W363" s="156">
        <f t="shared" si="685"/>
        <v>0</v>
      </c>
      <c r="X363" s="158">
        <f t="shared" ref="X363" si="695">$S363/ORCAMENTO_VALOR_TOTAL_ND</f>
        <v>0</v>
      </c>
      <c r="Y363" s="158">
        <f t="shared" ref="Y363" si="696">$T363/ORCAMENTO_VALOR_TOTAL_DE</f>
        <v>0</v>
      </c>
      <c r="Z363" s="158" cm="1">
        <f t="array" ref="Z363">_xlfn.SWITCH($N363,"BDI 1",$O$6,"BDI 2",$O$7,"BDI 3",$O$8)</f>
        <v>0.20699999999999999</v>
      </c>
      <c r="AA363" s="158" cm="1">
        <f t="array" ref="AA363">_xlfn.SWITCH($N363,"BDI 1",$P$6,"BDI 2",$P$7,"BDI 3",$P$8)</f>
        <v>0.26739999999999997</v>
      </c>
      <c r="AB363" s="158">
        <f t="shared" ca="1" si="688"/>
        <v>0</v>
      </c>
      <c r="AC363" s="158">
        <f t="shared" ca="1" si="689"/>
        <v>0</v>
      </c>
      <c r="AD363" s="164"/>
      <c r="AE363" s="148">
        <f t="shared" si="651"/>
        <v>0</v>
      </c>
      <c r="AF363" s="149"/>
      <c r="AG363" s="150"/>
      <c r="AH363" s="159" t="e">
        <f t="shared" si="690"/>
        <v>#DIV/0!</v>
      </c>
      <c r="AI363" s="160"/>
      <c r="AK363" s="105"/>
      <c r="AL363" s="105"/>
      <c r="AM363" s="105"/>
      <c r="AN363" s="105"/>
      <c r="AO363" s="167"/>
      <c r="AP363" s="105"/>
      <c r="AQ363" s="105"/>
      <c r="AR363" s="105"/>
    </row>
    <row r="364" spans="1:44" s="49" customFormat="1" ht="40.15" hidden="1" customHeight="1">
      <c r="A364" s="152">
        <f t="shared" ca="1" si="652"/>
        <v>0</v>
      </c>
      <c r="B364" s="153">
        <v>101617</v>
      </c>
      <c r="C364" s="154" t="str">
        <f t="shared" si="677"/>
        <v>101617</v>
      </c>
      <c r="D364" s="154" t="s">
        <v>1416</v>
      </c>
      <c r="E364" s="155" t="s">
        <v>3653</v>
      </c>
      <c r="F364" s="154"/>
      <c r="G364" s="154" t="s">
        <v>1418</v>
      </c>
      <c r="H364" s="152">
        <v>2.87</v>
      </c>
      <c r="I364" s="152">
        <v>2.62</v>
      </c>
      <c r="J364" s="156"/>
      <c r="K364" s="156">
        <f>Bacia_Amortecimento!J21</f>
        <v>0</v>
      </c>
      <c r="L364" s="156">
        <f t="shared" si="678"/>
        <v>0</v>
      </c>
      <c r="M364" s="156">
        <f t="shared" si="679"/>
        <v>0</v>
      </c>
      <c r="N364" s="156" t="s">
        <v>83</v>
      </c>
      <c r="O364" s="157" cm="1">
        <f t="array" ref="O364">TRUNC($H364*(1+_xlfn.SWITCH($N364,"BDI 1",$O$6,"BDI 2",$O$7,"BDI 3",$O$8)),2)</f>
        <v>3.46</v>
      </c>
      <c r="P364" s="157" cm="1">
        <f t="array" ref="P364">TRUNC($I364*(1+_xlfn.SWITCH($N364,"BDI 1",$P$6,"BDI 2",$P$7,"BDI 3",$P$8)),2)</f>
        <v>3.32</v>
      </c>
      <c r="Q364" s="157">
        <v>0</v>
      </c>
      <c r="R364" s="157">
        <f t="shared" si="680"/>
        <v>0</v>
      </c>
      <c r="S364" s="156">
        <f t="shared" si="681"/>
        <v>0</v>
      </c>
      <c r="T364" s="156">
        <f t="shared" si="682"/>
        <v>0</v>
      </c>
      <c r="U364" s="156">
        <f t="shared" si="683"/>
        <v>0</v>
      </c>
      <c r="V364" s="156">
        <f t="shared" si="684"/>
        <v>0</v>
      </c>
      <c r="W364" s="156">
        <f t="shared" si="685"/>
        <v>0</v>
      </c>
      <c r="X364" s="158">
        <f t="shared" ref="X364" si="697">$S364/ORCAMENTO_VALOR_TOTAL_ND</f>
        <v>0</v>
      </c>
      <c r="Y364" s="158">
        <f t="shared" ref="Y364" si="698">$T364/ORCAMENTO_VALOR_TOTAL_DE</f>
        <v>0</v>
      </c>
      <c r="Z364" s="158" cm="1">
        <f t="array" ref="Z364">_xlfn.SWITCH($N364,"BDI 1",$O$6,"BDI 2",$O$7,"BDI 3",$O$8)</f>
        <v>0.20699999999999999</v>
      </c>
      <c r="AA364" s="158" cm="1">
        <f t="array" ref="AA364">_xlfn.SWITCH($N364,"BDI 1",$P$6,"BDI 2",$P$7,"BDI 3",$P$8)</f>
        <v>0.26739999999999997</v>
      </c>
      <c r="AB364" s="158">
        <f t="shared" ca="1" si="688"/>
        <v>0</v>
      </c>
      <c r="AC364" s="158">
        <f t="shared" ca="1" si="689"/>
        <v>0</v>
      </c>
      <c r="AD364" s="164"/>
      <c r="AE364" s="148">
        <f t="shared" si="651"/>
        <v>0</v>
      </c>
      <c r="AF364" s="149"/>
      <c r="AG364" s="150"/>
      <c r="AH364" s="159" t="e">
        <f t="shared" si="690"/>
        <v>#DIV/0!</v>
      </c>
      <c r="AI364" s="160"/>
      <c r="AK364" s="105"/>
      <c r="AL364" s="105"/>
      <c r="AM364" s="105"/>
      <c r="AN364" s="105"/>
      <c r="AO364" s="105"/>
      <c r="AP364" s="105"/>
      <c r="AQ364" s="105"/>
      <c r="AR364" s="105"/>
    </row>
    <row r="365" spans="1:44" s="49" customFormat="1" ht="40.15" hidden="1" customHeight="1">
      <c r="A365" s="152">
        <f t="shared" ca="1" si="652"/>
        <v>0</v>
      </c>
      <c r="B365" s="153">
        <v>101624</v>
      </c>
      <c r="C365" s="154" t="str">
        <f t="shared" si="677"/>
        <v>101624</v>
      </c>
      <c r="D365" s="154" t="s">
        <v>1416</v>
      </c>
      <c r="E365" s="155" t="s">
        <v>3655</v>
      </c>
      <c r="F365" s="154"/>
      <c r="G365" s="154" t="s">
        <v>464</v>
      </c>
      <c r="H365" s="152">
        <v>192.34</v>
      </c>
      <c r="I365" s="152">
        <v>193.31</v>
      </c>
      <c r="J365" s="156"/>
      <c r="K365" s="156">
        <f>Bacia_Amortecimento!J23</f>
        <v>0</v>
      </c>
      <c r="L365" s="156">
        <f t="shared" si="678"/>
        <v>0</v>
      </c>
      <c r="M365" s="156">
        <f t="shared" si="679"/>
        <v>0</v>
      </c>
      <c r="N365" s="156" t="s">
        <v>83</v>
      </c>
      <c r="O365" s="157" cm="1">
        <f t="array" ref="O365">TRUNC($H365*(1+_xlfn.SWITCH($N365,"BDI 1",$O$6,"BDI 2",$O$7,"BDI 3",$O$8)),2)</f>
        <v>232.15</v>
      </c>
      <c r="P365" s="157" cm="1">
        <f t="array" ref="P365">TRUNC($I365*(1+_xlfn.SWITCH($N365,"BDI 1",$P$6,"BDI 2",$P$7,"BDI 3",$P$8)),2)</f>
        <v>245</v>
      </c>
      <c r="Q365" s="157">
        <v>0</v>
      </c>
      <c r="R365" s="157">
        <f t="shared" si="680"/>
        <v>0</v>
      </c>
      <c r="S365" s="156">
        <f t="shared" si="681"/>
        <v>0</v>
      </c>
      <c r="T365" s="156">
        <f t="shared" si="682"/>
        <v>0</v>
      </c>
      <c r="U365" s="156">
        <f t="shared" si="683"/>
        <v>0</v>
      </c>
      <c r="V365" s="156">
        <f t="shared" si="684"/>
        <v>0</v>
      </c>
      <c r="W365" s="156">
        <f t="shared" si="685"/>
        <v>0</v>
      </c>
      <c r="X365" s="158">
        <f t="shared" ref="X365" si="699">$S365/ORCAMENTO_VALOR_TOTAL_ND</f>
        <v>0</v>
      </c>
      <c r="Y365" s="158">
        <f t="shared" ref="Y365" si="700">$T365/ORCAMENTO_VALOR_TOTAL_DE</f>
        <v>0</v>
      </c>
      <c r="Z365" s="158" cm="1">
        <f t="array" ref="Z365">_xlfn.SWITCH($N365,"BDI 1",$O$6,"BDI 2",$O$7,"BDI 3",$O$8)</f>
        <v>0.20699999999999999</v>
      </c>
      <c r="AA365" s="158" cm="1">
        <f t="array" ref="AA365">_xlfn.SWITCH($N365,"BDI 1",$P$6,"BDI 2",$P$7,"BDI 3",$P$8)</f>
        <v>0.26739999999999997</v>
      </c>
      <c r="AB365" s="158">
        <f t="shared" ca="1" si="688"/>
        <v>0</v>
      </c>
      <c r="AC365" s="158">
        <f t="shared" ca="1" si="689"/>
        <v>0</v>
      </c>
      <c r="AD365" s="164"/>
      <c r="AE365" s="148">
        <f t="shared" si="651"/>
        <v>0</v>
      </c>
      <c r="AF365" s="149"/>
      <c r="AG365" s="150"/>
      <c r="AH365" s="159" t="e">
        <f t="shared" si="690"/>
        <v>#DIV/0!</v>
      </c>
      <c r="AI365" s="160"/>
      <c r="AK365" s="105"/>
      <c r="AL365" s="105"/>
      <c r="AM365" s="105"/>
      <c r="AN365" s="105"/>
      <c r="AO365" s="105"/>
      <c r="AP365" s="105"/>
      <c r="AQ365" s="105"/>
      <c r="AR365" s="105"/>
    </row>
    <row r="366" spans="1:44" s="49" customFormat="1" ht="40.15" hidden="1" customHeight="1">
      <c r="A366" s="152">
        <f t="shared" ca="1" si="652"/>
        <v>0</v>
      </c>
      <c r="B366" s="153" t="s">
        <v>133</v>
      </c>
      <c r="C366" s="154" t="str">
        <f t="shared" si="677"/>
        <v>DR/0032</v>
      </c>
      <c r="D366" s="154" t="s">
        <v>3549</v>
      </c>
      <c r="E366" s="155" t="s">
        <v>3659</v>
      </c>
      <c r="F366" s="154"/>
      <c r="G366" s="154" t="s">
        <v>464</v>
      </c>
      <c r="H366" s="152">
        <v>258.72000000000003</v>
      </c>
      <c r="I366" s="152">
        <v>246.98</v>
      </c>
      <c r="J366" s="156"/>
      <c r="K366" s="156">
        <f>Bacia_Amortecimento!J25</f>
        <v>0</v>
      </c>
      <c r="L366" s="156">
        <f t="shared" si="678"/>
        <v>0</v>
      </c>
      <c r="M366" s="156">
        <f t="shared" si="679"/>
        <v>0</v>
      </c>
      <c r="N366" s="156" t="s">
        <v>83</v>
      </c>
      <c r="O366" s="157" cm="1">
        <f t="array" ref="O366">TRUNC($H366*(1+_xlfn.SWITCH($N366,"BDI 1",$O$6,"BDI 2",$O$7,"BDI 3",$O$8)),2)</f>
        <v>312.27</v>
      </c>
      <c r="P366" s="157" cm="1">
        <f t="array" ref="P366">TRUNC($I366*(1+_xlfn.SWITCH($N366,"BDI 1",$P$6,"BDI 2",$P$7,"BDI 3",$P$8)),2)</f>
        <v>313.02</v>
      </c>
      <c r="Q366" s="157">
        <v>0</v>
      </c>
      <c r="R366" s="157">
        <f t="shared" si="680"/>
        <v>0</v>
      </c>
      <c r="S366" s="156">
        <f t="shared" si="681"/>
        <v>0</v>
      </c>
      <c r="T366" s="156">
        <f t="shared" si="682"/>
        <v>0</v>
      </c>
      <c r="U366" s="156">
        <f t="shared" si="683"/>
        <v>0</v>
      </c>
      <c r="V366" s="156">
        <f t="shared" si="684"/>
        <v>0</v>
      </c>
      <c r="W366" s="156">
        <f t="shared" si="685"/>
        <v>0</v>
      </c>
      <c r="X366" s="158">
        <f t="shared" ref="X366" si="701">$S366/ORCAMENTO_VALOR_TOTAL_ND</f>
        <v>0</v>
      </c>
      <c r="Y366" s="158">
        <f t="shared" ref="Y366" si="702">$T366/ORCAMENTO_VALOR_TOTAL_DE</f>
        <v>0</v>
      </c>
      <c r="Z366" s="158" cm="1">
        <f t="array" ref="Z366">_xlfn.SWITCH($N366,"BDI 1",$O$6,"BDI 2",$O$7,"BDI 3",$O$8)</f>
        <v>0.20699999999999999</v>
      </c>
      <c r="AA366" s="158" cm="1">
        <f t="array" ref="AA366">_xlfn.SWITCH($N366,"BDI 1",$P$6,"BDI 2",$P$7,"BDI 3",$P$8)</f>
        <v>0.26739999999999997</v>
      </c>
      <c r="AB366" s="158">
        <f t="shared" ca="1" si="688"/>
        <v>0</v>
      </c>
      <c r="AC366" s="158">
        <f t="shared" ca="1" si="689"/>
        <v>0</v>
      </c>
      <c r="AD366" s="164"/>
      <c r="AE366" s="148">
        <f t="shared" si="651"/>
        <v>0</v>
      </c>
      <c r="AF366" s="149"/>
      <c r="AG366" s="150"/>
      <c r="AH366" s="159" t="e">
        <f t="shared" si="690"/>
        <v>#DIV/0!</v>
      </c>
      <c r="AI366" s="160"/>
      <c r="AK366" s="105"/>
      <c r="AL366" s="105"/>
      <c r="AM366" s="105"/>
      <c r="AN366" s="105"/>
      <c r="AO366" s="105"/>
      <c r="AP366" s="105"/>
      <c r="AQ366" s="105"/>
      <c r="AR366" s="105"/>
    </row>
    <row r="367" spans="1:44" s="49" customFormat="1" ht="49.9" hidden="1" customHeight="1">
      <c r="A367" s="152">
        <f t="shared" ca="1" si="652"/>
        <v>0</v>
      </c>
      <c r="B367" s="153">
        <v>93367</v>
      </c>
      <c r="C367" s="154" t="str">
        <f t="shared" si="677"/>
        <v>93367</v>
      </c>
      <c r="D367" s="154" t="s">
        <v>1416</v>
      </c>
      <c r="E367" s="155" t="s">
        <v>3670</v>
      </c>
      <c r="F367" s="154"/>
      <c r="G367" s="154" t="s">
        <v>464</v>
      </c>
      <c r="H367" s="152">
        <v>21.71</v>
      </c>
      <c r="I367" s="152">
        <v>21.07</v>
      </c>
      <c r="J367" s="156"/>
      <c r="K367" s="156">
        <f>Bacia_Amortecimento!J84</f>
        <v>0</v>
      </c>
      <c r="L367" s="156">
        <f t="shared" si="678"/>
        <v>0</v>
      </c>
      <c r="M367" s="156">
        <f t="shared" si="679"/>
        <v>0</v>
      </c>
      <c r="N367" s="156" t="s">
        <v>83</v>
      </c>
      <c r="O367" s="157" cm="1">
        <f t="array" ref="O367">TRUNC($H367*(1+_xlfn.SWITCH($N367,"BDI 1",$O$6,"BDI 2",$O$7,"BDI 3",$O$8)),2)</f>
        <v>26.2</v>
      </c>
      <c r="P367" s="157" cm="1">
        <f t="array" ref="P367">TRUNC($I367*(1+_xlfn.SWITCH($N367,"BDI 1",$P$6,"BDI 2",$P$7,"BDI 3",$P$8)),2)</f>
        <v>26.7</v>
      </c>
      <c r="Q367" s="157">
        <v>0</v>
      </c>
      <c r="R367" s="157">
        <f t="shared" si="680"/>
        <v>0</v>
      </c>
      <c r="S367" s="156">
        <f t="shared" si="681"/>
        <v>0</v>
      </c>
      <c r="T367" s="156">
        <f t="shared" si="682"/>
        <v>0</v>
      </c>
      <c r="U367" s="156">
        <f t="shared" si="683"/>
        <v>0</v>
      </c>
      <c r="V367" s="156">
        <f t="shared" si="684"/>
        <v>0</v>
      </c>
      <c r="W367" s="156">
        <f t="shared" si="685"/>
        <v>0</v>
      </c>
      <c r="X367" s="158">
        <f t="shared" ref="X367" si="703">$S367/ORCAMENTO_VALOR_TOTAL_ND</f>
        <v>0</v>
      </c>
      <c r="Y367" s="158">
        <f t="shared" ref="Y367" si="704">$T367/ORCAMENTO_VALOR_TOTAL_DE</f>
        <v>0</v>
      </c>
      <c r="Z367" s="158" cm="1">
        <f t="array" ref="Z367">_xlfn.SWITCH($N367,"BDI 1",$O$6,"BDI 2",$O$7,"BDI 3",$O$8)</f>
        <v>0.20699999999999999</v>
      </c>
      <c r="AA367" s="158" cm="1">
        <f t="array" ref="AA367">_xlfn.SWITCH($N367,"BDI 1",$P$6,"BDI 2",$P$7,"BDI 3",$P$8)</f>
        <v>0.26739999999999997</v>
      </c>
      <c r="AB367" s="158">
        <f t="shared" ca="1" si="688"/>
        <v>0</v>
      </c>
      <c r="AC367" s="158">
        <f t="shared" ca="1" si="689"/>
        <v>0</v>
      </c>
      <c r="AD367" s="164"/>
      <c r="AE367" s="148">
        <f t="shared" si="651"/>
        <v>0</v>
      </c>
      <c r="AF367" s="149"/>
      <c r="AG367" s="150"/>
      <c r="AH367" s="159" t="e">
        <f t="shared" si="690"/>
        <v>#DIV/0!</v>
      </c>
      <c r="AI367" s="160"/>
      <c r="AK367" s="105"/>
      <c r="AL367" s="105"/>
      <c r="AM367" s="105"/>
      <c r="AN367" s="105"/>
      <c r="AO367" s="105"/>
      <c r="AP367" s="105"/>
      <c r="AQ367" s="105"/>
      <c r="AR367" s="105"/>
    </row>
    <row r="368" spans="1:44" s="49" customFormat="1" ht="49.9" hidden="1" customHeight="1">
      <c r="A368" s="152">
        <f t="shared" ca="1" si="652"/>
        <v>0</v>
      </c>
      <c r="B368" s="153">
        <v>93369</v>
      </c>
      <c r="C368" s="154" t="str">
        <f t="shared" si="677"/>
        <v>93369</v>
      </c>
      <c r="D368" s="154" t="s">
        <v>1416</v>
      </c>
      <c r="E368" s="155" t="s">
        <v>3673</v>
      </c>
      <c r="F368" s="154"/>
      <c r="G368" s="154" t="s">
        <v>464</v>
      </c>
      <c r="H368" s="152">
        <v>15.69</v>
      </c>
      <c r="I368" s="152">
        <v>15.16</v>
      </c>
      <c r="J368" s="156"/>
      <c r="K368" s="156">
        <f>Bacia_Amortecimento!J27</f>
        <v>0</v>
      </c>
      <c r="L368" s="156">
        <f t="shared" si="678"/>
        <v>0</v>
      </c>
      <c r="M368" s="156">
        <f t="shared" si="679"/>
        <v>0</v>
      </c>
      <c r="N368" s="156" t="s">
        <v>83</v>
      </c>
      <c r="O368" s="157" cm="1">
        <f t="array" ref="O368">TRUNC($H368*(1+_xlfn.SWITCH($N368,"BDI 1",$O$6,"BDI 2",$O$7,"BDI 3",$O$8)),2)</f>
        <v>18.93</v>
      </c>
      <c r="P368" s="157" cm="1">
        <f t="array" ref="P368">TRUNC($I368*(1+_xlfn.SWITCH($N368,"BDI 1",$P$6,"BDI 2",$P$7,"BDI 3",$P$8)),2)</f>
        <v>19.21</v>
      </c>
      <c r="Q368" s="157">
        <v>0</v>
      </c>
      <c r="R368" s="157">
        <f t="shared" si="680"/>
        <v>0</v>
      </c>
      <c r="S368" s="156">
        <f t="shared" si="681"/>
        <v>0</v>
      </c>
      <c r="T368" s="156">
        <f t="shared" si="682"/>
        <v>0</v>
      </c>
      <c r="U368" s="156">
        <f t="shared" si="683"/>
        <v>0</v>
      </c>
      <c r="V368" s="156">
        <f t="shared" si="684"/>
        <v>0</v>
      </c>
      <c r="W368" s="156">
        <f t="shared" si="685"/>
        <v>0</v>
      </c>
      <c r="X368" s="158">
        <f t="shared" ref="X368" si="705">$S368/ORCAMENTO_VALOR_TOTAL_ND</f>
        <v>0</v>
      </c>
      <c r="Y368" s="158">
        <f t="shared" ref="Y368" si="706">$T368/ORCAMENTO_VALOR_TOTAL_DE</f>
        <v>0</v>
      </c>
      <c r="Z368" s="158" cm="1">
        <f t="array" ref="Z368">_xlfn.SWITCH($N368,"BDI 1",$O$6,"BDI 2",$O$7,"BDI 3",$O$8)</f>
        <v>0.20699999999999999</v>
      </c>
      <c r="AA368" s="158" cm="1">
        <f t="array" ref="AA368">_xlfn.SWITCH($N368,"BDI 1",$P$6,"BDI 2",$P$7,"BDI 3",$P$8)</f>
        <v>0.26739999999999997</v>
      </c>
      <c r="AB368" s="158">
        <f t="shared" ca="1" si="688"/>
        <v>0</v>
      </c>
      <c r="AC368" s="158">
        <f t="shared" ca="1" si="689"/>
        <v>0</v>
      </c>
      <c r="AD368" s="164"/>
      <c r="AE368" s="148">
        <f t="shared" si="651"/>
        <v>0</v>
      </c>
      <c r="AF368" s="149"/>
      <c r="AG368" s="150"/>
      <c r="AH368" s="159" t="e">
        <f t="shared" si="690"/>
        <v>#DIV/0!</v>
      </c>
      <c r="AI368" s="160"/>
      <c r="AK368" s="105"/>
      <c r="AL368" s="105"/>
      <c r="AM368" s="105"/>
      <c r="AN368" s="105"/>
      <c r="AO368" s="105"/>
      <c r="AP368" s="105"/>
      <c r="AQ368" s="105"/>
      <c r="AR368" s="105"/>
    </row>
    <row r="369" spans="1:44" s="49" customFormat="1" ht="49.9" hidden="1" customHeight="1">
      <c r="A369" s="152">
        <f t="shared" ca="1" si="652"/>
        <v>0</v>
      </c>
      <c r="B369" s="153">
        <v>104732</v>
      </c>
      <c r="C369" s="154" t="str">
        <f t="shared" si="677"/>
        <v>104732</v>
      </c>
      <c r="D369" s="154" t="s">
        <v>1416</v>
      </c>
      <c r="E369" s="155" t="s">
        <v>3667</v>
      </c>
      <c r="F369" s="154"/>
      <c r="G369" s="154" t="s">
        <v>464</v>
      </c>
      <c r="H369" s="152">
        <v>9.24</v>
      </c>
      <c r="I369" s="152">
        <v>9.07</v>
      </c>
      <c r="J369" s="156"/>
      <c r="K369" s="156">
        <f>Bacia_Amortecimento!J28</f>
        <v>0</v>
      </c>
      <c r="L369" s="156">
        <f t="shared" si="678"/>
        <v>0</v>
      </c>
      <c r="M369" s="156">
        <f t="shared" si="679"/>
        <v>0</v>
      </c>
      <c r="N369" s="156" t="s">
        <v>83</v>
      </c>
      <c r="O369" s="157" cm="1">
        <f t="array" ref="O369">TRUNC($H369*(1+_xlfn.SWITCH($N369,"BDI 1",$O$6,"BDI 2",$O$7,"BDI 3",$O$8)),2)</f>
        <v>11.15</v>
      </c>
      <c r="P369" s="157" cm="1">
        <f t="array" ref="P369">TRUNC($I369*(1+_xlfn.SWITCH($N369,"BDI 1",$P$6,"BDI 2",$P$7,"BDI 3",$P$8)),2)</f>
        <v>11.49</v>
      </c>
      <c r="Q369" s="157">
        <v>0</v>
      </c>
      <c r="R369" s="157">
        <f t="shared" si="680"/>
        <v>0</v>
      </c>
      <c r="S369" s="156">
        <f t="shared" si="681"/>
        <v>0</v>
      </c>
      <c r="T369" s="156">
        <f t="shared" si="682"/>
        <v>0</v>
      </c>
      <c r="U369" s="156">
        <f t="shared" si="683"/>
        <v>0</v>
      </c>
      <c r="V369" s="156">
        <f t="shared" si="684"/>
        <v>0</v>
      </c>
      <c r="W369" s="156">
        <f t="shared" si="685"/>
        <v>0</v>
      </c>
      <c r="X369" s="158">
        <f t="shared" ref="X369" si="707">$S369/ORCAMENTO_VALOR_TOTAL_ND</f>
        <v>0</v>
      </c>
      <c r="Y369" s="158">
        <f t="shared" ref="Y369" si="708">$T369/ORCAMENTO_VALOR_TOTAL_DE</f>
        <v>0</v>
      </c>
      <c r="Z369" s="158" cm="1">
        <f t="array" ref="Z369">_xlfn.SWITCH($N369,"BDI 1",$O$6,"BDI 2",$O$7,"BDI 3",$O$8)</f>
        <v>0.20699999999999999</v>
      </c>
      <c r="AA369" s="158" cm="1">
        <f t="array" ref="AA369">_xlfn.SWITCH($N369,"BDI 1",$P$6,"BDI 2",$P$7,"BDI 3",$P$8)</f>
        <v>0.26739999999999997</v>
      </c>
      <c r="AB369" s="158">
        <f t="shared" ca="1" si="688"/>
        <v>0</v>
      </c>
      <c r="AC369" s="158">
        <f t="shared" ca="1" si="689"/>
        <v>0</v>
      </c>
      <c r="AD369" s="164"/>
      <c r="AE369" s="148">
        <f t="shared" si="651"/>
        <v>0</v>
      </c>
      <c r="AF369" s="149"/>
      <c r="AG369" s="150"/>
      <c r="AH369" s="159" t="e">
        <f t="shared" si="690"/>
        <v>#DIV/0!</v>
      </c>
      <c r="AI369" s="160"/>
      <c r="AK369" s="105"/>
      <c r="AL369" s="105"/>
      <c r="AM369" s="105"/>
      <c r="AN369" s="105"/>
      <c r="AO369" s="105"/>
      <c r="AP369" s="105"/>
      <c r="AQ369" s="105"/>
      <c r="AR369" s="105"/>
    </row>
    <row r="370" spans="1:44" s="49" customFormat="1" ht="49.9" hidden="1" customHeight="1">
      <c r="A370" s="152">
        <f t="shared" ca="1" si="652"/>
        <v>0</v>
      </c>
      <c r="B370" s="153">
        <v>93373</v>
      </c>
      <c r="C370" s="154" t="str">
        <f t="shared" si="677"/>
        <v>93373</v>
      </c>
      <c r="D370" s="154" t="s">
        <v>1416</v>
      </c>
      <c r="E370" s="155" t="s">
        <v>3675</v>
      </c>
      <c r="F370" s="154"/>
      <c r="G370" s="154" t="s">
        <v>464</v>
      </c>
      <c r="H370" s="152">
        <v>12.97</v>
      </c>
      <c r="I370" s="152">
        <v>12.47</v>
      </c>
      <c r="J370" s="156"/>
      <c r="K370" s="156">
        <f>Bacia_Amortecimento!J29</f>
        <v>0</v>
      </c>
      <c r="L370" s="156">
        <f t="shared" si="678"/>
        <v>0</v>
      </c>
      <c r="M370" s="156">
        <f t="shared" si="679"/>
        <v>0</v>
      </c>
      <c r="N370" s="156" t="s">
        <v>83</v>
      </c>
      <c r="O370" s="157" cm="1">
        <f t="array" ref="O370">TRUNC($H370*(1+_xlfn.SWITCH($N370,"BDI 1",$O$6,"BDI 2",$O$7,"BDI 3",$O$8)),2)</f>
        <v>15.65</v>
      </c>
      <c r="P370" s="157" cm="1">
        <f t="array" ref="P370">TRUNC($I370*(1+_xlfn.SWITCH($N370,"BDI 1",$P$6,"BDI 2",$P$7,"BDI 3",$P$8)),2)</f>
        <v>15.8</v>
      </c>
      <c r="Q370" s="157">
        <v>0</v>
      </c>
      <c r="R370" s="157">
        <f t="shared" si="680"/>
        <v>0</v>
      </c>
      <c r="S370" s="156">
        <f t="shared" si="681"/>
        <v>0</v>
      </c>
      <c r="T370" s="156">
        <f t="shared" si="682"/>
        <v>0</v>
      </c>
      <c r="U370" s="156">
        <f t="shared" si="683"/>
        <v>0</v>
      </c>
      <c r="V370" s="156">
        <f t="shared" si="684"/>
        <v>0</v>
      </c>
      <c r="W370" s="156">
        <f t="shared" si="685"/>
        <v>0</v>
      </c>
      <c r="X370" s="158">
        <f t="shared" ref="X370" si="709">$S370/ORCAMENTO_VALOR_TOTAL_ND</f>
        <v>0</v>
      </c>
      <c r="Y370" s="158">
        <f t="shared" ref="Y370" si="710">$T370/ORCAMENTO_VALOR_TOTAL_DE</f>
        <v>0</v>
      </c>
      <c r="Z370" s="158" cm="1">
        <f t="array" ref="Z370">_xlfn.SWITCH($N370,"BDI 1",$O$6,"BDI 2",$O$7,"BDI 3",$O$8)</f>
        <v>0.20699999999999999</v>
      </c>
      <c r="AA370" s="158" cm="1">
        <f t="array" ref="AA370">_xlfn.SWITCH($N370,"BDI 1",$P$6,"BDI 2",$P$7,"BDI 3",$P$8)</f>
        <v>0.26739999999999997</v>
      </c>
      <c r="AB370" s="158">
        <f t="shared" ca="1" si="688"/>
        <v>0</v>
      </c>
      <c r="AC370" s="158">
        <f t="shared" ca="1" si="689"/>
        <v>0</v>
      </c>
      <c r="AD370" s="164"/>
      <c r="AE370" s="148">
        <f t="shared" si="651"/>
        <v>0</v>
      </c>
      <c r="AF370" s="149"/>
      <c r="AG370" s="150"/>
      <c r="AH370" s="159" t="e">
        <f t="shared" si="690"/>
        <v>#DIV/0!</v>
      </c>
      <c r="AI370" s="160"/>
      <c r="AK370" s="105"/>
      <c r="AL370" s="105"/>
      <c r="AM370" s="105"/>
      <c r="AN370" s="105"/>
      <c r="AO370" s="105"/>
      <c r="AP370" s="105"/>
      <c r="AQ370" s="105"/>
      <c r="AR370" s="105"/>
    </row>
    <row r="371" spans="1:44" s="49" customFormat="1" ht="40.15" hidden="1" customHeight="1">
      <c r="A371" s="152">
        <f t="shared" ca="1" si="652"/>
        <v>0</v>
      </c>
      <c r="B371" s="153">
        <v>96385</v>
      </c>
      <c r="C371" s="154" t="str">
        <f t="shared" si="677"/>
        <v>96385</v>
      </c>
      <c r="D371" s="154" t="s">
        <v>1416</v>
      </c>
      <c r="E371" s="155" t="s">
        <v>3813</v>
      </c>
      <c r="F371" s="154"/>
      <c r="G371" s="154" t="s">
        <v>464</v>
      </c>
      <c r="H371" s="152">
        <v>11.28</v>
      </c>
      <c r="I371" s="152">
        <v>11.08</v>
      </c>
      <c r="J371" s="156"/>
      <c r="K371" s="156">
        <f>Bacia_Amortecimento!J30</f>
        <v>0</v>
      </c>
      <c r="L371" s="156">
        <f t="shared" si="678"/>
        <v>0</v>
      </c>
      <c r="M371" s="156">
        <f t="shared" si="679"/>
        <v>0</v>
      </c>
      <c r="N371" s="156" t="s">
        <v>83</v>
      </c>
      <c r="O371" s="157" cm="1">
        <f t="array" ref="O371">TRUNC($H371*(1+_xlfn.SWITCH($N371,"BDI 1",$O$6,"BDI 2",$O$7,"BDI 3",$O$8)),2)</f>
        <v>13.61</v>
      </c>
      <c r="P371" s="157" cm="1">
        <f t="array" ref="P371">TRUNC($I371*(1+_xlfn.SWITCH($N371,"BDI 1",$P$6,"BDI 2",$P$7,"BDI 3",$P$8)),2)</f>
        <v>14.04</v>
      </c>
      <c r="Q371" s="157">
        <v>0</v>
      </c>
      <c r="R371" s="157">
        <f t="shared" si="680"/>
        <v>0</v>
      </c>
      <c r="S371" s="156">
        <f t="shared" si="681"/>
        <v>0</v>
      </c>
      <c r="T371" s="156">
        <f t="shared" si="682"/>
        <v>0</v>
      </c>
      <c r="U371" s="156">
        <f t="shared" si="683"/>
        <v>0</v>
      </c>
      <c r="V371" s="156">
        <f t="shared" si="684"/>
        <v>0</v>
      </c>
      <c r="W371" s="156">
        <f t="shared" si="685"/>
        <v>0</v>
      </c>
      <c r="X371" s="158">
        <f t="shared" ref="X371" si="711">$S371/ORCAMENTO_VALOR_TOTAL_ND</f>
        <v>0</v>
      </c>
      <c r="Y371" s="158">
        <f t="shared" ref="Y371" si="712">$T371/ORCAMENTO_VALOR_TOTAL_DE</f>
        <v>0</v>
      </c>
      <c r="Z371" s="158" cm="1">
        <f t="array" ref="Z371">_xlfn.SWITCH($N371,"BDI 1",$O$6,"BDI 2",$O$7,"BDI 3",$O$8)</f>
        <v>0.20699999999999999</v>
      </c>
      <c r="AA371" s="158" cm="1">
        <f t="array" ref="AA371">_xlfn.SWITCH($N371,"BDI 1",$P$6,"BDI 2",$P$7,"BDI 3",$P$8)</f>
        <v>0.26739999999999997</v>
      </c>
      <c r="AB371" s="158">
        <f t="shared" ca="1" si="688"/>
        <v>0</v>
      </c>
      <c r="AC371" s="158">
        <f t="shared" ca="1" si="689"/>
        <v>0</v>
      </c>
      <c r="AD371" s="164"/>
      <c r="AE371" s="148">
        <f t="shared" si="651"/>
        <v>0</v>
      </c>
      <c r="AF371" s="149"/>
      <c r="AG371" s="150"/>
      <c r="AH371" s="159" t="e">
        <f t="shared" si="690"/>
        <v>#DIV/0!</v>
      </c>
      <c r="AI371" s="165" t="s">
        <v>209</v>
      </c>
      <c r="AJ371" s="105"/>
      <c r="AK371" s="105"/>
      <c r="AM371" s="105"/>
      <c r="AN371" s="105"/>
      <c r="AO371" s="105"/>
      <c r="AP371" s="105"/>
      <c r="AQ371" s="105"/>
      <c r="AR371" s="105"/>
    </row>
    <row r="372" spans="1:44" s="49" customFormat="1" ht="49.9" hidden="1" customHeight="1">
      <c r="A372" s="152">
        <f t="shared" ca="1" si="652"/>
        <v>0</v>
      </c>
      <c r="B372" s="153">
        <v>101230</v>
      </c>
      <c r="C372" s="154" t="str">
        <f t="shared" si="677"/>
        <v>101230</v>
      </c>
      <c r="D372" s="154" t="s">
        <v>1416</v>
      </c>
      <c r="E372" s="155" t="s">
        <v>3677</v>
      </c>
      <c r="F372" s="154"/>
      <c r="G372" s="154" t="s">
        <v>464</v>
      </c>
      <c r="H372" s="152">
        <v>10.7</v>
      </c>
      <c r="I372" s="152">
        <v>10.73</v>
      </c>
      <c r="J372" s="156"/>
      <c r="K372" s="156">
        <f>Bacia_Amortecimento!J33</f>
        <v>0</v>
      </c>
      <c r="L372" s="156">
        <f t="shared" si="678"/>
        <v>0</v>
      </c>
      <c r="M372" s="156">
        <f t="shared" si="679"/>
        <v>0</v>
      </c>
      <c r="N372" s="156" t="s">
        <v>83</v>
      </c>
      <c r="O372" s="157" cm="1">
        <f t="array" ref="O372">TRUNC($H372*(1+_xlfn.SWITCH($N372,"BDI 1",$O$6,"BDI 2",$O$7,"BDI 3",$O$8)),2)</f>
        <v>12.91</v>
      </c>
      <c r="P372" s="157" cm="1">
        <f t="array" ref="P372">TRUNC($I372*(1+_xlfn.SWITCH($N372,"BDI 1",$P$6,"BDI 2",$P$7,"BDI 3",$P$8)),2)</f>
        <v>13.59</v>
      </c>
      <c r="Q372" s="157">
        <v>0</v>
      </c>
      <c r="R372" s="157">
        <f t="shared" si="680"/>
        <v>0</v>
      </c>
      <c r="S372" s="156">
        <f t="shared" si="681"/>
        <v>0</v>
      </c>
      <c r="T372" s="156">
        <f t="shared" si="682"/>
        <v>0</v>
      </c>
      <c r="U372" s="156">
        <f t="shared" si="683"/>
        <v>0</v>
      </c>
      <c r="V372" s="156">
        <f t="shared" si="684"/>
        <v>0</v>
      </c>
      <c r="W372" s="156">
        <f t="shared" si="685"/>
        <v>0</v>
      </c>
      <c r="X372" s="158">
        <f t="shared" ref="X372" si="713">$S372/ORCAMENTO_VALOR_TOTAL_ND</f>
        <v>0</v>
      </c>
      <c r="Y372" s="158">
        <f t="shared" ref="Y372" si="714">$T372/ORCAMENTO_VALOR_TOTAL_DE</f>
        <v>0</v>
      </c>
      <c r="Z372" s="158" cm="1">
        <f t="array" ref="Z372">_xlfn.SWITCH($N372,"BDI 1",$O$6,"BDI 2",$O$7,"BDI 3",$O$8)</f>
        <v>0.20699999999999999</v>
      </c>
      <c r="AA372" s="158" cm="1">
        <f t="array" ref="AA372">_xlfn.SWITCH($N372,"BDI 1",$P$6,"BDI 2",$P$7,"BDI 3",$P$8)</f>
        <v>0.26739999999999997</v>
      </c>
      <c r="AB372" s="158">
        <f t="shared" ca="1" si="688"/>
        <v>0</v>
      </c>
      <c r="AC372" s="158">
        <f t="shared" ca="1" si="689"/>
        <v>0</v>
      </c>
      <c r="AD372" s="164"/>
      <c r="AE372" s="148">
        <f t="shared" si="651"/>
        <v>0</v>
      </c>
      <c r="AF372" s="149"/>
      <c r="AG372" s="150"/>
      <c r="AH372" s="159" t="e">
        <f t="shared" si="690"/>
        <v>#DIV/0!</v>
      </c>
      <c r="AI372" s="160"/>
      <c r="AJ372" s="105"/>
      <c r="AK372" s="105"/>
      <c r="AM372" s="105"/>
      <c r="AN372" s="105"/>
      <c r="AO372" s="105"/>
      <c r="AP372" s="105"/>
      <c r="AQ372" s="105"/>
      <c r="AR372" s="105"/>
    </row>
    <row r="373" spans="1:44" s="49" customFormat="1" ht="40.15" hidden="1" customHeight="1">
      <c r="A373" s="152">
        <f t="shared" ca="1" si="652"/>
        <v>0</v>
      </c>
      <c r="B373" s="153">
        <v>6079</v>
      </c>
      <c r="C373" s="154" t="str">
        <f t="shared" si="677"/>
        <v>6079</v>
      </c>
      <c r="D373" s="154" t="s">
        <v>3579</v>
      </c>
      <c r="E373" s="155" t="s">
        <v>3679</v>
      </c>
      <c r="F373" s="154"/>
      <c r="G373" s="154" t="s">
        <v>464</v>
      </c>
      <c r="H373" s="152">
        <v>37.35</v>
      </c>
      <c r="I373" s="152">
        <v>37.35</v>
      </c>
      <c r="J373" s="156"/>
      <c r="K373" s="156">
        <f>IF(AI373="COMERCIAL",K372,0)</f>
        <v>0</v>
      </c>
      <c r="L373" s="156">
        <f t="shared" si="678"/>
        <v>0</v>
      </c>
      <c r="M373" s="156">
        <f t="shared" si="679"/>
        <v>0</v>
      </c>
      <c r="N373" s="156" t="s">
        <v>92</v>
      </c>
      <c r="O373" s="157" cm="1">
        <f t="array" ref="O373">TRUNC($H373*(1+_xlfn.SWITCH($N373,"BDI 1",$O$6,"BDI 2",$O$7,"BDI 3",$O$8)),2)</f>
        <v>43.05</v>
      </c>
      <c r="P373" s="157" cm="1">
        <f t="array" ref="P373">TRUNC($I373*(1+_xlfn.SWITCH($N373,"BDI 1",$P$6,"BDI 2",$P$7,"BDI 3",$P$8)),2)</f>
        <v>43.05</v>
      </c>
      <c r="Q373" s="157">
        <v>0</v>
      </c>
      <c r="R373" s="157">
        <f t="shared" si="680"/>
        <v>0</v>
      </c>
      <c r="S373" s="156">
        <f t="shared" si="681"/>
        <v>0</v>
      </c>
      <c r="T373" s="156">
        <f t="shared" si="682"/>
        <v>0</v>
      </c>
      <c r="U373" s="156">
        <f t="shared" si="683"/>
        <v>0</v>
      </c>
      <c r="V373" s="156">
        <f t="shared" si="684"/>
        <v>0</v>
      </c>
      <c r="W373" s="156">
        <f t="shared" si="685"/>
        <v>0</v>
      </c>
      <c r="X373" s="158">
        <f t="shared" ref="X373" si="715">$S373/ORCAMENTO_VALOR_TOTAL_ND</f>
        <v>0</v>
      </c>
      <c r="Y373" s="158">
        <f t="shared" ref="Y373" si="716">$T373/ORCAMENTO_VALOR_TOTAL_DE</f>
        <v>0</v>
      </c>
      <c r="Z373" s="158" cm="1">
        <f t="array" ref="Z373">_xlfn.SWITCH($N373,"BDI 1",$O$6,"BDI 2",$O$7,"BDI 3",$O$8)</f>
        <v>0.1527</v>
      </c>
      <c r="AA373" s="158" cm="1">
        <f t="array" ref="AA373">_xlfn.SWITCH($N373,"BDI 1",$P$6,"BDI 2",$P$7,"BDI 3",$P$8)</f>
        <v>0.1527</v>
      </c>
      <c r="AB373" s="158">
        <f t="shared" ca="1" si="688"/>
        <v>0</v>
      </c>
      <c r="AC373" s="158">
        <f t="shared" ca="1" si="689"/>
        <v>0</v>
      </c>
      <c r="AD373" s="164"/>
      <c r="AE373" s="148">
        <f t="shared" si="651"/>
        <v>0</v>
      </c>
      <c r="AF373" s="149"/>
      <c r="AG373" s="150"/>
      <c r="AH373" s="159" t="e">
        <f t="shared" si="690"/>
        <v>#DIV/0!</v>
      </c>
      <c r="AI373" s="165" t="s">
        <v>134</v>
      </c>
      <c r="AJ373" s="105"/>
      <c r="AK373" s="105"/>
      <c r="AM373" s="105"/>
      <c r="AN373" s="105"/>
      <c r="AO373" s="105"/>
      <c r="AP373" s="105"/>
      <c r="AQ373" s="105"/>
      <c r="AR373" s="105"/>
    </row>
    <row r="374" spans="1:44" s="49" customFormat="1" ht="40.15" hidden="1" customHeight="1">
      <c r="A374" s="152">
        <f t="shared" ca="1" si="652"/>
        <v>0</v>
      </c>
      <c r="B374" s="153">
        <v>100574</v>
      </c>
      <c r="C374" s="154" t="str">
        <f t="shared" si="677"/>
        <v>100574</v>
      </c>
      <c r="D374" s="154" t="s">
        <v>1416</v>
      </c>
      <c r="E374" s="155" t="s">
        <v>3814</v>
      </c>
      <c r="F374" s="154"/>
      <c r="G374" s="154" t="s">
        <v>464</v>
      </c>
      <c r="H374" s="152">
        <v>1.45</v>
      </c>
      <c r="I374" s="152">
        <v>1.36</v>
      </c>
      <c r="J374" s="156"/>
      <c r="K374" s="156">
        <f>+Bacia_Amortecimento!J37</f>
        <v>0</v>
      </c>
      <c r="L374" s="156">
        <f t="shared" si="678"/>
        <v>0</v>
      </c>
      <c r="M374" s="156">
        <f t="shared" si="679"/>
        <v>0</v>
      </c>
      <c r="N374" s="156" t="s">
        <v>83</v>
      </c>
      <c r="O374" s="157" cm="1">
        <f t="array" ref="O374">TRUNC($H374*(1+_xlfn.SWITCH($N374,"BDI 1",$O$6,"BDI 2",$O$7,"BDI 3",$O$8)),2)</f>
        <v>1.75</v>
      </c>
      <c r="P374" s="157" cm="1">
        <f t="array" ref="P374">TRUNC($I374*(1+_xlfn.SWITCH($N374,"BDI 1",$P$6,"BDI 2",$P$7,"BDI 3",$P$8)),2)</f>
        <v>1.72</v>
      </c>
      <c r="Q374" s="157">
        <v>0</v>
      </c>
      <c r="R374" s="157">
        <f t="shared" si="680"/>
        <v>0</v>
      </c>
      <c r="S374" s="156">
        <f t="shared" si="681"/>
        <v>0</v>
      </c>
      <c r="T374" s="156">
        <f t="shared" si="682"/>
        <v>0</v>
      </c>
      <c r="U374" s="156">
        <f t="shared" si="683"/>
        <v>0</v>
      </c>
      <c r="V374" s="156">
        <f t="shared" si="684"/>
        <v>0</v>
      </c>
      <c r="W374" s="156">
        <f t="shared" si="685"/>
        <v>0</v>
      </c>
      <c r="X374" s="158">
        <f t="shared" ref="X374" si="717">$S374/ORCAMENTO_VALOR_TOTAL_ND</f>
        <v>0</v>
      </c>
      <c r="Y374" s="158">
        <f t="shared" ref="Y374" si="718">$T374/ORCAMENTO_VALOR_TOTAL_DE</f>
        <v>0</v>
      </c>
      <c r="Z374" s="158" cm="1">
        <f t="array" ref="Z374">_xlfn.SWITCH($N374,"BDI 1",$O$6,"BDI 2",$O$7,"BDI 3",$O$8)</f>
        <v>0.20699999999999999</v>
      </c>
      <c r="AA374" s="158" cm="1">
        <f t="array" ref="AA374">_xlfn.SWITCH($N374,"BDI 1",$P$6,"BDI 2",$P$7,"BDI 3",$P$8)</f>
        <v>0.26739999999999997</v>
      </c>
      <c r="AB374" s="158">
        <f t="shared" ca="1" si="688"/>
        <v>0</v>
      </c>
      <c r="AC374" s="158">
        <f t="shared" ca="1" si="689"/>
        <v>0</v>
      </c>
      <c r="AD374" s="164"/>
      <c r="AE374" s="148">
        <f t="shared" si="651"/>
        <v>0</v>
      </c>
      <c r="AF374" s="149"/>
      <c r="AG374" s="150"/>
      <c r="AH374" s="159" t="e">
        <f t="shared" si="690"/>
        <v>#DIV/0!</v>
      </c>
      <c r="AI374" s="160"/>
      <c r="AK374" s="105"/>
      <c r="AL374" s="105"/>
      <c r="AM374" s="105"/>
      <c r="AN374" s="105"/>
      <c r="AO374" s="105"/>
      <c r="AP374" s="105"/>
      <c r="AQ374" s="105"/>
      <c r="AR374" s="105"/>
    </row>
    <row r="375" spans="1:44" s="49" customFormat="1" ht="40.15" hidden="1" customHeight="1">
      <c r="A375" s="152">
        <f t="shared" ca="1" si="652"/>
        <v>0</v>
      </c>
      <c r="B375" s="153">
        <v>93358</v>
      </c>
      <c r="C375" s="154" t="str">
        <f t="shared" si="677"/>
        <v>93358</v>
      </c>
      <c r="D375" s="154" t="s">
        <v>1416</v>
      </c>
      <c r="E375" s="155" t="s">
        <v>3640</v>
      </c>
      <c r="F375" s="154"/>
      <c r="G375" s="154" t="s">
        <v>464</v>
      </c>
      <c r="H375" s="152">
        <v>79.63</v>
      </c>
      <c r="I375" s="152">
        <v>72.430000000000007</v>
      </c>
      <c r="J375" s="156"/>
      <c r="K375" s="156">
        <f>Bacia_Amortecimento!J38</f>
        <v>0</v>
      </c>
      <c r="L375" s="156">
        <f t="shared" si="678"/>
        <v>0</v>
      </c>
      <c r="M375" s="156">
        <f t="shared" si="679"/>
        <v>0</v>
      </c>
      <c r="N375" s="156" t="s">
        <v>83</v>
      </c>
      <c r="O375" s="157" cm="1">
        <f t="array" ref="O375">TRUNC($H375*(1+_xlfn.SWITCH($N375,"BDI 1",$O$6,"BDI 2",$O$7,"BDI 3",$O$8)),2)</f>
        <v>96.11</v>
      </c>
      <c r="P375" s="157" cm="1">
        <f t="array" ref="P375">TRUNC($I375*(1+_xlfn.SWITCH($N375,"BDI 1",$P$6,"BDI 2",$P$7,"BDI 3",$P$8)),2)</f>
        <v>91.79</v>
      </c>
      <c r="Q375" s="157">
        <v>0</v>
      </c>
      <c r="R375" s="157">
        <f t="shared" si="680"/>
        <v>0</v>
      </c>
      <c r="S375" s="156">
        <f t="shared" si="681"/>
        <v>0</v>
      </c>
      <c r="T375" s="156">
        <f t="shared" si="682"/>
        <v>0</v>
      </c>
      <c r="U375" s="156">
        <f t="shared" si="683"/>
        <v>0</v>
      </c>
      <c r="V375" s="156">
        <f t="shared" si="684"/>
        <v>0</v>
      </c>
      <c r="W375" s="156">
        <f t="shared" si="685"/>
        <v>0</v>
      </c>
      <c r="X375" s="158">
        <f t="shared" ref="X375" si="719">$S375/ORCAMENTO_VALOR_TOTAL_ND</f>
        <v>0</v>
      </c>
      <c r="Y375" s="158">
        <f t="shared" ref="Y375" si="720">$T375/ORCAMENTO_VALOR_TOTAL_DE</f>
        <v>0</v>
      </c>
      <c r="Z375" s="158" cm="1">
        <f t="array" ref="Z375">_xlfn.SWITCH($N375,"BDI 1",$O$6,"BDI 2",$O$7,"BDI 3",$O$8)</f>
        <v>0.20699999999999999</v>
      </c>
      <c r="AA375" s="158" cm="1">
        <f t="array" ref="AA375">_xlfn.SWITCH($N375,"BDI 1",$P$6,"BDI 2",$P$7,"BDI 3",$P$8)</f>
        <v>0.26739999999999997</v>
      </c>
      <c r="AB375" s="158">
        <f t="shared" ca="1" si="688"/>
        <v>0</v>
      </c>
      <c r="AC375" s="158">
        <f t="shared" ca="1" si="689"/>
        <v>0</v>
      </c>
      <c r="AD375" s="164"/>
      <c r="AE375" s="148">
        <f t="shared" si="651"/>
        <v>0</v>
      </c>
      <c r="AF375" s="149"/>
      <c r="AG375" s="150"/>
      <c r="AH375" s="159" t="e">
        <f t="shared" si="690"/>
        <v>#DIV/0!</v>
      </c>
      <c r="AI375" s="160"/>
      <c r="AK375" s="105"/>
      <c r="AL375" s="105"/>
      <c r="AM375" s="105"/>
      <c r="AN375" s="105"/>
      <c r="AO375" s="105"/>
      <c r="AP375" s="105"/>
      <c r="AQ375" s="105"/>
      <c r="AR375" s="105"/>
    </row>
    <row r="376" spans="1:44" s="49" customFormat="1" ht="49.9" hidden="1" customHeight="1">
      <c r="A376" s="152">
        <f t="shared" ca="1" si="652"/>
        <v>0</v>
      </c>
      <c r="B376" s="153">
        <v>90105</v>
      </c>
      <c r="C376" s="154" t="str">
        <f t="shared" si="677"/>
        <v>90105</v>
      </c>
      <c r="D376" s="154" t="s">
        <v>1416</v>
      </c>
      <c r="E376" s="155" t="s">
        <v>3630</v>
      </c>
      <c r="F376" s="154"/>
      <c r="G376" s="154" t="s">
        <v>464</v>
      </c>
      <c r="H376" s="152">
        <v>8.68</v>
      </c>
      <c r="I376" s="152">
        <v>8.3800000000000008</v>
      </c>
      <c r="J376" s="156"/>
      <c r="K376" s="156">
        <f>Bacia_Amortecimento!J39</f>
        <v>0</v>
      </c>
      <c r="L376" s="156">
        <f t="shared" si="678"/>
        <v>0</v>
      </c>
      <c r="M376" s="156">
        <f t="shared" si="679"/>
        <v>0</v>
      </c>
      <c r="N376" s="156" t="s">
        <v>83</v>
      </c>
      <c r="O376" s="157" cm="1">
        <f t="array" ref="O376">TRUNC($H376*(1+_xlfn.SWITCH($N376,"BDI 1",$O$6,"BDI 2",$O$7,"BDI 3",$O$8)),2)</f>
        <v>10.47</v>
      </c>
      <c r="P376" s="157" cm="1">
        <f t="array" ref="P376">TRUNC($I376*(1+_xlfn.SWITCH($N376,"BDI 1",$P$6,"BDI 2",$P$7,"BDI 3",$P$8)),2)</f>
        <v>10.62</v>
      </c>
      <c r="Q376" s="157">
        <v>0</v>
      </c>
      <c r="R376" s="157">
        <f t="shared" si="680"/>
        <v>0</v>
      </c>
      <c r="S376" s="156">
        <f t="shared" si="681"/>
        <v>0</v>
      </c>
      <c r="T376" s="156">
        <f t="shared" si="682"/>
        <v>0</v>
      </c>
      <c r="U376" s="156">
        <f t="shared" si="683"/>
        <v>0</v>
      </c>
      <c r="V376" s="156">
        <f t="shared" si="684"/>
        <v>0</v>
      </c>
      <c r="W376" s="156">
        <f t="shared" si="685"/>
        <v>0</v>
      </c>
      <c r="X376" s="158">
        <f t="shared" ref="X376" si="721">$S376/ORCAMENTO_VALOR_TOTAL_ND</f>
        <v>0</v>
      </c>
      <c r="Y376" s="158">
        <f t="shared" ref="Y376" si="722">$T376/ORCAMENTO_VALOR_TOTAL_DE</f>
        <v>0</v>
      </c>
      <c r="Z376" s="158" cm="1">
        <f t="array" ref="Z376">_xlfn.SWITCH($N376,"BDI 1",$O$6,"BDI 2",$O$7,"BDI 3",$O$8)</f>
        <v>0.20699999999999999</v>
      </c>
      <c r="AA376" s="158" cm="1">
        <f t="array" ref="AA376">_xlfn.SWITCH($N376,"BDI 1",$P$6,"BDI 2",$P$7,"BDI 3",$P$8)</f>
        <v>0.26739999999999997</v>
      </c>
      <c r="AB376" s="158">
        <f t="shared" ca="1" si="688"/>
        <v>0</v>
      </c>
      <c r="AC376" s="158">
        <f t="shared" ca="1" si="689"/>
        <v>0</v>
      </c>
      <c r="AD376" s="164"/>
      <c r="AE376" s="148">
        <f t="shared" si="651"/>
        <v>0</v>
      </c>
      <c r="AF376" s="149"/>
      <c r="AG376" s="150"/>
      <c r="AH376" s="159" t="e">
        <f t="shared" si="690"/>
        <v>#DIV/0!</v>
      </c>
      <c r="AI376" s="160"/>
      <c r="AK376" s="105"/>
      <c r="AL376" s="105"/>
      <c r="AM376" s="105"/>
      <c r="AN376" s="105"/>
      <c r="AO376" s="105"/>
      <c r="AP376" s="105"/>
      <c r="AQ376" s="105"/>
      <c r="AR376" s="105"/>
    </row>
    <row r="377" spans="1:44" s="49" customFormat="1" ht="40.15" hidden="1" customHeight="1">
      <c r="A377" s="152">
        <f t="shared" ca="1" si="652"/>
        <v>0</v>
      </c>
      <c r="B377" s="153">
        <v>102712</v>
      </c>
      <c r="C377" s="154" t="str">
        <f t="shared" si="677"/>
        <v>102712</v>
      </c>
      <c r="D377" s="154" t="s">
        <v>1416</v>
      </c>
      <c r="E377" s="155" t="s">
        <v>3815</v>
      </c>
      <c r="F377" s="154"/>
      <c r="G377" s="154" t="s">
        <v>1418</v>
      </c>
      <c r="H377" s="152">
        <v>12.68</v>
      </c>
      <c r="I377" s="152">
        <v>12.65</v>
      </c>
      <c r="J377" s="156"/>
      <c r="K377" s="156">
        <f>Bacia_Amortecimento!J40</f>
        <v>0</v>
      </c>
      <c r="L377" s="156">
        <f t="shared" si="678"/>
        <v>0</v>
      </c>
      <c r="M377" s="156">
        <f t="shared" si="679"/>
        <v>0</v>
      </c>
      <c r="N377" s="156" t="s">
        <v>83</v>
      </c>
      <c r="O377" s="157" cm="1">
        <f t="array" ref="O377">TRUNC($H377*(1+_xlfn.SWITCH($N377,"BDI 1",$O$6,"BDI 2",$O$7,"BDI 3",$O$8)),2)</f>
        <v>15.3</v>
      </c>
      <c r="P377" s="157" cm="1">
        <f t="array" ref="P377">TRUNC($I377*(1+_xlfn.SWITCH($N377,"BDI 1",$P$6,"BDI 2",$P$7,"BDI 3",$P$8)),2)</f>
        <v>16.03</v>
      </c>
      <c r="Q377" s="157">
        <v>0</v>
      </c>
      <c r="R377" s="157">
        <f t="shared" si="680"/>
        <v>0</v>
      </c>
      <c r="S377" s="156">
        <f t="shared" si="681"/>
        <v>0</v>
      </c>
      <c r="T377" s="156">
        <f t="shared" si="682"/>
        <v>0</v>
      </c>
      <c r="U377" s="156">
        <f t="shared" si="683"/>
        <v>0</v>
      </c>
      <c r="V377" s="156">
        <f t="shared" si="684"/>
        <v>0</v>
      </c>
      <c r="W377" s="156">
        <f t="shared" si="685"/>
        <v>0</v>
      </c>
      <c r="X377" s="158">
        <f t="shared" ref="X377" si="723">$S377/ORCAMENTO_VALOR_TOTAL_ND</f>
        <v>0</v>
      </c>
      <c r="Y377" s="158">
        <f t="shared" ref="Y377" si="724">$T377/ORCAMENTO_VALOR_TOTAL_DE</f>
        <v>0</v>
      </c>
      <c r="Z377" s="158" cm="1">
        <f t="array" ref="Z377">_xlfn.SWITCH($N377,"BDI 1",$O$6,"BDI 2",$O$7,"BDI 3",$O$8)</f>
        <v>0.20699999999999999</v>
      </c>
      <c r="AA377" s="158" cm="1">
        <f t="array" ref="AA377">_xlfn.SWITCH($N377,"BDI 1",$P$6,"BDI 2",$P$7,"BDI 3",$P$8)</f>
        <v>0.26739999999999997</v>
      </c>
      <c r="AB377" s="158">
        <f t="shared" ca="1" si="688"/>
        <v>0</v>
      </c>
      <c r="AC377" s="158">
        <f t="shared" ca="1" si="689"/>
        <v>0</v>
      </c>
      <c r="AD377" s="164"/>
      <c r="AE377" s="148">
        <f t="shared" si="651"/>
        <v>0</v>
      </c>
      <c r="AF377" s="149"/>
      <c r="AG377" s="150"/>
      <c r="AH377" s="159" t="e">
        <f t="shared" si="690"/>
        <v>#DIV/0!</v>
      </c>
      <c r="AI377" s="160"/>
      <c r="AJ377" s="105"/>
      <c r="AK377" s="105"/>
      <c r="AM377" s="105"/>
      <c r="AN377" s="105"/>
      <c r="AO377" s="105"/>
      <c r="AP377" s="105"/>
      <c r="AQ377" s="105"/>
      <c r="AR377" s="105"/>
    </row>
    <row r="378" spans="1:44" s="49" customFormat="1" ht="40.15" hidden="1" customHeight="1">
      <c r="A378" s="152">
        <f t="shared" ca="1" si="652"/>
        <v>0</v>
      </c>
      <c r="B378" s="153" t="s">
        <v>210</v>
      </c>
      <c r="C378" s="154" t="str">
        <f t="shared" si="677"/>
        <v>LF/0007</v>
      </c>
      <c r="D378" s="154" t="s">
        <v>3549</v>
      </c>
      <c r="E378" s="155" t="s">
        <v>3816</v>
      </c>
      <c r="F378" s="154"/>
      <c r="G378" s="154" t="s">
        <v>464</v>
      </c>
      <c r="H378" s="152">
        <v>182.99</v>
      </c>
      <c r="I378" s="152">
        <v>176.04</v>
      </c>
      <c r="J378" s="156"/>
      <c r="K378" s="156">
        <f>Bacia_Amortecimento!J41</f>
        <v>0</v>
      </c>
      <c r="L378" s="156">
        <f t="shared" si="678"/>
        <v>0</v>
      </c>
      <c r="M378" s="156">
        <f t="shared" si="679"/>
        <v>0</v>
      </c>
      <c r="N378" s="156" t="s">
        <v>83</v>
      </c>
      <c r="O378" s="157" cm="1">
        <f t="array" ref="O378">TRUNC($H378*(1+_xlfn.SWITCH($N378,"BDI 1",$O$6,"BDI 2",$O$7,"BDI 3",$O$8)),2)</f>
        <v>220.86</v>
      </c>
      <c r="P378" s="157" cm="1">
        <f t="array" ref="P378">TRUNC($I378*(1+_xlfn.SWITCH($N378,"BDI 1",$P$6,"BDI 2",$P$7,"BDI 3",$P$8)),2)</f>
        <v>223.11</v>
      </c>
      <c r="Q378" s="157">
        <v>0</v>
      </c>
      <c r="R378" s="157">
        <f t="shared" si="680"/>
        <v>0</v>
      </c>
      <c r="S378" s="156">
        <f t="shared" si="681"/>
        <v>0</v>
      </c>
      <c r="T378" s="156">
        <f t="shared" si="682"/>
        <v>0</v>
      </c>
      <c r="U378" s="156">
        <f t="shared" si="683"/>
        <v>0</v>
      </c>
      <c r="V378" s="156">
        <f t="shared" si="684"/>
        <v>0</v>
      </c>
      <c r="W378" s="156">
        <f t="shared" si="685"/>
        <v>0</v>
      </c>
      <c r="X378" s="158">
        <f t="shared" ref="X378" si="725">$S378/ORCAMENTO_VALOR_TOTAL_ND</f>
        <v>0</v>
      </c>
      <c r="Y378" s="158">
        <f t="shared" ref="Y378" si="726">$T378/ORCAMENTO_VALOR_TOTAL_DE</f>
        <v>0</v>
      </c>
      <c r="Z378" s="158" cm="1">
        <f t="array" ref="Z378">_xlfn.SWITCH($N378,"BDI 1",$O$6,"BDI 2",$O$7,"BDI 3",$O$8)</f>
        <v>0.20699999999999999</v>
      </c>
      <c r="AA378" s="158" cm="1">
        <f t="array" ref="AA378">_xlfn.SWITCH($N378,"BDI 1",$P$6,"BDI 2",$P$7,"BDI 3",$P$8)</f>
        <v>0.26739999999999997</v>
      </c>
      <c r="AB378" s="158">
        <f t="shared" ca="1" si="688"/>
        <v>0</v>
      </c>
      <c r="AC378" s="158">
        <f t="shared" ca="1" si="689"/>
        <v>0</v>
      </c>
      <c r="AD378" s="164"/>
      <c r="AE378" s="148">
        <f t="shared" si="651"/>
        <v>0</v>
      </c>
      <c r="AF378" s="149"/>
      <c r="AG378" s="150"/>
      <c r="AH378" s="159" t="e">
        <f t="shared" si="690"/>
        <v>#DIV/0!</v>
      </c>
      <c r="AI378" s="160"/>
      <c r="AJ378" s="105"/>
      <c r="AK378" s="105"/>
      <c r="AM378" s="105"/>
      <c r="AN378" s="105"/>
      <c r="AO378" s="105"/>
      <c r="AP378" s="105"/>
      <c r="AQ378" s="105"/>
      <c r="AR378" s="105"/>
    </row>
    <row r="379" spans="1:44" s="49" customFormat="1" ht="40.15" hidden="1" customHeight="1">
      <c r="A379" s="152">
        <f t="shared" ca="1" si="652"/>
        <v>0</v>
      </c>
      <c r="B379" s="153" t="s">
        <v>211</v>
      </c>
      <c r="C379" s="154" t="str">
        <f t="shared" si="677"/>
        <v>LF/0040</v>
      </c>
      <c r="D379" s="154" t="s">
        <v>3549</v>
      </c>
      <c r="E379" s="155" t="s">
        <v>3817</v>
      </c>
      <c r="F379" s="154"/>
      <c r="G379" s="154" t="s">
        <v>58</v>
      </c>
      <c r="H379" s="152">
        <v>32.57</v>
      </c>
      <c r="I379" s="152">
        <v>30.58</v>
      </c>
      <c r="J379" s="156"/>
      <c r="K379" s="156">
        <f>Bacia_Amortecimento!J42</f>
        <v>0</v>
      </c>
      <c r="L379" s="156">
        <f t="shared" si="678"/>
        <v>0</v>
      </c>
      <c r="M379" s="156">
        <f t="shared" si="679"/>
        <v>0</v>
      </c>
      <c r="N379" s="156" t="s">
        <v>83</v>
      </c>
      <c r="O379" s="157" cm="1">
        <f t="array" ref="O379">TRUNC($H379*(1+_xlfn.SWITCH($N379,"BDI 1",$O$6,"BDI 2",$O$7,"BDI 3",$O$8)),2)</f>
        <v>39.31</v>
      </c>
      <c r="P379" s="157" cm="1">
        <f t="array" ref="P379">TRUNC($I379*(1+_xlfn.SWITCH($N379,"BDI 1",$P$6,"BDI 2",$P$7,"BDI 3",$P$8)),2)</f>
        <v>38.75</v>
      </c>
      <c r="Q379" s="157">
        <v>0</v>
      </c>
      <c r="R379" s="157">
        <f t="shared" si="680"/>
        <v>0</v>
      </c>
      <c r="S379" s="156">
        <f t="shared" si="681"/>
        <v>0</v>
      </c>
      <c r="T379" s="156">
        <f t="shared" si="682"/>
        <v>0</v>
      </c>
      <c r="U379" s="156">
        <f t="shared" si="683"/>
        <v>0</v>
      </c>
      <c r="V379" s="156">
        <f t="shared" si="684"/>
        <v>0</v>
      </c>
      <c r="W379" s="156">
        <f t="shared" si="685"/>
        <v>0</v>
      </c>
      <c r="X379" s="158">
        <f t="shared" ref="X379" si="727">$S379/ORCAMENTO_VALOR_TOTAL_ND</f>
        <v>0</v>
      </c>
      <c r="Y379" s="158">
        <f t="shared" ref="Y379" si="728">$T379/ORCAMENTO_VALOR_TOTAL_DE</f>
        <v>0</v>
      </c>
      <c r="Z379" s="158" cm="1">
        <f t="array" ref="Z379">_xlfn.SWITCH($N379,"BDI 1",$O$6,"BDI 2",$O$7,"BDI 3",$O$8)</f>
        <v>0.20699999999999999</v>
      </c>
      <c r="AA379" s="158" cm="1">
        <f t="array" ref="AA379">_xlfn.SWITCH($N379,"BDI 1",$P$6,"BDI 2",$P$7,"BDI 3",$P$8)</f>
        <v>0.26739999999999997</v>
      </c>
      <c r="AB379" s="158">
        <f t="shared" ca="1" si="688"/>
        <v>0</v>
      </c>
      <c r="AC379" s="158">
        <f t="shared" ca="1" si="689"/>
        <v>0</v>
      </c>
      <c r="AD379" s="164"/>
      <c r="AE379" s="148">
        <f t="shared" si="651"/>
        <v>0</v>
      </c>
      <c r="AF379" s="149"/>
      <c r="AG379" s="150"/>
      <c r="AH379" s="159" t="e">
        <f t="shared" si="690"/>
        <v>#DIV/0!</v>
      </c>
      <c r="AI379" s="160"/>
      <c r="AJ379" s="207"/>
      <c r="AK379" s="183"/>
      <c r="AM379" s="105"/>
      <c r="AN379" s="105"/>
      <c r="AO379" s="105"/>
      <c r="AP379" s="105"/>
      <c r="AQ379" s="105"/>
      <c r="AR379" s="105"/>
    </row>
    <row r="380" spans="1:44" s="49" customFormat="1" ht="40.15" hidden="1" customHeight="1">
      <c r="A380" s="152">
        <f t="shared" ca="1" si="652"/>
        <v>0</v>
      </c>
      <c r="B380" s="153" t="s">
        <v>212</v>
      </c>
      <c r="C380" s="154" t="str">
        <f t="shared" si="677"/>
        <v>DR/0296</v>
      </c>
      <c r="D380" s="154" t="s">
        <v>3549</v>
      </c>
      <c r="E380" s="155" t="s">
        <v>3818</v>
      </c>
      <c r="F380" s="154"/>
      <c r="G380" s="154" t="s">
        <v>58</v>
      </c>
      <c r="H380" s="152">
        <v>128.57</v>
      </c>
      <c r="I380" s="152">
        <v>124.89</v>
      </c>
      <c r="J380" s="156"/>
      <c r="K380" s="156">
        <f>+Bacia_Amortecimento!J43</f>
        <v>0</v>
      </c>
      <c r="L380" s="156">
        <f t="shared" si="678"/>
        <v>0</v>
      </c>
      <c r="M380" s="156">
        <f t="shared" si="679"/>
        <v>0</v>
      </c>
      <c r="N380" s="156" t="s">
        <v>83</v>
      </c>
      <c r="O380" s="157" cm="1">
        <f t="array" ref="O380">TRUNC($H380*(1+_xlfn.SWITCH($N380,"BDI 1",$O$6,"BDI 2",$O$7,"BDI 3",$O$8)),2)</f>
        <v>155.18</v>
      </c>
      <c r="P380" s="157" cm="1">
        <f t="array" ref="P380">TRUNC($I380*(1+_xlfn.SWITCH($N380,"BDI 1",$P$6,"BDI 2",$P$7,"BDI 3",$P$8)),2)</f>
        <v>158.28</v>
      </c>
      <c r="Q380" s="157">
        <v>0</v>
      </c>
      <c r="R380" s="157">
        <f t="shared" si="680"/>
        <v>0</v>
      </c>
      <c r="S380" s="156">
        <f t="shared" si="681"/>
        <v>0</v>
      </c>
      <c r="T380" s="156">
        <f t="shared" si="682"/>
        <v>0</v>
      </c>
      <c r="U380" s="156">
        <f t="shared" si="683"/>
        <v>0</v>
      </c>
      <c r="V380" s="156">
        <f t="shared" si="684"/>
        <v>0</v>
      </c>
      <c r="W380" s="156">
        <f t="shared" si="685"/>
        <v>0</v>
      </c>
      <c r="X380" s="158">
        <f t="shared" ref="X380" si="729">$S380/ORCAMENTO_VALOR_TOTAL_ND</f>
        <v>0</v>
      </c>
      <c r="Y380" s="158">
        <f t="shared" ref="Y380" si="730">$T380/ORCAMENTO_VALOR_TOTAL_DE</f>
        <v>0</v>
      </c>
      <c r="Z380" s="158" cm="1">
        <f t="array" ref="Z380">_xlfn.SWITCH($N380,"BDI 1",$O$6,"BDI 2",$O$7,"BDI 3",$O$8)</f>
        <v>0.20699999999999999</v>
      </c>
      <c r="AA380" s="158" cm="1">
        <f t="array" ref="AA380">_xlfn.SWITCH($N380,"BDI 1",$P$6,"BDI 2",$P$7,"BDI 3",$P$8)</f>
        <v>0.26739999999999997</v>
      </c>
      <c r="AB380" s="158">
        <f t="shared" ca="1" si="688"/>
        <v>0</v>
      </c>
      <c r="AC380" s="158">
        <f t="shared" ca="1" si="689"/>
        <v>0</v>
      </c>
      <c r="AD380" s="164"/>
      <c r="AE380" s="148">
        <f t="shared" si="651"/>
        <v>0</v>
      </c>
      <c r="AF380" s="149"/>
      <c r="AG380" s="150"/>
      <c r="AH380" s="159" t="e">
        <f t="shared" si="690"/>
        <v>#DIV/0!</v>
      </c>
      <c r="AI380" s="160"/>
      <c r="AJ380" s="207"/>
      <c r="AK380" s="183"/>
      <c r="AM380" s="105"/>
      <c r="AN380" s="105"/>
      <c r="AO380" s="105"/>
      <c r="AP380" s="105"/>
      <c r="AQ380" s="105"/>
      <c r="AR380" s="105"/>
    </row>
    <row r="381" spans="1:44" s="49" customFormat="1" ht="49.9" hidden="1" customHeight="1">
      <c r="A381" s="152">
        <f t="shared" ca="1" si="652"/>
        <v>0</v>
      </c>
      <c r="B381" s="153" t="s">
        <v>213</v>
      </c>
      <c r="C381" s="154" t="str">
        <f t="shared" si="677"/>
        <v>DR/0300</v>
      </c>
      <c r="D381" s="154" t="s">
        <v>3549</v>
      </c>
      <c r="E381" s="155" t="s">
        <v>3819</v>
      </c>
      <c r="F381" s="154"/>
      <c r="G381" s="154" t="s">
        <v>58</v>
      </c>
      <c r="H381" s="152">
        <v>133.87</v>
      </c>
      <c r="I381" s="152">
        <v>127.75</v>
      </c>
      <c r="J381" s="156"/>
      <c r="K381" s="156">
        <f>+Bacia_Amortecimento!J44</f>
        <v>0</v>
      </c>
      <c r="L381" s="156">
        <f t="shared" si="678"/>
        <v>0</v>
      </c>
      <c r="M381" s="156">
        <f t="shared" si="679"/>
        <v>0</v>
      </c>
      <c r="N381" s="156" t="s">
        <v>83</v>
      </c>
      <c r="O381" s="157" cm="1">
        <f t="array" ref="O381">TRUNC($H381*(1+_xlfn.SWITCH($N381,"BDI 1",$O$6,"BDI 2",$O$7,"BDI 3",$O$8)),2)</f>
        <v>161.58000000000001</v>
      </c>
      <c r="P381" s="157" cm="1">
        <f t="array" ref="P381">TRUNC($I381*(1+_xlfn.SWITCH($N381,"BDI 1",$P$6,"BDI 2",$P$7,"BDI 3",$P$8)),2)</f>
        <v>161.91</v>
      </c>
      <c r="Q381" s="157">
        <v>0</v>
      </c>
      <c r="R381" s="157">
        <f t="shared" si="680"/>
        <v>0</v>
      </c>
      <c r="S381" s="156">
        <f t="shared" si="681"/>
        <v>0</v>
      </c>
      <c r="T381" s="156">
        <f t="shared" si="682"/>
        <v>0</v>
      </c>
      <c r="U381" s="156">
        <f t="shared" si="683"/>
        <v>0</v>
      </c>
      <c r="V381" s="156">
        <f t="shared" si="684"/>
        <v>0</v>
      </c>
      <c r="W381" s="156">
        <f t="shared" si="685"/>
        <v>0</v>
      </c>
      <c r="X381" s="158">
        <f t="shared" ref="X381" si="731">$S381/ORCAMENTO_VALOR_TOTAL_ND</f>
        <v>0</v>
      </c>
      <c r="Y381" s="158">
        <f t="shared" ref="Y381" si="732">$T381/ORCAMENTO_VALOR_TOTAL_DE</f>
        <v>0</v>
      </c>
      <c r="Z381" s="158" cm="1">
        <f t="array" ref="Z381">_xlfn.SWITCH($N381,"BDI 1",$O$6,"BDI 2",$O$7,"BDI 3",$O$8)</f>
        <v>0.20699999999999999</v>
      </c>
      <c r="AA381" s="158" cm="1">
        <f t="array" ref="AA381">_xlfn.SWITCH($N381,"BDI 1",$P$6,"BDI 2",$P$7,"BDI 3",$P$8)</f>
        <v>0.26739999999999997</v>
      </c>
      <c r="AB381" s="158">
        <f t="shared" ca="1" si="688"/>
        <v>0</v>
      </c>
      <c r="AC381" s="158">
        <f t="shared" ca="1" si="689"/>
        <v>0</v>
      </c>
      <c r="AD381" s="164"/>
      <c r="AE381" s="148">
        <f t="shared" si="651"/>
        <v>0</v>
      </c>
      <c r="AF381" s="149"/>
      <c r="AG381" s="150"/>
      <c r="AH381" s="159" t="e">
        <f t="shared" si="690"/>
        <v>#DIV/0!</v>
      </c>
      <c r="AI381" s="160"/>
      <c r="AJ381" s="207"/>
      <c r="AK381" s="183"/>
      <c r="AM381" s="105"/>
      <c r="AN381" s="105"/>
      <c r="AO381" s="105"/>
      <c r="AP381" s="105"/>
      <c r="AQ381" s="105"/>
      <c r="AR381" s="105"/>
    </row>
    <row r="382" spans="1:44" s="49" customFormat="1" ht="40.15" hidden="1" customHeight="1">
      <c r="A382" s="152">
        <f t="shared" ca="1" si="652"/>
        <v>0</v>
      </c>
      <c r="B382" s="153"/>
      <c r="C382" s="154"/>
      <c r="D382" s="154"/>
      <c r="E382" s="161" t="s">
        <v>214</v>
      </c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62"/>
      <c r="T382" s="162"/>
      <c r="U382" s="162"/>
      <c r="V382" s="162"/>
      <c r="W382" s="162"/>
      <c r="X382" s="163"/>
      <c r="Y382" s="163"/>
      <c r="Z382" s="163"/>
      <c r="AA382" s="163"/>
      <c r="AB382" s="163"/>
      <c r="AC382" s="163"/>
      <c r="AD382" s="164"/>
      <c r="AE382" s="148">
        <f t="shared" si="651"/>
        <v>0</v>
      </c>
      <c r="AF382" s="149"/>
      <c r="AG382" s="150"/>
      <c r="AH382" s="159"/>
      <c r="AI382" s="160"/>
      <c r="AJ382" s="105"/>
      <c r="AK382" s="105"/>
      <c r="AM382" s="105"/>
      <c r="AN382" s="105"/>
      <c r="AO382" s="105"/>
      <c r="AP382" s="105"/>
      <c r="AQ382" s="105"/>
      <c r="AR382" s="105"/>
    </row>
    <row r="383" spans="1:44" s="49" customFormat="1" ht="40.15" hidden="1" customHeight="1">
      <c r="A383" s="152">
        <f t="shared" ca="1" si="652"/>
        <v>0</v>
      </c>
      <c r="B383" s="153">
        <v>94962</v>
      </c>
      <c r="C383" s="154" t="str">
        <f t="shared" ref="C383:C422" si="733">TEXT(B383,"0")</f>
        <v>94962</v>
      </c>
      <c r="D383" s="154" t="s">
        <v>1416</v>
      </c>
      <c r="E383" s="155" t="s">
        <v>3791</v>
      </c>
      <c r="F383" s="154"/>
      <c r="G383" s="154" t="s">
        <v>464</v>
      </c>
      <c r="H383" s="152">
        <v>385.31</v>
      </c>
      <c r="I383" s="152">
        <v>383.4</v>
      </c>
      <c r="J383" s="156"/>
      <c r="K383" s="156">
        <f>Bacia_Amortecimento!J45</f>
        <v>0</v>
      </c>
      <c r="L383" s="156">
        <f t="shared" ref="L383:L422" si="734">IF($K383&gt;$J383,$K383-$J383,0)</f>
        <v>0</v>
      </c>
      <c r="M383" s="156">
        <f t="shared" ref="M383:M422" si="735">IF($K383&lt;$J383,$J383-$K383,0)</f>
        <v>0</v>
      </c>
      <c r="N383" s="156" t="s">
        <v>83</v>
      </c>
      <c r="O383" s="157" cm="1">
        <f t="array" ref="O383">TRUNC($H383*(1+_xlfn.SWITCH($N383,"BDI 1",$O$6,"BDI 2",$O$7,"BDI 3",$O$8)),2)</f>
        <v>465.06</v>
      </c>
      <c r="P383" s="157" cm="1">
        <f t="array" ref="P383">TRUNC($I383*(1+_xlfn.SWITCH($N383,"BDI 1",$P$6,"BDI 2",$P$7,"BDI 3",$P$8)),2)</f>
        <v>485.92</v>
      </c>
      <c r="Q383" s="157">
        <v>0</v>
      </c>
      <c r="R383" s="157">
        <f t="shared" ref="R383:R422" si="736">$Q383-($Q383*LICITACAO_DESCONTO)</f>
        <v>0</v>
      </c>
      <c r="S383" s="156">
        <f t="shared" ref="S383:S422" si="737">TRUNC($K383*$O383,2)</f>
        <v>0</v>
      </c>
      <c r="T383" s="156">
        <f t="shared" ref="T383:T422" si="738">TRUNC($K383*$P383,2)</f>
        <v>0</v>
      </c>
      <c r="U383" s="156">
        <f t="shared" ref="U383:U422" si="739">TRUNC($J383*$R383,2)</f>
        <v>0</v>
      </c>
      <c r="V383" s="156">
        <f t="shared" ref="V383:V422" si="740">TRUNC($K383*$Q383,2)</f>
        <v>0</v>
      </c>
      <c r="W383" s="156">
        <f t="shared" ref="W383:W422" si="741">TRUNC(V383-U383,2)</f>
        <v>0</v>
      </c>
      <c r="X383" s="158">
        <f t="shared" ref="X383" si="742">$S383/ORCAMENTO_VALOR_TOTAL_ND</f>
        <v>0</v>
      </c>
      <c r="Y383" s="158">
        <f t="shared" ref="Y383" si="743">$T383/ORCAMENTO_VALOR_TOTAL_DE</f>
        <v>0</v>
      </c>
      <c r="Z383" s="158" cm="1">
        <f t="array" ref="Z383">_xlfn.SWITCH($N383,"BDI 1",$O$6,"BDI 2",$O$7,"BDI 3",$O$8)</f>
        <v>0.20699999999999999</v>
      </c>
      <c r="AA383" s="158" cm="1">
        <f t="array" ref="AA383">_xlfn.SWITCH($N383,"BDI 1",$P$6,"BDI 2",$P$7,"BDI 3",$P$8)</f>
        <v>0.26739999999999997</v>
      </c>
      <c r="AB383" s="158">
        <f t="shared" ref="AB383:AB422" ca="1" si="744">IFERROR($S383/_xlfn.XLOOKUP($AE383,$B$16:$B$38,$S$16:$S$38),0)</f>
        <v>0</v>
      </c>
      <c r="AC383" s="158">
        <f t="shared" ref="AC383:AC422" ca="1" si="745">IFERROR($T383/_xlfn.XLOOKUP($AE383,$B$16:$B$38,$T$16:$T$38),0)</f>
        <v>0</v>
      </c>
      <c r="AD383" s="164"/>
      <c r="AE383" s="148">
        <f t="shared" si="651"/>
        <v>0</v>
      </c>
      <c r="AF383" s="149"/>
      <c r="AG383" s="150"/>
      <c r="AH383" s="159" t="e">
        <f t="shared" ref="AH383:AH422" si="746">S383/$S$351</f>
        <v>#DIV/0!</v>
      </c>
      <c r="AI383" s="160"/>
      <c r="AJ383" s="105"/>
      <c r="AK383" s="105"/>
      <c r="AM383" s="105"/>
      <c r="AN383" s="105"/>
      <c r="AO383" s="105"/>
      <c r="AP383" s="105"/>
      <c r="AQ383" s="105"/>
      <c r="AR383" s="105"/>
    </row>
    <row r="384" spans="1:44" s="49" customFormat="1" ht="40.15" hidden="1" customHeight="1">
      <c r="A384" s="152">
        <f t="shared" ca="1" si="652"/>
        <v>0</v>
      </c>
      <c r="B384" s="153">
        <v>94964</v>
      </c>
      <c r="C384" s="154" t="str">
        <f t="shared" si="733"/>
        <v>94964</v>
      </c>
      <c r="D384" s="154" t="s">
        <v>1416</v>
      </c>
      <c r="E384" s="155" t="s">
        <v>3793</v>
      </c>
      <c r="F384" s="154"/>
      <c r="G384" s="154" t="s">
        <v>464</v>
      </c>
      <c r="H384" s="152">
        <v>470.38</v>
      </c>
      <c r="I384" s="152">
        <v>467.53</v>
      </c>
      <c r="J384" s="156"/>
      <c r="K384" s="156">
        <f>Bacia_Amortecimento!J46</f>
        <v>0</v>
      </c>
      <c r="L384" s="156">
        <f t="shared" si="734"/>
        <v>0</v>
      </c>
      <c r="M384" s="156">
        <f t="shared" si="735"/>
        <v>0</v>
      </c>
      <c r="N384" s="156" t="s">
        <v>83</v>
      </c>
      <c r="O384" s="157" cm="1">
        <f t="array" ref="O384">TRUNC($H384*(1+_xlfn.SWITCH($N384,"BDI 1",$O$6,"BDI 2",$O$7,"BDI 3",$O$8)),2)</f>
        <v>567.74</v>
      </c>
      <c r="P384" s="157" cm="1">
        <f t="array" ref="P384">TRUNC($I384*(1+_xlfn.SWITCH($N384,"BDI 1",$P$6,"BDI 2",$P$7,"BDI 3",$P$8)),2)</f>
        <v>592.54</v>
      </c>
      <c r="Q384" s="157">
        <v>0</v>
      </c>
      <c r="R384" s="157">
        <f t="shared" si="736"/>
        <v>0</v>
      </c>
      <c r="S384" s="156">
        <f t="shared" si="737"/>
        <v>0</v>
      </c>
      <c r="T384" s="156">
        <f t="shared" si="738"/>
        <v>0</v>
      </c>
      <c r="U384" s="156">
        <f t="shared" si="739"/>
        <v>0</v>
      </c>
      <c r="V384" s="156">
        <f t="shared" si="740"/>
        <v>0</v>
      </c>
      <c r="W384" s="156">
        <f t="shared" si="741"/>
        <v>0</v>
      </c>
      <c r="X384" s="158">
        <f t="shared" ref="X384" si="747">$S384/ORCAMENTO_VALOR_TOTAL_ND</f>
        <v>0</v>
      </c>
      <c r="Y384" s="158">
        <f t="shared" ref="Y384" si="748">$T384/ORCAMENTO_VALOR_TOTAL_DE</f>
        <v>0</v>
      </c>
      <c r="Z384" s="158" cm="1">
        <f t="array" ref="Z384">_xlfn.SWITCH($N384,"BDI 1",$O$6,"BDI 2",$O$7,"BDI 3",$O$8)</f>
        <v>0.20699999999999999</v>
      </c>
      <c r="AA384" s="158" cm="1">
        <f t="array" ref="AA384">_xlfn.SWITCH($N384,"BDI 1",$P$6,"BDI 2",$P$7,"BDI 3",$P$8)</f>
        <v>0.26739999999999997</v>
      </c>
      <c r="AB384" s="158">
        <f t="shared" ca="1" si="744"/>
        <v>0</v>
      </c>
      <c r="AC384" s="158">
        <f t="shared" ca="1" si="745"/>
        <v>0</v>
      </c>
      <c r="AD384" s="164"/>
      <c r="AE384" s="148">
        <f t="shared" si="651"/>
        <v>0</v>
      </c>
      <c r="AF384" s="149"/>
      <c r="AG384" s="150"/>
      <c r="AH384" s="159" t="e">
        <f t="shared" si="746"/>
        <v>#DIV/0!</v>
      </c>
      <c r="AI384" s="165" t="s">
        <v>215</v>
      </c>
      <c r="AJ384" s="105"/>
      <c r="AK384" s="105"/>
      <c r="AM384" s="105"/>
      <c r="AN384" s="105"/>
      <c r="AO384" s="105"/>
      <c r="AP384" s="105"/>
      <c r="AQ384" s="105"/>
      <c r="AR384" s="105"/>
    </row>
    <row r="385" spans="1:44" s="49" customFormat="1" ht="40.15" hidden="1" customHeight="1">
      <c r="A385" s="152">
        <f t="shared" ca="1" si="652"/>
        <v>0</v>
      </c>
      <c r="B385" s="153">
        <v>94965</v>
      </c>
      <c r="C385" s="154" t="str">
        <f t="shared" si="733"/>
        <v>94965</v>
      </c>
      <c r="D385" s="154" t="s">
        <v>1416</v>
      </c>
      <c r="E385" s="155" t="s">
        <v>3820</v>
      </c>
      <c r="F385" s="154"/>
      <c r="G385" s="154" t="s">
        <v>464</v>
      </c>
      <c r="H385" s="152">
        <v>489.71</v>
      </c>
      <c r="I385" s="152">
        <v>487.51</v>
      </c>
      <c r="J385" s="156"/>
      <c r="K385" s="156">
        <f>Bacia_Amortecimento!J47</f>
        <v>0</v>
      </c>
      <c r="L385" s="156">
        <f t="shared" si="734"/>
        <v>0</v>
      </c>
      <c r="M385" s="156">
        <f t="shared" si="735"/>
        <v>0</v>
      </c>
      <c r="N385" s="156" t="s">
        <v>83</v>
      </c>
      <c r="O385" s="157" cm="1">
        <f t="array" ref="O385">TRUNC($H385*(1+_xlfn.SWITCH($N385,"BDI 1",$O$6,"BDI 2",$O$7,"BDI 3",$O$8)),2)</f>
        <v>591.07000000000005</v>
      </c>
      <c r="P385" s="157" cm="1">
        <f t="array" ref="P385">TRUNC($I385*(1+_xlfn.SWITCH($N385,"BDI 1",$P$6,"BDI 2",$P$7,"BDI 3",$P$8)),2)</f>
        <v>617.87</v>
      </c>
      <c r="Q385" s="157">
        <v>0</v>
      </c>
      <c r="R385" s="157">
        <f t="shared" si="736"/>
        <v>0</v>
      </c>
      <c r="S385" s="156">
        <f t="shared" si="737"/>
        <v>0</v>
      </c>
      <c r="T385" s="156">
        <f t="shared" si="738"/>
        <v>0</v>
      </c>
      <c r="U385" s="156">
        <f t="shared" si="739"/>
        <v>0</v>
      </c>
      <c r="V385" s="156">
        <f t="shared" si="740"/>
        <v>0</v>
      </c>
      <c r="W385" s="156">
        <f t="shared" si="741"/>
        <v>0</v>
      </c>
      <c r="X385" s="158">
        <f t="shared" ref="X385" si="749">$S385/ORCAMENTO_VALOR_TOTAL_ND</f>
        <v>0</v>
      </c>
      <c r="Y385" s="158">
        <f t="shared" ref="Y385" si="750">$T385/ORCAMENTO_VALOR_TOTAL_DE</f>
        <v>0</v>
      </c>
      <c r="Z385" s="158" cm="1">
        <f t="array" ref="Z385">_xlfn.SWITCH($N385,"BDI 1",$O$6,"BDI 2",$O$7,"BDI 3",$O$8)</f>
        <v>0.20699999999999999</v>
      </c>
      <c r="AA385" s="158" cm="1">
        <f t="array" ref="AA385">_xlfn.SWITCH($N385,"BDI 1",$P$6,"BDI 2",$P$7,"BDI 3",$P$8)</f>
        <v>0.26739999999999997</v>
      </c>
      <c r="AB385" s="158">
        <f t="shared" ca="1" si="744"/>
        <v>0</v>
      </c>
      <c r="AC385" s="158">
        <f t="shared" ca="1" si="745"/>
        <v>0</v>
      </c>
      <c r="AD385" s="164"/>
      <c r="AE385" s="148">
        <f t="shared" si="651"/>
        <v>0</v>
      </c>
      <c r="AF385" s="149"/>
      <c r="AG385" s="150"/>
      <c r="AH385" s="159" t="e">
        <f t="shared" si="746"/>
        <v>#DIV/0!</v>
      </c>
      <c r="AI385" s="165" t="s">
        <v>216</v>
      </c>
      <c r="AJ385" s="105"/>
      <c r="AK385" s="105"/>
      <c r="AM385" s="105"/>
      <c r="AN385" s="105"/>
      <c r="AO385" s="105"/>
      <c r="AP385" s="105"/>
      <c r="AQ385" s="105"/>
      <c r="AR385" s="105"/>
    </row>
    <row r="386" spans="1:44" s="49" customFormat="1" ht="40.15" hidden="1" customHeight="1">
      <c r="A386" s="152">
        <f t="shared" ca="1" si="652"/>
        <v>0</v>
      </c>
      <c r="B386" s="153">
        <v>94966</v>
      </c>
      <c r="C386" s="154" t="str">
        <f t="shared" si="733"/>
        <v>94966</v>
      </c>
      <c r="D386" s="154" t="s">
        <v>1416</v>
      </c>
      <c r="E386" s="155" t="s">
        <v>3821</v>
      </c>
      <c r="F386" s="154"/>
      <c r="G386" s="154" t="s">
        <v>464</v>
      </c>
      <c r="H386" s="152">
        <v>507.01</v>
      </c>
      <c r="I386" s="152">
        <v>504.78</v>
      </c>
      <c r="J386" s="156"/>
      <c r="K386" s="156">
        <f>Bacia_Amortecimento!J48</f>
        <v>0</v>
      </c>
      <c r="L386" s="156">
        <f t="shared" si="734"/>
        <v>0</v>
      </c>
      <c r="M386" s="156">
        <f t="shared" si="735"/>
        <v>0</v>
      </c>
      <c r="N386" s="156" t="s">
        <v>83</v>
      </c>
      <c r="O386" s="157" cm="1">
        <f t="array" ref="O386">TRUNC($H386*(1+_xlfn.SWITCH($N386,"BDI 1",$O$6,"BDI 2",$O$7,"BDI 3",$O$8)),2)</f>
        <v>611.96</v>
      </c>
      <c r="P386" s="157" cm="1">
        <f t="array" ref="P386">TRUNC($I386*(1+_xlfn.SWITCH($N386,"BDI 1",$P$6,"BDI 2",$P$7,"BDI 3",$P$8)),2)</f>
        <v>639.75</v>
      </c>
      <c r="Q386" s="157">
        <v>0</v>
      </c>
      <c r="R386" s="157">
        <f t="shared" si="736"/>
        <v>0</v>
      </c>
      <c r="S386" s="156">
        <f t="shared" si="737"/>
        <v>0</v>
      </c>
      <c r="T386" s="156">
        <f t="shared" si="738"/>
        <v>0</v>
      </c>
      <c r="U386" s="156">
        <f t="shared" si="739"/>
        <v>0</v>
      </c>
      <c r="V386" s="156">
        <f t="shared" si="740"/>
        <v>0</v>
      </c>
      <c r="W386" s="156">
        <f t="shared" si="741"/>
        <v>0</v>
      </c>
      <c r="X386" s="158">
        <f t="shared" ref="X386" si="751">$S386/ORCAMENTO_VALOR_TOTAL_ND</f>
        <v>0</v>
      </c>
      <c r="Y386" s="158">
        <f t="shared" ref="Y386" si="752">$T386/ORCAMENTO_VALOR_TOTAL_DE</f>
        <v>0</v>
      </c>
      <c r="Z386" s="158" cm="1">
        <f t="array" ref="Z386">_xlfn.SWITCH($N386,"BDI 1",$O$6,"BDI 2",$O$7,"BDI 3",$O$8)</f>
        <v>0.20699999999999999</v>
      </c>
      <c r="AA386" s="158" cm="1">
        <f t="array" ref="AA386">_xlfn.SWITCH($N386,"BDI 1",$P$6,"BDI 2",$P$7,"BDI 3",$P$8)</f>
        <v>0.26739999999999997</v>
      </c>
      <c r="AB386" s="158">
        <f t="shared" ca="1" si="744"/>
        <v>0</v>
      </c>
      <c r="AC386" s="158">
        <f t="shared" ca="1" si="745"/>
        <v>0</v>
      </c>
      <c r="AD386" s="164"/>
      <c r="AE386" s="148">
        <f t="shared" si="651"/>
        <v>0</v>
      </c>
      <c r="AF386" s="149"/>
      <c r="AG386" s="150"/>
      <c r="AH386" s="159" t="e">
        <f t="shared" si="746"/>
        <v>#DIV/0!</v>
      </c>
      <c r="AI386" s="165" t="s">
        <v>216</v>
      </c>
      <c r="AJ386" s="105"/>
      <c r="AK386" s="105"/>
      <c r="AM386" s="105"/>
      <c r="AN386" s="105"/>
      <c r="AO386" s="105"/>
      <c r="AP386" s="105"/>
      <c r="AQ386" s="105"/>
      <c r="AR386" s="105"/>
    </row>
    <row r="387" spans="1:44" s="49" customFormat="1" ht="40.15" hidden="1" customHeight="1">
      <c r="A387" s="152">
        <f t="shared" ca="1" si="652"/>
        <v>0</v>
      </c>
      <c r="B387" s="153">
        <v>34495</v>
      </c>
      <c r="C387" s="154" t="str">
        <f t="shared" si="733"/>
        <v>34495</v>
      </c>
      <c r="D387" s="154" t="s">
        <v>3579</v>
      </c>
      <c r="E387" s="155" t="s">
        <v>3822</v>
      </c>
      <c r="F387" s="154"/>
      <c r="G387" s="154" t="s">
        <v>464</v>
      </c>
      <c r="H387" s="152">
        <v>619.65</v>
      </c>
      <c r="I387" s="152">
        <v>619.65</v>
      </c>
      <c r="J387" s="156"/>
      <c r="K387" s="156">
        <f>Bacia_Amortecimento!J49</f>
        <v>0</v>
      </c>
      <c r="L387" s="156">
        <f t="shared" si="734"/>
        <v>0</v>
      </c>
      <c r="M387" s="156">
        <f t="shared" si="735"/>
        <v>0</v>
      </c>
      <c r="N387" s="156" t="s">
        <v>92</v>
      </c>
      <c r="O387" s="157" cm="1">
        <f t="array" ref="O387">TRUNC($H387*(1+_xlfn.SWITCH($N387,"BDI 1",$O$6,"BDI 2",$O$7,"BDI 3",$O$8)),2)</f>
        <v>714.27</v>
      </c>
      <c r="P387" s="157" cm="1">
        <f t="array" ref="P387">TRUNC($I387*(1+_xlfn.SWITCH($N387,"BDI 1",$P$6,"BDI 2",$P$7,"BDI 3",$P$8)),2)</f>
        <v>714.27</v>
      </c>
      <c r="Q387" s="157">
        <v>0</v>
      </c>
      <c r="R387" s="157">
        <f t="shared" si="736"/>
        <v>0</v>
      </c>
      <c r="S387" s="156">
        <f t="shared" si="737"/>
        <v>0</v>
      </c>
      <c r="T387" s="156">
        <f t="shared" si="738"/>
        <v>0</v>
      </c>
      <c r="U387" s="156">
        <f t="shared" si="739"/>
        <v>0</v>
      </c>
      <c r="V387" s="156">
        <f t="shared" si="740"/>
        <v>0</v>
      </c>
      <c r="W387" s="156">
        <f t="shared" si="741"/>
        <v>0</v>
      </c>
      <c r="X387" s="158">
        <f t="shared" ref="X387" si="753">$S387/ORCAMENTO_VALOR_TOTAL_ND</f>
        <v>0</v>
      </c>
      <c r="Y387" s="158">
        <f t="shared" ref="Y387" si="754">$T387/ORCAMENTO_VALOR_TOTAL_DE</f>
        <v>0</v>
      </c>
      <c r="Z387" s="158" cm="1">
        <f t="array" ref="Z387">_xlfn.SWITCH($N387,"BDI 1",$O$6,"BDI 2",$O$7,"BDI 3",$O$8)</f>
        <v>0.1527</v>
      </c>
      <c r="AA387" s="158" cm="1">
        <f t="array" ref="AA387">_xlfn.SWITCH($N387,"BDI 1",$P$6,"BDI 2",$P$7,"BDI 3",$P$8)</f>
        <v>0.1527</v>
      </c>
      <c r="AB387" s="158">
        <f t="shared" ca="1" si="744"/>
        <v>0</v>
      </c>
      <c r="AC387" s="158">
        <f t="shared" ca="1" si="745"/>
        <v>0</v>
      </c>
      <c r="AD387" s="164"/>
      <c r="AE387" s="148">
        <f t="shared" si="651"/>
        <v>0</v>
      </c>
      <c r="AF387" s="149"/>
      <c r="AG387" s="150"/>
      <c r="AH387" s="159" t="e">
        <f t="shared" si="746"/>
        <v>#DIV/0!</v>
      </c>
      <c r="AI387" s="160"/>
      <c r="AJ387" s="105"/>
      <c r="AK387" s="105"/>
      <c r="AM387" s="105"/>
      <c r="AN387" s="105"/>
      <c r="AO387" s="105"/>
      <c r="AP387" s="105"/>
      <c r="AQ387" s="105"/>
      <c r="AR387" s="105"/>
    </row>
    <row r="388" spans="1:44" s="49" customFormat="1" ht="40.15" hidden="1" customHeight="1">
      <c r="A388" s="152">
        <f t="shared" ca="1" si="652"/>
        <v>0</v>
      </c>
      <c r="B388" s="153">
        <v>103670</v>
      </c>
      <c r="C388" s="154" t="str">
        <f t="shared" si="733"/>
        <v>103670</v>
      </c>
      <c r="D388" s="154" t="s">
        <v>1416</v>
      </c>
      <c r="E388" s="155" t="s">
        <v>3792</v>
      </c>
      <c r="F388" s="154"/>
      <c r="G388" s="154" t="s">
        <v>464</v>
      </c>
      <c r="H388" s="152">
        <v>272.37</v>
      </c>
      <c r="I388" s="152">
        <v>247.05</v>
      </c>
      <c r="J388" s="156"/>
      <c r="K388" s="156">
        <f>K383+IF(AI384="usinado",0,K384)+IF(AI385="usinado",0,K385)+IF(AI386="usinado",0,K386)</f>
        <v>0</v>
      </c>
      <c r="L388" s="156">
        <f t="shared" si="734"/>
        <v>0</v>
      </c>
      <c r="M388" s="156">
        <f t="shared" si="735"/>
        <v>0</v>
      </c>
      <c r="N388" s="156" t="s">
        <v>83</v>
      </c>
      <c r="O388" s="157" cm="1">
        <f t="array" ref="O388">TRUNC($H388*(1+_xlfn.SWITCH($N388,"BDI 1",$O$6,"BDI 2",$O$7,"BDI 3",$O$8)),2)</f>
        <v>328.75</v>
      </c>
      <c r="P388" s="157" cm="1">
        <f t="array" ref="P388">TRUNC($I388*(1+_xlfn.SWITCH($N388,"BDI 1",$P$6,"BDI 2",$P$7,"BDI 3",$P$8)),2)</f>
        <v>313.11</v>
      </c>
      <c r="Q388" s="157">
        <v>0</v>
      </c>
      <c r="R388" s="157">
        <f t="shared" si="736"/>
        <v>0</v>
      </c>
      <c r="S388" s="156">
        <f t="shared" si="737"/>
        <v>0</v>
      </c>
      <c r="T388" s="156">
        <f t="shared" si="738"/>
        <v>0</v>
      </c>
      <c r="U388" s="156">
        <f t="shared" si="739"/>
        <v>0</v>
      </c>
      <c r="V388" s="156">
        <f t="shared" si="740"/>
        <v>0</v>
      </c>
      <c r="W388" s="156">
        <f t="shared" si="741"/>
        <v>0</v>
      </c>
      <c r="X388" s="158">
        <f t="shared" ref="X388" si="755">$S388/ORCAMENTO_VALOR_TOTAL_ND</f>
        <v>0</v>
      </c>
      <c r="Y388" s="158">
        <f t="shared" ref="Y388" si="756">$T388/ORCAMENTO_VALOR_TOTAL_DE</f>
        <v>0</v>
      </c>
      <c r="Z388" s="158" cm="1">
        <f t="array" ref="Z388">_xlfn.SWITCH($N388,"BDI 1",$O$6,"BDI 2",$O$7,"BDI 3",$O$8)</f>
        <v>0.20699999999999999</v>
      </c>
      <c r="AA388" s="158" cm="1">
        <f t="array" ref="AA388">_xlfn.SWITCH($N388,"BDI 1",$P$6,"BDI 2",$P$7,"BDI 3",$P$8)</f>
        <v>0.26739999999999997</v>
      </c>
      <c r="AB388" s="158">
        <f t="shared" ca="1" si="744"/>
        <v>0</v>
      </c>
      <c r="AC388" s="158">
        <f t="shared" ca="1" si="745"/>
        <v>0</v>
      </c>
      <c r="AD388" s="164"/>
      <c r="AE388" s="148">
        <f t="shared" si="651"/>
        <v>0</v>
      </c>
      <c r="AF388" s="149"/>
      <c r="AG388" s="150"/>
      <c r="AH388" s="159" t="e">
        <f t="shared" si="746"/>
        <v>#DIV/0!</v>
      </c>
      <c r="AI388" s="160"/>
      <c r="AJ388" s="105"/>
      <c r="AK388" s="105"/>
      <c r="AM388" s="105"/>
      <c r="AN388" s="105"/>
      <c r="AO388" s="105"/>
      <c r="AP388" s="105"/>
      <c r="AQ388" s="105"/>
      <c r="AR388" s="105"/>
    </row>
    <row r="389" spans="1:44" s="49" customFormat="1" ht="40.15" hidden="1" customHeight="1">
      <c r="A389" s="152">
        <f t="shared" ca="1" si="652"/>
        <v>0</v>
      </c>
      <c r="B389" s="153">
        <v>103673</v>
      </c>
      <c r="C389" s="154" t="str">
        <f t="shared" si="733"/>
        <v>103673</v>
      </c>
      <c r="D389" s="154" t="s">
        <v>1416</v>
      </c>
      <c r="E389" s="155" t="s">
        <v>3795</v>
      </c>
      <c r="F389" s="154"/>
      <c r="G389" s="154" t="s">
        <v>464</v>
      </c>
      <c r="H389" s="152">
        <v>38.33</v>
      </c>
      <c r="I389" s="152">
        <v>34.799999999999997</v>
      </c>
      <c r="J389" s="156"/>
      <c r="K389" s="156">
        <f>K387+IF(AI384="usinado",K384,0)+IF(AI385="usinado",K385,0)+IF(AI386="usinado",K386,0)</f>
        <v>0</v>
      </c>
      <c r="L389" s="156">
        <f t="shared" si="734"/>
        <v>0</v>
      </c>
      <c r="M389" s="156">
        <f t="shared" si="735"/>
        <v>0</v>
      </c>
      <c r="N389" s="156" t="s">
        <v>83</v>
      </c>
      <c r="O389" s="157" cm="1">
        <f t="array" ref="O389">TRUNC($H389*(1+_xlfn.SWITCH($N389,"BDI 1",$O$6,"BDI 2",$O$7,"BDI 3",$O$8)),2)</f>
        <v>46.26</v>
      </c>
      <c r="P389" s="157" cm="1">
        <f t="array" ref="P389">TRUNC($I389*(1+_xlfn.SWITCH($N389,"BDI 1",$P$6,"BDI 2",$P$7,"BDI 3",$P$8)),2)</f>
        <v>44.1</v>
      </c>
      <c r="Q389" s="157">
        <v>0</v>
      </c>
      <c r="R389" s="157">
        <f t="shared" si="736"/>
        <v>0</v>
      </c>
      <c r="S389" s="156">
        <f t="shared" si="737"/>
        <v>0</v>
      </c>
      <c r="T389" s="156">
        <f t="shared" si="738"/>
        <v>0</v>
      </c>
      <c r="U389" s="156">
        <f t="shared" si="739"/>
        <v>0</v>
      </c>
      <c r="V389" s="156">
        <f t="shared" si="740"/>
        <v>0</v>
      </c>
      <c r="W389" s="156">
        <f t="shared" si="741"/>
        <v>0</v>
      </c>
      <c r="X389" s="158">
        <f t="shared" ref="X389" si="757">$S389/ORCAMENTO_VALOR_TOTAL_ND</f>
        <v>0</v>
      </c>
      <c r="Y389" s="158">
        <f t="shared" ref="Y389" si="758">$T389/ORCAMENTO_VALOR_TOTAL_DE</f>
        <v>0</v>
      </c>
      <c r="Z389" s="158" cm="1">
        <f t="array" ref="Z389">_xlfn.SWITCH($N389,"BDI 1",$O$6,"BDI 2",$O$7,"BDI 3",$O$8)</f>
        <v>0.20699999999999999</v>
      </c>
      <c r="AA389" s="158" cm="1">
        <f t="array" ref="AA389">_xlfn.SWITCH($N389,"BDI 1",$P$6,"BDI 2",$P$7,"BDI 3",$P$8)</f>
        <v>0.26739999999999997</v>
      </c>
      <c r="AB389" s="158">
        <f t="shared" ca="1" si="744"/>
        <v>0</v>
      </c>
      <c r="AC389" s="158">
        <f t="shared" ca="1" si="745"/>
        <v>0</v>
      </c>
      <c r="AD389" s="164"/>
      <c r="AE389" s="148">
        <f t="shared" si="651"/>
        <v>0</v>
      </c>
      <c r="AF389" s="149"/>
      <c r="AG389" s="150"/>
      <c r="AH389" s="159" t="e">
        <f t="shared" si="746"/>
        <v>#DIV/0!</v>
      </c>
      <c r="AI389" s="160"/>
      <c r="AJ389" s="105"/>
      <c r="AK389" s="105"/>
      <c r="AM389" s="105"/>
      <c r="AN389" s="105"/>
      <c r="AO389" s="105"/>
      <c r="AP389" s="105"/>
      <c r="AQ389" s="105"/>
      <c r="AR389" s="105"/>
    </row>
    <row r="390" spans="1:44" s="49" customFormat="1" ht="40.15" hidden="1" customHeight="1">
      <c r="A390" s="152">
        <f t="shared" ca="1" si="652"/>
        <v>0</v>
      </c>
      <c r="B390" s="153">
        <v>102487</v>
      </c>
      <c r="C390" s="154" t="str">
        <f t="shared" si="733"/>
        <v>102487</v>
      </c>
      <c r="D390" s="154" t="s">
        <v>1416</v>
      </c>
      <c r="E390" s="155" t="s">
        <v>3796</v>
      </c>
      <c r="F390" s="154"/>
      <c r="G390" s="154" t="s">
        <v>464</v>
      </c>
      <c r="H390" s="152">
        <v>558.70000000000005</v>
      </c>
      <c r="I390" s="152">
        <v>543.11</v>
      </c>
      <c r="J390" s="156"/>
      <c r="K390" s="156">
        <f>Bacia_Amortecimento!J50</f>
        <v>0</v>
      </c>
      <c r="L390" s="156">
        <f t="shared" si="734"/>
        <v>0</v>
      </c>
      <c r="M390" s="156">
        <f t="shared" si="735"/>
        <v>0</v>
      </c>
      <c r="N390" s="156" t="s">
        <v>83</v>
      </c>
      <c r="O390" s="157" cm="1">
        <f t="array" ref="O390">TRUNC($H390*(1+_xlfn.SWITCH($N390,"BDI 1",$O$6,"BDI 2",$O$7,"BDI 3",$O$8)),2)</f>
        <v>674.35</v>
      </c>
      <c r="P390" s="157" cm="1">
        <f t="array" ref="P390">TRUNC($I390*(1+_xlfn.SWITCH($N390,"BDI 1",$P$6,"BDI 2",$P$7,"BDI 3",$P$8)),2)</f>
        <v>688.33</v>
      </c>
      <c r="Q390" s="157">
        <v>0</v>
      </c>
      <c r="R390" s="157">
        <f t="shared" si="736"/>
        <v>0</v>
      </c>
      <c r="S390" s="156">
        <f t="shared" si="737"/>
        <v>0</v>
      </c>
      <c r="T390" s="156">
        <f t="shared" si="738"/>
        <v>0</v>
      </c>
      <c r="U390" s="156">
        <f t="shared" si="739"/>
        <v>0</v>
      </c>
      <c r="V390" s="156">
        <f t="shared" si="740"/>
        <v>0</v>
      </c>
      <c r="W390" s="156">
        <f t="shared" si="741"/>
        <v>0</v>
      </c>
      <c r="X390" s="158">
        <f t="shared" ref="X390" si="759">$S390/ORCAMENTO_VALOR_TOTAL_ND</f>
        <v>0</v>
      </c>
      <c r="Y390" s="158">
        <f t="shared" ref="Y390" si="760">$T390/ORCAMENTO_VALOR_TOTAL_DE</f>
        <v>0</v>
      </c>
      <c r="Z390" s="158" cm="1">
        <f t="array" ref="Z390">_xlfn.SWITCH($N390,"BDI 1",$O$6,"BDI 2",$O$7,"BDI 3",$O$8)</f>
        <v>0.20699999999999999</v>
      </c>
      <c r="AA390" s="158" cm="1">
        <f t="array" ref="AA390">_xlfn.SWITCH($N390,"BDI 1",$P$6,"BDI 2",$P$7,"BDI 3",$P$8)</f>
        <v>0.26739999999999997</v>
      </c>
      <c r="AB390" s="158">
        <f t="shared" ca="1" si="744"/>
        <v>0</v>
      </c>
      <c r="AC390" s="158">
        <f t="shared" ca="1" si="745"/>
        <v>0</v>
      </c>
      <c r="AD390" s="164"/>
      <c r="AE390" s="148">
        <f t="shared" si="651"/>
        <v>0</v>
      </c>
      <c r="AF390" s="149"/>
      <c r="AG390" s="150"/>
      <c r="AH390" s="159" t="e">
        <f t="shared" si="746"/>
        <v>#DIV/0!</v>
      </c>
      <c r="AI390" s="160"/>
      <c r="AJ390" s="105"/>
      <c r="AK390" s="105"/>
      <c r="AM390" s="105"/>
      <c r="AN390" s="105"/>
      <c r="AO390" s="105"/>
      <c r="AP390" s="105"/>
      <c r="AQ390" s="105"/>
      <c r="AR390" s="105"/>
    </row>
    <row r="391" spans="1:44" s="49" customFormat="1" ht="49.9" hidden="1" customHeight="1">
      <c r="A391" s="152">
        <f t="shared" ca="1" si="652"/>
        <v>0</v>
      </c>
      <c r="B391" s="153">
        <v>93959</v>
      </c>
      <c r="C391" s="154" t="str">
        <f t="shared" si="733"/>
        <v>93959</v>
      </c>
      <c r="D391" s="154" t="s">
        <v>1416</v>
      </c>
      <c r="E391" s="155" t="s">
        <v>3823</v>
      </c>
      <c r="F391" s="154"/>
      <c r="G391" s="154" t="s">
        <v>58</v>
      </c>
      <c r="H391" s="152">
        <v>219.26</v>
      </c>
      <c r="I391" s="152">
        <v>209.64</v>
      </c>
      <c r="J391" s="156"/>
      <c r="K391" s="156">
        <f>Bacia_Amortecimento!J65</f>
        <v>0</v>
      </c>
      <c r="L391" s="156">
        <f t="shared" si="734"/>
        <v>0</v>
      </c>
      <c r="M391" s="156">
        <f t="shared" si="735"/>
        <v>0</v>
      </c>
      <c r="N391" s="156" t="s">
        <v>83</v>
      </c>
      <c r="O391" s="157" cm="1">
        <f t="array" ref="O391">TRUNC($H391*(1+_xlfn.SWITCH($N391,"BDI 1",$O$6,"BDI 2",$O$7,"BDI 3",$O$8)),2)</f>
        <v>264.64</v>
      </c>
      <c r="P391" s="157" cm="1">
        <f t="array" ref="P391">TRUNC($I391*(1+_xlfn.SWITCH($N391,"BDI 1",$P$6,"BDI 2",$P$7,"BDI 3",$P$8)),2)</f>
        <v>265.69</v>
      </c>
      <c r="Q391" s="157">
        <v>0</v>
      </c>
      <c r="R391" s="157">
        <f t="shared" si="736"/>
        <v>0</v>
      </c>
      <c r="S391" s="156">
        <f t="shared" si="737"/>
        <v>0</v>
      </c>
      <c r="T391" s="156">
        <f t="shared" si="738"/>
        <v>0</v>
      </c>
      <c r="U391" s="156">
        <f t="shared" si="739"/>
        <v>0</v>
      </c>
      <c r="V391" s="156">
        <f t="shared" si="740"/>
        <v>0</v>
      </c>
      <c r="W391" s="156">
        <f t="shared" si="741"/>
        <v>0</v>
      </c>
      <c r="X391" s="158">
        <f t="shared" ref="X391" si="761">$S391/ORCAMENTO_VALOR_TOTAL_ND</f>
        <v>0</v>
      </c>
      <c r="Y391" s="158">
        <f t="shared" ref="Y391" si="762">$T391/ORCAMENTO_VALOR_TOTAL_DE</f>
        <v>0</v>
      </c>
      <c r="Z391" s="158" cm="1">
        <f t="array" ref="Z391">_xlfn.SWITCH($N391,"BDI 1",$O$6,"BDI 2",$O$7,"BDI 3",$O$8)</f>
        <v>0.20699999999999999</v>
      </c>
      <c r="AA391" s="158" cm="1">
        <f t="array" ref="AA391">_xlfn.SWITCH($N391,"BDI 1",$P$6,"BDI 2",$P$7,"BDI 3",$P$8)</f>
        <v>0.26739999999999997</v>
      </c>
      <c r="AB391" s="158">
        <f t="shared" ca="1" si="744"/>
        <v>0</v>
      </c>
      <c r="AC391" s="158">
        <f t="shared" ca="1" si="745"/>
        <v>0</v>
      </c>
      <c r="AD391" s="164"/>
      <c r="AE391" s="148">
        <f t="shared" si="651"/>
        <v>0</v>
      </c>
      <c r="AF391" s="149"/>
      <c r="AG391" s="150"/>
      <c r="AH391" s="159" t="e">
        <f t="shared" si="746"/>
        <v>#DIV/0!</v>
      </c>
      <c r="AI391" s="160"/>
      <c r="AJ391" s="105"/>
      <c r="AK391" s="105"/>
      <c r="AM391" s="105"/>
      <c r="AN391" s="105"/>
      <c r="AO391" s="105"/>
      <c r="AP391" s="105"/>
      <c r="AQ391" s="105"/>
      <c r="AR391" s="105"/>
    </row>
    <row r="392" spans="1:44" s="49" customFormat="1" ht="49.9" hidden="1" customHeight="1">
      <c r="A392" s="152">
        <f t="shared" ca="1" si="652"/>
        <v>0</v>
      </c>
      <c r="B392" s="153">
        <v>93960</v>
      </c>
      <c r="C392" s="154" t="str">
        <f t="shared" si="733"/>
        <v>93960</v>
      </c>
      <c r="D392" s="154" t="s">
        <v>1416</v>
      </c>
      <c r="E392" s="155" t="s">
        <v>3824</v>
      </c>
      <c r="F392" s="154"/>
      <c r="G392" s="154" t="s">
        <v>58</v>
      </c>
      <c r="H392" s="152">
        <v>212.1</v>
      </c>
      <c r="I392" s="152">
        <v>202.98</v>
      </c>
      <c r="J392" s="156"/>
      <c r="K392" s="156">
        <f>Bacia_Amortecimento!J66</f>
        <v>0</v>
      </c>
      <c r="L392" s="156">
        <f t="shared" si="734"/>
        <v>0</v>
      </c>
      <c r="M392" s="156">
        <f t="shared" si="735"/>
        <v>0</v>
      </c>
      <c r="N392" s="156" t="s">
        <v>83</v>
      </c>
      <c r="O392" s="157" cm="1">
        <f t="array" ref="O392">TRUNC($H392*(1+_xlfn.SWITCH($N392,"BDI 1",$O$6,"BDI 2",$O$7,"BDI 3",$O$8)),2)</f>
        <v>256</v>
      </c>
      <c r="P392" s="157" cm="1">
        <f t="array" ref="P392">TRUNC($I392*(1+_xlfn.SWITCH($N392,"BDI 1",$P$6,"BDI 2",$P$7,"BDI 3",$P$8)),2)</f>
        <v>257.25</v>
      </c>
      <c r="Q392" s="157">
        <v>0</v>
      </c>
      <c r="R392" s="157">
        <f t="shared" si="736"/>
        <v>0</v>
      </c>
      <c r="S392" s="156">
        <f t="shared" si="737"/>
        <v>0</v>
      </c>
      <c r="T392" s="156">
        <f t="shared" si="738"/>
        <v>0</v>
      </c>
      <c r="U392" s="156">
        <f t="shared" si="739"/>
        <v>0</v>
      </c>
      <c r="V392" s="156">
        <f t="shared" si="740"/>
        <v>0</v>
      </c>
      <c r="W392" s="156">
        <f t="shared" si="741"/>
        <v>0</v>
      </c>
      <c r="X392" s="158">
        <f t="shared" ref="X392" si="763">$S392/ORCAMENTO_VALOR_TOTAL_ND</f>
        <v>0</v>
      </c>
      <c r="Y392" s="158">
        <f t="shared" ref="Y392" si="764">$T392/ORCAMENTO_VALOR_TOTAL_DE</f>
        <v>0</v>
      </c>
      <c r="Z392" s="158" cm="1">
        <f t="array" ref="Z392">_xlfn.SWITCH($N392,"BDI 1",$O$6,"BDI 2",$O$7,"BDI 3",$O$8)</f>
        <v>0.20699999999999999</v>
      </c>
      <c r="AA392" s="158" cm="1">
        <f t="array" ref="AA392">_xlfn.SWITCH($N392,"BDI 1",$P$6,"BDI 2",$P$7,"BDI 3",$P$8)</f>
        <v>0.26739999999999997</v>
      </c>
      <c r="AB392" s="158">
        <f t="shared" ca="1" si="744"/>
        <v>0</v>
      </c>
      <c r="AC392" s="158">
        <f t="shared" ca="1" si="745"/>
        <v>0</v>
      </c>
      <c r="AD392" s="164"/>
      <c r="AE392" s="148">
        <f t="shared" si="651"/>
        <v>0</v>
      </c>
      <c r="AF392" s="149"/>
      <c r="AG392" s="150"/>
      <c r="AH392" s="159" t="e">
        <f t="shared" si="746"/>
        <v>#DIV/0!</v>
      </c>
      <c r="AI392" s="160"/>
      <c r="AJ392" s="105"/>
      <c r="AK392" s="105"/>
      <c r="AM392" s="105"/>
      <c r="AN392" s="105"/>
      <c r="AO392" s="105"/>
      <c r="AP392" s="105"/>
      <c r="AQ392" s="105"/>
      <c r="AR392" s="105"/>
    </row>
    <row r="393" spans="1:44" s="49" customFormat="1" ht="49.9" hidden="1" customHeight="1">
      <c r="A393" s="152">
        <f t="shared" ca="1" si="652"/>
        <v>0</v>
      </c>
      <c r="B393" s="153">
        <v>91074</v>
      </c>
      <c r="C393" s="154" t="str">
        <f t="shared" si="733"/>
        <v>91074</v>
      </c>
      <c r="D393" s="154" t="s">
        <v>1416</v>
      </c>
      <c r="E393" s="155" t="s">
        <v>3825</v>
      </c>
      <c r="F393" s="154"/>
      <c r="G393" s="154" t="s">
        <v>1418</v>
      </c>
      <c r="H393" s="152">
        <v>148.91</v>
      </c>
      <c r="I393" s="152">
        <v>144.52000000000001</v>
      </c>
      <c r="J393" s="156"/>
      <c r="K393" s="156">
        <f>Bacia_Amortecimento!J67</f>
        <v>0</v>
      </c>
      <c r="L393" s="156">
        <f t="shared" si="734"/>
        <v>0</v>
      </c>
      <c r="M393" s="156">
        <f t="shared" si="735"/>
        <v>0</v>
      </c>
      <c r="N393" s="156" t="s">
        <v>83</v>
      </c>
      <c r="O393" s="157" cm="1">
        <f t="array" ref="O393">TRUNC($H393*(1+_xlfn.SWITCH($N393,"BDI 1",$O$6,"BDI 2",$O$7,"BDI 3",$O$8)),2)</f>
        <v>179.73</v>
      </c>
      <c r="P393" s="157" cm="1">
        <f t="array" ref="P393">TRUNC($I393*(1+_xlfn.SWITCH($N393,"BDI 1",$P$6,"BDI 2",$P$7,"BDI 3",$P$8)),2)</f>
        <v>183.16</v>
      </c>
      <c r="Q393" s="157">
        <v>0</v>
      </c>
      <c r="R393" s="157">
        <f t="shared" si="736"/>
        <v>0</v>
      </c>
      <c r="S393" s="156">
        <f t="shared" si="737"/>
        <v>0</v>
      </c>
      <c r="T393" s="156">
        <f t="shared" si="738"/>
        <v>0</v>
      </c>
      <c r="U393" s="156">
        <f t="shared" si="739"/>
        <v>0</v>
      </c>
      <c r="V393" s="156">
        <f t="shared" si="740"/>
        <v>0</v>
      </c>
      <c r="W393" s="156">
        <f t="shared" si="741"/>
        <v>0</v>
      </c>
      <c r="X393" s="158">
        <f t="shared" ref="X393" si="765">$S393/ORCAMENTO_VALOR_TOTAL_ND</f>
        <v>0</v>
      </c>
      <c r="Y393" s="158">
        <f t="shared" ref="Y393" si="766">$T393/ORCAMENTO_VALOR_TOTAL_DE</f>
        <v>0</v>
      </c>
      <c r="Z393" s="158" cm="1">
        <f t="array" ref="Z393">_xlfn.SWITCH($N393,"BDI 1",$O$6,"BDI 2",$O$7,"BDI 3",$O$8)</f>
        <v>0.20699999999999999</v>
      </c>
      <c r="AA393" s="158" cm="1">
        <f t="array" ref="AA393">_xlfn.SWITCH($N393,"BDI 1",$P$6,"BDI 2",$P$7,"BDI 3",$P$8)</f>
        <v>0.26739999999999997</v>
      </c>
      <c r="AB393" s="158">
        <f t="shared" ca="1" si="744"/>
        <v>0</v>
      </c>
      <c r="AC393" s="158">
        <f t="shared" ca="1" si="745"/>
        <v>0</v>
      </c>
      <c r="AD393" s="164"/>
      <c r="AE393" s="148">
        <f t="shared" si="651"/>
        <v>0</v>
      </c>
      <c r="AF393" s="149"/>
      <c r="AG393" s="150"/>
      <c r="AH393" s="159" t="e">
        <f t="shared" si="746"/>
        <v>#DIV/0!</v>
      </c>
      <c r="AI393" s="160"/>
      <c r="AJ393" s="105"/>
      <c r="AK393" s="105"/>
      <c r="AM393" s="105"/>
      <c r="AN393" s="105"/>
      <c r="AO393" s="105"/>
      <c r="AP393" s="105"/>
      <c r="AQ393" s="105"/>
      <c r="AR393" s="105"/>
    </row>
    <row r="394" spans="1:44" s="49" customFormat="1" ht="49.9" hidden="1" customHeight="1">
      <c r="A394" s="152">
        <f t="shared" ca="1" si="652"/>
        <v>0</v>
      </c>
      <c r="B394" s="153">
        <v>91099</v>
      </c>
      <c r="C394" s="154" t="str">
        <f t="shared" si="733"/>
        <v>91099</v>
      </c>
      <c r="D394" s="154" t="s">
        <v>1416</v>
      </c>
      <c r="E394" s="155" t="s">
        <v>3826</v>
      </c>
      <c r="F394" s="154"/>
      <c r="G394" s="154" t="s">
        <v>1418</v>
      </c>
      <c r="H394" s="152">
        <v>175.17</v>
      </c>
      <c r="I394" s="152">
        <v>174.93</v>
      </c>
      <c r="J394" s="156"/>
      <c r="K394" s="156">
        <f>Bacia_Amortecimento!J68</f>
        <v>0</v>
      </c>
      <c r="L394" s="156">
        <f t="shared" si="734"/>
        <v>0</v>
      </c>
      <c r="M394" s="156">
        <f t="shared" si="735"/>
        <v>0</v>
      </c>
      <c r="N394" s="156" t="s">
        <v>83</v>
      </c>
      <c r="O394" s="157" cm="1">
        <f t="array" ref="O394">TRUNC($H394*(1+_xlfn.SWITCH($N394,"BDI 1",$O$6,"BDI 2",$O$7,"BDI 3",$O$8)),2)</f>
        <v>211.43</v>
      </c>
      <c r="P394" s="157" cm="1">
        <f t="array" ref="P394">TRUNC($I394*(1+_xlfn.SWITCH($N394,"BDI 1",$P$6,"BDI 2",$P$7,"BDI 3",$P$8)),2)</f>
        <v>221.7</v>
      </c>
      <c r="Q394" s="157">
        <v>0</v>
      </c>
      <c r="R394" s="157">
        <f t="shared" si="736"/>
        <v>0</v>
      </c>
      <c r="S394" s="156">
        <f t="shared" si="737"/>
        <v>0</v>
      </c>
      <c r="T394" s="156">
        <f t="shared" si="738"/>
        <v>0</v>
      </c>
      <c r="U394" s="156">
        <f t="shared" si="739"/>
        <v>0</v>
      </c>
      <c r="V394" s="156">
        <f t="shared" si="740"/>
        <v>0</v>
      </c>
      <c r="W394" s="156">
        <f t="shared" si="741"/>
        <v>0</v>
      </c>
      <c r="X394" s="158">
        <f t="shared" ref="X394" si="767">$S394/ORCAMENTO_VALOR_TOTAL_ND</f>
        <v>0</v>
      </c>
      <c r="Y394" s="158">
        <f t="shared" ref="Y394" si="768">$T394/ORCAMENTO_VALOR_TOTAL_DE</f>
        <v>0</v>
      </c>
      <c r="Z394" s="158" cm="1">
        <f t="array" ref="Z394">_xlfn.SWITCH($N394,"BDI 1",$O$6,"BDI 2",$O$7,"BDI 3",$O$8)</f>
        <v>0.20699999999999999</v>
      </c>
      <c r="AA394" s="158" cm="1">
        <f t="array" ref="AA394">_xlfn.SWITCH($N394,"BDI 1",$P$6,"BDI 2",$P$7,"BDI 3",$P$8)</f>
        <v>0.26739999999999997</v>
      </c>
      <c r="AB394" s="158">
        <f t="shared" ca="1" si="744"/>
        <v>0</v>
      </c>
      <c r="AC394" s="158">
        <f t="shared" ca="1" si="745"/>
        <v>0</v>
      </c>
      <c r="AD394" s="164"/>
      <c r="AE394" s="148">
        <f t="shared" si="651"/>
        <v>0</v>
      </c>
      <c r="AF394" s="149"/>
      <c r="AG394" s="150"/>
      <c r="AH394" s="159" t="e">
        <f t="shared" si="746"/>
        <v>#DIV/0!</v>
      </c>
      <c r="AI394" s="160"/>
      <c r="AJ394" s="105"/>
      <c r="AK394" s="105"/>
      <c r="AM394" s="105"/>
      <c r="AN394" s="105"/>
      <c r="AO394" s="105"/>
      <c r="AP394" s="105"/>
      <c r="AQ394" s="105"/>
      <c r="AR394" s="105"/>
    </row>
    <row r="395" spans="1:44" s="49" customFormat="1" ht="40.15" hidden="1" customHeight="1">
      <c r="A395" s="152">
        <f t="shared" ca="1" si="652"/>
        <v>0</v>
      </c>
      <c r="B395" s="153">
        <v>92415</v>
      </c>
      <c r="C395" s="154" t="str">
        <f t="shared" si="733"/>
        <v>92415</v>
      </c>
      <c r="D395" s="154" t="s">
        <v>1416</v>
      </c>
      <c r="E395" s="155" t="s">
        <v>3797</v>
      </c>
      <c r="F395" s="154"/>
      <c r="G395" s="154" t="s">
        <v>1418</v>
      </c>
      <c r="H395" s="152">
        <v>148.03</v>
      </c>
      <c r="I395" s="152">
        <v>133.79</v>
      </c>
      <c r="J395" s="156"/>
      <c r="K395" s="156">
        <f>Bacia_Amortecimento!J51</f>
        <v>0</v>
      </c>
      <c r="L395" s="156">
        <f t="shared" si="734"/>
        <v>0</v>
      </c>
      <c r="M395" s="156">
        <f t="shared" si="735"/>
        <v>0</v>
      </c>
      <c r="N395" s="156" t="s">
        <v>83</v>
      </c>
      <c r="O395" s="157" cm="1">
        <f t="array" ref="O395">TRUNC($H395*(1+_xlfn.SWITCH($N395,"BDI 1",$O$6,"BDI 2",$O$7,"BDI 3",$O$8)),2)</f>
        <v>178.67</v>
      </c>
      <c r="P395" s="157" cm="1">
        <f t="array" ref="P395">TRUNC($I395*(1+_xlfn.SWITCH($N395,"BDI 1",$P$6,"BDI 2",$P$7,"BDI 3",$P$8)),2)</f>
        <v>169.56</v>
      </c>
      <c r="Q395" s="157">
        <v>0</v>
      </c>
      <c r="R395" s="157">
        <f t="shared" si="736"/>
        <v>0</v>
      </c>
      <c r="S395" s="156">
        <f t="shared" si="737"/>
        <v>0</v>
      </c>
      <c r="T395" s="156">
        <f t="shared" si="738"/>
        <v>0</v>
      </c>
      <c r="U395" s="156">
        <f t="shared" si="739"/>
        <v>0</v>
      </c>
      <c r="V395" s="156">
        <f t="shared" si="740"/>
        <v>0</v>
      </c>
      <c r="W395" s="156">
        <f t="shared" si="741"/>
        <v>0</v>
      </c>
      <c r="X395" s="158">
        <f t="shared" ref="X395" si="769">$S395/ORCAMENTO_VALOR_TOTAL_ND</f>
        <v>0</v>
      </c>
      <c r="Y395" s="158">
        <f t="shared" ref="Y395" si="770">$T395/ORCAMENTO_VALOR_TOTAL_DE</f>
        <v>0</v>
      </c>
      <c r="Z395" s="158" cm="1">
        <f t="array" ref="Z395">_xlfn.SWITCH($N395,"BDI 1",$O$6,"BDI 2",$O$7,"BDI 3",$O$8)</f>
        <v>0.20699999999999999</v>
      </c>
      <c r="AA395" s="158" cm="1">
        <f t="array" ref="AA395">_xlfn.SWITCH($N395,"BDI 1",$P$6,"BDI 2",$P$7,"BDI 3",$P$8)</f>
        <v>0.26739999999999997</v>
      </c>
      <c r="AB395" s="158">
        <f t="shared" ca="1" si="744"/>
        <v>0</v>
      </c>
      <c r="AC395" s="158">
        <f t="shared" ca="1" si="745"/>
        <v>0</v>
      </c>
      <c r="AD395" s="164"/>
      <c r="AE395" s="148">
        <f t="shared" si="651"/>
        <v>0</v>
      </c>
      <c r="AF395" s="149"/>
      <c r="AG395" s="150"/>
      <c r="AH395" s="159" t="e">
        <f t="shared" si="746"/>
        <v>#DIV/0!</v>
      </c>
      <c r="AI395" s="160"/>
      <c r="AJ395" s="105"/>
      <c r="AK395" s="105"/>
      <c r="AM395" s="105"/>
      <c r="AN395" s="105"/>
      <c r="AO395" s="105"/>
      <c r="AP395" s="105"/>
      <c r="AQ395" s="105"/>
      <c r="AR395" s="105"/>
    </row>
    <row r="396" spans="1:44" s="49" customFormat="1" ht="40.15" hidden="1" customHeight="1">
      <c r="A396" s="152">
        <f t="shared" ca="1" si="652"/>
        <v>0</v>
      </c>
      <c r="B396" s="153">
        <v>92423</v>
      </c>
      <c r="C396" s="154" t="str">
        <f t="shared" si="733"/>
        <v>92423</v>
      </c>
      <c r="D396" s="154" t="s">
        <v>1416</v>
      </c>
      <c r="E396" s="155" t="s">
        <v>3798</v>
      </c>
      <c r="F396" s="154"/>
      <c r="G396" s="154" t="s">
        <v>1418</v>
      </c>
      <c r="H396" s="152">
        <v>80.2</v>
      </c>
      <c r="I396" s="152">
        <v>68.33</v>
      </c>
      <c r="J396" s="156"/>
      <c r="K396" s="156">
        <f>Bacia_Amortecimento!J52</f>
        <v>0</v>
      </c>
      <c r="L396" s="156">
        <f t="shared" si="734"/>
        <v>0</v>
      </c>
      <c r="M396" s="156">
        <f t="shared" si="735"/>
        <v>0</v>
      </c>
      <c r="N396" s="156" t="s">
        <v>83</v>
      </c>
      <c r="O396" s="157" cm="1">
        <f t="array" ref="O396">TRUNC($H396*(1+_xlfn.SWITCH($N396,"BDI 1",$O$6,"BDI 2",$O$7,"BDI 3",$O$8)),2)</f>
        <v>96.8</v>
      </c>
      <c r="P396" s="157" cm="1">
        <f t="array" ref="P396">TRUNC($I396*(1+_xlfn.SWITCH($N396,"BDI 1",$P$6,"BDI 2",$P$7,"BDI 3",$P$8)),2)</f>
        <v>86.6</v>
      </c>
      <c r="Q396" s="157">
        <v>0</v>
      </c>
      <c r="R396" s="157">
        <f t="shared" si="736"/>
        <v>0</v>
      </c>
      <c r="S396" s="156">
        <f t="shared" si="737"/>
        <v>0</v>
      </c>
      <c r="T396" s="156">
        <f t="shared" si="738"/>
        <v>0</v>
      </c>
      <c r="U396" s="156">
        <f t="shared" si="739"/>
        <v>0</v>
      </c>
      <c r="V396" s="156">
        <f t="shared" si="740"/>
        <v>0</v>
      </c>
      <c r="W396" s="156">
        <f t="shared" si="741"/>
        <v>0</v>
      </c>
      <c r="X396" s="158">
        <f t="shared" ref="X396" si="771">$S396/ORCAMENTO_VALOR_TOTAL_ND</f>
        <v>0</v>
      </c>
      <c r="Y396" s="158">
        <f t="shared" ref="Y396" si="772">$T396/ORCAMENTO_VALOR_TOTAL_DE</f>
        <v>0</v>
      </c>
      <c r="Z396" s="158" cm="1">
        <f t="array" ref="Z396">_xlfn.SWITCH($N396,"BDI 1",$O$6,"BDI 2",$O$7,"BDI 3",$O$8)</f>
        <v>0.20699999999999999</v>
      </c>
      <c r="AA396" s="158" cm="1">
        <f t="array" ref="AA396">_xlfn.SWITCH($N396,"BDI 1",$P$6,"BDI 2",$P$7,"BDI 3",$P$8)</f>
        <v>0.26739999999999997</v>
      </c>
      <c r="AB396" s="158">
        <f t="shared" ca="1" si="744"/>
        <v>0</v>
      </c>
      <c r="AC396" s="158">
        <f t="shared" ca="1" si="745"/>
        <v>0</v>
      </c>
      <c r="AD396" s="164"/>
      <c r="AE396" s="148">
        <f t="shared" si="651"/>
        <v>0</v>
      </c>
      <c r="AF396" s="149"/>
      <c r="AG396" s="150"/>
      <c r="AH396" s="159" t="e">
        <f t="shared" si="746"/>
        <v>#DIV/0!</v>
      </c>
      <c r="AI396" s="160"/>
      <c r="AJ396" s="105"/>
      <c r="AK396" s="105"/>
      <c r="AM396" s="105"/>
      <c r="AN396" s="105"/>
      <c r="AO396" s="105"/>
      <c r="AP396" s="105"/>
      <c r="AQ396" s="105"/>
      <c r="AR396" s="105"/>
    </row>
    <row r="397" spans="1:44" s="49" customFormat="1" ht="40.15" hidden="1" customHeight="1">
      <c r="A397" s="152">
        <f t="shared" ca="1" si="652"/>
        <v>0</v>
      </c>
      <c r="B397" s="153">
        <v>92413</v>
      </c>
      <c r="C397" s="154" t="str">
        <f t="shared" si="733"/>
        <v>92413</v>
      </c>
      <c r="D397" s="154" t="s">
        <v>1416</v>
      </c>
      <c r="E397" s="155" t="s">
        <v>3800</v>
      </c>
      <c r="F397" s="154"/>
      <c r="G397" s="154" t="s">
        <v>1418</v>
      </c>
      <c r="H397" s="152">
        <v>93.28</v>
      </c>
      <c r="I397" s="152">
        <v>87.04</v>
      </c>
      <c r="J397" s="156"/>
      <c r="K397" s="156">
        <f>Bacia_Amortecimento!J53</f>
        <v>0</v>
      </c>
      <c r="L397" s="156">
        <f t="shared" si="734"/>
        <v>0</v>
      </c>
      <c r="M397" s="156">
        <f t="shared" si="735"/>
        <v>0</v>
      </c>
      <c r="N397" s="156" t="s">
        <v>83</v>
      </c>
      <c r="O397" s="157" cm="1">
        <f t="array" ref="O397">TRUNC($H397*(1+_xlfn.SWITCH($N397,"BDI 1",$O$6,"BDI 2",$O$7,"BDI 3",$O$8)),2)</f>
        <v>112.58</v>
      </c>
      <c r="P397" s="157" cm="1">
        <f t="array" ref="P397">TRUNC($I397*(1+_xlfn.SWITCH($N397,"BDI 1",$P$6,"BDI 2",$P$7,"BDI 3",$P$8)),2)</f>
        <v>110.31</v>
      </c>
      <c r="Q397" s="157">
        <v>0</v>
      </c>
      <c r="R397" s="157">
        <f t="shared" si="736"/>
        <v>0</v>
      </c>
      <c r="S397" s="156">
        <f t="shared" si="737"/>
        <v>0</v>
      </c>
      <c r="T397" s="156">
        <f t="shared" si="738"/>
        <v>0</v>
      </c>
      <c r="U397" s="156">
        <f t="shared" si="739"/>
        <v>0</v>
      </c>
      <c r="V397" s="156">
        <f t="shared" si="740"/>
        <v>0</v>
      </c>
      <c r="W397" s="156">
        <f t="shared" si="741"/>
        <v>0</v>
      </c>
      <c r="X397" s="158">
        <f t="shared" ref="X397" si="773">$S397/ORCAMENTO_VALOR_TOTAL_ND</f>
        <v>0</v>
      </c>
      <c r="Y397" s="158">
        <f t="shared" ref="Y397" si="774">$T397/ORCAMENTO_VALOR_TOTAL_DE</f>
        <v>0</v>
      </c>
      <c r="Z397" s="158" cm="1">
        <f t="array" ref="Z397">_xlfn.SWITCH($N397,"BDI 1",$O$6,"BDI 2",$O$7,"BDI 3",$O$8)</f>
        <v>0.20699999999999999</v>
      </c>
      <c r="AA397" s="158" cm="1">
        <f t="array" ref="AA397">_xlfn.SWITCH($N397,"BDI 1",$P$6,"BDI 2",$P$7,"BDI 3",$P$8)</f>
        <v>0.26739999999999997</v>
      </c>
      <c r="AB397" s="158">
        <f t="shared" ca="1" si="744"/>
        <v>0</v>
      </c>
      <c r="AC397" s="158">
        <f t="shared" ca="1" si="745"/>
        <v>0</v>
      </c>
      <c r="AD397" s="164"/>
      <c r="AE397" s="148">
        <f t="shared" si="651"/>
        <v>0</v>
      </c>
      <c r="AF397" s="149"/>
      <c r="AG397" s="150"/>
      <c r="AH397" s="159" t="e">
        <f t="shared" si="746"/>
        <v>#DIV/0!</v>
      </c>
      <c r="AI397" s="160"/>
      <c r="AJ397" s="105"/>
      <c r="AK397" s="105"/>
      <c r="AM397" s="105"/>
      <c r="AN397" s="105"/>
      <c r="AO397" s="105"/>
      <c r="AP397" s="105"/>
      <c r="AQ397" s="105"/>
      <c r="AR397" s="105"/>
    </row>
    <row r="398" spans="1:44" s="49" customFormat="1" ht="40.15" hidden="1" customHeight="1">
      <c r="A398" s="152">
        <f t="shared" ca="1" si="652"/>
        <v>0</v>
      </c>
      <c r="B398" s="153">
        <v>101792</v>
      </c>
      <c r="C398" s="154" t="str">
        <f t="shared" si="733"/>
        <v>101792</v>
      </c>
      <c r="D398" s="154" t="s">
        <v>1416</v>
      </c>
      <c r="E398" s="155" t="s">
        <v>3809</v>
      </c>
      <c r="F398" s="154"/>
      <c r="G398" s="154" t="s">
        <v>464</v>
      </c>
      <c r="H398" s="152">
        <v>16.14</v>
      </c>
      <c r="I398" s="152">
        <v>15.51</v>
      </c>
      <c r="J398" s="156"/>
      <c r="K398" s="156">
        <f>Bacia_Amortecimento!J54</f>
        <v>0</v>
      </c>
      <c r="L398" s="156">
        <f t="shared" si="734"/>
        <v>0</v>
      </c>
      <c r="M398" s="156">
        <f t="shared" si="735"/>
        <v>0</v>
      </c>
      <c r="N398" s="156" t="s">
        <v>83</v>
      </c>
      <c r="O398" s="157" cm="1">
        <f t="array" ref="O398">TRUNC($H398*(1+_xlfn.SWITCH($N398,"BDI 1",$O$6,"BDI 2",$O$7,"BDI 3",$O$8)),2)</f>
        <v>19.48</v>
      </c>
      <c r="P398" s="157" cm="1">
        <f t="array" ref="P398">TRUNC($I398*(1+_xlfn.SWITCH($N398,"BDI 1",$P$6,"BDI 2",$P$7,"BDI 3",$P$8)),2)</f>
        <v>19.649999999999999</v>
      </c>
      <c r="Q398" s="157">
        <v>0</v>
      </c>
      <c r="R398" s="157">
        <f t="shared" si="736"/>
        <v>0</v>
      </c>
      <c r="S398" s="156">
        <f t="shared" si="737"/>
        <v>0</v>
      </c>
      <c r="T398" s="156">
        <f t="shared" si="738"/>
        <v>0</v>
      </c>
      <c r="U398" s="156">
        <f t="shared" si="739"/>
        <v>0</v>
      </c>
      <c r="V398" s="156">
        <f t="shared" si="740"/>
        <v>0</v>
      </c>
      <c r="W398" s="156">
        <f t="shared" si="741"/>
        <v>0</v>
      </c>
      <c r="X398" s="158">
        <f t="shared" ref="X398" si="775">$S398/ORCAMENTO_VALOR_TOTAL_ND</f>
        <v>0</v>
      </c>
      <c r="Y398" s="158">
        <f t="shared" ref="Y398" si="776">$T398/ORCAMENTO_VALOR_TOTAL_DE</f>
        <v>0</v>
      </c>
      <c r="Z398" s="158" cm="1">
        <f t="array" ref="Z398">_xlfn.SWITCH($N398,"BDI 1",$O$6,"BDI 2",$O$7,"BDI 3",$O$8)</f>
        <v>0.20699999999999999</v>
      </c>
      <c r="AA398" s="158" cm="1">
        <f t="array" ref="AA398">_xlfn.SWITCH($N398,"BDI 1",$P$6,"BDI 2",$P$7,"BDI 3",$P$8)</f>
        <v>0.26739999999999997</v>
      </c>
      <c r="AB398" s="158">
        <f t="shared" ca="1" si="744"/>
        <v>0</v>
      </c>
      <c r="AC398" s="158">
        <f t="shared" ca="1" si="745"/>
        <v>0</v>
      </c>
      <c r="AD398" s="164"/>
      <c r="AE398" s="148">
        <f t="shared" si="651"/>
        <v>0</v>
      </c>
      <c r="AF398" s="149"/>
      <c r="AG398" s="150"/>
      <c r="AH398" s="159" t="e">
        <f t="shared" si="746"/>
        <v>#DIV/0!</v>
      </c>
      <c r="AI398" s="160"/>
      <c r="AJ398" s="105"/>
      <c r="AK398" s="105"/>
      <c r="AM398" s="105"/>
      <c r="AN398" s="105"/>
      <c r="AO398" s="105"/>
      <c r="AP398" s="105"/>
      <c r="AQ398" s="105"/>
      <c r="AR398" s="105"/>
    </row>
    <row r="399" spans="1:44" s="49" customFormat="1" ht="40.15" hidden="1" customHeight="1">
      <c r="A399" s="152">
        <f t="shared" ca="1" si="652"/>
        <v>0</v>
      </c>
      <c r="B399" s="153">
        <v>96543</v>
      </c>
      <c r="C399" s="154" t="str">
        <f t="shared" si="733"/>
        <v>96543</v>
      </c>
      <c r="D399" s="154" t="s">
        <v>1416</v>
      </c>
      <c r="E399" s="155" t="s">
        <v>3801</v>
      </c>
      <c r="F399" s="154"/>
      <c r="G399" s="154" t="s">
        <v>3802</v>
      </c>
      <c r="H399" s="152">
        <v>19.41</v>
      </c>
      <c r="I399" s="152">
        <v>18.38</v>
      </c>
      <c r="J399" s="156"/>
      <c r="K399" s="156">
        <f>Bacia_Amortecimento!J55</f>
        <v>0</v>
      </c>
      <c r="L399" s="156">
        <f t="shared" si="734"/>
        <v>0</v>
      </c>
      <c r="M399" s="156">
        <f t="shared" si="735"/>
        <v>0</v>
      </c>
      <c r="N399" s="156" t="s">
        <v>83</v>
      </c>
      <c r="O399" s="157" cm="1">
        <f t="array" ref="O399">TRUNC($H399*(1+_xlfn.SWITCH($N399,"BDI 1",$O$6,"BDI 2",$O$7,"BDI 3",$O$8)),2)</f>
        <v>23.42</v>
      </c>
      <c r="P399" s="157" cm="1">
        <f t="array" ref="P399">TRUNC($I399*(1+_xlfn.SWITCH($N399,"BDI 1",$P$6,"BDI 2",$P$7,"BDI 3",$P$8)),2)</f>
        <v>23.29</v>
      </c>
      <c r="Q399" s="157">
        <v>0</v>
      </c>
      <c r="R399" s="157">
        <f t="shared" si="736"/>
        <v>0</v>
      </c>
      <c r="S399" s="156">
        <f t="shared" si="737"/>
        <v>0</v>
      </c>
      <c r="T399" s="156">
        <f t="shared" si="738"/>
        <v>0</v>
      </c>
      <c r="U399" s="156">
        <f t="shared" si="739"/>
        <v>0</v>
      </c>
      <c r="V399" s="156">
        <f t="shared" si="740"/>
        <v>0</v>
      </c>
      <c r="W399" s="156">
        <f t="shared" si="741"/>
        <v>0</v>
      </c>
      <c r="X399" s="158">
        <f t="shared" ref="X399" si="777">$S399/ORCAMENTO_VALOR_TOTAL_ND</f>
        <v>0</v>
      </c>
      <c r="Y399" s="158">
        <f t="shared" ref="Y399" si="778">$T399/ORCAMENTO_VALOR_TOTAL_DE</f>
        <v>0</v>
      </c>
      <c r="Z399" s="158" cm="1">
        <f t="array" ref="Z399">_xlfn.SWITCH($N399,"BDI 1",$O$6,"BDI 2",$O$7,"BDI 3",$O$8)</f>
        <v>0.20699999999999999</v>
      </c>
      <c r="AA399" s="158" cm="1">
        <f t="array" ref="AA399">_xlfn.SWITCH($N399,"BDI 1",$P$6,"BDI 2",$P$7,"BDI 3",$P$8)</f>
        <v>0.26739999999999997</v>
      </c>
      <c r="AB399" s="158">
        <f t="shared" ca="1" si="744"/>
        <v>0</v>
      </c>
      <c r="AC399" s="158">
        <f t="shared" ca="1" si="745"/>
        <v>0</v>
      </c>
      <c r="AD399" s="164"/>
      <c r="AE399" s="148">
        <f t="shared" si="651"/>
        <v>0</v>
      </c>
      <c r="AF399" s="149"/>
      <c r="AG399" s="150"/>
      <c r="AH399" s="159" t="e">
        <f t="shared" si="746"/>
        <v>#DIV/0!</v>
      </c>
      <c r="AI399" s="160"/>
      <c r="AJ399" s="105"/>
      <c r="AK399" s="105"/>
      <c r="AM399" s="105"/>
      <c r="AN399" s="105"/>
      <c r="AO399" s="105"/>
      <c r="AP399" s="105"/>
      <c r="AQ399" s="105"/>
      <c r="AR399" s="105"/>
    </row>
    <row r="400" spans="1:44" s="49" customFormat="1" ht="40.15" hidden="1" customHeight="1">
      <c r="A400" s="152">
        <f t="shared" ca="1" si="652"/>
        <v>0</v>
      </c>
      <c r="B400" s="153">
        <v>100342</v>
      </c>
      <c r="C400" s="154" t="str">
        <f t="shared" si="733"/>
        <v>100342</v>
      </c>
      <c r="D400" s="154" t="s">
        <v>1416</v>
      </c>
      <c r="E400" s="155" t="s">
        <v>3803</v>
      </c>
      <c r="F400" s="154"/>
      <c r="G400" s="154" t="s">
        <v>3802</v>
      </c>
      <c r="H400" s="152">
        <v>14.4</v>
      </c>
      <c r="I400" s="152">
        <v>13.93</v>
      </c>
      <c r="J400" s="156"/>
      <c r="K400" s="156">
        <f>Bacia_Amortecimento!J56</f>
        <v>0</v>
      </c>
      <c r="L400" s="156">
        <f t="shared" si="734"/>
        <v>0</v>
      </c>
      <c r="M400" s="156">
        <f t="shared" si="735"/>
        <v>0</v>
      </c>
      <c r="N400" s="156" t="s">
        <v>83</v>
      </c>
      <c r="O400" s="157" cm="1">
        <f t="array" ref="O400">TRUNC($H400*(1+_xlfn.SWITCH($N400,"BDI 1",$O$6,"BDI 2",$O$7,"BDI 3",$O$8)),2)</f>
        <v>17.38</v>
      </c>
      <c r="P400" s="157" cm="1">
        <f t="array" ref="P400">TRUNC($I400*(1+_xlfn.SWITCH($N400,"BDI 1",$P$6,"BDI 2",$P$7,"BDI 3",$P$8)),2)</f>
        <v>17.649999999999999</v>
      </c>
      <c r="Q400" s="157">
        <v>0</v>
      </c>
      <c r="R400" s="157">
        <f t="shared" si="736"/>
        <v>0</v>
      </c>
      <c r="S400" s="156">
        <f t="shared" si="737"/>
        <v>0</v>
      </c>
      <c r="T400" s="156">
        <f t="shared" si="738"/>
        <v>0</v>
      </c>
      <c r="U400" s="156">
        <f t="shared" si="739"/>
        <v>0</v>
      </c>
      <c r="V400" s="156">
        <f t="shared" si="740"/>
        <v>0</v>
      </c>
      <c r="W400" s="156">
        <f t="shared" si="741"/>
        <v>0</v>
      </c>
      <c r="X400" s="158">
        <f t="shared" ref="X400" si="779">$S400/ORCAMENTO_VALOR_TOTAL_ND</f>
        <v>0</v>
      </c>
      <c r="Y400" s="158">
        <f t="shared" ref="Y400" si="780">$T400/ORCAMENTO_VALOR_TOTAL_DE</f>
        <v>0</v>
      </c>
      <c r="Z400" s="158" cm="1">
        <f t="array" ref="Z400">_xlfn.SWITCH($N400,"BDI 1",$O$6,"BDI 2",$O$7,"BDI 3",$O$8)</f>
        <v>0.20699999999999999</v>
      </c>
      <c r="AA400" s="158" cm="1">
        <f t="array" ref="AA400">_xlfn.SWITCH($N400,"BDI 1",$P$6,"BDI 2",$P$7,"BDI 3",$P$8)</f>
        <v>0.26739999999999997</v>
      </c>
      <c r="AB400" s="158">
        <f t="shared" ca="1" si="744"/>
        <v>0</v>
      </c>
      <c r="AC400" s="158">
        <f t="shared" ca="1" si="745"/>
        <v>0</v>
      </c>
      <c r="AD400" s="164"/>
      <c r="AE400" s="148">
        <f t="shared" si="651"/>
        <v>0</v>
      </c>
      <c r="AF400" s="149"/>
      <c r="AG400" s="150"/>
      <c r="AH400" s="159" t="e">
        <f t="shared" si="746"/>
        <v>#DIV/0!</v>
      </c>
      <c r="AI400" s="160"/>
      <c r="AJ400" s="105"/>
      <c r="AK400" s="105"/>
      <c r="AM400" s="105"/>
      <c r="AN400" s="105"/>
      <c r="AO400" s="105"/>
      <c r="AP400" s="105"/>
      <c r="AQ400" s="105"/>
      <c r="AR400" s="105"/>
    </row>
    <row r="401" spans="1:44" s="49" customFormat="1" ht="40.15" hidden="1" customHeight="1">
      <c r="A401" s="152">
        <f t="shared" ca="1" si="652"/>
        <v>0</v>
      </c>
      <c r="B401" s="153">
        <v>100343</v>
      </c>
      <c r="C401" s="154" t="str">
        <f t="shared" si="733"/>
        <v>100343</v>
      </c>
      <c r="D401" s="154" t="s">
        <v>1416</v>
      </c>
      <c r="E401" s="155" t="s">
        <v>3804</v>
      </c>
      <c r="F401" s="154"/>
      <c r="G401" s="154" t="s">
        <v>3802</v>
      </c>
      <c r="H401" s="152">
        <v>13.61</v>
      </c>
      <c r="I401" s="152">
        <v>13.26</v>
      </c>
      <c r="J401" s="156"/>
      <c r="K401" s="156">
        <f>Bacia_Amortecimento!J57</f>
        <v>0</v>
      </c>
      <c r="L401" s="156">
        <f t="shared" si="734"/>
        <v>0</v>
      </c>
      <c r="M401" s="156">
        <f t="shared" si="735"/>
        <v>0</v>
      </c>
      <c r="N401" s="156" t="s">
        <v>83</v>
      </c>
      <c r="O401" s="157" cm="1">
        <f t="array" ref="O401">TRUNC($H401*(1+_xlfn.SWITCH($N401,"BDI 1",$O$6,"BDI 2",$O$7,"BDI 3",$O$8)),2)</f>
        <v>16.420000000000002</v>
      </c>
      <c r="P401" s="157" cm="1">
        <f t="array" ref="P401">TRUNC($I401*(1+_xlfn.SWITCH($N401,"BDI 1",$P$6,"BDI 2",$P$7,"BDI 3",$P$8)),2)</f>
        <v>16.8</v>
      </c>
      <c r="Q401" s="157">
        <v>0</v>
      </c>
      <c r="R401" s="157">
        <f t="shared" si="736"/>
        <v>0</v>
      </c>
      <c r="S401" s="156">
        <f t="shared" si="737"/>
        <v>0</v>
      </c>
      <c r="T401" s="156">
        <f t="shared" si="738"/>
        <v>0</v>
      </c>
      <c r="U401" s="156">
        <f t="shared" si="739"/>
        <v>0</v>
      </c>
      <c r="V401" s="156">
        <f t="shared" si="740"/>
        <v>0</v>
      </c>
      <c r="W401" s="156">
        <f t="shared" si="741"/>
        <v>0</v>
      </c>
      <c r="X401" s="158">
        <f t="shared" ref="X401" si="781">$S401/ORCAMENTO_VALOR_TOTAL_ND</f>
        <v>0</v>
      </c>
      <c r="Y401" s="158">
        <f t="shared" ref="Y401" si="782">$T401/ORCAMENTO_VALOR_TOTAL_DE</f>
        <v>0</v>
      </c>
      <c r="Z401" s="158" cm="1">
        <f t="array" ref="Z401">_xlfn.SWITCH($N401,"BDI 1",$O$6,"BDI 2",$O$7,"BDI 3",$O$8)</f>
        <v>0.20699999999999999</v>
      </c>
      <c r="AA401" s="158" cm="1">
        <f t="array" ref="AA401">_xlfn.SWITCH($N401,"BDI 1",$P$6,"BDI 2",$P$7,"BDI 3",$P$8)</f>
        <v>0.26739999999999997</v>
      </c>
      <c r="AB401" s="158">
        <f t="shared" ca="1" si="744"/>
        <v>0</v>
      </c>
      <c r="AC401" s="158">
        <f t="shared" ca="1" si="745"/>
        <v>0</v>
      </c>
      <c r="AD401" s="164"/>
      <c r="AE401" s="148">
        <f t="shared" si="651"/>
        <v>0</v>
      </c>
      <c r="AF401" s="149"/>
      <c r="AG401" s="150"/>
      <c r="AH401" s="159" t="e">
        <f t="shared" si="746"/>
        <v>#DIV/0!</v>
      </c>
      <c r="AI401" s="160"/>
      <c r="AJ401" s="105"/>
      <c r="AK401" s="105"/>
      <c r="AM401" s="105"/>
      <c r="AN401" s="105"/>
      <c r="AO401" s="105"/>
      <c r="AP401" s="105"/>
      <c r="AQ401" s="105"/>
      <c r="AR401" s="105"/>
    </row>
    <row r="402" spans="1:44" s="49" customFormat="1" ht="40.15" hidden="1" customHeight="1">
      <c r="A402" s="152">
        <f t="shared" ca="1" si="652"/>
        <v>0</v>
      </c>
      <c r="B402" s="153">
        <v>100344</v>
      </c>
      <c r="C402" s="154" t="str">
        <f t="shared" si="733"/>
        <v>100344</v>
      </c>
      <c r="D402" s="154" t="s">
        <v>1416</v>
      </c>
      <c r="E402" s="155" t="s">
        <v>3805</v>
      </c>
      <c r="F402" s="154"/>
      <c r="G402" s="154" t="s">
        <v>3802</v>
      </c>
      <c r="H402" s="152">
        <v>12.17</v>
      </c>
      <c r="I402" s="152">
        <v>11.92</v>
      </c>
      <c r="J402" s="156"/>
      <c r="K402" s="156">
        <f>Bacia_Amortecimento!J58</f>
        <v>0</v>
      </c>
      <c r="L402" s="156">
        <f t="shared" si="734"/>
        <v>0</v>
      </c>
      <c r="M402" s="156">
        <f t="shared" si="735"/>
        <v>0</v>
      </c>
      <c r="N402" s="156" t="s">
        <v>83</v>
      </c>
      <c r="O402" s="157" cm="1">
        <f t="array" ref="O402">TRUNC($H402*(1+_xlfn.SWITCH($N402,"BDI 1",$O$6,"BDI 2",$O$7,"BDI 3",$O$8)),2)</f>
        <v>14.68</v>
      </c>
      <c r="P402" s="157" cm="1">
        <f t="array" ref="P402">TRUNC($I402*(1+_xlfn.SWITCH($N402,"BDI 1",$P$6,"BDI 2",$P$7,"BDI 3",$P$8)),2)</f>
        <v>15.1</v>
      </c>
      <c r="Q402" s="157">
        <v>0</v>
      </c>
      <c r="R402" s="157">
        <f t="shared" si="736"/>
        <v>0</v>
      </c>
      <c r="S402" s="156">
        <f t="shared" si="737"/>
        <v>0</v>
      </c>
      <c r="T402" s="156">
        <f t="shared" si="738"/>
        <v>0</v>
      </c>
      <c r="U402" s="156">
        <f t="shared" si="739"/>
        <v>0</v>
      </c>
      <c r="V402" s="156">
        <f t="shared" si="740"/>
        <v>0</v>
      </c>
      <c r="W402" s="156">
        <f t="shared" si="741"/>
        <v>0</v>
      </c>
      <c r="X402" s="158">
        <f t="shared" ref="X402" si="783">$S402/ORCAMENTO_VALOR_TOTAL_ND</f>
        <v>0</v>
      </c>
      <c r="Y402" s="158">
        <f t="shared" ref="Y402" si="784">$T402/ORCAMENTO_VALOR_TOTAL_DE</f>
        <v>0</v>
      </c>
      <c r="Z402" s="158" cm="1">
        <f t="array" ref="Z402">_xlfn.SWITCH($N402,"BDI 1",$O$6,"BDI 2",$O$7,"BDI 3",$O$8)</f>
        <v>0.20699999999999999</v>
      </c>
      <c r="AA402" s="158" cm="1">
        <f t="array" ref="AA402">_xlfn.SWITCH($N402,"BDI 1",$P$6,"BDI 2",$P$7,"BDI 3",$P$8)</f>
        <v>0.26739999999999997</v>
      </c>
      <c r="AB402" s="158">
        <f t="shared" ca="1" si="744"/>
        <v>0</v>
      </c>
      <c r="AC402" s="158">
        <f t="shared" ca="1" si="745"/>
        <v>0</v>
      </c>
      <c r="AD402" s="164"/>
      <c r="AE402" s="148">
        <f t="shared" si="651"/>
        <v>0</v>
      </c>
      <c r="AF402" s="149"/>
      <c r="AG402" s="150"/>
      <c r="AH402" s="159" t="e">
        <f t="shared" si="746"/>
        <v>#DIV/0!</v>
      </c>
      <c r="AI402" s="160"/>
      <c r="AJ402" s="105"/>
      <c r="AK402" s="105"/>
      <c r="AM402" s="105"/>
      <c r="AN402" s="105"/>
      <c r="AO402" s="105"/>
      <c r="AP402" s="105"/>
      <c r="AQ402" s="105"/>
      <c r="AR402" s="105"/>
    </row>
    <row r="403" spans="1:44" s="49" customFormat="1" ht="40.15" hidden="1" customHeight="1">
      <c r="A403" s="152">
        <f t="shared" ca="1" si="652"/>
        <v>0</v>
      </c>
      <c r="B403" s="153">
        <v>100345</v>
      </c>
      <c r="C403" s="154" t="str">
        <f t="shared" si="733"/>
        <v>100345</v>
      </c>
      <c r="D403" s="154" t="s">
        <v>1416</v>
      </c>
      <c r="E403" s="155" t="s">
        <v>3806</v>
      </c>
      <c r="F403" s="154"/>
      <c r="G403" s="154" t="s">
        <v>3802</v>
      </c>
      <c r="H403" s="152">
        <v>10.31</v>
      </c>
      <c r="I403" s="152">
        <v>10.1</v>
      </c>
      <c r="J403" s="156"/>
      <c r="K403" s="156">
        <f>Bacia_Amortecimento!J59</f>
        <v>0</v>
      </c>
      <c r="L403" s="156">
        <f t="shared" si="734"/>
        <v>0</v>
      </c>
      <c r="M403" s="156">
        <f t="shared" si="735"/>
        <v>0</v>
      </c>
      <c r="N403" s="156" t="s">
        <v>83</v>
      </c>
      <c r="O403" s="157" cm="1">
        <f t="array" ref="O403">TRUNC($H403*(1+_xlfn.SWITCH($N403,"BDI 1",$O$6,"BDI 2",$O$7,"BDI 3",$O$8)),2)</f>
        <v>12.44</v>
      </c>
      <c r="P403" s="157" cm="1">
        <f t="array" ref="P403">TRUNC($I403*(1+_xlfn.SWITCH($N403,"BDI 1",$P$6,"BDI 2",$P$7,"BDI 3",$P$8)),2)</f>
        <v>12.8</v>
      </c>
      <c r="Q403" s="157">
        <v>0</v>
      </c>
      <c r="R403" s="157">
        <f t="shared" si="736"/>
        <v>0</v>
      </c>
      <c r="S403" s="156">
        <f t="shared" si="737"/>
        <v>0</v>
      </c>
      <c r="T403" s="156">
        <f t="shared" si="738"/>
        <v>0</v>
      </c>
      <c r="U403" s="156">
        <f t="shared" si="739"/>
        <v>0</v>
      </c>
      <c r="V403" s="156">
        <f t="shared" si="740"/>
        <v>0</v>
      </c>
      <c r="W403" s="156">
        <f t="shared" si="741"/>
        <v>0</v>
      </c>
      <c r="X403" s="158">
        <f t="shared" ref="X403" si="785">$S403/ORCAMENTO_VALOR_TOTAL_ND</f>
        <v>0</v>
      </c>
      <c r="Y403" s="158">
        <f t="shared" ref="Y403" si="786">$T403/ORCAMENTO_VALOR_TOTAL_DE</f>
        <v>0</v>
      </c>
      <c r="Z403" s="158" cm="1">
        <f t="array" ref="Z403">_xlfn.SWITCH($N403,"BDI 1",$O$6,"BDI 2",$O$7,"BDI 3",$O$8)</f>
        <v>0.20699999999999999</v>
      </c>
      <c r="AA403" s="158" cm="1">
        <f t="array" ref="AA403">_xlfn.SWITCH($N403,"BDI 1",$P$6,"BDI 2",$P$7,"BDI 3",$P$8)</f>
        <v>0.26739999999999997</v>
      </c>
      <c r="AB403" s="158">
        <f t="shared" ca="1" si="744"/>
        <v>0</v>
      </c>
      <c r="AC403" s="158">
        <f t="shared" ca="1" si="745"/>
        <v>0</v>
      </c>
      <c r="AD403" s="164"/>
      <c r="AE403" s="148">
        <f t="shared" si="651"/>
        <v>0</v>
      </c>
      <c r="AF403" s="149"/>
      <c r="AG403" s="150"/>
      <c r="AH403" s="159" t="e">
        <f t="shared" si="746"/>
        <v>#DIV/0!</v>
      </c>
      <c r="AI403" s="160"/>
      <c r="AJ403" s="105"/>
      <c r="AK403" s="105"/>
      <c r="AM403" s="105"/>
      <c r="AN403" s="105"/>
      <c r="AO403" s="105"/>
      <c r="AP403" s="105"/>
      <c r="AQ403" s="105"/>
      <c r="AR403" s="105"/>
    </row>
    <row r="404" spans="1:44" s="49" customFormat="1" ht="40.15" hidden="1" customHeight="1">
      <c r="A404" s="152">
        <f t="shared" ca="1" si="652"/>
        <v>0</v>
      </c>
      <c r="B404" s="153">
        <v>92922</v>
      </c>
      <c r="C404" s="154" t="str">
        <f t="shared" si="733"/>
        <v>92922</v>
      </c>
      <c r="D404" s="154" t="s">
        <v>1416</v>
      </c>
      <c r="E404" s="155" t="s">
        <v>3827</v>
      </c>
      <c r="F404" s="154"/>
      <c r="G404" s="154" t="s">
        <v>3802</v>
      </c>
      <c r="H404" s="152">
        <v>9.9499999999999993</v>
      </c>
      <c r="I404" s="152">
        <v>9.77</v>
      </c>
      <c r="J404" s="156"/>
      <c r="K404" s="156">
        <f>Bacia_Amortecimento!J60</f>
        <v>0</v>
      </c>
      <c r="L404" s="156">
        <f t="shared" si="734"/>
        <v>0</v>
      </c>
      <c r="M404" s="156">
        <f t="shared" si="735"/>
        <v>0</v>
      </c>
      <c r="N404" s="156" t="s">
        <v>83</v>
      </c>
      <c r="O404" s="157" cm="1">
        <f t="array" ref="O404">TRUNC($H404*(1+_xlfn.SWITCH($N404,"BDI 1",$O$6,"BDI 2",$O$7,"BDI 3",$O$8)),2)</f>
        <v>12</v>
      </c>
      <c r="P404" s="157" cm="1">
        <f t="array" ref="P404">TRUNC($I404*(1+_xlfn.SWITCH($N404,"BDI 1",$P$6,"BDI 2",$P$7,"BDI 3",$P$8)),2)</f>
        <v>12.38</v>
      </c>
      <c r="Q404" s="157">
        <v>0</v>
      </c>
      <c r="R404" s="157">
        <f t="shared" si="736"/>
        <v>0</v>
      </c>
      <c r="S404" s="156">
        <f t="shared" si="737"/>
        <v>0</v>
      </c>
      <c r="T404" s="156">
        <f t="shared" si="738"/>
        <v>0</v>
      </c>
      <c r="U404" s="156">
        <f t="shared" si="739"/>
        <v>0</v>
      </c>
      <c r="V404" s="156">
        <f t="shared" si="740"/>
        <v>0</v>
      </c>
      <c r="W404" s="156">
        <f t="shared" si="741"/>
        <v>0</v>
      </c>
      <c r="X404" s="158">
        <f t="shared" ref="X404" si="787">$S404/ORCAMENTO_VALOR_TOTAL_ND</f>
        <v>0</v>
      </c>
      <c r="Y404" s="158">
        <f t="shared" ref="Y404" si="788">$T404/ORCAMENTO_VALOR_TOTAL_DE</f>
        <v>0</v>
      </c>
      <c r="Z404" s="158" cm="1">
        <f t="array" ref="Z404">_xlfn.SWITCH($N404,"BDI 1",$O$6,"BDI 2",$O$7,"BDI 3",$O$8)</f>
        <v>0.20699999999999999</v>
      </c>
      <c r="AA404" s="158" cm="1">
        <f t="array" ref="AA404">_xlfn.SWITCH($N404,"BDI 1",$P$6,"BDI 2",$P$7,"BDI 3",$P$8)</f>
        <v>0.26739999999999997</v>
      </c>
      <c r="AB404" s="158">
        <f t="shared" ca="1" si="744"/>
        <v>0</v>
      </c>
      <c r="AC404" s="158">
        <f t="shared" ca="1" si="745"/>
        <v>0</v>
      </c>
      <c r="AD404" s="164"/>
      <c r="AE404" s="148">
        <f t="shared" si="651"/>
        <v>0</v>
      </c>
      <c r="AF404" s="149"/>
      <c r="AG404" s="150"/>
      <c r="AH404" s="159" t="e">
        <f t="shared" si="746"/>
        <v>#DIV/0!</v>
      </c>
      <c r="AI404" s="160"/>
      <c r="AJ404" s="105"/>
      <c r="AK404" s="105"/>
      <c r="AM404" s="105"/>
      <c r="AN404" s="105"/>
      <c r="AO404" s="105"/>
      <c r="AP404" s="105"/>
      <c r="AQ404" s="105"/>
      <c r="AR404" s="105"/>
    </row>
    <row r="405" spans="1:44" s="49" customFormat="1" ht="40.15" hidden="1" customHeight="1">
      <c r="A405" s="152">
        <f t="shared" ca="1" si="652"/>
        <v>0</v>
      </c>
      <c r="B405" s="153">
        <v>92923</v>
      </c>
      <c r="C405" s="154" t="str">
        <f t="shared" si="733"/>
        <v>92923</v>
      </c>
      <c r="D405" s="154" t="s">
        <v>1416</v>
      </c>
      <c r="E405" s="155" t="s">
        <v>3828</v>
      </c>
      <c r="F405" s="154"/>
      <c r="G405" s="154" t="s">
        <v>3802</v>
      </c>
      <c r="H405" s="152">
        <v>11.23</v>
      </c>
      <c r="I405" s="152">
        <v>11.07</v>
      </c>
      <c r="J405" s="156"/>
      <c r="K405" s="156">
        <f>Bacia_Amortecimento!J61</f>
        <v>0</v>
      </c>
      <c r="L405" s="156">
        <f t="shared" si="734"/>
        <v>0</v>
      </c>
      <c r="M405" s="156">
        <f t="shared" si="735"/>
        <v>0</v>
      </c>
      <c r="N405" s="156" t="s">
        <v>83</v>
      </c>
      <c r="O405" s="157" cm="1">
        <f t="array" ref="O405">TRUNC($H405*(1+_xlfn.SWITCH($N405,"BDI 1",$O$6,"BDI 2",$O$7,"BDI 3",$O$8)),2)</f>
        <v>13.55</v>
      </c>
      <c r="P405" s="157" cm="1">
        <f t="array" ref="P405">TRUNC($I405*(1+_xlfn.SWITCH($N405,"BDI 1",$P$6,"BDI 2",$P$7,"BDI 3",$P$8)),2)</f>
        <v>14.03</v>
      </c>
      <c r="Q405" s="157">
        <v>0</v>
      </c>
      <c r="R405" s="157">
        <f t="shared" si="736"/>
        <v>0</v>
      </c>
      <c r="S405" s="156">
        <f t="shared" si="737"/>
        <v>0</v>
      </c>
      <c r="T405" s="156">
        <f t="shared" si="738"/>
        <v>0</v>
      </c>
      <c r="U405" s="156">
        <f t="shared" si="739"/>
        <v>0</v>
      </c>
      <c r="V405" s="156">
        <f t="shared" si="740"/>
        <v>0</v>
      </c>
      <c r="W405" s="156">
        <f t="shared" si="741"/>
        <v>0</v>
      </c>
      <c r="X405" s="158">
        <f t="shared" ref="X405" si="789">$S405/ORCAMENTO_VALOR_TOTAL_ND</f>
        <v>0</v>
      </c>
      <c r="Y405" s="158">
        <f t="shared" ref="Y405" si="790">$T405/ORCAMENTO_VALOR_TOTAL_DE</f>
        <v>0</v>
      </c>
      <c r="Z405" s="158" cm="1">
        <f t="array" ref="Z405">_xlfn.SWITCH($N405,"BDI 1",$O$6,"BDI 2",$O$7,"BDI 3",$O$8)</f>
        <v>0.20699999999999999</v>
      </c>
      <c r="AA405" s="158" cm="1">
        <f t="array" ref="AA405">_xlfn.SWITCH($N405,"BDI 1",$P$6,"BDI 2",$P$7,"BDI 3",$P$8)</f>
        <v>0.26739999999999997</v>
      </c>
      <c r="AB405" s="158">
        <f t="shared" ca="1" si="744"/>
        <v>0</v>
      </c>
      <c r="AC405" s="158">
        <f t="shared" ca="1" si="745"/>
        <v>0</v>
      </c>
      <c r="AD405" s="164"/>
      <c r="AE405" s="148">
        <f t="shared" si="651"/>
        <v>0</v>
      </c>
      <c r="AF405" s="149"/>
      <c r="AG405" s="150"/>
      <c r="AH405" s="159" t="e">
        <f t="shared" si="746"/>
        <v>#DIV/0!</v>
      </c>
      <c r="AI405" s="160"/>
      <c r="AJ405" s="105"/>
      <c r="AK405" s="105"/>
      <c r="AM405" s="105"/>
      <c r="AN405" s="105"/>
      <c r="AO405" s="105"/>
      <c r="AP405" s="105"/>
      <c r="AQ405" s="105"/>
      <c r="AR405" s="105"/>
    </row>
    <row r="406" spans="1:44" s="49" customFormat="1" ht="40.15" hidden="1" customHeight="1">
      <c r="A406" s="152">
        <f t="shared" ca="1" si="652"/>
        <v>0</v>
      </c>
      <c r="B406" s="153">
        <v>92924</v>
      </c>
      <c r="C406" s="154" t="str">
        <f t="shared" si="733"/>
        <v>92924</v>
      </c>
      <c r="D406" s="154" t="s">
        <v>1416</v>
      </c>
      <c r="E406" s="155" t="s">
        <v>3829</v>
      </c>
      <c r="F406" s="154"/>
      <c r="G406" s="154" t="s">
        <v>3802</v>
      </c>
      <c r="H406" s="152">
        <v>11.04</v>
      </c>
      <c r="I406" s="152">
        <v>10.91</v>
      </c>
      <c r="J406" s="156"/>
      <c r="K406" s="156">
        <f>Bacia_Amortecimento!J62</f>
        <v>0</v>
      </c>
      <c r="L406" s="156">
        <f t="shared" si="734"/>
        <v>0</v>
      </c>
      <c r="M406" s="156">
        <f t="shared" si="735"/>
        <v>0</v>
      </c>
      <c r="N406" s="156" t="s">
        <v>83</v>
      </c>
      <c r="O406" s="157" cm="1">
        <f t="array" ref="O406">TRUNC($H406*(1+_xlfn.SWITCH($N406,"BDI 1",$O$6,"BDI 2",$O$7,"BDI 3",$O$8)),2)</f>
        <v>13.32</v>
      </c>
      <c r="P406" s="157" cm="1">
        <f t="array" ref="P406">TRUNC($I406*(1+_xlfn.SWITCH($N406,"BDI 1",$P$6,"BDI 2",$P$7,"BDI 3",$P$8)),2)</f>
        <v>13.82</v>
      </c>
      <c r="Q406" s="157">
        <v>0</v>
      </c>
      <c r="R406" s="157">
        <f t="shared" si="736"/>
        <v>0</v>
      </c>
      <c r="S406" s="156">
        <f t="shared" si="737"/>
        <v>0</v>
      </c>
      <c r="T406" s="156">
        <f t="shared" si="738"/>
        <v>0</v>
      </c>
      <c r="U406" s="156">
        <f t="shared" si="739"/>
        <v>0</v>
      </c>
      <c r="V406" s="156">
        <f t="shared" si="740"/>
        <v>0</v>
      </c>
      <c r="W406" s="156">
        <f t="shared" si="741"/>
        <v>0</v>
      </c>
      <c r="X406" s="158">
        <f t="shared" ref="X406" si="791">$S406/ORCAMENTO_VALOR_TOTAL_ND</f>
        <v>0</v>
      </c>
      <c r="Y406" s="158">
        <f t="shared" ref="Y406" si="792">$T406/ORCAMENTO_VALOR_TOTAL_DE</f>
        <v>0</v>
      </c>
      <c r="Z406" s="158" cm="1">
        <f t="array" ref="Z406">_xlfn.SWITCH($N406,"BDI 1",$O$6,"BDI 2",$O$7,"BDI 3",$O$8)</f>
        <v>0.20699999999999999</v>
      </c>
      <c r="AA406" s="158" cm="1">
        <f t="array" ref="AA406">_xlfn.SWITCH($N406,"BDI 1",$P$6,"BDI 2",$P$7,"BDI 3",$P$8)</f>
        <v>0.26739999999999997</v>
      </c>
      <c r="AB406" s="158">
        <f t="shared" ca="1" si="744"/>
        <v>0</v>
      </c>
      <c r="AC406" s="158">
        <f t="shared" ca="1" si="745"/>
        <v>0</v>
      </c>
      <c r="AD406" s="164"/>
      <c r="AE406" s="148">
        <f t="shared" si="651"/>
        <v>0</v>
      </c>
      <c r="AF406" s="149"/>
      <c r="AG406" s="150"/>
      <c r="AH406" s="159" t="e">
        <f t="shared" si="746"/>
        <v>#DIV/0!</v>
      </c>
      <c r="AI406" s="160"/>
      <c r="AJ406" s="105"/>
      <c r="AK406" s="105"/>
      <c r="AM406" s="105"/>
      <c r="AN406" s="105"/>
      <c r="AO406" s="105"/>
      <c r="AP406" s="105"/>
      <c r="AQ406" s="105"/>
      <c r="AR406" s="105"/>
    </row>
    <row r="407" spans="1:44" s="49" customFormat="1" ht="40.15" hidden="1" customHeight="1">
      <c r="A407" s="152">
        <f t="shared" ca="1" si="652"/>
        <v>0</v>
      </c>
      <c r="B407" s="153">
        <v>91593</v>
      </c>
      <c r="C407" s="154" t="str">
        <f t="shared" si="733"/>
        <v>91593</v>
      </c>
      <c r="D407" s="154" t="s">
        <v>1416</v>
      </c>
      <c r="E407" s="155" t="s">
        <v>3807</v>
      </c>
      <c r="F407" s="154"/>
      <c r="G407" s="154" t="s">
        <v>3802</v>
      </c>
      <c r="H407" s="152">
        <v>10.59</v>
      </c>
      <c r="I407" s="152">
        <v>10.220000000000001</v>
      </c>
      <c r="J407" s="156"/>
      <c r="K407" s="156">
        <f>Bacia_Amortecimento!J63</f>
        <v>0</v>
      </c>
      <c r="L407" s="156">
        <f t="shared" si="734"/>
        <v>0</v>
      </c>
      <c r="M407" s="156">
        <f t="shared" si="735"/>
        <v>0</v>
      </c>
      <c r="N407" s="156" t="s">
        <v>83</v>
      </c>
      <c r="O407" s="157" cm="1">
        <f t="array" ref="O407">TRUNC($H407*(1+_xlfn.SWITCH($N407,"BDI 1",$O$6,"BDI 2",$O$7,"BDI 3",$O$8)),2)</f>
        <v>12.78</v>
      </c>
      <c r="P407" s="157" cm="1">
        <f t="array" ref="P407">TRUNC($I407*(1+_xlfn.SWITCH($N407,"BDI 1",$P$6,"BDI 2",$P$7,"BDI 3",$P$8)),2)</f>
        <v>12.95</v>
      </c>
      <c r="Q407" s="157">
        <v>0</v>
      </c>
      <c r="R407" s="157">
        <f t="shared" si="736"/>
        <v>0</v>
      </c>
      <c r="S407" s="156">
        <f t="shared" si="737"/>
        <v>0</v>
      </c>
      <c r="T407" s="156">
        <f t="shared" si="738"/>
        <v>0</v>
      </c>
      <c r="U407" s="156">
        <f t="shared" si="739"/>
        <v>0</v>
      </c>
      <c r="V407" s="156">
        <f t="shared" si="740"/>
        <v>0</v>
      </c>
      <c r="W407" s="156">
        <f t="shared" si="741"/>
        <v>0</v>
      </c>
      <c r="X407" s="158">
        <f t="shared" ref="X407" si="793">$S407/ORCAMENTO_VALOR_TOTAL_ND</f>
        <v>0</v>
      </c>
      <c r="Y407" s="158">
        <f t="shared" ref="Y407" si="794">$T407/ORCAMENTO_VALOR_TOTAL_DE</f>
        <v>0</v>
      </c>
      <c r="Z407" s="158" cm="1">
        <f t="array" ref="Z407">_xlfn.SWITCH($N407,"BDI 1",$O$6,"BDI 2",$O$7,"BDI 3",$O$8)</f>
        <v>0.20699999999999999</v>
      </c>
      <c r="AA407" s="158" cm="1">
        <f t="array" ref="AA407">_xlfn.SWITCH($N407,"BDI 1",$P$6,"BDI 2",$P$7,"BDI 3",$P$8)</f>
        <v>0.26739999999999997</v>
      </c>
      <c r="AB407" s="158">
        <f t="shared" ca="1" si="744"/>
        <v>0</v>
      </c>
      <c r="AC407" s="158">
        <f t="shared" ca="1" si="745"/>
        <v>0</v>
      </c>
      <c r="AD407" s="164"/>
      <c r="AE407" s="148">
        <f t="shared" si="651"/>
        <v>0</v>
      </c>
      <c r="AF407" s="149"/>
      <c r="AG407" s="150"/>
      <c r="AH407" s="159" t="e">
        <f t="shared" si="746"/>
        <v>#DIV/0!</v>
      </c>
      <c r="AI407" s="160"/>
      <c r="AJ407" s="105"/>
      <c r="AK407" s="105"/>
      <c r="AM407" s="105"/>
      <c r="AN407" s="105"/>
      <c r="AO407" s="105"/>
      <c r="AP407" s="105"/>
      <c r="AQ407" s="105"/>
      <c r="AR407" s="105"/>
    </row>
    <row r="408" spans="1:44" s="49" customFormat="1" ht="40.15" hidden="1" customHeight="1">
      <c r="A408" s="152">
        <f t="shared" ca="1" si="652"/>
        <v>0</v>
      </c>
      <c r="B408" s="153">
        <v>91594</v>
      </c>
      <c r="C408" s="154" t="str">
        <f t="shared" si="733"/>
        <v>91594</v>
      </c>
      <c r="D408" s="154" t="s">
        <v>1416</v>
      </c>
      <c r="E408" s="155" t="s">
        <v>3808</v>
      </c>
      <c r="F408" s="154"/>
      <c r="G408" s="154" t="s">
        <v>3802</v>
      </c>
      <c r="H408" s="152">
        <v>11</v>
      </c>
      <c r="I408" s="152">
        <v>10.61</v>
      </c>
      <c r="J408" s="156"/>
      <c r="K408" s="156">
        <f>Bacia_Amortecimento!J64</f>
        <v>0</v>
      </c>
      <c r="L408" s="156">
        <f t="shared" si="734"/>
        <v>0</v>
      </c>
      <c r="M408" s="156">
        <f t="shared" si="735"/>
        <v>0</v>
      </c>
      <c r="N408" s="156" t="s">
        <v>83</v>
      </c>
      <c r="O408" s="157" cm="1">
        <f t="array" ref="O408">TRUNC($H408*(1+_xlfn.SWITCH($N408,"BDI 1",$O$6,"BDI 2",$O$7,"BDI 3",$O$8)),2)</f>
        <v>13.27</v>
      </c>
      <c r="P408" s="157" cm="1">
        <f t="array" ref="P408">TRUNC($I408*(1+_xlfn.SWITCH($N408,"BDI 1",$P$6,"BDI 2",$P$7,"BDI 3",$P$8)),2)</f>
        <v>13.44</v>
      </c>
      <c r="Q408" s="157">
        <v>0</v>
      </c>
      <c r="R408" s="157">
        <f t="shared" si="736"/>
        <v>0</v>
      </c>
      <c r="S408" s="156">
        <f t="shared" si="737"/>
        <v>0</v>
      </c>
      <c r="T408" s="156">
        <f t="shared" si="738"/>
        <v>0</v>
      </c>
      <c r="U408" s="156">
        <f t="shared" si="739"/>
        <v>0</v>
      </c>
      <c r="V408" s="156">
        <f t="shared" si="740"/>
        <v>0</v>
      </c>
      <c r="W408" s="156">
        <f t="shared" si="741"/>
        <v>0</v>
      </c>
      <c r="X408" s="158">
        <f t="shared" ref="X408" si="795">$S408/ORCAMENTO_VALOR_TOTAL_ND</f>
        <v>0</v>
      </c>
      <c r="Y408" s="158">
        <f t="shared" ref="Y408" si="796">$T408/ORCAMENTO_VALOR_TOTAL_DE</f>
        <v>0</v>
      </c>
      <c r="Z408" s="158" cm="1">
        <f t="array" ref="Z408">_xlfn.SWITCH($N408,"BDI 1",$O$6,"BDI 2",$O$7,"BDI 3",$O$8)</f>
        <v>0.20699999999999999</v>
      </c>
      <c r="AA408" s="158" cm="1">
        <f t="array" ref="AA408">_xlfn.SWITCH($N408,"BDI 1",$P$6,"BDI 2",$P$7,"BDI 3",$P$8)</f>
        <v>0.26739999999999997</v>
      </c>
      <c r="AB408" s="158">
        <f t="shared" ca="1" si="744"/>
        <v>0</v>
      </c>
      <c r="AC408" s="158">
        <f t="shared" ca="1" si="745"/>
        <v>0</v>
      </c>
      <c r="AD408" s="164"/>
      <c r="AE408" s="148">
        <f t="shared" si="651"/>
        <v>0</v>
      </c>
      <c r="AF408" s="149"/>
      <c r="AG408" s="150"/>
      <c r="AH408" s="159" t="e">
        <f t="shared" si="746"/>
        <v>#DIV/0!</v>
      </c>
      <c r="AI408" s="160"/>
      <c r="AJ408" s="105"/>
      <c r="AK408" s="105"/>
      <c r="AM408" s="105"/>
      <c r="AN408" s="105"/>
      <c r="AO408" s="105"/>
      <c r="AP408" s="105"/>
      <c r="AQ408" s="105"/>
      <c r="AR408" s="105"/>
    </row>
    <row r="409" spans="1:44" s="49" customFormat="1" ht="60" hidden="1" customHeight="1">
      <c r="A409" s="152">
        <f t="shared" ca="1" si="652"/>
        <v>0</v>
      </c>
      <c r="B409" s="153" t="s">
        <v>217</v>
      </c>
      <c r="C409" s="154" t="str">
        <f t="shared" si="733"/>
        <v>EC/0020</v>
      </c>
      <c r="D409" s="154" t="s">
        <v>3549</v>
      </c>
      <c r="E409" s="155" t="s">
        <v>3830</v>
      </c>
      <c r="F409" s="154"/>
      <c r="G409" s="154" t="s">
        <v>464</v>
      </c>
      <c r="H409" s="152">
        <v>709.02</v>
      </c>
      <c r="I409" s="152">
        <v>696.92</v>
      </c>
      <c r="J409" s="156"/>
      <c r="K409" s="156">
        <f>Bacia_Amortecimento!J69</f>
        <v>0</v>
      </c>
      <c r="L409" s="156">
        <f t="shared" si="734"/>
        <v>0</v>
      </c>
      <c r="M409" s="156">
        <f t="shared" si="735"/>
        <v>0</v>
      </c>
      <c r="N409" s="156" t="s">
        <v>83</v>
      </c>
      <c r="O409" s="157" cm="1">
        <f t="array" ref="O409">TRUNC($H409*(1+_xlfn.SWITCH($N409,"BDI 1",$O$6,"BDI 2",$O$7,"BDI 3",$O$8)),2)</f>
        <v>855.78</v>
      </c>
      <c r="P409" s="157" cm="1">
        <f t="array" ref="P409">TRUNC($I409*(1+_xlfn.SWITCH($N409,"BDI 1",$P$6,"BDI 2",$P$7,"BDI 3",$P$8)),2)</f>
        <v>883.27</v>
      </c>
      <c r="Q409" s="157">
        <v>0</v>
      </c>
      <c r="R409" s="157">
        <f t="shared" si="736"/>
        <v>0</v>
      </c>
      <c r="S409" s="156">
        <f t="shared" si="737"/>
        <v>0</v>
      </c>
      <c r="T409" s="156">
        <f t="shared" si="738"/>
        <v>0</v>
      </c>
      <c r="U409" s="156">
        <f t="shared" si="739"/>
        <v>0</v>
      </c>
      <c r="V409" s="156">
        <f t="shared" si="740"/>
        <v>0</v>
      </c>
      <c r="W409" s="156">
        <f t="shared" si="741"/>
        <v>0</v>
      </c>
      <c r="X409" s="158">
        <f t="shared" ref="X409" si="797">$S409/ORCAMENTO_VALOR_TOTAL_ND</f>
        <v>0</v>
      </c>
      <c r="Y409" s="158">
        <f t="shared" ref="Y409" si="798">$T409/ORCAMENTO_VALOR_TOTAL_DE</f>
        <v>0</v>
      </c>
      <c r="Z409" s="158" cm="1">
        <f t="array" ref="Z409">_xlfn.SWITCH($N409,"BDI 1",$O$6,"BDI 2",$O$7,"BDI 3",$O$8)</f>
        <v>0.20699999999999999</v>
      </c>
      <c r="AA409" s="158" cm="1">
        <f t="array" ref="AA409">_xlfn.SWITCH($N409,"BDI 1",$P$6,"BDI 2",$P$7,"BDI 3",$P$8)</f>
        <v>0.26739999999999997</v>
      </c>
      <c r="AB409" s="158">
        <f t="shared" ca="1" si="744"/>
        <v>0</v>
      </c>
      <c r="AC409" s="158">
        <f t="shared" ca="1" si="745"/>
        <v>0</v>
      </c>
      <c r="AD409" s="164"/>
      <c r="AE409" s="148">
        <f t="shared" si="651"/>
        <v>0</v>
      </c>
      <c r="AF409" s="149"/>
      <c r="AG409" s="150"/>
      <c r="AH409" s="159" t="e">
        <f t="shared" si="746"/>
        <v>#DIV/0!</v>
      </c>
      <c r="AI409" s="160"/>
      <c r="AJ409" s="105"/>
      <c r="AK409" s="105"/>
      <c r="AM409" s="105"/>
      <c r="AN409" s="105"/>
      <c r="AO409" s="105"/>
      <c r="AP409" s="105"/>
      <c r="AQ409" s="105"/>
      <c r="AR409" s="105"/>
    </row>
    <row r="410" spans="1:44" s="49" customFormat="1" ht="60" hidden="1" customHeight="1">
      <c r="A410" s="152">
        <f t="shared" ca="1" si="652"/>
        <v>0</v>
      </c>
      <c r="B410" s="153" t="s">
        <v>218</v>
      </c>
      <c r="C410" s="154" t="str">
        <f t="shared" si="733"/>
        <v>EC/0025</v>
      </c>
      <c r="D410" s="154" t="s">
        <v>3549</v>
      </c>
      <c r="E410" s="155" t="s">
        <v>3831</v>
      </c>
      <c r="F410" s="154"/>
      <c r="G410" s="154" t="s">
        <v>464</v>
      </c>
      <c r="H410" s="152">
        <v>831.02</v>
      </c>
      <c r="I410" s="152">
        <v>816.44</v>
      </c>
      <c r="J410" s="156"/>
      <c r="K410" s="156">
        <f>Bacia_Amortecimento!J70</f>
        <v>0</v>
      </c>
      <c r="L410" s="156">
        <f t="shared" si="734"/>
        <v>0</v>
      </c>
      <c r="M410" s="156">
        <f t="shared" si="735"/>
        <v>0</v>
      </c>
      <c r="N410" s="156" t="s">
        <v>83</v>
      </c>
      <c r="O410" s="157" cm="1">
        <f t="array" ref="O410">TRUNC($H410*(1+_xlfn.SWITCH($N410,"BDI 1",$O$6,"BDI 2",$O$7,"BDI 3",$O$8)),2)</f>
        <v>1003.04</v>
      </c>
      <c r="P410" s="157" cm="1">
        <f t="array" ref="P410">TRUNC($I410*(1+_xlfn.SWITCH($N410,"BDI 1",$P$6,"BDI 2",$P$7,"BDI 3",$P$8)),2)</f>
        <v>1034.75</v>
      </c>
      <c r="Q410" s="157">
        <v>0</v>
      </c>
      <c r="R410" s="157">
        <f t="shared" si="736"/>
        <v>0</v>
      </c>
      <c r="S410" s="156">
        <f t="shared" si="737"/>
        <v>0</v>
      </c>
      <c r="T410" s="156">
        <f t="shared" si="738"/>
        <v>0</v>
      </c>
      <c r="U410" s="156">
        <f t="shared" si="739"/>
        <v>0</v>
      </c>
      <c r="V410" s="156">
        <f t="shared" si="740"/>
        <v>0</v>
      </c>
      <c r="W410" s="156">
        <f t="shared" si="741"/>
        <v>0</v>
      </c>
      <c r="X410" s="158">
        <f t="shared" ref="X410" si="799">$S410/ORCAMENTO_VALOR_TOTAL_ND</f>
        <v>0</v>
      </c>
      <c r="Y410" s="158">
        <f t="shared" ref="Y410" si="800">$T410/ORCAMENTO_VALOR_TOTAL_DE</f>
        <v>0</v>
      </c>
      <c r="Z410" s="158" cm="1">
        <f t="array" ref="Z410">_xlfn.SWITCH($N410,"BDI 1",$O$6,"BDI 2",$O$7,"BDI 3",$O$8)</f>
        <v>0.20699999999999999</v>
      </c>
      <c r="AA410" s="158" cm="1">
        <f t="array" ref="AA410">_xlfn.SWITCH($N410,"BDI 1",$P$6,"BDI 2",$P$7,"BDI 3",$P$8)</f>
        <v>0.26739999999999997</v>
      </c>
      <c r="AB410" s="158">
        <f t="shared" ca="1" si="744"/>
        <v>0</v>
      </c>
      <c r="AC410" s="158">
        <f t="shared" ca="1" si="745"/>
        <v>0</v>
      </c>
      <c r="AD410" s="164"/>
      <c r="AE410" s="148">
        <f t="shared" si="651"/>
        <v>0</v>
      </c>
      <c r="AF410" s="149"/>
      <c r="AG410" s="150"/>
      <c r="AH410" s="159" t="e">
        <f t="shared" si="746"/>
        <v>#DIV/0!</v>
      </c>
      <c r="AI410" s="160"/>
      <c r="AJ410" s="105"/>
      <c r="AK410" s="105"/>
      <c r="AM410" s="105"/>
      <c r="AN410" s="105"/>
      <c r="AO410" s="105"/>
      <c r="AP410" s="105"/>
      <c r="AQ410" s="105"/>
      <c r="AR410" s="105"/>
    </row>
    <row r="411" spans="1:44" s="49" customFormat="1" ht="60" hidden="1" customHeight="1">
      <c r="A411" s="152">
        <f t="shared" ca="1" si="652"/>
        <v>0</v>
      </c>
      <c r="B411" s="153" t="s">
        <v>219</v>
      </c>
      <c r="C411" s="154" t="str">
        <f t="shared" si="733"/>
        <v>EC/0030</v>
      </c>
      <c r="D411" s="154" t="s">
        <v>3549</v>
      </c>
      <c r="E411" s="155" t="s">
        <v>3832</v>
      </c>
      <c r="F411" s="154"/>
      <c r="G411" s="154" t="s">
        <v>464</v>
      </c>
      <c r="H411" s="152">
        <v>899.71</v>
      </c>
      <c r="I411" s="152">
        <v>883.74</v>
      </c>
      <c r="J411" s="156"/>
      <c r="K411" s="156">
        <f>Bacia_Amortecimento!J71</f>
        <v>0</v>
      </c>
      <c r="L411" s="156">
        <f t="shared" si="734"/>
        <v>0</v>
      </c>
      <c r="M411" s="156">
        <f t="shared" si="735"/>
        <v>0</v>
      </c>
      <c r="N411" s="156" t="s">
        <v>83</v>
      </c>
      <c r="O411" s="157" cm="1">
        <f t="array" ref="O411">TRUNC($H411*(1+_xlfn.SWITCH($N411,"BDI 1",$O$6,"BDI 2",$O$7,"BDI 3",$O$8)),2)</f>
        <v>1085.94</v>
      </c>
      <c r="P411" s="157" cm="1">
        <f t="array" ref="P411">TRUNC($I411*(1+_xlfn.SWITCH($N411,"BDI 1",$P$6,"BDI 2",$P$7,"BDI 3",$P$8)),2)</f>
        <v>1120.05</v>
      </c>
      <c r="Q411" s="157">
        <v>0</v>
      </c>
      <c r="R411" s="157">
        <f t="shared" si="736"/>
        <v>0</v>
      </c>
      <c r="S411" s="156">
        <f t="shared" si="737"/>
        <v>0</v>
      </c>
      <c r="T411" s="156">
        <f t="shared" si="738"/>
        <v>0</v>
      </c>
      <c r="U411" s="156">
        <f t="shared" si="739"/>
        <v>0</v>
      </c>
      <c r="V411" s="156">
        <f t="shared" si="740"/>
        <v>0</v>
      </c>
      <c r="W411" s="156">
        <f t="shared" si="741"/>
        <v>0</v>
      </c>
      <c r="X411" s="158">
        <f t="shared" ref="X411" si="801">$S411/ORCAMENTO_VALOR_TOTAL_ND</f>
        <v>0</v>
      </c>
      <c r="Y411" s="158">
        <f t="shared" ref="Y411" si="802">$T411/ORCAMENTO_VALOR_TOTAL_DE</f>
        <v>0</v>
      </c>
      <c r="Z411" s="158" cm="1">
        <f t="array" ref="Z411">_xlfn.SWITCH($N411,"BDI 1",$O$6,"BDI 2",$O$7,"BDI 3",$O$8)</f>
        <v>0.20699999999999999</v>
      </c>
      <c r="AA411" s="158" cm="1">
        <f t="array" ref="AA411">_xlfn.SWITCH($N411,"BDI 1",$P$6,"BDI 2",$P$7,"BDI 3",$P$8)</f>
        <v>0.26739999999999997</v>
      </c>
      <c r="AB411" s="158">
        <f t="shared" ca="1" si="744"/>
        <v>0</v>
      </c>
      <c r="AC411" s="158">
        <f t="shared" ca="1" si="745"/>
        <v>0</v>
      </c>
      <c r="AD411" s="164"/>
      <c r="AE411" s="148">
        <f t="shared" si="651"/>
        <v>0</v>
      </c>
      <c r="AF411" s="149"/>
      <c r="AG411" s="150"/>
      <c r="AH411" s="159" t="e">
        <f t="shared" si="746"/>
        <v>#DIV/0!</v>
      </c>
      <c r="AI411" s="160"/>
      <c r="AJ411" s="105"/>
      <c r="AK411" s="105"/>
      <c r="AM411" s="105"/>
      <c r="AN411" s="105"/>
      <c r="AO411" s="105"/>
      <c r="AP411" s="105"/>
      <c r="AQ411" s="105"/>
      <c r="AR411" s="105"/>
    </row>
    <row r="412" spans="1:44" s="49" customFormat="1" ht="40.15" hidden="1" customHeight="1">
      <c r="A412" s="152">
        <f t="shared" ca="1" si="652"/>
        <v>0</v>
      </c>
      <c r="B412" s="153">
        <v>92749</v>
      </c>
      <c r="C412" s="154" t="str">
        <f t="shared" si="733"/>
        <v>92749</v>
      </c>
      <c r="D412" s="154" t="s">
        <v>1416</v>
      </c>
      <c r="E412" s="155" t="s">
        <v>3833</v>
      </c>
      <c r="F412" s="154"/>
      <c r="G412" s="154" t="s">
        <v>464</v>
      </c>
      <c r="H412" s="152">
        <v>870.26</v>
      </c>
      <c r="I412" s="152">
        <v>793.23</v>
      </c>
      <c r="J412" s="156"/>
      <c r="K412" s="156">
        <f>Bacia_Amortecimento!J72</f>
        <v>0</v>
      </c>
      <c r="L412" s="156">
        <f t="shared" si="734"/>
        <v>0</v>
      </c>
      <c r="M412" s="156">
        <f t="shared" si="735"/>
        <v>0</v>
      </c>
      <c r="N412" s="156" t="s">
        <v>83</v>
      </c>
      <c r="O412" s="157" cm="1">
        <f t="array" ref="O412">TRUNC($H412*(1+_xlfn.SWITCH($N412,"BDI 1",$O$6,"BDI 2",$O$7,"BDI 3",$O$8)),2)</f>
        <v>1050.4000000000001</v>
      </c>
      <c r="P412" s="157" cm="1">
        <f t="array" ref="P412">TRUNC($I412*(1+_xlfn.SWITCH($N412,"BDI 1",$P$6,"BDI 2",$P$7,"BDI 3",$P$8)),2)</f>
        <v>1005.33</v>
      </c>
      <c r="Q412" s="157">
        <v>0</v>
      </c>
      <c r="R412" s="157">
        <f t="shared" si="736"/>
        <v>0</v>
      </c>
      <c r="S412" s="156">
        <f t="shared" si="737"/>
        <v>0</v>
      </c>
      <c r="T412" s="156">
        <f t="shared" si="738"/>
        <v>0</v>
      </c>
      <c r="U412" s="156">
        <f t="shared" si="739"/>
        <v>0</v>
      </c>
      <c r="V412" s="156">
        <f t="shared" si="740"/>
        <v>0</v>
      </c>
      <c r="W412" s="156">
        <f t="shared" si="741"/>
        <v>0</v>
      </c>
      <c r="X412" s="158">
        <f t="shared" ref="X412" si="803">$S412/ORCAMENTO_VALOR_TOTAL_ND</f>
        <v>0</v>
      </c>
      <c r="Y412" s="158">
        <f t="shared" ref="Y412" si="804">$T412/ORCAMENTO_VALOR_TOTAL_DE</f>
        <v>0</v>
      </c>
      <c r="Z412" s="158" cm="1">
        <f t="array" ref="Z412">_xlfn.SWITCH($N412,"BDI 1",$O$6,"BDI 2",$O$7,"BDI 3",$O$8)</f>
        <v>0.20699999999999999</v>
      </c>
      <c r="AA412" s="158" cm="1">
        <f t="array" ref="AA412">_xlfn.SWITCH($N412,"BDI 1",$P$6,"BDI 2",$P$7,"BDI 3",$P$8)</f>
        <v>0.26739999999999997</v>
      </c>
      <c r="AB412" s="158">
        <f t="shared" ca="1" si="744"/>
        <v>0</v>
      </c>
      <c r="AC412" s="158">
        <f t="shared" ca="1" si="745"/>
        <v>0</v>
      </c>
      <c r="AD412" s="164"/>
      <c r="AE412" s="148">
        <f t="shared" si="651"/>
        <v>0</v>
      </c>
      <c r="AF412" s="149"/>
      <c r="AG412" s="150"/>
      <c r="AH412" s="159" t="e">
        <f t="shared" si="746"/>
        <v>#DIV/0!</v>
      </c>
      <c r="AI412" s="160"/>
      <c r="AJ412" s="105"/>
      <c r="AK412" s="105"/>
      <c r="AM412" s="105"/>
      <c r="AN412" s="105"/>
      <c r="AO412" s="105"/>
      <c r="AP412" s="105"/>
      <c r="AQ412" s="105"/>
      <c r="AR412" s="105"/>
    </row>
    <row r="413" spans="1:44" s="49" customFormat="1" ht="60" hidden="1" customHeight="1">
      <c r="A413" s="152">
        <f t="shared" ca="1" si="652"/>
        <v>0</v>
      </c>
      <c r="B413" s="153" t="s">
        <v>220</v>
      </c>
      <c r="C413" s="154" t="str">
        <f t="shared" si="733"/>
        <v>EC/0033</v>
      </c>
      <c r="D413" s="154" t="s">
        <v>3549</v>
      </c>
      <c r="E413" s="155" t="s">
        <v>3834</v>
      </c>
      <c r="F413" s="154"/>
      <c r="G413" s="154" t="s">
        <v>464</v>
      </c>
      <c r="H413" s="152">
        <v>0</v>
      </c>
      <c r="I413" s="152">
        <v>0</v>
      </c>
      <c r="J413" s="156"/>
      <c r="K413" s="156">
        <f>Bacia_Amortecimento!J73</f>
        <v>0</v>
      </c>
      <c r="L413" s="156">
        <f t="shared" si="734"/>
        <v>0</v>
      </c>
      <c r="M413" s="156">
        <f t="shared" si="735"/>
        <v>0</v>
      </c>
      <c r="N413" s="156" t="s">
        <v>83</v>
      </c>
      <c r="O413" s="157" cm="1">
        <f t="array" ref="O413">TRUNC($H413*(1+_xlfn.SWITCH($N413,"BDI 1",$O$6,"BDI 2",$O$7,"BDI 3",$O$8)),2)</f>
        <v>0</v>
      </c>
      <c r="P413" s="157" cm="1">
        <f t="array" ref="P413">TRUNC($I413*(1+_xlfn.SWITCH($N413,"BDI 1",$P$6,"BDI 2",$P$7,"BDI 3",$P$8)),2)</f>
        <v>0</v>
      </c>
      <c r="Q413" s="157">
        <v>0</v>
      </c>
      <c r="R413" s="157">
        <f t="shared" si="736"/>
        <v>0</v>
      </c>
      <c r="S413" s="156">
        <f t="shared" si="737"/>
        <v>0</v>
      </c>
      <c r="T413" s="156">
        <f t="shared" si="738"/>
        <v>0</v>
      </c>
      <c r="U413" s="156">
        <f t="shared" si="739"/>
        <v>0</v>
      </c>
      <c r="V413" s="156">
        <f t="shared" si="740"/>
        <v>0</v>
      </c>
      <c r="W413" s="156">
        <f t="shared" si="741"/>
        <v>0</v>
      </c>
      <c r="X413" s="158">
        <f t="shared" ref="X413" si="805">$S413/ORCAMENTO_VALOR_TOTAL_ND</f>
        <v>0</v>
      </c>
      <c r="Y413" s="158">
        <f t="shared" ref="Y413" si="806">$T413/ORCAMENTO_VALOR_TOTAL_DE</f>
        <v>0</v>
      </c>
      <c r="Z413" s="158" cm="1">
        <f t="array" ref="Z413">_xlfn.SWITCH($N413,"BDI 1",$O$6,"BDI 2",$O$7,"BDI 3",$O$8)</f>
        <v>0.20699999999999999</v>
      </c>
      <c r="AA413" s="158" cm="1">
        <f t="array" ref="AA413">_xlfn.SWITCH($N413,"BDI 1",$P$6,"BDI 2",$P$7,"BDI 3",$P$8)</f>
        <v>0.26739999999999997</v>
      </c>
      <c r="AB413" s="158">
        <f t="shared" ca="1" si="744"/>
        <v>0</v>
      </c>
      <c r="AC413" s="158">
        <f t="shared" ca="1" si="745"/>
        <v>0</v>
      </c>
      <c r="AD413" s="164"/>
      <c r="AE413" s="148">
        <f t="shared" si="651"/>
        <v>0</v>
      </c>
      <c r="AF413" s="149"/>
      <c r="AG413" s="150"/>
      <c r="AH413" s="159" t="e">
        <f t="shared" si="746"/>
        <v>#DIV/0!</v>
      </c>
      <c r="AI413" s="160"/>
      <c r="AJ413" s="105"/>
      <c r="AK413" s="105"/>
      <c r="AM413" s="105"/>
      <c r="AN413" s="105"/>
      <c r="AO413" s="105"/>
      <c r="AP413" s="105"/>
      <c r="AQ413" s="105"/>
      <c r="AR413" s="105"/>
    </row>
    <row r="414" spans="1:44" s="49" customFormat="1" ht="49.9" hidden="1" customHeight="1">
      <c r="A414" s="152">
        <f t="shared" ca="1" si="652"/>
        <v>0</v>
      </c>
      <c r="B414" s="153">
        <v>92750</v>
      </c>
      <c r="C414" s="154" t="str">
        <f t="shared" si="733"/>
        <v>92750</v>
      </c>
      <c r="D414" s="154" t="s">
        <v>1416</v>
      </c>
      <c r="E414" s="155" t="s">
        <v>3835</v>
      </c>
      <c r="F414" s="154"/>
      <c r="G414" s="154" t="s">
        <v>464</v>
      </c>
      <c r="H414" s="152">
        <v>1441.34</v>
      </c>
      <c r="I414" s="152">
        <v>1320.7</v>
      </c>
      <c r="J414" s="156"/>
      <c r="K414" s="156">
        <f>Bacia_Amortecimento!J74</f>
        <v>0</v>
      </c>
      <c r="L414" s="156">
        <f t="shared" si="734"/>
        <v>0</v>
      </c>
      <c r="M414" s="156">
        <f t="shared" si="735"/>
        <v>0</v>
      </c>
      <c r="N414" s="156" t="s">
        <v>83</v>
      </c>
      <c r="O414" s="157" cm="1">
        <f t="array" ref="O414">TRUNC($H414*(1+_xlfn.SWITCH($N414,"BDI 1",$O$6,"BDI 2",$O$7,"BDI 3",$O$8)),2)</f>
        <v>1739.69</v>
      </c>
      <c r="P414" s="157" cm="1">
        <f t="array" ref="P414">TRUNC($I414*(1+_xlfn.SWITCH($N414,"BDI 1",$P$6,"BDI 2",$P$7,"BDI 3",$P$8)),2)</f>
        <v>1673.85</v>
      </c>
      <c r="Q414" s="157">
        <v>0</v>
      </c>
      <c r="R414" s="157">
        <f t="shared" si="736"/>
        <v>0</v>
      </c>
      <c r="S414" s="156">
        <f t="shared" si="737"/>
        <v>0</v>
      </c>
      <c r="T414" s="156">
        <f t="shared" si="738"/>
        <v>0</v>
      </c>
      <c r="U414" s="156">
        <f t="shared" si="739"/>
        <v>0</v>
      </c>
      <c r="V414" s="156">
        <f t="shared" si="740"/>
        <v>0</v>
      </c>
      <c r="W414" s="156">
        <f t="shared" si="741"/>
        <v>0</v>
      </c>
      <c r="X414" s="158">
        <f t="shared" ref="X414" si="807">$S414/ORCAMENTO_VALOR_TOTAL_ND</f>
        <v>0</v>
      </c>
      <c r="Y414" s="158">
        <f t="shared" ref="Y414" si="808">$T414/ORCAMENTO_VALOR_TOTAL_DE</f>
        <v>0</v>
      </c>
      <c r="Z414" s="158" cm="1">
        <f t="array" ref="Z414">_xlfn.SWITCH($N414,"BDI 1",$O$6,"BDI 2",$O$7,"BDI 3",$O$8)</f>
        <v>0.20699999999999999</v>
      </c>
      <c r="AA414" s="158" cm="1">
        <f t="array" ref="AA414">_xlfn.SWITCH($N414,"BDI 1",$P$6,"BDI 2",$P$7,"BDI 3",$P$8)</f>
        <v>0.26739999999999997</v>
      </c>
      <c r="AB414" s="158">
        <f t="shared" ca="1" si="744"/>
        <v>0</v>
      </c>
      <c r="AC414" s="158">
        <f t="shared" ca="1" si="745"/>
        <v>0</v>
      </c>
      <c r="AD414" s="164"/>
      <c r="AE414" s="148">
        <f t="shared" si="651"/>
        <v>0</v>
      </c>
      <c r="AF414" s="149"/>
      <c r="AG414" s="150"/>
      <c r="AH414" s="159" t="e">
        <f t="shared" si="746"/>
        <v>#DIV/0!</v>
      </c>
      <c r="AI414" s="160"/>
      <c r="AJ414" s="105"/>
      <c r="AK414" s="105"/>
      <c r="AM414" s="105"/>
      <c r="AN414" s="105"/>
      <c r="AO414" s="105"/>
      <c r="AP414" s="105"/>
      <c r="AQ414" s="105"/>
      <c r="AR414" s="105"/>
    </row>
    <row r="415" spans="1:44" s="49" customFormat="1" ht="60" hidden="1" customHeight="1">
      <c r="A415" s="152">
        <f t="shared" ca="1" si="652"/>
        <v>0</v>
      </c>
      <c r="B415" s="153" t="s">
        <v>221</v>
      </c>
      <c r="C415" s="154" t="str">
        <f t="shared" si="733"/>
        <v>EC/0035</v>
      </c>
      <c r="D415" s="154" t="s">
        <v>3549</v>
      </c>
      <c r="E415" s="155" t="s">
        <v>3836</v>
      </c>
      <c r="F415" s="154"/>
      <c r="G415" s="154" t="s">
        <v>464</v>
      </c>
      <c r="H415" s="152">
        <v>0</v>
      </c>
      <c r="I415" s="152">
        <v>0</v>
      </c>
      <c r="J415" s="156"/>
      <c r="K415" s="156">
        <f>Bacia_Amortecimento!J75</f>
        <v>0</v>
      </c>
      <c r="L415" s="156">
        <f t="shared" si="734"/>
        <v>0</v>
      </c>
      <c r="M415" s="156">
        <f t="shared" si="735"/>
        <v>0</v>
      </c>
      <c r="N415" s="156" t="s">
        <v>83</v>
      </c>
      <c r="O415" s="157" cm="1">
        <f t="array" ref="O415">TRUNC($H415*(1+_xlfn.SWITCH($N415,"BDI 1",$O$6,"BDI 2",$O$7,"BDI 3",$O$8)),2)</f>
        <v>0</v>
      </c>
      <c r="P415" s="157" cm="1">
        <f t="array" ref="P415">TRUNC($I415*(1+_xlfn.SWITCH($N415,"BDI 1",$P$6,"BDI 2",$P$7,"BDI 3",$P$8)),2)</f>
        <v>0</v>
      </c>
      <c r="Q415" s="157">
        <v>0</v>
      </c>
      <c r="R415" s="157">
        <f t="shared" si="736"/>
        <v>0</v>
      </c>
      <c r="S415" s="156">
        <f t="shared" si="737"/>
        <v>0</v>
      </c>
      <c r="T415" s="156">
        <f t="shared" si="738"/>
        <v>0</v>
      </c>
      <c r="U415" s="156">
        <f t="shared" si="739"/>
        <v>0</v>
      </c>
      <c r="V415" s="156">
        <f t="shared" si="740"/>
        <v>0</v>
      </c>
      <c r="W415" s="156">
        <f t="shared" si="741"/>
        <v>0</v>
      </c>
      <c r="X415" s="158">
        <f t="shared" ref="X415" si="809">$S415/ORCAMENTO_VALOR_TOTAL_ND</f>
        <v>0</v>
      </c>
      <c r="Y415" s="158">
        <f t="shared" ref="Y415" si="810">$T415/ORCAMENTO_VALOR_TOTAL_DE</f>
        <v>0</v>
      </c>
      <c r="Z415" s="158" cm="1">
        <f t="array" ref="Z415">_xlfn.SWITCH($N415,"BDI 1",$O$6,"BDI 2",$O$7,"BDI 3",$O$8)</f>
        <v>0.20699999999999999</v>
      </c>
      <c r="AA415" s="158" cm="1">
        <f t="array" ref="AA415">_xlfn.SWITCH($N415,"BDI 1",$P$6,"BDI 2",$P$7,"BDI 3",$P$8)</f>
        <v>0.26739999999999997</v>
      </c>
      <c r="AB415" s="158">
        <f t="shared" ca="1" si="744"/>
        <v>0</v>
      </c>
      <c r="AC415" s="158">
        <f t="shared" ca="1" si="745"/>
        <v>0</v>
      </c>
      <c r="AD415" s="164"/>
      <c r="AE415" s="148">
        <f t="shared" ref="AE415:AE436" si="811">IF(S415&gt;0,IFERROR(TRUNC(A415,0),0),0)</f>
        <v>0</v>
      </c>
      <c r="AF415" s="149"/>
      <c r="AG415" s="150"/>
      <c r="AH415" s="159" t="e">
        <f t="shared" si="746"/>
        <v>#DIV/0!</v>
      </c>
      <c r="AI415" s="160"/>
      <c r="AJ415" s="105"/>
      <c r="AK415" s="105"/>
      <c r="AM415" s="105"/>
      <c r="AN415" s="105"/>
      <c r="AO415" s="105"/>
      <c r="AP415" s="105"/>
      <c r="AQ415" s="105"/>
      <c r="AR415" s="105"/>
    </row>
    <row r="416" spans="1:44" s="49" customFormat="1" ht="60" hidden="1" customHeight="1">
      <c r="A416" s="152">
        <f t="shared" ref="A416:A454" ca="1" si="812">IF(K416&gt;0,A415+0.01,A415)</f>
        <v>0</v>
      </c>
      <c r="B416" s="153" t="s">
        <v>222</v>
      </c>
      <c r="C416" s="154" t="str">
        <f t="shared" si="733"/>
        <v>EC/0040</v>
      </c>
      <c r="D416" s="154" t="s">
        <v>3549</v>
      </c>
      <c r="E416" s="155" t="s">
        <v>3837</v>
      </c>
      <c r="F416" s="154"/>
      <c r="G416" s="154" t="s">
        <v>464</v>
      </c>
      <c r="H416" s="152">
        <v>0</v>
      </c>
      <c r="I416" s="152">
        <v>0</v>
      </c>
      <c r="J416" s="156"/>
      <c r="K416" s="156">
        <f>Bacia_Amortecimento!J76</f>
        <v>0</v>
      </c>
      <c r="L416" s="156">
        <f t="shared" si="734"/>
        <v>0</v>
      </c>
      <c r="M416" s="156">
        <f t="shared" si="735"/>
        <v>0</v>
      </c>
      <c r="N416" s="156" t="s">
        <v>83</v>
      </c>
      <c r="O416" s="157" cm="1">
        <f t="array" ref="O416">TRUNC($H416*(1+_xlfn.SWITCH($N416,"BDI 1",$O$6,"BDI 2",$O$7,"BDI 3",$O$8)),2)</f>
        <v>0</v>
      </c>
      <c r="P416" s="157" cm="1">
        <f t="array" ref="P416">TRUNC($I416*(1+_xlfn.SWITCH($N416,"BDI 1",$P$6,"BDI 2",$P$7,"BDI 3",$P$8)),2)</f>
        <v>0</v>
      </c>
      <c r="Q416" s="157">
        <v>0</v>
      </c>
      <c r="R416" s="157">
        <f t="shared" si="736"/>
        <v>0</v>
      </c>
      <c r="S416" s="156">
        <f t="shared" si="737"/>
        <v>0</v>
      </c>
      <c r="T416" s="156">
        <f t="shared" si="738"/>
        <v>0</v>
      </c>
      <c r="U416" s="156">
        <f t="shared" si="739"/>
        <v>0</v>
      </c>
      <c r="V416" s="156">
        <f t="shared" si="740"/>
        <v>0</v>
      </c>
      <c r="W416" s="156">
        <f t="shared" si="741"/>
        <v>0</v>
      </c>
      <c r="X416" s="158">
        <f t="shared" ref="X416" si="813">$S416/ORCAMENTO_VALOR_TOTAL_ND</f>
        <v>0</v>
      </c>
      <c r="Y416" s="158">
        <f t="shared" ref="Y416" si="814">$T416/ORCAMENTO_VALOR_TOTAL_DE</f>
        <v>0</v>
      </c>
      <c r="Z416" s="158" cm="1">
        <f t="array" ref="Z416">_xlfn.SWITCH($N416,"BDI 1",$O$6,"BDI 2",$O$7,"BDI 3",$O$8)</f>
        <v>0.20699999999999999</v>
      </c>
      <c r="AA416" s="158" cm="1">
        <f t="array" ref="AA416">_xlfn.SWITCH($N416,"BDI 1",$P$6,"BDI 2",$P$7,"BDI 3",$P$8)</f>
        <v>0.26739999999999997</v>
      </c>
      <c r="AB416" s="158">
        <f t="shared" ca="1" si="744"/>
        <v>0</v>
      </c>
      <c r="AC416" s="158">
        <f t="shared" ca="1" si="745"/>
        <v>0</v>
      </c>
      <c r="AD416" s="164"/>
      <c r="AE416" s="148">
        <f t="shared" si="811"/>
        <v>0</v>
      </c>
      <c r="AF416" s="149"/>
      <c r="AG416" s="150"/>
      <c r="AH416" s="159" t="e">
        <f t="shared" si="746"/>
        <v>#DIV/0!</v>
      </c>
      <c r="AI416" s="160"/>
      <c r="AJ416" s="105"/>
      <c r="AK416" s="105"/>
      <c r="AM416" s="105"/>
      <c r="AN416" s="105"/>
      <c r="AO416" s="105"/>
      <c r="AP416" s="105"/>
      <c r="AQ416" s="105"/>
      <c r="AR416" s="105"/>
    </row>
    <row r="417" spans="1:44" s="49" customFormat="1" ht="40.15" hidden="1" customHeight="1">
      <c r="A417" s="152">
        <f t="shared" ca="1" si="812"/>
        <v>0</v>
      </c>
      <c r="B417" s="153">
        <v>92755</v>
      </c>
      <c r="C417" s="154" t="str">
        <f t="shared" si="733"/>
        <v>92755</v>
      </c>
      <c r="D417" s="154" t="s">
        <v>1416</v>
      </c>
      <c r="E417" s="155" t="s">
        <v>3838</v>
      </c>
      <c r="F417" s="154"/>
      <c r="G417" s="154" t="s">
        <v>1418</v>
      </c>
      <c r="H417" s="152">
        <v>225.29</v>
      </c>
      <c r="I417" s="152">
        <v>205.35</v>
      </c>
      <c r="J417" s="156"/>
      <c r="K417" s="156">
        <f>Bacia_Amortecimento!J77</f>
        <v>0</v>
      </c>
      <c r="L417" s="156">
        <f t="shared" si="734"/>
        <v>0</v>
      </c>
      <c r="M417" s="156">
        <f t="shared" si="735"/>
        <v>0</v>
      </c>
      <c r="N417" s="156" t="s">
        <v>83</v>
      </c>
      <c r="O417" s="157" cm="1">
        <f t="array" ref="O417">TRUNC($H417*(1+_xlfn.SWITCH($N417,"BDI 1",$O$6,"BDI 2",$O$7,"BDI 3",$O$8)),2)</f>
        <v>271.92</v>
      </c>
      <c r="P417" s="157" cm="1">
        <f t="array" ref="P417">TRUNC($I417*(1+_xlfn.SWITCH($N417,"BDI 1",$P$6,"BDI 2",$P$7,"BDI 3",$P$8)),2)</f>
        <v>260.26</v>
      </c>
      <c r="Q417" s="157">
        <v>0</v>
      </c>
      <c r="R417" s="157">
        <f t="shared" si="736"/>
        <v>0</v>
      </c>
      <c r="S417" s="156">
        <f t="shared" si="737"/>
        <v>0</v>
      </c>
      <c r="T417" s="156">
        <f t="shared" si="738"/>
        <v>0</v>
      </c>
      <c r="U417" s="156">
        <f t="shared" si="739"/>
        <v>0</v>
      </c>
      <c r="V417" s="156">
        <f t="shared" si="740"/>
        <v>0</v>
      </c>
      <c r="W417" s="156">
        <f t="shared" si="741"/>
        <v>0</v>
      </c>
      <c r="X417" s="158">
        <f t="shared" ref="X417" si="815">$S417/ORCAMENTO_VALOR_TOTAL_ND</f>
        <v>0</v>
      </c>
      <c r="Y417" s="158">
        <f t="shared" ref="Y417" si="816">$T417/ORCAMENTO_VALOR_TOTAL_DE</f>
        <v>0</v>
      </c>
      <c r="Z417" s="158" cm="1">
        <f t="array" ref="Z417">_xlfn.SWITCH($N417,"BDI 1",$O$6,"BDI 2",$O$7,"BDI 3",$O$8)</f>
        <v>0.20699999999999999</v>
      </c>
      <c r="AA417" s="158" cm="1">
        <f t="array" ref="AA417">_xlfn.SWITCH($N417,"BDI 1",$P$6,"BDI 2",$P$7,"BDI 3",$P$8)</f>
        <v>0.26739999999999997</v>
      </c>
      <c r="AB417" s="158">
        <f t="shared" ca="1" si="744"/>
        <v>0</v>
      </c>
      <c r="AC417" s="158">
        <f t="shared" ca="1" si="745"/>
        <v>0</v>
      </c>
      <c r="AD417" s="164"/>
      <c r="AE417" s="148">
        <f t="shared" si="811"/>
        <v>0</v>
      </c>
      <c r="AF417" s="149"/>
      <c r="AG417" s="150"/>
      <c r="AH417" s="159" t="e">
        <f t="shared" si="746"/>
        <v>#DIV/0!</v>
      </c>
      <c r="AI417" s="160"/>
      <c r="AJ417" s="105"/>
      <c r="AK417" s="105"/>
      <c r="AM417" s="105"/>
      <c r="AN417" s="105"/>
      <c r="AO417" s="105"/>
      <c r="AP417" s="105"/>
      <c r="AQ417" s="105"/>
      <c r="AR417" s="105"/>
    </row>
    <row r="418" spans="1:44" s="49" customFormat="1" ht="40.15" hidden="1" customHeight="1">
      <c r="A418" s="152">
        <f t="shared" ca="1" si="812"/>
        <v>0</v>
      </c>
      <c r="B418" s="153">
        <v>92756</v>
      </c>
      <c r="C418" s="154" t="str">
        <f t="shared" si="733"/>
        <v>92756</v>
      </c>
      <c r="D418" s="154" t="s">
        <v>1416</v>
      </c>
      <c r="E418" s="155" t="s">
        <v>3839</v>
      </c>
      <c r="F418" s="154"/>
      <c r="G418" s="154" t="s">
        <v>1418</v>
      </c>
      <c r="H418" s="152">
        <v>257.99</v>
      </c>
      <c r="I418" s="152">
        <v>234.22</v>
      </c>
      <c r="J418" s="156"/>
      <c r="K418" s="156">
        <f>Bacia_Amortecimento!J78</f>
        <v>0</v>
      </c>
      <c r="L418" s="156">
        <f t="shared" si="734"/>
        <v>0</v>
      </c>
      <c r="M418" s="156">
        <f t="shared" si="735"/>
        <v>0</v>
      </c>
      <c r="N418" s="156" t="s">
        <v>83</v>
      </c>
      <c r="O418" s="157" cm="1">
        <f t="array" ref="O418">TRUNC($H418*(1+_xlfn.SWITCH($N418,"BDI 1",$O$6,"BDI 2",$O$7,"BDI 3",$O$8)),2)</f>
        <v>311.39</v>
      </c>
      <c r="P418" s="157" cm="1">
        <f t="array" ref="P418">TRUNC($I418*(1+_xlfn.SWITCH($N418,"BDI 1",$P$6,"BDI 2",$P$7,"BDI 3",$P$8)),2)</f>
        <v>296.85000000000002</v>
      </c>
      <c r="Q418" s="157">
        <v>0</v>
      </c>
      <c r="R418" s="157">
        <f t="shared" si="736"/>
        <v>0</v>
      </c>
      <c r="S418" s="156">
        <f t="shared" si="737"/>
        <v>0</v>
      </c>
      <c r="T418" s="156">
        <f t="shared" si="738"/>
        <v>0</v>
      </c>
      <c r="U418" s="156">
        <f t="shared" si="739"/>
        <v>0</v>
      </c>
      <c r="V418" s="156">
        <f t="shared" si="740"/>
        <v>0</v>
      </c>
      <c r="W418" s="156">
        <f t="shared" si="741"/>
        <v>0</v>
      </c>
      <c r="X418" s="158">
        <f t="shared" ref="X418" si="817">$S418/ORCAMENTO_VALOR_TOTAL_ND</f>
        <v>0</v>
      </c>
      <c r="Y418" s="158">
        <f t="shared" ref="Y418" si="818">$T418/ORCAMENTO_VALOR_TOTAL_DE</f>
        <v>0</v>
      </c>
      <c r="Z418" s="158" cm="1">
        <f t="array" ref="Z418">_xlfn.SWITCH($N418,"BDI 1",$O$6,"BDI 2",$O$7,"BDI 3",$O$8)</f>
        <v>0.20699999999999999</v>
      </c>
      <c r="AA418" s="158" cm="1">
        <f t="array" ref="AA418">_xlfn.SWITCH($N418,"BDI 1",$P$6,"BDI 2",$P$7,"BDI 3",$P$8)</f>
        <v>0.26739999999999997</v>
      </c>
      <c r="AB418" s="158">
        <f t="shared" ca="1" si="744"/>
        <v>0</v>
      </c>
      <c r="AC418" s="158">
        <f t="shared" ca="1" si="745"/>
        <v>0</v>
      </c>
      <c r="AD418" s="164"/>
      <c r="AE418" s="148">
        <f t="shared" si="811"/>
        <v>0</v>
      </c>
      <c r="AF418" s="149"/>
      <c r="AG418" s="150"/>
      <c r="AH418" s="159" t="e">
        <f t="shared" si="746"/>
        <v>#DIV/0!</v>
      </c>
      <c r="AI418" s="160"/>
      <c r="AK418" s="105"/>
      <c r="AL418" s="105"/>
      <c r="AM418" s="105"/>
      <c r="AN418" s="105"/>
      <c r="AO418" s="105"/>
      <c r="AP418" s="105"/>
      <c r="AQ418" s="105"/>
      <c r="AR418" s="105"/>
    </row>
    <row r="419" spans="1:44" s="49" customFormat="1" ht="40.15" hidden="1" customHeight="1">
      <c r="A419" s="152">
        <f t="shared" ca="1" si="812"/>
        <v>0</v>
      </c>
      <c r="B419" s="153">
        <v>92757</v>
      </c>
      <c r="C419" s="154" t="str">
        <f t="shared" si="733"/>
        <v>92757</v>
      </c>
      <c r="D419" s="154" t="s">
        <v>1416</v>
      </c>
      <c r="E419" s="155" t="s">
        <v>3840</v>
      </c>
      <c r="F419" s="154"/>
      <c r="G419" s="154" t="s">
        <v>1418</v>
      </c>
      <c r="H419" s="152">
        <v>297.19</v>
      </c>
      <c r="I419" s="152">
        <v>269.14</v>
      </c>
      <c r="J419" s="156"/>
      <c r="K419" s="156">
        <f>Bacia_Amortecimento!J79</f>
        <v>0</v>
      </c>
      <c r="L419" s="156">
        <f t="shared" si="734"/>
        <v>0</v>
      </c>
      <c r="M419" s="156">
        <f t="shared" si="735"/>
        <v>0</v>
      </c>
      <c r="N419" s="156" t="s">
        <v>83</v>
      </c>
      <c r="O419" s="157" cm="1">
        <f t="array" ref="O419">TRUNC($H419*(1+_xlfn.SWITCH($N419,"BDI 1",$O$6,"BDI 2",$O$7,"BDI 3",$O$8)),2)</f>
        <v>358.7</v>
      </c>
      <c r="P419" s="157" cm="1">
        <f t="array" ref="P419">TRUNC($I419*(1+_xlfn.SWITCH($N419,"BDI 1",$P$6,"BDI 2",$P$7,"BDI 3",$P$8)),2)</f>
        <v>341.1</v>
      </c>
      <c r="Q419" s="157">
        <v>0</v>
      </c>
      <c r="R419" s="157">
        <f t="shared" si="736"/>
        <v>0</v>
      </c>
      <c r="S419" s="156">
        <f t="shared" si="737"/>
        <v>0</v>
      </c>
      <c r="T419" s="156">
        <f t="shared" si="738"/>
        <v>0</v>
      </c>
      <c r="U419" s="156">
        <f t="shared" si="739"/>
        <v>0</v>
      </c>
      <c r="V419" s="156">
        <f t="shared" si="740"/>
        <v>0</v>
      </c>
      <c r="W419" s="156">
        <f t="shared" si="741"/>
        <v>0</v>
      </c>
      <c r="X419" s="158">
        <f t="shared" ref="X419" si="819">$S419/ORCAMENTO_VALOR_TOTAL_ND</f>
        <v>0</v>
      </c>
      <c r="Y419" s="158">
        <f t="shared" ref="Y419" si="820">$T419/ORCAMENTO_VALOR_TOTAL_DE</f>
        <v>0</v>
      </c>
      <c r="Z419" s="158" cm="1">
        <f t="array" ref="Z419">_xlfn.SWITCH($N419,"BDI 1",$O$6,"BDI 2",$O$7,"BDI 3",$O$8)</f>
        <v>0.20699999999999999</v>
      </c>
      <c r="AA419" s="158" cm="1">
        <f t="array" ref="AA419">_xlfn.SWITCH($N419,"BDI 1",$P$6,"BDI 2",$P$7,"BDI 3",$P$8)</f>
        <v>0.26739999999999997</v>
      </c>
      <c r="AB419" s="158">
        <f t="shared" ca="1" si="744"/>
        <v>0</v>
      </c>
      <c r="AC419" s="158">
        <f t="shared" ca="1" si="745"/>
        <v>0</v>
      </c>
      <c r="AD419" s="164"/>
      <c r="AE419" s="148">
        <f t="shared" si="811"/>
        <v>0</v>
      </c>
      <c r="AF419" s="149"/>
      <c r="AG419" s="150"/>
      <c r="AH419" s="159" t="e">
        <f t="shared" si="746"/>
        <v>#DIV/0!</v>
      </c>
      <c r="AI419" s="160"/>
      <c r="AK419" s="105"/>
      <c r="AL419" s="105"/>
      <c r="AM419" s="105"/>
      <c r="AN419" s="105"/>
      <c r="AO419" s="105"/>
      <c r="AP419" s="105"/>
      <c r="AQ419" s="105"/>
      <c r="AR419" s="105"/>
    </row>
    <row r="420" spans="1:44" s="49" customFormat="1" ht="40.15" hidden="1" customHeight="1">
      <c r="A420" s="152">
        <f t="shared" ca="1" si="812"/>
        <v>0</v>
      </c>
      <c r="B420" s="153">
        <v>92758</v>
      </c>
      <c r="C420" s="154" t="str">
        <f t="shared" si="733"/>
        <v>92758</v>
      </c>
      <c r="D420" s="154" t="s">
        <v>1416</v>
      </c>
      <c r="E420" s="155" t="s">
        <v>3841</v>
      </c>
      <c r="F420" s="154"/>
      <c r="G420" s="154" t="s">
        <v>464</v>
      </c>
      <c r="H420" s="152">
        <v>621.94000000000005</v>
      </c>
      <c r="I420" s="152">
        <v>605.32000000000005</v>
      </c>
      <c r="J420" s="156"/>
      <c r="K420" s="156">
        <f>Bacia_Amortecimento!J80</f>
        <v>0</v>
      </c>
      <c r="L420" s="156">
        <f t="shared" si="734"/>
        <v>0</v>
      </c>
      <c r="M420" s="156">
        <f t="shared" si="735"/>
        <v>0</v>
      </c>
      <c r="N420" s="156" t="s">
        <v>83</v>
      </c>
      <c r="O420" s="157" cm="1">
        <f t="array" ref="O420">TRUNC($H420*(1+_xlfn.SWITCH($N420,"BDI 1",$O$6,"BDI 2",$O$7,"BDI 3",$O$8)),2)</f>
        <v>750.68</v>
      </c>
      <c r="P420" s="157" cm="1">
        <f t="array" ref="P420">TRUNC($I420*(1+_xlfn.SWITCH($N420,"BDI 1",$P$6,"BDI 2",$P$7,"BDI 3",$P$8)),2)</f>
        <v>767.18</v>
      </c>
      <c r="Q420" s="157">
        <v>0</v>
      </c>
      <c r="R420" s="157">
        <f t="shared" si="736"/>
        <v>0</v>
      </c>
      <c r="S420" s="156">
        <f t="shared" si="737"/>
        <v>0</v>
      </c>
      <c r="T420" s="156">
        <f t="shared" si="738"/>
        <v>0</v>
      </c>
      <c r="U420" s="156">
        <f t="shared" si="739"/>
        <v>0</v>
      </c>
      <c r="V420" s="156">
        <f t="shared" si="740"/>
        <v>0</v>
      </c>
      <c r="W420" s="156">
        <f t="shared" si="741"/>
        <v>0</v>
      </c>
      <c r="X420" s="158">
        <f t="shared" ref="X420" si="821">$S420/ORCAMENTO_VALOR_TOTAL_ND</f>
        <v>0</v>
      </c>
      <c r="Y420" s="158">
        <f t="shared" ref="Y420" si="822">$T420/ORCAMENTO_VALOR_TOTAL_DE</f>
        <v>0</v>
      </c>
      <c r="Z420" s="158" cm="1">
        <f t="array" ref="Z420">_xlfn.SWITCH($N420,"BDI 1",$O$6,"BDI 2",$O$7,"BDI 3",$O$8)</f>
        <v>0.20699999999999999</v>
      </c>
      <c r="AA420" s="158" cm="1">
        <f t="array" ref="AA420">_xlfn.SWITCH($N420,"BDI 1",$P$6,"BDI 2",$P$7,"BDI 3",$P$8)</f>
        <v>0.26739999999999997</v>
      </c>
      <c r="AB420" s="158">
        <f t="shared" ca="1" si="744"/>
        <v>0</v>
      </c>
      <c r="AC420" s="158">
        <f t="shared" ca="1" si="745"/>
        <v>0</v>
      </c>
      <c r="AD420" s="164"/>
      <c r="AE420" s="148">
        <f t="shared" si="811"/>
        <v>0</v>
      </c>
      <c r="AF420" s="149"/>
      <c r="AG420" s="150"/>
      <c r="AH420" s="159" t="e">
        <f t="shared" si="746"/>
        <v>#DIV/0!</v>
      </c>
      <c r="AI420" s="160"/>
      <c r="AK420" s="105"/>
      <c r="AL420" s="105"/>
      <c r="AM420" s="105"/>
      <c r="AN420" s="105"/>
      <c r="AO420" s="105"/>
      <c r="AP420" s="105"/>
      <c r="AQ420" s="105"/>
      <c r="AR420" s="105"/>
    </row>
    <row r="421" spans="1:44" s="49" customFormat="1" ht="40.15" hidden="1" customHeight="1">
      <c r="A421" s="152">
        <f t="shared" ca="1" si="812"/>
        <v>0</v>
      </c>
      <c r="B421" s="153" t="s">
        <v>223</v>
      </c>
      <c r="C421" s="154" t="str">
        <f t="shared" si="733"/>
        <v>SC/0100</v>
      </c>
      <c r="D421" s="154" t="s">
        <v>3549</v>
      </c>
      <c r="E421" s="155" t="s">
        <v>3842</v>
      </c>
      <c r="F421" s="154"/>
      <c r="G421" s="154" t="s">
        <v>58</v>
      </c>
      <c r="H421" s="152">
        <v>58.41</v>
      </c>
      <c r="I421" s="152">
        <v>58.28</v>
      </c>
      <c r="J421" s="156"/>
      <c r="K421" s="156">
        <f>Bacia_Amortecimento!J81</f>
        <v>0</v>
      </c>
      <c r="L421" s="156">
        <f t="shared" si="734"/>
        <v>0</v>
      </c>
      <c r="M421" s="156">
        <f t="shared" si="735"/>
        <v>0</v>
      </c>
      <c r="N421" s="156" t="s">
        <v>83</v>
      </c>
      <c r="O421" s="157" cm="1">
        <f t="array" ref="O421">TRUNC($H421*(1+_xlfn.SWITCH($N421,"BDI 1",$O$6,"BDI 2",$O$7,"BDI 3",$O$8)),2)</f>
        <v>70.5</v>
      </c>
      <c r="P421" s="157" cm="1">
        <f t="array" ref="P421">TRUNC($I421*(1+_xlfn.SWITCH($N421,"BDI 1",$P$6,"BDI 2",$P$7,"BDI 3",$P$8)),2)</f>
        <v>73.86</v>
      </c>
      <c r="Q421" s="157">
        <v>0</v>
      </c>
      <c r="R421" s="157">
        <f t="shared" si="736"/>
        <v>0</v>
      </c>
      <c r="S421" s="156">
        <f t="shared" si="737"/>
        <v>0</v>
      </c>
      <c r="T421" s="156">
        <f t="shared" si="738"/>
        <v>0</v>
      </c>
      <c r="U421" s="156">
        <f t="shared" si="739"/>
        <v>0</v>
      </c>
      <c r="V421" s="156">
        <f t="shared" si="740"/>
        <v>0</v>
      </c>
      <c r="W421" s="156">
        <f t="shared" si="741"/>
        <v>0</v>
      </c>
      <c r="X421" s="158">
        <f t="shared" ref="X421" si="823">$S421/ORCAMENTO_VALOR_TOTAL_ND</f>
        <v>0</v>
      </c>
      <c r="Y421" s="158">
        <f t="shared" ref="Y421" si="824">$T421/ORCAMENTO_VALOR_TOTAL_DE</f>
        <v>0</v>
      </c>
      <c r="Z421" s="158" cm="1">
        <f t="array" ref="Z421">_xlfn.SWITCH($N421,"BDI 1",$O$6,"BDI 2",$O$7,"BDI 3",$O$8)</f>
        <v>0.20699999999999999</v>
      </c>
      <c r="AA421" s="158" cm="1">
        <f t="array" ref="AA421">_xlfn.SWITCH($N421,"BDI 1",$P$6,"BDI 2",$P$7,"BDI 3",$P$8)</f>
        <v>0.26739999999999997</v>
      </c>
      <c r="AB421" s="158">
        <f t="shared" ca="1" si="744"/>
        <v>0</v>
      </c>
      <c r="AC421" s="158">
        <f t="shared" ca="1" si="745"/>
        <v>0</v>
      </c>
      <c r="AD421" s="164"/>
      <c r="AE421" s="148">
        <f t="shared" si="811"/>
        <v>0</v>
      </c>
      <c r="AF421" s="149"/>
      <c r="AG421" s="150"/>
      <c r="AH421" s="159" t="e">
        <f t="shared" si="746"/>
        <v>#DIV/0!</v>
      </c>
      <c r="AI421" s="160"/>
      <c r="AK421" s="105"/>
      <c r="AL421" s="105"/>
      <c r="AM421" s="105"/>
      <c r="AN421" s="105"/>
      <c r="AO421" s="105"/>
      <c r="AP421" s="105"/>
      <c r="AQ421" s="105"/>
      <c r="AR421" s="105"/>
    </row>
    <row r="422" spans="1:44" s="49" customFormat="1" ht="40.15" hidden="1" customHeight="1">
      <c r="A422" s="152">
        <f t="shared" ca="1" si="812"/>
        <v>0</v>
      </c>
      <c r="B422" s="153" t="s">
        <v>224</v>
      </c>
      <c r="C422" s="154" t="str">
        <f t="shared" si="733"/>
        <v>SC/0105</v>
      </c>
      <c r="D422" s="154" t="s">
        <v>3549</v>
      </c>
      <c r="E422" s="155" t="s">
        <v>3843</v>
      </c>
      <c r="F422" s="154"/>
      <c r="G422" s="154" t="s">
        <v>58</v>
      </c>
      <c r="H422" s="152">
        <v>76.19</v>
      </c>
      <c r="I422" s="152">
        <v>76.06</v>
      </c>
      <c r="J422" s="156"/>
      <c r="K422" s="156">
        <f>Bacia_Amortecimento!J82</f>
        <v>0</v>
      </c>
      <c r="L422" s="156">
        <f t="shared" si="734"/>
        <v>0</v>
      </c>
      <c r="M422" s="156">
        <f t="shared" si="735"/>
        <v>0</v>
      </c>
      <c r="N422" s="156" t="s">
        <v>83</v>
      </c>
      <c r="O422" s="157" cm="1">
        <f t="array" ref="O422">TRUNC($H422*(1+_xlfn.SWITCH($N422,"BDI 1",$O$6,"BDI 2",$O$7,"BDI 3",$O$8)),2)</f>
        <v>91.96</v>
      </c>
      <c r="P422" s="157" cm="1">
        <f t="array" ref="P422">TRUNC($I422*(1+_xlfn.SWITCH($N422,"BDI 1",$P$6,"BDI 2",$P$7,"BDI 3",$P$8)),2)</f>
        <v>96.39</v>
      </c>
      <c r="Q422" s="157">
        <v>0</v>
      </c>
      <c r="R422" s="157">
        <f t="shared" si="736"/>
        <v>0</v>
      </c>
      <c r="S422" s="156">
        <f t="shared" si="737"/>
        <v>0</v>
      </c>
      <c r="T422" s="156">
        <f t="shared" si="738"/>
        <v>0</v>
      </c>
      <c r="U422" s="156">
        <f t="shared" si="739"/>
        <v>0</v>
      </c>
      <c r="V422" s="156">
        <f t="shared" si="740"/>
        <v>0</v>
      </c>
      <c r="W422" s="156">
        <f t="shared" si="741"/>
        <v>0</v>
      </c>
      <c r="X422" s="158">
        <f t="shared" ref="X422" si="825">$S422/ORCAMENTO_VALOR_TOTAL_ND</f>
        <v>0</v>
      </c>
      <c r="Y422" s="158">
        <f t="shared" ref="Y422" si="826">$T422/ORCAMENTO_VALOR_TOTAL_DE</f>
        <v>0</v>
      </c>
      <c r="Z422" s="158" cm="1">
        <f t="array" ref="Z422">_xlfn.SWITCH($N422,"BDI 1",$O$6,"BDI 2",$O$7,"BDI 3",$O$8)</f>
        <v>0.20699999999999999</v>
      </c>
      <c r="AA422" s="158" cm="1">
        <f t="array" ref="AA422">_xlfn.SWITCH($N422,"BDI 1",$P$6,"BDI 2",$P$7,"BDI 3",$P$8)</f>
        <v>0.26739999999999997</v>
      </c>
      <c r="AB422" s="158">
        <f t="shared" ca="1" si="744"/>
        <v>0</v>
      </c>
      <c r="AC422" s="158">
        <f t="shared" ca="1" si="745"/>
        <v>0</v>
      </c>
      <c r="AD422" s="164"/>
      <c r="AE422" s="148">
        <f t="shared" si="811"/>
        <v>0</v>
      </c>
      <c r="AF422" s="149"/>
      <c r="AG422" s="150"/>
      <c r="AH422" s="159" t="e">
        <f t="shared" si="746"/>
        <v>#DIV/0!</v>
      </c>
      <c r="AI422" s="160"/>
      <c r="AK422" s="105"/>
      <c r="AL422" s="105"/>
      <c r="AM422" s="105"/>
      <c r="AN422" s="105"/>
      <c r="AO422" s="105"/>
      <c r="AP422" s="105"/>
      <c r="AQ422" s="105"/>
      <c r="AR422" s="105"/>
    </row>
    <row r="423" spans="1:44" s="49" customFormat="1" ht="40.15" hidden="1" customHeight="1">
      <c r="A423" s="152">
        <f t="shared" ca="1" si="812"/>
        <v>0</v>
      </c>
      <c r="B423" s="153"/>
      <c r="C423" s="154"/>
      <c r="D423" s="154"/>
      <c r="E423" s="161" t="s">
        <v>225</v>
      </c>
      <c r="F423" s="154"/>
      <c r="G423" s="154"/>
      <c r="H423" s="152"/>
      <c r="I423" s="152"/>
      <c r="J423" s="154"/>
      <c r="K423" s="154"/>
      <c r="L423" s="154"/>
      <c r="M423" s="154"/>
      <c r="N423" s="154"/>
      <c r="O423" s="154"/>
      <c r="P423" s="154"/>
      <c r="Q423" s="154"/>
      <c r="R423" s="154"/>
      <c r="S423" s="162"/>
      <c r="T423" s="162"/>
      <c r="U423" s="162"/>
      <c r="V423" s="162"/>
      <c r="W423" s="162"/>
      <c r="X423" s="163"/>
      <c r="Y423" s="163"/>
      <c r="Z423" s="163"/>
      <c r="AA423" s="163"/>
      <c r="AB423" s="163"/>
      <c r="AC423" s="163"/>
      <c r="AD423" s="164"/>
      <c r="AE423" s="148">
        <f t="shared" si="811"/>
        <v>0</v>
      </c>
      <c r="AF423" s="149"/>
      <c r="AG423" s="150"/>
      <c r="AH423" s="159"/>
      <c r="AI423" s="160"/>
      <c r="AK423" s="105"/>
      <c r="AL423" s="105"/>
      <c r="AM423" s="105"/>
      <c r="AN423" s="105"/>
      <c r="AO423" s="105"/>
      <c r="AP423" s="105"/>
      <c r="AQ423" s="105"/>
      <c r="AR423" s="105"/>
    </row>
    <row r="424" spans="1:44" s="49" customFormat="1" ht="49.9" hidden="1" customHeight="1">
      <c r="A424" s="152">
        <f t="shared" ca="1" si="812"/>
        <v>0</v>
      </c>
      <c r="B424" s="153" t="s">
        <v>226</v>
      </c>
      <c r="C424" s="154" t="str">
        <f t="shared" ref="C424:C436" si="827">TEXT(B424,"0")</f>
        <v>SC/0115</v>
      </c>
      <c r="D424" s="154" t="s">
        <v>3549</v>
      </c>
      <c r="E424" s="155" t="s">
        <v>3844</v>
      </c>
      <c r="F424" s="154"/>
      <c r="G424" s="154" t="s">
        <v>58</v>
      </c>
      <c r="H424" s="152">
        <v>233.38</v>
      </c>
      <c r="I424" s="152">
        <v>223.03</v>
      </c>
      <c r="J424" s="156"/>
      <c r="K424" s="156">
        <f>Bacia_Amortecimento!J83</f>
        <v>0</v>
      </c>
      <c r="L424" s="156">
        <f t="shared" ref="L424:L436" si="828">IF($K424&gt;$J424,$K424-$J424,0)</f>
        <v>0</v>
      </c>
      <c r="M424" s="156">
        <f t="shared" ref="M424:M436" si="829">IF($K424&lt;$J424,$J424-$K424,0)</f>
        <v>0</v>
      </c>
      <c r="N424" s="156" t="s">
        <v>83</v>
      </c>
      <c r="O424" s="157" cm="1">
        <f t="array" ref="O424">TRUNC($H424*(1+_xlfn.SWITCH($N424,"BDI 1",$O$6,"BDI 2",$O$7,"BDI 3",$O$8)),2)</f>
        <v>281.68</v>
      </c>
      <c r="P424" s="157" cm="1">
        <f t="array" ref="P424">TRUNC($I424*(1+_xlfn.SWITCH($N424,"BDI 1",$P$6,"BDI 2",$P$7,"BDI 3",$P$8)),2)</f>
        <v>282.66000000000003</v>
      </c>
      <c r="Q424" s="157">
        <v>0</v>
      </c>
      <c r="R424" s="157">
        <f t="shared" ref="R424:R436" si="830">$Q424-($Q424*LICITACAO_DESCONTO)</f>
        <v>0</v>
      </c>
      <c r="S424" s="156">
        <f t="shared" ref="S424:S436" si="831">TRUNC($K424*$O424,2)</f>
        <v>0</v>
      </c>
      <c r="T424" s="156">
        <f t="shared" ref="T424:T436" si="832">TRUNC($K424*$P424,2)</f>
        <v>0</v>
      </c>
      <c r="U424" s="156">
        <f t="shared" ref="U424:U436" si="833">TRUNC($J424*$R424,2)</f>
        <v>0</v>
      </c>
      <c r="V424" s="156">
        <f t="shared" ref="V424:V436" si="834">TRUNC($K424*$Q424,2)</f>
        <v>0</v>
      </c>
      <c r="W424" s="156">
        <f t="shared" ref="W424:W436" si="835">TRUNC(V424-U424,2)</f>
        <v>0</v>
      </c>
      <c r="X424" s="158">
        <f t="shared" ref="X424" si="836">$S424/ORCAMENTO_VALOR_TOTAL_ND</f>
        <v>0</v>
      </c>
      <c r="Y424" s="158">
        <f t="shared" ref="Y424" si="837">$T424/ORCAMENTO_VALOR_TOTAL_DE</f>
        <v>0</v>
      </c>
      <c r="Z424" s="158" cm="1">
        <f t="array" ref="Z424">_xlfn.SWITCH($N424,"BDI 1",$O$6,"BDI 2",$O$7,"BDI 3",$O$8)</f>
        <v>0.20699999999999999</v>
      </c>
      <c r="AA424" s="158" cm="1">
        <f t="array" ref="AA424">_xlfn.SWITCH($N424,"BDI 1",$P$6,"BDI 2",$P$7,"BDI 3",$P$8)</f>
        <v>0.26739999999999997</v>
      </c>
      <c r="AB424" s="158">
        <f t="shared" ref="AB424:AB436" ca="1" si="838">IFERROR($S424/_xlfn.XLOOKUP($AE424,$B$16:$B$38,$S$16:$S$38),0)</f>
        <v>0</v>
      </c>
      <c r="AC424" s="158">
        <f t="shared" ref="AC424:AC436" ca="1" si="839">IFERROR($T424/_xlfn.XLOOKUP($AE424,$B$16:$B$38,$T$16:$T$38),0)</f>
        <v>0</v>
      </c>
      <c r="AD424" s="164"/>
      <c r="AE424" s="148">
        <f t="shared" si="811"/>
        <v>0</v>
      </c>
      <c r="AF424" s="149"/>
      <c r="AG424" s="150"/>
      <c r="AH424" s="159" t="e">
        <f t="shared" ref="AH424:AH436" si="840">S424/$S$351</f>
        <v>#DIV/0!</v>
      </c>
      <c r="AI424" s="154"/>
      <c r="AJ424" s="105"/>
      <c r="AK424" s="105"/>
      <c r="AM424" s="105"/>
      <c r="AN424" s="105"/>
      <c r="AO424" s="105"/>
      <c r="AP424" s="105"/>
      <c r="AQ424" s="105"/>
      <c r="AR424" s="105"/>
    </row>
    <row r="425" spans="1:44" s="49" customFormat="1" ht="40.15" hidden="1" customHeight="1">
      <c r="A425" s="152">
        <f t="shared" ca="1" si="812"/>
        <v>0</v>
      </c>
      <c r="B425" s="153">
        <v>101199</v>
      </c>
      <c r="C425" s="154" t="str">
        <f t="shared" si="827"/>
        <v>101199</v>
      </c>
      <c r="D425" s="154" t="s">
        <v>1416</v>
      </c>
      <c r="E425" s="155" t="s">
        <v>3845</v>
      </c>
      <c r="F425" s="154"/>
      <c r="G425" s="154" t="s">
        <v>58</v>
      </c>
      <c r="H425" s="152">
        <v>84.2</v>
      </c>
      <c r="I425" s="152">
        <v>80.22</v>
      </c>
      <c r="J425" s="156"/>
      <c r="K425" s="156">
        <f>Bacia_Amortecimento!J84</f>
        <v>0</v>
      </c>
      <c r="L425" s="156">
        <f t="shared" si="828"/>
        <v>0</v>
      </c>
      <c r="M425" s="156">
        <f t="shared" si="829"/>
        <v>0</v>
      </c>
      <c r="N425" s="156" t="s">
        <v>83</v>
      </c>
      <c r="O425" s="157" cm="1">
        <f t="array" ref="O425">TRUNC($H425*(1+_xlfn.SWITCH($N425,"BDI 1",$O$6,"BDI 2",$O$7,"BDI 3",$O$8)),2)</f>
        <v>101.62</v>
      </c>
      <c r="P425" s="157" cm="1">
        <f t="array" ref="P425">TRUNC($I425*(1+_xlfn.SWITCH($N425,"BDI 1",$P$6,"BDI 2",$P$7,"BDI 3",$P$8)),2)</f>
        <v>101.67</v>
      </c>
      <c r="Q425" s="157">
        <v>0</v>
      </c>
      <c r="R425" s="157">
        <f t="shared" si="830"/>
        <v>0</v>
      </c>
      <c r="S425" s="156">
        <f t="shared" si="831"/>
        <v>0</v>
      </c>
      <c r="T425" s="156">
        <f t="shared" si="832"/>
        <v>0</v>
      </c>
      <c r="U425" s="156">
        <f t="shared" si="833"/>
        <v>0</v>
      </c>
      <c r="V425" s="156">
        <f t="shared" si="834"/>
        <v>0</v>
      </c>
      <c r="W425" s="156">
        <f t="shared" si="835"/>
        <v>0</v>
      </c>
      <c r="X425" s="158">
        <f t="shared" ref="X425" si="841">$S425/ORCAMENTO_VALOR_TOTAL_ND</f>
        <v>0</v>
      </c>
      <c r="Y425" s="158">
        <f t="shared" ref="Y425" si="842">$T425/ORCAMENTO_VALOR_TOTAL_DE</f>
        <v>0</v>
      </c>
      <c r="Z425" s="158" cm="1">
        <f t="array" ref="Z425">_xlfn.SWITCH($N425,"BDI 1",$O$6,"BDI 2",$O$7,"BDI 3",$O$8)</f>
        <v>0.20699999999999999</v>
      </c>
      <c r="AA425" s="158" cm="1">
        <f t="array" ref="AA425">_xlfn.SWITCH($N425,"BDI 1",$P$6,"BDI 2",$P$7,"BDI 3",$P$8)</f>
        <v>0.26739999999999997</v>
      </c>
      <c r="AB425" s="158">
        <f t="shared" ca="1" si="838"/>
        <v>0</v>
      </c>
      <c r="AC425" s="158">
        <f t="shared" ca="1" si="839"/>
        <v>0</v>
      </c>
      <c r="AD425" s="164"/>
      <c r="AE425" s="148">
        <f t="shared" si="811"/>
        <v>0</v>
      </c>
      <c r="AF425" s="149"/>
      <c r="AG425" s="150"/>
      <c r="AH425" s="159" t="e">
        <f t="shared" si="840"/>
        <v>#DIV/0!</v>
      </c>
      <c r="AI425" s="154"/>
      <c r="AJ425" s="105"/>
      <c r="AK425" s="105"/>
      <c r="AM425" s="105"/>
      <c r="AN425" s="105"/>
      <c r="AO425" s="105"/>
      <c r="AP425" s="105"/>
      <c r="AQ425" s="105"/>
      <c r="AR425" s="105"/>
    </row>
    <row r="426" spans="1:44" s="49" customFormat="1" ht="40.15" hidden="1" customHeight="1">
      <c r="A426" s="152">
        <f t="shared" ca="1" si="812"/>
        <v>0</v>
      </c>
      <c r="B426" s="153" t="s">
        <v>94</v>
      </c>
      <c r="C426" s="154" t="str">
        <f t="shared" si="827"/>
        <v>SC/0120</v>
      </c>
      <c r="D426" s="154" t="s">
        <v>3549</v>
      </c>
      <c r="E426" s="155" t="s">
        <v>3543</v>
      </c>
      <c r="F426" s="154"/>
      <c r="G426" s="154" t="s">
        <v>1418</v>
      </c>
      <c r="H426" s="152">
        <v>989.46</v>
      </c>
      <c r="I426" s="152">
        <v>939.81</v>
      </c>
      <c r="J426" s="156"/>
      <c r="K426" s="156">
        <f>Bacia_Amortecimento!J85</f>
        <v>0</v>
      </c>
      <c r="L426" s="156">
        <f t="shared" si="828"/>
        <v>0</v>
      </c>
      <c r="M426" s="156">
        <f t="shared" si="829"/>
        <v>0</v>
      </c>
      <c r="N426" s="156" t="s">
        <v>83</v>
      </c>
      <c r="O426" s="157" cm="1">
        <f t="array" ref="O426">TRUNC($H426*(1+_xlfn.SWITCH($N426,"BDI 1",$O$6,"BDI 2",$O$7,"BDI 3",$O$8)),2)</f>
        <v>1194.27</v>
      </c>
      <c r="P426" s="157" cm="1">
        <f t="array" ref="P426">TRUNC($I426*(1+_xlfn.SWITCH($N426,"BDI 1",$P$6,"BDI 2",$P$7,"BDI 3",$P$8)),2)</f>
        <v>1191.1099999999999</v>
      </c>
      <c r="Q426" s="157">
        <v>0</v>
      </c>
      <c r="R426" s="157">
        <f t="shared" si="830"/>
        <v>0</v>
      </c>
      <c r="S426" s="156">
        <f t="shared" si="831"/>
        <v>0</v>
      </c>
      <c r="T426" s="156">
        <f t="shared" si="832"/>
        <v>0</v>
      </c>
      <c r="U426" s="156">
        <f t="shared" si="833"/>
        <v>0</v>
      </c>
      <c r="V426" s="156">
        <f t="shared" si="834"/>
        <v>0</v>
      </c>
      <c r="W426" s="156">
        <f t="shared" si="835"/>
        <v>0</v>
      </c>
      <c r="X426" s="158">
        <f t="shared" ref="X426" si="843">$S426/ORCAMENTO_VALOR_TOTAL_ND</f>
        <v>0</v>
      </c>
      <c r="Y426" s="158">
        <f t="shared" ref="Y426" si="844">$T426/ORCAMENTO_VALOR_TOTAL_DE</f>
        <v>0</v>
      </c>
      <c r="Z426" s="158" cm="1">
        <f t="array" ref="Z426">_xlfn.SWITCH($N426,"BDI 1",$O$6,"BDI 2",$O$7,"BDI 3",$O$8)</f>
        <v>0.20699999999999999</v>
      </c>
      <c r="AA426" s="158" cm="1">
        <f t="array" ref="AA426">_xlfn.SWITCH($N426,"BDI 1",$P$6,"BDI 2",$P$7,"BDI 3",$P$8)</f>
        <v>0.26739999999999997</v>
      </c>
      <c r="AB426" s="158">
        <f t="shared" ca="1" si="838"/>
        <v>0</v>
      </c>
      <c r="AC426" s="158">
        <f t="shared" ca="1" si="839"/>
        <v>0</v>
      </c>
      <c r="AD426" s="164"/>
      <c r="AE426" s="148">
        <f t="shared" si="811"/>
        <v>0</v>
      </c>
      <c r="AF426" s="149"/>
      <c r="AG426" s="150"/>
      <c r="AH426" s="159" t="e">
        <f t="shared" si="840"/>
        <v>#DIV/0!</v>
      </c>
      <c r="AI426" s="154"/>
      <c r="AJ426" s="105"/>
      <c r="AK426" s="105"/>
      <c r="AM426" s="105"/>
      <c r="AN426" s="105"/>
      <c r="AO426" s="105"/>
      <c r="AP426" s="105"/>
      <c r="AQ426" s="105"/>
      <c r="AR426" s="105"/>
    </row>
    <row r="427" spans="1:44" s="49" customFormat="1" ht="40.15" hidden="1" customHeight="1">
      <c r="A427" s="152">
        <f t="shared" ca="1" si="812"/>
        <v>0</v>
      </c>
      <c r="B427" s="153">
        <v>98504</v>
      </c>
      <c r="C427" s="154" t="str">
        <f t="shared" si="827"/>
        <v>98504</v>
      </c>
      <c r="D427" s="154" t="s">
        <v>1416</v>
      </c>
      <c r="E427" s="155" t="s">
        <v>3846</v>
      </c>
      <c r="F427" s="154"/>
      <c r="G427" s="154" t="s">
        <v>1418</v>
      </c>
      <c r="H427" s="152">
        <v>10.48</v>
      </c>
      <c r="I427" s="152">
        <v>9.93</v>
      </c>
      <c r="J427" s="156"/>
      <c r="K427" s="156">
        <f>+Bacia_Amortecimento!J86</f>
        <v>0</v>
      </c>
      <c r="L427" s="156">
        <f t="shared" si="828"/>
        <v>0</v>
      </c>
      <c r="M427" s="156">
        <f t="shared" si="829"/>
        <v>0</v>
      </c>
      <c r="N427" s="156" t="s">
        <v>83</v>
      </c>
      <c r="O427" s="157" cm="1">
        <f t="array" ref="O427">TRUNC($H427*(1+_xlfn.SWITCH($N427,"BDI 1",$O$6,"BDI 2",$O$7,"BDI 3",$O$8)),2)</f>
        <v>12.64</v>
      </c>
      <c r="P427" s="157" cm="1">
        <f t="array" ref="P427">TRUNC($I427*(1+_xlfn.SWITCH($N427,"BDI 1",$P$6,"BDI 2",$P$7,"BDI 3",$P$8)),2)</f>
        <v>12.58</v>
      </c>
      <c r="Q427" s="157">
        <v>0</v>
      </c>
      <c r="R427" s="157">
        <f t="shared" si="830"/>
        <v>0</v>
      </c>
      <c r="S427" s="156">
        <f t="shared" si="831"/>
        <v>0</v>
      </c>
      <c r="T427" s="156">
        <f t="shared" si="832"/>
        <v>0</v>
      </c>
      <c r="U427" s="156">
        <f t="shared" si="833"/>
        <v>0</v>
      </c>
      <c r="V427" s="156">
        <f t="shared" si="834"/>
        <v>0</v>
      </c>
      <c r="W427" s="156">
        <f t="shared" si="835"/>
        <v>0</v>
      </c>
      <c r="X427" s="158">
        <f t="shared" ref="X427" si="845">$S427/ORCAMENTO_VALOR_TOTAL_ND</f>
        <v>0</v>
      </c>
      <c r="Y427" s="158">
        <f t="shared" ref="Y427" si="846">$T427/ORCAMENTO_VALOR_TOTAL_DE</f>
        <v>0</v>
      </c>
      <c r="Z427" s="158" cm="1">
        <f t="array" ref="Z427">_xlfn.SWITCH($N427,"BDI 1",$O$6,"BDI 2",$O$7,"BDI 3",$O$8)</f>
        <v>0.20699999999999999</v>
      </c>
      <c r="AA427" s="158" cm="1">
        <f t="array" ref="AA427">_xlfn.SWITCH($N427,"BDI 1",$P$6,"BDI 2",$P$7,"BDI 3",$P$8)</f>
        <v>0.26739999999999997</v>
      </c>
      <c r="AB427" s="158">
        <f t="shared" ca="1" si="838"/>
        <v>0</v>
      </c>
      <c r="AC427" s="158">
        <f t="shared" ca="1" si="839"/>
        <v>0</v>
      </c>
      <c r="AD427" s="164"/>
      <c r="AE427" s="148">
        <f t="shared" si="811"/>
        <v>0</v>
      </c>
      <c r="AF427" s="149"/>
      <c r="AG427" s="150"/>
      <c r="AH427" s="159" t="e">
        <f t="shared" si="840"/>
        <v>#DIV/0!</v>
      </c>
      <c r="AI427" s="165" t="s">
        <v>227</v>
      </c>
      <c r="AJ427" s="105"/>
      <c r="AK427" s="105"/>
      <c r="AM427" s="105"/>
      <c r="AN427" s="105"/>
      <c r="AO427" s="105"/>
      <c r="AP427" s="105"/>
      <c r="AQ427" s="105"/>
      <c r="AR427" s="105"/>
    </row>
    <row r="428" spans="1:44" s="49" customFormat="1" ht="40.15" hidden="1" customHeight="1">
      <c r="A428" s="152">
        <f t="shared" ca="1" si="812"/>
        <v>0</v>
      </c>
      <c r="B428" s="153" t="s">
        <v>228</v>
      </c>
      <c r="C428" s="154" t="str">
        <f t="shared" si="827"/>
        <v>SC/0250</v>
      </c>
      <c r="D428" s="154" t="s">
        <v>3549</v>
      </c>
      <c r="E428" s="155" t="s">
        <v>3847</v>
      </c>
      <c r="F428" s="154"/>
      <c r="G428" s="154" t="s">
        <v>1418</v>
      </c>
      <c r="H428" s="152">
        <v>6.57</v>
      </c>
      <c r="I428" s="152">
        <v>6.52</v>
      </c>
      <c r="J428" s="156"/>
      <c r="K428" s="156">
        <f>+Bacia_Amortecimento!J87</f>
        <v>0</v>
      </c>
      <c r="L428" s="156">
        <f t="shared" si="828"/>
        <v>0</v>
      </c>
      <c r="M428" s="156">
        <f t="shared" si="829"/>
        <v>0</v>
      </c>
      <c r="N428" s="156" t="s">
        <v>83</v>
      </c>
      <c r="O428" s="157" cm="1">
        <f t="array" ref="O428">TRUNC($H428*(1+_xlfn.SWITCH($N428,"BDI 1",$O$6,"BDI 2",$O$7,"BDI 3",$O$8)),2)</f>
        <v>7.92</v>
      </c>
      <c r="P428" s="157" cm="1">
        <f t="array" ref="P428">TRUNC($I428*(1+_xlfn.SWITCH($N428,"BDI 1",$P$6,"BDI 2",$P$7,"BDI 3",$P$8)),2)</f>
        <v>8.26</v>
      </c>
      <c r="Q428" s="157">
        <v>0</v>
      </c>
      <c r="R428" s="157">
        <f t="shared" si="830"/>
        <v>0</v>
      </c>
      <c r="S428" s="156">
        <f t="shared" si="831"/>
        <v>0</v>
      </c>
      <c r="T428" s="156">
        <f t="shared" si="832"/>
        <v>0</v>
      </c>
      <c r="U428" s="156">
        <f t="shared" si="833"/>
        <v>0</v>
      </c>
      <c r="V428" s="156">
        <f t="shared" si="834"/>
        <v>0</v>
      </c>
      <c r="W428" s="156">
        <f t="shared" si="835"/>
        <v>0</v>
      </c>
      <c r="X428" s="158">
        <f t="shared" ref="X428" si="847">$S428/ORCAMENTO_VALOR_TOTAL_ND</f>
        <v>0</v>
      </c>
      <c r="Y428" s="158">
        <f t="shared" ref="Y428" si="848">$T428/ORCAMENTO_VALOR_TOTAL_DE</f>
        <v>0</v>
      </c>
      <c r="Z428" s="158" cm="1">
        <f t="array" ref="Z428">_xlfn.SWITCH($N428,"BDI 1",$O$6,"BDI 2",$O$7,"BDI 3",$O$8)</f>
        <v>0.20699999999999999</v>
      </c>
      <c r="AA428" s="158" cm="1">
        <f t="array" ref="AA428">_xlfn.SWITCH($N428,"BDI 1",$P$6,"BDI 2",$P$7,"BDI 3",$P$8)</f>
        <v>0.26739999999999997</v>
      </c>
      <c r="AB428" s="158">
        <f t="shared" ca="1" si="838"/>
        <v>0</v>
      </c>
      <c r="AC428" s="158">
        <f t="shared" ca="1" si="839"/>
        <v>0</v>
      </c>
      <c r="AD428" s="164"/>
      <c r="AE428" s="148">
        <f t="shared" si="811"/>
        <v>0</v>
      </c>
      <c r="AF428" s="149"/>
      <c r="AG428" s="150"/>
      <c r="AH428" s="159" t="e">
        <f t="shared" si="840"/>
        <v>#DIV/0!</v>
      </c>
      <c r="AI428" s="154"/>
      <c r="AJ428" s="105"/>
      <c r="AK428" s="105"/>
      <c r="AM428" s="105"/>
      <c r="AN428" s="105"/>
      <c r="AO428" s="105"/>
      <c r="AP428" s="105"/>
      <c r="AQ428" s="105"/>
      <c r="AR428" s="105"/>
    </row>
    <row r="429" spans="1:44" s="49" customFormat="1" ht="40.15" hidden="1" customHeight="1">
      <c r="A429" s="152">
        <f t="shared" ca="1" si="812"/>
        <v>0</v>
      </c>
      <c r="B429" s="153">
        <v>98510</v>
      </c>
      <c r="C429" s="154" t="str">
        <f t="shared" si="827"/>
        <v>98510</v>
      </c>
      <c r="D429" s="154" t="s">
        <v>1416</v>
      </c>
      <c r="E429" s="155" t="s">
        <v>1429</v>
      </c>
      <c r="F429" s="154"/>
      <c r="G429" s="154" t="s">
        <v>1412</v>
      </c>
      <c r="H429" s="152">
        <v>68.48</v>
      </c>
      <c r="I429" s="152">
        <v>66.75</v>
      </c>
      <c r="J429" s="156"/>
      <c r="K429" s="156">
        <f>Bacia_Amortecimento!J88</f>
        <v>0</v>
      </c>
      <c r="L429" s="156">
        <f t="shared" si="828"/>
        <v>0</v>
      </c>
      <c r="M429" s="156">
        <f t="shared" si="829"/>
        <v>0</v>
      </c>
      <c r="N429" s="156" t="s">
        <v>83</v>
      </c>
      <c r="O429" s="157" cm="1">
        <f t="array" ref="O429">TRUNC($H429*(1+_xlfn.SWITCH($N429,"BDI 1",$O$6,"BDI 2",$O$7,"BDI 3",$O$8)),2)</f>
        <v>82.65</v>
      </c>
      <c r="P429" s="157" cm="1">
        <f t="array" ref="P429">TRUNC($I429*(1+_xlfn.SWITCH($N429,"BDI 1",$P$6,"BDI 2",$P$7,"BDI 3",$P$8)),2)</f>
        <v>84.59</v>
      </c>
      <c r="Q429" s="157">
        <v>0</v>
      </c>
      <c r="R429" s="157">
        <f t="shared" si="830"/>
        <v>0</v>
      </c>
      <c r="S429" s="156">
        <f t="shared" si="831"/>
        <v>0</v>
      </c>
      <c r="T429" s="156">
        <f t="shared" si="832"/>
        <v>0</v>
      </c>
      <c r="U429" s="156">
        <f t="shared" si="833"/>
        <v>0</v>
      </c>
      <c r="V429" s="156">
        <f t="shared" si="834"/>
        <v>0</v>
      </c>
      <c r="W429" s="156">
        <f t="shared" si="835"/>
        <v>0</v>
      </c>
      <c r="X429" s="158">
        <f t="shared" ref="X429" si="849">$S429/ORCAMENTO_VALOR_TOTAL_ND</f>
        <v>0</v>
      </c>
      <c r="Y429" s="158">
        <f t="shared" ref="Y429" si="850">$T429/ORCAMENTO_VALOR_TOTAL_DE</f>
        <v>0</v>
      </c>
      <c r="Z429" s="158" cm="1">
        <f t="array" ref="Z429">_xlfn.SWITCH($N429,"BDI 1",$O$6,"BDI 2",$O$7,"BDI 3",$O$8)</f>
        <v>0.20699999999999999</v>
      </c>
      <c r="AA429" s="158" cm="1">
        <f t="array" ref="AA429">_xlfn.SWITCH($N429,"BDI 1",$P$6,"BDI 2",$P$7,"BDI 3",$P$8)</f>
        <v>0.26739999999999997</v>
      </c>
      <c r="AB429" s="158">
        <f t="shared" ca="1" si="838"/>
        <v>0</v>
      </c>
      <c r="AC429" s="158">
        <f t="shared" ca="1" si="839"/>
        <v>0</v>
      </c>
      <c r="AD429" s="164"/>
      <c r="AE429" s="148">
        <f t="shared" si="811"/>
        <v>0</v>
      </c>
      <c r="AF429" s="149"/>
      <c r="AG429" s="150"/>
      <c r="AH429" s="159" t="e">
        <f t="shared" si="840"/>
        <v>#DIV/0!</v>
      </c>
      <c r="AI429" s="165" t="s">
        <v>229</v>
      </c>
      <c r="AJ429" s="105"/>
      <c r="AK429" s="105"/>
      <c r="AM429" s="105"/>
      <c r="AN429" s="105"/>
      <c r="AO429" s="105"/>
      <c r="AP429" s="105"/>
      <c r="AQ429" s="105"/>
      <c r="AR429" s="105"/>
    </row>
    <row r="430" spans="1:44" s="49" customFormat="1" ht="40.15" hidden="1" customHeight="1">
      <c r="A430" s="152">
        <f t="shared" ca="1" si="812"/>
        <v>0</v>
      </c>
      <c r="B430" s="153">
        <v>98516</v>
      </c>
      <c r="C430" s="154" t="str">
        <f t="shared" si="827"/>
        <v>98516</v>
      </c>
      <c r="D430" s="154" t="s">
        <v>1416</v>
      </c>
      <c r="E430" s="155" t="s">
        <v>3848</v>
      </c>
      <c r="F430" s="154"/>
      <c r="G430" s="154" t="s">
        <v>1412</v>
      </c>
      <c r="H430" s="152">
        <v>352.12</v>
      </c>
      <c r="I430" s="152">
        <v>337.78</v>
      </c>
      <c r="J430" s="156"/>
      <c r="K430" s="156">
        <f>Bacia_Amortecimento!J89</f>
        <v>0</v>
      </c>
      <c r="L430" s="156">
        <f t="shared" si="828"/>
        <v>0</v>
      </c>
      <c r="M430" s="156">
        <f t="shared" si="829"/>
        <v>0</v>
      </c>
      <c r="N430" s="156" t="s">
        <v>83</v>
      </c>
      <c r="O430" s="157" cm="1">
        <f t="array" ref="O430">TRUNC($H430*(1+_xlfn.SWITCH($N430,"BDI 1",$O$6,"BDI 2",$O$7,"BDI 3",$O$8)),2)</f>
        <v>425</v>
      </c>
      <c r="P430" s="157" cm="1">
        <f t="array" ref="P430">TRUNC($I430*(1+_xlfn.SWITCH($N430,"BDI 1",$P$6,"BDI 2",$P$7,"BDI 3",$P$8)),2)</f>
        <v>428.1</v>
      </c>
      <c r="Q430" s="157">
        <v>0</v>
      </c>
      <c r="R430" s="157">
        <f t="shared" si="830"/>
        <v>0</v>
      </c>
      <c r="S430" s="156">
        <f t="shared" si="831"/>
        <v>0</v>
      </c>
      <c r="T430" s="156">
        <f t="shared" si="832"/>
        <v>0</v>
      </c>
      <c r="U430" s="156">
        <f t="shared" si="833"/>
        <v>0</v>
      </c>
      <c r="V430" s="156">
        <f t="shared" si="834"/>
        <v>0</v>
      </c>
      <c r="W430" s="156">
        <f t="shared" si="835"/>
        <v>0</v>
      </c>
      <c r="X430" s="158">
        <f t="shared" ref="X430" si="851">$S430/ORCAMENTO_VALOR_TOTAL_ND</f>
        <v>0</v>
      </c>
      <c r="Y430" s="158">
        <f t="shared" ref="Y430" si="852">$T430/ORCAMENTO_VALOR_TOTAL_DE</f>
        <v>0</v>
      </c>
      <c r="Z430" s="158" cm="1">
        <f t="array" ref="Z430">_xlfn.SWITCH($N430,"BDI 1",$O$6,"BDI 2",$O$7,"BDI 3",$O$8)</f>
        <v>0.20699999999999999</v>
      </c>
      <c r="AA430" s="158" cm="1">
        <f t="array" ref="AA430">_xlfn.SWITCH($N430,"BDI 1",$P$6,"BDI 2",$P$7,"BDI 3",$P$8)</f>
        <v>0.26739999999999997</v>
      </c>
      <c r="AB430" s="158">
        <f t="shared" ca="1" si="838"/>
        <v>0</v>
      </c>
      <c r="AC430" s="158">
        <f t="shared" ca="1" si="839"/>
        <v>0</v>
      </c>
      <c r="AD430" s="164"/>
      <c r="AE430" s="148">
        <f t="shared" si="811"/>
        <v>0</v>
      </c>
      <c r="AF430" s="149"/>
      <c r="AG430" s="150"/>
      <c r="AH430" s="159" t="e">
        <f t="shared" si="840"/>
        <v>#DIV/0!</v>
      </c>
      <c r="AI430" s="160"/>
      <c r="AJ430" s="105"/>
      <c r="AK430" s="105"/>
      <c r="AM430" s="105"/>
      <c r="AN430" s="105"/>
      <c r="AO430" s="105"/>
      <c r="AP430" s="105"/>
      <c r="AQ430" s="105"/>
      <c r="AR430" s="105"/>
    </row>
    <row r="431" spans="1:44" s="49" customFormat="1" ht="49.9" hidden="1" customHeight="1">
      <c r="A431" s="152">
        <f t="shared" ca="1" si="812"/>
        <v>0</v>
      </c>
      <c r="B431" s="153" t="s">
        <v>230</v>
      </c>
      <c r="C431" s="154" t="str">
        <f t="shared" si="827"/>
        <v>SC/0080</v>
      </c>
      <c r="D431" s="154" t="s">
        <v>3549</v>
      </c>
      <c r="E431" s="155" t="s">
        <v>3849</v>
      </c>
      <c r="F431" s="154"/>
      <c r="G431" s="154" t="s">
        <v>58</v>
      </c>
      <c r="H431" s="152">
        <v>59.35</v>
      </c>
      <c r="I431" s="152">
        <v>57.76</v>
      </c>
      <c r="J431" s="156"/>
      <c r="K431" s="156">
        <f>Bacia_Amortecimento!J90</f>
        <v>0</v>
      </c>
      <c r="L431" s="156">
        <f t="shared" si="828"/>
        <v>0</v>
      </c>
      <c r="M431" s="156">
        <f t="shared" si="829"/>
        <v>0</v>
      </c>
      <c r="N431" s="156" t="s">
        <v>83</v>
      </c>
      <c r="O431" s="157" cm="1">
        <f t="array" ref="O431">TRUNC($H431*(1+_xlfn.SWITCH($N431,"BDI 1",$O$6,"BDI 2",$O$7,"BDI 3",$O$8)),2)</f>
        <v>71.63</v>
      </c>
      <c r="P431" s="157" cm="1">
        <f t="array" ref="P431">TRUNC($I431*(1+_xlfn.SWITCH($N431,"BDI 1",$P$6,"BDI 2",$P$7,"BDI 3",$P$8)),2)</f>
        <v>73.2</v>
      </c>
      <c r="Q431" s="157">
        <v>0</v>
      </c>
      <c r="R431" s="157">
        <f t="shared" si="830"/>
        <v>0</v>
      </c>
      <c r="S431" s="156">
        <f t="shared" si="831"/>
        <v>0</v>
      </c>
      <c r="T431" s="156">
        <f t="shared" si="832"/>
        <v>0</v>
      </c>
      <c r="U431" s="156">
        <f t="shared" si="833"/>
        <v>0</v>
      </c>
      <c r="V431" s="156">
        <f t="shared" si="834"/>
        <v>0</v>
      </c>
      <c r="W431" s="156">
        <f t="shared" si="835"/>
        <v>0</v>
      </c>
      <c r="X431" s="158">
        <f t="shared" ref="X431" si="853">$S431/ORCAMENTO_VALOR_TOTAL_ND</f>
        <v>0</v>
      </c>
      <c r="Y431" s="158">
        <f t="shared" ref="Y431" si="854">$T431/ORCAMENTO_VALOR_TOTAL_DE</f>
        <v>0</v>
      </c>
      <c r="Z431" s="158" cm="1">
        <f t="array" ref="Z431">_xlfn.SWITCH($N431,"BDI 1",$O$6,"BDI 2",$O$7,"BDI 3",$O$8)</f>
        <v>0.20699999999999999</v>
      </c>
      <c r="AA431" s="158" cm="1">
        <f t="array" ref="AA431">_xlfn.SWITCH($N431,"BDI 1",$P$6,"BDI 2",$P$7,"BDI 3",$P$8)</f>
        <v>0.26739999999999997</v>
      </c>
      <c r="AB431" s="158">
        <f t="shared" ca="1" si="838"/>
        <v>0</v>
      </c>
      <c r="AC431" s="158">
        <f t="shared" ca="1" si="839"/>
        <v>0</v>
      </c>
      <c r="AD431" s="164"/>
      <c r="AE431" s="148">
        <f t="shared" si="811"/>
        <v>0</v>
      </c>
      <c r="AF431" s="149"/>
      <c r="AG431" s="150"/>
      <c r="AH431" s="159" t="e">
        <f t="shared" si="840"/>
        <v>#DIV/0!</v>
      </c>
      <c r="AI431" s="160"/>
      <c r="AJ431" s="105"/>
      <c r="AK431" s="105"/>
      <c r="AM431" s="105"/>
      <c r="AN431" s="105"/>
      <c r="AO431" s="105"/>
      <c r="AP431" s="105"/>
      <c r="AQ431" s="105"/>
      <c r="AR431" s="105"/>
    </row>
    <row r="432" spans="1:44" s="49" customFormat="1" ht="40.15" hidden="1" customHeight="1">
      <c r="A432" s="152">
        <f t="shared" ca="1" si="812"/>
        <v>0</v>
      </c>
      <c r="B432" s="153">
        <v>94962</v>
      </c>
      <c r="C432" s="154" t="str">
        <f t="shared" si="827"/>
        <v>94962</v>
      </c>
      <c r="D432" s="154" t="s">
        <v>1416</v>
      </c>
      <c r="E432" s="155" t="s">
        <v>3791</v>
      </c>
      <c r="F432" s="154"/>
      <c r="G432" s="154" t="s">
        <v>464</v>
      </c>
      <c r="H432" s="152">
        <v>385.31</v>
      </c>
      <c r="I432" s="152">
        <v>383.4</v>
      </c>
      <c r="J432" s="156"/>
      <c r="K432" s="156">
        <f>Bacia_Amortecimento!J91</f>
        <v>0</v>
      </c>
      <c r="L432" s="156">
        <f t="shared" si="828"/>
        <v>0</v>
      </c>
      <c r="M432" s="156">
        <f t="shared" si="829"/>
        <v>0</v>
      </c>
      <c r="N432" s="156" t="s">
        <v>83</v>
      </c>
      <c r="O432" s="157" cm="1">
        <f t="array" ref="O432">TRUNC($H432*(1+_xlfn.SWITCH($N432,"BDI 1",$O$6,"BDI 2",$O$7,"BDI 3",$O$8)),2)</f>
        <v>465.06</v>
      </c>
      <c r="P432" s="157" cm="1">
        <f t="array" ref="P432">TRUNC($I432*(1+_xlfn.SWITCH($N432,"BDI 1",$P$6,"BDI 2",$P$7,"BDI 3",$P$8)),2)</f>
        <v>485.92</v>
      </c>
      <c r="Q432" s="157">
        <v>0</v>
      </c>
      <c r="R432" s="157">
        <f t="shared" si="830"/>
        <v>0</v>
      </c>
      <c r="S432" s="156">
        <f t="shared" si="831"/>
        <v>0</v>
      </c>
      <c r="T432" s="156">
        <f t="shared" si="832"/>
        <v>0</v>
      </c>
      <c r="U432" s="156">
        <f t="shared" si="833"/>
        <v>0</v>
      </c>
      <c r="V432" s="156">
        <f t="shared" si="834"/>
        <v>0</v>
      </c>
      <c r="W432" s="156">
        <f t="shared" si="835"/>
        <v>0</v>
      </c>
      <c r="X432" s="158">
        <f t="shared" ref="X432" si="855">$S432/ORCAMENTO_VALOR_TOTAL_ND</f>
        <v>0</v>
      </c>
      <c r="Y432" s="158">
        <f t="shared" ref="Y432" si="856">$T432/ORCAMENTO_VALOR_TOTAL_DE</f>
        <v>0</v>
      </c>
      <c r="Z432" s="158" cm="1">
        <f t="array" ref="Z432">_xlfn.SWITCH($N432,"BDI 1",$O$6,"BDI 2",$O$7,"BDI 3",$O$8)</f>
        <v>0.20699999999999999</v>
      </c>
      <c r="AA432" s="158" cm="1">
        <f t="array" ref="AA432">_xlfn.SWITCH($N432,"BDI 1",$P$6,"BDI 2",$P$7,"BDI 3",$P$8)</f>
        <v>0.26739999999999997</v>
      </c>
      <c r="AB432" s="158">
        <f t="shared" ca="1" si="838"/>
        <v>0</v>
      </c>
      <c r="AC432" s="158">
        <f t="shared" ca="1" si="839"/>
        <v>0</v>
      </c>
      <c r="AD432" s="164"/>
      <c r="AE432" s="148">
        <f t="shared" si="811"/>
        <v>0</v>
      </c>
      <c r="AF432" s="149"/>
      <c r="AG432" s="150"/>
      <c r="AH432" s="159" t="e">
        <f t="shared" si="840"/>
        <v>#DIV/0!</v>
      </c>
      <c r="AI432" s="160"/>
      <c r="AJ432" s="105"/>
      <c r="AK432" s="105"/>
      <c r="AM432" s="105"/>
      <c r="AN432" s="105"/>
      <c r="AO432" s="105"/>
      <c r="AP432" s="105"/>
      <c r="AQ432" s="105"/>
      <c r="AR432" s="105"/>
    </row>
    <row r="433" spans="1:44" s="49" customFormat="1" ht="40.15" hidden="1" customHeight="1">
      <c r="A433" s="152">
        <f t="shared" ca="1" si="812"/>
        <v>0</v>
      </c>
      <c r="B433" s="153">
        <v>94991</v>
      </c>
      <c r="C433" s="154" t="str">
        <f t="shared" si="827"/>
        <v>94991</v>
      </c>
      <c r="D433" s="154" t="s">
        <v>1416</v>
      </c>
      <c r="E433" s="155" t="s">
        <v>3850</v>
      </c>
      <c r="F433" s="154"/>
      <c r="G433" s="154" t="s">
        <v>464</v>
      </c>
      <c r="H433" s="152">
        <v>801</v>
      </c>
      <c r="I433" s="152">
        <v>784.57</v>
      </c>
      <c r="J433" s="156"/>
      <c r="K433" s="156">
        <f>Bacia_Amortecimento!J96</f>
        <v>0</v>
      </c>
      <c r="L433" s="156">
        <f t="shared" si="828"/>
        <v>0</v>
      </c>
      <c r="M433" s="156">
        <f t="shared" si="829"/>
        <v>0</v>
      </c>
      <c r="N433" s="156" t="s">
        <v>83</v>
      </c>
      <c r="O433" s="157" cm="1">
        <f t="array" ref="O433">TRUNC($H433*(1+_xlfn.SWITCH($N433,"BDI 1",$O$6,"BDI 2",$O$7,"BDI 3",$O$8)),2)</f>
        <v>966.8</v>
      </c>
      <c r="P433" s="157" cm="1">
        <f t="array" ref="P433">TRUNC($I433*(1+_xlfn.SWITCH($N433,"BDI 1",$P$6,"BDI 2",$P$7,"BDI 3",$P$8)),2)</f>
        <v>994.36</v>
      </c>
      <c r="Q433" s="157">
        <v>0</v>
      </c>
      <c r="R433" s="157">
        <f t="shared" si="830"/>
        <v>0</v>
      </c>
      <c r="S433" s="156">
        <f t="shared" si="831"/>
        <v>0</v>
      </c>
      <c r="T433" s="156">
        <f t="shared" si="832"/>
        <v>0</v>
      </c>
      <c r="U433" s="156">
        <f t="shared" si="833"/>
        <v>0</v>
      </c>
      <c r="V433" s="156">
        <f t="shared" si="834"/>
        <v>0</v>
      </c>
      <c r="W433" s="156">
        <f t="shared" si="835"/>
        <v>0</v>
      </c>
      <c r="X433" s="158">
        <f t="shared" ref="X433" si="857">$S433/ORCAMENTO_VALOR_TOTAL_ND</f>
        <v>0</v>
      </c>
      <c r="Y433" s="158">
        <f t="shared" ref="Y433" si="858">$T433/ORCAMENTO_VALOR_TOTAL_DE</f>
        <v>0</v>
      </c>
      <c r="Z433" s="158" cm="1">
        <f t="array" ref="Z433">_xlfn.SWITCH($N433,"BDI 1",$O$6,"BDI 2",$O$7,"BDI 3",$O$8)</f>
        <v>0.20699999999999999</v>
      </c>
      <c r="AA433" s="158" cm="1">
        <f t="array" ref="AA433">_xlfn.SWITCH($N433,"BDI 1",$P$6,"BDI 2",$P$7,"BDI 3",$P$8)</f>
        <v>0.26739999999999997</v>
      </c>
      <c r="AB433" s="158">
        <f t="shared" ca="1" si="838"/>
        <v>0</v>
      </c>
      <c r="AC433" s="158">
        <f t="shared" ca="1" si="839"/>
        <v>0</v>
      </c>
      <c r="AD433" s="164"/>
      <c r="AE433" s="148">
        <f t="shared" si="811"/>
        <v>0</v>
      </c>
      <c r="AF433" s="149"/>
      <c r="AG433" s="150"/>
      <c r="AH433" s="159" t="e">
        <f t="shared" si="840"/>
        <v>#DIV/0!</v>
      </c>
      <c r="AI433" s="165" t="s">
        <v>216</v>
      </c>
      <c r="AJ433" s="105"/>
      <c r="AK433" s="167"/>
      <c r="AM433" s="167"/>
      <c r="AN433" s="167"/>
      <c r="AO433" s="167"/>
      <c r="AP433" s="167"/>
      <c r="AQ433" s="167"/>
      <c r="AR433" s="167"/>
    </row>
    <row r="434" spans="1:44" s="49" customFormat="1" ht="40.15" hidden="1" customHeight="1">
      <c r="A434" s="152">
        <f t="shared" ca="1" si="812"/>
        <v>0</v>
      </c>
      <c r="B434" s="153">
        <v>94994</v>
      </c>
      <c r="C434" s="154" t="str">
        <f t="shared" si="827"/>
        <v>94994</v>
      </c>
      <c r="D434" s="154" t="s">
        <v>1416</v>
      </c>
      <c r="E434" s="155" t="s">
        <v>3851</v>
      </c>
      <c r="F434" s="154"/>
      <c r="G434" s="154" t="s">
        <v>1418</v>
      </c>
      <c r="H434" s="152">
        <v>93.23</v>
      </c>
      <c r="I434" s="152">
        <v>90.7</v>
      </c>
      <c r="J434" s="156"/>
      <c r="K434" s="156">
        <f>Bacia_Amortecimento!J97</f>
        <v>0</v>
      </c>
      <c r="L434" s="156">
        <f t="shared" si="828"/>
        <v>0</v>
      </c>
      <c r="M434" s="156">
        <f t="shared" si="829"/>
        <v>0</v>
      </c>
      <c r="N434" s="156" t="s">
        <v>83</v>
      </c>
      <c r="O434" s="157" cm="1">
        <f t="array" ref="O434">TRUNC($H434*(1+_xlfn.SWITCH($N434,"BDI 1",$O$6,"BDI 2",$O$7,"BDI 3",$O$8)),2)</f>
        <v>112.52</v>
      </c>
      <c r="P434" s="157" cm="1">
        <f t="array" ref="P434">TRUNC($I434*(1+_xlfn.SWITCH($N434,"BDI 1",$P$6,"BDI 2",$P$7,"BDI 3",$P$8)),2)</f>
        <v>114.95</v>
      </c>
      <c r="Q434" s="157">
        <v>0</v>
      </c>
      <c r="R434" s="157">
        <f t="shared" si="830"/>
        <v>0</v>
      </c>
      <c r="S434" s="156">
        <f t="shared" si="831"/>
        <v>0</v>
      </c>
      <c r="T434" s="156">
        <f t="shared" si="832"/>
        <v>0</v>
      </c>
      <c r="U434" s="156">
        <f t="shared" si="833"/>
        <v>0</v>
      </c>
      <c r="V434" s="156">
        <f t="shared" si="834"/>
        <v>0</v>
      </c>
      <c r="W434" s="156">
        <f t="shared" si="835"/>
        <v>0</v>
      </c>
      <c r="X434" s="158">
        <f t="shared" ref="X434" si="859">$S434/ORCAMENTO_VALOR_TOTAL_ND</f>
        <v>0</v>
      </c>
      <c r="Y434" s="158">
        <f t="shared" ref="Y434" si="860">$T434/ORCAMENTO_VALOR_TOTAL_DE</f>
        <v>0</v>
      </c>
      <c r="Z434" s="158" cm="1">
        <f t="array" ref="Z434">_xlfn.SWITCH($N434,"BDI 1",$O$6,"BDI 2",$O$7,"BDI 3",$O$8)</f>
        <v>0.20699999999999999</v>
      </c>
      <c r="AA434" s="158" cm="1">
        <f t="array" ref="AA434">_xlfn.SWITCH($N434,"BDI 1",$P$6,"BDI 2",$P$7,"BDI 3",$P$8)</f>
        <v>0.26739999999999997</v>
      </c>
      <c r="AB434" s="158">
        <f t="shared" ca="1" si="838"/>
        <v>0</v>
      </c>
      <c r="AC434" s="158">
        <f t="shared" ca="1" si="839"/>
        <v>0</v>
      </c>
      <c r="AD434" s="164"/>
      <c r="AE434" s="148">
        <f t="shared" si="811"/>
        <v>0</v>
      </c>
      <c r="AF434" s="149"/>
      <c r="AG434" s="150"/>
      <c r="AH434" s="159" t="e">
        <f t="shared" si="840"/>
        <v>#DIV/0!</v>
      </c>
      <c r="AI434" s="165" t="s">
        <v>231</v>
      </c>
      <c r="AJ434" s="105"/>
      <c r="AK434" s="167"/>
      <c r="AM434" s="167"/>
      <c r="AN434" s="167"/>
      <c r="AO434" s="167"/>
      <c r="AP434" s="167"/>
      <c r="AQ434" s="167"/>
      <c r="AR434" s="167"/>
    </row>
    <row r="435" spans="1:44" s="49" customFormat="1" ht="40.15" hidden="1" customHeight="1">
      <c r="A435" s="152">
        <f t="shared" ca="1" si="812"/>
        <v>0</v>
      </c>
      <c r="B435" s="153">
        <v>100324</v>
      </c>
      <c r="C435" s="154" t="str">
        <f t="shared" si="827"/>
        <v>100324</v>
      </c>
      <c r="D435" s="154" t="s">
        <v>1416</v>
      </c>
      <c r="E435" s="155" t="s">
        <v>3852</v>
      </c>
      <c r="F435" s="154"/>
      <c r="G435" s="154" t="s">
        <v>464</v>
      </c>
      <c r="H435" s="152">
        <v>166.91</v>
      </c>
      <c r="I435" s="152">
        <v>166.99</v>
      </c>
      <c r="J435" s="156"/>
      <c r="K435" s="156">
        <f>Bacia_Amortecimento!J102</f>
        <v>0</v>
      </c>
      <c r="L435" s="156">
        <f t="shared" si="828"/>
        <v>0</v>
      </c>
      <c r="M435" s="156">
        <f t="shared" si="829"/>
        <v>0</v>
      </c>
      <c r="N435" s="156" t="s">
        <v>83</v>
      </c>
      <c r="O435" s="157" cm="1">
        <f t="array" ref="O435">TRUNC($H435*(1+_xlfn.SWITCH($N435,"BDI 1",$O$6,"BDI 2",$O$7,"BDI 3",$O$8)),2)</f>
        <v>201.46</v>
      </c>
      <c r="P435" s="157" cm="1">
        <f t="array" ref="P435">TRUNC($I435*(1+_xlfn.SWITCH($N435,"BDI 1",$P$6,"BDI 2",$P$7,"BDI 3",$P$8)),2)</f>
        <v>211.64</v>
      </c>
      <c r="Q435" s="157">
        <v>0</v>
      </c>
      <c r="R435" s="157">
        <f t="shared" si="830"/>
        <v>0</v>
      </c>
      <c r="S435" s="156">
        <f t="shared" si="831"/>
        <v>0</v>
      </c>
      <c r="T435" s="156">
        <f t="shared" si="832"/>
        <v>0</v>
      </c>
      <c r="U435" s="156">
        <f t="shared" si="833"/>
        <v>0</v>
      </c>
      <c r="V435" s="156">
        <f t="shared" si="834"/>
        <v>0</v>
      </c>
      <c r="W435" s="156">
        <f t="shared" si="835"/>
        <v>0</v>
      </c>
      <c r="X435" s="158">
        <f t="shared" ref="X435" si="861">$S435/ORCAMENTO_VALOR_TOTAL_ND</f>
        <v>0</v>
      </c>
      <c r="Y435" s="158">
        <f t="shared" ref="Y435" si="862">$T435/ORCAMENTO_VALOR_TOTAL_DE</f>
        <v>0</v>
      </c>
      <c r="Z435" s="158" cm="1">
        <f t="array" ref="Z435">_xlfn.SWITCH($N435,"BDI 1",$O$6,"BDI 2",$O$7,"BDI 3",$O$8)</f>
        <v>0.20699999999999999</v>
      </c>
      <c r="AA435" s="158" cm="1">
        <f t="array" ref="AA435">_xlfn.SWITCH($N435,"BDI 1",$P$6,"BDI 2",$P$7,"BDI 3",$P$8)</f>
        <v>0.26739999999999997</v>
      </c>
      <c r="AB435" s="158">
        <f t="shared" ca="1" si="838"/>
        <v>0</v>
      </c>
      <c r="AC435" s="158">
        <f t="shared" ca="1" si="839"/>
        <v>0</v>
      </c>
      <c r="AD435" s="164"/>
      <c r="AE435" s="148">
        <f t="shared" si="811"/>
        <v>0</v>
      </c>
      <c r="AF435" s="149"/>
      <c r="AG435" s="150"/>
      <c r="AH435" s="159" t="e">
        <f t="shared" si="840"/>
        <v>#DIV/0!</v>
      </c>
      <c r="AI435" s="165" t="s">
        <v>231</v>
      </c>
      <c r="AJ435" s="105"/>
      <c r="AK435" s="167"/>
      <c r="AM435" s="167"/>
      <c r="AN435" s="167"/>
      <c r="AO435" s="167"/>
      <c r="AP435" s="167"/>
      <c r="AQ435" s="167"/>
      <c r="AR435" s="167"/>
    </row>
    <row r="436" spans="1:44" s="49" customFormat="1" ht="40.15" hidden="1" customHeight="1">
      <c r="A436" s="152">
        <f t="shared" ca="1" si="812"/>
        <v>0</v>
      </c>
      <c r="B436" s="153">
        <v>92396</v>
      </c>
      <c r="C436" s="154" t="str">
        <f t="shared" si="827"/>
        <v>92396</v>
      </c>
      <c r="D436" s="154" t="s">
        <v>1416</v>
      </c>
      <c r="E436" s="155" t="s">
        <v>3853</v>
      </c>
      <c r="F436" s="154"/>
      <c r="G436" s="154" t="s">
        <v>1418</v>
      </c>
      <c r="H436" s="152">
        <v>83.59</v>
      </c>
      <c r="I436" s="152">
        <v>75.23</v>
      </c>
      <c r="J436" s="156"/>
      <c r="K436" s="156">
        <f>Bacia_Amortecimento!J103</f>
        <v>0</v>
      </c>
      <c r="L436" s="156">
        <f t="shared" si="828"/>
        <v>0</v>
      </c>
      <c r="M436" s="156">
        <f t="shared" si="829"/>
        <v>0</v>
      </c>
      <c r="N436" s="156" t="s">
        <v>83</v>
      </c>
      <c r="O436" s="157" cm="1">
        <f t="array" ref="O436">TRUNC($H436*(1+_xlfn.SWITCH($N436,"BDI 1",$O$6,"BDI 2",$O$7,"BDI 3",$O$8)),2)</f>
        <v>100.89</v>
      </c>
      <c r="P436" s="157" cm="1">
        <f t="array" ref="P436">TRUNC($I436*(1+_xlfn.SWITCH($N436,"BDI 1",$P$6,"BDI 2",$P$7,"BDI 3",$P$8)),2)</f>
        <v>95.34</v>
      </c>
      <c r="Q436" s="157">
        <v>0</v>
      </c>
      <c r="R436" s="157">
        <f t="shared" si="830"/>
        <v>0</v>
      </c>
      <c r="S436" s="156">
        <f t="shared" si="831"/>
        <v>0</v>
      </c>
      <c r="T436" s="156">
        <f t="shared" si="832"/>
        <v>0</v>
      </c>
      <c r="U436" s="156">
        <f t="shared" si="833"/>
        <v>0</v>
      </c>
      <c r="V436" s="156">
        <f t="shared" si="834"/>
        <v>0</v>
      </c>
      <c r="W436" s="156">
        <f t="shared" si="835"/>
        <v>0</v>
      </c>
      <c r="X436" s="158">
        <f t="shared" ref="X436" si="863">$S436/ORCAMENTO_VALOR_TOTAL_ND</f>
        <v>0</v>
      </c>
      <c r="Y436" s="158">
        <f t="shared" ref="Y436" si="864">$T436/ORCAMENTO_VALOR_TOTAL_DE</f>
        <v>0</v>
      </c>
      <c r="Z436" s="158" cm="1">
        <f t="array" ref="Z436">_xlfn.SWITCH($N436,"BDI 1",$O$6,"BDI 2",$O$7,"BDI 3",$O$8)</f>
        <v>0.20699999999999999</v>
      </c>
      <c r="AA436" s="158" cm="1">
        <f t="array" ref="AA436">_xlfn.SWITCH($N436,"BDI 1",$P$6,"BDI 2",$P$7,"BDI 3",$P$8)</f>
        <v>0.26739999999999997</v>
      </c>
      <c r="AB436" s="158">
        <f t="shared" ca="1" si="838"/>
        <v>0</v>
      </c>
      <c r="AC436" s="158">
        <f t="shared" ca="1" si="839"/>
        <v>0</v>
      </c>
      <c r="AD436" s="164"/>
      <c r="AE436" s="148">
        <f t="shared" si="811"/>
        <v>0</v>
      </c>
      <c r="AF436" s="149"/>
      <c r="AG436" s="150"/>
      <c r="AH436" s="159" t="e">
        <f t="shared" si="840"/>
        <v>#DIV/0!</v>
      </c>
      <c r="AI436" s="165" t="s">
        <v>232</v>
      </c>
      <c r="AJ436" s="105"/>
      <c r="AK436" s="167"/>
      <c r="AM436" s="167"/>
      <c r="AN436" s="167"/>
      <c r="AO436" s="167"/>
      <c r="AP436" s="167"/>
      <c r="AQ436" s="167"/>
      <c r="AR436" s="167"/>
    </row>
    <row r="437" spans="1:44" s="49" customFormat="1" ht="40.15" hidden="1" customHeight="1">
      <c r="A437" s="10">
        <f t="shared" ca="1" si="812"/>
        <v>0</v>
      </c>
      <c r="B437" s="153"/>
      <c r="C437" s="154"/>
      <c r="D437" s="154"/>
      <c r="E437" s="161" t="s">
        <v>102</v>
      </c>
      <c r="F437" s="154"/>
      <c r="G437" s="154"/>
      <c r="H437" s="152"/>
      <c r="I437" s="152"/>
      <c r="J437" s="154"/>
      <c r="K437" s="154"/>
      <c r="L437" s="154"/>
      <c r="M437" s="154"/>
      <c r="N437" s="154"/>
      <c r="O437" s="154"/>
      <c r="P437" s="154"/>
      <c r="Q437" s="154"/>
      <c r="R437" s="154"/>
      <c r="S437" s="162"/>
      <c r="T437" s="162"/>
      <c r="U437" s="162"/>
      <c r="V437" s="162"/>
      <c r="W437" s="162"/>
      <c r="X437" s="163"/>
      <c r="Y437" s="163"/>
      <c r="Z437" s="163"/>
      <c r="AA437" s="163"/>
      <c r="AB437" s="163"/>
      <c r="AC437" s="163"/>
      <c r="AD437" s="164"/>
      <c r="AE437" s="148">
        <f>IF(SUM(S438:S439)&gt;0,IFERROR(TRUNC(A437,0),0),0)</f>
        <v>0</v>
      </c>
      <c r="AF437" s="149"/>
      <c r="AG437" s="150"/>
      <c r="AH437" s="159"/>
      <c r="AI437" s="160" t="s">
        <v>85</v>
      </c>
      <c r="AK437" s="105"/>
      <c r="AL437" s="105"/>
      <c r="AM437" s="105"/>
      <c r="AN437" s="105"/>
      <c r="AO437" s="105"/>
      <c r="AP437" s="105"/>
      <c r="AQ437" s="105"/>
      <c r="AR437" s="105"/>
    </row>
    <row r="438" spans="1:44" s="49" customFormat="1" ht="40.15" hidden="1" customHeight="1">
      <c r="A438" s="152">
        <f t="shared" ca="1" si="812"/>
        <v>0</v>
      </c>
      <c r="B438" s="153">
        <v>95876</v>
      </c>
      <c r="C438" s="154" t="str">
        <f>TEXT(B438,"0")</f>
        <v>95876</v>
      </c>
      <c r="D438" s="154" t="s">
        <v>1416</v>
      </c>
      <c r="E438" s="155" t="s">
        <v>3537</v>
      </c>
      <c r="F438" s="154">
        <f>IF(Dados_DMT!$B$17&lt;30,Dados_DMT!$B$17,30)</f>
        <v>3.5</v>
      </c>
      <c r="G438" s="154" t="s">
        <v>3538</v>
      </c>
      <c r="H438" s="152">
        <v>2.09</v>
      </c>
      <c r="I438" s="152">
        <v>2.1</v>
      </c>
      <c r="J438" s="156"/>
      <c r="K438" s="156">
        <f>ROUND(Bacia_Amortecimento!J104*F438,2)</f>
        <v>0</v>
      </c>
      <c r="L438" s="156">
        <f>IF($K438&gt;$J438,$K438-$J438,0)</f>
        <v>0</v>
      </c>
      <c r="M438" s="156">
        <f>IF($K438&lt;$J438,$J438-$K438,0)</f>
        <v>0</v>
      </c>
      <c r="N438" s="156" t="s">
        <v>83</v>
      </c>
      <c r="O438" s="157" cm="1">
        <f t="array" ref="O438">TRUNC($H438*(1+_xlfn.SWITCH($N438,"BDI 1",$O$6,"BDI 2",$O$7,"BDI 3",$O$8)),2)</f>
        <v>2.52</v>
      </c>
      <c r="P438" s="157" cm="1">
        <f t="array" ref="P438">TRUNC($I438*(1+_xlfn.SWITCH($N438,"BDI 1",$P$6,"BDI 2",$P$7,"BDI 3",$P$8)),2)</f>
        <v>2.66</v>
      </c>
      <c r="Q438" s="157">
        <v>0</v>
      </c>
      <c r="R438" s="157">
        <f>$Q438-($Q438*LICITACAO_DESCONTO)</f>
        <v>0</v>
      </c>
      <c r="S438" s="156">
        <f>TRUNC($K438*$O438,2)</f>
        <v>0</v>
      </c>
      <c r="T438" s="156">
        <f>TRUNC($K438*$P438,2)</f>
        <v>0</v>
      </c>
      <c r="U438" s="156">
        <f>TRUNC($J438*$R438,2)</f>
        <v>0</v>
      </c>
      <c r="V438" s="156">
        <f>TRUNC($K438*$Q438,2)</f>
        <v>0</v>
      </c>
      <c r="W438" s="156">
        <f>TRUNC(V438-U438,2)</f>
        <v>0</v>
      </c>
      <c r="X438" s="158">
        <f>$S438/ORCAMENTO_VALOR_TOTAL_ND</f>
        <v>0</v>
      </c>
      <c r="Y438" s="158">
        <f>$T438/ORCAMENTO_VALOR_TOTAL_DE</f>
        <v>0</v>
      </c>
      <c r="Z438" s="158" cm="1">
        <f t="array" ref="Z438">_xlfn.SWITCH($N438,"BDI 1",$O$6,"BDI 2",$O$7,"BDI 3",$O$8)</f>
        <v>0.20699999999999999</v>
      </c>
      <c r="AA438" s="158" cm="1">
        <f t="array" ref="AA438">_xlfn.SWITCH($N438,"BDI 1",$P$6,"BDI 2",$P$7,"BDI 3",$P$8)</f>
        <v>0.26739999999999997</v>
      </c>
      <c r="AB438" s="158">
        <f ca="1">IFERROR($S438/_xlfn.XLOOKUP($AE438,$B$16:$B$38,$S$16:$S$38),0)</f>
        <v>0</v>
      </c>
      <c r="AC438" s="158">
        <f ca="1">IFERROR($T438/_xlfn.XLOOKUP($AE438,$B$16:$B$38,$T$16:$T$38),0)</f>
        <v>0</v>
      </c>
      <c r="AD438" s="164"/>
      <c r="AE438" s="148">
        <f t="shared" ref="AE438:AE439" si="865">IF(S438&gt;0,IFERROR(TRUNC(A438,0),0),0)</f>
        <v>0</v>
      </c>
      <c r="AF438" s="149"/>
      <c r="AG438" s="150"/>
      <c r="AH438" s="159" t="e">
        <f>S438/$S$351</f>
        <v>#DIV/0!</v>
      </c>
      <c r="AI438" s="166">
        <v>2000</v>
      </c>
      <c r="AK438" s="105"/>
      <c r="AL438" s="105"/>
      <c r="AM438" s="105"/>
      <c r="AN438" s="105"/>
      <c r="AO438" s="105"/>
      <c r="AP438" s="105"/>
      <c r="AQ438" s="105"/>
      <c r="AR438" s="105"/>
    </row>
    <row r="439" spans="1:44" s="49" customFormat="1" ht="40.15" hidden="1" customHeight="1">
      <c r="A439" s="152">
        <f t="shared" ca="1" si="812"/>
        <v>0</v>
      </c>
      <c r="B439" s="153">
        <v>93593</v>
      </c>
      <c r="C439" s="154" t="str">
        <f>TEXT(B439,"0")</f>
        <v>93593</v>
      </c>
      <c r="D439" s="154" t="s">
        <v>1416</v>
      </c>
      <c r="E439" s="155" t="s">
        <v>3545</v>
      </c>
      <c r="F439" s="154">
        <f>Dados_DMT!$B$17-F438</f>
        <v>0</v>
      </c>
      <c r="G439" s="154" t="s">
        <v>3538</v>
      </c>
      <c r="H439" s="152">
        <v>0.84</v>
      </c>
      <c r="I439" s="152">
        <v>0.85</v>
      </c>
      <c r="J439" s="156"/>
      <c r="K439" s="156">
        <f>ROUND(Bacia_Amortecimento!J104*F439,2)</f>
        <v>0</v>
      </c>
      <c r="L439" s="156">
        <f>IF($K439&gt;$J439,$K439-$J439,0)</f>
        <v>0</v>
      </c>
      <c r="M439" s="156">
        <f>IF($K439&lt;$J439,$J439-$K439,0)</f>
        <v>0</v>
      </c>
      <c r="N439" s="156" t="s">
        <v>83</v>
      </c>
      <c r="O439" s="157" cm="1">
        <f t="array" ref="O439">TRUNC($H439*(1+_xlfn.SWITCH($N439,"BDI 1",$O$6,"BDI 2",$O$7,"BDI 3",$O$8)),2)</f>
        <v>1.01</v>
      </c>
      <c r="P439" s="157" cm="1">
        <f t="array" ref="P439">TRUNC($I439*(1+_xlfn.SWITCH($N439,"BDI 1",$P$6,"BDI 2",$P$7,"BDI 3",$P$8)),2)</f>
        <v>1.07</v>
      </c>
      <c r="Q439" s="157">
        <v>0</v>
      </c>
      <c r="R439" s="157">
        <f>$Q439-($Q439*LICITACAO_DESCONTO)</f>
        <v>0</v>
      </c>
      <c r="S439" s="156">
        <f>TRUNC($K439*$O439,2)</f>
        <v>0</v>
      </c>
      <c r="T439" s="156">
        <f>TRUNC($K439*$P439,2)</f>
        <v>0</v>
      </c>
      <c r="U439" s="156">
        <f>TRUNC($J439*$R439,2)</f>
        <v>0</v>
      </c>
      <c r="V439" s="156">
        <f>TRUNC($K439*$Q439,2)</f>
        <v>0</v>
      </c>
      <c r="W439" s="156">
        <f>TRUNC(V439-U439,2)</f>
        <v>0</v>
      </c>
      <c r="X439" s="158">
        <f>$S439/ORCAMENTO_VALOR_TOTAL_ND</f>
        <v>0</v>
      </c>
      <c r="Y439" s="158">
        <f>$T439/ORCAMENTO_VALOR_TOTAL_DE</f>
        <v>0</v>
      </c>
      <c r="Z439" s="158" cm="1">
        <f t="array" ref="Z439">_xlfn.SWITCH($N439,"BDI 1",$O$6,"BDI 2",$O$7,"BDI 3",$O$8)</f>
        <v>0.20699999999999999</v>
      </c>
      <c r="AA439" s="158" cm="1">
        <f t="array" ref="AA439">_xlfn.SWITCH($N439,"BDI 1",$P$6,"BDI 2",$P$7,"BDI 3",$P$8)</f>
        <v>0.26739999999999997</v>
      </c>
      <c r="AB439" s="158">
        <f ca="1">IFERROR($S439/_xlfn.XLOOKUP($AE439,$B$16:$B$38,$S$16:$S$38),0)</f>
        <v>0</v>
      </c>
      <c r="AC439" s="158">
        <f ca="1">IFERROR($T439/_xlfn.XLOOKUP($AE439,$B$16:$B$38,$T$16:$T$38),0)</f>
        <v>0</v>
      </c>
      <c r="AD439" s="164"/>
      <c r="AE439" s="148">
        <f t="shared" si="865"/>
        <v>0</v>
      </c>
      <c r="AF439" s="149"/>
      <c r="AG439" s="150"/>
      <c r="AH439" s="159" t="e">
        <f>S439/$S$351</f>
        <v>#DIV/0!</v>
      </c>
      <c r="AI439" s="166">
        <v>2000</v>
      </c>
      <c r="AK439" s="105"/>
      <c r="AL439" s="105"/>
      <c r="AM439" s="105"/>
      <c r="AN439" s="105"/>
      <c r="AO439" s="105"/>
      <c r="AP439" s="105"/>
      <c r="AQ439" s="105"/>
      <c r="AR439" s="105"/>
    </row>
    <row r="440" spans="1:44" s="49" customFormat="1" ht="40.15" hidden="1" customHeight="1">
      <c r="A440" s="10">
        <f t="shared" ca="1" si="812"/>
        <v>0</v>
      </c>
      <c r="B440" s="153"/>
      <c r="C440" s="154"/>
      <c r="D440" s="154"/>
      <c r="E440" s="161" t="s">
        <v>137</v>
      </c>
      <c r="F440" s="154"/>
      <c r="G440" s="154"/>
      <c r="H440" s="152"/>
      <c r="I440" s="152"/>
      <c r="J440" s="154"/>
      <c r="K440" s="154"/>
      <c r="L440" s="154"/>
      <c r="M440" s="154"/>
      <c r="N440" s="154"/>
      <c r="O440" s="154"/>
      <c r="P440" s="154"/>
      <c r="Q440" s="154"/>
      <c r="R440" s="154"/>
      <c r="S440" s="162"/>
      <c r="T440" s="162"/>
      <c r="U440" s="162"/>
      <c r="V440" s="162"/>
      <c r="W440" s="162"/>
      <c r="X440" s="163"/>
      <c r="Y440" s="163"/>
      <c r="Z440" s="163"/>
      <c r="AA440" s="163"/>
      <c r="AB440" s="163"/>
      <c r="AC440" s="163"/>
      <c r="AD440" s="164"/>
      <c r="AE440" s="148">
        <f>IF(SUM(S441:S442)&gt;0,IFERROR(TRUNC(A440,0),0),0)</f>
        <v>0</v>
      </c>
      <c r="AF440" s="149"/>
      <c r="AG440" s="150"/>
      <c r="AH440" s="159"/>
      <c r="AI440" s="160" t="s">
        <v>138</v>
      </c>
      <c r="AJ440" s="105"/>
      <c r="AK440" s="105"/>
      <c r="AM440" s="105"/>
      <c r="AN440" s="105"/>
      <c r="AO440" s="105"/>
      <c r="AP440" s="105"/>
      <c r="AQ440" s="105"/>
      <c r="AR440" s="105"/>
    </row>
    <row r="441" spans="1:44" s="49" customFormat="1" ht="40.15" hidden="1" customHeight="1">
      <c r="A441" s="152">
        <f t="shared" ca="1" si="812"/>
        <v>0</v>
      </c>
      <c r="B441" s="153">
        <v>95876</v>
      </c>
      <c r="C441" s="154" t="str">
        <f>TEXT(B441,"0")</f>
        <v>95876</v>
      </c>
      <c r="D441" s="154" t="s">
        <v>1416</v>
      </c>
      <c r="E441" s="155" t="s">
        <v>3537</v>
      </c>
      <c r="F441" s="154">
        <f>IF(Dados_DMT!$B$17&lt;30,Dados_DMT!$B$17,30)</f>
        <v>3.5</v>
      </c>
      <c r="G441" s="154" t="s">
        <v>3538</v>
      </c>
      <c r="H441" s="152">
        <v>2.09</v>
      </c>
      <c r="I441" s="152">
        <v>2.1</v>
      </c>
      <c r="J441" s="156"/>
      <c r="K441" s="156">
        <f>ROUND(Bacia_Amortecimento!J105*F441,2)</f>
        <v>0</v>
      </c>
      <c r="L441" s="156">
        <f>IF($K441&gt;$J441,$K441-$J441,0)</f>
        <v>0</v>
      </c>
      <c r="M441" s="156">
        <f>IF($K441&lt;$J441,$J441-$K441,0)</f>
        <v>0</v>
      </c>
      <c r="N441" s="156" t="s">
        <v>83</v>
      </c>
      <c r="O441" s="157" cm="1">
        <f t="array" ref="O441">TRUNC($H441*(1+_xlfn.SWITCH($N441,"BDI 1",$O$6,"BDI 2",$O$7,"BDI 3",$O$8)),2)</f>
        <v>2.52</v>
      </c>
      <c r="P441" s="157" cm="1">
        <f t="array" ref="P441">TRUNC($I441*(1+_xlfn.SWITCH($N441,"BDI 1",$P$6,"BDI 2",$P$7,"BDI 3",$P$8)),2)</f>
        <v>2.66</v>
      </c>
      <c r="Q441" s="157">
        <v>0</v>
      </c>
      <c r="R441" s="157">
        <f>$Q441-($Q441*LICITACAO_DESCONTO)</f>
        <v>0</v>
      </c>
      <c r="S441" s="156">
        <f>TRUNC($K441*$O441,2)</f>
        <v>0</v>
      </c>
      <c r="T441" s="156">
        <f>TRUNC($K441*$P441,2)</f>
        <v>0</v>
      </c>
      <c r="U441" s="156">
        <f>TRUNC($J441*$R441,2)</f>
        <v>0</v>
      </c>
      <c r="V441" s="156">
        <f>TRUNC($K441*$Q441,2)</f>
        <v>0</v>
      </c>
      <c r="W441" s="156">
        <f>TRUNC(V441-U441,2)</f>
        <v>0</v>
      </c>
      <c r="X441" s="158">
        <f>$S441/ORCAMENTO_VALOR_TOTAL_ND</f>
        <v>0</v>
      </c>
      <c r="Y441" s="158">
        <f>$T441/ORCAMENTO_VALOR_TOTAL_DE</f>
        <v>0</v>
      </c>
      <c r="Z441" s="158" cm="1">
        <f t="array" ref="Z441">_xlfn.SWITCH($N441,"BDI 1",$O$6,"BDI 2",$O$7,"BDI 3",$O$8)</f>
        <v>0.20699999999999999</v>
      </c>
      <c r="AA441" s="158" cm="1">
        <f t="array" ref="AA441">_xlfn.SWITCH($N441,"BDI 1",$P$6,"BDI 2",$P$7,"BDI 3",$P$8)</f>
        <v>0.26739999999999997</v>
      </c>
      <c r="AB441" s="158">
        <f ca="1">IFERROR($S441/_xlfn.XLOOKUP($AE441,$B$16:$B$38,$S$16:$S$38),0)</f>
        <v>0</v>
      </c>
      <c r="AC441" s="158">
        <f ca="1">IFERROR($T441/_xlfn.XLOOKUP($AE441,$B$16:$B$38,$T$16:$T$38),0)</f>
        <v>0</v>
      </c>
      <c r="AD441" s="164"/>
      <c r="AE441" s="148">
        <f t="shared" ref="AE441:AE442" si="866">IF(S441&gt;0,IFERROR(TRUNC(A441,0),0),0)</f>
        <v>0</v>
      </c>
      <c r="AF441" s="149"/>
      <c r="AG441" s="150"/>
      <c r="AH441" s="159" t="e">
        <f>S441/$S$351</f>
        <v>#DIV/0!</v>
      </c>
      <c r="AI441" s="165" t="s">
        <v>233</v>
      </c>
      <c r="AJ441" s="105"/>
      <c r="AK441" s="105"/>
      <c r="AM441" s="105"/>
      <c r="AN441" s="105"/>
      <c r="AO441" s="105"/>
      <c r="AP441" s="105"/>
      <c r="AQ441" s="105"/>
      <c r="AR441" s="105"/>
    </row>
    <row r="442" spans="1:44" s="49" customFormat="1" ht="40.15" hidden="1" customHeight="1">
      <c r="A442" s="152">
        <f t="shared" ca="1" si="812"/>
        <v>0</v>
      </c>
      <c r="B442" s="153">
        <v>93593</v>
      </c>
      <c r="C442" s="154" t="str">
        <f>TEXT(B442,"0")</f>
        <v>93593</v>
      </c>
      <c r="D442" s="154" t="s">
        <v>1416</v>
      </c>
      <c r="E442" s="155" t="s">
        <v>3545</v>
      </c>
      <c r="F442" s="154">
        <f>Dados_DMT!$B$17-F441</f>
        <v>0</v>
      </c>
      <c r="G442" s="154" t="s">
        <v>3538</v>
      </c>
      <c r="H442" s="152">
        <v>0.84</v>
      </c>
      <c r="I442" s="152">
        <v>0.85</v>
      </c>
      <c r="J442" s="156"/>
      <c r="K442" s="156">
        <f>ROUND(Bacia_Amortecimento!J105*F442,2)</f>
        <v>0</v>
      </c>
      <c r="L442" s="156">
        <f>IF($K442&gt;$J442,$K442-$J442,0)</f>
        <v>0</v>
      </c>
      <c r="M442" s="156">
        <f>IF($K442&lt;$J442,$J442-$K442,0)</f>
        <v>0</v>
      </c>
      <c r="N442" s="156" t="s">
        <v>83</v>
      </c>
      <c r="O442" s="157" cm="1">
        <f t="array" ref="O442">TRUNC($H442*(1+_xlfn.SWITCH($N442,"BDI 1",$O$6,"BDI 2",$O$7,"BDI 3",$O$8)),2)</f>
        <v>1.01</v>
      </c>
      <c r="P442" s="157" cm="1">
        <f t="array" ref="P442">TRUNC($I442*(1+_xlfn.SWITCH($N442,"BDI 1",$P$6,"BDI 2",$P$7,"BDI 3",$P$8)),2)</f>
        <v>1.07</v>
      </c>
      <c r="Q442" s="157">
        <v>0</v>
      </c>
      <c r="R442" s="157">
        <f>$Q442-($Q442*LICITACAO_DESCONTO)</f>
        <v>0</v>
      </c>
      <c r="S442" s="156">
        <f>TRUNC($K442*$O442,2)</f>
        <v>0</v>
      </c>
      <c r="T442" s="156">
        <f>TRUNC($K442*$P442,2)</f>
        <v>0</v>
      </c>
      <c r="U442" s="156">
        <f>TRUNC($J442*$R442,2)</f>
        <v>0</v>
      </c>
      <c r="V442" s="156">
        <f>TRUNC($K442*$Q442,2)</f>
        <v>0</v>
      </c>
      <c r="W442" s="156">
        <f>TRUNC(V442-U442,2)</f>
        <v>0</v>
      </c>
      <c r="X442" s="158">
        <f>$S442/ORCAMENTO_VALOR_TOTAL_ND</f>
        <v>0</v>
      </c>
      <c r="Y442" s="158">
        <f>$T442/ORCAMENTO_VALOR_TOTAL_DE</f>
        <v>0</v>
      </c>
      <c r="Z442" s="158" cm="1">
        <f t="array" ref="Z442">_xlfn.SWITCH($N442,"BDI 1",$O$6,"BDI 2",$O$7,"BDI 3",$O$8)</f>
        <v>0.20699999999999999</v>
      </c>
      <c r="AA442" s="158" cm="1">
        <f t="array" ref="AA442">_xlfn.SWITCH($N442,"BDI 1",$P$6,"BDI 2",$P$7,"BDI 3",$P$8)</f>
        <v>0.26739999999999997</v>
      </c>
      <c r="AB442" s="158">
        <f ca="1">IFERROR($S442/_xlfn.XLOOKUP($AE442,$B$16:$B$38,$S$16:$S$38),0)</f>
        <v>0</v>
      </c>
      <c r="AC442" s="158">
        <f ca="1">IFERROR($T442/_xlfn.XLOOKUP($AE442,$B$16:$B$38,$T$16:$T$38),0)</f>
        <v>0</v>
      </c>
      <c r="AD442" s="164"/>
      <c r="AE442" s="148">
        <f t="shared" si="866"/>
        <v>0</v>
      </c>
      <c r="AF442" s="149"/>
      <c r="AG442" s="150"/>
      <c r="AH442" s="159" t="e">
        <f>S442/$S$351</f>
        <v>#DIV/0!</v>
      </c>
      <c r="AI442" s="165" t="s">
        <v>233</v>
      </c>
      <c r="AJ442" s="105"/>
      <c r="AK442" s="105"/>
      <c r="AM442" s="105"/>
      <c r="AN442" s="105"/>
      <c r="AO442" s="105"/>
      <c r="AP442" s="105"/>
      <c r="AQ442" s="105"/>
      <c r="AR442" s="105"/>
    </row>
    <row r="443" spans="1:44" s="49" customFormat="1" ht="40.15" hidden="1" customHeight="1">
      <c r="A443" s="10">
        <f t="shared" ca="1" si="812"/>
        <v>0</v>
      </c>
      <c r="B443" s="153"/>
      <c r="C443" s="154"/>
      <c r="D443" s="154"/>
      <c r="E443" s="161" t="s">
        <v>136</v>
      </c>
      <c r="F443" s="154"/>
      <c r="G443" s="154"/>
      <c r="H443" s="152"/>
      <c r="I443" s="152"/>
      <c r="J443" s="154"/>
      <c r="K443" s="154"/>
      <c r="L443" s="154"/>
      <c r="M443" s="154"/>
      <c r="N443" s="154"/>
      <c r="O443" s="154"/>
      <c r="P443" s="154"/>
      <c r="Q443" s="154"/>
      <c r="R443" s="154"/>
      <c r="S443" s="162"/>
      <c r="T443" s="162"/>
      <c r="U443" s="162"/>
      <c r="V443" s="162"/>
      <c r="W443" s="162"/>
      <c r="X443" s="163"/>
      <c r="Y443" s="163"/>
      <c r="Z443" s="163"/>
      <c r="AA443" s="163"/>
      <c r="AB443" s="163"/>
      <c r="AC443" s="163"/>
      <c r="AD443" s="164"/>
      <c r="AE443" s="148">
        <f>IF(SUM(S444:S445)&gt;0,IFERROR(TRUNC(A443,0),0),0)</f>
        <v>0</v>
      </c>
      <c r="AF443" s="149"/>
      <c r="AG443" s="150"/>
      <c r="AH443" s="159"/>
      <c r="AI443" s="160" t="s">
        <v>123</v>
      </c>
      <c r="AJ443" s="105"/>
      <c r="AK443" s="105"/>
      <c r="AM443" s="105"/>
      <c r="AN443" s="105"/>
      <c r="AO443" s="105"/>
      <c r="AP443" s="105"/>
      <c r="AQ443" s="105"/>
      <c r="AR443" s="105"/>
    </row>
    <row r="444" spans="1:44" s="49" customFormat="1" ht="40.15" hidden="1" customHeight="1">
      <c r="A444" s="152">
        <f t="shared" ca="1" si="812"/>
        <v>0</v>
      </c>
      <c r="B444" s="153">
        <v>95876</v>
      </c>
      <c r="C444" s="154" t="str">
        <f>TEXT(B444,"0")</f>
        <v>95876</v>
      </c>
      <c r="D444" s="154" t="s">
        <v>1416</v>
      </c>
      <c r="E444" s="155" t="s">
        <v>3537</v>
      </c>
      <c r="F444" s="154">
        <f>IF(Dados_DMT!$B$16&lt;30,Dados_DMT!$B$16,30)</f>
        <v>0</v>
      </c>
      <c r="G444" s="154" t="s">
        <v>3538</v>
      </c>
      <c r="H444" s="152">
        <v>2.09</v>
      </c>
      <c r="I444" s="152">
        <v>2.1</v>
      </c>
      <c r="J444" s="156"/>
      <c r="K444" s="156">
        <f>ROUND(Bacia_Amortecimento!J106*F444,2)</f>
        <v>0</v>
      </c>
      <c r="L444" s="156">
        <f>IF($K444&gt;$J444,$K444-$J444,0)</f>
        <v>0</v>
      </c>
      <c r="M444" s="156">
        <f>IF($K444&lt;$J444,$J444-$K444,0)</f>
        <v>0</v>
      </c>
      <c r="N444" s="156" t="s">
        <v>83</v>
      </c>
      <c r="O444" s="157" cm="1">
        <f t="array" ref="O444">TRUNC($H444*(1+_xlfn.SWITCH($N444,"BDI 1",$O$6,"BDI 2",$O$7,"BDI 3",$O$8)),2)</f>
        <v>2.52</v>
      </c>
      <c r="P444" s="157" cm="1">
        <f t="array" ref="P444">TRUNC($I444*(1+_xlfn.SWITCH($N444,"BDI 1",$P$6,"BDI 2",$P$7,"BDI 3",$P$8)),2)</f>
        <v>2.66</v>
      </c>
      <c r="Q444" s="157">
        <v>0</v>
      </c>
      <c r="R444" s="157">
        <f>$Q444-($Q444*LICITACAO_DESCONTO)</f>
        <v>0</v>
      </c>
      <c r="S444" s="156">
        <f>TRUNC($K444*$O444,2)</f>
        <v>0</v>
      </c>
      <c r="T444" s="156">
        <f>TRUNC($K444*$P444,2)</f>
        <v>0</v>
      </c>
      <c r="U444" s="156">
        <f>TRUNC($J444*$R444,2)</f>
        <v>0</v>
      </c>
      <c r="V444" s="156">
        <f>TRUNC($K444*$Q444,2)</f>
        <v>0</v>
      </c>
      <c r="W444" s="156">
        <f>TRUNC(V444-U444,2)</f>
        <v>0</v>
      </c>
      <c r="X444" s="158">
        <f>$S444/ORCAMENTO_VALOR_TOTAL_ND</f>
        <v>0</v>
      </c>
      <c r="Y444" s="158">
        <f>$T444/ORCAMENTO_VALOR_TOTAL_DE</f>
        <v>0</v>
      </c>
      <c r="Z444" s="158" cm="1">
        <f t="array" ref="Z444">_xlfn.SWITCH($N444,"BDI 1",$O$6,"BDI 2",$O$7,"BDI 3",$O$8)</f>
        <v>0.20699999999999999</v>
      </c>
      <c r="AA444" s="158" cm="1">
        <f t="array" ref="AA444">_xlfn.SWITCH($N444,"BDI 1",$P$6,"BDI 2",$P$7,"BDI 3",$P$8)</f>
        <v>0.26739999999999997</v>
      </c>
      <c r="AB444" s="158">
        <f ca="1">IFERROR($S444/_xlfn.XLOOKUP($AE444,$B$16:$B$38,$S$16:$S$38),0)</f>
        <v>0</v>
      </c>
      <c r="AC444" s="158">
        <f ca="1">IFERROR($T444/_xlfn.XLOOKUP($AE444,$B$16:$B$38,$T$16:$T$38),0)</f>
        <v>0</v>
      </c>
      <c r="AD444" s="164"/>
      <c r="AE444" s="148">
        <f t="shared" ref="AE444:AE445" si="867">IF(S444&gt;0,IFERROR(TRUNC(A444,0),0),0)</f>
        <v>0</v>
      </c>
      <c r="AF444" s="149"/>
      <c r="AG444" s="150"/>
      <c r="AH444" s="159" t="e">
        <f>S444/$S$351</f>
        <v>#DIV/0!</v>
      </c>
      <c r="AI444" s="166">
        <f>IF(K444=0,0,K444/F444)</f>
        <v>0</v>
      </c>
      <c r="AJ444" s="105"/>
      <c r="AK444" s="105"/>
      <c r="AM444" s="105"/>
      <c r="AN444" s="105"/>
      <c r="AO444" s="105"/>
      <c r="AP444" s="105"/>
      <c r="AQ444" s="105"/>
      <c r="AR444" s="105"/>
    </row>
    <row r="445" spans="1:44" s="49" customFormat="1" ht="40.15" hidden="1" customHeight="1">
      <c r="A445" s="152">
        <f t="shared" ca="1" si="812"/>
        <v>0</v>
      </c>
      <c r="B445" s="153">
        <v>93593</v>
      </c>
      <c r="C445" s="154" t="str">
        <f>TEXT(B445,"0")</f>
        <v>93593</v>
      </c>
      <c r="D445" s="154" t="s">
        <v>1416</v>
      </c>
      <c r="E445" s="155" t="s">
        <v>3545</v>
      </c>
      <c r="F445" s="154">
        <f>Dados_DMT!$B$16-F444</f>
        <v>0</v>
      </c>
      <c r="G445" s="154" t="s">
        <v>3538</v>
      </c>
      <c r="H445" s="152">
        <v>0.84</v>
      </c>
      <c r="I445" s="152">
        <v>0.85</v>
      </c>
      <c r="J445" s="156"/>
      <c r="K445" s="156">
        <f>ROUND(Bacia_Amortecimento!J106*F445,2)</f>
        <v>0</v>
      </c>
      <c r="L445" s="156">
        <f>IF($K445&gt;$J445,$K445-$J445,0)</f>
        <v>0</v>
      </c>
      <c r="M445" s="156">
        <f>IF($K445&lt;$J445,$J445-$K445,0)</f>
        <v>0</v>
      </c>
      <c r="N445" s="156" t="s">
        <v>83</v>
      </c>
      <c r="O445" s="157" cm="1">
        <f t="array" ref="O445">TRUNC($H445*(1+_xlfn.SWITCH($N445,"BDI 1",$O$6,"BDI 2",$O$7,"BDI 3",$O$8)),2)</f>
        <v>1.01</v>
      </c>
      <c r="P445" s="157" cm="1">
        <f t="array" ref="P445">TRUNC($I445*(1+_xlfn.SWITCH($N445,"BDI 1",$P$6,"BDI 2",$P$7,"BDI 3",$P$8)),2)</f>
        <v>1.07</v>
      </c>
      <c r="Q445" s="157">
        <v>0</v>
      </c>
      <c r="R445" s="157">
        <f>$Q445-($Q445*LICITACAO_DESCONTO)</f>
        <v>0</v>
      </c>
      <c r="S445" s="156">
        <f>TRUNC($K445*$O445,2)</f>
        <v>0</v>
      </c>
      <c r="T445" s="156">
        <f>TRUNC($K445*$P445,2)</f>
        <v>0</v>
      </c>
      <c r="U445" s="156">
        <f>TRUNC($J445*$R445,2)</f>
        <v>0</v>
      </c>
      <c r="V445" s="156">
        <f>TRUNC($K445*$Q445,2)</f>
        <v>0</v>
      </c>
      <c r="W445" s="156">
        <f>TRUNC(V445-U445,2)</f>
        <v>0</v>
      </c>
      <c r="X445" s="158">
        <f>$S445/ORCAMENTO_VALOR_TOTAL_ND</f>
        <v>0</v>
      </c>
      <c r="Y445" s="158">
        <f>$T445/ORCAMENTO_VALOR_TOTAL_DE</f>
        <v>0</v>
      </c>
      <c r="Z445" s="158" cm="1">
        <f t="array" ref="Z445">_xlfn.SWITCH($N445,"BDI 1",$O$6,"BDI 2",$O$7,"BDI 3",$O$8)</f>
        <v>0.20699999999999999</v>
      </c>
      <c r="AA445" s="158" cm="1">
        <f t="array" ref="AA445">_xlfn.SWITCH($N445,"BDI 1",$P$6,"BDI 2",$P$7,"BDI 3",$P$8)</f>
        <v>0.26739999999999997</v>
      </c>
      <c r="AB445" s="158">
        <f ca="1">IFERROR($S445/_xlfn.XLOOKUP($AE445,$B$16:$B$38,$S$16:$S$38),0)</f>
        <v>0</v>
      </c>
      <c r="AC445" s="158">
        <f ca="1">IFERROR($T445/_xlfn.XLOOKUP($AE445,$B$16:$B$38,$T$16:$T$38),0)</f>
        <v>0</v>
      </c>
      <c r="AD445" s="164"/>
      <c r="AE445" s="148">
        <f t="shared" si="867"/>
        <v>0</v>
      </c>
      <c r="AF445" s="149"/>
      <c r="AG445" s="150"/>
      <c r="AH445" s="159" t="e">
        <f>S445/$S$351</f>
        <v>#DIV/0!</v>
      </c>
      <c r="AI445" s="166">
        <f>IF(K445=0,0,K445/F445)</f>
        <v>0</v>
      </c>
      <c r="AJ445" s="105"/>
      <c r="AK445" s="105"/>
      <c r="AM445" s="105"/>
      <c r="AN445" s="105"/>
      <c r="AO445" s="105"/>
      <c r="AP445" s="105"/>
      <c r="AQ445" s="105"/>
      <c r="AR445" s="105"/>
    </row>
    <row r="446" spans="1:44" s="49" customFormat="1" ht="40.15" hidden="1" customHeight="1">
      <c r="A446" s="10">
        <f t="shared" ca="1" si="812"/>
        <v>0</v>
      </c>
      <c r="B446" s="153"/>
      <c r="C446" s="154"/>
      <c r="D446" s="154"/>
      <c r="E446" s="161" t="s">
        <v>234</v>
      </c>
      <c r="F446" s="154"/>
      <c r="G446" s="154"/>
      <c r="H446" s="152"/>
      <c r="I446" s="152"/>
      <c r="J446" s="154"/>
      <c r="K446" s="154"/>
      <c r="L446" s="154"/>
      <c r="M446" s="154"/>
      <c r="N446" s="154"/>
      <c r="O446" s="154"/>
      <c r="P446" s="154"/>
      <c r="Q446" s="154"/>
      <c r="R446" s="154"/>
      <c r="S446" s="162"/>
      <c r="T446" s="162"/>
      <c r="U446" s="162"/>
      <c r="V446" s="162"/>
      <c r="W446" s="162"/>
      <c r="X446" s="163"/>
      <c r="Y446" s="163"/>
      <c r="Z446" s="163"/>
      <c r="AA446" s="163"/>
      <c r="AB446" s="163"/>
      <c r="AC446" s="163"/>
      <c r="AD446" s="164"/>
      <c r="AE446" s="148">
        <f>IF(SUM(S447)&gt;0,IFERROR(TRUNC(A446,0),0),0)</f>
        <v>0</v>
      </c>
      <c r="AF446" s="149"/>
      <c r="AG446" s="150"/>
      <c r="AH446" s="159"/>
      <c r="AI446" s="160"/>
      <c r="AJ446" s="105"/>
      <c r="AK446" s="105"/>
      <c r="AM446" s="105"/>
      <c r="AN446" s="105"/>
      <c r="AO446" s="105"/>
      <c r="AP446" s="105"/>
      <c r="AQ446" s="105"/>
      <c r="AR446" s="105"/>
    </row>
    <row r="447" spans="1:44" s="49" customFormat="1" ht="40.15" hidden="1" customHeight="1">
      <c r="A447" s="152">
        <f t="shared" ca="1" si="812"/>
        <v>0</v>
      </c>
      <c r="B447" s="153">
        <v>95876</v>
      </c>
      <c r="C447" s="154" t="str">
        <f>TEXT(B447,"0")</f>
        <v>95876</v>
      </c>
      <c r="D447" s="154" t="s">
        <v>1416</v>
      </c>
      <c r="E447" s="155" t="s">
        <v>3537</v>
      </c>
      <c r="F447" s="154">
        <f>Dados_DMT!$B$15</f>
        <v>1</v>
      </c>
      <c r="G447" s="154" t="s">
        <v>3538</v>
      </c>
      <c r="H447" s="152">
        <v>2.09</v>
      </c>
      <c r="I447" s="152">
        <v>2.1</v>
      </c>
      <c r="J447" s="156"/>
      <c r="K447" s="156">
        <f>ROUND(Bacia_Amortecimento!J107*F447,2)</f>
        <v>0</v>
      </c>
      <c r="L447" s="156">
        <f>IF($K447&gt;$J447,$K447-$J447,0)</f>
        <v>0</v>
      </c>
      <c r="M447" s="156">
        <f>IF($K447&lt;$J447,$J447-$K447,0)</f>
        <v>0</v>
      </c>
      <c r="N447" s="156" t="s">
        <v>83</v>
      </c>
      <c r="O447" s="157" cm="1">
        <f t="array" ref="O447">TRUNC($H447*(1+_xlfn.SWITCH($N447,"BDI 1",$O$6,"BDI 2",$O$7,"BDI 3",$O$8)),2)</f>
        <v>2.52</v>
      </c>
      <c r="P447" s="157" cm="1">
        <f t="array" ref="P447">TRUNC($I447*(1+_xlfn.SWITCH($N447,"BDI 1",$P$6,"BDI 2",$P$7,"BDI 3",$P$8)),2)</f>
        <v>2.66</v>
      </c>
      <c r="Q447" s="157">
        <v>0</v>
      </c>
      <c r="R447" s="157">
        <f>$Q447-($Q447*LICITACAO_DESCONTO)</f>
        <v>0</v>
      </c>
      <c r="S447" s="156">
        <f>TRUNC($K447*$O447,2)</f>
        <v>0</v>
      </c>
      <c r="T447" s="156">
        <f>TRUNC($K447*$P447,2)</f>
        <v>0</v>
      </c>
      <c r="U447" s="156">
        <f>TRUNC($J447*$R447,2)</f>
        <v>0</v>
      </c>
      <c r="V447" s="156">
        <f>TRUNC($K447*$Q447,2)</f>
        <v>0</v>
      </c>
      <c r="W447" s="156">
        <f>TRUNC(V447-U447,2)</f>
        <v>0</v>
      </c>
      <c r="X447" s="158">
        <f>$S447/ORCAMENTO_VALOR_TOTAL_ND</f>
        <v>0</v>
      </c>
      <c r="Y447" s="158">
        <f>$T447/ORCAMENTO_VALOR_TOTAL_DE</f>
        <v>0</v>
      </c>
      <c r="Z447" s="158" cm="1">
        <f t="array" ref="Z447">_xlfn.SWITCH($N447,"BDI 1",$O$6,"BDI 2",$O$7,"BDI 3",$O$8)</f>
        <v>0.20699999999999999</v>
      </c>
      <c r="AA447" s="158" cm="1">
        <f t="array" ref="AA447">_xlfn.SWITCH($N447,"BDI 1",$P$6,"BDI 2",$P$7,"BDI 3",$P$8)</f>
        <v>0.26739999999999997</v>
      </c>
      <c r="AB447" s="158">
        <f ca="1">IFERROR($S447/_xlfn.XLOOKUP($AE447,$B$16:$B$38,$S$16:$S$38),0)</f>
        <v>0</v>
      </c>
      <c r="AC447" s="158">
        <f ca="1">IFERROR($T447/_xlfn.XLOOKUP($AE447,$B$16:$B$38,$T$16:$T$38),0)</f>
        <v>0</v>
      </c>
      <c r="AD447" s="164"/>
      <c r="AE447" s="148">
        <f t="shared" ref="AE447" si="868">IF(S447&gt;0,IFERROR(TRUNC(A447,0),0),0)</f>
        <v>0</v>
      </c>
      <c r="AF447" s="149"/>
      <c r="AG447" s="150"/>
      <c r="AH447" s="159" t="e">
        <f>S447/$S$351</f>
        <v>#DIV/0!</v>
      </c>
      <c r="AI447" s="166">
        <f>IF(K447=0,0,K447/F447)</f>
        <v>0</v>
      </c>
      <c r="AJ447" s="105"/>
      <c r="AK447" s="105"/>
      <c r="AM447" s="105"/>
      <c r="AN447" s="105"/>
      <c r="AO447" s="105"/>
      <c r="AP447" s="105"/>
      <c r="AQ447" s="105"/>
      <c r="AR447" s="105"/>
    </row>
    <row r="448" spans="1:44" s="49" customFormat="1" ht="40.15" hidden="1" customHeight="1">
      <c r="A448" s="10">
        <f t="shared" ca="1" si="812"/>
        <v>0</v>
      </c>
      <c r="B448" s="153"/>
      <c r="C448" s="154"/>
      <c r="D448" s="154"/>
      <c r="E448" s="161" t="s">
        <v>139</v>
      </c>
      <c r="F448" s="154"/>
      <c r="G448" s="154"/>
      <c r="H448" s="152"/>
      <c r="I448" s="152"/>
      <c r="J448" s="154"/>
      <c r="K448" s="154"/>
      <c r="L448" s="154"/>
      <c r="M448" s="154"/>
      <c r="N448" s="154"/>
      <c r="O448" s="154"/>
      <c r="P448" s="154"/>
      <c r="Q448" s="154"/>
      <c r="R448" s="154"/>
      <c r="S448" s="162"/>
      <c r="T448" s="162"/>
      <c r="U448" s="162"/>
      <c r="V448" s="162"/>
      <c r="W448" s="162"/>
      <c r="X448" s="163"/>
      <c r="Y448" s="163"/>
      <c r="Z448" s="163"/>
      <c r="AA448" s="163"/>
      <c r="AB448" s="163"/>
      <c r="AC448" s="163"/>
      <c r="AD448" s="164"/>
      <c r="AE448" s="148">
        <f>IF(SUM(S449:S450)&gt;0,IFERROR(TRUNC(A448,0),0),0)</f>
        <v>0</v>
      </c>
      <c r="AF448" s="149"/>
      <c r="AG448" s="150"/>
      <c r="AH448" s="159"/>
      <c r="AI448" s="160"/>
      <c r="AJ448" s="105"/>
      <c r="AK448" s="105"/>
      <c r="AM448" s="105"/>
      <c r="AN448" s="105"/>
      <c r="AO448" s="105"/>
      <c r="AP448" s="105"/>
      <c r="AQ448" s="105"/>
      <c r="AR448" s="105"/>
    </row>
    <row r="449" spans="1:44" s="49" customFormat="1" ht="40.15" hidden="1" customHeight="1">
      <c r="A449" s="152">
        <f t="shared" ca="1" si="812"/>
        <v>0</v>
      </c>
      <c r="B449" s="153">
        <v>95876</v>
      </c>
      <c r="C449" s="154" t="str">
        <f>TEXT(B449,"0")</f>
        <v>95876</v>
      </c>
      <c r="D449" s="154" t="s">
        <v>1416</v>
      </c>
      <c r="E449" s="155" t="s">
        <v>3537</v>
      </c>
      <c r="F449" s="154">
        <f>IF(Dados_DMT!$B$14&lt;30,Dados_DMT!$B$14,30)</f>
        <v>3.5</v>
      </c>
      <c r="G449" s="154" t="s">
        <v>3538</v>
      </c>
      <c r="H449" s="152">
        <v>2.09</v>
      </c>
      <c r="I449" s="152">
        <v>2.1</v>
      </c>
      <c r="J449" s="156"/>
      <c r="K449" s="156">
        <f>ROUND(Bacia_Amortecimento!J108*F449,2)</f>
        <v>0</v>
      </c>
      <c r="L449" s="156">
        <f>IF($K449&gt;$J449,$K449-$J449,0)</f>
        <v>0</v>
      </c>
      <c r="M449" s="156">
        <f>IF($K449&lt;$J449,$J449-$K449,0)</f>
        <v>0</v>
      </c>
      <c r="N449" s="156" t="s">
        <v>83</v>
      </c>
      <c r="O449" s="157" cm="1">
        <f t="array" ref="O449">TRUNC($H449*(1+_xlfn.SWITCH($N449,"BDI 1",$O$6,"BDI 2",$O$7,"BDI 3",$O$8)),2)</f>
        <v>2.52</v>
      </c>
      <c r="P449" s="157" cm="1">
        <f t="array" ref="P449">TRUNC($I449*(1+_xlfn.SWITCH($N449,"BDI 1",$P$6,"BDI 2",$P$7,"BDI 3",$P$8)),2)</f>
        <v>2.66</v>
      </c>
      <c r="Q449" s="157">
        <v>0</v>
      </c>
      <c r="R449" s="157">
        <f>$Q449-($Q449*LICITACAO_DESCONTO)</f>
        <v>0</v>
      </c>
      <c r="S449" s="156">
        <f>TRUNC($K449*$O449,2)</f>
        <v>0</v>
      </c>
      <c r="T449" s="156">
        <f>TRUNC($K449*$P449,2)</f>
        <v>0</v>
      </c>
      <c r="U449" s="156">
        <f>TRUNC($J449*$R449,2)</f>
        <v>0</v>
      </c>
      <c r="V449" s="156">
        <f>TRUNC($K449*$Q449,2)</f>
        <v>0</v>
      </c>
      <c r="W449" s="156">
        <f>TRUNC(V449-U449,2)</f>
        <v>0</v>
      </c>
      <c r="X449" s="158">
        <f>$S449/ORCAMENTO_VALOR_TOTAL_ND</f>
        <v>0</v>
      </c>
      <c r="Y449" s="158">
        <f>$T449/ORCAMENTO_VALOR_TOTAL_DE</f>
        <v>0</v>
      </c>
      <c r="Z449" s="158" cm="1">
        <f t="array" ref="Z449">_xlfn.SWITCH($N449,"BDI 1",$O$6,"BDI 2",$O$7,"BDI 3",$O$8)</f>
        <v>0.20699999999999999</v>
      </c>
      <c r="AA449" s="158" cm="1">
        <f t="array" ref="AA449">_xlfn.SWITCH($N449,"BDI 1",$P$6,"BDI 2",$P$7,"BDI 3",$P$8)</f>
        <v>0.26739999999999997</v>
      </c>
      <c r="AB449" s="158">
        <f ca="1">IFERROR($S449/_xlfn.XLOOKUP($AE449,$B$16:$B$38,$S$16:$S$38),0)</f>
        <v>0</v>
      </c>
      <c r="AC449" s="158">
        <f ca="1">IFERROR($T449/_xlfn.XLOOKUP($AE449,$B$16:$B$38,$T$16:$T$38),0)</f>
        <v>0</v>
      </c>
      <c r="AD449" s="164"/>
      <c r="AE449" s="148">
        <f t="shared" ref="AE449:AE450" si="869">IF(S449&gt;0,IFERROR(TRUNC(A449,0),0),0)</f>
        <v>0</v>
      </c>
      <c r="AF449" s="149"/>
      <c r="AG449" s="150"/>
      <c r="AH449" s="159" t="e">
        <f>S449/$S$351</f>
        <v>#DIV/0!</v>
      </c>
      <c r="AI449" s="166">
        <f>IF(K449=0,0,K449/F449)</f>
        <v>0</v>
      </c>
      <c r="AJ449" s="105"/>
      <c r="AK449" s="105"/>
      <c r="AM449" s="105"/>
      <c r="AN449" s="105"/>
      <c r="AO449" s="105"/>
      <c r="AP449" s="105"/>
      <c r="AQ449" s="105"/>
      <c r="AR449" s="105"/>
    </row>
    <row r="450" spans="1:44" s="49" customFormat="1" ht="40.15" hidden="1" customHeight="1">
      <c r="A450" s="152">
        <f t="shared" ca="1" si="812"/>
        <v>0</v>
      </c>
      <c r="B450" s="153">
        <v>93593</v>
      </c>
      <c r="C450" s="154" t="str">
        <f>TEXT(B450,"0")</f>
        <v>93593</v>
      </c>
      <c r="D450" s="154" t="s">
        <v>1416</v>
      </c>
      <c r="E450" s="155" t="s">
        <v>3545</v>
      </c>
      <c r="F450" s="154">
        <f>Dados_DMT!$B$14-F449</f>
        <v>0</v>
      </c>
      <c r="G450" s="154" t="s">
        <v>3538</v>
      </c>
      <c r="H450" s="152">
        <v>0.84</v>
      </c>
      <c r="I450" s="152">
        <v>0.85</v>
      </c>
      <c r="J450" s="156"/>
      <c r="K450" s="156">
        <f>ROUND(Bacia_Amortecimento!J108*F450,2)</f>
        <v>0</v>
      </c>
      <c r="L450" s="156">
        <f>IF($K450&gt;$J450,$K450-$J450,0)</f>
        <v>0</v>
      </c>
      <c r="M450" s="156">
        <f>IF($K450&lt;$J450,$J450-$K450,0)</f>
        <v>0</v>
      </c>
      <c r="N450" s="156" t="s">
        <v>83</v>
      </c>
      <c r="O450" s="157" cm="1">
        <f t="array" ref="O450">TRUNC($H450*(1+_xlfn.SWITCH($N450,"BDI 1",$O$6,"BDI 2",$O$7,"BDI 3",$O$8)),2)</f>
        <v>1.01</v>
      </c>
      <c r="P450" s="157" cm="1">
        <f t="array" ref="P450">TRUNC($I450*(1+_xlfn.SWITCH($N450,"BDI 1",$P$6,"BDI 2",$P$7,"BDI 3",$P$8)),2)</f>
        <v>1.07</v>
      </c>
      <c r="Q450" s="157">
        <v>0</v>
      </c>
      <c r="R450" s="157">
        <f>$Q450-($Q450*LICITACAO_DESCONTO)</f>
        <v>0</v>
      </c>
      <c r="S450" s="156">
        <f>TRUNC($K450*$O450,2)</f>
        <v>0</v>
      </c>
      <c r="T450" s="156">
        <f>TRUNC($K450*$P450,2)</f>
        <v>0</v>
      </c>
      <c r="U450" s="156">
        <f>TRUNC($J450*$R450,2)</f>
        <v>0</v>
      </c>
      <c r="V450" s="156">
        <f>TRUNC($K450*$Q450,2)</f>
        <v>0</v>
      </c>
      <c r="W450" s="156">
        <f>TRUNC(V450-U450,2)</f>
        <v>0</v>
      </c>
      <c r="X450" s="158">
        <f>$S450/ORCAMENTO_VALOR_TOTAL_ND</f>
        <v>0</v>
      </c>
      <c r="Y450" s="158">
        <f>$T450/ORCAMENTO_VALOR_TOTAL_DE</f>
        <v>0</v>
      </c>
      <c r="Z450" s="158" cm="1">
        <f t="array" ref="Z450">_xlfn.SWITCH($N450,"BDI 1",$O$6,"BDI 2",$O$7,"BDI 3",$O$8)</f>
        <v>0.20699999999999999</v>
      </c>
      <c r="AA450" s="158" cm="1">
        <f t="array" ref="AA450">_xlfn.SWITCH($N450,"BDI 1",$P$6,"BDI 2",$P$7,"BDI 3",$P$8)</f>
        <v>0.26739999999999997</v>
      </c>
      <c r="AB450" s="158">
        <f ca="1">IFERROR($S450/_xlfn.XLOOKUP($AE450,$B$16:$B$38,$S$16:$S$38),0)</f>
        <v>0</v>
      </c>
      <c r="AC450" s="158">
        <f ca="1">IFERROR($T450/_xlfn.XLOOKUP($AE450,$B$16:$B$38,$T$16:$T$38),0)</f>
        <v>0</v>
      </c>
      <c r="AD450" s="164"/>
      <c r="AE450" s="148">
        <f t="shared" si="869"/>
        <v>0</v>
      </c>
      <c r="AF450" s="149"/>
      <c r="AG450" s="150"/>
      <c r="AH450" s="159" t="e">
        <f>S450/$S$351</f>
        <v>#DIV/0!</v>
      </c>
      <c r="AI450" s="166">
        <f>IF(K450=0,0,K450/F450)</f>
        <v>0</v>
      </c>
      <c r="AJ450" s="105"/>
      <c r="AK450" s="105"/>
      <c r="AM450" s="105"/>
      <c r="AN450" s="105"/>
      <c r="AO450" s="105"/>
      <c r="AP450" s="105"/>
      <c r="AQ450" s="105"/>
      <c r="AR450" s="105"/>
    </row>
    <row r="451" spans="1:44" s="49" customFormat="1" ht="40.15" hidden="1" customHeight="1">
      <c r="A451" s="10">
        <f t="shared" ca="1" si="812"/>
        <v>0</v>
      </c>
      <c r="B451" s="153"/>
      <c r="C451" s="154"/>
      <c r="D451" s="154"/>
      <c r="E451" s="161" t="s">
        <v>103</v>
      </c>
      <c r="F451" s="154"/>
      <c r="G451" s="154"/>
      <c r="H451" s="152"/>
      <c r="I451" s="152"/>
      <c r="J451" s="154"/>
      <c r="K451" s="154"/>
      <c r="L451" s="154"/>
      <c r="M451" s="154"/>
      <c r="N451" s="154"/>
      <c r="O451" s="154"/>
      <c r="P451" s="154"/>
      <c r="Q451" s="154"/>
      <c r="R451" s="154"/>
      <c r="S451" s="162"/>
      <c r="T451" s="162"/>
      <c r="U451" s="162"/>
      <c r="V451" s="162"/>
      <c r="W451" s="162"/>
      <c r="X451" s="163"/>
      <c r="Y451" s="163"/>
      <c r="Z451" s="163"/>
      <c r="AA451" s="163"/>
      <c r="AB451" s="163"/>
      <c r="AC451" s="163"/>
      <c r="AD451" s="164"/>
      <c r="AE451" s="148">
        <f>IF(SUM(S452:S453)&gt;0,IFERROR(TRUNC(A451,0),0),0)</f>
        <v>0</v>
      </c>
      <c r="AF451" s="149"/>
      <c r="AG451" s="150"/>
      <c r="AH451" s="159"/>
      <c r="AI451" s="160"/>
      <c r="AJ451" s="105"/>
      <c r="AK451" s="105"/>
      <c r="AM451" s="105"/>
      <c r="AN451" s="105"/>
      <c r="AO451" s="105"/>
      <c r="AP451" s="105"/>
      <c r="AQ451" s="105"/>
      <c r="AR451" s="105"/>
    </row>
    <row r="452" spans="1:44" s="49" customFormat="1" ht="40.15" hidden="1" customHeight="1">
      <c r="A452" s="152">
        <f t="shared" ca="1" si="812"/>
        <v>0</v>
      </c>
      <c r="B452" s="153">
        <v>95876</v>
      </c>
      <c r="C452" s="154" t="str">
        <f>TEXT(B452,"0")</f>
        <v>95876</v>
      </c>
      <c r="D452" s="154" t="s">
        <v>1416</v>
      </c>
      <c r="E452" s="155" t="s">
        <v>3537</v>
      </c>
      <c r="F452" s="154">
        <f>IF(Dados_DMT!$B$34&lt;30,Dados_DMT!$B$34,30)</f>
        <v>30</v>
      </c>
      <c r="G452" s="154" t="s">
        <v>3538</v>
      </c>
      <c r="H452" s="152">
        <v>2.09</v>
      </c>
      <c r="I452" s="152">
        <v>2.1</v>
      </c>
      <c r="J452" s="156"/>
      <c r="K452" s="156">
        <f>ROUND(Bacia_Amortecimento!J109*F452,2)</f>
        <v>0</v>
      </c>
      <c r="L452" s="156">
        <f>IF($K452&gt;$J452,$K452-$J452,0)</f>
        <v>0</v>
      </c>
      <c r="M452" s="156">
        <f>IF($K452&lt;$J452,$J452-$K452,0)</f>
        <v>0</v>
      </c>
      <c r="N452" s="156" t="s">
        <v>83</v>
      </c>
      <c r="O452" s="157" cm="1">
        <f t="array" ref="O452">TRUNC($H452*(1+_xlfn.SWITCH($N452,"BDI 1",$O$6,"BDI 2",$O$7,"BDI 3",$O$8)),2)</f>
        <v>2.52</v>
      </c>
      <c r="P452" s="157" cm="1">
        <f t="array" ref="P452">TRUNC($I452*(1+_xlfn.SWITCH($N452,"BDI 1",$P$6,"BDI 2",$P$7,"BDI 3",$P$8)),2)</f>
        <v>2.66</v>
      </c>
      <c r="Q452" s="157">
        <v>0</v>
      </c>
      <c r="R452" s="157">
        <f>$Q452-($Q452*LICITACAO_DESCONTO)</f>
        <v>0</v>
      </c>
      <c r="S452" s="156">
        <f>TRUNC($K452*$O452,2)</f>
        <v>0</v>
      </c>
      <c r="T452" s="156">
        <f>TRUNC($K452*$P452,2)</f>
        <v>0</v>
      </c>
      <c r="U452" s="156">
        <f>TRUNC($J452*$R452,2)</f>
        <v>0</v>
      </c>
      <c r="V452" s="156">
        <f>TRUNC($K452*$Q452,2)</f>
        <v>0</v>
      </c>
      <c r="W452" s="156">
        <f>TRUNC(V452-U452,2)</f>
        <v>0</v>
      </c>
      <c r="X452" s="158">
        <f>$S452/ORCAMENTO_VALOR_TOTAL_ND</f>
        <v>0</v>
      </c>
      <c r="Y452" s="158">
        <f>$T452/ORCAMENTO_VALOR_TOTAL_DE</f>
        <v>0</v>
      </c>
      <c r="Z452" s="158" cm="1">
        <f t="array" ref="Z452">_xlfn.SWITCH($N452,"BDI 1",$O$6,"BDI 2",$O$7,"BDI 3",$O$8)</f>
        <v>0.20699999999999999</v>
      </c>
      <c r="AA452" s="158" cm="1">
        <f t="array" ref="AA452">_xlfn.SWITCH($N452,"BDI 1",$P$6,"BDI 2",$P$7,"BDI 3",$P$8)</f>
        <v>0.26739999999999997</v>
      </c>
      <c r="AB452" s="158">
        <f ca="1">IFERROR($S452/_xlfn.XLOOKUP($AE452,$B$16:$B$38,$S$16:$S$38),0)</f>
        <v>0</v>
      </c>
      <c r="AC452" s="158">
        <f ca="1">IFERROR($T452/_xlfn.XLOOKUP($AE452,$B$16:$B$38,$T$16:$T$38),0)</f>
        <v>0</v>
      </c>
      <c r="AD452" s="164"/>
      <c r="AE452" s="148">
        <f t="shared" ref="AE452:AE453" si="870">IF(S452&gt;0,IFERROR(TRUNC(A452,0),0),0)</f>
        <v>0</v>
      </c>
      <c r="AF452" s="149"/>
      <c r="AG452" s="150"/>
      <c r="AH452" s="159" t="e">
        <f>S452/$S$351</f>
        <v>#DIV/0!</v>
      </c>
      <c r="AI452" s="166">
        <f>IF(K452=0,0,K452/F452)</f>
        <v>0</v>
      </c>
      <c r="AJ452" s="105"/>
      <c r="AK452" s="105"/>
      <c r="AM452" s="105"/>
      <c r="AN452" s="105"/>
      <c r="AO452" s="105"/>
      <c r="AP452" s="105"/>
      <c r="AQ452" s="105"/>
      <c r="AR452" s="105"/>
    </row>
    <row r="453" spans="1:44" s="49" customFormat="1" ht="40.15" hidden="1" customHeight="1">
      <c r="A453" s="152">
        <f t="shared" ca="1" si="812"/>
        <v>0</v>
      </c>
      <c r="B453" s="153">
        <v>93593</v>
      </c>
      <c r="C453" s="154" t="str">
        <f>TEXT(B453,"0")</f>
        <v>93593</v>
      </c>
      <c r="D453" s="154" t="s">
        <v>1416</v>
      </c>
      <c r="E453" s="155" t="s">
        <v>3545</v>
      </c>
      <c r="F453" s="154">
        <f>Dados_DMT!$B$34-F452</f>
        <v>80</v>
      </c>
      <c r="G453" s="154" t="s">
        <v>3538</v>
      </c>
      <c r="H453" s="152">
        <v>0.84</v>
      </c>
      <c r="I453" s="152">
        <v>0.85</v>
      </c>
      <c r="J453" s="156"/>
      <c r="K453" s="156">
        <f>ROUND(Bacia_Amortecimento!J109*F453,2)</f>
        <v>0</v>
      </c>
      <c r="L453" s="156">
        <f>IF($K453&gt;$J453,$K453-$J453,0)</f>
        <v>0</v>
      </c>
      <c r="M453" s="156">
        <f>IF($K453&lt;$J453,$J453-$K453,0)</f>
        <v>0</v>
      </c>
      <c r="N453" s="156" t="s">
        <v>83</v>
      </c>
      <c r="O453" s="157" cm="1">
        <f t="array" ref="O453">TRUNC($H453*(1+_xlfn.SWITCH($N453,"BDI 1",$O$6,"BDI 2",$O$7,"BDI 3",$O$8)),2)</f>
        <v>1.01</v>
      </c>
      <c r="P453" s="157" cm="1">
        <f t="array" ref="P453">TRUNC($I453*(1+_xlfn.SWITCH($N453,"BDI 1",$P$6,"BDI 2",$P$7,"BDI 3",$P$8)),2)</f>
        <v>1.07</v>
      </c>
      <c r="Q453" s="157">
        <v>0</v>
      </c>
      <c r="R453" s="157">
        <f>$Q453-($Q453*LICITACAO_DESCONTO)</f>
        <v>0</v>
      </c>
      <c r="S453" s="156">
        <f>TRUNC($K453*$O453,2)</f>
        <v>0</v>
      </c>
      <c r="T453" s="156">
        <f>TRUNC($K453*$P453,2)</f>
        <v>0</v>
      </c>
      <c r="U453" s="156">
        <f>TRUNC($J453*$R453,2)</f>
        <v>0</v>
      </c>
      <c r="V453" s="156">
        <f>TRUNC($K453*$Q453,2)</f>
        <v>0</v>
      </c>
      <c r="W453" s="156">
        <f>TRUNC(V453-U453,2)</f>
        <v>0</v>
      </c>
      <c r="X453" s="158">
        <f>$S453/ORCAMENTO_VALOR_TOTAL_ND</f>
        <v>0</v>
      </c>
      <c r="Y453" s="158">
        <f>$T453/ORCAMENTO_VALOR_TOTAL_DE</f>
        <v>0</v>
      </c>
      <c r="Z453" s="158" cm="1">
        <f t="array" ref="Z453">_xlfn.SWITCH($N453,"BDI 1",$O$6,"BDI 2",$O$7,"BDI 3",$O$8)</f>
        <v>0.20699999999999999</v>
      </c>
      <c r="AA453" s="158" cm="1">
        <f t="array" ref="AA453">_xlfn.SWITCH($N453,"BDI 1",$P$6,"BDI 2",$P$7,"BDI 3",$P$8)</f>
        <v>0.26739999999999997</v>
      </c>
      <c r="AB453" s="158">
        <f ca="1">IFERROR($S453/_xlfn.XLOOKUP($AE453,$B$16:$B$38,$S$16:$S$38),0)</f>
        <v>0</v>
      </c>
      <c r="AC453" s="158">
        <f ca="1">IFERROR($T453/_xlfn.XLOOKUP($AE453,$B$16:$B$38,$T$16:$T$38),0)</f>
        <v>0</v>
      </c>
      <c r="AD453" s="164"/>
      <c r="AE453" s="148">
        <f t="shared" si="870"/>
        <v>0</v>
      </c>
      <c r="AF453" s="149"/>
      <c r="AG453" s="150"/>
      <c r="AH453" s="159" t="e">
        <f>S453/$S$351</f>
        <v>#DIV/0!</v>
      </c>
      <c r="AI453" s="166">
        <f>IF(K453=0,0,K453/F453)</f>
        <v>0</v>
      </c>
      <c r="AJ453" s="105"/>
      <c r="AK453" s="105"/>
      <c r="AM453" s="105"/>
      <c r="AN453" s="105"/>
      <c r="AO453" s="105"/>
      <c r="AP453" s="105"/>
      <c r="AQ453" s="105"/>
      <c r="AR453" s="105"/>
    </row>
    <row r="454" spans="1:44" s="49" customFormat="1" ht="40.15" hidden="1" customHeight="1">
      <c r="A454" s="10">
        <f t="shared" ca="1" si="812"/>
        <v>0</v>
      </c>
      <c r="B454" s="153"/>
      <c r="C454" s="154"/>
      <c r="D454" s="154"/>
      <c r="E454" s="155"/>
      <c r="F454" s="154"/>
      <c r="G454" s="154"/>
      <c r="H454" s="154"/>
      <c r="I454" s="154"/>
      <c r="J454" s="168"/>
      <c r="K454" s="168"/>
      <c r="L454" s="168"/>
      <c r="M454" s="168"/>
      <c r="N454" s="168"/>
      <c r="O454" s="157"/>
      <c r="P454" s="157"/>
      <c r="Q454" s="157"/>
      <c r="R454" s="157"/>
      <c r="S454" s="162"/>
      <c r="T454" s="162"/>
      <c r="U454" s="162"/>
      <c r="V454" s="162"/>
      <c r="W454" s="162"/>
      <c r="X454" s="163"/>
      <c r="Y454" s="163"/>
      <c r="Z454" s="163"/>
      <c r="AA454" s="163"/>
      <c r="AB454" s="163"/>
      <c r="AC454" s="163"/>
      <c r="AD454" s="164"/>
      <c r="AE454" s="148">
        <f>IF(S455&gt;0,IFERROR(TRUNC(A455,0),0),0)</f>
        <v>0</v>
      </c>
      <c r="AF454" s="149"/>
      <c r="AG454" s="150"/>
      <c r="AH454" s="159"/>
      <c r="AI454" s="208"/>
      <c r="AJ454" s="105"/>
      <c r="AK454" s="105"/>
      <c r="AM454" s="105"/>
      <c r="AN454" s="105"/>
      <c r="AO454" s="105"/>
      <c r="AP454" s="105"/>
      <c r="AQ454" s="105"/>
      <c r="AR454" s="105"/>
    </row>
    <row r="455" spans="1:44" s="105" customFormat="1" ht="40.15" hidden="1" customHeight="1">
      <c r="A455" s="169">
        <f ca="1">$B$24</f>
        <v>0</v>
      </c>
      <c r="B455" s="170"/>
      <c r="C455" s="171"/>
      <c r="D455" s="172"/>
      <c r="E455" s="173" t="str">
        <f>$D$24</f>
        <v>DRENAGEM DE LENÇOL FREÁTICO</v>
      </c>
      <c r="F455" s="174">
        <v>0</v>
      </c>
      <c r="G455" s="175"/>
      <c r="H455" s="176" t="s">
        <v>235</v>
      </c>
      <c r="I455" s="176" t="s">
        <v>235</v>
      </c>
      <c r="J455" s="177"/>
      <c r="K455" s="177"/>
      <c r="L455" s="177"/>
      <c r="M455" s="177"/>
      <c r="N455" s="177"/>
      <c r="O455" s="178" t="str">
        <f ca="1">CONCATENATE("SUB-TOTAL ",$A455)</f>
        <v>SUB-TOTAL 0</v>
      </c>
      <c r="P455" s="178" t="e" cm="1">
        <f t="array" ref="P455">TRUNC($I455*(1+_xlfn.SWITCH($N455,"BDI 1",$P$6,"BDI 2",$P$7,"BDI 3",$P$8)),2)</f>
        <v>#VALUE!</v>
      </c>
      <c r="Q455" s="178" t="str">
        <f ca="1">CONCATENATE("SUB-TOTAL ",$A455)</f>
        <v>SUB-TOTAL 0</v>
      </c>
      <c r="R455" s="178"/>
      <c r="S455" s="179">
        <f>SUM(S456:S492)</f>
        <v>0</v>
      </c>
      <c r="T455" s="179">
        <f>SUM(T456:T492)</f>
        <v>0</v>
      </c>
      <c r="U455" s="179">
        <f>SUM(U456:U492)</f>
        <v>0</v>
      </c>
      <c r="V455" s="179">
        <f>SUM(V456:V492)</f>
        <v>0</v>
      </c>
      <c r="W455" s="179">
        <f t="shared" ref="W455:W480" si="871">TRUNC(V455-U455,2)</f>
        <v>0</v>
      </c>
      <c r="X455" s="180">
        <f t="shared" ref="X455" si="872">$S455/ORCAMENTO_VALOR_TOTAL_ND</f>
        <v>0</v>
      </c>
      <c r="Y455" s="180">
        <f t="shared" ref="Y455" si="873">$T455/ORCAMENTO_VALOR_TOTAL_DE</f>
        <v>0</v>
      </c>
      <c r="Z455" s="180"/>
      <c r="AA455" s="180"/>
      <c r="AB455" s="180">
        <f>IFERROR($S455/$S455,0)</f>
        <v>0</v>
      </c>
      <c r="AC455" s="180">
        <f>IFERROR($T455/$T455,0)</f>
        <v>0</v>
      </c>
      <c r="AD455" s="147"/>
      <c r="AE455" s="148">
        <f>IF(S455&gt;0,IFERROR(TRUNC(A455,0),0),0)</f>
        <v>0</v>
      </c>
      <c r="AF455" s="149"/>
      <c r="AG455" s="150"/>
      <c r="AH455" s="151" t="e">
        <f t="shared" ref="AH455:AH480" si="874">S455/$S$455</f>
        <v>#DIV/0!</v>
      </c>
      <c r="AJ455" s="181" t="s">
        <v>105</v>
      </c>
      <c r="AK455" s="181" t="s">
        <v>106</v>
      </c>
    </row>
    <row r="456" spans="1:44" s="49" customFormat="1" ht="49.9" hidden="1" customHeight="1">
      <c r="A456" s="152">
        <f t="shared" ref="A456:A493" ca="1" si="875">IF(K456&gt;0,A455+0.01,A455)</f>
        <v>0</v>
      </c>
      <c r="B456" s="153" t="s">
        <v>236</v>
      </c>
      <c r="C456" s="154" t="str">
        <f t="shared" ref="C456:C480" si="876">TEXT(B456,"0")</f>
        <v>LF/0015</v>
      </c>
      <c r="D456" s="154" t="s">
        <v>3549</v>
      </c>
      <c r="E456" s="155" t="s">
        <v>3854</v>
      </c>
      <c r="F456" s="154"/>
      <c r="G456" s="154" t="s">
        <v>58</v>
      </c>
      <c r="H456" s="152">
        <v>37.86</v>
      </c>
      <c r="I456" s="152">
        <v>37.28</v>
      </c>
      <c r="J456" s="156"/>
      <c r="K456" s="156">
        <f>+Dre_Profunda!I4</f>
        <v>0</v>
      </c>
      <c r="L456" s="156">
        <f t="shared" ref="L456:L480" si="877">IF($K456&gt;$J456,$K456-$J456,0)</f>
        <v>0</v>
      </c>
      <c r="M456" s="156">
        <f t="shared" ref="M456:M480" si="878">IF($K456&lt;$J456,$J456-$K456,0)</f>
        <v>0</v>
      </c>
      <c r="N456" s="156" t="s">
        <v>83</v>
      </c>
      <c r="O456" s="157" cm="1">
        <f t="array" ref="O456">TRUNC($H456*(1+_xlfn.SWITCH($N456,"BDI 1",$O$6,"BDI 2",$O$7,"BDI 3",$O$8)),2)</f>
        <v>45.69</v>
      </c>
      <c r="P456" s="157" cm="1">
        <f t="array" ref="P456">TRUNC($I456*(1+_xlfn.SWITCH($N456,"BDI 1",$P$6,"BDI 2",$P$7,"BDI 3",$P$8)),2)</f>
        <v>47.24</v>
      </c>
      <c r="Q456" s="157">
        <v>0</v>
      </c>
      <c r="R456" s="157">
        <f t="shared" ref="R456:R480" si="879">$Q456-($Q456*LICITACAO_DESCONTO)</f>
        <v>0</v>
      </c>
      <c r="S456" s="156">
        <f t="shared" ref="S456:S480" si="880">TRUNC($K456*$O456,2)</f>
        <v>0</v>
      </c>
      <c r="T456" s="156">
        <f t="shared" ref="T456:T480" si="881">TRUNC($K456*$P456,2)</f>
        <v>0</v>
      </c>
      <c r="U456" s="156">
        <f t="shared" ref="U456:U480" si="882">TRUNC($J456*$R456,2)</f>
        <v>0</v>
      </c>
      <c r="V456" s="156">
        <f t="shared" ref="V456:V480" si="883">TRUNC($K456*$Q456,2)</f>
        <v>0</v>
      </c>
      <c r="W456" s="156">
        <f t="shared" si="871"/>
        <v>0</v>
      </c>
      <c r="X456" s="158">
        <f t="shared" ref="X456" si="884">$S456/ORCAMENTO_VALOR_TOTAL_ND</f>
        <v>0</v>
      </c>
      <c r="Y456" s="158">
        <f t="shared" ref="Y456" si="885">$T456/ORCAMENTO_VALOR_TOTAL_DE</f>
        <v>0</v>
      </c>
      <c r="Z456" s="158" cm="1">
        <f t="array" ref="Z456">_xlfn.SWITCH($N456,"BDI 1",$O$6,"BDI 2",$O$7,"BDI 3",$O$8)</f>
        <v>0.20699999999999999</v>
      </c>
      <c r="AA456" s="158" cm="1">
        <f t="array" ref="AA456">_xlfn.SWITCH($N456,"BDI 1",$P$6,"BDI 2",$P$7,"BDI 3",$P$8)</f>
        <v>0.26739999999999997</v>
      </c>
      <c r="AB456" s="158">
        <f ca="1">IFERROR($S456/_xlfn.XLOOKUP($AE456,$B$16:$B$38,$S$16:$S$38),0)</f>
        <v>0</v>
      </c>
      <c r="AC456" s="158">
        <f ca="1">IFERROR($T456/_xlfn.XLOOKUP($AE456,$B$16:$B$38,$T$16:$T$38),0)</f>
        <v>0</v>
      </c>
      <c r="AD456" s="164"/>
      <c r="AE456" s="148">
        <f>IF(S456&gt;0,IFERROR(TRUNC(A456,0),0),0)</f>
        <v>0</v>
      </c>
      <c r="AF456" s="149"/>
      <c r="AG456" s="150"/>
      <c r="AH456" s="159" t="e">
        <f t="shared" si="874"/>
        <v>#DIV/0!</v>
      </c>
      <c r="AI456" s="160"/>
      <c r="AJ456" s="198">
        <v>173</v>
      </c>
      <c r="AK456" s="183">
        <f>+K456/AJ456</f>
        <v>0</v>
      </c>
      <c r="AM456" s="105"/>
      <c r="AN456" s="105"/>
      <c r="AO456" s="105"/>
      <c r="AP456" s="105"/>
      <c r="AQ456" s="105"/>
      <c r="AR456" s="105"/>
    </row>
    <row r="457" spans="1:44" s="49" customFormat="1" ht="49.9" hidden="1" customHeight="1">
      <c r="A457" s="152">
        <f t="shared" ca="1" si="875"/>
        <v>0</v>
      </c>
      <c r="B457" s="153" t="s">
        <v>237</v>
      </c>
      <c r="C457" s="154" t="str">
        <f t="shared" si="876"/>
        <v>LF/0020</v>
      </c>
      <c r="D457" s="154" t="s">
        <v>3549</v>
      </c>
      <c r="E457" s="155" t="s">
        <v>3855</v>
      </c>
      <c r="F457" s="154"/>
      <c r="G457" s="154" t="s">
        <v>58</v>
      </c>
      <c r="H457" s="152">
        <v>67.41</v>
      </c>
      <c r="I457" s="152">
        <v>66.290000000000006</v>
      </c>
      <c r="J457" s="156"/>
      <c r="K457" s="156">
        <f>+Dre_Profunda!I5</f>
        <v>0</v>
      </c>
      <c r="L457" s="156">
        <f t="shared" si="877"/>
        <v>0</v>
      </c>
      <c r="M457" s="156">
        <f t="shared" si="878"/>
        <v>0</v>
      </c>
      <c r="N457" s="156" t="s">
        <v>83</v>
      </c>
      <c r="O457" s="157" cm="1">
        <f t="array" ref="O457">TRUNC($H457*(1+_xlfn.SWITCH($N457,"BDI 1",$O$6,"BDI 2",$O$7,"BDI 3",$O$8)),2)</f>
        <v>81.36</v>
      </c>
      <c r="P457" s="157" cm="1">
        <f t="array" ref="P457">TRUNC($I457*(1+_xlfn.SWITCH($N457,"BDI 1",$P$6,"BDI 2",$P$7,"BDI 3",$P$8)),2)</f>
        <v>84.01</v>
      </c>
      <c r="Q457" s="157">
        <v>0</v>
      </c>
      <c r="R457" s="157">
        <f t="shared" si="879"/>
        <v>0</v>
      </c>
      <c r="S457" s="156">
        <f t="shared" si="880"/>
        <v>0</v>
      </c>
      <c r="T457" s="156">
        <f t="shared" si="881"/>
        <v>0</v>
      </c>
      <c r="U457" s="156">
        <f t="shared" si="882"/>
        <v>0</v>
      </c>
      <c r="V457" s="156">
        <f t="shared" si="883"/>
        <v>0</v>
      </c>
      <c r="W457" s="156">
        <f t="shared" si="871"/>
        <v>0</v>
      </c>
      <c r="X457" s="158">
        <f t="shared" ref="X457" si="886">$S457/ORCAMENTO_VALOR_TOTAL_ND</f>
        <v>0</v>
      </c>
      <c r="Y457" s="158">
        <f t="shared" ref="Y457" si="887">$T457/ORCAMENTO_VALOR_TOTAL_DE</f>
        <v>0</v>
      </c>
      <c r="Z457" s="158" cm="1">
        <f t="array" ref="Z457">_xlfn.SWITCH($N457,"BDI 1",$O$6,"BDI 2",$O$7,"BDI 3",$O$8)</f>
        <v>0.20699999999999999</v>
      </c>
      <c r="AA457" s="158" cm="1">
        <f t="array" ref="AA457">_xlfn.SWITCH($N457,"BDI 1",$P$6,"BDI 2",$P$7,"BDI 3",$P$8)</f>
        <v>0.26739999999999997</v>
      </c>
      <c r="AB457" s="158">
        <f t="shared" ref="AB457:AB472" ca="1" si="888">IFERROR($S457/_xlfn.XLOOKUP($AE457,$B$16:$B$38,$S$16:$S$38),0)</f>
        <v>0</v>
      </c>
      <c r="AC457" s="158">
        <f t="shared" ref="AC457:AC472" ca="1" si="889">IFERROR($T457/_xlfn.XLOOKUP($AE457,$B$16:$B$38,$T$16:$T$38),0)</f>
        <v>0</v>
      </c>
      <c r="AD457" s="164"/>
      <c r="AE457" s="148">
        <f t="shared" ref="AE457:AE472" si="890">IF(S457&gt;0,IFERROR(TRUNC(A457,0),0),0)</f>
        <v>0</v>
      </c>
      <c r="AF457" s="149"/>
      <c r="AG457" s="150"/>
      <c r="AH457" s="159" t="e">
        <f t="shared" si="874"/>
        <v>#DIV/0!</v>
      </c>
      <c r="AI457" s="160"/>
      <c r="AJ457" s="198">
        <v>132</v>
      </c>
      <c r="AK457" s="183">
        <f>+K457/AJ457</f>
        <v>0</v>
      </c>
      <c r="AM457" s="105"/>
      <c r="AN457" s="105"/>
      <c r="AO457" s="105"/>
      <c r="AP457" s="105"/>
      <c r="AQ457" s="105"/>
      <c r="AR457" s="105"/>
    </row>
    <row r="458" spans="1:44" s="49" customFormat="1" ht="49.9" hidden="1" customHeight="1">
      <c r="A458" s="152">
        <f t="shared" ca="1" si="875"/>
        <v>0</v>
      </c>
      <c r="B458" s="153" t="s">
        <v>238</v>
      </c>
      <c r="C458" s="154" t="str">
        <f t="shared" si="876"/>
        <v>LF/0025</v>
      </c>
      <c r="D458" s="154" t="s">
        <v>3549</v>
      </c>
      <c r="E458" s="155" t="s">
        <v>3856</v>
      </c>
      <c r="F458" s="154"/>
      <c r="G458" s="154" t="s">
        <v>58</v>
      </c>
      <c r="H458" s="152">
        <v>92.01</v>
      </c>
      <c r="I458" s="152">
        <v>90.43</v>
      </c>
      <c r="J458" s="156"/>
      <c r="K458" s="156">
        <f>+Dre_Profunda!I6</f>
        <v>0</v>
      </c>
      <c r="L458" s="156">
        <f t="shared" si="877"/>
        <v>0</v>
      </c>
      <c r="M458" s="156">
        <f t="shared" si="878"/>
        <v>0</v>
      </c>
      <c r="N458" s="156" t="s">
        <v>83</v>
      </c>
      <c r="O458" s="157" cm="1">
        <f t="array" ref="O458">TRUNC($H458*(1+_xlfn.SWITCH($N458,"BDI 1",$O$6,"BDI 2",$O$7,"BDI 3",$O$8)),2)</f>
        <v>111.05</v>
      </c>
      <c r="P458" s="157" cm="1">
        <f t="array" ref="P458">TRUNC($I458*(1+_xlfn.SWITCH($N458,"BDI 1",$P$6,"BDI 2",$P$7,"BDI 3",$P$8)),2)</f>
        <v>114.61</v>
      </c>
      <c r="Q458" s="157">
        <v>0</v>
      </c>
      <c r="R458" s="157">
        <f t="shared" si="879"/>
        <v>0</v>
      </c>
      <c r="S458" s="156">
        <f t="shared" si="880"/>
        <v>0</v>
      </c>
      <c r="T458" s="156">
        <f t="shared" si="881"/>
        <v>0</v>
      </c>
      <c r="U458" s="156">
        <f t="shared" si="882"/>
        <v>0</v>
      </c>
      <c r="V458" s="156">
        <f t="shared" si="883"/>
        <v>0</v>
      </c>
      <c r="W458" s="156">
        <f t="shared" si="871"/>
        <v>0</v>
      </c>
      <c r="X458" s="158">
        <f t="shared" ref="X458" si="891">$S458/ORCAMENTO_VALOR_TOTAL_ND</f>
        <v>0</v>
      </c>
      <c r="Y458" s="158">
        <f t="shared" ref="Y458" si="892">$T458/ORCAMENTO_VALOR_TOTAL_DE</f>
        <v>0</v>
      </c>
      <c r="Z458" s="158" cm="1">
        <f t="array" ref="Z458">_xlfn.SWITCH($N458,"BDI 1",$O$6,"BDI 2",$O$7,"BDI 3",$O$8)</f>
        <v>0.20699999999999999</v>
      </c>
      <c r="AA458" s="158" cm="1">
        <f t="array" ref="AA458">_xlfn.SWITCH($N458,"BDI 1",$P$6,"BDI 2",$P$7,"BDI 3",$P$8)</f>
        <v>0.26739999999999997</v>
      </c>
      <c r="AB458" s="158">
        <f t="shared" ca="1" si="888"/>
        <v>0</v>
      </c>
      <c r="AC458" s="158">
        <f t="shared" ca="1" si="889"/>
        <v>0</v>
      </c>
      <c r="AD458" s="164"/>
      <c r="AE458" s="148">
        <f t="shared" si="890"/>
        <v>0</v>
      </c>
      <c r="AF458" s="149"/>
      <c r="AG458" s="150"/>
      <c r="AH458" s="159" t="e">
        <f t="shared" si="874"/>
        <v>#DIV/0!</v>
      </c>
      <c r="AI458" s="160"/>
      <c r="AJ458" s="198">
        <v>113</v>
      </c>
      <c r="AK458" s="183">
        <f>+K458/AJ458</f>
        <v>0</v>
      </c>
      <c r="AM458" s="105"/>
      <c r="AN458" s="105"/>
      <c r="AO458" s="105"/>
      <c r="AP458" s="105"/>
      <c r="AQ458" s="105"/>
      <c r="AR458" s="105"/>
    </row>
    <row r="459" spans="1:44" s="49" customFormat="1" ht="49.9" hidden="1" customHeight="1">
      <c r="A459" s="152">
        <f t="shared" ca="1" si="875"/>
        <v>0</v>
      </c>
      <c r="B459" s="153" t="s">
        <v>239</v>
      </c>
      <c r="C459" s="154" t="str">
        <f t="shared" si="876"/>
        <v>LF/0030</v>
      </c>
      <c r="D459" s="154" t="s">
        <v>3549</v>
      </c>
      <c r="E459" s="155" t="s">
        <v>3857</v>
      </c>
      <c r="F459" s="154"/>
      <c r="G459" s="154" t="s">
        <v>58</v>
      </c>
      <c r="H459" s="152">
        <v>98.71</v>
      </c>
      <c r="I459" s="152">
        <v>96.12</v>
      </c>
      <c r="J459" s="156"/>
      <c r="K459" s="156">
        <f>+Dre_Profunda!I7</f>
        <v>0</v>
      </c>
      <c r="L459" s="156">
        <f t="shared" si="877"/>
        <v>0</v>
      </c>
      <c r="M459" s="156">
        <f t="shared" si="878"/>
        <v>0</v>
      </c>
      <c r="N459" s="156" t="s">
        <v>83</v>
      </c>
      <c r="O459" s="157" cm="1">
        <f t="array" ref="O459">TRUNC($H459*(1+_xlfn.SWITCH($N459,"BDI 1",$O$6,"BDI 2",$O$7,"BDI 3",$O$8)),2)</f>
        <v>119.14</v>
      </c>
      <c r="P459" s="157" cm="1">
        <f t="array" ref="P459">TRUNC($I459*(1+_xlfn.SWITCH($N459,"BDI 1",$P$6,"BDI 2",$P$7,"BDI 3",$P$8)),2)</f>
        <v>121.82</v>
      </c>
      <c r="Q459" s="157">
        <v>0</v>
      </c>
      <c r="R459" s="157">
        <f t="shared" si="879"/>
        <v>0</v>
      </c>
      <c r="S459" s="156">
        <f t="shared" si="880"/>
        <v>0</v>
      </c>
      <c r="T459" s="156">
        <f t="shared" si="881"/>
        <v>0</v>
      </c>
      <c r="U459" s="156">
        <f t="shared" si="882"/>
        <v>0</v>
      </c>
      <c r="V459" s="156">
        <f t="shared" si="883"/>
        <v>0</v>
      </c>
      <c r="W459" s="156">
        <f t="shared" si="871"/>
        <v>0</v>
      </c>
      <c r="X459" s="158">
        <f t="shared" ref="X459" si="893">$S459/ORCAMENTO_VALOR_TOTAL_ND</f>
        <v>0</v>
      </c>
      <c r="Y459" s="158">
        <f t="shared" ref="Y459" si="894">$T459/ORCAMENTO_VALOR_TOTAL_DE</f>
        <v>0</v>
      </c>
      <c r="Z459" s="158" cm="1">
        <f t="array" ref="Z459">_xlfn.SWITCH($N459,"BDI 1",$O$6,"BDI 2",$O$7,"BDI 3",$O$8)</f>
        <v>0.20699999999999999</v>
      </c>
      <c r="AA459" s="158" cm="1">
        <f t="array" ref="AA459">_xlfn.SWITCH($N459,"BDI 1",$P$6,"BDI 2",$P$7,"BDI 3",$P$8)</f>
        <v>0.26739999999999997</v>
      </c>
      <c r="AB459" s="158">
        <f t="shared" ca="1" si="888"/>
        <v>0</v>
      </c>
      <c r="AC459" s="158">
        <f t="shared" ca="1" si="889"/>
        <v>0</v>
      </c>
      <c r="AD459" s="164"/>
      <c r="AE459" s="148">
        <f t="shared" si="890"/>
        <v>0</v>
      </c>
      <c r="AF459" s="149"/>
      <c r="AG459" s="150"/>
      <c r="AH459" s="159" t="e">
        <f t="shared" si="874"/>
        <v>#DIV/0!</v>
      </c>
      <c r="AI459" s="160"/>
      <c r="AJ459" s="198">
        <v>29.98</v>
      </c>
      <c r="AK459" s="183">
        <f>+K459/AJ459</f>
        <v>0</v>
      </c>
      <c r="AM459" s="105"/>
      <c r="AN459" s="105"/>
      <c r="AO459" s="105"/>
      <c r="AP459" s="105"/>
      <c r="AQ459" s="105"/>
      <c r="AR459" s="105"/>
    </row>
    <row r="460" spans="1:44" s="49" customFormat="1" ht="49.9" hidden="1" customHeight="1">
      <c r="A460" s="152">
        <f t="shared" ca="1" si="875"/>
        <v>0</v>
      </c>
      <c r="B460" s="153" t="s">
        <v>240</v>
      </c>
      <c r="C460" s="154" t="str">
        <f t="shared" si="876"/>
        <v>LF/0035</v>
      </c>
      <c r="D460" s="154" t="s">
        <v>3549</v>
      </c>
      <c r="E460" s="155" t="s">
        <v>3858</v>
      </c>
      <c r="F460" s="154"/>
      <c r="G460" s="154" t="s">
        <v>58</v>
      </c>
      <c r="H460" s="152">
        <v>175.47</v>
      </c>
      <c r="I460" s="152">
        <v>170.97</v>
      </c>
      <c r="J460" s="156"/>
      <c r="K460" s="156">
        <f>+Dre_Profunda!I8</f>
        <v>0</v>
      </c>
      <c r="L460" s="156">
        <f t="shared" si="877"/>
        <v>0</v>
      </c>
      <c r="M460" s="156">
        <f t="shared" si="878"/>
        <v>0</v>
      </c>
      <c r="N460" s="156" t="s">
        <v>83</v>
      </c>
      <c r="O460" s="157" cm="1">
        <f t="array" ref="O460">TRUNC($H460*(1+_xlfn.SWITCH($N460,"BDI 1",$O$6,"BDI 2",$O$7,"BDI 3",$O$8)),2)</f>
        <v>211.79</v>
      </c>
      <c r="P460" s="157" cm="1">
        <f t="array" ref="P460">TRUNC($I460*(1+_xlfn.SWITCH($N460,"BDI 1",$P$6,"BDI 2",$P$7,"BDI 3",$P$8)),2)</f>
        <v>216.68</v>
      </c>
      <c r="Q460" s="157">
        <v>0</v>
      </c>
      <c r="R460" s="157">
        <f t="shared" si="879"/>
        <v>0</v>
      </c>
      <c r="S460" s="156">
        <f t="shared" si="880"/>
        <v>0</v>
      </c>
      <c r="T460" s="156">
        <f t="shared" si="881"/>
        <v>0</v>
      </c>
      <c r="U460" s="156">
        <f t="shared" si="882"/>
        <v>0</v>
      </c>
      <c r="V460" s="156">
        <f t="shared" si="883"/>
        <v>0</v>
      </c>
      <c r="W460" s="156">
        <f t="shared" si="871"/>
        <v>0</v>
      </c>
      <c r="X460" s="158">
        <f t="shared" ref="X460" si="895">$S460/ORCAMENTO_VALOR_TOTAL_ND</f>
        <v>0</v>
      </c>
      <c r="Y460" s="158">
        <f t="shared" ref="Y460" si="896">$T460/ORCAMENTO_VALOR_TOTAL_DE</f>
        <v>0</v>
      </c>
      <c r="Z460" s="158" cm="1">
        <f t="array" ref="Z460">_xlfn.SWITCH($N460,"BDI 1",$O$6,"BDI 2",$O$7,"BDI 3",$O$8)</f>
        <v>0.20699999999999999</v>
      </c>
      <c r="AA460" s="158" cm="1">
        <f t="array" ref="AA460">_xlfn.SWITCH($N460,"BDI 1",$P$6,"BDI 2",$P$7,"BDI 3",$P$8)</f>
        <v>0.26739999999999997</v>
      </c>
      <c r="AB460" s="158">
        <f t="shared" ca="1" si="888"/>
        <v>0</v>
      </c>
      <c r="AC460" s="158">
        <f t="shared" ca="1" si="889"/>
        <v>0</v>
      </c>
      <c r="AD460" s="164"/>
      <c r="AE460" s="148">
        <f t="shared" si="890"/>
        <v>0</v>
      </c>
      <c r="AF460" s="149"/>
      <c r="AG460" s="150"/>
      <c r="AH460" s="159" t="e">
        <f t="shared" si="874"/>
        <v>#DIV/0!</v>
      </c>
      <c r="AI460" s="160"/>
      <c r="AJ460" s="198">
        <v>19.989999999999998</v>
      </c>
      <c r="AK460" s="183">
        <f>+K460/AJ460</f>
        <v>0</v>
      </c>
      <c r="AM460" s="105"/>
      <c r="AN460" s="105"/>
      <c r="AO460" s="105"/>
      <c r="AP460" s="105"/>
      <c r="AQ460" s="105"/>
      <c r="AR460" s="105"/>
    </row>
    <row r="461" spans="1:44" s="49" customFormat="1" ht="40.15" hidden="1" customHeight="1">
      <c r="A461" s="152">
        <f t="shared" ca="1" si="875"/>
        <v>0</v>
      </c>
      <c r="B461" s="153" t="s">
        <v>211</v>
      </c>
      <c r="C461" s="154" t="str">
        <f t="shared" si="876"/>
        <v>LF/0040</v>
      </c>
      <c r="D461" s="154" t="s">
        <v>3549</v>
      </c>
      <c r="E461" s="155" t="s">
        <v>3817</v>
      </c>
      <c r="F461" s="154"/>
      <c r="G461" s="154" t="s">
        <v>58</v>
      </c>
      <c r="H461" s="152">
        <v>32.57</v>
      </c>
      <c r="I461" s="152">
        <v>30.58</v>
      </c>
      <c r="J461" s="156"/>
      <c r="K461" s="156">
        <f>+Dre_Profunda!I18</f>
        <v>0</v>
      </c>
      <c r="L461" s="156">
        <f t="shared" si="877"/>
        <v>0</v>
      </c>
      <c r="M461" s="156">
        <f t="shared" si="878"/>
        <v>0</v>
      </c>
      <c r="N461" s="156" t="s">
        <v>83</v>
      </c>
      <c r="O461" s="157" cm="1">
        <f t="array" ref="O461">TRUNC($H461*(1+_xlfn.SWITCH($N461,"BDI 1",$O$6,"BDI 2",$O$7,"BDI 3",$O$8)),2)</f>
        <v>39.31</v>
      </c>
      <c r="P461" s="157" cm="1">
        <f t="array" ref="P461">TRUNC($I461*(1+_xlfn.SWITCH($N461,"BDI 1",$P$6,"BDI 2",$P$7,"BDI 3",$P$8)),2)</f>
        <v>38.75</v>
      </c>
      <c r="Q461" s="157">
        <v>0</v>
      </c>
      <c r="R461" s="157">
        <f t="shared" si="879"/>
        <v>0</v>
      </c>
      <c r="S461" s="156">
        <f t="shared" si="880"/>
        <v>0</v>
      </c>
      <c r="T461" s="156">
        <f t="shared" si="881"/>
        <v>0</v>
      </c>
      <c r="U461" s="156">
        <f t="shared" si="882"/>
        <v>0</v>
      </c>
      <c r="V461" s="156">
        <f t="shared" si="883"/>
        <v>0</v>
      </c>
      <c r="W461" s="156">
        <f t="shared" si="871"/>
        <v>0</v>
      </c>
      <c r="X461" s="158">
        <f t="shared" ref="X461" si="897">$S461/ORCAMENTO_VALOR_TOTAL_ND</f>
        <v>0</v>
      </c>
      <c r="Y461" s="158">
        <f t="shared" ref="Y461" si="898">$T461/ORCAMENTO_VALOR_TOTAL_DE</f>
        <v>0</v>
      </c>
      <c r="Z461" s="158" cm="1">
        <f t="array" ref="Z461">_xlfn.SWITCH($N461,"BDI 1",$O$6,"BDI 2",$O$7,"BDI 3",$O$8)</f>
        <v>0.20699999999999999</v>
      </c>
      <c r="AA461" s="158" cm="1">
        <f t="array" ref="AA461">_xlfn.SWITCH($N461,"BDI 1",$P$6,"BDI 2",$P$7,"BDI 3",$P$8)</f>
        <v>0.26739999999999997</v>
      </c>
      <c r="AB461" s="158">
        <f t="shared" ca="1" si="888"/>
        <v>0</v>
      </c>
      <c r="AC461" s="158">
        <f t="shared" ca="1" si="889"/>
        <v>0</v>
      </c>
      <c r="AD461" s="164"/>
      <c r="AE461" s="148">
        <f t="shared" si="890"/>
        <v>0</v>
      </c>
      <c r="AF461" s="149"/>
      <c r="AG461" s="150"/>
      <c r="AH461" s="159" t="e">
        <f t="shared" si="874"/>
        <v>#DIV/0!</v>
      </c>
      <c r="AI461" s="160"/>
      <c r="AJ461" s="207"/>
      <c r="AK461" s="183"/>
      <c r="AM461" s="105"/>
      <c r="AN461" s="105"/>
      <c r="AO461" s="105"/>
      <c r="AP461" s="105"/>
      <c r="AQ461" s="105"/>
      <c r="AR461" s="105"/>
    </row>
    <row r="462" spans="1:44" s="49" customFormat="1" ht="40.15" hidden="1" customHeight="1">
      <c r="A462" s="152">
        <f t="shared" ca="1" si="875"/>
        <v>0</v>
      </c>
      <c r="B462" s="153" t="s">
        <v>241</v>
      </c>
      <c r="C462" s="154" t="str">
        <f t="shared" si="876"/>
        <v>LF/0045</v>
      </c>
      <c r="D462" s="154" t="s">
        <v>3549</v>
      </c>
      <c r="E462" s="155" t="s">
        <v>3859</v>
      </c>
      <c r="F462" s="154"/>
      <c r="G462" s="154" t="s">
        <v>58</v>
      </c>
      <c r="H462" s="152">
        <v>45.06</v>
      </c>
      <c r="I462" s="152">
        <v>43.07</v>
      </c>
      <c r="J462" s="156"/>
      <c r="K462" s="156">
        <f>+Dre_Profunda!I19</f>
        <v>0</v>
      </c>
      <c r="L462" s="156">
        <f t="shared" si="877"/>
        <v>0</v>
      </c>
      <c r="M462" s="156">
        <f t="shared" si="878"/>
        <v>0</v>
      </c>
      <c r="N462" s="156" t="s">
        <v>83</v>
      </c>
      <c r="O462" s="157" cm="1">
        <f t="array" ref="O462">TRUNC($H462*(1+_xlfn.SWITCH($N462,"BDI 1",$O$6,"BDI 2",$O$7,"BDI 3",$O$8)),2)</f>
        <v>54.38</v>
      </c>
      <c r="P462" s="157" cm="1">
        <f t="array" ref="P462">TRUNC($I462*(1+_xlfn.SWITCH($N462,"BDI 1",$P$6,"BDI 2",$P$7,"BDI 3",$P$8)),2)</f>
        <v>54.58</v>
      </c>
      <c r="Q462" s="157">
        <v>0</v>
      </c>
      <c r="R462" s="157">
        <f t="shared" si="879"/>
        <v>0</v>
      </c>
      <c r="S462" s="156">
        <f t="shared" si="880"/>
        <v>0</v>
      </c>
      <c r="T462" s="156">
        <f t="shared" si="881"/>
        <v>0</v>
      </c>
      <c r="U462" s="156">
        <f t="shared" si="882"/>
        <v>0</v>
      </c>
      <c r="V462" s="156">
        <f t="shared" si="883"/>
        <v>0</v>
      </c>
      <c r="W462" s="156">
        <f t="shared" si="871"/>
        <v>0</v>
      </c>
      <c r="X462" s="158">
        <f t="shared" ref="X462" si="899">$S462/ORCAMENTO_VALOR_TOTAL_ND</f>
        <v>0</v>
      </c>
      <c r="Y462" s="158">
        <f t="shared" ref="Y462" si="900">$T462/ORCAMENTO_VALOR_TOTAL_DE</f>
        <v>0</v>
      </c>
      <c r="Z462" s="158" cm="1">
        <f t="array" ref="Z462">_xlfn.SWITCH($N462,"BDI 1",$O$6,"BDI 2",$O$7,"BDI 3",$O$8)</f>
        <v>0.20699999999999999</v>
      </c>
      <c r="AA462" s="158" cm="1">
        <f t="array" ref="AA462">_xlfn.SWITCH($N462,"BDI 1",$P$6,"BDI 2",$P$7,"BDI 3",$P$8)</f>
        <v>0.26739999999999997</v>
      </c>
      <c r="AB462" s="158">
        <f t="shared" ca="1" si="888"/>
        <v>0</v>
      </c>
      <c r="AC462" s="158">
        <f t="shared" ca="1" si="889"/>
        <v>0</v>
      </c>
      <c r="AD462" s="164"/>
      <c r="AE462" s="148">
        <f t="shared" si="890"/>
        <v>0</v>
      </c>
      <c r="AF462" s="149"/>
      <c r="AG462" s="150"/>
      <c r="AH462" s="159" t="e">
        <f t="shared" si="874"/>
        <v>#DIV/0!</v>
      </c>
      <c r="AI462" s="160"/>
      <c r="AJ462" s="207"/>
      <c r="AK462" s="183"/>
      <c r="AM462" s="105"/>
      <c r="AN462" s="105"/>
      <c r="AO462" s="105"/>
      <c r="AP462" s="105"/>
      <c r="AQ462" s="105"/>
      <c r="AR462" s="105"/>
    </row>
    <row r="463" spans="1:44" s="49" customFormat="1" ht="40.15" hidden="1" customHeight="1">
      <c r="A463" s="152">
        <f t="shared" ca="1" si="875"/>
        <v>0</v>
      </c>
      <c r="B463" s="153" t="s">
        <v>130</v>
      </c>
      <c r="C463" s="154" t="str">
        <f t="shared" si="876"/>
        <v>DR/0020</v>
      </c>
      <c r="D463" s="154" t="s">
        <v>3549</v>
      </c>
      <c r="E463" s="155" t="s">
        <v>3641</v>
      </c>
      <c r="F463" s="154"/>
      <c r="G463" s="154" t="s">
        <v>464</v>
      </c>
      <c r="H463" s="152">
        <v>471.96</v>
      </c>
      <c r="I463" s="152">
        <v>455.98</v>
      </c>
      <c r="J463" s="156"/>
      <c r="K463" s="156">
        <f>+Dre_Profunda!I29</f>
        <v>0</v>
      </c>
      <c r="L463" s="156">
        <f t="shared" si="877"/>
        <v>0</v>
      </c>
      <c r="M463" s="156">
        <f t="shared" si="878"/>
        <v>0</v>
      </c>
      <c r="N463" s="156" t="s">
        <v>83</v>
      </c>
      <c r="O463" s="157" cm="1">
        <f t="array" ref="O463">TRUNC($H463*(1+_xlfn.SWITCH($N463,"BDI 1",$O$6,"BDI 2",$O$7,"BDI 3",$O$8)),2)</f>
        <v>569.65</v>
      </c>
      <c r="P463" s="157" cm="1">
        <f t="array" ref="P463">TRUNC($I463*(1+_xlfn.SWITCH($N463,"BDI 1",$P$6,"BDI 2",$P$7,"BDI 3",$P$8)),2)</f>
        <v>577.9</v>
      </c>
      <c r="Q463" s="157">
        <v>0</v>
      </c>
      <c r="R463" s="157">
        <f t="shared" si="879"/>
        <v>0</v>
      </c>
      <c r="S463" s="156">
        <f t="shared" si="880"/>
        <v>0</v>
      </c>
      <c r="T463" s="156">
        <f t="shared" si="881"/>
        <v>0</v>
      </c>
      <c r="U463" s="156">
        <f t="shared" si="882"/>
        <v>0</v>
      </c>
      <c r="V463" s="156">
        <f t="shared" si="883"/>
        <v>0</v>
      </c>
      <c r="W463" s="156">
        <f t="shared" si="871"/>
        <v>0</v>
      </c>
      <c r="X463" s="158">
        <f t="shared" ref="X463" si="901">$S463/ORCAMENTO_VALOR_TOTAL_ND</f>
        <v>0</v>
      </c>
      <c r="Y463" s="158">
        <f t="shared" ref="Y463" si="902">$T463/ORCAMENTO_VALOR_TOTAL_DE</f>
        <v>0</v>
      </c>
      <c r="Z463" s="158" cm="1">
        <f t="array" ref="Z463">_xlfn.SWITCH($N463,"BDI 1",$O$6,"BDI 2",$O$7,"BDI 3",$O$8)</f>
        <v>0.20699999999999999</v>
      </c>
      <c r="AA463" s="158" cm="1">
        <f t="array" ref="AA463">_xlfn.SWITCH($N463,"BDI 1",$P$6,"BDI 2",$P$7,"BDI 3",$P$8)</f>
        <v>0.26739999999999997</v>
      </c>
      <c r="AB463" s="158">
        <f t="shared" ca="1" si="888"/>
        <v>0</v>
      </c>
      <c r="AC463" s="158">
        <f t="shared" ca="1" si="889"/>
        <v>0</v>
      </c>
      <c r="AD463" s="164"/>
      <c r="AE463" s="148">
        <f t="shared" si="890"/>
        <v>0</v>
      </c>
      <c r="AF463" s="149"/>
      <c r="AG463" s="150"/>
      <c r="AH463" s="159" t="e">
        <f t="shared" si="874"/>
        <v>#DIV/0!</v>
      </c>
      <c r="AI463" s="160"/>
      <c r="AJ463" s="182">
        <v>3</v>
      </c>
      <c r="AK463" s="183">
        <f>+K463/AJ463</f>
        <v>0</v>
      </c>
      <c r="AM463" s="105"/>
      <c r="AN463" s="105"/>
      <c r="AO463" s="105"/>
      <c r="AP463" s="105"/>
      <c r="AQ463" s="105"/>
      <c r="AR463" s="105"/>
    </row>
    <row r="464" spans="1:44" s="49" customFormat="1" ht="49.9" hidden="1" customHeight="1">
      <c r="A464" s="152">
        <f t="shared" ca="1" si="875"/>
        <v>0</v>
      </c>
      <c r="B464" s="153">
        <v>90099</v>
      </c>
      <c r="C464" s="154" t="str">
        <f t="shared" si="876"/>
        <v>90099</v>
      </c>
      <c r="D464" s="154" t="s">
        <v>1416</v>
      </c>
      <c r="E464" s="155" t="s">
        <v>3620</v>
      </c>
      <c r="F464" s="154"/>
      <c r="G464" s="154" t="s">
        <v>464</v>
      </c>
      <c r="H464" s="152">
        <v>15.75</v>
      </c>
      <c r="I464" s="152">
        <v>15.19</v>
      </c>
      <c r="J464" s="156"/>
      <c r="K464" s="156">
        <f>+Dre_Profunda!I30</f>
        <v>0</v>
      </c>
      <c r="L464" s="156">
        <f t="shared" si="877"/>
        <v>0</v>
      </c>
      <c r="M464" s="156">
        <f t="shared" si="878"/>
        <v>0</v>
      </c>
      <c r="N464" s="156" t="s">
        <v>83</v>
      </c>
      <c r="O464" s="157" cm="1">
        <f t="array" ref="O464">TRUNC($H464*(1+_xlfn.SWITCH($N464,"BDI 1",$O$6,"BDI 2",$O$7,"BDI 3",$O$8)),2)</f>
        <v>19.010000000000002</v>
      </c>
      <c r="P464" s="157" cm="1">
        <f t="array" ref="P464">TRUNC($I464*(1+_xlfn.SWITCH($N464,"BDI 1",$P$6,"BDI 2",$P$7,"BDI 3",$P$8)),2)</f>
        <v>19.25</v>
      </c>
      <c r="Q464" s="157">
        <v>0</v>
      </c>
      <c r="R464" s="157">
        <f t="shared" si="879"/>
        <v>0</v>
      </c>
      <c r="S464" s="156">
        <f t="shared" si="880"/>
        <v>0</v>
      </c>
      <c r="T464" s="156">
        <f t="shared" si="881"/>
        <v>0</v>
      </c>
      <c r="U464" s="156">
        <f t="shared" si="882"/>
        <v>0</v>
      </c>
      <c r="V464" s="156">
        <f t="shared" si="883"/>
        <v>0</v>
      </c>
      <c r="W464" s="156">
        <f t="shared" si="871"/>
        <v>0</v>
      </c>
      <c r="X464" s="158">
        <f t="shared" ref="X464" si="903">$S464/ORCAMENTO_VALOR_TOTAL_ND</f>
        <v>0</v>
      </c>
      <c r="Y464" s="158">
        <f t="shared" ref="Y464" si="904">$T464/ORCAMENTO_VALOR_TOTAL_DE</f>
        <v>0</v>
      </c>
      <c r="Z464" s="158" cm="1">
        <f t="array" ref="Z464">_xlfn.SWITCH($N464,"BDI 1",$O$6,"BDI 2",$O$7,"BDI 3",$O$8)</f>
        <v>0.20699999999999999</v>
      </c>
      <c r="AA464" s="158" cm="1">
        <f t="array" ref="AA464">_xlfn.SWITCH($N464,"BDI 1",$P$6,"BDI 2",$P$7,"BDI 3",$P$8)</f>
        <v>0.26739999999999997</v>
      </c>
      <c r="AB464" s="158">
        <f t="shared" ca="1" si="888"/>
        <v>0</v>
      </c>
      <c r="AC464" s="158">
        <f t="shared" ca="1" si="889"/>
        <v>0</v>
      </c>
      <c r="AD464" s="164"/>
      <c r="AE464" s="148">
        <f t="shared" si="890"/>
        <v>0</v>
      </c>
      <c r="AF464" s="149"/>
      <c r="AG464" s="150"/>
      <c r="AH464" s="159" t="e">
        <f t="shared" si="874"/>
        <v>#DIV/0!</v>
      </c>
      <c r="AI464" s="160">
        <v>0</v>
      </c>
      <c r="AJ464" s="182">
        <v>0</v>
      </c>
      <c r="AK464" s="183" t="e">
        <f>+K464/AJ464</f>
        <v>#DIV/0!</v>
      </c>
      <c r="AM464" s="105"/>
      <c r="AN464" s="105"/>
      <c r="AO464" s="105"/>
      <c r="AP464" s="105"/>
      <c r="AQ464" s="105"/>
      <c r="AR464" s="105"/>
    </row>
    <row r="465" spans="1:44" s="49" customFormat="1" ht="40.15" hidden="1" customHeight="1">
      <c r="A465" s="152">
        <f t="shared" ca="1" si="875"/>
        <v>0</v>
      </c>
      <c r="B465" s="153" t="s">
        <v>242</v>
      </c>
      <c r="C465" s="154" t="str">
        <f t="shared" si="876"/>
        <v>LF/0005</v>
      </c>
      <c r="D465" s="154" t="s">
        <v>3549</v>
      </c>
      <c r="E465" s="155" t="s">
        <v>3860</v>
      </c>
      <c r="F465" s="154"/>
      <c r="G465" s="154" t="s">
        <v>464</v>
      </c>
      <c r="H465" s="152">
        <v>45.53</v>
      </c>
      <c r="I465" s="152">
        <v>43.11</v>
      </c>
      <c r="J465" s="156"/>
      <c r="K465" s="156">
        <f>+Dre_Profunda!I31</f>
        <v>0</v>
      </c>
      <c r="L465" s="156">
        <f t="shared" si="877"/>
        <v>0</v>
      </c>
      <c r="M465" s="156">
        <f t="shared" si="878"/>
        <v>0</v>
      </c>
      <c r="N465" s="156" t="s">
        <v>83</v>
      </c>
      <c r="O465" s="157" cm="1">
        <f t="array" ref="O465">TRUNC($H465*(1+_xlfn.SWITCH($N465,"BDI 1",$O$6,"BDI 2",$O$7,"BDI 3",$O$8)),2)</f>
        <v>54.95</v>
      </c>
      <c r="P465" s="157" cm="1">
        <f t="array" ref="P465">TRUNC($I465*(1+_xlfn.SWITCH($N465,"BDI 1",$P$6,"BDI 2",$P$7,"BDI 3",$P$8)),2)</f>
        <v>54.63</v>
      </c>
      <c r="Q465" s="157">
        <v>0</v>
      </c>
      <c r="R465" s="157">
        <f t="shared" si="879"/>
        <v>0</v>
      </c>
      <c r="S465" s="156">
        <f t="shared" si="880"/>
        <v>0</v>
      </c>
      <c r="T465" s="156">
        <f t="shared" si="881"/>
        <v>0</v>
      </c>
      <c r="U465" s="156">
        <f t="shared" si="882"/>
        <v>0</v>
      </c>
      <c r="V465" s="156">
        <f t="shared" si="883"/>
        <v>0</v>
      </c>
      <c r="W465" s="156">
        <f t="shared" si="871"/>
        <v>0</v>
      </c>
      <c r="X465" s="158">
        <f t="shared" ref="X465" si="905">$S465/ORCAMENTO_VALOR_TOTAL_ND</f>
        <v>0</v>
      </c>
      <c r="Y465" s="158">
        <f t="shared" ref="Y465" si="906">$T465/ORCAMENTO_VALOR_TOTAL_DE</f>
        <v>0</v>
      </c>
      <c r="Z465" s="158" cm="1">
        <f t="array" ref="Z465">_xlfn.SWITCH($N465,"BDI 1",$O$6,"BDI 2",$O$7,"BDI 3",$O$8)</f>
        <v>0.20699999999999999</v>
      </c>
      <c r="AA465" s="158" cm="1">
        <f t="array" ref="AA465">_xlfn.SWITCH($N465,"BDI 1",$P$6,"BDI 2",$P$7,"BDI 3",$P$8)</f>
        <v>0.26739999999999997</v>
      </c>
      <c r="AB465" s="158">
        <f t="shared" ca="1" si="888"/>
        <v>0</v>
      </c>
      <c r="AC465" s="158">
        <f t="shared" ca="1" si="889"/>
        <v>0</v>
      </c>
      <c r="AD465" s="164"/>
      <c r="AE465" s="148">
        <f t="shared" si="890"/>
        <v>0</v>
      </c>
      <c r="AF465" s="149"/>
      <c r="AG465" s="150"/>
      <c r="AH465" s="159" t="e">
        <f t="shared" si="874"/>
        <v>#DIV/0!</v>
      </c>
      <c r="AI465" s="160"/>
      <c r="AJ465" s="182">
        <v>2.33</v>
      </c>
      <c r="AK465" s="183">
        <f>+K465/AJ465</f>
        <v>0</v>
      </c>
      <c r="AM465" s="105"/>
      <c r="AN465" s="105"/>
      <c r="AO465" s="105"/>
      <c r="AP465" s="105"/>
      <c r="AQ465" s="105"/>
      <c r="AR465" s="105"/>
    </row>
    <row r="466" spans="1:44" s="49" customFormat="1" ht="40.15" hidden="1" customHeight="1">
      <c r="A466" s="152">
        <f t="shared" ca="1" si="875"/>
        <v>0</v>
      </c>
      <c r="B466" s="153">
        <v>93382</v>
      </c>
      <c r="C466" s="154" t="str">
        <f t="shared" si="876"/>
        <v>93382</v>
      </c>
      <c r="D466" s="154" t="s">
        <v>1416</v>
      </c>
      <c r="E466" s="155" t="s">
        <v>3861</v>
      </c>
      <c r="F466" s="154"/>
      <c r="G466" s="154" t="s">
        <v>464</v>
      </c>
      <c r="H466" s="152">
        <v>24.46</v>
      </c>
      <c r="I466" s="152">
        <v>22.41</v>
      </c>
      <c r="J466" s="156"/>
      <c r="K466" s="156">
        <f>+Dre_Profunda!I32</f>
        <v>0</v>
      </c>
      <c r="L466" s="156">
        <f t="shared" si="877"/>
        <v>0</v>
      </c>
      <c r="M466" s="156">
        <f t="shared" si="878"/>
        <v>0</v>
      </c>
      <c r="N466" s="156" t="s">
        <v>83</v>
      </c>
      <c r="O466" s="157" cm="1">
        <f t="array" ref="O466">TRUNC($H466*(1+_xlfn.SWITCH($N466,"BDI 1",$O$6,"BDI 2",$O$7,"BDI 3",$O$8)),2)</f>
        <v>29.52</v>
      </c>
      <c r="P466" s="157" cm="1">
        <f t="array" ref="P466">TRUNC($I466*(1+_xlfn.SWITCH($N466,"BDI 1",$P$6,"BDI 2",$P$7,"BDI 3",$P$8)),2)</f>
        <v>28.4</v>
      </c>
      <c r="Q466" s="157">
        <v>0</v>
      </c>
      <c r="R466" s="157">
        <f t="shared" si="879"/>
        <v>0</v>
      </c>
      <c r="S466" s="156">
        <f t="shared" si="880"/>
        <v>0</v>
      </c>
      <c r="T466" s="156">
        <f t="shared" si="881"/>
        <v>0</v>
      </c>
      <c r="U466" s="156">
        <f t="shared" si="882"/>
        <v>0</v>
      </c>
      <c r="V466" s="156">
        <f t="shared" si="883"/>
        <v>0</v>
      </c>
      <c r="W466" s="156">
        <f t="shared" si="871"/>
        <v>0</v>
      </c>
      <c r="X466" s="158">
        <f t="shared" ref="X466" si="907">$S466/ORCAMENTO_VALOR_TOTAL_ND</f>
        <v>0</v>
      </c>
      <c r="Y466" s="158">
        <f t="shared" ref="Y466" si="908">$T466/ORCAMENTO_VALOR_TOTAL_DE</f>
        <v>0</v>
      </c>
      <c r="Z466" s="158" cm="1">
        <f t="array" ref="Z466">_xlfn.SWITCH($N466,"BDI 1",$O$6,"BDI 2",$O$7,"BDI 3",$O$8)</f>
        <v>0.20699999999999999</v>
      </c>
      <c r="AA466" s="158" cm="1">
        <f t="array" ref="AA466">_xlfn.SWITCH($N466,"BDI 1",$P$6,"BDI 2",$P$7,"BDI 3",$P$8)</f>
        <v>0.26739999999999997</v>
      </c>
      <c r="AB466" s="158">
        <f t="shared" ca="1" si="888"/>
        <v>0</v>
      </c>
      <c r="AC466" s="158">
        <f t="shared" ca="1" si="889"/>
        <v>0</v>
      </c>
      <c r="AD466" s="164"/>
      <c r="AE466" s="148">
        <f t="shared" si="890"/>
        <v>0</v>
      </c>
      <c r="AF466" s="149"/>
      <c r="AG466" s="150"/>
      <c r="AH466" s="159" t="e">
        <f t="shared" si="874"/>
        <v>#DIV/0!</v>
      </c>
      <c r="AI466" s="160"/>
      <c r="AJ466" s="105"/>
      <c r="AK466" s="105"/>
      <c r="AM466" s="105"/>
      <c r="AN466" s="105"/>
      <c r="AO466" s="105"/>
      <c r="AP466" s="105"/>
      <c r="AQ466" s="105"/>
      <c r="AR466" s="105"/>
    </row>
    <row r="467" spans="1:44" s="49" customFormat="1" ht="40.15" hidden="1" customHeight="1">
      <c r="A467" s="152">
        <f t="shared" ca="1" si="875"/>
        <v>0</v>
      </c>
      <c r="B467" s="153">
        <v>101570</v>
      </c>
      <c r="C467" s="154" t="str">
        <f t="shared" si="876"/>
        <v>101570</v>
      </c>
      <c r="D467" s="154" t="s">
        <v>1416</v>
      </c>
      <c r="E467" s="155" t="s">
        <v>3642</v>
      </c>
      <c r="F467" s="154"/>
      <c r="G467" s="154" t="s">
        <v>1418</v>
      </c>
      <c r="H467" s="152">
        <v>22.76</v>
      </c>
      <c r="I467" s="152">
        <v>21.39</v>
      </c>
      <c r="J467" s="156"/>
      <c r="K467" s="156">
        <f>+Dre_Profunda!I35</f>
        <v>0</v>
      </c>
      <c r="L467" s="156">
        <f t="shared" si="877"/>
        <v>0</v>
      </c>
      <c r="M467" s="156">
        <f t="shared" si="878"/>
        <v>0</v>
      </c>
      <c r="N467" s="156" t="s">
        <v>83</v>
      </c>
      <c r="O467" s="157" cm="1">
        <f t="array" ref="O467">TRUNC($H467*(1+_xlfn.SWITCH($N467,"BDI 1",$O$6,"BDI 2",$O$7,"BDI 3",$O$8)),2)</f>
        <v>27.47</v>
      </c>
      <c r="P467" s="157" cm="1">
        <f t="array" ref="P467">TRUNC($I467*(1+_xlfn.SWITCH($N467,"BDI 1",$P$6,"BDI 2",$P$7,"BDI 3",$P$8)),2)</f>
        <v>27.1</v>
      </c>
      <c r="Q467" s="157">
        <v>0</v>
      </c>
      <c r="R467" s="157">
        <f t="shared" si="879"/>
        <v>0</v>
      </c>
      <c r="S467" s="156">
        <f t="shared" si="880"/>
        <v>0</v>
      </c>
      <c r="T467" s="156">
        <f t="shared" si="881"/>
        <v>0</v>
      </c>
      <c r="U467" s="156">
        <f t="shared" si="882"/>
        <v>0</v>
      </c>
      <c r="V467" s="156">
        <f t="shared" si="883"/>
        <v>0</v>
      </c>
      <c r="W467" s="156">
        <f t="shared" si="871"/>
        <v>0</v>
      </c>
      <c r="X467" s="158">
        <f t="shared" ref="X467" si="909">$S467/ORCAMENTO_VALOR_TOTAL_ND</f>
        <v>0</v>
      </c>
      <c r="Y467" s="158">
        <f t="shared" ref="Y467" si="910">$T467/ORCAMENTO_VALOR_TOTAL_DE</f>
        <v>0</v>
      </c>
      <c r="Z467" s="158" cm="1">
        <f t="array" ref="Z467">_xlfn.SWITCH($N467,"BDI 1",$O$6,"BDI 2",$O$7,"BDI 3",$O$8)</f>
        <v>0.20699999999999999</v>
      </c>
      <c r="AA467" s="158" cm="1">
        <f t="array" ref="AA467">_xlfn.SWITCH($N467,"BDI 1",$P$6,"BDI 2",$P$7,"BDI 3",$P$8)</f>
        <v>0.26739999999999997</v>
      </c>
      <c r="AB467" s="158">
        <f t="shared" ca="1" si="888"/>
        <v>0</v>
      </c>
      <c r="AC467" s="158">
        <f t="shared" ca="1" si="889"/>
        <v>0</v>
      </c>
      <c r="AD467" s="164"/>
      <c r="AE467" s="148">
        <f t="shared" si="890"/>
        <v>0</v>
      </c>
      <c r="AF467" s="149"/>
      <c r="AG467" s="150"/>
      <c r="AH467" s="159" t="e">
        <f t="shared" si="874"/>
        <v>#DIV/0!</v>
      </c>
      <c r="AI467" s="160">
        <v>0</v>
      </c>
      <c r="AJ467" s="105"/>
      <c r="AK467" s="105"/>
      <c r="AM467" s="105"/>
      <c r="AN467" s="105"/>
      <c r="AO467" s="105"/>
      <c r="AP467" s="105"/>
      <c r="AQ467" s="105"/>
      <c r="AR467" s="105"/>
    </row>
    <row r="468" spans="1:44" s="49" customFormat="1" ht="40.15" hidden="1" customHeight="1">
      <c r="A468" s="152">
        <f t="shared" ca="1" si="875"/>
        <v>0</v>
      </c>
      <c r="B468" s="153">
        <v>102712</v>
      </c>
      <c r="C468" s="154" t="str">
        <f t="shared" si="876"/>
        <v>102712</v>
      </c>
      <c r="D468" s="154" t="s">
        <v>1416</v>
      </c>
      <c r="E468" s="155" t="s">
        <v>3815</v>
      </c>
      <c r="F468" s="154"/>
      <c r="G468" s="154" t="s">
        <v>1418</v>
      </c>
      <c r="H468" s="152">
        <v>12.68</v>
      </c>
      <c r="I468" s="152">
        <v>12.65</v>
      </c>
      <c r="J468" s="156"/>
      <c r="K468" s="156">
        <f>+Dre_Profunda!I37</f>
        <v>0</v>
      </c>
      <c r="L468" s="156">
        <f t="shared" si="877"/>
        <v>0</v>
      </c>
      <c r="M468" s="156">
        <f t="shared" si="878"/>
        <v>0</v>
      </c>
      <c r="N468" s="156" t="s">
        <v>83</v>
      </c>
      <c r="O468" s="157" cm="1">
        <f t="array" ref="O468">TRUNC($H468*(1+_xlfn.SWITCH($N468,"BDI 1",$O$6,"BDI 2",$O$7,"BDI 3",$O$8)),2)</f>
        <v>15.3</v>
      </c>
      <c r="P468" s="157" cm="1">
        <f t="array" ref="P468">TRUNC($I468*(1+_xlfn.SWITCH($N468,"BDI 1",$P$6,"BDI 2",$P$7,"BDI 3",$P$8)),2)</f>
        <v>16.03</v>
      </c>
      <c r="Q468" s="157">
        <v>0</v>
      </c>
      <c r="R468" s="157">
        <f t="shared" si="879"/>
        <v>0</v>
      </c>
      <c r="S468" s="156">
        <f t="shared" si="880"/>
        <v>0</v>
      </c>
      <c r="T468" s="156">
        <f t="shared" si="881"/>
        <v>0</v>
      </c>
      <c r="U468" s="156">
        <f t="shared" si="882"/>
        <v>0</v>
      </c>
      <c r="V468" s="156">
        <f t="shared" si="883"/>
        <v>0</v>
      </c>
      <c r="W468" s="156">
        <f t="shared" si="871"/>
        <v>0</v>
      </c>
      <c r="X468" s="158">
        <f t="shared" ref="X468" si="911">$S468/ORCAMENTO_VALOR_TOTAL_ND</f>
        <v>0</v>
      </c>
      <c r="Y468" s="158">
        <f t="shared" ref="Y468" si="912">$T468/ORCAMENTO_VALOR_TOTAL_DE</f>
        <v>0</v>
      </c>
      <c r="Z468" s="158" cm="1">
        <f t="array" ref="Z468">_xlfn.SWITCH($N468,"BDI 1",$O$6,"BDI 2",$O$7,"BDI 3",$O$8)</f>
        <v>0.20699999999999999</v>
      </c>
      <c r="AA468" s="158" cm="1">
        <f t="array" ref="AA468">_xlfn.SWITCH($N468,"BDI 1",$P$6,"BDI 2",$P$7,"BDI 3",$P$8)</f>
        <v>0.26739999999999997</v>
      </c>
      <c r="AB468" s="158">
        <f t="shared" ca="1" si="888"/>
        <v>0</v>
      </c>
      <c r="AC468" s="158">
        <f t="shared" ca="1" si="889"/>
        <v>0</v>
      </c>
      <c r="AD468" s="164"/>
      <c r="AE468" s="148">
        <f t="shared" si="890"/>
        <v>0</v>
      </c>
      <c r="AF468" s="149"/>
      <c r="AG468" s="150"/>
      <c r="AH468" s="159" t="e">
        <f t="shared" si="874"/>
        <v>#DIV/0!</v>
      </c>
      <c r="AI468" s="160"/>
      <c r="AJ468" s="105"/>
      <c r="AK468" s="105"/>
      <c r="AM468" s="105"/>
      <c r="AN468" s="105"/>
      <c r="AO468" s="105"/>
      <c r="AP468" s="105"/>
      <c r="AQ468" s="105"/>
      <c r="AR468" s="105"/>
    </row>
    <row r="469" spans="1:44" s="49" customFormat="1" ht="40.15" hidden="1" customHeight="1">
      <c r="A469" s="152">
        <f t="shared" ca="1" si="875"/>
        <v>0</v>
      </c>
      <c r="B469" s="153" t="s">
        <v>210</v>
      </c>
      <c r="C469" s="154" t="str">
        <f t="shared" si="876"/>
        <v>LF/0007</v>
      </c>
      <c r="D469" s="154" t="s">
        <v>3549</v>
      </c>
      <c r="E469" s="155" t="s">
        <v>3816</v>
      </c>
      <c r="F469" s="154"/>
      <c r="G469" s="154" t="s">
        <v>464</v>
      </c>
      <c r="H469" s="152">
        <v>182.99</v>
      </c>
      <c r="I469" s="152">
        <v>176.04</v>
      </c>
      <c r="J469" s="156"/>
      <c r="K469" s="156">
        <f>+Dre_Profunda!I43</f>
        <v>0</v>
      </c>
      <c r="L469" s="156">
        <f t="shared" si="877"/>
        <v>0</v>
      </c>
      <c r="M469" s="156">
        <f t="shared" si="878"/>
        <v>0</v>
      </c>
      <c r="N469" s="156" t="s">
        <v>83</v>
      </c>
      <c r="O469" s="157" cm="1">
        <f t="array" ref="O469">TRUNC($H469*(1+_xlfn.SWITCH($N469,"BDI 1",$O$6,"BDI 2",$O$7,"BDI 3",$O$8)),2)</f>
        <v>220.86</v>
      </c>
      <c r="P469" s="157" cm="1">
        <f t="array" ref="P469">TRUNC($I469*(1+_xlfn.SWITCH($N469,"BDI 1",$P$6,"BDI 2",$P$7,"BDI 3",$P$8)),2)</f>
        <v>223.11</v>
      </c>
      <c r="Q469" s="157">
        <v>0</v>
      </c>
      <c r="R469" s="157">
        <f t="shared" si="879"/>
        <v>0</v>
      </c>
      <c r="S469" s="156">
        <f t="shared" si="880"/>
        <v>0</v>
      </c>
      <c r="T469" s="156">
        <f t="shared" si="881"/>
        <v>0</v>
      </c>
      <c r="U469" s="156">
        <f t="shared" si="882"/>
        <v>0</v>
      </c>
      <c r="V469" s="156">
        <f t="shared" si="883"/>
        <v>0</v>
      </c>
      <c r="W469" s="156">
        <f t="shared" si="871"/>
        <v>0</v>
      </c>
      <c r="X469" s="158">
        <f t="shared" ref="X469" si="913">$S469/ORCAMENTO_VALOR_TOTAL_ND</f>
        <v>0</v>
      </c>
      <c r="Y469" s="158">
        <f t="shared" ref="Y469" si="914">$T469/ORCAMENTO_VALOR_TOTAL_DE</f>
        <v>0</v>
      </c>
      <c r="Z469" s="158" cm="1">
        <f t="array" ref="Z469">_xlfn.SWITCH($N469,"BDI 1",$O$6,"BDI 2",$O$7,"BDI 3",$O$8)</f>
        <v>0.20699999999999999</v>
      </c>
      <c r="AA469" s="158" cm="1">
        <f t="array" ref="AA469">_xlfn.SWITCH($N469,"BDI 1",$P$6,"BDI 2",$P$7,"BDI 3",$P$8)</f>
        <v>0.26739999999999997</v>
      </c>
      <c r="AB469" s="158">
        <f t="shared" ca="1" si="888"/>
        <v>0</v>
      </c>
      <c r="AC469" s="158">
        <f t="shared" ca="1" si="889"/>
        <v>0</v>
      </c>
      <c r="AD469" s="164"/>
      <c r="AE469" s="148">
        <f t="shared" si="890"/>
        <v>0</v>
      </c>
      <c r="AF469" s="149"/>
      <c r="AG469" s="150"/>
      <c r="AH469" s="159" t="e">
        <f t="shared" si="874"/>
        <v>#DIV/0!</v>
      </c>
      <c r="AI469" s="160"/>
      <c r="AJ469" s="105"/>
      <c r="AK469" s="105"/>
      <c r="AM469" s="105"/>
      <c r="AN469" s="105"/>
      <c r="AO469" s="105"/>
      <c r="AP469" s="105"/>
      <c r="AQ469" s="105"/>
      <c r="AR469" s="105"/>
    </row>
    <row r="470" spans="1:44" s="49" customFormat="1" ht="49.9" hidden="1" customHeight="1">
      <c r="A470" s="152">
        <f t="shared" ca="1" si="875"/>
        <v>0</v>
      </c>
      <c r="B470" s="153">
        <v>104733</v>
      </c>
      <c r="C470" s="154" t="str">
        <f t="shared" si="876"/>
        <v>104733</v>
      </c>
      <c r="D470" s="154" t="s">
        <v>1416</v>
      </c>
      <c r="E470" s="155" t="s">
        <v>3660</v>
      </c>
      <c r="F470" s="154"/>
      <c r="G470" s="154" t="s">
        <v>464</v>
      </c>
      <c r="H470" s="152">
        <v>18.8</v>
      </c>
      <c r="I470" s="152">
        <v>18.12</v>
      </c>
      <c r="J470" s="156"/>
      <c r="K470" s="156">
        <f>+Dre_Profunda!I45</f>
        <v>0</v>
      </c>
      <c r="L470" s="156">
        <f t="shared" si="877"/>
        <v>0</v>
      </c>
      <c r="M470" s="156">
        <f t="shared" si="878"/>
        <v>0</v>
      </c>
      <c r="N470" s="156" t="s">
        <v>83</v>
      </c>
      <c r="O470" s="157" cm="1">
        <f t="array" ref="O470">TRUNC($H470*(1+_xlfn.SWITCH($N470,"BDI 1",$O$6,"BDI 2",$O$7,"BDI 3",$O$8)),2)</f>
        <v>22.69</v>
      </c>
      <c r="P470" s="157" cm="1">
        <f t="array" ref="P470">TRUNC($I470*(1+_xlfn.SWITCH($N470,"BDI 1",$P$6,"BDI 2",$P$7,"BDI 3",$P$8)),2)</f>
        <v>22.96</v>
      </c>
      <c r="Q470" s="157">
        <v>0</v>
      </c>
      <c r="R470" s="157">
        <f t="shared" si="879"/>
        <v>0</v>
      </c>
      <c r="S470" s="156">
        <f t="shared" si="880"/>
        <v>0</v>
      </c>
      <c r="T470" s="156">
        <f t="shared" si="881"/>
        <v>0</v>
      </c>
      <c r="U470" s="156">
        <f t="shared" si="882"/>
        <v>0</v>
      </c>
      <c r="V470" s="156">
        <f t="shared" si="883"/>
        <v>0</v>
      </c>
      <c r="W470" s="156">
        <f t="shared" si="871"/>
        <v>0</v>
      </c>
      <c r="X470" s="158">
        <f t="shared" ref="X470" si="915">$S470/ORCAMENTO_VALOR_TOTAL_ND</f>
        <v>0</v>
      </c>
      <c r="Y470" s="158">
        <f t="shared" ref="Y470" si="916">$T470/ORCAMENTO_VALOR_TOTAL_DE</f>
        <v>0</v>
      </c>
      <c r="Z470" s="158" cm="1">
        <f t="array" ref="Z470">_xlfn.SWITCH($N470,"BDI 1",$O$6,"BDI 2",$O$7,"BDI 3",$O$8)</f>
        <v>0.20699999999999999</v>
      </c>
      <c r="AA470" s="158" cm="1">
        <f t="array" ref="AA470">_xlfn.SWITCH($N470,"BDI 1",$P$6,"BDI 2",$P$7,"BDI 3",$P$8)</f>
        <v>0.26739999999999997</v>
      </c>
      <c r="AB470" s="158">
        <f t="shared" ca="1" si="888"/>
        <v>0</v>
      </c>
      <c r="AC470" s="158">
        <f t="shared" ca="1" si="889"/>
        <v>0</v>
      </c>
      <c r="AD470" s="164"/>
      <c r="AE470" s="148">
        <f t="shared" si="890"/>
        <v>0</v>
      </c>
      <c r="AF470" s="149"/>
      <c r="AG470" s="150"/>
      <c r="AH470" s="159" t="e">
        <f t="shared" si="874"/>
        <v>#DIV/0!</v>
      </c>
      <c r="AI470" s="160">
        <v>0</v>
      </c>
      <c r="AJ470" s="105"/>
      <c r="AK470" s="105"/>
      <c r="AM470" s="105"/>
      <c r="AN470" s="105"/>
      <c r="AO470" s="105"/>
      <c r="AP470" s="105"/>
      <c r="AQ470" s="105"/>
      <c r="AR470" s="105"/>
    </row>
    <row r="471" spans="1:44" s="49" customFormat="1" ht="49.9" hidden="1" customHeight="1">
      <c r="A471" s="152">
        <f t="shared" ca="1" si="875"/>
        <v>0</v>
      </c>
      <c r="B471" s="153">
        <v>101230</v>
      </c>
      <c r="C471" s="154" t="str">
        <f t="shared" si="876"/>
        <v>101230</v>
      </c>
      <c r="D471" s="154" t="s">
        <v>1416</v>
      </c>
      <c r="E471" s="155" t="s">
        <v>3677</v>
      </c>
      <c r="F471" s="154"/>
      <c r="G471" s="154" t="s">
        <v>464</v>
      </c>
      <c r="H471" s="152">
        <v>10.7</v>
      </c>
      <c r="I471" s="152">
        <v>10.73</v>
      </c>
      <c r="J471" s="156"/>
      <c r="K471" s="156">
        <f>IF(K472=0,Dre_Profunda!I50,0)</f>
        <v>0</v>
      </c>
      <c r="L471" s="156">
        <f t="shared" si="877"/>
        <v>0</v>
      </c>
      <c r="M471" s="156">
        <f t="shared" si="878"/>
        <v>0</v>
      </c>
      <c r="N471" s="156" t="s">
        <v>83</v>
      </c>
      <c r="O471" s="157" cm="1">
        <f t="array" ref="O471">TRUNC($H471*(1+_xlfn.SWITCH($N471,"BDI 1",$O$6,"BDI 2",$O$7,"BDI 3",$O$8)),2)</f>
        <v>12.91</v>
      </c>
      <c r="P471" s="157" cm="1">
        <f t="array" ref="P471">TRUNC($I471*(1+_xlfn.SWITCH($N471,"BDI 1",$P$6,"BDI 2",$P$7,"BDI 3",$P$8)),2)</f>
        <v>13.59</v>
      </c>
      <c r="Q471" s="157">
        <v>0</v>
      </c>
      <c r="R471" s="157">
        <f t="shared" si="879"/>
        <v>0</v>
      </c>
      <c r="S471" s="156">
        <f t="shared" si="880"/>
        <v>0</v>
      </c>
      <c r="T471" s="156">
        <f t="shared" si="881"/>
        <v>0</v>
      </c>
      <c r="U471" s="156">
        <f t="shared" si="882"/>
        <v>0</v>
      </c>
      <c r="V471" s="156">
        <f t="shared" si="883"/>
        <v>0</v>
      </c>
      <c r="W471" s="156">
        <f t="shared" si="871"/>
        <v>0</v>
      </c>
      <c r="X471" s="158">
        <f t="shared" ref="X471" si="917">$S471/ORCAMENTO_VALOR_TOTAL_ND</f>
        <v>0</v>
      </c>
      <c r="Y471" s="158">
        <f t="shared" ref="Y471" si="918">$T471/ORCAMENTO_VALOR_TOTAL_DE</f>
        <v>0</v>
      </c>
      <c r="Z471" s="158" cm="1">
        <f t="array" ref="Z471">_xlfn.SWITCH($N471,"BDI 1",$O$6,"BDI 2",$O$7,"BDI 3",$O$8)</f>
        <v>0.20699999999999999</v>
      </c>
      <c r="AA471" s="158" cm="1">
        <f t="array" ref="AA471">_xlfn.SWITCH($N471,"BDI 1",$P$6,"BDI 2",$P$7,"BDI 3",$P$8)</f>
        <v>0.26739999999999997</v>
      </c>
      <c r="AB471" s="158">
        <f t="shared" ca="1" si="888"/>
        <v>0</v>
      </c>
      <c r="AC471" s="158">
        <f t="shared" ca="1" si="889"/>
        <v>0</v>
      </c>
      <c r="AD471" s="164"/>
      <c r="AE471" s="148">
        <f t="shared" si="890"/>
        <v>0</v>
      </c>
      <c r="AF471" s="149"/>
      <c r="AG471" s="150"/>
      <c r="AH471" s="159" t="e">
        <f t="shared" si="874"/>
        <v>#DIV/0!</v>
      </c>
      <c r="AI471" s="160"/>
      <c r="AJ471" s="105"/>
      <c r="AK471" s="105"/>
      <c r="AM471" s="105"/>
      <c r="AN471" s="105"/>
      <c r="AO471" s="105"/>
      <c r="AP471" s="105"/>
      <c r="AQ471" s="105"/>
      <c r="AR471" s="105"/>
    </row>
    <row r="472" spans="1:44" s="49" customFormat="1" ht="40.15" hidden="1" customHeight="1">
      <c r="A472" s="152">
        <f t="shared" ca="1" si="875"/>
        <v>0</v>
      </c>
      <c r="B472" s="153">
        <v>6079</v>
      </c>
      <c r="C472" s="154" t="str">
        <f t="shared" si="876"/>
        <v>6079</v>
      </c>
      <c r="D472" s="154" t="s">
        <v>3579</v>
      </c>
      <c r="E472" s="155" t="s">
        <v>3679</v>
      </c>
      <c r="F472" s="154"/>
      <c r="G472" s="154" t="s">
        <v>464</v>
      </c>
      <c r="H472" s="152">
        <v>37.35</v>
      </c>
      <c r="I472" s="152">
        <v>37.35</v>
      </c>
      <c r="J472" s="156"/>
      <c r="K472" s="156">
        <f>IF(AI472="COMERCIAL",Dre_Profunda!I50,0)</f>
        <v>0</v>
      </c>
      <c r="L472" s="156">
        <f t="shared" si="877"/>
        <v>0</v>
      </c>
      <c r="M472" s="156">
        <f t="shared" si="878"/>
        <v>0</v>
      </c>
      <c r="N472" s="156" t="s">
        <v>92</v>
      </c>
      <c r="O472" s="157" cm="1">
        <f t="array" ref="O472">TRUNC($H472*(1+_xlfn.SWITCH($N472,"BDI 1",$O$6,"BDI 2",$O$7,"BDI 3",$O$8)),2)</f>
        <v>43.05</v>
      </c>
      <c r="P472" s="157" cm="1">
        <f t="array" ref="P472">TRUNC($I472*(1+_xlfn.SWITCH($N472,"BDI 1",$P$6,"BDI 2",$P$7,"BDI 3",$P$8)),2)</f>
        <v>43.05</v>
      </c>
      <c r="Q472" s="157">
        <v>0</v>
      </c>
      <c r="R472" s="157">
        <f t="shared" si="879"/>
        <v>0</v>
      </c>
      <c r="S472" s="156">
        <f t="shared" si="880"/>
        <v>0</v>
      </c>
      <c r="T472" s="156">
        <f t="shared" si="881"/>
        <v>0</v>
      </c>
      <c r="U472" s="156">
        <f t="shared" si="882"/>
        <v>0</v>
      </c>
      <c r="V472" s="156">
        <f t="shared" si="883"/>
        <v>0</v>
      </c>
      <c r="W472" s="156">
        <f t="shared" si="871"/>
        <v>0</v>
      </c>
      <c r="X472" s="158">
        <f t="shared" ref="X472" si="919">$S472/ORCAMENTO_VALOR_TOTAL_ND</f>
        <v>0</v>
      </c>
      <c r="Y472" s="158">
        <f t="shared" ref="Y472" si="920">$T472/ORCAMENTO_VALOR_TOTAL_DE</f>
        <v>0</v>
      </c>
      <c r="Z472" s="158" cm="1">
        <f t="array" ref="Z472">_xlfn.SWITCH($N472,"BDI 1",$O$6,"BDI 2",$O$7,"BDI 3",$O$8)</f>
        <v>0.1527</v>
      </c>
      <c r="AA472" s="158" cm="1">
        <f t="array" ref="AA472">_xlfn.SWITCH($N472,"BDI 1",$P$6,"BDI 2",$P$7,"BDI 3",$P$8)</f>
        <v>0.1527</v>
      </c>
      <c r="AB472" s="158">
        <f t="shared" ca="1" si="888"/>
        <v>0</v>
      </c>
      <c r="AC472" s="158">
        <f t="shared" ca="1" si="889"/>
        <v>0</v>
      </c>
      <c r="AD472" s="164"/>
      <c r="AE472" s="148">
        <f t="shared" si="890"/>
        <v>0</v>
      </c>
      <c r="AF472" s="149"/>
      <c r="AG472" s="150"/>
      <c r="AH472" s="159" t="e">
        <f t="shared" si="874"/>
        <v>#DIV/0!</v>
      </c>
      <c r="AI472" s="165" t="s">
        <v>243</v>
      </c>
      <c r="AJ472" s="105"/>
      <c r="AK472" s="105"/>
      <c r="AM472" s="105"/>
      <c r="AN472" s="105"/>
      <c r="AO472" s="105"/>
      <c r="AP472" s="105"/>
      <c r="AQ472" s="105"/>
      <c r="AR472" s="105"/>
    </row>
    <row r="473" spans="1:44" s="49" customFormat="1" ht="40.15" hidden="1" customHeight="1">
      <c r="A473" s="152">
        <f t="shared" ca="1" si="875"/>
        <v>0</v>
      </c>
      <c r="B473" s="153" t="s">
        <v>127</v>
      </c>
      <c r="C473" s="154" t="str">
        <f t="shared" si="876"/>
        <v>DR/0050</v>
      </c>
      <c r="D473" s="154" t="s">
        <v>3549</v>
      </c>
      <c r="E473" s="155" t="s">
        <v>3616</v>
      </c>
      <c r="F473" s="154"/>
      <c r="G473" s="154" t="s">
        <v>3617</v>
      </c>
      <c r="H473" s="152">
        <v>13.36</v>
      </c>
      <c r="I473" s="152">
        <v>13.22</v>
      </c>
      <c r="J473" s="156"/>
      <c r="K473" s="156">
        <f>+Dre_Profunda!I52</f>
        <v>0</v>
      </c>
      <c r="L473" s="156">
        <f t="shared" si="877"/>
        <v>0</v>
      </c>
      <c r="M473" s="156">
        <f t="shared" si="878"/>
        <v>0</v>
      </c>
      <c r="N473" s="156" t="s">
        <v>83</v>
      </c>
      <c r="O473" s="157" cm="1">
        <f t="array" ref="O473">TRUNC($H473*(1+_xlfn.SWITCH($N473,"BDI 1",$O$6,"BDI 2",$O$7,"BDI 3",$O$8)),2)</f>
        <v>16.12</v>
      </c>
      <c r="P473" s="157" cm="1">
        <f t="array" ref="P473">TRUNC($I473*(1+_xlfn.SWITCH($N473,"BDI 1",$P$6,"BDI 2",$P$7,"BDI 3",$P$8)),2)</f>
        <v>16.75</v>
      </c>
      <c r="Q473" s="157">
        <v>0</v>
      </c>
      <c r="R473" s="157">
        <f t="shared" si="879"/>
        <v>0</v>
      </c>
      <c r="S473" s="156">
        <f t="shared" si="880"/>
        <v>0</v>
      </c>
      <c r="T473" s="156">
        <f t="shared" si="881"/>
        <v>0</v>
      </c>
      <c r="U473" s="156">
        <f t="shared" si="882"/>
        <v>0</v>
      </c>
      <c r="V473" s="156">
        <f t="shared" si="883"/>
        <v>0</v>
      </c>
      <c r="W473" s="156">
        <f t="shared" si="871"/>
        <v>0</v>
      </c>
      <c r="X473" s="158">
        <f t="shared" ref="X473" si="921">$S473/ORCAMENTO_VALOR_TOTAL_ND</f>
        <v>0</v>
      </c>
      <c r="Y473" s="158">
        <f t="shared" ref="Y473" si="922">$T473/ORCAMENTO_VALOR_TOTAL_DE</f>
        <v>0</v>
      </c>
      <c r="Z473" s="158" cm="1">
        <f t="array" ref="Z473">_xlfn.SWITCH($N473,"BDI 1",$O$6,"BDI 2",$O$7,"BDI 3",$O$8)</f>
        <v>0.20699999999999999</v>
      </c>
      <c r="AA473" s="158" cm="1">
        <f t="array" ref="AA473">_xlfn.SWITCH($N473,"BDI 1",$P$6,"BDI 2",$P$7,"BDI 3",$P$8)</f>
        <v>0.26739999999999997</v>
      </c>
      <c r="AB473" s="158">
        <f ca="1">IFERROR($S473/_xlfn.XLOOKUP($AE473,$B$16:$B$38,$S$16:$S$38),0)</f>
        <v>0</v>
      </c>
      <c r="AC473" s="158">
        <f ca="1">IFERROR($T473/_xlfn.XLOOKUP($AE473,$B$16:$B$38,$T$16:$T$38),0)</f>
        <v>0</v>
      </c>
      <c r="AD473" s="164"/>
      <c r="AE473" s="148">
        <f>IF(S473&gt;0,IFERROR(TRUNC(A473,0),0),0)</f>
        <v>0</v>
      </c>
      <c r="AF473" s="149"/>
      <c r="AG473" s="150"/>
      <c r="AH473" s="159" t="e">
        <f t="shared" si="874"/>
        <v>#DIV/0!</v>
      </c>
      <c r="AI473" s="160"/>
      <c r="AJ473" s="105"/>
      <c r="AK473" s="105"/>
      <c r="AM473" s="105"/>
      <c r="AN473" s="105"/>
      <c r="AO473" s="105"/>
      <c r="AP473" s="105"/>
      <c r="AQ473" s="105"/>
      <c r="AR473" s="105"/>
    </row>
    <row r="474" spans="1:44" s="49" customFormat="1" ht="40.15" hidden="1" customHeight="1">
      <c r="A474" s="152">
        <f t="shared" ca="1" si="875"/>
        <v>0</v>
      </c>
      <c r="B474" s="153" t="s">
        <v>133</v>
      </c>
      <c r="C474" s="154" t="str">
        <f t="shared" si="876"/>
        <v>DR/0032</v>
      </c>
      <c r="D474" s="154" t="s">
        <v>3549</v>
      </c>
      <c r="E474" s="155" t="s">
        <v>3659</v>
      </c>
      <c r="F474" s="154"/>
      <c r="G474" s="154" t="s">
        <v>464</v>
      </c>
      <c r="H474" s="152">
        <v>258.72000000000003</v>
      </c>
      <c r="I474" s="152">
        <v>246.98</v>
      </c>
      <c r="J474" s="156"/>
      <c r="K474" s="156">
        <f>+Dre_Profunda!I56</f>
        <v>0</v>
      </c>
      <c r="L474" s="156">
        <f t="shared" si="877"/>
        <v>0</v>
      </c>
      <c r="M474" s="156">
        <f t="shared" si="878"/>
        <v>0</v>
      </c>
      <c r="N474" s="156" t="s">
        <v>83</v>
      </c>
      <c r="O474" s="157" cm="1">
        <f t="array" ref="O474">TRUNC($H474*(1+_xlfn.SWITCH($N474,"BDI 1",$O$6,"BDI 2",$O$7,"BDI 3",$O$8)),2)</f>
        <v>312.27</v>
      </c>
      <c r="P474" s="157" cm="1">
        <f t="array" ref="P474">TRUNC($I474*(1+_xlfn.SWITCH($N474,"BDI 1",$P$6,"BDI 2",$P$7,"BDI 3",$P$8)),2)</f>
        <v>313.02</v>
      </c>
      <c r="Q474" s="157">
        <v>0</v>
      </c>
      <c r="R474" s="157">
        <f t="shared" si="879"/>
        <v>0</v>
      </c>
      <c r="S474" s="156">
        <f t="shared" si="880"/>
        <v>0</v>
      </c>
      <c r="T474" s="156">
        <f t="shared" si="881"/>
        <v>0</v>
      </c>
      <c r="U474" s="156">
        <f t="shared" si="882"/>
        <v>0</v>
      </c>
      <c r="V474" s="156">
        <f t="shared" si="883"/>
        <v>0</v>
      </c>
      <c r="W474" s="156">
        <f t="shared" si="871"/>
        <v>0</v>
      </c>
      <c r="X474" s="158">
        <f t="shared" ref="X474" si="923">$S474/ORCAMENTO_VALOR_TOTAL_ND</f>
        <v>0</v>
      </c>
      <c r="Y474" s="158">
        <f t="shared" ref="Y474" si="924">$T474/ORCAMENTO_VALOR_TOTAL_DE</f>
        <v>0</v>
      </c>
      <c r="Z474" s="158" cm="1">
        <f t="array" ref="Z474">_xlfn.SWITCH($N474,"BDI 1",$O$6,"BDI 2",$O$7,"BDI 3",$O$8)</f>
        <v>0.20699999999999999</v>
      </c>
      <c r="AA474" s="158" cm="1">
        <f t="array" ref="AA474">_xlfn.SWITCH($N474,"BDI 1",$P$6,"BDI 2",$P$7,"BDI 3",$P$8)</f>
        <v>0.26739999999999997</v>
      </c>
      <c r="AB474" s="158">
        <f t="shared" ref="AB474:AB480" ca="1" si="925">IFERROR($S474/_xlfn.XLOOKUP($AE474,$B$16:$B$38,$S$16:$S$38),0)</f>
        <v>0</v>
      </c>
      <c r="AC474" s="158">
        <f t="shared" ref="AC474:AC480" ca="1" si="926">IFERROR($T474/_xlfn.XLOOKUP($AE474,$B$16:$B$38,$T$16:$T$38),0)</f>
        <v>0</v>
      </c>
      <c r="AD474" s="164"/>
      <c r="AE474" s="148">
        <f t="shared" ref="AE474:AE480" si="927">IF(S474&gt;0,IFERROR(TRUNC(A474,0),0),0)</f>
        <v>0</v>
      </c>
      <c r="AF474" s="149"/>
      <c r="AG474" s="150"/>
      <c r="AH474" s="159" t="e">
        <f t="shared" si="874"/>
        <v>#DIV/0!</v>
      </c>
      <c r="AI474" s="160"/>
      <c r="AJ474" s="105"/>
      <c r="AK474" s="105"/>
      <c r="AM474" s="105"/>
      <c r="AN474" s="105"/>
      <c r="AO474" s="105"/>
      <c r="AP474" s="105"/>
      <c r="AQ474" s="105"/>
      <c r="AR474" s="105"/>
    </row>
    <row r="475" spans="1:44" s="49" customFormat="1" ht="49.9" hidden="1" customHeight="1">
      <c r="A475" s="152">
        <f t="shared" ca="1" si="875"/>
        <v>0</v>
      </c>
      <c r="B475" s="153" t="s">
        <v>162</v>
      </c>
      <c r="C475" s="154" t="str">
        <f t="shared" si="876"/>
        <v>DR/0166</v>
      </c>
      <c r="D475" s="154" t="s">
        <v>3549</v>
      </c>
      <c r="E475" s="155" t="s">
        <v>3746</v>
      </c>
      <c r="F475" s="154"/>
      <c r="G475" s="154" t="s">
        <v>1412</v>
      </c>
      <c r="H475" s="152">
        <v>4379.01</v>
      </c>
      <c r="I475" s="152">
        <v>4170.59</v>
      </c>
      <c r="J475" s="156"/>
      <c r="K475" s="156">
        <f>+Dre_Profunda!I60</f>
        <v>0</v>
      </c>
      <c r="L475" s="156">
        <f t="shared" si="877"/>
        <v>0</v>
      </c>
      <c r="M475" s="156">
        <f t="shared" si="878"/>
        <v>0</v>
      </c>
      <c r="N475" s="156" t="s">
        <v>83</v>
      </c>
      <c r="O475" s="157" cm="1">
        <f t="array" ref="O475">TRUNC($H475*(1+_xlfn.SWITCH($N475,"BDI 1",$O$6,"BDI 2",$O$7,"BDI 3",$O$8)),2)</f>
        <v>5285.46</v>
      </c>
      <c r="P475" s="157" cm="1">
        <f t="array" ref="P475">TRUNC($I475*(1+_xlfn.SWITCH($N475,"BDI 1",$P$6,"BDI 2",$P$7,"BDI 3",$P$8)),2)</f>
        <v>5285.8</v>
      </c>
      <c r="Q475" s="157">
        <v>0</v>
      </c>
      <c r="R475" s="157">
        <f t="shared" si="879"/>
        <v>0</v>
      </c>
      <c r="S475" s="156">
        <f t="shared" si="880"/>
        <v>0</v>
      </c>
      <c r="T475" s="156">
        <f t="shared" si="881"/>
        <v>0</v>
      </c>
      <c r="U475" s="156">
        <f t="shared" si="882"/>
        <v>0</v>
      </c>
      <c r="V475" s="156">
        <f t="shared" si="883"/>
        <v>0</v>
      </c>
      <c r="W475" s="156">
        <f t="shared" si="871"/>
        <v>0</v>
      </c>
      <c r="X475" s="158">
        <f t="shared" ref="X475" si="928">$S475/ORCAMENTO_VALOR_TOTAL_ND</f>
        <v>0</v>
      </c>
      <c r="Y475" s="158">
        <f t="shared" ref="Y475" si="929">$T475/ORCAMENTO_VALOR_TOTAL_DE</f>
        <v>0</v>
      </c>
      <c r="Z475" s="158" cm="1">
        <f t="array" ref="Z475">_xlfn.SWITCH($N475,"BDI 1",$O$6,"BDI 2",$O$7,"BDI 3",$O$8)</f>
        <v>0.20699999999999999</v>
      </c>
      <c r="AA475" s="158" cm="1">
        <f t="array" ref="AA475">_xlfn.SWITCH($N475,"BDI 1",$P$6,"BDI 2",$P$7,"BDI 3",$P$8)</f>
        <v>0.26739999999999997</v>
      </c>
      <c r="AB475" s="158">
        <f t="shared" ca="1" si="925"/>
        <v>0</v>
      </c>
      <c r="AC475" s="158">
        <f t="shared" ca="1" si="926"/>
        <v>0</v>
      </c>
      <c r="AD475" s="164"/>
      <c r="AE475" s="148">
        <f t="shared" si="927"/>
        <v>0</v>
      </c>
      <c r="AF475" s="149"/>
      <c r="AG475" s="150"/>
      <c r="AH475" s="159" t="e">
        <f t="shared" si="874"/>
        <v>#DIV/0!</v>
      </c>
      <c r="AI475" s="160"/>
      <c r="AJ475" s="105"/>
      <c r="AK475" s="105"/>
      <c r="AM475" s="105"/>
      <c r="AN475" s="105"/>
      <c r="AO475" s="105"/>
      <c r="AP475" s="105"/>
      <c r="AQ475" s="105"/>
      <c r="AR475" s="105"/>
    </row>
    <row r="476" spans="1:44" s="49" customFormat="1" ht="40.15" hidden="1" customHeight="1">
      <c r="A476" s="152">
        <f t="shared" ca="1" si="875"/>
        <v>0</v>
      </c>
      <c r="B476" s="153">
        <v>94963</v>
      </c>
      <c r="C476" s="154" t="str">
        <f t="shared" si="876"/>
        <v>94963</v>
      </c>
      <c r="D476" s="154" t="s">
        <v>1416</v>
      </c>
      <c r="E476" s="155" t="s">
        <v>3862</v>
      </c>
      <c r="F476" s="154"/>
      <c r="G476" s="154" t="s">
        <v>464</v>
      </c>
      <c r="H476" s="152">
        <v>428.94</v>
      </c>
      <c r="I476" s="152">
        <v>426.98</v>
      </c>
      <c r="J476" s="156"/>
      <c r="K476" s="156">
        <f>+Dre_Profunda!I62</f>
        <v>0</v>
      </c>
      <c r="L476" s="156">
        <f t="shared" si="877"/>
        <v>0</v>
      </c>
      <c r="M476" s="156">
        <f t="shared" si="878"/>
        <v>0</v>
      </c>
      <c r="N476" s="156" t="s">
        <v>83</v>
      </c>
      <c r="O476" s="157" cm="1">
        <f t="array" ref="O476">TRUNC($H476*(1+_xlfn.SWITCH($N476,"BDI 1",$O$6,"BDI 2",$O$7,"BDI 3",$O$8)),2)</f>
        <v>517.73</v>
      </c>
      <c r="P476" s="157" cm="1">
        <f t="array" ref="P476">TRUNC($I476*(1+_xlfn.SWITCH($N476,"BDI 1",$P$6,"BDI 2",$P$7,"BDI 3",$P$8)),2)</f>
        <v>541.15</v>
      </c>
      <c r="Q476" s="157">
        <v>0</v>
      </c>
      <c r="R476" s="157">
        <f t="shared" si="879"/>
        <v>0</v>
      </c>
      <c r="S476" s="156">
        <f t="shared" si="880"/>
        <v>0</v>
      </c>
      <c r="T476" s="156">
        <f t="shared" si="881"/>
        <v>0</v>
      </c>
      <c r="U476" s="156">
        <f t="shared" si="882"/>
        <v>0</v>
      </c>
      <c r="V476" s="156">
        <f t="shared" si="883"/>
        <v>0</v>
      </c>
      <c r="W476" s="156">
        <f t="shared" si="871"/>
        <v>0</v>
      </c>
      <c r="X476" s="158">
        <f t="shared" ref="X476" si="930">$S476/ORCAMENTO_VALOR_TOTAL_ND</f>
        <v>0</v>
      </c>
      <c r="Y476" s="158">
        <f t="shared" ref="Y476" si="931">$T476/ORCAMENTO_VALOR_TOTAL_DE</f>
        <v>0</v>
      </c>
      <c r="Z476" s="158" cm="1">
        <f t="array" ref="Z476">_xlfn.SWITCH($N476,"BDI 1",$O$6,"BDI 2",$O$7,"BDI 3",$O$8)</f>
        <v>0.20699999999999999</v>
      </c>
      <c r="AA476" s="158" cm="1">
        <f t="array" ref="AA476">_xlfn.SWITCH($N476,"BDI 1",$P$6,"BDI 2",$P$7,"BDI 3",$P$8)</f>
        <v>0.26739999999999997</v>
      </c>
      <c r="AB476" s="158">
        <f t="shared" ca="1" si="925"/>
        <v>0</v>
      </c>
      <c r="AC476" s="158">
        <f t="shared" ca="1" si="926"/>
        <v>0</v>
      </c>
      <c r="AD476" s="164"/>
      <c r="AE476" s="148">
        <f t="shared" si="927"/>
        <v>0</v>
      </c>
      <c r="AF476" s="149"/>
      <c r="AG476" s="150"/>
      <c r="AH476" s="159" t="e">
        <f t="shared" si="874"/>
        <v>#DIV/0!</v>
      </c>
      <c r="AI476" s="160"/>
      <c r="AJ476" s="105"/>
      <c r="AK476" s="105"/>
      <c r="AM476" s="105"/>
      <c r="AN476" s="105"/>
      <c r="AO476" s="105"/>
      <c r="AP476" s="105"/>
      <c r="AQ476" s="105"/>
      <c r="AR476" s="105"/>
    </row>
    <row r="477" spans="1:44" s="49" customFormat="1" ht="40.15" hidden="1" customHeight="1">
      <c r="A477" s="152">
        <f t="shared" ca="1" si="875"/>
        <v>0</v>
      </c>
      <c r="B477" s="153">
        <v>103670</v>
      </c>
      <c r="C477" s="154" t="str">
        <f t="shared" si="876"/>
        <v>103670</v>
      </c>
      <c r="D477" s="154" t="s">
        <v>1416</v>
      </c>
      <c r="E477" s="155" t="s">
        <v>3792</v>
      </c>
      <c r="F477" s="154"/>
      <c r="G477" s="154" t="s">
        <v>464</v>
      </c>
      <c r="H477" s="152">
        <v>272.37</v>
      </c>
      <c r="I477" s="152">
        <v>247.05</v>
      </c>
      <c r="J477" s="156"/>
      <c r="K477" s="156">
        <f>+K476</f>
        <v>0</v>
      </c>
      <c r="L477" s="156">
        <f t="shared" si="877"/>
        <v>0</v>
      </c>
      <c r="M477" s="156">
        <f t="shared" si="878"/>
        <v>0</v>
      </c>
      <c r="N477" s="156" t="s">
        <v>83</v>
      </c>
      <c r="O477" s="157" cm="1">
        <f t="array" ref="O477">TRUNC($H477*(1+_xlfn.SWITCH($N477,"BDI 1",$O$6,"BDI 2",$O$7,"BDI 3",$O$8)),2)</f>
        <v>328.75</v>
      </c>
      <c r="P477" s="157" cm="1">
        <f t="array" ref="P477">TRUNC($I477*(1+_xlfn.SWITCH($N477,"BDI 1",$P$6,"BDI 2",$P$7,"BDI 3",$P$8)),2)</f>
        <v>313.11</v>
      </c>
      <c r="Q477" s="157">
        <v>0</v>
      </c>
      <c r="R477" s="157">
        <f t="shared" si="879"/>
        <v>0</v>
      </c>
      <c r="S477" s="156">
        <f t="shared" si="880"/>
        <v>0</v>
      </c>
      <c r="T477" s="156">
        <f t="shared" si="881"/>
        <v>0</v>
      </c>
      <c r="U477" s="156">
        <f t="shared" si="882"/>
        <v>0</v>
      </c>
      <c r="V477" s="156">
        <f t="shared" si="883"/>
        <v>0</v>
      </c>
      <c r="W477" s="156">
        <f t="shared" si="871"/>
        <v>0</v>
      </c>
      <c r="X477" s="158">
        <f t="shared" ref="X477" si="932">$S477/ORCAMENTO_VALOR_TOTAL_ND</f>
        <v>0</v>
      </c>
      <c r="Y477" s="158">
        <f t="shared" ref="Y477" si="933">$T477/ORCAMENTO_VALOR_TOTAL_DE</f>
        <v>0</v>
      </c>
      <c r="Z477" s="158" cm="1">
        <f t="array" ref="Z477">_xlfn.SWITCH($N477,"BDI 1",$O$6,"BDI 2",$O$7,"BDI 3",$O$8)</f>
        <v>0.20699999999999999</v>
      </c>
      <c r="AA477" s="158" cm="1">
        <f t="array" ref="AA477">_xlfn.SWITCH($N477,"BDI 1",$P$6,"BDI 2",$P$7,"BDI 3",$P$8)</f>
        <v>0.26739999999999997</v>
      </c>
      <c r="AB477" s="158">
        <f t="shared" ca="1" si="925"/>
        <v>0</v>
      </c>
      <c r="AC477" s="158">
        <f t="shared" ca="1" si="926"/>
        <v>0</v>
      </c>
      <c r="AD477" s="164"/>
      <c r="AE477" s="148">
        <f t="shared" si="927"/>
        <v>0</v>
      </c>
      <c r="AF477" s="149"/>
      <c r="AG477" s="150"/>
      <c r="AH477" s="159" t="e">
        <f t="shared" si="874"/>
        <v>#DIV/0!</v>
      </c>
      <c r="AI477" s="160"/>
      <c r="AJ477" s="105"/>
      <c r="AK477" s="105"/>
      <c r="AM477" s="105"/>
      <c r="AN477" s="105"/>
      <c r="AO477" s="105"/>
      <c r="AP477" s="105"/>
      <c r="AQ477" s="105"/>
      <c r="AR477" s="105"/>
    </row>
    <row r="478" spans="1:44" s="49" customFormat="1" ht="40.15" hidden="1" customHeight="1">
      <c r="A478" s="152">
        <f t="shared" ca="1" si="875"/>
        <v>0</v>
      </c>
      <c r="B478" s="153" t="s">
        <v>244</v>
      </c>
      <c r="C478" s="154" t="str">
        <f t="shared" si="876"/>
        <v>EC/0044</v>
      </c>
      <c r="D478" s="154" t="s">
        <v>3549</v>
      </c>
      <c r="E478" s="155" t="s">
        <v>3863</v>
      </c>
      <c r="F478" s="154"/>
      <c r="G478" s="154" t="s">
        <v>1418</v>
      </c>
      <c r="H478" s="152">
        <v>203.44</v>
      </c>
      <c r="I478" s="152">
        <v>196.29</v>
      </c>
      <c r="J478" s="156"/>
      <c r="K478" s="156">
        <f>+Dre_Profunda!I63</f>
        <v>0</v>
      </c>
      <c r="L478" s="156">
        <f t="shared" si="877"/>
        <v>0</v>
      </c>
      <c r="M478" s="156">
        <f t="shared" si="878"/>
        <v>0</v>
      </c>
      <c r="N478" s="156" t="s">
        <v>83</v>
      </c>
      <c r="O478" s="157" cm="1">
        <f t="array" ref="O478">TRUNC($H478*(1+_xlfn.SWITCH($N478,"BDI 1",$O$6,"BDI 2",$O$7,"BDI 3",$O$8)),2)</f>
        <v>245.55</v>
      </c>
      <c r="P478" s="157" cm="1">
        <f t="array" ref="P478">TRUNC($I478*(1+_xlfn.SWITCH($N478,"BDI 1",$P$6,"BDI 2",$P$7,"BDI 3",$P$8)),2)</f>
        <v>248.77</v>
      </c>
      <c r="Q478" s="157">
        <v>0</v>
      </c>
      <c r="R478" s="157">
        <f t="shared" si="879"/>
        <v>0</v>
      </c>
      <c r="S478" s="156">
        <f t="shared" si="880"/>
        <v>0</v>
      </c>
      <c r="T478" s="156">
        <f t="shared" si="881"/>
        <v>0</v>
      </c>
      <c r="U478" s="156">
        <f t="shared" si="882"/>
        <v>0</v>
      </c>
      <c r="V478" s="156">
        <f t="shared" si="883"/>
        <v>0</v>
      </c>
      <c r="W478" s="156">
        <f t="shared" si="871"/>
        <v>0</v>
      </c>
      <c r="X478" s="158">
        <f t="shared" ref="X478" si="934">$S478/ORCAMENTO_VALOR_TOTAL_ND</f>
        <v>0</v>
      </c>
      <c r="Y478" s="158">
        <f t="shared" ref="Y478" si="935">$T478/ORCAMENTO_VALOR_TOTAL_DE</f>
        <v>0</v>
      </c>
      <c r="Z478" s="158" cm="1">
        <f t="array" ref="Z478">_xlfn.SWITCH($N478,"BDI 1",$O$6,"BDI 2",$O$7,"BDI 3",$O$8)</f>
        <v>0.20699999999999999</v>
      </c>
      <c r="AA478" s="158" cm="1">
        <f t="array" ref="AA478">_xlfn.SWITCH($N478,"BDI 1",$P$6,"BDI 2",$P$7,"BDI 3",$P$8)</f>
        <v>0.26739999999999997</v>
      </c>
      <c r="AB478" s="158">
        <f t="shared" ca="1" si="925"/>
        <v>0</v>
      </c>
      <c r="AC478" s="158">
        <f t="shared" ca="1" si="926"/>
        <v>0</v>
      </c>
      <c r="AD478" s="164"/>
      <c r="AE478" s="148">
        <f t="shared" si="927"/>
        <v>0</v>
      </c>
      <c r="AF478" s="149"/>
      <c r="AG478" s="150"/>
      <c r="AH478" s="159" t="e">
        <f t="shared" si="874"/>
        <v>#DIV/0!</v>
      </c>
      <c r="AI478" s="160"/>
      <c r="AJ478" s="105"/>
      <c r="AK478" s="105"/>
      <c r="AM478" s="105"/>
      <c r="AN478" s="105"/>
      <c r="AO478" s="105"/>
      <c r="AP478" s="105"/>
      <c r="AQ478" s="105"/>
      <c r="AR478" s="105"/>
    </row>
    <row r="479" spans="1:44" s="49" customFormat="1" ht="40.15" hidden="1" customHeight="1">
      <c r="A479" s="152">
        <f t="shared" ca="1" si="875"/>
        <v>0</v>
      </c>
      <c r="B479" s="153">
        <v>87878</v>
      </c>
      <c r="C479" s="154" t="str">
        <f t="shared" si="876"/>
        <v>87878</v>
      </c>
      <c r="D479" s="154" t="s">
        <v>1416</v>
      </c>
      <c r="E479" s="155" t="s">
        <v>3864</v>
      </c>
      <c r="F479" s="154"/>
      <c r="G479" s="154" t="s">
        <v>1418</v>
      </c>
      <c r="H479" s="152">
        <v>4.5599999999999996</v>
      </c>
      <c r="I479" s="152">
        <v>4.29</v>
      </c>
      <c r="J479" s="156"/>
      <c r="K479" s="156">
        <f>+Dre_Profunda!I64</f>
        <v>0</v>
      </c>
      <c r="L479" s="156">
        <f t="shared" si="877"/>
        <v>0</v>
      </c>
      <c r="M479" s="156">
        <f t="shared" si="878"/>
        <v>0</v>
      </c>
      <c r="N479" s="156" t="s">
        <v>83</v>
      </c>
      <c r="O479" s="157" cm="1">
        <f t="array" ref="O479">TRUNC($H479*(1+_xlfn.SWITCH($N479,"BDI 1",$O$6,"BDI 2",$O$7,"BDI 3",$O$8)),2)</f>
        <v>5.5</v>
      </c>
      <c r="P479" s="157" cm="1">
        <f t="array" ref="P479">TRUNC($I479*(1+_xlfn.SWITCH($N479,"BDI 1",$P$6,"BDI 2",$P$7,"BDI 3",$P$8)),2)</f>
        <v>5.43</v>
      </c>
      <c r="Q479" s="157">
        <v>0</v>
      </c>
      <c r="R479" s="157">
        <f t="shared" si="879"/>
        <v>0</v>
      </c>
      <c r="S479" s="156">
        <f t="shared" si="880"/>
        <v>0</v>
      </c>
      <c r="T479" s="156">
        <f t="shared" si="881"/>
        <v>0</v>
      </c>
      <c r="U479" s="156">
        <f t="shared" si="882"/>
        <v>0</v>
      </c>
      <c r="V479" s="156">
        <f t="shared" si="883"/>
        <v>0</v>
      </c>
      <c r="W479" s="156">
        <f t="shared" si="871"/>
        <v>0</v>
      </c>
      <c r="X479" s="158">
        <f t="shared" ref="X479" si="936">$S479/ORCAMENTO_VALOR_TOTAL_ND</f>
        <v>0</v>
      </c>
      <c r="Y479" s="158">
        <f t="shared" ref="Y479" si="937">$T479/ORCAMENTO_VALOR_TOTAL_DE</f>
        <v>0</v>
      </c>
      <c r="Z479" s="158" cm="1">
        <f t="array" ref="Z479">_xlfn.SWITCH($N479,"BDI 1",$O$6,"BDI 2",$O$7,"BDI 3",$O$8)</f>
        <v>0.20699999999999999</v>
      </c>
      <c r="AA479" s="158" cm="1">
        <f t="array" ref="AA479">_xlfn.SWITCH($N479,"BDI 1",$P$6,"BDI 2",$P$7,"BDI 3",$P$8)</f>
        <v>0.26739999999999997</v>
      </c>
      <c r="AB479" s="158">
        <f t="shared" ca="1" si="925"/>
        <v>0</v>
      </c>
      <c r="AC479" s="158">
        <f t="shared" ca="1" si="926"/>
        <v>0</v>
      </c>
      <c r="AD479" s="164"/>
      <c r="AE479" s="148">
        <f t="shared" si="927"/>
        <v>0</v>
      </c>
      <c r="AF479" s="149"/>
      <c r="AG479" s="150"/>
      <c r="AH479" s="159" t="e">
        <f t="shared" si="874"/>
        <v>#DIV/0!</v>
      </c>
      <c r="AI479" s="160"/>
      <c r="AJ479" s="105"/>
      <c r="AK479" s="105"/>
      <c r="AM479" s="105"/>
      <c r="AN479" s="105"/>
      <c r="AO479" s="105"/>
      <c r="AP479" s="105"/>
      <c r="AQ479" s="105"/>
      <c r="AR479" s="105"/>
    </row>
    <row r="480" spans="1:44" s="49" customFormat="1" ht="40.15" hidden="1" customHeight="1">
      <c r="A480" s="152">
        <f t="shared" ca="1" si="875"/>
        <v>0</v>
      </c>
      <c r="B480" s="153">
        <v>87313</v>
      </c>
      <c r="C480" s="154" t="str">
        <f t="shared" si="876"/>
        <v>87313</v>
      </c>
      <c r="D480" s="154" t="s">
        <v>1416</v>
      </c>
      <c r="E480" s="155" t="s">
        <v>3865</v>
      </c>
      <c r="F480" s="154"/>
      <c r="G480" s="154" t="s">
        <v>464</v>
      </c>
      <c r="H480" s="152">
        <v>530.89</v>
      </c>
      <c r="I480" s="152">
        <v>524.08000000000004</v>
      </c>
      <c r="J480" s="156"/>
      <c r="K480" s="156">
        <f>+Dre_Profunda!I65</f>
        <v>0</v>
      </c>
      <c r="L480" s="156">
        <f t="shared" si="877"/>
        <v>0</v>
      </c>
      <c r="M480" s="156">
        <f t="shared" si="878"/>
        <v>0</v>
      </c>
      <c r="N480" s="156" t="s">
        <v>83</v>
      </c>
      <c r="O480" s="157" cm="1">
        <f t="array" ref="O480">TRUNC($H480*(1+_xlfn.SWITCH($N480,"BDI 1",$O$6,"BDI 2",$O$7,"BDI 3",$O$8)),2)</f>
        <v>640.78</v>
      </c>
      <c r="P480" s="157" cm="1">
        <f t="array" ref="P480">TRUNC($I480*(1+_xlfn.SWITCH($N480,"BDI 1",$P$6,"BDI 2",$P$7,"BDI 3",$P$8)),2)</f>
        <v>664.21</v>
      </c>
      <c r="Q480" s="157">
        <v>0</v>
      </c>
      <c r="R480" s="157">
        <f t="shared" si="879"/>
        <v>0</v>
      </c>
      <c r="S480" s="156">
        <f t="shared" si="880"/>
        <v>0</v>
      </c>
      <c r="T480" s="156">
        <f t="shared" si="881"/>
        <v>0</v>
      </c>
      <c r="U480" s="156">
        <f t="shared" si="882"/>
        <v>0</v>
      </c>
      <c r="V480" s="156">
        <f t="shared" si="883"/>
        <v>0</v>
      </c>
      <c r="W480" s="156">
        <f t="shared" si="871"/>
        <v>0</v>
      </c>
      <c r="X480" s="158">
        <f t="shared" ref="X480" si="938">$S480/ORCAMENTO_VALOR_TOTAL_ND</f>
        <v>0</v>
      </c>
      <c r="Y480" s="158">
        <f t="shared" ref="Y480" si="939">$T480/ORCAMENTO_VALOR_TOTAL_DE</f>
        <v>0</v>
      </c>
      <c r="Z480" s="158" cm="1">
        <f t="array" ref="Z480">_xlfn.SWITCH($N480,"BDI 1",$O$6,"BDI 2",$O$7,"BDI 3",$O$8)</f>
        <v>0.20699999999999999</v>
      </c>
      <c r="AA480" s="158" cm="1">
        <f t="array" ref="AA480">_xlfn.SWITCH($N480,"BDI 1",$P$6,"BDI 2",$P$7,"BDI 3",$P$8)</f>
        <v>0.26739999999999997</v>
      </c>
      <c r="AB480" s="158">
        <f t="shared" ca="1" si="925"/>
        <v>0</v>
      </c>
      <c r="AC480" s="158">
        <f t="shared" ca="1" si="926"/>
        <v>0</v>
      </c>
      <c r="AD480" s="164"/>
      <c r="AE480" s="148">
        <f t="shared" si="927"/>
        <v>0</v>
      </c>
      <c r="AF480" s="149"/>
      <c r="AG480" s="150"/>
      <c r="AH480" s="159" t="e">
        <f t="shared" si="874"/>
        <v>#DIV/0!</v>
      </c>
      <c r="AI480" s="160"/>
      <c r="AJ480" s="105"/>
      <c r="AK480" s="105"/>
      <c r="AM480" s="105"/>
      <c r="AN480" s="105"/>
      <c r="AO480" s="105"/>
      <c r="AP480" s="105"/>
      <c r="AQ480" s="105"/>
      <c r="AR480" s="105"/>
    </row>
    <row r="481" spans="1:44" s="49" customFormat="1" ht="40.15" hidden="1" customHeight="1">
      <c r="A481" s="10">
        <f t="shared" ca="1" si="875"/>
        <v>0</v>
      </c>
      <c r="B481" s="153"/>
      <c r="C481" s="154"/>
      <c r="D481" s="154"/>
      <c r="E481" s="161" t="s">
        <v>136</v>
      </c>
      <c r="F481" s="154"/>
      <c r="G481" s="154"/>
      <c r="H481" s="152"/>
      <c r="I481" s="152"/>
      <c r="J481" s="154"/>
      <c r="K481" s="154"/>
      <c r="L481" s="154"/>
      <c r="M481" s="154"/>
      <c r="N481" s="154"/>
      <c r="O481" s="154"/>
      <c r="P481" s="154"/>
      <c r="Q481" s="154"/>
      <c r="R481" s="154"/>
      <c r="S481" s="162"/>
      <c r="T481" s="162"/>
      <c r="U481" s="162"/>
      <c r="V481" s="162"/>
      <c r="W481" s="162"/>
      <c r="X481" s="163"/>
      <c r="Y481" s="163"/>
      <c r="Z481" s="163"/>
      <c r="AA481" s="163"/>
      <c r="AB481" s="163"/>
      <c r="AC481" s="163"/>
      <c r="AD481" s="164"/>
      <c r="AE481" s="148">
        <f>IF(SUM(S482:S483)&gt;0,IFERROR(TRUNC(A481,0),0),0)</f>
        <v>0</v>
      </c>
      <c r="AF481" s="149"/>
      <c r="AG481" s="150"/>
      <c r="AH481" s="159"/>
      <c r="AI481" s="160" t="s">
        <v>123</v>
      </c>
      <c r="AJ481" s="105"/>
      <c r="AK481" s="105"/>
      <c r="AM481" s="105"/>
      <c r="AN481" s="105"/>
      <c r="AO481" s="105"/>
      <c r="AP481" s="105"/>
      <c r="AQ481" s="105"/>
      <c r="AR481" s="105"/>
    </row>
    <row r="482" spans="1:44" s="49" customFormat="1" ht="40.15" hidden="1" customHeight="1">
      <c r="A482" s="152">
        <f t="shared" ca="1" si="875"/>
        <v>0</v>
      </c>
      <c r="B482" s="153">
        <v>95876</v>
      </c>
      <c r="C482" s="154" t="str">
        <f>TEXT(B482,"0")</f>
        <v>95876</v>
      </c>
      <c r="D482" s="154" t="s">
        <v>1416</v>
      </c>
      <c r="E482" s="155" t="s">
        <v>3537</v>
      </c>
      <c r="F482" s="154">
        <f>IF(Dados_DMT!$B$16&lt;30,Dados_DMT!$B$16,30)</f>
        <v>0</v>
      </c>
      <c r="G482" s="154" t="s">
        <v>3538</v>
      </c>
      <c r="H482" s="152">
        <v>2.09</v>
      </c>
      <c r="I482" s="152">
        <v>2.1</v>
      </c>
      <c r="J482" s="156"/>
      <c r="K482" s="156">
        <f>ROUND(Dre_Profunda!I68*F482,2)</f>
        <v>0</v>
      </c>
      <c r="L482" s="156">
        <f>IF($K482&gt;$J482,$K482-$J482,0)</f>
        <v>0</v>
      </c>
      <c r="M482" s="156">
        <f>IF($K482&lt;$J482,$J482-$K482,0)</f>
        <v>0</v>
      </c>
      <c r="N482" s="156" t="s">
        <v>83</v>
      </c>
      <c r="O482" s="157" cm="1">
        <f t="array" ref="O482">TRUNC($H482*(1+_xlfn.SWITCH($N482,"BDI 1",$O$6,"BDI 2",$O$7,"BDI 3",$O$8)),2)</f>
        <v>2.52</v>
      </c>
      <c r="P482" s="157" cm="1">
        <f t="array" ref="P482">TRUNC($I482*(1+_xlfn.SWITCH($N482,"BDI 1",$P$6,"BDI 2",$P$7,"BDI 3",$P$8)),2)</f>
        <v>2.66</v>
      </c>
      <c r="Q482" s="157">
        <v>0</v>
      </c>
      <c r="R482" s="157">
        <f>$Q482-($Q482*LICITACAO_DESCONTO)</f>
        <v>0</v>
      </c>
      <c r="S482" s="156">
        <f>TRUNC($K482*$O482,2)</f>
        <v>0</v>
      </c>
      <c r="T482" s="156">
        <f>TRUNC($K482*$P482,2)</f>
        <v>0</v>
      </c>
      <c r="U482" s="156">
        <f>TRUNC($J482*$R482,2)</f>
        <v>0</v>
      </c>
      <c r="V482" s="156">
        <f>TRUNC($K482*$Q482,2)</f>
        <v>0</v>
      </c>
      <c r="W482" s="156">
        <f>TRUNC(V482-U482,2)</f>
        <v>0</v>
      </c>
      <c r="X482" s="158">
        <f>$S482/ORCAMENTO_VALOR_TOTAL_ND</f>
        <v>0</v>
      </c>
      <c r="Y482" s="158">
        <f>$T482/ORCAMENTO_VALOR_TOTAL_DE</f>
        <v>0</v>
      </c>
      <c r="Z482" s="158" cm="1">
        <f t="array" ref="Z482">_xlfn.SWITCH($N482,"BDI 1",$O$6,"BDI 2",$O$7,"BDI 3",$O$8)</f>
        <v>0.20699999999999999</v>
      </c>
      <c r="AA482" s="158" cm="1">
        <f t="array" ref="AA482">_xlfn.SWITCH($N482,"BDI 1",$P$6,"BDI 2",$P$7,"BDI 3",$P$8)</f>
        <v>0.26739999999999997</v>
      </c>
      <c r="AB482" s="158">
        <f ca="1">IFERROR($S482/_xlfn.XLOOKUP($AE482,$B$16:$B$38,$S$16:$S$38),0)</f>
        <v>0</v>
      </c>
      <c r="AC482" s="158">
        <f ca="1">IFERROR($T482/_xlfn.XLOOKUP($AE482,$B$16:$B$38,$T$16:$T$38),0)</f>
        <v>0</v>
      </c>
      <c r="AD482" s="164"/>
      <c r="AE482" s="148">
        <f t="shared" ref="AE482:AE483" si="940">IF(S482&gt;0,IFERROR(TRUNC(A482,0),0),0)</f>
        <v>0</v>
      </c>
      <c r="AF482" s="149"/>
      <c r="AG482" s="150"/>
      <c r="AH482" s="159" t="e">
        <f>S482/$S$455</f>
        <v>#DIV/0!</v>
      </c>
      <c r="AI482" s="166">
        <f>IF(K482=0,0,K482/F482)</f>
        <v>0</v>
      </c>
      <c r="AJ482" s="105"/>
      <c r="AK482" s="105"/>
      <c r="AM482" s="105"/>
      <c r="AN482" s="105"/>
      <c r="AO482" s="105"/>
      <c r="AP482" s="105"/>
      <c r="AQ482" s="105"/>
      <c r="AR482" s="105"/>
    </row>
    <row r="483" spans="1:44" s="49" customFormat="1" ht="40.15" hidden="1" customHeight="1">
      <c r="A483" s="152">
        <f t="shared" ca="1" si="875"/>
        <v>0</v>
      </c>
      <c r="B483" s="153">
        <v>93593</v>
      </c>
      <c r="C483" s="154" t="str">
        <f>TEXT(B483,"0")</f>
        <v>93593</v>
      </c>
      <c r="D483" s="154" t="s">
        <v>1416</v>
      </c>
      <c r="E483" s="155" t="s">
        <v>3545</v>
      </c>
      <c r="F483" s="154">
        <f>Dados_DMT!$B$16-F482</f>
        <v>0</v>
      </c>
      <c r="G483" s="154" t="s">
        <v>3538</v>
      </c>
      <c r="H483" s="152">
        <v>0.84</v>
      </c>
      <c r="I483" s="152">
        <v>0.85</v>
      </c>
      <c r="J483" s="156"/>
      <c r="K483" s="156">
        <f>ROUND(Dre_Profunda!I68*F483,2)</f>
        <v>0</v>
      </c>
      <c r="L483" s="156">
        <f>IF($K483&gt;$J483,$K483-$J483,0)</f>
        <v>0</v>
      </c>
      <c r="M483" s="156">
        <f>IF($K483&lt;$J483,$J483-$K483,0)</f>
        <v>0</v>
      </c>
      <c r="N483" s="156" t="s">
        <v>83</v>
      </c>
      <c r="O483" s="157" cm="1">
        <f t="array" ref="O483">TRUNC($H483*(1+_xlfn.SWITCH($N483,"BDI 1",$O$6,"BDI 2",$O$7,"BDI 3",$O$8)),2)</f>
        <v>1.01</v>
      </c>
      <c r="P483" s="157" cm="1">
        <f t="array" ref="P483">TRUNC($I483*(1+_xlfn.SWITCH($N483,"BDI 1",$P$6,"BDI 2",$P$7,"BDI 3",$P$8)),2)</f>
        <v>1.07</v>
      </c>
      <c r="Q483" s="157">
        <v>0</v>
      </c>
      <c r="R483" s="157">
        <f>$Q483-($Q483*LICITACAO_DESCONTO)</f>
        <v>0</v>
      </c>
      <c r="S483" s="156">
        <f>TRUNC($K483*$O483,2)</f>
        <v>0</v>
      </c>
      <c r="T483" s="156">
        <f>TRUNC($K483*$P483,2)</f>
        <v>0</v>
      </c>
      <c r="U483" s="156">
        <f>TRUNC($J483*$R483,2)</f>
        <v>0</v>
      </c>
      <c r="V483" s="156">
        <f>TRUNC($K483*$Q483,2)</f>
        <v>0</v>
      </c>
      <c r="W483" s="156">
        <f>TRUNC(V483-U483,2)</f>
        <v>0</v>
      </c>
      <c r="X483" s="158">
        <f>$S483/ORCAMENTO_VALOR_TOTAL_ND</f>
        <v>0</v>
      </c>
      <c r="Y483" s="158">
        <f>$T483/ORCAMENTO_VALOR_TOTAL_DE</f>
        <v>0</v>
      </c>
      <c r="Z483" s="158" cm="1">
        <f t="array" ref="Z483">_xlfn.SWITCH($N483,"BDI 1",$O$6,"BDI 2",$O$7,"BDI 3",$O$8)</f>
        <v>0.20699999999999999</v>
      </c>
      <c r="AA483" s="158" cm="1">
        <f t="array" ref="AA483">_xlfn.SWITCH($N483,"BDI 1",$P$6,"BDI 2",$P$7,"BDI 3",$P$8)</f>
        <v>0.26739999999999997</v>
      </c>
      <c r="AB483" s="158">
        <f ca="1">IFERROR($S483/_xlfn.XLOOKUP($AE483,$B$16:$B$38,$S$16:$S$38),0)</f>
        <v>0</v>
      </c>
      <c r="AC483" s="158">
        <f ca="1">IFERROR($T483/_xlfn.XLOOKUP($AE483,$B$16:$B$38,$T$16:$T$38),0)</f>
        <v>0</v>
      </c>
      <c r="AD483" s="164"/>
      <c r="AE483" s="148">
        <f t="shared" si="940"/>
        <v>0</v>
      </c>
      <c r="AF483" s="149"/>
      <c r="AG483" s="150"/>
      <c r="AH483" s="159" t="e">
        <f>S483/$S$455</f>
        <v>#DIV/0!</v>
      </c>
      <c r="AI483" s="166">
        <f>IF(K483=0,0,K483/F483)</f>
        <v>0</v>
      </c>
      <c r="AJ483" s="105"/>
      <c r="AK483" s="105"/>
      <c r="AM483" s="105"/>
      <c r="AN483" s="105"/>
      <c r="AO483" s="105"/>
      <c r="AP483" s="105"/>
      <c r="AQ483" s="105"/>
      <c r="AR483" s="105"/>
    </row>
    <row r="484" spans="1:44" s="49" customFormat="1" ht="40.15" hidden="1" customHeight="1">
      <c r="A484" s="10">
        <f t="shared" ca="1" si="875"/>
        <v>0</v>
      </c>
      <c r="B484" s="153"/>
      <c r="C484" s="154"/>
      <c r="D484" s="154"/>
      <c r="E484" s="161" t="s">
        <v>137</v>
      </c>
      <c r="F484" s="154"/>
      <c r="G484" s="154"/>
      <c r="H484" s="152"/>
      <c r="I484" s="152"/>
      <c r="J484" s="154"/>
      <c r="K484" s="154"/>
      <c r="L484" s="154"/>
      <c r="M484" s="154"/>
      <c r="N484" s="154"/>
      <c r="O484" s="154"/>
      <c r="P484" s="154"/>
      <c r="Q484" s="154"/>
      <c r="R484" s="154"/>
      <c r="S484" s="162"/>
      <c r="T484" s="162"/>
      <c r="U484" s="162"/>
      <c r="V484" s="162"/>
      <c r="W484" s="162"/>
      <c r="X484" s="163"/>
      <c r="Y484" s="163"/>
      <c r="Z484" s="163"/>
      <c r="AA484" s="163"/>
      <c r="AB484" s="163"/>
      <c r="AC484" s="163"/>
      <c r="AD484" s="164"/>
      <c r="AE484" s="148">
        <f>IF(SUM(S485:S486)&gt;0,IFERROR(TRUNC(A484,0),0),0)</f>
        <v>0</v>
      </c>
      <c r="AF484" s="149"/>
      <c r="AG484" s="150"/>
      <c r="AH484" s="159"/>
      <c r="AI484" s="160" t="s">
        <v>245</v>
      </c>
      <c r="AJ484" s="105"/>
      <c r="AK484" s="105"/>
      <c r="AM484" s="105"/>
      <c r="AN484" s="105"/>
      <c r="AO484" s="105"/>
      <c r="AP484" s="105"/>
      <c r="AQ484" s="105"/>
      <c r="AR484" s="105"/>
    </row>
    <row r="485" spans="1:44" s="49" customFormat="1" ht="40.15" hidden="1" customHeight="1">
      <c r="A485" s="152">
        <f t="shared" ca="1" si="875"/>
        <v>0</v>
      </c>
      <c r="B485" s="153">
        <v>95876</v>
      </c>
      <c r="C485" s="154" t="str">
        <f>TEXT(B485,"0")</f>
        <v>95876</v>
      </c>
      <c r="D485" s="154" t="s">
        <v>1416</v>
      </c>
      <c r="E485" s="155" t="s">
        <v>3537</v>
      </c>
      <c r="F485" s="154">
        <f>IF(Dados_DMT!$B$17&lt;30,Dados_DMT!$B$17,30)</f>
        <v>3.5</v>
      </c>
      <c r="G485" s="154" t="s">
        <v>3538</v>
      </c>
      <c r="H485" s="152">
        <v>2.09</v>
      </c>
      <c r="I485" s="152">
        <v>2.1</v>
      </c>
      <c r="J485" s="156"/>
      <c r="K485" s="156">
        <f>ROUND(Dre_Profunda!I69*F485,2)</f>
        <v>0</v>
      </c>
      <c r="L485" s="156">
        <f>IF($K485&gt;$J485,$K485-$J485,0)</f>
        <v>0</v>
      </c>
      <c r="M485" s="156">
        <f>IF($K485&lt;$J485,$J485-$K485,0)</f>
        <v>0</v>
      </c>
      <c r="N485" s="156" t="s">
        <v>83</v>
      </c>
      <c r="O485" s="157" cm="1">
        <f t="array" ref="O485">TRUNC($H485*(1+_xlfn.SWITCH($N485,"BDI 1",$O$6,"BDI 2",$O$7,"BDI 3",$O$8)),2)</f>
        <v>2.52</v>
      </c>
      <c r="P485" s="157" cm="1">
        <f t="array" ref="P485">TRUNC($I485*(1+_xlfn.SWITCH($N485,"BDI 1",$P$6,"BDI 2",$P$7,"BDI 3",$P$8)),2)</f>
        <v>2.66</v>
      </c>
      <c r="Q485" s="157">
        <v>0</v>
      </c>
      <c r="R485" s="157">
        <f>$Q485-($Q485*LICITACAO_DESCONTO)</f>
        <v>0</v>
      </c>
      <c r="S485" s="156">
        <f>TRUNC($K485*$O485,2)</f>
        <v>0</v>
      </c>
      <c r="T485" s="156">
        <f>TRUNC($K485*$P485,2)</f>
        <v>0</v>
      </c>
      <c r="U485" s="156">
        <f>TRUNC($J485*$R485,2)</f>
        <v>0</v>
      </c>
      <c r="V485" s="156">
        <f>TRUNC($K485*$Q485,2)</f>
        <v>0</v>
      </c>
      <c r="W485" s="156">
        <f>TRUNC(V485-U485,2)</f>
        <v>0</v>
      </c>
      <c r="X485" s="158">
        <f>$S485/ORCAMENTO_VALOR_TOTAL_ND</f>
        <v>0</v>
      </c>
      <c r="Y485" s="158">
        <f>$T485/ORCAMENTO_VALOR_TOTAL_DE</f>
        <v>0</v>
      </c>
      <c r="Z485" s="158" cm="1">
        <f t="array" ref="Z485">_xlfn.SWITCH($N485,"BDI 1",$O$6,"BDI 2",$O$7,"BDI 3",$O$8)</f>
        <v>0.20699999999999999</v>
      </c>
      <c r="AA485" s="158" cm="1">
        <f t="array" ref="AA485">_xlfn.SWITCH($N485,"BDI 1",$P$6,"BDI 2",$P$7,"BDI 3",$P$8)</f>
        <v>0.26739999999999997</v>
      </c>
      <c r="AB485" s="158">
        <f ca="1">IFERROR($S485/_xlfn.XLOOKUP($AE485,$B$16:$B$38,$S$16:$S$38),0)</f>
        <v>0</v>
      </c>
      <c r="AC485" s="158">
        <f ca="1">IFERROR($T485/_xlfn.XLOOKUP($AE485,$B$16:$B$38,$T$16:$T$38),0)</f>
        <v>0</v>
      </c>
      <c r="AD485" s="164"/>
      <c r="AE485" s="148">
        <f t="shared" ref="AE485:AE486" si="941">IF(S485&gt;0,IFERROR(TRUNC(A485,0),0),0)</f>
        <v>0</v>
      </c>
      <c r="AF485" s="149"/>
      <c r="AG485" s="150"/>
      <c r="AH485" s="159" t="e">
        <f>S485/$S$455</f>
        <v>#DIV/0!</v>
      </c>
      <c r="AI485" s="166">
        <f>IF(K485=0,0,K485/F485)</f>
        <v>0</v>
      </c>
      <c r="AJ485" s="105"/>
      <c r="AK485" s="105"/>
      <c r="AM485" s="105"/>
      <c r="AN485" s="105"/>
      <c r="AO485" s="105"/>
      <c r="AP485" s="105"/>
      <c r="AQ485" s="105"/>
      <c r="AR485" s="105"/>
    </row>
    <row r="486" spans="1:44" s="49" customFormat="1" ht="40.15" hidden="1" customHeight="1">
      <c r="A486" s="152">
        <f t="shared" ca="1" si="875"/>
        <v>0</v>
      </c>
      <c r="B486" s="153">
        <v>93593</v>
      </c>
      <c r="C486" s="154" t="str">
        <f>TEXT(B486,"0")</f>
        <v>93593</v>
      </c>
      <c r="D486" s="154" t="s">
        <v>1416</v>
      </c>
      <c r="E486" s="155" t="s">
        <v>3545</v>
      </c>
      <c r="F486" s="154">
        <f>Dados_DMT!$B$17-F485</f>
        <v>0</v>
      </c>
      <c r="G486" s="154" t="s">
        <v>3538</v>
      </c>
      <c r="H486" s="152">
        <v>0.84</v>
      </c>
      <c r="I486" s="152">
        <v>0.85</v>
      </c>
      <c r="J486" s="156"/>
      <c r="K486" s="156">
        <f>ROUND(Dre_Profunda!I69*F486,2)</f>
        <v>0</v>
      </c>
      <c r="L486" s="156">
        <f>IF($K486&gt;$J486,$K486-$J486,0)</f>
        <v>0</v>
      </c>
      <c r="M486" s="156">
        <f>IF($K486&lt;$J486,$J486-$K486,0)</f>
        <v>0</v>
      </c>
      <c r="N486" s="156" t="s">
        <v>83</v>
      </c>
      <c r="O486" s="157" cm="1">
        <f t="array" ref="O486">TRUNC($H486*(1+_xlfn.SWITCH($N486,"BDI 1",$O$6,"BDI 2",$O$7,"BDI 3",$O$8)),2)</f>
        <v>1.01</v>
      </c>
      <c r="P486" s="157" cm="1">
        <f t="array" ref="P486">TRUNC($I486*(1+_xlfn.SWITCH($N486,"BDI 1",$P$6,"BDI 2",$P$7,"BDI 3",$P$8)),2)</f>
        <v>1.07</v>
      </c>
      <c r="Q486" s="157">
        <v>0</v>
      </c>
      <c r="R486" s="157">
        <f>$Q486-($Q486*LICITACAO_DESCONTO)</f>
        <v>0</v>
      </c>
      <c r="S486" s="156">
        <f>TRUNC($K486*$O486,2)</f>
        <v>0</v>
      </c>
      <c r="T486" s="156">
        <f>TRUNC($K486*$P486,2)</f>
        <v>0</v>
      </c>
      <c r="U486" s="156">
        <f>TRUNC($J486*$R486,2)</f>
        <v>0</v>
      </c>
      <c r="V486" s="156">
        <f>TRUNC($K486*$Q486,2)</f>
        <v>0</v>
      </c>
      <c r="W486" s="156">
        <f>TRUNC(V486-U486,2)</f>
        <v>0</v>
      </c>
      <c r="X486" s="158">
        <f>$S486/ORCAMENTO_VALOR_TOTAL_ND</f>
        <v>0</v>
      </c>
      <c r="Y486" s="158">
        <f>$T486/ORCAMENTO_VALOR_TOTAL_DE</f>
        <v>0</v>
      </c>
      <c r="Z486" s="158" cm="1">
        <f t="array" ref="Z486">_xlfn.SWITCH($N486,"BDI 1",$O$6,"BDI 2",$O$7,"BDI 3",$O$8)</f>
        <v>0.20699999999999999</v>
      </c>
      <c r="AA486" s="158" cm="1">
        <f t="array" ref="AA486">_xlfn.SWITCH($N486,"BDI 1",$P$6,"BDI 2",$P$7,"BDI 3",$P$8)</f>
        <v>0.26739999999999997</v>
      </c>
      <c r="AB486" s="158">
        <f ca="1">IFERROR($S486/_xlfn.XLOOKUP($AE486,$B$16:$B$38,$S$16:$S$38),0)</f>
        <v>0</v>
      </c>
      <c r="AC486" s="158">
        <f ca="1">IFERROR($T486/_xlfn.XLOOKUP($AE486,$B$16:$B$38,$T$16:$T$38),0)</f>
        <v>0</v>
      </c>
      <c r="AD486" s="164"/>
      <c r="AE486" s="148">
        <f t="shared" si="941"/>
        <v>0</v>
      </c>
      <c r="AF486" s="149"/>
      <c r="AG486" s="150"/>
      <c r="AH486" s="159" t="e">
        <f>S486/$S$455</f>
        <v>#DIV/0!</v>
      </c>
      <c r="AI486" s="166">
        <f>IF(K486=0,0,K486/F486)</f>
        <v>0</v>
      </c>
      <c r="AJ486" s="105"/>
      <c r="AK486" s="105"/>
      <c r="AM486" s="105"/>
      <c r="AN486" s="105"/>
      <c r="AO486" s="105"/>
      <c r="AP486" s="105"/>
      <c r="AQ486" s="105"/>
      <c r="AR486" s="105"/>
    </row>
    <row r="487" spans="1:44" s="49" customFormat="1" ht="40.15" hidden="1" customHeight="1">
      <c r="A487" s="10">
        <f t="shared" ca="1" si="875"/>
        <v>0</v>
      </c>
      <c r="B487" s="153"/>
      <c r="C487" s="154"/>
      <c r="D487" s="154"/>
      <c r="E487" s="161" t="s">
        <v>139</v>
      </c>
      <c r="F487" s="154"/>
      <c r="G487" s="154"/>
      <c r="H487" s="152"/>
      <c r="I487" s="152"/>
      <c r="J487" s="154"/>
      <c r="K487" s="154"/>
      <c r="L487" s="154"/>
      <c r="M487" s="154"/>
      <c r="N487" s="154"/>
      <c r="O487" s="154"/>
      <c r="P487" s="154"/>
      <c r="Q487" s="154"/>
      <c r="R487" s="154"/>
      <c r="S487" s="162"/>
      <c r="T487" s="162"/>
      <c r="U487" s="162"/>
      <c r="V487" s="162"/>
      <c r="W487" s="162"/>
      <c r="X487" s="163"/>
      <c r="Y487" s="163"/>
      <c r="Z487" s="163"/>
      <c r="AA487" s="163"/>
      <c r="AB487" s="163"/>
      <c r="AC487" s="163"/>
      <c r="AD487" s="164"/>
      <c r="AE487" s="148">
        <f>IF(SUM(S488:S489)&gt;0,IFERROR(TRUNC(A487,0),0),0)</f>
        <v>0</v>
      </c>
      <c r="AF487" s="149"/>
      <c r="AG487" s="150"/>
      <c r="AH487" s="159"/>
      <c r="AI487" s="160"/>
      <c r="AJ487" s="105"/>
      <c r="AK487" s="105"/>
      <c r="AM487" s="105"/>
      <c r="AN487" s="105"/>
      <c r="AO487" s="105"/>
      <c r="AP487" s="105"/>
      <c r="AQ487" s="105"/>
      <c r="AR487" s="105"/>
    </row>
    <row r="488" spans="1:44" s="49" customFormat="1" ht="40.15" hidden="1" customHeight="1">
      <c r="A488" s="152">
        <f t="shared" ca="1" si="875"/>
        <v>0</v>
      </c>
      <c r="B488" s="153">
        <v>95876</v>
      </c>
      <c r="C488" s="154" t="str">
        <f>TEXT(B488,"0")</f>
        <v>95876</v>
      </c>
      <c r="D488" s="154" t="s">
        <v>1416</v>
      </c>
      <c r="E488" s="155" t="s">
        <v>3537</v>
      </c>
      <c r="F488" s="154">
        <f>IF(Dados_DMT!$B$14&lt;30,Dados_DMT!$B$14,30)</f>
        <v>3.5</v>
      </c>
      <c r="G488" s="154" t="s">
        <v>3538</v>
      </c>
      <c r="H488" s="152">
        <v>2.09</v>
      </c>
      <c r="I488" s="152">
        <v>2.1</v>
      </c>
      <c r="J488" s="156"/>
      <c r="K488" s="156">
        <f>ROUND(Dre_Profunda!I70*F488,2)</f>
        <v>0</v>
      </c>
      <c r="L488" s="156">
        <f>IF($K488&gt;$J488,$K488-$J488,0)</f>
        <v>0</v>
      </c>
      <c r="M488" s="156">
        <f>IF($K488&lt;$J488,$J488-$K488,0)</f>
        <v>0</v>
      </c>
      <c r="N488" s="156" t="s">
        <v>83</v>
      </c>
      <c r="O488" s="157" cm="1">
        <f t="array" ref="O488">TRUNC($H488*(1+_xlfn.SWITCH($N488,"BDI 1",$O$6,"BDI 2",$O$7,"BDI 3",$O$8)),2)</f>
        <v>2.52</v>
      </c>
      <c r="P488" s="157" cm="1">
        <f t="array" ref="P488">TRUNC($I488*(1+_xlfn.SWITCH($N488,"BDI 1",$P$6,"BDI 2",$P$7,"BDI 3",$P$8)),2)</f>
        <v>2.66</v>
      </c>
      <c r="Q488" s="157">
        <v>0</v>
      </c>
      <c r="R488" s="157">
        <f>$Q488-($Q488*LICITACAO_DESCONTO)</f>
        <v>0</v>
      </c>
      <c r="S488" s="156">
        <f>TRUNC($K488*$O488,2)</f>
        <v>0</v>
      </c>
      <c r="T488" s="156">
        <f>TRUNC($K488*$P488,2)</f>
        <v>0</v>
      </c>
      <c r="U488" s="156">
        <f>TRUNC($J488*$R488,2)</f>
        <v>0</v>
      </c>
      <c r="V488" s="156">
        <f>TRUNC($K488*$Q488,2)</f>
        <v>0</v>
      </c>
      <c r="W488" s="156">
        <f>TRUNC(V488-U488,2)</f>
        <v>0</v>
      </c>
      <c r="X488" s="158">
        <f>$S488/ORCAMENTO_VALOR_TOTAL_ND</f>
        <v>0</v>
      </c>
      <c r="Y488" s="158">
        <f>$T488/ORCAMENTO_VALOR_TOTAL_DE</f>
        <v>0</v>
      </c>
      <c r="Z488" s="158" cm="1">
        <f t="array" ref="Z488">_xlfn.SWITCH($N488,"BDI 1",$O$6,"BDI 2",$O$7,"BDI 3",$O$8)</f>
        <v>0.20699999999999999</v>
      </c>
      <c r="AA488" s="158" cm="1">
        <f t="array" ref="AA488">_xlfn.SWITCH($N488,"BDI 1",$P$6,"BDI 2",$P$7,"BDI 3",$P$8)</f>
        <v>0.26739999999999997</v>
      </c>
      <c r="AB488" s="158">
        <f ca="1">IFERROR($S488/_xlfn.XLOOKUP($AE488,$B$16:$B$38,$S$16:$S$38),0)</f>
        <v>0</v>
      </c>
      <c r="AC488" s="158">
        <f ca="1">IFERROR($T488/_xlfn.XLOOKUP($AE488,$B$16:$B$38,$T$16:$T$38),0)</f>
        <v>0</v>
      </c>
      <c r="AD488" s="164"/>
      <c r="AE488" s="148">
        <f t="shared" ref="AE488:AE489" si="942">IF(S488&gt;0,IFERROR(TRUNC(A488,0),0),0)</f>
        <v>0</v>
      </c>
      <c r="AF488" s="149"/>
      <c r="AG488" s="150"/>
      <c r="AH488" s="159" t="e">
        <f>S488/$S$455</f>
        <v>#DIV/0!</v>
      </c>
      <c r="AI488" s="166">
        <f>IF(K488=0,0,K488/F488)</f>
        <v>0</v>
      </c>
      <c r="AJ488" s="105"/>
      <c r="AK488" s="105"/>
      <c r="AM488" s="105"/>
      <c r="AN488" s="105"/>
      <c r="AO488" s="105"/>
      <c r="AP488" s="105"/>
      <c r="AQ488" s="105"/>
      <c r="AR488" s="105"/>
    </row>
    <row r="489" spans="1:44" s="49" customFormat="1" ht="40.15" hidden="1" customHeight="1">
      <c r="A489" s="152">
        <f t="shared" ca="1" si="875"/>
        <v>0</v>
      </c>
      <c r="B489" s="153">
        <v>93593</v>
      </c>
      <c r="C489" s="154" t="str">
        <f>TEXT(B489,"0")</f>
        <v>93593</v>
      </c>
      <c r="D489" s="154" t="s">
        <v>1416</v>
      </c>
      <c r="E489" s="155" t="s">
        <v>3545</v>
      </c>
      <c r="F489" s="154">
        <f>Dados_DMT!$B$14-F488</f>
        <v>0</v>
      </c>
      <c r="G489" s="154" t="s">
        <v>3538</v>
      </c>
      <c r="H489" s="152">
        <v>0.84</v>
      </c>
      <c r="I489" s="152">
        <v>0.85</v>
      </c>
      <c r="J489" s="156"/>
      <c r="K489" s="156">
        <f>ROUND(Dre_Profunda!I70*F489,2)</f>
        <v>0</v>
      </c>
      <c r="L489" s="156">
        <f>IF($K489&gt;$J489,$K489-$J489,0)</f>
        <v>0</v>
      </c>
      <c r="M489" s="156">
        <f>IF($K489&lt;$J489,$J489-$K489,0)</f>
        <v>0</v>
      </c>
      <c r="N489" s="156" t="s">
        <v>83</v>
      </c>
      <c r="O489" s="157" cm="1">
        <f t="array" ref="O489">TRUNC($H489*(1+_xlfn.SWITCH($N489,"BDI 1",$O$6,"BDI 2",$O$7,"BDI 3",$O$8)),2)</f>
        <v>1.01</v>
      </c>
      <c r="P489" s="157" cm="1">
        <f t="array" ref="P489">TRUNC($I489*(1+_xlfn.SWITCH($N489,"BDI 1",$P$6,"BDI 2",$P$7,"BDI 3",$P$8)),2)</f>
        <v>1.07</v>
      </c>
      <c r="Q489" s="157">
        <v>0</v>
      </c>
      <c r="R489" s="157">
        <f>$Q489-($Q489*LICITACAO_DESCONTO)</f>
        <v>0</v>
      </c>
      <c r="S489" s="156">
        <f>TRUNC($K489*$O489,2)</f>
        <v>0</v>
      </c>
      <c r="T489" s="156">
        <f>TRUNC($K489*$P489,2)</f>
        <v>0</v>
      </c>
      <c r="U489" s="156">
        <f>TRUNC($J489*$R489,2)</f>
        <v>0</v>
      </c>
      <c r="V489" s="156">
        <f>TRUNC($K489*$Q489,2)</f>
        <v>0</v>
      </c>
      <c r="W489" s="156">
        <f>TRUNC(V489-U489,2)</f>
        <v>0</v>
      </c>
      <c r="X489" s="158">
        <f>$S489/ORCAMENTO_VALOR_TOTAL_ND</f>
        <v>0</v>
      </c>
      <c r="Y489" s="158">
        <f>$T489/ORCAMENTO_VALOR_TOTAL_DE</f>
        <v>0</v>
      </c>
      <c r="Z489" s="158" cm="1">
        <f t="array" ref="Z489">_xlfn.SWITCH($N489,"BDI 1",$O$6,"BDI 2",$O$7,"BDI 3",$O$8)</f>
        <v>0.20699999999999999</v>
      </c>
      <c r="AA489" s="158" cm="1">
        <f t="array" ref="AA489">_xlfn.SWITCH($N489,"BDI 1",$P$6,"BDI 2",$P$7,"BDI 3",$P$8)</f>
        <v>0.26739999999999997</v>
      </c>
      <c r="AB489" s="158">
        <f ca="1">IFERROR($S489/_xlfn.XLOOKUP($AE489,$B$16:$B$38,$S$16:$S$38),0)</f>
        <v>0</v>
      </c>
      <c r="AC489" s="158">
        <f ca="1">IFERROR($T489/_xlfn.XLOOKUP($AE489,$B$16:$B$38,$T$16:$T$38),0)</f>
        <v>0</v>
      </c>
      <c r="AD489" s="164"/>
      <c r="AE489" s="148">
        <f t="shared" si="942"/>
        <v>0</v>
      </c>
      <c r="AF489" s="149"/>
      <c r="AG489" s="150"/>
      <c r="AH489" s="159" t="e">
        <f>S489/$S$455</f>
        <v>#DIV/0!</v>
      </c>
      <c r="AI489" s="166">
        <f>IF(K489=0,0,K489/F489)</f>
        <v>0</v>
      </c>
      <c r="AJ489" s="105"/>
      <c r="AK489" s="105"/>
      <c r="AM489" s="105"/>
      <c r="AN489" s="105"/>
      <c r="AO489" s="105"/>
      <c r="AP489" s="105"/>
      <c r="AQ489" s="105"/>
      <c r="AR489" s="105"/>
    </row>
    <row r="490" spans="1:44" s="49" customFormat="1" ht="40.15" hidden="1" customHeight="1">
      <c r="A490" s="10">
        <f t="shared" ca="1" si="875"/>
        <v>0</v>
      </c>
      <c r="B490" s="153"/>
      <c r="C490" s="154"/>
      <c r="D490" s="154"/>
      <c r="E490" s="161" t="s">
        <v>103</v>
      </c>
      <c r="F490" s="154"/>
      <c r="G490" s="154"/>
      <c r="H490" s="152"/>
      <c r="I490" s="152"/>
      <c r="J490" s="154"/>
      <c r="K490" s="154"/>
      <c r="L490" s="154"/>
      <c r="M490" s="154"/>
      <c r="N490" s="154"/>
      <c r="O490" s="154"/>
      <c r="P490" s="154"/>
      <c r="Q490" s="154"/>
      <c r="R490" s="154"/>
      <c r="S490" s="162"/>
      <c r="T490" s="162"/>
      <c r="U490" s="162"/>
      <c r="V490" s="162"/>
      <c r="W490" s="162"/>
      <c r="X490" s="163"/>
      <c r="Y490" s="163"/>
      <c r="Z490" s="163"/>
      <c r="AA490" s="163"/>
      <c r="AB490" s="163"/>
      <c r="AC490" s="163"/>
      <c r="AD490" s="164"/>
      <c r="AE490" s="148">
        <f>IF(SUM(S491:S492)&gt;0,IFERROR(TRUNC(A490,0),0),0)</f>
        <v>0</v>
      </c>
      <c r="AF490" s="149"/>
      <c r="AG490" s="150"/>
      <c r="AH490" s="159"/>
      <c r="AI490" s="160"/>
      <c r="AJ490" s="105"/>
      <c r="AK490" s="105"/>
      <c r="AM490" s="105"/>
      <c r="AN490" s="105"/>
      <c r="AO490" s="105"/>
      <c r="AP490" s="105"/>
      <c r="AQ490" s="105"/>
      <c r="AR490" s="105"/>
    </row>
    <row r="491" spans="1:44" s="49" customFormat="1" ht="40.15" hidden="1" customHeight="1">
      <c r="A491" s="152">
        <f t="shared" ca="1" si="875"/>
        <v>0</v>
      </c>
      <c r="B491" s="153">
        <v>95876</v>
      </c>
      <c r="C491" s="154" t="str">
        <f>TEXT(B491,"0")</f>
        <v>95876</v>
      </c>
      <c r="D491" s="154" t="s">
        <v>1416</v>
      </c>
      <c r="E491" s="155" t="s">
        <v>3537</v>
      </c>
      <c r="F491" s="154">
        <f>IF(Dados_DMT!$B$34&lt;30,Dados_DMT!$B$34,30)</f>
        <v>30</v>
      </c>
      <c r="G491" s="154" t="s">
        <v>3538</v>
      </c>
      <c r="H491" s="152">
        <v>2.09</v>
      </c>
      <c r="I491" s="152">
        <v>2.1</v>
      </c>
      <c r="J491" s="156"/>
      <c r="K491" s="156">
        <f>ROUND(Dre_Profunda!I74*F491,2)</f>
        <v>0</v>
      </c>
      <c r="L491" s="156">
        <f>IF($K491&gt;$J491,$K491-$J491,0)</f>
        <v>0</v>
      </c>
      <c r="M491" s="156">
        <f>IF($K491&lt;$J491,$J491-$K491,0)</f>
        <v>0</v>
      </c>
      <c r="N491" s="156" t="s">
        <v>83</v>
      </c>
      <c r="O491" s="157" cm="1">
        <f t="array" ref="O491">TRUNC($H491*(1+_xlfn.SWITCH($N491,"BDI 1",$O$6,"BDI 2",$O$7,"BDI 3",$O$8)),2)</f>
        <v>2.52</v>
      </c>
      <c r="P491" s="157" cm="1">
        <f t="array" ref="P491">TRUNC($I491*(1+_xlfn.SWITCH($N491,"BDI 1",$P$6,"BDI 2",$P$7,"BDI 3",$P$8)),2)</f>
        <v>2.66</v>
      </c>
      <c r="Q491" s="157">
        <v>0</v>
      </c>
      <c r="R491" s="157">
        <f>$Q491-($Q491*LICITACAO_DESCONTO)</f>
        <v>0</v>
      </c>
      <c r="S491" s="156">
        <f>TRUNC($K491*$O491,2)</f>
        <v>0</v>
      </c>
      <c r="T491" s="156">
        <f>TRUNC($K491*$P491,2)</f>
        <v>0</v>
      </c>
      <c r="U491" s="156">
        <f>TRUNC($J491*$R491,2)</f>
        <v>0</v>
      </c>
      <c r="V491" s="156">
        <f>TRUNC($K491*$Q491,2)</f>
        <v>0</v>
      </c>
      <c r="W491" s="156">
        <f>TRUNC(V491-U491,2)</f>
        <v>0</v>
      </c>
      <c r="X491" s="158">
        <f>$S491/ORCAMENTO_VALOR_TOTAL_ND</f>
        <v>0</v>
      </c>
      <c r="Y491" s="158">
        <f>$T491/ORCAMENTO_VALOR_TOTAL_DE</f>
        <v>0</v>
      </c>
      <c r="Z491" s="158" cm="1">
        <f t="array" ref="Z491">_xlfn.SWITCH($N491,"BDI 1",$O$6,"BDI 2",$O$7,"BDI 3",$O$8)</f>
        <v>0.20699999999999999</v>
      </c>
      <c r="AA491" s="158" cm="1">
        <f t="array" ref="AA491">_xlfn.SWITCH($N491,"BDI 1",$P$6,"BDI 2",$P$7,"BDI 3",$P$8)</f>
        <v>0.26739999999999997</v>
      </c>
      <c r="AB491" s="158">
        <f ca="1">IFERROR($S491/_xlfn.XLOOKUP($AE491,$B$16:$B$38,$S$16:$S$38),0)</f>
        <v>0</v>
      </c>
      <c r="AC491" s="158">
        <f ca="1">IFERROR($T491/_xlfn.XLOOKUP($AE491,$B$16:$B$38,$T$16:$T$38),0)</f>
        <v>0</v>
      </c>
      <c r="AD491" s="164"/>
      <c r="AE491" s="148">
        <f>IF(S491&gt;0,IFERROR(TRUNC(A491,0),0),0)</f>
        <v>0</v>
      </c>
      <c r="AF491" s="149"/>
      <c r="AG491" s="150"/>
      <c r="AH491" s="159" t="e">
        <f>S491/$S$455</f>
        <v>#DIV/0!</v>
      </c>
      <c r="AI491" s="166">
        <f>IF(K491=0,0,K491/F491)</f>
        <v>0</v>
      </c>
      <c r="AJ491" s="105"/>
      <c r="AK491" s="105"/>
      <c r="AM491" s="105"/>
      <c r="AN491" s="105"/>
      <c r="AO491" s="105"/>
      <c r="AP491" s="105"/>
      <c r="AQ491" s="105"/>
      <c r="AR491" s="105"/>
    </row>
    <row r="492" spans="1:44" s="49" customFormat="1" ht="40.15" hidden="1" customHeight="1">
      <c r="A492" s="152">
        <f t="shared" ca="1" si="875"/>
        <v>0</v>
      </c>
      <c r="B492" s="153">
        <v>93593</v>
      </c>
      <c r="C492" s="154" t="str">
        <f>TEXT(B492,"0")</f>
        <v>93593</v>
      </c>
      <c r="D492" s="154" t="s">
        <v>1416</v>
      </c>
      <c r="E492" s="155" t="s">
        <v>3545</v>
      </c>
      <c r="F492" s="154">
        <f>Dados_DMT!$B$34-F491</f>
        <v>80</v>
      </c>
      <c r="G492" s="154" t="s">
        <v>3538</v>
      </c>
      <c r="H492" s="152">
        <v>0.84</v>
      </c>
      <c r="I492" s="152">
        <v>0.85</v>
      </c>
      <c r="J492" s="156"/>
      <c r="K492" s="156">
        <f>ROUND(Dre_Profunda!I74*F492,2)</f>
        <v>0</v>
      </c>
      <c r="L492" s="156">
        <f>IF($K492&gt;$J492,$K492-$J492,0)</f>
        <v>0</v>
      </c>
      <c r="M492" s="156">
        <f>IF($K492&lt;$J492,$J492-$K492,0)</f>
        <v>0</v>
      </c>
      <c r="N492" s="156" t="s">
        <v>83</v>
      </c>
      <c r="O492" s="157" cm="1">
        <f t="array" ref="O492">TRUNC($H492*(1+_xlfn.SWITCH($N492,"BDI 1",$O$6,"BDI 2",$O$7,"BDI 3",$O$8)),2)</f>
        <v>1.01</v>
      </c>
      <c r="P492" s="157" cm="1">
        <f t="array" ref="P492">TRUNC($I492*(1+_xlfn.SWITCH($N492,"BDI 1",$P$6,"BDI 2",$P$7,"BDI 3",$P$8)),2)</f>
        <v>1.07</v>
      </c>
      <c r="Q492" s="157">
        <v>0</v>
      </c>
      <c r="R492" s="157">
        <f>$Q492-($Q492*LICITACAO_DESCONTO)</f>
        <v>0</v>
      </c>
      <c r="S492" s="156">
        <f>TRUNC($K492*$O492,2)</f>
        <v>0</v>
      </c>
      <c r="T492" s="156">
        <f>TRUNC($K492*$P492,2)</f>
        <v>0</v>
      </c>
      <c r="U492" s="156">
        <f>TRUNC($J492*$R492,2)</f>
        <v>0</v>
      </c>
      <c r="V492" s="156">
        <f>TRUNC($K492*$Q492,2)</f>
        <v>0</v>
      </c>
      <c r="W492" s="156">
        <f>TRUNC(V492-U492,2)</f>
        <v>0</v>
      </c>
      <c r="X492" s="158">
        <f>$S492/ORCAMENTO_VALOR_TOTAL_ND</f>
        <v>0</v>
      </c>
      <c r="Y492" s="158">
        <f>$T492/ORCAMENTO_VALOR_TOTAL_DE</f>
        <v>0</v>
      </c>
      <c r="Z492" s="158" cm="1">
        <f t="array" ref="Z492">_xlfn.SWITCH($N492,"BDI 1",$O$6,"BDI 2",$O$7,"BDI 3",$O$8)</f>
        <v>0.20699999999999999</v>
      </c>
      <c r="AA492" s="158" cm="1">
        <f t="array" ref="AA492">_xlfn.SWITCH($N492,"BDI 1",$P$6,"BDI 2",$P$7,"BDI 3",$P$8)</f>
        <v>0.26739999999999997</v>
      </c>
      <c r="AB492" s="158">
        <f ca="1">IFERROR($S492/_xlfn.XLOOKUP($AE492,$B$16:$B$38,$S$16:$S$38),0)</f>
        <v>0</v>
      </c>
      <c r="AC492" s="158">
        <f ca="1">IFERROR($T492/_xlfn.XLOOKUP($AE492,$B$16:$B$38,$T$16:$T$38),0)</f>
        <v>0</v>
      </c>
      <c r="AD492" s="164"/>
      <c r="AE492" s="148">
        <f t="shared" ref="AE492" si="943">IF(S492&gt;0,IFERROR(TRUNC(A492,0),0),0)</f>
        <v>0</v>
      </c>
      <c r="AF492" s="149"/>
      <c r="AG492" s="150"/>
      <c r="AH492" s="159" t="e">
        <f>S492/$S$455</f>
        <v>#DIV/0!</v>
      </c>
      <c r="AI492" s="166">
        <f>IF(K492=0,0,K492/F492)</f>
        <v>0</v>
      </c>
      <c r="AJ492" s="105"/>
      <c r="AK492" s="105"/>
      <c r="AM492" s="105"/>
      <c r="AN492" s="105"/>
      <c r="AO492" s="105"/>
      <c r="AP492" s="105"/>
      <c r="AQ492" s="105"/>
      <c r="AR492" s="105"/>
    </row>
    <row r="493" spans="1:44" s="49" customFormat="1" ht="40.15" hidden="1" customHeight="1">
      <c r="A493" s="10">
        <f t="shared" ca="1" si="875"/>
        <v>0</v>
      </c>
      <c r="B493" s="153"/>
      <c r="C493" s="154"/>
      <c r="D493" s="154"/>
      <c r="E493" s="155"/>
      <c r="F493" s="154"/>
      <c r="G493" s="154"/>
      <c r="H493" s="154"/>
      <c r="I493" s="154"/>
      <c r="J493" s="168"/>
      <c r="K493" s="168"/>
      <c r="L493" s="168"/>
      <c r="M493" s="168"/>
      <c r="N493" s="168"/>
      <c r="O493" s="157"/>
      <c r="P493" s="157"/>
      <c r="Q493" s="157"/>
      <c r="R493" s="157"/>
      <c r="S493" s="162"/>
      <c r="T493" s="162"/>
      <c r="U493" s="162"/>
      <c r="V493" s="162"/>
      <c r="W493" s="162"/>
      <c r="X493" s="163"/>
      <c r="Y493" s="163"/>
      <c r="Z493" s="163"/>
      <c r="AA493" s="163"/>
      <c r="AB493" s="163"/>
      <c r="AC493" s="163"/>
      <c r="AD493" s="164"/>
      <c r="AE493" s="148">
        <f>IF(S494&gt;0,IFERROR(TRUNC(A494,0),0),0)</f>
        <v>0</v>
      </c>
      <c r="AF493" s="149"/>
      <c r="AG493" s="150"/>
      <c r="AH493" s="159"/>
      <c r="AI493" s="160"/>
      <c r="AJ493" s="105"/>
      <c r="AK493" s="105"/>
      <c r="AM493" s="105"/>
      <c r="AN493" s="105"/>
      <c r="AO493" s="105"/>
      <c r="AP493" s="105"/>
      <c r="AQ493" s="105"/>
      <c r="AR493" s="105"/>
    </row>
    <row r="494" spans="1:44" s="105" customFormat="1" ht="40.15" hidden="1" customHeight="1">
      <c r="A494" s="169">
        <f ca="1">$B$25</f>
        <v>0</v>
      </c>
      <c r="B494" s="170"/>
      <c r="C494" s="171"/>
      <c r="D494" s="172"/>
      <c r="E494" s="173" t="str">
        <f>$D$25</f>
        <v>MICRODRENAGEM - RECOMPOSIÇÃO DO PAVIMENTO</v>
      </c>
      <c r="F494" s="174">
        <v>0</v>
      </c>
      <c r="G494" s="175"/>
      <c r="H494" s="176" t="s">
        <v>246</v>
      </c>
      <c r="I494" s="176" t="s">
        <v>246</v>
      </c>
      <c r="J494" s="177"/>
      <c r="K494" s="177"/>
      <c r="L494" s="177"/>
      <c r="M494" s="177"/>
      <c r="N494" s="177"/>
      <c r="O494" s="178" t="str">
        <f ca="1">CONCATENATE("SUB-TOTAL ",$A494)</f>
        <v>SUB-TOTAL 0</v>
      </c>
      <c r="P494" s="178" t="e" cm="1">
        <f t="array" ref="P494">TRUNC($I494*(1+_xlfn.SWITCH($N494,"BDI 1",$P$6,"BDI 2",$P$7,"BDI 3",$P$8)),2)</f>
        <v>#VALUE!</v>
      </c>
      <c r="Q494" s="178" t="str">
        <f ca="1">CONCATENATE("SUB-TOTAL ",$A494)</f>
        <v>SUB-TOTAL 0</v>
      </c>
      <c r="R494" s="178"/>
      <c r="S494" s="179">
        <f>SUM(S495:S569)</f>
        <v>0</v>
      </c>
      <c r="T494" s="179">
        <f>SUM(T495:T569)</f>
        <v>0</v>
      </c>
      <c r="U494" s="179">
        <f>SUM(U495:U568)</f>
        <v>0</v>
      </c>
      <c r="V494" s="179">
        <f>SUM(V495:V568)</f>
        <v>0</v>
      </c>
      <c r="W494" s="179">
        <f t="shared" ref="W494:W512" si="944">TRUNC(V494-U494,2)</f>
        <v>0</v>
      </c>
      <c r="X494" s="180">
        <f t="shared" ref="X494" si="945">$S494/ORCAMENTO_VALOR_TOTAL_ND</f>
        <v>0</v>
      </c>
      <c r="Y494" s="180">
        <f t="shared" ref="Y494" si="946">$T494/ORCAMENTO_VALOR_TOTAL_DE</f>
        <v>0</v>
      </c>
      <c r="Z494" s="180"/>
      <c r="AA494" s="180"/>
      <c r="AB494" s="180">
        <f>IFERROR($S494/$S494,0)</f>
        <v>0</v>
      </c>
      <c r="AC494" s="180">
        <f>IFERROR($T494/$T494,0)</f>
        <v>0</v>
      </c>
      <c r="AD494" s="147"/>
      <c r="AE494" s="148">
        <f t="shared" ref="AE494:AE512" si="947">IF(S494&gt;0,IFERROR(TRUNC(A494,0),0),0)</f>
        <v>0</v>
      </c>
      <c r="AF494" s="149"/>
      <c r="AG494" s="150"/>
      <c r="AH494" s="151" t="e">
        <f t="shared" ref="AH494:AH512" si="948">S494/$S$494</f>
        <v>#DIV/0!</v>
      </c>
    </row>
    <row r="495" spans="1:44" s="49" customFormat="1" ht="49.9" hidden="1" customHeight="1">
      <c r="A495" s="152">
        <f t="shared" ref="A495:A558" ca="1" si="949">IF(K495&gt;0,A494+0.01,A494)</f>
        <v>0</v>
      </c>
      <c r="B495" s="153">
        <v>90105</v>
      </c>
      <c r="C495" s="154" t="str">
        <f t="shared" ref="C495:C512" si="950">TEXT(B495,"0")</f>
        <v>90105</v>
      </c>
      <c r="D495" s="154" t="s">
        <v>1416</v>
      </c>
      <c r="E495" s="155" t="s">
        <v>3630</v>
      </c>
      <c r="F495" s="154"/>
      <c r="G495" s="154" t="s">
        <v>464</v>
      </c>
      <c r="H495" s="152">
        <v>8.68</v>
      </c>
      <c r="I495" s="152">
        <v>8.3800000000000008</v>
      </c>
      <c r="J495" s="156"/>
      <c r="K495" s="156">
        <f>+Dre_Fecha_Vala!U16</f>
        <v>0</v>
      </c>
      <c r="L495" s="156">
        <f t="shared" ref="L495:L512" si="951">IF($K495&gt;$J495,$K495-$J495,0)</f>
        <v>0</v>
      </c>
      <c r="M495" s="156">
        <f t="shared" ref="M495:M512" si="952">IF($K495&lt;$J495,$J495-$K495,0)</f>
        <v>0</v>
      </c>
      <c r="N495" s="156" t="s">
        <v>83</v>
      </c>
      <c r="O495" s="157" cm="1">
        <f t="array" ref="O495">TRUNC($H495*(1+_xlfn.SWITCH($N495,"BDI 1",$O$6,"BDI 2",$O$7,"BDI 3",$O$8)),2)</f>
        <v>10.47</v>
      </c>
      <c r="P495" s="157" cm="1">
        <f t="array" ref="P495">TRUNC($I495*(1+_xlfn.SWITCH($N495,"BDI 1",$P$6,"BDI 2",$P$7,"BDI 3",$P$8)),2)</f>
        <v>10.62</v>
      </c>
      <c r="Q495" s="157">
        <v>0</v>
      </c>
      <c r="R495" s="157">
        <f t="shared" ref="R495:R512" si="953">$Q495-($Q495*LICITACAO_DESCONTO)</f>
        <v>0</v>
      </c>
      <c r="S495" s="156">
        <f t="shared" ref="S495:S512" si="954">TRUNC($K495*$O495,2)</f>
        <v>0</v>
      </c>
      <c r="T495" s="156">
        <f t="shared" ref="T495:T512" si="955">TRUNC($K495*$P495,2)</f>
        <v>0</v>
      </c>
      <c r="U495" s="156">
        <f t="shared" ref="U495:U512" si="956">TRUNC($J495*$R495,2)</f>
        <v>0</v>
      </c>
      <c r="V495" s="156">
        <f t="shared" ref="V495:V512" si="957">TRUNC($K495*$Q495,2)</f>
        <v>0</v>
      </c>
      <c r="W495" s="156">
        <f t="shared" si="944"/>
        <v>0</v>
      </c>
      <c r="X495" s="158">
        <f t="shared" ref="X495" si="958">$S495/ORCAMENTO_VALOR_TOTAL_ND</f>
        <v>0</v>
      </c>
      <c r="Y495" s="158">
        <f t="shared" ref="Y495" si="959">$T495/ORCAMENTO_VALOR_TOTAL_DE</f>
        <v>0</v>
      </c>
      <c r="Z495" s="158" cm="1">
        <f t="array" ref="Z495">_xlfn.SWITCH($N495,"BDI 1",$O$6,"BDI 2",$O$7,"BDI 3",$O$8)</f>
        <v>0.20699999999999999</v>
      </c>
      <c r="AA495" s="158" cm="1">
        <f t="array" ref="AA495">_xlfn.SWITCH($N495,"BDI 1",$P$6,"BDI 2",$P$7,"BDI 3",$P$8)</f>
        <v>0.26739999999999997</v>
      </c>
      <c r="AB495" s="158">
        <f t="shared" ref="AB495:AB512" ca="1" si="960">IFERROR($S495/_xlfn.XLOOKUP($AE495,$B$16:$B$38,$S$16:$S$38),0)</f>
        <v>0</v>
      </c>
      <c r="AC495" s="158">
        <f t="shared" ref="AC495:AC512" ca="1" si="961">IFERROR($T495/_xlfn.XLOOKUP($AE495,$B$16:$B$38,$T$16:$T$38),0)</f>
        <v>0</v>
      </c>
      <c r="AD495" s="164"/>
      <c r="AE495" s="148">
        <f t="shared" si="947"/>
        <v>0</v>
      </c>
      <c r="AF495" s="149"/>
      <c r="AG495" s="150"/>
      <c r="AH495" s="159" t="e">
        <f t="shared" si="948"/>
        <v>#DIV/0!</v>
      </c>
      <c r="AI495" s="160"/>
      <c r="AJ495" s="105"/>
      <c r="AK495" s="105"/>
      <c r="AM495" s="105"/>
      <c r="AN495" s="105"/>
      <c r="AO495" s="105"/>
      <c r="AP495" s="105"/>
      <c r="AQ495" s="105"/>
      <c r="AR495" s="105"/>
    </row>
    <row r="496" spans="1:44" s="49" customFormat="1" ht="49.9" hidden="1" customHeight="1">
      <c r="A496" s="152">
        <f t="shared" ca="1" si="949"/>
        <v>0</v>
      </c>
      <c r="B496" s="153">
        <v>101230</v>
      </c>
      <c r="C496" s="154" t="str">
        <f t="shared" si="950"/>
        <v>101230</v>
      </c>
      <c r="D496" s="154" t="s">
        <v>1416</v>
      </c>
      <c r="E496" s="155" t="s">
        <v>3677</v>
      </c>
      <c r="F496" s="154"/>
      <c r="G496" s="154" t="s">
        <v>464</v>
      </c>
      <c r="H496" s="152">
        <v>10.7</v>
      </c>
      <c r="I496" s="152">
        <v>10.73</v>
      </c>
      <c r="J496" s="156"/>
      <c r="K496" s="156">
        <f>IF(K497=0,Dre_Fecha_Vala!U27,0)+IF(K499=0,Dre_Fecha_Vala!U29,0)</f>
        <v>0</v>
      </c>
      <c r="L496" s="156">
        <f t="shared" si="951"/>
        <v>0</v>
      </c>
      <c r="M496" s="156">
        <f t="shared" si="952"/>
        <v>0</v>
      </c>
      <c r="N496" s="156" t="s">
        <v>83</v>
      </c>
      <c r="O496" s="157" cm="1">
        <f t="array" ref="O496">TRUNC($H496*(1+_xlfn.SWITCH($N496,"BDI 1",$O$6,"BDI 2",$O$7,"BDI 3",$O$8)),2)</f>
        <v>12.91</v>
      </c>
      <c r="P496" s="157" cm="1">
        <f t="array" ref="P496">TRUNC($I496*(1+_xlfn.SWITCH($N496,"BDI 1",$P$6,"BDI 2",$P$7,"BDI 3",$P$8)),2)</f>
        <v>13.59</v>
      </c>
      <c r="Q496" s="157">
        <v>0</v>
      </c>
      <c r="R496" s="157">
        <f t="shared" si="953"/>
        <v>0</v>
      </c>
      <c r="S496" s="156">
        <f t="shared" si="954"/>
        <v>0</v>
      </c>
      <c r="T496" s="156">
        <f t="shared" si="955"/>
        <v>0</v>
      </c>
      <c r="U496" s="156">
        <f t="shared" si="956"/>
        <v>0</v>
      </c>
      <c r="V496" s="156">
        <f t="shared" si="957"/>
        <v>0</v>
      </c>
      <c r="W496" s="156">
        <f t="shared" si="944"/>
        <v>0</v>
      </c>
      <c r="X496" s="158">
        <f t="shared" ref="X496" si="962">$S496/ORCAMENTO_VALOR_TOTAL_ND</f>
        <v>0</v>
      </c>
      <c r="Y496" s="158">
        <f t="shared" ref="Y496" si="963">$T496/ORCAMENTO_VALOR_TOTAL_DE</f>
        <v>0</v>
      </c>
      <c r="Z496" s="158" cm="1">
        <f t="array" ref="Z496">_xlfn.SWITCH($N496,"BDI 1",$O$6,"BDI 2",$O$7,"BDI 3",$O$8)</f>
        <v>0.20699999999999999</v>
      </c>
      <c r="AA496" s="158" cm="1">
        <f t="array" ref="AA496">_xlfn.SWITCH($N496,"BDI 1",$P$6,"BDI 2",$P$7,"BDI 3",$P$8)</f>
        <v>0.26739999999999997</v>
      </c>
      <c r="AB496" s="158">
        <f t="shared" ca="1" si="960"/>
        <v>0</v>
      </c>
      <c r="AC496" s="158">
        <f t="shared" ca="1" si="961"/>
        <v>0</v>
      </c>
      <c r="AD496" s="164"/>
      <c r="AE496" s="148">
        <f t="shared" si="947"/>
        <v>0</v>
      </c>
      <c r="AF496" s="149"/>
      <c r="AG496" s="150"/>
      <c r="AH496" s="159" t="e">
        <f t="shared" si="948"/>
        <v>#DIV/0!</v>
      </c>
      <c r="AI496" s="160"/>
      <c r="AJ496" s="105"/>
      <c r="AK496" s="105"/>
      <c r="AM496" s="105"/>
      <c r="AN496" s="105"/>
      <c r="AO496" s="105"/>
      <c r="AP496" s="105"/>
      <c r="AQ496" s="105"/>
      <c r="AR496" s="105"/>
    </row>
    <row r="497" spans="1:44" s="49" customFormat="1" ht="40.15" hidden="1" customHeight="1">
      <c r="A497" s="152">
        <f t="shared" ca="1" si="949"/>
        <v>0</v>
      </c>
      <c r="B497" s="153">
        <v>6079</v>
      </c>
      <c r="C497" s="154" t="str">
        <f t="shared" si="950"/>
        <v>6079</v>
      </c>
      <c r="D497" s="154" t="s">
        <v>3579</v>
      </c>
      <c r="E497" s="155" t="s">
        <v>3679</v>
      </c>
      <c r="F497" s="154"/>
      <c r="G497" s="154" t="s">
        <v>464</v>
      </c>
      <c r="H497" s="152">
        <v>37.35</v>
      </c>
      <c r="I497" s="152">
        <v>37.35</v>
      </c>
      <c r="J497" s="156"/>
      <c r="K497" s="156">
        <f>IF(AI497="COMERCIAL",+Dre_Fecha_Vala!U27,0)</f>
        <v>0</v>
      </c>
      <c r="L497" s="156">
        <f t="shared" si="951"/>
        <v>0</v>
      </c>
      <c r="M497" s="156">
        <f t="shared" si="952"/>
        <v>0</v>
      </c>
      <c r="N497" s="156" t="s">
        <v>92</v>
      </c>
      <c r="O497" s="157" cm="1">
        <f t="array" ref="O497">TRUNC($H497*(1+_xlfn.SWITCH($N497,"BDI 1",$O$6,"BDI 2",$O$7,"BDI 3",$O$8)),2)</f>
        <v>43.05</v>
      </c>
      <c r="P497" s="157" cm="1">
        <f t="array" ref="P497">TRUNC($I497*(1+_xlfn.SWITCH($N497,"BDI 1",$P$6,"BDI 2",$P$7,"BDI 3",$P$8)),2)</f>
        <v>43.05</v>
      </c>
      <c r="Q497" s="157">
        <v>0</v>
      </c>
      <c r="R497" s="157">
        <f t="shared" si="953"/>
        <v>0</v>
      </c>
      <c r="S497" s="156">
        <f t="shared" si="954"/>
        <v>0</v>
      </c>
      <c r="T497" s="156">
        <f t="shared" si="955"/>
        <v>0</v>
      </c>
      <c r="U497" s="156">
        <f t="shared" si="956"/>
        <v>0</v>
      </c>
      <c r="V497" s="156">
        <f t="shared" si="957"/>
        <v>0</v>
      </c>
      <c r="W497" s="156">
        <f t="shared" si="944"/>
        <v>0</v>
      </c>
      <c r="X497" s="158">
        <f t="shared" ref="X497" si="964">$S497/ORCAMENTO_VALOR_TOTAL_ND</f>
        <v>0</v>
      </c>
      <c r="Y497" s="158">
        <f t="shared" ref="Y497" si="965">$T497/ORCAMENTO_VALOR_TOTAL_DE</f>
        <v>0</v>
      </c>
      <c r="Z497" s="158" cm="1">
        <f t="array" ref="Z497">_xlfn.SWITCH($N497,"BDI 1",$O$6,"BDI 2",$O$7,"BDI 3",$O$8)</f>
        <v>0.1527</v>
      </c>
      <c r="AA497" s="158" cm="1">
        <f t="array" ref="AA497">_xlfn.SWITCH($N497,"BDI 1",$P$6,"BDI 2",$P$7,"BDI 3",$P$8)</f>
        <v>0.1527</v>
      </c>
      <c r="AB497" s="158">
        <f t="shared" ca="1" si="960"/>
        <v>0</v>
      </c>
      <c r="AC497" s="158">
        <f t="shared" ca="1" si="961"/>
        <v>0</v>
      </c>
      <c r="AD497" s="164"/>
      <c r="AE497" s="148">
        <f t="shared" si="947"/>
        <v>0</v>
      </c>
      <c r="AF497" s="149"/>
      <c r="AG497" s="150"/>
      <c r="AH497" s="159" t="e">
        <f t="shared" si="948"/>
        <v>#DIV/0!</v>
      </c>
      <c r="AI497" s="165" t="s">
        <v>243</v>
      </c>
      <c r="AJ497" s="105"/>
      <c r="AK497" s="105"/>
      <c r="AM497" s="105"/>
      <c r="AN497" s="105"/>
      <c r="AO497" s="105"/>
      <c r="AP497" s="105"/>
      <c r="AQ497" s="105"/>
      <c r="AR497" s="105"/>
    </row>
    <row r="498" spans="1:44" s="49" customFormat="1" ht="40.15" hidden="1" customHeight="1">
      <c r="A498" s="152">
        <f t="shared" ca="1" si="949"/>
        <v>0</v>
      </c>
      <c r="B498" s="153">
        <v>4721</v>
      </c>
      <c r="C498" s="154" t="str">
        <f t="shared" si="950"/>
        <v>4721</v>
      </c>
      <c r="D498" s="154" t="s">
        <v>3579</v>
      </c>
      <c r="E498" s="155" t="s">
        <v>3866</v>
      </c>
      <c r="F498" s="154"/>
      <c r="G498" s="154" t="s">
        <v>464</v>
      </c>
      <c r="H498" s="152">
        <v>95.96</v>
      </c>
      <c r="I498" s="152">
        <v>95.96</v>
      </c>
      <c r="J498" s="156"/>
      <c r="K498" s="156">
        <f>+Dre_Fecha_Vala!U28</f>
        <v>0</v>
      </c>
      <c r="L498" s="156">
        <f t="shared" si="951"/>
        <v>0</v>
      </c>
      <c r="M498" s="156">
        <f t="shared" si="952"/>
        <v>0</v>
      </c>
      <c r="N498" s="156" t="s">
        <v>92</v>
      </c>
      <c r="O498" s="157" cm="1">
        <f t="array" ref="O498">TRUNC($H498*(1+_xlfn.SWITCH($N498,"BDI 1",$O$6,"BDI 2",$O$7,"BDI 3",$O$8)),2)</f>
        <v>110.61</v>
      </c>
      <c r="P498" s="157" cm="1">
        <f t="array" ref="P498">TRUNC($I498*(1+_xlfn.SWITCH($N498,"BDI 1",$P$6,"BDI 2",$P$7,"BDI 3",$P$8)),2)</f>
        <v>110.61</v>
      </c>
      <c r="Q498" s="157">
        <v>0</v>
      </c>
      <c r="R498" s="157">
        <f t="shared" si="953"/>
        <v>0</v>
      </c>
      <c r="S498" s="156">
        <f t="shared" si="954"/>
        <v>0</v>
      </c>
      <c r="T498" s="156">
        <f t="shared" si="955"/>
        <v>0</v>
      </c>
      <c r="U498" s="156">
        <f t="shared" si="956"/>
        <v>0</v>
      </c>
      <c r="V498" s="156">
        <f t="shared" si="957"/>
        <v>0</v>
      </c>
      <c r="W498" s="156">
        <f t="shared" si="944"/>
        <v>0</v>
      </c>
      <c r="X498" s="158">
        <f t="shared" ref="X498" si="966">$S498/ORCAMENTO_VALOR_TOTAL_ND</f>
        <v>0</v>
      </c>
      <c r="Y498" s="158">
        <f t="shared" ref="Y498" si="967">$T498/ORCAMENTO_VALOR_TOTAL_DE</f>
        <v>0</v>
      </c>
      <c r="Z498" s="158" cm="1">
        <f t="array" ref="Z498">_xlfn.SWITCH($N498,"BDI 1",$O$6,"BDI 2",$O$7,"BDI 3",$O$8)</f>
        <v>0.1527</v>
      </c>
      <c r="AA498" s="158" cm="1">
        <f t="array" ref="AA498">_xlfn.SWITCH($N498,"BDI 1",$P$6,"BDI 2",$P$7,"BDI 3",$P$8)</f>
        <v>0.1527</v>
      </c>
      <c r="AB498" s="158">
        <f t="shared" ca="1" si="960"/>
        <v>0</v>
      </c>
      <c r="AC498" s="158">
        <f t="shared" ca="1" si="961"/>
        <v>0</v>
      </c>
      <c r="AD498" s="164"/>
      <c r="AE498" s="148">
        <f t="shared" si="947"/>
        <v>0</v>
      </c>
      <c r="AF498" s="149"/>
      <c r="AG498" s="150"/>
      <c r="AH498" s="159" t="e">
        <f t="shared" si="948"/>
        <v>#DIV/0!</v>
      </c>
      <c r="AI498" s="160"/>
      <c r="AJ498" s="105"/>
      <c r="AK498" s="105"/>
      <c r="AM498" s="105"/>
      <c r="AN498" s="105"/>
      <c r="AO498" s="105"/>
      <c r="AP498" s="105"/>
      <c r="AQ498" s="105"/>
      <c r="AR498" s="105"/>
    </row>
    <row r="499" spans="1:44" s="49" customFormat="1" ht="40.15" hidden="1" customHeight="1">
      <c r="A499" s="152">
        <f t="shared" ca="1" si="949"/>
        <v>0</v>
      </c>
      <c r="B499" s="153">
        <v>4743</v>
      </c>
      <c r="C499" s="154" t="str">
        <f t="shared" si="950"/>
        <v>4743</v>
      </c>
      <c r="D499" s="154" t="s">
        <v>3579</v>
      </c>
      <c r="E499" s="155" t="s">
        <v>3867</v>
      </c>
      <c r="F499" s="154"/>
      <c r="G499" s="154" t="s">
        <v>464</v>
      </c>
      <c r="H499" s="152">
        <v>55.95</v>
      </c>
      <c r="I499" s="152">
        <v>55.95</v>
      </c>
      <c r="J499" s="156"/>
      <c r="K499" s="156">
        <f>IF(AI499="COMERCIAL",+Dre_Fecha_Vala!U29,0)</f>
        <v>0</v>
      </c>
      <c r="L499" s="156">
        <f t="shared" si="951"/>
        <v>0</v>
      </c>
      <c r="M499" s="156">
        <f t="shared" si="952"/>
        <v>0</v>
      </c>
      <c r="N499" s="156" t="s">
        <v>92</v>
      </c>
      <c r="O499" s="157" cm="1">
        <f t="array" ref="O499">TRUNC($H499*(1+_xlfn.SWITCH($N499,"BDI 1",$O$6,"BDI 2",$O$7,"BDI 3",$O$8)),2)</f>
        <v>64.489999999999995</v>
      </c>
      <c r="P499" s="157" cm="1">
        <f t="array" ref="P499">TRUNC($I499*(1+_xlfn.SWITCH($N499,"BDI 1",$P$6,"BDI 2",$P$7,"BDI 3",$P$8)),2)</f>
        <v>64.489999999999995</v>
      </c>
      <c r="Q499" s="157">
        <v>0</v>
      </c>
      <c r="R499" s="157">
        <f t="shared" si="953"/>
        <v>0</v>
      </c>
      <c r="S499" s="156">
        <f t="shared" si="954"/>
        <v>0</v>
      </c>
      <c r="T499" s="156">
        <f t="shared" si="955"/>
        <v>0</v>
      </c>
      <c r="U499" s="156">
        <f t="shared" si="956"/>
        <v>0</v>
      </c>
      <c r="V499" s="156">
        <f t="shared" si="957"/>
        <v>0</v>
      </c>
      <c r="W499" s="156">
        <f t="shared" si="944"/>
        <v>0</v>
      </c>
      <c r="X499" s="158">
        <f t="shared" ref="X499" si="968">$S499/ORCAMENTO_VALOR_TOTAL_ND</f>
        <v>0</v>
      </c>
      <c r="Y499" s="158">
        <f t="shared" ref="Y499" si="969">$T499/ORCAMENTO_VALOR_TOTAL_DE</f>
        <v>0</v>
      </c>
      <c r="Z499" s="158" cm="1">
        <f t="array" ref="Z499">_xlfn.SWITCH($N499,"BDI 1",$O$6,"BDI 2",$O$7,"BDI 3",$O$8)</f>
        <v>0.1527</v>
      </c>
      <c r="AA499" s="158" cm="1">
        <f t="array" ref="AA499">_xlfn.SWITCH($N499,"BDI 1",$P$6,"BDI 2",$P$7,"BDI 3",$P$8)</f>
        <v>0.1527</v>
      </c>
      <c r="AB499" s="158">
        <f t="shared" ca="1" si="960"/>
        <v>0</v>
      </c>
      <c r="AC499" s="158">
        <f t="shared" ca="1" si="961"/>
        <v>0</v>
      </c>
      <c r="AD499" s="164"/>
      <c r="AE499" s="148">
        <f t="shared" si="947"/>
        <v>0</v>
      </c>
      <c r="AF499" s="149"/>
      <c r="AG499" s="150"/>
      <c r="AH499" s="159" t="e">
        <f t="shared" si="948"/>
        <v>#DIV/0!</v>
      </c>
      <c r="AI499" s="165" t="s">
        <v>243</v>
      </c>
      <c r="AJ499" s="105"/>
      <c r="AK499" s="105"/>
      <c r="AM499" s="105"/>
      <c r="AN499" s="105"/>
      <c r="AO499" s="105"/>
      <c r="AP499" s="105"/>
      <c r="AQ499" s="105"/>
      <c r="AR499" s="105"/>
    </row>
    <row r="500" spans="1:44" s="49" customFormat="1" ht="40.15" hidden="1" customHeight="1">
      <c r="A500" s="152">
        <f t="shared" ca="1" si="949"/>
        <v>0</v>
      </c>
      <c r="B500" s="153">
        <v>4748</v>
      </c>
      <c r="C500" s="154" t="str">
        <f t="shared" si="950"/>
        <v>4748</v>
      </c>
      <c r="D500" s="154" t="s">
        <v>3579</v>
      </c>
      <c r="E500" s="155" t="s">
        <v>3868</v>
      </c>
      <c r="F500" s="154"/>
      <c r="G500" s="154" t="s">
        <v>464</v>
      </c>
      <c r="H500" s="152">
        <v>88.63</v>
      </c>
      <c r="I500" s="152">
        <v>88.63</v>
      </c>
      <c r="J500" s="156"/>
      <c r="K500" s="156">
        <f>+Dre_Fecha_Vala!U30</f>
        <v>0</v>
      </c>
      <c r="L500" s="156">
        <f t="shared" si="951"/>
        <v>0</v>
      </c>
      <c r="M500" s="156">
        <f t="shared" si="952"/>
        <v>0</v>
      </c>
      <c r="N500" s="156" t="s">
        <v>92</v>
      </c>
      <c r="O500" s="157" cm="1">
        <f t="array" ref="O500">TRUNC($H500*(1+_xlfn.SWITCH($N500,"BDI 1",$O$6,"BDI 2",$O$7,"BDI 3",$O$8)),2)</f>
        <v>102.16</v>
      </c>
      <c r="P500" s="157" cm="1">
        <f t="array" ref="P500">TRUNC($I500*(1+_xlfn.SWITCH($N500,"BDI 1",$P$6,"BDI 2",$P$7,"BDI 3",$P$8)),2)</f>
        <v>102.16</v>
      </c>
      <c r="Q500" s="157">
        <v>0</v>
      </c>
      <c r="R500" s="157">
        <f t="shared" si="953"/>
        <v>0</v>
      </c>
      <c r="S500" s="156">
        <f t="shared" si="954"/>
        <v>0</v>
      </c>
      <c r="T500" s="156">
        <f t="shared" si="955"/>
        <v>0</v>
      </c>
      <c r="U500" s="156">
        <f t="shared" si="956"/>
        <v>0</v>
      </c>
      <c r="V500" s="156">
        <f t="shared" si="957"/>
        <v>0</v>
      </c>
      <c r="W500" s="156">
        <f t="shared" si="944"/>
        <v>0</v>
      </c>
      <c r="X500" s="158">
        <f t="shared" ref="X500" si="970">$S500/ORCAMENTO_VALOR_TOTAL_ND</f>
        <v>0</v>
      </c>
      <c r="Y500" s="158">
        <f t="shared" ref="Y500" si="971">$T500/ORCAMENTO_VALOR_TOTAL_DE</f>
        <v>0</v>
      </c>
      <c r="Z500" s="158" cm="1">
        <f t="array" ref="Z500">_xlfn.SWITCH($N500,"BDI 1",$O$6,"BDI 2",$O$7,"BDI 3",$O$8)</f>
        <v>0.1527</v>
      </c>
      <c r="AA500" s="158" cm="1">
        <f t="array" ref="AA500">_xlfn.SWITCH($N500,"BDI 1",$P$6,"BDI 2",$P$7,"BDI 3",$P$8)</f>
        <v>0.1527</v>
      </c>
      <c r="AB500" s="158">
        <f t="shared" ca="1" si="960"/>
        <v>0</v>
      </c>
      <c r="AC500" s="158">
        <f t="shared" ca="1" si="961"/>
        <v>0</v>
      </c>
      <c r="AD500" s="164"/>
      <c r="AE500" s="148">
        <f t="shared" si="947"/>
        <v>0</v>
      </c>
      <c r="AF500" s="149"/>
      <c r="AG500" s="150"/>
      <c r="AH500" s="159" t="e">
        <f t="shared" si="948"/>
        <v>#DIV/0!</v>
      </c>
      <c r="AI500" s="160"/>
      <c r="AJ500" s="105"/>
      <c r="AK500" s="105"/>
      <c r="AM500" s="105"/>
      <c r="AN500" s="105"/>
      <c r="AO500" s="105"/>
      <c r="AP500" s="105"/>
      <c r="AQ500" s="105"/>
      <c r="AR500" s="105"/>
    </row>
    <row r="501" spans="1:44" s="49" customFormat="1" ht="40.15" hidden="1" customHeight="1">
      <c r="A501" s="152">
        <f t="shared" ca="1" si="949"/>
        <v>0</v>
      </c>
      <c r="B501" s="153">
        <v>4729</v>
      </c>
      <c r="C501" s="154" t="str">
        <f t="shared" si="950"/>
        <v>4729</v>
      </c>
      <c r="D501" s="154" t="s">
        <v>3579</v>
      </c>
      <c r="E501" s="155" t="s">
        <v>3869</v>
      </c>
      <c r="F501" s="154"/>
      <c r="G501" s="154" t="s">
        <v>464</v>
      </c>
      <c r="H501" s="152">
        <v>96.69</v>
      </c>
      <c r="I501" s="152">
        <v>96.69</v>
      </c>
      <c r="J501" s="156"/>
      <c r="K501" s="156">
        <f>Dre_Fecha_Vala!U31</f>
        <v>0</v>
      </c>
      <c r="L501" s="156">
        <f t="shared" si="951"/>
        <v>0</v>
      </c>
      <c r="M501" s="156">
        <f t="shared" si="952"/>
        <v>0</v>
      </c>
      <c r="N501" s="156" t="s">
        <v>92</v>
      </c>
      <c r="O501" s="157" cm="1">
        <f t="array" ref="O501">TRUNC($H501*(1+_xlfn.SWITCH($N501,"BDI 1",$O$6,"BDI 2",$O$7,"BDI 3",$O$8)),2)</f>
        <v>111.45</v>
      </c>
      <c r="P501" s="157" cm="1">
        <f t="array" ref="P501">TRUNC($I501*(1+_xlfn.SWITCH($N501,"BDI 1",$P$6,"BDI 2",$P$7,"BDI 3",$P$8)),2)</f>
        <v>111.45</v>
      </c>
      <c r="Q501" s="157">
        <v>0</v>
      </c>
      <c r="R501" s="157">
        <f t="shared" si="953"/>
        <v>0</v>
      </c>
      <c r="S501" s="156">
        <f t="shared" si="954"/>
        <v>0</v>
      </c>
      <c r="T501" s="156">
        <f t="shared" si="955"/>
        <v>0</v>
      </c>
      <c r="U501" s="156">
        <f t="shared" si="956"/>
        <v>0</v>
      </c>
      <c r="V501" s="156">
        <f t="shared" si="957"/>
        <v>0</v>
      </c>
      <c r="W501" s="156">
        <f t="shared" si="944"/>
        <v>0</v>
      </c>
      <c r="X501" s="158">
        <f t="shared" ref="X501" si="972">$S501/ORCAMENTO_VALOR_TOTAL_ND</f>
        <v>0</v>
      </c>
      <c r="Y501" s="158">
        <f t="shared" ref="Y501" si="973">$T501/ORCAMENTO_VALOR_TOTAL_DE</f>
        <v>0</v>
      </c>
      <c r="Z501" s="158" cm="1">
        <f t="array" ref="Z501">_xlfn.SWITCH($N501,"BDI 1",$O$6,"BDI 2",$O$7,"BDI 3",$O$8)</f>
        <v>0.1527</v>
      </c>
      <c r="AA501" s="158" cm="1">
        <f t="array" ref="AA501">_xlfn.SWITCH($N501,"BDI 1",$P$6,"BDI 2",$P$7,"BDI 3",$P$8)</f>
        <v>0.1527</v>
      </c>
      <c r="AB501" s="158">
        <f t="shared" ca="1" si="960"/>
        <v>0</v>
      </c>
      <c r="AC501" s="158">
        <f t="shared" ca="1" si="961"/>
        <v>0</v>
      </c>
      <c r="AD501" s="164"/>
      <c r="AE501" s="148">
        <f t="shared" si="947"/>
        <v>0</v>
      </c>
      <c r="AF501" s="149"/>
      <c r="AG501" s="150"/>
      <c r="AH501" s="159" t="e">
        <f t="shared" si="948"/>
        <v>#DIV/0!</v>
      </c>
      <c r="AI501" s="160"/>
      <c r="AJ501" s="105"/>
      <c r="AK501" s="105"/>
      <c r="AM501" s="105"/>
      <c r="AN501" s="105"/>
      <c r="AO501" s="105"/>
      <c r="AP501" s="105"/>
      <c r="AQ501" s="105"/>
      <c r="AR501" s="105"/>
    </row>
    <row r="502" spans="1:44" s="49" customFormat="1" ht="49.9" hidden="1" customHeight="1">
      <c r="A502" s="152">
        <f t="shared" ca="1" si="949"/>
        <v>0</v>
      </c>
      <c r="B502" s="153">
        <v>101767</v>
      </c>
      <c r="C502" s="154" t="str">
        <f t="shared" si="950"/>
        <v>101767</v>
      </c>
      <c r="D502" s="154" t="s">
        <v>1416</v>
      </c>
      <c r="E502" s="155" t="s">
        <v>3870</v>
      </c>
      <c r="F502" s="154"/>
      <c r="G502" s="154" t="s">
        <v>464</v>
      </c>
      <c r="H502" s="152">
        <v>27.3</v>
      </c>
      <c r="I502" s="152">
        <v>26.65</v>
      </c>
      <c r="J502" s="156"/>
      <c r="K502" s="156">
        <f>+Dre_Fecha_Vala!U19</f>
        <v>0</v>
      </c>
      <c r="L502" s="156">
        <f t="shared" si="951"/>
        <v>0</v>
      </c>
      <c r="M502" s="156">
        <f t="shared" si="952"/>
        <v>0</v>
      </c>
      <c r="N502" s="156" t="s">
        <v>83</v>
      </c>
      <c r="O502" s="157" cm="1">
        <f t="array" ref="O502">TRUNC($H502*(1+_xlfn.SWITCH($N502,"BDI 1",$O$6,"BDI 2",$O$7,"BDI 3",$O$8)),2)</f>
        <v>32.950000000000003</v>
      </c>
      <c r="P502" s="157" cm="1">
        <f t="array" ref="P502">TRUNC($I502*(1+_xlfn.SWITCH($N502,"BDI 1",$P$6,"BDI 2",$P$7,"BDI 3",$P$8)),2)</f>
        <v>33.770000000000003</v>
      </c>
      <c r="Q502" s="157">
        <v>0</v>
      </c>
      <c r="R502" s="157">
        <f t="shared" si="953"/>
        <v>0</v>
      </c>
      <c r="S502" s="156">
        <f t="shared" si="954"/>
        <v>0</v>
      </c>
      <c r="T502" s="156">
        <f t="shared" si="955"/>
        <v>0</v>
      </c>
      <c r="U502" s="156">
        <f t="shared" si="956"/>
        <v>0</v>
      </c>
      <c r="V502" s="156">
        <f t="shared" si="957"/>
        <v>0</v>
      </c>
      <c r="W502" s="156">
        <f t="shared" si="944"/>
        <v>0</v>
      </c>
      <c r="X502" s="158">
        <f t="shared" ref="X502" si="974">$S502/ORCAMENTO_VALOR_TOTAL_ND</f>
        <v>0</v>
      </c>
      <c r="Y502" s="158">
        <f t="shared" ref="Y502" si="975">$T502/ORCAMENTO_VALOR_TOTAL_DE</f>
        <v>0</v>
      </c>
      <c r="Z502" s="158" cm="1">
        <f t="array" ref="Z502">_xlfn.SWITCH($N502,"BDI 1",$O$6,"BDI 2",$O$7,"BDI 3",$O$8)</f>
        <v>0.20699999999999999</v>
      </c>
      <c r="AA502" s="158" cm="1">
        <f t="array" ref="AA502">_xlfn.SWITCH($N502,"BDI 1",$P$6,"BDI 2",$P$7,"BDI 3",$P$8)</f>
        <v>0.26739999999999997</v>
      </c>
      <c r="AB502" s="158">
        <f t="shared" ca="1" si="960"/>
        <v>0</v>
      </c>
      <c r="AC502" s="158">
        <f t="shared" ca="1" si="961"/>
        <v>0</v>
      </c>
      <c r="AD502" s="164"/>
      <c r="AE502" s="148">
        <f t="shared" si="947"/>
        <v>0</v>
      </c>
      <c r="AF502" s="149"/>
      <c r="AG502" s="150"/>
      <c r="AH502" s="159" t="e">
        <f t="shared" si="948"/>
        <v>#DIV/0!</v>
      </c>
      <c r="AI502" s="160"/>
      <c r="AJ502" s="105"/>
      <c r="AK502" s="105"/>
      <c r="AM502" s="105"/>
      <c r="AN502" s="105"/>
      <c r="AO502" s="105"/>
      <c r="AP502" s="105"/>
      <c r="AQ502" s="105"/>
      <c r="AR502" s="105"/>
    </row>
    <row r="503" spans="1:44" s="49" customFormat="1" ht="49.9" hidden="1" customHeight="1">
      <c r="A503" s="152">
        <f t="shared" ca="1" si="949"/>
        <v>0</v>
      </c>
      <c r="B503" s="153">
        <v>101768</v>
      </c>
      <c r="C503" s="154" t="str">
        <f t="shared" si="950"/>
        <v>101768</v>
      </c>
      <c r="D503" s="154" t="s">
        <v>1416</v>
      </c>
      <c r="E503" s="155" t="s">
        <v>3871</v>
      </c>
      <c r="F503" s="154"/>
      <c r="G503" s="154" t="s">
        <v>464</v>
      </c>
      <c r="H503" s="152">
        <v>23.65</v>
      </c>
      <c r="I503" s="152">
        <v>23.25</v>
      </c>
      <c r="J503" s="156"/>
      <c r="K503" s="156">
        <f>Dre_Fecha_Vala!U21</f>
        <v>0</v>
      </c>
      <c r="L503" s="156">
        <f t="shared" si="951"/>
        <v>0</v>
      </c>
      <c r="M503" s="156">
        <f t="shared" si="952"/>
        <v>0</v>
      </c>
      <c r="N503" s="156" t="s">
        <v>83</v>
      </c>
      <c r="O503" s="157" cm="1">
        <f t="array" ref="O503">TRUNC($H503*(1+_xlfn.SWITCH($N503,"BDI 1",$O$6,"BDI 2",$O$7,"BDI 3",$O$8)),2)</f>
        <v>28.54</v>
      </c>
      <c r="P503" s="157" cm="1">
        <f t="array" ref="P503">TRUNC($I503*(1+_xlfn.SWITCH($N503,"BDI 1",$P$6,"BDI 2",$P$7,"BDI 3",$P$8)),2)</f>
        <v>29.46</v>
      </c>
      <c r="Q503" s="157">
        <v>0</v>
      </c>
      <c r="R503" s="157">
        <f t="shared" si="953"/>
        <v>0</v>
      </c>
      <c r="S503" s="156">
        <f t="shared" si="954"/>
        <v>0</v>
      </c>
      <c r="T503" s="156">
        <f t="shared" si="955"/>
        <v>0</v>
      </c>
      <c r="U503" s="156">
        <f t="shared" si="956"/>
        <v>0</v>
      </c>
      <c r="V503" s="156">
        <f t="shared" si="957"/>
        <v>0</v>
      </c>
      <c r="W503" s="156">
        <f t="shared" si="944"/>
        <v>0</v>
      </c>
      <c r="X503" s="158">
        <f t="shared" ref="X503" si="976">$S503/ORCAMENTO_VALOR_TOTAL_ND</f>
        <v>0</v>
      </c>
      <c r="Y503" s="158">
        <f t="shared" ref="Y503" si="977">$T503/ORCAMENTO_VALOR_TOTAL_DE</f>
        <v>0</v>
      </c>
      <c r="Z503" s="158" cm="1">
        <f t="array" ref="Z503">_xlfn.SWITCH($N503,"BDI 1",$O$6,"BDI 2",$O$7,"BDI 3",$O$8)</f>
        <v>0.20699999999999999</v>
      </c>
      <c r="AA503" s="158" cm="1">
        <f t="array" ref="AA503">_xlfn.SWITCH($N503,"BDI 1",$P$6,"BDI 2",$P$7,"BDI 3",$P$8)</f>
        <v>0.26739999999999997</v>
      </c>
      <c r="AB503" s="158">
        <f t="shared" ca="1" si="960"/>
        <v>0</v>
      </c>
      <c r="AC503" s="158">
        <f t="shared" ca="1" si="961"/>
        <v>0</v>
      </c>
      <c r="AD503" s="164"/>
      <c r="AE503" s="148">
        <f t="shared" si="947"/>
        <v>0</v>
      </c>
      <c r="AF503" s="149"/>
      <c r="AG503" s="150"/>
      <c r="AH503" s="159" t="e">
        <f t="shared" si="948"/>
        <v>#DIV/0!</v>
      </c>
      <c r="AI503" s="160"/>
      <c r="AJ503" s="105"/>
      <c r="AK503" s="105"/>
      <c r="AM503" s="105"/>
      <c r="AN503" s="105"/>
      <c r="AO503" s="105"/>
      <c r="AP503" s="105"/>
      <c r="AQ503" s="105"/>
      <c r="AR503" s="105"/>
    </row>
    <row r="504" spans="1:44" s="49" customFormat="1" ht="40.15" hidden="1" customHeight="1">
      <c r="A504" s="152">
        <f t="shared" ca="1" si="949"/>
        <v>0</v>
      </c>
      <c r="B504" s="153" t="s">
        <v>247</v>
      </c>
      <c r="C504" s="154" t="str">
        <f t="shared" si="950"/>
        <v>PA/0018</v>
      </c>
      <c r="D504" s="154" t="s">
        <v>3549</v>
      </c>
      <c r="E504" s="155" t="s">
        <v>3872</v>
      </c>
      <c r="F504" s="154"/>
      <c r="G504" s="154" t="s">
        <v>464</v>
      </c>
      <c r="H504" s="152">
        <v>6.89</v>
      </c>
      <c r="I504" s="152">
        <v>6.5</v>
      </c>
      <c r="J504" s="156"/>
      <c r="K504" s="156"/>
      <c r="L504" s="156">
        <f t="shared" si="951"/>
        <v>0</v>
      </c>
      <c r="M504" s="156">
        <f t="shared" si="952"/>
        <v>0</v>
      </c>
      <c r="N504" s="156" t="s">
        <v>83</v>
      </c>
      <c r="O504" s="157" cm="1">
        <f t="array" ref="O504">TRUNC($H504*(1+_xlfn.SWITCH($N504,"BDI 1",$O$6,"BDI 2",$O$7,"BDI 3",$O$8)),2)</f>
        <v>8.31</v>
      </c>
      <c r="P504" s="157" cm="1">
        <f t="array" ref="P504">TRUNC($I504*(1+_xlfn.SWITCH($N504,"BDI 1",$P$6,"BDI 2",$P$7,"BDI 3",$P$8)),2)</f>
        <v>8.23</v>
      </c>
      <c r="Q504" s="157">
        <v>0</v>
      </c>
      <c r="R504" s="157">
        <f t="shared" si="953"/>
        <v>0</v>
      </c>
      <c r="S504" s="156">
        <f t="shared" si="954"/>
        <v>0</v>
      </c>
      <c r="T504" s="156">
        <f t="shared" si="955"/>
        <v>0</v>
      </c>
      <c r="U504" s="156">
        <f t="shared" si="956"/>
        <v>0</v>
      </c>
      <c r="V504" s="156">
        <f t="shared" si="957"/>
        <v>0</v>
      </c>
      <c r="W504" s="156">
        <f t="shared" si="944"/>
        <v>0</v>
      </c>
      <c r="X504" s="158">
        <f t="shared" ref="X504" si="978">$S504/ORCAMENTO_VALOR_TOTAL_ND</f>
        <v>0</v>
      </c>
      <c r="Y504" s="158">
        <f t="shared" ref="Y504" si="979">$T504/ORCAMENTO_VALOR_TOTAL_DE</f>
        <v>0</v>
      </c>
      <c r="Z504" s="158" cm="1">
        <f t="array" ref="Z504">_xlfn.SWITCH($N504,"BDI 1",$O$6,"BDI 2",$O$7,"BDI 3",$O$8)</f>
        <v>0.20699999999999999</v>
      </c>
      <c r="AA504" s="158" cm="1">
        <f t="array" ref="AA504">_xlfn.SWITCH($N504,"BDI 1",$P$6,"BDI 2",$P$7,"BDI 3",$P$8)</f>
        <v>0.26739999999999997</v>
      </c>
      <c r="AB504" s="158">
        <f t="shared" ca="1" si="960"/>
        <v>0</v>
      </c>
      <c r="AC504" s="158">
        <f t="shared" ca="1" si="961"/>
        <v>0</v>
      </c>
      <c r="AD504" s="164"/>
      <c r="AE504" s="148">
        <f t="shared" si="947"/>
        <v>0</v>
      </c>
      <c r="AF504" s="149"/>
      <c r="AG504" s="150"/>
      <c r="AH504" s="159" t="e">
        <f t="shared" si="948"/>
        <v>#DIV/0!</v>
      </c>
      <c r="AI504" s="160"/>
      <c r="AJ504" s="105"/>
      <c r="AK504" s="105"/>
      <c r="AM504" s="105"/>
      <c r="AN504" s="105"/>
      <c r="AO504" s="105"/>
      <c r="AP504" s="105"/>
      <c r="AQ504" s="105"/>
      <c r="AR504" s="105"/>
    </row>
    <row r="505" spans="1:44" s="49" customFormat="1" ht="40.15" hidden="1" customHeight="1">
      <c r="A505" s="152">
        <f t="shared" ca="1" si="949"/>
        <v>0</v>
      </c>
      <c r="B505" s="153" t="s">
        <v>248</v>
      </c>
      <c r="C505" s="154" t="str">
        <f t="shared" si="950"/>
        <v>PA/0020</v>
      </c>
      <c r="D505" s="154" t="s">
        <v>3549</v>
      </c>
      <c r="E505" s="155" t="s">
        <v>3873</v>
      </c>
      <c r="F505" s="154"/>
      <c r="G505" s="154" t="s">
        <v>464</v>
      </c>
      <c r="H505" s="152">
        <v>13.37</v>
      </c>
      <c r="I505" s="152">
        <v>13.23</v>
      </c>
      <c r="J505" s="156"/>
      <c r="K505" s="156">
        <f>+Dre_Fecha_Vala!U20</f>
        <v>0</v>
      </c>
      <c r="L505" s="156">
        <f t="shared" si="951"/>
        <v>0</v>
      </c>
      <c r="M505" s="156">
        <f t="shared" si="952"/>
        <v>0</v>
      </c>
      <c r="N505" s="156" t="s">
        <v>83</v>
      </c>
      <c r="O505" s="157" cm="1">
        <f t="array" ref="O505">TRUNC($H505*(1+_xlfn.SWITCH($N505,"BDI 1",$O$6,"BDI 2",$O$7,"BDI 3",$O$8)),2)</f>
        <v>16.13</v>
      </c>
      <c r="P505" s="157" cm="1">
        <f t="array" ref="P505">TRUNC($I505*(1+_xlfn.SWITCH($N505,"BDI 1",$P$6,"BDI 2",$P$7,"BDI 3",$P$8)),2)</f>
        <v>16.760000000000002</v>
      </c>
      <c r="Q505" s="157">
        <v>0</v>
      </c>
      <c r="R505" s="157">
        <f t="shared" si="953"/>
        <v>0</v>
      </c>
      <c r="S505" s="156">
        <f t="shared" si="954"/>
        <v>0</v>
      </c>
      <c r="T505" s="156">
        <f t="shared" si="955"/>
        <v>0</v>
      </c>
      <c r="U505" s="156">
        <f t="shared" si="956"/>
        <v>0</v>
      </c>
      <c r="V505" s="156">
        <f t="shared" si="957"/>
        <v>0</v>
      </c>
      <c r="W505" s="156">
        <f t="shared" si="944"/>
        <v>0</v>
      </c>
      <c r="X505" s="158">
        <f t="shared" ref="X505" si="980">$S505/ORCAMENTO_VALOR_TOTAL_ND</f>
        <v>0</v>
      </c>
      <c r="Y505" s="158">
        <f t="shared" ref="Y505" si="981">$T505/ORCAMENTO_VALOR_TOTAL_DE</f>
        <v>0</v>
      </c>
      <c r="Z505" s="158" cm="1">
        <f t="array" ref="Z505">_xlfn.SWITCH($N505,"BDI 1",$O$6,"BDI 2",$O$7,"BDI 3",$O$8)</f>
        <v>0.20699999999999999</v>
      </c>
      <c r="AA505" s="158" cm="1">
        <f t="array" ref="AA505">_xlfn.SWITCH($N505,"BDI 1",$P$6,"BDI 2",$P$7,"BDI 3",$P$8)</f>
        <v>0.26739999999999997</v>
      </c>
      <c r="AB505" s="158">
        <f t="shared" ca="1" si="960"/>
        <v>0</v>
      </c>
      <c r="AC505" s="158">
        <f t="shared" ca="1" si="961"/>
        <v>0</v>
      </c>
      <c r="AD505" s="164"/>
      <c r="AE505" s="148">
        <f t="shared" si="947"/>
        <v>0</v>
      </c>
      <c r="AF505" s="149"/>
      <c r="AG505" s="150"/>
      <c r="AH505" s="159" t="e">
        <f t="shared" si="948"/>
        <v>#DIV/0!</v>
      </c>
      <c r="AI505" s="160"/>
      <c r="AJ505" s="105"/>
      <c r="AK505" s="105"/>
      <c r="AM505" s="105"/>
      <c r="AN505" s="105"/>
      <c r="AO505" s="105"/>
      <c r="AP505" s="105"/>
      <c r="AQ505" s="105"/>
      <c r="AR505" s="105"/>
    </row>
    <row r="506" spans="1:44" s="49" customFormat="1" ht="40.15" hidden="1" customHeight="1">
      <c r="A506" s="152">
        <f t="shared" ca="1" si="949"/>
        <v>0</v>
      </c>
      <c r="B506" s="153" t="s">
        <v>249</v>
      </c>
      <c r="C506" s="154" t="str">
        <f t="shared" si="950"/>
        <v>PA/0025</v>
      </c>
      <c r="D506" s="154" t="s">
        <v>3549</v>
      </c>
      <c r="E506" s="155" t="s">
        <v>3532</v>
      </c>
      <c r="F506" s="154"/>
      <c r="G506" s="154" t="s">
        <v>1418</v>
      </c>
      <c r="H506" s="152">
        <v>5.28</v>
      </c>
      <c r="I506" s="152">
        <v>5.24</v>
      </c>
      <c r="J506" s="156"/>
      <c r="K506" s="156">
        <f>+Dre_Fecha_Vala!U32</f>
        <v>0</v>
      </c>
      <c r="L506" s="156">
        <f t="shared" si="951"/>
        <v>0</v>
      </c>
      <c r="M506" s="156">
        <f t="shared" si="952"/>
        <v>0</v>
      </c>
      <c r="N506" s="156" t="s">
        <v>83</v>
      </c>
      <c r="O506" s="157" cm="1">
        <f t="array" ref="O506">TRUNC($H506*(1+_xlfn.SWITCH($N506,"BDI 1",$O$6,"BDI 2",$O$7,"BDI 3",$O$8)),2)</f>
        <v>6.37</v>
      </c>
      <c r="P506" s="157" cm="1">
        <f t="array" ref="P506">TRUNC($I506*(1+_xlfn.SWITCH($N506,"BDI 1",$P$6,"BDI 2",$P$7,"BDI 3",$P$8)),2)</f>
        <v>6.64</v>
      </c>
      <c r="Q506" s="157">
        <v>0</v>
      </c>
      <c r="R506" s="157">
        <f t="shared" si="953"/>
        <v>0</v>
      </c>
      <c r="S506" s="156">
        <f t="shared" si="954"/>
        <v>0</v>
      </c>
      <c r="T506" s="156">
        <f t="shared" si="955"/>
        <v>0</v>
      </c>
      <c r="U506" s="156">
        <f t="shared" si="956"/>
        <v>0</v>
      </c>
      <c r="V506" s="156">
        <f t="shared" si="957"/>
        <v>0</v>
      </c>
      <c r="W506" s="156">
        <f t="shared" si="944"/>
        <v>0</v>
      </c>
      <c r="X506" s="158">
        <f t="shared" ref="X506" si="982">$S506/ORCAMENTO_VALOR_TOTAL_ND</f>
        <v>0</v>
      </c>
      <c r="Y506" s="158">
        <f t="shared" ref="Y506" si="983">$T506/ORCAMENTO_VALOR_TOTAL_DE</f>
        <v>0</v>
      </c>
      <c r="Z506" s="158" cm="1">
        <f t="array" ref="Z506">_xlfn.SWITCH($N506,"BDI 1",$O$6,"BDI 2",$O$7,"BDI 3",$O$8)</f>
        <v>0.20699999999999999</v>
      </c>
      <c r="AA506" s="158" cm="1">
        <f t="array" ref="AA506">_xlfn.SWITCH($N506,"BDI 1",$P$6,"BDI 2",$P$7,"BDI 3",$P$8)</f>
        <v>0.26739999999999997</v>
      </c>
      <c r="AB506" s="158">
        <f t="shared" ca="1" si="960"/>
        <v>0</v>
      </c>
      <c r="AC506" s="158">
        <f t="shared" ca="1" si="961"/>
        <v>0</v>
      </c>
      <c r="AD506" s="164"/>
      <c r="AE506" s="148">
        <f t="shared" si="947"/>
        <v>0</v>
      </c>
      <c r="AF506" s="149"/>
      <c r="AG506" s="150"/>
      <c r="AH506" s="159" t="e">
        <f t="shared" si="948"/>
        <v>#DIV/0!</v>
      </c>
      <c r="AI506" s="165" t="s">
        <v>250</v>
      </c>
      <c r="AJ506" s="105"/>
      <c r="AK506" s="105"/>
      <c r="AM506" s="105"/>
      <c r="AN506" s="105"/>
      <c r="AO506" s="105"/>
      <c r="AP506" s="105"/>
      <c r="AQ506" s="105"/>
      <c r="AR506" s="105"/>
    </row>
    <row r="507" spans="1:44" s="49" customFormat="1" ht="40.15" hidden="1" customHeight="1">
      <c r="A507" s="152">
        <f t="shared" ca="1" si="949"/>
        <v>0</v>
      </c>
      <c r="B507" s="153" t="s">
        <v>251</v>
      </c>
      <c r="C507" s="154" t="str">
        <f t="shared" si="950"/>
        <v>PA/0150</v>
      </c>
      <c r="D507" s="154" t="s">
        <v>3549</v>
      </c>
      <c r="E507" s="155" t="s">
        <v>3874</v>
      </c>
      <c r="F507" s="154"/>
      <c r="G507" s="154" t="s">
        <v>1418</v>
      </c>
      <c r="H507" s="152">
        <v>17.59</v>
      </c>
      <c r="I507" s="152">
        <v>17.55</v>
      </c>
      <c r="J507" s="156"/>
      <c r="K507" s="156">
        <f>+Dre_Fecha_Vala!U34</f>
        <v>0</v>
      </c>
      <c r="L507" s="156">
        <f t="shared" si="951"/>
        <v>0</v>
      </c>
      <c r="M507" s="156">
        <f t="shared" si="952"/>
        <v>0</v>
      </c>
      <c r="N507" s="156" t="s">
        <v>83</v>
      </c>
      <c r="O507" s="157" cm="1">
        <f t="array" ref="O507">TRUNC($H507*(1+_xlfn.SWITCH($N507,"BDI 1",$O$6,"BDI 2",$O$7,"BDI 3",$O$8)),2)</f>
        <v>21.23</v>
      </c>
      <c r="P507" s="157" cm="1">
        <f t="array" ref="P507">TRUNC($I507*(1+_xlfn.SWITCH($N507,"BDI 1",$P$6,"BDI 2",$P$7,"BDI 3",$P$8)),2)</f>
        <v>22.24</v>
      </c>
      <c r="Q507" s="157">
        <v>0</v>
      </c>
      <c r="R507" s="157">
        <f t="shared" si="953"/>
        <v>0</v>
      </c>
      <c r="S507" s="156">
        <f t="shared" si="954"/>
        <v>0</v>
      </c>
      <c r="T507" s="156">
        <f t="shared" si="955"/>
        <v>0</v>
      </c>
      <c r="U507" s="156">
        <f t="shared" si="956"/>
        <v>0</v>
      </c>
      <c r="V507" s="156">
        <f t="shared" si="957"/>
        <v>0</v>
      </c>
      <c r="W507" s="156">
        <f t="shared" si="944"/>
        <v>0</v>
      </c>
      <c r="X507" s="158">
        <f t="shared" ref="X507" si="984">$S507/ORCAMENTO_VALOR_TOTAL_ND</f>
        <v>0</v>
      </c>
      <c r="Y507" s="158">
        <f t="shared" ref="Y507" si="985">$T507/ORCAMENTO_VALOR_TOTAL_DE</f>
        <v>0</v>
      </c>
      <c r="Z507" s="158" cm="1">
        <f t="array" ref="Z507">_xlfn.SWITCH($N507,"BDI 1",$O$6,"BDI 2",$O$7,"BDI 3",$O$8)</f>
        <v>0.20699999999999999</v>
      </c>
      <c r="AA507" s="158" cm="1">
        <f t="array" ref="AA507">_xlfn.SWITCH($N507,"BDI 1",$P$6,"BDI 2",$P$7,"BDI 3",$P$8)</f>
        <v>0.26739999999999997</v>
      </c>
      <c r="AB507" s="158">
        <f t="shared" ca="1" si="960"/>
        <v>0</v>
      </c>
      <c r="AC507" s="158">
        <f t="shared" ca="1" si="961"/>
        <v>0</v>
      </c>
      <c r="AD507" s="164"/>
      <c r="AE507" s="148">
        <f t="shared" si="947"/>
        <v>0</v>
      </c>
      <c r="AF507" s="149"/>
      <c r="AG507" s="150"/>
      <c r="AH507" s="159" t="e">
        <f t="shared" si="948"/>
        <v>#DIV/0!</v>
      </c>
      <c r="AI507" s="160"/>
      <c r="AJ507" s="105"/>
      <c r="AK507" s="105"/>
      <c r="AM507" s="105"/>
      <c r="AN507" s="105"/>
      <c r="AO507" s="105"/>
      <c r="AP507" s="105"/>
      <c r="AQ507" s="105"/>
      <c r="AR507" s="105"/>
    </row>
    <row r="508" spans="1:44" s="49" customFormat="1" ht="49.9" hidden="1" customHeight="1">
      <c r="A508" s="152">
        <f t="shared" ca="1" si="949"/>
        <v>0</v>
      </c>
      <c r="B508" s="153" t="s">
        <v>252</v>
      </c>
      <c r="C508" s="154" t="str">
        <f t="shared" si="950"/>
        <v>PA/0040</v>
      </c>
      <c r="D508" s="154" t="s">
        <v>3549</v>
      </c>
      <c r="E508" s="155" t="s">
        <v>3875</v>
      </c>
      <c r="F508" s="154"/>
      <c r="G508" s="154" t="s">
        <v>464</v>
      </c>
      <c r="H508" s="152">
        <v>1628.68</v>
      </c>
      <c r="I508" s="152">
        <v>1625.69</v>
      </c>
      <c r="J508" s="156"/>
      <c r="K508" s="156">
        <f>+Dre_Fecha_Vala!U40+Dre_Fecha_Vala!U41</f>
        <v>0</v>
      </c>
      <c r="L508" s="156">
        <f t="shared" si="951"/>
        <v>0</v>
      </c>
      <c r="M508" s="156">
        <f t="shared" si="952"/>
        <v>0</v>
      </c>
      <c r="N508" s="156" t="s">
        <v>83</v>
      </c>
      <c r="O508" s="157" cm="1">
        <f t="array" ref="O508">TRUNC($H508*(1+_xlfn.SWITCH($N508,"BDI 1",$O$6,"BDI 2",$O$7,"BDI 3",$O$8)),2)</f>
        <v>1965.81</v>
      </c>
      <c r="P508" s="157" cm="1">
        <f t="array" ref="P508">TRUNC($I508*(1+_xlfn.SWITCH($N508,"BDI 1",$P$6,"BDI 2",$P$7,"BDI 3",$P$8)),2)</f>
        <v>2060.39</v>
      </c>
      <c r="Q508" s="157">
        <v>0</v>
      </c>
      <c r="R508" s="157">
        <f t="shared" si="953"/>
        <v>0</v>
      </c>
      <c r="S508" s="156">
        <f t="shared" si="954"/>
        <v>0</v>
      </c>
      <c r="T508" s="156">
        <f t="shared" si="955"/>
        <v>0</v>
      </c>
      <c r="U508" s="156">
        <f t="shared" si="956"/>
        <v>0</v>
      </c>
      <c r="V508" s="156">
        <f t="shared" si="957"/>
        <v>0</v>
      </c>
      <c r="W508" s="156">
        <f t="shared" si="944"/>
        <v>0</v>
      </c>
      <c r="X508" s="158">
        <f t="shared" ref="X508" si="986">$S508/ORCAMENTO_VALOR_TOTAL_ND</f>
        <v>0</v>
      </c>
      <c r="Y508" s="158">
        <f t="shared" ref="Y508" si="987">$T508/ORCAMENTO_VALOR_TOTAL_DE</f>
        <v>0</v>
      </c>
      <c r="Z508" s="158" cm="1">
        <f t="array" ref="Z508">_xlfn.SWITCH($N508,"BDI 1",$O$6,"BDI 2",$O$7,"BDI 3",$O$8)</f>
        <v>0.20699999999999999</v>
      </c>
      <c r="AA508" s="158" cm="1">
        <f t="array" ref="AA508">_xlfn.SWITCH($N508,"BDI 1",$P$6,"BDI 2",$P$7,"BDI 3",$P$8)</f>
        <v>0.26739999999999997</v>
      </c>
      <c r="AB508" s="158">
        <f t="shared" ca="1" si="960"/>
        <v>0</v>
      </c>
      <c r="AC508" s="158">
        <f t="shared" ca="1" si="961"/>
        <v>0</v>
      </c>
      <c r="AD508" s="164"/>
      <c r="AE508" s="148">
        <f t="shared" si="947"/>
        <v>0</v>
      </c>
      <c r="AF508" s="149"/>
      <c r="AG508" s="150"/>
      <c r="AH508" s="159" t="e">
        <f t="shared" si="948"/>
        <v>#DIV/0!</v>
      </c>
      <c r="AI508" s="165" t="s">
        <v>243</v>
      </c>
      <c r="AJ508" s="105"/>
      <c r="AK508" s="105"/>
      <c r="AM508" s="105"/>
      <c r="AN508" s="105"/>
      <c r="AO508" s="105"/>
      <c r="AP508" s="105"/>
      <c r="AQ508" s="105"/>
      <c r="AR508" s="105"/>
    </row>
    <row r="509" spans="1:44" s="49" customFormat="1" ht="40.15" hidden="1" customHeight="1">
      <c r="A509" s="152">
        <f t="shared" ca="1" si="949"/>
        <v>0</v>
      </c>
      <c r="B509" s="153" t="s">
        <v>253</v>
      </c>
      <c r="C509" s="154" t="str">
        <f t="shared" si="950"/>
        <v>RE/0055</v>
      </c>
      <c r="D509" s="154" t="s">
        <v>3549</v>
      </c>
      <c r="E509" s="155" t="s">
        <v>3876</v>
      </c>
      <c r="F509" s="154"/>
      <c r="G509" s="154" t="s">
        <v>464</v>
      </c>
      <c r="H509" s="152">
        <v>1580.75</v>
      </c>
      <c r="I509" s="152">
        <v>1580.01</v>
      </c>
      <c r="J509" s="156"/>
      <c r="K509" s="156"/>
      <c r="L509" s="156">
        <f t="shared" si="951"/>
        <v>0</v>
      </c>
      <c r="M509" s="156">
        <f t="shared" si="952"/>
        <v>0</v>
      </c>
      <c r="N509" s="156" t="s">
        <v>83</v>
      </c>
      <c r="O509" s="157" cm="1">
        <f t="array" ref="O509">TRUNC($H509*(1+_xlfn.SWITCH($N509,"BDI 1",$O$6,"BDI 2",$O$7,"BDI 3",$O$8)),2)</f>
        <v>1907.96</v>
      </c>
      <c r="P509" s="157" cm="1">
        <f t="array" ref="P509">TRUNC($I509*(1+_xlfn.SWITCH($N509,"BDI 1",$P$6,"BDI 2",$P$7,"BDI 3",$P$8)),2)</f>
        <v>2002.5</v>
      </c>
      <c r="Q509" s="157">
        <v>0</v>
      </c>
      <c r="R509" s="157">
        <f t="shared" si="953"/>
        <v>0</v>
      </c>
      <c r="S509" s="156">
        <f t="shared" si="954"/>
        <v>0</v>
      </c>
      <c r="T509" s="156">
        <f t="shared" si="955"/>
        <v>0</v>
      </c>
      <c r="U509" s="156">
        <f t="shared" si="956"/>
        <v>0</v>
      </c>
      <c r="V509" s="156">
        <f t="shared" si="957"/>
        <v>0</v>
      </c>
      <c r="W509" s="156">
        <f t="shared" si="944"/>
        <v>0</v>
      </c>
      <c r="X509" s="158">
        <f t="shared" ref="X509" si="988">$S509/ORCAMENTO_VALOR_TOTAL_ND</f>
        <v>0</v>
      </c>
      <c r="Y509" s="158">
        <f t="shared" ref="Y509" si="989">$T509/ORCAMENTO_VALOR_TOTAL_DE</f>
        <v>0</v>
      </c>
      <c r="Z509" s="158" cm="1">
        <f t="array" ref="Z509">_xlfn.SWITCH($N509,"BDI 1",$O$6,"BDI 2",$O$7,"BDI 3",$O$8)</f>
        <v>0.20699999999999999</v>
      </c>
      <c r="AA509" s="158" cm="1">
        <f t="array" ref="AA509">_xlfn.SWITCH($N509,"BDI 1",$P$6,"BDI 2",$P$7,"BDI 3",$P$8)</f>
        <v>0.26739999999999997</v>
      </c>
      <c r="AB509" s="158">
        <f t="shared" ca="1" si="960"/>
        <v>0</v>
      </c>
      <c r="AC509" s="158">
        <f t="shared" ca="1" si="961"/>
        <v>0</v>
      </c>
      <c r="AD509" s="164"/>
      <c r="AE509" s="148">
        <f t="shared" si="947"/>
        <v>0</v>
      </c>
      <c r="AF509" s="149"/>
      <c r="AG509" s="150"/>
      <c r="AH509" s="159" t="e">
        <f t="shared" si="948"/>
        <v>#DIV/0!</v>
      </c>
      <c r="AI509" s="165" t="s">
        <v>243</v>
      </c>
      <c r="AJ509" s="105"/>
      <c r="AK509" s="105"/>
      <c r="AM509" s="105"/>
      <c r="AN509" s="105"/>
      <c r="AO509" s="105"/>
      <c r="AP509" s="105"/>
      <c r="AQ509" s="105"/>
      <c r="AR509" s="105"/>
    </row>
    <row r="510" spans="1:44" s="49" customFormat="1" ht="40.15" hidden="1" customHeight="1">
      <c r="A510" s="152">
        <f t="shared" ca="1" si="949"/>
        <v>0</v>
      </c>
      <c r="B510" s="153" t="s">
        <v>254</v>
      </c>
      <c r="C510" s="154" t="str">
        <f t="shared" si="950"/>
        <v>RE/0040</v>
      </c>
      <c r="D510" s="154">
        <v>0</v>
      </c>
      <c r="E510" s="155" t="s">
        <v>3766</v>
      </c>
      <c r="F510" s="154"/>
      <c r="G510" s="154">
        <v>0</v>
      </c>
      <c r="H510" s="152">
        <v>0</v>
      </c>
      <c r="I510" s="152">
        <v>0</v>
      </c>
      <c r="J510" s="156"/>
      <c r="K510" s="156">
        <f>+Dre_Fecha_Vala!U47</f>
        <v>0</v>
      </c>
      <c r="L510" s="156">
        <f t="shared" si="951"/>
        <v>0</v>
      </c>
      <c r="M510" s="156">
        <f t="shared" si="952"/>
        <v>0</v>
      </c>
      <c r="N510" s="156" t="s">
        <v>83</v>
      </c>
      <c r="O510" s="157" cm="1">
        <f t="array" ref="O510">TRUNC($H510*(1+_xlfn.SWITCH($N510,"BDI 1",$O$6,"BDI 2",$O$7,"BDI 3",$O$8)),2)</f>
        <v>0</v>
      </c>
      <c r="P510" s="157" cm="1">
        <f t="array" ref="P510">TRUNC($I510*(1+_xlfn.SWITCH($N510,"BDI 1",$P$6,"BDI 2",$P$7,"BDI 3",$P$8)),2)</f>
        <v>0</v>
      </c>
      <c r="Q510" s="157">
        <v>0</v>
      </c>
      <c r="R510" s="157">
        <f t="shared" si="953"/>
        <v>0</v>
      </c>
      <c r="S510" s="156">
        <f t="shared" si="954"/>
        <v>0</v>
      </c>
      <c r="T510" s="156">
        <f t="shared" si="955"/>
        <v>0</v>
      </c>
      <c r="U510" s="156">
        <f t="shared" si="956"/>
        <v>0</v>
      </c>
      <c r="V510" s="156">
        <f t="shared" si="957"/>
        <v>0</v>
      </c>
      <c r="W510" s="156">
        <f t="shared" si="944"/>
        <v>0</v>
      </c>
      <c r="X510" s="158">
        <f t="shared" ref="X510" si="990">$S510/ORCAMENTO_VALOR_TOTAL_ND</f>
        <v>0</v>
      </c>
      <c r="Y510" s="158">
        <f t="shared" ref="Y510" si="991">$T510/ORCAMENTO_VALOR_TOTAL_DE</f>
        <v>0</v>
      </c>
      <c r="Z510" s="158" cm="1">
        <f t="array" ref="Z510">_xlfn.SWITCH($N510,"BDI 1",$O$6,"BDI 2",$O$7,"BDI 3",$O$8)</f>
        <v>0.20699999999999999</v>
      </c>
      <c r="AA510" s="158" cm="1">
        <f t="array" ref="AA510">_xlfn.SWITCH($N510,"BDI 1",$P$6,"BDI 2",$P$7,"BDI 3",$P$8)</f>
        <v>0.26739999999999997</v>
      </c>
      <c r="AB510" s="158">
        <f t="shared" ca="1" si="960"/>
        <v>0</v>
      </c>
      <c r="AC510" s="158">
        <f t="shared" ca="1" si="961"/>
        <v>0</v>
      </c>
      <c r="AD510" s="164"/>
      <c r="AE510" s="148">
        <f t="shared" si="947"/>
        <v>0</v>
      </c>
      <c r="AF510" s="149"/>
      <c r="AG510" s="150"/>
      <c r="AH510" s="159" t="e">
        <f t="shared" si="948"/>
        <v>#DIV/0!</v>
      </c>
      <c r="AI510" s="160"/>
      <c r="AJ510" s="105"/>
      <c r="AK510" s="105"/>
      <c r="AM510" s="105"/>
      <c r="AN510" s="105"/>
      <c r="AO510" s="105"/>
      <c r="AP510" s="105"/>
      <c r="AQ510" s="105"/>
      <c r="AR510" s="105"/>
    </row>
    <row r="511" spans="1:44" s="49" customFormat="1" ht="40.15" hidden="1" customHeight="1">
      <c r="A511" s="152">
        <f t="shared" ca="1" si="949"/>
        <v>0</v>
      </c>
      <c r="B511" s="153" t="s">
        <v>255</v>
      </c>
      <c r="C511" s="154" t="str">
        <f t="shared" si="950"/>
        <v>RE/0045</v>
      </c>
      <c r="D511" s="154">
        <v>0</v>
      </c>
      <c r="E511" s="155" t="s">
        <v>3766</v>
      </c>
      <c r="F511" s="154"/>
      <c r="G511" s="154">
        <v>0</v>
      </c>
      <c r="H511" s="152">
        <v>0</v>
      </c>
      <c r="I511" s="152">
        <v>0</v>
      </c>
      <c r="J511" s="156"/>
      <c r="K511" s="156">
        <f>+Dre_Fecha_Vala!U48</f>
        <v>0</v>
      </c>
      <c r="L511" s="156">
        <f t="shared" si="951"/>
        <v>0</v>
      </c>
      <c r="M511" s="156">
        <f t="shared" si="952"/>
        <v>0</v>
      </c>
      <c r="N511" s="156" t="s">
        <v>83</v>
      </c>
      <c r="O511" s="157" cm="1">
        <f t="array" ref="O511">TRUNC($H511*(1+_xlfn.SWITCH($N511,"BDI 1",$O$6,"BDI 2",$O$7,"BDI 3",$O$8)),2)</f>
        <v>0</v>
      </c>
      <c r="P511" s="157" cm="1">
        <f t="array" ref="P511">TRUNC($I511*(1+_xlfn.SWITCH($N511,"BDI 1",$P$6,"BDI 2",$P$7,"BDI 3",$P$8)),2)</f>
        <v>0</v>
      </c>
      <c r="Q511" s="157">
        <v>0</v>
      </c>
      <c r="R511" s="157">
        <f t="shared" si="953"/>
        <v>0</v>
      </c>
      <c r="S511" s="156">
        <f t="shared" si="954"/>
        <v>0</v>
      </c>
      <c r="T511" s="156">
        <f t="shared" si="955"/>
        <v>0</v>
      </c>
      <c r="U511" s="156">
        <f t="shared" si="956"/>
        <v>0</v>
      </c>
      <c r="V511" s="156">
        <f t="shared" si="957"/>
        <v>0</v>
      </c>
      <c r="W511" s="156">
        <f t="shared" si="944"/>
        <v>0</v>
      </c>
      <c r="X511" s="158">
        <f t="shared" ref="X511" si="992">$S511/ORCAMENTO_VALOR_TOTAL_ND</f>
        <v>0</v>
      </c>
      <c r="Y511" s="158">
        <f t="shared" ref="Y511" si="993">$T511/ORCAMENTO_VALOR_TOTAL_DE</f>
        <v>0</v>
      </c>
      <c r="Z511" s="158" cm="1">
        <f t="array" ref="Z511">_xlfn.SWITCH($N511,"BDI 1",$O$6,"BDI 2",$O$7,"BDI 3",$O$8)</f>
        <v>0.20699999999999999</v>
      </c>
      <c r="AA511" s="158" cm="1">
        <f t="array" ref="AA511">_xlfn.SWITCH($N511,"BDI 1",$P$6,"BDI 2",$P$7,"BDI 3",$P$8)</f>
        <v>0.26739999999999997</v>
      </c>
      <c r="AB511" s="158">
        <f t="shared" ca="1" si="960"/>
        <v>0</v>
      </c>
      <c r="AC511" s="158">
        <f t="shared" ca="1" si="961"/>
        <v>0</v>
      </c>
      <c r="AD511" s="164"/>
      <c r="AE511" s="148">
        <f t="shared" si="947"/>
        <v>0</v>
      </c>
      <c r="AF511" s="149"/>
      <c r="AG511" s="150"/>
      <c r="AH511" s="159" t="e">
        <f t="shared" si="948"/>
        <v>#DIV/0!</v>
      </c>
      <c r="AI511" s="160"/>
      <c r="AJ511" s="105"/>
      <c r="AK511" s="105"/>
      <c r="AM511" s="105"/>
      <c r="AN511" s="105"/>
      <c r="AO511" s="105"/>
      <c r="AP511" s="105"/>
      <c r="AQ511" s="105"/>
      <c r="AR511" s="105"/>
    </row>
    <row r="512" spans="1:44" s="49" customFormat="1" ht="49.9" hidden="1" customHeight="1">
      <c r="A512" s="152">
        <f t="shared" ca="1" si="949"/>
        <v>0</v>
      </c>
      <c r="B512" s="153">
        <v>100978</v>
      </c>
      <c r="C512" s="154" t="str">
        <f t="shared" si="950"/>
        <v>100978</v>
      </c>
      <c r="D512" s="154" t="s">
        <v>1416</v>
      </c>
      <c r="E512" s="155" t="s">
        <v>3810</v>
      </c>
      <c r="F512" s="154"/>
      <c r="G512" s="154" t="s">
        <v>464</v>
      </c>
      <c r="H512" s="152">
        <v>6.64</v>
      </c>
      <c r="I512" s="152">
        <v>6.55</v>
      </c>
      <c r="J512" s="156"/>
      <c r="K512" s="156">
        <f>Dre_Fecha_Vala!U61</f>
        <v>0</v>
      </c>
      <c r="L512" s="156">
        <f t="shared" si="951"/>
        <v>0</v>
      </c>
      <c r="M512" s="156">
        <f t="shared" si="952"/>
        <v>0</v>
      </c>
      <c r="N512" s="156" t="s">
        <v>83</v>
      </c>
      <c r="O512" s="157" cm="1">
        <f t="array" ref="O512">TRUNC($H512*(1+_xlfn.SWITCH($N512,"BDI 1",$O$6,"BDI 2",$O$7,"BDI 3",$O$8)),2)</f>
        <v>8.01</v>
      </c>
      <c r="P512" s="157" cm="1">
        <f t="array" ref="P512">TRUNC($I512*(1+_xlfn.SWITCH($N512,"BDI 1",$P$6,"BDI 2",$P$7,"BDI 3",$P$8)),2)</f>
        <v>8.3000000000000007</v>
      </c>
      <c r="Q512" s="157">
        <v>0</v>
      </c>
      <c r="R512" s="157">
        <f t="shared" si="953"/>
        <v>0</v>
      </c>
      <c r="S512" s="156">
        <f t="shared" si="954"/>
        <v>0</v>
      </c>
      <c r="T512" s="156">
        <f t="shared" si="955"/>
        <v>0</v>
      </c>
      <c r="U512" s="156">
        <f t="shared" si="956"/>
        <v>0</v>
      </c>
      <c r="V512" s="156">
        <f t="shared" si="957"/>
        <v>0</v>
      </c>
      <c r="W512" s="156">
        <f t="shared" si="944"/>
        <v>0</v>
      </c>
      <c r="X512" s="158">
        <f t="shared" ref="X512" si="994">$S512/ORCAMENTO_VALOR_TOTAL_ND</f>
        <v>0</v>
      </c>
      <c r="Y512" s="158">
        <f t="shared" ref="Y512" si="995">$T512/ORCAMENTO_VALOR_TOTAL_DE</f>
        <v>0</v>
      </c>
      <c r="Z512" s="158" cm="1">
        <f t="array" ref="Z512">_xlfn.SWITCH($N512,"BDI 1",$O$6,"BDI 2",$O$7,"BDI 3",$O$8)</f>
        <v>0.20699999999999999</v>
      </c>
      <c r="AA512" s="158" cm="1">
        <f t="array" ref="AA512">_xlfn.SWITCH($N512,"BDI 1",$P$6,"BDI 2",$P$7,"BDI 3",$P$8)</f>
        <v>0.26739999999999997</v>
      </c>
      <c r="AB512" s="158">
        <f t="shared" ca="1" si="960"/>
        <v>0</v>
      </c>
      <c r="AC512" s="158">
        <f t="shared" ca="1" si="961"/>
        <v>0</v>
      </c>
      <c r="AD512" s="164"/>
      <c r="AE512" s="148">
        <f t="shared" si="947"/>
        <v>0</v>
      </c>
      <c r="AF512" s="149"/>
      <c r="AG512" s="150"/>
      <c r="AH512" s="159" t="e">
        <f t="shared" si="948"/>
        <v>#DIV/0!</v>
      </c>
      <c r="AI512" s="165" t="s">
        <v>101</v>
      </c>
      <c r="AJ512" s="105"/>
      <c r="AK512" s="105"/>
      <c r="AM512" s="105"/>
      <c r="AN512" s="105"/>
      <c r="AO512" s="105"/>
      <c r="AP512" s="105"/>
      <c r="AQ512" s="105"/>
      <c r="AR512" s="105"/>
    </row>
    <row r="513" spans="1:44" s="49" customFormat="1" ht="40.15" hidden="1" customHeight="1">
      <c r="A513" s="10">
        <f t="shared" ca="1" si="949"/>
        <v>0</v>
      </c>
      <c r="B513" s="153"/>
      <c r="C513" s="154"/>
      <c r="D513" s="154"/>
      <c r="E513" s="161" t="s">
        <v>256</v>
      </c>
      <c r="F513" s="154"/>
      <c r="G513" s="154"/>
      <c r="H513" s="152"/>
      <c r="I513" s="152"/>
      <c r="J513" s="154"/>
      <c r="K513" s="154"/>
      <c r="L513" s="154"/>
      <c r="M513" s="154"/>
      <c r="N513" s="154"/>
      <c r="O513" s="154"/>
      <c r="P513" s="154"/>
      <c r="Q513" s="154"/>
      <c r="R513" s="154"/>
      <c r="S513" s="162"/>
      <c r="T513" s="162"/>
      <c r="U513" s="162"/>
      <c r="V513" s="162"/>
      <c r="W513" s="162"/>
      <c r="X513" s="163"/>
      <c r="Y513" s="163"/>
      <c r="Z513" s="163"/>
      <c r="AA513" s="163"/>
      <c r="AB513" s="163"/>
      <c r="AC513" s="163"/>
      <c r="AD513" s="164"/>
      <c r="AE513" s="148">
        <f>IF(SUM(S514:S515)&gt;0,IFERROR(TRUNC(A513,0),0),0)</f>
        <v>0</v>
      </c>
      <c r="AF513" s="149"/>
      <c r="AG513" s="150"/>
      <c r="AH513" s="159"/>
      <c r="AI513" s="160" t="s">
        <v>245</v>
      </c>
      <c r="AJ513" s="105"/>
      <c r="AK513" s="105"/>
      <c r="AM513" s="105"/>
      <c r="AN513" s="105"/>
      <c r="AO513" s="105"/>
      <c r="AP513" s="105"/>
      <c r="AQ513" s="105"/>
      <c r="AR513" s="105"/>
    </row>
    <row r="514" spans="1:44" s="49" customFormat="1" ht="40.15" hidden="1" customHeight="1">
      <c r="A514" s="152">
        <f t="shared" ca="1" si="949"/>
        <v>0</v>
      </c>
      <c r="B514" s="153">
        <v>95876</v>
      </c>
      <c r="C514" s="154" t="str">
        <f>TEXT(B514,"0")</f>
        <v>95876</v>
      </c>
      <c r="D514" s="154" t="s">
        <v>1416</v>
      </c>
      <c r="E514" s="155" t="s">
        <v>3537</v>
      </c>
      <c r="F514" s="154">
        <f>IF(Dados_DMT!$B$17&lt;30,Dados_DMT!$B$17,30)</f>
        <v>3.5</v>
      </c>
      <c r="G514" s="154" t="s">
        <v>3538</v>
      </c>
      <c r="H514" s="152">
        <v>2.09</v>
      </c>
      <c r="I514" s="152">
        <v>2.1</v>
      </c>
      <c r="J514" s="156"/>
      <c r="K514" s="156">
        <f>ROUND(Dre_Fecha_Vala!U62*F514,2)</f>
        <v>0</v>
      </c>
      <c r="L514" s="156">
        <f>IF($K514&gt;$J514,$K514-$J514,0)</f>
        <v>0</v>
      </c>
      <c r="M514" s="156">
        <f>IF($K514&lt;$J514,$J514-$K514,0)</f>
        <v>0</v>
      </c>
      <c r="N514" s="156" t="s">
        <v>83</v>
      </c>
      <c r="O514" s="157" cm="1">
        <f t="array" ref="O514">TRUNC($H514*(1+_xlfn.SWITCH($N514,"BDI 1",$O$6,"BDI 2",$O$7,"BDI 3",$O$8)),2)</f>
        <v>2.52</v>
      </c>
      <c r="P514" s="157" cm="1">
        <f t="array" ref="P514">TRUNC($I514*(1+_xlfn.SWITCH($N514,"BDI 1",$P$6,"BDI 2",$P$7,"BDI 3",$P$8)),2)</f>
        <v>2.66</v>
      </c>
      <c r="Q514" s="157">
        <v>0</v>
      </c>
      <c r="R514" s="157">
        <f>$Q514-($Q514*LICITACAO_DESCONTO)</f>
        <v>0</v>
      </c>
      <c r="S514" s="156">
        <f>TRUNC($K514*$O514,2)</f>
        <v>0</v>
      </c>
      <c r="T514" s="156">
        <f>TRUNC($K514*$P514,2)</f>
        <v>0</v>
      </c>
      <c r="U514" s="156">
        <f>TRUNC($J514*$R514,2)</f>
        <v>0</v>
      </c>
      <c r="V514" s="156">
        <f>TRUNC($K514*$Q514,2)</f>
        <v>0</v>
      </c>
      <c r="W514" s="156">
        <f>TRUNC(V514-U514,2)</f>
        <v>0</v>
      </c>
      <c r="X514" s="158">
        <f>$S514/ORCAMENTO_VALOR_TOTAL_ND</f>
        <v>0</v>
      </c>
      <c r="Y514" s="158">
        <f>$T514/ORCAMENTO_VALOR_TOTAL_DE</f>
        <v>0</v>
      </c>
      <c r="Z514" s="158" cm="1">
        <f t="array" ref="Z514">_xlfn.SWITCH($N514,"BDI 1",$O$6,"BDI 2",$O$7,"BDI 3",$O$8)</f>
        <v>0.20699999999999999</v>
      </c>
      <c r="AA514" s="158" cm="1">
        <f t="array" ref="AA514">_xlfn.SWITCH($N514,"BDI 1",$P$6,"BDI 2",$P$7,"BDI 3",$P$8)</f>
        <v>0.26739999999999997</v>
      </c>
      <c r="AB514" s="158">
        <f ca="1">IFERROR($S514/_xlfn.XLOOKUP($AE514,$B$16:$B$38,$S$16:$S$38),0)</f>
        <v>0</v>
      </c>
      <c r="AC514" s="158">
        <f ca="1">IFERROR($T514/_xlfn.XLOOKUP($AE514,$B$16:$B$38,$T$16:$T$38),0)</f>
        <v>0</v>
      </c>
      <c r="AD514" s="164"/>
      <c r="AE514" s="148">
        <f t="shared" ref="AE514:AE515" si="996">IF(S514&gt;0,IFERROR(TRUNC(A514,0),0),0)</f>
        <v>0</v>
      </c>
      <c r="AF514" s="149"/>
      <c r="AG514" s="150"/>
      <c r="AH514" s="159" t="e">
        <f>S514/$S$494</f>
        <v>#DIV/0!</v>
      </c>
      <c r="AI514" s="166">
        <f>IF(K514=0,0,K514/F514)</f>
        <v>0</v>
      </c>
      <c r="AJ514" s="105"/>
      <c r="AK514" s="105"/>
      <c r="AM514" s="105"/>
      <c r="AN514" s="105"/>
      <c r="AO514" s="105"/>
      <c r="AP514" s="105"/>
      <c r="AQ514" s="105"/>
      <c r="AR514" s="105"/>
    </row>
    <row r="515" spans="1:44" s="49" customFormat="1" ht="40.15" hidden="1" customHeight="1">
      <c r="A515" s="152">
        <f t="shared" ca="1" si="949"/>
        <v>0</v>
      </c>
      <c r="B515" s="153">
        <v>93593</v>
      </c>
      <c r="C515" s="154" t="str">
        <f>TEXT(B515,"0")</f>
        <v>93593</v>
      </c>
      <c r="D515" s="154" t="s">
        <v>1416</v>
      </c>
      <c r="E515" s="155" t="s">
        <v>3545</v>
      </c>
      <c r="F515" s="154">
        <f>Dados_DMT!$B$17-F514</f>
        <v>0</v>
      </c>
      <c r="G515" s="154" t="s">
        <v>3538</v>
      </c>
      <c r="H515" s="152">
        <v>0.84</v>
      </c>
      <c r="I515" s="152">
        <v>0.85</v>
      </c>
      <c r="J515" s="156"/>
      <c r="K515" s="156">
        <f>ROUND(Dre_Fecha_Vala!U62*F515,2)</f>
        <v>0</v>
      </c>
      <c r="L515" s="156">
        <f>IF($K515&gt;$J515,$K515-$J515,0)</f>
        <v>0</v>
      </c>
      <c r="M515" s="156">
        <f>IF($K515&lt;$J515,$J515-$K515,0)</f>
        <v>0</v>
      </c>
      <c r="N515" s="156" t="s">
        <v>83</v>
      </c>
      <c r="O515" s="157" cm="1">
        <f t="array" ref="O515">TRUNC($H515*(1+_xlfn.SWITCH($N515,"BDI 1",$O$6,"BDI 2",$O$7,"BDI 3",$O$8)),2)</f>
        <v>1.01</v>
      </c>
      <c r="P515" s="157" cm="1">
        <f t="array" ref="P515">TRUNC($I515*(1+_xlfn.SWITCH($N515,"BDI 1",$P$6,"BDI 2",$P$7,"BDI 3",$P$8)),2)</f>
        <v>1.07</v>
      </c>
      <c r="Q515" s="157">
        <v>0</v>
      </c>
      <c r="R515" s="157">
        <f>$Q515-($Q515*LICITACAO_DESCONTO)</f>
        <v>0</v>
      </c>
      <c r="S515" s="156">
        <f>TRUNC($K515*$O515,2)</f>
        <v>0</v>
      </c>
      <c r="T515" s="156">
        <f>TRUNC($K515*$P515,2)</f>
        <v>0</v>
      </c>
      <c r="U515" s="156">
        <f>TRUNC($J515*$R515,2)</f>
        <v>0</v>
      </c>
      <c r="V515" s="156">
        <f>TRUNC($K515*$Q515,2)</f>
        <v>0</v>
      </c>
      <c r="W515" s="156">
        <f>TRUNC(V515-U515,2)</f>
        <v>0</v>
      </c>
      <c r="X515" s="158">
        <f>$S515/ORCAMENTO_VALOR_TOTAL_ND</f>
        <v>0</v>
      </c>
      <c r="Y515" s="158">
        <f>$T515/ORCAMENTO_VALOR_TOTAL_DE</f>
        <v>0</v>
      </c>
      <c r="Z515" s="158" cm="1">
        <f t="array" ref="Z515">_xlfn.SWITCH($N515,"BDI 1",$O$6,"BDI 2",$O$7,"BDI 3",$O$8)</f>
        <v>0.20699999999999999</v>
      </c>
      <c r="AA515" s="158" cm="1">
        <f t="array" ref="AA515">_xlfn.SWITCH($N515,"BDI 1",$P$6,"BDI 2",$P$7,"BDI 3",$P$8)</f>
        <v>0.26739999999999997</v>
      </c>
      <c r="AB515" s="158">
        <f ca="1">IFERROR($S515/_xlfn.XLOOKUP($AE515,$B$16:$B$38,$S$16:$S$38),0)</f>
        <v>0</v>
      </c>
      <c r="AC515" s="158">
        <f ca="1">IFERROR($T515/_xlfn.XLOOKUP($AE515,$B$16:$B$38,$T$16:$T$38),0)</f>
        <v>0</v>
      </c>
      <c r="AD515" s="164"/>
      <c r="AE515" s="148">
        <f t="shared" si="996"/>
        <v>0</v>
      </c>
      <c r="AF515" s="149"/>
      <c r="AG515" s="150"/>
      <c r="AH515" s="159" t="e">
        <f>S515/$S$494</f>
        <v>#DIV/0!</v>
      </c>
      <c r="AI515" s="166">
        <f>IF(K515=0,0,K515/F515)</f>
        <v>0</v>
      </c>
      <c r="AJ515" s="105"/>
      <c r="AK515" s="105"/>
      <c r="AM515" s="105"/>
      <c r="AN515" s="105"/>
      <c r="AO515" s="105"/>
      <c r="AP515" s="105"/>
      <c r="AQ515" s="105"/>
      <c r="AR515" s="105"/>
    </row>
    <row r="516" spans="1:44" s="49" customFormat="1" ht="40.15" hidden="1" customHeight="1">
      <c r="A516" s="10">
        <f t="shared" ca="1" si="949"/>
        <v>0</v>
      </c>
      <c r="B516" s="153"/>
      <c r="C516" s="154"/>
      <c r="D516" s="154"/>
      <c r="E516" s="161" t="s">
        <v>257</v>
      </c>
      <c r="F516" s="154"/>
      <c r="G516" s="154"/>
      <c r="H516" s="152"/>
      <c r="I516" s="152"/>
      <c r="J516" s="154"/>
      <c r="K516" s="154"/>
      <c r="L516" s="154"/>
      <c r="M516" s="154"/>
      <c r="N516" s="154"/>
      <c r="O516" s="154"/>
      <c r="P516" s="154"/>
      <c r="Q516" s="154"/>
      <c r="R516" s="154"/>
      <c r="S516" s="162"/>
      <c r="T516" s="162"/>
      <c r="U516" s="162"/>
      <c r="V516" s="162"/>
      <c r="W516" s="162"/>
      <c r="X516" s="163"/>
      <c r="Y516" s="163"/>
      <c r="Z516" s="163"/>
      <c r="AA516" s="163"/>
      <c r="AB516" s="163"/>
      <c r="AC516" s="163"/>
      <c r="AD516" s="164"/>
      <c r="AE516" s="148">
        <f>IF(SUM(S517:S518)&gt;0,IFERROR(TRUNC(A516,0),0),0)</f>
        <v>0</v>
      </c>
      <c r="AF516" s="149"/>
      <c r="AG516" s="150"/>
      <c r="AH516" s="159"/>
      <c r="AI516" s="160"/>
      <c r="AJ516" s="105"/>
      <c r="AK516" s="105"/>
      <c r="AM516" s="105"/>
      <c r="AN516" s="105"/>
      <c r="AO516" s="105"/>
      <c r="AP516" s="105"/>
      <c r="AQ516" s="105"/>
      <c r="AR516" s="105"/>
    </row>
    <row r="517" spans="1:44" s="49" customFormat="1" ht="40.15" hidden="1" customHeight="1">
      <c r="A517" s="152">
        <f t="shared" ca="1" si="949"/>
        <v>0</v>
      </c>
      <c r="B517" s="153">
        <v>95876</v>
      </c>
      <c r="C517" s="154" t="str">
        <f>TEXT(B517,"0")</f>
        <v>95876</v>
      </c>
      <c r="D517" s="154" t="s">
        <v>1416</v>
      </c>
      <c r="E517" s="155" t="s">
        <v>3537</v>
      </c>
      <c r="F517" s="154">
        <f>IF(Dados_DMT!$B$14&lt;30,Dados_DMT!$B$14,30)</f>
        <v>3.5</v>
      </c>
      <c r="G517" s="154" t="s">
        <v>3538</v>
      </c>
      <c r="H517" s="152">
        <v>2.09</v>
      </c>
      <c r="I517" s="152">
        <v>2.1</v>
      </c>
      <c r="J517" s="156"/>
      <c r="K517" s="156">
        <f>ROUND(Dre_Fecha_Vala!U63*F517,2)</f>
        <v>0</v>
      </c>
      <c r="L517" s="156">
        <f>IF($K517&gt;$J517,$K517-$J517,0)</f>
        <v>0</v>
      </c>
      <c r="M517" s="156">
        <f>IF($K517&lt;$J517,$J517-$K517,0)</f>
        <v>0</v>
      </c>
      <c r="N517" s="156" t="s">
        <v>83</v>
      </c>
      <c r="O517" s="157" cm="1">
        <f t="array" ref="O517">TRUNC($H517*(1+_xlfn.SWITCH($N517,"BDI 1",$O$6,"BDI 2",$O$7,"BDI 3",$O$8)),2)</f>
        <v>2.52</v>
      </c>
      <c r="P517" s="157" cm="1">
        <f t="array" ref="P517">TRUNC($I517*(1+_xlfn.SWITCH($N517,"BDI 1",$P$6,"BDI 2",$P$7,"BDI 3",$P$8)),2)</f>
        <v>2.66</v>
      </c>
      <c r="Q517" s="157">
        <v>0</v>
      </c>
      <c r="R517" s="157">
        <f>$Q517-($Q517*LICITACAO_DESCONTO)</f>
        <v>0</v>
      </c>
      <c r="S517" s="156">
        <f>TRUNC($K517*$O517,2)</f>
        <v>0</v>
      </c>
      <c r="T517" s="156">
        <f>TRUNC($K517*$P517,2)</f>
        <v>0</v>
      </c>
      <c r="U517" s="156">
        <f>TRUNC($J517*$R517,2)</f>
        <v>0</v>
      </c>
      <c r="V517" s="156">
        <f>TRUNC($K517*$Q517,2)</f>
        <v>0</v>
      </c>
      <c r="W517" s="156">
        <f>TRUNC(V517-U517,2)</f>
        <v>0</v>
      </c>
      <c r="X517" s="158">
        <f>$S517/ORCAMENTO_VALOR_TOTAL_ND</f>
        <v>0</v>
      </c>
      <c r="Y517" s="158">
        <f>$T517/ORCAMENTO_VALOR_TOTAL_DE</f>
        <v>0</v>
      </c>
      <c r="Z517" s="158" cm="1">
        <f t="array" ref="Z517">_xlfn.SWITCH($N517,"BDI 1",$O$6,"BDI 2",$O$7,"BDI 3",$O$8)</f>
        <v>0.20699999999999999</v>
      </c>
      <c r="AA517" s="158" cm="1">
        <f t="array" ref="AA517">_xlfn.SWITCH($N517,"BDI 1",$P$6,"BDI 2",$P$7,"BDI 3",$P$8)</f>
        <v>0.26739999999999997</v>
      </c>
      <c r="AB517" s="158">
        <f ca="1">IFERROR($S517/_xlfn.XLOOKUP($AE517,$B$16:$B$38,$S$16:$S$38),0)</f>
        <v>0</v>
      </c>
      <c r="AC517" s="158">
        <f ca="1">IFERROR($T517/_xlfn.XLOOKUP($AE517,$B$16:$B$38,$T$16:$T$38),0)</f>
        <v>0</v>
      </c>
      <c r="AD517" s="164"/>
      <c r="AE517" s="148">
        <f t="shared" ref="AE517:AE518" si="997">IF(S517&gt;0,IFERROR(TRUNC(A517,0),0),0)</f>
        <v>0</v>
      </c>
      <c r="AF517" s="149"/>
      <c r="AG517" s="150"/>
      <c r="AH517" s="159" t="e">
        <f>S517/$S$494</f>
        <v>#DIV/0!</v>
      </c>
      <c r="AI517" s="166">
        <f>IF(K517=0,0,K517/F517)</f>
        <v>0</v>
      </c>
      <c r="AJ517" s="105"/>
      <c r="AK517" s="105"/>
      <c r="AM517" s="105"/>
      <c r="AN517" s="105"/>
      <c r="AO517" s="105"/>
      <c r="AP517" s="105"/>
      <c r="AQ517" s="105"/>
      <c r="AR517" s="105"/>
    </row>
    <row r="518" spans="1:44" s="49" customFormat="1" ht="40.15" hidden="1" customHeight="1">
      <c r="A518" s="152">
        <f t="shared" ca="1" si="949"/>
        <v>0</v>
      </c>
      <c r="B518" s="153">
        <v>93593</v>
      </c>
      <c r="C518" s="154" t="str">
        <f>TEXT(B518,"0")</f>
        <v>93593</v>
      </c>
      <c r="D518" s="154" t="s">
        <v>1416</v>
      </c>
      <c r="E518" s="155" t="s">
        <v>3545</v>
      </c>
      <c r="F518" s="154">
        <f>+Dados_DMT!$B$14-F517</f>
        <v>0</v>
      </c>
      <c r="G518" s="154" t="s">
        <v>3538</v>
      </c>
      <c r="H518" s="152">
        <v>0.84</v>
      </c>
      <c r="I518" s="152">
        <v>0.85</v>
      </c>
      <c r="J518" s="156"/>
      <c r="K518" s="156">
        <f>ROUND(Dre_Fecha_Vala!U63*F518,2)</f>
        <v>0</v>
      </c>
      <c r="L518" s="156">
        <f>IF($K518&gt;$J518,$K518-$J518,0)</f>
        <v>0</v>
      </c>
      <c r="M518" s="156">
        <f>IF($K518&lt;$J518,$J518-$K518,0)</f>
        <v>0</v>
      </c>
      <c r="N518" s="156" t="s">
        <v>83</v>
      </c>
      <c r="O518" s="157" cm="1">
        <f t="array" ref="O518">TRUNC($H518*(1+_xlfn.SWITCH($N518,"BDI 1",$O$6,"BDI 2",$O$7,"BDI 3",$O$8)),2)</f>
        <v>1.01</v>
      </c>
      <c r="P518" s="157" cm="1">
        <f t="array" ref="P518">TRUNC($I518*(1+_xlfn.SWITCH($N518,"BDI 1",$P$6,"BDI 2",$P$7,"BDI 3",$P$8)),2)</f>
        <v>1.07</v>
      </c>
      <c r="Q518" s="157">
        <v>0</v>
      </c>
      <c r="R518" s="157">
        <f>$Q518-($Q518*LICITACAO_DESCONTO)</f>
        <v>0</v>
      </c>
      <c r="S518" s="156">
        <f>TRUNC($K518*$O518,2)</f>
        <v>0</v>
      </c>
      <c r="T518" s="156">
        <f>TRUNC($K518*$P518,2)</f>
        <v>0</v>
      </c>
      <c r="U518" s="156">
        <f>TRUNC($J518*$R518,2)</f>
        <v>0</v>
      </c>
      <c r="V518" s="156">
        <f>TRUNC($K518*$Q518,2)</f>
        <v>0</v>
      </c>
      <c r="W518" s="156">
        <f>TRUNC(V518-U518,2)</f>
        <v>0</v>
      </c>
      <c r="X518" s="158">
        <f>$S518/ORCAMENTO_VALOR_TOTAL_ND</f>
        <v>0</v>
      </c>
      <c r="Y518" s="158">
        <f>$T518/ORCAMENTO_VALOR_TOTAL_DE</f>
        <v>0</v>
      </c>
      <c r="Z518" s="158" cm="1">
        <f t="array" ref="Z518">_xlfn.SWITCH($N518,"BDI 1",$O$6,"BDI 2",$O$7,"BDI 3",$O$8)</f>
        <v>0.20699999999999999</v>
      </c>
      <c r="AA518" s="158" cm="1">
        <f t="array" ref="AA518">_xlfn.SWITCH($N518,"BDI 1",$P$6,"BDI 2",$P$7,"BDI 3",$P$8)</f>
        <v>0.26739999999999997</v>
      </c>
      <c r="AB518" s="158">
        <f ca="1">IFERROR($S518/_xlfn.XLOOKUP($AE518,$B$16:$B$38,$S$16:$S$38),0)</f>
        <v>0</v>
      </c>
      <c r="AC518" s="158">
        <f ca="1">IFERROR($T518/_xlfn.XLOOKUP($AE518,$B$16:$B$38,$T$16:$T$38),0)</f>
        <v>0</v>
      </c>
      <c r="AD518" s="164"/>
      <c r="AE518" s="148">
        <f t="shared" si="997"/>
        <v>0</v>
      </c>
      <c r="AF518" s="149"/>
      <c r="AG518" s="150"/>
      <c r="AH518" s="159" t="e">
        <f>S518/$S$494</f>
        <v>#DIV/0!</v>
      </c>
      <c r="AI518" s="166">
        <f>IF(K518=0,0,K518/F518)</f>
        <v>0</v>
      </c>
      <c r="AJ518" s="105"/>
      <c r="AK518" s="105"/>
      <c r="AM518" s="105"/>
      <c r="AN518" s="105"/>
      <c r="AO518" s="105"/>
      <c r="AP518" s="105"/>
      <c r="AQ518" s="105"/>
      <c r="AR518" s="105"/>
    </row>
    <row r="519" spans="1:44" s="49" customFormat="1" ht="40.15" hidden="1" customHeight="1">
      <c r="A519" s="10">
        <f t="shared" ca="1" si="949"/>
        <v>0</v>
      </c>
      <c r="B519" s="153"/>
      <c r="C519" s="154"/>
      <c r="D519" s="154"/>
      <c r="E519" s="161" t="s">
        <v>258</v>
      </c>
      <c r="F519" s="154"/>
      <c r="G519" s="154"/>
      <c r="H519" s="152"/>
      <c r="I519" s="152"/>
      <c r="J519" s="154"/>
      <c r="K519" s="154"/>
      <c r="L519" s="154"/>
      <c r="M519" s="154"/>
      <c r="N519" s="154"/>
      <c r="O519" s="154"/>
      <c r="P519" s="154"/>
      <c r="Q519" s="154"/>
      <c r="R519" s="154"/>
      <c r="S519" s="162"/>
      <c r="T519" s="162"/>
      <c r="U519" s="162"/>
      <c r="V519" s="162"/>
      <c r="W519" s="162"/>
      <c r="X519" s="163"/>
      <c r="Y519" s="163"/>
      <c r="Z519" s="163"/>
      <c r="AA519" s="163"/>
      <c r="AB519" s="163"/>
      <c r="AC519" s="163"/>
      <c r="AD519" s="164"/>
      <c r="AE519" s="148">
        <f>IF(SUM(S520:S521)&gt;0,IFERROR(TRUNC(A519,0),0),0)</f>
        <v>0</v>
      </c>
      <c r="AF519" s="149"/>
      <c r="AG519" s="150"/>
      <c r="AH519" s="159"/>
      <c r="AI519" s="160"/>
      <c r="AJ519" s="105"/>
      <c r="AK519" s="105"/>
      <c r="AM519" s="105"/>
      <c r="AN519" s="105"/>
      <c r="AO519" s="105"/>
      <c r="AP519" s="105"/>
      <c r="AQ519" s="105"/>
      <c r="AR519" s="105"/>
    </row>
    <row r="520" spans="1:44" s="49" customFormat="1" ht="40.15" hidden="1" customHeight="1">
      <c r="A520" s="152">
        <f t="shared" ca="1" si="949"/>
        <v>0</v>
      </c>
      <c r="B520" s="153">
        <v>95876</v>
      </c>
      <c r="C520" s="154" t="str">
        <f>TEXT(B520,"0")</f>
        <v>95876</v>
      </c>
      <c r="D520" s="154" t="s">
        <v>1416</v>
      </c>
      <c r="E520" s="155" t="s">
        <v>3537</v>
      </c>
      <c r="F520" s="154">
        <f>IF(Dados_DMT!$B$15&lt;30,Dados_DMT!$B$15,30)</f>
        <v>1</v>
      </c>
      <c r="G520" s="154" t="s">
        <v>3538</v>
      </c>
      <c r="H520" s="152">
        <v>2.09</v>
      </c>
      <c r="I520" s="152">
        <v>2.1</v>
      </c>
      <c r="J520" s="156"/>
      <c r="K520" s="156">
        <f>ROUND(Dre_Fecha_Vala!U61*F520,2)</f>
        <v>0</v>
      </c>
      <c r="L520" s="156">
        <f>IF($K520&gt;$J520,$K520-$J520,0)</f>
        <v>0</v>
      </c>
      <c r="M520" s="156">
        <f>IF($K520&lt;$J520,$J520-$K520,0)</f>
        <v>0</v>
      </c>
      <c r="N520" s="156" t="s">
        <v>83</v>
      </c>
      <c r="O520" s="157" cm="1">
        <f t="array" ref="O520">TRUNC($H520*(1+_xlfn.SWITCH($N520,"BDI 1",$O$6,"BDI 2",$O$7,"BDI 3",$O$8)),2)</f>
        <v>2.52</v>
      </c>
      <c r="P520" s="157" cm="1">
        <f t="array" ref="P520">TRUNC($I520*(1+_xlfn.SWITCH($N520,"BDI 1",$P$6,"BDI 2",$P$7,"BDI 3",$P$8)),2)</f>
        <v>2.66</v>
      </c>
      <c r="Q520" s="157">
        <v>0</v>
      </c>
      <c r="R520" s="157">
        <f>$Q520-($Q520*LICITACAO_DESCONTO)</f>
        <v>0</v>
      </c>
      <c r="S520" s="156">
        <f>TRUNC($K520*$O520,2)</f>
        <v>0</v>
      </c>
      <c r="T520" s="156">
        <f>TRUNC($K520*$P520,2)</f>
        <v>0</v>
      </c>
      <c r="U520" s="156">
        <f>TRUNC($J520*$R520,2)</f>
        <v>0</v>
      </c>
      <c r="V520" s="156">
        <f>TRUNC($K520*$Q520,2)</f>
        <v>0</v>
      </c>
      <c r="W520" s="156">
        <f>TRUNC(V520-U520,2)</f>
        <v>0</v>
      </c>
      <c r="X520" s="158">
        <f>$S520/ORCAMENTO_VALOR_TOTAL_ND</f>
        <v>0</v>
      </c>
      <c r="Y520" s="158">
        <f>$T520/ORCAMENTO_VALOR_TOTAL_DE</f>
        <v>0</v>
      </c>
      <c r="Z520" s="158" cm="1">
        <f t="array" ref="Z520">_xlfn.SWITCH($N520,"BDI 1",$O$6,"BDI 2",$O$7,"BDI 3",$O$8)</f>
        <v>0.20699999999999999</v>
      </c>
      <c r="AA520" s="158" cm="1">
        <f t="array" ref="AA520">_xlfn.SWITCH($N520,"BDI 1",$P$6,"BDI 2",$P$7,"BDI 3",$P$8)</f>
        <v>0.26739999999999997</v>
      </c>
      <c r="AB520" s="158">
        <f ca="1">IFERROR($S520/_xlfn.XLOOKUP($AE520,$B$16:$B$38,$S$16:$S$38),0)</f>
        <v>0</v>
      </c>
      <c r="AC520" s="158">
        <f ca="1">IFERROR($T520/_xlfn.XLOOKUP($AE520,$B$16:$B$38,$T$16:$T$38),0)</f>
        <v>0</v>
      </c>
      <c r="AD520" s="164"/>
      <c r="AE520" s="148">
        <f t="shared" ref="AE520:AE521" si="998">IF(S520&gt;0,IFERROR(TRUNC(A520,0),0),0)</f>
        <v>0</v>
      </c>
      <c r="AF520" s="149"/>
      <c r="AG520" s="150"/>
      <c r="AH520" s="159" t="e">
        <f>S520/$S$494</f>
        <v>#DIV/0!</v>
      </c>
      <c r="AI520" s="160"/>
      <c r="AJ520" s="105"/>
      <c r="AK520" s="105"/>
      <c r="AM520" s="105"/>
      <c r="AN520" s="105"/>
      <c r="AO520" s="105"/>
      <c r="AP520" s="105"/>
      <c r="AQ520" s="105"/>
      <c r="AR520" s="105"/>
    </row>
    <row r="521" spans="1:44" s="49" customFormat="1" ht="40.15" hidden="1" customHeight="1">
      <c r="A521" s="152">
        <f t="shared" ca="1" si="949"/>
        <v>0</v>
      </c>
      <c r="B521" s="153">
        <v>93593</v>
      </c>
      <c r="C521" s="154" t="str">
        <f>TEXT(B521,"0")</f>
        <v>93593</v>
      </c>
      <c r="D521" s="154" t="s">
        <v>1416</v>
      </c>
      <c r="E521" s="155" t="s">
        <v>3545</v>
      </c>
      <c r="F521" s="154">
        <f>Dados_DMT!$B$15-F520</f>
        <v>0</v>
      </c>
      <c r="G521" s="154" t="s">
        <v>3538</v>
      </c>
      <c r="H521" s="152">
        <v>0.84</v>
      </c>
      <c r="I521" s="152">
        <v>0.85</v>
      </c>
      <c r="J521" s="156"/>
      <c r="K521" s="156">
        <f>ROUND(Dre_Fecha_Vala!U61*F521,2)</f>
        <v>0</v>
      </c>
      <c r="L521" s="156">
        <f>IF($K521&gt;$J521,$K521-$J521,0)</f>
        <v>0</v>
      </c>
      <c r="M521" s="156">
        <f>IF($K521&lt;$J521,$J521-$K521,0)</f>
        <v>0</v>
      </c>
      <c r="N521" s="156" t="s">
        <v>83</v>
      </c>
      <c r="O521" s="157" cm="1">
        <f t="array" ref="O521">TRUNC($H521*(1+_xlfn.SWITCH($N521,"BDI 1",$O$6,"BDI 2",$O$7,"BDI 3",$O$8)),2)</f>
        <v>1.01</v>
      </c>
      <c r="P521" s="157" cm="1">
        <f t="array" ref="P521">TRUNC($I521*(1+_xlfn.SWITCH($N521,"BDI 1",$P$6,"BDI 2",$P$7,"BDI 3",$P$8)),2)</f>
        <v>1.07</v>
      </c>
      <c r="Q521" s="157">
        <v>0</v>
      </c>
      <c r="R521" s="157">
        <f>$Q521-($Q521*LICITACAO_DESCONTO)</f>
        <v>0</v>
      </c>
      <c r="S521" s="156">
        <f>TRUNC($K521*$O521,2)</f>
        <v>0</v>
      </c>
      <c r="T521" s="156">
        <f>TRUNC($K521*$P521,2)</f>
        <v>0</v>
      </c>
      <c r="U521" s="156">
        <f>TRUNC($J521*$R521,2)</f>
        <v>0</v>
      </c>
      <c r="V521" s="156">
        <f>TRUNC($K521*$Q521,2)</f>
        <v>0</v>
      </c>
      <c r="W521" s="156">
        <f>TRUNC(V521-U521,2)</f>
        <v>0</v>
      </c>
      <c r="X521" s="158">
        <f>$S521/ORCAMENTO_VALOR_TOTAL_ND</f>
        <v>0</v>
      </c>
      <c r="Y521" s="158">
        <f>$T521/ORCAMENTO_VALOR_TOTAL_DE</f>
        <v>0</v>
      </c>
      <c r="Z521" s="158" cm="1">
        <f t="array" ref="Z521">_xlfn.SWITCH($N521,"BDI 1",$O$6,"BDI 2",$O$7,"BDI 3",$O$8)</f>
        <v>0.20699999999999999</v>
      </c>
      <c r="AA521" s="158" cm="1">
        <f t="array" ref="AA521">_xlfn.SWITCH($N521,"BDI 1",$P$6,"BDI 2",$P$7,"BDI 3",$P$8)</f>
        <v>0.26739999999999997</v>
      </c>
      <c r="AB521" s="158">
        <f ca="1">IFERROR($S521/_xlfn.XLOOKUP($AE521,$B$16:$B$38,$S$16:$S$38),0)</f>
        <v>0</v>
      </c>
      <c r="AC521" s="158">
        <f ca="1">IFERROR($T521/_xlfn.XLOOKUP($AE521,$B$16:$B$38,$T$16:$T$38),0)</f>
        <v>0</v>
      </c>
      <c r="AD521" s="164"/>
      <c r="AE521" s="148">
        <f t="shared" si="998"/>
        <v>0</v>
      </c>
      <c r="AF521" s="149"/>
      <c r="AG521" s="150"/>
      <c r="AH521" s="159" t="e">
        <f>S521/$S$494</f>
        <v>#DIV/0!</v>
      </c>
      <c r="AI521" s="160"/>
      <c r="AJ521" s="105"/>
      <c r="AK521" s="105"/>
      <c r="AM521" s="105"/>
      <c r="AN521" s="105"/>
      <c r="AO521" s="105"/>
      <c r="AP521" s="105"/>
      <c r="AQ521" s="105"/>
      <c r="AR521" s="105"/>
    </row>
    <row r="522" spans="1:44" s="49" customFormat="1" ht="40.15" hidden="1" customHeight="1">
      <c r="A522" s="10">
        <f t="shared" ca="1" si="949"/>
        <v>0</v>
      </c>
      <c r="B522" s="153"/>
      <c r="C522" s="154"/>
      <c r="D522" s="154"/>
      <c r="E522" s="161" t="s">
        <v>259</v>
      </c>
      <c r="F522" s="154"/>
      <c r="G522" s="154"/>
      <c r="H522" s="152"/>
      <c r="I522" s="152"/>
      <c r="J522" s="154"/>
      <c r="K522" s="154"/>
      <c r="L522" s="154"/>
      <c r="M522" s="154"/>
      <c r="N522" s="154"/>
      <c r="O522" s="154"/>
      <c r="P522" s="154"/>
      <c r="Q522" s="154"/>
      <c r="R522" s="154"/>
      <c r="S522" s="162"/>
      <c r="T522" s="162"/>
      <c r="U522" s="162"/>
      <c r="V522" s="162"/>
      <c r="W522" s="162"/>
      <c r="X522" s="163"/>
      <c r="Y522" s="163"/>
      <c r="Z522" s="163"/>
      <c r="AA522" s="163"/>
      <c r="AB522" s="163"/>
      <c r="AC522" s="163"/>
      <c r="AD522" s="164"/>
      <c r="AE522" s="148">
        <f>IF(SUM(S523:S524)&gt;0,IFERROR(TRUNC(A522,0),0),0)</f>
        <v>0</v>
      </c>
      <c r="AF522" s="149"/>
      <c r="AG522" s="150"/>
      <c r="AH522" s="159"/>
      <c r="AI522" s="160"/>
      <c r="AJ522" s="105"/>
      <c r="AK522" s="105"/>
      <c r="AM522" s="105"/>
      <c r="AN522" s="105"/>
      <c r="AO522" s="105"/>
      <c r="AP522" s="105"/>
      <c r="AQ522" s="105"/>
      <c r="AR522" s="105"/>
    </row>
    <row r="523" spans="1:44" s="49" customFormat="1" ht="40.15" hidden="1" customHeight="1">
      <c r="A523" s="152">
        <f t="shared" ca="1" si="949"/>
        <v>0</v>
      </c>
      <c r="B523" s="153">
        <v>95876</v>
      </c>
      <c r="C523" s="154" t="str">
        <f>TEXT(B523,"0")</f>
        <v>95876</v>
      </c>
      <c r="D523" s="154" t="s">
        <v>1416</v>
      </c>
      <c r="E523" s="155" t="s">
        <v>3537</v>
      </c>
      <c r="F523" s="154">
        <f>IF(Dados_DMT!$B$24&lt;30,Dados_DMT!$B$24,30)</f>
        <v>0</v>
      </c>
      <c r="G523" s="154" t="s">
        <v>3538</v>
      </c>
      <c r="H523" s="152">
        <v>2.09</v>
      </c>
      <c r="I523" s="152">
        <v>2.1</v>
      </c>
      <c r="J523" s="156"/>
      <c r="K523" s="156">
        <f>ROUND(Dre_Fecha_Vala!U69*F523,2)</f>
        <v>0</v>
      </c>
      <c r="L523" s="156">
        <f>IF($K523&gt;$J523,$K523-$J523,0)</f>
        <v>0</v>
      </c>
      <c r="M523" s="156">
        <f>IF($K523&lt;$J523,$J523-$K523,0)</f>
        <v>0</v>
      </c>
      <c r="N523" s="156" t="s">
        <v>83</v>
      </c>
      <c r="O523" s="157" cm="1">
        <f t="array" ref="O523">TRUNC($H523*(1+_xlfn.SWITCH($N523,"BDI 1",$O$6,"BDI 2",$O$7,"BDI 3",$O$8)),2)</f>
        <v>2.52</v>
      </c>
      <c r="P523" s="157" cm="1">
        <f t="array" ref="P523">TRUNC($I523*(1+_xlfn.SWITCH($N523,"BDI 1",$P$6,"BDI 2",$P$7,"BDI 3",$P$8)),2)</f>
        <v>2.66</v>
      </c>
      <c r="Q523" s="157">
        <v>0</v>
      </c>
      <c r="R523" s="157">
        <f>$Q523-($Q523*LICITACAO_DESCONTO)</f>
        <v>0</v>
      </c>
      <c r="S523" s="156">
        <f>TRUNC($K523*$O523,2)</f>
        <v>0</v>
      </c>
      <c r="T523" s="156">
        <f>TRUNC($K523*$P523,2)</f>
        <v>0</v>
      </c>
      <c r="U523" s="156">
        <f>TRUNC($J523*$R523,2)</f>
        <v>0</v>
      </c>
      <c r="V523" s="156">
        <f>TRUNC($K523*$Q523,2)</f>
        <v>0</v>
      </c>
      <c r="W523" s="156">
        <f>TRUNC(V523-U523,2)</f>
        <v>0</v>
      </c>
      <c r="X523" s="158">
        <f>$S523/ORCAMENTO_VALOR_TOTAL_ND</f>
        <v>0</v>
      </c>
      <c r="Y523" s="158">
        <f>$T523/ORCAMENTO_VALOR_TOTAL_DE</f>
        <v>0</v>
      </c>
      <c r="Z523" s="158" cm="1">
        <f t="array" ref="Z523">_xlfn.SWITCH($N523,"BDI 1",$O$6,"BDI 2",$O$7,"BDI 3",$O$8)</f>
        <v>0.20699999999999999</v>
      </c>
      <c r="AA523" s="158" cm="1">
        <f t="array" ref="AA523">_xlfn.SWITCH($N523,"BDI 1",$P$6,"BDI 2",$P$7,"BDI 3",$P$8)</f>
        <v>0.26739999999999997</v>
      </c>
      <c r="AB523" s="158">
        <f ca="1">IFERROR($S523/_xlfn.XLOOKUP($AE523,$B$16:$B$38,$S$16:$S$38),0)</f>
        <v>0</v>
      </c>
      <c r="AC523" s="158">
        <f ca="1">IFERROR($T523/_xlfn.XLOOKUP($AE523,$B$16:$B$38,$T$16:$T$38),0)</f>
        <v>0</v>
      </c>
      <c r="AD523" s="164"/>
      <c r="AE523" s="148">
        <f t="shared" ref="AE523:AE524" si="999">IF(S523&gt;0,IFERROR(TRUNC(A523,0),0),0)</f>
        <v>0</v>
      </c>
      <c r="AF523" s="149"/>
      <c r="AG523" s="150"/>
      <c r="AH523" s="159" t="e">
        <f>S523/$S$494</f>
        <v>#DIV/0!</v>
      </c>
      <c r="AI523" s="166">
        <f>IF(K523=0,0,K523/F523)</f>
        <v>0</v>
      </c>
      <c r="AJ523" s="105"/>
      <c r="AK523" s="105"/>
      <c r="AM523" s="105"/>
      <c r="AN523" s="105"/>
      <c r="AO523" s="105"/>
      <c r="AP523" s="105"/>
      <c r="AQ523" s="105"/>
      <c r="AR523" s="105"/>
    </row>
    <row r="524" spans="1:44" s="49" customFormat="1" ht="40.15" hidden="1" customHeight="1">
      <c r="A524" s="152">
        <f t="shared" ca="1" si="949"/>
        <v>0</v>
      </c>
      <c r="B524" s="153">
        <v>93593</v>
      </c>
      <c r="C524" s="154" t="str">
        <f>TEXT(B524,"0")</f>
        <v>93593</v>
      </c>
      <c r="D524" s="154" t="s">
        <v>1416</v>
      </c>
      <c r="E524" s="155" t="s">
        <v>3545</v>
      </c>
      <c r="F524" s="154">
        <f>+Dados_DMT!$B$24-F523</f>
        <v>0</v>
      </c>
      <c r="G524" s="154" t="s">
        <v>3538</v>
      </c>
      <c r="H524" s="152">
        <v>0.84</v>
      </c>
      <c r="I524" s="152">
        <v>0.85</v>
      </c>
      <c r="J524" s="156"/>
      <c r="K524" s="156">
        <f>ROUND(Dre_Fecha_Vala!U69*F524,2)</f>
        <v>0</v>
      </c>
      <c r="L524" s="156">
        <f>IF($K524&gt;$J524,$K524-$J524,0)</f>
        <v>0</v>
      </c>
      <c r="M524" s="156">
        <f>IF($K524&lt;$J524,$J524-$K524,0)</f>
        <v>0</v>
      </c>
      <c r="N524" s="156" t="s">
        <v>83</v>
      </c>
      <c r="O524" s="157" cm="1">
        <f t="array" ref="O524">TRUNC($H524*(1+_xlfn.SWITCH($N524,"BDI 1",$O$6,"BDI 2",$O$7,"BDI 3",$O$8)),2)</f>
        <v>1.01</v>
      </c>
      <c r="P524" s="157" cm="1">
        <f t="array" ref="P524">TRUNC($I524*(1+_xlfn.SWITCH($N524,"BDI 1",$P$6,"BDI 2",$P$7,"BDI 3",$P$8)),2)</f>
        <v>1.07</v>
      </c>
      <c r="Q524" s="157">
        <v>0</v>
      </c>
      <c r="R524" s="157">
        <f>$Q524-($Q524*LICITACAO_DESCONTO)</f>
        <v>0</v>
      </c>
      <c r="S524" s="156">
        <f>TRUNC($K524*$O524,2)</f>
        <v>0</v>
      </c>
      <c r="T524" s="156">
        <f>TRUNC($K524*$P524,2)</f>
        <v>0</v>
      </c>
      <c r="U524" s="156">
        <f>TRUNC($J524*$R524,2)</f>
        <v>0</v>
      </c>
      <c r="V524" s="156">
        <f>TRUNC($K524*$Q524,2)</f>
        <v>0</v>
      </c>
      <c r="W524" s="156">
        <f>TRUNC(V524-U524,2)</f>
        <v>0</v>
      </c>
      <c r="X524" s="158">
        <f>$S524/ORCAMENTO_VALOR_TOTAL_ND</f>
        <v>0</v>
      </c>
      <c r="Y524" s="158">
        <f>$T524/ORCAMENTO_VALOR_TOTAL_DE</f>
        <v>0</v>
      </c>
      <c r="Z524" s="158" cm="1">
        <f t="array" ref="Z524">_xlfn.SWITCH($N524,"BDI 1",$O$6,"BDI 2",$O$7,"BDI 3",$O$8)</f>
        <v>0.20699999999999999</v>
      </c>
      <c r="AA524" s="158" cm="1">
        <f t="array" ref="AA524">_xlfn.SWITCH($N524,"BDI 1",$P$6,"BDI 2",$P$7,"BDI 3",$P$8)</f>
        <v>0.26739999999999997</v>
      </c>
      <c r="AB524" s="158">
        <f ca="1">IFERROR($S524/_xlfn.XLOOKUP($AE524,$B$16:$B$38,$S$16:$S$38),0)</f>
        <v>0</v>
      </c>
      <c r="AC524" s="158">
        <f ca="1">IFERROR($T524/_xlfn.XLOOKUP($AE524,$B$16:$B$38,$T$16:$T$38),0)</f>
        <v>0</v>
      </c>
      <c r="AD524" s="164"/>
      <c r="AE524" s="148">
        <f t="shared" si="999"/>
        <v>0</v>
      </c>
      <c r="AF524" s="149"/>
      <c r="AG524" s="150"/>
      <c r="AH524" s="159" t="e">
        <f>S524/$S$494</f>
        <v>#DIV/0!</v>
      </c>
      <c r="AI524" s="166">
        <f>IF(K524=0,0,K524/F524)</f>
        <v>0</v>
      </c>
      <c r="AJ524" s="105"/>
      <c r="AK524" s="105"/>
      <c r="AM524" s="105"/>
      <c r="AN524" s="105"/>
      <c r="AO524" s="105"/>
      <c r="AP524" s="105"/>
      <c r="AQ524" s="105"/>
      <c r="AR524" s="105"/>
    </row>
    <row r="525" spans="1:44" s="49" customFormat="1" ht="40.15" hidden="1" customHeight="1">
      <c r="A525" s="10">
        <f t="shared" ca="1" si="949"/>
        <v>0</v>
      </c>
      <c r="B525" s="153"/>
      <c r="C525" s="154"/>
      <c r="D525" s="154"/>
      <c r="E525" s="161" t="s">
        <v>260</v>
      </c>
      <c r="F525" s="154"/>
      <c r="G525" s="154"/>
      <c r="H525" s="152"/>
      <c r="I525" s="152"/>
      <c r="J525" s="154"/>
      <c r="K525" s="154"/>
      <c r="L525" s="154"/>
      <c r="M525" s="154"/>
      <c r="N525" s="154"/>
      <c r="O525" s="154"/>
      <c r="P525" s="154"/>
      <c r="Q525" s="154"/>
      <c r="R525" s="154"/>
      <c r="S525" s="162"/>
      <c r="T525" s="162"/>
      <c r="U525" s="162"/>
      <c r="V525" s="162"/>
      <c r="W525" s="162"/>
      <c r="X525" s="163"/>
      <c r="Y525" s="163"/>
      <c r="Z525" s="163"/>
      <c r="AA525" s="163"/>
      <c r="AB525" s="163"/>
      <c r="AC525" s="163"/>
      <c r="AD525" s="164"/>
      <c r="AE525" s="148">
        <f>IF(SUM(S526:S527)&gt;0,IFERROR(TRUNC(A525,0),0),0)</f>
        <v>0</v>
      </c>
      <c r="AF525" s="149"/>
      <c r="AG525" s="150"/>
      <c r="AH525" s="159"/>
      <c r="AI525" s="160"/>
      <c r="AJ525" s="105"/>
      <c r="AK525" s="105"/>
      <c r="AM525" s="105"/>
      <c r="AN525" s="105"/>
      <c r="AO525" s="105"/>
      <c r="AP525" s="105"/>
      <c r="AQ525" s="105"/>
      <c r="AR525" s="105"/>
    </row>
    <row r="526" spans="1:44" s="49" customFormat="1" ht="40.15" hidden="1" customHeight="1">
      <c r="A526" s="152">
        <f t="shared" ca="1" si="949"/>
        <v>0</v>
      </c>
      <c r="B526" s="153">
        <v>95876</v>
      </c>
      <c r="C526" s="154" t="str">
        <f>TEXT(B526,"0")</f>
        <v>95876</v>
      </c>
      <c r="D526" s="154" t="s">
        <v>1416</v>
      </c>
      <c r="E526" s="155" t="s">
        <v>3537</v>
      </c>
      <c r="F526" s="154">
        <f>IF(Dados_DMT!$B$34&lt;30,Dados_DMT!$B$34,30)</f>
        <v>30</v>
      </c>
      <c r="G526" s="154" t="s">
        <v>3538</v>
      </c>
      <c r="H526" s="152">
        <v>2.09</v>
      </c>
      <c r="I526" s="152">
        <v>2.1</v>
      </c>
      <c r="J526" s="156"/>
      <c r="K526" s="156">
        <f>ROUND(Dre_Fecha_Vala!U70*F526,2)</f>
        <v>0</v>
      </c>
      <c r="L526" s="156">
        <f>IF($K526&gt;$J526,$K526-$J526,0)</f>
        <v>0</v>
      </c>
      <c r="M526" s="156">
        <f>IF($K526&lt;$J526,$J526-$K526,0)</f>
        <v>0</v>
      </c>
      <c r="N526" s="156" t="s">
        <v>83</v>
      </c>
      <c r="O526" s="157" cm="1">
        <f t="array" ref="O526">TRUNC($H526*(1+_xlfn.SWITCH($N526,"BDI 1",$O$6,"BDI 2",$O$7,"BDI 3",$O$8)),2)</f>
        <v>2.52</v>
      </c>
      <c r="P526" s="157" cm="1">
        <f t="array" ref="P526">TRUNC($I526*(1+_xlfn.SWITCH($N526,"BDI 1",$P$6,"BDI 2",$P$7,"BDI 3",$P$8)),2)</f>
        <v>2.66</v>
      </c>
      <c r="Q526" s="157">
        <v>0</v>
      </c>
      <c r="R526" s="157">
        <f>$Q526-($Q526*LICITACAO_DESCONTO)</f>
        <v>0</v>
      </c>
      <c r="S526" s="156">
        <f>TRUNC($K526*$O526,2)</f>
        <v>0</v>
      </c>
      <c r="T526" s="156">
        <f>TRUNC($K526*$P526,2)</f>
        <v>0</v>
      </c>
      <c r="U526" s="156">
        <f>TRUNC($J526*$R526,2)</f>
        <v>0</v>
      </c>
      <c r="V526" s="156">
        <f>TRUNC($K526*$Q526,2)</f>
        <v>0</v>
      </c>
      <c r="W526" s="156">
        <f>TRUNC(V526-U526,2)</f>
        <v>0</v>
      </c>
      <c r="X526" s="158">
        <f>$S526/ORCAMENTO_VALOR_TOTAL_ND</f>
        <v>0</v>
      </c>
      <c r="Y526" s="158">
        <f>$T526/ORCAMENTO_VALOR_TOTAL_DE</f>
        <v>0</v>
      </c>
      <c r="Z526" s="158" cm="1">
        <f t="array" ref="Z526">_xlfn.SWITCH($N526,"BDI 1",$O$6,"BDI 2",$O$7,"BDI 3",$O$8)</f>
        <v>0.20699999999999999</v>
      </c>
      <c r="AA526" s="158" cm="1">
        <f t="array" ref="AA526">_xlfn.SWITCH($N526,"BDI 1",$P$6,"BDI 2",$P$7,"BDI 3",$P$8)</f>
        <v>0.26739999999999997</v>
      </c>
      <c r="AB526" s="158">
        <f ca="1">IFERROR($S526/_xlfn.XLOOKUP($AE526,$B$16:$B$38,$S$16:$S$38),0)</f>
        <v>0</v>
      </c>
      <c r="AC526" s="158">
        <f ca="1">IFERROR($T526/_xlfn.XLOOKUP($AE526,$B$16:$B$38,$T$16:$T$38),0)</f>
        <v>0</v>
      </c>
      <c r="AD526" s="164"/>
      <c r="AE526" s="148">
        <f t="shared" ref="AE526:AE527" si="1000">IF(S526&gt;0,IFERROR(TRUNC(A526,0),0),0)</f>
        <v>0</v>
      </c>
      <c r="AF526" s="149"/>
      <c r="AG526" s="150"/>
      <c r="AH526" s="159" t="e">
        <f>S526/$S$494</f>
        <v>#DIV/0!</v>
      </c>
      <c r="AI526" s="166">
        <f>IF(K526=0,0,K526/F526)</f>
        <v>0</v>
      </c>
      <c r="AJ526" s="105"/>
      <c r="AK526" s="105"/>
      <c r="AM526" s="105"/>
      <c r="AN526" s="105"/>
      <c r="AO526" s="105"/>
      <c r="AP526" s="105"/>
      <c r="AQ526" s="105"/>
      <c r="AR526" s="105"/>
    </row>
    <row r="527" spans="1:44" s="49" customFormat="1" ht="40.15" hidden="1" customHeight="1">
      <c r="A527" s="152">
        <f t="shared" ca="1" si="949"/>
        <v>0</v>
      </c>
      <c r="B527" s="153">
        <v>93593</v>
      </c>
      <c r="C527" s="154" t="str">
        <f>TEXT(B527,"0")</f>
        <v>93593</v>
      </c>
      <c r="D527" s="154" t="s">
        <v>1416</v>
      </c>
      <c r="E527" s="155" t="s">
        <v>3545</v>
      </c>
      <c r="F527" s="154">
        <f>+Dados_DMT!$B$34-F526</f>
        <v>80</v>
      </c>
      <c r="G527" s="154" t="s">
        <v>3538</v>
      </c>
      <c r="H527" s="152">
        <v>0.84</v>
      </c>
      <c r="I527" s="152">
        <v>0.85</v>
      </c>
      <c r="J527" s="156"/>
      <c r="K527" s="156">
        <f>ROUND(Dre_Fecha_Vala!U70*F527,2)</f>
        <v>0</v>
      </c>
      <c r="L527" s="156">
        <f>IF($K527&gt;$J527,$K527-$J527,0)</f>
        <v>0</v>
      </c>
      <c r="M527" s="156">
        <f>IF($K527&lt;$J527,$J527-$K527,0)</f>
        <v>0</v>
      </c>
      <c r="N527" s="156" t="s">
        <v>83</v>
      </c>
      <c r="O527" s="157" cm="1">
        <f t="array" ref="O527">TRUNC($H527*(1+_xlfn.SWITCH($N527,"BDI 1",$O$6,"BDI 2",$O$7,"BDI 3",$O$8)),2)</f>
        <v>1.01</v>
      </c>
      <c r="P527" s="157" cm="1">
        <f t="array" ref="P527">TRUNC($I527*(1+_xlfn.SWITCH($N527,"BDI 1",$P$6,"BDI 2",$P$7,"BDI 3",$P$8)),2)</f>
        <v>1.07</v>
      </c>
      <c r="Q527" s="157">
        <v>0</v>
      </c>
      <c r="R527" s="157">
        <f>$Q527-($Q527*LICITACAO_DESCONTO)</f>
        <v>0</v>
      </c>
      <c r="S527" s="156">
        <f>TRUNC($K527*$O527,2)</f>
        <v>0</v>
      </c>
      <c r="T527" s="156">
        <f>TRUNC($K527*$P527,2)</f>
        <v>0</v>
      </c>
      <c r="U527" s="156">
        <f>TRUNC($J527*$R527,2)</f>
        <v>0</v>
      </c>
      <c r="V527" s="156">
        <f>TRUNC($K527*$Q527,2)</f>
        <v>0</v>
      </c>
      <c r="W527" s="156">
        <f>TRUNC(V527-U527,2)</f>
        <v>0</v>
      </c>
      <c r="X527" s="158">
        <f>$S527/ORCAMENTO_VALOR_TOTAL_ND</f>
        <v>0</v>
      </c>
      <c r="Y527" s="158">
        <f>$T527/ORCAMENTO_VALOR_TOTAL_DE</f>
        <v>0</v>
      </c>
      <c r="Z527" s="158" cm="1">
        <f t="array" ref="Z527">_xlfn.SWITCH($N527,"BDI 1",$O$6,"BDI 2",$O$7,"BDI 3",$O$8)</f>
        <v>0.20699999999999999</v>
      </c>
      <c r="AA527" s="158" cm="1">
        <f t="array" ref="AA527">_xlfn.SWITCH($N527,"BDI 1",$P$6,"BDI 2",$P$7,"BDI 3",$P$8)</f>
        <v>0.26739999999999997</v>
      </c>
      <c r="AB527" s="158">
        <f ca="1">IFERROR($S527/_xlfn.XLOOKUP($AE527,$B$16:$B$38,$S$16:$S$38),0)</f>
        <v>0</v>
      </c>
      <c r="AC527" s="158">
        <f ca="1">IFERROR($T527/_xlfn.XLOOKUP($AE527,$B$16:$B$38,$T$16:$T$38),0)</f>
        <v>0</v>
      </c>
      <c r="AD527" s="164"/>
      <c r="AE527" s="148">
        <f t="shared" si="1000"/>
        <v>0</v>
      </c>
      <c r="AF527" s="149"/>
      <c r="AG527" s="150"/>
      <c r="AH527" s="159" t="e">
        <f>S527/$S$494</f>
        <v>#DIV/0!</v>
      </c>
      <c r="AI527" s="166">
        <f>IF(K527=0,0,K527/F527)</f>
        <v>0</v>
      </c>
      <c r="AJ527" s="105"/>
      <c r="AK527" s="105"/>
      <c r="AM527" s="105"/>
      <c r="AN527" s="105"/>
      <c r="AO527" s="105"/>
      <c r="AP527" s="105"/>
      <c r="AQ527" s="105"/>
      <c r="AR527" s="105"/>
    </row>
    <row r="528" spans="1:44" s="49" customFormat="1" ht="40.15" hidden="1" customHeight="1">
      <c r="A528" s="10">
        <f t="shared" ca="1" si="949"/>
        <v>0</v>
      </c>
      <c r="B528" s="153"/>
      <c r="C528" s="154"/>
      <c r="D528" s="154"/>
      <c r="E528" s="161" t="s">
        <v>261</v>
      </c>
      <c r="F528" s="154"/>
      <c r="G528" s="154"/>
      <c r="H528" s="152"/>
      <c r="I528" s="152"/>
      <c r="J528" s="154"/>
      <c r="K528" s="154"/>
      <c r="L528" s="154"/>
      <c r="M528" s="154"/>
      <c r="N528" s="154"/>
      <c r="O528" s="154"/>
      <c r="P528" s="154"/>
      <c r="Q528" s="154"/>
      <c r="R528" s="154"/>
      <c r="S528" s="162"/>
      <c r="T528" s="162"/>
      <c r="U528" s="162"/>
      <c r="V528" s="162"/>
      <c r="W528" s="162"/>
      <c r="X528" s="163"/>
      <c r="Y528" s="163"/>
      <c r="Z528" s="163"/>
      <c r="AA528" s="163"/>
      <c r="AB528" s="163"/>
      <c r="AC528" s="163"/>
      <c r="AD528" s="164"/>
      <c r="AE528" s="148">
        <f>IF(SUM(S529:S530)&gt;0,IFERROR(TRUNC(A528,0),0),0)</f>
        <v>0</v>
      </c>
      <c r="AF528" s="149"/>
      <c r="AG528" s="150"/>
      <c r="AH528" s="159"/>
      <c r="AI528" s="160"/>
      <c r="AJ528" s="105"/>
      <c r="AK528" s="105"/>
      <c r="AM528" s="105"/>
      <c r="AN528" s="105"/>
      <c r="AO528" s="105"/>
      <c r="AP528" s="105"/>
      <c r="AQ528" s="105"/>
      <c r="AR528" s="105"/>
    </row>
    <row r="529" spans="1:44" s="49" customFormat="1" ht="40.15" hidden="1" customHeight="1">
      <c r="A529" s="152">
        <f t="shared" ca="1" si="949"/>
        <v>0</v>
      </c>
      <c r="B529" s="153">
        <v>95876</v>
      </c>
      <c r="C529" s="154" t="str">
        <f>TEXT(B529,"0")</f>
        <v>95876</v>
      </c>
      <c r="D529" s="154" t="s">
        <v>1416</v>
      </c>
      <c r="E529" s="155" t="s">
        <v>3537</v>
      </c>
      <c r="F529" s="154">
        <f>IF(Dados_DMT!$B$34&lt;30,Dados_DMT!$B$34,30)</f>
        <v>30</v>
      </c>
      <c r="G529" s="154" t="s">
        <v>3538</v>
      </c>
      <c r="H529" s="152">
        <v>2.09</v>
      </c>
      <c r="I529" s="152">
        <v>2.1</v>
      </c>
      <c r="J529" s="156"/>
      <c r="K529" s="156">
        <f>ROUND(Dre_Fecha_Vala!U70*F529,2)</f>
        <v>0</v>
      </c>
      <c r="L529" s="156">
        <f>IF($K529&gt;$J529,$K529-$J529,0)</f>
        <v>0</v>
      </c>
      <c r="M529" s="156">
        <f>IF($K529&lt;$J529,$J529-$K529,0)</f>
        <v>0</v>
      </c>
      <c r="N529" s="156" t="s">
        <v>83</v>
      </c>
      <c r="O529" s="157" cm="1">
        <f t="array" ref="O529">TRUNC($H529*(1+_xlfn.SWITCH($N529,"BDI 1",$O$6,"BDI 2",$O$7,"BDI 3",$O$8)),2)</f>
        <v>2.52</v>
      </c>
      <c r="P529" s="157" cm="1">
        <f t="array" ref="P529">TRUNC($I529*(1+_xlfn.SWITCH($N529,"BDI 1",$P$6,"BDI 2",$P$7,"BDI 3",$P$8)),2)</f>
        <v>2.66</v>
      </c>
      <c r="Q529" s="157">
        <v>0</v>
      </c>
      <c r="R529" s="157">
        <f>$Q529-($Q529*LICITACAO_DESCONTO)</f>
        <v>0</v>
      </c>
      <c r="S529" s="156">
        <f>TRUNC($K529*$O529,2)</f>
        <v>0</v>
      </c>
      <c r="T529" s="156">
        <f>TRUNC($K529*$P529,2)</f>
        <v>0</v>
      </c>
      <c r="U529" s="156">
        <f>TRUNC($J529*$R529,2)</f>
        <v>0</v>
      </c>
      <c r="V529" s="156">
        <f>TRUNC($K529*$Q529,2)</f>
        <v>0</v>
      </c>
      <c r="W529" s="156">
        <f>TRUNC(V529-U529,2)</f>
        <v>0</v>
      </c>
      <c r="X529" s="158">
        <f>$S529/ORCAMENTO_VALOR_TOTAL_ND</f>
        <v>0</v>
      </c>
      <c r="Y529" s="158">
        <f>$T529/ORCAMENTO_VALOR_TOTAL_DE</f>
        <v>0</v>
      </c>
      <c r="Z529" s="158" cm="1">
        <f t="array" ref="Z529">_xlfn.SWITCH($N529,"BDI 1",$O$6,"BDI 2",$O$7,"BDI 3",$O$8)</f>
        <v>0.20699999999999999</v>
      </c>
      <c r="AA529" s="158" cm="1">
        <f t="array" ref="AA529">_xlfn.SWITCH($N529,"BDI 1",$P$6,"BDI 2",$P$7,"BDI 3",$P$8)</f>
        <v>0.26739999999999997</v>
      </c>
      <c r="AB529" s="158">
        <f ca="1">IFERROR($S529/_xlfn.XLOOKUP($AE529,$B$16:$B$38,$S$16:$S$38),0)</f>
        <v>0</v>
      </c>
      <c r="AC529" s="158">
        <f ca="1">IFERROR($T529/_xlfn.XLOOKUP($AE529,$B$16:$B$38,$T$16:$T$38),0)</f>
        <v>0</v>
      </c>
      <c r="AD529" s="164"/>
      <c r="AE529" s="148">
        <f t="shared" ref="AE529:AE530" si="1001">IF(S529&gt;0,IFERROR(TRUNC(A529,0),0),0)</f>
        <v>0</v>
      </c>
      <c r="AF529" s="149"/>
      <c r="AG529" s="150"/>
      <c r="AH529" s="159" t="e">
        <f>S529/$S$494</f>
        <v>#DIV/0!</v>
      </c>
      <c r="AI529" s="166">
        <f>IF(K529=0,0,K529/F529)</f>
        <v>0</v>
      </c>
      <c r="AJ529" s="105"/>
      <c r="AK529" s="105"/>
      <c r="AM529" s="105"/>
      <c r="AN529" s="105"/>
      <c r="AO529" s="105"/>
      <c r="AP529" s="105"/>
      <c r="AQ529" s="105"/>
      <c r="AR529" s="105"/>
    </row>
    <row r="530" spans="1:44" s="49" customFormat="1" ht="40.15" hidden="1" customHeight="1">
      <c r="A530" s="152">
        <f t="shared" ca="1" si="949"/>
        <v>0</v>
      </c>
      <c r="B530" s="153">
        <v>93593</v>
      </c>
      <c r="C530" s="154" t="str">
        <f>TEXT(B530,"0")</f>
        <v>93593</v>
      </c>
      <c r="D530" s="154" t="s">
        <v>1416</v>
      </c>
      <c r="E530" s="155" t="s">
        <v>3545</v>
      </c>
      <c r="F530" s="154">
        <f>+Dados_DMT!$B$34-F529</f>
        <v>80</v>
      </c>
      <c r="G530" s="154" t="s">
        <v>3538</v>
      </c>
      <c r="H530" s="152">
        <v>0.84</v>
      </c>
      <c r="I530" s="152">
        <v>0.85</v>
      </c>
      <c r="J530" s="156"/>
      <c r="K530" s="156">
        <f>ROUND(Dre_Fecha_Vala!U70*F530,2)</f>
        <v>0</v>
      </c>
      <c r="L530" s="156">
        <f>IF($K530&gt;$J530,$K530-$J530,0)</f>
        <v>0</v>
      </c>
      <c r="M530" s="156">
        <f>IF($K530&lt;$J530,$J530-$K530,0)</f>
        <v>0</v>
      </c>
      <c r="N530" s="156" t="s">
        <v>83</v>
      </c>
      <c r="O530" s="157" cm="1">
        <f t="array" ref="O530">TRUNC($H530*(1+_xlfn.SWITCH($N530,"BDI 1",$O$6,"BDI 2",$O$7,"BDI 3",$O$8)),2)</f>
        <v>1.01</v>
      </c>
      <c r="P530" s="157" cm="1">
        <f t="array" ref="P530">TRUNC($I530*(1+_xlfn.SWITCH($N530,"BDI 1",$P$6,"BDI 2",$P$7,"BDI 3",$P$8)),2)</f>
        <v>1.07</v>
      </c>
      <c r="Q530" s="157">
        <v>0</v>
      </c>
      <c r="R530" s="157">
        <f>$Q530-($Q530*LICITACAO_DESCONTO)</f>
        <v>0</v>
      </c>
      <c r="S530" s="156">
        <f>TRUNC($K530*$O530,2)</f>
        <v>0</v>
      </c>
      <c r="T530" s="156">
        <f>TRUNC($K530*$P530,2)</f>
        <v>0</v>
      </c>
      <c r="U530" s="156">
        <f>TRUNC($J530*$R530,2)</f>
        <v>0</v>
      </c>
      <c r="V530" s="156">
        <f>TRUNC($K530*$Q530,2)</f>
        <v>0</v>
      </c>
      <c r="W530" s="156">
        <f>TRUNC(V530-U530,2)</f>
        <v>0</v>
      </c>
      <c r="X530" s="158">
        <f>$S530/ORCAMENTO_VALOR_TOTAL_ND</f>
        <v>0</v>
      </c>
      <c r="Y530" s="158">
        <f>$T530/ORCAMENTO_VALOR_TOTAL_DE</f>
        <v>0</v>
      </c>
      <c r="Z530" s="158" cm="1">
        <f t="array" ref="Z530">_xlfn.SWITCH($N530,"BDI 1",$O$6,"BDI 2",$O$7,"BDI 3",$O$8)</f>
        <v>0.20699999999999999</v>
      </c>
      <c r="AA530" s="158" cm="1">
        <f t="array" ref="AA530">_xlfn.SWITCH($N530,"BDI 1",$P$6,"BDI 2",$P$7,"BDI 3",$P$8)</f>
        <v>0.26739999999999997</v>
      </c>
      <c r="AB530" s="158">
        <f ca="1">IFERROR($S530/_xlfn.XLOOKUP($AE530,$B$16:$B$38,$S$16:$S$38),0)</f>
        <v>0</v>
      </c>
      <c r="AC530" s="158">
        <f ca="1">IFERROR($T530/_xlfn.XLOOKUP($AE530,$B$16:$B$38,$T$16:$T$38),0)</f>
        <v>0</v>
      </c>
      <c r="AD530" s="164"/>
      <c r="AE530" s="148">
        <f t="shared" si="1001"/>
        <v>0</v>
      </c>
      <c r="AF530" s="149"/>
      <c r="AG530" s="150"/>
      <c r="AH530" s="159" t="e">
        <f>S530/$S$494</f>
        <v>#DIV/0!</v>
      </c>
      <c r="AI530" s="166">
        <f>IF(K530=0,0,K530/F530)</f>
        <v>0</v>
      </c>
      <c r="AJ530" s="105"/>
      <c r="AK530" s="105"/>
      <c r="AM530" s="105"/>
      <c r="AN530" s="105"/>
      <c r="AO530" s="105"/>
      <c r="AP530" s="105"/>
      <c r="AQ530" s="105"/>
      <c r="AR530" s="105"/>
    </row>
    <row r="531" spans="1:44" s="49" customFormat="1" ht="40.15" hidden="1" customHeight="1">
      <c r="A531" s="10">
        <f t="shared" ca="1" si="949"/>
        <v>0</v>
      </c>
      <c r="B531" s="153"/>
      <c r="C531" s="154"/>
      <c r="D531" s="154"/>
      <c r="E531" s="161" t="s">
        <v>262</v>
      </c>
      <c r="F531" s="154"/>
      <c r="G531" s="154"/>
      <c r="H531" s="152"/>
      <c r="I531" s="152"/>
      <c r="J531" s="154"/>
      <c r="K531" s="154"/>
      <c r="L531" s="154"/>
      <c r="M531" s="154"/>
      <c r="N531" s="154"/>
      <c r="O531" s="154"/>
      <c r="P531" s="154"/>
      <c r="Q531" s="154"/>
      <c r="R531" s="154"/>
      <c r="S531" s="162"/>
      <c r="T531" s="162"/>
      <c r="U531" s="162"/>
      <c r="V531" s="162"/>
      <c r="W531" s="162"/>
      <c r="X531" s="163"/>
      <c r="Y531" s="163"/>
      <c r="Z531" s="163"/>
      <c r="AA531" s="163"/>
      <c r="AB531" s="163"/>
      <c r="AC531" s="163"/>
      <c r="AD531" s="164"/>
      <c r="AE531" s="148">
        <f>IF(SUM(S532:S533)&gt;0,IFERROR(TRUNC(A531,0),0),0)</f>
        <v>0</v>
      </c>
      <c r="AF531" s="149"/>
      <c r="AG531" s="150"/>
      <c r="AH531" s="159"/>
      <c r="AI531" s="160"/>
      <c r="AJ531" s="105"/>
      <c r="AK531" s="105"/>
      <c r="AM531" s="105"/>
      <c r="AN531" s="105"/>
      <c r="AO531" s="105"/>
      <c r="AP531" s="105"/>
      <c r="AQ531" s="105"/>
      <c r="AR531" s="105"/>
    </row>
    <row r="532" spans="1:44" s="49" customFormat="1" ht="40.15" hidden="1" customHeight="1">
      <c r="A532" s="152">
        <f t="shared" ca="1" si="949"/>
        <v>0</v>
      </c>
      <c r="B532" s="153">
        <v>95876</v>
      </c>
      <c r="C532" s="154" t="str">
        <f>TEXT(B532,"0")</f>
        <v>95876</v>
      </c>
      <c r="D532" s="154" t="s">
        <v>1416</v>
      </c>
      <c r="E532" s="155" t="s">
        <v>3537</v>
      </c>
      <c r="F532" s="154">
        <f>IF(Dados_DMT!$B$34&lt;30,Dados_DMT!$B$34,30)</f>
        <v>30</v>
      </c>
      <c r="G532" s="154" t="s">
        <v>3538</v>
      </c>
      <c r="H532" s="152">
        <v>2.09</v>
      </c>
      <c r="I532" s="152">
        <v>2.1</v>
      </c>
      <c r="J532" s="156"/>
      <c r="K532" s="156">
        <f>ROUND(Dre_Fecha_Vala!U72*F532,2)</f>
        <v>0</v>
      </c>
      <c r="L532" s="156">
        <f>IF($K532&gt;$J532,$K532-$J532,0)</f>
        <v>0</v>
      </c>
      <c r="M532" s="156">
        <f>IF($K532&lt;$J532,$J532-$K532,0)</f>
        <v>0</v>
      </c>
      <c r="N532" s="156" t="s">
        <v>83</v>
      </c>
      <c r="O532" s="157" cm="1">
        <f t="array" ref="O532">TRUNC($H532*(1+_xlfn.SWITCH($N532,"BDI 1",$O$6,"BDI 2",$O$7,"BDI 3",$O$8)),2)</f>
        <v>2.52</v>
      </c>
      <c r="P532" s="157" cm="1">
        <f t="array" ref="P532">TRUNC($I532*(1+_xlfn.SWITCH($N532,"BDI 1",$P$6,"BDI 2",$P$7,"BDI 3",$P$8)),2)</f>
        <v>2.66</v>
      </c>
      <c r="Q532" s="157">
        <v>0</v>
      </c>
      <c r="R532" s="157">
        <f>$Q532-($Q532*LICITACAO_DESCONTO)</f>
        <v>0</v>
      </c>
      <c r="S532" s="156">
        <f>TRUNC($K532*$O532,2)</f>
        <v>0</v>
      </c>
      <c r="T532" s="156">
        <f>TRUNC($K532*$P532,2)</f>
        <v>0</v>
      </c>
      <c r="U532" s="156">
        <f>TRUNC($J532*$R532,2)</f>
        <v>0</v>
      </c>
      <c r="V532" s="156">
        <f>TRUNC($K532*$Q532,2)</f>
        <v>0</v>
      </c>
      <c r="W532" s="156">
        <f>TRUNC(V532-U532,2)</f>
        <v>0</v>
      </c>
      <c r="X532" s="158">
        <f>$S532/ORCAMENTO_VALOR_TOTAL_ND</f>
        <v>0</v>
      </c>
      <c r="Y532" s="158">
        <f>$T532/ORCAMENTO_VALOR_TOTAL_DE</f>
        <v>0</v>
      </c>
      <c r="Z532" s="158" cm="1">
        <f t="array" ref="Z532">_xlfn.SWITCH($N532,"BDI 1",$O$6,"BDI 2",$O$7,"BDI 3",$O$8)</f>
        <v>0.20699999999999999</v>
      </c>
      <c r="AA532" s="158" cm="1">
        <f t="array" ref="AA532">_xlfn.SWITCH($N532,"BDI 1",$P$6,"BDI 2",$P$7,"BDI 3",$P$8)</f>
        <v>0.26739999999999997</v>
      </c>
      <c r="AB532" s="158">
        <f ca="1">IFERROR($S532/_xlfn.XLOOKUP($AE532,$B$16:$B$38,$S$16:$S$38),0)</f>
        <v>0</v>
      </c>
      <c r="AC532" s="158">
        <f ca="1">IFERROR($T532/_xlfn.XLOOKUP($AE532,$B$16:$B$38,$T$16:$T$38),0)</f>
        <v>0</v>
      </c>
      <c r="AD532" s="164"/>
      <c r="AE532" s="148">
        <f t="shared" ref="AE532:AE533" si="1002">IF(S532&gt;0,IFERROR(TRUNC(A532,0),0),0)</f>
        <v>0</v>
      </c>
      <c r="AF532" s="149"/>
      <c r="AG532" s="150"/>
      <c r="AH532" s="159" t="e">
        <f>S532/$S$494</f>
        <v>#DIV/0!</v>
      </c>
      <c r="AI532" s="166">
        <f>IF(K532=0,0,K532/F532)</f>
        <v>0</v>
      </c>
      <c r="AJ532" s="105"/>
      <c r="AK532" s="105"/>
      <c r="AM532" s="105"/>
      <c r="AN532" s="105"/>
      <c r="AO532" s="105"/>
      <c r="AP532" s="105"/>
      <c r="AQ532" s="105"/>
      <c r="AR532" s="105"/>
    </row>
    <row r="533" spans="1:44" s="49" customFormat="1" ht="40.15" hidden="1" customHeight="1">
      <c r="A533" s="152">
        <f t="shared" ca="1" si="949"/>
        <v>0</v>
      </c>
      <c r="B533" s="153">
        <v>93593</v>
      </c>
      <c r="C533" s="154" t="str">
        <f>TEXT(B533,"0")</f>
        <v>93593</v>
      </c>
      <c r="D533" s="154" t="s">
        <v>1416</v>
      </c>
      <c r="E533" s="155" t="s">
        <v>3545</v>
      </c>
      <c r="F533" s="154">
        <f>+Dados_DMT!$B$34-F532</f>
        <v>80</v>
      </c>
      <c r="G533" s="154" t="s">
        <v>3538</v>
      </c>
      <c r="H533" s="152">
        <v>0.84</v>
      </c>
      <c r="I533" s="152">
        <v>0.85</v>
      </c>
      <c r="J533" s="156"/>
      <c r="K533" s="156">
        <f>ROUND(Dre_Fecha_Vala!U72*F533,2)</f>
        <v>0</v>
      </c>
      <c r="L533" s="156">
        <f>IF($K533&gt;$J533,$K533-$J533,0)</f>
        <v>0</v>
      </c>
      <c r="M533" s="156">
        <f>IF($K533&lt;$J533,$J533-$K533,0)</f>
        <v>0</v>
      </c>
      <c r="N533" s="156" t="s">
        <v>83</v>
      </c>
      <c r="O533" s="157" cm="1">
        <f t="array" ref="O533">TRUNC($H533*(1+_xlfn.SWITCH($N533,"BDI 1",$O$6,"BDI 2",$O$7,"BDI 3",$O$8)),2)</f>
        <v>1.01</v>
      </c>
      <c r="P533" s="157" cm="1">
        <f t="array" ref="P533">TRUNC($I533*(1+_xlfn.SWITCH($N533,"BDI 1",$P$6,"BDI 2",$P$7,"BDI 3",$P$8)),2)</f>
        <v>1.07</v>
      </c>
      <c r="Q533" s="157">
        <v>0</v>
      </c>
      <c r="R533" s="157">
        <f>$Q533-($Q533*LICITACAO_DESCONTO)</f>
        <v>0</v>
      </c>
      <c r="S533" s="156">
        <f>TRUNC($K533*$O533,2)</f>
        <v>0</v>
      </c>
      <c r="T533" s="156">
        <f>TRUNC($K533*$P533,2)</f>
        <v>0</v>
      </c>
      <c r="U533" s="156">
        <f>TRUNC($J533*$R533,2)</f>
        <v>0</v>
      </c>
      <c r="V533" s="156">
        <f>TRUNC($K533*$Q533,2)</f>
        <v>0</v>
      </c>
      <c r="W533" s="156">
        <f>TRUNC(V533-U533,2)</f>
        <v>0</v>
      </c>
      <c r="X533" s="158">
        <f>$S533/ORCAMENTO_VALOR_TOTAL_ND</f>
        <v>0</v>
      </c>
      <c r="Y533" s="158">
        <f>$T533/ORCAMENTO_VALOR_TOTAL_DE</f>
        <v>0</v>
      </c>
      <c r="Z533" s="158" cm="1">
        <f t="array" ref="Z533">_xlfn.SWITCH($N533,"BDI 1",$O$6,"BDI 2",$O$7,"BDI 3",$O$8)</f>
        <v>0.20699999999999999</v>
      </c>
      <c r="AA533" s="158" cm="1">
        <f t="array" ref="AA533">_xlfn.SWITCH($N533,"BDI 1",$P$6,"BDI 2",$P$7,"BDI 3",$P$8)</f>
        <v>0.26739999999999997</v>
      </c>
      <c r="AB533" s="158">
        <f ca="1">IFERROR($S533/_xlfn.XLOOKUP($AE533,$B$16:$B$38,$S$16:$S$38),0)</f>
        <v>0</v>
      </c>
      <c r="AC533" s="158">
        <f ca="1">IFERROR($T533/_xlfn.XLOOKUP($AE533,$B$16:$B$38,$T$16:$T$38),0)</f>
        <v>0</v>
      </c>
      <c r="AD533" s="164"/>
      <c r="AE533" s="148">
        <f t="shared" si="1002"/>
        <v>0</v>
      </c>
      <c r="AF533" s="149"/>
      <c r="AG533" s="150"/>
      <c r="AH533" s="159" t="e">
        <f>S533/$S$494</f>
        <v>#DIV/0!</v>
      </c>
      <c r="AI533" s="166">
        <f>IF(K533=0,0,K533/F533)</f>
        <v>0</v>
      </c>
      <c r="AJ533" s="105"/>
      <c r="AK533" s="105"/>
      <c r="AM533" s="105"/>
      <c r="AN533" s="105"/>
      <c r="AO533" s="105"/>
      <c r="AP533" s="105"/>
      <c r="AQ533" s="105"/>
      <c r="AR533" s="105"/>
    </row>
    <row r="534" spans="1:44" s="49" customFormat="1" ht="40.15" hidden="1" customHeight="1">
      <c r="A534" s="10">
        <f t="shared" ca="1" si="949"/>
        <v>0</v>
      </c>
      <c r="B534" s="153"/>
      <c r="C534" s="154"/>
      <c r="D534" s="154"/>
      <c r="E534" s="161" t="s">
        <v>263</v>
      </c>
      <c r="F534" s="154"/>
      <c r="G534" s="154"/>
      <c r="H534" s="152"/>
      <c r="I534" s="152"/>
      <c r="J534" s="154"/>
      <c r="K534" s="154"/>
      <c r="L534" s="154"/>
      <c r="M534" s="154"/>
      <c r="N534" s="154"/>
      <c r="O534" s="154"/>
      <c r="P534" s="154"/>
      <c r="Q534" s="154"/>
      <c r="R534" s="154"/>
      <c r="S534" s="162"/>
      <c r="T534" s="162"/>
      <c r="U534" s="162"/>
      <c r="V534" s="162"/>
      <c r="W534" s="162"/>
      <c r="X534" s="163"/>
      <c r="Y534" s="163"/>
      <c r="Z534" s="163"/>
      <c r="AA534" s="163"/>
      <c r="AB534" s="163"/>
      <c r="AC534" s="163"/>
      <c r="AD534" s="164"/>
      <c r="AE534" s="148">
        <f>IF(SUM(S535:S536)&gt;0,IFERROR(TRUNC(A534,0),0),0)</f>
        <v>0</v>
      </c>
      <c r="AF534" s="149"/>
      <c r="AG534" s="150"/>
      <c r="AH534" s="159"/>
      <c r="AI534" s="160"/>
      <c r="AJ534" s="105"/>
      <c r="AK534" s="105"/>
      <c r="AM534" s="105"/>
      <c r="AN534" s="105"/>
      <c r="AO534" s="105"/>
      <c r="AP534" s="105"/>
      <c r="AQ534" s="105"/>
      <c r="AR534" s="105"/>
    </row>
    <row r="535" spans="1:44" s="49" customFormat="1" ht="40.15" hidden="1" customHeight="1">
      <c r="A535" s="152">
        <f t="shared" ca="1" si="949"/>
        <v>0</v>
      </c>
      <c r="B535" s="153">
        <v>95876</v>
      </c>
      <c r="C535" s="154" t="str">
        <f>TEXT(B535,"0")</f>
        <v>95876</v>
      </c>
      <c r="D535" s="154" t="s">
        <v>1416</v>
      </c>
      <c r="E535" s="155" t="s">
        <v>3537</v>
      </c>
      <c r="F535" s="154">
        <f>IF(Dados_DMT!$B$34&lt;30,Dados_DMT!$B$34,30)</f>
        <v>30</v>
      </c>
      <c r="G535" s="154" t="s">
        <v>3538</v>
      </c>
      <c r="H535" s="152">
        <v>2.09</v>
      </c>
      <c r="I535" s="152">
        <v>2.1</v>
      </c>
      <c r="J535" s="156"/>
      <c r="K535" s="156">
        <f>ROUND(Dre_Fecha_Vala!U73*F535,2)</f>
        <v>0</v>
      </c>
      <c r="L535" s="156">
        <f>IF($K535&gt;$J535,$K535-$J535,0)</f>
        <v>0</v>
      </c>
      <c r="M535" s="156">
        <f>IF($K535&lt;$J535,$J535-$K535,0)</f>
        <v>0</v>
      </c>
      <c r="N535" s="156" t="s">
        <v>83</v>
      </c>
      <c r="O535" s="157" cm="1">
        <f t="array" ref="O535">TRUNC($H535*(1+_xlfn.SWITCH($N535,"BDI 1",$O$6,"BDI 2",$O$7,"BDI 3",$O$8)),2)</f>
        <v>2.52</v>
      </c>
      <c r="P535" s="157" cm="1">
        <f t="array" ref="P535">TRUNC($I535*(1+_xlfn.SWITCH($N535,"BDI 1",$P$6,"BDI 2",$P$7,"BDI 3",$P$8)),2)</f>
        <v>2.66</v>
      </c>
      <c r="Q535" s="157">
        <v>0</v>
      </c>
      <c r="R535" s="157">
        <f>$Q535-($Q535*LICITACAO_DESCONTO)</f>
        <v>0</v>
      </c>
      <c r="S535" s="156">
        <f>TRUNC($K535*$O535,2)</f>
        <v>0</v>
      </c>
      <c r="T535" s="156">
        <f>TRUNC($K535*$P535,2)</f>
        <v>0</v>
      </c>
      <c r="U535" s="156">
        <f>TRUNC($J535*$R535,2)</f>
        <v>0</v>
      </c>
      <c r="V535" s="156">
        <f>TRUNC($K535*$Q535,2)</f>
        <v>0</v>
      </c>
      <c r="W535" s="156">
        <f>TRUNC(V535-U535,2)</f>
        <v>0</v>
      </c>
      <c r="X535" s="158">
        <f>$S535/ORCAMENTO_VALOR_TOTAL_ND</f>
        <v>0</v>
      </c>
      <c r="Y535" s="158">
        <f>$T535/ORCAMENTO_VALOR_TOTAL_DE</f>
        <v>0</v>
      </c>
      <c r="Z535" s="158" cm="1">
        <f t="array" ref="Z535">_xlfn.SWITCH($N535,"BDI 1",$O$6,"BDI 2",$O$7,"BDI 3",$O$8)</f>
        <v>0.20699999999999999</v>
      </c>
      <c r="AA535" s="158" cm="1">
        <f t="array" ref="AA535">_xlfn.SWITCH($N535,"BDI 1",$P$6,"BDI 2",$P$7,"BDI 3",$P$8)</f>
        <v>0.26739999999999997</v>
      </c>
      <c r="AB535" s="158">
        <f ca="1">IFERROR($S535/_xlfn.XLOOKUP($AE535,$B$16:$B$38,$S$16:$S$38),0)</f>
        <v>0</v>
      </c>
      <c r="AC535" s="158">
        <f ca="1">IFERROR($T535/_xlfn.XLOOKUP($AE535,$B$16:$B$38,$T$16:$T$38),0)</f>
        <v>0</v>
      </c>
      <c r="AD535" s="164"/>
      <c r="AE535" s="148">
        <f t="shared" ref="AE535:AE536" si="1003">IF(S535&gt;0,IFERROR(TRUNC(A535,0),0),0)</f>
        <v>0</v>
      </c>
      <c r="AF535" s="149"/>
      <c r="AG535" s="150"/>
      <c r="AH535" s="159" t="e">
        <f>S535/$S$494</f>
        <v>#DIV/0!</v>
      </c>
      <c r="AI535" s="166">
        <f>IF(K535=0,0,K535/F535)</f>
        <v>0</v>
      </c>
      <c r="AJ535" s="105"/>
      <c r="AK535" s="105"/>
      <c r="AM535" s="105"/>
      <c r="AN535" s="105"/>
      <c r="AO535" s="105"/>
      <c r="AP535" s="105"/>
      <c r="AQ535" s="105"/>
      <c r="AR535" s="105"/>
    </row>
    <row r="536" spans="1:44" s="49" customFormat="1" ht="40.15" hidden="1" customHeight="1">
      <c r="A536" s="152">
        <f t="shared" ca="1" si="949"/>
        <v>0</v>
      </c>
      <c r="B536" s="153">
        <v>93593</v>
      </c>
      <c r="C536" s="154" t="str">
        <f>TEXT(B536,"0")</f>
        <v>93593</v>
      </c>
      <c r="D536" s="154" t="s">
        <v>1416</v>
      </c>
      <c r="E536" s="155" t="s">
        <v>3545</v>
      </c>
      <c r="F536" s="154">
        <f>Dados_DMT!$B$34-F535</f>
        <v>80</v>
      </c>
      <c r="G536" s="154" t="s">
        <v>3538</v>
      </c>
      <c r="H536" s="152">
        <v>0.84</v>
      </c>
      <c r="I536" s="152">
        <v>0.85</v>
      </c>
      <c r="J536" s="156"/>
      <c r="K536" s="156">
        <f>ROUND(Dre_Fecha_Vala!U73*F536,2)</f>
        <v>0</v>
      </c>
      <c r="L536" s="156">
        <f>IF($K536&gt;$J536,$K536-$J536,0)</f>
        <v>0</v>
      </c>
      <c r="M536" s="156">
        <f>IF($K536&lt;$J536,$J536-$K536,0)</f>
        <v>0</v>
      </c>
      <c r="N536" s="156" t="s">
        <v>83</v>
      </c>
      <c r="O536" s="157" cm="1">
        <f t="array" ref="O536">TRUNC($H536*(1+_xlfn.SWITCH($N536,"BDI 1",$O$6,"BDI 2",$O$7,"BDI 3",$O$8)),2)</f>
        <v>1.01</v>
      </c>
      <c r="P536" s="157" cm="1">
        <f t="array" ref="P536">TRUNC($I536*(1+_xlfn.SWITCH($N536,"BDI 1",$P$6,"BDI 2",$P$7,"BDI 3",$P$8)),2)</f>
        <v>1.07</v>
      </c>
      <c r="Q536" s="157">
        <v>0</v>
      </c>
      <c r="R536" s="157">
        <f>$Q536-($Q536*LICITACAO_DESCONTO)</f>
        <v>0</v>
      </c>
      <c r="S536" s="156">
        <f>TRUNC($K536*$O536,2)</f>
        <v>0</v>
      </c>
      <c r="T536" s="156">
        <f>TRUNC($K536*$P536,2)</f>
        <v>0</v>
      </c>
      <c r="U536" s="156">
        <f>TRUNC($J536*$R536,2)</f>
        <v>0</v>
      </c>
      <c r="V536" s="156">
        <f>TRUNC($K536*$Q536,2)</f>
        <v>0</v>
      </c>
      <c r="W536" s="156">
        <f>TRUNC(V536-U536,2)</f>
        <v>0</v>
      </c>
      <c r="X536" s="158">
        <f>$S536/ORCAMENTO_VALOR_TOTAL_ND</f>
        <v>0</v>
      </c>
      <c r="Y536" s="158">
        <f>$T536/ORCAMENTO_VALOR_TOTAL_DE</f>
        <v>0</v>
      </c>
      <c r="Z536" s="158" cm="1">
        <f t="array" ref="Z536">_xlfn.SWITCH($N536,"BDI 1",$O$6,"BDI 2",$O$7,"BDI 3",$O$8)</f>
        <v>0.20699999999999999</v>
      </c>
      <c r="AA536" s="158" cm="1">
        <f t="array" ref="AA536">_xlfn.SWITCH($N536,"BDI 1",$P$6,"BDI 2",$P$7,"BDI 3",$P$8)</f>
        <v>0.26739999999999997</v>
      </c>
      <c r="AB536" s="158">
        <f ca="1">IFERROR($S536/_xlfn.XLOOKUP($AE536,$B$16:$B$38,$S$16:$S$38),0)</f>
        <v>0</v>
      </c>
      <c r="AC536" s="158">
        <f ca="1">IFERROR($T536/_xlfn.XLOOKUP($AE536,$B$16:$B$38,$T$16:$T$38),0)</f>
        <v>0</v>
      </c>
      <c r="AD536" s="164"/>
      <c r="AE536" s="148">
        <f t="shared" si="1003"/>
        <v>0</v>
      </c>
      <c r="AF536" s="149"/>
      <c r="AG536" s="150"/>
      <c r="AH536" s="159" t="e">
        <f>S536/$S$494</f>
        <v>#DIV/0!</v>
      </c>
      <c r="AI536" s="166">
        <f>IF(K536=0,0,K536/F536)</f>
        <v>0</v>
      </c>
      <c r="AJ536" s="105"/>
      <c r="AK536" s="105"/>
      <c r="AM536" s="105"/>
      <c r="AN536" s="105"/>
      <c r="AO536" s="105"/>
      <c r="AP536" s="105"/>
      <c r="AQ536" s="105"/>
      <c r="AR536" s="105"/>
    </row>
    <row r="537" spans="1:44" s="49" customFormat="1" ht="40.15" hidden="1" customHeight="1">
      <c r="A537" s="10">
        <f t="shared" ca="1" si="949"/>
        <v>0</v>
      </c>
      <c r="B537" s="153"/>
      <c r="C537" s="154"/>
      <c r="D537" s="154"/>
      <c r="E537" s="161" t="s">
        <v>264</v>
      </c>
      <c r="F537" s="154"/>
      <c r="G537" s="154"/>
      <c r="H537" s="152"/>
      <c r="I537" s="152"/>
      <c r="J537" s="154"/>
      <c r="K537" s="154"/>
      <c r="L537" s="154"/>
      <c r="M537" s="154"/>
      <c r="N537" s="154"/>
      <c r="O537" s="154"/>
      <c r="P537" s="154"/>
      <c r="Q537" s="154"/>
      <c r="R537" s="154"/>
      <c r="S537" s="162"/>
      <c r="T537" s="162"/>
      <c r="U537" s="162"/>
      <c r="V537" s="162"/>
      <c r="W537" s="162"/>
      <c r="X537" s="163"/>
      <c r="Y537" s="163"/>
      <c r="Z537" s="163"/>
      <c r="AA537" s="163"/>
      <c r="AB537" s="163"/>
      <c r="AC537" s="163"/>
      <c r="AD537" s="164"/>
      <c r="AE537" s="148">
        <f>IF(SUM(S538:S539)&gt;0,IFERROR(TRUNC(A537,0),0),0)</f>
        <v>0</v>
      </c>
      <c r="AF537" s="149"/>
      <c r="AG537" s="150"/>
      <c r="AH537" s="159"/>
      <c r="AI537" s="160"/>
      <c r="AJ537" s="105"/>
      <c r="AK537" s="105"/>
      <c r="AM537" s="105"/>
      <c r="AN537" s="105"/>
      <c r="AO537" s="105"/>
      <c r="AP537" s="105"/>
      <c r="AQ537" s="105"/>
      <c r="AR537" s="105"/>
    </row>
    <row r="538" spans="1:44" s="49" customFormat="1" ht="40.15" hidden="1" customHeight="1">
      <c r="A538" s="152">
        <f t="shared" ca="1" si="949"/>
        <v>0</v>
      </c>
      <c r="B538" s="153">
        <v>95876</v>
      </c>
      <c r="C538" s="154" t="str">
        <f>TEXT(B538,"0")</f>
        <v>95876</v>
      </c>
      <c r="D538" s="154" t="s">
        <v>1416</v>
      </c>
      <c r="E538" s="155" t="s">
        <v>3537</v>
      </c>
      <c r="F538" s="154">
        <f>+Dados_DMT!$B$33</f>
        <v>0</v>
      </c>
      <c r="G538" s="154" t="s">
        <v>3538</v>
      </c>
      <c r="H538" s="152">
        <v>2.09</v>
      </c>
      <c r="I538" s="152">
        <v>2.1</v>
      </c>
      <c r="J538" s="156"/>
      <c r="K538" s="156">
        <f>ROUND(Dre_Fecha_Vala!U76*F538,2)</f>
        <v>0</v>
      </c>
      <c r="L538" s="156">
        <f>IF($K538&gt;$J538,$K538-$J538,0)</f>
        <v>0</v>
      </c>
      <c r="M538" s="156">
        <f>IF($K538&lt;$J538,$J538-$K538,0)</f>
        <v>0</v>
      </c>
      <c r="N538" s="156" t="s">
        <v>83</v>
      </c>
      <c r="O538" s="157" cm="1">
        <f t="array" ref="O538">TRUNC($H538*(1+_xlfn.SWITCH($N538,"BDI 1",$O$6,"BDI 2",$O$7,"BDI 3",$O$8)),2)</f>
        <v>2.52</v>
      </c>
      <c r="P538" s="157" cm="1">
        <f t="array" ref="P538">TRUNC($I538*(1+_xlfn.SWITCH($N538,"BDI 1",$P$6,"BDI 2",$P$7,"BDI 3",$P$8)),2)</f>
        <v>2.66</v>
      </c>
      <c r="Q538" s="157">
        <v>0</v>
      </c>
      <c r="R538" s="157">
        <f>$Q538-($Q538*LICITACAO_DESCONTO)</f>
        <v>0</v>
      </c>
      <c r="S538" s="156">
        <f>TRUNC($K538*$O538,2)</f>
        <v>0</v>
      </c>
      <c r="T538" s="156">
        <f>TRUNC($K538*$P538,2)</f>
        <v>0</v>
      </c>
      <c r="U538" s="156">
        <f>TRUNC($J538*$R538,2)</f>
        <v>0</v>
      </c>
      <c r="V538" s="156">
        <f>TRUNC($K538*$Q538,2)</f>
        <v>0</v>
      </c>
      <c r="W538" s="156">
        <f>TRUNC(V538-U538,2)</f>
        <v>0</v>
      </c>
      <c r="X538" s="158">
        <f>$S538/ORCAMENTO_VALOR_TOTAL_ND</f>
        <v>0</v>
      </c>
      <c r="Y538" s="158">
        <f>$T538/ORCAMENTO_VALOR_TOTAL_DE</f>
        <v>0</v>
      </c>
      <c r="Z538" s="158" cm="1">
        <f t="array" ref="Z538">_xlfn.SWITCH($N538,"BDI 1",$O$6,"BDI 2",$O$7,"BDI 3",$O$8)</f>
        <v>0.20699999999999999</v>
      </c>
      <c r="AA538" s="158" cm="1">
        <f t="array" ref="AA538">_xlfn.SWITCH($N538,"BDI 1",$P$6,"BDI 2",$P$7,"BDI 3",$P$8)</f>
        <v>0.26739999999999997</v>
      </c>
      <c r="AB538" s="158">
        <f ca="1">IFERROR($S538/_xlfn.XLOOKUP($AE538,$B$16:$B$38,$S$16:$S$38),0)</f>
        <v>0</v>
      </c>
      <c r="AC538" s="158">
        <f ca="1">IFERROR($T538/_xlfn.XLOOKUP($AE538,$B$16:$B$38,$T$16:$T$38),0)</f>
        <v>0</v>
      </c>
      <c r="AD538" s="164"/>
      <c r="AE538" s="148">
        <f t="shared" ref="AE538:AE539" si="1004">IF(S538&gt;0,IFERROR(TRUNC(A538,0),0),0)</f>
        <v>0</v>
      </c>
      <c r="AF538" s="149"/>
      <c r="AG538" s="150"/>
      <c r="AH538" s="159" t="e">
        <f>S538/$S$494</f>
        <v>#DIV/0!</v>
      </c>
      <c r="AI538" s="166">
        <f>IF(K538=0,0,K538/F538)</f>
        <v>0</v>
      </c>
      <c r="AJ538" s="105"/>
      <c r="AK538" s="105"/>
      <c r="AM538" s="105"/>
      <c r="AN538" s="105"/>
      <c r="AO538" s="105"/>
      <c r="AP538" s="105"/>
      <c r="AQ538" s="105"/>
      <c r="AR538" s="105"/>
    </row>
    <row r="539" spans="1:44" s="49" customFormat="1" ht="40.15" hidden="1" customHeight="1">
      <c r="A539" s="152">
        <f t="shared" ca="1" si="949"/>
        <v>0</v>
      </c>
      <c r="B539" s="153">
        <v>93593</v>
      </c>
      <c r="C539" s="154" t="str">
        <f>TEXT(B539,"0")</f>
        <v>93593</v>
      </c>
      <c r="D539" s="154" t="s">
        <v>1416</v>
      </c>
      <c r="E539" s="155" t="s">
        <v>3545</v>
      </c>
      <c r="F539" s="154">
        <f>+Dados_DMT!$B$33</f>
        <v>0</v>
      </c>
      <c r="G539" s="154" t="s">
        <v>3538</v>
      </c>
      <c r="H539" s="152">
        <v>0.84</v>
      </c>
      <c r="I539" s="152">
        <v>0.85</v>
      </c>
      <c r="J539" s="156"/>
      <c r="K539" s="156">
        <f>ROUND(Dre_Fecha_Vala!U76*F539,2)</f>
        <v>0</v>
      </c>
      <c r="L539" s="156">
        <f>IF($K539&gt;$J539,$K539-$J539,0)</f>
        <v>0</v>
      </c>
      <c r="M539" s="156">
        <f>IF($K539&lt;$J539,$J539-$K539,0)</f>
        <v>0</v>
      </c>
      <c r="N539" s="156" t="s">
        <v>83</v>
      </c>
      <c r="O539" s="157" cm="1">
        <f t="array" ref="O539">TRUNC($H539*(1+_xlfn.SWITCH($N539,"BDI 1",$O$6,"BDI 2",$O$7,"BDI 3",$O$8)),2)</f>
        <v>1.01</v>
      </c>
      <c r="P539" s="157" cm="1">
        <f t="array" ref="P539">TRUNC($I539*(1+_xlfn.SWITCH($N539,"BDI 1",$P$6,"BDI 2",$P$7,"BDI 3",$P$8)),2)</f>
        <v>1.07</v>
      </c>
      <c r="Q539" s="157">
        <v>0</v>
      </c>
      <c r="R539" s="157">
        <f>$Q539-($Q539*LICITACAO_DESCONTO)</f>
        <v>0</v>
      </c>
      <c r="S539" s="156">
        <f>TRUNC($K539*$O539,2)</f>
        <v>0</v>
      </c>
      <c r="T539" s="156">
        <f>TRUNC($K539*$P539,2)</f>
        <v>0</v>
      </c>
      <c r="U539" s="156">
        <f>TRUNC($J539*$R539,2)</f>
        <v>0</v>
      </c>
      <c r="V539" s="156">
        <f>TRUNC($K539*$Q539,2)</f>
        <v>0</v>
      </c>
      <c r="W539" s="156">
        <f>TRUNC(V539-U539,2)</f>
        <v>0</v>
      </c>
      <c r="X539" s="158">
        <f>$S539/ORCAMENTO_VALOR_TOTAL_ND</f>
        <v>0</v>
      </c>
      <c r="Y539" s="158">
        <f>$T539/ORCAMENTO_VALOR_TOTAL_DE</f>
        <v>0</v>
      </c>
      <c r="Z539" s="158" cm="1">
        <f t="array" ref="Z539">_xlfn.SWITCH($N539,"BDI 1",$O$6,"BDI 2",$O$7,"BDI 3",$O$8)</f>
        <v>0.20699999999999999</v>
      </c>
      <c r="AA539" s="158" cm="1">
        <f t="array" ref="AA539">_xlfn.SWITCH($N539,"BDI 1",$P$6,"BDI 2",$P$7,"BDI 3",$P$8)</f>
        <v>0.26739999999999997</v>
      </c>
      <c r="AB539" s="158">
        <f ca="1">IFERROR($S539/_xlfn.XLOOKUP($AE539,$B$16:$B$38,$S$16:$S$38),0)</f>
        <v>0</v>
      </c>
      <c r="AC539" s="158">
        <f ca="1">IFERROR($T539/_xlfn.XLOOKUP($AE539,$B$16:$B$38,$T$16:$T$38),0)</f>
        <v>0</v>
      </c>
      <c r="AD539" s="164"/>
      <c r="AE539" s="148">
        <f t="shared" si="1004"/>
        <v>0</v>
      </c>
      <c r="AF539" s="149"/>
      <c r="AG539" s="150"/>
      <c r="AH539" s="159" t="e">
        <f>S539/$S$494</f>
        <v>#DIV/0!</v>
      </c>
      <c r="AI539" s="166">
        <f>IF(K539=0,0,K539/F539)</f>
        <v>0</v>
      </c>
      <c r="AJ539" s="105"/>
      <c r="AK539" s="105"/>
      <c r="AM539" s="105"/>
      <c r="AN539" s="105"/>
      <c r="AO539" s="105"/>
      <c r="AP539" s="105"/>
      <c r="AQ539" s="105"/>
      <c r="AR539" s="105"/>
    </row>
    <row r="540" spans="1:44" s="49" customFormat="1" ht="40.15" hidden="1" customHeight="1">
      <c r="A540" s="10">
        <f t="shared" ca="1" si="949"/>
        <v>0</v>
      </c>
      <c r="B540" s="153"/>
      <c r="C540" s="154"/>
      <c r="D540" s="154"/>
      <c r="E540" s="161" t="s">
        <v>265</v>
      </c>
      <c r="F540" s="154"/>
      <c r="G540" s="154"/>
      <c r="H540" s="152"/>
      <c r="I540" s="152"/>
      <c r="J540" s="154"/>
      <c r="K540" s="154"/>
      <c r="L540" s="154"/>
      <c r="M540" s="154"/>
      <c r="N540" s="154"/>
      <c r="O540" s="154"/>
      <c r="P540" s="154"/>
      <c r="Q540" s="154"/>
      <c r="R540" s="154"/>
      <c r="S540" s="162"/>
      <c r="T540" s="162"/>
      <c r="U540" s="162"/>
      <c r="V540" s="162"/>
      <c r="W540" s="162"/>
      <c r="X540" s="163"/>
      <c r="Y540" s="163"/>
      <c r="Z540" s="163"/>
      <c r="AA540" s="163"/>
      <c r="AB540" s="163"/>
      <c r="AC540" s="163"/>
      <c r="AD540" s="164"/>
      <c r="AE540" s="148">
        <f>IF(SUM(S541:S542)&gt;0,IFERROR(TRUNC(A540,0),0),0)</f>
        <v>0</v>
      </c>
      <c r="AF540" s="149"/>
      <c r="AG540" s="150"/>
      <c r="AH540" s="159"/>
      <c r="AI540" s="160"/>
      <c r="AJ540" s="105"/>
      <c r="AK540" s="105"/>
      <c r="AM540" s="105"/>
      <c r="AN540" s="105"/>
      <c r="AO540" s="105"/>
      <c r="AP540" s="105"/>
      <c r="AQ540" s="105"/>
      <c r="AR540" s="105"/>
    </row>
    <row r="541" spans="1:44" s="49" customFormat="1" ht="40.15" hidden="1" customHeight="1">
      <c r="A541" s="152">
        <f t="shared" ca="1" si="949"/>
        <v>0</v>
      </c>
      <c r="B541" s="153">
        <v>95876</v>
      </c>
      <c r="C541" s="154" t="str">
        <f>TEXT(B541,"0")</f>
        <v>95876</v>
      </c>
      <c r="D541" s="154" t="s">
        <v>1416</v>
      </c>
      <c r="E541" s="155" t="s">
        <v>3537</v>
      </c>
      <c r="F541" s="154">
        <f>+Dados_DMT!$B$32</f>
        <v>0</v>
      </c>
      <c r="G541" s="154" t="s">
        <v>3538</v>
      </c>
      <c r="H541" s="152">
        <v>2.09</v>
      </c>
      <c r="I541" s="152">
        <v>2.1</v>
      </c>
      <c r="J541" s="156"/>
      <c r="K541" s="156">
        <f>ROUND(Dre_Fecha_Vala!U75*F541,2)</f>
        <v>0</v>
      </c>
      <c r="L541" s="156">
        <f>IF($K541&gt;$J541,$K541-$J541,0)</f>
        <v>0</v>
      </c>
      <c r="M541" s="156">
        <f>IF($K541&lt;$J541,$J541-$K541,0)</f>
        <v>0</v>
      </c>
      <c r="N541" s="156" t="s">
        <v>83</v>
      </c>
      <c r="O541" s="157" cm="1">
        <f t="array" ref="O541">TRUNC($H541*(1+_xlfn.SWITCH($N541,"BDI 1",$O$6,"BDI 2",$O$7,"BDI 3",$O$8)),2)</f>
        <v>2.52</v>
      </c>
      <c r="P541" s="157" cm="1">
        <f t="array" ref="P541">TRUNC($I541*(1+_xlfn.SWITCH($N541,"BDI 1",$P$6,"BDI 2",$P$7,"BDI 3",$P$8)),2)</f>
        <v>2.66</v>
      </c>
      <c r="Q541" s="157">
        <v>0</v>
      </c>
      <c r="R541" s="157">
        <f>$Q541-($Q541*LICITACAO_DESCONTO)</f>
        <v>0</v>
      </c>
      <c r="S541" s="156">
        <f>TRUNC($K541*$O541,2)</f>
        <v>0</v>
      </c>
      <c r="T541" s="156">
        <f>TRUNC($K541*$P541,2)</f>
        <v>0</v>
      </c>
      <c r="U541" s="156">
        <f>TRUNC($J541*$R541,2)</f>
        <v>0</v>
      </c>
      <c r="V541" s="156">
        <f>TRUNC($K541*$Q541,2)</f>
        <v>0</v>
      </c>
      <c r="W541" s="156">
        <f>TRUNC(V541-U541,2)</f>
        <v>0</v>
      </c>
      <c r="X541" s="158">
        <f>$S541/ORCAMENTO_VALOR_TOTAL_ND</f>
        <v>0</v>
      </c>
      <c r="Y541" s="158">
        <f>$T541/ORCAMENTO_VALOR_TOTAL_DE</f>
        <v>0</v>
      </c>
      <c r="Z541" s="158" cm="1">
        <f t="array" ref="Z541">_xlfn.SWITCH($N541,"BDI 1",$O$6,"BDI 2",$O$7,"BDI 3",$O$8)</f>
        <v>0.20699999999999999</v>
      </c>
      <c r="AA541" s="158" cm="1">
        <f t="array" ref="AA541">_xlfn.SWITCH($N541,"BDI 1",$P$6,"BDI 2",$P$7,"BDI 3",$P$8)</f>
        <v>0.26739999999999997</v>
      </c>
      <c r="AB541" s="158">
        <f ca="1">IFERROR($S541/_xlfn.XLOOKUP($AE541,$B$16:$B$38,$S$16:$S$38),0)</f>
        <v>0</v>
      </c>
      <c r="AC541" s="158">
        <f ca="1">IFERROR($T541/_xlfn.XLOOKUP($AE541,$B$16:$B$38,$T$16:$T$38),0)</f>
        <v>0</v>
      </c>
      <c r="AD541" s="164"/>
      <c r="AE541" s="148">
        <f t="shared" ref="AE541:AE542" si="1005">IF(S541&gt;0,IFERROR(TRUNC(A541,0),0),0)</f>
        <v>0</v>
      </c>
      <c r="AF541" s="149"/>
      <c r="AG541" s="150"/>
      <c r="AH541" s="159" t="e">
        <f>S541/$S$494</f>
        <v>#DIV/0!</v>
      </c>
      <c r="AI541" s="166">
        <f>IF(K541=0,0,K541/F541)</f>
        <v>0</v>
      </c>
      <c r="AJ541" s="105"/>
      <c r="AK541" s="105"/>
      <c r="AM541" s="105"/>
      <c r="AN541" s="105"/>
      <c r="AO541" s="105"/>
      <c r="AP541" s="105"/>
      <c r="AQ541" s="105"/>
      <c r="AR541" s="105"/>
    </row>
    <row r="542" spans="1:44" s="49" customFormat="1" ht="40.15" hidden="1" customHeight="1">
      <c r="A542" s="152">
        <f t="shared" ca="1" si="949"/>
        <v>0</v>
      </c>
      <c r="B542" s="153">
        <v>93593</v>
      </c>
      <c r="C542" s="154" t="str">
        <f>TEXT(B542,"0")</f>
        <v>93593</v>
      </c>
      <c r="D542" s="154" t="s">
        <v>1416</v>
      </c>
      <c r="E542" s="155" t="s">
        <v>3545</v>
      </c>
      <c r="F542" s="154">
        <f>+Dados_DMT!$B$32</f>
        <v>0</v>
      </c>
      <c r="G542" s="154" t="s">
        <v>3538</v>
      </c>
      <c r="H542" s="152">
        <v>0.84</v>
      </c>
      <c r="I542" s="152">
        <v>0.85</v>
      </c>
      <c r="J542" s="156"/>
      <c r="K542" s="156">
        <f>ROUND(Dre_Fecha_Vala!U75*F542,2)</f>
        <v>0</v>
      </c>
      <c r="L542" s="156">
        <f>IF($K542&gt;$J542,$K542-$J542,0)</f>
        <v>0</v>
      </c>
      <c r="M542" s="156">
        <f>IF($K542&lt;$J542,$J542-$K542,0)</f>
        <v>0</v>
      </c>
      <c r="N542" s="156" t="s">
        <v>83</v>
      </c>
      <c r="O542" s="157" cm="1">
        <f t="array" ref="O542">TRUNC($H542*(1+_xlfn.SWITCH($N542,"BDI 1",$O$6,"BDI 2",$O$7,"BDI 3",$O$8)),2)</f>
        <v>1.01</v>
      </c>
      <c r="P542" s="157" cm="1">
        <f t="array" ref="P542">TRUNC($I542*(1+_xlfn.SWITCH($N542,"BDI 1",$P$6,"BDI 2",$P$7,"BDI 3",$P$8)),2)</f>
        <v>1.07</v>
      </c>
      <c r="Q542" s="157">
        <v>0</v>
      </c>
      <c r="R542" s="157">
        <f>$Q542-($Q542*LICITACAO_DESCONTO)</f>
        <v>0</v>
      </c>
      <c r="S542" s="156">
        <f>TRUNC($K542*$O542,2)</f>
        <v>0</v>
      </c>
      <c r="T542" s="156">
        <f>TRUNC($K542*$P542,2)</f>
        <v>0</v>
      </c>
      <c r="U542" s="156">
        <f>TRUNC($J542*$R542,2)</f>
        <v>0</v>
      </c>
      <c r="V542" s="156">
        <f>TRUNC($K542*$Q542,2)</f>
        <v>0</v>
      </c>
      <c r="W542" s="156">
        <f>TRUNC(V542-U542,2)</f>
        <v>0</v>
      </c>
      <c r="X542" s="158">
        <f>$S542/ORCAMENTO_VALOR_TOTAL_ND</f>
        <v>0</v>
      </c>
      <c r="Y542" s="158">
        <f>$T542/ORCAMENTO_VALOR_TOTAL_DE</f>
        <v>0</v>
      </c>
      <c r="Z542" s="158" cm="1">
        <f t="array" ref="Z542">_xlfn.SWITCH($N542,"BDI 1",$O$6,"BDI 2",$O$7,"BDI 3",$O$8)</f>
        <v>0.20699999999999999</v>
      </c>
      <c r="AA542" s="158" cm="1">
        <f t="array" ref="AA542">_xlfn.SWITCH($N542,"BDI 1",$P$6,"BDI 2",$P$7,"BDI 3",$P$8)</f>
        <v>0.26739999999999997</v>
      </c>
      <c r="AB542" s="158">
        <f ca="1">IFERROR($S542/_xlfn.XLOOKUP($AE542,$B$16:$B$38,$S$16:$S$38),0)</f>
        <v>0</v>
      </c>
      <c r="AC542" s="158">
        <f ca="1">IFERROR($T542/_xlfn.XLOOKUP($AE542,$B$16:$B$38,$T$16:$T$38),0)</f>
        <v>0</v>
      </c>
      <c r="AD542" s="164"/>
      <c r="AE542" s="148">
        <f t="shared" si="1005"/>
        <v>0</v>
      </c>
      <c r="AF542" s="149"/>
      <c r="AG542" s="150"/>
      <c r="AH542" s="159" t="e">
        <f>S542/$S$494</f>
        <v>#DIV/0!</v>
      </c>
      <c r="AI542" s="166">
        <f>IF(K542=0,0,K542/F542)</f>
        <v>0</v>
      </c>
      <c r="AJ542" s="105"/>
      <c r="AK542" s="105"/>
      <c r="AM542" s="105"/>
      <c r="AN542" s="105"/>
      <c r="AO542" s="105"/>
      <c r="AP542" s="105"/>
      <c r="AQ542" s="105"/>
      <c r="AR542" s="105"/>
    </row>
    <row r="543" spans="1:44" s="49" customFormat="1" ht="40.15" hidden="1" customHeight="1">
      <c r="A543" s="10">
        <f t="shared" ca="1" si="949"/>
        <v>0</v>
      </c>
      <c r="B543" s="153"/>
      <c r="C543" s="154"/>
      <c r="D543" s="154"/>
      <c r="E543" s="161" t="s">
        <v>266</v>
      </c>
      <c r="F543" s="154"/>
      <c r="G543" s="154"/>
      <c r="H543" s="152"/>
      <c r="I543" s="152"/>
      <c r="J543" s="154"/>
      <c r="K543" s="154"/>
      <c r="L543" s="154"/>
      <c r="M543" s="154"/>
      <c r="N543" s="154"/>
      <c r="O543" s="154"/>
      <c r="P543" s="154"/>
      <c r="Q543" s="154"/>
      <c r="R543" s="154"/>
      <c r="S543" s="162"/>
      <c r="T543" s="162"/>
      <c r="U543" s="162"/>
      <c r="V543" s="162"/>
      <c r="W543" s="162"/>
      <c r="X543" s="163"/>
      <c r="Y543" s="163"/>
      <c r="Z543" s="163"/>
      <c r="AA543" s="163"/>
      <c r="AB543" s="163"/>
      <c r="AC543" s="163"/>
      <c r="AD543" s="164"/>
      <c r="AE543" s="148">
        <f>IF(SUM(S544:S545)&gt;0,IFERROR(TRUNC(A543,0),0),0)</f>
        <v>0</v>
      </c>
      <c r="AF543" s="149"/>
      <c r="AG543" s="150"/>
      <c r="AH543" s="159"/>
      <c r="AI543" s="160"/>
      <c r="AJ543" s="105"/>
      <c r="AK543" s="105"/>
      <c r="AM543" s="105"/>
      <c r="AN543" s="105"/>
      <c r="AO543" s="105"/>
      <c r="AP543" s="105"/>
      <c r="AQ543" s="105"/>
      <c r="AR543" s="105"/>
    </row>
    <row r="544" spans="1:44" s="49" customFormat="1" ht="40.15" hidden="1" customHeight="1">
      <c r="A544" s="152">
        <f t="shared" ca="1" si="949"/>
        <v>0</v>
      </c>
      <c r="B544" s="153">
        <v>95876</v>
      </c>
      <c r="C544" s="154" t="str">
        <f>TEXT(B544,"0")</f>
        <v>95876</v>
      </c>
      <c r="D544" s="154" t="s">
        <v>1416</v>
      </c>
      <c r="E544" s="155" t="s">
        <v>3537</v>
      </c>
      <c r="F544" s="154">
        <f>IF(Dados_DMT!$B$21&lt;30,Dados_DMT!$B$21,30)</f>
        <v>0</v>
      </c>
      <c r="G544" s="154" t="s">
        <v>3538</v>
      </c>
      <c r="H544" s="152">
        <v>2.09</v>
      </c>
      <c r="I544" s="152">
        <v>2.1</v>
      </c>
      <c r="J544" s="156"/>
      <c r="K544" s="156">
        <f>ROUND(Dre_Fecha_Vala!U66*F544,2)</f>
        <v>0</v>
      </c>
      <c r="L544" s="156">
        <f>IF($K544&gt;$J544,$K544-$J544,0)</f>
        <v>0</v>
      </c>
      <c r="M544" s="156">
        <f>IF($K544&lt;$J544,$J544-$K544,0)</f>
        <v>0</v>
      </c>
      <c r="N544" s="156" t="s">
        <v>83</v>
      </c>
      <c r="O544" s="157" cm="1">
        <f t="array" ref="O544">TRUNC($H544*(1+_xlfn.SWITCH($N544,"BDI 1",$O$6,"BDI 2",$O$7,"BDI 3",$O$8)),2)</f>
        <v>2.52</v>
      </c>
      <c r="P544" s="157" cm="1">
        <f t="array" ref="P544">TRUNC($I544*(1+_xlfn.SWITCH($N544,"BDI 1",$P$6,"BDI 2",$P$7,"BDI 3",$P$8)),2)</f>
        <v>2.66</v>
      </c>
      <c r="Q544" s="157">
        <v>0</v>
      </c>
      <c r="R544" s="157">
        <f>$Q544-($Q544*LICITACAO_DESCONTO)</f>
        <v>0</v>
      </c>
      <c r="S544" s="156">
        <f>TRUNC($K544*$O544,2)</f>
        <v>0</v>
      </c>
      <c r="T544" s="156">
        <f>TRUNC($K544*$P544,2)</f>
        <v>0</v>
      </c>
      <c r="U544" s="156">
        <f>TRUNC($J544*$R544,2)</f>
        <v>0</v>
      </c>
      <c r="V544" s="156">
        <f>TRUNC($K544*$Q544,2)</f>
        <v>0</v>
      </c>
      <c r="W544" s="156">
        <f>TRUNC(V544-U544,2)</f>
        <v>0</v>
      </c>
      <c r="X544" s="158">
        <f>$S544/ORCAMENTO_VALOR_TOTAL_ND</f>
        <v>0</v>
      </c>
      <c r="Y544" s="158">
        <f>$T544/ORCAMENTO_VALOR_TOTAL_DE</f>
        <v>0</v>
      </c>
      <c r="Z544" s="158" cm="1">
        <f t="array" ref="Z544">_xlfn.SWITCH($N544,"BDI 1",$O$6,"BDI 2",$O$7,"BDI 3",$O$8)</f>
        <v>0.20699999999999999</v>
      </c>
      <c r="AA544" s="158" cm="1">
        <f t="array" ref="AA544">_xlfn.SWITCH($N544,"BDI 1",$P$6,"BDI 2",$P$7,"BDI 3",$P$8)</f>
        <v>0.26739999999999997</v>
      </c>
      <c r="AB544" s="158">
        <f ca="1">IFERROR($S544/_xlfn.XLOOKUP($AE544,$B$16:$B$38,$S$16:$S$38),0)</f>
        <v>0</v>
      </c>
      <c r="AC544" s="158">
        <f ca="1">IFERROR($T544/_xlfn.XLOOKUP($AE544,$B$16:$B$38,$T$16:$T$38),0)</f>
        <v>0</v>
      </c>
      <c r="AD544" s="164"/>
      <c r="AE544" s="148">
        <f t="shared" ref="AE544:AE545" si="1006">IF(S544&gt;0,IFERROR(TRUNC(A544,0),0),0)</f>
        <v>0</v>
      </c>
      <c r="AF544" s="149"/>
      <c r="AG544" s="150"/>
      <c r="AH544" s="159" t="e">
        <f>S544/$S$494</f>
        <v>#DIV/0!</v>
      </c>
      <c r="AI544" s="166">
        <f>IF(K544=0,0,K544/F544)</f>
        <v>0</v>
      </c>
      <c r="AJ544" s="105"/>
      <c r="AK544" s="105"/>
      <c r="AM544" s="105"/>
      <c r="AN544" s="105"/>
      <c r="AO544" s="105"/>
      <c r="AP544" s="105"/>
      <c r="AQ544" s="105"/>
      <c r="AR544" s="105"/>
    </row>
    <row r="545" spans="1:44" s="49" customFormat="1" ht="40.15" hidden="1" customHeight="1">
      <c r="A545" s="152">
        <f t="shared" ca="1" si="949"/>
        <v>0</v>
      </c>
      <c r="B545" s="153">
        <v>93593</v>
      </c>
      <c r="C545" s="154" t="str">
        <f>TEXT(B545,"0")</f>
        <v>93593</v>
      </c>
      <c r="D545" s="154" t="s">
        <v>1416</v>
      </c>
      <c r="E545" s="155" t="s">
        <v>3545</v>
      </c>
      <c r="F545" s="154">
        <f>+Dados_DMT!$B$21-F544</f>
        <v>0</v>
      </c>
      <c r="G545" s="154" t="s">
        <v>3538</v>
      </c>
      <c r="H545" s="152">
        <v>0.84</v>
      </c>
      <c r="I545" s="152">
        <v>0.85</v>
      </c>
      <c r="J545" s="156"/>
      <c r="K545" s="156">
        <f>ROUND(Dre_Fecha_Vala!U66*F545,2)</f>
        <v>0</v>
      </c>
      <c r="L545" s="156">
        <f>IF($K545&gt;$J545,$K545-$J545,0)</f>
        <v>0</v>
      </c>
      <c r="M545" s="156">
        <f>IF($K545&lt;$J545,$J545-$K545,0)</f>
        <v>0</v>
      </c>
      <c r="N545" s="156" t="s">
        <v>83</v>
      </c>
      <c r="O545" s="157" cm="1">
        <f t="array" ref="O545">TRUNC($H545*(1+_xlfn.SWITCH($N545,"BDI 1",$O$6,"BDI 2",$O$7,"BDI 3",$O$8)),2)</f>
        <v>1.01</v>
      </c>
      <c r="P545" s="157" cm="1">
        <f t="array" ref="P545">TRUNC($I545*(1+_xlfn.SWITCH($N545,"BDI 1",$P$6,"BDI 2",$P$7,"BDI 3",$P$8)),2)</f>
        <v>1.07</v>
      </c>
      <c r="Q545" s="157">
        <v>0</v>
      </c>
      <c r="R545" s="157">
        <f>$Q545-($Q545*LICITACAO_DESCONTO)</f>
        <v>0</v>
      </c>
      <c r="S545" s="156">
        <f>TRUNC($K545*$O545,2)</f>
        <v>0</v>
      </c>
      <c r="T545" s="156">
        <f>TRUNC($K545*$P545,2)</f>
        <v>0</v>
      </c>
      <c r="U545" s="156">
        <f>TRUNC($J545*$R545,2)</f>
        <v>0</v>
      </c>
      <c r="V545" s="156">
        <f>TRUNC($K545*$Q545,2)</f>
        <v>0</v>
      </c>
      <c r="W545" s="156">
        <f>TRUNC(V545-U545,2)</f>
        <v>0</v>
      </c>
      <c r="X545" s="158">
        <f>$S545/ORCAMENTO_VALOR_TOTAL_ND</f>
        <v>0</v>
      </c>
      <c r="Y545" s="158">
        <f>$T545/ORCAMENTO_VALOR_TOTAL_DE</f>
        <v>0</v>
      </c>
      <c r="Z545" s="158" cm="1">
        <f t="array" ref="Z545">_xlfn.SWITCH($N545,"BDI 1",$O$6,"BDI 2",$O$7,"BDI 3",$O$8)</f>
        <v>0.20699999999999999</v>
      </c>
      <c r="AA545" s="158" cm="1">
        <f t="array" ref="AA545">_xlfn.SWITCH($N545,"BDI 1",$P$6,"BDI 2",$P$7,"BDI 3",$P$8)</f>
        <v>0.26739999999999997</v>
      </c>
      <c r="AB545" s="158">
        <f ca="1">IFERROR($S545/_xlfn.XLOOKUP($AE545,$B$16:$B$38,$S$16:$S$38),0)</f>
        <v>0</v>
      </c>
      <c r="AC545" s="158">
        <f ca="1">IFERROR($T545/_xlfn.XLOOKUP($AE545,$B$16:$B$38,$T$16:$T$38),0)</f>
        <v>0</v>
      </c>
      <c r="AD545" s="164"/>
      <c r="AE545" s="148">
        <f t="shared" si="1006"/>
        <v>0</v>
      </c>
      <c r="AF545" s="149"/>
      <c r="AG545" s="150"/>
      <c r="AH545" s="159" t="e">
        <f>S545/$S$494</f>
        <v>#DIV/0!</v>
      </c>
      <c r="AI545" s="166">
        <f>IF(K545=0,0,K545/F545)</f>
        <v>0</v>
      </c>
      <c r="AJ545" s="105"/>
      <c r="AK545" s="105"/>
      <c r="AM545" s="105"/>
      <c r="AN545" s="105"/>
      <c r="AO545" s="105"/>
      <c r="AP545" s="105"/>
      <c r="AQ545" s="105"/>
      <c r="AR545" s="105"/>
    </row>
    <row r="546" spans="1:44" s="49" customFormat="1" ht="40.15" hidden="1" customHeight="1">
      <c r="A546" s="10">
        <f t="shared" ca="1" si="949"/>
        <v>0</v>
      </c>
      <c r="B546" s="153"/>
      <c r="C546" s="154"/>
      <c r="D546" s="154"/>
      <c r="E546" s="161" t="s">
        <v>267</v>
      </c>
      <c r="F546" s="154"/>
      <c r="G546" s="154"/>
      <c r="H546" s="152"/>
      <c r="I546" s="152"/>
      <c r="J546" s="154"/>
      <c r="K546" s="154"/>
      <c r="L546" s="154"/>
      <c r="M546" s="154"/>
      <c r="N546" s="154"/>
      <c r="O546" s="154"/>
      <c r="P546" s="154"/>
      <c r="Q546" s="154"/>
      <c r="R546" s="154"/>
      <c r="S546" s="162"/>
      <c r="T546" s="162"/>
      <c r="U546" s="162"/>
      <c r="V546" s="162"/>
      <c r="W546" s="162"/>
      <c r="X546" s="163"/>
      <c r="Y546" s="163"/>
      <c r="Z546" s="163"/>
      <c r="AA546" s="163"/>
      <c r="AB546" s="163"/>
      <c r="AC546" s="163"/>
      <c r="AD546" s="164"/>
      <c r="AE546" s="148">
        <f>IF(SUM(S547:S548)&gt;0,IFERROR(TRUNC(A546,0),0),0)</f>
        <v>0</v>
      </c>
      <c r="AF546" s="149"/>
      <c r="AG546" s="150"/>
      <c r="AH546" s="159"/>
      <c r="AI546" s="160"/>
      <c r="AJ546" s="105"/>
      <c r="AK546" s="105"/>
      <c r="AM546" s="105"/>
      <c r="AN546" s="105"/>
      <c r="AO546" s="105"/>
      <c r="AP546" s="105"/>
      <c r="AQ546" s="105"/>
      <c r="AR546" s="105"/>
    </row>
    <row r="547" spans="1:44" s="49" customFormat="1" ht="40.15" hidden="1" customHeight="1">
      <c r="A547" s="152">
        <f t="shared" ca="1" si="949"/>
        <v>0</v>
      </c>
      <c r="B547" s="153">
        <v>95876</v>
      </c>
      <c r="C547" s="154" t="str">
        <f>TEXT(B547,"0")</f>
        <v>95876</v>
      </c>
      <c r="D547" s="154" t="s">
        <v>1416</v>
      </c>
      <c r="E547" s="155" t="s">
        <v>3537</v>
      </c>
      <c r="F547" s="154">
        <f>IF(Dados_DMT!$B$23&lt;30,Dados_DMT!$B$23,30)</f>
        <v>0</v>
      </c>
      <c r="G547" s="154" t="s">
        <v>3538</v>
      </c>
      <c r="H547" s="152">
        <v>2.09</v>
      </c>
      <c r="I547" s="152">
        <v>2.1</v>
      </c>
      <c r="J547" s="156"/>
      <c r="K547" s="156">
        <f>ROUND(Dre_Fecha_Vala!U68*F547,2)</f>
        <v>0</v>
      </c>
      <c r="L547" s="156">
        <f>IF($K547&gt;$J547,$K547-$J547,0)</f>
        <v>0</v>
      </c>
      <c r="M547" s="156">
        <f>IF($K547&lt;$J547,$J547-$K547,0)</f>
        <v>0</v>
      </c>
      <c r="N547" s="156" t="s">
        <v>83</v>
      </c>
      <c r="O547" s="157" cm="1">
        <f t="array" ref="O547">TRUNC($H547*(1+_xlfn.SWITCH($N547,"BDI 1",$O$6,"BDI 2",$O$7,"BDI 3",$O$8)),2)</f>
        <v>2.52</v>
      </c>
      <c r="P547" s="157" cm="1">
        <f t="array" ref="P547">TRUNC($I547*(1+_xlfn.SWITCH($N547,"BDI 1",$P$6,"BDI 2",$P$7,"BDI 3",$P$8)),2)</f>
        <v>2.66</v>
      </c>
      <c r="Q547" s="157">
        <v>0</v>
      </c>
      <c r="R547" s="157">
        <f>$Q547-($Q547*LICITACAO_DESCONTO)</f>
        <v>0</v>
      </c>
      <c r="S547" s="156">
        <f>TRUNC($K547*$O547,2)</f>
        <v>0</v>
      </c>
      <c r="T547" s="156">
        <f>TRUNC($K547*$P547,2)</f>
        <v>0</v>
      </c>
      <c r="U547" s="156">
        <f>TRUNC($J547*$R547,2)</f>
        <v>0</v>
      </c>
      <c r="V547" s="156">
        <f>TRUNC($K547*$Q547,2)</f>
        <v>0</v>
      </c>
      <c r="W547" s="156">
        <f>TRUNC(V547-U547,2)</f>
        <v>0</v>
      </c>
      <c r="X547" s="158">
        <f>$S547/ORCAMENTO_VALOR_TOTAL_ND</f>
        <v>0</v>
      </c>
      <c r="Y547" s="158">
        <f>$T547/ORCAMENTO_VALOR_TOTAL_DE</f>
        <v>0</v>
      </c>
      <c r="Z547" s="158" cm="1">
        <f t="array" ref="Z547">_xlfn.SWITCH($N547,"BDI 1",$O$6,"BDI 2",$O$7,"BDI 3",$O$8)</f>
        <v>0.20699999999999999</v>
      </c>
      <c r="AA547" s="158" cm="1">
        <f t="array" ref="AA547">_xlfn.SWITCH($N547,"BDI 1",$P$6,"BDI 2",$P$7,"BDI 3",$P$8)</f>
        <v>0.26739999999999997</v>
      </c>
      <c r="AB547" s="158">
        <f ca="1">IFERROR($S547/_xlfn.XLOOKUP($AE547,$B$16:$B$38,$S$16:$S$38),0)</f>
        <v>0</v>
      </c>
      <c r="AC547" s="158">
        <f ca="1">IFERROR($T547/_xlfn.XLOOKUP($AE547,$B$16:$B$38,$T$16:$T$38),0)</f>
        <v>0</v>
      </c>
      <c r="AD547" s="164"/>
      <c r="AE547" s="148">
        <f t="shared" ref="AE547:AE548" si="1007">IF(S547&gt;0,IFERROR(TRUNC(A547,0),0),0)</f>
        <v>0</v>
      </c>
      <c r="AF547" s="149"/>
      <c r="AG547" s="150"/>
      <c r="AH547" s="159" t="e">
        <f>S547/$S$494</f>
        <v>#DIV/0!</v>
      </c>
      <c r="AI547" s="166">
        <f>IF(K547=0,0,K547/F547)</f>
        <v>0</v>
      </c>
      <c r="AJ547" s="105"/>
      <c r="AK547" s="105"/>
      <c r="AM547" s="105"/>
      <c r="AN547" s="105"/>
      <c r="AO547" s="105"/>
      <c r="AP547" s="105"/>
      <c r="AQ547" s="105"/>
      <c r="AR547" s="105"/>
    </row>
    <row r="548" spans="1:44" s="49" customFormat="1" ht="40.15" hidden="1" customHeight="1">
      <c r="A548" s="152">
        <f t="shared" ca="1" si="949"/>
        <v>0</v>
      </c>
      <c r="B548" s="153">
        <v>93593</v>
      </c>
      <c r="C548" s="154" t="str">
        <f>TEXT(B548,"0")</f>
        <v>93593</v>
      </c>
      <c r="D548" s="154" t="s">
        <v>1416</v>
      </c>
      <c r="E548" s="155" t="s">
        <v>3545</v>
      </c>
      <c r="F548" s="154">
        <f>+Dados_DMT!$B$23-F547</f>
        <v>0</v>
      </c>
      <c r="G548" s="154" t="s">
        <v>3538</v>
      </c>
      <c r="H548" s="152">
        <v>0.84</v>
      </c>
      <c r="I548" s="152">
        <v>0.85</v>
      </c>
      <c r="J548" s="156"/>
      <c r="K548" s="156">
        <f>ROUND(Dre_Fecha_Vala!U68*F548,2)</f>
        <v>0</v>
      </c>
      <c r="L548" s="156">
        <f>IF($K548&gt;$J548,$K548-$J548,0)</f>
        <v>0</v>
      </c>
      <c r="M548" s="156">
        <f>IF($K548&lt;$J548,$J548-$K548,0)</f>
        <v>0</v>
      </c>
      <c r="N548" s="156" t="s">
        <v>83</v>
      </c>
      <c r="O548" s="157" cm="1">
        <f t="array" ref="O548">TRUNC($H548*(1+_xlfn.SWITCH($N548,"BDI 1",$O$6,"BDI 2",$O$7,"BDI 3",$O$8)),2)</f>
        <v>1.01</v>
      </c>
      <c r="P548" s="157" cm="1">
        <f t="array" ref="P548">TRUNC($I548*(1+_xlfn.SWITCH($N548,"BDI 1",$P$6,"BDI 2",$P$7,"BDI 3",$P$8)),2)</f>
        <v>1.07</v>
      </c>
      <c r="Q548" s="157">
        <v>0</v>
      </c>
      <c r="R548" s="157">
        <f>$Q548-($Q548*LICITACAO_DESCONTO)</f>
        <v>0</v>
      </c>
      <c r="S548" s="156">
        <f>TRUNC($K548*$O548,2)</f>
        <v>0</v>
      </c>
      <c r="T548" s="156">
        <f>TRUNC($K548*$P548,2)</f>
        <v>0</v>
      </c>
      <c r="U548" s="156">
        <f>TRUNC($J548*$R548,2)</f>
        <v>0</v>
      </c>
      <c r="V548" s="156">
        <f>TRUNC($K548*$Q548,2)</f>
        <v>0</v>
      </c>
      <c r="W548" s="156">
        <f>TRUNC(V548-U548,2)</f>
        <v>0</v>
      </c>
      <c r="X548" s="158">
        <f>$S548/ORCAMENTO_VALOR_TOTAL_ND</f>
        <v>0</v>
      </c>
      <c r="Y548" s="158">
        <f>$T548/ORCAMENTO_VALOR_TOTAL_DE</f>
        <v>0</v>
      </c>
      <c r="Z548" s="158" cm="1">
        <f t="array" ref="Z548">_xlfn.SWITCH($N548,"BDI 1",$O$6,"BDI 2",$O$7,"BDI 3",$O$8)</f>
        <v>0.20699999999999999</v>
      </c>
      <c r="AA548" s="158" cm="1">
        <f t="array" ref="AA548">_xlfn.SWITCH($N548,"BDI 1",$P$6,"BDI 2",$P$7,"BDI 3",$P$8)</f>
        <v>0.26739999999999997</v>
      </c>
      <c r="AB548" s="158">
        <f ca="1">IFERROR($S548/_xlfn.XLOOKUP($AE548,$B$16:$B$38,$S$16:$S$38),0)</f>
        <v>0</v>
      </c>
      <c r="AC548" s="158">
        <f ca="1">IFERROR($T548/_xlfn.XLOOKUP($AE548,$B$16:$B$38,$T$16:$T$38),0)</f>
        <v>0</v>
      </c>
      <c r="AD548" s="164"/>
      <c r="AE548" s="148">
        <f t="shared" si="1007"/>
        <v>0</v>
      </c>
      <c r="AF548" s="149"/>
      <c r="AG548" s="150"/>
      <c r="AH548" s="159" t="e">
        <f>S548/$S$494</f>
        <v>#DIV/0!</v>
      </c>
      <c r="AI548" s="166">
        <f>IF(K548=0,0,K548/F548)</f>
        <v>0</v>
      </c>
      <c r="AJ548" s="105"/>
      <c r="AK548" s="105"/>
      <c r="AM548" s="105"/>
      <c r="AN548" s="105"/>
      <c r="AO548" s="105"/>
      <c r="AP548" s="105"/>
      <c r="AQ548" s="105"/>
      <c r="AR548" s="105"/>
    </row>
    <row r="549" spans="1:44" s="49" customFormat="1" ht="40.15" hidden="1" customHeight="1">
      <c r="A549" s="10">
        <f t="shared" ca="1" si="949"/>
        <v>0</v>
      </c>
      <c r="B549" s="153"/>
      <c r="C549" s="154"/>
      <c r="D549" s="154"/>
      <c r="E549" s="161" t="s">
        <v>268</v>
      </c>
      <c r="F549" s="154"/>
      <c r="G549" s="154"/>
      <c r="H549" s="152"/>
      <c r="I549" s="152"/>
      <c r="J549" s="154"/>
      <c r="K549" s="154"/>
      <c r="L549" s="154"/>
      <c r="M549" s="154"/>
      <c r="N549" s="154"/>
      <c r="O549" s="154"/>
      <c r="P549" s="154"/>
      <c r="Q549" s="154"/>
      <c r="R549" s="154"/>
      <c r="S549" s="162"/>
      <c r="T549" s="162"/>
      <c r="U549" s="162"/>
      <c r="V549" s="162"/>
      <c r="W549" s="162"/>
      <c r="X549" s="163"/>
      <c r="Y549" s="163"/>
      <c r="Z549" s="163"/>
      <c r="AA549" s="163"/>
      <c r="AB549" s="163"/>
      <c r="AC549" s="163"/>
      <c r="AD549" s="164"/>
      <c r="AE549" s="148">
        <f>IF(SUM(S550:S551)&gt;0,IFERROR(TRUNC(A549,0),0),0)</f>
        <v>0</v>
      </c>
      <c r="AF549" s="149"/>
      <c r="AG549" s="150"/>
      <c r="AH549" s="159"/>
      <c r="AI549" s="160"/>
      <c r="AJ549" s="105"/>
      <c r="AK549" s="105"/>
      <c r="AM549" s="105"/>
      <c r="AN549" s="105"/>
      <c r="AO549" s="105"/>
      <c r="AP549" s="105"/>
      <c r="AQ549" s="105"/>
      <c r="AR549" s="105"/>
    </row>
    <row r="550" spans="1:44" s="49" customFormat="1" ht="40.15" hidden="1" customHeight="1">
      <c r="A550" s="152">
        <f t="shared" ca="1" si="949"/>
        <v>0</v>
      </c>
      <c r="B550" s="153">
        <v>95876</v>
      </c>
      <c r="C550" s="154" t="str">
        <f>TEXT(B550,"0")</f>
        <v>95876</v>
      </c>
      <c r="D550" s="154" t="s">
        <v>1416</v>
      </c>
      <c r="E550" s="155" t="s">
        <v>3537</v>
      </c>
      <c r="F550" s="154">
        <f>IF(Dados_DMT!$B$22&lt;30,Dados_DMT!$B$22,30)</f>
        <v>0</v>
      </c>
      <c r="G550" s="154" t="s">
        <v>3538</v>
      </c>
      <c r="H550" s="152">
        <v>2.09</v>
      </c>
      <c r="I550" s="152">
        <v>2.1</v>
      </c>
      <c r="J550" s="156"/>
      <c r="K550" s="156">
        <f>ROUND(Dre_Fecha_Vala!U67*F550,2)</f>
        <v>0</v>
      </c>
      <c r="L550" s="156">
        <f>IF($K550&gt;$J550,$K550-$J550,0)</f>
        <v>0</v>
      </c>
      <c r="M550" s="156">
        <f>IF($K550&lt;$J550,$J550-$K550,0)</f>
        <v>0</v>
      </c>
      <c r="N550" s="156" t="s">
        <v>83</v>
      </c>
      <c r="O550" s="157" cm="1">
        <f t="array" ref="O550">TRUNC($H550*(1+_xlfn.SWITCH($N550,"BDI 1",$O$6,"BDI 2",$O$7,"BDI 3",$O$8)),2)</f>
        <v>2.52</v>
      </c>
      <c r="P550" s="157" cm="1">
        <f t="array" ref="P550">TRUNC($I550*(1+_xlfn.SWITCH($N550,"BDI 1",$P$6,"BDI 2",$P$7,"BDI 3",$P$8)),2)</f>
        <v>2.66</v>
      </c>
      <c r="Q550" s="157">
        <v>0</v>
      </c>
      <c r="R550" s="157">
        <f>$Q550-($Q550*LICITACAO_DESCONTO)</f>
        <v>0</v>
      </c>
      <c r="S550" s="156">
        <f>TRUNC($K550*$O550,2)</f>
        <v>0</v>
      </c>
      <c r="T550" s="156">
        <f>TRUNC($K550*$P550,2)</f>
        <v>0</v>
      </c>
      <c r="U550" s="156">
        <f>TRUNC($J550*$R550,2)</f>
        <v>0</v>
      </c>
      <c r="V550" s="156">
        <f>TRUNC($K550*$Q550,2)</f>
        <v>0</v>
      </c>
      <c r="W550" s="156">
        <f>TRUNC(V550-U550,2)</f>
        <v>0</v>
      </c>
      <c r="X550" s="158">
        <f>$S550/ORCAMENTO_VALOR_TOTAL_ND</f>
        <v>0</v>
      </c>
      <c r="Y550" s="158">
        <f>$T550/ORCAMENTO_VALOR_TOTAL_DE</f>
        <v>0</v>
      </c>
      <c r="Z550" s="158" cm="1">
        <f t="array" ref="Z550">_xlfn.SWITCH($N550,"BDI 1",$O$6,"BDI 2",$O$7,"BDI 3",$O$8)</f>
        <v>0.20699999999999999</v>
      </c>
      <c r="AA550" s="158" cm="1">
        <f t="array" ref="AA550">_xlfn.SWITCH($N550,"BDI 1",$P$6,"BDI 2",$P$7,"BDI 3",$P$8)</f>
        <v>0.26739999999999997</v>
      </c>
      <c r="AB550" s="158">
        <f ca="1">IFERROR($S550/_xlfn.XLOOKUP($AE550,$B$16:$B$38,$S$16:$S$38),0)</f>
        <v>0</v>
      </c>
      <c r="AC550" s="158">
        <f ca="1">IFERROR($T550/_xlfn.XLOOKUP($AE550,$B$16:$B$38,$T$16:$T$38),0)</f>
        <v>0</v>
      </c>
      <c r="AD550" s="164"/>
      <c r="AE550" s="148">
        <f t="shared" ref="AE550:AE551" si="1008">IF(S550&gt;0,IFERROR(TRUNC(A550,0),0),0)</f>
        <v>0</v>
      </c>
      <c r="AF550" s="149"/>
      <c r="AG550" s="150"/>
      <c r="AH550" s="159" t="e">
        <f>S550/$S$494</f>
        <v>#DIV/0!</v>
      </c>
      <c r="AI550" s="166">
        <f>IF(K550=0,0,K550/F550)</f>
        <v>0</v>
      </c>
      <c r="AJ550" s="105"/>
      <c r="AK550" s="105"/>
      <c r="AM550" s="105"/>
      <c r="AN550" s="105"/>
      <c r="AO550" s="105"/>
      <c r="AP550" s="105"/>
      <c r="AQ550" s="105"/>
      <c r="AR550" s="105"/>
    </row>
    <row r="551" spans="1:44" s="49" customFormat="1" ht="40.15" hidden="1" customHeight="1">
      <c r="A551" s="152">
        <f t="shared" ca="1" si="949"/>
        <v>0</v>
      </c>
      <c r="B551" s="153">
        <v>93593</v>
      </c>
      <c r="C551" s="154" t="str">
        <f>TEXT(B551,"0")</f>
        <v>93593</v>
      </c>
      <c r="D551" s="154" t="s">
        <v>1416</v>
      </c>
      <c r="E551" s="155" t="s">
        <v>3545</v>
      </c>
      <c r="F551" s="154">
        <f>+Dados_DMT!$B$22-F550</f>
        <v>0</v>
      </c>
      <c r="G551" s="154" t="s">
        <v>3538</v>
      </c>
      <c r="H551" s="152">
        <v>0.84</v>
      </c>
      <c r="I551" s="152">
        <v>0.85</v>
      </c>
      <c r="J551" s="156"/>
      <c r="K551" s="156">
        <f>ROUND(Dre_Fecha_Vala!U67*F551,2)</f>
        <v>0</v>
      </c>
      <c r="L551" s="156">
        <f>IF($K551&gt;$J551,$K551-$J551,0)</f>
        <v>0</v>
      </c>
      <c r="M551" s="156">
        <f>IF($K551&lt;$J551,$J551-$K551,0)</f>
        <v>0</v>
      </c>
      <c r="N551" s="156" t="s">
        <v>83</v>
      </c>
      <c r="O551" s="157" cm="1">
        <f t="array" ref="O551">TRUNC($H551*(1+_xlfn.SWITCH($N551,"BDI 1",$O$6,"BDI 2",$O$7,"BDI 3",$O$8)),2)</f>
        <v>1.01</v>
      </c>
      <c r="P551" s="157" cm="1">
        <f t="array" ref="P551">TRUNC($I551*(1+_xlfn.SWITCH($N551,"BDI 1",$P$6,"BDI 2",$P$7,"BDI 3",$P$8)),2)</f>
        <v>1.07</v>
      </c>
      <c r="Q551" s="157">
        <v>0</v>
      </c>
      <c r="R551" s="157">
        <f>$Q551-($Q551*LICITACAO_DESCONTO)</f>
        <v>0</v>
      </c>
      <c r="S551" s="156">
        <f>TRUNC($K551*$O551,2)</f>
        <v>0</v>
      </c>
      <c r="T551" s="156">
        <f>TRUNC($K551*$P551,2)</f>
        <v>0</v>
      </c>
      <c r="U551" s="156">
        <f>TRUNC($J551*$R551,2)</f>
        <v>0</v>
      </c>
      <c r="V551" s="156">
        <f>TRUNC($K551*$Q551,2)</f>
        <v>0</v>
      </c>
      <c r="W551" s="156">
        <f>TRUNC(V551-U551,2)</f>
        <v>0</v>
      </c>
      <c r="X551" s="158">
        <f>$S551/ORCAMENTO_VALOR_TOTAL_ND</f>
        <v>0</v>
      </c>
      <c r="Y551" s="158">
        <f>$T551/ORCAMENTO_VALOR_TOTAL_DE</f>
        <v>0</v>
      </c>
      <c r="Z551" s="158" cm="1">
        <f t="array" ref="Z551">_xlfn.SWITCH($N551,"BDI 1",$O$6,"BDI 2",$O$7,"BDI 3",$O$8)</f>
        <v>0.20699999999999999</v>
      </c>
      <c r="AA551" s="158" cm="1">
        <f t="array" ref="AA551">_xlfn.SWITCH($N551,"BDI 1",$P$6,"BDI 2",$P$7,"BDI 3",$P$8)</f>
        <v>0.26739999999999997</v>
      </c>
      <c r="AB551" s="158">
        <f ca="1">IFERROR($S551/_xlfn.XLOOKUP($AE551,$B$16:$B$38,$S$16:$S$38),0)</f>
        <v>0</v>
      </c>
      <c r="AC551" s="158">
        <f ca="1">IFERROR($T551/_xlfn.XLOOKUP($AE551,$B$16:$B$38,$T$16:$T$38),0)</f>
        <v>0</v>
      </c>
      <c r="AD551" s="164"/>
      <c r="AE551" s="148">
        <f t="shared" si="1008"/>
        <v>0</v>
      </c>
      <c r="AF551" s="149"/>
      <c r="AG551" s="150"/>
      <c r="AH551" s="159" t="e">
        <f>S551/$S$494</f>
        <v>#DIV/0!</v>
      </c>
      <c r="AI551" s="166">
        <f>IF(K551=0,0,K551/F551)</f>
        <v>0</v>
      </c>
      <c r="AJ551" s="105"/>
      <c r="AK551" s="105"/>
      <c r="AM551" s="105"/>
      <c r="AN551" s="105"/>
      <c r="AO551" s="105"/>
      <c r="AP551" s="105"/>
      <c r="AQ551" s="105"/>
      <c r="AR551" s="105"/>
    </row>
    <row r="552" spans="1:44" s="49" customFormat="1" ht="40.15" hidden="1" customHeight="1">
      <c r="A552" s="10">
        <f t="shared" ca="1" si="949"/>
        <v>0</v>
      </c>
      <c r="B552" s="153"/>
      <c r="C552" s="154"/>
      <c r="D552" s="154"/>
      <c r="E552" s="161" t="s">
        <v>269</v>
      </c>
      <c r="F552" s="154"/>
      <c r="G552" s="154"/>
      <c r="H552" s="152"/>
      <c r="I552" s="152"/>
      <c r="J552" s="154"/>
      <c r="K552" s="154"/>
      <c r="L552" s="154"/>
      <c r="M552" s="154"/>
      <c r="N552" s="154"/>
      <c r="O552" s="154"/>
      <c r="P552" s="154"/>
      <c r="Q552" s="154"/>
      <c r="R552" s="154"/>
      <c r="S552" s="162"/>
      <c r="T552" s="162"/>
      <c r="U552" s="162"/>
      <c r="V552" s="162"/>
      <c r="W552" s="162"/>
      <c r="X552" s="163"/>
      <c r="Y552" s="163"/>
      <c r="Z552" s="163"/>
      <c r="AA552" s="163"/>
      <c r="AB552" s="163"/>
      <c r="AC552" s="163"/>
      <c r="AD552" s="164"/>
      <c r="AE552" s="148">
        <f>IF(SUM(S553:S554)&gt;0,IFERROR(TRUNC(A552,0),0),0)</f>
        <v>0</v>
      </c>
      <c r="AF552" s="149"/>
      <c r="AG552" s="150"/>
      <c r="AH552" s="159"/>
      <c r="AI552" s="160"/>
      <c r="AJ552" s="105"/>
      <c r="AK552" s="105"/>
      <c r="AM552" s="105"/>
      <c r="AN552" s="105"/>
      <c r="AO552" s="105"/>
      <c r="AP552" s="105"/>
      <c r="AQ552" s="105"/>
      <c r="AR552" s="105"/>
    </row>
    <row r="553" spans="1:44" s="49" customFormat="1" ht="40.15" hidden="1" customHeight="1">
      <c r="A553" s="152">
        <f t="shared" ca="1" si="949"/>
        <v>0</v>
      </c>
      <c r="B553" s="153">
        <v>95879</v>
      </c>
      <c r="C553" s="154" t="str">
        <f>TEXT(B553,"0")</f>
        <v>95879</v>
      </c>
      <c r="D553" s="154" t="s">
        <v>1416</v>
      </c>
      <c r="E553" s="155" t="s">
        <v>3535</v>
      </c>
      <c r="F553" s="154">
        <f>IF(Dados_DMT!$B$31&lt;30,Dados_DMT!$B$31,30)</f>
        <v>0</v>
      </c>
      <c r="G553" s="154" t="s">
        <v>3534</v>
      </c>
      <c r="H553" s="152">
        <v>1.41</v>
      </c>
      <c r="I553" s="152">
        <v>1.42</v>
      </c>
      <c r="J553" s="156"/>
      <c r="K553" s="156">
        <f>ROUND(Dre_Fecha_Vala!U83*F553,2)</f>
        <v>0</v>
      </c>
      <c r="L553" s="156">
        <f>IF($K553&gt;$J553,$K553-$J553,0)</f>
        <v>0</v>
      </c>
      <c r="M553" s="156">
        <f>IF($K553&lt;$J553,$J553-$K553,0)</f>
        <v>0</v>
      </c>
      <c r="N553" s="156" t="s">
        <v>83</v>
      </c>
      <c r="O553" s="157" cm="1">
        <f t="array" ref="O553">TRUNC($H553*(1+_xlfn.SWITCH($N553,"BDI 1",$O$6,"BDI 2",$O$7,"BDI 3",$O$8)),2)</f>
        <v>1.7</v>
      </c>
      <c r="P553" s="157" cm="1">
        <f t="array" ref="P553">TRUNC($I553*(1+_xlfn.SWITCH($N553,"BDI 1",$P$6,"BDI 2",$P$7,"BDI 3",$P$8)),2)</f>
        <v>1.79</v>
      </c>
      <c r="Q553" s="157">
        <v>0</v>
      </c>
      <c r="R553" s="157">
        <f>$Q553-($Q553*LICITACAO_DESCONTO)</f>
        <v>0</v>
      </c>
      <c r="S553" s="156">
        <f>TRUNC($K553*$O553,2)</f>
        <v>0</v>
      </c>
      <c r="T553" s="156">
        <f>TRUNC($K553*$P553,2)</f>
        <v>0</v>
      </c>
      <c r="U553" s="156">
        <f>TRUNC($J553*$R553,2)</f>
        <v>0</v>
      </c>
      <c r="V553" s="156">
        <f>TRUNC($K553*$Q553,2)</f>
        <v>0</v>
      </c>
      <c r="W553" s="156">
        <f>TRUNC(V553-U553,2)</f>
        <v>0</v>
      </c>
      <c r="X553" s="158">
        <f>$S553/ORCAMENTO_VALOR_TOTAL_ND</f>
        <v>0</v>
      </c>
      <c r="Y553" s="158">
        <f>$T553/ORCAMENTO_VALOR_TOTAL_DE</f>
        <v>0</v>
      </c>
      <c r="Z553" s="158" cm="1">
        <f t="array" ref="Z553">_xlfn.SWITCH($N553,"BDI 1",$O$6,"BDI 2",$O$7,"BDI 3",$O$8)</f>
        <v>0.20699999999999999</v>
      </c>
      <c r="AA553" s="158" cm="1">
        <f t="array" ref="AA553">_xlfn.SWITCH($N553,"BDI 1",$P$6,"BDI 2",$P$7,"BDI 3",$P$8)</f>
        <v>0.26739999999999997</v>
      </c>
      <c r="AB553" s="158">
        <f ca="1">IFERROR($S553/_xlfn.XLOOKUP($AE553,$B$16:$B$38,$S$16:$S$38),0)</f>
        <v>0</v>
      </c>
      <c r="AC553" s="158">
        <f ca="1">IFERROR($T553/_xlfn.XLOOKUP($AE553,$B$16:$B$38,$T$16:$T$38),0)</f>
        <v>0</v>
      </c>
      <c r="AD553" s="164"/>
      <c r="AE553" s="148">
        <f t="shared" ref="AE553:AE554" si="1009">IF(S553&gt;0,IFERROR(TRUNC(A553,0),0),0)</f>
        <v>0</v>
      </c>
      <c r="AF553" s="149"/>
      <c r="AG553" s="150"/>
      <c r="AH553" s="159" t="e">
        <f>S553/$S$494</f>
        <v>#DIV/0!</v>
      </c>
      <c r="AI553" s="166">
        <f>IF(K553=0,0,K553/F553)</f>
        <v>0</v>
      </c>
      <c r="AJ553" s="105"/>
      <c r="AK553" s="105"/>
      <c r="AM553" s="105"/>
      <c r="AN553" s="105"/>
      <c r="AO553" s="105"/>
      <c r="AP553" s="105"/>
      <c r="AQ553" s="105"/>
      <c r="AR553" s="105"/>
    </row>
    <row r="554" spans="1:44" s="49" customFormat="1" ht="40.15" hidden="1" customHeight="1">
      <c r="A554" s="152">
        <f t="shared" ca="1" si="949"/>
        <v>0</v>
      </c>
      <c r="B554" s="153">
        <v>93599</v>
      </c>
      <c r="C554" s="154" t="str">
        <f>TEXT(B554,"0")</f>
        <v>93599</v>
      </c>
      <c r="D554" s="154" t="s">
        <v>1416</v>
      </c>
      <c r="E554" s="155" t="s">
        <v>3533</v>
      </c>
      <c r="F554" s="154">
        <f>+Dados_DMT!$B$31-F553</f>
        <v>0</v>
      </c>
      <c r="G554" s="154" t="s">
        <v>3534</v>
      </c>
      <c r="H554" s="152">
        <v>0.56000000000000005</v>
      </c>
      <c r="I554" s="152">
        <v>0.56000000000000005</v>
      </c>
      <c r="J554" s="156"/>
      <c r="K554" s="156">
        <f>ROUND(Dre_Fecha_Vala!U83*F554,2)</f>
        <v>0</v>
      </c>
      <c r="L554" s="156">
        <f>IF($K554&gt;$J554,$K554-$J554,0)</f>
        <v>0</v>
      </c>
      <c r="M554" s="156">
        <f>IF($K554&lt;$J554,$J554-$K554,0)</f>
        <v>0</v>
      </c>
      <c r="N554" s="156" t="s">
        <v>83</v>
      </c>
      <c r="O554" s="157" cm="1">
        <f t="array" ref="O554">TRUNC($H554*(1+_xlfn.SWITCH($N554,"BDI 1",$O$6,"BDI 2",$O$7,"BDI 3",$O$8)),2)</f>
        <v>0.67</v>
      </c>
      <c r="P554" s="157" cm="1">
        <f t="array" ref="P554">TRUNC($I554*(1+_xlfn.SWITCH($N554,"BDI 1",$P$6,"BDI 2",$P$7,"BDI 3",$P$8)),2)</f>
        <v>0.7</v>
      </c>
      <c r="Q554" s="157">
        <v>0</v>
      </c>
      <c r="R554" s="157">
        <f>$Q554-($Q554*LICITACAO_DESCONTO)</f>
        <v>0</v>
      </c>
      <c r="S554" s="156">
        <f>TRUNC($K554*$O554,2)</f>
        <v>0</v>
      </c>
      <c r="T554" s="156">
        <f>TRUNC($K554*$P554,2)</f>
        <v>0</v>
      </c>
      <c r="U554" s="156">
        <f>TRUNC($J554*$R554,2)</f>
        <v>0</v>
      </c>
      <c r="V554" s="156">
        <f>TRUNC($K554*$Q554,2)</f>
        <v>0</v>
      </c>
      <c r="W554" s="156">
        <f>TRUNC(V554-U554,2)</f>
        <v>0</v>
      </c>
      <c r="X554" s="158">
        <f>$S554/ORCAMENTO_VALOR_TOTAL_ND</f>
        <v>0</v>
      </c>
      <c r="Y554" s="158">
        <f>$T554/ORCAMENTO_VALOR_TOTAL_DE</f>
        <v>0</v>
      </c>
      <c r="Z554" s="158" cm="1">
        <f t="array" ref="Z554">_xlfn.SWITCH($N554,"BDI 1",$O$6,"BDI 2",$O$7,"BDI 3",$O$8)</f>
        <v>0.20699999999999999</v>
      </c>
      <c r="AA554" s="158" cm="1">
        <f t="array" ref="AA554">_xlfn.SWITCH($N554,"BDI 1",$P$6,"BDI 2",$P$7,"BDI 3",$P$8)</f>
        <v>0.26739999999999997</v>
      </c>
      <c r="AB554" s="158">
        <f ca="1">IFERROR($S554/_xlfn.XLOOKUP($AE554,$B$16:$B$38,$S$16:$S$38),0)</f>
        <v>0</v>
      </c>
      <c r="AC554" s="158">
        <f ca="1">IFERROR($T554/_xlfn.XLOOKUP($AE554,$B$16:$B$38,$T$16:$T$38),0)</f>
        <v>0</v>
      </c>
      <c r="AD554" s="164"/>
      <c r="AE554" s="148">
        <f t="shared" si="1009"/>
        <v>0</v>
      </c>
      <c r="AF554" s="149"/>
      <c r="AG554" s="150"/>
      <c r="AH554" s="159" t="e">
        <f>S554/$S$494</f>
        <v>#DIV/0!</v>
      </c>
      <c r="AI554" s="166">
        <f>IF(K554=0,0,K554/F554)</f>
        <v>0</v>
      </c>
      <c r="AJ554" s="105"/>
      <c r="AK554" s="105"/>
      <c r="AM554" s="105"/>
      <c r="AN554" s="105"/>
      <c r="AO554" s="105"/>
      <c r="AP554" s="105"/>
      <c r="AQ554" s="105"/>
      <c r="AR554" s="105"/>
    </row>
    <row r="555" spans="1:44" s="49" customFormat="1" ht="40.15" hidden="1" customHeight="1">
      <c r="A555" s="10">
        <f t="shared" ca="1" si="949"/>
        <v>0</v>
      </c>
      <c r="B555" s="153"/>
      <c r="C555" s="154"/>
      <c r="D555" s="154"/>
      <c r="E555" s="161" t="s">
        <v>270</v>
      </c>
      <c r="F555" s="154"/>
      <c r="G555" s="154"/>
      <c r="H555" s="152"/>
      <c r="I555" s="152"/>
      <c r="J555" s="154"/>
      <c r="K555" s="154"/>
      <c r="L555" s="154"/>
      <c r="M555" s="154"/>
      <c r="N555" s="154"/>
      <c r="O555" s="154"/>
      <c r="P555" s="154"/>
      <c r="Q555" s="154"/>
      <c r="R555" s="154"/>
      <c r="S555" s="162"/>
      <c r="T555" s="162"/>
      <c r="U555" s="162"/>
      <c r="V555" s="162"/>
      <c r="W555" s="162"/>
      <c r="X555" s="163"/>
      <c r="Y555" s="163"/>
      <c r="Z555" s="163"/>
      <c r="AA555" s="163"/>
      <c r="AB555" s="163"/>
      <c r="AC555" s="163"/>
      <c r="AD555" s="164"/>
      <c r="AE555" s="148">
        <f>IF(SUM(S556:S557)&gt;0,IFERROR(TRUNC(A555,0),0),0)</f>
        <v>0</v>
      </c>
      <c r="AF555" s="149"/>
      <c r="AG555" s="150"/>
      <c r="AH555" s="159"/>
      <c r="AI555" s="160"/>
      <c r="AJ555" s="105"/>
      <c r="AK555" s="105"/>
      <c r="AM555" s="105"/>
      <c r="AN555" s="105"/>
      <c r="AO555" s="105"/>
      <c r="AP555" s="105"/>
      <c r="AQ555" s="105"/>
      <c r="AR555" s="105"/>
    </row>
    <row r="556" spans="1:44" s="49" customFormat="1" ht="40.15" hidden="1" customHeight="1">
      <c r="A556" s="152">
        <f t="shared" ca="1" si="949"/>
        <v>0</v>
      </c>
      <c r="B556" s="153">
        <v>95879</v>
      </c>
      <c r="C556" s="154" t="str">
        <f>TEXT(B556,"0")</f>
        <v>95879</v>
      </c>
      <c r="D556" s="154" t="s">
        <v>1416</v>
      </c>
      <c r="E556" s="155" t="s">
        <v>3535</v>
      </c>
      <c r="F556" s="154">
        <f>IF(Dados_DMT!$B$30&lt;30,Dados_DMT!$B$30,30)</f>
        <v>30</v>
      </c>
      <c r="G556" s="154" t="s">
        <v>3534</v>
      </c>
      <c r="H556" s="152">
        <v>1.41</v>
      </c>
      <c r="I556" s="152">
        <v>1.42</v>
      </c>
      <c r="J556" s="156"/>
      <c r="K556" s="156">
        <f>ROUND(Dre_Fecha_Vala!U82*F556,2)</f>
        <v>0</v>
      </c>
      <c r="L556" s="156">
        <f>IF($K556&gt;$J556,$K556-$J556,0)</f>
        <v>0</v>
      </c>
      <c r="M556" s="156">
        <f>IF($K556&lt;$J556,$J556-$K556,0)</f>
        <v>0</v>
      </c>
      <c r="N556" s="156" t="s">
        <v>83</v>
      </c>
      <c r="O556" s="157" cm="1">
        <f t="array" ref="O556">TRUNC($H556*(1+_xlfn.SWITCH($N556,"BDI 1",$O$6,"BDI 2",$O$7,"BDI 3",$O$8)),2)</f>
        <v>1.7</v>
      </c>
      <c r="P556" s="157" cm="1">
        <f t="array" ref="P556">TRUNC($I556*(1+_xlfn.SWITCH($N556,"BDI 1",$P$6,"BDI 2",$P$7,"BDI 3",$P$8)),2)</f>
        <v>1.79</v>
      </c>
      <c r="Q556" s="157">
        <v>0</v>
      </c>
      <c r="R556" s="157">
        <f>$Q556-($Q556*LICITACAO_DESCONTO)</f>
        <v>0</v>
      </c>
      <c r="S556" s="156">
        <f>TRUNC($K556*$O556,2)</f>
        <v>0</v>
      </c>
      <c r="T556" s="156">
        <f>TRUNC($K556*$P556,2)</f>
        <v>0</v>
      </c>
      <c r="U556" s="156">
        <f>TRUNC($J556*$R556,2)</f>
        <v>0</v>
      </c>
      <c r="V556" s="156">
        <f>TRUNC($K556*$Q556,2)</f>
        <v>0</v>
      </c>
      <c r="W556" s="156">
        <f>TRUNC(V556-U556,2)</f>
        <v>0</v>
      </c>
      <c r="X556" s="158">
        <f>$S556/ORCAMENTO_VALOR_TOTAL_ND</f>
        <v>0</v>
      </c>
      <c r="Y556" s="158">
        <f>$T556/ORCAMENTO_VALOR_TOTAL_DE</f>
        <v>0</v>
      </c>
      <c r="Z556" s="158" cm="1">
        <f t="array" ref="Z556">_xlfn.SWITCH($N556,"BDI 1",$O$6,"BDI 2",$O$7,"BDI 3",$O$8)</f>
        <v>0.20699999999999999</v>
      </c>
      <c r="AA556" s="158" cm="1">
        <f t="array" ref="AA556">_xlfn.SWITCH($N556,"BDI 1",$P$6,"BDI 2",$P$7,"BDI 3",$P$8)</f>
        <v>0.26739999999999997</v>
      </c>
      <c r="AB556" s="158">
        <f ca="1">IFERROR($S556/_xlfn.XLOOKUP($AE556,$B$16:$B$38,$S$16:$S$38),0)</f>
        <v>0</v>
      </c>
      <c r="AC556" s="158">
        <f ca="1">IFERROR($T556/_xlfn.XLOOKUP($AE556,$B$16:$B$38,$T$16:$T$38),0)</f>
        <v>0</v>
      </c>
      <c r="AD556" s="164"/>
      <c r="AE556" s="148">
        <f t="shared" ref="AE556:AE557" si="1010">IF(S556&gt;0,IFERROR(TRUNC(A556,0),0),0)</f>
        <v>0</v>
      </c>
      <c r="AF556" s="149"/>
      <c r="AG556" s="150"/>
      <c r="AH556" s="159" t="e">
        <f>S556/$S$494</f>
        <v>#DIV/0!</v>
      </c>
      <c r="AI556" s="209">
        <f>IF(K556=0,0,K556/F556)</f>
        <v>0</v>
      </c>
      <c r="AJ556" s="105"/>
      <c r="AK556" s="105"/>
      <c r="AM556" s="105"/>
      <c r="AN556" s="105"/>
      <c r="AO556" s="105"/>
      <c r="AP556" s="105"/>
      <c r="AQ556" s="105"/>
      <c r="AR556" s="105"/>
    </row>
    <row r="557" spans="1:44" s="49" customFormat="1" ht="40.15" hidden="1" customHeight="1">
      <c r="A557" s="152">
        <f t="shared" ca="1" si="949"/>
        <v>0</v>
      </c>
      <c r="B557" s="153">
        <v>93599</v>
      </c>
      <c r="C557" s="154" t="str">
        <f>TEXT(B557,"0")</f>
        <v>93599</v>
      </c>
      <c r="D557" s="154" t="s">
        <v>1416</v>
      </c>
      <c r="E557" s="155" t="s">
        <v>3533</v>
      </c>
      <c r="F557" s="154">
        <f>+Dados_DMT!$B$30-F556</f>
        <v>80</v>
      </c>
      <c r="G557" s="154" t="s">
        <v>3534</v>
      </c>
      <c r="H557" s="152">
        <v>0.56000000000000005</v>
      </c>
      <c r="I557" s="152">
        <v>0.56000000000000005</v>
      </c>
      <c r="J557" s="156"/>
      <c r="K557" s="156">
        <f>ROUND(Dre_Fecha_Vala!U82*F557,2)</f>
        <v>0</v>
      </c>
      <c r="L557" s="156">
        <f>IF($K557&gt;$J557,$K557-$J557,0)</f>
        <v>0</v>
      </c>
      <c r="M557" s="156">
        <f>IF($K557&lt;$J557,$J557-$K557,0)</f>
        <v>0</v>
      </c>
      <c r="N557" s="156" t="s">
        <v>83</v>
      </c>
      <c r="O557" s="157" cm="1">
        <f t="array" ref="O557">TRUNC($H557*(1+_xlfn.SWITCH($N557,"BDI 1",$O$6,"BDI 2",$O$7,"BDI 3",$O$8)),2)</f>
        <v>0.67</v>
      </c>
      <c r="P557" s="157" cm="1">
        <f t="array" ref="P557">TRUNC($I557*(1+_xlfn.SWITCH($N557,"BDI 1",$P$6,"BDI 2",$P$7,"BDI 3",$P$8)),2)</f>
        <v>0.7</v>
      </c>
      <c r="Q557" s="157">
        <v>0</v>
      </c>
      <c r="R557" s="157">
        <f>$Q557-($Q557*LICITACAO_DESCONTO)</f>
        <v>0</v>
      </c>
      <c r="S557" s="156">
        <f>TRUNC($K557*$O557,2)</f>
        <v>0</v>
      </c>
      <c r="T557" s="156">
        <f>TRUNC($K557*$P557,2)</f>
        <v>0</v>
      </c>
      <c r="U557" s="156">
        <f>TRUNC($J557*$R557,2)</f>
        <v>0</v>
      </c>
      <c r="V557" s="156">
        <f>TRUNC($K557*$Q557,2)</f>
        <v>0</v>
      </c>
      <c r="W557" s="156">
        <f>TRUNC(V557-U557,2)</f>
        <v>0</v>
      </c>
      <c r="X557" s="158">
        <f>$S557/ORCAMENTO_VALOR_TOTAL_ND</f>
        <v>0</v>
      </c>
      <c r="Y557" s="158">
        <f>$T557/ORCAMENTO_VALOR_TOTAL_DE</f>
        <v>0</v>
      </c>
      <c r="Z557" s="158" cm="1">
        <f t="array" ref="Z557">_xlfn.SWITCH($N557,"BDI 1",$O$6,"BDI 2",$O$7,"BDI 3",$O$8)</f>
        <v>0.20699999999999999</v>
      </c>
      <c r="AA557" s="158" cm="1">
        <f t="array" ref="AA557">_xlfn.SWITCH($N557,"BDI 1",$P$6,"BDI 2",$P$7,"BDI 3",$P$8)</f>
        <v>0.26739999999999997</v>
      </c>
      <c r="AB557" s="158">
        <f ca="1">IFERROR($S557/_xlfn.XLOOKUP($AE557,$B$16:$B$38,$S$16:$S$38),0)</f>
        <v>0</v>
      </c>
      <c r="AC557" s="158">
        <f ca="1">IFERROR($T557/_xlfn.XLOOKUP($AE557,$B$16:$B$38,$T$16:$T$38),0)</f>
        <v>0</v>
      </c>
      <c r="AD557" s="164"/>
      <c r="AE557" s="148">
        <f t="shared" si="1010"/>
        <v>0</v>
      </c>
      <c r="AF557" s="149"/>
      <c r="AG557" s="150"/>
      <c r="AH557" s="159" t="e">
        <f>S557/$S$494</f>
        <v>#DIV/0!</v>
      </c>
      <c r="AI557" s="209">
        <f>IF(K557=0,0,K557/F557)</f>
        <v>0</v>
      </c>
      <c r="AJ557" s="105"/>
      <c r="AK557" s="105"/>
      <c r="AM557" s="105"/>
      <c r="AN557" s="105"/>
      <c r="AO557" s="105"/>
      <c r="AP557" s="105"/>
      <c r="AQ557" s="105"/>
      <c r="AR557" s="105"/>
    </row>
    <row r="558" spans="1:44" s="49" customFormat="1" ht="40.15" hidden="1" customHeight="1">
      <c r="A558" s="10">
        <f t="shared" ca="1" si="949"/>
        <v>0</v>
      </c>
      <c r="B558" s="153"/>
      <c r="C558" s="154"/>
      <c r="D558" s="154"/>
      <c r="E558" s="161" t="s">
        <v>271</v>
      </c>
      <c r="F558" s="154"/>
      <c r="G558" s="154"/>
      <c r="H558" s="152"/>
      <c r="I558" s="152"/>
      <c r="J558" s="154"/>
      <c r="K558" s="154"/>
      <c r="L558" s="154"/>
      <c r="M558" s="154"/>
      <c r="N558" s="154"/>
      <c r="O558" s="154"/>
      <c r="P558" s="154"/>
      <c r="Q558" s="154"/>
      <c r="R558" s="154"/>
      <c r="S558" s="162"/>
      <c r="T558" s="162"/>
      <c r="U558" s="162"/>
      <c r="V558" s="162"/>
      <c r="W558" s="162"/>
      <c r="X558" s="163"/>
      <c r="Y558" s="163"/>
      <c r="Z558" s="163"/>
      <c r="AA558" s="163"/>
      <c r="AB558" s="163"/>
      <c r="AC558" s="163"/>
      <c r="AD558" s="164"/>
      <c r="AE558" s="148">
        <f>IF(SUM(S559:S560)&gt;0,IFERROR(TRUNC(A558,0),0),0)</f>
        <v>0</v>
      </c>
      <c r="AF558" s="149"/>
      <c r="AG558" s="150"/>
      <c r="AH558" s="159"/>
      <c r="AI558" s="160"/>
      <c r="AJ558" s="105"/>
      <c r="AK558" s="105"/>
      <c r="AM558" s="105"/>
      <c r="AN558" s="105"/>
      <c r="AO558" s="105"/>
      <c r="AP558" s="105"/>
      <c r="AQ558" s="105"/>
      <c r="AR558" s="105"/>
    </row>
    <row r="559" spans="1:44" s="49" customFormat="1" ht="40.15" hidden="1" customHeight="1">
      <c r="A559" s="152">
        <f t="shared" ref="A559:A570" ca="1" si="1011">IF(K559&gt;0,A558+0.01,A558)</f>
        <v>0</v>
      </c>
      <c r="B559" s="153">
        <v>102332</v>
      </c>
      <c r="C559" s="154" t="str">
        <f>TEXT(B559,"0")</f>
        <v>102332</v>
      </c>
      <c r="D559" s="154" t="s">
        <v>1416</v>
      </c>
      <c r="E559" s="155" t="s">
        <v>3547</v>
      </c>
      <c r="F559" s="154">
        <f>IF(Dados_DMT!$B$25&lt;30,Dados_DMT!$B$25,30)</f>
        <v>30</v>
      </c>
      <c r="G559" s="154" t="s">
        <v>3534</v>
      </c>
      <c r="H559" s="152">
        <v>1.79</v>
      </c>
      <c r="I559" s="152">
        <v>1.81</v>
      </c>
      <c r="J559" s="156"/>
      <c r="K559" s="156">
        <f>IF(B506="PA/0025",0,ROUND(Dre_Fecha_Vala!U79*F559,2))</f>
        <v>0</v>
      </c>
      <c r="L559" s="156">
        <f>IF($K559&gt;$J559,$K559-$J559,0)</f>
        <v>0</v>
      </c>
      <c r="M559" s="156">
        <f>IF($K559&lt;$J559,$J559-$K559,0)</f>
        <v>0</v>
      </c>
      <c r="N559" s="156" t="s">
        <v>83</v>
      </c>
      <c r="O559" s="157" cm="1">
        <f t="array" ref="O559">TRUNC($H559*(1+_xlfn.SWITCH($N559,"BDI 1",$O$6,"BDI 2",$O$7,"BDI 3",$O$8)),2)</f>
        <v>2.16</v>
      </c>
      <c r="P559" s="157" cm="1">
        <f t="array" ref="P559">TRUNC($I559*(1+_xlfn.SWITCH($N559,"BDI 1",$P$6,"BDI 2",$P$7,"BDI 3",$P$8)),2)</f>
        <v>2.29</v>
      </c>
      <c r="Q559" s="157">
        <v>0</v>
      </c>
      <c r="R559" s="157">
        <f>$Q559-($Q559*LICITACAO_DESCONTO)</f>
        <v>0</v>
      </c>
      <c r="S559" s="156">
        <f>TRUNC($K559*$O559,2)</f>
        <v>0</v>
      </c>
      <c r="T559" s="156">
        <f>TRUNC($K559*$P559,2)</f>
        <v>0</v>
      </c>
      <c r="U559" s="156">
        <f>TRUNC($J559*$R559,2)</f>
        <v>0</v>
      </c>
      <c r="V559" s="156">
        <f>TRUNC($K559*$Q559,2)</f>
        <v>0</v>
      </c>
      <c r="W559" s="156">
        <f>TRUNC(V559-U559,2)</f>
        <v>0</v>
      </c>
      <c r="X559" s="158">
        <f>$S559/ORCAMENTO_VALOR_TOTAL_ND</f>
        <v>0</v>
      </c>
      <c r="Y559" s="158">
        <f>$T559/ORCAMENTO_VALOR_TOTAL_DE</f>
        <v>0</v>
      </c>
      <c r="Z559" s="158" cm="1">
        <f t="array" ref="Z559">_xlfn.SWITCH($N559,"BDI 1",$O$6,"BDI 2",$O$7,"BDI 3",$O$8)</f>
        <v>0.20699999999999999</v>
      </c>
      <c r="AA559" s="158" cm="1">
        <f t="array" ref="AA559">_xlfn.SWITCH($N559,"BDI 1",$P$6,"BDI 2",$P$7,"BDI 3",$P$8)</f>
        <v>0.26739999999999997</v>
      </c>
      <c r="AB559" s="158">
        <f ca="1">IFERROR($S559/_xlfn.XLOOKUP($AE559,$B$16:$B$38,$S$16:$S$38),0)</f>
        <v>0</v>
      </c>
      <c r="AC559" s="158">
        <f ca="1">IFERROR($T559/_xlfn.XLOOKUP($AE559,$B$16:$B$38,$T$16:$T$38),0)</f>
        <v>0</v>
      </c>
      <c r="AD559" s="164"/>
      <c r="AE559" s="148">
        <f t="shared" ref="AE559:AE560" si="1012">IF(S559&gt;0,IFERROR(TRUNC(A559,0),0),0)</f>
        <v>0</v>
      </c>
      <c r="AF559" s="149"/>
      <c r="AG559" s="150"/>
      <c r="AH559" s="159" t="e">
        <f>S559/$S$494</f>
        <v>#DIV/0!</v>
      </c>
      <c r="AI559" s="209">
        <f>IF(K559=0,0,K559/F559)</f>
        <v>0</v>
      </c>
      <c r="AJ559" s="105"/>
      <c r="AK559" s="105"/>
      <c r="AM559" s="105"/>
      <c r="AN559" s="105"/>
      <c r="AO559" s="105"/>
      <c r="AP559" s="105"/>
      <c r="AQ559" s="105"/>
      <c r="AR559" s="105"/>
    </row>
    <row r="560" spans="1:44" s="49" customFormat="1" ht="40.15" hidden="1" customHeight="1">
      <c r="A560" s="152">
        <f t="shared" ca="1" si="1011"/>
        <v>0</v>
      </c>
      <c r="B560" s="153">
        <v>102333</v>
      </c>
      <c r="C560" s="154" t="str">
        <f>TEXT(B560,"0")</f>
        <v>102333</v>
      </c>
      <c r="D560" s="154" t="s">
        <v>1416</v>
      </c>
      <c r="E560" s="155" t="s">
        <v>3546</v>
      </c>
      <c r="F560" s="154">
        <f>+Dados_DMT!$B$25-F559</f>
        <v>80</v>
      </c>
      <c r="G560" s="154" t="s">
        <v>3534</v>
      </c>
      <c r="H560" s="152">
        <v>0.72</v>
      </c>
      <c r="I560" s="152">
        <v>0.73</v>
      </c>
      <c r="J560" s="156"/>
      <c r="K560" s="156">
        <f>IF(B506="PA/0025",0,ROUND(Dre_Fecha_Vala!U79*F560,2))</f>
        <v>0</v>
      </c>
      <c r="L560" s="156">
        <f>IF($K560&gt;$J560,$K560-$J560,0)</f>
        <v>0</v>
      </c>
      <c r="M560" s="156">
        <f>IF($K560&lt;$J560,$J560-$K560,0)</f>
        <v>0</v>
      </c>
      <c r="N560" s="156" t="s">
        <v>83</v>
      </c>
      <c r="O560" s="157" cm="1">
        <f t="array" ref="O560">TRUNC($H560*(1+_xlfn.SWITCH($N560,"BDI 1",$O$6,"BDI 2",$O$7,"BDI 3",$O$8)),2)</f>
        <v>0.86</v>
      </c>
      <c r="P560" s="157" cm="1">
        <f t="array" ref="P560">TRUNC($I560*(1+_xlfn.SWITCH($N560,"BDI 1",$P$6,"BDI 2",$P$7,"BDI 3",$P$8)),2)</f>
        <v>0.92</v>
      </c>
      <c r="Q560" s="157">
        <v>0</v>
      </c>
      <c r="R560" s="157">
        <f>$Q560-($Q560*LICITACAO_DESCONTO)</f>
        <v>0</v>
      </c>
      <c r="S560" s="156">
        <f>TRUNC($K560*$O560,2)</f>
        <v>0</v>
      </c>
      <c r="T560" s="156">
        <f>TRUNC($K560*$P560,2)</f>
        <v>0</v>
      </c>
      <c r="U560" s="156">
        <f>TRUNC($J560*$R560,2)</f>
        <v>0</v>
      </c>
      <c r="V560" s="156">
        <f>TRUNC($K560*$Q560,2)</f>
        <v>0</v>
      </c>
      <c r="W560" s="156">
        <f>TRUNC(V560-U560,2)</f>
        <v>0</v>
      </c>
      <c r="X560" s="158">
        <f>$S560/ORCAMENTO_VALOR_TOTAL_ND</f>
        <v>0</v>
      </c>
      <c r="Y560" s="158">
        <f>$T560/ORCAMENTO_VALOR_TOTAL_DE</f>
        <v>0</v>
      </c>
      <c r="Z560" s="158" cm="1">
        <f t="array" ref="Z560">_xlfn.SWITCH($N560,"BDI 1",$O$6,"BDI 2",$O$7,"BDI 3",$O$8)</f>
        <v>0.20699999999999999</v>
      </c>
      <c r="AA560" s="158" cm="1">
        <f t="array" ref="AA560">_xlfn.SWITCH($N560,"BDI 1",$P$6,"BDI 2",$P$7,"BDI 3",$P$8)</f>
        <v>0.26739999999999997</v>
      </c>
      <c r="AB560" s="158">
        <f ca="1">IFERROR($S560/_xlfn.XLOOKUP($AE560,$B$16:$B$38,$S$16:$S$38),0)</f>
        <v>0</v>
      </c>
      <c r="AC560" s="158">
        <f ca="1">IFERROR($T560/_xlfn.XLOOKUP($AE560,$B$16:$B$38,$T$16:$T$38),0)</f>
        <v>0</v>
      </c>
      <c r="AD560" s="164"/>
      <c r="AE560" s="148">
        <f t="shared" si="1012"/>
        <v>0</v>
      </c>
      <c r="AF560" s="149"/>
      <c r="AG560" s="150"/>
      <c r="AH560" s="159" t="e">
        <f>S560/$S$494</f>
        <v>#DIV/0!</v>
      </c>
      <c r="AI560" s="209">
        <f>IF(K560=0,0,K560/F560)</f>
        <v>0</v>
      </c>
      <c r="AJ560" s="105"/>
      <c r="AK560" s="105"/>
      <c r="AM560" s="105"/>
      <c r="AN560" s="105"/>
      <c r="AO560" s="105"/>
      <c r="AP560" s="105"/>
      <c r="AQ560" s="105"/>
      <c r="AR560" s="105"/>
    </row>
    <row r="561" spans="1:44" s="49" customFormat="1" ht="40.15" hidden="1" customHeight="1">
      <c r="A561" s="10">
        <f t="shared" ca="1" si="1011"/>
        <v>0</v>
      </c>
      <c r="B561" s="153"/>
      <c r="C561" s="154"/>
      <c r="D561" s="154"/>
      <c r="E561" s="161" t="s">
        <v>272</v>
      </c>
      <c r="F561" s="154"/>
      <c r="G561" s="154"/>
      <c r="H561" s="152"/>
      <c r="I561" s="152"/>
      <c r="J561" s="154"/>
      <c r="K561" s="154"/>
      <c r="L561" s="154"/>
      <c r="M561" s="154"/>
      <c r="N561" s="154"/>
      <c r="O561" s="154"/>
      <c r="P561" s="154"/>
      <c r="Q561" s="154"/>
      <c r="R561" s="154"/>
      <c r="S561" s="162"/>
      <c r="T561" s="162"/>
      <c r="U561" s="162"/>
      <c r="V561" s="162"/>
      <c r="W561" s="162"/>
      <c r="X561" s="163"/>
      <c r="Y561" s="163"/>
      <c r="Z561" s="163"/>
      <c r="AA561" s="163"/>
      <c r="AB561" s="163"/>
      <c r="AC561" s="163"/>
      <c r="AD561" s="164"/>
      <c r="AE561" s="148">
        <f>IF(SUM(S562:S563)&gt;0,IFERROR(TRUNC(A561,0),0),0)</f>
        <v>0</v>
      </c>
      <c r="AF561" s="149"/>
      <c r="AG561" s="150"/>
      <c r="AH561" s="159"/>
      <c r="AI561" s="160"/>
      <c r="AJ561" s="105"/>
      <c r="AK561" s="105"/>
      <c r="AM561" s="105"/>
      <c r="AN561" s="105"/>
      <c r="AO561" s="105"/>
      <c r="AP561" s="105"/>
      <c r="AQ561" s="105"/>
      <c r="AR561" s="105"/>
    </row>
    <row r="562" spans="1:44" s="49" customFormat="1" ht="40.15" hidden="1" customHeight="1">
      <c r="A562" s="152">
        <f t="shared" ca="1" si="1011"/>
        <v>0</v>
      </c>
      <c r="B562" s="153">
        <v>102332</v>
      </c>
      <c r="C562" s="154" t="str">
        <f>TEXT(B562,"0")</f>
        <v>102332</v>
      </c>
      <c r="D562" s="154" t="s">
        <v>1416</v>
      </c>
      <c r="E562" s="155" t="s">
        <v>3547</v>
      </c>
      <c r="F562" s="154">
        <f>IF(Dados_DMT!$B$25&lt;30,Dados_DMT!$B$25,30)</f>
        <v>30</v>
      </c>
      <c r="G562" s="154" t="s">
        <v>3534</v>
      </c>
      <c r="H562" s="152">
        <v>1.79</v>
      </c>
      <c r="I562" s="152">
        <v>1.81</v>
      </c>
      <c r="J562" s="156"/>
      <c r="K562" s="156">
        <f>IF(B506="PA/0025",ROUND(Dre_Fecha_Vala!U79*F562,2),0)+ROUND(Dre_Fecha_Vala!U80*F562,2)</f>
        <v>0</v>
      </c>
      <c r="L562" s="156">
        <f>IF($K562&gt;$J562,$K562-$J562,0)</f>
        <v>0</v>
      </c>
      <c r="M562" s="156">
        <f>IF($K562&lt;$J562,$J562-$K562,0)</f>
        <v>0</v>
      </c>
      <c r="N562" s="156" t="s">
        <v>83</v>
      </c>
      <c r="O562" s="157" cm="1">
        <f t="array" ref="O562">TRUNC($H562*(1+_xlfn.SWITCH($N562,"BDI 1",$O$6,"BDI 2",$O$7,"BDI 3",$O$8)),2)</f>
        <v>2.16</v>
      </c>
      <c r="P562" s="157" cm="1">
        <f t="array" ref="P562">TRUNC($I562*(1+_xlfn.SWITCH($N562,"BDI 1",$P$6,"BDI 2",$P$7,"BDI 3",$P$8)),2)</f>
        <v>2.29</v>
      </c>
      <c r="Q562" s="157">
        <v>0</v>
      </c>
      <c r="R562" s="157">
        <f>$Q562-($Q562*LICITACAO_DESCONTO)</f>
        <v>0</v>
      </c>
      <c r="S562" s="156">
        <f>TRUNC($K562*$O562,2)</f>
        <v>0</v>
      </c>
      <c r="T562" s="156">
        <f>TRUNC($K562*$P562,2)</f>
        <v>0</v>
      </c>
      <c r="U562" s="156">
        <f>TRUNC($J562*$R562,2)</f>
        <v>0</v>
      </c>
      <c r="V562" s="156">
        <f>TRUNC($K562*$Q562,2)</f>
        <v>0</v>
      </c>
      <c r="W562" s="156">
        <f>TRUNC(V562-U562,2)</f>
        <v>0</v>
      </c>
      <c r="X562" s="158">
        <f>$S562/ORCAMENTO_VALOR_TOTAL_ND</f>
        <v>0</v>
      </c>
      <c r="Y562" s="158">
        <f>$T562/ORCAMENTO_VALOR_TOTAL_DE</f>
        <v>0</v>
      </c>
      <c r="Z562" s="158" cm="1">
        <f t="array" ref="Z562">_xlfn.SWITCH($N562,"BDI 1",$O$6,"BDI 2",$O$7,"BDI 3",$O$8)</f>
        <v>0.20699999999999999</v>
      </c>
      <c r="AA562" s="158" cm="1">
        <f t="array" ref="AA562">_xlfn.SWITCH($N562,"BDI 1",$P$6,"BDI 2",$P$7,"BDI 3",$P$8)</f>
        <v>0.26739999999999997</v>
      </c>
      <c r="AB562" s="158">
        <f ca="1">IFERROR($S562/_xlfn.XLOOKUP($AE562,$B$16:$B$38,$S$16:$S$38),0)</f>
        <v>0</v>
      </c>
      <c r="AC562" s="158">
        <f ca="1">IFERROR($T562/_xlfn.XLOOKUP($AE562,$B$16:$B$38,$T$16:$T$38),0)</f>
        <v>0</v>
      </c>
      <c r="AD562" s="164"/>
      <c r="AE562" s="148">
        <f t="shared" ref="AE562:AE563" si="1013">IF(S562&gt;0,IFERROR(TRUNC(A562,0),0),0)</f>
        <v>0</v>
      </c>
      <c r="AF562" s="149"/>
      <c r="AG562" s="150"/>
      <c r="AH562" s="159" t="e">
        <f>S562/$S$494</f>
        <v>#DIV/0!</v>
      </c>
      <c r="AI562" s="209">
        <f>IF(K562=0,0,K562/F562)</f>
        <v>0</v>
      </c>
      <c r="AJ562" s="105"/>
      <c r="AK562" s="105"/>
      <c r="AM562" s="105"/>
      <c r="AN562" s="105"/>
      <c r="AO562" s="105"/>
      <c r="AP562" s="105"/>
      <c r="AQ562" s="105"/>
      <c r="AR562" s="105"/>
    </row>
    <row r="563" spans="1:44" s="49" customFormat="1" ht="40.15" hidden="1" customHeight="1">
      <c r="A563" s="152">
        <f t="shared" ca="1" si="1011"/>
        <v>0</v>
      </c>
      <c r="B563" s="153">
        <v>102333</v>
      </c>
      <c r="C563" s="154" t="str">
        <f>TEXT(B563,"0")</f>
        <v>102333</v>
      </c>
      <c r="D563" s="154" t="s">
        <v>1416</v>
      </c>
      <c r="E563" s="155" t="s">
        <v>3546</v>
      </c>
      <c r="F563" s="154">
        <f>+Dados_DMT!$B$25-F562</f>
        <v>80</v>
      </c>
      <c r="G563" s="154" t="s">
        <v>3534</v>
      </c>
      <c r="H563" s="152">
        <v>0.72</v>
      </c>
      <c r="I563" s="152">
        <v>0.73</v>
      </c>
      <c r="J563" s="156"/>
      <c r="K563" s="156">
        <f>IF(B506="PA/0025",ROUND(Dre_Fecha_Vala!U79*F563,2),0)+ROUND(Dre_Fecha_Vala!U80*F563,2)</f>
        <v>0</v>
      </c>
      <c r="L563" s="156">
        <f>IF($K563&gt;$J563,$K563-$J563,0)</f>
        <v>0</v>
      </c>
      <c r="M563" s="156">
        <f>IF($K563&lt;$J563,$J563-$K563,0)</f>
        <v>0</v>
      </c>
      <c r="N563" s="156" t="s">
        <v>83</v>
      </c>
      <c r="O563" s="157" cm="1">
        <f t="array" ref="O563">TRUNC($H563*(1+_xlfn.SWITCH($N563,"BDI 1",$O$6,"BDI 2",$O$7,"BDI 3",$O$8)),2)</f>
        <v>0.86</v>
      </c>
      <c r="P563" s="157" cm="1">
        <f t="array" ref="P563">TRUNC($I563*(1+_xlfn.SWITCH($N563,"BDI 1",$P$6,"BDI 2",$P$7,"BDI 3",$P$8)),2)</f>
        <v>0.92</v>
      </c>
      <c r="Q563" s="157">
        <v>0</v>
      </c>
      <c r="R563" s="157">
        <f>$Q563-($Q563*LICITACAO_DESCONTO)</f>
        <v>0</v>
      </c>
      <c r="S563" s="156">
        <f>TRUNC($K563*$O563,2)</f>
        <v>0</v>
      </c>
      <c r="T563" s="156">
        <f>TRUNC($K563*$P563,2)</f>
        <v>0</v>
      </c>
      <c r="U563" s="156">
        <f>TRUNC($J563*$R563,2)</f>
        <v>0</v>
      </c>
      <c r="V563" s="156">
        <f>TRUNC($K563*$Q563,2)</f>
        <v>0</v>
      </c>
      <c r="W563" s="156">
        <f>TRUNC(V563-U563,2)</f>
        <v>0</v>
      </c>
      <c r="X563" s="158">
        <f>$S563/ORCAMENTO_VALOR_TOTAL_ND</f>
        <v>0</v>
      </c>
      <c r="Y563" s="158">
        <f>$T563/ORCAMENTO_VALOR_TOTAL_DE</f>
        <v>0</v>
      </c>
      <c r="Z563" s="158" cm="1">
        <f t="array" ref="Z563">_xlfn.SWITCH($N563,"BDI 1",$O$6,"BDI 2",$O$7,"BDI 3",$O$8)</f>
        <v>0.20699999999999999</v>
      </c>
      <c r="AA563" s="158" cm="1">
        <f t="array" ref="AA563">_xlfn.SWITCH($N563,"BDI 1",$P$6,"BDI 2",$P$7,"BDI 3",$P$8)</f>
        <v>0.26739999999999997</v>
      </c>
      <c r="AB563" s="158">
        <f ca="1">IFERROR($S563/_xlfn.XLOOKUP($AE563,$B$16:$B$38,$S$16:$S$38),0)</f>
        <v>0</v>
      </c>
      <c r="AC563" s="158">
        <f ca="1">IFERROR($T563/_xlfn.XLOOKUP($AE563,$B$16:$B$38,$T$16:$T$38),0)</f>
        <v>0</v>
      </c>
      <c r="AD563" s="164"/>
      <c r="AE563" s="148">
        <f t="shared" si="1013"/>
        <v>0</v>
      </c>
      <c r="AF563" s="149"/>
      <c r="AG563" s="150"/>
      <c r="AH563" s="159" t="e">
        <f>S563/$S$494</f>
        <v>#DIV/0!</v>
      </c>
      <c r="AI563" s="209">
        <f>IF(K563=0,0,K563/F563)</f>
        <v>0</v>
      </c>
      <c r="AJ563" s="105"/>
      <c r="AK563" s="105"/>
      <c r="AM563" s="105"/>
      <c r="AN563" s="105"/>
      <c r="AO563" s="105"/>
      <c r="AP563" s="105"/>
      <c r="AQ563" s="105"/>
      <c r="AR563" s="105"/>
    </row>
    <row r="564" spans="1:44" s="49" customFormat="1" ht="40.15" hidden="1" customHeight="1">
      <c r="A564" s="10">
        <f t="shared" ca="1" si="1011"/>
        <v>0</v>
      </c>
      <c r="B564" s="153"/>
      <c r="C564" s="154"/>
      <c r="D564" s="154"/>
      <c r="E564" s="161" t="s">
        <v>273</v>
      </c>
      <c r="F564" s="154"/>
      <c r="G564" s="154"/>
      <c r="H564" s="152"/>
      <c r="I564" s="152"/>
      <c r="J564" s="154"/>
      <c r="K564" s="154"/>
      <c r="L564" s="154"/>
      <c r="M564" s="154"/>
      <c r="N564" s="154"/>
      <c r="O564" s="154"/>
      <c r="P564" s="154"/>
      <c r="Q564" s="154"/>
      <c r="R564" s="154"/>
      <c r="S564" s="162"/>
      <c r="T564" s="162"/>
      <c r="U564" s="162"/>
      <c r="V564" s="162"/>
      <c r="W564" s="162"/>
      <c r="X564" s="163"/>
      <c r="Y564" s="163"/>
      <c r="Z564" s="163"/>
      <c r="AA564" s="163"/>
      <c r="AB564" s="163"/>
      <c r="AC564" s="163"/>
      <c r="AD564" s="164"/>
      <c r="AE564" s="148">
        <f>IF(SUM(S565:S566)&gt;0,IFERROR(TRUNC(A564,0),0),0)</f>
        <v>0</v>
      </c>
      <c r="AF564" s="149"/>
      <c r="AG564" s="150"/>
      <c r="AH564" s="159"/>
      <c r="AI564" s="160"/>
      <c r="AJ564" s="105"/>
      <c r="AK564" s="105"/>
      <c r="AM564" s="105"/>
      <c r="AN564" s="105"/>
      <c r="AO564" s="105"/>
      <c r="AP564" s="105"/>
      <c r="AQ564" s="105"/>
      <c r="AR564" s="105"/>
    </row>
    <row r="565" spans="1:44" s="49" customFormat="1" ht="40.15" hidden="1" customHeight="1">
      <c r="A565" s="152">
        <f t="shared" ca="1" si="1011"/>
        <v>0</v>
      </c>
      <c r="B565" s="153">
        <v>102332</v>
      </c>
      <c r="C565" s="154" t="str">
        <f>TEXT(B565,"0")</f>
        <v>102332</v>
      </c>
      <c r="D565" s="154" t="s">
        <v>1416</v>
      </c>
      <c r="E565" s="155" t="s">
        <v>3547</v>
      </c>
      <c r="F565" s="154">
        <f>IF(Dados_DMT!$B$26&lt;30,Dados_DMT!$B$26,30)</f>
        <v>0</v>
      </c>
      <c r="G565" s="154" t="s">
        <v>3534</v>
      </c>
      <c r="H565" s="152">
        <v>1.79</v>
      </c>
      <c r="I565" s="152">
        <v>1.81</v>
      </c>
      <c r="J565" s="156"/>
      <c r="K565" s="156">
        <f>ROUND(Dre_Fecha_Vala!U81*F565,2)</f>
        <v>0</v>
      </c>
      <c r="L565" s="156">
        <f>IF($K565&gt;$J565,$K565-$J565,0)</f>
        <v>0</v>
      </c>
      <c r="M565" s="156">
        <f>IF($K565&lt;$J565,$J565-$K565,0)</f>
        <v>0</v>
      </c>
      <c r="N565" s="156" t="s">
        <v>83</v>
      </c>
      <c r="O565" s="157" cm="1">
        <f t="array" ref="O565">TRUNC($H565*(1+_xlfn.SWITCH($N565,"BDI 1",$O$6,"BDI 2",$O$7,"BDI 3",$O$8)),2)</f>
        <v>2.16</v>
      </c>
      <c r="P565" s="157" cm="1">
        <f t="array" ref="P565">TRUNC($I565*(1+_xlfn.SWITCH($N565,"BDI 1",$P$6,"BDI 2",$P$7,"BDI 3",$P$8)),2)</f>
        <v>2.29</v>
      </c>
      <c r="Q565" s="157">
        <v>0</v>
      </c>
      <c r="R565" s="157">
        <f>$Q565-($Q565*LICITACAO_DESCONTO)</f>
        <v>0</v>
      </c>
      <c r="S565" s="156">
        <f>TRUNC($K565*$O565,2)</f>
        <v>0</v>
      </c>
      <c r="T565" s="156">
        <f>TRUNC($K565*$P565,2)</f>
        <v>0</v>
      </c>
      <c r="U565" s="156">
        <f>TRUNC($J565*$R565,2)</f>
        <v>0</v>
      </c>
      <c r="V565" s="156">
        <f>TRUNC($K565*$Q565,2)</f>
        <v>0</v>
      </c>
      <c r="W565" s="156">
        <f>TRUNC(V565-U565,2)</f>
        <v>0</v>
      </c>
      <c r="X565" s="158">
        <f>$S565/ORCAMENTO_VALOR_TOTAL_ND</f>
        <v>0</v>
      </c>
      <c r="Y565" s="158">
        <f>$T565/ORCAMENTO_VALOR_TOTAL_DE</f>
        <v>0</v>
      </c>
      <c r="Z565" s="158" cm="1">
        <f t="array" ref="Z565">_xlfn.SWITCH($N565,"BDI 1",$O$6,"BDI 2",$O$7,"BDI 3",$O$8)</f>
        <v>0.20699999999999999</v>
      </c>
      <c r="AA565" s="158" cm="1">
        <f t="array" ref="AA565">_xlfn.SWITCH($N565,"BDI 1",$P$6,"BDI 2",$P$7,"BDI 3",$P$8)</f>
        <v>0.26739999999999997</v>
      </c>
      <c r="AB565" s="158">
        <f ca="1">IFERROR($S565/_xlfn.XLOOKUP($AE565,$B$16:$B$38,$S$16:$S$38),0)</f>
        <v>0</v>
      </c>
      <c r="AC565" s="158">
        <f ca="1">IFERROR($T565/_xlfn.XLOOKUP($AE565,$B$16:$B$38,$T$16:$T$38),0)</f>
        <v>0</v>
      </c>
      <c r="AD565" s="164"/>
      <c r="AE565" s="148">
        <f t="shared" ref="AE565:AE566" si="1014">IF(S565&gt;0,IFERROR(TRUNC(A565,0),0),0)</f>
        <v>0</v>
      </c>
      <c r="AF565" s="149"/>
      <c r="AG565" s="150"/>
      <c r="AH565" s="159" t="e">
        <f>S565/$S$494</f>
        <v>#DIV/0!</v>
      </c>
      <c r="AI565" s="209">
        <f>IF(K565=0,0,K565/F565)</f>
        <v>0</v>
      </c>
      <c r="AJ565" s="105"/>
      <c r="AK565" s="105"/>
      <c r="AM565" s="105"/>
      <c r="AN565" s="105"/>
      <c r="AO565" s="105"/>
      <c r="AP565" s="105"/>
      <c r="AQ565" s="105"/>
      <c r="AR565" s="105"/>
    </row>
    <row r="566" spans="1:44" s="49" customFormat="1" ht="40.15" hidden="1" customHeight="1">
      <c r="A566" s="152">
        <f t="shared" ca="1" si="1011"/>
        <v>0</v>
      </c>
      <c r="B566" s="153">
        <v>102333</v>
      </c>
      <c r="C566" s="154" t="str">
        <f>TEXT(B566,"0")</f>
        <v>102333</v>
      </c>
      <c r="D566" s="154" t="s">
        <v>1416</v>
      </c>
      <c r="E566" s="155" t="s">
        <v>3546</v>
      </c>
      <c r="F566" s="154">
        <f>+Dados_DMT!$B$26-F565</f>
        <v>0</v>
      </c>
      <c r="G566" s="154" t="s">
        <v>3534</v>
      </c>
      <c r="H566" s="152">
        <v>0.72</v>
      </c>
      <c r="I566" s="152">
        <v>0.73</v>
      </c>
      <c r="J566" s="156"/>
      <c r="K566" s="156">
        <f>ROUND(Dre_Fecha_Vala!U81*F566,2)</f>
        <v>0</v>
      </c>
      <c r="L566" s="156">
        <f>IF($K566&gt;$J566,$K566-$J566,0)</f>
        <v>0</v>
      </c>
      <c r="M566" s="156">
        <f>IF($K566&lt;$J566,$J566-$K566,0)</f>
        <v>0</v>
      </c>
      <c r="N566" s="156" t="s">
        <v>83</v>
      </c>
      <c r="O566" s="157" cm="1">
        <f t="array" ref="O566">TRUNC($H566*(1+_xlfn.SWITCH($N566,"BDI 1",$O$6,"BDI 2",$O$7,"BDI 3",$O$8)),2)</f>
        <v>0.86</v>
      </c>
      <c r="P566" s="157" cm="1">
        <f t="array" ref="P566">TRUNC($I566*(1+_xlfn.SWITCH($N566,"BDI 1",$P$6,"BDI 2",$P$7,"BDI 3",$P$8)),2)</f>
        <v>0.92</v>
      </c>
      <c r="Q566" s="157">
        <v>0</v>
      </c>
      <c r="R566" s="157">
        <f>$Q566-($Q566*LICITACAO_DESCONTO)</f>
        <v>0</v>
      </c>
      <c r="S566" s="156">
        <f>TRUNC($K566*$O566,2)</f>
        <v>0</v>
      </c>
      <c r="T566" s="156">
        <f>TRUNC($K566*$P566,2)</f>
        <v>0</v>
      </c>
      <c r="U566" s="156">
        <f>TRUNC($J566*$R566,2)</f>
        <v>0</v>
      </c>
      <c r="V566" s="156">
        <f>TRUNC($K566*$Q566,2)</f>
        <v>0</v>
      </c>
      <c r="W566" s="156">
        <f>TRUNC(V566-U566,2)</f>
        <v>0</v>
      </c>
      <c r="X566" s="158">
        <f>$S566/ORCAMENTO_VALOR_TOTAL_ND</f>
        <v>0</v>
      </c>
      <c r="Y566" s="158">
        <f>$T566/ORCAMENTO_VALOR_TOTAL_DE</f>
        <v>0</v>
      </c>
      <c r="Z566" s="158" cm="1">
        <f t="array" ref="Z566">_xlfn.SWITCH($N566,"BDI 1",$O$6,"BDI 2",$O$7,"BDI 3",$O$8)</f>
        <v>0.20699999999999999</v>
      </c>
      <c r="AA566" s="158" cm="1">
        <f t="array" ref="AA566">_xlfn.SWITCH($N566,"BDI 1",$P$6,"BDI 2",$P$7,"BDI 3",$P$8)</f>
        <v>0.26739999999999997</v>
      </c>
      <c r="AB566" s="158">
        <f ca="1">IFERROR($S566/_xlfn.XLOOKUP($AE566,$B$16:$B$38,$S$16:$S$38),0)</f>
        <v>0</v>
      </c>
      <c r="AC566" s="158">
        <f ca="1">IFERROR($T566/_xlfn.XLOOKUP($AE566,$B$16:$B$38,$T$16:$T$38),0)</f>
        <v>0</v>
      </c>
      <c r="AD566" s="164"/>
      <c r="AE566" s="148">
        <f t="shared" si="1014"/>
        <v>0</v>
      </c>
      <c r="AF566" s="149"/>
      <c r="AG566" s="150"/>
      <c r="AH566" s="159" t="e">
        <f>S566/$S$494</f>
        <v>#DIV/0!</v>
      </c>
      <c r="AI566" s="209">
        <f>IF(K566=0,0,K566/F566)</f>
        <v>0</v>
      </c>
      <c r="AJ566" s="105"/>
      <c r="AK566" s="105"/>
      <c r="AM566" s="105"/>
      <c r="AN566" s="105"/>
      <c r="AO566" s="105"/>
      <c r="AP566" s="105"/>
      <c r="AQ566" s="105"/>
      <c r="AR566" s="105"/>
    </row>
    <row r="567" spans="1:44" s="49" customFormat="1" ht="40.15" hidden="1" customHeight="1">
      <c r="A567" s="10">
        <f t="shared" ca="1" si="1011"/>
        <v>0</v>
      </c>
      <c r="B567" s="153"/>
      <c r="C567" s="154"/>
      <c r="D567" s="154"/>
      <c r="E567" s="161" t="s">
        <v>274</v>
      </c>
      <c r="F567" s="154"/>
      <c r="G567" s="154"/>
      <c r="H567" s="152"/>
      <c r="I567" s="152"/>
      <c r="J567" s="154"/>
      <c r="K567" s="154"/>
      <c r="L567" s="154"/>
      <c r="M567" s="154"/>
      <c r="N567" s="154"/>
      <c r="O567" s="154"/>
      <c r="P567" s="154"/>
      <c r="Q567" s="154"/>
      <c r="R567" s="154"/>
      <c r="S567" s="162"/>
      <c r="T567" s="162"/>
      <c r="U567" s="162"/>
      <c r="V567" s="162"/>
      <c r="W567" s="162"/>
      <c r="X567" s="163"/>
      <c r="Y567" s="163"/>
      <c r="Z567" s="163"/>
      <c r="AA567" s="163"/>
      <c r="AB567" s="163"/>
      <c r="AC567" s="163"/>
      <c r="AD567" s="164"/>
      <c r="AE567" s="148">
        <f>IF(SUM(S568:S569)&gt;0,IFERROR(TRUNC(A567,0),0),0)</f>
        <v>0</v>
      </c>
      <c r="AF567" s="149"/>
      <c r="AG567" s="150"/>
      <c r="AH567" s="159"/>
      <c r="AI567" s="160"/>
      <c r="AJ567" s="105"/>
      <c r="AK567" s="105"/>
      <c r="AM567" s="105"/>
      <c r="AN567" s="105"/>
      <c r="AO567" s="105"/>
      <c r="AP567" s="105"/>
      <c r="AQ567" s="105"/>
      <c r="AR567" s="105"/>
    </row>
    <row r="568" spans="1:44" s="49" customFormat="1" ht="40.15" hidden="1" customHeight="1">
      <c r="A568" s="152">
        <f t="shared" ca="1" si="1011"/>
        <v>0</v>
      </c>
      <c r="B568" s="153">
        <v>102332</v>
      </c>
      <c r="C568" s="154" t="str">
        <f>TEXT(B568,"0")</f>
        <v>102332</v>
      </c>
      <c r="D568" s="154" t="s">
        <v>1416</v>
      </c>
      <c r="E568" s="155" t="s">
        <v>3547</v>
      </c>
      <c r="F568" s="154">
        <f>IF(Dados_DMT!$B$27&lt;30,Dados_DMT!$B$27,30)</f>
        <v>0</v>
      </c>
      <c r="G568" s="154" t="s">
        <v>3534</v>
      </c>
      <c r="H568" s="152">
        <v>1.79</v>
      </c>
      <c r="I568" s="152">
        <v>1.81</v>
      </c>
      <c r="J568" s="156"/>
      <c r="K568" s="156">
        <f>ROUND(Dre_Fecha_Vala!U78*F568,2)</f>
        <v>0</v>
      </c>
      <c r="L568" s="156">
        <f>IF($K568&gt;$J568,$K568-$J568,0)</f>
        <v>0</v>
      </c>
      <c r="M568" s="156">
        <f>IF($K568&lt;$J568,$J568-$K568,0)</f>
        <v>0</v>
      </c>
      <c r="N568" s="156" t="s">
        <v>83</v>
      </c>
      <c r="O568" s="157" cm="1">
        <f t="array" ref="O568">TRUNC($H568*(1+_xlfn.SWITCH($N568,"BDI 1",$O$6,"BDI 2",$O$7,"BDI 3",$O$8)),2)</f>
        <v>2.16</v>
      </c>
      <c r="P568" s="157" cm="1">
        <f t="array" ref="P568">TRUNC($I568*(1+_xlfn.SWITCH($N568,"BDI 1",$P$6,"BDI 2",$P$7,"BDI 3",$P$8)),2)</f>
        <v>2.29</v>
      </c>
      <c r="Q568" s="157">
        <v>0</v>
      </c>
      <c r="R568" s="157">
        <f>$Q568-($Q568*LICITACAO_DESCONTO)</f>
        <v>0</v>
      </c>
      <c r="S568" s="156">
        <f>TRUNC($K568*$O568,2)</f>
        <v>0</v>
      </c>
      <c r="T568" s="156">
        <f>TRUNC($K568*$P568,2)</f>
        <v>0</v>
      </c>
      <c r="U568" s="156">
        <f>TRUNC($J568*$R568,2)</f>
        <v>0</v>
      </c>
      <c r="V568" s="156">
        <f>TRUNC($K568*$Q568,2)</f>
        <v>0</v>
      </c>
      <c r="W568" s="156">
        <f>TRUNC(V568-U568,2)</f>
        <v>0</v>
      </c>
      <c r="X568" s="158">
        <f>$S568/ORCAMENTO_VALOR_TOTAL_ND</f>
        <v>0</v>
      </c>
      <c r="Y568" s="158">
        <f>$T568/ORCAMENTO_VALOR_TOTAL_DE</f>
        <v>0</v>
      </c>
      <c r="Z568" s="158" cm="1">
        <f t="array" ref="Z568">_xlfn.SWITCH($N568,"BDI 1",$O$6,"BDI 2",$O$7,"BDI 3",$O$8)</f>
        <v>0.20699999999999999</v>
      </c>
      <c r="AA568" s="158" cm="1">
        <f t="array" ref="AA568">_xlfn.SWITCH($N568,"BDI 1",$P$6,"BDI 2",$P$7,"BDI 3",$P$8)</f>
        <v>0.26739999999999997</v>
      </c>
      <c r="AB568" s="158">
        <f ca="1">IFERROR($S568/_xlfn.XLOOKUP($AE568,$B$16:$B$38,$S$16:$S$38),0)</f>
        <v>0</v>
      </c>
      <c r="AC568" s="158">
        <f ca="1">IFERROR($T568/_xlfn.XLOOKUP($AE568,$B$16:$B$38,$T$16:$T$38),0)</f>
        <v>0</v>
      </c>
      <c r="AD568" s="164"/>
      <c r="AE568" s="148">
        <f t="shared" ref="AE568:AE569" si="1015">IF(S568&gt;0,IFERROR(TRUNC(A568,0),0),0)</f>
        <v>0</v>
      </c>
      <c r="AF568" s="149"/>
      <c r="AG568" s="150"/>
      <c r="AH568" s="159" t="e">
        <f>S568/$S$494</f>
        <v>#DIV/0!</v>
      </c>
      <c r="AI568" s="209">
        <f>IF(K568=0,0,K568/F568)</f>
        <v>0</v>
      </c>
      <c r="AJ568" s="105"/>
      <c r="AK568" s="105"/>
      <c r="AM568" s="105"/>
      <c r="AN568" s="105"/>
      <c r="AO568" s="105"/>
      <c r="AP568" s="105"/>
      <c r="AQ568" s="105"/>
      <c r="AR568" s="105"/>
    </row>
    <row r="569" spans="1:44" s="49" customFormat="1" ht="40.15" hidden="1" customHeight="1">
      <c r="A569" s="152">
        <f t="shared" ca="1" si="1011"/>
        <v>0</v>
      </c>
      <c r="B569" s="153">
        <v>102333</v>
      </c>
      <c r="C569" s="154" t="str">
        <f>TEXT(B569,"0")</f>
        <v>102333</v>
      </c>
      <c r="D569" s="154" t="s">
        <v>1416</v>
      </c>
      <c r="E569" s="155" t="s">
        <v>3546</v>
      </c>
      <c r="F569" s="154">
        <f>+Dados_DMT!$B$27-F568</f>
        <v>0</v>
      </c>
      <c r="G569" s="154" t="s">
        <v>3534</v>
      </c>
      <c r="H569" s="152">
        <v>0.72</v>
      </c>
      <c r="I569" s="152">
        <v>0.73</v>
      </c>
      <c r="J569" s="156"/>
      <c r="K569" s="156">
        <f>ROUND(Dre_Fecha_Vala!U78*F569,2)</f>
        <v>0</v>
      </c>
      <c r="L569" s="156">
        <f>IF($K569&gt;$J569,$K569-$J569,0)</f>
        <v>0</v>
      </c>
      <c r="M569" s="156">
        <f>IF($K569&lt;$J569,$J569-$K569,0)</f>
        <v>0</v>
      </c>
      <c r="N569" s="156" t="s">
        <v>83</v>
      </c>
      <c r="O569" s="157" cm="1">
        <f t="array" ref="O569">TRUNC($H569*(1+_xlfn.SWITCH($N569,"BDI 1",$O$6,"BDI 2",$O$7,"BDI 3",$O$8)),2)</f>
        <v>0.86</v>
      </c>
      <c r="P569" s="157" cm="1">
        <f t="array" ref="P569">TRUNC($I569*(1+_xlfn.SWITCH($N569,"BDI 1",$P$6,"BDI 2",$P$7,"BDI 3",$P$8)),2)</f>
        <v>0.92</v>
      </c>
      <c r="Q569" s="157">
        <v>0</v>
      </c>
      <c r="R569" s="157">
        <f>$Q569-($Q569*LICITACAO_DESCONTO)</f>
        <v>0</v>
      </c>
      <c r="S569" s="156">
        <f>TRUNC($K569*$O569,2)</f>
        <v>0</v>
      </c>
      <c r="T569" s="156">
        <f>TRUNC($K569*$P569,2)</f>
        <v>0</v>
      </c>
      <c r="U569" s="156">
        <f>TRUNC($J569*$R569,2)</f>
        <v>0</v>
      </c>
      <c r="V569" s="156">
        <f>TRUNC($K569*$Q569,2)</f>
        <v>0</v>
      </c>
      <c r="W569" s="156">
        <f>TRUNC(V569-U569,2)</f>
        <v>0</v>
      </c>
      <c r="X569" s="158">
        <f>$S569/ORCAMENTO_VALOR_TOTAL_ND</f>
        <v>0</v>
      </c>
      <c r="Y569" s="158">
        <f>$T569/ORCAMENTO_VALOR_TOTAL_DE</f>
        <v>0</v>
      </c>
      <c r="Z569" s="158" cm="1">
        <f t="array" ref="Z569">_xlfn.SWITCH($N569,"BDI 1",$O$6,"BDI 2",$O$7,"BDI 3",$O$8)</f>
        <v>0.20699999999999999</v>
      </c>
      <c r="AA569" s="158" cm="1">
        <f t="array" ref="AA569">_xlfn.SWITCH($N569,"BDI 1",$P$6,"BDI 2",$P$7,"BDI 3",$P$8)</f>
        <v>0.26739999999999997</v>
      </c>
      <c r="AB569" s="158">
        <f ca="1">IFERROR($S569/_xlfn.XLOOKUP($AE569,$B$16:$B$38,$S$16:$S$38),0)</f>
        <v>0</v>
      </c>
      <c r="AC569" s="158">
        <f ca="1">IFERROR($T569/_xlfn.XLOOKUP($AE569,$B$16:$B$38,$T$16:$T$38),0)</f>
        <v>0</v>
      </c>
      <c r="AD569" s="164"/>
      <c r="AE569" s="148">
        <f t="shared" si="1015"/>
        <v>0</v>
      </c>
      <c r="AF569" s="149"/>
      <c r="AG569" s="150"/>
      <c r="AH569" s="159" t="e">
        <f>S569/$S$494</f>
        <v>#DIV/0!</v>
      </c>
      <c r="AI569" s="209">
        <f>IF(K569=0,0,K569/F569)</f>
        <v>0</v>
      </c>
      <c r="AJ569" s="105"/>
      <c r="AK569" s="105"/>
      <c r="AM569" s="105"/>
      <c r="AN569" s="105"/>
      <c r="AO569" s="105"/>
      <c r="AP569" s="105"/>
      <c r="AQ569" s="105"/>
      <c r="AR569" s="105"/>
    </row>
    <row r="570" spans="1:44" s="49" customFormat="1" ht="24.95" customHeight="1">
      <c r="A570" s="10">
        <f t="shared" ca="1" si="1011"/>
        <v>0</v>
      </c>
      <c r="B570" s="153"/>
      <c r="C570" s="154"/>
      <c r="D570" s="154"/>
      <c r="E570" s="155"/>
      <c r="F570" s="154"/>
      <c r="G570" s="154"/>
      <c r="H570" s="154"/>
      <c r="I570" s="154"/>
      <c r="J570" s="168"/>
      <c r="K570" s="168"/>
      <c r="L570" s="168"/>
      <c r="M570" s="168"/>
      <c r="N570" s="168"/>
      <c r="O570" s="157"/>
      <c r="P570" s="157"/>
      <c r="Q570" s="157"/>
      <c r="R570" s="157"/>
      <c r="S570" s="162"/>
      <c r="T570" s="162"/>
      <c r="U570" s="162"/>
      <c r="V570" s="162"/>
      <c r="W570" s="162"/>
      <c r="X570" s="163"/>
      <c r="Y570" s="163"/>
      <c r="Z570" s="163"/>
      <c r="AA570" s="163"/>
      <c r="AB570" s="163"/>
      <c r="AC570" s="163"/>
      <c r="AD570" s="164"/>
      <c r="AE570" s="148">
        <f ca="1">IF(S571&gt;0,IFERROR(TRUNC(A571,0),0),0)</f>
        <v>2</v>
      </c>
      <c r="AF570" s="149"/>
      <c r="AG570" s="150"/>
      <c r="AH570" s="159"/>
      <c r="AI570" s="160"/>
      <c r="AJ570" s="105"/>
      <c r="AK570" s="105"/>
      <c r="AM570" s="105"/>
      <c r="AN570" s="105"/>
      <c r="AO570" s="105"/>
      <c r="AP570" s="105"/>
      <c r="AQ570" s="105"/>
      <c r="AR570" s="105"/>
    </row>
    <row r="571" spans="1:44" s="105" customFormat="1" ht="24.95" customHeight="1">
      <c r="A571" s="169">
        <f ca="1">$B$26</f>
        <v>2</v>
      </c>
      <c r="B571" s="170"/>
      <c r="C571" s="171"/>
      <c r="D571" s="172"/>
      <c r="E571" s="173" t="str">
        <f>$D$26</f>
        <v>RESTAURAÇÃO DO PAVIMENTO - RECUPERAÇÃO PRÉVIA DO PAVIMENTO</v>
      </c>
      <c r="F571" s="174">
        <v>0</v>
      </c>
      <c r="G571" s="175"/>
      <c r="H571" s="176" t="s">
        <v>275</v>
      </c>
      <c r="I571" s="176" t="s">
        <v>275</v>
      </c>
      <c r="J571" s="177"/>
      <c r="K571" s="177"/>
      <c r="L571" s="177"/>
      <c r="M571" s="177"/>
      <c r="N571" s="177"/>
      <c r="O571" s="178" t="str">
        <f ca="1">CONCATENATE("SUB-TOTAL ",$A571)</f>
        <v>SUB-TOTAL 2</v>
      </c>
      <c r="P571" s="178" t="e" cm="1">
        <f t="array" ref="P571">TRUNC($I571*(1+_xlfn.SWITCH($N571,"BDI 1",$P$6,"BDI 2",$P$7,"BDI 3",$P$8)),2)</f>
        <v>#VALUE!</v>
      </c>
      <c r="Q571" s="178" t="str">
        <f ca="1">CONCATENATE("SUB-TOTAL ",$A571)</f>
        <v>SUB-TOTAL 2</v>
      </c>
      <c r="R571" s="178"/>
      <c r="S571" s="179">
        <f>SUM(S572:S664)</f>
        <v>2889957.2299999995</v>
      </c>
      <c r="T571" s="179">
        <f>SUM(T572:T664)</f>
        <v>2959263.83</v>
      </c>
      <c r="U571" s="179">
        <f>SUM(U572:U664)</f>
        <v>0</v>
      </c>
      <c r="V571" s="179">
        <f>SUM(V572:V664)</f>
        <v>0</v>
      </c>
      <c r="W571" s="179">
        <f t="shared" ref="W571:W607" si="1016">TRUNC(V571-U571,2)</f>
        <v>0</v>
      </c>
      <c r="X571" s="180">
        <f t="shared" ref="X571" si="1017">$S571/ORCAMENTO_VALOR_TOTAL_ND</f>
        <v>0.93452037350531758</v>
      </c>
      <c r="Y571" s="180">
        <f t="shared" ref="Y571" si="1018">$T571/ORCAMENTO_VALOR_TOTAL_DE</f>
        <v>0.87006503213614328</v>
      </c>
      <c r="Z571" s="180"/>
      <c r="AA571" s="180"/>
      <c r="AB571" s="180">
        <f>IFERROR($S571/$S571,0)</f>
        <v>1</v>
      </c>
      <c r="AC571" s="180">
        <f>IFERROR($T571/$T571,0)</f>
        <v>1</v>
      </c>
      <c r="AD571" s="147"/>
      <c r="AE571" s="148">
        <f t="shared" ref="AE571:AE607" ca="1" si="1019">IF(S571&gt;0,IFERROR(TRUNC(A571,0),0),0)</f>
        <v>2</v>
      </c>
      <c r="AF571" s="149"/>
      <c r="AG571" s="150"/>
      <c r="AH571" s="151">
        <f t="shared" ref="AH571:AH607" si="1020">S571/$S$571</f>
        <v>1</v>
      </c>
    </row>
    <row r="572" spans="1:44" s="49" customFormat="1" ht="40.15" hidden="1" customHeight="1">
      <c r="A572" s="152">
        <f t="shared" ref="A572:A635" ca="1" si="1021">IF(K572&gt;0,A571+0.01,A571)</f>
        <v>2</v>
      </c>
      <c r="B572" s="153" t="s">
        <v>276</v>
      </c>
      <c r="C572" s="154" t="str">
        <f t="shared" ref="C572:C607" si="1022">TEXT(B572,"0")</f>
        <v>RE/0010</v>
      </c>
      <c r="D572" s="154" t="s">
        <v>3549</v>
      </c>
      <c r="E572" s="155" t="s">
        <v>3877</v>
      </c>
      <c r="F572" s="154"/>
      <c r="G572" s="154" t="s">
        <v>464</v>
      </c>
      <c r="H572" s="152">
        <v>89.96</v>
      </c>
      <c r="I572" s="152">
        <v>88.66</v>
      </c>
      <c r="J572" s="156"/>
      <c r="K572" s="156">
        <f>+Recap_Previo!H11</f>
        <v>0</v>
      </c>
      <c r="L572" s="156">
        <f t="shared" ref="L572:L607" si="1023">IF($K572&gt;$J572,$K572-$J572,0)</f>
        <v>0</v>
      </c>
      <c r="M572" s="156">
        <f t="shared" ref="M572:M607" si="1024">IF($K572&lt;$J572,$J572-$K572,0)</f>
        <v>0</v>
      </c>
      <c r="N572" s="156" t="s">
        <v>83</v>
      </c>
      <c r="O572" s="157" cm="1">
        <f t="array" ref="O572">TRUNC($H572*(1+_xlfn.SWITCH($N572,"BDI 1",$O$6,"BDI 2",$O$7,"BDI 3",$O$8)),2)</f>
        <v>108.58</v>
      </c>
      <c r="P572" s="157" cm="1">
        <f t="array" ref="P572">TRUNC($I572*(1+_xlfn.SWITCH($N572,"BDI 1",$P$6,"BDI 2",$P$7,"BDI 3",$P$8)),2)</f>
        <v>112.36</v>
      </c>
      <c r="Q572" s="157">
        <v>0</v>
      </c>
      <c r="R572" s="157">
        <f t="shared" ref="R572:R607" si="1025">$Q572-($Q572*LICITACAO_DESCONTO)</f>
        <v>0</v>
      </c>
      <c r="S572" s="156">
        <f t="shared" ref="S572:S607" si="1026">TRUNC($K572*$O572,2)</f>
        <v>0</v>
      </c>
      <c r="T572" s="156">
        <f t="shared" ref="T572:T607" si="1027">TRUNC($K572*$P572,2)</f>
        <v>0</v>
      </c>
      <c r="U572" s="156">
        <f t="shared" ref="U572:U607" si="1028">TRUNC($J572*$R572,2)</f>
        <v>0</v>
      </c>
      <c r="V572" s="156">
        <f t="shared" ref="V572:V607" si="1029">TRUNC($K572*$Q572,2)</f>
        <v>0</v>
      </c>
      <c r="W572" s="156">
        <f t="shared" si="1016"/>
        <v>0</v>
      </c>
      <c r="X572" s="158">
        <f t="shared" ref="X572" si="1030">$S572/ORCAMENTO_VALOR_TOTAL_ND</f>
        <v>0</v>
      </c>
      <c r="Y572" s="158">
        <f t="shared" ref="Y572" si="1031">$T572/ORCAMENTO_VALOR_TOTAL_DE</f>
        <v>0</v>
      </c>
      <c r="Z572" s="158" cm="1">
        <f t="array" ref="Z572">_xlfn.SWITCH($N572,"BDI 1",$O$6,"BDI 2",$O$7,"BDI 3",$O$8)</f>
        <v>0.20699999999999999</v>
      </c>
      <c r="AA572" s="158" cm="1">
        <f t="array" ref="AA572">_xlfn.SWITCH($N572,"BDI 1",$P$6,"BDI 2",$P$7,"BDI 3",$P$8)</f>
        <v>0.26739999999999997</v>
      </c>
      <c r="AB572" s="158">
        <f t="shared" ref="AB572:AB607" ca="1" si="1032">IFERROR($S572/_xlfn.XLOOKUP($AE572,$B$16:$B$38,$S$16:$S$38),0)</f>
        <v>0</v>
      </c>
      <c r="AC572" s="158">
        <f t="shared" ref="AC572:AC607" ca="1" si="1033">IFERROR($T572/_xlfn.XLOOKUP($AE572,$B$16:$B$38,$T$16:$T$38),0)</f>
        <v>0</v>
      </c>
      <c r="AD572" s="164"/>
      <c r="AE572" s="148">
        <f t="shared" si="1019"/>
        <v>0</v>
      </c>
      <c r="AF572" s="149"/>
      <c r="AG572" s="150"/>
      <c r="AH572" s="159">
        <f t="shared" si="1020"/>
        <v>0</v>
      </c>
      <c r="AI572" s="160"/>
      <c r="AJ572" s="105"/>
      <c r="AK572" s="105"/>
      <c r="AM572" s="105"/>
      <c r="AN572" s="105"/>
      <c r="AO572" s="105"/>
      <c r="AP572" s="105"/>
      <c r="AQ572" s="105"/>
      <c r="AR572" s="105"/>
    </row>
    <row r="573" spans="1:44" s="49" customFormat="1" ht="39.950000000000003" customHeight="1">
      <c r="A573" s="152">
        <f t="shared" ca="1" si="1021"/>
        <v>2.0099999999999998</v>
      </c>
      <c r="B573" s="153" t="s">
        <v>277</v>
      </c>
      <c r="C573" s="154" t="str">
        <f t="shared" si="1022"/>
        <v>RE/0015</v>
      </c>
      <c r="D573" s="154" t="s">
        <v>3549</v>
      </c>
      <c r="E573" s="155" t="s">
        <v>3536</v>
      </c>
      <c r="F573" s="154"/>
      <c r="G573" s="154" t="s">
        <v>464</v>
      </c>
      <c r="H573" s="152">
        <v>318.05</v>
      </c>
      <c r="I573" s="152">
        <v>298.38</v>
      </c>
      <c r="J573" s="156"/>
      <c r="K573" s="156">
        <f>+Recap_Previo!H15</f>
        <v>258.60000000000002</v>
      </c>
      <c r="L573" s="156">
        <f t="shared" si="1023"/>
        <v>258.60000000000002</v>
      </c>
      <c r="M573" s="156">
        <f t="shared" si="1024"/>
        <v>0</v>
      </c>
      <c r="N573" s="156" t="s">
        <v>83</v>
      </c>
      <c r="O573" s="157" cm="1">
        <f t="array" ref="O573">TRUNC($H573*(1+_xlfn.SWITCH($N573,"BDI 1",$O$6,"BDI 2",$O$7,"BDI 3",$O$8)),2)</f>
        <v>383.88</v>
      </c>
      <c r="P573" s="157" cm="1">
        <f t="array" ref="P573">TRUNC($I573*(1+_xlfn.SWITCH($N573,"BDI 1",$P$6,"BDI 2",$P$7,"BDI 3",$P$8)),2)</f>
        <v>378.16</v>
      </c>
      <c r="Q573" s="157">
        <v>0</v>
      </c>
      <c r="R573" s="157">
        <f t="shared" si="1025"/>
        <v>0</v>
      </c>
      <c r="S573" s="156">
        <f t="shared" si="1026"/>
        <v>99271.360000000001</v>
      </c>
      <c r="T573" s="156">
        <f t="shared" si="1027"/>
        <v>97792.17</v>
      </c>
      <c r="U573" s="156">
        <f t="shared" si="1028"/>
        <v>0</v>
      </c>
      <c r="V573" s="156">
        <f t="shared" si="1029"/>
        <v>0</v>
      </c>
      <c r="W573" s="156">
        <f t="shared" si="1016"/>
        <v>0</v>
      </c>
      <c r="X573" s="158">
        <f t="shared" ref="X573" si="1034">$S573/ORCAMENTO_VALOR_TOTAL_ND</f>
        <v>3.2101204634637746E-2</v>
      </c>
      <c r="Y573" s="158">
        <f t="shared" ref="Y573" si="1035">$T573/ORCAMENTO_VALOR_TOTAL_DE</f>
        <v>2.875226827400286E-2</v>
      </c>
      <c r="Z573" s="158" cm="1">
        <f t="array" ref="Z573">_xlfn.SWITCH($N573,"BDI 1",$O$6,"BDI 2",$O$7,"BDI 3",$O$8)</f>
        <v>0.20699999999999999</v>
      </c>
      <c r="AA573" s="158" cm="1">
        <f t="array" ref="AA573">_xlfn.SWITCH($N573,"BDI 1",$P$6,"BDI 2",$P$7,"BDI 3",$P$8)</f>
        <v>0.26739999999999997</v>
      </c>
      <c r="AB573" s="158">
        <f t="shared" ca="1" si="1032"/>
        <v>0</v>
      </c>
      <c r="AC573" s="158">
        <f t="shared" ca="1" si="1033"/>
        <v>0</v>
      </c>
      <c r="AD573" s="164"/>
      <c r="AE573" s="148">
        <f t="shared" ca="1" si="1019"/>
        <v>2</v>
      </c>
      <c r="AF573" s="149"/>
      <c r="AG573" s="150"/>
      <c r="AH573" s="159">
        <f t="shared" si="1020"/>
        <v>3.4350459920128307E-2</v>
      </c>
      <c r="AI573" s="160"/>
      <c r="AJ573" s="105"/>
      <c r="AK573" s="105"/>
      <c r="AM573" s="105"/>
      <c r="AN573" s="105"/>
      <c r="AO573" s="105"/>
      <c r="AP573" s="105"/>
      <c r="AQ573" s="105"/>
      <c r="AR573" s="105"/>
    </row>
    <row r="574" spans="1:44" s="49" customFormat="1" ht="39.950000000000003" customHeight="1">
      <c r="A574" s="152">
        <f t="shared" ca="1" si="1021"/>
        <v>2.0199999999999996</v>
      </c>
      <c r="B574" s="153" t="s">
        <v>278</v>
      </c>
      <c r="C574" s="154" t="str">
        <f t="shared" si="1022"/>
        <v>RE/0021</v>
      </c>
      <c r="D574" s="154" t="s">
        <v>3549</v>
      </c>
      <c r="E574" s="155" t="s">
        <v>3531</v>
      </c>
      <c r="F574" s="154"/>
      <c r="G574" s="154" t="s">
        <v>464</v>
      </c>
      <c r="H574" s="152">
        <v>197.76</v>
      </c>
      <c r="I574" s="152">
        <v>184.26</v>
      </c>
      <c r="J574" s="156"/>
      <c r="K574" s="156">
        <f>+Recap_Previo!H19</f>
        <v>3620.4</v>
      </c>
      <c r="L574" s="156">
        <f t="shared" si="1023"/>
        <v>3620.4</v>
      </c>
      <c r="M574" s="156">
        <f t="shared" si="1024"/>
        <v>0</v>
      </c>
      <c r="N574" s="156" t="s">
        <v>83</v>
      </c>
      <c r="O574" s="157" cm="1">
        <f t="array" ref="O574">TRUNC($H574*(1+_xlfn.SWITCH($N574,"BDI 1",$O$6,"BDI 2",$O$7,"BDI 3",$O$8)),2)</f>
        <v>238.69</v>
      </c>
      <c r="P574" s="157" cm="1">
        <f t="array" ref="P574">TRUNC($I574*(1+_xlfn.SWITCH($N574,"BDI 1",$P$6,"BDI 2",$P$7,"BDI 3",$P$8)),2)</f>
        <v>233.53</v>
      </c>
      <c r="Q574" s="157">
        <v>0</v>
      </c>
      <c r="R574" s="157">
        <f t="shared" si="1025"/>
        <v>0</v>
      </c>
      <c r="S574" s="156">
        <f t="shared" si="1026"/>
        <v>864153.27</v>
      </c>
      <c r="T574" s="156">
        <f t="shared" si="1027"/>
        <v>845472.01</v>
      </c>
      <c r="U574" s="156">
        <f t="shared" si="1028"/>
        <v>0</v>
      </c>
      <c r="V574" s="156">
        <f t="shared" si="1029"/>
        <v>0</v>
      </c>
      <c r="W574" s="156">
        <f t="shared" si="1016"/>
        <v>0</v>
      </c>
      <c r="X574" s="158">
        <f t="shared" ref="X574" si="1036">$S574/ORCAMENTO_VALOR_TOTAL_ND</f>
        <v>0.27943971912907573</v>
      </c>
      <c r="Y574" s="158">
        <f t="shared" ref="Y574" si="1037">$T574/ORCAMENTO_VALOR_TOTAL_DE</f>
        <v>0.2485806179541821</v>
      </c>
      <c r="Z574" s="158" cm="1">
        <f t="array" ref="Z574">_xlfn.SWITCH($N574,"BDI 1",$O$6,"BDI 2",$O$7,"BDI 3",$O$8)</f>
        <v>0.20699999999999999</v>
      </c>
      <c r="AA574" s="158" cm="1">
        <f t="array" ref="AA574">_xlfn.SWITCH($N574,"BDI 1",$P$6,"BDI 2",$P$7,"BDI 3",$P$8)</f>
        <v>0.26739999999999997</v>
      </c>
      <c r="AB574" s="158">
        <f t="shared" ca="1" si="1032"/>
        <v>0</v>
      </c>
      <c r="AC574" s="158">
        <f t="shared" ca="1" si="1033"/>
        <v>0</v>
      </c>
      <c r="AD574" s="164"/>
      <c r="AE574" s="148">
        <f t="shared" ca="1" si="1019"/>
        <v>2</v>
      </c>
      <c r="AF574" s="149"/>
      <c r="AG574" s="150"/>
      <c r="AH574" s="159">
        <f t="shared" si="1020"/>
        <v>0.29901939759848978</v>
      </c>
      <c r="AI574" s="160"/>
      <c r="AJ574" s="105"/>
      <c r="AK574" s="105"/>
      <c r="AM574" s="105"/>
      <c r="AN574" s="105"/>
      <c r="AO574" s="105"/>
      <c r="AP574" s="105"/>
      <c r="AQ574" s="105"/>
      <c r="AR574" s="105"/>
    </row>
    <row r="575" spans="1:44" s="49" customFormat="1" ht="49.9" hidden="1" customHeight="1">
      <c r="A575" s="152">
        <f t="shared" ca="1" si="1021"/>
        <v>2.0199999999999996</v>
      </c>
      <c r="B575" s="153">
        <v>90105</v>
      </c>
      <c r="C575" s="154" t="str">
        <f t="shared" si="1022"/>
        <v>90105</v>
      </c>
      <c r="D575" s="154" t="s">
        <v>1416</v>
      </c>
      <c r="E575" s="155" t="s">
        <v>3630</v>
      </c>
      <c r="F575" s="154"/>
      <c r="G575" s="154" t="s">
        <v>464</v>
      </c>
      <c r="H575" s="152">
        <v>8.68</v>
      </c>
      <c r="I575" s="152">
        <v>8.3800000000000008</v>
      </c>
      <c r="J575" s="156"/>
      <c r="K575" s="156">
        <f>+Recap_Previo!H28</f>
        <v>0</v>
      </c>
      <c r="L575" s="156">
        <f t="shared" si="1023"/>
        <v>0</v>
      </c>
      <c r="M575" s="156">
        <f t="shared" si="1024"/>
        <v>0</v>
      </c>
      <c r="N575" s="156" t="s">
        <v>83</v>
      </c>
      <c r="O575" s="157" cm="1">
        <f t="array" ref="O575">TRUNC($H575*(1+_xlfn.SWITCH($N575,"BDI 1",$O$6,"BDI 2",$O$7,"BDI 3",$O$8)),2)</f>
        <v>10.47</v>
      </c>
      <c r="P575" s="157" cm="1">
        <f t="array" ref="P575">TRUNC($I575*(1+_xlfn.SWITCH($N575,"BDI 1",$P$6,"BDI 2",$P$7,"BDI 3",$P$8)),2)</f>
        <v>10.62</v>
      </c>
      <c r="Q575" s="157">
        <v>0</v>
      </c>
      <c r="R575" s="157">
        <f t="shared" si="1025"/>
        <v>0</v>
      </c>
      <c r="S575" s="156">
        <f t="shared" si="1026"/>
        <v>0</v>
      </c>
      <c r="T575" s="156">
        <f t="shared" si="1027"/>
        <v>0</v>
      </c>
      <c r="U575" s="156">
        <f t="shared" si="1028"/>
        <v>0</v>
      </c>
      <c r="V575" s="156">
        <f t="shared" si="1029"/>
        <v>0</v>
      </c>
      <c r="W575" s="156">
        <f t="shared" si="1016"/>
        <v>0</v>
      </c>
      <c r="X575" s="158">
        <f t="shared" ref="X575" si="1038">$S575/ORCAMENTO_VALOR_TOTAL_ND</f>
        <v>0</v>
      </c>
      <c r="Y575" s="158">
        <f t="shared" ref="Y575" si="1039">$T575/ORCAMENTO_VALOR_TOTAL_DE</f>
        <v>0</v>
      </c>
      <c r="Z575" s="158" cm="1">
        <f t="array" ref="Z575">_xlfn.SWITCH($N575,"BDI 1",$O$6,"BDI 2",$O$7,"BDI 3",$O$8)</f>
        <v>0.20699999999999999</v>
      </c>
      <c r="AA575" s="158" cm="1">
        <f t="array" ref="AA575">_xlfn.SWITCH($N575,"BDI 1",$P$6,"BDI 2",$P$7,"BDI 3",$P$8)</f>
        <v>0.26739999999999997</v>
      </c>
      <c r="AB575" s="158">
        <f t="shared" ca="1" si="1032"/>
        <v>0</v>
      </c>
      <c r="AC575" s="158">
        <f t="shared" ca="1" si="1033"/>
        <v>0</v>
      </c>
      <c r="AD575" s="164"/>
      <c r="AE575" s="148">
        <f t="shared" si="1019"/>
        <v>0</v>
      </c>
      <c r="AF575" s="149"/>
      <c r="AG575" s="150"/>
      <c r="AH575" s="159">
        <f t="shared" si="1020"/>
        <v>0</v>
      </c>
      <c r="AI575" s="160"/>
      <c r="AJ575" s="105"/>
      <c r="AK575" s="105"/>
      <c r="AM575" s="105"/>
      <c r="AN575" s="105"/>
      <c r="AO575" s="105"/>
      <c r="AP575" s="105"/>
      <c r="AQ575" s="105"/>
      <c r="AR575" s="105"/>
    </row>
    <row r="576" spans="1:44" s="49" customFormat="1" ht="40.15" hidden="1" customHeight="1">
      <c r="A576" s="152">
        <f t="shared" ca="1" si="1021"/>
        <v>2.0199999999999996</v>
      </c>
      <c r="B576" s="153" t="s">
        <v>279</v>
      </c>
      <c r="C576" s="154" t="str">
        <f t="shared" si="1022"/>
        <v>PA/0010</v>
      </c>
      <c r="D576" s="154" t="s">
        <v>3549</v>
      </c>
      <c r="E576" s="155" t="s">
        <v>3878</v>
      </c>
      <c r="F576" s="154"/>
      <c r="G576" s="154" t="s">
        <v>464</v>
      </c>
      <c r="H576" s="152">
        <v>136.76</v>
      </c>
      <c r="I576" s="152">
        <v>136.53</v>
      </c>
      <c r="J576" s="156"/>
      <c r="K576" s="156">
        <f>+Recap_Previo!H32</f>
        <v>0</v>
      </c>
      <c r="L576" s="156">
        <f t="shared" si="1023"/>
        <v>0</v>
      </c>
      <c r="M576" s="156">
        <f t="shared" si="1024"/>
        <v>0</v>
      </c>
      <c r="N576" s="156" t="s">
        <v>83</v>
      </c>
      <c r="O576" s="157" cm="1">
        <f t="array" ref="O576">TRUNC($H576*(1+_xlfn.SWITCH($N576,"BDI 1",$O$6,"BDI 2",$O$7,"BDI 3",$O$8)),2)</f>
        <v>165.06</v>
      </c>
      <c r="P576" s="157" cm="1">
        <f t="array" ref="P576">TRUNC($I576*(1+_xlfn.SWITCH($N576,"BDI 1",$P$6,"BDI 2",$P$7,"BDI 3",$P$8)),2)</f>
        <v>173.03</v>
      </c>
      <c r="Q576" s="157">
        <v>0</v>
      </c>
      <c r="R576" s="157">
        <f t="shared" si="1025"/>
        <v>0</v>
      </c>
      <c r="S576" s="156">
        <f t="shared" si="1026"/>
        <v>0</v>
      </c>
      <c r="T576" s="156">
        <f t="shared" si="1027"/>
        <v>0</v>
      </c>
      <c r="U576" s="156">
        <f t="shared" si="1028"/>
        <v>0</v>
      </c>
      <c r="V576" s="156">
        <f t="shared" si="1029"/>
        <v>0</v>
      </c>
      <c r="W576" s="156">
        <f t="shared" si="1016"/>
        <v>0</v>
      </c>
      <c r="X576" s="158">
        <f t="shared" ref="X576" si="1040">$S576/ORCAMENTO_VALOR_TOTAL_ND</f>
        <v>0</v>
      </c>
      <c r="Y576" s="158">
        <f t="shared" ref="Y576" si="1041">$T576/ORCAMENTO_VALOR_TOTAL_DE</f>
        <v>0</v>
      </c>
      <c r="Z576" s="158" cm="1">
        <f t="array" ref="Z576">_xlfn.SWITCH($N576,"BDI 1",$O$6,"BDI 2",$O$7,"BDI 3",$O$8)</f>
        <v>0.20699999999999999</v>
      </c>
      <c r="AA576" s="158" cm="1">
        <f t="array" ref="AA576">_xlfn.SWITCH($N576,"BDI 1",$P$6,"BDI 2",$P$7,"BDI 3",$P$8)</f>
        <v>0.26739999999999997</v>
      </c>
      <c r="AB576" s="158">
        <f t="shared" ca="1" si="1032"/>
        <v>0</v>
      </c>
      <c r="AC576" s="158">
        <f t="shared" ca="1" si="1033"/>
        <v>0</v>
      </c>
      <c r="AD576" s="164"/>
      <c r="AE576" s="148">
        <f t="shared" si="1019"/>
        <v>0</v>
      </c>
      <c r="AF576" s="149"/>
      <c r="AG576" s="150"/>
      <c r="AH576" s="159">
        <f t="shared" si="1020"/>
        <v>0</v>
      </c>
      <c r="AI576" s="160"/>
      <c r="AJ576" s="105"/>
      <c r="AK576" s="105"/>
      <c r="AM576" s="105"/>
      <c r="AN576" s="105"/>
      <c r="AO576" s="105"/>
      <c r="AP576" s="105"/>
      <c r="AQ576" s="105"/>
      <c r="AR576" s="105"/>
    </row>
    <row r="577" spans="1:44" s="49" customFormat="1" ht="40.15" hidden="1" customHeight="1">
      <c r="A577" s="152">
        <f t="shared" ca="1" si="1021"/>
        <v>2.0199999999999996</v>
      </c>
      <c r="B577" s="153" t="s">
        <v>133</v>
      </c>
      <c r="C577" s="154" t="str">
        <f t="shared" si="1022"/>
        <v>DR/0032</v>
      </c>
      <c r="D577" s="154" t="s">
        <v>3549</v>
      </c>
      <c r="E577" s="155" t="s">
        <v>3659</v>
      </c>
      <c r="F577" s="154"/>
      <c r="G577" s="154" t="s">
        <v>464</v>
      </c>
      <c r="H577" s="152">
        <v>258.72000000000003</v>
      </c>
      <c r="I577" s="152">
        <v>246.98</v>
      </c>
      <c r="J577" s="156"/>
      <c r="K577" s="156">
        <f>+Recap_Previo!H33</f>
        <v>0</v>
      </c>
      <c r="L577" s="156">
        <f t="shared" si="1023"/>
        <v>0</v>
      </c>
      <c r="M577" s="156">
        <f t="shared" si="1024"/>
        <v>0</v>
      </c>
      <c r="N577" s="156" t="s">
        <v>83</v>
      </c>
      <c r="O577" s="157" cm="1">
        <f t="array" ref="O577">TRUNC($H577*(1+_xlfn.SWITCH($N577,"BDI 1",$O$6,"BDI 2",$O$7,"BDI 3",$O$8)),2)</f>
        <v>312.27</v>
      </c>
      <c r="P577" s="157" cm="1">
        <f t="array" ref="P577">TRUNC($I577*(1+_xlfn.SWITCH($N577,"BDI 1",$P$6,"BDI 2",$P$7,"BDI 3",$P$8)),2)</f>
        <v>313.02</v>
      </c>
      <c r="Q577" s="157">
        <v>0</v>
      </c>
      <c r="R577" s="157">
        <f t="shared" si="1025"/>
        <v>0</v>
      </c>
      <c r="S577" s="156">
        <f t="shared" si="1026"/>
        <v>0</v>
      </c>
      <c r="T577" s="156">
        <f t="shared" si="1027"/>
        <v>0</v>
      </c>
      <c r="U577" s="156">
        <f t="shared" si="1028"/>
        <v>0</v>
      </c>
      <c r="V577" s="156">
        <f t="shared" si="1029"/>
        <v>0</v>
      </c>
      <c r="W577" s="156">
        <f t="shared" si="1016"/>
        <v>0</v>
      </c>
      <c r="X577" s="158">
        <f t="shared" ref="X577" si="1042">$S577/ORCAMENTO_VALOR_TOTAL_ND</f>
        <v>0</v>
      </c>
      <c r="Y577" s="158">
        <f t="shared" ref="Y577" si="1043">$T577/ORCAMENTO_VALOR_TOTAL_DE</f>
        <v>0</v>
      </c>
      <c r="Z577" s="158" cm="1">
        <f t="array" ref="Z577">_xlfn.SWITCH($N577,"BDI 1",$O$6,"BDI 2",$O$7,"BDI 3",$O$8)</f>
        <v>0.20699999999999999</v>
      </c>
      <c r="AA577" s="158" cm="1">
        <f t="array" ref="AA577">_xlfn.SWITCH($N577,"BDI 1",$P$6,"BDI 2",$P$7,"BDI 3",$P$8)</f>
        <v>0.26739999999999997</v>
      </c>
      <c r="AB577" s="158">
        <f t="shared" ca="1" si="1032"/>
        <v>0</v>
      </c>
      <c r="AC577" s="158">
        <f t="shared" ca="1" si="1033"/>
        <v>0</v>
      </c>
      <c r="AD577" s="164"/>
      <c r="AE577" s="148">
        <f t="shared" si="1019"/>
        <v>0</v>
      </c>
      <c r="AF577" s="149"/>
      <c r="AG577" s="150"/>
      <c r="AH577" s="159">
        <f t="shared" si="1020"/>
        <v>0</v>
      </c>
      <c r="AI577" s="160"/>
      <c r="AJ577" s="105"/>
      <c r="AK577" s="105"/>
      <c r="AM577" s="105"/>
      <c r="AN577" s="105"/>
      <c r="AO577" s="105"/>
      <c r="AP577" s="105"/>
      <c r="AQ577" s="105"/>
      <c r="AR577" s="105"/>
    </row>
    <row r="578" spans="1:44" s="49" customFormat="1" ht="49.9" hidden="1" customHeight="1">
      <c r="A578" s="152">
        <f t="shared" ca="1" si="1021"/>
        <v>2.0199999999999996</v>
      </c>
      <c r="B578" s="153">
        <v>101230</v>
      </c>
      <c r="C578" s="154" t="str">
        <f t="shared" si="1022"/>
        <v>101230</v>
      </c>
      <c r="D578" s="154" t="s">
        <v>1416</v>
      </c>
      <c r="E578" s="155" t="s">
        <v>3677</v>
      </c>
      <c r="F578" s="154"/>
      <c r="G578" s="154" t="s">
        <v>464</v>
      </c>
      <c r="H578" s="152">
        <v>10.7</v>
      </c>
      <c r="I578" s="152">
        <v>10.73</v>
      </c>
      <c r="J578" s="156"/>
      <c r="K578" s="156">
        <f>IF(K579=0,Recap_Previo!H127,0)</f>
        <v>0</v>
      </c>
      <c r="L578" s="156">
        <f t="shared" si="1023"/>
        <v>0</v>
      </c>
      <c r="M578" s="156">
        <f t="shared" si="1024"/>
        <v>0</v>
      </c>
      <c r="N578" s="156" t="s">
        <v>83</v>
      </c>
      <c r="O578" s="157" cm="1">
        <f t="array" ref="O578">TRUNC($H578*(1+_xlfn.SWITCH($N578,"BDI 1",$O$6,"BDI 2",$O$7,"BDI 3",$O$8)),2)</f>
        <v>12.91</v>
      </c>
      <c r="P578" s="157" cm="1">
        <f t="array" ref="P578">TRUNC($I578*(1+_xlfn.SWITCH($N578,"BDI 1",$P$6,"BDI 2",$P$7,"BDI 3",$P$8)),2)</f>
        <v>13.59</v>
      </c>
      <c r="Q578" s="157">
        <v>0</v>
      </c>
      <c r="R578" s="157">
        <f t="shared" si="1025"/>
        <v>0</v>
      </c>
      <c r="S578" s="156">
        <f t="shared" si="1026"/>
        <v>0</v>
      </c>
      <c r="T578" s="156">
        <f t="shared" si="1027"/>
        <v>0</v>
      </c>
      <c r="U578" s="156">
        <f t="shared" si="1028"/>
        <v>0</v>
      </c>
      <c r="V578" s="156">
        <f t="shared" si="1029"/>
        <v>0</v>
      </c>
      <c r="W578" s="156">
        <f t="shared" si="1016"/>
        <v>0</v>
      </c>
      <c r="X578" s="158">
        <f t="shared" ref="X578" si="1044">$S578/ORCAMENTO_VALOR_TOTAL_ND</f>
        <v>0</v>
      </c>
      <c r="Y578" s="158">
        <f t="shared" ref="Y578" si="1045">$T578/ORCAMENTO_VALOR_TOTAL_DE</f>
        <v>0</v>
      </c>
      <c r="Z578" s="158" cm="1">
        <f t="array" ref="Z578">_xlfn.SWITCH($N578,"BDI 1",$O$6,"BDI 2",$O$7,"BDI 3",$O$8)</f>
        <v>0.20699999999999999</v>
      </c>
      <c r="AA578" s="158" cm="1">
        <f t="array" ref="AA578">_xlfn.SWITCH($N578,"BDI 1",$P$6,"BDI 2",$P$7,"BDI 3",$P$8)</f>
        <v>0.26739999999999997</v>
      </c>
      <c r="AB578" s="158">
        <f t="shared" ca="1" si="1032"/>
        <v>0</v>
      </c>
      <c r="AC578" s="158">
        <f t="shared" ca="1" si="1033"/>
        <v>0</v>
      </c>
      <c r="AD578" s="164"/>
      <c r="AE578" s="148">
        <f t="shared" si="1019"/>
        <v>0</v>
      </c>
      <c r="AF578" s="149"/>
      <c r="AG578" s="150"/>
      <c r="AH578" s="159">
        <f t="shared" si="1020"/>
        <v>0</v>
      </c>
      <c r="AI578" s="160"/>
      <c r="AJ578" s="105"/>
      <c r="AK578" s="105"/>
      <c r="AM578" s="105"/>
      <c r="AN578" s="105"/>
      <c r="AO578" s="105"/>
      <c r="AP578" s="105"/>
      <c r="AQ578" s="105"/>
      <c r="AR578" s="105"/>
    </row>
    <row r="579" spans="1:44" s="49" customFormat="1" ht="40.15" hidden="1" customHeight="1">
      <c r="A579" s="152">
        <f t="shared" ca="1" si="1021"/>
        <v>2.0199999999999996</v>
      </c>
      <c r="B579" s="153">
        <v>6079</v>
      </c>
      <c r="C579" s="154" t="str">
        <f t="shared" si="1022"/>
        <v>6079</v>
      </c>
      <c r="D579" s="154" t="s">
        <v>3579</v>
      </c>
      <c r="E579" s="155" t="s">
        <v>3679</v>
      </c>
      <c r="F579" s="154"/>
      <c r="G579" s="154" t="s">
        <v>464</v>
      </c>
      <c r="H579" s="152">
        <v>37.35</v>
      </c>
      <c r="I579" s="152">
        <v>37.35</v>
      </c>
      <c r="J579" s="156"/>
      <c r="K579" s="156">
        <f>IF(AI579="COMERCIAL",Recap_Previo!H127,0)</f>
        <v>0</v>
      </c>
      <c r="L579" s="156">
        <f t="shared" si="1023"/>
        <v>0</v>
      </c>
      <c r="M579" s="156">
        <f t="shared" si="1024"/>
        <v>0</v>
      </c>
      <c r="N579" s="156" t="s">
        <v>92</v>
      </c>
      <c r="O579" s="157" cm="1">
        <f t="array" ref="O579">TRUNC($H579*(1+_xlfn.SWITCH($N579,"BDI 1",$O$6,"BDI 2",$O$7,"BDI 3",$O$8)),2)</f>
        <v>43.05</v>
      </c>
      <c r="P579" s="157" cm="1">
        <f t="array" ref="P579">TRUNC($I579*(1+_xlfn.SWITCH($N579,"BDI 1",$P$6,"BDI 2",$P$7,"BDI 3",$P$8)),2)</f>
        <v>43.05</v>
      </c>
      <c r="Q579" s="157">
        <v>0</v>
      </c>
      <c r="R579" s="157">
        <f t="shared" si="1025"/>
        <v>0</v>
      </c>
      <c r="S579" s="156">
        <f t="shared" si="1026"/>
        <v>0</v>
      </c>
      <c r="T579" s="156">
        <f t="shared" si="1027"/>
        <v>0</v>
      </c>
      <c r="U579" s="156">
        <f t="shared" si="1028"/>
        <v>0</v>
      </c>
      <c r="V579" s="156">
        <f t="shared" si="1029"/>
        <v>0</v>
      </c>
      <c r="W579" s="156">
        <f t="shared" si="1016"/>
        <v>0</v>
      </c>
      <c r="X579" s="158">
        <f t="shared" ref="X579" si="1046">$S579/ORCAMENTO_VALOR_TOTAL_ND</f>
        <v>0</v>
      </c>
      <c r="Y579" s="158">
        <f t="shared" ref="Y579" si="1047">$T579/ORCAMENTO_VALOR_TOTAL_DE</f>
        <v>0</v>
      </c>
      <c r="Z579" s="158" cm="1">
        <f t="array" ref="Z579">_xlfn.SWITCH($N579,"BDI 1",$O$6,"BDI 2",$O$7,"BDI 3",$O$8)</f>
        <v>0.1527</v>
      </c>
      <c r="AA579" s="158" cm="1">
        <f t="array" ref="AA579">_xlfn.SWITCH($N579,"BDI 1",$P$6,"BDI 2",$P$7,"BDI 3",$P$8)</f>
        <v>0.1527</v>
      </c>
      <c r="AB579" s="158">
        <f t="shared" ca="1" si="1032"/>
        <v>0</v>
      </c>
      <c r="AC579" s="158">
        <f t="shared" ca="1" si="1033"/>
        <v>0</v>
      </c>
      <c r="AD579" s="164"/>
      <c r="AE579" s="148">
        <f t="shared" si="1019"/>
        <v>0</v>
      </c>
      <c r="AF579" s="149"/>
      <c r="AG579" s="150"/>
      <c r="AH579" s="159">
        <f t="shared" si="1020"/>
        <v>0</v>
      </c>
      <c r="AI579" s="165" t="s">
        <v>243</v>
      </c>
      <c r="AJ579" s="105"/>
      <c r="AK579" s="105"/>
      <c r="AM579" s="105"/>
      <c r="AN579" s="105"/>
      <c r="AO579" s="105"/>
      <c r="AP579" s="105"/>
      <c r="AQ579" s="105"/>
      <c r="AR579" s="105"/>
    </row>
    <row r="580" spans="1:44" s="49" customFormat="1" ht="40.15" hidden="1" customHeight="1">
      <c r="A580" s="152">
        <f t="shared" ca="1" si="1021"/>
        <v>2.0199999999999996</v>
      </c>
      <c r="B580" s="153">
        <v>96386</v>
      </c>
      <c r="C580" s="154" t="str">
        <f t="shared" si="1022"/>
        <v>96386</v>
      </c>
      <c r="D580" s="154" t="s">
        <v>1416</v>
      </c>
      <c r="E580" s="155" t="s">
        <v>3879</v>
      </c>
      <c r="F580" s="154"/>
      <c r="G580" s="154" t="s">
        <v>464</v>
      </c>
      <c r="H580" s="152">
        <v>8.4600000000000009</v>
      </c>
      <c r="I580" s="152">
        <v>8.3699999999999992</v>
      </c>
      <c r="J580" s="156"/>
      <c r="K580" s="156">
        <f>+Recap_Previo!H36</f>
        <v>0</v>
      </c>
      <c r="L580" s="156">
        <f t="shared" si="1023"/>
        <v>0</v>
      </c>
      <c r="M580" s="156">
        <f t="shared" si="1024"/>
        <v>0</v>
      </c>
      <c r="N580" s="156" t="s">
        <v>83</v>
      </c>
      <c r="O580" s="157" cm="1">
        <f t="array" ref="O580">TRUNC($H580*(1+_xlfn.SWITCH($N580,"BDI 1",$O$6,"BDI 2",$O$7,"BDI 3",$O$8)),2)</f>
        <v>10.210000000000001</v>
      </c>
      <c r="P580" s="157" cm="1">
        <f t="array" ref="P580">TRUNC($I580*(1+_xlfn.SWITCH($N580,"BDI 1",$P$6,"BDI 2",$P$7,"BDI 3",$P$8)),2)</f>
        <v>10.6</v>
      </c>
      <c r="Q580" s="157">
        <v>0</v>
      </c>
      <c r="R580" s="157">
        <f t="shared" si="1025"/>
        <v>0</v>
      </c>
      <c r="S580" s="156">
        <f t="shared" si="1026"/>
        <v>0</v>
      </c>
      <c r="T580" s="156">
        <f t="shared" si="1027"/>
        <v>0</v>
      </c>
      <c r="U580" s="156">
        <f t="shared" si="1028"/>
        <v>0</v>
      </c>
      <c r="V580" s="156">
        <f t="shared" si="1029"/>
        <v>0</v>
      </c>
      <c r="W580" s="156">
        <f t="shared" si="1016"/>
        <v>0</v>
      </c>
      <c r="X580" s="158">
        <f t="shared" ref="X580" si="1048">$S580/ORCAMENTO_VALOR_TOTAL_ND</f>
        <v>0</v>
      </c>
      <c r="Y580" s="158">
        <f t="shared" ref="Y580" si="1049">$T580/ORCAMENTO_VALOR_TOTAL_DE</f>
        <v>0</v>
      </c>
      <c r="Z580" s="158" cm="1">
        <f t="array" ref="Z580">_xlfn.SWITCH($N580,"BDI 1",$O$6,"BDI 2",$O$7,"BDI 3",$O$8)</f>
        <v>0.20699999999999999</v>
      </c>
      <c r="AA580" s="158" cm="1">
        <f t="array" ref="AA580">_xlfn.SWITCH($N580,"BDI 1",$P$6,"BDI 2",$P$7,"BDI 3",$P$8)</f>
        <v>0.26739999999999997</v>
      </c>
      <c r="AB580" s="158">
        <f t="shared" ca="1" si="1032"/>
        <v>0</v>
      </c>
      <c r="AC580" s="158">
        <f t="shared" ca="1" si="1033"/>
        <v>0</v>
      </c>
      <c r="AD580" s="164"/>
      <c r="AE580" s="148">
        <f t="shared" si="1019"/>
        <v>0</v>
      </c>
      <c r="AF580" s="149"/>
      <c r="AG580" s="150"/>
      <c r="AH580" s="159">
        <f t="shared" si="1020"/>
        <v>0</v>
      </c>
      <c r="AI580" s="165" t="s">
        <v>280</v>
      </c>
      <c r="AJ580" s="105"/>
      <c r="AK580" s="105"/>
      <c r="AM580" s="105"/>
      <c r="AN580" s="105"/>
      <c r="AO580" s="105"/>
      <c r="AP580" s="105"/>
      <c r="AQ580" s="105"/>
      <c r="AR580" s="105"/>
    </row>
    <row r="581" spans="1:44" s="49" customFormat="1" ht="40.15" hidden="1" customHeight="1">
      <c r="A581" s="152">
        <f t="shared" ca="1" si="1021"/>
        <v>2.0199999999999996</v>
      </c>
      <c r="B581" s="153">
        <v>94319</v>
      </c>
      <c r="C581" s="154" t="str">
        <f t="shared" si="1022"/>
        <v>94319</v>
      </c>
      <c r="D581" s="154" t="s">
        <v>1416</v>
      </c>
      <c r="E581" s="155" t="s">
        <v>3880</v>
      </c>
      <c r="F581" s="154"/>
      <c r="G581" s="154" t="s">
        <v>464</v>
      </c>
      <c r="H581" s="152">
        <v>76.33</v>
      </c>
      <c r="I581" s="152">
        <v>77.02</v>
      </c>
      <c r="J581" s="156"/>
      <c r="K581" s="156">
        <f>+Recap_Previo!H37</f>
        <v>0</v>
      </c>
      <c r="L581" s="156">
        <f t="shared" si="1023"/>
        <v>0</v>
      </c>
      <c r="M581" s="156">
        <f t="shared" si="1024"/>
        <v>0</v>
      </c>
      <c r="N581" s="156" t="s">
        <v>83</v>
      </c>
      <c r="O581" s="157" cm="1">
        <f t="array" ref="O581">TRUNC($H581*(1+_xlfn.SWITCH($N581,"BDI 1",$O$6,"BDI 2",$O$7,"BDI 3",$O$8)),2)</f>
        <v>92.13</v>
      </c>
      <c r="P581" s="157" cm="1">
        <f t="array" ref="P581">TRUNC($I581*(1+_xlfn.SWITCH($N581,"BDI 1",$P$6,"BDI 2",$P$7,"BDI 3",$P$8)),2)</f>
        <v>97.61</v>
      </c>
      <c r="Q581" s="157">
        <v>0</v>
      </c>
      <c r="R581" s="157">
        <f t="shared" si="1025"/>
        <v>0</v>
      </c>
      <c r="S581" s="156">
        <f t="shared" si="1026"/>
        <v>0</v>
      </c>
      <c r="T581" s="156">
        <f t="shared" si="1027"/>
        <v>0</v>
      </c>
      <c r="U581" s="156">
        <f t="shared" si="1028"/>
        <v>0</v>
      </c>
      <c r="V581" s="156">
        <f t="shared" si="1029"/>
        <v>0</v>
      </c>
      <c r="W581" s="156">
        <f t="shared" si="1016"/>
        <v>0</v>
      </c>
      <c r="X581" s="158">
        <f t="shared" ref="X581" si="1050">$S581/ORCAMENTO_VALOR_TOTAL_ND</f>
        <v>0</v>
      </c>
      <c r="Y581" s="158">
        <f t="shared" ref="Y581" si="1051">$T581/ORCAMENTO_VALOR_TOTAL_DE</f>
        <v>0</v>
      </c>
      <c r="Z581" s="158" cm="1">
        <f t="array" ref="Z581">_xlfn.SWITCH($N581,"BDI 1",$O$6,"BDI 2",$O$7,"BDI 3",$O$8)</f>
        <v>0.20699999999999999</v>
      </c>
      <c r="AA581" s="158" cm="1">
        <f t="array" ref="AA581">_xlfn.SWITCH($N581,"BDI 1",$P$6,"BDI 2",$P$7,"BDI 3",$P$8)</f>
        <v>0.26739999999999997</v>
      </c>
      <c r="AB581" s="158">
        <f t="shared" ca="1" si="1032"/>
        <v>0</v>
      </c>
      <c r="AC581" s="158">
        <f t="shared" ca="1" si="1033"/>
        <v>0</v>
      </c>
      <c r="AD581" s="164"/>
      <c r="AE581" s="148">
        <f t="shared" si="1019"/>
        <v>0</v>
      </c>
      <c r="AF581" s="149"/>
      <c r="AG581" s="150"/>
      <c r="AH581" s="159">
        <f t="shared" si="1020"/>
        <v>0</v>
      </c>
      <c r="AI581" s="160"/>
      <c r="AJ581" s="105"/>
      <c r="AK581" s="105"/>
      <c r="AM581" s="105"/>
      <c r="AN581" s="105"/>
      <c r="AO581" s="105"/>
      <c r="AP581" s="105"/>
      <c r="AQ581" s="105"/>
      <c r="AR581" s="105"/>
    </row>
    <row r="582" spans="1:44" s="49" customFormat="1" ht="40.15" hidden="1" customHeight="1">
      <c r="A582" s="152">
        <f t="shared" ca="1" si="1021"/>
        <v>2.0199999999999996</v>
      </c>
      <c r="B582" s="153" t="s">
        <v>281</v>
      </c>
      <c r="C582" s="154" t="str">
        <f t="shared" si="1022"/>
        <v>RE/0025</v>
      </c>
      <c r="D582" s="154" t="s">
        <v>3549</v>
      </c>
      <c r="E582" s="155" t="s">
        <v>3881</v>
      </c>
      <c r="F582" s="154"/>
      <c r="G582" s="154" t="s">
        <v>464</v>
      </c>
      <c r="H582" s="152">
        <v>4.3899999999999997</v>
      </c>
      <c r="I582" s="152">
        <v>4.32</v>
      </c>
      <c r="J582" s="156"/>
      <c r="K582" s="156">
        <f>+Recap_Previo!H48</f>
        <v>0</v>
      </c>
      <c r="L582" s="156">
        <f t="shared" si="1023"/>
        <v>0</v>
      </c>
      <c r="M582" s="156">
        <f t="shared" si="1024"/>
        <v>0</v>
      </c>
      <c r="N582" s="156" t="s">
        <v>83</v>
      </c>
      <c r="O582" s="157" cm="1">
        <f t="array" ref="O582">TRUNC($H582*(1+_xlfn.SWITCH($N582,"BDI 1",$O$6,"BDI 2",$O$7,"BDI 3",$O$8)),2)</f>
        <v>5.29</v>
      </c>
      <c r="P582" s="157" cm="1">
        <f t="array" ref="P582">TRUNC($I582*(1+_xlfn.SWITCH($N582,"BDI 1",$P$6,"BDI 2",$P$7,"BDI 3",$P$8)),2)</f>
        <v>5.47</v>
      </c>
      <c r="Q582" s="157">
        <v>0</v>
      </c>
      <c r="R582" s="157">
        <f t="shared" si="1025"/>
        <v>0</v>
      </c>
      <c r="S582" s="156">
        <f t="shared" si="1026"/>
        <v>0</v>
      </c>
      <c r="T582" s="156">
        <f t="shared" si="1027"/>
        <v>0</v>
      </c>
      <c r="U582" s="156">
        <f t="shared" si="1028"/>
        <v>0</v>
      </c>
      <c r="V582" s="156">
        <f t="shared" si="1029"/>
        <v>0</v>
      </c>
      <c r="W582" s="156">
        <f t="shared" si="1016"/>
        <v>0</v>
      </c>
      <c r="X582" s="158">
        <f t="shared" ref="X582" si="1052">$S582/ORCAMENTO_VALOR_TOTAL_ND</f>
        <v>0</v>
      </c>
      <c r="Y582" s="158">
        <f t="shared" ref="Y582" si="1053">$T582/ORCAMENTO_VALOR_TOTAL_DE</f>
        <v>0</v>
      </c>
      <c r="Z582" s="158" cm="1">
        <f t="array" ref="Z582">_xlfn.SWITCH($N582,"BDI 1",$O$6,"BDI 2",$O$7,"BDI 3",$O$8)</f>
        <v>0.20699999999999999</v>
      </c>
      <c r="AA582" s="158" cm="1">
        <f t="array" ref="AA582">_xlfn.SWITCH($N582,"BDI 1",$P$6,"BDI 2",$P$7,"BDI 3",$P$8)</f>
        <v>0.26739999999999997</v>
      </c>
      <c r="AB582" s="158">
        <f t="shared" ca="1" si="1032"/>
        <v>0</v>
      </c>
      <c r="AC582" s="158">
        <f t="shared" ca="1" si="1033"/>
        <v>0</v>
      </c>
      <c r="AD582" s="164"/>
      <c r="AE582" s="148">
        <f t="shared" si="1019"/>
        <v>0</v>
      </c>
      <c r="AF582" s="149"/>
      <c r="AG582" s="150"/>
      <c r="AH582" s="159">
        <f t="shared" si="1020"/>
        <v>0</v>
      </c>
      <c r="AI582" s="160"/>
      <c r="AJ582" s="105"/>
      <c r="AK582" s="105"/>
      <c r="AM582" s="105"/>
      <c r="AN582" s="105"/>
      <c r="AO582" s="105"/>
      <c r="AP582" s="105"/>
      <c r="AQ582" s="105"/>
      <c r="AR582" s="105"/>
    </row>
    <row r="583" spans="1:44" s="49" customFormat="1" ht="40.15" hidden="1" customHeight="1">
      <c r="A583" s="152">
        <f t="shared" ca="1" si="1021"/>
        <v>2.0199999999999996</v>
      </c>
      <c r="B583" s="153" t="s">
        <v>282</v>
      </c>
      <c r="C583" s="154" t="str">
        <f t="shared" si="1022"/>
        <v>RE/0030</v>
      </c>
      <c r="D583" s="154" t="s">
        <v>3549</v>
      </c>
      <c r="E583" s="155" t="s">
        <v>3882</v>
      </c>
      <c r="F583" s="154"/>
      <c r="G583" s="154" t="s">
        <v>464</v>
      </c>
      <c r="H583" s="152">
        <v>1.47</v>
      </c>
      <c r="I583" s="152">
        <v>1.44</v>
      </c>
      <c r="J583" s="156"/>
      <c r="K583" s="156">
        <f>+Recap_Previo!H54</f>
        <v>0</v>
      </c>
      <c r="L583" s="156">
        <f t="shared" si="1023"/>
        <v>0</v>
      </c>
      <c r="M583" s="156">
        <f t="shared" si="1024"/>
        <v>0</v>
      </c>
      <c r="N583" s="156" t="s">
        <v>83</v>
      </c>
      <c r="O583" s="157" cm="1">
        <f t="array" ref="O583">TRUNC($H583*(1+_xlfn.SWITCH($N583,"BDI 1",$O$6,"BDI 2",$O$7,"BDI 3",$O$8)),2)</f>
        <v>1.77</v>
      </c>
      <c r="P583" s="157" cm="1">
        <f t="array" ref="P583">TRUNC($I583*(1+_xlfn.SWITCH($N583,"BDI 1",$P$6,"BDI 2",$P$7,"BDI 3",$P$8)),2)</f>
        <v>1.82</v>
      </c>
      <c r="Q583" s="157">
        <v>0</v>
      </c>
      <c r="R583" s="157">
        <f t="shared" si="1025"/>
        <v>0</v>
      </c>
      <c r="S583" s="156">
        <f t="shared" si="1026"/>
        <v>0</v>
      </c>
      <c r="T583" s="156">
        <f t="shared" si="1027"/>
        <v>0</v>
      </c>
      <c r="U583" s="156">
        <f t="shared" si="1028"/>
        <v>0</v>
      </c>
      <c r="V583" s="156">
        <f t="shared" si="1029"/>
        <v>0</v>
      </c>
      <c r="W583" s="156">
        <f t="shared" si="1016"/>
        <v>0</v>
      </c>
      <c r="X583" s="158">
        <f t="shared" ref="X583" si="1054">$S583/ORCAMENTO_VALOR_TOTAL_ND</f>
        <v>0</v>
      </c>
      <c r="Y583" s="158">
        <f t="shared" ref="Y583" si="1055">$T583/ORCAMENTO_VALOR_TOTAL_DE</f>
        <v>0</v>
      </c>
      <c r="Z583" s="158" cm="1">
        <f t="array" ref="Z583">_xlfn.SWITCH($N583,"BDI 1",$O$6,"BDI 2",$O$7,"BDI 3",$O$8)</f>
        <v>0.20699999999999999</v>
      </c>
      <c r="AA583" s="158" cm="1">
        <f t="array" ref="AA583">_xlfn.SWITCH($N583,"BDI 1",$P$6,"BDI 2",$P$7,"BDI 3",$P$8)</f>
        <v>0.26739999999999997</v>
      </c>
      <c r="AB583" s="158">
        <f t="shared" ca="1" si="1032"/>
        <v>0</v>
      </c>
      <c r="AC583" s="158">
        <f t="shared" ca="1" si="1033"/>
        <v>0</v>
      </c>
      <c r="AD583" s="164"/>
      <c r="AE583" s="148">
        <f t="shared" si="1019"/>
        <v>0</v>
      </c>
      <c r="AF583" s="149"/>
      <c r="AG583" s="150"/>
      <c r="AH583" s="159">
        <f t="shared" si="1020"/>
        <v>0</v>
      </c>
      <c r="AI583" s="160"/>
      <c r="AJ583" s="105"/>
      <c r="AK583" s="105"/>
      <c r="AM583" s="105"/>
      <c r="AN583" s="105"/>
      <c r="AO583" s="105"/>
      <c r="AP583" s="105"/>
      <c r="AQ583" s="105"/>
      <c r="AR583" s="105"/>
    </row>
    <row r="584" spans="1:44" s="49" customFormat="1" ht="49.9" hidden="1" customHeight="1">
      <c r="A584" s="152">
        <f t="shared" ca="1" si="1021"/>
        <v>2.0199999999999996</v>
      </c>
      <c r="B584" s="153" t="s">
        <v>283</v>
      </c>
      <c r="C584" s="154" t="str">
        <f t="shared" si="1022"/>
        <v>RE/0035</v>
      </c>
      <c r="D584" s="154" t="s">
        <v>3549</v>
      </c>
      <c r="E584" s="155" t="s">
        <v>3883</v>
      </c>
      <c r="F584" s="154"/>
      <c r="G584" s="154" t="s">
        <v>464</v>
      </c>
      <c r="H584" s="152">
        <v>86.43</v>
      </c>
      <c r="I584" s="152">
        <v>78.77</v>
      </c>
      <c r="J584" s="156"/>
      <c r="K584" s="156">
        <f>+Recap_Previo!H41</f>
        <v>0</v>
      </c>
      <c r="L584" s="156">
        <f t="shared" si="1023"/>
        <v>0</v>
      </c>
      <c r="M584" s="156">
        <f t="shared" si="1024"/>
        <v>0</v>
      </c>
      <c r="N584" s="156" t="s">
        <v>83</v>
      </c>
      <c r="O584" s="157" cm="1">
        <f t="array" ref="O584">TRUNC($H584*(1+_xlfn.SWITCH($N584,"BDI 1",$O$6,"BDI 2",$O$7,"BDI 3",$O$8)),2)</f>
        <v>104.32</v>
      </c>
      <c r="P584" s="157" cm="1">
        <f t="array" ref="P584">TRUNC($I584*(1+_xlfn.SWITCH($N584,"BDI 1",$P$6,"BDI 2",$P$7,"BDI 3",$P$8)),2)</f>
        <v>99.83</v>
      </c>
      <c r="Q584" s="157">
        <v>0</v>
      </c>
      <c r="R584" s="157">
        <f t="shared" si="1025"/>
        <v>0</v>
      </c>
      <c r="S584" s="156">
        <f t="shared" si="1026"/>
        <v>0</v>
      </c>
      <c r="T584" s="156">
        <f t="shared" si="1027"/>
        <v>0</v>
      </c>
      <c r="U584" s="156">
        <f t="shared" si="1028"/>
        <v>0</v>
      </c>
      <c r="V584" s="156">
        <f t="shared" si="1029"/>
        <v>0</v>
      </c>
      <c r="W584" s="156">
        <f t="shared" si="1016"/>
        <v>0</v>
      </c>
      <c r="X584" s="158">
        <f t="shared" ref="X584" si="1056">$S584/ORCAMENTO_VALOR_TOTAL_ND</f>
        <v>0</v>
      </c>
      <c r="Y584" s="158">
        <f t="shared" ref="Y584" si="1057">$T584/ORCAMENTO_VALOR_TOTAL_DE</f>
        <v>0</v>
      </c>
      <c r="Z584" s="158" cm="1">
        <f t="array" ref="Z584">_xlfn.SWITCH($N584,"BDI 1",$O$6,"BDI 2",$O$7,"BDI 3",$O$8)</f>
        <v>0.20699999999999999</v>
      </c>
      <c r="AA584" s="158" cm="1">
        <f t="array" ref="AA584">_xlfn.SWITCH($N584,"BDI 1",$P$6,"BDI 2",$P$7,"BDI 3",$P$8)</f>
        <v>0.26739999999999997</v>
      </c>
      <c r="AB584" s="158">
        <f t="shared" ca="1" si="1032"/>
        <v>0</v>
      </c>
      <c r="AC584" s="158">
        <f t="shared" ca="1" si="1033"/>
        <v>0</v>
      </c>
      <c r="AD584" s="164"/>
      <c r="AE584" s="148">
        <f t="shared" si="1019"/>
        <v>0</v>
      </c>
      <c r="AF584" s="149"/>
      <c r="AG584" s="150"/>
      <c r="AH584" s="159">
        <f t="shared" si="1020"/>
        <v>0</v>
      </c>
      <c r="AI584" s="160"/>
      <c r="AJ584" s="105"/>
      <c r="AK584" s="105"/>
      <c r="AM584" s="105"/>
      <c r="AN584" s="105"/>
      <c r="AO584" s="105"/>
      <c r="AP584" s="105"/>
      <c r="AQ584" s="105"/>
      <c r="AR584" s="105"/>
    </row>
    <row r="585" spans="1:44" s="49" customFormat="1" ht="49.9" hidden="1" customHeight="1">
      <c r="A585" s="152">
        <f t="shared" ca="1" si="1021"/>
        <v>2.0199999999999996</v>
      </c>
      <c r="B585" s="153">
        <v>100565</v>
      </c>
      <c r="C585" s="154" t="str">
        <f t="shared" si="1022"/>
        <v>100565</v>
      </c>
      <c r="D585" s="154" t="s">
        <v>1416</v>
      </c>
      <c r="E585" s="155" t="s">
        <v>3884</v>
      </c>
      <c r="F585" s="154"/>
      <c r="G585" s="154" t="s">
        <v>464</v>
      </c>
      <c r="H585" s="152">
        <v>88.59</v>
      </c>
      <c r="I585" s="152">
        <v>91.01</v>
      </c>
      <c r="J585" s="156"/>
      <c r="K585" s="156">
        <f>+Recap_Previo!H74</f>
        <v>0</v>
      </c>
      <c r="L585" s="156">
        <f t="shared" si="1023"/>
        <v>0</v>
      </c>
      <c r="M585" s="156">
        <f t="shared" si="1024"/>
        <v>0</v>
      </c>
      <c r="N585" s="156" t="s">
        <v>83</v>
      </c>
      <c r="O585" s="157" cm="1">
        <f t="array" ref="O585">TRUNC($H585*(1+_xlfn.SWITCH($N585,"BDI 1",$O$6,"BDI 2",$O$7,"BDI 3",$O$8)),2)</f>
        <v>106.92</v>
      </c>
      <c r="P585" s="157" cm="1">
        <f t="array" ref="P585">TRUNC($I585*(1+_xlfn.SWITCH($N585,"BDI 1",$P$6,"BDI 2",$P$7,"BDI 3",$P$8)),2)</f>
        <v>115.34</v>
      </c>
      <c r="Q585" s="157">
        <v>0</v>
      </c>
      <c r="R585" s="157">
        <f t="shared" si="1025"/>
        <v>0</v>
      </c>
      <c r="S585" s="156">
        <f t="shared" si="1026"/>
        <v>0</v>
      </c>
      <c r="T585" s="156">
        <f t="shared" si="1027"/>
        <v>0</v>
      </c>
      <c r="U585" s="156">
        <f t="shared" si="1028"/>
        <v>0</v>
      </c>
      <c r="V585" s="156">
        <f t="shared" si="1029"/>
        <v>0</v>
      </c>
      <c r="W585" s="156">
        <f t="shared" si="1016"/>
        <v>0</v>
      </c>
      <c r="X585" s="158">
        <f t="shared" ref="X585" si="1058">$S585/ORCAMENTO_VALOR_TOTAL_ND</f>
        <v>0</v>
      </c>
      <c r="Y585" s="158">
        <f t="shared" ref="Y585" si="1059">$T585/ORCAMENTO_VALOR_TOTAL_DE</f>
        <v>0</v>
      </c>
      <c r="Z585" s="158" cm="1">
        <f t="array" ref="Z585">_xlfn.SWITCH($N585,"BDI 1",$O$6,"BDI 2",$O$7,"BDI 3",$O$8)</f>
        <v>0.20699999999999999</v>
      </c>
      <c r="AA585" s="158" cm="1">
        <f t="array" ref="AA585">_xlfn.SWITCH($N585,"BDI 1",$P$6,"BDI 2",$P$7,"BDI 3",$P$8)</f>
        <v>0.26739999999999997</v>
      </c>
      <c r="AB585" s="158">
        <f t="shared" ca="1" si="1032"/>
        <v>0</v>
      </c>
      <c r="AC585" s="158">
        <f t="shared" ca="1" si="1033"/>
        <v>0</v>
      </c>
      <c r="AD585" s="164"/>
      <c r="AE585" s="148">
        <f t="shared" si="1019"/>
        <v>0</v>
      </c>
      <c r="AF585" s="149"/>
      <c r="AG585" s="150"/>
      <c r="AH585" s="159">
        <f t="shared" si="1020"/>
        <v>0</v>
      </c>
      <c r="AI585" s="160"/>
      <c r="AJ585" s="105"/>
      <c r="AK585" s="105"/>
      <c r="AM585" s="105"/>
      <c r="AN585" s="105"/>
      <c r="AO585" s="105"/>
      <c r="AP585" s="105"/>
      <c r="AQ585" s="105"/>
      <c r="AR585" s="105"/>
    </row>
    <row r="586" spans="1:44" s="49" customFormat="1" ht="49.9" hidden="1" customHeight="1">
      <c r="A586" s="152">
        <f t="shared" ca="1" si="1021"/>
        <v>2.0199999999999996</v>
      </c>
      <c r="B586" s="153">
        <v>101768</v>
      </c>
      <c r="C586" s="154" t="str">
        <f t="shared" si="1022"/>
        <v>101768</v>
      </c>
      <c r="D586" s="154" t="s">
        <v>1416</v>
      </c>
      <c r="E586" s="155" t="s">
        <v>3871</v>
      </c>
      <c r="F586" s="154"/>
      <c r="G586" s="154" t="s">
        <v>464</v>
      </c>
      <c r="H586" s="152">
        <v>23.65</v>
      </c>
      <c r="I586" s="152">
        <v>23.25</v>
      </c>
      <c r="J586" s="156"/>
      <c r="K586" s="156">
        <f>+Recap_Previo!H75</f>
        <v>0</v>
      </c>
      <c r="L586" s="156">
        <f t="shared" si="1023"/>
        <v>0</v>
      </c>
      <c r="M586" s="156">
        <f t="shared" si="1024"/>
        <v>0</v>
      </c>
      <c r="N586" s="156" t="s">
        <v>83</v>
      </c>
      <c r="O586" s="157" cm="1">
        <f t="array" ref="O586">TRUNC($H586*(1+_xlfn.SWITCH($N586,"BDI 1",$O$6,"BDI 2",$O$7,"BDI 3",$O$8)),2)</f>
        <v>28.54</v>
      </c>
      <c r="P586" s="157" cm="1">
        <f t="array" ref="P586">TRUNC($I586*(1+_xlfn.SWITCH($N586,"BDI 1",$P$6,"BDI 2",$P$7,"BDI 3",$P$8)),2)</f>
        <v>29.46</v>
      </c>
      <c r="Q586" s="157">
        <v>0</v>
      </c>
      <c r="R586" s="157">
        <f t="shared" si="1025"/>
        <v>0</v>
      </c>
      <c r="S586" s="156">
        <f t="shared" si="1026"/>
        <v>0</v>
      </c>
      <c r="T586" s="156">
        <f t="shared" si="1027"/>
        <v>0</v>
      </c>
      <c r="U586" s="156">
        <f t="shared" si="1028"/>
        <v>0</v>
      </c>
      <c r="V586" s="156">
        <f t="shared" si="1029"/>
        <v>0</v>
      </c>
      <c r="W586" s="156">
        <f t="shared" si="1016"/>
        <v>0</v>
      </c>
      <c r="X586" s="158">
        <f t="shared" ref="X586" si="1060">$S586/ORCAMENTO_VALOR_TOTAL_ND</f>
        <v>0</v>
      </c>
      <c r="Y586" s="158">
        <f t="shared" ref="Y586" si="1061">$T586/ORCAMENTO_VALOR_TOTAL_DE</f>
        <v>0</v>
      </c>
      <c r="Z586" s="158" cm="1">
        <f t="array" ref="Z586">_xlfn.SWITCH($N586,"BDI 1",$O$6,"BDI 2",$O$7,"BDI 3",$O$8)</f>
        <v>0.20699999999999999</v>
      </c>
      <c r="AA586" s="158" cm="1">
        <f t="array" ref="AA586">_xlfn.SWITCH($N586,"BDI 1",$P$6,"BDI 2",$P$7,"BDI 3",$P$8)</f>
        <v>0.26739999999999997</v>
      </c>
      <c r="AB586" s="158">
        <f t="shared" ca="1" si="1032"/>
        <v>0</v>
      </c>
      <c r="AC586" s="158">
        <f t="shared" ca="1" si="1033"/>
        <v>0</v>
      </c>
      <c r="AD586" s="164"/>
      <c r="AE586" s="148">
        <f t="shared" si="1019"/>
        <v>0</v>
      </c>
      <c r="AF586" s="149"/>
      <c r="AG586" s="150"/>
      <c r="AH586" s="159">
        <f t="shared" si="1020"/>
        <v>0</v>
      </c>
      <c r="AI586" s="160"/>
      <c r="AJ586" s="105"/>
      <c r="AK586" s="105"/>
      <c r="AM586" s="105"/>
      <c r="AN586" s="105"/>
      <c r="AO586" s="105"/>
      <c r="AP586" s="105"/>
      <c r="AQ586" s="105"/>
      <c r="AR586" s="105"/>
    </row>
    <row r="587" spans="1:44" s="49" customFormat="1" ht="40.15" hidden="1" customHeight="1">
      <c r="A587" s="152">
        <f t="shared" ca="1" si="1021"/>
        <v>2.0199999999999996</v>
      </c>
      <c r="B587" s="153" t="s">
        <v>248</v>
      </c>
      <c r="C587" s="154" t="str">
        <f t="shared" si="1022"/>
        <v>PA/0020</v>
      </c>
      <c r="D587" s="154" t="s">
        <v>3549</v>
      </c>
      <c r="E587" s="155" t="s">
        <v>3873</v>
      </c>
      <c r="F587" s="154"/>
      <c r="G587" s="154" t="s">
        <v>464</v>
      </c>
      <c r="H587" s="152">
        <v>13.37</v>
      </c>
      <c r="I587" s="152">
        <v>13.23</v>
      </c>
      <c r="J587" s="156"/>
      <c r="K587" s="156">
        <f>+Recap_Previo!H76+Recap_Previo!H77</f>
        <v>0</v>
      </c>
      <c r="L587" s="156">
        <f t="shared" si="1023"/>
        <v>0</v>
      </c>
      <c r="M587" s="156">
        <f t="shared" si="1024"/>
        <v>0</v>
      </c>
      <c r="N587" s="156" t="s">
        <v>83</v>
      </c>
      <c r="O587" s="157" cm="1">
        <f t="array" ref="O587">TRUNC($H587*(1+_xlfn.SWITCH($N587,"BDI 1",$O$6,"BDI 2",$O$7,"BDI 3",$O$8)),2)</f>
        <v>16.13</v>
      </c>
      <c r="P587" s="157" cm="1">
        <f t="array" ref="P587">TRUNC($I587*(1+_xlfn.SWITCH($N587,"BDI 1",$P$6,"BDI 2",$P$7,"BDI 3",$P$8)),2)</f>
        <v>16.760000000000002</v>
      </c>
      <c r="Q587" s="157">
        <v>0</v>
      </c>
      <c r="R587" s="157">
        <f t="shared" si="1025"/>
        <v>0</v>
      </c>
      <c r="S587" s="156">
        <f t="shared" si="1026"/>
        <v>0</v>
      </c>
      <c r="T587" s="156">
        <f t="shared" si="1027"/>
        <v>0</v>
      </c>
      <c r="U587" s="156">
        <f t="shared" si="1028"/>
        <v>0</v>
      </c>
      <c r="V587" s="156">
        <f t="shared" si="1029"/>
        <v>0</v>
      </c>
      <c r="W587" s="156">
        <f t="shared" si="1016"/>
        <v>0</v>
      </c>
      <c r="X587" s="158">
        <f t="shared" ref="X587" si="1062">$S587/ORCAMENTO_VALOR_TOTAL_ND</f>
        <v>0</v>
      </c>
      <c r="Y587" s="158">
        <f t="shared" ref="Y587" si="1063">$T587/ORCAMENTO_VALOR_TOTAL_DE</f>
        <v>0</v>
      </c>
      <c r="Z587" s="158" cm="1">
        <f t="array" ref="Z587">_xlfn.SWITCH($N587,"BDI 1",$O$6,"BDI 2",$O$7,"BDI 3",$O$8)</f>
        <v>0.20699999999999999</v>
      </c>
      <c r="AA587" s="158" cm="1">
        <f t="array" ref="AA587">_xlfn.SWITCH($N587,"BDI 1",$P$6,"BDI 2",$P$7,"BDI 3",$P$8)</f>
        <v>0.26739999999999997</v>
      </c>
      <c r="AB587" s="158">
        <f t="shared" ca="1" si="1032"/>
        <v>0</v>
      </c>
      <c r="AC587" s="158">
        <f t="shared" ca="1" si="1033"/>
        <v>0</v>
      </c>
      <c r="AD587" s="164"/>
      <c r="AE587" s="148">
        <f t="shared" si="1019"/>
        <v>0</v>
      </c>
      <c r="AF587" s="149"/>
      <c r="AG587" s="150"/>
      <c r="AH587" s="159">
        <f t="shared" si="1020"/>
        <v>0</v>
      </c>
      <c r="AI587" s="160"/>
      <c r="AJ587" s="105"/>
      <c r="AK587" s="105"/>
      <c r="AM587" s="105"/>
      <c r="AN587" s="105"/>
      <c r="AO587" s="105"/>
      <c r="AP587" s="105"/>
      <c r="AQ587" s="105"/>
      <c r="AR587" s="105"/>
    </row>
    <row r="588" spans="1:44" s="49" customFormat="1" ht="40.15" hidden="1" customHeight="1">
      <c r="A588" s="152">
        <f t="shared" ca="1" si="1021"/>
        <v>2.0199999999999996</v>
      </c>
      <c r="B588" s="153" t="s">
        <v>284</v>
      </c>
      <c r="C588" s="154" t="str">
        <f t="shared" si="1022"/>
        <v>RE/0060</v>
      </c>
      <c r="D588" s="154" t="s">
        <v>3549</v>
      </c>
      <c r="E588" s="155" t="s">
        <v>3885</v>
      </c>
      <c r="F588" s="154"/>
      <c r="G588" s="154" t="s">
        <v>464</v>
      </c>
      <c r="H588" s="152">
        <v>39.46</v>
      </c>
      <c r="I588" s="152">
        <v>39.24</v>
      </c>
      <c r="J588" s="156"/>
      <c r="K588" s="156">
        <f>+Recap_Previo!H84</f>
        <v>0</v>
      </c>
      <c r="L588" s="156">
        <f t="shared" si="1023"/>
        <v>0</v>
      </c>
      <c r="M588" s="156">
        <f t="shared" si="1024"/>
        <v>0</v>
      </c>
      <c r="N588" s="156" t="s">
        <v>83</v>
      </c>
      <c r="O588" s="157" cm="1">
        <f t="array" ref="O588">TRUNC($H588*(1+_xlfn.SWITCH($N588,"BDI 1",$O$6,"BDI 2",$O$7,"BDI 3",$O$8)),2)</f>
        <v>47.62</v>
      </c>
      <c r="P588" s="157" cm="1">
        <f t="array" ref="P588">TRUNC($I588*(1+_xlfn.SWITCH($N588,"BDI 1",$P$6,"BDI 2",$P$7,"BDI 3",$P$8)),2)</f>
        <v>49.73</v>
      </c>
      <c r="Q588" s="157">
        <v>0</v>
      </c>
      <c r="R588" s="157">
        <f t="shared" si="1025"/>
        <v>0</v>
      </c>
      <c r="S588" s="156">
        <f t="shared" si="1026"/>
        <v>0</v>
      </c>
      <c r="T588" s="156">
        <f t="shared" si="1027"/>
        <v>0</v>
      </c>
      <c r="U588" s="156">
        <f t="shared" si="1028"/>
        <v>0</v>
      </c>
      <c r="V588" s="156">
        <f t="shared" si="1029"/>
        <v>0</v>
      </c>
      <c r="W588" s="156">
        <f t="shared" si="1016"/>
        <v>0</v>
      </c>
      <c r="X588" s="158">
        <f t="shared" ref="X588" si="1064">$S588/ORCAMENTO_VALOR_TOTAL_ND</f>
        <v>0</v>
      </c>
      <c r="Y588" s="158">
        <f t="shared" ref="Y588" si="1065">$T588/ORCAMENTO_VALOR_TOTAL_DE</f>
        <v>0</v>
      </c>
      <c r="Z588" s="158" cm="1">
        <f t="array" ref="Z588">_xlfn.SWITCH($N588,"BDI 1",$O$6,"BDI 2",$O$7,"BDI 3",$O$8)</f>
        <v>0.20699999999999999</v>
      </c>
      <c r="AA588" s="158" cm="1">
        <f t="array" ref="AA588">_xlfn.SWITCH($N588,"BDI 1",$P$6,"BDI 2",$P$7,"BDI 3",$P$8)</f>
        <v>0.26739999999999997</v>
      </c>
      <c r="AB588" s="158">
        <f t="shared" ca="1" si="1032"/>
        <v>0</v>
      </c>
      <c r="AC588" s="158">
        <f t="shared" ca="1" si="1033"/>
        <v>0</v>
      </c>
      <c r="AD588" s="164"/>
      <c r="AE588" s="148">
        <f t="shared" si="1019"/>
        <v>0</v>
      </c>
      <c r="AF588" s="149"/>
      <c r="AG588" s="150"/>
      <c r="AH588" s="159">
        <f t="shared" si="1020"/>
        <v>0</v>
      </c>
      <c r="AI588" s="160"/>
      <c r="AJ588" s="105"/>
      <c r="AK588" s="105"/>
      <c r="AM588" s="105"/>
      <c r="AN588" s="105"/>
      <c r="AO588" s="105"/>
      <c r="AP588" s="105"/>
      <c r="AQ588" s="105"/>
      <c r="AR588" s="105"/>
    </row>
    <row r="589" spans="1:44" s="49" customFormat="1" ht="40.15" hidden="1" customHeight="1">
      <c r="A589" s="152">
        <f t="shared" ca="1" si="1021"/>
        <v>2.0199999999999996</v>
      </c>
      <c r="B589" s="153" t="s">
        <v>285</v>
      </c>
      <c r="C589" s="154" t="str">
        <f t="shared" si="1022"/>
        <v>RE/0065</v>
      </c>
      <c r="D589" s="154" t="s">
        <v>3549</v>
      </c>
      <c r="E589" s="155" t="s">
        <v>3886</v>
      </c>
      <c r="F589" s="154"/>
      <c r="G589" s="154" t="s">
        <v>464</v>
      </c>
      <c r="H589" s="152">
        <v>41.1</v>
      </c>
      <c r="I589" s="152">
        <v>40.909999999999997</v>
      </c>
      <c r="J589" s="156"/>
      <c r="K589" s="156">
        <f>+Recap_Previo!H85</f>
        <v>0</v>
      </c>
      <c r="L589" s="156">
        <f t="shared" si="1023"/>
        <v>0</v>
      </c>
      <c r="M589" s="156">
        <f t="shared" si="1024"/>
        <v>0</v>
      </c>
      <c r="N589" s="156" t="s">
        <v>83</v>
      </c>
      <c r="O589" s="157" cm="1">
        <f t="array" ref="O589">TRUNC($H589*(1+_xlfn.SWITCH($N589,"BDI 1",$O$6,"BDI 2",$O$7,"BDI 3",$O$8)),2)</f>
        <v>49.6</v>
      </c>
      <c r="P589" s="157" cm="1">
        <f t="array" ref="P589">TRUNC($I589*(1+_xlfn.SWITCH($N589,"BDI 1",$P$6,"BDI 2",$P$7,"BDI 3",$P$8)),2)</f>
        <v>51.84</v>
      </c>
      <c r="Q589" s="157">
        <v>0</v>
      </c>
      <c r="R589" s="157">
        <f t="shared" si="1025"/>
        <v>0</v>
      </c>
      <c r="S589" s="156">
        <f t="shared" si="1026"/>
        <v>0</v>
      </c>
      <c r="T589" s="156">
        <f t="shared" si="1027"/>
        <v>0</v>
      </c>
      <c r="U589" s="156">
        <f t="shared" si="1028"/>
        <v>0</v>
      </c>
      <c r="V589" s="156">
        <f t="shared" si="1029"/>
        <v>0</v>
      </c>
      <c r="W589" s="156">
        <f t="shared" si="1016"/>
        <v>0</v>
      </c>
      <c r="X589" s="158">
        <f t="shared" ref="X589" si="1066">$S589/ORCAMENTO_VALOR_TOTAL_ND</f>
        <v>0</v>
      </c>
      <c r="Y589" s="158">
        <f t="shared" ref="Y589" si="1067">$T589/ORCAMENTO_VALOR_TOTAL_DE</f>
        <v>0</v>
      </c>
      <c r="Z589" s="158" cm="1">
        <f t="array" ref="Z589">_xlfn.SWITCH($N589,"BDI 1",$O$6,"BDI 2",$O$7,"BDI 3",$O$8)</f>
        <v>0.20699999999999999</v>
      </c>
      <c r="AA589" s="158" cm="1">
        <f t="array" ref="AA589">_xlfn.SWITCH($N589,"BDI 1",$P$6,"BDI 2",$P$7,"BDI 3",$P$8)</f>
        <v>0.26739999999999997</v>
      </c>
      <c r="AB589" s="158">
        <f t="shared" ca="1" si="1032"/>
        <v>0</v>
      </c>
      <c r="AC589" s="158">
        <f t="shared" ca="1" si="1033"/>
        <v>0</v>
      </c>
      <c r="AD589" s="164"/>
      <c r="AE589" s="148">
        <f t="shared" si="1019"/>
        <v>0</v>
      </c>
      <c r="AF589" s="149"/>
      <c r="AG589" s="150"/>
      <c r="AH589" s="159">
        <f t="shared" si="1020"/>
        <v>0</v>
      </c>
      <c r="AI589" s="160"/>
      <c r="AJ589" s="105"/>
      <c r="AK589" s="105"/>
      <c r="AM589" s="105"/>
      <c r="AN589" s="105"/>
      <c r="AO589" s="105"/>
      <c r="AP589" s="105"/>
      <c r="AQ589" s="105"/>
      <c r="AR589" s="105"/>
    </row>
    <row r="590" spans="1:44" s="49" customFormat="1" ht="40.15" hidden="1" customHeight="1">
      <c r="A590" s="152">
        <f t="shared" ca="1" si="1021"/>
        <v>2.0199999999999996</v>
      </c>
      <c r="B590" s="153" t="s">
        <v>286</v>
      </c>
      <c r="C590" s="154" t="str">
        <f t="shared" si="1022"/>
        <v>RE/0070</v>
      </c>
      <c r="D590" s="154" t="s">
        <v>3549</v>
      </c>
      <c r="E590" s="155" t="s">
        <v>3887</v>
      </c>
      <c r="F590" s="154"/>
      <c r="G590" s="154" t="s">
        <v>464</v>
      </c>
      <c r="H590" s="152">
        <v>42.34</v>
      </c>
      <c r="I590" s="152">
        <v>42.16</v>
      </c>
      <c r="J590" s="156"/>
      <c r="K590" s="156">
        <f>+Recap_Previo!H86</f>
        <v>0</v>
      </c>
      <c r="L590" s="156">
        <f t="shared" si="1023"/>
        <v>0</v>
      </c>
      <c r="M590" s="156">
        <f t="shared" si="1024"/>
        <v>0</v>
      </c>
      <c r="N590" s="156" t="s">
        <v>83</v>
      </c>
      <c r="O590" s="157" cm="1">
        <f t="array" ref="O590">TRUNC($H590*(1+_xlfn.SWITCH($N590,"BDI 1",$O$6,"BDI 2",$O$7,"BDI 3",$O$8)),2)</f>
        <v>51.1</v>
      </c>
      <c r="P590" s="157" cm="1">
        <f t="array" ref="P590">TRUNC($I590*(1+_xlfn.SWITCH($N590,"BDI 1",$P$6,"BDI 2",$P$7,"BDI 3",$P$8)),2)</f>
        <v>53.43</v>
      </c>
      <c r="Q590" s="157">
        <v>0</v>
      </c>
      <c r="R590" s="157">
        <f t="shared" si="1025"/>
        <v>0</v>
      </c>
      <c r="S590" s="156">
        <f t="shared" si="1026"/>
        <v>0</v>
      </c>
      <c r="T590" s="156">
        <f t="shared" si="1027"/>
        <v>0</v>
      </c>
      <c r="U590" s="156">
        <f t="shared" si="1028"/>
        <v>0</v>
      </c>
      <c r="V590" s="156">
        <f t="shared" si="1029"/>
        <v>0</v>
      </c>
      <c r="W590" s="156">
        <f t="shared" si="1016"/>
        <v>0</v>
      </c>
      <c r="X590" s="158">
        <f t="shared" ref="X590" si="1068">$S590/ORCAMENTO_VALOR_TOTAL_ND</f>
        <v>0</v>
      </c>
      <c r="Y590" s="158">
        <f t="shared" ref="Y590" si="1069">$T590/ORCAMENTO_VALOR_TOTAL_DE</f>
        <v>0</v>
      </c>
      <c r="Z590" s="158" cm="1">
        <f t="array" ref="Z590">_xlfn.SWITCH($N590,"BDI 1",$O$6,"BDI 2",$O$7,"BDI 3",$O$8)</f>
        <v>0.20699999999999999</v>
      </c>
      <c r="AA590" s="158" cm="1">
        <f t="array" ref="AA590">_xlfn.SWITCH($N590,"BDI 1",$P$6,"BDI 2",$P$7,"BDI 3",$P$8)</f>
        <v>0.26739999999999997</v>
      </c>
      <c r="AB590" s="158">
        <f t="shared" ca="1" si="1032"/>
        <v>0</v>
      </c>
      <c r="AC590" s="158">
        <f t="shared" ca="1" si="1033"/>
        <v>0</v>
      </c>
      <c r="AD590" s="164"/>
      <c r="AE590" s="148">
        <f t="shared" si="1019"/>
        <v>0</v>
      </c>
      <c r="AF590" s="149"/>
      <c r="AG590" s="150"/>
      <c r="AH590" s="159">
        <f t="shared" si="1020"/>
        <v>0</v>
      </c>
      <c r="AI590" s="160"/>
      <c r="AJ590" s="105"/>
      <c r="AK590" s="105"/>
      <c r="AM590" s="105"/>
      <c r="AN590" s="105"/>
      <c r="AO590" s="105"/>
      <c r="AP590" s="105"/>
      <c r="AQ590" s="105"/>
      <c r="AR590" s="105"/>
    </row>
    <row r="591" spans="1:44" s="49" customFormat="1" ht="40.15" hidden="1" customHeight="1">
      <c r="A591" s="152">
        <f t="shared" ca="1" si="1021"/>
        <v>2.0199999999999996</v>
      </c>
      <c r="B591" s="153">
        <v>96001</v>
      </c>
      <c r="C591" s="154" t="str">
        <f t="shared" si="1022"/>
        <v>96001</v>
      </c>
      <c r="D591" s="154" t="s">
        <v>1416</v>
      </c>
      <c r="E591" s="155" t="s">
        <v>3888</v>
      </c>
      <c r="F591" s="154"/>
      <c r="G591" s="154" t="s">
        <v>1418</v>
      </c>
      <c r="H591" s="152">
        <v>6.92</v>
      </c>
      <c r="I591" s="152">
        <v>6.75</v>
      </c>
      <c r="J591" s="156"/>
      <c r="K591" s="156">
        <f>+Recap_Previo!H91</f>
        <v>0</v>
      </c>
      <c r="L591" s="156">
        <f t="shared" si="1023"/>
        <v>0</v>
      </c>
      <c r="M591" s="156">
        <f t="shared" si="1024"/>
        <v>0</v>
      </c>
      <c r="N591" s="156" t="s">
        <v>83</v>
      </c>
      <c r="O591" s="157" cm="1">
        <f t="array" ref="O591">TRUNC($H591*(1+_xlfn.SWITCH($N591,"BDI 1",$O$6,"BDI 2",$O$7,"BDI 3",$O$8)),2)</f>
        <v>8.35</v>
      </c>
      <c r="P591" s="157" cm="1">
        <f t="array" ref="P591">TRUNC($I591*(1+_xlfn.SWITCH($N591,"BDI 1",$P$6,"BDI 2",$P$7,"BDI 3",$P$8)),2)</f>
        <v>8.5500000000000007</v>
      </c>
      <c r="Q591" s="157">
        <v>0</v>
      </c>
      <c r="R591" s="157">
        <f t="shared" si="1025"/>
        <v>0</v>
      </c>
      <c r="S591" s="156">
        <f t="shared" si="1026"/>
        <v>0</v>
      </c>
      <c r="T591" s="156">
        <f t="shared" si="1027"/>
        <v>0</v>
      </c>
      <c r="U591" s="156">
        <f t="shared" si="1028"/>
        <v>0</v>
      </c>
      <c r="V591" s="156">
        <f t="shared" si="1029"/>
        <v>0</v>
      </c>
      <c r="W591" s="156">
        <f t="shared" si="1016"/>
        <v>0</v>
      </c>
      <c r="X591" s="158">
        <f t="shared" ref="X591" si="1070">$S591/ORCAMENTO_VALOR_TOTAL_ND</f>
        <v>0</v>
      </c>
      <c r="Y591" s="158">
        <f t="shared" ref="Y591" si="1071">$T591/ORCAMENTO_VALOR_TOTAL_DE</f>
        <v>0</v>
      </c>
      <c r="Z591" s="158" cm="1">
        <f t="array" ref="Z591">_xlfn.SWITCH($N591,"BDI 1",$O$6,"BDI 2",$O$7,"BDI 3",$O$8)</f>
        <v>0.20699999999999999</v>
      </c>
      <c r="AA591" s="158" cm="1">
        <f t="array" ref="AA591">_xlfn.SWITCH($N591,"BDI 1",$P$6,"BDI 2",$P$7,"BDI 3",$P$8)</f>
        <v>0.26739999999999997</v>
      </c>
      <c r="AB591" s="158">
        <f t="shared" ca="1" si="1032"/>
        <v>0</v>
      </c>
      <c r="AC591" s="158">
        <f t="shared" ca="1" si="1033"/>
        <v>0</v>
      </c>
      <c r="AD591" s="164"/>
      <c r="AE591" s="148">
        <f t="shared" si="1019"/>
        <v>0</v>
      </c>
      <c r="AF591" s="149"/>
      <c r="AG591" s="150"/>
      <c r="AH591" s="159">
        <f t="shared" si="1020"/>
        <v>0</v>
      </c>
      <c r="AI591" s="160"/>
      <c r="AJ591" s="105"/>
      <c r="AK591" s="105"/>
      <c r="AM591" s="105"/>
      <c r="AN591" s="105"/>
      <c r="AO591" s="105"/>
      <c r="AP591" s="105"/>
      <c r="AQ591" s="105"/>
      <c r="AR591" s="105"/>
    </row>
    <row r="592" spans="1:44" s="49" customFormat="1" ht="40.15" hidden="1" customHeight="1">
      <c r="A592" s="152">
        <f t="shared" ca="1" si="1021"/>
        <v>2.0199999999999996</v>
      </c>
      <c r="B592" s="153">
        <v>4743</v>
      </c>
      <c r="C592" s="154" t="str">
        <f t="shared" si="1022"/>
        <v>4743</v>
      </c>
      <c r="D592" s="154" t="s">
        <v>3579</v>
      </c>
      <c r="E592" s="155" t="s">
        <v>3867</v>
      </c>
      <c r="F592" s="154"/>
      <c r="G592" s="154" t="s">
        <v>464</v>
      </c>
      <c r="H592" s="152">
        <v>55.95</v>
      </c>
      <c r="I592" s="152">
        <v>55.95</v>
      </c>
      <c r="J592" s="156"/>
      <c r="K592" s="156">
        <f>+Recap_Previo!H71</f>
        <v>0</v>
      </c>
      <c r="L592" s="156">
        <f t="shared" si="1023"/>
        <v>0</v>
      </c>
      <c r="M592" s="156">
        <f t="shared" si="1024"/>
        <v>0</v>
      </c>
      <c r="N592" s="156" t="s">
        <v>92</v>
      </c>
      <c r="O592" s="157" cm="1">
        <f t="array" ref="O592">TRUNC($H592*(1+_xlfn.SWITCH($N592,"BDI 1",$O$6,"BDI 2",$O$7,"BDI 3",$O$8)),2)</f>
        <v>64.489999999999995</v>
      </c>
      <c r="P592" s="157" cm="1">
        <f t="array" ref="P592">TRUNC($I592*(1+_xlfn.SWITCH($N592,"BDI 1",$P$6,"BDI 2",$P$7,"BDI 3",$P$8)),2)</f>
        <v>64.489999999999995</v>
      </c>
      <c r="Q592" s="157">
        <v>0</v>
      </c>
      <c r="R592" s="157">
        <f t="shared" si="1025"/>
        <v>0</v>
      </c>
      <c r="S592" s="156">
        <f t="shared" si="1026"/>
        <v>0</v>
      </c>
      <c r="T592" s="156">
        <f t="shared" si="1027"/>
        <v>0</v>
      </c>
      <c r="U592" s="156">
        <f t="shared" si="1028"/>
        <v>0</v>
      </c>
      <c r="V592" s="156">
        <f t="shared" si="1029"/>
        <v>0</v>
      </c>
      <c r="W592" s="156">
        <f t="shared" si="1016"/>
        <v>0</v>
      </c>
      <c r="X592" s="158">
        <f t="shared" ref="X592" si="1072">$S592/ORCAMENTO_VALOR_TOTAL_ND</f>
        <v>0</v>
      </c>
      <c r="Y592" s="158">
        <f t="shared" ref="Y592" si="1073">$T592/ORCAMENTO_VALOR_TOTAL_DE</f>
        <v>0</v>
      </c>
      <c r="Z592" s="158" cm="1">
        <f t="array" ref="Z592">_xlfn.SWITCH($N592,"BDI 1",$O$6,"BDI 2",$O$7,"BDI 3",$O$8)</f>
        <v>0.1527</v>
      </c>
      <c r="AA592" s="158" cm="1">
        <f t="array" ref="AA592">_xlfn.SWITCH($N592,"BDI 1",$P$6,"BDI 2",$P$7,"BDI 3",$P$8)</f>
        <v>0.1527</v>
      </c>
      <c r="AB592" s="158">
        <f t="shared" ca="1" si="1032"/>
        <v>0</v>
      </c>
      <c r="AC592" s="158">
        <f t="shared" ca="1" si="1033"/>
        <v>0</v>
      </c>
      <c r="AD592" s="164"/>
      <c r="AE592" s="148">
        <f t="shared" si="1019"/>
        <v>0</v>
      </c>
      <c r="AF592" s="149"/>
      <c r="AG592" s="150"/>
      <c r="AH592" s="159">
        <f t="shared" si="1020"/>
        <v>0</v>
      </c>
      <c r="AI592" s="160"/>
      <c r="AJ592" s="105"/>
      <c r="AK592" s="105"/>
      <c r="AM592" s="105"/>
      <c r="AN592" s="105"/>
      <c r="AO592" s="105"/>
      <c r="AP592" s="105"/>
      <c r="AQ592" s="105"/>
      <c r="AR592" s="105"/>
    </row>
    <row r="593" spans="1:44" s="49" customFormat="1" ht="40.15" hidden="1" customHeight="1">
      <c r="A593" s="152">
        <f t="shared" ca="1" si="1021"/>
        <v>2.0199999999999996</v>
      </c>
      <c r="B593" s="153">
        <v>4748</v>
      </c>
      <c r="C593" s="154" t="str">
        <f t="shared" si="1022"/>
        <v>4748</v>
      </c>
      <c r="D593" s="154" t="s">
        <v>3579</v>
      </c>
      <c r="E593" s="155" t="s">
        <v>3868</v>
      </c>
      <c r="F593" s="154"/>
      <c r="G593" s="154" t="s">
        <v>464</v>
      </c>
      <c r="H593" s="152">
        <v>88.63</v>
      </c>
      <c r="I593" s="152">
        <v>88.63</v>
      </c>
      <c r="J593" s="156"/>
      <c r="K593" s="156">
        <f>+Recap_Previo!H72</f>
        <v>0</v>
      </c>
      <c r="L593" s="156">
        <f t="shared" si="1023"/>
        <v>0</v>
      </c>
      <c r="M593" s="156">
        <f t="shared" si="1024"/>
        <v>0</v>
      </c>
      <c r="N593" s="156" t="s">
        <v>92</v>
      </c>
      <c r="O593" s="157" cm="1">
        <f t="array" ref="O593">TRUNC($H593*(1+_xlfn.SWITCH($N593,"BDI 1",$O$6,"BDI 2",$O$7,"BDI 3",$O$8)),2)</f>
        <v>102.16</v>
      </c>
      <c r="P593" s="157" cm="1">
        <f t="array" ref="P593">TRUNC($I593*(1+_xlfn.SWITCH($N593,"BDI 1",$P$6,"BDI 2",$P$7,"BDI 3",$P$8)),2)</f>
        <v>102.16</v>
      </c>
      <c r="Q593" s="157">
        <v>0</v>
      </c>
      <c r="R593" s="157">
        <f t="shared" si="1025"/>
        <v>0</v>
      </c>
      <c r="S593" s="156">
        <f t="shared" si="1026"/>
        <v>0</v>
      </c>
      <c r="T593" s="156">
        <f t="shared" si="1027"/>
        <v>0</v>
      </c>
      <c r="U593" s="156">
        <f t="shared" si="1028"/>
        <v>0</v>
      </c>
      <c r="V593" s="156">
        <f t="shared" si="1029"/>
        <v>0</v>
      </c>
      <c r="W593" s="156">
        <f t="shared" si="1016"/>
        <v>0</v>
      </c>
      <c r="X593" s="158">
        <f t="shared" ref="X593" si="1074">$S593/ORCAMENTO_VALOR_TOTAL_ND</f>
        <v>0</v>
      </c>
      <c r="Y593" s="158">
        <f t="shared" ref="Y593" si="1075">$T593/ORCAMENTO_VALOR_TOTAL_DE</f>
        <v>0</v>
      </c>
      <c r="Z593" s="158" cm="1">
        <f t="array" ref="Z593">_xlfn.SWITCH($N593,"BDI 1",$O$6,"BDI 2",$O$7,"BDI 3",$O$8)</f>
        <v>0.1527</v>
      </c>
      <c r="AA593" s="158" cm="1">
        <f t="array" ref="AA593">_xlfn.SWITCH($N593,"BDI 1",$P$6,"BDI 2",$P$7,"BDI 3",$P$8)</f>
        <v>0.1527</v>
      </c>
      <c r="AB593" s="158">
        <f t="shared" ca="1" si="1032"/>
        <v>0</v>
      </c>
      <c r="AC593" s="158">
        <f t="shared" ca="1" si="1033"/>
        <v>0</v>
      </c>
      <c r="AD593" s="164"/>
      <c r="AE593" s="148">
        <f t="shared" si="1019"/>
        <v>0</v>
      </c>
      <c r="AF593" s="149"/>
      <c r="AG593" s="150"/>
      <c r="AH593" s="159">
        <f t="shared" si="1020"/>
        <v>0</v>
      </c>
      <c r="AI593" s="160"/>
      <c r="AJ593" s="105"/>
      <c r="AK593" s="105"/>
      <c r="AM593" s="105"/>
      <c r="AN593" s="105"/>
      <c r="AO593" s="105"/>
      <c r="AP593" s="105"/>
      <c r="AQ593" s="105"/>
      <c r="AR593" s="105"/>
    </row>
    <row r="594" spans="1:44" s="49" customFormat="1" ht="40.15" hidden="1" customHeight="1">
      <c r="A594" s="152">
        <f t="shared" ca="1" si="1021"/>
        <v>2.0199999999999996</v>
      </c>
      <c r="B594" s="153">
        <v>4729</v>
      </c>
      <c r="C594" s="154" t="str">
        <f t="shared" si="1022"/>
        <v>4729</v>
      </c>
      <c r="D594" s="154" t="s">
        <v>3579</v>
      </c>
      <c r="E594" s="155" t="s">
        <v>3869</v>
      </c>
      <c r="F594" s="154"/>
      <c r="G594" s="154" t="s">
        <v>464</v>
      </c>
      <c r="H594" s="152">
        <v>96.69</v>
      </c>
      <c r="I594" s="152">
        <v>96.69</v>
      </c>
      <c r="J594" s="156"/>
      <c r="K594" s="156">
        <f>+Recap_Previo!H73</f>
        <v>0</v>
      </c>
      <c r="L594" s="156">
        <f t="shared" si="1023"/>
        <v>0</v>
      </c>
      <c r="M594" s="156">
        <f t="shared" si="1024"/>
        <v>0</v>
      </c>
      <c r="N594" s="156" t="s">
        <v>92</v>
      </c>
      <c r="O594" s="157" cm="1">
        <f t="array" ref="O594">TRUNC($H594*(1+_xlfn.SWITCH($N594,"BDI 1",$O$6,"BDI 2",$O$7,"BDI 3",$O$8)),2)</f>
        <v>111.45</v>
      </c>
      <c r="P594" s="157" cm="1">
        <f t="array" ref="P594">TRUNC($I594*(1+_xlfn.SWITCH($N594,"BDI 1",$P$6,"BDI 2",$P$7,"BDI 3",$P$8)),2)</f>
        <v>111.45</v>
      </c>
      <c r="Q594" s="157">
        <v>0</v>
      </c>
      <c r="R594" s="157">
        <f t="shared" si="1025"/>
        <v>0</v>
      </c>
      <c r="S594" s="156">
        <f t="shared" si="1026"/>
        <v>0</v>
      </c>
      <c r="T594" s="156">
        <f t="shared" si="1027"/>
        <v>0</v>
      </c>
      <c r="U594" s="156">
        <f t="shared" si="1028"/>
        <v>0</v>
      </c>
      <c r="V594" s="156">
        <f t="shared" si="1029"/>
        <v>0</v>
      </c>
      <c r="W594" s="156">
        <f t="shared" si="1016"/>
        <v>0</v>
      </c>
      <c r="X594" s="158">
        <f t="shared" ref="X594" si="1076">$S594/ORCAMENTO_VALOR_TOTAL_ND</f>
        <v>0</v>
      </c>
      <c r="Y594" s="158">
        <f t="shared" ref="Y594" si="1077">$T594/ORCAMENTO_VALOR_TOTAL_DE</f>
        <v>0</v>
      </c>
      <c r="Z594" s="158" cm="1">
        <f t="array" ref="Z594">_xlfn.SWITCH($N594,"BDI 1",$O$6,"BDI 2",$O$7,"BDI 3",$O$8)</f>
        <v>0.1527</v>
      </c>
      <c r="AA594" s="158" cm="1">
        <f t="array" ref="AA594">_xlfn.SWITCH($N594,"BDI 1",$P$6,"BDI 2",$P$7,"BDI 3",$P$8)</f>
        <v>0.1527</v>
      </c>
      <c r="AB594" s="158">
        <f t="shared" ca="1" si="1032"/>
        <v>0</v>
      </c>
      <c r="AC594" s="158">
        <f t="shared" ca="1" si="1033"/>
        <v>0</v>
      </c>
      <c r="AD594" s="164"/>
      <c r="AE594" s="148">
        <f t="shared" si="1019"/>
        <v>0</v>
      </c>
      <c r="AF594" s="149"/>
      <c r="AG594" s="150"/>
      <c r="AH594" s="159">
        <f t="shared" si="1020"/>
        <v>0</v>
      </c>
      <c r="AI594" s="160"/>
      <c r="AJ594" s="105"/>
      <c r="AK594" s="105"/>
      <c r="AM594" s="105"/>
      <c r="AN594" s="105"/>
      <c r="AO594" s="105"/>
      <c r="AP594" s="105"/>
      <c r="AQ594" s="105"/>
      <c r="AR594" s="105"/>
    </row>
    <row r="595" spans="1:44" s="49" customFormat="1" ht="40.15" hidden="1" customHeight="1">
      <c r="A595" s="152">
        <f t="shared" ca="1" si="1021"/>
        <v>2.0199999999999996</v>
      </c>
      <c r="B595" s="153">
        <v>4721</v>
      </c>
      <c r="C595" s="154" t="str">
        <f t="shared" si="1022"/>
        <v>4721</v>
      </c>
      <c r="D595" s="154" t="s">
        <v>3579</v>
      </c>
      <c r="E595" s="155" t="s">
        <v>3866</v>
      </c>
      <c r="F595" s="154"/>
      <c r="G595" s="154" t="s">
        <v>464</v>
      </c>
      <c r="H595" s="152">
        <v>95.96</v>
      </c>
      <c r="I595" s="152">
        <v>95.96</v>
      </c>
      <c r="J595" s="156"/>
      <c r="K595" s="156">
        <f>+Recap_Previo!H88</f>
        <v>0</v>
      </c>
      <c r="L595" s="156">
        <f t="shared" si="1023"/>
        <v>0</v>
      </c>
      <c r="M595" s="156">
        <f t="shared" si="1024"/>
        <v>0</v>
      </c>
      <c r="N595" s="156" t="s">
        <v>92</v>
      </c>
      <c r="O595" s="157" cm="1">
        <f t="array" ref="O595">TRUNC($H595*(1+_xlfn.SWITCH($N595,"BDI 1",$O$6,"BDI 2",$O$7,"BDI 3",$O$8)),2)</f>
        <v>110.61</v>
      </c>
      <c r="P595" s="157" cm="1">
        <f t="array" ref="P595">TRUNC($I595*(1+_xlfn.SWITCH($N595,"BDI 1",$P$6,"BDI 2",$P$7,"BDI 3",$P$8)),2)</f>
        <v>110.61</v>
      </c>
      <c r="Q595" s="157">
        <v>0</v>
      </c>
      <c r="R595" s="157">
        <f t="shared" si="1025"/>
        <v>0</v>
      </c>
      <c r="S595" s="156">
        <f t="shared" si="1026"/>
        <v>0</v>
      </c>
      <c r="T595" s="156">
        <f t="shared" si="1027"/>
        <v>0</v>
      </c>
      <c r="U595" s="156">
        <f t="shared" si="1028"/>
        <v>0</v>
      </c>
      <c r="V595" s="156">
        <f t="shared" si="1029"/>
        <v>0</v>
      </c>
      <c r="W595" s="156">
        <f t="shared" si="1016"/>
        <v>0</v>
      </c>
      <c r="X595" s="158">
        <f t="shared" ref="X595" si="1078">$S595/ORCAMENTO_VALOR_TOTAL_ND</f>
        <v>0</v>
      </c>
      <c r="Y595" s="158">
        <f t="shared" ref="Y595" si="1079">$T595/ORCAMENTO_VALOR_TOTAL_DE</f>
        <v>0</v>
      </c>
      <c r="Z595" s="158" cm="1">
        <f t="array" ref="Z595">_xlfn.SWITCH($N595,"BDI 1",$O$6,"BDI 2",$O$7,"BDI 3",$O$8)</f>
        <v>0.1527</v>
      </c>
      <c r="AA595" s="158" cm="1">
        <f t="array" ref="AA595">_xlfn.SWITCH($N595,"BDI 1",$P$6,"BDI 2",$P$7,"BDI 3",$P$8)</f>
        <v>0.1527</v>
      </c>
      <c r="AB595" s="158">
        <f t="shared" ca="1" si="1032"/>
        <v>0</v>
      </c>
      <c r="AC595" s="158">
        <f t="shared" ca="1" si="1033"/>
        <v>0</v>
      </c>
      <c r="AD595" s="164"/>
      <c r="AE595" s="148">
        <f t="shared" si="1019"/>
        <v>0</v>
      </c>
      <c r="AF595" s="149"/>
      <c r="AG595" s="150"/>
      <c r="AH595" s="159">
        <f t="shared" si="1020"/>
        <v>0</v>
      </c>
      <c r="AI595" s="160"/>
      <c r="AJ595" s="105"/>
      <c r="AK595" s="105"/>
      <c r="AM595" s="105"/>
      <c r="AN595" s="105"/>
      <c r="AO595" s="105"/>
      <c r="AP595" s="105"/>
      <c r="AQ595" s="105"/>
      <c r="AR595" s="105"/>
    </row>
    <row r="596" spans="1:44" s="49" customFormat="1" ht="40.15" hidden="1" customHeight="1">
      <c r="A596" s="152">
        <f t="shared" ca="1" si="1021"/>
        <v>2.0199999999999996</v>
      </c>
      <c r="B596" s="153">
        <v>1379</v>
      </c>
      <c r="C596" s="154" t="str">
        <f t="shared" si="1022"/>
        <v>1379</v>
      </c>
      <c r="D596" s="154" t="s">
        <v>3579</v>
      </c>
      <c r="E596" s="155" t="s">
        <v>3889</v>
      </c>
      <c r="F596" s="154"/>
      <c r="G596" s="154" t="s">
        <v>3802</v>
      </c>
      <c r="H596" s="152">
        <v>0.76</v>
      </c>
      <c r="I596" s="152">
        <v>0.76</v>
      </c>
      <c r="J596" s="156"/>
      <c r="K596" s="156">
        <f>+Recap_Previo!H87</f>
        <v>0</v>
      </c>
      <c r="L596" s="156">
        <f t="shared" si="1023"/>
        <v>0</v>
      </c>
      <c r="M596" s="156">
        <f t="shared" si="1024"/>
        <v>0</v>
      </c>
      <c r="N596" s="156" t="s">
        <v>92</v>
      </c>
      <c r="O596" s="157" cm="1">
        <f t="array" ref="O596">TRUNC($H596*(1+_xlfn.SWITCH($N596,"BDI 1",$O$6,"BDI 2",$O$7,"BDI 3",$O$8)),2)</f>
        <v>0.87</v>
      </c>
      <c r="P596" s="157" cm="1">
        <f t="array" ref="P596">TRUNC($I596*(1+_xlfn.SWITCH($N596,"BDI 1",$P$6,"BDI 2",$P$7,"BDI 3",$P$8)),2)</f>
        <v>0.87</v>
      </c>
      <c r="Q596" s="157">
        <v>0</v>
      </c>
      <c r="R596" s="157">
        <f t="shared" si="1025"/>
        <v>0</v>
      </c>
      <c r="S596" s="156">
        <f t="shared" si="1026"/>
        <v>0</v>
      </c>
      <c r="T596" s="156">
        <f t="shared" si="1027"/>
        <v>0</v>
      </c>
      <c r="U596" s="156">
        <f t="shared" si="1028"/>
        <v>0</v>
      </c>
      <c r="V596" s="156">
        <f t="shared" si="1029"/>
        <v>0</v>
      </c>
      <c r="W596" s="156">
        <f t="shared" si="1016"/>
        <v>0</v>
      </c>
      <c r="X596" s="158">
        <f t="shared" ref="X596" si="1080">$S596/ORCAMENTO_VALOR_TOTAL_ND</f>
        <v>0</v>
      </c>
      <c r="Y596" s="158">
        <f t="shared" ref="Y596" si="1081">$T596/ORCAMENTO_VALOR_TOTAL_DE</f>
        <v>0</v>
      </c>
      <c r="Z596" s="158" cm="1">
        <f t="array" ref="Z596">_xlfn.SWITCH($N596,"BDI 1",$O$6,"BDI 2",$O$7,"BDI 3",$O$8)</f>
        <v>0.1527</v>
      </c>
      <c r="AA596" s="158" cm="1">
        <f t="array" ref="AA596">_xlfn.SWITCH($N596,"BDI 1",$P$6,"BDI 2",$P$7,"BDI 3",$P$8)</f>
        <v>0.1527</v>
      </c>
      <c r="AB596" s="158">
        <f t="shared" ca="1" si="1032"/>
        <v>0</v>
      </c>
      <c r="AC596" s="158">
        <f t="shared" ca="1" si="1033"/>
        <v>0</v>
      </c>
      <c r="AD596" s="164"/>
      <c r="AE596" s="148">
        <f t="shared" si="1019"/>
        <v>0</v>
      </c>
      <c r="AF596" s="149"/>
      <c r="AG596" s="150"/>
      <c r="AH596" s="159">
        <f t="shared" si="1020"/>
        <v>0</v>
      </c>
      <c r="AI596" s="160"/>
      <c r="AJ596" s="105"/>
      <c r="AK596" s="105"/>
      <c r="AM596" s="105"/>
      <c r="AN596" s="105"/>
      <c r="AO596" s="105"/>
      <c r="AP596" s="105"/>
      <c r="AQ596" s="105"/>
      <c r="AR596" s="105"/>
    </row>
    <row r="597" spans="1:44" s="49" customFormat="1" ht="30" customHeight="1">
      <c r="A597" s="152">
        <f t="shared" ca="1" si="1021"/>
        <v>2.0299999999999994</v>
      </c>
      <c r="B597" s="153" t="s">
        <v>249</v>
      </c>
      <c r="C597" s="154" t="str">
        <f t="shared" si="1022"/>
        <v>PA/0025</v>
      </c>
      <c r="D597" s="154" t="s">
        <v>3549</v>
      </c>
      <c r="E597" s="155" t="s">
        <v>3532</v>
      </c>
      <c r="F597" s="154"/>
      <c r="G597" s="154" t="s">
        <v>1418</v>
      </c>
      <c r="H597" s="152">
        <v>5.28</v>
      </c>
      <c r="I597" s="152">
        <v>5.24</v>
      </c>
      <c r="J597" s="156"/>
      <c r="K597" s="156">
        <f>+Recap_Previo!H97</f>
        <v>17240</v>
      </c>
      <c r="L597" s="156">
        <f t="shared" si="1023"/>
        <v>17240</v>
      </c>
      <c r="M597" s="156">
        <f t="shared" si="1024"/>
        <v>0</v>
      </c>
      <c r="N597" s="156" t="s">
        <v>83</v>
      </c>
      <c r="O597" s="157" cm="1">
        <f t="array" ref="O597">TRUNC($H597*(1+_xlfn.SWITCH($N597,"BDI 1",$O$6,"BDI 2",$O$7,"BDI 3",$O$8)),2)</f>
        <v>6.37</v>
      </c>
      <c r="P597" s="157" cm="1">
        <f t="array" ref="P597">TRUNC($I597*(1+_xlfn.SWITCH($N597,"BDI 1",$P$6,"BDI 2",$P$7,"BDI 3",$P$8)),2)</f>
        <v>6.64</v>
      </c>
      <c r="Q597" s="157">
        <v>0</v>
      </c>
      <c r="R597" s="157">
        <f t="shared" si="1025"/>
        <v>0</v>
      </c>
      <c r="S597" s="156">
        <f t="shared" si="1026"/>
        <v>109818.8</v>
      </c>
      <c r="T597" s="156">
        <f t="shared" si="1027"/>
        <v>114473.60000000001</v>
      </c>
      <c r="U597" s="156">
        <f t="shared" si="1028"/>
        <v>0</v>
      </c>
      <c r="V597" s="156">
        <f t="shared" si="1029"/>
        <v>0</v>
      </c>
      <c r="W597" s="156">
        <f t="shared" si="1016"/>
        <v>0</v>
      </c>
      <c r="X597" s="158">
        <f t="shared" ref="X597" si="1082">$S597/ORCAMENTO_VALOR_TOTAL_ND</f>
        <v>3.5511911708778397E-2</v>
      </c>
      <c r="Y597" s="158">
        <f t="shared" ref="Y597" si="1083">$T597/ORCAMENTO_VALOR_TOTAL_DE</f>
        <v>3.3656842439337357E-2</v>
      </c>
      <c r="Z597" s="158" cm="1">
        <f t="array" ref="Z597">_xlfn.SWITCH($N597,"BDI 1",$O$6,"BDI 2",$O$7,"BDI 3",$O$8)</f>
        <v>0.20699999999999999</v>
      </c>
      <c r="AA597" s="158" cm="1">
        <f t="array" ref="AA597">_xlfn.SWITCH($N597,"BDI 1",$P$6,"BDI 2",$P$7,"BDI 3",$P$8)</f>
        <v>0.26739999999999997</v>
      </c>
      <c r="AB597" s="158">
        <f t="shared" ca="1" si="1032"/>
        <v>0</v>
      </c>
      <c r="AC597" s="158">
        <f t="shared" ca="1" si="1033"/>
        <v>0</v>
      </c>
      <c r="AD597" s="164"/>
      <c r="AE597" s="148">
        <f t="shared" ca="1" si="1019"/>
        <v>2</v>
      </c>
      <c r="AF597" s="149"/>
      <c r="AG597" s="150"/>
      <c r="AH597" s="159">
        <f t="shared" si="1020"/>
        <v>3.8000147150966668E-2</v>
      </c>
      <c r="AI597" s="165" t="s">
        <v>250</v>
      </c>
      <c r="AJ597" s="105"/>
      <c r="AK597" s="105"/>
      <c r="AM597" s="105"/>
      <c r="AN597" s="105"/>
      <c r="AO597" s="105"/>
      <c r="AP597" s="105"/>
      <c r="AQ597" s="105"/>
      <c r="AR597" s="105"/>
    </row>
    <row r="598" spans="1:44" s="49" customFormat="1" ht="30" customHeight="1">
      <c r="A598" s="152">
        <f t="shared" ca="1" si="1021"/>
        <v>2.0399999999999991</v>
      </c>
      <c r="B598" s="153" t="s">
        <v>287</v>
      </c>
      <c r="C598" s="154" t="str">
        <f t="shared" si="1022"/>
        <v>PA/0023</v>
      </c>
      <c r="D598" s="154" t="s">
        <v>3549</v>
      </c>
      <c r="E598" s="155" t="s">
        <v>3539</v>
      </c>
      <c r="F598" s="154"/>
      <c r="G598" s="154" t="s">
        <v>1418</v>
      </c>
      <c r="H598" s="152">
        <v>2.37</v>
      </c>
      <c r="I598" s="152">
        <v>2.33</v>
      </c>
      <c r="J598" s="156"/>
      <c r="K598" s="156">
        <f>+Recap_Previo!H101</f>
        <v>8620</v>
      </c>
      <c r="L598" s="156">
        <f t="shared" si="1023"/>
        <v>8620</v>
      </c>
      <c r="M598" s="156">
        <f t="shared" si="1024"/>
        <v>0</v>
      </c>
      <c r="N598" s="156" t="s">
        <v>83</v>
      </c>
      <c r="O598" s="157" cm="1">
        <f t="array" ref="O598">TRUNC($H598*(1+_xlfn.SWITCH($N598,"BDI 1",$O$6,"BDI 2",$O$7,"BDI 3",$O$8)),2)</f>
        <v>2.86</v>
      </c>
      <c r="P598" s="157" cm="1">
        <f t="array" ref="P598">TRUNC($I598*(1+_xlfn.SWITCH($N598,"BDI 1",$P$6,"BDI 2",$P$7,"BDI 3",$P$8)),2)</f>
        <v>2.95</v>
      </c>
      <c r="Q598" s="157">
        <v>0</v>
      </c>
      <c r="R598" s="157">
        <f t="shared" si="1025"/>
        <v>0</v>
      </c>
      <c r="S598" s="156">
        <f t="shared" si="1026"/>
        <v>24653.200000000001</v>
      </c>
      <c r="T598" s="156">
        <f t="shared" si="1027"/>
        <v>25429</v>
      </c>
      <c r="U598" s="156">
        <f t="shared" si="1028"/>
        <v>0</v>
      </c>
      <c r="V598" s="156">
        <f t="shared" si="1029"/>
        <v>0</v>
      </c>
      <c r="W598" s="156">
        <f t="shared" si="1016"/>
        <v>0</v>
      </c>
      <c r="X598" s="158">
        <f t="shared" ref="X598" si="1084">$S598/ORCAMENTO_VALOR_TOTAL_ND</f>
        <v>7.9720618121747432E-3</v>
      </c>
      <c r="Y598" s="158">
        <f t="shared" ref="Y598" si="1085">$T598/ORCAMENTO_VALOR_TOTAL_DE</f>
        <v>7.4764823189793078E-3</v>
      </c>
      <c r="Z598" s="158" cm="1">
        <f t="array" ref="Z598">_xlfn.SWITCH($N598,"BDI 1",$O$6,"BDI 2",$O$7,"BDI 3",$O$8)</f>
        <v>0.20699999999999999</v>
      </c>
      <c r="AA598" s="158" cm="1">
        <f t="array" ref="AA598">_xlfn.SWITCH($N598,"BDI 1",$P$6,"BDI 2",$P$7,"BDI 3",$P$8)</f>
        <v>0.26739999999999997</v>
      </c>
      <c r="AB598" s="158">
        <f t="shared" ca="1" si="1032"/>
        <v>0</v>
      </c>
      <c r="AC598" s="158">
        <f t="shared" ca="1" si="1033"/>
        <v>0</v>
      </c>
      <c r="AD598" s="164"/>
      <c r="AE598" s="148">
        <f t="shared" ca="1" si="1019"/>
        <v>2</v>
      </c>
      <c r="AF598" s="149"/>
      <c r="AG598" s="150"/>
      <c r="AH598" s="159">
        <f t="shared" si="1020"/>
        <v>8.5306452787884349E-3</v>
      </c>
      <c r="AI598" s="160"/>
      <c r="AJ598" s="105"/>
      <c r="AK598" s="105"/>
      <c r="AM598" s="105"/>
      <c r="AN598" s="105"/>
      <c r="AO598" s="105"/>
      <c r="AP598" s="105"/>
      <c r="AQ598" s="105"/>
      <c r="AR598" s="105"/>
    </row>
    <row r="599" spans="1:44" s="49" customFormat="1" ht="50.1" customHeight="1">
      <c r="A599" s="152">
        <f t="shared" ca="1" si="1021"/>
        <v>2.0499999999999989</v>
      </c>
      <c r="B599" s="153" t="s">
        <v>288</v>
      </c>
      <c r="C599" s="154" t="str">
        <f t="shared" si="1022"/>
        <v>RE/0052</v>
      </c>
      <c r="D599" s="154" t="s">
        <v>3549</v>
      </c>
      <c r="E599" s="155" t="s">
        <v>3530</v>
      </c>
      <c r="F599" s="154"/>
      <c r="G599" s="154" t="s">
        <v>464</v>
      </c>
      <c r="H599" s="152">
        <v>1643.16</v>
      </c>
      <c r="I599" s="152">
        <v>1637.4</v>
      </c>
      <c r="J599" s="156"/>
      <c r="K599" s="156">
        <f>+Recap_Previo!H109</f>
        <v>775.8</v>
      </c>
      <c r="L599" s="156">
        <f t="shared" si="1023"/>
        <v>775.8</v>
      </c>
      <c r="M599" s="156">
        <f t="shared" si="1024"/>
        <v>0</v>
      </c>
      <c r="N599" s="156" t="s">
        <v>83</v>
      </c>
      <c r="O599" s="157" cm="1">
        <f t="array" ref="O599">TRUNC($H599*(1+_xlfn.SWITCH($N599,"BDI 1",$O$6,"BDI 2",$O$7,"BDI 3",$O$8)),2)</f>
        <v>1983.29</v>
      </c>
      <c r="P599" s="157" cm="1">
        <f t="array" ref="P599">TRUNC($I599*(1+_xlfn.SWITCH($N599,"BDI 1",$P$6,"BDI 2",$P$7,"BDI 3",$P$8)),2)</f>
        <v>2075.2399999999998</v>
      </c>
      <c r="Q599" s="157">
        <v>0</v>
      </c>
      <c r="R599" s="157">
        <f t="shared" si="1025"/>
        <v>0</v>
      </c>
      <c r="S599" s="156">
        <f t="shared" si="1026"/>
        <v>1538636.38</v>
      </c>
      <c r="T599" s="156">
        <f t="shared" si="1027"/>
        <v>1609971.19</v>
      </c>
      <c r="U599" s="156">
        <f t="shared" si="1028"/>
        <v>0</v>
      </c>
      <c r="V599" s="156">
        <f t="shared" si="1029"/>
        <v>0</v>
      </c>
      <c r="W599" s="156">
        <f t="shared" si="1016"/>
        <v>0</v>
      </c>
      <c r="X599" s="158">
        <f t="shared" ref="X599" si="1086">$S599/ORCAMENTO_VALOR_TOTAL_ND</f>
        <v>0.49754613307078938</v>
      </c>
      <c r="Y599" s="158">
        <f t="shared" ref="Y599" si="1087">$T599/ORCAMENTO_VALOR_TOTAL_DE</f>
        <v>0.47335408927213318</v>
      </c>
      <c r="Z599" s="158" cm="1">
        <f t="array" ref="Z599">_xlfn.SWITCH($N599,"BDI 1",$O$6,"BDI 2",$O$7,"BDI 3",$O$8)</f>
        <v>0.20699999999999999</v>
      </c>
      <c r="AA599" s="158" cm="1">
        <f t="array" ref="AA599">_xlfn.SWITCH($N599,"BDI 1",$P$6,"BDI 2",$P$7,"BDI 3",$P$8)</f>
        <v>0.26739999999999997</v>
      </c>
      <c r="AB599" s="158">
        <f t="shared" ca="1" si="1032"/>
        <v>0</v>
      </c>
      <c r="AC599" s="158">
        <f t="shared" ca="1" si="1033"/>
        <v>0</v>
      </c>
      <c r="AD599" s="164"/>
      <c r="AE599" s="148">
        <f t="shared" ca="1" si="1019"/>
        <v>2</v>
      </c>
      <c r="AF599" s="149"/>
      <c r="AG599" s="150"/>
      <c r="AH599" s="159">
        <f t="shared" si="1020"/>
        <v>0.53240801075800004</v>
      </c>
      <c r="AI599" s="165" t="s">
        <v>243</v>
      </c>
      <c r="AJ599" s="105"/>
      <c r="AK599" s="105"/>
      <c r="AM599" s="105"/>
      <c r="AN599" s="105"/>
      <c r="AO599" s="105"/>
      <c r="AP599" s="105"/>
      <c r="AQ599" s="105"/>
      <c r="AR599" s="105"/>
    </row>
    <row r="600" spans="1:44" s="49" customFormat="1" ht="40.15" hidden="1" customHeight="1">
      <c r="A600" s="152">
        <f t="shared" ca="1" si="1021"/>
        <v>2.0499999999999989</v>
      </c>
      <c r="B600" s="153" t="s">
        <v>253</v>
      </c>
      <c r="C600" s="154" t="str">
        <f t="shared" si="1022"/>
        <v>RE/0055</v>
      </c>
      <c r="D600" s="154" t="s">
        <v>3549</v>
      </c>
      <c r="E600" s="155" t="s">
        <v>3876</v>
      </c>
      <c r="F600" s="154"/>
      <c r="G600" s="154" t="s">
        <v>464</v>
      </c>
      <c r="H600" s="152">
        <v>1580.75</v>
      </c>
      <c r="I600" s="152">
        <v>1580.01</v>
      </c>
      <c r="J600" s="156"/>
      <c r="K600" s="156">
        <f>+Recap_Previo!H110</f>
        <v>0</v>
      </c>
      <c r="L600" s="156">
        <f t="shared" si="1023"/>
        <v>0</v>
      </c>
      <c r="M600" s="156">
        <f t="shared" si="1024"/>
        <v>0</v>
      </c>
      <c r="N600" s="156" t="s">
        <v>83</v>
      </c>
      <c r="O600" s="157" cm="1">
        <f t="array" ref="O600">TRUNC($H600*(1+_xlfn.SWITCH($N600,"BDI 1",$O$6,"BDI 2",$O$7,"BDI 3",$O$8)),2)</f>
        <v>1907.96</v>
      </c>
      <c r="P600" s="157" cm="1">
        <f t="array" ref="P600">TRUNC($I600*(1+_xlfn.SWITCH($N600,"BDI 1",$P$6,"BDI 2",$P$7,"BDI 3",$P$8)),2)</f>
        <v>2002.5</v>
      </c>
      <c r="Q600" s="157">
        <v>0</v>
      </c>
      <c r="R600" s="157">
        <f t="shared" si="1025"/>
        <v>0</v>
      </c>
      <c r="S600" s="156">
        <f t="shared" si="1026"/>
        <v>0</v>
      </c>
      <c r="T600" s="156">
        <f t="shared" si="1027"/>
        <v>0</v>
      </c>
      <c r="U600" s="156">
        <f t="shared" si="1028"/>
        <v>0</v>
      </c>
      <c r="V600" s="156">
        <f t="shared" si="1029"/>
        <v>0</v>
      </c>
      <c r="W600" s="156">
        <f t="shared" si="1016"/>
        <v>0</v>
      </c>
      <c r="X600" s="158">
        <f t="shared" ref="X600" si="1088">$S600/ORCAMENTO_VALOR_TOTAL_ND</f>
        <v>0</v>
      </c>
      <c r="Y600" s="158">
        <f t="shared" ref="Y600" si="1089">$T600/ORCAMENTO_VALOR_TOTAL_DE</f>
        <v>0</v>
      </c>
      <c r="Z600" s="158" cm="1">
        <f t="array" ref="Z600">_xlfn.SWITCH($N600,"BDI 1",$O$6,"BDI 2",$O$7,"BDI 3",$O$8)</f>
        <v>0.20699999999999999</v>
      </c>
      <c r="AA600" s="158" cm="1">
        <f t="array" ref="AA600">_xlfn.SWITCH($N600,"BDI 1",$P$6,"BDI 2",$P$7,"BDI 3",$P$8)</f>
        <v>0.26739999999999997</v>
      </c>
      <c r="AB600" s="158">
        <f t="shared" ca="1" si="1032"/>
        <v>0</v>
      </c>
      <c r="AC600" s="158">
        <f t="shared" ca="1" si="1033"/>
        <v>0</v>
      </c>
      <c r="AD600" s="164"/>
      <c r="AE600" s="148">
        <f t="shared" si="1019"/>
        <v>0</v>
      </c>
      <c r="AF600" s="149"/>
      <c r="AG600" s="150"/>
      <c r="AH600" s="159">
        <f t="shared" si="1020"/>
        <v>0</v>
      </c>
      <c r="AI600" s="165" t="s">
        <v>243</v>
      </c>
      <c r="AJ600" s="105"/>
      <c r="AK600" s="105"/>
      <c r="AM600" s="105"/>
      <c r="AN600" s="105"/>
      <c r="AO600" s="105"/>
      <c r="AP600" s="105"/>
      <c r="AQ600" s="105"/>
      <c r="AR600" s="105"/>
    </row>
    <row r="601" spans="1:44" s="49" customFormat="1" ht="49.9" hidden="1" customHeight="1">
      <c r="A601" s="152">
        <f t="shared" ca="1" si="1021"/>
        <v>2.0499999999999989</v>
      </c>
      <c r="B601" s="153" t="s">
        <v>252</v>
      </c>
      <c r="C601" s="154" t="str">
        <f t="shared" si="1022"/>
        <v>PA/0040</v>
      </c>
      <c r="D601" s="154" t="s">
        <v>3549</v>
      </c>
      <c r="E601" s="155" t="s">
        <v>3875</v>
      </c>
      <c r="F601" s="154"/>
      <c r="G601" s="154" t="s">
        <v>464</v>
      </c>
      <c r="H601" s="152">
        <v>1628.68</v>
      </c>
      <c r="I601" s="152">
        <v>1625.69</v>
      </c>
      <c r="J601" s="156"/>
      <c r="K601" s="156">
        <f>+Recap_Previo!H111</f>
        <v>0</v>
      </c>
      <c r="L601" s="156">
        <f t="shared" si="1023"/>
        <v>0</v>
      </c>
      <c r="M601" s="156">
        <f t="shared" si="1024"/>
        <v>0</v>
      </c>
      <c r="N601" s="156" t="s">
        <v>83</v>
      </c>
      <c r="O601" s="157" cm="1">
        <f t="array" ref="O601">TRUNC($H601*(1+_xlfn.SWITCH($N601,"BDI 1",$O$6,"BDI 2",$O$7,"BDI 3",$O$8)),2)</f>
        <v>1965.81</v>
      </c>
      <c r="P601" s="157" cm="1">
        <f t="array" ref="P601">TRUNC($I601*(1+_xlfn.SWITCH($N601,"BDI 1",$P$6,"BDI 2",$P$7,"BDI 3",$P$8)),2)</f>
        <v>2060.39</v>
      </c>
      <c r="Q601" s="157">
        <v>0</v>
      </c>
      <c r="R601" s="157">
        <f t="shared" si="1025"/>
        <v>0</v>
      </c>
      <c r="S601" s="156">
        <f t="shared" si="1026"/>
        <v>0</v>
      </c>
      <c r="T601" s="156">
        <f t="shared" si="1027"/>
        <v>0</v>
      </c>
      <c r="U601" s="156">
        <f t="shared" si="1028"/>
        <v>0</v>
      </c>
      <c r="V601" s="156">
        <f t="shared" si="1029"/>
        <v>0</v>
      </c>
      <c r="W601" s="156">
        <f t="shared" si="1016"/>
        <v>0</v>
      </c>
      <c r="X601" s="158">
        <f t="shared" ref="X601" si="1090">$S601/ORCAMENTO_VALOR_TOTAL_ND</f>
        <v>0</v>
      </c>
      <c r="Y601" s="158">
        <f t="shared" ref="Y601" si="1091">$T601/ORCAMENTO_VALOR_TOTAL_DE</f>
        <v>0</v>
      </c>
      <c r="Z601" s="158" cm="1">
        <f t="array" ref="Z601">_xlfn.SWITCH($N601,"BDI 1",$O$6,"BDI 2",$O$7,"BDI 3",$O$8)</f>
        <v>0.20699999999999999</v>
      </c>
      <c r="AA601" s="158" cm="1">
        <f t="array" ref="AA601">_xlfn.SWITCH($N601,"BDI 1",$P$6,"BDI 2",$P$7,"BDI 3",$P$8)</f>
        <v>0.26739999999999997</v>
      </c>
      <c r="AB601" s="158">
        <f t="shared" ca="1" si="1032"/>
        <v>0</v>
      </c>
      <c r="AC601" s="158">
        <f t="shared" ca="1" si="1033"/>
        <v>0</v>
      </c>
      <c r="AD601" s="164"/>
      <c r="AE601" s="148">
        <f t="shared" si="1019"/>
        <v>0</v>
      </c>
      <c r="AF601" s="149"/>
      <c r="AG601" s="150"/>
      <c r="AH601" s="159">
        <f t="shared" si="1020"/>
        <v>0</v>
      </c>
      <c r="AI601" s="165" t="s">
        <v>289</v>
      </c>
      <c r="AJ601" s="105"/>
      <c r="AK601" s="105"/>
      <c r="AM601" s="105"/>
      <c r="AN601" s="105"/>
      <c r="AO601" s="105"/>
      <c r="AP601" s="105"/>
      <c r="AQ601" s="105"/>
      <c r="AR601" s="105"/>
    </row>
    <row r="602" spans="1:44" s="49" customFormat="1" ht="40.15" hidden="1" customHeight="1">
      <c r="A602" s="152">
        <f t="shared" ca="1" si="1021"/>
        <v>2.0499999999999989</v>
      </c>
      <c r="B602" s="153" t="s">
        <v>254</v>
      </c>
      <c r="C602" s="154" t="str">
        <f t="shared" si="1022"/>
        <v>RE/0040</v>
      </c>
      <c r="D602" s="154">
        <v>0</v>
      </c>
      <c r="E602" s="155" t="s">
        <v>3766</v>
      </c>
      <c r="F602" s="154"/>
      <c r="G602" s="154">
        <v>0</v>
      </c>
      <c r="H602" s="152">
        <v>0</v>
      </c>
      <c r="I602" s="152">
        <v>0</v>
      </c>
      <c r="J602" s="156"/>
      <c r="K602" s="156">
        <f>+Recap_Previo!H116</f>
        <v>0</v>
      </c>
      <c r="L602" s="156">
        <f t="shared" si="1023"/>
        <v>0</v>
      </c>
      <c r="M602" s="156">
        <f t="shared" si="1024"/>
        <v>0</v>
      </c>
      <c r="N602" s="156" t="s">
        <v>83</v>
      </c>
      <c r="O602" s="157" cm="1">
        <f t="array" ref="O602">TRUNC($H602*(1+_xlfn.SWITCH($N602,"BDI 1",$O$6,"BDI 2",$O$7,"BDI 3",$O$8)),2)</f>
        <v>0</v>
      </c>
      <c r="P602" s="157" cm="1">
        <f t="array" ref="P602">TRUNC($I602*(1+_xlfn.SWITCH($N602,"BDI 1",$P$6,"BDI 2",$P$7,"BDI 3",$P$8)),2)</f>
        <v>0</v>
      </c>
      <c r="Q602" s="157">
        <v>0</v>
      </c>
      <c r="R602" s="157">
        <f t="shared" si="1025"/>
        <v>0</v>
      </c>
      <c r="S602" s="156">
        <f t="shared" si="1026"/>
        <v>0</v>
      </c>
      <c r="T602" s="156">
        <f t="shared" si="1027"/>
        <v>0</v>
      </c>
      <c r="U602" s="156">
        <f t="shared" si="1028"/>
        <v>0</v>
      </c>
      <c r="V602" s="156">
        <f t="shared" si="1029"/>
        <v>0</v>
      </c>
      <c r="W602" s="156">
        <f t="shared" si="1016"/>
        <v>0</v>
      </c>
      <c r="X602" s="158">
        <f t="shared" ref="X602" si="1092">$S602/ORCAMENTO_VALOR_TOTAL_ND</f>
        <v>0</v>
      </c>
      <c r="Y602" s="158">
        <f t="shared" ref="Y602" si="1093">$T602/ORCAMENTO_VALOR_TOTAL_DE</f>
        <v>0</v>
      </c>
      <c r="Z602" s="158" cm="1">
        <f t="array" ref="Z602">_xlfn.SWITCH($N602,"BDI 1",$O$6,"BDI 2",$O$7,"BDI 3",$O$8)</f>
        <v>0.20699999999999999</v>
      </c>
      <c r="AA602" s="158" cm="1">
        <f t="array" ref="AA602">_xlfn.SWITCH($N602,"BDI 1",$P$6,"BDI 2",$P$7,"BDI 3",$P$8)</f>
        <v>0.26739999999999997</v>
      </c>
      <c r="AB602" s="158">
        <f t="shared" ca="1" si="1032"/>
        <v>0</v>
      </c>
      <c r="AC602" s="158">
        <f t="shared" ca="1" si="1033"/>
        <v>0</v>
      </c>
      <c r="AD602" s="210"/>
      <c r="AE602" s="148">
        <f t="shared" si="1019"/>
        <v>0</v>
      </c>
      <c r="AF602" s="149"/>
      <c r="AG602" s="150"/>
      <c r="AH602" s="211">
        <f t="shared" si="1020"/>
        <v>0</v>
      </c>
      <c r="AI602" s="212"/>
      <c r="AJ602" s="105"/>
      <c r="AK602" s="105"/>
      <c r="AM602" s="105"/>
      <c r="AN602" s="105"/>
      <c r="AO602" s="105"/>
      <c r="AP602" s="105"/>
      <c r="AQ602" s="105"/>
      <c r="AR602" s="105"/>
    </row>
    <row r="603" spans="1:44" s="49" customFormat="1" ht="40.15" hidden="1" customHeight="1">
      <c r="A603" s="152">
        <f t="shared" ca="1" si="1021"/>
        <v>2.0499999999999989</v>
      </c>
      <c r="B603" s="153" t="s">
        <v>255</v>
      </c>
      <c r="C603" s="154" t="str">
        <f t="shared" si="1022"/>
        <v>RE/0045</v>
      </c>
      <c r="D603" s="154">
        <v>0</v>
      </c>
      <c r="E603" s="155" t="s">
        <v>3766</v>
      </c>
      <c r="F603" s="154"/>
      <c r="G603" s="154">
        <v>0</v>
      </c>
      <c r="H603" s="152">
        <v>0</v>
      </c>
      <c r="I603" s="152">
        <v>0</v>
      </c>
      <c r="J603" s="156"/>
      <c r="K603" s="156">
        <f>+Recap_Previo!H117</f>
        <v>0</v>
      </c>
      <c r="L603" s="156">
        <f t="shared" si="1023"/>
        <v>0</v>
      </c>
      <c r="M603" s="156">
        <f t="shared" si="1024"/>
        <v>0</v>
      </c>
      <c r="N603" s="156" t="s">
        <v>83</v>
      </c>
      <c r="O603" s="157" cm="1">
        <f t="array" ref="O603">TRUNC($H603*(1+_xlfn.SWITCH($N603,"BDI 1",$O$6,"BDI 2",$O$7,"BDI 3",$O$8)),2)</f>
        <v>0</v>
      </c>
      <c r="P603" s="157" cm="1">
        <f t="array" ref="P603">TRUNC($I603*(1+_xlfn.SWITCH($N603,"BDI 1",$P$6,"BDI 2",$P$7,"BDI 3",$P$8)),2)</f>
        <v>0</v>
      </c>
      <c r="Q603" s="157">
        <v>0</v>
      </c>
      <c r="R603" s="157">
        <f t="shared" si="1025"/>
        <v>0</v>
      </c>
      <c r="S603" s="156">
        <f t="shared" si="1026"/>
        <v>0</v>
      </c>
      <c r="T603" s="156">
        <f t="shared" si="1027"/>
        <v>0</v>
      </c>
      <c r="U603" s="156">
        <f t="shared" si="1028"/>
        <v>0</v>
      </c>
      <c r="V603" s="156">
        <f t="shared" si="1029"/>
        <v>0</v>
      </c>
      <c r="W603" s="156">
        <f t="shared" si="1016"/>
        <v>0</v>
      </c>
      <c r="X603" s="158">
        <f t="shared" ref="X603" si="1094">$S603/ORCAMENTO_VALOR_TOTAL_ND</f>
        <v>0</v>
      </c>
      <c r="Y603" s="158">
        <f t="shared" ref="Y603" si="1095">$T603/ORCAMENTO_VALOR_TOTAL_DE</f>
        <v>0</v>
      </c>
      <c r="Z603" s="158" cm="1">
        <f t="array" ref="Z603">_xlfn.SWITCH($N603,"BDI 1",$O$6,"BDI 2",$O$7,"BDI 3",$O$8)</f>
        <v>0.20699999999999999</v>
      </c>
      <c r="AA603" s="158" cm="1">
        <f t="array" ref="AA603">_xlfn.SWITCH($N603,"BDI 1",$P$6,"BDI 2",$P$7,"BDI 3",$P$8)</f>
        <v>0.26739999999999997</v>
      </c>
      <c r="AB603" s="158">
        <f t="shared" ca="1" si="1032"/>
        <v>0</v>
      </c>
      <c r="AC603" s="158">
        <f t="shared" ca="1" si="1033"/>
        <v>0</v>
      </c>
      <c r="AD603" s="164"/>
      <c r="AE603" s="148">
        <f t="shared" si="1019"/>
        <v>0</v>
      </c>
      <c r="AF603" s="149"/>
      <c r="AG603" s="150"/>
      <c r="AH603" s="159">
        <f t="shared" si="1020"/>
        <v>0</v>
      </c>
      <c r="AI603" s="160"/>
      <c r="AJ603" s="105"/>
      <c r="AK603" s="105"/>
      <c r="AM603" s="105"/>
      <c r="AN603" s="105"/>
      <c r="AO603" s="105"/>
      <c r="AP603" s="105"/>
      <c r="AQ603" s="105"/>
      <c r="AR603" s="105"/>
    </row>
    <row r="604" spans="1:44" s="49" customFormat="1" ht="40.15" hidden="1" customHeight="1">
      <c r="A604" s="152">
        <f t="shared" ca="1" si="1021"/>
        <v>2.0499999999999989</v>
      </c>
      <c r="B604" s="153" t="s">
        <v>290</v>
      </c>
      <c r="C604" s="154" t="str">
        <f t="shared" si="1022"/>
        <v>PA/0055</v>
      </c>
      <c r="D604" s="154">
        <v>0</v>
      </c>
      <c r="E604" s="155" t="s">
        <v>3766</v>
      </c>
      <c r="F604" s="154"/>
      <c r="G604" s="154">
        <v>0</v>
      </c>
      <c r="H604" s="152">
        <v>0</v>
      </c>
      <c r="I604" s="152">
        <v>0</v>
      </c>
      <c r="J604" s="156"/>
      <c r="K604" s="156">
        <f>+Recap_Previo!H118</f>
        <v>0</v>
      </c>
      <c r="L604" s="156">
        <f t="shared" si="1023"/>
        <v>0</v>
      </c>
      <c r="M604" s="156">
        <f t="shared" si="1024"/>
        <v>0</v>
      </c>
      <c r="N604" s="156" t="s">
        <v>83</v>
      </c>
      <c r="O604" s="157" cm="1">
        <f t="array" ref="O604">TRUNC($H604*(1+_xlfn.SWITCH($N604,"BDI 1",$O$6,"BDI 2",$O$7,"BDI 3",$O$8)),2)</f>
        <v>0</v>
      </c>
      <c r="P604" s="157" cm="1">
        <f t="array" ref="P604">TRUNC($I604*(1+_xlfn.SWITCH($N604,"BDI 1",$P$6,"BDI 2",$P$7,"BDI 3",$P$8)),2)</f>
        <v>0</v>
      </c>
      <c r="Q604" s="157">
        <v>0</v>
      </c>
      <c r="R604" s="157">
        <f t="shared" si="1025"/>
        <v>0</v>
      </c>
      <c r="S604" s="156">
        <f t="shared" si="1026"/>
        <v>0</v>
      </c>
      <c r="T604" s="156">
        <f t="shared" si="1027"/>
        <v>0</v>
      </c>
      <c r="U604" s="156">
        <f t="shared" si="1028"/>
        <v>0</v>
      </c>
      <c r="V604" s="156">
        <f t="shared" si="1029"/>
        <v>0</v>
      </c>
      <c r="W604" s="156">
        <f t="shared" si="1016"/>
        <v>0</v>
      </c>
      <c r="X604" s="158">
        <f t="shared" ref="X604" si="1096">$S604/ORCAMENTO_VALOR_TOTAL_ND</f>
        <v>0</v>
      </c>
      <c r="Y604" s="158">
        <f t="shared" ref="Y604" si="1097">$T604/ORCAMENTO_VALOR_TOTAL_DE</f>
        <v>0</v>
      </c>
      <c r="Z604" s="158" cm="1">
        <f t="array" ref="Z604">_xlfn.SWITCH($N604,"BDI 1",$O$6,"BDI 2",$O$7,"BDI 3",$O$8)</f>
        <v>0.20699999999999999</v>
      </c>
      <c r="AA604" s="158" cm="1">
        <f t="array" ref="AA604">_xlfn.SWITCH($N604,"BDI 1",$P$6,"BDI 2",$P$7,"BDI 3",$P$8)</f>
        <v>0.26739999999999997</v>
      </c>
      <c r="AB604" s="158">
        <f t="shared" ca="1" si="1032"/>
        <v>0</v>
      </c>
      <c r="AC604" s="158">
        <f t="shared" ca="1" si="1033"/>
        <v>0</v>
      </c>
      <c r="AD604" s="164"/>
      <c r="AE604" s="148">
        <f t="shared" si="1019"/>
        <v>0</v>
      </c>
      <c r="AF604" s="149"/>
      <c r="AG604" s="150"/>
      <c r="AH604" s="213">
        <f t="shared" si="1020"/>
        <v>0</v>
      </c>
      <c r="AI604" s="160"/>
      <c r="AJ604" s="105"/>
      <c r="AK604" s="105"/>
      <c r="AM604" s="105"/>
      <c r="AN604" s="105"/>
      <c r="AO604" s="105"/>
      <c r="AP604" s="105"/>
      <c r="AQ604" s="105"/>
      <c r="AR604" s="105"/>
    </row>
    <row r="605" spans="1:44" s="49" customFormat="1" ht="49.9" hidden="1" customHeight="1">
      <c r="A605" s="152">
        <f t="shared" ca="1" si="1021"/>
        <v>2.0499999999999989</v>
      </c>
      <c r="B605" s="153">
        <v>100978</v>
      </c>
      <c r="C605" s="154" t="str">
        <f t="shared" si="1022"/>
        <v>100978</v>
      </c>
      <c r="D605" s="154" t="s">
        <v>1416</v>
      </c>
      <c r="E605" s="155" t="s">
        <v>3810</v>
      </c>
      <c r="F605" s="154"/>
      <c r="G605" s="154" t="s">
        <v>464</v>
      </c>
      <c r="H605" s="152">
        <v>6.64</v>
      </c>
      <c r="I605" s="152">
        <v>6.55</v>
      </c>
      <c r="J605" s="156"/>
      <c r="K605" s="156">
        <f>IF(Recap_Previo!H122&lt;=50,Recap_Previo!H122,0)+IF(Recap_Previo!H124&lt;=50,Recap_Previo!H124,0)</f>
        <v>0</v>
      </c>
      <c r="L605" s="156">
        <f t="shared" si="1023"/>
        <v>0</v>
      </c>
      <c r="M605" s="156">
        <f t="shared" si="1024"/>
        <v>0</v>
      </c>
      <c r="N605" s="156" t="s">
        <v>83</v>
      </c>
      <c r="O605" s="157" cm="1">
        <f t="array" ref="O605">TRUNC($H605*(1+_xlfn.SWITCH($N605,"BDI 1",$O$6,"BDI 2",$O$7,"BDI 3",$O$8)),2)</f>
        <v>8.01</v>
      </c>
      <c r="P605" s="157" cm="1">
        <f t="array" ref="P605">TRUNC($I605*(1+_xlfn.SWITCH($N605,"BDI 1",$P$6,"BDI 2",$P$7,"BDI 3",$P$8)),2)</f>
        <v>8.3000000000000007</v>
      </c>
      <c r="Q605" s="157">
        <v>0</v>
      </c>
      <c r="R605" s="157">
        <f t="shared" si="1025"/>
        <v>0</v>
      </c>
      <c r="S605" s="156">
        <f t="shared" si="1026"/>
        <v>0</v>
      </c>
      <c r="T605" s="156">
        <f t="shared" si="1027"/>
        <v>0</v>
      </c>
      <c r="U605" s="156">
        <f t="shared" si="1028"/>
        <v>0</v>
      </c>
      <c r="V605" s="156">
        <f t="shared" si="1029"/>
        <v>0</v>
      </c>
      <c r="W605" s="156">
        <f t="shared" si="1016"/>
        <v>0</v>
      </c>
      <c r="X605" s="158">
        <f t="shared" ref="X605" si="1098">$S605/ORCAMENTO_VALOR_TOTAL_ND</f>
        <v>0</v>
      </c>
      <c r="Y605" s="158">
        <f t="shared" ref="Y605" si="1099">$T605/ORCAMENTO_VALOR_TOTAL_DE</f>
        <v>0</v>
      </c>
      <c r="Z605" s="158" cm="1">
        <f t="array" ref="Z605">_xlfn.SWITCH($N605,"BDI 1",$O$6,"BDI 2",$O$7,"BDI 3",$O$8)</f>
        <v>0.20699999999999999</v>
      </c>
      <c r="AA605" s="158" cm="1">
        <f t="array" ref="AA605">_xlfn.SWITCH($N605,"BDI 1",$P$6,"BDI 2",$P$7,"BDI 3",$P$8)</f>
        <v>0.26739999999999997</v>
      </c>
      <c r="AB605" s="158">
        <f t="shared" ca="1" si="1032"/>
        <v>0</v>
      </c>
      <c r="AC605" s="158">
        <f t="shared" ca="1" si="1033"/>
        <v>0</v>
      </c>
      <c r="AD605" s="164"/>
      <c r="AE605" s="148">
        <f t="shared" si="1019"/>
        <v>0</v>
      </c>
      <c r="AF605" s="149"/>
      <c r="AG605" s="150"/>
      <c r="AH605" s="159">
        <f t="shared" si="1020"/>
        <v>0</v>
      </c>
      <c r="AI605" s="165" t="s">
        <v>101</v>
      </c>
      <c r="AJ605" s="105"/>
      <c r="AK605" s="105"/>
      <c r="AM605" s="105"/>
      <c r="AN605" s="105"/>
      <c r="AO605" s="105"/>
      <c r="AP605" s="105"/>
      <c r="AQ605" s="105"/>
      <c r="AR605" s="105"/>
    </row>
    <row r="606" spans="1:44" s="49" customFormat="1" ht="49.9" hidden="1" customHeight="1">
      <c r="A606" s="152">
        <f t="shared" ca="1" si="1021"/>
        <v>2.0499999999999989</v>
      </c>
      <c r="B606" s="153">
        <v>100979</v>
      </c>
      <c r="C606" s="154" t="str">
        <f t="shared" si="1022"/>
        <v>100979</v>
      </c>
      <c r="D606" s="154" t="s">
        <v>1416</v>
      </c>
      <c r="E606" s="155" t="s">
        <v>1420</v>
      </c>
      <c r="F606" s="154"/>
      <c r="G606" s="154" t="s">
        <v>464</v>
      </c>
      <c r="H606" s="152">
        <v>6.4</v>
      </c>
      <c r="I606" s="152">
        <v>6.4</v>
      </c>
      <c r="J606" s="156"/>
      <c r="K606" s="156">
        <f>IF(Recap_Previo!H122&gt;50,Recap_Previo!H122,0)+IF(Recap_Previo!H124&gt;50,Recap_Previo!H124,0)</f>
        <v>0</v>
      </c>
      <c r="L606" s="156">
        <f t="shared" si="1023"/>
        <v>0</v>
      </c>
      <c r="M606" s="156">
        <f t="shared" si="1024"/>
        <v>0</v>
      </c>
      <c r="N606" s="156" t="s">
        <v>83</v>
      </c>
      <c r="O606" s="157" cm="1">
        <f t="array" ref="O606">TRUNC($H606*(1+_xlfn.SWITCH($N606,"BDI 1",$O$6,"BDI 2",$O$7,"BDI 3",$O$8)),2)</f>
        <v>7.72</v>
      </c>
      <c r="P606" s="157" cm="1">
        <f t="array" ref="P606">TRUNC($I606*(1+_xlfn.SWITCH($N606,"BDI 1",$P$6,"BDI 2",$P$7,"BDI 3",$P$8)),2)</f>
        <v>8.11</v>
      </c>
      <c r="Q606" s="157">
        <v>0</v>
      </c>
      <c r="R606" s="157">
        <f t="shared" si="1025"/>
        <v>0</v>
      </c>
      <c r="S606" s="156">
        <f t="shared" si="1026"/>
        <v>0</v>
      </c>
      <c r="T606" s="156">
        <f t="shared" si="1027"/>
        <v>0</v>
      </c>
      <c r="U606" s="156">
        <f t="shared" si="1028"/>
        <v>0</v>
      </c>
      <c r="V606" s="156">
        <f t="shared" si="1029"/>
        <v>0</v>
      </c>
      <c r="W606" s="156">
        <f t="shared" si="1016"/>
        <v>0</v>
      </c>
      <c r="X606" s="158">
        <f t="shared" ref="X606" si="1100">$S606/ORCAMENTO_VALOR_TOTAL_ND</f>
        <v>0</v>
      </c>
      <c r="Y606" s="158">
        <f t="shared" ref="Y606" si="1101">$T606/ORCAMENTO_VALOR_TOTAL_DE</f>
        <v>0</v>
      </c>
      <c r="Z606" s="158" cm="1">
        <f t="array" ref="Z606">_xlfn.SWITCH($N606,"BDI 1",$O$6,"BDI 2",$O$7,"BDI 3",$O$8)</f>
        <v>0.20699999999999999</v>
      </c>
      <c r="AA606" s="158" cm="1">
        <f t="array" ref="AA606">_xlfn.SWITCH($N606,"BDI 1",$P$6,"BDI 2",$P$7,"BDI 3",$P$8)</f>
        <v>0.26739999999999997</v>
      </c>
      <c r="AB606" s="158">
        <f t="shared" ca="1" si="1032"/>
        <v>0</v>
      </c>
      <c r="AC606" s="158">
        <f t="shared" ca="1" si="1033"/>
        <v>0</v>
      </c>
      <c r="AD606" s="164"/>
      <c r="AE606" s="148">
        <f t="shared" si="1019"/>
        <v>0</v>
      </c>
      <c r="AF606" s="149"/>
      <c r="AG606" s="150"/>
      <c r="AH606" s="159">
        <f t="shared" si="1020"/>
        <v>0</v>
      </c>
      <c r="AI606" s="165" t="s">
        <v>101</v>
      </c>
      <c r="AJ606" s="105"/>
      <c r="AK606" s="105"/>
      <c r="AM606" s="105"/>
      <c r="AN606" s="105"/>
      <c r="AO606" s="105"/>
      <c r="AP606" s="105"/>
      <c r="AQ606" s="105"/>
      <c r="AR606" s="105"/>
    </row>
    <row r="607" spans="1:44" s="49" customFormat="1" ht="40.15" hidden="1" customHeight="1">
      <c r="A607" s="152">
        <f t="shared" ca="1" si="1021"/>
        <v>2.0499999999999989</v>
      </c>
      <c r="B607" s="153" t="s">
        <v>118</v>
      </c>
      <c r="C607" s="154" t="str">
        <f t="shared" si="1022"/>
        <v>ST/0070</v>
      </c>
      <c r="D607" s="154" t="s">
        <v>3549</v>
      </c>
      <c r="E607" s="155" t="s">
        <v>3613</v>
      </c>
      <c r="F607" s="154"/>
      <c r="G607" s="154" t="s">
        <v>3614</v>
      </c>
      <c r="H607" s="152">
        <v>30.97</v>
      </c>
      <c r="I607" s="152">
        <v>30.02</v>
      </c>
      <c r="J607" s="156"/>
      <c r="K607" s="156">
        <f>+Recap_Previo!H123</f>
        <v>0</v>
      </c>
      <c r="L607" s="156">
        <f t="shared" si="1023"/>
        <v>0</v>
      </c>
      <c r="M607" s="156">
        <f t="shared" si="1024"/>
        <v>0</v>
      </c>
      <c r="N607" s="156" t="s">
        <v>83</v>
      </c>
      <c r="O607" s="157" cm="1">
        <f t="array" ref="O607">TRUNC($H607*(1+_xlfn.SWITCH($N607,"BDI 1",$O$6,"BDI 2",$O$7,"BDI 3",$O$8)),2)</f>
        <v>37.380000000000003</v>
      </c>
      <c r="P607" s="157" cm="1">
        <f t="array" ref="P607">TRUNC($I607*(1+_xlfn.SWITCH($N607,"BDI 1",$P$6,"BDI 2",$P$7,"BDI 3",$P$8)),2)</f>
        <v>38.04</v>
      </c>
      <c r="Q607" s="157">
        <v>0</v>
      </c>
      <c r="R607" s="157">
        <f t="shared" si="1025"/>
        <v>0</v>
      </c>
      <c r="S607" s="156">
        <f t="shared" si="1026"/>
        <v>0</v>
      </c>
      <c r="T607" s="156">
        <f t="shared" si="1027"/>
        <v>0</v>
      </c>
      <c r="U607" s="156">
        <f t="shared" si="1028"/>
        <v>0</v>
      </c>
      <c r="V607" s="156">
        <f t="shared" si="1029"/>
        <v>0</v>
      </c>
      <c r="W607" s="156">
        <f t="shared" si="1016"/>
        <v>0</v>
      </c>
      <c r="X607" s="158">
        <f t="shared" ref="X607" si="1102">$S607/ORCAMENTO_VALOR_TOTAL_ND</f>
        <v>0</v>
      </c>
      <c r="Y607" s="158">
        <f t="shared" ref="Y607" si="1103">$T607/ORCAMENTO_VALOR_TOTAL_DE</f>
        <v>0</v>
      </c>
      <c r="Z607" s="158" cm="1">
        <f t="array" ref="Z607">_xlfn.SWITCH($N607,"BDI 1",$O$6,"BDI 2",$O$7,"BDI 3",$O$8)</f>
        <v>0.20699999999999999</v>
      </c>
      <c r="AA607" s="158" cm="1">
        <f t="array" ref="AA607">_xlfn.SWITCH($N607,"BDI 1",$P$6,"BDI 2",$P$7,"BDI 3",$P$8)</f>
        <v>0.26739999999999997</v>
      </c>
      <c r="AB607" s="158">
        <f t="shared" ca="1" si="1032"/>
        <v>0</v>
      </c>
      <c r="AC607" s="158">
        <f t="shared" ca="1" si="1033"/>
        <v>0</v>
      </c>
      <c r="AD607" s="164"/>
      <c r="AE607" s="148">
        <f t="shared" si="1019"/>
        <v>0</v>
      </c>
      <c r="AF607" s="149"/>
      <c r="AG607" s="150"/>
      <c r="AH607" s="159">
        <f t="shared" si="1020"/>
        <v>0</v>
      </c>
      <c r="AI607" s="160" t="s">
        <v>291</v>
      </c>
      <c r="AJ607" s="105"/>
      <c r="AK607" s="105"/>
      <c r="AM607" s="105"/>
      <c r="AN607" s="105"/>
      <c r="AO607" s="105"/>
      <c r="AP607" s="105"/>
      <c r="AQ607" s="105"/>
      <c r="AR607" s="105"/>
    </row>
    <row r="608" spans="1:44" s="49" customFormat="1" ht="24.95" customHeight="1">
      <c r="A608" s="10">
        <f t="shared" ca="1" si="1021"/>
        <v>2.0499999999999989</v>
      </c>
      <c r="B608" s="153"/>
      <c r="C608" s="154"/>
      <c r="D608" s="154"/>
      <c r="E608" s="161" t="s">
        <v>256</v>
      </c>
      <c r="F608" s="154"/>
      <c r="G608" s="154"/>
      <c r="H608" s="152"/>
      <c r="I608" s="152"/>
      <c r="J608" s="154"/>
      <c r="K608" s="154"/>
      <c r="L608" s="154"/>
      <c r="M608" s="154"/>
      <c r="N608" s="154"/>
      <c r="O608" s="154"/>
      <c r="P608" s="154"/>
      <c r="Q608" s="154"/>
      <c r="R608" s="154"/>
      <c r="S608" s="162"/>
      <c r="T608" s="162"/>
      <c r="U608" s="162"/>
      <c r="V608" s="162"/>
      <c r="W608" s="162"/>
      <c r="X608" s="163"/>
      <c r="Y608" s="163"/>
      <c r="Z608" s="163"/>
      <c r="AA608" s="163"/>
      <c r="AB608" s="163"/>
      <c r="AC608" s="163"/>
      <c r="AD608" s="164"/>
      <c r="AE608" s="148">
        <f ca="1">IF(SUM(S609:S610)&gt;0,IFERROR(TRUNC(A608,0),0),0)</f>
        <v>2</v>
      </c>
      <c r="AF608" s="149"/>
      <c r="AG608" s="150"/>
      <c r="AH608" s="159"/>
      <c r="AI608" s="160"/>
      <c r="AJ608" s="105"/>
      <c r="AK608" s="105"/>
      <c r="AM608" s="105"/>
      <c r="AN608" s="105"/>
      <c r="AO608" s="105"/>
      <c r="AP608" s="105"/>
      <c r="AQ608" s="105"/>
      <c r="AR608" s="105"/>
    </row>
    <row r="609" spans="1:44" s="49" customFormat="1" ht="40.15" customHeight="1">
      <c r="A609" s="152">
        <f t="shared" ca="1" si="1021"/>
        <v>2.0599999999999987</v>
      </c>
      <c r="B609" s="153">
        <v>95876</v>
      </c>
      <c r="C609" s="154" t="str">
        <f>TEXT(B609,"0")</f>
        <v>95876</v>
      </c>
      <c r="D609" s="154" t="s">
        <v>1416</v>
      </c>
      <c r="E609" s="155" t="s">
        <v>3537</v>
      </c>
      <c r="F609" s="154">
        <f>IF(Dados_DMT!$B$17&lt;30,Dados_DMT!$B$17,30)</f>
        <v>3.5</v>
      </c>
      <c r="G609" s="154" t="s">
        <v>3538</v>
      </c>
      <c r="H609" s="152">
        <v>2.09</v>
      </c>
      <c r="I609" s="152">
        <v>2.1</v>
      </c>
      <c r="J609" s="156"/>
      <c r="K609" s="156">
        <f>ROUND(Recap_Previo!H125*F609,2)</f>
        <v>16970.63</v>
      </c>
      <c r="L609" s="156">
        <f>IF($K609&gt;$J609,$K609-$J609,0)</f>
        <v>16970.63</v>
      </c>
      <c r="M609" s="156">
        <f>IF($K609&lt;$J609,$J609-$K609,0)</f>
        <v>0</v>
      </c>
      <c r="N609" s="156" t="s">
        <v>83</v>
      </c>
      <c r="O609" s="157" cm="1">
        <f t="array" ref="O609">TRUNC($H609*(1+_xlfn.SWITCH($N609,"BDI 1",$O$6,"BDI 2",$O$7,"BDI 3",$O$8)),2)</f>
        <v>2.52</v>
      </c>
      <c r="P609" s="157" cm="1">
        <f t="array" ref="P609">TRUNC($I609*(1+_xlfn.SWITCH($N609,"BDI 1",$P$6,"BDI 2",$P$7,"BDI 3",$P$8)),2)</f>
        <v>2.66</v>
      </c>
      <c r="Q609" s="157">
        <v>0</v>
      </c>
      <c r="R609" s="157">
        <f>$Q609-($Q609*LICITACAO_DESCONTO)</f>
        <v>0</v>
      </c>
      <c r="S609" s="156">
        <f>TRUNC($K609*$O609,2)</f>
        <v>42765.98</v>
      </c>
      <c r="T609" s="156">
        <f>TRUNC($K609*$P609,2)</f>
        <v>45141.87</v>
      </c>
      <c r="U609" s="156">
        <f>TRUNC($J609*$R609,2)</f>
        <v>0</v>
      </c>
      <c r="V609" s="156">
        <f>TRUNC($K609*$Q609,2)</f>
        <v>0</v>
      </c>
      <c r="W609" s="156">
        <f>TRUNC(V609-U609,2)</f>
        <v>0</v>
      </c>
      <c r="X609" s="158">
        <f>$S609/ORCAMENTO_VALOR_TOTAL_ND</f>
        <v>1.3829159541894311E-2</v>
      </c>
      <c r="Y609" s="158">
        <f>$T609/ORCAMENTO_VALOR_TOTAL_DE</f>
        <v>1.3272342321784673E-2</v>
      </c>
      <c r="Z609" s="158" cm="1">
        <f t="array" ref="Z609">_xlfn.SWITCH($N609,"BDI 1",$O$6,"BDI 2",$O$7,"BDI 3",$O$8)</f>
        <v>0.20699999999999999</v>
      </c>
      <c r="AA609" s="158" cm="1">
        <f t="array" ref="AA609">_xlfn.SWITCH($N609,"BDI 1",$P$6,"BDI 2",$P$7,"BDI 3",$P$8)</f>
        <v>0.26739999999999997</v>
      </c>
      <c r="AB609" s="158">
        <f ca="1">IFERROR($S609/_xlfn.XLOOKUP($AE609,$B$16:$B$38,$S$16:$S$38),0)</f>
        <v>0</v>
      </c>
      <c r="AC609" s="158">
        <f ca="1">IFERROR($T609/_xlfn.XLOOKUP($AE609,$B$16:$B$38,$T$16:$T$38),0)</f>
        <v>0</v>
      </c>
      <c r="AD609" s="164"/>
      <c r="AE609" s="148">
        <f t="shared" ref="AE609:AE610" ca="1" si="1104">IF(S609&gt;0,IFERROR(TRUNC(A609,0),0),0)</f>
        <v>2</v>
      </c>
      <c r="AF609" s="149"/>
      <c r="AG609" s="150"/>
      <c r="AH609" s="159">
        <f>S609/$S$571</f>
        <v>1.4798135957188546E-2</v>
      </c>
      <c r="AI609" s="166">
        <f>IF(K609=0,0,K609/F609)</f>
        <v>4848.7514285714287</v>
      </c>
      <c r="AJ609" s="105"/>
      <c r="AK609" s="105"/>
      <c r="AM609" s="105"/>
      <c r="AN609" s="105"/>
      <c r="AO609" s="105"/>
      <c r="AP609" s="105"/>
      <c r="AQ609" s="105"/>
      <c r="AR609" s="105"/>
    </row>
    <row r="610" spans="1:44" s="49" customFormat="1" ht="40.15" hidden="1" customHeight="1">
      <c r="A610" s="152">
        <f t="shared" ca="1" si="1021"/>
        <v>2.0599999999999987</v>
      </c>
      <c r="B610" s="153">
        <v>93593</v>
      </c>
      <c r="C610" s="154" t="str">
        <f>TEXT(B610,"0")</f>
        <v>93593</v>
      </c>
      <c r="D610" s="154" t="s">
        <v>1416</v>
      </c>
      <c r="E610" s="155" t="s">
        <v>3545</v>
      </c>
      <c r="F610" s="154">
        <f>+Dados_DMT!$B$17-F609</f>
        <v>0</v>
      </c>
      <c r="G610" s="154" t="s">
        <v>3538</v>
      </c>
      <c r="H610" s="152">
        <v>0.84</v>
      </c>
      <c r="I610" s="152">
        <v>0.85</v>
      </c>
      <c r="J610" s="156"/>
      <c r="K610" s="156">
        <f>ROUND(Recap_Previo!H125*F610,2)</f>
        <v>0</v>
      </c>
      <c r="L610" s="156">
        <f>IF($K610&gt;$J610,$K610-$J610,0)</f>
        <v>0</v>
      </c>
      <c r="M610" s="156">
        <f>IF($K610&lt;$J610,$J610-$K610,0)</f>
        <v>0</v>
      </c>
      <c r="N610" s="156" t="s">
        <v>83</v>
      </c>
      <c r="O610" s="157" cm="1">
        <f t="array" ref="O610">TRUNC($H610*(1+_xlfn.SWITCH($N610,"BDI 1",$O$6,"BDI 2",$O$7,"BDI 3",$O$8)),2)</f>
        <v>1.01</v>
      </c>
      <c r="P610" s="157" cm="1">
        <f t="array" ref="P610">TRUNC($I610*(1+_xlfn.SWITCH($N610,"BDI 1",$P$6,"BDI 2",$P$7,"BDI 3",$P$8)),2)</f>
        <v>1.07</v>
      </c>
      <c r="Q610" s="157">
        <v>0</v>
      </c>
      <c r="R610" s="157">
        <f>$Q610-($Q610*LICITACAO_DESCONTO)</f>
        <v>0</v>
      </c>
      <c r="S610" s="156">
        <f>TRUNC($K610*$O610,2)</f>
        <v>0</v>
      </c>
      <c r="T610" s="156">
        <f>TRUNC($K610*$P610,2)</f>
        <v>0</v>
      </c>
      <c r="U610" s="156">
        <f>TRUNC($J610*$R610,2)</f>
        <v>0</v>
      </c>
      <c r="V610" s="156">
        <f>TRUNC($K610*$Q610,2)</f>
        <v>0</v>
      </c>
      <c r="W610" s="156">
        <f>TRUNC(V610-U610,2)</f>
        <v>0</v>
      </c>
      <c r="X610" s="158">
        <f>$S610/ORCAMENTO_VALOR_TOTAL_ND</f>
        <v>0</v>
      </c>
      <c r="Y610" s="158">
        <f>$T610/ORCAMENTO_VALOR_TOTAL_DE</f>
        <v>0</v>
      </c>
      <c r="Z610" s="158" cm="1">
        <f t="array" ref="Z610">_xlfn.SWITCH($N610,"BDI 1",$O$6,"BDI 2",$O$7,"BDI 3",$O$8)</f>
        <v>0.20699999999999999</v>
      </c>
      <c r="AA610" s="158" cm="1">
        <f t="array" ref="AA610">_xlfn.SWITCH($N610,"BDI 1",$P$6,"BDI 2",$P$7,"BDI 3",$P$8)</f>
        <v>0.26739999999999997</v>
      </c>
      <c r="AB610" s="158">
        <f ca="1">IFERROR($S610/_xlfn.XLOOKUP($AE610,$B$16:$B$38,$S$16:$S$38),0)</f>
        <v>0</v>
      </c>
      <c r="AC610" s="158">
        <f ca="1">IFERROR($T610/_xlfn.XLOOKUP($AE610,$B$16:$B$38,$T$16:$T$38),0)</f>
        <v>0</v>
      </c>
      <c r="AD610" s="164"/>
      <c r="AE610" s="148">
        <f t="shared" si="1104"/>
        <v>0</v>
      </c>
      <c r="AF610" s="149"/>
      <c r="AG610" s="150"/>
      <c r="AH610" s="159">
        <f>S610/$S$571</f>
        <v>0</v>
      </c>
      <c r="AI610" s="166">
        <f>IF(K610=0,0,K610/F610)</f>
        <v>0</v>
      </c>
      <c r="AJ610" s="105"/>
      <c r="AK610" s="105"/>
      <c r="AM610" s="105"/>
      <c r="AN610" s="105"/>
      <c r="AO610" s="105"/>
      <c r="AP610" s="105"/>
      <c r="AQ610" s="105"/>
      <c r="AR610" s="105"/>
    </row>
    <row r="611" spans="1:44" s="49" customFormat="1" ht="40.15" hidden="1" customHeight="1">
      <c r="A611" s="10">
        <f t="shared" ca="1" si="1021"/>
        <v>2.0599999999999987</v>
      </c>
      <c r="B611" s="153"/>
      <c r="C611" s="154"/>
      <c r="D611" s="154"/>
      <c r="E611" s="161" t="s">
        <v>292</v>
      </c>
      <c r="F611" s="154"/>
      <c r="G611" s="154"/>
      <c r="H611" s="152"/>
      <c r="I611" s="152"/>
      <c r="J611" s="154"/>
      <c r="K611" s="154"/>
      <c r="L611" s="154"/>
      <c r="M611" s="154"/>
      <c r="N611" s="154"/>
      <c r="O611" s="154"/>
      <c r="P611" s="154"/>
      <c r="Q611" s="154"/>
      <c r="R611" s="154"/>
      <c r="S611" s="162"/>
      <c r="T611" s="162"/>
      <c r="U611" s="162"/>
      <c r="V611" s="162"/>
      <c r="W611" s="162"/>
      <c r="X611" s="163"/>
      <c r="Y611" s="163"/>
      <c r="Z611" s="163"/>
      <c r="AA611" s="163"/>
      <c r="AB611" s="163"/>
      <c r="AC611" s="163"/>
      <c r="AD611" s="164"/>
      <c r="AE611" s="148">
        <f>IF(SUM(S612:S613)&gt;0,IFERROR(TRUNC(A611,0),0),0)</f>
        <v>0</v>
      </c>
      <c r="AF611" s="149"/>
      <c r="AG611" s="150"/>
      <c r="AH611" s="159"/>
      <c r="AI611" s="160" t="s">
        <v>123</v>
      </c>
      <c r="AJ611" s="105"/>
      <c r="AK611" s="105"/>
      <c r="AM611" s="105"/>
      <c r="AN611" s="105"/>
      <c r="AO611" s="105"/>
      <c r="AP611" s="105"/>
      <c r="AQ611" s="105"/>
      <c r="AR611" s="105"/>
    </row>
    <row r="612" spans="1:44" s="49" customFormat="1" ht="40.15" hidden="1" customHeight="1">
      <c r="A612" s="152">
        <f t="shared" ca="1" si="1021"/>
        <v>2.0599999999999987</v>
      </c>
      <c r="B612" s="153">
        <v>95879</v>
      </c>
      <c r="C612" s="154" t="str">
        <f>TEXT(B612,"0")</f>
        <v>95879</v>
      </c>
      <c r="D612" s="154" t="s">
        <v>1416</v>
      </c>
      <c r="E612" s="155" t="s">
        <v>3535</v>
      </c>
      <c r="F612" s="154">
        <f>IF(Dados_DMT!$B$19&lt;30,Dados_DMT!$B$19,30)</f>
        <v>0</v>
      </c>
      <c r="G612" s="154" t="s">
        <v>3534</v>
      </c>
      <c r="H612" s="152">
        <v>1.41</v>
      </c>
      <c r="I612" s="152">
        <v>1.42</v>
      </c>
      <c r="J612" s="156"/>
      <c r="K612" s="156">
        <f>ROUND(Recap_Previo!H126*F612,2)</f>
        <v>0</v>
      </c>
      <c r="L612" s="156">
        <f>IF($K612&gt;$J612,$K612-$J612,0)</f>
        <v>0</v>
      </c>
      <c r="M612" s="156">
        <f>IF($K612&lt;$J612,$J612-$K612,0)</f>
        <v>0</v>
      </c>
      <c r="N612" s="156" t="s">
        <v>83</v>
      </c>
      <c r="O612" s="157" cm="1">
        <f t="array" ref="O612">TRUNC($H612*(1+_xlfn.SWITCH($N612,"BDI 1",$O$6,"BDI 2",$O$7,"BDI 3",$O$8)),2)</f>
        <v>1.7</v>
      </c>
      <c r="P612" s="157" cm="1">
        <f t="array" ref="P612">TRUNC($I612*(1+_xlfn.SWITCH($N612,"BDI 1",$P$6,"BDI 2",$P$7,"BDI 3",$P$8)),2)</f>
        <v>1.79</v>
      </c>
      <c r="Q612" s="157">
        <v>0</v>
      </c>
      <c r="R612" s="157">
        <f>$Q612-($Q612*LICITACAO_DESCONTO)</f>
        <v>0</v>
      </c>
      <c r="S612" s="156">
        <f>TRUNC($K612*$O612,2)</f>
        <v>0</v>
      </c>
      <c r="T612" s="156">
        <f>TRUNC($K612*$P612,2)</f>
        <v>0</v>
      </c>
      <c r="U612" s="156">
        <f>TRUNC($J612*$R612,2)</f>
        <v>0</v>
      </c>
      <c r="V612" s="156">
        <f>TRUNC($K612*$Q612,2)</f>
        <v>0</v>
      </c>
      <c r="W612" s="156">
        <f>TRUNC(V612-U612,2)</f>
        <v>0</v>
      </c>
      <c r="X612" s="158">
        <f>$S612/ORCAMENTO_VALOR_TOTAL_ND</f>
        <v>0</v>
      </c>
      <c r="Y612" s="158">
        <f>$T612/ORCAMENTO_VALOR_TOTAL_DE</f>
        <v>0</v>
      </c>
      <c r="Z612" s="158" cm="1">
        <f t="array" ref="Z612">_xlfn.SWITCH($N612,"BDI 1",$O$6,"BDI 2",$O$7,"BDI 3",$O$8)</f>
        <v>0.20699999999999999</v>
      </c>
      <c r="AA612" s="158" cm="1">
        <f t="array" ref="AA612">_xlfn.SWITCH($N612,"BDI 1",$P$6,"BDI 2",$P$7,"BDI 3",$P$8)</f>
        <v>0.26739999999999997</v>
      </c>
      <c r="AB612" s="158">
        <f ca="1">IFERROR($S612/_xlfn.XLOOKUP($AE612,$B$16:$B$38,$S$16:$S$38),0)</f>
        <v>0</v>
      </c>
      <c r="AC612" s="158">
        <f ca="1">IFERROR($T612/_xlfn.XLOOKUP($AE612,$B$16:$B$38,$T$16:$T$38),0)</f>
        <v>0</v>
      </c>
      <c r="AD612" s="164"/>
      <c r="AE612" s="148">
        <f t="shared" ref="AE612:AE613" si="1105">IF(S612&gt;0,IFERROR(TRUNC(A612,0),0),0)</f>
        <v>0</v>
      </c>
      <c r="AF612" s="149"/>
      <c r="AG612" s="150"/>
      <c r="AH612" s="159">
        <f>S612/$S$571</f>
        <v>0</v>
      </c>
      <c r="AI612" s="209">
        <f>IF(K612=0,0,K612/F612)</f>
        <v>0</v>
      </c>
      <c r="AJ612" s="105"/>
      <c r="AK612" s="105"/>
      <c r="AM612" s="105"/>
      <c r="AN612" s="105"/>
      <c r="AO612" s="105"/>
      <c r="AP612" s="105"/>
      <c r="AQ612" s="105"/>
      <c r="AR612" s="105"/>
    </row>
    <row r="613" spans="1:44" s="49" customFormat="1" ht="40.15" hidden="1" customHeight="1">
      <c r="A613" s="152">
        <f t="shared" ca="1" si="1021"/>
        <v>2.0599999999999987</v>
      </c>
      <c r="B613" s="153">
        <v>93599</v>
      </c>
      <c r="C613" s="154" t="str">
        <f>TEXT(B613,"0")</f>
        <v>93599</v>
      </c>
      <c r="D613" s="154" t="s">
        <v>1416</v>
      </c>
      <c r="E613" s="155" t="s">
        <v>3533</v>
      </c>
      <c r="F613" s="154">
        <f>+Dados_DMT!$B$19-F612</f>
        <v>0</v>
      </c>
      <c r="G613" s="154" t="s">
        <v>3534</v>
      </c>
      <c r="H613" s="152">
        <v>0.56000000000000005</v>
      </c>
      <c r="I613" s="152">
        <v>0.56000000000000005</v>
      </c>
      <c r="J613" s="156"/>
      <c r="K613" s="156">
        <f>ROUND(Recap_Previo!H126*F613,2)</f>
        <v>0</v>
      </c>
      <c r="L613" s="156">
        <f>IF($K613&gt;$J613,$K613-$J613,0)</f>
        <v>0</v>
      </c>
      <c r="M613" s="156">
        <f>IF($K613&lt;$J613,$J613-$K613,0)</f>
        <v>0</v>
      </c>
      <c r="N613" s="156" t="s">
        <v>83</v>
      </c>
      <c r="O613" s="157" cm="1">
        <f t="array" ref="O613">TRUNC($H613*(1+_xlfn.SWITCH($N613,"BDI 1",$O$6,"BDI 2",$O$7,"BDI 3",$O$8)),2)</f>
        <v>0.67</v>
      </c>
      <c r="P613" s="157" cm="1">
        <f t="array" ref="P613">TRUNC($I613*(1+_xlfn.SWITCH($N613,"BDI 1",$P$6,"BDI 2",$P$7,"BDI 3",$P$8)),2)</f>
        <v>0.7</v>
      </c>
      <c r="Q613" s="157">
        <v>0</v>
      </c>
      <c r="R613" s="157">
        <f>$Q613-($Q613*LICITACAO_DESCONTO)</f>
        <v>0</v>
      </c>
      <c r="S613" s="156">
        <f>TRUNC($K613*$O613,2)</f>
        <v>0</v>
      </c>
      <c r="T613" s="156">
        <f>TRUNC($K613*$P613,2)</f>
        <v>0</v>
      </c>
      <c r="U613" s="156">
        <f>TRUNC($J613*$R613,2)</f>
        <v>0</v>
      </c>
      <c r="V613" s="156">
        <f>TRUNC($K613*$Q613,2)</f>
        <v>0</v>
      </c>
      <c r="W613" s="156">
        <f>TRUNC(V613-U613,2)</f>
        <v>0</v>
      </c>
      <c r="X613" s="158">
        <f>$S613/ORCAMENTO_VALOR_TOTAL_ND</f>
        <v>0</v>
      </c>
      <c r="Y613" s="158">
        <f>$T613/ORCAMENTO_VALOR_TOTAL_DE</f>
        <v>0</v>
      </c>
      <c r="Z613" s="158" cm="1">
        <f t="array" ref="Z613">_xlfn.SWITCH($N613,"BDI 1",$O$6,"BDI 2",$O$7,"BDI 3",$O$8)</f>
        <v>0.20699999999999999</v>
      </c>
      <c r="AA613" s="158" cm="1">
        <f t="array" ref="AA613">_xlfn.SWITCH($N613,"BDI 1",$P$6,"BDI 2",$P$7,"BDI 3",$P$8)</f>
        <v>0.26739999999999997</v>
      </c>
      <c r="AB613" s="158">
        <f ca="1">IFERROR($S613/_xlfn.XLOOKUP($AE613,$B$16:$B$38,$S$16:$S$38),0)</f>
        <v>0</v>
      </c>
      <c r="AC613" s="158">
        <f ca="1">IFERROR($T613/_xlfn.XLOOKUP($AE613,$B$16:$B$38,$T$16:$T$38),0)</f>
        <v>0</v>
      </c>
      <c r="AD613" s="164"/>
      <c r="AE613" s="148">
        <f t="shared" si="1105"/>
        <v>0</v>
      </c>
      <c r="AF613" s="149"/>
      <c r="AG613" s="150"/>
      <c r="AH613" s="159">
        <f>S613/$S$571</f>
        <v>0</v>
      </c>
      <c r="AI613" s="209">
        <f>IF(K613=0,0,K613/F613)</f>
        <v>0</v>
      </c>
      <c r="AJ613" s="105"/>
      <c r="AK613" s="105"/>
      <c r="AM613" s="105"/>
      <c r="AN613" s="105"/>
      <c r="AO613" s="105"/>
      <c r="AP613" s="105"/>
      <c r="AQ613" s="105"/>
      <c r="AR613" s="105"/>
    </row>
    <row r="614" spans="1:44" s="49" customFormat="1" ht="40.15" hidden="1" customHeight="1">
      <c r="A614" s="10">
        <f t="shared" ca="1" si="1021"/>
        <v>2.0599999999999987</v>
      </c>
      <c r="B614" s="153"/>
      <c r="C614" s="154"/>
      <c r="D614" s="154"/>
      <c r="E614" s="161" t="s">
        <v>139</v>
      </c>
      <c r="F614" s="154"/>
      <c r="G614" s="154"/>
      <c r="H614" s="152"/>
      <c r="I614" s="152"/>
      <c r="J614" s="154"/>
      <c r="K614" s="154"/>
      <c r="L614" s="154"/>
      <c r="M614" s="154"/>
      <c r="N614" s="154"/>
      <c r="O614" s="154"/>
      <c r="P614" s="154"/>
      <c r="Q614" s="154"/>
      <c r="R614" s="154"/>
      <c r="S614" s="162"/>
      <c r="T614" s="162"/>
      <c r="U614" s="162"/>
      <c r="V614" s="162"/>
      <c r="W614" s="162"/>
      <c r="X614" s="163"/>
      <c r="Y614" s="163"/>
      <c r="Z614" s="163"/>
      <c r="AA614" s="163"/>
      <c r="AB614" s="163"/>
      <c r="AC614" s="163"/>
      <c r="AD614" s="164"/>
      <c r="AE614" s="148">
        <f>IF(SUM(S615:S616)&gt;0,IFERROR(TRUNC(A614,0),0),0)</f>
        <v>0</v>
      </c>
      <c r="AF614" s="149"/>
      <c r="AG614" s="150"/>
      <c r="AH614" s="159"/>
      <c r="AI614" s="160"/>
      <c r="AJ614" s="105"/>
      <c r="AK614" s="105"/>
      <c r="AM614" s="105"/>
      <c r="AN614" s="105"/>
      <c r="AO614" s="105"/>
      <c r="AP614" s="105"/>
      <c r="AQ614" s="105"/>
      <c r="AR614" s="105"/>
    </row>
    <row r="615" spans="1:44" s="49" customFormat="1" ht="40.15" hidden="1" customHeight="1">
      <c r="A615" s="152">
        <f t="shared" ca="1" si="1021"/>
        <v>2.0599999999999987</v>
      </c>
      <c r="B615" s="153">
        <v>95876</v>
      </c>
      <c r="C615" s="154" t="str">
        <f>TEXT(B615,"0")</f>
        <v>95876</v>
      </c>
      <c r="D615" s="154" t="s">
        <v>1416</v>
      </c>
      <c r="E615" s="155" t="s">
        <v>3537</v>
      </c>
      <c r="F615" s="154">
        <f>IF(Dados_DMT!$B$14&lt;30,Dados_DMT!$B$14,30)</f>
        <v>3.5</v>
      </c>
      <c r="G615" s="154" t="s">
        <v>3538</v>
      </c>
      <c r="H615" s="152">
        <v>2.09</v>
      </c>
      <c r="I615" s="152">
        <v>2.1</v>
      </c>
      <c r="J615" s="156"/>
      <c r="K615" s="156">
        <f>ROUND(Recap_Previo!H127*F615,2)</f>
        <v>0</v>
      </c>
      <c r="L615" s="156">
        <f>IF($K615&gt;$J615,$K615-$J615,0)</f>
        <v>0</v>
      </c>
      <c r="M615" s="156">
        <f>IF($K615&lt;$J615,$J615-$K615,0)</f>
        <v>0</v>
      </c>
      <c r="N615" s="156" t="s">
        <v>83</v>
      </c>
      <c r="O615" s="157" cm="1">
        <f t="array" ref="O615">TRUNC($H615*(1+_xlfn.SWITCH($N615,"BDI 1",$O$6,"BDI 2",$O$7,"BDI 3",$O$8)),2)</f>
        <v>2.52</v>
      </c>
      <c r="P615" s="157" cm="1">
        <f t="array" ref="P615">TRUNC($I615*(1+_xlfn.SWITCH($N615,"BDI 1",$P$6,"BDI 2",$P$7,"BDI 3",$P$8)),2)</f>
        <v>2.66</v>
      </c>
      <c r="Q615" s="157">
        <v>0</v>
      </c>
      <c r="R615" s="157">
        <f>$Q615-($Q615*LICITACAO_DESCONTO)</f>
        <v>0</v>
      </c>
      <c r="S615" s="156">
        <f>TRUNC($K615*$O615,2)</f>
        <v>0</v>
      </c>
      <c r="T615" s="156">
        <f>TRUNC($K615*$P615,2)</f>
        <v>0</v>
      </c>
      <c r="U615" s="156">
        <f>TRUNC($J615*$R615,2)</f>
        <v>0</v>
      </c>
      <c r="V615" s="156">
        <f>TRUNC($K615*$Q615,2)</f>
        <v>0</v>
      </c>
      <c r="W615" s="156">
        <f>TRUNC(V615-U615,2)</f>
        <v>0</v>
      </c>
      <c r="X615" s="158">
        <f>$S615/ORCAMENTO_VALOR_TOTAL_ND</f>
        <v>0</v>
      </c>
      <c r="Y615" s="158">
        <f>$T615/ORCAMENTO_VALOR_TOTAL_DE</f>
        <v>0</v>
      </c>
      <c r="Z615" s="158" cm="1">
        <f t="array" ref="Z615">_xlfn.SWITCH($N615,"BDI 1",$O$6,"BDI 2",$O$7,"BDI 3",$O$8)</f>
        <v>0.20699999999999999</v>
      </c>
      <c r="AA615" s="158" cm="1">
        <f t="array" ref="AA615">_xlfn.SWITCH($N615,"BDI 1",$P$6,"BDI 2",$P$7,"BDI 3",$P$8)</f>
        <v>0.26739999999999997</v>
      </c>
      <c r="AB615" s="158">
        <f ca="1">IFERROR($S615/_xlfn.XLOOKUP($AE615,$B$16:$B$38,$S$16:$S$38),0)</f>
        <v>0</v>
      </c>
      <c r="AC615" s="158">
        <f ca="1">IFERROR($T615/_xlfn.XLOOKUP($AE615,$B$16:$B$38,$T$16:$T$38),0)</f>
        <v>0</v>
      </c>
      <c r="AD615" s="164"/>
      <c r="AE615" s="148">
        <f t="shared" ref="AE615:AE616" si="1106">IF(S615&gt;0,IFERROR(TRUNC(A615,0),0),0)</f>
        <v>0</v>
      </c>
      <c r="AF615" s="149"/>
      <c r="AG615" s="150"/>
      <c r="AH615" s="159">
        <f>S615/$S$571</f>
        <v>0</v>
      </c>
      <c r="AI615" s="160"/>
      <c r="AJ615" s="105"/>
      <c r="AK615" s="105"/>
      <c r="AM615" s="105"/>
      <c r="AN615" s="105"/>
      <c r="AO615" s="105"/>
      <c r="AP615" s="105"/>
      <c r="AQ615" s="105"/>
      <c r="AR615" s="105"/>
    </row>
    <row r="616" spans="1:44" s="49" customFormat="1" ht="40.15" hidden="1" customHeight="1">
      <c r="A616" s="152">
        <f t="shared" ca="1" si="1021"/>
        <v>2.0599999999999987</v>
      </c>
      <c r="B616" s="153">
        <v>93593</v>
      </c>
      <c r="C616" s="154" t="str">
        <f>TEXT(B616,"0")</f>
        <v>93593</v>
      </c>
      <c r="D616" s="154" t="s">
        <v>1416</v>
      </c>
      <c r="E616" s="155" t="s">
        <v>3545</v>
      </c>
      <c r="F616" s="154">
        <f>Dados_DMT!$B$14-F615</f>
        <v>0</v>
      </c>
      <c r="G616" s="154" t="s">
        <v>3538</v>
      </c>
      <c r="H616" s="152">
        <v>0.84</v>
      </c>
      <c r="I616" s="152">
        <v>0.85</v>
      </c>
      <c r="J616" s="156"/>
      <c r="K616" s="156">
        <f>ROUND(Recap_Previo!H127*F616,2)</f>
        <v>0</v>
      </c>
      <c r="L616" s="156">
        <f>IF($K616&gt;$J616,$K616-$J616,0)</f>
        <v>0</v>
      </c>
      <c r="M616" s="156">
        <f>IF($K616&lt;$J616,$J616-$K616,0)</f>
        <v>0</v>
      </c>
      <c r="N616" s="156" t="s">
        <v>83</v>
      </c>
      <c r="O616" s="157" cm="1">
        <f t="array" ref="O616">TRUNC($H616*(1+_xlfn.SWITCH($N616,"BDI 1",$O$6,"BDI 2",$O$7,"BDI 3",$O$8)),2)</f>
        <v>1.01</v>
      </c>
      <c r="P616" s="157" cm="1">
        <f t="array" ref="P616">TRUNC($I616*(1+_xlfn.SWITCH($N616,"BDI 1",$P$6,"BDI 2",$P$7,"BDI 3",$P$8)),2)</f>
        <v>1.07</v>
      </c>
      <c r="Q616" s="157">
        <v>0</v>
      </c>
      <c r="R616" s="157">
        <f>$Q616-($Q616*LICITACAO_DESCONTO)</f>
        <v>0</v>
      </c>
      <c r="S616" s="156">
        <f>TRUNC($K616*$O616,2)</f>
        <v>0</v>
      </c>
      <c r="T616" s="156">
        <f>TRUNC($K616*$P616,2)</f>
        <v>0</v>
      </c>
      <c r="U616" s="156">
        <f>TRUNC($J616*$R616,2)</f>
        <v>0</v>
      </c>
      <c r="V616" s="156">
        <f>TRUNC($K616*$Q616,2)</f>
        <v>0</v>
      </c>
      <c r="W616" s="156">
        <f>TRUNC(V616-U616,2)</f>
        <v>0</v>
      </c>
      <c r="X616" s="158">
        <f>$S616/ORCAMENTO_VALOR_TOTAL_ND</f>
        <v>0</v>
      </c>
      <c r="Y616" s="158">
        <f>$T616/ORCAMENTO_VALOR_TOTAL_DE</f>
        <v>0</v>
      </c>
      <c r="Z616" s="158" cm="1">
        <f t="array" ref="Z616">_xlfn.SWITCH($N616,"BDI 1",$O$6,"BDI 2",$O$7,"BDI 3",$O$8)</f>
        <v>0.20699999999999999</v>
      </c>
      <c r="AA616" s="158" cm="1">
        <f t="array" ref="AA616">_xlfn.SWITCH($N616,"BDI 1",$P$6,"BDI 2",$P$7,"BDI 3",$P$8)</f>
        <v>0.26739999999999997</v>
      </c>
      <c r="AB616" s="158">
        <f ca="1">IFERROR($S616/_xlfn.XLOOKUP($AE616,$B$16:$B$38,$S$16:$S$38),0)</f>
        <v>0</v>
      </c>
      <c r="AC616" s="158">
        <f ca="1">IFERROR($T616/_xlfn.XLOOKUP($AE616,$B$16:$B$38,$T$16:$T$38),0)</f>
        <v>0</v>
      </c>
      <c r="AD616" s="164"/>
      <c r="AE616" s="148">
        <f t="shared" si="1106"/>
        <v>0</v>
      </c>
      <c r="AF616" s="149"/>
      <c r="AG616" s="150"/>
      <c r="AH616" s="159">
        <f>S616/$S$571</f>
        <v>0</v>
      </c>
      <c r="AI616" s="160"/>
      <c r="AJ616" s="105"/>
      <c r="AK616" s="105"/>
      <c r="AM616" s="105"/>
      <c r="AN616" s="105"/>
      <c r="AO616" s="105"/>
      <c r="AP616" s="105"/>
      <c r="AQ616" s="105"/>
      <c r="AR616" s="105"/>
    </row>
    <row r="617" spans="1:44" s="49" customFormat="1" ht="40.15" hidden="1" customHeight="1">
      <c r="A617" s="10">
        <f t="shared" ca="1" si="1021"/>
        <v>2.0599999999999987</v>
      </c>
      <c r="B617" s="153"/>
      <c r="C617" s="154"/>
      <c r="D617" s="154"/>
      <c r="E617" s="161" t="s">
        <v>259</v>
      </c>
      <c r="F617" s="154"/>
      <c r="G617" s="154"/>
      <c r="H617" s="152"/>
      <c r="I617" s="152"/>
      <c r="J617" s="154"/>
      <c r="K617" s="154"/>
      <c r="L617" s="154"/>
      <c r="M617" s="154"/>
      <c r="N617" s="154"/>
      <c r="O617" s="154"/>
      <c r="P617" s="154"/>
      <c r="Q617" s="154"/>
      <c r="R617" s="154"/>
      <c r="S617" s="162"/>
      <c r="T617" s="162"/>
      <c r="U617" s="162"/>
      <c r="V617" s="162"/>
      <c r="W617" s="162"/>
      <c r="X617" s="163"/>
      <c r="Y617" s="163"/>
      <c r="Z617" s="163"/>
      <c r="AA617" s="163"/>
      <c r="AB617" s="163"/>
      <c r="AC617" s="163"/>
      <c r="AD617" s="164"/>
      <c r="AE617" s="148">
        <f>IF(SUM(S618:S619)&gt;0,IFERROR(TRUNC(A617,0),0),0)</f>
        <v>0</v>
      </c>
      <c r="AF617" s="149"/>
      <c r="AG617" s="150"/>
      <c r="AH617" s="159"/>
      <c r="AI617" s="160"/>
      <c r="AJ617" s="105"/>
      <c r="AK617" s="105"/>
      <c r="AM617" s="105"/>
      <c r="AN617" s="105"/>
      <c r="AO617" s="105"/>
      <c r="AP617" s="105"/>
      <c r="AQ617" s="105"/>
      <c r="AR617" s="105"/>
    </row>
    <row r="618" spans="1:44" s="49" customFormat="1" ht="40.15" hidden="1" customHeight="1">
      <c r="A618" s="152">
        <f t="shared" ca="1" si="1021"/>
        <v>2.0599999999999987</v>
      </c>
      <c r="B618" s="153">
        <v>95876</v>
      </c>
      <c r="C618" s="154" t="str">
        <f>TEXT(B618,"0")</f>
        <v>95876</v>
      </c>
      <c r="D618" s="154" t="s">
        <v>1416</v>
      </c>
      <c r="E618" s="155" t="s">
        <v>3537</v>
      </c>
      <c r="F618" s="154">
        <f>IF(Dados_DMT!$B$24&lt;30,Dados_DMT!$B$24,30)</f>
        <v>0</v>
      </c>
      <c r="G618" s="154" t="s">
        <v>3538</v>
      </c>
      <c r="H618" s="152">
        <v>2.09</v>
      </c>
      <c r="I618" s="152">
        <v>2.1</v>
      </c>
      <c r="J618" s="156"/>
      <c r="K618" s="156">
        <f>ROUND(Recap_Previo!H131*F618,2)</f>
        <v>0</v>
      </c>
      <c r="L618" s="156">
        <f>IF($K618&gt;$J618,$K618-$J618,0)</f>
        <v>0</v>
      </c>
      <c r="M618" s="156">
        <f>IF($K618&lt;$J618,$J618-$K618,0)</f>
        <v>0</v>
      </c>
      <c r="N618" s="156" t="s">
        <v>83</v>
      </c>
      <c r="O618" s="157" cm="1">
        <f t="array" ref="O618">TRUNC($H618*(1+_xlfn.SWITCH($N618,"BDI 1",$O$6,"BDI 2",$O$7,"BDI 3",$O$8)),2)</f>
        <v>2.52</v>
      </c>
      <c r="P618" s="157" cm="1">
        <f t="array" ref="P618">TRUNC($I618*(1+_xlfn.SWITCH($N618,"BDI 1",$P$6,"BDI 2",$P$7,"BDI 3",$P$8)),2)</f>
        <v>2.66</v>
      </c>
      <c r="Q618" s="157">
        <v>0</v>
      </c>
      <c r="R618" s="157">
        <f>$Q618-($Q618*LICITACAO_DESCONTO)</f>
        <v>0</v>
      </c>
      <c r="S618" s="156">
        <f>TRUNC($K618*$O618,2)</f>
        <v>0</v>
      </c>
      <c r="T618" s="156">
        <f>TRUNC($K618*$P618,2)</f>
        <v>0</v>
      </c>
      <c r="U618" s="156">
        <f>TRUNC($J618*$R618,2)</f>
        <v>0</v>
      </c>
      <c r="V618" s="156">
        <f>TRUNC($K618*$Q618,2)</f>
        <v>0</v>
      </c>
      <c r="W618" s="156">
        <f>TRUNC(V618-U618,2)</f>
        <v>0</v>
      </c>
      <c r="X618" s="158">
        <f>$S618/ORCAMENTO_VALOR_TOTAL_ND</f>
        <v>0</v>
      </c>
      <c r="Y618" s="158">
        <f>$T618/ORCAMENTO_VALOR_TOTAL_DE</f>
        <v>0</v>
      </c>
      <c r="Z618" s="158" cm="1">
        <f t="array" ref="Z618">_xlfn.SWITCH($N618,"BDI 1",$O$6,"BDI 2",$O$7,"BDI 3",$O$8)</f>
        <v>0.20699999999999999</v>
      </c>
      <c r="AA618" s="158" cm="1">
        <f t="array" ref="AA618">_xlfn.SWITCH($N618,"BDI 1",$P$6,"BDI 2",$P$7,"BDI 3",$P$8)</f>
        <v>0.26739999999999997</v>
      </c>
      <c r="AB618" s="158">
        <f ca="1">IFERROR($S618/_xlfn.XLOOKUP($AE618,$B$16:$B$38,$S$16:$S$38),0)</f>
        <v>0</v>
      </c>
      <c r="AC618" s="158">
        <f ca="1">IFERROR($T618/_xlfn.XLOOKUP($AE618,$B$16:$B$38,$T$16:$T$38),0)</f>
        <v>0</v>
      </c>
      <c r="AD618" s="164"/>
      <c r="AE618" s="148">
        <f t="shared" ref="AE618:AE619" si="1107">IF(S618&gt;0,IFERROR(TRUNC(A618,0),0),0)</f>
        <v>0</v>
      </c>
      <c r="AF618" s="149"/>
      <c r="AG618" s="150"/>
      <c r="AH618" s="159">
        <f>S618/$S$571</f>
        <v>0</v>
      </c>
      <c r="AI618" s="166">
        <f>IF(K618=0,0,K618/F618)</f>
        <v>0</v>
      </c>
      <c r="AJ618" s="105"/>
      <c r="AK618" s="105"/>
      <c r="AM618" s="105"/>
      <c r="AN618" s="105"/>
      <c r="AO618" s="105"/>
      <c r="AP618" s="105"/>
      <c r="AQ618" s="105"/>
      <c r="AR618" s="105"/>
    </row>
    <row r="619" spans="1:44" s="49" customFormat="1" ht="40.15" hidden="1" customHeight="1">
      <c r="A619" s="152">
        <f t="shared" ca="1" si="1021"/>
        <v>2.0599999999999987</v>
      </c>
      <c r="B619" s="153">
        <v>93593</v>
      </c>
      <c r="C619" s="154" t="str">
        <f>TEXT(B619,"0")</f>
        <v>93593</v>
      </c>
      <c r="D619" s="154" t="s">
        <v>1416</v>
      </c>
      <c r="E619" s="155" t="s">
        <v>3545</v>
      </c>
      <c r="F619" s="154">
        <f>+Dados_DMT!$B$24-F618</f>
        <v>0</v>
      </c>
      <c r="G619" s="154" t="s">
        <v>3538</v>
      </c>
      <c r="H619" s="152">
        <v>0.84</v>
      </c>
      <c r="I619" s="152">
        <v>0.85</v>
      </c>
      <c r="J619" s="156"/>
      <c r="K619" s="156">
        <f>ROUND(Recap_Previo!H131*F619,2)</f>
        <v>0</v>
      </c>
      <c r="L619" s="156">
        <f>IF($K619&gt;$J619,$K619-$J619,0)</f>
        <v>0</v>
      </c>
      <c r="M619" s="156">
        <f>IF($K619&lt;$J619,$J619-$K619,0)</f>
        <v>0</v>
      </c>
      <c r="N619" s="156" t="s">
        <v>83</v>
      </c>
      <c r="O619" s="157" cm="1">
        <f t="array" ref="O619">TRUNC($H619*(1+_xlfn.SWITCH($N619,"BDI 1",$O$6,"BDI 2",$O$7,"BDI 3",$O$8)),2)</f>
        <v>1.01</v>
      </c>
      <c r="P619" s="157" cm="1">
        <f t="array" ref="P619">TRUNC($I619*(1+_xlfn.SWITCH($N619,"BDI 1",$P$6,"BDI 2",$P$7,"BDI 3",$P$8)),2)</f>
        <v>1.07</v>
      </c>
      <c r="Q619" s="157">
        <v>0</v>
      </c>
      <c r="R619" s="157">
        <f>$Q619-($Q619*LICITACAO_DESCONTO)</f>
        <v>0</v>
      </c>
      <c r="S619" s="156">
        <f>TRUNC($K619*$O619,2)</f>
        <v>0</v>
      </c>
      <c r="T619" s="156">
        <f>TRUNC($K619*$P619,2)</f>
        <v>0</v>
      </c>
      <c r="U619" s="156">
        <f>TRUNC($J619*$R619,2)</f>
        <v>0</v>
      </c>
      <c r="V619" s="156">
        <f>TRUNC($K619*$Q619,2)</f>
        <v>0</v>
      </c>
      <c r="W619" s="156">
        <f>TRUNC(V619-U619,2)</f>
        <v>0</v>
      </c>
      <c r="X619" s="158">
        <f>$S619/ORCAMENTO_VALOR_TOTAL_ND</f>
        <v>0</v>
      </c>
      <c r="Y619" s="158">
        <f>$T619/ORCAMENTO_VALOR_TOTAL_DE</f>
        <v>0</v>
      </c>
      <c r="Z619" s="158" cm="1">
        <f t="array" ref="Z619">_xlfn.SWITCH($N619,"BDI 1",$O$6,"BDI 2",$O$7,"BDI 3",$O$8)</f>
        <v>0.20699999999999999</v>
      </c>
      <c r="AA619" s="158" cm="1">
        <f t="array" ref="AA619">_xlfn.SWITCH($N619,"BDI 1",$P$6,"BDI 2",$P$7,"BDI 3",$P$8)</f>
        <v>0.26739999999999997</v>
      </c>
      <c r="AB619" s="158">
        <f ca="1">IFERROR($S619/_xlfn.XLOOKUP($AE619,$B$16:$B$38,$S$16:$S$38),0)</f>
        <v>0</v>
      </c>
      <c r="AC619" s="158">
        <f ca="1">IFERROR($T619/_xlfn.XLOOKUP($AE619,$B$16:$B$38,$T$16:$T$38),0)</f>
        <v>0</v>
      </c>
      <c r="AD619" s="164"/>
      <c r="AE619" s="148">
        <f t="shared" si="1107"/>
        <v>0</v>
      </c>
      <c r="AF619" s="149"/>
      <c r="AG619" s="150"/>
      <c r="AH619" s="159">
        <f>S619/$S$571</f>
        <v>0</v>
      </c>
      <c r="AI619" s="166">
        <f>IF(K619=0,0,K619/F619)</f>
        <v>0</v>
      </c>
      <c r="AJ619" s="105"/>
      <c r="AK619" s="105"/>
      <c r="AM619" s="105"/>
      <c r="AN619" s="105"/>
      <c r="AO619" s="105"/>
      <c r="AP619" s="105"/>
      <c r="AQ619" s="105"/>
      <c r="AR619" s="105"/>
    </row>
    <row r="620" spans="1:44" s="49" customFormat="1" ht="40.15" hidden="1" customHeight="1">
      <c r="A620" s="10">
        <f t="shared" ca="1" si="1021"/>
        <v>2.0599999999999987</v>
      </c>
      <c r="B620" s="153"/>
      <c r="C620" s="154"/>
      <c r="D620" s="154"/>
      <c r="E620" s="161" t="s">
        <v>103</v>
      </c>
      <c r="F620" s="154"/>
      <c r="G620" s="154"/>
      <c r="H620" s="152"/>
      <c r="I620" s="152"/>
      <c r="J620" s="154"/>
      <c r="K620" s="154"/>
      <c r="L620" s="154"/>
      <c r="M620" s="154"/>
      <c r="N620" s="154"/>
      <c r="O620" s="154"/>
      <c r="P620" s="154"/>
      <c r="Q620" s="154"/>
      <c r="R620" s="154"/>
      <c r="S620" s="162"/>
      <c r="T620" s="162"/>
      <c r="U620" s="162"/>
      <c r="V620" s="162"/>
      <c r="W620" s="162"/>
      <c r="X620" s="163"/>
      <c r="Y620" s="163"/>
      <c r="Z620" s="163"/>
      <c r="AA620" s="163"/>
      <c r="AB620" s="163"/>
      <c r="AC620" s="163"/>
      <c r="AD620" s="164"/>
      <c r="AE620" s="148">
        <f>IF(SUM(S621:S622)&gt;0,IFERROR(TRUNC(A620,0),0),0)</f>
        <v>0</v>
      </c>
      <c r="AF620" s="149"/>
      <c r="AG620" s="150"/>
      <c r="AH620" s="159"/>
      <c r="AI620" s="160"/>
      <c r="AJ620" s="105"/>
      <c r="AK620" s="105"/>
      <c r="AM620" s="105"/>
      <c r="AN620" s="105"/>
      <c r="AO620" s="105"/>
      <c r="AP620" s="105"/>
      <c r="AQ620" s="105"/>
      <c r="AR620" s="105"/>
    </row>
    <row r="621" spans="1:44" s="49" customFormat="1" ht="40.15" hidden="1" customHeight="1">
      <c r="A621" s="152">
        <f t="shared" ca="1" si="1021"/>
        <v>2.0599999999999987</v>
      </c>
      <c r="B621" s="153">
        <v>95876</v>
      </c>
      <c r="C621" s="154" t="str">
        <f>TEXT(B621,"0")</f>
        <v>95876</v>
      </c>
      <c r="D621" s="154" t="s">
        <v>1416</v>
      </c>
      <c r="E621" s="155" t="s">
        <v>3537</v>
      </c>
      <c r="F621" s="154">
        <f>IF(Dados_DMT!$B$34&lt;30,Dados_DMT!$B$34,30)</f>
        <v>30</v>
      </c>
      <c r="G621" s="154" t="s">
        <v>3538</v>
      </c>
      <c r="H621" s="152">
        <v>2.09</v>
      </c>
      <c r="I621" s="152">
        <v>2.1</v>
      </c>
      <c r="J621" s="156"/>
      <c r="K621" s="156">
        <f>ROUND(Recap_Previo!H132*F621,2)</f>
        <v>0</v>
      </c>
      <c r="L621" s="156">
        <f>IF($K621&gt;$J621,$K621-$J621,0)</f>
        <v>0</v>
      </c>
      <c r="M621" s="156">
        <f>IF($K621&lt;$J621,$J621-$K621,0)</f>
        <v>0</v>
      </c>
      <c r="N621" s="156" t="s">
        <v>83</v>
      </c>
      <c r="O621" s="157" cm="1">
        <f t="array" ref="O621">TRUNC($H621*(1+_xlfn.SWITCH($N621,"BDI 1",$O$6,"BDI 2",$O$7,"BDI 3",$O$8)),2)</f>
        <v>2.52</v>
      </c>
      <c r="P621" s="157" cm="1">
        <f t="array" ref="P621">TRUNC($I621*(1+_xlfn.SWITCH($N621,"BDI 1",$P$6,"BDI 2",$P$7,"BDI 3",$P$8)),2)</f>
        <v>2.66</v>
      </c>
      <c r="Q621" s="157">
        <v>0</v>
      </c>
      <c r="R621" s="157">
        <f>$Q621-($Q621*LICITACAO_DESCONTO)</f>
        <v>0</v>
      </c>
      <c r="S621" s="156">
        <f>TRUNC($K621*$O621,2)</f>
        <v>0</v>
      </c>
      <c r="T621" s="156">
        <f>TRUNC($K621*$P621,2)</f>
        <v>0</v>
      </c>
      <c r="U621" s="156">
        <f>TRUNC($J621*$R621,2)</f>
        <v>0</v>
      </c>
      <c r="V621" s="156">
        <f>TRUNC($K621*$Q621,2)</f>
        <v>0</v>
      </c>
      <c r="W621" s="156">
        <f>TRUNC(V621-U621,2)</f>
        <v>0</v>
      </c>
      <c r="X621" s="158">
        <f>$S621/ORCAMENTO_VALOR_TOTAL_ND</f>
        <v>0</v>
      </c>
      <c r="Y621" s="158">
        <f>$T621/ORCAMENTO_VALOR_TOTAL_DE</f>
        <v>0</v>
      </c>
      <c r="Z621" s="158" cm="1">
        <f t="array" ref="Z621">_xlfn.SWITCH($N621,"BDI 1",$O$6,"BDI 2",$O$7,"BDI 3",$O$8)</f>
        <v>0.20699999999999999</v>
      </c>
      <c r="AA621" s="158" cm="1">
        <f t="array" ref="AA621">_xlfn.SWITCH($N621,"BDI 1",$P$6,"BDI 2",$P$7,"BDI 3",$P$8)</f>
        <v>0.26739999999999997</v>
      </c>
      <c r="AB621" s="158">
        <f ca="1">IFERROR($S621/_xlfn.XLOOKUP($AE621,$B$16:$B$38,$S$16:$S$38),0)</f>
        <v>0</v>
      </c>
      <c r="AC621" s="158">
        <f ca="1">IFERROR($T621/_xlfn.XLOOKUP($AE621,$B$16:$B$38,$T$16:$T$38),0)</f>
        <v>0</v>
      </c>
      <c r="AD621" s="164"/>
      <c r="AE621" s="148">
        <f t="shared" ref="AE621:AE622" si="1108">IF(S621&gt;0,IFERROR(TRUNC(A621,0),0),0)</f>
        <v>0</v>
      </c>
      <c r="AF621" s="149"/>
      <c r="AG621" s="150"/>
      <c r="AH621" s="159">
        <f>S621/$S$571</f>
        <v>0</v>
      </c>
      <c r="AI621" s="160"/>
      <c r="AJ621" s="105"/>
      <c r="AK621" s="105"/>
      <c r="AM621" s="105"/>
      <c r="AN621" s="105"/>
      <c r="AO621" s="105"/>
      <c r="AP621" s="105"/>
      <c r="AQ621" s="105"/>
      <c r="AR621" s="105"/>
    </row>
    <row r="622" spans="1:44" s="49" customFormat="1" ht="40.15" hidden="1" customHeight="1">
      <c r="A622" s="152">
        <f t="shared" ca="1" si="1021"/>
        <v>2.0599999999999987</v>
      </c>
      <c r="B622" s="153">
        <v>93593</v>
      </c>
      <c r="C622" s="154" t="str">
        <f>TEXT(B622,"0")</f>
        <v>93593</v>
      </c>
      <c r="D622" s="154" t="s">
        <v>1416</v>
      </c>
      <c r="E622" s="155" t="s">
        <v>3545</v>
      </c>
      <c r="F622" s="154">
        <f>+Dados_DMT!$B$34-F621</f>
        <v>80</v>
      </c>
      <c r="G622" s="154" t="s">
        <v>3538</v>
      </c>
      <c r="H622" s="152">
        <v>0.84</v>
      </c>
      <c r="I622" s="152">
        <v>0.85</v>
      </c>
      <c r="J622" s="156"/>
      <c r="K622" s="156">
        <f>ROUND(Recap_Previo!H132*F622,2)</f>
        <v>0</v>
      </c>
      <c r="L622" s="156">
        <f>IF($K622&gt;$J622,$K622-$J622,0)</f>
        <v>0</v>
      </c>
      <c r="M622" s="156">
        <f>IF($K622&lt;$J622,$J622-$K622,0)</f>
        <v>0</v>
      </c>
      <c r="N622" s="156" t="s">
        <v>83</v>
      </c>
      <c r="O622" s="157" cm="1">
        <f t="array" ref="O622">TRUNC($H622*(1+_xlfn.SWITCH($N622,"BDI 1",$O$6,"BDI 2",$O$7,"BDI 3",$O$8)),2)</f>
        <v>1.01</v>
      </c>
      <c r="P622" s="157" cm="1">
        <f t="array" ref="P622">TRUNC($I622*(1+_xlfn.SWITCH($N622,"BDI 1",$P$6,"BDI 2",$P$7,"BDI 3",$P$8)),2)</f>
        <v>1.07</v>
      </c>
      <c r="Q622" s="157">
        <v>0</v>
      </c>
      <c r="R622" s="157">
        <f>$Q622-($Q622*LICITACAO_DESCONTO)</f>
        <v>0</v>
      </c>
      <c r="S622" s="156">
        <f>TRUNC($K622*$O622,2)</f>
        <v>0</v>
      </c>
      <c r="T622" s="156">
        <f>TRUNC($K622*$P622,2)</f>
        <v>0</v>
      </c>
      <c r="U622" s="156">
        <f>TRUNC($J622*$R622,2)</f>
        <v>0</v>
      </c>
      <c r="V622" s="156">
        <f>TRUNC($K622*$Q622,2)</f>
        <v>0</v>
      </c>
      <c r="W622" s="156">
        <f>TRUNC(V622-U622,2)</f>
        <v>0</v>
      </c>
      <c r="X622" s="158">
        <f>$S622/ORCAMENTO_VALOR_TOTAL_ND</f>
        <v>0</v>
      </c>
      <c r="Y622" s="158">
        <f>$T622/ORCAMENTO_VALOR_TOTAL_DE</f>
        <v>0</v>
      </c>
      <c r="Z622" s="158" cm="1">
        <f t="array" ref="Z622">_xlfn.SWITCH($N622,"BDI 1",$O$6,"BDI 2",$O$7,"BDI 3",$O$8)</f>
        <v>0.20699999999999999</v>
      </c>
      <c r="AA622" s="158" cm="1">
        <f t="array" ref="AA622">_xlfn.SWITCH($N622,"BDI 1",$P$6,"BDI 2",$P$7,"BDI 3",$P$8)</f>
        <v>0.26739999999999997</v>
      </c>
      <c r="AB622" s="158">
        <f ca="1">IFERROR($S622/_xlfn.XLOOKUP($AE622,$B$16:$B$38,$S$16:$S$38),0)</f>
        <v>0</v>
      </c>
      <c r="AC622" s="158">
        <f ca="1">IFERROR($T622/_xlfn.XLOOKUP($AE622,$B$16:$B$38,$T$16:$T$38),0)</f>
        <v>0</v>
      </c>
      <c r="AD622" s="164"/>
      <c r="AE622" s="148">
        <f t="shared" si="1108"/>
        <v>0</v>
      </c>
      <c r="AF622" s="149"/>
      <c r="AG622" s="150"/>
      <c r="AH622" s="159">
        <f>S622/$S$571</f>
        <v>0</v>
      </c>
      <c r="AI622" s="160"/>
      <c r="AJ622" s="105"/>
      <c r="AK622" s="105"/>
      <c r="AM622" s="105"/>
      <c r="AN622" s="105"/>
      <c r="AO622" s="105"/>
      <c r="AP622" s="105"/>
      <c r="AQ622" s="105"/>
      <c r="AR622" s="105"/>
    </row>
    <row r="623" spans="1:44" s="49" customFormat="1" ht="40.15" hidden="1" customHeight="1">
      <c r="A623" s="10">
        <f t="shared" ca="1" si="1021"/>
        <v>2.0599999999999987</v>
      </c>
      <c r="B623" s="153"/>
      <c r="C623" s="154"/>
      <c r="D623" s="154"/>
      <c r="E623" s="161" t="s">
        <v>261</v>
      </c>
      <c r="F623" s="154"/>
      <c r="G623" s="154"/>
      <c r="H623" s="152"/>
      <c r="I623" s="152"/>
      <c r="J623" s="154"/>
      <c r="K623" s="154"/>
      <c r="L623" s="154"/>
      <c r="M623" s="154"/>
      <c r="N623" s="154"/>
      <c r="O623" s="154"/>
      <c r="P623" s="154"/>
      <c r="Q623" s="154"/>
      <c r="R623" s="154"/>
      <c r="S623" s="162"/>
      <c r="T623" s="162"/>
      <c r="U623" s="162"/>
      <c r="V623" s="162"/>
      <c r="W623" s="162"/>
      <c r="X623" s="163"/>
      <c r="Y623" s="163"/>
      <c r="Z623" s="163"/>
      <c r="AA623" s="163"/>
      <c r="AB623" s="163"/>
      <c r="AC623" s="163"/>
      <c r="AD623" s="164"/>
      <c r="AE623" s="148">
        <f>IF(SUM(S624:S625)&gt;0,IFERROR(TRUNC(A623,0),0),0)</f>
        <v>0</v>
      </c>
      <c r="AF623" s="149"/>
      <c r="AG623" s="150"/>
      <c r="AH623" s="159"/>
      <c r="AI623" s="160"/>
      <c r="AJ623" s="105"/>
      <c r="AK623" s="105"/>
      <c r="AM623" s="105"/>
      <c r="AN623" s="105"/>
      <c r="AO623" s="105"/>
      <c r="AP623" s="105"/>
      <c r="AQ623" s="105"/>
      <c r="AR623" s="105"/>
    </row>
    <row r="624" spans="1:44" s="49" customFormat="1" ht="40.15" hidden="1" customHeight="1">
      <c r="A624" s="152">
        <f t="shared" ca="1" si="1021"/>
        <v>2.0599999999999987</v>
      </c>
      <c r="B624" s="153">
        <v>95876</v>
      </c>
      <c r="C624" s="154" t="str">
        <f>TEXT(B624,"0")</f>
        <v>95876</v>
      </c>
      <c r="D624" s="154" t="s">
        <v>1416</v>
      </c>
      <c r="E624" s="155" t="s">
        <v>3537</v>
      </c>
      <c r="F624" s="154">
        <f>IF(Dados_DMT!$B$34&lt;30,Dados_DMT!$B$34,30)</f>
        <v>30</v>
      </c>
      <c r="G624" s="154" t="s">
        <v>3538</v>
      </c>
      <c r="H624" s="152">
        <v>2.09</v>
      </c>
      <c r="I624" s="152">
        <v>2.1</v>
      </c>
      <c r="J624" s="156"/>
      <c r="K624" s="156">
        <f>ROUND(Recap_Previo!H133*F624,2)</f>
        <v>0</v>
      </c>
      <c r="L624" s="156">
        <f>IF($K624&gt;$J624,$K624-$J624,0)</f>
        <v>0</v>
      </c>
      <c r="M624" s="156">
        <f>IF($K624&lt;$J624,$J624-$K624,0)</f>
        <v>0</v>
      </c>
      <c r="N624" s="156" t="s">
        <v>83</v>
      </c>
      <c r="O624" s="157" cm="1">
        <f t="array" ref="O624">TRUNC($H624*(1+_xlfn.SWITCH($N624,"BDI 1",$O$6,"BDI 2",$O$7,"BDI 3",$O$8)),2)</f>
        <v>2.52</v>
      </c>
      <c r="P624" s="157" cm="1">
        <f t="array" ref="P624">TRUNC($I624*(1+_xlfn.SWITCH($N624,"BDI 1",$P$6,"BDI 2",$P$7,"BDI 3",$P$8)),2)</f>
        <v>2.66</v>
      </c>
      <c r="Q624" s="157">
        <v>0</v>
      </c>
      <c r="R624" s="157">
        <f>$Q624-($Q624*LICITACAO_DESCONTO)</f>
        <v>0</v>
      </c>
      <c r="S624" s="156">
        <f>TRUNC($K624*$O624,2)</f>
        <v>0</v>
      </c>
      <c r="T624" s="156">
        <f>TRUNC($K624*$P624,2)</f>
        <v>0</v>
      </c>
      <c r="U624" s="156">
        <f>TRUNC($J624*$R624,2)</f>
        <v>0</v>
      </c>
      <c r="V624" s="156">
        <f>TRUNC($K624*$Q624,2)</f>
        <v>0</v>
      </c>
      <c r="W624" s="156">
        <f>TRUNC(V624-U624,2)</f>
        <v>0</v>
      </c>
      <c r="X624" s="158">
        <f>$S624/ORCAMENTO_VALOR_TOTAL_ND</f>
        <v>0</v>
      </c>
      <c r="Y624" s="158">
        <f>$T624/ORCAMENTO_VALOR_TOTAL_DE</f>
        <v>0</v>
      </c>
      <c r="Z624" s="158" cm="1">
        <f t="array" ref="Z624">_xlfn.SWITCH($N624,"BDI 1",$O$6,"BDI 2",$O$7,"BDI 3",$O$8)</f>
        <v>0.20699999999999999</v>
      </c>
      <c r="AA624" s="158" cm="1">
        <f t="array" ref="AA624">_xlfn.SWITCH($N624,"BDI 1",$P$6,"BDI 2",$P$7,"BDI 3",$P$8)</f>
        <v>0.26739999999999997</v>
      </c>
      <c r="AB624" s="158">
        <f ca="1">IFERROR($S624/_xlfn.XLOOKUP($AE624,$B$16:$B$38,$S$16:$S$38),0)</f>
        <v>0</v>
      </c>
      <c r="AC624" s="158">
        <f ca="1">IFERROR($T624/_xlfn.XLOOKUP($AE624,$B$16:$B$38,$T$16:$T$38),0)</f>
        <v>0</v>
      </c>
      <c r="AD624" s="164"/>
      <c r="AE624" s="148">
        <f t="shared" ref="AE624:AE625" si="1109">IF(S624&gt;0,IFERROR(TRUNC(A624,0),0),0)</f>
        <v>0</v>
      </c>
      <c r="AF624" s="149"/>
      <c r="AG624" s="150"/>
      <c r="AH624" s="159">
        <f>S624/$S$571</f>
        <v>0</v>
      </c>
      <c r="AI624" s="166">
        <f>IF(K624=0,0,K624/F624)</f>
        <v>0</v>
      </c>
      <c r="AJ624" s="105"/>
      <c r="AK624" s="105"/>
      <c r="AM624" s="105"/>
      <c r="AN624" s="105"/>
      <c r="AO624" s="105"/>
      <c r="AP624" s="105"/>
      <c r="AQ624" s="105"/>
      <c r="AR624" s="105"/>
    </row>
    <row r="625" spans="1:44" s="49" customFormat="1" ht="40.15" hidden="1" customHeight="1">
      <c r="A625" s="152">
        <f t="shared" ca="1" si="1021"/>
        <v>2.0599999999999987</v>
      </c>
      <c r="B625" s="153">
        <v>93593</v>
      </c>
      <c r="C625" s="154" t="str">
        <f>TEXT(B625,"0")</f>
        <v>93593</v>
      </c>
      <c r="D625" s="154" t="s">
        <v>1416</v>
      </c>
      <c r="E625" s="155" t="s">
        <v>3545</v>
      </c>
      <c r="F625" s="154">
        <f>+Dados_DMT!$B$34-F624</f>
        <v>80</v>
      </c>
      <c r="G625" s="154" t="s">
        <v>3538</v>
      </c>
      <c r="H625" s="152">
        <v>0.84</v>
      </c>
      <c r="I625" s="152">
        <v>0.85</v>
      </c>
      <c r="J625" s="156"/>
      <c r="K625" s="156">
        <f>ROUND(Recap_Previo!H133*F625,2)</f>
        <v>0</v>
      </c>
      <c r="L625" s="156">
        <f>IF($K625&gt;$J625,$K625-$J625,0)</f>
        <v>0</v>
      </c>
      <c r="M625" s="156">
        <f>IF($K625&lt;$J625,$J625-$K625,0)</f>
        <v>0</v>
      </c>
      <c r="N625" s="156" t="s">
        <v>83</v>
      </c>
      <c r="O625" s="157" cm="1">
        <f t="array" ref="O625">TRUNC($H625*(1+_xlfn.SWITCH($N625,"BDI 1",$O$6,"BDI 2",$O$7,"BDI 3",$O$8)),2)</f>
        <v>1.01</v>
      </c>
      <c r="P625" s="157" cm="1">
        <f t="array" ref="P625">TRUNC($I625*(1+_xlfn.SWITCH($N625,"BDI 1",$P$6,"BDI 2",$P$7,"BDI 3",$P$8)),2)</f>
        <v>1.07</v>
      </c>
      <c r="Q625" s="157">
        <v>0</v>
      </c>
      <c r="R625" s="157">
        <f>$Q625-($Q625*LICITACAO_DESCONTO)</f>
        <v>0</v>
      </c>
      <c r="S625" s="156">
        <f>TRUNC($K625*$O625,2)</f>
        <v>0</v>
      </c>
      <c r="T625" s="156">
        <f>TRUNC($K625*$P625,2)</f>
        <v>0</v>
      </c>
      <c r="U625" s="156">
        <f>TRUNC($J625*$R625,2)</f>
        <v>0</v>
      </c>
      <c r="V625" s="156">
        <f>TRUNC($K625*$Q625,2)</f>
        <v>0</v>
      </c>
      <c r="W625" s="156">
        <f>TRUNC(V625-U625,2)</f>
        <v>0</v>
      </c>
      <c r="X625" s="158">
        <f>$S625/ORCAMENTO_VALOR_TOTAL_ND</f>
        <v>0</v>
      </c>
      <c r="Y625" s="158">
        <f>$T625/ORCAMENTO_VALOR_TOTAL_DE</f>
        <v>0</v>
      </c>
      <c r="Z625" s="158" cm="1">
        <f t="array" ref="Z625">_xlfn.SWITCH($N625,"BDI 1",$O$6,"BDI 2",$O$7,"BDI 3",$O$8)</f>
        <v>0.20699999999999999</v>
      </c>
      <c r="AA625" s="158" cm="1">
        <f t="array" ref="AA625">_xlfn.SWITCH($N625,"BDI 1",$P$6,"BDI 2",$P$7,"BDI 3",$P$8)</f>
        <v>0.26739999999999997</v>
      </c>
      <c r="AB625" s="158">
        <f ca="1">IFERROR($S625/_xlfn.XLOOKUP($AE625,$B$16:$B$38,$S$16:$S$38),0)</f>
        <v>0</v>
      </c>
      <c r="AC625" s="158">
        <f ca="1">IFERROR($T625/_xlfn.XLOOKUP($AE625,$B$16:$B$38,$T$16:$T$38),0)</f>
        <v>0</v>
      </c>
      <c r="AD625" s="164"/>
      <c r="AE625" s="148">
        <f t="shared" si="1109"/>
        <v>0</v>
      </c>
      <c r="AF625" s="149"/>
      <c r="AG625" s="150"/>
      <c r="AH625" s="159">
        <f>S625/$S$571</f>
        <v>0</v>
      </c>
      <c r="AI625" s="166">
        <f>IF(K625=0,0,K625/F625)</f>
        <v>0</v>
      </c>
      <c r="AJ625" s="105"/>
      <c r="AK625" s="105"/>
      <c r="AM625" s="105"/>
      <c r="AN625" s="105"/>
      <c r="AO625" s="105"/>
      <c r="AP625" s="105"/>
      <c r="AQ625" s="105"/>
      <c r="AR625" s="105"/>
    </row>
    <row r="626" spans="1:44" s="49" customFormat="1" ht="40.15" hidden="1" customHeight="1">
      <c r="A626" s="10">
        <f t="shared" ca="1" si="1021"/>
        <v>2.0599999999999987</v>
      </c>
      <c r="B626" s="153"/>
      <c r="C626" s="154"/>
      <c r="D626" s="154"/>
      <c r="E626" s="161" t="s">
        <v>262</v>
      </c>
      <c r="F626" s="154"/>
      <c r="G626" s="154"/>
      <c r="H626" s="152"/>
      <c r="I626" s="152"/>
      <c r="J626" s="154"/>
      <c r="K626" s="154"/>
      <c r="L626" s="154"/>
      <c r="M626" s="154"/>
      <c r="N626" s="154"/>
      <c r="O626" s="154"/>
      <c r="P626" s="154"/>
      <c r="Q626" s="154"/>
      <c r="R626" s="154"/>
      <c r="S626" s="162"/>
      <c r="T626" s="162"/>
      <c r="U626" s="162"/>
      <c r="V626" s="162"/>
      <c r="W626" s="162"/>
      <c r="X626" s="163"/>
      <c r="Y626" s="163"/>
      <c r="Z626" s="163"/>
      <c r="AA626" s="163"/>
      <c r="AB626" s="163"/>
      <c r="AC626" s="163"/>
      <c r="AD626" s="164"/>
      <c r="AE626" s="148">
        <f>IF(SUM(S627:S628)&gt;0,IFERROR(TRUNC(A626,0),0),0)</f>
        <v>0</v>
      </c>
      <c r="AF626" s="149"/>
      <c r="AG626" s="150"/>
      <c r="AH626" s="159"/>
      <c r="AI626" s="160"/>
      <c r="AJ626" s="105"/>
      <c r="AK626" s="105"/>
      <c r="AM626" s="105"/>
      <c r="AN626" s="105"/>
      <c r="AO626" s="105"/>
      <c r="AP626" s="105"/>
      <c r="AQ626" s="105"/>
      <c r="AR626" s="105"/>
    </row>
    <row r="627" spans="1:44" s="49" customFormat="1" ht="40.15" hidden="1" customHeight="1">
      <c r="A627" s="152">
        <f t="shared" ca="1" si="1021"/>
        <v>2.0599999999999987</v>
      </c>
      <c r="B627" s="153">
        <v>95876</v>
      </c>
      <c r="C627" s="154" t="str">
        <f>TEXT(B627,"0")</f>
        <v>95876</v>
      </c>
      <c r="D627" s="154" t="s">
        <v>1416</v>
      </c>
      <c r="E627" s="155" t="s">
        <v>3537</v>
      </c>
      <c r="F627" s="154">
        <f>IF(Dados_DMT!$B$34&lt;30,Dados_DMT!$B$34,30)</f>
        <v>30</v>
      </c>
      <c r="G627" s="154" t="s">
        <v>3538</v>
      </c>
      <c r="H627" s="152">
        <v>2.09</v>
      </c>
      <c r="I627" s="152">
        <v>2.1</v>
      </c>
      <c r="J627" s="156"/>
      <c r="K627" s="156">
        <f>ROUND(Recap_Previo!H134*F627,2)</f>
        <v>0</v>
      </c>
      <c r="L627" s="156">
        <f>IF($K627&gt;$J627,$K627-$J627,0)</f>
        <v>0</v>
      </c>
      <c r="M627" s="156">
        <f>IF($K627&lt;$J627,$J627-$K627,0)</f>
        <v>0</v>
      </c>
      <c r="N627" s="156" t="s">
        <v>83</v>
      </c>
      <c r="O627" s="157" cm="1">
        <f t="array" ref="O627">TRUNC($H627*(1+_xlfn.SWITCH($N627,"BDI 1",$O$6,"BDI 2",$O$7,"BDI 3",$O$8)),2)</f>
        <v>2.52</v>
      </c>
      <c r="P627" s="157" cm="1">
        <f t="array" ref="P627">TRUNC($I627*(1+_xlfn.SWITCH($N627,"BDI 1",$P$6,"BDI 2",$P$7,"BDI 3",$P$8)),2)</f>
        <v>2.66</v>
      </c>
      <c r="Q627" s="157">
        <v>0</v>
      </c>
      <c r="R627" s="157">
        <f>$Q627-($Q627*LICITACAO_DESCONTO)</f>
        <v>0</v>
      </c>
      <c r="S627" s="156">
        <f>TRUNC($K627*$O627,2)</f>
        <v>0</v>
      </c>
      <c r="T627" s="156">
        <f>TRUNC($K627*$P627,2)</f>
        <v>0</v>
      </c>
      <c r="U627" s="156">
        <f>TRUNC($J627*$R627,2)</f>
        <v>0</v>
      </c>
      <c r="V627" s="156">
        <f>TRUNC($K627*$Q627,2)</f>
        <v>0</v>
      </c>
      <c r="W627" s="156">
        <f>TRUNC(V627-U627,2)</f>
        <v>0</v>
      </c>
      <c r="X627" s="158">
        <f>$S627/ORCAMENTO_VALOR_TOTAL_ND</f>
        <v>0</v>
      </c>
      <c r="Y627" s="158">
        <f>$T627/ORCAMENTO_VALOR_TOTAL_DE</f>
        <v>0</v>
      </c>
      <c r="Z627" s="158" cm="1">
        <f t="array" ref="Z627">_xlfn.SWITCH($N627,"BDI 1",$O$6,"BDI 2",$O$7,"BDI 3",$O$8)</f>
        <v>0.20699999999999999</v>
      </c>
      <c r="AA627" s="158" cm="1">
        <f t="array" ref="AA627">_xlfn.SWITCH($N627,"BDI 1",$P$6,"BDI 2",$P$7,"BDI 3",$P$8)</f>
        <v>0.26739999999999997</v>
      </c>
      <c r="AB627" s="158">
        <f ca="1">IFERROR($S627/_xlfn.XLOOKUP($AE627,$B$16:$B$38,$S$16:$S$38),0)</f>
        <v>0</v>
      </c>
      <c r="AC627" s="158">
        <f ca="1">IFERROR($T627/_xlfn.XLOOKUP($AE627,$B$16:$B$38,$T$16:$T$38),0)</f>
        <v>0</v>
      </c>
      <c r="AD627" s="164"/>
      <c r="AE627" s="148">
        <f t="shared" ref="AE627:AE628" si="1110">IF(S627&gt;0,IFERROR(TRUNC(A627,0),0),0)</f>
        <v>0</v>
      </c>
      <c r="AF627" s="149"/>
      <c r="AG627" s="150"/>
      <c r="AH627" s="159">
        <f>S627/$S$571</f>
        <v>0</v>
      </c>
      <c r="AI627" s="166">
        <f>IF(K627=0,0,K627/F627)</f>
        <v>0</v>
      </c>
      <c r="AJ627" s="105"/>
      <c r="AK627" s="105"/>
      <c r="AM627" s="105"/>
      <c r="AN627" s="105"/>
      <c r="AO627" s="105"/>
      <c r="AP627" s="105"/>
      <c r="AQ627" s="105"/>
      <c r="AR627" s="105"/>
    </row>
    <row r="628" spans="1:44" s="49" customFormat="1" ht="40.15" hidden="1" customHeight="1">
      <c r="A628" s="152">
        <f t="shared" ca="1" si="1021"/>
        <v>2.0599999999999987</v>
      </c>
      <c r="B628" s="153">
        <v>93593</v>
      </c>
      <c r="C628" s="154" t="str">
        <f>TEXT(B628,"0")</f>
        <v>93593</v>
      </c>
      <c r="D628" s="154" t="s">
        <v>1416</v>
      </c>
      <c r="E628" s="155" t="s">
        <v>3545</v>
      </c>
      <c r="F628" s="154">
        <f>+Dados_DMT!$B$34-F627</f>
        <v>80</v>
      </c>
      <c r="G628" s="154" t="s">
        <v>3538</v>
      </c>
      <c r="H628" s="152">
        <v>0.84</v>
      </c>
      <c r="I628" s="152">
        <v>0.85</v>
      </c>
      <c r="J628" s="156"/>
      <c r="K628" s="156">
        <f>ROUND(Recap_Previo!H134*F628,2)</f>
        <v>0</v>
      </c>
      <c r="L628" s="156">
        <f>IF($K628&gt;$J628,$K628-$J628,0)</f>
        <v>0</v>
      </c>
      <c r="M628" s="156">
        <f>IF($K628&lt;$J628,$J628-$K628,0)</f>
        <v>0</v>
      </c>
      <c r="N628" s="156" t="s">
        <v>83</v>
      </c>
      <c r="O628" s="157" cm="1">
        <f t="array" ref="O628">TRUNC($H628*(1+_xlfn.SWITCH($N628,"BDI 1",$O$6,"BDI 2",$O$7,"BDI 3",$O$8)),2)</f>
        <v>1.01</v>
      </c>
      <c r="P628" s="157" cm="1">
        <f t="array" ref="P628">TRUNC($I628*(1+_xlfn.SWITCH($N628,"BDI 1",$P$6,"BDI 2",$P$7,"BDI 3",$P$8)),2)</f>
        <v>1.07</v>
      </c>
      <c r="Q628" s="157">
        <v>0</v>
      </c>
      <c r="R628" s="157">
        <f>$Q628-($Q628*LICITACAO_DESCONTO)</f>
        <v>0</v>
      </c>
      <c r="S628" s="156">
        <f>TRUNC($K628*$O628,2)</f>
        <v>0</v>
      </c>
      <c r="T628" s="156">
        <f>TRUNC($K628*$P628,2)</f>
        <v>0</v>
      </c>
      <c r="U628" s="156">
        <f>TRUNC($J628*$R628,2)</f>
        <v>0</v>
      </c>
      <c r="V628" s="156">
        <f>TRUNC($K628*$Q628,2)</f>
        <v>0</v>
      </c>
      <c r="W628" s="156">
        <f>TRUNC(V628-U628,2)</f>
        <v>0</v>
      </c>
      <c r="X628" s="158">
        <f>$S628/ORCAMENTO_VALOR_TOTAL_ND</f>
        <v>0</v>
      </c>
      <c r="Y628" s="158">
        <f>$T628/ORCAMENTO_VALOR_TOTAL_DE</f>
        <v>0</v>
      </c>
      <c r="Z628" s="158" cm="1">
        <f t="array" ref="Z628">_xlfn.SWITCH($N628,"BDI 1",$O$6,"BDI 2",$O$7,"BDI 3",$O$8)</f>
        <v>0.20699999999999999</v>
      </c>
      <c r="AA628" s="158" cm="1">
        <f t="array" ref="AA628">_xlfn.SWITCH($N628,"BDI 1",$P$6,"BDI 2",$P$7,"BDI 3",$P$8)</f>
        <v>0.26739999999999997</v>
      </c>
      <c r="AB628" s="158">
        <f ca="1">IFERROR($S628/_xlfn.XLOOKUP($AE628,$B$16:$B$38,$S$16:$S$38),0)</f>
        <v>0</v>
      </c>
      <c r="AC628" s="158">
        <f ca="1">IFERROR($T628/_xlfn.XLOOKUP($AE628,$B$16:$B$38,$T$16:$T$38),0)</f>
        <v>0</v>
      </c>
      <c r="AD628" s="164"/>
      <c r="AE628" s="148">
        <f t="shared" si="1110"/>
        <v>0</v>
      </c>
      <c r="AF628" s="149"/>
      <c r="AG628" s="150"/>
      <c r="AH628" s="159">
        <f>S628/$S$571</f>
        <v>0</v>
      </c>
      <c r="AI628" s="166">
        <f>IF(K628=0,0,K628/F628)</f>
        <v>0</v>
      </c>
      <c r="AJ628" s="105"/>
      <c r="AK628" s="105"/>
      <c r="AM628" s="105"/>
      <c r="AN628" s="105"/>
      <c r="AO628" s="105"/>
      <c r="AP628" s="105"/>
      <c r="AQ628" s="105"/>
      <c r="AR628" s="105"/>
    </row>
    <row r="629" spans="1:44" s="49" customFormat="1" ht="40.15" hidden="1" customHeight="1">
      <c r="A629" s="10">
        <f t="shared" ca="1" si="1021"/>
        <v>2.0599999999999987</v>
      </c>
      <c r="B629" s="153"/>
      <c r="C629" s="154"/>
      <c r="D629" s="154"/>
      <c r="E629" s="161" t="s">
        <v>264</v>
      </c>
      <c r="F629" s="154"/>
      <c r="G629" s="154"/>
      <c r="H629" s="152"/>
      <c r="I629" s="152"/>
      <c r="J629" s="154"/>
      <c r="K629" s="154"/>
      <c r="L629" s="154"/>
      <c r="M629" s="154"/>
      <c r="N629" s="154"/>
      <c r="O629" s="154"/>
      <c r="P629" s="154"/>
      <c r="Q629" s="154"/>
      <c r="R629" s="154"/>
      <c r="S629" s="162"/>
      <c r="T629" s="162"/>
      <c r="U629" s="162"/>
      <c r="V629" s="162"/>
      <c r="W629" s="162"/>
      <c r="X629" s="163"/>
      <c r="Y629" s="163"/>
      <c r="Z629" s="163"/>
      <c r="AA629" s="163"/>
      <c r="AB629" s="163"/>
      <c r="AC629" s="163"/>
      <c r="AD629" s="164"/>
      <c r="AE629" s="148">
        <f>IF(SUM(S630:S631)&gt;0,IFERROR(TRUNC(A629,0),0),0)</f>
        <v>0</v>
      </c>
      <c r="AF629" s="149"/>
      <c r="AG629" s="150"/>
      <c r="AH629" s="159"/>
      <c r="AI629" s="160"/>
      <c r="AJ629" s="105"/>
      <c r="AK629" s="105"/>
      <c r="AM629" s="105"/>
      <c r="AN629" s="105"/>
      <c r="AO629" s="105"/>
      <c r="AP629" s="105"/>
      <c r="AQ629" s="105"/>
      <c r="AR629" s="105"/>
    </row>
    <row r="630" spans="1:44" s="49" customFormat="1" ht="40.15" hidden="1" customHeight="1">
      <c r="A630" s="152">
        <f t="shared" ca="1" si="1021"/>
        <v>2.0599999999999987</v>
      </c>
      <c r="B630" s="153">
        <v>95876</v>
      </c>
      <c r="C630" s="154" t="str">
        <f>TEXT(B630,"0")</f>
        <v>95876</v>
      </c>
      <c r="D630" s="154" t="s">
        <v>1416</v>
      </c>
      <c r="E630" s="155" t="s">
        <v>3537</v>
      </c>
      <c r="F630" s="154">
        <f>IF(Dados_DMT!$B$33&lt;30,Dados_DMT!$B$33,30)</f>
        <v>0</v>
      </c>
      <c r="G630" s="154" t="s">
        <v>3538</v>
      </c>
      <c r="H630" s="152">
        <v>2.09</v>
      </c>
      <c r="I630" s="152">
        <v>2.1</v>
      </c>
      <c r="J630" s="156"/>
      <c r="K630" s="156">
        <f>ROUND(Recap_Previo!H136*F630,2)</f>
        <v>0</v>
      </c>
      <c r="L630" s="156">
        <f>IF($K630&gt;$J630,$K630-$J630,0)</f>
        <v>0</v>
      </c>
      <c r="M630" s="156">
        <f>IF($K630&lt;$J630,$J630-$K630,0)</f>
        <v>0</v>
      </c>
      <c r="N630" s="156" t="s">
        <v>83</v>
      </c>
      <c r="O630" s="157" cm="1">
        <f t="array" ref="O630">TRUNC($H630*(1+_xlfn.SWITCH($N630,"BDI 1",$O$6,"BDI 2",$O$7,"BDI 3",$O$8)),2)</f>
        <v>2.52</v>
      </c>
      <c r="P630" s="157" cm="1">
        <f t="array" ref="P630">TRUNC($I630*(1+_xlfn.SWITCH($N630,"BDI 1",$P$6,"BDI 2",$P$7,"BDI 3",$P$8)),2)</f>
        <v>2.66</v>
      </c>
      <c r="Q630" s="157">
        <v>0</v>
      </c>
      <c r="R630" s="157">
        <f>$Q630-($Q630*LICITACAO_DESCONTO)</f>
        <v>0</v>
      </c>
      <c r="S630" s="156">
        <f>TRUNC($K630*$O630,2)</f>
        <v>0</v>
      </c>
      <c r="T630" s="156">
        <f>TRUNC($K630*$P630,2)</f>
        <v>0</v>
      </c>
      <c r="U630" s="156">
        <f>TRUNC($J630*$R630,2)</f>
        <v>0</v>
      </c>
      <c r="V630" s="156">
        <f>TRUNC($K630*$Q630,2)</f>
        <v>0</v>
      </c>
      <c r="W630" s="156">
        <f>TRUNC(V630-U630,2)</f>
        <v>0</v>
      </c>
      <c r="X630" s="158">
        <f>$S630/ORCAMENTO_VALOR_TOTAL_ND</f>
        <v>0</v>
      </c>
      <c r="Y630" s="158">
        <f>$T630/ORCAMENTO_VALOR_TOTAL_DE</f>
        <v>0</v>
      </c>
      <c r="Z630" s="158" cm="1">
        <f t="array" ref="Z630">_xlfn.SWITCH($N630,"BDI 1",$O$6,"BDI 2",$O$7,"BDI 3",$O$8)</f>
        <v>0.20699999999999999</v>
      </c>
      <c r="AA630" s="158" cm="1">
        <f t="array" ref="AA630">_xlfn.SWITCH($N630,"BDI 1",$P$6,"BDI 2",$P$7,"BDI 3",$P$8)</f>
        <v>0.26739999999999997</v>
      </c>
      <c r="AB630" s="158">
        <f ca="1">IFERROR($S630/_xlfn.XLOOKUP($AE630,$B$16:$B$38,$S$16:$S$38),0)</f>
        <v>0</v>
      </c>
      <c r="AC630" s="158">
        <f ca="1">IFERROR($T630/_xlfn.XLOOKUP($AE630,$B$16:$B$38,$T$16:$T$38),0)</f>
        <v>0</v>
      </c>
      <c r="AD630" s="164"/>
      <c r="AE630" s="148">
        <f t="shared" ref="AE630:AE631" si="1111">IF(S630&gt;0,IFERROR(TRUNC(A630,0),0),0)</f>
        <v>0</v>
      </c>
      <c r="AF630" s="149"/>
      <c r="AG630" s="150"/>
      <c r="AH630" s="159">
        <f>S630/$S$571</f>
        <v>0</v>
      </c>
      <c r="AI630" s="166">
        <f>IF(K630=0,0,K630/F630)</f>
        <v>0</v>
      </c>
      <c r="AJ630" s="105"/>
      <c r="AK630" s="105"/>
      <c r="AM630" s="105"/>
      <c r="AN630" s="105"/>
      <c r="AO630" s="105"/>
      <c r="AP630" s="105"/>
      <c r="AQ630" s="105"/>
      <c r="AR630" s="105"/>
    </row>
    <row r="631" spans="1:44" s="49" customFormat="1" ht="40.15" hidden="1" customHeight="1">
      <c r="A631" s="152">
        <f t="shared" ca="1" si="1021"/>
        <v>2.0599999999999987</v>
      </c>
      <c r="B631" s="153">
        <v>93593</v>
      </c>
      <c r="C631" s="154" t="str">
        <f>TEXT(B631,"0")</f>
        <v>93593</v>
      </c>
      <c r="D631" s="154" t="s">
        <v>1416</v>
      </c>
      <c r="E631" s="155" t="s">
        <v>3545</v>
      </c>
      <c r="F631" s="154">
        <f>+Dados_DMT!$B$33-F630</f>
        <v>0</v>
      </c>
      <c r="G631" s="154" t="s">
        <v>3538</v>
      </c>
      <c r="H631" s="152">
        <v>0.84</v>
      </c>
      <c r="I631" s="152">
        <v>0.85</v>
      </c>
      <c r="J631" s="156"/>
      <c r="K631" s="156">
        <f>ROUND(Recap_Previo!H136*F631,2)</f>
        <v>0</v>
      </c>
      <c r="L631" s="156">
        <f>IF($K631&gt;$J631,$K631-$J631,0)</f>
        <v>0</v>
      </c>
      <c r="M631" s="156">
        <f>IF($K631&lt;$J631,$J631-$K631,0)</f>
        <v>0</v>
      </c>
      <c r="N631" s="156" t="s">
        <v>83</v>
      </c>
      <c r="O631" s="157" cm="1">
        <f t="array" ref="O631">TRUNC($H631*(1+_xlfn.SWITCH($N631,"BDI 1",$O$6,"BDI 2",$O$7,"BDI 3",$O$8)),2)</f>
        <v>1.01</v>
      </c>
      <c r="P631" s="157" cm="1">
        <f t="array" ref="P631">TRUNC($I631*(1+_xlfn.SWITCH($N631,"BDI 1",$P$6,"BDI 2",$P$7,"BDI 3",$P$8)),2)</f>
        <v>1.07</v>
      </c>
      <c r="Q631" s="157">
        <v>0</v>
      </c>
      <c r="R631" s="157">
        <f>$Q631-($Q631*LICITACAO_DESCONTO)</f>
        <v>0</v>
      </c>
      <c r="S631" s="156">
        <f>TRUNC($K631*$O631,2)</f>
        <v>0</v>
      </c>
      <c r="T631" s="156">
        <f>TRUNC($K631*$P631,2)</f>
        <v>0</v>
      </c>
      <c r="U631" s="156">
        <f>TRUNC($J631*$R631,2)</f>
        <v>0</v>
      </c>
      <c r="V631" s="156">
        <f>TRUNC($K631*$Q631,2)</f>
        <v>0</v>
      </c>
      <c r="W631" s="156">
        <f>TRUNC(V631-U631,2)</f>
        <v>0</v>
      </c>
      <c r="X631" s="158">
        <f>$S631/ORCAMENTO_VALOR_TOTAL_ND</f>
        <v>0</v>
      </c>
      <c r="Y631" s="158">
        <f>$T631/ORCAMENTO_VALOR_TOTAL_DE</f>
        <v>0</v>
      </c>
      <c r="Z631" s="158" cm="1">
        <f t="array" ref="Z631">_xlfn.SWITCH($N631,"BDI 1",$O$6,"BDI 2",$O$7,"BDI 3",$O$8)</f>
        <v>0.20699999999999999</v>
      </c>
      <c r="AA631" s="158" cm="1">
        <f t="array" ref="AA631">_xlfn.SWITCH($N631,"BDI 1",$P$6,"BDI 2",$P$7,"BDI 3",$P$8)</f>
        <v>0.26739999999999997</v>
      </c>
      <c r="AB631" s="158">
        <f ca="1">IFERROR($S631/_xlfn.XLOOKUP($AE631,$B$16:$B$38,$S$16:$S$38),0)</f>
        <v>0</v>
      </c>
      <c r="AC631" s="158">
        <f ca="1">IFERROR($T631/_xlfn.XLOOKUP($AE631,$B$16:$B$38,$T$16:$T$38),0)</f>
        <v>0</v>
      </c>
      <c r="AD631" s="164"/>
      <c r="AE631" s="148">
        <f t="shared" si="1111"/>
        <v>0</v>
      </c>
      <c r="AF631" s="149"/>
      <c r="AG631" s="150"/>
      <c r="AH631" s="159">
        <f>S631/$S$571</f>
        <v>0</v>
      </c>
      <c r="AI631" s="166">
        <f>IF(K631=0,0,K631/F631)</f>
        <v>0</v>
      </c>
      <c r="AJ631" s="105"/>
      <c r="AK631" s="105"/>
      <c r="AM631" s="105"/>
      <c r="AN631" s="105"/>
      <c r="AO631" s="105"/>
      <c r="AP631" s="105"/>
      <c r="AQ631" s="105"/>
      <c r="AR631" s="105"/>
    </row>
    <row r="632" spans="1:44" s="49" customFormat="1" ht="40.15" hidden="1" customHeight="1">
      <c r="A632" s="10">
        <f t="shared" ca="1" si="1021"/>
        <v>2.0599999999999987</v>
      </c>
      <c r="B632" s="153"/>
      <c r="C632" s="154"/>
      <c r="D632" s="154"/>
      <c r="E632" s="161" t="s">
        <v>265</v>
      </c>
      <c r="F632" s="154"/>
      <c r="G632" s="154"/>
      <c r="H632" s="152"/>
      <c r="I632" s="152"/>
      <c r="J632" s="154"/>
      <c r="K632" s="154"/>
      <c r="L632" s="154"/>
      <c r="M632" s="154"/>
      <c r="N632" s="154"/>
      <c r="O632" s="154"/>
      <c r="P632" s="154"/>
      <c r="Q632" s="154"/>
      <c r="R632" s="154"/>
      <c r="S632" s="162"/>
      <c r="T632" s="162"/>
      <c r="U632" s="162"/>
      <c r="V632" s="162"/>
      <c r="W632" s="162"/>
      <c r="X632" s="163"/>
      <c r="Y632" s="163"/>
      <c r="Z632" s="163"/>
      <c r="AA632" s="163"/>
      <c r="AB632" s="163"/>
      <c r="AC632" s="163"/>
      <c r="AD632" s="164"/>
      <c r="AE632" s="148">
        <f>IF(SUM(S633:S634)&gt;0,IFERROR(TRUNC(A632,0),0),0)</f>
        <v>0</v>
      </c>
      <c r="AF632" s="149"/>
      <c r="AG632" s="150"/>
      <c r="AH632" s="159"/>
      <c r="AI632" s="160"/>
      <c r="AJ632" s="105"/>
      <c r="AK632" s="105"/>
      <c r="AM632" s="105"/>
      <c r="AN632" s="105"/>
      <c r="AO632" s="105"/>
      <c r="AP632" s="105"/>
      <c r="AQ632" s="105"/>
      <c r="AR632" s="105"/>
    </row>
    <row r="633" spans="1:44" s="49" customFormat="1" ht="40.15" hidden="1" customHeight="1">
      <c r="A633" s="152">
        <f t="shared" ca="1" si="1021"/>
        <v>2.0599999999999987</v>
      </c>
      <c r="B633" s="153">
        <v>95876</v>
      </c>
      <c r="C633" s="154" t="str">
        <f>TEXT(B633,"0")</f>
        <v>95876</v>
      </c>
      <c r="D633" s="154" t="s">
        <v>1416</v>
      </c>
      <c r="E633" s="155" t="s">
        <v>3537</v>
      </c>
      <c r="F633" s="154">
        <f>IF(Dados_DMT!$B$32&lt;30,Dados_DMT!$B$32,30)</f>
        <v>0</v>
      </c>
      <c r="G633" s="154" t="s">
        <v>3538</v>
      </c>
      <c r="H633" s="152">
        <v>2.09</v>
      </c>
      <c r="I633" s="152">
        <v>2.1</v>
      </c>
      <c r="J633" s="156"/>
      <c r="K633" s="156">
        <f>ROUND(Recap_Previo!H135*F633,2)</f>
        <v>0</v>
      </c>
      <c r="L633" s="156">
        <f>IF($K633&gt;$J633,$K633-$J633,0)</f>
        <v>0</v>
      </c>
      <c r="M633" s="156">
        <f>IF($K633&lt;$J633,$J633-$K633,0)</f>
        <v>0</v>
      </c>
      <c r="N633" s="156" t="s">
        <v>83</v>
      </c>
      <c r="O633" s="157" cm="1">
        <f t="array" ref="O633">TRUNC($H633*(1+_xlfn.SWITCH($N633,"BDI 1",$O$6,"BDI 2",$O$7,"BDI 3",$O$8)),2)</f>
        <v>2.52</v>
      </c>
      <c r="P633" s="157" cm="1">
        <f t="array" ref="P633">TRUNC($I633*(1+_xlfn.SWITCH($N633,"BDI 1",$P$6,"BDI 2",$P$7,"BDI 3",$P$8)),2)</f>
        <v>2.66</v>
      </c>
      <c r="Q633" s="157">
        <v>0</v>
      </c>
      <c r="R633" s="157">
        <f>$Q633-($Q633*LICITACAO_DESCONTO)</f>
        <v>0</v>
      </c>
      <c r="S633" s="156">
        <f>TRUNC($K633*$O633,2)</f>
        <v>0</v>
      </c>
      <c r="T633" s="156">
        <f>TRUNC($K633*$P633,2)</f>
        <v>0</v>
      </c>
      <c r="U633" s="156">
        <f>TRUNC($J633*$R633,2)</f>
        <v>0</v>
      </c>
      <c r="V633" s="156">
        <f>TRUNC($K633*$Q633,2)</f>
        <v>0</v>
      </c>
      <c r="W633" s="156">
        <f>TRUNC(V633-U633,2)</f>
        <v>0</v>
      </c>
      <c r="X633" s="158">
        <f>$S633/ORCAMENTO_VALOR_TOTAL_ND</f>
        <v>0</v>
      </c>
      <c r="Y633" s="158">
        <f>$T633/ORCAMENTO_VALOR_TOTAL_DE</f>
        <v>0</v>
      </c>
      <c r="Z633" s="158" cm="1">
        <f t="array" ref="Z633">_xlfn.SWITCH($N633,"BDI 1",$O$6,"BDI 2",$O$7,"BDI 3",$O$8)</f>
        <v>0.20699999999999999</v>
      </c>
      <c r="AA633" s="158" cm="1">
        <f t="array" ref="AA633">_xlfn.SWITCH($N633,"BDI 1",$P$6,"BDI 2",$P$7,"BDI 3",$P$8)</f>
        <v>0.26739999999999997</v>
      </c>
      <c r="AB633" s="158">
        <f ca="1">IFERROR($S633/_xlfn.XLOOKUP($AE633,$B$16:$B$38,$S$16:$S$38),0)</f>
        <v>0</v>
      </c>
      <c r="AC633" s="158">
        <f ca="1">IFERROR($T633/_xlfn.XLOOKUP($AE633,$B$16:$B$38,$T$16:$T$38),0)</f>
        <v>0</v>
      </c>
      <c r="AD633" s="164"/>
      <c r="AE633" s="148">
        <f t="shared" ref="AE633:AE634" si="1112">IF(S633&gt;0,IFERROR(TRUNC(A633,0),0),0)</f>
        <v>0</v>
      </c>
      <c r="AF633" s="149"/>
      <c r="AG633" s="150"/>
      <c r="AH633" s="159">
        <f>S633/$S$571</f>
        <v>0</v>
      </c>
      <c r="AI633" s="166">
        <f>IF(K633=0,0,K633/F633)</f>
        <v>0</v>
      </c>
      <c r="AJ633" s="105"/>
      <c r="AK633" s="105"/>
      <c r="AM633" s="105"/>
      <c r="AN633" s="105"/>
      <c r="AO633" s="105"/>
      <c r="AP633" s="105"/>
      <c r="AQ633" s="105"/>
      <c r="AR633" s="105"/>
    </row>
    <row r="634" spans="1:44" s="49" customFormat="1" ht="40.15" hidden="1" customHeight="1">
      <c r="A634" s="152">
        <f t="shared" ca="1" si="1021"/>
        <v>2.0599999999999987</v>
      </c>
      <c r="B634" s="153">
        <v>93593</v>
      </c>
      <c r="C634" s="154" t="str">
        <f>TEXT(B634,"0")</f>
        <v>93593</v>
      </c>
      <c r="D634" s="154" t="s">
        <v>1416</v>
      </c>
      <c r="E634" s="155" t="s">
        <v>3545</v>
      </c>
      <c r="F634" s="154">
        <f>+Dados_DMT!$B$32</f>
        <v>0</v>
      </c>
      <c r="G634" s="154" t="s">
        <v>3538</v>
      </c>
      <c r="H634" s="152">
        <v>0.84</v>
      </c>
      <c r="I634" s="152">
        <v>0.85</v>
      </c>
      <c r="J634" s="156"/>
      <c r="K634" s="156">
        <f>ROUND(Recap_Previo!H135*F634,2)</f>
        <v>0</v>
      </c>
      <c r="L634" s="156">
        <f>IF($K634&gt;$J634,$K634-$J634,0)</f>
        <v>0</v>
      </c>
      <c r="M634" s="156">
        <f>IF($K634&lt;$J634,$J634-$K634,0)</f>
        <v>0</v>
      </c>
      <c r="N634" s="156" t="s">
        <v>83</v>
      </c>
      <c r="O634" s="157" cm="1">
        <f t="array" ref="O634">TRUNC($H634*(1+_xlfn.SWITCH($N634,"BDI 1",$O$6,"BDI 2",$O$7,"BDI 3",$O$8)),2)</f>
        <v>1.01</v>
      </c>
      <c r="P634" s="157" cm="1">
        <f t="array" ref="P634">TRUNC($I634*(1+_xlfn.SWITCH($N634,"BDI 1",$P$6,"BDI 2",$P$7,"BDI 3",$P$8)),2)</f>
        <v>1.07</v>
      </c>
      <c r="Q634" s="157">
        <v>0</v>
      </c>
      <c r="R634" s="157">
        <f>$Q634-($Q634*LICITACAO_DESCONTO)</f>
        <v>0</v>
      </c>
      <c r="S634" s="156">
        <f>TRUNC($K634*$O634,2)</f>
        <v>0</v>
      </c>
      <c r="T634" s="156">
        <f>TRUNC($K634*$P634,2)</f>
        <v>0</v>
      </c>
      <c r="U634" s="156">
        <f>TRUNC($J634*$R634,2)</f>
        <v>0</v>
      </c>
      <c r="V634" s="156">
        <f>TRUNC($K634*$Q634,2)</f>
        <v>0</v>
      </c>
      <c r="W634" s="156">
        <f>TRUNC(V634-U634,2)</f>
        <v>0</v>
      </c>
      <c r="X634" s="158">
        <f>$S634/ORCAMENTO_VALOR_TOTAL_ND</f>
        <v>0</v>
      </c>
      <c r="Y634" s="158">
        <f>$T634/ORCAMENTO_VALOR_TOTAL_DE</f>
        <v>0</v>
      </c>
      <c r="Z634" s="158" cm="1">
        <f t="array" ref="Z634">_xlfn.SWITCH($N634,"BDI 1",$O$6,"BDI 2",$O$7,"BDI 3",$O$8)</f>
        <v>0.20699999999999999</v>
      </c>
      <c r="AA634" s="158" cm="1">
        <f t="array" ref="AA634">_xlfn.SWITCH($N634,"BDI 1",$P$6,"BDI 2",$P$7,"BDI 3",$P$8)</f>
        <v>0.26739999999999997</v>
      </c>
      <c r="AB634" s="158">
        <f ca="1">IFERROR($S634/_xlfn.XLOOKUP($AE634,$B$16:$B$38,$S$16:$S$38),0)</f>
        <v>0</v>
      </c>
      <c r="AC634" s="158">
        <f ca="1">IFERROR($T634/_xlfn.XLOOKUP($AE634,$B$16:$B$38,$T$16:$T$38),0)</f>
        <v>0</v>
      </c>
      <c r="AD634" s="164"/>
      <c r="AE634" s="148">
        <f t="shared" si="1112"/>
        <v>0</v>
      </c>
      <c r="AF634" s="149"/>
      <c r="AG634" s="150"/>
      <c r="AH634" s="159">
        <f>S634/$S$571</f>
        <v>0</v>
      </c>
      <c r="AI634" s="166">
        <f>IF(K634=0,0,K634/F634)</f>
        <v>0</v>
      </c>
      <c r="AJ634" s="105"/>
      <c r="AK634" s="105"/>
      <c r="AM634" s="105"/>
      <c r="AN634" s="105"/>
      <c r="AO634" s="105"/>
      <c r="AP634" s="105"/>
      <c r="AQ634" s="105"/>
      <c r="AR634" s="105"/>
    </row>
    <row r="635" spans="1:44" s="49" customFormat="1" ht="40.15" hidden="1" customHeight="1">
      <c r="A635" s="10">
        <f t="shared" ca="1" si="1021"/>
        <v>2.0599999999999987</v>
      </c>
      <c r="B635" s="153"/>
      <c r="C635" s="154"/>
      <c r="D635" s="154"/>
      <c r="E635" s="161" t="s">
        <v>293</v>
      </c>
      <c r="F635" s="154"/>
      <c r="G635" s="154"/>
      <c r="H635" s="152"/>
      <c r="I635" s="152"/>
      <c r="J635" s="154"/>
      <c r="K635" s="154"/>
      <c r="L635" s="154"/>
      <c r="M635" s="154"/>
      <c r="N635" s="154"/>
      <c r="O635" s="154"/>
      <c r="P635" s="154"/>
      <c r="Q635" s="154"/>
      <c r="R635" s="154"/>
      <c r="S635" s="162"/>
      <c r="T635" s="162"/>
      <c r="U635" s="162"/>
      <c r="V635" s="162"/>
      <c r="W635" s="162"/>
      <c r="X635" s="163"/>
      <c r="Y635" s="163"/>
      <c r="Z635" s="163"/>
      <c r="AA635" s="163"/>
      <c r="AB635" s="163"/>
      <c r="AC635" s="163"/>
      <c r="AD635" s="164"/>
      <c r="AE635" s="148">
        <f>IF(SUM(S636:S637)&gt;0,IFERROR(TRUNC(A635,0),0),0)</f>
        <v>0</v>
      </c>
      <c r="AF635" s="149"/>
      <c r="AG635" s="150"/>
      <c r="AH635" s="159"/>
      <c r="AI635" s="160"/>
      <c r="AJ635" s="105"/>
      <c r="AK635" s="105"/>
      <c r="AM635" s="105"/>
      <c r="AN635" s="105"/>
      <c r="AO635" s="105"/>
      <c r="AP635" s="105"/>
      <c r="AQ635" s="105"/>
      <c r="AR635" s="105"/>
    </row>
    <row r="636" spans="1:44" s="49" customFormat="1" ht="40.15" hidden="1" customHeight="1">
      <c r="A636" s="152">
        <f t="shared" ref="A636:A665" ca="1" si="1113">IF(K636&gt;0,A635+0.01,A635)</f>
        <v>2.0599999999999987</v>
      </c>
      <c r="B636" s="153">
        <v>95876</v>
      </c>
      <c r="C636" s="154" t="str">
        <f>TEXT(B636,"0")</f>
        <v>95876</v>
      </c>
      <c r="D636" s="154" t="s">
        <v>1416</v>
      </c>
      <c r="E636" s="155" t="s">
        <v>3537</v>
      </c>
      <c r="F636" s="154">
        <f>IF(Dados_DMT!$B$34&lt;30,Dados_DMT!$B$34,30)</f>
        <v>30</v>
      </c>
      <c r="G636" s="154" t="s">
        <v>3538</v>
      </c>
      <c r="H636" s="152">
        <v>2.09</v>
      </c>
      <c r="I636" s="152">
        <v>2.1</v>
      </c>
      <c r="J636" s="156"/>
      <c r="K636" s="156">
        <f>ROUND(Recap_Previo!H137*F636,2)</f>
        <v>0</v>
      </c>
      <c r="L636" s="156">
        <f>IF($K636&gt;$J636,$K636-$J636,0)</f>
        <v>0</v>
      </c>
      <c r="M636" s="156">
        <f>IF($K636&lt;$J636,$J636-$K636,0)</f>
        <v>0</v>
      </c>
      <c r="N636" s="156" t="s">
        <v>83</v>
      </c>
      <c r="O636" s="157" cm="1">
        <f t="array" ref="O636">TRUNC($H636*(1+_xlfn.SWITCH($N636,"BDI 1",$O$6,"BDI 2",$O$7,"BDI 3",$O$8)),2)</f>
        <v>2.52</v>
      </c>
      <c r="P636" s="157" cm="1">
        <f t="array" ref="P636">TRUNC($I636*(1+_xlfn.SWITCH($N636,"BDI 1",$P$6,"BDI 2",$P$7,"BDI 3",$P$8)),2)</f>
        <v>2.66</v>
      </c>
      <c r="Q636" s="157">
        <v>0</v>
      </c>
      <c r="R636" s="157">
        <f>$Q636-($Q636*LICITACAO_DESCONTO)</f>
        <v>0</v>
      </c>
      <c r="S636" s="156">
        <f>TRUNC($K636*$O636,2)</f>
        <v>0</v>
      </c>
      <c r="T636" s="156">
        <f>TRUNC($K636*$P636,2)</f>
        <v>0</v>
      </c>
      <c r="U636" s="156">
        <f>TRUNC($J636*$R636,2)</f>
        <v>0</v>
      </c>
      <c r="V636" s="156">
        <f>TRUNC($K636*$Q636,2)</f>
        <v>0</v>
      </c>
      <c r="W636" s="156">
        <f>TRUNC(V636-U636,2)</f>
        <v>0</v>
      </c>
      <c r="X636" s="158">
        <f>$S636/ORCAMENTO_VALOR_TOTAL_ND</f>
        <v>0</v>
      </c>
      <c r="Y636" s="158">
        <f>$T636/ORCAMENTO_VALOR_TOTAL_DE</f>
        <v>0</v>
      </c>
      <c r="Z636" s="158" cm="1">
        <f t="array" ref="Z636">_xlfn.SWITCH($N636,"BDI 1",$O$6,"BDI 2",$O$7,"BDI 3",$O$8)</f>
        <v>0.20699999999999999</v>
      </c>
      <c r="AA636" s="158" cm="1">
        <f t="array" ref="AA636">_xlfn.SWITCH($N636,"BDI 1",$P$6,"BDI 2",$P$7,"BDI 3",$P$8)</f>
        <v>0.26739999999999997</v>
      </c>
      <c r="AB636" s="158">
        <f ca="1">IFERROR($S636/_xlfn.XLOOKUP($AE636,$B$16:$B$38,$S$16:$S$38),0)</f>
        <v>0</v>
      </c>
      <c r="AC636" s="158">
        <f ca="1">IFERROR($T636/_xlfn.XLOOKUP($AE636,$B$16:$B$38,$T$16:$T$38),0)</f>
        <v>0</v>
      </c>
      <c r="AD636" s="164"/>
      <c r="AE636" s="148">
        <f t="shared" ref="AE636:AE637" si="1114">IF(S636&gt;0,IFERROR(TRUNC(A636,0),0),0)</f>
        <v>0</v>
      </c>
      <c r="AF636" s="149"/>
      <c r="AG636" s="150"/>
      <c r="AH636" s="159">
        <f>S636/$S$571</f>
        <v>0</v>
      </c>
      <c r="AI636" s="166">
        <f>IF(K636=0,0,K636/F636)</f>
        <v>0</v>
      </c>
      <c r="AJ636" s="105"/>
      <c r="AK636" s="105"/>
      <c r="AM636" s="105"/>
      <c r="AN636" s="105"/>
      <c r="AO636" s="105"/>
      <c r="AP636" s="105"/>
      <c r="AQ636" s="105"/>
      <c r="AR636" s="105"/>
    </row>
    <row r="637" spans="1:44" s="49" customFormat="1" ht="40.15" hidden="1" customHeight="1">
      <c r="A637" s="152">
        <f t="shared" ca="1" si="1113"/>
        <v>2.0599999999999987</v>
      </c>
      <c r="B637" s="153">
        <v>93593</v>
      </c>
      <c r="C637" s="154" t="str">
        <f>TEXT(B637,"0")</f>
        <v>93593</v>
      </c>
      <c r="D637" s="154" t="s">
        <v>1416</v>
      </c>
      <c r="E637" s="155" t="s">
        <v>3545</v>
      </c>
      <c r="F637" s="154">
        <f>+Dados_DMT!$B$34-F636</f>
        <v>80</v>
      </c>
      <c r="G637" s="154" t="s">
        <v>3538</v>
      </c>
      <c r="H637" s="152">
        <v>0.84</v>
      </c>
      <c r="I637" s="152">
        <v>0.85</v>
      </c>
      <c r="J637" s="156"/>
      <c r="K637" s="156">
        <f>ROUND(Recap_Previo!H137*F637,2)</f>
        <v>0</v>
      </c>
      <c r="L637" s="156">
        <f>IF($K637&gt;$J637,$K637-$J637,0)</f>
        <v>0</v>
      </c>
      <c r="M637" s="156">
        <f>IF($K637&lt;$J637,$J637-$K637,0)</f>
        <v>0</v>
      </c>
      <c r="N637" s="156" t="s">
        <v>83</v>
      </c>
      <c r="O637" s="157" cm="1">
        <f t="array" ref="O637">TRUNC($H637*(1+_xlfn.SWITCH($N637,"BDI 1",$O$6,"BDI 2",$O$7,"BDI 3",$O$8)),2)</f>
        <v>1.01</v>
      </c>
      <c r="P637" s="157" cm="1">
        <f t="array" ref="P637">TRUNC($I637*(1+_xlfn.SWITCH($N637,"BDI 1",$P$6,"BDI 2",$P$7,"BDI 3",$P$8)),2)</f>
        <v>1.07</v>
      </c>
      <c r="Q637" s="157">
        <v>0</v>
      </c>
      <c r="R637" s="157">
        <f>$Q637-($Q637*LICITACAO_DESCONTO)</f>
        <v>0</v>
      </c>
      <c r="S637" s="156">
        <f>TRUNC($K637*$O637,2)</f>
        <v>0</v>
      </c>
      <c r="T637" s="156">
        <f>TRUNC($K637*$P637,2)</f>
        <v>0</v>
      </c>
      <c r="U637" s="156">
        <f>TRUNC($J637*$R637,2)</f>
        <v>0</v>
      </c>
      <c r="V637" s="156">
        <f>TRUNC($K637*$Q637,2)</f>
        <v>0</v>
      </c>
      <c r="W637" s="156">
        <f>TRUNC(V637-U637,2)</f>
        <v>0</v>
      </c>
      <c r="X637" s="158">
        <f>$S637/ORCAMENTO_VALOR_TOTAL_ND</f>
        <v>0</v>
      </c>
      <c r="Y637" s="158">
        <f>$T637/ORCAMENTO_VALOR_TOTAL_DE</f>
        <v>0</v>
      </c>
      <c r="Z637" s="158" cm="1">
        <f t="array" ref="Z637">_xlfn.SWITCH($N637,"BDI 1",$O$6,"BDI 2",$O$7,"BDI 3",$O$8)</f>
        <v>0.20699999999999999</v>
      </c>
      <c r="AA637" s="158" cm="1">
        <f t="array" ref="AA637">_xlfn.SWITCH($N637,"BDI 1",$P$6,"BDI 2",$P$7,"BDI 3",$P$8)</f>
        <v>0.26739999999999997</v>
      </c>
      <c r="AB637" s="158">
        <f ca="1">IFERROR($S637/_xlfn.XLOOKUP($AE637,$B$16:$B$38,$S$16:$S$38),0)</f>
        <v>0</v>
      </c>
      <c r="AC637" s="158">
        <f ca="1">IFERROR($T637/_xlfn.XLOOKUP($AE637,$B$16:$B$38,$T$16:$T$38),0)</f>
        <v>0</v>
      </c>
      <c r="AD637" s="164"/>
      <c r="AE637" s="148">
        <f t="shared" si="1114"/>
        <v>0</v>
      </c>
      <c r="AF637" s="149"/>
      <c r="AG637" s="150"/>
      <c r="AH637" s="159">
        <f>S637/$S$571</f>
        <v>0</v>
      </c>
      <c r="AI637" s="166">
        <f>IF(K637=0,0,K637/F637)</f>
        <v>0</v>
      </c>
      <c r="AJ637" s="105"/>
      <c r="AK637" s="105"/>
      <c r="AM637" s="105"/>
      <c r="AN637" s="105"/>
      <c r="AO637" s="105"/>
      <c r="AP637" s="105"/>
      <c r="AQ637" s="105"/>
      <c r="AR637" s="105"/>
    </row>
    <row r="638" spans="1:44" s="49" customFormat="1" ht="40.15" hidden="1" customHeight="1">
      <c r="A638" s="10">
        <f t="shared" ca="1" si="1113"/>
        <v>2.0599999999999987</v>
      </c>
      <c r="B638" s="153"/>
      <c r="C638" s="154"/>
      <c r="D638" s="154"/>
      <c r="E638" s="161" t="s">
        <v>267</v>
      </c>
      <c r="F638" s="154"/>
      <c r="G638" s="154"/>
      <c r="H638" s="152"/>
      <c r="I638" s="152"/>
      <c r="J638" s="154"/>
      <c r="K638" s="154"/>
      <c r="L638" s="154"/>
      <c r="M638" s="154"/>
      <c r="N638" s="154"/>
      <c r="O638" s="154"/>
      <c r="P638" s="154"/>
      <c r="Q638" s="154"/>
      <c r="R638" s="154"/>
      <c r="S638" s="162"/>
      <c r="T638" s="162"/>
      <c r="U638" s="162"/>
      <c r="V638" s="162"/>
      <c r="W638" s="162"/>
      <c r="X638" s="163"/>
      <c r="Y638" s="163"/>
      <c r="Z638" s="163"/>
      <c r="AA638" s="163"/>
      <c r="AB638" s="163"/>
      <c r="AC638" s="163"/>
      <c r="AD638" s="164"/>
      <c r="AE638" s="148">
        <f>IF(SUM(S639:S640)&gt;0,IFERROR(TRUNC(A638,0),0),0)</f>
        <v>0</v>
      </c>
      <c r="AF638" s="149"/>
      <c r="AG638" s="150"/>
      <c r="AH638" s="159"/>
      <c r="AI638" s="160"/>
      <c r="AJ638" s="105"/>
      <c r="AK638" s="105"/>
      <c r="AM638" s="105"/>
      <c r="AN638" s="105"/>
      <c r="AO638" s="105"/>
      <c r="AP638" s="105"/>
      <c r="AQ638" s="105"/>
      <c r="AR638" s="105"/>
    </row>
    <row r="639" spans="1:44" s="49" customFormat="1" ht="40.15" hidden="1" customHeight="1">
      <c r="A639" s="152">
        <f t="shared" ca="1" si="1113"/>
        <v>2.0599999999999987</v>
      </c>
      <c r="B639" s="153">
        <v>95876</v>
      </c>
      <c r="C639" s="154" t="str">
        <f>TEXT(B639,"0")</f>
        <v>95876</v>
      </c>
      <c r="D639" s="154" t="s">
        <v>1416</v>
      </c>
      <c r="E639" s="155" t="s">
        <v>3537</v>
      </c>
      <c r="F639" s="154">
        <f>IF(Dados_DMT!$B$23&lt;30,Dados_DMT!$B$23,30)</f>
        <v>0</v>
      </c>
      <c r="G639" s="154" t="s">
        <v>3538</v>
      </c>
      <c r="H639" s="152">
        <v>2.09</v>
      </c>
      <c r="I639" s="152">
        <v>2.1</v>
      </c>
      <c r="J639" s="156"/>
      <c r="K639" s="156">
        <f>ROUND(Recap_Previo!H130*F639,2)</f>
        <v>0</v>
      </c>
      <c r="L639" s="156">
        <f>IF($K639&gt;$J639,$K639-$J639,0)</f>
        <v>0</v>
      </c>
      <c r="M639" s="156">
        <f>IF($K639&lt;$J639,$J639-$K639,0)</f>
        <v>0</v>
      </c>
      <c r="N639" s="156" t="s">
        <v>83</v>
      </c>
      <c r="O639" s="157" cm="1">
        <f t="array" ref="O639">TRUNC($H639*(1+_xlfn.SWITCH($N639,"BDI 1",$O$6,"BDI 2",$O$7,"BDI 3",$O$8)),2)</f>
        <v>2.52</v>
      </c>
      <c r="P639" s="157" cm="1">
        <f t="array" ref="P639">TRUNC($I639*(1+_xlfn.SWITCH($N639,"BDI 1",$P$6,"BDI 2",$P$7,"BDI 3",$P$8)),2)</f>
        <v>2.66</v>
      </c>
      <c r="Q639" s="157">
        <v>0</v>
      </c>
      <c r="R639" s="157">
        <f>$Q639-($Q639*LICITACAO_DESCONTO)</f>
        <v>0</v>
      </c>
      <c r="S639" s="156">
        <f>TRUNC($K639*$O639,2)</f>
        <v>0</v>
      </c>
      <c r="T639" s="156">
        <f>TRUNC($K639*$P639,2)</f>
        <v>0</v>
      </c>
      <c r="U639" s="156">
        <f>TRUNC($J639*$R639,2)</f>
        <v>0</v>
      </c>
      <c r="V639" s="156">
        <f>TRUNC($K639*$Q639,2)</f>
        <v>0</v>
      </c>
      <c r="W639" s="156">
        <f>TRUNC(V639-U639,2)</f>
        <v>0</v>
      </c>
      <c r="X639" s="158">
        <f>$S639/ORCAMENTO_VALOR_TOTAL_ND</f>
        <v>0</v>
      </c>
      <c r="Y639" s="158">
        <f>$T639/ORCAMENTO_VALOR_TOTAL_DE</f>
        <v>0</v>
      </c>
      <c r="Z639" s="158" cm="1">
        <f t="array" ref="Z639">_xlfn.SWITCH($N639,"BDI 1",$O$6,"BDI 2",$O$7,"BDI 3",$O$8)</f>
        <v>0.20699999999999999</v>
      </c>
      <c r="AA639" s="158" cm="1">
        <f t="array" ref="AA639">_xlfn.SWITCH($N639,"BDI 1",$P$6,"BDI 2",$P$7,"BDI 3",$P$8)</f>
        <v>0.26739999999999997</v>
      </c>
      <c r="AB639" s="158">
        <f ca="1">IFERROR($S639/_xlfn.XLOOKUP($AE639,$B$16:$B$38,$S$16:$S$38),0)</f>
        <v>0</v>
      </c>
      <c r="AC639" s="158">
        <f ca="1">IFERROR($T639/_xlfn.XLOOKUP($AE639,$B$16:$B$38,$T$16:$T$38),0)</f>
        <v>0</v>
      </c>
      <c r="AD639" s="164"/>
      <c r="AE639" s="148">
        <f t="shared" ref="AE639:AE640" si="1115">IF(S639&gt;0,IFERROR(TRUNC(A639,0),0),0)</f>
        <v>0</v>
      </c>
      <c r="AF639" s="149"/>
      <c r="AG639" s="150"/>
      <c r="AH639" s="159">
        <f>S639/$S$571</f>
        <v>0</v>
      </c>
      <c r="AI639" s="166">
        <f>IF(K639=0,0,K639/F639)</f>
        <v>0</v>
      </c>
      <c r="AJ639" s="105"/>
      <c r="AK639" s="105"/>
      <c r="AM639" s="105"/>
      <c r="AN639" s="105"/>
      <c r="AO639" s="105"/>
      <c r="AP639" s="105"/>
      <c r="AQ639" s="105"/>
      <c r="AR639" s="105"/>
    </row>
    <row r="640" spans="1:44" s="49" customFormat="1" ht="40.15" hidden="1" customHeight="1">
      <c r="A640" s="152">
        <f t="shared" ca="1" si="1113"/>
        <v>2.0599999999999987</v>
      </c>
      <c r="B640" s="153">
        <v>93593</v>
      </c>
      <c r="C640" s="154" t="str">
        <f>TEXT(B640,"0")</f>
        <v>93593</v>
      </c>
      <c r="D640" s="154" t="s">
        <v>1416</v>
      </c>
      <c r="E640" s="155" t="s">
        <v>3545</v>
      </c>
      <c r="F640" s="154">
        <f>Dados_DMT!$B$23-F639</f>
        <v>0</v>
      </c>
      <c r="G640" s="154" t="s">
        <v>3538</v>
      </c>
      <c r="H640" s="152">
        <v>0.84</v>
      </c>
      <c r="I640" s="152">
        <v>0.85</v>
      </c>
      <c r="J640" s="156"/>
      <c r="K640" s="156">
        <f>ROUND(Recap_Previo!H130*F640,2)</f>
        <v>0</v>
      </c>
      <c r="L640" s="156">
        <f>IF($K640&gt;$J640,$K640-$J640,0)</f>
        <v>0</v>
      </c>
      <c r="M640" s="156">
        <f>IF($K640&lt;$J640,$J640-$K640,0)</f>
        <v>0</v>
      </c>
      <c r="N640" s="156" t="s">
        <v>83</v>
      </c>
      <c r="O640" s="157" cm="1">
        <f t="array" ref="O640">TRUNC($H640*(1+_xlfn.SWITCH($N640,"BDI 1",$O$6,"BDI 2",$O$7,"BDI 3",$O$8)),2)</f>
        <v>1.01</v>
      </c>
      <c r="P640" s="157" cm="1">
        <f t="array" ref="P640">TRUNC($I640*(1+_xlfn.SWITCH($N640,"BDI 1",$P$6,"BDI 2",$P$7,"BDI 3",$P$8)),2)</f>
        <v>1.07</v>
      </c>
      <c r="Q640" s="157">
        <v>0</v>
      </c>
      <c r="R640" s="157">
        <f>$Q640-($Q640*LICITACAO_DESCONTO)</f>
        <v>0</v>
      </c>
      <c r="S640" s="156">
        <f>TRUNC($K640*$O640,2)</f>
        <v>0</v>
      </c>
      <c r="T640" s="156">
        <f>TRUNC($K640*$P640,2)</f>
        <v>0</v>
      </c>
      <c r="U640" s="156">
        <f>TRUNC($J640*$R640,2)</f>
        <v>0</v>
      </c>
      <c r="V640" s="156">
        <f>TRUNC($K640*$Q640,2)</f>
        <v>0</v>
      </c>
      <c r="W640" s="156">
        <f>TRUNC(V640-U640,2)</f>
        <v>0</v>
      </c>
      <c r="X640" s="158">
        <f>$S640/ORCAMENTO_VALOR_TOTAL_ND</f>
        <v>0</v>
      </c>
      <c r="Y640" s="158">
        <f>$T640/ORCAMENTO_VALOR_TOTAL_DE</f>
        <v>0</v>
      </c>
      <c r="Z640" s="158" cm="1">
        <f t="array" ref="Z640">_xlfn.SWITCH($N640,"BDI 1",$O$6,"BDI 2",$O$7,"BDI 3",$O$8)</f>
        <v>0.20699999999999999</v>
      </c>
      <c r="AA640" s="158" cm="1">
        <f t="array" ref="AA640">_xlfn.SWITCH($N640,"BDI 1",$P$6,"BDI 2",$P$7,"BDI 3",$P$8)</f>
        <v>0.26739999999999997</v>
      </c>
      <c r="AB640" s="158">
        <f ca="1">IFERROR($S640/_xlfn.XLOOKUP($AE640,$B$16:$B$38,$S$16:$S$38),0)</f>
        <v>0</v>
      </c>
      <c r="AC640" s="158">
        <f ca="1">IFERROR($T640/_xlfn.XLOOKUP($AE640,$B$16:$B$38,$T$16:$T$38),0)</f>
        <v>0</v>
      </c>
      <c r="AD640" s="164"/>
      <c r="AE640" s="148">
        <f t="shared" si="1115"/>
        <v>0</v>
      </c>
      <c r="AF640" s="149"/>
      <c r="AG640" s="150"/>
      <c r="AH640" s="159">
        <f>S640/$S$571</f>
        <v>0</v>
      </c>
      <c r="AI640" s="166">
        <f>IF(K640=0,0,K640/F640)</f>
        <v>0</v>
      </c>
      <c r="AJ640" s="105"/>
      <c r="AK640" s="105"/>
      <c r="AM640" s="105"/>
      <c r="AN640" s="105"/>
      <c r="AO640" s="105"/>
      <c r="AP640" s="105"/>
      <c r="AQ640" s="105"/>
      <c r="AR640" s="105"/>
    </row>
    <row r="641" spans="1:44" s="49" customFormat="1" ht="40.15" hidden="1" customHeight="1">
      <c r="A641" s="10">
        <f t="shared" ca="1" si="1113"/>
        <v>2.0599999999999987</v>
      </c>
      <c r="B641" s="153"/>
      <c r="C641" s="154"/>
      <c r="D641" s="154"/>
      <c r="E641" s="161" t="s">
        <v>268</v>
      </c>
      <c r="F641" s="154"/>
      <c r="G641" s="154"/>
      <c r="H641" s="152"/>
      <c r="I641" s="152"/>
      <c r="J641" s="154"/>
      <c r="K641" s="154"/>
      <c r="L641" s="154"/>
      <c r="M641" s="154"/>
      <c r="N641" s="154"/>
      <c r="O641" s="154"/>
      <c r="P641" s="154"/>
      <c r="Q641" s="154"/>
      <c r="R641" s="154"/>
      <c r="S641" s="162"/>
      <c r="T641" s="162"/>
      <c r="U641" s="162"/>
      <c r="V641" s="162"/>
      <c r="W641" s="162"/>
      <c r="X641" s="163"/>
      <c r="Y641" s="163"/>
      <c r="Z641" s="163"/>
      <c r="AA641" s="163"/>
      <c r="AB641" s="163"/>
      <c r="AC641" s="163"/>
      <c r="AD641" s="164"/>
      <c r="AE641" s="148">
        <f>IF(SUM(S642:S643)&gt;0,IFERROR(TRUNC(A641,0),0),0)</f>
        <v>0</v>
      </c>
      <c r="AF641" s="149"/>
      <c r="AG641" s="150"/>
      <c r="AH641" s="159"/>
      <c r="AI641" s="160"/>
      <c r="AJ641" s="105"/>
      <c r="AK641" s="105"/>
      <c r="AM641" s="105"/>
      <c r="AN641" s="105"/>
      <c r="AO641" s="105"/>
      <c r="AP641" s="105"/>
      <c r="AQ641" s="105"/>
      <c r="AR641" s="105"/>
    </row>
    <row r="642" spans="1:44" s="49" customFormat="1" ht="40.15" hidden="1" customHeight="1">
      <c r="A642" s="152">
        <f t="shared" ca="1" si="1113"/>
        <v>2.0599999999999987</v>
      </c>
      <c r="B642" s="153">
        <v>95876</v>
      </c>
      <c r="C642" s="154" t="str">
        <f>TEXT(B642,"0")</f>
        <v>95876</v>
      </c>
      <c r="D642" s="154" t="s">
        <v>1416</v>
      </c>
      <c r="E642" s="155" t="s">
        <v>3537</v>
      </c>
      <c r="F642" s="154">
        <f>IF(Dados_DMT!$B$22&lt;30,Dados_DMT!$B$22,30)</f>
        <v>0</v>
      </c>
      <c r="G642" s="154" t="s">
        <v>3538</v>
      </c>
      <c r="H642" s="152">
        <v>2.09</v>
      </c>
      <c r="I642" s="152">
        <v>2.1</v>
      </c>
      <c r="J642" s="156"/>
      <c r="K642" s="156">
        <f>ROUND(Recap_Previo!H129*F642,2)</f>
        <v>0</v>
      </c>
      <c r="L642" s="156">
        <f>IF($K642&gt;$J642,$K642-$J642,0)</f>
        <v>0</v>
      </c>
      <c r="M642" s="156">
        <f>IF($K642&lt;$J642,$J642-$K642,0)</f>
        <v>0</v>
      </c>
      <c r="N642" s="156" t="s">
        <v>83</v>
      </c>
      <c r="O642" s="157" cm="1">
        <f t="array" ref="O642">TRUNC($H642*(1+_xlfn.SWITCH($N642,"BDI 1",$O$6,"BDI 2",$O$7,"BDI 3",$O$8)),2)</f>
        <v>2.52</v>
      </c>
      <c r="P642" s="157" cm="1">
        <f t="array" ref="P642">TRUNC($I642*(1+_xlfn.SWITCH($N642,"BDI 1",$P$6,"BDI 2",$P$7,"BDI 3",$P$8)),2)</f>
        <v>2.66</v>
      </c>
      <c r="Q642" s="157">
        <v>0</v>
      </c>
      <c r="R642" s="157">
        <f>$Q642-($Q642*LICITACAO_DESCONTO)</f>
        <v>0</v>
      </c>
      <c r="S642" s="156">
        <f>TRUNC($K642*$O642,2)</f>
        <v>0</v>
      </c>
      <c r="T642" s="156">
        <f>TRUNC($K642*$P642,2)</f>
        <v>0</v>
      </c>
      <c r="U642" s="156">
        <f>TRUNC($J642*$R642,2)</f>
        <v>0</v>
      </c>
      <c r="V642" s="156">
        <f>TRUNC($K642*$Q642,2)</f>
        <v>0</v>
      </c>
      <c r="W642" s="156">
        <f>TRUNC(V642-U642,2)</f>
        <v>0</v>
      </c>
      <c r="X642" s="158">
        <f>$S642/ORCAMENTO_VALOR_TOTAL_ND</f>
        <v>0</v>
      </c>
      <c r="Y642" s="158">
        <f>$T642/ORCAMENTO_VALOR_TOTAL_DE</f>
        <v>0</v>
      </c>
      <c r="Z642" s="158" cm="1">
        <f t="array" ref="Z642">_xlfn.SWITCH($N642,"BDI 1",$O$6,"BDI 2",$O$7,"BDI 3",$O$8)</f>
        <v>0.20699999999999999</v>
      </c>
      <c r="AA642" s="158" cm="1">
        <f t="array" ref="AA642">_xlfn.SWITCH($N642,"BDI 1",$P$6,"BDI 2",$P$7,"BDI 3",$P$8)</f>
        <v>0.26739999999999997</v>
      </c>
      <c r="AB642" s="158">
        <f ca="1">IFERROR($S642/_xlfn.XLOOKUP($AE642,$B$16:$B$38,$S$16:$S$38),0)</f>
        <v>0</v>
      </c>
      <c r="AC642" s="158">
        <f ca="1">IFERROR($T642/_xlfn.XLOOKUP($AE642,$B$16:$B$38,$T$16:$T$38),0)</f>
        <v>0</v>
      </c>
      <c r="AD642" s="164"/>
      <c r="AE642" s="148">
        <f t="shared" ref="AE642:AE643" si="1116">IF(S642&gt;0,IFERROR(TRUNC(A642,0),0),0)</f>
        <v>0</v>
      </c>
      <c r="AF642" s="149"/>
      <c r="AG642" s="150"/>
      <c r="AH642" s="159">
        <f>S642/$S$571</f>
        <v>0</v>
      </c>
      <c r="AI642" s="166">
        <f>IF(K642=0,0,K642/F642)</f>
        <v>0</v>
      </c>
      <c r="AJ642" s="105"/>
      <c r="AK642" s="105"/>
      <c r="AM642" s="105"/>
      <c r="AN642" s="105"/>
      <c r="AO642" s="105"/>
      <c r="AP642" s="105"/>
      <c r="AQ642" s="105"/>
      <c r="AR642" s="105"/>
    </row>
    <row r="643" spans="1:44" s="49" customFormat="1" ht="40.15" hidden="1" customHeight="1">
      <c r="A643" s="152">
        <f t="shared" ca="1" si="1113"/>
        <v>2.0599999999999987</v>
      </c>
      <c r="B643" s="153">
        <v>93593</v>
      </c>
      <c r="C643" s="154" t="str">
        <f>TEXT(B643,"0")</f>
        <v>93593</v>
      </c>
      <c r="D643" s="154" t="s">
        <v>1416</v>
      </c>
      <c r="E643" s="155" t="s">
        <v>3545</v>
      </c>
      <c r="F643" s="154">
        <f>+Dados_DMT!$B$22-F642</f>
        <v>0</v>
      </c>
      <c r="G643" s="154" t="s">
        <v>3538</v>
      </c>
      <c r="H643" s="152">
        <v>0.84</v>
      </c>
      <c r="I643" s="152">
        <v>0.85</v>
      </c>
      <c r="J643" s="156"/>
      <c r="K643" s="156">
        <f>ROUND(Recap_Previo!H129*F643,2)</f>
        <v>0</v>
      </c>
      <c r="L643" s="156">
        <f>IF($K643&gt;$J643,$K643-$J643,0)</f>
        <v>0</v>
      </c>
      <c r="M643" s="156">
        <f>IF($K643&lt;$J643,$J643-$K643,0)</f>
        <v>0</v>
      </c>
      <c r="N643" s="156" t="s">
        <v>83</v>
      </c>
      <c r="O643" s="157" cm="1">
        <f t="array" ref="O643">TRUNC($H643*(1+_xlfn.SWITCH($N643,"BDI 1",$O$6,"BDI 2",$O$7,"BDI 3",$O$8)),2)</f>
        <v>1.01</v>
      </c>
      <c r="P643" s="157" cm="1">
        <f t="array" ref="P643">TRUNC($I643*(1+_xlfn.SWITCH($N643,"BDI 1",$P$6,"BDI 2",$P$7,"BDI 3",$P$8)),2)</f>
        <v>1.07</v>
      </c>
      <c r="Q643" s="157">
        <v>0</v>
      </c>
      <c r="R643" s="157">
        <f>$Q643-($Q643*LICITACAO_DESCONTO)</f>
        <v>0</v>
      </c>
      <c r="S643" s="156">
        <f>TRUNC($K643*$O643,2)</f>
        <v>0</v>
      </c>
      <c r="T643" s="156">
        <f>TRUNC($K643*$P643,2)</f>
        <v>0</v>
      </c>
      <c r="U643" s="156">
        <f>TRUNC($J643*$R643,2)</f>
        <v>0</v>
      </c>
      <c r="V643" s="156">
        <f>TRUNC($K643*$Q643,2)</f>
        <v>0</v>
      </c>
      <c r="W643" s="156">
        <f>TRUNC(V643-U643,2)</f>
        <v>0</v>
      </c>
      <c r="X643" s="158">
        <f>$S643/ORCAMENTO_VALOR_TOTAL_ND</f>
        <v>0</v>
      </c>
      <c r="Y643" s="158">
        <f>$T643/ORCAMENTO_VALOR_TOTAL_DE</f>
        <v>0</v>
      </c>
      <c r="Z643" s="158" cm="1">
        <f t="array" ref="Z643">_xlfn.SWITCH($N643,"BDI 1",$O$6,"BDI 2",$O$7,"BDI 3",$O$8)</f>
        <v>0.20699999999999999</v>
      </c>
      <c r="AA643" s="158" cm="1">
        <f t="array" ref="AA643">_xlfn.SWITCH($N643,"BDI 1",$P$6,"BDI 2",$P$7,"BDI 3",$P$8)</f>
        <v>0.26739999999999997</v>
      </c>
      <c r="AB643" s="158">
        <f ca="1">IFERROR($S643/_xlfn.XLOOKUP($AE643,$B$16:$B$38,$S$16:$S$38),0)</f>
        <v>0</v>
      </c>
      <c r="AC643" s="158">
        <f ca="1">IFERROR($T643/_xlfn.XLOOKUP($AE643,$B$16:$B$38,$T$16:$T$38),0)</f>
        <v>0</v>
      </c>
      <c r="AD643" s="164"/>
      <c r="AE643" s="148">
        <f t="shared" si="1116"/>
        <v>0</v>
      </c>
      <c r="AF643" s="149"/>
      <c r="AG643" s="150"/>
      <c r="AH643" s="159">
        <f>S643/$S$571</f>
        <v>0</v>
      </c>
      <c r="AI643" s="166">
        <f>IF(K643=0,0,K643/F643)</f>
        <v>0</v>
      </c>
      <c r="AJ643" s="105"/>
      <c r="AK643" s="105"/>
      <c r="AM643" s="105"/>
      <c r="AN643" s="105"/>
      <c r="AO643" s="105"/>
      <c r="AP643" s="105"/>
      <c r="AQ643" s="105"/>
      <c r="AR643" s="105"/>
    </row>
    <row r="644" spans="1:44" s="49" customFormat="1" ht="40.15" hidden="1" customHeight="1">
      <c r="A644" s="10">
        <f t="shared" ca="1" si="1113"/>
        <v>2.0599999999999987</v>
      </c>
      <c r="B644" s="153"/>
      <c r="C644" s="154"/>
      <c r="D644" s="154"/>
      <c r="E644" s="161" t="s">
        <v>294</v>
      </c>
      <c r="F644" s="154"/>
      <c r="G644" s="154"/>
      <c r="H644" s="152"/>
      <c r="I644" s="152"/>
      <c r="J644" s="154"/>
      <c r="K644" s="154"/>
      <c r="L644" s="154"/>
      <c r="M644" s="154"/>
      <c r="N644" s="154"/>
      <c r="O644" s="154"/>
      <c r="P644" s="154"/>
      <c r="Q644" s="154"/>
      <c r="R644" s="154"/>
      <c r="S644" s="162"/>
      <c r="T644" s="162"/>
      <c r="U644" s="162"/>
      <c r="V644" s="162"/>
      <c r="W644" s="162"/>
      <c r="X644" s="163"/>
      <c r="Y644" s="163"/>
      <c r="Z644" s="163"/>
      <c r="AA644" s="163"/>
      <c r="AB644" s="163"/>
      <c r="AC644" s="163"/>
      <c r="AD644" s="164"/>
      <c r="AE644" s="148">
        <f>IF(SUM(S645:S646)&gt;0,IFERROR(TRUNC(A644,0),0),0)</f>
        <v>0</v>
      </c>
      <c r="AF644" s="149"/>
      <c r="AG644" s="150"/>
      <c r="AH644" s="159"/>
      <c r="AI644" s="160"/>
      <c r="AJ644" s="105"/>
      <c r="AK644" s="105"/>
      <c r="AM644" s="105"/>
      <c r="AN644" s="105"/>
      <c r="AO644" s="105"/>
      <c r="AP644" s="105"/>
      <c r="AQ644" s="105"/>
      <c r="AR644" s="105"/>
    </row>
    <row r="645" spans="1:44" s="49" customFormat="1" ht="40.15" hidden="1" customHeight="1">
      <c r="A645" s="152">
        <f t="shared" ca="1" si="1113"/>
        <v>2.0599999999999987</v>
      </c>
      <c r="B645" s="153">
        <v>100947</v>
      </c>
      <c r="C645" s="154" t="str">
        <f>TEXT(B645,"0")</f>
        <v>100947</v>
      </c>
      <c r="D645" s="154" t="s">
        <v>1416</v>
      </c>
      <c r="E645" s="155" t="s">
        <v>385</v>
      </c>
      <c r="F645" s="154">
        <f>IF(Dados_DMT!$B$35&lt;30,Dados_DMT!$B$35,30)</f>
        <v>0</v>
      </c>
      <c r="G645" s="154" t="s">
        <v>3534</v>
      </c>
      <c r="H645" s="152">
        <v>2.15</v>
      </c>
      <c r="I645" s="152">
        <v>2.13</v>
      </c>
      <c r="J645" s="156"/>
      <c r="K645" s="156">
        <f>ROUND(Recap_Previo!H128*F645,2)</f>
        <v>0</v>
      </c>
      <c r="L645" s="156">
        <f>IF($K645&gt;$J645,$K645-$J645,0)</f>
        <v>0</v>
      </c>
      <c r="M645" s="156">
        <f>IF($K645&lt;$J645,$J645-$K645,0)</f>
        <v>0</v>
      </c>
      <c r="N645" s="156" t="s">
        <v>83</v>
      </c>
      <c r="O645" s="157" cm="1">
        <f t="array" ref="O645">TRUNC($H645*(1+_xlfn.SWITCH($N645,"BDI 1",$O$6,"BDI 2",$O$7,"BDI 3",$O$8)),2)</f>
        <v>2.59</v>
      </c>
      <c r="P645" s="157" cm="1">
        <f t="array" ref="P645">TRUNC($I645*(1+_xlfn.SWITCH($N645,"BDI 1",$P$6,"BDI 2",$P$7,"BDI 3",$P$8)),2)</f>
        <v>2.69</v>
      </c>
      <c r="Q645" s="157">
        <v>0</v>
      </c>
      <c r="R645" s="157">
        <f>$Q645-($Q645*LICITACAO_DESCONTO)</f>
        <v>0</v>
      </c>
      <c r="S645" s="156">
        <f>TRUNC($K645*$O645,2)</f>
        <v>0</v>
      </c>
      <c r="T645" s="156">
        <f>TRUNC($K645*$P645,2)</f>
        <v>0</v>
      </c>
      <c r="U645" s="156">
        <f>TRUNC($J645*$R645,2)</f>
        <v>0</v>
      </c>
      <c r="V645" s="156">
        <f>TRUNC($K645*$Q645,2)</f>
        <v>0</v>
      </c>
      <c r="W645" s="156">
        <f>TRUNC(V645-U645,2)</f>
        <v>0</v>
      </c>
      <c r="X645" s="158">
        <f>$S645/ORCAMENTO_VALOR_TOTAL_ND</f>
        <v>0</v>
      </c>
      <c r="Y645" s="158">
        <f>$T645/ORCAMENTO_VALOR_TOTAL_DE</f>
        <v>0</v>
      </c>
      <c r="Z645" s="158" cm="1">
        <f t="array" ref="Z645">_xlfn.SWITCH($N645,"BDI 1",$O$6,"BDI 2",$O$7,"BDI 3",$O$8)</f>
        <v>0.20699999999999999</v>
      </c>
      <c r="AA645" s="158" cm="1">
        <f t="array" ref="AA645">_xlfn.SWITCH($N645,"BDI 1",$P$6,"BDI 2",$P$7,"BDI 3",$P$8)</f>
        <v>0.26739999999999997</v>
      </c>
      <c r="AB645" s="158">
        <f ca="1">IFERROR($S645/_xlfn.XLOOKUP($AE645,$B$16:$B$38,$S$16:$S$38),0)</f>
        <v>0</v>
      </c>
      <c r="AC645" s="158">
        <f ca="1">IFERROR($T645/_xlfn.XLOOKUP($AE645,$B$16:$B$38,$T$16:$T$38),0)</f>
        <v>0</v>
      </c>
      <c r="AD645" s="164"/>
      <c r="AE645" s="148">
        <f t="shared" ref="AE645:AE646" si="1117">IF(S645&gt;0,IFERROR(TRUNC(A645,0),0),0)</f>
        <v>0</v>
      </c>
      <c r="AF645" s="149"/>
      <c r="AG645" s="150"/>
      <c r="AH645" s="159">
        <f>S645/$S$571</f>
        <v>0</v>
      </c>
      <c r="AI645" s="160"/>
      <c r="AJ645" s="105"/>
      <c r="AK645" s="105"/>
      <c r="AM645" s="105"/>
      <c r="AN645" s="105"/>
      <c r="AO645" s="105"/>
      <c r="AP645" s="105"/>
      <c r="AQ645" s="105"/>
      <c r="AR645" s="105"/>
    </row>
    <row r="646" spans="1:44" s="49" customFormat="1" ht="40.15" hidden="1" customHeight="1">
      <c r="A646" s="152">
        <f t="shared" ca="1" si="1113"/>
        <v>2.0599999999999987</v>
      </c>
      <c r="B646" s="153">
        <v>100948</v>
      </c>
      <c r="C646" s="154" t="str">
        <f>TEXT(B646,"0")</f>
        <v>100948</v>
      </c>
      <c r="D646" s="154" t="s">
        <v>1416</v>
      </c>
      <c r="E646" s="155" t="s">
        <v>3615</v>
      </c>
      <c r="F646" s="154">
        <f>+Dados_DMT!$B$35-F645</f>
        <v>0</v>
      </c>
      <c r="G646" s="154" t="s">
        <v>3534</v>
      </c>
      <c r="H646" s="152">
        <v>0.85</v>
      </c>
      <c r="I646" s="152">
        <v>0.84</v>
      </c>
      <c r="J646" s="156"/>
      <c r="K646" s="156">
        <f>ROUND(Recap_Previo!H128*F646,2)</f>
        <v>0</v>
      </c>
      <c r="L646" s="156">
        <f>IF($K646&gt;$J646,$K646-$J646,0)</f>
        <v>0</v>
      </c>
      <c r="M646" s="156">
        <f>IF($K646&lt;$J646,$J646-$K646,0)</f>
        <v>0</v>
      </c>
      <c r="N646" s="156" t="s">
        <v>83</v>
      </c>
      <c r="O646" s="157" cm="1">
        <f t="array" ref="O646">TRUNC($H646*(1+_xlfn.SWITCH($N646,"BDI 1",$O$6,"BDI 2",$O$7,"BDI 3",$O$8)),2)</f>
        <v>1.02</v>
      </c>
      <c r="P646" s="157" cm="1">
        <f t="array" ref="P646">TRUNC($I646*(1+_xlfn.SWITCH($N646,"BDI 1",$P$6,"BDI 2",$P$7,"BDI 3",$P$8)),2)</f>
        <v>1.06</v>
      </c>
      <c r="Q646" s="157">
        <v>0</v>
      </c>
      <c r="R646" s="157">
        <f>$Q646-($Q646*LICITACAO_DESCONTO)</f>
        <v>0</v>
      </c>
      <c r="S646" s="156">
        <f>TRUNC($K646*$O646,2)</f>
        <v>0</v>
      </c>
      <c r="T646" s="156">
        <f>TRUNC($K646*$P646,2)</f>
        <v>0</v>
      </c>
      <c r="U646" s="156">
        <f>TRUNC($J646*$R646,2)</f>
        <v>0</v>
      </c>
      <c r="V646" s="156">
        <f>TRUNC($K646*$Q646,2)</f>
        <v>0</v>
      </c>
      <c r="W646" s="156">
        <f>TRUNC(V646-U646,2)</f>
        <v>0</v>
      </c>
      <c r="X646" s="158">
        <f>$S646/ORCAMENTO_VALOR_TOTAL_ND</f>
        <v>0</v>
      </c>
      <c r="Y646" s="158">
        <f>$T646/ORCAMENTO_VALOR_TOTAL_DE</f>
        <v>0</v>
      </c>
      <c r="Z646" s="158" cm="1">
        <f t="array" ref="Z646">_xlfn.SWITCH($N646,"BDI 1",$O$6,"BDI 2",$O$7,"BDI 3",$O$8)</f>
        <v>0.20699999999999999</v>
      </c>
      <c r="AA646" s="158" cm="1">
        <f t="array" ref="AA646">_xlfn.SWITCH($N646,"BDI 1",$P$6,"BDI 2",$P$7,"BDI 3",$P$8)</f>
        <v>0.26739999999999997</v>
      </c>
      <c r="AB646" s="158">
        <f ca="1">IFERROR($S646/_xlfn.XLOOKUP($AE646,$B$16:$B$38,$S$16:$S$38),0)</f>
        <v>0</v>
      </c>
      <c r="AC646" s="158">
        <f ca="1">IFERROR($T646/_xlfn.XLOOKUP($AE646,$B$16:$B$38,$T$16:$T$38),0)</f>
        <v>0</v>
      </c>
      <c r="AD646" s="164"/>
      <c r="AE646" s="148">
        <f t="shared" si="1117"/>
        <v>0</v>
      </c>
      <c r="AF646" s="149"/>
      <c r="AG646" s="150"/>
      <c r="AH646" s="159">
        <f>S646/$S$571</f>
        <v>0</v>
      </c>
      <c r="AI646" s="160"/>
      <c r="AJ646" s="105"/>
      <c r="AK646" s="105"/>
      <c r="AM646" s="105"/>
      <c r="AN646" s="105"/>
      <c r="AO646" s="105"/>
      <c r="AP646" s="105"/>
      <c r="AQ646" s="105"/>
      <c r="AR646" s="105"/>
    </row>
    <row r="647" spans="1:44" s="49" customFormat="1" ht="40.15" hidden="1" customHeight="1">
      <c r="A647" s="10">
        <f t="shared" ca="1" si="1113"/>
        <v>2.0599999999999987</v>
      </c>
      <c r="B647" s="153"/>
      <c r="C647" s="154"/>
      <c r="D647" s="154"/>
      <c r="E647" s="161" t="s">
        <v>269</v>
      </c>
      <c r="F647" s="154"/>
      <c r="G647" s="154"/>
      <c r="H647" s="152"/>
      <c r="I647" s="152"/>
      <c r="J647" s="154"/>
      <c r="K647" s="154"/>
      <c r="L647" s="154"/>
      <c r="M647" s="154"/>
      <c r="N647" s="154"/>
      <c r="O647" s="154"/>
      <c r="P647" s="154"/>
      <c r="Q647" s="154"/>
      <c r="R647" s="154"/>
      <c r="S647" s="162"/>
      <c r="T647" s="162"/>
      <c r="U647" s="162"/>
      <c r="V647" s="162"/>
      <c r="W647" s="162"/>
      <c r="X647" s="163"/>
      <c r="Y647" s="163"/>
      <c r="Z647" s="163"/>
      <c r="AA647" s="163"/>
      <c r="AB647" s="163"/>
      <c r="AC647" s="163"/>
      <c r="AD647" s="164"/>
      <c r="AE647" s="148">
        <f>IF(SUM(S648:S649)&gt;0,IFERROR(TRUNC(A647,0),0),0)</f>
        <v>0</v>
      </c>
      <c r="AF647" s="149"/>
      <c r="AG647" s="150"/>
      <c r="AH647" s="159"/>
      <c r="AI647" s="160"/>
      <c r="AJ647" s="105"/>
      <c r="AK647" s="105"/>
      <c r="AM647" s="105"/>
      <c r="AN647" s="105"/>
      <c r="AO647" s="105"/>
      <c r="AP647" s="105"/>
      <c r="AQ647" s="105"/>
      <c r="AR647" s="105"/>
    </row>
    <row r="648" spans="1:44" s="49" customFormat="1" ht="40.15" hidden="1" customHeight="1">
      <c r="A648" s="152">
        <f t="shared" ca="1" si="1113"/>
        <v>2.0599999999999987</v>
      </c>
      <c r="B648" s="153">
        <v>95879</v>
      </c>
      <c r="C648" s="154" t="str">
        <f>TEXT(B648,"0")</f>
        <v>95879</v>
      </c>
      <c r="D648" s="154" t="s">
        <v>1416</v>
      </c>
      <c r="E648" s="155" t="s">
        <v>3535</v>
      </c>
      <c r="F648" s="154">
        <f>IF(Dados_DMT!$B$31&lt;30,Dados_DMT!$B$31,30)</f>
        <v>0</v>
      </c>
      <c r="G648" s="154" t="s">
        <v>3534</v>
      </c>
      <c r="H648" s="152">
        <v>1.41</v>
      </c>
      <c r="I648" s="152">
        <v>1.42</v>
      </c>
      <c r="J648" s="156"/>
      <c r="K648" s="156">
        <f>ROUND(Recap_Previo!H143*F648,2)</f>
        <v>0</v>
      </c>
      <c r="L648" s="156">
        <f>IF($K648&gt;$J648,$K648-$J648,0)</f>
        <v>0</v>
      </c>
      <c r="M648" s="156">
        <f>IF($K648&lt;$J648,$J648-$K648,0)</f>
        <v>0</v>
      </c>
      <c r="N648" s="156" t="s">
        <v>83</v>
      </c>
      <c r="O648" s="157" cm="1">
        <f t="array" ref="O648">TRUNC($H648*(1+_xlfn.SWITCH($N648,"BDI 1",$O$6,"BDI 2",$O$7,"BDI 3",$O$8)),2)</f>
        <v>1.7</v>
      </c>
      <c r="P648" s="157" cm="1">
        <f t="array" ref="P648">TRUNC($I648*(1+_xlfn.SWITCH($N648,"BDI 1",$P$6,"BDI 2",$P$7,"BDI 3",$P$8)),2)</f>
        <v>1.79</v>
      </c>
      <c r="Q648" s="157">
        <v>0</v>
      </c>
      <c r="R648" s="157">
        <f>$Q648-($Q648*LICITACAO_DESCONTO)</f>
        <v>0</v>
      </c>
      <c r="S648" s="156">
        <f>TRUNC($K648*$O648,2)</f>
        <v>0</v>
      </c>
      <c r="T648" s="156">
        <f>TRUNC($K648*$P648,2)</f>
        <v>0</v>
      </c>
      <c r="U648" s="156">
        <f>TRUNC($J648*$R648,2)</f>
        <v>0</v>
      </c>
      <c r="V648" s="156">
        <f>TRUNC($K648*$Q648,2)</f>
        <v>0</v>
      </c>
      <c r="W648" s="156">
        <f>TRUNC(V648-U648,2)</f>
        <v>0</v>
      </c>
      <c r="X648" s="158">
        <f>$S648/ORCAMENTO_VALOR_TOTAL_ND</f>
        <v>0</v>
      </c>
      <c r="Y648" s="158">
        <f>$T648/ORCAMENTO_VALOR_TOTAL_DE</f>
        <v>0</v>
      </c>
      <c r="Z648" s="158" cm="1">
        <f t="array" ref="Z648">_xlfn.SWITCH($N648,"BDI 1",$O$6,"BDI 2",$O$7,"BDI 3",$O$8)</f>
        <v>0.20699999999999999</v>
      </c>
      <c r="AA648" s="158" cm="1">
        <f t="array" ref="AA648">_xlfn.SWITCH($N648,"BDI 1",$P$6,"BDI 2",$P$7,"BDI 3",$P$8)</f>
        <v>0.26739999999999997</v>
      </c>
      <c r="AB648" s="158">
        <f ca="1">IFERROR($S648/_xlfn.XLOOKUP($AE648,$B$16:$B$38,$S$16:$S$38),0)</f>
        <v>0</v>
      </c>
      <c r="AC648" s="158">
        <f ca="1">IFERROR($T648/_xlfn.XLOOKUP($AE648,$B$16:$B$38,$T$16:$T$38),0)</f>
        <v>0</v>
      </c>
      <c r="AD648" s="164"/>
      <c r="AE648" s="148">
        <f t="shared" ref="AE648:AE649" si="1118">IF(S648&gt;0,IFERROR(TRUNC(A648,0),0),0)</f>
        <v>0</v>
      </c>
      <c r="AF648" s="149"/>
      <c r="AG648" s="150"/>
      <c r="AH648" s="159">
        <f>S648/$S$571</f>
        <v>0</v>
      </c>
      <c r="AI648" s="166">
        <f>IF(K648=0,0,K648/F648)</f>
        <v>0</v>
      </c>
      <c r="AJ648" s="105"/>
      <c r="AK648" s="105"/>
      <c r="AM648" s="105"/>
      <c r="AN648" s="105"/>
      <c r="AO648" s="105"/>
      <c r="AP648" s="105"/>
      <c r="AQ648" s="105"/>
      <c r="AR648" s="105"/>
    </row>
    <row r="649" spans="1:44" s="49" customFormat="1" ht="40.15" hidden="1" customHeight="1">
      <c r="A649" s="152">
        <f t="shared" ca="1" si="1113"/>
        <v>2.0599999999999987</v>
      </c>
      <c r="B649" s="153">
        <v>93599</v>
      </c>
      <c r="C649" s="154" t="str">
        <f>TEXT(B649,"0")</f>
        <v>93599</v>
      </c>
      <c r="D649" s="154" t="s">
        <v>1416</v>
      </c>
      <c r="E649" s="155" t="s">
        <v>3533</v>
      </c>
      <c r="F649" s="154">
        <f>+Dados_DMT!$B$31-F648</f>
        <v>0</v>
      </c>
      <c r="G649" s="154" t="s">
        <v>3534</v>
      </c>
      <c r="H649" s="152">
        <v>0.56000000000000005</v>
      </c>
      <c r="I649" s="152">
        <v>0.56000000000000005</v>
      </c>
      <c r="J649" s="156"/>
      <c r="K649" s="156">
        <f>ROUND(Recap_Previo!H143*F649,2)</f>
        <v>0</v>
      </c>
      <c r="L649" s="156">
        <f>IF($K649&gt;$J649,$K649-$J649,0)</f>
        <v>0</v>
      </c>
      <c r="M649" s="156">
        <f>IF($K649&lt;$J649,$J649-$K649,0)</f>
        <v>0</v>
      </c>
      <c r="N649" s="156" t="s">
        <v>83</v>
      </c>
      <c r="O649" s="157" cm="1">
        <f t="array" ref="O649">TRUNC($H649*(1+_xlfn.SWITCH($N649,"BDI 1",$O$6,"BDI 2",$O$7,"BDI 3",$O$8)),2)</f>
        <v>0.67</v>
      </c>
      <c r="P649" s="157" cm="1">
        <f t="array" ref="P649">TRUNC($I649*(1+_xlfn.SWITCH($N649,"BDI 1",$P$6,"BDI 2",$P$7,"BDI 3",$P$8)),2)</f>
        <v>0.7</v>
      </c>
      <c r="Q649" s="157">
        <v>0</v>
      </c>
      <c r="R649" s="157">
        <f>$Q649-($Q649*LICITACAO_DESCONTO)</f>
        <v>0</v>
      </c>
      <c r="S649" s="156">
        <f>TRUNC($K649*$O649,2)</f>
        <v>0</v>
      </c>
      <c r="T649" s="156">
        <f>TRUNC($K649*$P649,2)</f>
        <v>0</v>
      </c>
      <c r="U649" s="156">
        <f>TRUNC($J649*$R649,2)</f>
        <v>0</v>
      </c>
      <c r="V649" s="156">
        <f>TRUNC($K649*$Q649,2)</f>
        <v>0</v>
      </c>
      <c r="W649" s="156">
        <f>TRUNC(V649-U649,2)</f>
        <v>0</v>
      </c>
      <c r="X649" s="158">
        <f>$S649/ORCAMENTO_VALOR_TOTAL_ND</f>
        <v>0</v>
      </c>
      <c r="Y649" s="158">
        <f>$T649/ORCAMENTO_VALOR_TOTAL_DE</f>
        <v>0</v>
      </c>
      <c r="Z649" s="158" cm="1">
        <f t="array" ref="Z649">_xlfn.SWITCH($N649,"BDI 1",$O$6,"BDI 2",$O$7,"BDI 3",$O$8)</f>
        <v>0.20699999999999999</v>
      </c>
      <c r="AA649" s="158" cm="1">
        <f t="array" ref="AA649">_xlfn.SWITCH($N649,"BDI 1",$P$6,"BDI 2",$P$7,"BDI 3",$P$8)</f>
        <v>0.26739999999999997</v>
      </c>
      <c r="AB649" s="158">
        <f ca="1">IFERROR($S649/_xlfn.XLOOKUP($AE649,$B$16:$B$38,$S$16:$S$38),0)</f>
        <v>0</v>
      </c>
      <c r="AC649" s="158">
        <f ca="1">IFERROR($T649/_xlfn.XLOOKUP($AE649,$B$16:$B$38,$T$16:$T$38),0)</f>
        <v>0</v>
      </c>
      <c r="AD649" s="164"/>
      <c r="AE649" s="148">
        <f t="shared" si="1118"/>
        <v>0</v>
      </c>
      <c r="AF649" s="149"/>
      <c r="AG649" s="150"/>
      <c r="AH649" s="159">
        <f>S649/$S$571</f>
        <v>0</v>
      </c>
      <c r="AI649" s="166">
        <f>IF(K649=0,0,K649/F649)</f>
        <v>0</v>
      </c>
      <c r="AJ649" s="105"/>
      <c r="AK649" s="105"/>
      <c r="AM649" s="105"/>
      <c r="AN649" s="105"/>
      <c r="AO649" s="105"/>
      <c r="AP649" s="105"/>
      <c r="AQ649" s="105"/>
      <c r="AR649" s="105"/>
    </row>
    <row r="650" spans="1:44" s="49" customFormat="1" ht="24.95" customHeight="1">
      <c r="A650" s="10">
        <f t="shared" ca="1" si="1113"/>
        <v>2.0599999999999987</v>
      </c>
      <c r="B650" s="153"/>
      <c r="C650" s="154"/>
      <c r="D650" s="154"/>
      <c r="E650" s="161" t="s">
        <v>270</v>
      </c>
      <c r="F650" s="154"/>
      <c r="G650" s="154"/>
      <c r="H650" s="152"/>
      <c r="I650" s="152"/>
      <c r="J650" s="154"/>
      <c r="K650" s="154"/>
      <c r="L650" s="154"/>
      <c r="M650" s="154"/>
      <c r="N650" s="154"/>
      <c r="O650" s="154"/>
      <c r="P650" s="154"/>
      <c r="Q650" s="154"/>
      <c r="R650" s="154"/>
      <c r="S650" s="162"/>
      <c r="T650" s="162"/>
      <c r="U650" s="162"/>
      <c r="V650" s="162"/>
      <c r="W650" s="162"/>
      <c r="X650" s="163"/>
      <c r="Y650" s="163"/>
      <c r="Z650" s="163"/>
      <c r="AA650" s="163"/>
      <c r="AB650" s="163"/>
      <c r="AC650" s="163"/>
      <c r="AD650" s="164"/>
      <c r="AE650" s="148">
        <f ca="1">IF(SUM(S651:S652)&gt;0,IFERROR(TRUNC(A650,0),0),0)</f>
        <v>2</v>
      </c>
      <c r="AF650" s="149"/>
      <c r="AG650" s="150"/>
      <c r="AH650" s="159"/>
      <c r="AI650" s="160"/>
      <c r="AJ650" s="105"/>
      <c r="AK650" s="105"/>
      <c r="AM650" s="105"/>
      <c r="AN650" s="105"/>
      <c r="AO650" s="105"/>
      <c r="AP650" s="105"/>
      <c r="AQ650" s="105"/>
      <c r="AR650" s="105"/>
    </row>
    <row r="651" spans="1:44" s="49" customFormat="1" ht="40.15" customHeight="1">
      <c r="A651" s="152">
        <f t="shared" ca="1" si="1113"/>
        <v>2.0699999999999985</v>
      </c>
      <c r="B651" s="153">
        <v>95879</v>
      </c>
      <c r="C651" s="154" t="str">
        <f>TEXT(B651,"0")</f>
        <v>95879</v>
      </c>
      <c r="D651" s="154" t="s">
        <v>1416</v>
      </c>
      <c r="E651" s="155" t="s">
        <v>3535</v>
      </c>
      <c r="F651" s="154">
        <f>IF(Dados_DMT!$B$30&lt;30,Dados_DMT!$B$30,30)</f>
        <v>30</v>
      </c>
      <c r="G651" s="154" t="s">
        <v>3534</v>
      </c>
      <c r="H651" s="152">
        <v>1.41</v>
      </c>
      <c r="I651" s="152">
        <v>1.42</v>
      </c>
      <c r="J651" s="156"/>
      <c r="K651" s="156">
        <f>ROUND(Recap_Previo!H142*F651,2)</f>
        <v>59460.3</v>
      </c>
      <c r="L651" s="156">
        <f>IF($K651&gt;$J651,$K651-$J651,0)</f>
        <v>59460.3</v>
      </c>
      <c r="M651" s="156">
        <f>IF($K651&lt;$J651,$J651-$K651,0)</f>
        <v>0</v>
      </c>
      <c r="N651" s="156" t="s">
        <v>83</v>
      </c>
      <c r="O651" s="157" cm="1">
        <f t="array" ref="O651">TRUNC($H651*(1+_xlfn.SWITCH($N651,"BDI 1",$O$6,"BDI 2",$O$7,"BDI 3",$O$8)),2)</f>
        <v>1.7</v>
      </c>
      <c r="P651" s="157" cm="1">
        <f t="array" ref="P651">TRUNC($I651*(1+_xlfn.SWITCH($N651,"BDI 1",$P$6,"BDI 2",$P$7,"BDI 3",$P$8)),2)</f>
        <v>1.79</v>
      </c>
      <c r="Q651" s="157">
        <v>0</v>
      </c>
      <c r="R651" s="157">
        <f>$Q651-($Q651*LICITACAO_DESCONTO)</f>
        <v>0</v>
      </c>
      <c r="S651" s="156">
        <f>TRUNC($K651*$O651,2)</f>
        <v>101082.51</v>
      </c>
      <c r="T651" s="156">
        <f>TRUNC($K651*$P651,2)</f>
        <v>106433.93</v>
      </c>
      <c r="U651" s="156">
        <f>TRUNC($J651*$R651,2)</f>
        <v>0</v>
      </c>
      <c r="V651" s="156">
        <f>TRUNC($K651*$Q651,2)</f>
        <v>0</v>
      </c>
      <c r="W651" s="156">
        <f>TRUNC(V651-U651,2)</f>
        <v>0</v>
      </c>
      <c r="X651" s="158">
        <f>$S651/ORCAMENTO_VALOR_TOTAL_ND</f>
        <v>3.268687301647541E-2</v>
      </c>
      <c r="Y651" s="158">
        <f>$T651/ORCAMENTO_VALOR_TOTAL_DE</f>
        <v>3.1293066805005355E-2</v>
      </c>
      <c r="Z651" s="158" cm="1">
        <f t="array" ref="Z651">_xlfn.SWITCH($N651,"BDI 1",$O$6,"BDI 2",$O$7,"BDI 3",$O$8)</f>
        <v>0.20699999999999999</v>
      </c>
      <c r="AA651" s="158" cm="1">
        <f t="array" ref="AA651">_xlfn.SWITCH($N651,"BDI 1",$P$6,"BDI 2",$P$7,"BDI 3",$P$8)</f>
        <v>0.26739999999999997</v>
      </c>
      <c r="AB651" s="158">
        <f ca="1">IFERROR($S651/_xlfn.XLOOKUP($AE651,$B$16:$B$38,$S$16:$S$38),0)</f>
        <v>0</v>
      </c>
      <c r="AC651" s="158">
        <f ca="1">IFERROR($T651/_xlfn.XLOOKUP($AE651,$B$16:$B$38,$T$16:$T$38),0)</f>
        <v>0</v>
      </c>
      <c r="AD651" s="164"/>
      <c r="AE651" s="148">
        <f t="shared" ref="AE651:AE652" ca="1" si="1119">IF(S651&gt;0,IFERROR(TRUNC(A651,0),0),0)</f>
        <v>2</v>
      </c>
      <c r="AF651" s="149"/>
      <c r="AG651" s="150"/>
      <c r="AH651" s="159">
        <f>S651/$S$571</f>
        <v>3.4977164696655391E-2</v>
      </c>
      <c r="AI651" s="209">
        <f>IF(K651=0,0,K651/F651)</f>
        <v>1982.01</v>
      </c>
      <c r="AJ651" s="105"/>
      <c r="AK651" s="105"/>
      <c r="AM651" s="105"/>
      <c r="AN651" s="105"/>
      <c r="AO651" s="105"/>
      <c r="AP651" s="105"/>
      <c r="AQ651" s="105"/>
      <c r="AR651" s="105"/>
    </row>
    <row r="652" spans="1:44" s="49" customFormat="1" ht="40.15" customHeight="1">
      <c r="A652" s="152">
        <f t="shared" ca="1" si="1113"/>
        <v>2.0799999999999983</v>
      </c>
      <c r="B652" s="153">
        <v>93599</v>
      </c>
      <c r="C652" s="154" t="str">
        <f>TEXT(B652,"0")</f>
        <v>93599</v>
      </c>
      <c r="D652" s="154" t="s">
        <v>1416</v>
      </c>
      <c r="E652" s="155" t="s">
        <v>3533</v>
      </c>
      <c r="F652" s="154">
        <f>+Dados_DMT!$B$30-F651</f>
        <v>80</v>
      </c>
      <c r="G652" s="154" t="s">
        <v>3534</v>
      </c>
      <c r="H652" s="152">
        <v>0.56000000000000005</v>
      </c>
      <c r="I652" s="152">
        <v>0.56000000000000005</v>
      </c>
      <c r="J652" s="156"/>
      <c r="K652" s="156">
        <f>ROUND(Recap_Previo!H142*F652,2)</f>
        <v>158560.79999999999</v>
      </c>
      <c r="L652" s="156">
        <f>IF($K652&gt;$J652,$K652-$J652,0)</f>
        <v>158560.79999999999</v>
      </c>
      <c r="M652" s="156">
        <f>IF($K652&lt;$J652,$J652-$K652,0)</f>
        <v>0</v>
      </c>
      <c r="N652" s="156" t="s">
        <v>83</v>
      </c>
      <c r="O652" s="157" cm="1">
        <f t="array" ref="O652">TRUNC($H652*(1+_xlfn.SWITCH($N652,"BDI 1",$O$6,"BDI 2",$O$7,"BDI 3",$O$8)),2)</f>
        <v>0.67</v>
      </c>
      <c r="P652" s="157" cm="1">
        <f t="array" ref="P652">TRUNC($I652*(1+_xlfn.SWITCH($N652,"BDI 1",$P$6,"BDI 2",$P$7,"BDI 3",$P$8)),2)</f>
        <v>0.7</v>
      </c>
      <c r="Q652" s="157">
        <v>0</v>
      </c>
      <c r="R652" s="157">
        <f>$Q652-($Q652*LICITACAO_DESCONTO)</f>
        <v>0</v>
      </c>
      <c r="S652" s="156">
        <f>TRUNC($K652*$O652,2)</f>
        <v>106235.73</v>
      </c>
      <c r="T652" s="156">
        <f>TRUNC($K652*$P652,2)</f>
        <v>110992.56</v>
      </c>
      <c r="U652" s="156">
        <f>TRUNC($J652*$R652,2)</f>
        <v>0</v>
      </c>
      <c r="V652" s="156">
        <f>TRUNC($K652*$Q652,2)</f>
        <v>0</v>
      </c>
      <c r="W652" s="156">
        <f>TRUNC(V652-U652,2)</f>
        <v>0</v>
      </c>
      <c r="X652" s="158">
        <f>$S652/ORCAMENTO_VALOR_TOTAL_ND</f>
        <v>3.4353260681027481E-2</v>
      </c>
      <c r="Y652" s="158">
        <f>$T652/ORCAMENTO_VALOR_TOTAL_DE</f>
        <v>3.263336790193283E-2</v>
      </c>
      <c r="Z652" s="158" cm="1">
        <f t="array" ref="Z652">_xlfn.SWITCH($N652,"BDI 1",$O$6,"BDI 2",$O$7,"BDI 3",$O$8)</f>
        <v>0.20699999999999999</v>
      </c>
      <c r="AA652" s="158" cm="1">
        <f t="array" ref="AA652">_xlfn.SWITCH($N652,"BDI 1",$P$6,"BDI 2",$P$7,"BDI 3",$P$8)</f>
        <v>0.26739999999999997</v>
      </c>
      <c r="AB652" s="158">
        <f ca="1">IFERROR($S652/_xlfn.XLOOKUP($AE652,$B$16:$B$38,$S$16:$S$38),0)</f>
        <v>0</v>
      </c>
      <c r="AC652" s="158">
        <f ca="1">IFERROR($T652/_xlfn.XLOOKUP($AE652,$B$16:$B$38,$T$16:$T$38),0)</f>
        <v>0</v>
      </c>
      <c r="AD652" s="164"/>
      <c r="AE652" s="148">
        <f t="shared" ca="1" si="1119"/>
        <v>2</v>
      </c>
      <c r="AF652" s="149"/>
      <c r="AG652" s="150"/>
      <c r="AH652" s="159">
        <f>S652/$S$571</f>
        <v>3.6760312193270771E-2</v>
      </c>
      <c r="AI652" s="209">
        <f>IF(K652=0,0,K652/F652)</f>
        <v>1982.0099999999998</v>
      </c>
      <c r="AJ652" s="105"/>
      <c r="AK652" s="105"/>
      <c r="AM652" s="105"/>
      <c r="AN652" s="105"/>
      <c r="AO652" s="105"/>
      <c r="AP652" s="105"/>
      <c r="AQ652" s="105"/>
      <c r="AR652" s="105"/>
    </row>
    <row r="653" spans="1:44" s="49" customFormat="1" ht="40.15" hidden="1" customHeight="1">
      <c r="A653" s="10">
        <f t="shared" ca="1" si="1113"/>
        <v>2.0799999999999983</v>
      </c>
      <c r="B653" s="153"/>
      <c r="C653" s="154"/>
      <c r="D653" s="154"/>
      <c r="E653" s="161" t="s">
        <v>271</v>
      </c>
      <c r="F653" s="154"/>
      <c r="G653" s="154"/>
      <c r="H653" s="152"/>
      <c r="I653" s="152"/>
      <c r="J653" s="154"/>
      <c r="K653" s="154"/>
      <c r="L653" s="154"/>
      <c r="M653" s="154"/>
      <c r="N653" s="154"/>
      <c r="O653" s="154"/>
      <c r="P653" s="154"/>
      <c r="Q653" s="154"/>
      <c r="R653" s="154"/>
      <c r="S653" s="162"/>
      <c r="T653" s="162"/>
      <c r="U653" s="162"/>
      <c r="V653" s="162"/>
      <c r="W653" s="162"/>
      <c r="X653" s="163"/>
      <c r="Y653" s="163"/>
      <c r="Z653" s="163"/>
      <c r="AA653" s="163"/>
      <c r="AB653" s="163"/>
      <c r="AC653" s="163"/>
      <c r="AD653" s="164"/>
      <c r="AE653" s="148">
        <f>IF(SUM(S654:S655)&gt;0,IFERROR(TRUNC(A653,0),0),0)</f>
        <v>0</v>
      </c>
      <c r="AF653" s="149"/>
      <c r="AG653" s="150"/>
      <c r="AH653" s="159"/>
      <c r="AI653" s="160"/>
      <c r="AJ653" s="105"/>
      <c r="AK653" s="105"/>
      <c r="AM653" s="105"/>
      <c r="AN653" s="105"/>
      <c r="AO653" s="105"/>
      <c r="AP653" s="105"/>
      <c r="AQ653" s="105"/>
      <c r="AR653" s="105"/>
    </row>
    <row r="654" spans="1:44" s="49" customFormat="1" ht="40.15" hidden="1" customHeight="1">
      <c r="A654" s="152">
        <f t="shared" ca="1" si="1113"/>
        <v>2.0799999999999983</v>
      </c>
      <c r="B654" s="153">
        <v>102332</v>
      </c>
      <c r="C654" s="154" t="str">
        <f>TEXT(B654,"0")</f>
        <v>102332</v>
      </c>
      <c r="D654" s="154" t="s">
        <v>1416</v>
      </c>
      <c r="E654" s="155" t="s">
        <v>3547</v>
      </c>
      <c r="F654" s="154">
        <f>IF(Dados_DMT!$B$25&lt;30,Dados_DMT!$B$25,30)</f>
        <v>30</v>
      </c>
      <c r="G654" s="154" t="s">
        <v>3534</v>
      </c>
      <c r="H654" s="152">
        <v>1.79</v>
      </c>
      <c r="I654" s="152">
        <v>1.81</v>
      </c>
      <c r="J654" s="156"/>
      <c r="K654" s="156">
        <f>IF(B597="PA/0025",0,ROUND(Recap_Previo!H139*F654,2))</f>
        <v>0</v>
      </c>
      <c r="L654" s="156">
        <f>IF($K654&gt;$J654,$K654-$J654,0)</f>
        <v>0</v>
      </c>
      <c r="M654" s="156">
        <f>IF($K654&lt;$J654,$J654-$K654,0)</f>
        <v>0</v>
      </c>
      <c r="N654" s="156" t="s">
        <v>83</v>
      </c>
      <c r="O654" s="157" cm="1">
        <f t="array" ref="O654">TRUNC($H654*(1+_xlfn.SWITCH($N654,"BDI 1",$O$6,"BDI 2",$O$7,"BDI 3",$O$8)),2)</f>
        <v>2.16</v>
      </c>
      <c r="P654" s="157" cm="1">
        <f t="array" ref="P654">TRUNC($I654*(1+_xlfn.SWITCH($N654,"BDI 1",$P$6,"BDI 2",$P$7,"BDI 3",$P$8)),2)</f>
        <v>2.29</v>
      </c>
      <c r="Q654" s="157">
        <v>0</v>
      </c>
      <c r="R654" s="157">
        <f>$Q654-($Q654*LICITACAO_DESCONTO)</f>
        <v>0</v>
      </c>
      <c r="S654" s="156">
        <f>TRUNC($K654*$O654,2)</f>
        <v>0</v>
      </c>
      <c r="T654" s="156">
        <f>TRUNC($K654*$P654,2)</f>
        <v>0</v>
      </c>
      <c r="U654" s="156">
        <f>TRUNC($J654*$R654,2)</f>
        <v>0</v>
      </c>
      <c r="V654" s="156">
        <f>TRUNC($K654*$Q654,2)</f>
        <v>0</v>
      </c>
      <c r="W654" s="156">
        <f>TRUNC(V654-U654,2)</f>
        <v>0</v>
      </c>
      <c r="X654" s="158">
        <f>$S654/ORCAMENTO_VALOR_TOTAL_ND</f>
        <v>0</v>
      </c>
      <c r="Y654" s="158">
        <f>$T654/ORCAMENTO_VALOR_TOTAL_DE</f>
        <v>0</v>
      </c>
      <c r="Z654" s="158" cm="1">
        <f t="array" ref="Z654">_xlfn.SWITCH($N654,"BDI 1",$O$6,"BDI 2",$O$7,"BDI 3",$O$8)</f>
        <v>0.20699999999999999</v>
      </c>
      <c r="AA654" s="158" cm="1">
        <f t="array" ref="AA654">_xlfn.SWITCH($N654,"BDI 1",$P$6,"BDI 2",$P$7,"BDI 3",$P$8)</f>
        <v>0.26739999999999997</v>
      </c>
      <c r="AB654" s="158">
        <f ca="1">IFERROR($S654/_xlfn.XLOOKUP($AE654,$B$16:$B$38,$S$16:$S$38),0)</f>
        <v>0</v>
      </c>
      <c r="AC654" s="158">
        <f ca="1">IFERROR($T654/_xlfn.XLOOKUP($AE654,$B$16:$B$38,$T$16:$T$38),0)</f>
        <v>0</v>
      </c>
      <c r="AD654" s="164"/>
      <c r="AE654" s="148">
        <f t="shared" ref="AE654:AE655" si="1120">IF(S654&gt;0,IFERROR(TRUNC(A654,0),0),0)</f>
        <v>0</v>
      </c>
      <c r="AF654" s="149"/>
      <c r="AG654" s="150"/>
      <c r="AH654" s="159">
        <f>S654/$S$571</f>
        <v>0</v>
      </c>
      <c r="AI654" s="209">
        <f>IF(K654=0,0,K654/F654)</f>
        <v>0</v>
      </c>
      <c r="AJ654" s="105"/>
      <c r="AK654" s="105"/>
      <c r="AM654" s="105"/>
      <c r="AN654" s="105"/>
      <c r="AO654" s="105"/>
      <c r="AP654" s="105"/>
      <c r="AQ654" s="105"/>
      <c r="AR654" s="105"/>
    </row>
    <row r="655" spans="1:44" s="49" customFormat="1" ht="40.15" hidden="1" customHeight="1">
      <c r="A655" s="152">
        <f t="shared" ca="1" si="1113"/>
        <v>2.0799999999999983</v>
      </c>
      <c r="B655" s="153">
        <v>102333</v>
      </c>
      <c r="C655" s="154" t="str">
        <f>TEXT(B655,"0")</f>
        <v>102333</v>
      </c>
      <c r="D655" s="154" t="s">
        <v>1416</v>
      </c>
      <c r="E655" s="155" t="s">
        <v>3546</v>
      </c>
      <c r="F655" s="154">
        <f>+Dados_DMT!$B$25-F654</f>
        <v>80</v>
      </c>
      <c r="G655" s="154" t="s">
        <v>3534</v>
      </c>
      <c r="H655" s="152">
        <v>0.72</v>
      </c>
      <c r="I655" s="152">
        <v>0.73</v>
      </c>
      <c r="J655" s="156"/>
      <c r="K655" s="156">
        <f>IF(B597="PA/0025",0,ROUND(Recap_Previo!H139*F655,2))</f>
        <v>0</v>
      </c>
      <c r="L655" s="156">
        <f>IF($K655&gt;$J655,$K655-$J655,0)</f>
        <v>0</v>
      </c>
      <c r="M655" s="156">
        <f>IF($K655&lt;$J655,$J655-$K655,0)</f>
        <v>0</v>
      </c>
      <c r="N655" s="156" t="s">
        <v>83</v>
      </c>
      <c r="O655" s="157" cm="1">
        <f t="array" ref="O655">TRUNC($H655*(1+_xlfn.SWITCH($N655,"BDI 1",$O$6,"BDI 2",$O$7,"BDI 3",$O$8)),2)</f>
        <v>0.86</v>
      </c>
      <c r="P655" s="157" cm="1">
        <f t="array" ref="P655">TRUNC($I655*(1+_xlfn.SWITCH($N655,"BDI 1",$P$6,"BDI 2",$P$7,"BDI 3",$P$8)),2)</f>
        <v>0.92</v>
      </c>
      <c r="Q655" s="157">
        <v>0</v>
      </c>
      <c r="R655" s="157">
        <f>$Q655-($Q655*LICITACAO_DESCONTO)</f>
        <v>0</v>
      </c>
      <c r="S655" s="156">
        <f>TRUNC($K655*$O655,2)</f>
        <v>0</v>
      </c>
      <c r="T655" s="156">
        <f>TRUNC($K655*$P655,2)</f>
        <v>0</v>
      </c>
      <c r="U655" s="156">
        <f>TRUNC($J655*$R655,2)</f>
        <v>0</v>
      </c>
      <c r="V655" s="156">
        <f>TRUNC($K655*$Q655,2)</f>
        <v>0</v>
      </c>
      <c r="W655" s="156">
        <f>TRUNC(V655-U655,2)</f>
        <v>0</v>
      </c>
      <c r="X655" s="158">
        <f>$S655/ORCAMENTO_VALOR_TOTAL_ND</f>
        <v>0</v>
      </c>
      <c r="Y655" s="158">
        <f>$T655/ORCAMENTO_VALOR_TOTAL_DE</f>
        <v>0</v>
      </c>
      <c r="Z655" s="158" cm="1">
        <f t="array" ref="Z655">_xlfn.SWITCH($N655,"BDI 1",$O$6,"BDI 2",$O$7,"BDI 3",$O$8)</f>
        <v>0.20699999999999999</v>
      </c>
      <c r="AA655" s="158" cm="1">
        <f t="array" ref="AA655">_xlfn.SWITCH($N655,"BDI 1",$P$6,"BDI 2",$P$7,"BDI 3",$P$8)</f>
        <v>0.26739999999999997</v>
      </c>
      <c r="AB655" s="158">
        <f ca="1">IFERROR($S655/_xlfn.XLOOKUP($AE655,$B$16:$B$38,$S$16:$S$38),0)</f>
        <v>0</v>
      </c>
      <c r="AC655" s="158">
        <f ca="1">IFERROR($T655/_xlfn.XLOOKUP($AE655,$B$16:$B$38,$T$16:$T$38),0)</f>
        <v>0</v>
      </c>
      <c r="AD655" s="164"/>
      <c r="AE655" s="148">
        <f t="shared" si="1120"/>
        <v>0</v>
      </c>
      <c r="AF655" s="149"/>
      <c r="AG655" s="150"/>
      <c r="AH655" s="159">
        <f>S655/$S$571</f>
        <v>0</v>
      </c>
      <c r="AI655" s="209">
        <f>IF(K655=0,0,K655/F655)</f>
        <v>0</v>
      </c>
      <c r="AJ655" s="105"/>
      <c r="AK655" s="105"/>
      <c r="AM655" s="105"/>
      <c r="AN655" s="105"/>
      <c r="AO655" s="105"/>
      <c r="AP655" s="105"/>
      <c r="AQ655" s="105"/>
      <c r="AR655" s="105"/>
    </row>
    <row r="656" spans="1:44" s="49" customFormat="1" ht="24.95" customHeight="1">
      <c r="A656" s="10">
        <f t="shared" ca="1" si="1113"/>
        <v>2.0799999999999983</v>
      </c>
      <c r="B656" s="153"/>
      <c r="C656" s="154"/>
      <c r="D656" s="154"/>
      <c r="E656" s="161" t="s">
        <v>272</v>
      </c>
      <c r="F656" s="154"/>
      <c r="G656" s="154"/>
      <c r="H656" s="152"/>
      <c r="I656" s="152"/>
      <c r="J656" s="154"/>
      <c r="K656" s="154"/>
      <c r="L656" s="154"/>
      <c r="M656" s="154"/>
      <c r="N656" s="154"/>
      <c r="O656" s="154"/>
      <c r="P656" s="154"/>
      <c r="Q656" s="154"/>
      <c r="R656" s="154"/>
      <c r="S656" s="162"/>
      <c r="T656" s="162"/>
      <c r="U656" s="162"/>
      <c r="V656" s="162"/>
      <c r="W656" s="162"/>
      <c r="X656" s="163"/>
      <c r="Y656" s="163"/>
      <c r="Z656" s="163"/>
      <c r="AA656" s="163"/>
      <c r="AB656" s="163"/>
      <c r="AC656" s="163"/>
      <c r="AD656" s="164"/>
      <c r="AE656" s="148">
        <f ca="1">IF(SUM(S657:S658)&gt;0,IFERROR(TRUNC(A656,0),0),0)</f>
        <v>2</v>
      </c>
      <c r="AF656" s="149"/>
      <c r="AG656" s="150"/>
      <c r="AH656" s="159"/>
      <c r="AI656" s="160"/>
      <c r="AJ656" s="105"/>
      <c r="AK656" s="105"/>
      <c r="AM656" s="105"/>
      <c r="AN656" s="105"/>
      <c r="AO656" s="105"/>
      <c r="AP656" s="105"/>
      <c r="AQ656" s="105"/>
      <c r="AR656" s="105"/>
    </row>
    <row r="657" spans="1:44" s="49" customFormat="1" ht="40.15" customHeight="1">
      <c r="A657" s="152">
        <f t="shared" ca="1" si="1113"/>
        <v>2.0899999999999981</v>
      </c>
      <c r="B657" s="153">
        <v>102332</v>
      </c>
      <c r="C657" s="154" t="str">
        <f>TEXT(B657,"0")</f>
        <v>102332</v>
      </c>
      <c r="D657" s="154" t="s">
        <v>1416</v>
      </c>
      <c r="E657" s="155" t="s">
        <v>3547</v>
      </c>
      <c r="F657" s="154">
        <f>IF(Dados_DMT!$B$25&lt;30,Dados_DMT!$B$25,30)</f>
        <v>30</v>
      </c>
      <c r="G657" s="154" t="s">
        <v>3534</v>
      </c>
      <c r="H657" s="152">
        <v>1.79</v>
      </c>
      <c r="I657" s="152">
        <v>1.81</v>
      </c>
      <c r="J657" s="156"/>
      <c r="K657" s="156">
        <f>IF(B597="PA/0025",ROUND(Recap_Previo!H139*F657,2),0)+ROUND(Recap_Previo!H140*F657,2)</f>
        <v>750</v>
      </c>
      <c r="L657" s="156">
        <f>IF($K657&gt;$J657,$K657-$J657,0)</f>
        <v>750</v>
      </c>
      <c r="M657" s="156">
        <f>IF($K657&lt;$J657,$J657-$K657,0)</f>
        <v>0</v>
      </c>
      <c r="N657" s="156" t="s">
        <v>83</v>
      </c>
      <c r="O657" s="157" cm="1">
        <f t="array" ref="O657">TRUNC($H657*(1+_xlfn.SWITCH($N657,"BDI 1",$O$6,"BDI 2",$O$7,"BDI 3",$O$8)),2)</f>
        <v>2.16</v>
      </c>
      <c r="P657" s="157" cm="1">
        <f t="array" ref="P657">TRUNC($I657*(1+_xlfn.SWITCH($N657,"BDI 1",$P$6,"BDI 2",$P$7,"BDI 3",$P$8)),2)</f>
        <v>2.29</v>
      </c>
      <c r="Q657" s="157">
        <v>0</v>
      </c>
      <c r="R657" s="157">
        <f>$Q657-($Q657*LICITACAO_DESCONTO)</f>
        <v>0</v>
      </c>
      <c r="S657" s="156">
        <f>TRUNC($K657*$O657,2)</f>
        <v>1620</v>
      </c>
      <c r="T657" s="156">
        <f>TRUNC($K657*$P657,2)</f>
        <v>1717.5</v>
      </c>
      <c r="U657" s="156">
        <f>TRUNC($J657*$R657,2)</f>
        <v>0</v>
      </c>
      <c r="V657" s="156">
        <f>TRUNC($K657*$Q657,2)</f>
        <v>0</v>
      </c>
      <c r="W657" s="156">
        <f>TRUNC(V657-U657,2)</f>
        <v>0</v>
      </c>
      <c r="X657" s="158">
        <f>$S657/ORCAMENTO_VALOR_TOTAL_ND</f>
        <v>5.2385654339895361E-4</v>
      </c>
      <c r="Y657" s="158">
        <f>$T657/ORCAMENTO_VALOR_TOTAL_DE</f>
        <v>5.0496906613893436E-4</v>
      </c>
      <c r="Z657" s="158" cm="1">
        <f t="array" ref="Z657">_xlfn.SWITCH($N657,"BDI 1",$O$6,"BDI 2",$O$7,"BDI 3",$O$8)</f>
        <v>0.20699999999999999</v>
      </c>
      <c r="AA657" s="158" cm="1">
        <f t="array" ref="AA657">_xlfn.SWITCH($N657,"BDI 1",$P$6,"BDI 2",$P$7,"BDI 3",$P$8)</f>
        <v>0.26739999999999997</v>
      </c>
      <c r="AB657" s="158">
        <f ca="1">IFERROR($S657/_xlfn.XLOOKUP($AE657,$B$16:$B$38,$S$16:$S$38),0)</f>
        <v>0</v>
      </c>
      <c r="AC657" s="158">
        <f ca="1">IFERROR($T657/_xlfn.XLOOKUP($AE657,$B$16:$B$38,$T$16:$T$38),0)</f>
        <v>0</v>
      </c>
      <c r="AD657" s="164"/>
      <c r="AE657" s="148">
        <f t="shared" ref="AE657:AE658" ca="1" si="1121">IF(S657&gt;0,IFERROR(TRUNC(A657,0),0),0)</f>
        <v>2</v>
      </c>
      <c r="AF657" s="149"/>
      <c r="AG657" s="150"/>
      <c r="AH657" s="159">
        <f>S657/$S$571</f>
        <v>5.6056192914661241E-4</v>
      </c>
      <c r="AI657" s="209">
        <f>IF(K657=0,0,K657/F657)</f>
        <v>25</v>
      </c>
      <c r="AJ657" s="105"/>
      <c r="AK657" s="105"/>
      <c r="AM657" s="105"/>
      <c r="AN657" s="105"/>
      <c r="AO657" s="105"/>
      <c r="AP657" s="105"/>
      <c r="AQ657" s="105"/>
      <c r="AR657" s="105"/>
    </row>
    <row r="658" spans="1:44" s="49" customFormat="1" ht="40.15" customHeight="1">
      <c r="A658" s="152">
        <f t="shared" ca="1" si="1113"/>
        <v>2.0999999999999979</v>
      </c>
      <c r="B658" s="153">
        <v>102333</v>
      </c>
      <c r="C658" s="154" t="str">
        <f>TEXT(B658,"0")</f>
        <v>102333</v>
      </c>
      <c r="D658" s="154" t="s">
        <v>1416</v>
      </c>
      <c r="E658" s="155" t="s">
        <v>3546</v>
      </c>
      <c r="F658" s="154">
        <f>+Dados_DMT!$B$25-F657</f>
        <v>80</v>
      </c>
      <c r="G658" s="154" t="s">
        <v>3534</v>
      </c>
      <c r="H658" s="152">
        <v>0.72</v>
      </c>
      <c r="I658" s="152">
        <v>0.73</v>
      </c>
      <c r="J658" s="156"/>
      <c r="K658" s="156">
        <f>IF(B597="PA/0025",ROUND(Recap_Previo!H139*F658,2),0)+ROUND(Recap_Previo!H140*F658,2)</f>
        <v>2000</v>
      </c>
      <c r="L658" s="156">
        <f>IF($K658&gt;$J658,$K658-$J658,0)</f>
        <v>2000</v>
      </c>
      <c r="M658" s="156">
        <f>IF($K658&lt;$J658,$J658-$K658,0)</f>
        <v>0</v>
      </c>
      <c r="N658" s="156" t="s">
        <v>83</v>
      </c>
      <c r="O658" s="157" cm="1">
        <f t="array" ref="O658">TRUNC($H658*(1+_xlfn.SWITCH($N658,"BDI 1",$O$6,"BDI 2",$O$7,"BDI 3",$O$8)),2)</f>
        <v>0.86</v>
      </c>
      <c r="P658" s="157" cm="1">
        <f t="array" ref="P658">TRUNC($I658*(1+_xlfn.SWITCH($N658,"BDI 1",$P$6,"BDI 2",$P$7,"BDI 3",$P$8)),2)</f>
        <v>0.92</v>
      </c>
      <c r="Q658" s="157">
        <v>0</v>
      </c>
      <c r="R658" s="157">
        <f>$Q658-($Q658*LICITACAO_DESCONTO)</f>
        <v>0</v>
      </c>
      <c r="S658" s="156">
        <f>TRUNC($K658*$O658,2)</f>
        <v>1720</v>
      </c>
      <c r="T658" s="156">
        <f>TRUNC($K658*$P658,2)</f>
        <v>1840</v>
      </c>
      <c r="U658" s="156">
        <f>TRUNC($J658*$R658,2)</f>
        <v>0</v>
      </c>
      <c r="V658" s="156">
        <f>TRUNC($K658*$Q658,2)</f>
        <v>0</v>
      </c>
      <c r="W658" s="156">
        <f>TRUNC(V658-U658,2)</f>
        <v>0</v>
      </c>
      <c r="X658" s="158">
        <f>$S658/ORCAMENTO_VALOR_TOTAL_ND</f>
        <v>5.5619336706555565E-4</v>
      </c>
      <c r="Y658" s="158">
        <f>$T658/ORCAMENTO_VALOR_TOTAL_DE</f>
        <v>5.4098578264666038E-4</v>
      </c>
      <c r="Z658" s="158" cm="1">
        <f t="array" ref="Z658">_xlfn.SWITCH($N658,"BDI 1",$O$6,"BDI 2",$O$7,"BDI 3",$O$8)</f>
        <v>0.20699999999999999</v>
      </c>
      <c r="AA658" s="158" cm="1">
        <f t="array" ref="AA658">_xlfn.SWITCH($N658,"BDI 1",$P$6,"BDI 2",$P$7,"BDI 3",$P$8)</f>
        <v>0.26739999999999997</v>
      </c>
      <c r="AB658" s="158">
        <f ca="1">IFERROR($S658/_xlfn.XLOOKUP($AE658,$B$16:$B$38,$S$16:$S$38),0)</f>
        <v>0</v>
      </c>
      <c r="AC658" s="158">
        <f ca="1">IFERROR($T658/_xlfn.XLOOKUP($AE658,$B$16:$B$38,$T$16:$T$38),0)</f>
        <v>0</v>
      </c>
      <c r="AD658" s="164"/>
      <c r="AE658" s="148">
        <f t="shared" ca="1" si="1121"/>
        <v>2</v>
      </c>
      <c r="AF658" s="149"/>
      <c r="AG658" s="150"/>
      <c r="AH658" s="159">
        <f>S658/$S$571</f>
        <v>5.951645173655391E-4</v>
      </c>
      <c r="AI658" s="209">
        <f>IF(K658=0,0,K658/F658)</f>
        <v>25</v>
      </c>
      <c r="AJ658" s="105"/>
      <c r="AK658" s="105"/>
      <c r="AM658" s="105"/>
      <c r="AN658" s="105"/>
      <c r="AO658" s="105"/>
      <c r="AP658" s="105"/>
      <c r="AQ658" s="105"/>
      <c r="AR658" s="105"/>
    </row>
    <row r="659" spans="1:44" s="49" customFormat="1" ht="40.15" hidden="1" customHeight="1">
      <c r="A659" s="10">
        <f t="shared" ca="1" si="1113"/>
        <v>2.0999999999999979</v>
      </c>
      <c r="B659" s="153"/>
      <c r="C659" s="154"/>
      <c r="D659" s="154"/>
      <c r="E659" s="161" t="s">
        <v>273</v>
      </c>
      <c r="F659" s="154"/>
      <c r="G659" s="154"/>
      <c r="H659" s="152"/>
      <c r="I659" s="152"/>
      <c r="J659" s="154"/>
      <c r="K659" s="154"/>
      <c r="L659" s="154"/>
      <c r="M659" s="154"/>
      <c r="N659" s="154"/>
      <c r="O659" s="154"/>
      <c r="P659" s="154"/>
      <c r="Q659" s="154"/>
      <c r="R659" s="154"/>
      <c r="S659" s="162"/>
      <c r="T659" s="162"/>
      <c r="U659" s="162"/>
      <c r="V659" s="162"/>
      <c r="W659" s="162"/>
      <c r="X659" s="163"/>
      <c r="Y659" s="163"/>
      <c r="Z659" s="163"/>
      <c r="AA659" s="163"/>
      <c r="AB659" s="163"/>
      <c r="AC659" s="163"/>
      <c r="AD659" s="164"/>
      <c r="AE659" s="148">
        <f>IF(SUM(S660:S661)&gt;0,IFERROR(TRUNC(A659,0),0),0)</f>
        <v>0</v>
      </c>
      <c r="AF659" s="149"/>
      <c r="AG659" s="150"/>
      <c r="AH659" s="159"/>
      <c r="AI659" s="160"/>
      <c r="AJ659" s="105"/>
      <c r="AK659" s="105"/>
      <c r="AM659" s="105"/>
      <c r="AN659" s="105"/>
      <c r="AO659" s="105"/>
      <c r="AP659" s="105"/>
      <c r="AQ659" s="105"/>
      <c r="AR659" s="105"/>
    </row>
    <row r="660" spans="1:44" s="49" customFormat="1" ht="40.15" hidden="1" customHeight="1">
      <c r="A660" s="152">
        <f t="shared" ca="1" si="1113"/>
        <v>2.0999999999999979</v>
      </c>
      <c r="B660" s="153">
        <v>102332</v>
      </c>
      <c r="C660" s="154" t="str">
        <f>TEXT(B660,"0")</f>
        <v>102332</v>
      </c>
      <c r="D660" s="154" t="s">
        <v>1416</v>
      </c>
      <c r="E660" s="155" t="s">
        <v>3547</v>
      </c>
      <c r="F660" s="154">
        <f>IF(Dados_DMT!$B$26&lt;30,Dados_DMT!$B$26,30)</f>
        <v>0</v>
      </c>
      <c r="G660" s="154" t="s">
        <v>3534</v>
      </c>
      <c r="H660" s="152">
        <v>1.79</v>
      </c>
      <c r="I660" s="152">
        <v>1.81</v>
      </c>
      <c r="J660" s="156"/>
      <c r="K660" s="156">
        <f>ROUND(Recap_Previo!H141*F660,2)</f>
        <v>0</v>
      </c>
      <c r="L660" s="156">
        <f>IF($K660&gt;$J660,$K660-$J660,0)</f>
        <v>0</v>
      </c>
      <c r="M660" s="156">
        <f>IF($K660&lt;$J660,$J660-$K660,0)</f>
        <v>0</v>
      </c>
      <c r="N660" s="156" t="s">
        <v>83</v>
      </c>
      <c r="O660" s="157" cm="1">
        <f t="array" ref="O660">TRUNC($H660*(1+_xlfn.SWITCH($N660,"BDI 1",$O$6,"BDI 2",$O$7,"BDI 3",$O$8)),2)</f>
        <v>2.16</v>
      </c>
      <c r="P660" s="157" cm="1">
        <f t="array" ref="P660">TRUNC($I660*(1+_xlfn.SWITCH($N660,"BDI 1",$P$6,"BDI 2",$P$7,"BDI 3",$P$8)),2)</f>
        <v>2.29</v>
      </c>
      <c r="Q660" s="157">
        <v>0</v>
      </c>
      <c r="R660" s="157">
        <f>$Q660-($Q660*LICITACAO_DESCONTO)</f>
        <v>0</v>
      </c>
      <c r="S660" s="156">
        <f>TRUNC($K660*$O660,2)</f>
        <v>0</v>
      </c>
      <c r="T660" s="156">
        <f>TRUNC($K660*$P660,2)</f>
        <v>0</v>
      </c>
      <c r="U660" s="156">
        <f>TRUNC($J660*$R660,2)</f>
        <v>0</v>
      </c>
      <c r="V660" s="156">
        <f>TRUNC($K660*$Q660,2)</f>
        <v>0</v>
      </c>
      <c r="W660" s="156">
        <f>TRUNC(V660-U660,2)</f>
        <v>0</v>
      </c>
      <c r="X660" s="158">
        <f>$S660/ORCAMENTO_VALOR_TOTAL_ND</f>
        <v>0</v>
      </c>
      <c r="Y660" s="158">
        <f>$T660/ORCAMENTO_VALOR_TOTAL_DE</f>
        <v>0</v>
      </c>
      <c r="Z660" s="158" cm="1">
        <f t="array" ref="Z660">_xlfn.SWITCH($N660,"BDI 1",$O$6,"BDI 2",$O$7,"BDI 3",$O$8)</f>
        <v>0.20699999999999999</v>
      </c>
      <c r="AA660" s="158" cm="1">
        <f t="array" ref="AA660">_xlfn.SWITCH($N660,"BDI 1",$P$6,"BDI 2",$P$7,"BDI 3",$P$8)</f>
        <v>0.26739999999999997</v>
      </c>
      <c r="AB660" s="158">
        <f ca="1">IFERROR($S660/_xlfn.XLOOKUP($AE660,$B$16:$B$38,$S$16:$S$38),0)</f>
        <v>0</v>
      </c>
      <c r="AC660" s="158">
        <f ca="1">IFERROR($T660/_xlfn.XLOOKUP($AE660,$B$16:$B$38,$T$16:$T$38),0)</f>
        <v>0</v>
      </c>
      <c r="AD660" s="164"/>
      <c r="AE660" s="148">
        <f t="shared" ref="AE660:AE661" si="1122">IF(S660&gt;0,IFERROR(TRUNC(A660,0),0),0)</f>
        <v>0</v>
      </c>
      <c r="AF660" s="149"/>
      <c r="AG660" s="150"/>
      <c r="AH660" s="159">
        <f>S660/$S$571</f>
        <v>0</v>
      </c>
      <c r="AI660" s="209">
        <f>IF(K660=0,0,K660/F660)</f>
        <v>0</v>
      </c>
      <c r="AJ660" s="105"/>
      <c r="AK660" s="105"/>
      <c r="AM660" s="105"/>
      <c r="AN660" s="105"/>
      <c r="AO660" s="105"/>
      <c r="AP660" s="105"/>
      <c r="AQ660" s="105"/>
      <c r="AR660" s="105"/>
    </row>
    <row r="661" spans="1:44" s="49" customFormat="1" ht="40.15" hidden="1" customHeight="1">
      <c r="A661" s="152">
        <f t="shared" ca="1" si="1113"/>
        <v>2.0999999999999979</v>
      </c>
      <c r="B661" s="153">
        <v>102333</v>
      </c>
      <c r="C661" s="154" t="str">
        <f>TEXT(B661,"0")</f>
        <v>102333</v>
      </c>
      <c r="D661" s="154" t="s">
        <v>1416</v>
      </c>
      <c r="E661" s="155" t="s">
        <v>3546</v>
      </c>
      <c r="F661" s="154">
        <f>Dados_DMT!$B$26-F660</f>
        <v>0</v>
      </c>
      <c r="G661" s="154" t="s">
        <v>3534</v>
      </c>
      <c r="H661" s="152">
        <v>0.72</v>
      </c>
      <c r="I661" s="152">
        <v>0.73</v>
      </c>
      <c r="J661" s="156"/>
      <c r="K661" s="156">
        <f>ROUND(Recap_Previo!H141*F661,2)</f>
        <v>0</v>
      </c>
      <c r="L661" s="156">
        <f>IF($K661&gt;$J661,$K661-$J661,0)</f>
        <v>0</v>
      </c>
      <c r="M661" s="156">
        <f>IF($K661&lt;$J661,$J661-$K661,0)</f>
        <v>0</v>
      </c>
      <c r="N661" s="156" t="s">
        <v>83</v>
      </c>
      <c r="O661" s="157" cm="1">
        <f t="array" ref="O661">TRUNC($H661*(1+_xlfn.SWITCH($N661,"BDI 1",$O$6,"BDI 2",$O$7,"BDI 3",$O$8)),2)</f>
        <v>0.86</v>
      </c>
      <c r="P661" s="157" cm="1">
        <f t="array" ref="P661">TRUNC($I661*(1+_xlfn.SWITCH($N661,"BDI 1",$P$6,"BDI 2",$P$7,"BDI 3",$P$8)),2)</f>
        <v>0.92</v>
      </c>
      <c r="Q661" s="157">
        <v>0</v>
      </c>
      <c r="R661" s="157">
        <f>$Q661-($Q661*LICITACAO_DESCONTO)</f>
        <v>0</v>
      </c>
      <c r="S661" s="156">
        <f>TRUNC($K661*$O661,2)</f>
        <v>0</v>
      </c>
      <c r="T661" s="156">
        <f>TRUNC($K661*$P661,2)</f>
        <v>0</v>
      </c>
      <c r="U661" s="156">
        <f>TRUNC($J661*$R661,2)</f>
        <v>0</v>
      </c>
      <c r="V661" s="156">
        <f>TRUNC($K661*$Q661,2)</f>
        <v>0</v>
      </c>
      <c r="W661" s="156">
        <f>TRUNC(V661-U661,2)</f>
        <v>0</v>
      </c>
      <c r="X661" s="158">
        <f>$S661/ORCAMENTO_VALOR_TOTAL_ND</f>
        <v>0</v>
      </c>
      <c r="Y661" s="158">
        <f>$T661/ORCAMENTO_VALOR_TOTAL_DE</f>
        <v>0</v>
      </c>
      <c r="Z661" s="158" cm="1">
        <f t="array" ref="Z661">_xlfn.SWITCH($N661,"BDI 1",$O$6,"BDI 2",$O$7,"BDI 3",$O$8)</f>
        <v>0.20699999999999999</v>
      </c>
      <c r="AA661" s="158" cm="1">
        <f t="array" ref="AA661">_xlfn.SWITCH($N661,"BDI 1",$P$6,"BDI 2",$P$7,"BDI 3",$P$8)</f>
        <v>0.26739999999999997</v>
      </c>
      <c r="AB661" s="158">
        <f ca="1">IFERROR($S661/_xlfn.XLOOKUP($AE661,$B$16:$B$38,$S$16:$S$38),0)</f>
        <v>0</v>
      </c>
      <c r="AC661" s="158">
        <f ca="1">IFERROR($T661/_xlfn.XLOOKUP($AE661,$B$16:$B$38,$T$16:$T$38),0)</f>
        <v>0</v>
      </c>
      <c r="AD661" s="164"/>
      <c r="AE661" s="148">
        <f t="shared" si="1122"/>
        <v>0</v>
      </c>
      <c r="AF661" s="149"/>
      <c r="AG661" s="150"/>
      <c r="AH661" s="159">
        <f>S661/$S$571</f>
        <v>0</v>
      </c>
      <c r="AI661" s="209">
        <f>IF(K661=0,0,K661/F661)</f>
        <v>0</v>
      </c>
      <c r="AJ661" s="105"/>
      <c r="AK661" s="105"/>
      <c r="AM661" s="105"/>
      <c r="AN661" s="105"/>
      <c r="AO661" s="105"/>
      <c r="AP661" s="105"/>
      <c r="AQ661" s="105"/>
      <c r="AR661" s="105"/>
    </row>
    <row r="662" spans="1:44" s="49" customFormat="1" ht="40.15" hidden="1" customHeight="1">
      <c r="A662" s="10">
        <f t="shared" ca="1" si="1113"/>
        <v>2.0999999999999979</v>
      </c>
      <c r="B662" s="153"/>
      <c r="C662" s="154"/>
      <c r="D662" s="154"/>
      <c r="E662" s="161" t="s">
        <v>274</v>
      </c>
      <c r="F662" s="154"/>
      <c r="G662" s="154"/>
      <c r="H662" s="152"/>
      <c r="I662" s="152"/>
      <c r="J662" s="154"/>
      <c r="K662" s="154"/>
      <c r="L662" s="154"/>
      <c r="M662" s="154"/>
      <c r="N662" s="154"/>
      <c r="O662" s="154"/>
      <c r="P662" s="154"/>
      <c r="Q662" s="154"/>
      <c r="R662" s="154"/>
      <c r="S662" s="162"/>
      <c r="T662" s="162"/>
      <c r="U662" s="162"/>
      <c r="V662" s="162"/>
      <c r="W662" s="162"/>
      <c r="X662" s="163"/>
      <c r="Y662" s="163"/>
      <c r="Z662" s="163"/>
      <c r="AA662" s="163"/>
      <c r="AB662" s="163"/>
      <c r="AC662" s="163"/>
      <c r="AD662" s="164"/>
      <c r="AE662" s="148">
        <f>IF(SUM(S663:S664)&gt;0,IFERROR(TRUNC(A662,0),0),0)</f>
        <v>0</v>
      </c>
      <c r="AF662" s="149"/>
      <c r="AG662" s="150"/>
      <c r="AH662" s="159"/>
      <c r="AI662" s="160"/>
      <c r="AJ662" s="105"/>
      <c r="AK662" s="105"/>
      <c r="AM662" s="105"/>
      <c r="AN662" s="105"/>
      <c r="AO662" s="105"/>
      <c r="AP662" s="105"/>
      <c r="AQ662" s="105"/>
      <c r="AR662" s="105"/>
    </row>
    <row r="663" spans="1:44" s="49" customFormat="1" ht="40.15" hidden="1" customHeight="1">
      <c r="A663" s="152">
        <f t="shared" ca="1" si="1113"/>
        <v>2.0999999999999979</v>
      </c>
      <c r="B663" s="153">
        <v>102332</v>
      </c>
      <c r="C663" s="154" t="str">
        <f>TEXT(B663,"0")</f>
        <v>102332</v>
      </c>
      <c r="D663" s="154" t="s">
        <v>1416</v>
      </c>
      <c r="E663" s="155" t="s">
        <v>3547</v>
      </c>
      <c r="F663" s="154">
        <f>IF(Dados_DMT!$B$27&lt;30,Dados_DMT!$B$27,30)</f>
        <v>0</v>
      </c>
      <c r="G663" s="154" t="s">
        <v>3534</v>
      </c>
      <c r="H663" s="152">
        <v>1.79</v>
      </c>
      <c r="I663" s="152">
        <v>1.81</v>
      </c>
      <c r="J663" s="156"/>
      <c r="K663" s="156">
        <f>ROUND(Recap_Previo!H138*F663,2)</f>
        <v>0</v>
      </c>
      <c r="L663" s="156">
        <f>IF($K663&gt;$J663,$K663-$J663,0)</f>
        <v>0</v>
      </c>
      <c r="M663" s="156">
        <f>IF($K663&lt;$J663,$J663-$K663,0)</f>
        <v>0</v>
      </c>
      <c r="N663" s="156" t="s">
        <v>83</v>
      </c>
      <c r="O663" s="157" cm="1">
        <f t="array" ref="O663">TRUNC($H663*(1+_xlfn.SWITCH($N663,"BDI 1",$O$6,"BDI 2",$O$7,"BDI 3",$O$8)),2)</f>
        <v>2.16</v>
      </c>
      <c r="P663" s="157" cm="1">
        <f t="array" ref="P663">TRUNC($I663*(1+_xlfn.SWITCH($N663,"BDI 1",$P$6,"BDI 2",$P$7,"BDI 3",$P$8)),2)</f>
        <v>2.29</v>
      </c>
      <c r="Q663" s="157">
        <v>0</v>
      </c>
      <c r="R663" s="157">
        <f>$Q663-($Q663*LICITACAO_DESCONTO)</f>
        <v>0</v>
      </c>
      <c r="S663" s="156">
        <f>TRUNC($K663*$O663,2)</f>
        <v>0</v>
      </c>
      <c r="T663" s="156">
        <f>TRUNC($K663*$P663,2)</f>
        <v>0</v>
      </c>
      <c r="U663" s="156">
        <f>TRUNC($J663*$R663,2)</f>
        <v>0</v>
      </c>
      <c r="V663" s="156">
        <f>TRUNC($K663*$Q663,2)</f>
        <v>0</v>
      </c>
      <c r="W663" s="156">
        <f>TRUNC(V663-U663,2)</f>
        <v>0</v>
      </c>
      <c r="X663" s="158">
        <f>$S663/ORCAMENTO_VALOR_TOTAL_ND</f>
        <v>0</v>
      </c>
      <c r="Y663" s="158">
        <f>$T663/ORCAMENTO_VALOR_TOTAL_DE</f>
        <v>0</v>
      </c>
      <c r="Z663" s="158" cm="1">
        <f t="array" ref="Z663">_xlfn.SWITCH($N663,"BDI 1",$O$6,"BDI 2",$O$7,"BDI 3",$O$8)</f>
        <v>0.20699999999999999</v>
      </c>
      <c r="AA663" s="158" cm="1">
        <f t="array" ref="AA663">_xlfn.SWITCH($N663,"BDI 1",$P$6,"BDI 2",$P$7,"BDI 3",$P$8)</f>
        <v>0.26739999999999997</v>
      </c>
      <c r="AB663" s="158">
        <f ca="1">IFERROR($S663/_xlfn.XLOOKUP($AE663,$B$16:$B$38,$S$16:$S$38),0)</f>
        <v>0</v>
      </c>
      <c r="AC663" s="158">
        <f ca="1">IFERROR($T663/_xlfn.XLOOKUP($AE663,$B$16:$B$38,$T$16:$T$38),0)</f>
        <v>0</v>
      </c>
      <c r="AD663" s="164"/>
      <c r="AE663" s="148">
        <f t="shared" ref="AE663:AE664" si="1123">IF(S663&gt;0,IFERROR(TRUNC(A663,0),0),0)</f>
        <v>0</v>
      </c>
      <c r="AF663" s="149"/>
      <c r="AG663" s="150"/>
      <c r="AH663" s="159">
        <f>S663/$S$571</f>
        <v>0</v>
      </c>
      <c r="AI663" s="209">
        <f>IF(K663=0,0,K663/F663)</f>
        <v>0</v>
      </c>
      <c r="AJ663" s="105"/>
      <c r="AK663" s="105"/>
      <c r="AM663" s="105"/>
      <c r="AN663" s="105"/>
      <c r="AO663" s="105"/>
      <c r="AP663" s="105"/>
      <c r="AQ663" s="105"/>
      <c r="AR663" s="105"/>
    </row>
    <row r="664" spans="1:44" s="49" customFormat="1" ht="40.15" hidden="1" customHeight="1">
      <c r="A664" s="152">
        <f t="shared" ca="1" si="1113"/>
        <v>2.0999999999999979</v>
      </c>
      <c r="B664" s="153">
        <v>102333</v>
      </c>
      <c r="C664" s="154" t="str">
        <f>TEXT(B664,"0")</f>
        <v>102333</v>
      </c>
      <c r="D664" s="154" t="s">
        <v>1416</v>
      </c>
      <c r="E664" s="155" t="s">
        <v>3546</v>
      </c>
      <c r="F664" s="154">
        <f>Dados_DMT!$B$27-F663</f>
        <v>0</v>
      </c>
      <c r="G664" s="154" t="s">
        <v>3534</v>
      </c>
      <c r="H664" s="152">
        <v>0.72</v>
      </c>
      <c r="I664" s="152">
        <v>0.73</v>
      </c>
      <c r="J664" s="156"/>
      <c r="K664" s="156">
        <f>ROUND(Recap_Previo!H138*F664,2)</f>
        <v>0</v>
      </c>
      <c r="L664" s="156">
        <f>IF($K664&gt;$J664,$K664-$J664,0)</f>
        <v>0</v>
      </c>
      <c r="M664" s="156">
        <f>IF($K664&lt;$J664,$J664-$K664,0)</f>
        <v>0</v>
      </c>
      <c r="N664" s="156" t="s">
        <v>83</v>
      </c>
      <c r="O664" s="157" cm="1">
        <f t="array" ref="O664">TRUNC($H664*(1+_xlfn.SWITCH($N664,"BDI 1",$O$6,"BDI 2",$O$7,"BDI 3",$O$8)),2)</f>
        <v>0.86</v>
      </c>
      <c r="P664" s="157" cm="1">
        <f t="array" ref="P664">TRUNC($I664*(1+_xlfn.SWITCH($N664,"BDI 1",$P$6,"BDI 2",$P$7,"BDI 3",$P$8)),2)</f>
        <v>0.92</v>
      </c>
      <c r="Q664" s="157">
        <v>0</v>
      </c>
      <c r="R664" s="157">
        <f>$Q664-($Q664*LICITACAO_DESCONTO)</f>
        <v>0</v>
      </c>
      <c r="S664" s="156">
        <f>TRUNC($K664*$O664,2)</f>
        <v>0</v>
      </c>
      <c r="T664" s="156">
        <f>TRUNC($K664*$P664,2)</f>
        <v>0</v>
      </c>
      <c r="U664" s="156">
        <f>TRUNC($J664*$R664,2)</f>
        <v>0</v>
      </c>
      <c r="V664" s="156">
        <f>TRUNC($K664*$Q664,2)</f>
        <v>0</v>
      </c>
      <c r="W664" s="156">
        <f>TRUNC(V664-U664,2)</f>
        <v>0</v>
      </c>
      <c r="X664" s="158">
        <f>$S664/ORCAMENTO_VALOR_TOTAL_ND</f>
        <v>0</v>
      </c>
      <c r="Y664" s="158">
        <f>$T664/ORCAMENTO_VALOR_TOTAL_DE</f>
        <v>0</v>
      </c>
      <c r="Z664" s="158" cm="1">
        <f t="array" ref="Z664">_xlfn.SWITCH($N664,"BDI 1",$O$6,"BDI 2",$O$7,"BDI 3",$O$8)</f>
        <v>0.20699999999999999</v>
      </c>
      <c r="AA664" s="158" cm="1">
        <f t="array" ref="AA664">_xlfn.SWITCH($N664,"BDI 1",$P$6,"BDI 2",$P$7,"BDI 3",$P$8)</f>
        <v>0.26739999999999997</v>
      </c>
      <c r="AB664" s="158">
        <f ca="1">IFERROR($S664/_xlfn.XLOOKUP($AE664,$B$16:$B$38,$S$16:$S$38),0)</f>
        <v>0</v>
      </c>
      <c r="AC664" s="158">
        <f ca="1">IFERROR($T664/_xlfn.XLOOKUP($AE664,$B$16:$B$38,$T$16:$T$38),0)</f>
        <v>0</v>
      </c>
      <c r="AD664" s="164"/>
      <c r="AE664" s="148">
        <f t="shared" si="1123"/>
        <v>0</v>
      </c>
      <c r="AF664" s="149"/>
      <c r="AG664" s="150"/>
      <c r="AH664" s="159">
        <f>S664/$S$571</f>
        <v>0</v>
      </c>
      <c r="AI664" s="209">
        <f>IF(K664=0,0,K664/F664)</f>
        <v>0</v>
      </c>
      <c r="AJ664" s="105"/>
      <c r="AK664" s="105"/>
      <c r="AM664" s="105"/>
      <c r="AN664" s="105"/>
      <c r="AO664" s="105"/>
      <c r="AP664" s="105"/>
      <c r="AQ664" s="105"/>
      <c r="AR664" s="105"/>
    </row>
    <row r="665" spans="1:44" s="49" customFormat="1" ht="40.15" hidden="1" customHeight="1">
      <c r="A665" s="10">
        <f t="shared" ca="1" si="1113"/>
        <v>2.0999999999999979</v>
      </c>
      <c r="B665" s="153"/>
      <c r="C665" s="154"/>
      <c r="D665" s="154"/>
      <c r="E665" s="155"/>
      <c r="F665" s="154"/>
      <c r="G665" s="154"/>
      <c r="H665" s="154"/>
      <c r="I665" s="154"/>
      <c r="J665" s="168"/>
      <c r="K665" s="168"/>
      <c r="L665" s="168"/>
      <c r="M665" s="168"/>
      <c r="N665" s="168"/>
      <c r="O665" s="157"/>
      <c r="P665" s="157"/>
      <c r="Q665" s="157"/>
      <c r="R665" s="157"/>
      <c r="S665" s="162"/>
      <c r="T665" s="162"/>
      <c r="U665" s="162"/>
      <c r="V665" s="162"/>
      <c r="W665" s="162"/>
      <c r="X665" s="163"/>
      <c r="Y665" s="163"/>
      <c r="Z665" s="163"/>
      <c r="AA665" s="163"/>
      <c r="AB665" s="163"/>
      <c r="AC665" s="163"/>
      <c r="AD665" s="164"/>
      <c r="AE665" s="148">
        <f>IF(S666&gt;0,IFERROR(TRUNC(A666,0),0),0)</f>
        <v>0</v>
      </c>
      <c r="AF665" s="149"/>
      <c r="AG665" s="150"/>
      <c r="AH665" s="159"/>
      <c r="AI665" s="160"/>
      <c r="AJ665" s="105"/>
      <c r="AK665" s="105"/>
      <c r="AM665" s="105"/>
      <c r="AN665" s="105"/>
      <c r="AO665" s="105"/>
      <c r="AP665" s="105"/>
      <c r="AQ665" s="105"/>
      <c r="AR665" s="105"/>
    </row>
    <row r="666" spans="1:44" s="105" customFormat="1" ht="40.15" hidden="1" customHeight="1">
      <c r="A666" s="169">
        <f ca="1">$B$27</f>
        <v>0</v>
      </c>
      <c r="B666" s="170"/>
      <c r="C666" s="171"/>
      <c r="D666" s="172"/>
      <c r="E666" s="173" t="str">
        <f>$D$27</f>
        <v>RESTAURAÇÃO DO PAVIMENTO - RECAPEAMENTO ASFÁLTICO</v>
      </c>
      <c r="F666" s="174"/>
      <c r="G666" s="175"/>
      <c r="H666" s="176" t="s">
        <v>295</v>
      </c>
      <c r="I666" s="176" t="s">
        <v>295</v>
      </c>
      <c r="J666" s="177"/>
      <c r="K666" s="177"/>
      <c r="L666" s="177"/>
      <c r="M666" s="177"/>
      <c r="N666" s="177"/>
      <c r="O666" s="178" t="str">
        <f ca="1">CONCATENATE("SUB-TOTAL ",$A666)</f>
        <v>SUB-TOTAL 0</v>
      </c>
      <c r="P666" s="178" t="e" cm="1">
        <f t="array" ref="P666">TRUNC($I666*(1+_xlfn.SWITCH($N666,"BDI 1",$P$6,"BDI 2",$P$7,"BDI 3",$P$8)),2)</f>
        <v>#VALUE!</v>
      </c>
      <c r="Q666" s="178" t="str">
        <f ca="1">CONCATENATE("SUB-TOTAL ",$A666)</f>
        <v>SUB-TOTAL 0</v>
      </c>
      <c r="R666" s="178"/>
      <c r="S666" s="179">
        <f>SUM(S667:S718)</f>
        <v>0</v>
      </c>
      <c r="T666" s="179">
        <f>SUM(T667:T718)</f>
        <v>0</v>
      </c>
      <c r="U666" s="179">
        <f>SUM(U667:U718)</f>
        <v>0</v>
      </c>
      <c r="V666" s="179">
        <f>SUM(V667:V718)</f>
        <v>0</v>
      </c>
      <c r="W666" s="179">
        <f t="shared" ref="W666:W682" si="1124">TRUNC(V666-U666,2)</f>
        <v>0</v>
      </c>
      <c r="X666" s="180">
        <f t="shared" ref="X666" si="1125">$S666/ORCAMENTO_VALOR_TOTAL_ND</f>
        <v>0</v>
      </c>
      <c r="Y666" s="180">
        <f t="shared" ref="Y666" si="1126">$T666/ORCAMENTO_VALOR_TOTAL_DE</f>
        <v>0</v>
      </c>
      <c r="Z666" s="180"/>
      <c r="AA666" s="180"/>
      <c r="AB666" s="180">
        <f>IFERROR($S666/$S666,0)</f>
        <v>0</v>
      </c>
      <c r="AC666" s="180">
        <f>IFERROR($T666/$T666,0)</f>
        <v>0</v>
      </c>
      <c r="AD666" s="147"/>
      <c r="AE666" s="148">
        <f t="shared" ref="AE666:AE682" si="1127">IF(S666&gt;0,IFERROR(TRUNC(A666,0),0),0)</f>
        <v>0</v>
      </c>
      <c r="AF666" s="149"/>
      <c r="AG666" s="150"/>
      <c r="AH666" s="151" t="e">
        <f t="shared" ref="AH666:AH682" si="1128">S666/$S$666</f>
        <v>#DIV/0!</v>
      </c>
    </row>
    <row r="667" spans="1:44" s="49" customFormat="1" ht="49.9" hidden="1" customHeight="1">
      <c r="A667" s="152">
        <f t="shared" ref="A667:A719" ca="1" si="1129">+IF(K667&gt;0,A666+0.01,A666)</f>
        <v>0</v>
      </c>
      <c r="B667" s="153" t="s">
        <v>296</v>
      </c>
      <c r="C667" s="154" t="str">
        <f t="shared" ref="C667:C682" si="1130">TEXT(B667,"0")</f>
        <v>RE/0075</v>
      </c>
      <c r="D667" s="154" t="s">
        <v>3549</v>
      </c>
      <c r="E667" s="155" t="s">
        <v>3890</v>
      </c>
      <c r="F667" s="154"/>
      <c r="G667" s="154" t="s">
        <v>1418</v>
      </c>
      <c r="H667" s="152">
        <v>10.9</v>
      </c>
      <c r="I667" s="152">
        <v>10.86</v>
      </c>
      <c r="J667" s="156"/>
      <c r="K667" s="156">
        <f>+Recap_Final!I40</f>
        <v>0</v>
      </c>
      <c r="L667" s="156">
        <f t="shared" ref="L667:L682" si="1131">IF($K667&gt;$J667,$K667-$J667,0)</f>
        <v>0</v>
      </c>
      <c r="M667" s="156">
        <f t="shared" ref="M667:M682" si="1132">IF($K667&lt;$J667,$J667-$K667,0)</f>
        <v>0</v>
      </c>
      <c r="N667" s="156" t="s">
        <v>83</v>
      </c>
      <c r="O667" s="157" cm="1">
        <f t="array" ref="O667">TRUNC($H667*(1+_xlfn.SWITCH($N667,"BDI 1",$O$6,"BDI 2",$O$7,"BDI 3",$O$8)),2)</f>
        <v>13.15</v>
      </c>
      <c r="P667" s="157" cm="1">
        <f t="array" ref="P667">TRUNC($I667*(1+_xlfn.SWITCH($N667,"BDI 1",$P$6,"BDI 2",$P$7,"BDI 3",$P$8)),2)</f>
        <v>13.76</v>
      </c>
      <c r="Q667" s="157">
        <v>0</v>
      </c>
      <c r="R667" s="157">
        <f t="shared" ref="R667:R682" si="1133">$Q667-($Q667*LICITACAO_DESCONTO)</f>
        <v>0</v>
      </c>
      <c r="S667" s="156">
        <f t="shared" ref="S667:S682" si="1134">TRUNC($K667*$O667,2)</f>
        <v>0</v>
      </c>
      <c r="T667" s="156">
        <f t="shared" ref="T667:T682" si="1135">TRUNC($K667*$P667,2)</f>
        <v>0</v>
      </c>
      <c r="U667" s="156">
        <f t="shared" ref="U667:U682" si="1136">TRUNC($J667*$R667,2)</f>
        <v>0</v>
      </c>
      <c r="V667" s="156">
        <f t="shared" ref="V667:V682" si="1137">TRUNC($K667*$Q667,2)</f>
        <v>0</v>
      </c>
      <c r="W667" s="156">
        <f t="shared" si="1124"/>
        <v>0</v>
      </c>
      <c r="X667" s="158">
        <f t="shared" ref="X667" si="1138">$S667/ORCAMENTO_VALOR_TOTAL_ND</f>
        <v>0</v>
      </c>
      <c r="Y667" s="158">
        <f t="shared" ref="Y667" si="1139">$T667/ORCAMENTO_VALOR_TOTAL_DE</f>
        <v>0</v>
      </c>
      <c r="Z667" s="158" cm="1">
        <f t="array" ref="Z667">_xlfn.SWITCH($N667,"BDI 1",$O$6,"BDI 2",$O$7,"BDI 3",$O$8)</f>
        <v>0.20699999999999999</v>
      </c>
      <c r="AA667" s="158" cm="1">
        <f t="array" ref="AA667">_xlfn.SWITCH($N667,"BDI 1",$P$6,"BDI 2",$P$7,"BDI 3",$P$8)</f>
        <v>0.26739999999999997</v>
      </c>
      <c r="AB667" s="158">
        <f t="shared" ref="AB667:AB682" ca="1" si="1140">IFERROR($S667/_xlfn.XLOOKUP($AE667,$B$16:$B$38,$S$16:$S$38),0)</f>
        <v>0</v>
      </c>
      <c r="AC667" s="158">
        <f t="shared" ref="AC667:AC682" ca="1" si="1141">IFERROR($T667/_xlfn.XLOOKUP($AE667,$B$16:$B$38,$T$16:$T$38),0)</f>
        <v>0</v>
      </c>
      <c r="AD667" s="164"/>
      <c r="AE667" s="148">
        <f t="shared" si="1127"/>
        <v>0</v>
      </c>
      <c r="AF667" s="149"/>
      <c r="AG667" s="150"/>
      <c r="AH667" s="159" t="e">
        <f t="shared" si="1128"/>
        <v>#DIV/0!</v>
      </c>
      <c r="AI667" s="160"/>
      <c r="AJ667" s="105"/>
      <c r="AK667" s="105"/>
      <c r="AM667" s="105"/>
      <c r="AN667" s="105"/>
      <c r="AO667" s="105"/>
      <c r="AP667" s="105"/>
      <c r="AQ667" s="105"/>
      <c r="AR667" s="105"/>
    </row>
    <row r="668" spans="1:44" s="49" customFormat="1" ht="49.9" hidden="1" customHeight="1">
      <c r="A668" s="152">
        <f t="shared" ca="1" si="1129"/>
        <v>0</v>
      </c>
      <c r="B668" s="153" t="s">
        <v>297</v>
      </c>
      <c r="C668" s="154" t="str">
        <f t="shared" si="1130"/>
        <v>RE/0080</v>
      </c>
      <c r="D668" s="154" t="s">
        <v>3549</v>
      </c>
      <c r="E668" s="155" t="s">
        <v>3891</v>
      </c>
      <c r="F668" s="154"/>
      <c r="G668" s="154" t="s">
        <v>1418</v>
      </c>
      <c r="H668" s="152">
        <v>18.2</v>
      </c>
      <c r="I668" s="152">
        <v>18.14</v>
      </c>
      <c r="J668" s="156"/>
      <c r="K668" s="156">
        <f>+Recap_Final!I43</f>
        <v>0</v>
      </c>
      <c r="L668" s="156">
        <f t="shared" si="1131"/>
        <v>0</v>
      </c>
      <c r="M668" s="156">
        <f t="shared" si="1132"/>
        <v>0</v>
      </c>
      <c r="N668" s="156" t="s">
        <v>83</v>
      </c>
      <c r="O668" s="157" cm="1">
        <f t="array" ref="O668">TRUNC($H668*(1+_xlfn.SWITCH($N668,"BDI 1",$O$6,"BDI 2",$O$7,"BDI 3",$O$8)),2)</f>
        <v>21.96</v>
      </c>
      <c r="P668" s="157" cm="1">
        <f t="array" ref="P668">TRUNC($I668*(1+_xlfn.SWITCH($N668,"BDI 1",$P$6,"BDI 2",$P$7,"BDI 3",$P$8)),2)</f>
        <v>22.99</v>
      </c>
      <c r="Q668" s="157">
        <v>0</v>
      </c>
      <c r="R668" s="157">
        <f t="shared" si="1133"/>
        <v>0</v>
      </c>
      <c r="S668" s="156">
        <f t="shared" si="1134"/>
        <v>0</v>
      </c>
      <c r="T668" s="156">
        <f t="shared" si="1135"/>
        <v>0</v>
      </c>
      <c r="U668" s="156">
        <f t="shared" si="1136"/>
        <v>0</v>
      </c>
      <c r="V668" s="156">
        <f t="shared" si="1137"/>
        <v>0</v>
      </c>
      <c r="W668" s="156">
        <f t="shared" si="1124"/>
        <v>0</v>
      </c>
      <c r="X668" s="158">
        <f t="shared" ref="X668" si="1142">$S668/ORCAMENTO_VALOR_TOTAL_ND</f>
        <v>0</v>
      </c>
      <c r="Y668" s="158">
        <f t="shared" ref="Y668" si="1143">$T668/ORCAMENTO_VALOR_TOTAL_DE</f>
        <v>0</v>
      </c>
      <c r="Z668" s="158" cm="1">
        <f t="array" ref="Z668">_xlfn.SWITCH($N668,"BDI 1",$O$6,"BDI 2",$O$7,"BDI 3",$O$8)</f>
        <v>0.20699999999999999</v>
      </c>
      <c r="AA668" s="158" cm="1">
        <f t="array" ref="AA668">_xlfn.SWITCH($N668,"BDI 1",$P$6,"BDI 2",$P$7,"BDI 3",$P$8)</f>
        <v>0.26739999999999997</v>
      </c>
      <c r="AB668" s="158">
        <f t="shared" ca="1" si="1140"/>
        <v>0</v>
      </c>
      <c r="AC668" s="158">
        <f t="shared" ca="1" si="1141"/>
        <v>0</v>
      </c>
      <c r="AD668" s="164"/>
      <c r="AE668" s="148">
        <f t="shared" si="1127"/>
        <v>0</v>
      </c>
      <c r="AF668" s="149"/>
      <c r="AG668" s="150"/>
      <c r="AH668" s="159" t="e">
        <f t="shared" si="1128"/>
        <v>#DIV/0!</v>
      </c>
      <c r="AI668" s="160"/>
      <c r="AJ668" s="105"/>
      <c r="AK668" s="105"/>
      <c r="AM668" s="105"/>
      <c r="AN668" s="105"/>
      <c r="AO668" s="105"/>
      <c r="AP668" s="105"/>
      <c r="AQ668" s="105"/>
      <c r="AR668" s="105"/>
    </row>
    <row r="669" spans="1:44" s="49" customFormat="1" ht="49.9" hidden="1" customHeight="1">
      <c r="A669" s="152">
        <f t="shared" ca="1" si="1129"/>
        <v>0</v>
      </c>
      <c r="B669" s="153" t="s">
        <v>298</v>
      </c>
      <c r="C669" s="154" t="str">
        <f t="shared" si="1130"/>
        <v>RE/0085</v>
      </c>
      <c r="D669" s="154" t="s">
        <v>3549</v>
      </c>
      <c r="E669" s="155" t="s">
        <v>3892</v>
      </c>
      <c r="F669" s="154"/>
      <c r="G669" s="154" t="s">
        <v>1418</v>
      </c>
      <c r="H669" s="152">
        <v>22.63</v>
      </c>
      <c r="I669" s="152">
        <v>22.55</v>
      </c>
      <c r="J669" s="156"/>
      <c r="K669" s="156">
        <f>+Recap_Final!I46</f>
        <v>0</v>
      </c>
      <c r="L669" s="156">
        <f t="shared" si="1131"/>
        <v>0</v>
      </c>
      <c r="M669" s="156">
        <f t="shared" si="1132"/>
        <v>0</v>
      </c>
      <c r="N669" s="156" t="s">
        <v>83</v>
      </c>
      <c r="O669" s="157" cm="1">
        <f t="array" ref="O669">TRUNC($H669*(1+_xlfn.SWITCH($N669,"BDI 1",$O$6,"BDI 2",$O$7,"BDI 3",$O$8)),2)</f>
        <v>27.31</v>
      </c>
      <c r="P669" s="157" cm="1">
        <f t="array" ref="P669">TRUNC($I669*(1+_xlfn.SWITCH($N669,"BDI 1",$P$6,"BDI 2",$P$7,"BDI 3",$P$8)),2)</f>
        <v>28.57</v>
      </c>
      <c r="Q669" s="157">
        <v>0</v>
      </c>
      <c r="R669" s="157">
        <f t="shared" si="1133"/>
        <v>0</v>
      </c>
      <c r="S669" s="156">
        <f t="shared" si="1134"/>
        <v>0</v>
      </c>
      <c r="T669" s="156">
        <f t="shared" si="1135"/>
        <v>0</v>
      </c>
      <c r="U669" s="156">
        <f t="shared" si="1136"/>
        <v>0</v>
      </c>
      <c r="V669" s="156">
        <f t="shared" si="1137"/>
        <v>0</v>
      </c>
      <c r="W669" s="156">
        <f t="shared" si="1124"/>
        <v>0</v>
      </c>
      <c r="X669" s="158">
        <f t="shared" ref="X669" si="1144">$S669/ORCAMENTO_VALOR_TOTAL_ND</f>
        <v>0</v>
      </c>
      <c r="Y669" s="158">
        <f t="shared" ref="Y669" si="1145">$T669/ORCAMENTO_VALOR_TOTAL_DE</f>
        <v>0</v>
      </c>
      <c r="Z669" s="158" cm="1">
        <f t="array" ref="Z669">_xlfn.SWITCH($N669,"BDI 1",$O$6,"BDI 2",$O$7,"BDI 3",$O$8)</f>
        <v>0.20699999999999999</v>
      </c>
      <c r="AA669" s="158" cm="1">
        <f t="array" ref="AA669">_xlfn.SWITCH($N669,"BDI 1",$P$6,"BDI 2",$P$7,"BDI 3",$P$8)</f>
        <v>0.26739999999999997</v>
      </c>
      <c r="AB669" s="158">
        <f t="shared" ca="1" si="1140"/>
        <v>0</v>
      </c>
      <c r="AC669" s="158">
        <f t="shared" ca="1" si="1141"/>
        <v>0</v>
      </c>
      <c r="AD669" s="164"/>
      <c r="AE669" s="148">
        <f t="shared" si="1127"/>
        <v>0</v>
      </c>
      <c r="AF669" s="149"/>
      <c r="AG669" s="150"/>
      <c r="AH669" s="159" t="e">
        <f t="shared" si="1128"/>
        <v>#DIV/0!</v>
      </c>
      <c r="AI669" s="160"/>
      <c r="AJ669" s="105"/>
      <c r="AK669" s="105"/>
      <c r="AM669" s="105"/>
      <c r="AN669" s="105"/>
      <c r="AO669" s="105"/>
      <c r="AP669" s="105"/>
      <c r="AQ669" s="105"/>
      <c r="AR669" s="105"/>
    </row>
    <row r="670" spans="1:44" s="49" customFormat="1" ht="40.15" hidden="1" customHeight="1">
      <c r="A670" s="152">
        <f t="shared" ca="1" si="1129"/>
        <v>0</v>
      </c>
      <c r="B670" s="153" t="s">
        <v>251</v>
      </c>
      <c r="C670" s="154" t="str">
        <f t="shared" si="1130"/>
        <v>PA/0150</v>
      </c>
      <c r="D670" s="154" t="s">
        <v>3549</v>
      </c>
      <c r="E670" s="155" t="s">
        <v>3874</v>
      </c>
      <c r="F670" s="154"/>
      <c r="G670" s="154" t="s">
        <v>1418</v>
      </c>
      <c r="H670" s="152">
        <v>17.59</v>
      </c>
      <c r="I670" s="152">
        <v>17.55</v>
      </c>
      <c r="J670" s="156"/>
      <c r="K670" s="156">
        <f>+Recap_Final!I49</f>
        <v>0</v>
      </c>
      <c r="L670" s="156">
        <f t="shared" si="1131"/>
        <v>0</v>
      </c>
      <c r="M670" s="156">
        <f t="shared" si="1132"/>
        <v>0</v>
      </c>
      <c r="N670" s="156" t="s">
        <v>83</v>
      </c>
      <c r="O670" s="157" cm="1">
        <f t="array" ref="O670">TRUNC($H670*(1+_xlfn.SWITCH($N670,"BDI 1",$O$6,"BDI 2",$O$7,"BDI 3",$O$8)),2)</f>
        <v>21.23</v>
      </c>
      <c r="P670" s="157" cm="1">
        <f t="array" ref="P670">TRUNC($I670*(1+_xlfn.SWITCH($N670,"BDI 1",$P$6,"BDI 2",$P$7,"BDI 3",$P$8)),2)</f>
        <v>22.24</v>
      </c>
      <c r="Q670" s="157">
        <v>0</v>
      </c>
      <c r="R670" s="157">
        <f t="shared" si="1133"/>
        <v>0</v>
      </c>
      <c r="S670" s="156">
        <f t="shared" si="1134"/>
        <v>0</v>
      </c>
      <c r="T670" s="156">
        <f t="shared" si="1135"/>
        <v>0</v>
      </c>
      <c r="U670" s="156">
        <f t="shared" si="1136"/>
        <v>0</v>
      </c>
      <c r="V670" s="156">
        <f t="shared" si="1137"/>
        <v>0</v>
      </c>
      <c r="W670" s="156">
        <f t="shared" si="1124"/>
        <v>0</v>
      </c>
      <c r="X670" s="158">
        <f t="shared" ref="X670" si="1146">$S670/ORCAMENTO_VALOR_TOTAL_ND</f>
        <v>0</v>
      </c>
      <c r="Y670" s="158">
        <f t="shared" ref="Y670" si="1147">$T670/ORCAMENTO_VALOR_TOTAL_DE</f>
        <v>0</v>
      </c>
      <c r="Z670" s="158" cm="1">
        <f t="array" ref="Z670">_xlfn.SWITCH($N670,"BDI 1",$O$6,"BDI 2",$O$7,"BDI 3",$O$8)</f>
        <v>0.20699999999999999</v>
      </c>
      <c r="AA670" s="158" cm="1">
        <f t="array" ref="AA670">_xlfn.SWITCH($N670,"BDI 1",$P$6,"BDI 2",$P$7,"BDI 3",$P$8)</f>
        <v>0.26739999999999997</v>
      </c>
      <c r="AB670" s="158">
        <f t="shared" ca="1" si="1140"/>
        <v>0</v>
      </c>
      <c r="AC670" s="158">
        <f t="shared" ca="1" si="1141"/>
        <v>0</v>
      </c>
      <c r="AD670" s="164"/>
      <c r="AE670" s="148">
        <f t="shared" si="1127"/>
        <v>0</v>
      </c>
      <c r="AF670" s="149"/>
      <c r="AG670" s="150"/>
      <c r="AH670" s="159" t="e">
        <f t="shared" si="1128"/>
        <v>#DIV/0!</v>
      </c>
      <c r="AI670" s="160"/>
      <c r="AJ670" s="105"/>
      <c r="AK670" s="105"/>
      <c r="AM670" s="105"/>
      <c r="AN670" s="105"/>
      <c r="AO670" s="105"/>
      <c r="AP670" s="105"/>
      <c r="AQ670" s="105"/>
      <c r="AR670" s="105"/>
    </row>
    <row r="671" spans="1:44" s="49" customFormat="1" ht="40.15" hidden="1" customHeight="1">
      <c r="A671" s="152">
        <f t="shared" ca="1" si="1129"/>
        <v>0</v>
      </c>
      <c r="B671" s="153" t="s">
        <v>287</v>
      </c>
      <c r="C671" s="154" t="str">
        <f t="shared" si="1130"/>
        <v>PA/0023</v>
      </c>
      <c r="D671" s="154" t="s">
        <v>3549</v>
      </c>
      <c r="E671" s="155" t="s">
        <v>3539</v>
      </c>
      <c r="F671" s="154"/>
      <c r="G671" s="154" t="s">
        <v>1418</v>
      </c>
      <c r="H671" s="152">
        <v>2.37</v>
      </c>
      <c r="I671" s="152">
        <v>2.33</v>
      </c>
      <c r="J671" s="156"/>
      <c r="K671" s="156">
        <f>+Recap_Final!I53</f>
        <v>0</v>
      </c>
      <c r="L671" s="156">
        <f t="shared" si="1131"/>
        <v>0</v>
      </c>
      <c r="M671" s="156">
        <f t="shared" si="1132"/>
        <v>0</v>
      </c>
      <c r="N671" s="156" t="s">
        <v>83</v>
      </c>
      <c r="O671" s="157" cm="1">
        <f t="array" ref="O671">TRUNC($H671*(1+_xlfn.SWITCH($N671,"BDI 1",$O$6,"BDI 2",$O$7,"BDI 3",$O$8)),2)</f>
        <v>2.86</v>
      </c>
      <c r="P671" s="157" cm="1">
        <f t="array" ref="P671">TRUNC($I671*(1+_xlfn.SWITCH($N671,"BDI 1",$P$6,"BDI 2",$P$7,"BDI 3",$P$8)),2)</f>
        <v>2.95</v>
      </c>
      <c r="Q671" s="157">
        <v>0</v>
      </c>
      <c r="R671" s="157">
        <f t="shared" si="1133"/>
        <v>0</v>
      </c>
      <c r="S671" s="156">
        <f t="shared" si="1134"/>
        <v>0</v>
      </c>
      <c r="T671" s="156">
        <f t="shared" si="1135"/>
        <v>0</v>
      </c>
      <c r="U671" s="156">
        <f t="shared" si="1136"/>
        <v>0</v>
      </c>
      <c r="V671" s="156">
        <f t="shared" si="1137"/>
        <v>0</v>
      </c>
      <c r="W671" s="156">
        <f t="shared" si="1124"/>
        <v>0</v>
      </c>
      <c r="X671" s="158">
        <f t="shared" ref="X671" si="1148">$S671/ORCAMENTO_VALOR_TOTAL_ND</f>
        <v>0</v>
      </c>
      <c r="Y671" s="158">
        <f t="shared" ref="Y671" si="1149">$T671/ORCAMENTO_VALOR_TOTAL_DE</f>
        <v>0</v>
      </c>
      <c r="Z671" s="158" cm="1">
        <f t="array" ref="Z671">_xlfn.SWITCH($N671,"BDI 1",$O$6,"BDI 2",$O$7,"BDI 3",$O$8)</f>
        <v>0.20699999999999999</v>
      </c>
      <c r="AA671" s="158" cm="1">
        <f t="array" ref="AA671">_xlfn.SWITCH($N671,"BDI 1",$P$6,"BDI 2",$P$7,"BDI 3",$P$8)</f>
        <v>0.26739999999999997</v>
      </c>
      <c r="AB671" s="158">
        <f t="shared" ca="1" si="1140"/>
        <v>0</v>
      </c>
      <c r="AC671" s="158">
        <f t="shared" ca="1" si="1141"/>
        <v>0</v>
      </c>
      <c r="AD671" s="164"/>
      <c r="AE671" s="148">
        <f t="shared" si="1127"/>
        <v>0</v>
      </c>
      <c r="AF671" s="149"/>
      <c r="AG671" s="150"/>
      <c r="AH671" s="159" t="e">
        <f t="shared" si="1128"/>
        <v>#DIV/0!</v>
      </c>
      <c r="AI671" s="160"/>
      <c r="AJ671" s="105"/>
      <c r="AK671" s="105"/>
      <c r="AM671" s="105"/>
      <c r="AN671" s="105"/>
      <c r="AO671" s="105"/>
      <c r="AP671" s="105"/>
      <c r="AQ671" s="105"/>
      <c r="AR671" s="105"/>
    </row>
    <row r="672" spans="1:44" s="49" customFormat="1" ht="40.15" hidden="1" customHeight="1">
      <c r="A672" s="152">
        <f t="shared" ca="1" si="1129"/>
        <v>0</v>
      </c>
      <c r="B672" s="153" t="s">
        <v>299</v>
      </c>
      <c r="C672" s="154" t="str">
        <f t="shared" si="1130"/>
        <v>PA/0035</v>
      </c>
      <c r="D672" s="154" t="s">
        <v>3549</v>
      </c>
      <c r="E672" s="155" t="s">
        <v>3893</v>
      </c>
      <c r="F672" s="154"/>
      <c r="G672" s="154" t="s">
        <v>1418</v>
      </c>
      <c r="H672" s="152">
        <v>2.83</v>
      </c>
      <c r="I672" s="152">
        <v>2.81</v>
      </c>
      <c r="J672" s="156"/>
      <c r="K672" s="156">
        <f>+Recap_Final!I55</f>
        <v>0</v>
      </c>
      <c r="L672" s="156">
        <f t="shared" si="1131"/>
        <v>0</v>
      </c>
      <c r="M672" s="156">
        <f t="shared" si="1132"/>
        <v>0</v>
      </c>
      <c r="N672" s="156" t="s">
        <v>83</v>
      </c>
      <c r="O672" s="157" cm="1">
        <f t="array" ref="O672">TRUNC($H672*(1+_xlfn.SWITCH($N672,"BDI 1",$O$6,"BDI 2",$O$7,"BDI 3",$O$8)),2)</f>
        <v>3.41</v>
      </c>
      <c r="P672" s="157" cm="1">
        <f t="array" ref="P672">TRUNC($I672*(1+_xlfn.SWITCH($N672,"BDI 1",$P$6,"BDI 2",$P$7,"BDI 3",$P$8)),2)</f>
        <v>3.56</v>
      </c>
      <c r="Q672" s="157">
        <v>0</v>
      </c>
      <c r="R672" s="157">
        <f t="shared" si="1133"/>
        <v>0</v>
      </c>
      <c r="S672" s="156">
        <f t="shared" si="1134"/>
        <v>0</v>
      </c>
      <c r="T672" s="156">
        <f t="shared" si="1135"/>
        <v>0</v>
      </c>
      <c r="U672" s="156">
        <f t="shared" si="1136"/>
        <v>0</v>
      </c>
      <c r="V672" s="156">
        <f t="shared" si="1137"/>
        <v>0</v>
      </c>
      <c r="W672" s="156">
        <f t="shared" si="1124"/>
        <v>0</v>
      </c>
      <c r="X672" s="158">
        <f t="shared" ref="X672" si="1150">$S672/ORCAMENTO_VALOR_TOTAL_ND</f>
        <v>0</v>
      </c>
      <c r="Y672" s="158">
        <f t="shared" ref="Y672" si="1151">$T672/ORCAMENTO_VALOR_TOTAL_DE</f>
        <v>0</v>
      </c>
      <c r="Z672" s="158" cm="1">
        <f t="array" ref="Z672">_xlfn.SWITCH($N672,"BDI 1",$O$6,"BDI 2",$O$7,"BDI 3",$O$8)</f>
        <v>0.20699999999999999</v>
      </c>
      <c r="AA672" s="158" cm="1">
        <f t="array" ref="AA672">_xlfn.SWITCH($N672,"BDI 1",$P$6,"BDI 2",$P$7,"BDI 3",$P$8)</f>
        <v>0.26739999999999997</v>
      </c>
      <c r="AB672" s="158">
        <f t="shared" ca="1" si="1140"/>
        <v>0</v>
      </c>
      <c r="AC672" s="158">
        <f t="shared" ca="1" si="1141"/>
        <v>0</v>
      </c>
      <c r="AD672" s="164"/>
      <c r="AE672" s="148">
        <f t="shared" si="1127"/>
        <v>0</v>
      </c>
      <c r="AF672" s="149"/>
      <c r="AG672" s="150"/>
      <c r="AH672" s="159" t="e">
        <f t="shared" si="1128"/>
        <v>#DIV/0!</v>
      </c>
      <c r="AI672" s="160"/>
      <c r="AJ672" s="105"/>
      <c r="AK672" s="105"/>
      <c r="AM672" s="105"/>
      <c r="AN672" s="105"/>
      <c r="AO672" s="105"/>
      <c r="AP672" s="105"/>
      <c r="AQ672" s="105"/>
      <c r="AR672" s="105"/>
    </row>
    <row r="673" spans="1:44" s="49" customFormat="1" ht="49.9" hidden="1" customHeight="1">
      <c r="A673" s="152">
        <f t="shared" ca="1" si="1129"/>
        <v>0</v>
      </c>
      <c r="B673" s="153" t="s">
        <v>252</v>
      </c>
      <c r="C673" s="154" t="str">
        <f t="shared" si="1130"/>
        <v>PA/0040</v>
      </c>
      <c r="D673" s="154" t="s">
        <v>3549</v>
      </c>
      <c r="E673" s="155" t="s">
        <v>3875</v>
      </c>
      <c r="F673" s="154"/>
      <c r="G673" s="154" t="s">
        <v>464</v>
      </c>
      <c r="H673" s="152">
        <v>1628.68</v>
      </c>
      <c r="I673" s="152">
        <v>1625.69</v>
      </c>
      <c r="J673" s="156"/>
      <c r="K673" s="156">
        <f>+Recap_Final!I59</f>
        <v>0</v>
      </c>
      <c r="L673" s="156">
        <f t="shared" si="1131"/>
        <v>0</v>
      </c>
      <c r="M673" s="156">
        <f t="shared" si="1132"/>
        <v>0</v>
      </c>
      <c r="N673" s="156" t="s">
        <v>83</v>
      </c>
      <c r="O673" s="157" cm="1">
        <f t="array" ref="O673">TRUNC($H673*(1+_xlfn.SWITCH($N673,"BDI 1",$O$6,"BDI 2",$O$7,"BDI 3",$O$8)),2)</f>
        <v>1965.81</v>
      </c>
      <c r="P673" s="157" cm="1">
        <f t="array" ref="P673">TRUNC($I673*(1+_xlfn.SWITCH($N673,"BDI 1",$P$6,"BDI 2",$P$7,"BDI 3",$P$8)),2)</f>
        <v>2060.39</v>
      </c>
      <c r="Q673" s="157">
        <v>0</v>
      </c>
      <c r="R673" s="157">
        <f t="shared" si="1133"/>
        <v>0</v>
      </c>
      <c r="S673" s="156">
        <f t="shared" si="1134"/>
        <v>0</v>
      </c>
      <c r="T673" s="156">
        <f t="shared" si="1135"/>
        <v>0</v>
      </c>
      <c r="U673" s="156">
        <f t="shared" si="1136"/>
        <v>0</v>
      </c>
      <c r="V673" s="156">
        <f t="shared" si="1137"/>
        <v>0</v>
      </c>
      <c r="W673" s="156">
        <f t="shared" si="1124"/>
        <v>0</v>
      </c>
      <c r="X673" s="158">
        <f t="shared" ref="X673" si="1152">$S673/ORCAMENTO_VALOR_TOTAL_ND</f>
        <v>0</v>
      </c>
      <c r="Y673" s="158">
        <f t="shared" ref="Y673" si="1153">$T673/ORCAMENTO_VALOR_TOTAL_DE</f>
        <v>0</v>
      </c>
      <c r="Z673" s="158" cm="1">
        <f t="array" ref="Z673">_xlfn.SWITCH($N673,"BDI 1",$O$6,"BDI 2",$O$7,"BDI 3",$O$8)</f>
        <v>0.20699999999999999</v>
      </c>
      <c r="AA673" s="158" cm="1">
        <f t="array" ref="AA673">_xlfn.SWITCH($N673,"BDI 1",$P$6,"BDI 2",$P$7,"BDI 3",$P$8)</f>
        <v>0.26739999999999997</v>
      </c>
      <c r="AB673" s="158">
        <f t="shared" ca="1" si="1140"/>
        <v>0</v>
      </c>
      <c r="AC673" s="158">
        <f t="shared" ca="1" si="1141"/>
        <v>0</v>
      </c>
      <c r="AD673" s="164"/>
      <c r="AE673" s="148">
        <f t="shared" si="1127"/>
        <v>0</v>
      </c>
      <c r="AF673" s="149"/>
      <c r="AG673" s="150"/>
      <c r="AH673" s="159" t="e">
        <f t="shared" si="1128"/>
        <v>#DIV/0!</v>
      </c>
      <c r="AI673" s="165" t="s">
        <v>243</v>
      </c>
      <c r="AJ673" s="105"/>
      <c r="AK673" s="105"/>
      <c r="AM673" s="105"/>
      <c r="AN673" s="105"/>
      <c r="AO673" s="105"/>
      <c r="AP673" s="105"/>
      <c r="AQ673" s="105"/>
      <c r="AR673" s="105"/>
    </row>
    <row r="674" spans="1:44" s="49" customFormat="1" ht="40.15" hidden="1" customHeight="1">
      <c r="A674" s="152">
        <f t="shared" ca="1" si="1129"/>
        <v>0</v>
      </c>
      <c r="B674" s="153">
        <v>95995</v>
      </c>
      <c r="C674" s="154" t="str">
        <f t="shared" si="1130"/>
        <v>95995</v>
      </c>
      <c r="D674" s="154" t="s">
        <v>1416</v>
      </c>
      <c r="E674" s="155" t="s">
        <v>3894</v>
      </c>
      <c r="F674" s="154"/>
      <c r="G674" s="154" t="s">
        <v>464</v>
      </c>
      <c r="H674" s="152">
        <v>1658.13</v>
      </c>
      <c r="I674" s="152">
        <v>1643.62</v>
      </c>
      <c r="J674" s="156"/>
      <c r="K674" s="156">
        <f>+Recap_Final!I60</f>
        <v>0</v>
      </c>
      <c r="L674" s="156">
        <f t="shared" si="1131"/>
        <v>0</v>
      </c>
      <c r="M674" s="156">
        <f t="shared" si="1132"/>
        <v>0</v>
      </c>
      <c r="N674" s="156" t="s">
        <v>83</v>
      </c>
      <c r="O674" s="157" cm="1">
        <f t="array" ref="O674">TRUNC($H674*(1+_xlfn.SWITCH($N674,"BDI 1",$O$6,"BDI 2",$O$7,"BDI 3",$O$8)),2)</f>
        <v>2001.36</v>
      </c>
      <c r="P674" s="157" cm="1">
        <f t="array" ref="P674">TRUNC($I674*(1+_xlfn.SWITCH($N674,"BDI 1",$P$6,"BDI 2",$P$7,"BDI 3",$P$8)),2)</f>
        <v>2083.12</v>
      </c>
      <c r="Q674" s="157">
        <v>0</v>
      </c>
      <c r="R674" s="157">
        <f t="shared" si="1133"/>
        <v>0</v>
      </c>
      <c r="S674" s="156">
        <f t="shared" si="1134"/>
        <v>0</v>
      </c>
      <c r="T674" s="156">
        <f t="shared" si="1135"/>
        <v>0</v>
      </c>
      <c r="U674" s="156">
        <f t="shared" si="1136"/>
        <v>0</v>
      </c>
      <c r="V674" s="156">
        <f t="shared" si="1137"/>
        <v>0</v>
      </c>
      <c r="W674" s="156">
        <f t="shared" si="1124"/>
        <v>0</v>
      </c>
      <c r="X674" s="158">
        <f t="shared" ref="X674" si="1154">$S674/ORCAMENTO_VALOR_TOTAL_ND</f>
        <v>0</v>
      </c>
      <c r="Y674" s="158">
        <f t="shared" ref="Y674" si="1155">$T674/ORCAMENTO_VALOR_TOTAL_DE</f>
        <v>0</v>
      </c>
      <c r="Z674" s="158" cm="1">
        <f t="array" ref="Z674">_xlfn.SWITCH($N674,"BDI 1",$O$6,"BDI 2",$O$7,"BDI 3",$O$8)</f>
        <v>0.20699999999999999</v>
      </c>
      <c r="AA674" s="158" cm="1">
        <f t="array" ref="AA674">_xlfn.SWITCH($N674,"BDI 1",$P$6,"BDI 2",$P$7,"BDI 3",$P$8)</f>
        <v>0.26739999999999997</v>
      </c>
      <c r="AB674" s="158">
        <f t="shared" ca="1" si="1140"/>
        <v>0</v>
      </c>
      <c r="AC674" s="158">
        <f t="shared" ca="1" si="1141"/>
        <v>0</v>
      </c>
      <c r="AD674" s="164"/>
      <c r="AE674" s="148">
        <f t="shared" si="1127"/>
        <v>0</v>
      </c>
      <c r="AF674" s="149"/>
      <c r="AG674" s="150"/>
      <c r="AH674" s="159" t="e">
        <f t="shared" si="1128"/>
        <v>#DIV/0!</v>
      </c>
      <c r="AI674" s="165" t="s">
        <v>243</v>
      </c>
      <c r="AJ674" s="105"/>
      <c r="AK674" s="105"/>
      <c r="AM674" s="105"/>
      <c r="AN674" s="105"/>
      <c r="AO674" s="105"/>
      <c r="AP674" s="105"/>
      <c r="AQ674" s="105"/>
      <c r="AR674" s="105"/>
    </row>
    <row r="675" spans="1:44" s="49" customFormat="1" ht="49.9" hidden="1" customHeight="1">
      <c r="A675" s="152">
        <f t="shared" ca="1" si="1129"/>
        <v>0</v>
      </c>
      <c r="B675" s="153" t="s">
        <v>300</v>
      </c>
      <c r="C675" s="154" t="str">
        <f t="shared" si="1130"/>
        <v>PA/0045</v>
      </c>
      <c r="D675" s="154" t="s">
        <v>3549</v>
      </c>
      <c r="E675" s="155" t="s">
        <v>3895</v>
      </c>
      <c r="F675" s="154"/>
      <c r="G675" s="154" t="s">
        <v>464</v>
      </c>
      <c r="H675" s="152">
        <v>1889.24</v>
      </c>
      <c r="I675" s="152">
        <v>1886.25</v>
      </c>
      <c r="J675" s="156"/>
      <c r="K675" s="156">
        <f>+Recap_Final!I61</f>
        <v>0</v>
      </c>
      <c r="L675" s="156">
        <f t="shared" si="1131"/>
        <v>0</v>
      </c>
      <c r="M675" s="156">
        <f t="shared" si="1132"/>
        <v>0</v>
      </c>
      <c r="N675" s="156" t="s">
        <v>83</v>
      </c>
      <c r="O675" s="157" cm="1">
        <f t="array" ref="O675">TRUNC($H675*(1+_xlfn.SWITCH($N675,"BDI 1",$O$6,"BDI 2",$O$7,"BDI 3",$O$8)),2)</f>
        <v>2280.31</v>
      </c>
      <c r="P675" s="157" cm="1">
        <f t="array" ref="P675">TRUNC($I675*(1+_xlfn.SWITCH($N675,"BDI 1",$P$6,"BDI 2",$P$7,"BDI 3",$P$8)),2)</f>
        <v>2390.63</v>
      </c>
      <c r="Q675" s="157">
        <v>0</v>
      </c>
      <c r="R675" s="157">
        <f t="shared" si="1133"/>
        <v>0</v>
      </c>
      <c r="S675" s="156">
        <f t="shared" si="1134"/>
        <v>0</v>
      </c>
      <c r="T675" s="156">
        <f t="shared" si="1135"/>
        <v>0</v>
      </c>
      <c r="U675" s="156">
        <f t="shared" si="1136"/>
        <v>0</v>
      </c>
      <c r="V675" s="156">
        <f t="shared" si="1137"/>
        <v>0</v>
      </c>
      <c r="W675" s="156">
        <f t="shared" si="1124"/>
        <v>0</v>
      </c>
      <c r="X675" s="158">
        <f t="shared" ref="X675" si="1156">$S675/ORCAMENTO_VALOR_TOTAL_ND</f>
        <v>0</v>
      </c>
      <c r="Y675" s="158">
        <f t="shared" ref="Y675" si="1157">$T675/ORCAMENTO_VALOR_TOTAL_DE</f>
        <v>0</v>
      </c>
      <c r="Z675" s="158" cm="1">
        <f t="array" ref="Z675">_xlfn.SWITCH($N675,"BDI 1",$O$6,"BDI 2",$O$7,"BDI 3",$O$8)</f>
        <v>0.20699999999999999</v>
      </c>
      <c r="AA675" s="158" cm="1">
        <f t="array" ref="AA675">_xlfn.SWITCH($N675,"BDI 1",$P$6,"BDI 2",$P$7,"BDI 3",$P$8)</f>
        <v>0.26739999999999997</v>
      </c>
      <c r="AB675" s="158">
        <f t="shared" ca="1" si="1140"/>
        <v>0</v>
      </c>
      <c r="AC675" s="158">
        <f t="shared" ca="1" si="1141"/>
        <v>0</v>
      </c>
      <c r="AD675" s="164"/>
      <c r="AE675" s="148">
        <f t="shared" si="1127"/>
        <v>0</v>
      </c>
      <c r="AF675" s="149"/>
      <c r="AG675" s="150"/>
      <c r="AH675" s="159" t="e">
        <f t="shared" si="1128"/>
        <v>#DIV/0!</v>
      </c>
      <c r="AI675" s="160"/>
      <c r="AJ675" s="105"/>
      <c r="AK675" s="105"/>
      <c r="AM675" s="105"/>
      <c r="AN675" s="105"/>
      <c r="AO675" s="105"/>
      <c r="AP675" s="105"/>
      <c r="AQ675" s="105"/>
      <c r="AR675" s="105"/>
    </row>
    <row r="676" spans="1:44" s="49" customFormat="1" ht="40.15" hidden="1" customHeight="1">
      <c r="A676" s="152">
        <f t="shared" ca="1" si="1129"/>
        <v>0</v>
      </c>
      <c r="B676" s="153" t="s">
        <v>290</v>
      </c>
      <c r="C676" s="154" t="str">
        <f t="shared" si="1130"/>
        <v>PA/0055</v>
      </c>
      <c r="D676" s="154">
        <v>0</v>
      </c>
      <c r="E676" s="155" t="s">
        <v>3766</v>
      </c>
      <c r="F676" s="154"/>
      <c r="G676" s="154">
        <v>0</v>
      </c>
      <c r="H676" s="152">
        <v>0</v>
      </c>
      <c r="I676" s="152">
        <v>0</v>
      </c>
      <c r="J676" s="156"/>
      <c r="K676" s="156">
        <f>+Recap_Final!I62</f>
        <v>0</v>
      </c>
      <c r="L676" s="156">
        <f t="shared" si="1131"/>
        <v>0</v>
      </c>
      <c r="M676" s="156">
        <f t="shared" si="1132"/>
        <v>0</v>
      </c>
      <c r="N676" s="156" t="s">
        <v>83</v>
      </c>
      <c r="O676" s="157" cm="1">
        <f t="array" ref="O676">TRUNC($H676*(1+_xlfn.SWITCH($N676,"BDI 1",$O$6,"BDI 2",$O$7,"BDI 3",$O$8)),2)</f>
        <v>0</v>
      </c>
      <c r="P676" s="157" cm="1">
        <f t="array" ref="P676">TRUNC($I676*(1+_xlfn.SWITCH($N676,"BDI 1",$P$6,"BDI 2",$P$7,"BDI 3",$P$8)),2)</f>
        <v>0</v>
      </c>
      <c r="Q676" s="157">
        <v>0</v>
      </c>
      <c r="R676" s="157">
        <f t="shared" si="1133"/>
        <v>0</v>
      </c>
      <c r="S676" s="156">
        <f t="shared" si="1134"/>
        <v>0</v>
      </c>
      <c r="T676" s="156">
        <f t="shared" si="1135"/>
        <v>0</v>
      </c>
      <c r="U676" s="156">
        <f t="shared" si="1136"/>
        <v>0</v>
      </c>
      <c r="V676" s="156">
        <f t="shared" si="1137"/>
        <v>0</v>
      </c>
      <c r="W676" s="156">
        <f t="shared" si="1124"/>
        <v>0</v>
      </c>
      <c r="X676" s="158">
        <f t="shared" ref="X676" si="1158">$S676/ORCAMENTO_VALOR_TOTAL_ND</f>
        <v>0</v>
      </c>
      <c r="Y676" s="158">
        <f t="shared" ref="Y676" si="1159">$T676/ORCAMENTO_VALOR_TOTAL_DE</f>
        <v>0</v>
      </c>
      <c r="Z676" s="158" cm="1">
        <f t="array" ref="Z676">_xlfn.SWITCH($N676,"BDI 1",$O$6,"BDI 2",$O$7,"BDI 3",$O$8)</f>
        <v>0.20699999999999999</v>
      </c>
      <c r="AA676" s="158" cm="1">
        <f t="array" ref="AA676">_xlfn.SWITCH($N676,"BDI 1",$P$6,"BDI 2",$P$7,"BDI 3",$P$8)</f>
        <v>0.26739999999999997</v>
      </c>
      <c r="AB676" s="158">
        <f t="shared" ca="1" si="1140"/>
        <v>0</v>
      </c>
      <c r="AC676" s="158">
        <f t="shared" ca="1" si="1141"/>
        <v>0</v>
      </c>
      <c r="AD676" s="164"/>
      <c r="AE676" s="148">
        <f t="shared" si="1127"/>
        <v>0</v>
      </c>
      <c r="AF676" s="149"/>
      <c r="AG676" s="150"/>
      <c r="AH676" s="213" t="e">
        <f t="shared" si="1128"/>
        <v>#DIV/0!</v>
      </c>
      <c r="AI676" s="160"/>
      <c r="AJ676" s="105"/>
      <c r="AK676" s="105"/>
      <c r="AM676" s="105"/>
      <c r="AN676" s="105"/>
      <c r="AO676" s="105"/>
      <c r="AP676" s="105"/>
      <c r="AQ676" s="105"/>
      <c r="AR676" s="105"/>
    </row>
    <row r="677" spans="1:44" s="49" customFormat="1" ht="49.9" hidden="1" customHeight="1">
      <c r="A677" s="152">
        <f t="shared" ca="1" si="1129"/>
        <v>0</v>
      </c>
      <c r="B677" s="153" t="s">
        <v>201</v>
      </c>
      <c r="C677" s="154" t="str">
        <f t="shared" si="1130"/>
        <v>DR/0385</v>
      </c>
      <c r="D677" s="154" t="s">
        <v>3549</v>
      </c>
      <c r="E677" s="155" t="s">
        <v>3785</v>
      </c>
      <c r="F677" s="154"/>
      <c r="G677" s="154" t="s">
        <v>1412</v>
      </c>
      <c r="H677" s="152">
        <v>943.77</v>
      </c>
      <c r="I677" s="152">
        <v>926.67</v>
      </c>
      <c r="J677" s="156"/>
      <c r="K677" s="156">
        <f>+Recap_Final!I89</f>
        <v>0</v>
      </c>
      <c r="L677" s="156">
        <f t="shared" si="1131"/>
        <v>0</v>
      </c>
      <c r="M677" s="156">
        <f t="shared" si="1132"/>
        <v>0</v>
      </c>
      <c r="N677" s="156" t="s">
        <v>83</v>
      </c>
      <c r="O677" s="157" cm="1">
        <f t="array" ref="O677">TRUNC($H677*(1+_xlfn.SWITCH($N677,"BDI 1",$O$6,"BDI 2",$O$7,"BDI 3",$O$8)),2)</f>
        <v>1139.1300000000001</v>
      </c>
      <c r="P677" s="157" cm="1">
        <f t="array" ref="P677">TRUNC($I677*(1+_xlfn.SWITCH($N677,"BDI 1",$P$6,"BDI 2",$P$7,"BDI 3",$P$8)),2)</f>
        <v>1174.46</v>
      </c>
      <c r="Q677" s="157">
        <v>0</v>
      </c>
      <c r="R677" s="157">
        <f t="shared" si="1133"/>
        <v>0</v>
      </c>
      <c r="S677" s="156">
        <f t="shared" si="1134"/>
        <v>0</v>
      </c>
      <c r="T677" s="156">
        <f t="shared" si="1135"/>
        <v>0</v>
      </c>
      <c r="U677" s="156">
        <f t="shared" si="1136"/>
        <v>0</v>
      </c>
      <c r="V677" s="156">
        <f t="shared" si="1137"/>
        <v>0</v>
      </c>
      <c r="W677" s="156">
        <f t="shared" si="1124"/>
        <v>0</v>
      </c>
      <c r="X677" s="158">
        <f t="shared" ref="X677" si="1160">$S677/ORCAMENTO_VALOR_TOTAL_ND</f>
        <v>0</v>
      </c>
      <c r="Y677" s="158">
        <f t="shared" ref="Y677" si="1161">$T677/ORCAMENTO_VALOR_TOTAL_DE</f>
        <v>0</v>
      </c>
      <c r="Z677" s="158" cm="1">
        <f t="array" ref="Z677">_xlfn.SWITCH($N677,"BDI 1",$O$6,"BDI 2",$O$7,"BDI 3",$O$8)</f>
        <v>0.20699999999999999</v>
      </c>
      <c r="AA677" s="158" cm="1">
        <f t="array" ref="AA677">_xlfn.SWITCH($N677,"BDI 1",$P$6,"BDI 2",$P$7,"BDI 3",$P$8)</f>
        <v>0.26739999999999997</v>
      </c>
      <c r="AB677" s="158">
        <f t="shared" ca="1" si="1140"/>
        <v>0</v>
      </c>
      <c r="AC677" s="158">
        <f t="shared" ca="1" si="1141"/>
        <v>0</v>
      </c>
      <c r="AD677" s="164"/>
      <c r="AE677" s="148">
        <f t="shared" si="1127"/>
        <v>0</v>
      </c>
      <c r="AF677" s="149"/>
      <c r="AG677" s="150"/>
      <c r="AH677" s="159" t="e">
        <f t="shared" si="1128"/>
        <v>#DIV/0!</v>
      </c>
      <c r="AI677" s="160"/>
      <c r="AJ677" s="105"/>
      <c r="AK677" s="105"/>
      <c r="AM677" s="105"/>
      <c r="AN677" s="105"/>
      <c r="AO677" s="105"/>
      <c r="AP677" s="105"/>
      <c r="AQ677" s="105"/>
      <c r="AR677" s="105"/>
    </row>
    <row r="678" spans="1:44" s="49" customFormat="1" ht="49.9" hidden="1" customHeight="1">
      <c r="A678" s="152">
        <f t="shared" ca="1" si="1129"/>
        <v>0</v>
      </c>
      <c r="B678" s="153" t="s">
        <v>202</v>
      </c>
      <c r="C678" s="154" t="str">
        <f t="shared" si="1130"/>
        <v>DR/0390</v>
      </c>
      <c r="D678" s="154" t="s">
        <v>3549</v>
      </c>
      <c r="E678" s="155" t="s">
        <v>3786</v>
      </c>
      <c r="F678" s="154"/>
      <c r="G678" s="154" t="s">
        <v>1412</v>
      </c>
      <c r="H678" s="152">
        <v>229.76</v>
      </c>
      <c r="I678" s="152">
        <v>212.73</v>
      </c>
      <c r="J678" s="156"/>
      <c r="K678" s="156">
        <f>+Recap_Final!I90</f>
        <v>0</v>
      </c>
      <c r="L678" s="156">
        <f t="shared" si="1131"/>
        <v>0</v>
      </c>
      <c r="M678" s="156">
        <f t="shared" si="1132"/>
        <v>0</v>
      </c>
      <c r="N678" s="156" t="s">
        <v>83</v>
      </c>
      <c r="O678" s="157" cm="1">
        <f t="array" ref="O678">TRUNC($H678*(1+_xlfn.SWITCH($N678,"BDI 1",$O$6,"BDI 2",$O$7,"BDI 3",$O$8)),2)</f>
        <v>277.32</v>
      </c>
      <c r="P678" s="157" cm="1">
        <f t="array" ref="P678">TRUNC($I678*(1+_xlfn.SWITCH($N678,"BDI 1",$P$6,"BDI 2",$P$7,"BDI 3",$P$8)),2)</f>
        <v>269.61</v>
      </c>
      <c r="Q678" s="157">
        <v>0</v>
      </c>
      <c r="R678" s="157">
        <f t="shared" si="1133"/>
        <v>0</v>
      </c>
      <c r="S678" s="156">
        <f t="shared" si="1134"/>
        <v>0</v>
      </c>
      <c r="T678" s="156">
        <f t="shared" si="1135"/>
        <v>0</v>
      </c>
      <c r="U678" s="156">
        <f t="shared" si="1136"/>
        <v>0</v>
      </c>
      <c r="V678" s="156">
        <f t="shared" si="1137"/>
        <v>0</v>
      </c>
      <c r="W678" s="156">
        <f t="shared" si="1124"/>
        <v>0</v>
      </c>
      <c r="X678" s="158">
        <f t="shared" ref="X678" si="1162">$S678/ORCAMENTO_VALOR_TOTAL_ND</f>
        <v>0</v>
      </c>
      <c r="Y678" s="158">
        <f t="shared" ref="Y678" si="1163">$T678/ORCAMENTO_VALOR_TOTAL_DE</f>
        <v>0</v>
      </c>
      <c r="Z678" s="158" cm="1">
        <f t="array" ref="Z678">_xlfn.SWITCH($N678,"BDI 1",$O$6,"BDI 2",$O$7,"BDI 3",$O$8)</f>
        <v>0.20699999999999999</v>
      </c>
      <c r="AA678" s="158" cm="1">
        <f t="array" ref="AA678">_xlfn.SWITCH($N678,"BDI 1",$P$6,"BDI 2",$P$7,"BDI 3",$P$8)</f>
        <v>0.26739999999999997</v>
      </c>
      <c r="AB678" s="158">
        <f t="shared" ca="1" si="1140"/>
        <v>0</v>
      </c>
      <c r="AC678" s="158">
        <f t="shared" ca="1" si="1141"/>
        <v>0</v>
      </c>
      <c r="AD678" s="164"/>
      <c r="AE678" s="148">
        <f t="shared" si="1127"/>
        <v>0</v>
      </c>
      <c r="AF678" s="149"/>
      <c r="AG678" s="150"/>
      <c r="AH678" s="159" t="e">
        <f t="shared" si="1128"/>
        <v>#DIV/0!</v>
      </c>
      <c r="AI678" s="160"/>
      <c r="AJ678" s="105"/>
      <c r="AK678" s="105"/>
      <c r="AM678" s="105"/>
      <c r="AN678" s="105"/>
      <c r="AO678" s="105"/>
      <c r="AP678" s="105"/>
      <c r="AQ678" s="105"/>
      <c r="AR678" s="105"/>
    </row>
    <row r="679" spans="1:44" s="49" customFormat="1" ht="49.9" hidden="1" customHeight="1">
      <c r="A679" s="152">
        <f t="shared" ca="1" si="1129"/>
        <v>0</v>
      </c>
      <c r="B679" s="153" t="s">
        <v>203</v>
      </c>
      <c r="C679" s="154" t="str">
        <f t="shared" si="1130"/>
        <v>DR/0365</v>
      </c>
      <c r="D679" s="154" t="s">
        <v>3549</v>
      </c>
      <c r="E679" s="155" t="s">
        <v>3787</v>
      </c>
      <c r="F679" s="154"/>
      <c r="G679" s="154" t="s">
        <v>1412</v>
      </c>
      <c r="H679" s="152">
        <v>1064.93</v>
      </c>
      <c r="I679" s="152">
        <v>1049.45</v>
      </c>
      <c r="J679" s="156"/>
      <c r="K679" s="156">
        <f>+Recap_Final!I91</f>
        <v>0</v>
      </c>
      <c r="L679" s="156">
        <f t="shared" si="1131"/>
        <v>0</v>
      </c>
      <c r="M679" s="156">
        <f t="shared" si="1132"/>
        <v>0</v>
      </c>
      <c r="N679" s="156" t="s">
        <v>83</v>
      </c>
      <c r="O679" s="157" cm="1">
        <f t="array" ref="O679">TRUNC($H679*(1+_xlfn.SWITCH($N679,"BDI 1",$O$6,"BDI 2",$O$7,"BDI 3",$O$8)),2)</f>
        <v>1285.3699999999999</v>
      </c>
      <c r="P679" s="157" cm="1">
        <f t="array" ref="P679">TRUNC($I679*(1+_xlfn.SWITCH($N679,"BDI 1",$P$6,"BDI 2",$P$7,"BDI 3",$P$8)),2)</f>
        <v>1330.07</v>
      </c>
      <c r="Q679" s="157">
        <v>0</v>
      </c>
      <c r="R679" s="157">
        <f t="shared" si="1133"/>
        <v>0</v>
      </c>
      <c r="S679" s="156">
        <f t="shared" si="1134"/>
        <v>0</v>
      </c>
      <c r="T679" s="156">
        <f t="shared" si="1135"/>
        <v>0</v>
      </c>
      <c r="U679" s="156">
        <f t="shared" si="1136"/>
        <v>0</v>
      </c>
      <c r="V679" s="156">
        <f t="shared" si="1137"/>
        <v>0</v>
      </c>
      <c r="W679" s="156">
        <f t="shared" si="1124"/>
        <v>0</v>
      </c>
      <c r="X679" s="158">
        <f t="shared" ref="X679" si="1164">$S679/ORCAMENTO_VALOR_TOTAL_ND</f>
        <v>0</v>
      </c>
      <c r="Y679" s="158">
        <f t="shared" ref="Y679" si="1165">$T679/ORCAMENTO_VALOR_TOTAL_DE</f>
        <v>0</v>
      </c>
      <c r="Z679" s="158" cm="1">
        <f t="array" ref="Z679">_xlfn.SWITCH($N679,"BDI 1",$O$6,"BDI 2",$O$7,"BDI 3",$O$8)</f>
        <v>0.20699999999999999</v>
      </c>
      <c r="AA679" s="158" cm="1">
        <f t="array" ref="AA679">_xlfn.SWITCH($N679,"BDI 1",$P$6,"BDI 2",$P$7,"BDI 3",$P$8)</f>
        <v>0.26739999999999997</v>
      </c>
      <c r="AB679" s="158">
        <f t="shared" ca="1" si="1140"/>
        <v>0</v>
      </c>
      <c r="AC679" s="158">
        <f t="shared" ca="1" si="1141"/>
        <v>0</v>
      </c>
      <c r="AD679" s="164"/>
      <c r="AE679" s="148">
        <f t="shared" si="1127"/>
        <v>0</v>
      </c>
      <c r="AF679" s="149"/>
      <c r="AG679" s="150"/>
      <c r="AH679" s="159" t="e">
        <f t="shared" si="1128"/>
        <v>#DIV/0!</v>
      </c>
      <c r="AI679" s="160"/>
      <c r="AJ679" s="105"/>
      <c r="AK679" s="105"/>
      <c r="AM679" s="105"/>
      <c r="AN679" s="105"/>
      <c r="AO679" s="105"/>
      <c r="AP679" s="105"/>
      <c r="AQ679" s="105"/>
      <c r="AR679" s="105"/>
    </row>
    <row r="680" spans="1:44" s="49" customFormat="1" ht="49.9" hidden="1" customHeight="1">
      <c r="A680" s="152">
        <f t="shared" ca="1" si="1129"/>
        <v>0</v>
      </c>
      <c r="B680" s="153" t="s">
        <v>204</v>
      </c>
      <c r="C680" s="154" t="str">
        <f t="shared" si="1130"/>
        <v>DR/0370</v>
      </c>
      <c r="D680" s="154" t="s">
        <v>3549</v>
      </c>
      <c r="E680" s="155" t="s">
        <v>3788</v>
      </c>
      <c r="F680" s="154"/>
      <c r="G680" s="154" t="s">
        <v>1412</v>
      </c>
      <c r="H680" s="152">
        <v>222.87</v>
      </c>
      <c r="I680" s="152">
        <v>208.64</v>
      </c>
      <c r="J680" s="156"/>
      <c r="K680" s="156">
        <f>+Recap_Final!I92</f>
        <v>0</v>
      </c>
      <c r="L680" s="156">
        <f t="shared" si="1131"/>
        <v>0</v>
      </c>
      <c r="M680" s="156">
        <f t="shared" si="1132"/>
        <v>0</v>
      </c>
      <c r="N680" s="156" t="s">
        <v>83</v>
      </c>
      <c r="O680" s="157" cm="1">
        <f t="array" ref="O680">TRUNC($H680*(1+_xlfn.SWITCH($N680,"BDI 1",$O$6,"BDI 2",$O$7,"BDI 3",$O$8)),2)</f>
        <v>269</v>
      </c>
      <c r="P680" s="157" cm="1">
        <f t="array" ref="P680">TRUNC($I680*(1+_xlfn.SWITCH($N680,"BDI 1",$P$6,"BDI 2",$P$7,"BDI 3",$P$8)),2)</f>
        <v>264.43</v>
      </c>
      <c r="Q680" s="157">
        <v>0</v>
      </c>
      <c r="R680" s="157">
        <f t="shared" si="1133"/>
        <v>0</v>
      </c>
      <c r="S680" s="156">
        <f t="shared" si="1134"/>
        <v>0</v>
      </c>
      <c r="T680" s="156">
        <f t="shared" si="1135"/>
        <v>0</v>
      </c>
      <c r="U680" s="156">
        <f t="shared" si="1136"/>
        <v>0</v>
      </c>
      <c r="V680" s="156">
        <f t="shared" si="1137"/>
        <v>0</v>
      </c>
      <c r="W680" s="156">
        <f t="shared" si="1124"/>
        <v>0</v>
      </c>
      <c r="X680" s="158">
        <f t="shared" ref="X680" si="1166">$S680/ORCAMENTO_VALOR_TOTAL_ND</f>
        <v>0</v>
      </c>
      <c r="Y680" s="158">
        <f t="shared" ref="Y680" si="1167">$T680/ORCAMENTO_VALOR_TOTAL_DE</f>
        <v>0</v>
      </c>
      <c r="Z680" s="158" cm="1">
        <f t="array" ref="Z680">_xlfn.SWITCH($N680,"BDI 1",$O$6,"BDI 2",$O$7,"BDI 3",$O$8)</f>
        <v>0.20699999999999999</v>
      </c>
      <c r="AA680" s="158" cm="1">
        <f t="array" ref="AA680">_xlfn.SWITCH($N680,"BDI 1",$P$6,"BDI 2",$P$7,"BDI 3",$P$8)</f>
        <v>0.26739999999999997</v>
      </c>
      <c r="AB680" s="158">
        <f t="shared" ca="1" si="1140"/>
        <v>0</v>
      </c>
      <c r="AC680" s="158">
        <f t="shared" ca="1" si="1141"/>
        <v>0</v>
      </c>
      <c r="AD680" s="164"/>
      <c r="AE680" s="148">
        <f t="shared" si="1127"/>
        <v>0</v>
      </c>
      <c r="AF680" s="149"/>
      <c r="AG680" s="150"/>
      <c r="AH680" s="159" t="e">
        <f t="shared" si="1128"/>
        <v>#DIV/0!</v>
      </c>
      <c r="AI680" s="160"/>
      <c r="AJ680" s="105"/>
      <c r="AK680" s="105"/>
      <c r="AM680" s="105"/>
      <c r="AN680" s="105"/>
      <c r="AO680" s="105"/>
      <c r="AP680" s="105"/>
      <c r="AQ680" s="105"/>
      <c r="AR680" s="105"/>
    </row>
    <row r="681" spans="1:44" s="49" customFormat="1" ht="49.9" hidden="1" customHeight="1">
      <c r="A681" s="152">
        <f t="shared" ca="1" si="1129"/>
        <v>0</v>
      </c>
      <c r="B681" s="153" t="s">
        <v>301</v>
      </c>
      <c r="C681" s="154" t="str">
        <f t="shared" si="1130"/>
        <v>DR/0395</v>
      </c>
      <c r="D681" s="154" t="s">
        <v>3549</v>
      </c>
      <c r="E681" s="155" t="s">
        <v>3896</v>
      </c>
      <c r="F681" s="154"/>
      <c r="G681" s="154" t="s">
        <v>1412</v>
      </c>
      <c r="H681" s="152">
        <v>582.95000000000005</v>
      </c>
      <c r="I681" s="152">
        <v>565.66</v>
      </c>
      <c r="J681" s="156"/>
      <c r="K681" s="156">
        <f>+Recap_Final!I93</f>
        <v>0</v>
      </c>
      <c r="L681" s="156">
        <f t="shared" si="1131"/>
        <v>0</v>
      </c>
      <c r="M681" s="156">
        <f t="shared" si="1132"/>
        <v>0</v>
      </c>
      <c r="N681" s="156" t="s">
        <v>83</v>
      </c>
      <c r="O681" s="157" cm="1">
        <f t="array" ref="O681">TRUNC($H681*(1+_xlfn.SWITCH($N681,"BDI 1",$O$6,"BDI 2",$O$7,"BDI 3",$O$8)),2)</f>
        <v>703.62</v>
      </c>
      <c r="P681" s="157" cm="1">
        <f t="array" ref="P681">TRUNC($I681*(1+_xlfn.SWITCH($N681,"BDI 1",$P$6,"BDI 2",$P$7,"BDI 3",$P$8)),2)</f>
        <v>716.91</v>
      </c>
      <c r="Q681" s="157">
        <v>0</v>
      </c>
      <c r="R681" s="157">
        <f t="shared" si="1133"/>
        <v>0</v>
      </c>
      <c r="S681" s="156">
        <f t="shared" si="1134"/>
        <v>0</v>
      </c>
      <c r="T681" s="156">
        <f t="shared" si="1135"/>
        <v>0</v>
      </c>
      <c r="U681" s="156">
        <f t="shared" si="1136"/>
        <v>0</v>
      </c>
      <c r="V681" s="156">
        <f t="shared" si="1137"/>
        <v>0</v>
      </c>
      <c r="W681" s="156">
        <f t="shared" si="1124"/>
        <v>0</v>
      </c>
      <c r="X681" s="158">
        <f t="shared" ref="X681" si="1168">$S681/ORCAMENTO_VALOR_TOTAL_ND</f>
        <v>0</v>
      </c>
      <c r="Y681" s="158">
        <f t="shared" ref="Y681" si="1169">$T681/ORCAMENTO_VALOR_TOTAL_DE</f>
        <v>0</v>
      </c>
      <c r="Z681" s="158" cm="1">
        <f t="array" ref="Z681">_xlfn.SWITCH($N681,"BDI 1",$O$6,"BDI 2",$O$7,"BDI 3",$O$8)</f>
        <v>0.20699999999999999</v>
      </c>
      <c r="AA681" s="158" cm="1">
        <f t="array" ref="AA681">_xlfn.SWITCH($N681,"BDI 1",$P$6,"BDI 2",$P$7,"BDI 3",$P$8)</f>
        <v>0.26739999999999997</v>
      </c>
      <c r="AB681" s="158">
        <f t="shared" ca="1" si="1140"/>
        <v>0</v>
      </c>
      <c r="AC681" s="158">
        <f t="shared" ca="1" si="1141"/>
        <v>0</v>
      </c>
      <c r="AD681" s="164"/>
      <c r="AE681" s="148">
        <f t="shared" si="1127"/>
        <v>0</v>
      </c>
      <c r="AF681" s="149"/>
      <c r="AG681" s="150"/>
      <c r="AH681" s="159" t="e">
        <f t="shared" si="1128"/>
        <v>#DIV/0!</v>
      </c>
      <c r="AI681" s="160"/>
      <c r="AJ681" s="105"/>
      <c r="AK681" s="105"/>
      <c r="AM681" s="105"/>
      <c r="AN681" s="105"/>
      <c r="AO681" s="105"/>
      <c r="AP681" s="105"/>
      <c r="AQ681" s="105"/>
      <c r="AR681" s="105"/>
    </row>
    <row r="682" spans="1:44" s="49" customFormat="1" ht="49.9" hidden="1" customHeight="1">
      <c r="A682" s="152">
        <f t="shared" ca="1" si="1129"/>
        <v>0</v>
      </c>
      <c r="B682" s="153" t="s">
        <v>302</v>
      </c>
      <c r="C682" s="154" t="str">
        <f t="shared" si="1130"/>
        <v>DR/0400</v>
      </c>
      <c r="D682" s="154" t="s">
        <v>3549</v>
      </c>
      <c r="E682" s="155" t="s">
        <v>3897</v>
      </c>
      <c r="F682" s="154"/>
      <c r="G682" s="154" t="s">
        <v>1412</v>
      </c>
      <c r="H682" s="152">
        <v>1211.6600000000001</v>
      </c>
      <c r="I682" s="152">
        <v>1173.0999999999999</v>
      </c>
      <c r="J682" s="156"/>
      <c r="K682" s="156">
        <f>+Recap_Final!I94</f>
        <v>0</v>
      </c>
      <c r="L682" s="156">
        <f t="shared" si="1131"/>
        <v>0</v>
      </c>
      <c r="M682" s="156">
        <f t="shared" si="1132"/>
        <v>0</v>
      </c>
      <c r="N682" s="156" t="s">
        <v>83</v>
      </c>
      <c r="O682" s="157" cm="1">
        <f t="array" ref="O682">TRUNC($H682*(1+_xlfn.SWITCH($N682,"BDI 1",$O$6,"BDI 2",$O$7,"BDI 3",$O$8)),2)</f>
        <v>1462.47</v>
      </c>
      <c r="P682" s="157" cm="1">
        <f t="array" ref="P682">TRUNC($I682*(1+_xlfn.SWITCH($N682,"BDI 1",$P$6,"BDI 2",$P$7,"BDI 3",$P$8)),2)</f>
        <v>1486.78</v>
      </c>
      <c r="Q682" s="157">
        <v>0</v>
      </c>
      <c r="R682" s="157">
        <f t="shared" si="1133"/>
        <v>0</v>
      </c>
      <c r="S682" s="156">
        <f t="shared" si="1134"/>
        <v>0</v>
      </c>
      <c r="T682" s="156">
        <f t="shared" si="1135"/>
        <v>0</v>
      </c>
      <c r="U682" s="156">
        <f t="shared" si="1136"/>
        <v>0</v>
      </c>
      <c r="V682" s="156">
        <f t="shared" si="1137"/>
        <v>0</v>
      </c>
      <c r="W682" s="156">
        <f t="shared" si="1124"/>
        <v>0</v>
      </c>
      <c r="X682" s="158">
        <f t="shared" ref="X682" si="1170">$S682/ORCAMENTO_VALOR_TOTAL_ND</f>
        <v>0</v>
      </c>
      <c r="Y682" s="158">
        <f t="shared" ref="Y682" si="1171">$T682/ORCAMENTO_VALOR_TOTAL_DE</f>
        <v>0</v>
      </c>
      <c r="Z682" s="158" cm="1">
        <f t="array" ref="Z682">_xlfn.SWITCH($N682,"BDI 1",$O$6,"BDI 2",$O$7,"BDI 3",$O$8)</f>
        <v>0.20699999999999999</v>
      </c>
      <c r="AA682" s="158" cm="1">
        <f t="array" ref="AA682">_xlfn.SWITCH($N682,"BDI 1",$P$6,"BDI 2",$P$7,"BDI 3",$P$8)</f>
        <v>0.26739999999999997</v>
      </c>
      <c r="AB682" s="158">
        <f t="shared" ca="1" si="1140"/>
        <v>0</v>
      </c>
      <c r="AC682" s="158">
        <f t="shared" ca="1" si="1141"/>
        <v>0</v>
      </c>
      <c r="AD682" s="164"/>
      <c r="AE682" s="148">
        <f t="shared" si="1127"/>
        <v>0</v>
      </c>
      <c r="AF682" s="149"/>
      <c r="AG682" s="150"/>
      <c r="AH682" s="159" t="e">
        <f t="shared" si="1128"/>
        <v>#DIV/0!</v>
      </c>
      <c r="AI682" s="160"/>
      <c r="AJ682" s="105"/>
      <c r="AK682" s="105"/>
      <c r="AM682" s="105"/>
      <c r="AN682" s="105"/>
      <c r="AO682" s="105"/>
      <c r="AP682" s="105"/>
      <c r="AQ682" s="105"/>
      <c r="AR682" s="105"/>
    </row>
    <row r="683" spans="1:44" s="49" customFormat="1" ht="40.15" hidden="1" customHeight="1">
      <c r="A683" s="10">
        <f t="shared" ca="1" si="1129"/>
        <v>0</v>
      </c>
      <c r="B683" s="153"/>
      <c r="C683" s="154"/>
      <c r="D683" s="154"/>
      <c r="E683" s="161" t="s">
        <v>303</v>
      </c>
      <c r="F683" s="154"/>
      <c r="G683" s="154"/>
      <c r="H683" s="152"/>
      <c r="I683" s="152"/>
      <c r="J683" s="154"/>
      <c r="K683" s="154"/>
      <c r="L683" s="154"/>
      <c r="M683" s="154"/>
      <c r="N683" s="154"/>
      <c r="O683" s="154"/>
      <c r="P683" s="154"/>
      <c r="Q683" s="154"/>
      <c r="R683" s="154"/>
      <c r="S683" s="162"/>
      <c r="T683" s="162"/>
      <c r="U683" s="162"/>
      <c r="V683" s="162"/>
      <c r="W683" s="162"/>
      <c r="X683" s="154"/>
      <c r="Y683" s="154"/>
      <c r="Z683" s="154"/>
      <c r="AA683" s="154"/>
      <c r="AB683" s="154"/>
      <c r="AC683" s="154"/>
      <c r="AD683" s="106"/>
      <c r="AE683" s="148">
        <f>IF(SUM(S684:S685)&gt;0,IFERROR(TRUNC(A683,0),0),0)</f>
        <v>0</v>
      </c>
      <c r="AF683" s="149"/>
      <c r="AG683" s="150"/>
      <c r="AH683" s="159"/>
      <c r="AI683" s="160"/>
      <c r="AJ683" s="105"/>
      <c r="AK683" s="159"/>
      <c r="AM683" s="105"/>
      <c r="AN683" s="105"/>
      <c r="AO683" s="105"/>
      <c r="AP683" s="105"/>
      <c r="AQ683" s="105"/>
      <c r="AR683" s="105"/>
    </row>
    <row r="684" spans="1:44" s="49" customFormat="1" ht="40.15" hidden="1" customHeight="1">
      <c r="A684" s="152">
        <f t="shared" ca="1" si="1129"/>
        <v>0</v>
      </c>
      <c r="B684" s="153">
        <v>95876</v>
      </c>
      <c r="C684" s="154" t="str">
        <f>TEXT(B684,"0")</f>
        <v>95876</v>
      </c>
      <c r="D684" s="154" t="s">
        <v>1416</v>
      </c>
      <c r="E684" s="155" t="s">
        <v>3537</v>
      </c>
      <c r="F684" s="154">
        <f>IF(Dados_DMT!$B$21&lt;30,Dados_DMT!$B$21,30)</f>
        <v>0</v>
      </c>
      <c r="G684" s="154" t="s">
        <v>3538</v>
      </c>
      <c r="H684" s="152">
        <v>2.09</v>
      </c>
      <c r="I684" s="152">
        <v>2.1</v>
      </c>
      <c r="J684" s="156"/>
      <c r="K684" s="156">
        <f>ROUND(Recap_Final!I99*F684,2)</f>
        <v>0</v>
      </c>
      <c r="L684" s="156">
        <f>IF($K684&gt;$J684,$K684-$J684,0)</f>
        <v>0</v>
      </c>
      <c r="M684" s="156">
        <f>IF($K684&lt;$J684,$J684-$K684,0)</f>
        <v>0</v>
      </c>
      <c r="N684" s="156" t="s">
        <v>83</v>
      </c>
      <c r="O684" s="157" cm="1">
        <f t="array" ref="O684">TRUNC($H684*(1+_xlfn.SWITCH($N684,"BDI 1",$O$6,"BDI 2",$O$7,"BDI 3",$O$8)),2)</f>
        <v>2.52</v>
      </c>
      <c r="P684" s="157" cm="1">
        <f t="array" ref="P684">TRUNC($I684*(1+_xlfn.SWITCH($N684,"BDI 1",$P$6,"BDI 2",$P$7,"BDI 3",$P$8)),2)</f>
        <v>2.66</v>
      </c>
      <c r="Q684" s="157">
        <v>0</v>
      </c>
      <c r="R684" s="157">
        <f>$Q684-($Q684*LICITACAO_DESCONTO)</f>
        <v>0</v>
      </c>
      <c r="S684" s="156">
        <f>TRUNC($K684*$O684,2)</f>
        <v>0</v>
      </c>
      <c r="T684" s="156">
        <f>TRUNC($K684*$P684,2)</f>
        <v>0</v>
      </c>
      <c r="U684" s="156">
        <f>TRUNC($J684*$R684,2)</f>
        <v>0</v>
      </c>
      <c r="V684" s="156">
        <f>TRUNC($K684*$Q684,2)</f>
        <v>0</v>
      </c>
      <c r="W684" s="156">
        <f>TRUNC(V684-U684,2)</f>
        <v>0</v>
      </c>
      <c r="X684" s="158">
        <f>$S684/ORCAMENTO_VALOR_TOTAL_ND</f>
        <v>0</v>
      </c>
      <c r="Y684" s="158">
        <f>$T684/ORCAMENTO_VALOR_TOTAL_DE</f>
        <v>0</v>
      </c>
      <c r="Z684" s="158" cm="1">
        <f t="array" ref="Z684">_xlfn.SWITCH($N684,"BDI 1",$O$6,"BDI 2",$O$7,"BDI 3",$O$8)</f>
        <v>0.20699999999999999</v>
      </c>
      <c r="AA684" s="158" cm="1">
        <f t="array" ref="AA684">_xlfn.SWITCH($N684,"BDI 1",$P$6,"BDI 2",$P$7,"BDI 3",$P$8)</f>
        <v>0.26739999999999997</v>
      </c>
      <c r="AB684" s="158">
        <f ca="1">IFERROR($S684/_xlfn.XLOOKUP($AE684,$B$16:$B$38,$S$16:$S$38),0)</f>
        <v>0</v>
      </c>
      <c r="AC684" s="158">
        <f ca="1">IFERROR($T684/_xlfn.XLOOKUP($AE684,$B$16:$B$38,$T$16:$T$38),0)</f>
        <v>0</v>
      </c>
      <c r="AD684" s="164"/>
      <c r="AE684" s="148">
        <f t="shared" ref="AE684:AE685" si="1172">IF(S684&gt;0,IFERROR(TRUNC(A684,0),0),0)</f>
        <v>0</v>
      </c>
      <c r="AF684" s="149"/>
      <c r="AG684" s="150"/>
      <c r="AH684" s="159" t="e">
        <f>S684/$S$666</f>
        <v>#DIV/0!</v>
      </c>
      <c r="AI684" s="166">
        <f>IF(K684=0,0,K684/F684)</f>
        <v>0</v>
      </c>
      <c r="AJ684" s="105"/>
      <c r="AK684" s="105"/>
      <c r="AM684" s="105"/>
      <c r="AN684" s="105"/>
      <c r="AO684" s="105"/>
      <c r="AP684" s="105"/>
      <c r="AQ684" s="105"/>
      <c r="AR684" s="105"/>
    </row>
    <row r="685" spans="1:44" s="49" customFormat="1" ht="40.15" hidden="1" customHeight="1">
      <c r="A685" s="152">
        <f t="shared" ca="1" si="1129"/>
        <v>0</v>
      </c>
      <c r="B685" s="153">
        <v>93593</v>
      </c>
      <c r="C685" s="154" t="str">
        <f>TEXT(B685,"0")</f>
        <v>93593</v>
      </c>
      <c r="D685" s="154" t="s">
        <v>1416</v>
      </c>
      <c r="E685" s="155" t="s">
        <v>3545</v>
      </c>
      <c r="F685" s="154">
        <f>+Dados_DMT!$B$21-F684</f>
        <v>0</v>
      </c>
      <c r="G685" s="154" t="s">
        <v>3538</v>
      </c>
      <c r="H685" s="152">
        <v>0.84</v>
      </c>
      <c r="I685" s="152">
        <v>0.85</v>
      </c>
      <c r="J685" s="156"/>
      <c r="K685" s="156">
        <f>ROUND(Recap_Final!I99*F685,2)</f>
        <v>0</v>
      </c>
      <c r="L685" s="156">
        <f>IF($K685&gt;$J685,$K685-$J685,0)</f>
        <v>0</v>
      </c>
      <c r="M685" s="156">
        <f>IF($K685&lt;$J685,$J685-$K685,0)</f>
        <v>0</v>
      </c>
      <c r="N685" s="156" t="s">
        <v>83</v>
      </c>
      <c r="O685" s="157" cm="1">
        <f t="array" ref="O685">TRUNC($H685*(1+_xlfn.SWITCH($N685,"BDI 1",$O$6,"BDI 2",$O$7,"BDI 3",$O$8)),2)</f>
        <v>1.01</v>
      </c>
      <c r="P685" s="157" cm="1">
        <f t="array" ref="P685">TRUNC($I685*(1+_xlfn.SWITCH($N685,"BDI 1",$P$6,"BDI 2",$P$7,"BDI 3",$P$8)),2)</f>
        <v>1.07</v>
      </c>
      <c r="Q685" s="157">
        <v>0</v>
      </c>
      <c r="R685" s="157">
        <f>$Q685-($Q685*LICITACAO_DESCONTO)</f>
        <v>0</v>
      </c>
      <c r="S685" s="156">
        <f>TRUNC($K685*$O685,2)</f>
        <v>0</v>
      </c>
      <c r="T685" s="156">
        <f>TRUNC($K685*$P685,2)</f>
        <v>0</v>
      </c>
      <c r="U685" s="156">
        <f>TRUNC($J685*$R685,2)</f>
        <v>0</v>
      </c>
      <c r="V685" s="156">
        <f>TRUNC($K685*$Q685,2)</f>
        <v>0</v>
      </c>
      <c r="W685" s="156">
        <f>TRUNC(V685-U685,2)</f>
        <v>0</v>
      </c>
      <c r="X685" s="158">
        <f>$S685/ORCAMENTO_VALOR_TOTAL_ND</f>
        <v>0</v>
      </c>
      <c r="Y685" s="158">
        <f>$T685/ORCAMENTO_VALOR_TOTAL_DE</f>
        <v>0</v>
      </c>
      <c r="Z685" s="158" cm="1">
        <f t="array" ref="Z685">_xlfn.SWITCH($N685,"BDI 1",$O$6,"BDI 2",$O$7,"BDI 3",$O$8)</f>
        <v>0.20699999999999999</v>
      </c>
      <c r="AA685" s="158" cm="1">
        <f t="array" ref="AA685">_xlfn.SWITCH($N685,"BDI 1",$P$6,"BDI 2",$P$7,"BDI 3",$P$8)</f>
        <v>0.26739999999999997</v>
      </c>
      <c r="AB685" s="158">
        <f ca="1">IFERROR($S685/_xlfn.XLOOKUP($AE685,$B$16:$B$38,$S$16:$S$38),0)</f>
        <v>0</v>
      </c>
      <c r="AC685" s="158">
        <f ca="1">IFERROR($T685/_xlfn.XLOOKUP($AE685,$B$16:$B$38,$T$16:$T$38),0)</f>
        <v>0</v>
      </c>
      <c r="AD685" s="164"/>
      <c r="AE685" s="148">
        <f t="shared" si="1172"/>
        <v>0</v>
      </c>
      <c r="AF685" s="149"/>
      <c r="AG685" s="150"/>
      <c r="AH685" s="159" t="e">
        <f>S685/$S$666</f>
        <v>#DIV/0!</v>
      </c>
      <c r="AI685" s="166">
        <f>IF(K685=0,0,K685/F685)</f>
        <v>0</v>
      </c>
      <c r="AJ685" s="105"/>
      <c r="AK685" s="105"/>
      <c r="AM685" s="105"/>
      <c r="AN685" s="105"/>
      <c r="AO685" s="105"/>
      <c r="AP685" s="105"/>
      <c r="AQ685" s="105"/>
      <c r="AR685" s="105"/>
    </row>
    <row r="686" spans="1:44" s="49" customFormat="1" ht="40.15" hidden="1" customHeight="1">
      <c r="A686" s="10">
        <f t="shared" ca="1" si="1129"/>
        <v>0</v>
      </c>
      <c r="B686" s="153"/>
      <c r="C686" s="154"/>
      <c r="D686" s="154"/>
      <c r="E686" s="161" t="s">
        <v>304</v>
      </c>
      <c r="F686" s="154"/>
      <c r="G686" s="154"/>
      <c r="H686" s="152"/>
      <c r="I686" s="152"/>
      <c r="J686" s="154"/>
      <c r="K686" s="154"/>
      <c r="L686" s="154"/>
      <c r="M686" s="154"/>
      <c r="N686" s="154"/>
      <c r="O686" s="154"/>
      <c r="P686" s="154"/>
      <c r="Q686" s="154"/>
      <c r="R686" s="154"/>
      <c r="S686" s="162"/>
      <c r="T686" s="162"/>
      <c r="U686" s="162"/>
      <c r="V686" s="162"/>
      <c r="W686" s="162"/>
      <c r="X686" s="154"/>
      <c r="Y686" s="154"/>
      <c r="Z686" s="154"/>
      <c r="AA686" s="154"/>
      <c r="AB686" s="154"/>
      <c r="AC686" s="154"/>
      <c r="AD686" s="106"/>
      <c r="AE686" s="148">
        <f>IF(SUM(S687:S688)&gt;0,IFERROR(TRUNC(A686,0),0),0)</f>
        <v>0</v>
      </c>
      <c r="AF686" s="149"/>
      <c r="AG686" s="150"/>
      <c r="AH686" s="159"/>
      <c r="AI686" s="160"/>
      <c r="AJ686" s="105"/>
      <c r="AK686" s="159"/>
      <c r="AM686" s="105"/>
      <c r="AN686" s="105"/>
      <c r="AO686" s="105"/>
      <c r="AP686" s="105"/>
      <c r="AQ686" s="105"/>
      <c r="AR686" s="105"/>
    </row>
    <row r="687" spans="1:44" s="49" customFormat="1" ht="40.15" hidden="1" customHeight="1">
      <c r="A687" s="152">
        <f t="shared" ca="1" si="1129"/>
        <v>0</v>
      </c>
      <c r="B687" s="153">
        <v>95876</v>
      </c>
      <c r="C687" s="154" t="str">
        <f>TEXT(B687,"0")</f>
        <v>95876</v>
      </c>
      <c r="D687" s="154" t="s">
        <v>1416</v>
      </c>
      <c r="E687" s="155" t="s">
        <v>3537</v>
      </c>
      <c r="F687" s="154">
        <f>IF(Dados_DMT!$B$22&lt;30,Dados_DMT!$B$2,30)</f>
        <v>0</v>
      </c>
      <c r="G687" s="154" t="s">
        <v>3538</v>
      </c>
      <c r="H687" s="152">
        <v>2.09</v>
      </c>
      <c r="I687" s="152">
        <v>2.1</v>
      </c>
      <c r="J687" s="156"/>
      <c r="K687" s="156">
        <f>ROUND(Recap_Final!I100*F687,2)</f>
        <v>0</v>
      </c>
      <c r="L687" s="156">
        <f>IF($K687&gt;$J687,$K687-$J687,0)</f>
        <v>0</v>
      </c>
      <c r="M687" s="156">
        <f>IF($K687&lt;$J687,$J687-$K687,0)</f>
        <v>0</v>
      </c>
      <c r="N687" s="156" t="s">
        <v>83</v>
      </c>
      <c r="O687" s="157" cm="1">
        <f t="array" ref="O687">TRUNC($H687*(1+_xlfn.SWITCH($N687,"BDI 1",$O$6,"BDI 2",$O$7,"BDI 3",$O$8)),2)</f>
        <v>2.52</v>
      </c>
      <c r="P687" s="157" cm="1">
        <f t="array" ref="P687">TRUNC($I687*(1+_xlfn.SWITCH($N687,"BDI 1",$P$6,"BDI 2",$P$7,"BDI 3",$P$8)),2)</f>
        <v>2.66</v>
      </c>
      <c r="Q687" s="157">
        <v>0</v>
      </c>
      <c r="R687" s="157">
        <f>$Q687-($Q687*LICITACAO_DESCONTO)</f>
        <v>0</v>
      </c>
      <c r="S687" s="156">
        <f>TRUNC($K687*$O687,2)</f>
        <v>0</v>
      </c>
      <c r="T687" s="156">
        <f>TRUNC($K687*$P687,2)</f>
        <v>0</v>
      </c>
      <c r="U687" s="156">
        <f>TRUNC($J687*$R687,2)</f>
        <v>0</v>
      </c>
      <c r="V687" s="156">
        <f>TRUNC($K687*$Q687,2)</f>
        <v>0</v>
      </c>
      <c r="W687" s="156">
        <f>TRUNC(V687-U687,2)</f>
        <v>0</v>
      </c>
      <c r="X687" s="158">
        <f>$S687/ORCAMENTO_VALOR_TOTAL_ND</f>
        <v>0</v>
      </c>
      <c r="Y687" s="158">
        <f>$T687/ORCAMENTO_VALOR_TOTAL_DE</f>
        <v>0</v>
      </c>
      <c r="Z687" s="158" cm="1">
        <f t="array" ref="Z687">_xlfn.SWITCH($N687,"BDI 1",$O$6,"BDI 2",$O$7,"BDI 3",$O$8)</f>
        <v>0.20699999999999999</v>
      </c>
      <c r="AA687" s="158" cm="1">
        <f t="array" ref="AA687">_xlfn.SWITCH($N687,"BDI 1",$P$6,"BDI 2",$P$7,"BDI 3",$P$8)</f>
        <v>0.26739999999999997</v>
      </c>
      <c r="AB687" s="158">
        <f ca="1">IFERROR($S687/_xlfn.XLOOKUP($AE687,$B$16:$B$38,$S$16:$S$38),0)</f>
        <v>0</v>
      </c>
      <c r="AC687" s="158">
        <f ca="1">IFERROR($T687/_xlfn.XLOOKUP($AE687,$B$16:$B$38,$T$16:$T$38),0)</f>
        <v>0</v>
      </c>
      <c r="AD687" s="164"/>
      <c r="AE687" s="148">
        <f t="shared" ref="AE687:AE688" si="1173">IF(S687&gt;0,IFERROR(TRUNC(A687,0),0),0)</f>
        <v>0</v>
      </c>
      <c r="AF687" s="149"/>
      <c r="AG687" s="150"/>
      <c r="AH687" s="159" t="e">
        <f>S687/$S$666</f>
        <v>#DIV/0!</v>
      </c>
      <c r="AI687" s="166">
        <f>IF(K687=0,0,K687/F687)</f>
        <v>0</v>
      </c>
      <c r="AJ687" s="105"/>
      <c r="AK687" s="105"/>
      <c r="AM687" s="105"/>
      <c r="AN687" s="105"/>
      <c r="AO687" s="105"/>
      <c r="AP687" s="105"/>
      <c r="AQ687" s="105"/>
      <c r="AR687" s="105"/>
    </row>
    <row r="688" spans="1:44" s="49" customFormat="1" ht="40.15" hidden="1" customHeight="1">
      <c r="A688" s="152">
        <f t="shared" ca="1" si="1129"/>
        <v>0</v>
      </c>
      <c r="B688" s="153">
        <v>93593</v>
      </c>
      <c r="C688" s="154" t="str">
        <f>TEXT(B688,"0")</f>
        <v>93593</v>
      </c>
      <c r="D688" s="154" t="s">
        <v>1416</v>
      </c>
      <c r="E688" s="155" t="s">
        <v>3545</v>
      </c>
      <c r="F688" s="154">
        <f>+Dados_DMT!$B$22-F687</f>
        <v>0</v>
      </c>
      <c r="G688" s="154" t="s">
        <v>3538</v>
      </c>
      <c r="H688" s="152">
        <v>0.84</v>
      </c>
      <c r="I688" s="152">
        <v>0.85</v>
      </c>
      <c r="J688" s="156"/>
      <c r="K688" s="156">
        <f>ROUND(Recap_Final!I100*F688,2)</f>
        <v>0</v>
      </c>
      <c r="L688" s="156">
        <f>IF($K688&gt;$J688,$K688-$J688,0)</f>
        <v>0</v>
      </c>
      <c r="M688" s="156">
        <f>IF($K688&lt;$J688,$J688-$K688,0)</f>
        <v>0</v>
      </c>
      <c r="N688" s="156" t="s">
        <v>83</v>
      </c>
      <c r="O688" s="157" cm="1">
        <f t="array" ref="O688">TRUNC($H688*(1+_xlfn.SWITCH($N688,"BDI 1",$O$6,"BDI 2",$O$7,"BDI 3",$O$8)),2)</f>
        <v>1.01</v>
      </c>
      <c r="P688" s="157" cm="1">
        <f t="array" ref="P688">TRUNC($I688*(1+_xlfn.SWITCH($N688,"BDI 1",$P$6,"BDI 2",$P$7,"BDI 3",$P$8)),2)</f>
        <v>1.07</v>
      </c>
      <c r="Q688" s="157">
        <v>0</v>
      </c>
      <c r="R688" s="157">
        <f>$Q688-($Q688*LICITACAO_DESCONTO)</f>
        <v>0</v>
      </c>
      <c r="S688" s="156">
        <f>TRUNC($K688*$O688,2)</f>
        <v>0</v>
      </c>
      <c r="T688" s="156">
        <f>TRUNC($K688*$P688,2)</f>
        <v>0</v>
      </c>
      <c r="U688" s="156">
        <f>TRUNC($J688*$R688,2)</f>
        <v>0</v>
      </c>
      <c r="V688" s="156">
        <f>TRUNC($K688*$Q688,2)</f>
        <v>0</v>
      </c>
      <c r="W688" s="156">
        <f>TRUNC(V688-U688,2)</f>
        <v>0</v>
      </c>
      <c r="X688" s="158">
        <f>$S688/ORCAMENTO_VALOR_TOTAL_ND</f>
        <v>0</v>
      </c>
      <c r="Y688" s="158">
        <f>$T688/ORCAMENTO_VALOR_TOTAL_DE</f>
        <v>0</v>
      </c>
      <c r="Z688" s="158" cm="1">
        <f t="array" ref="Z688">_xlfn.SWITCH($N688,"BDI 1",$O$6,"BDI 2",$O$7,"BDI 3",$O$8)</f>
        <v>0.20699999999999999</v>
      </c>
      <c r="AA688" s="158" cm="1">
        <f t="array" ref="AA688">_xlfn.SWITCH($N688,"BDI 1",$P$6,"BDI 2",$P$7,"BDI 3",$P$8)</f>
        <v>0.26739999999999997</v>
      </c>
      <c r="AB688" s="158">
        <f ca="1">IFERROR($S688/_xlfn.XLOOKUP($AE688,$B$16:$B$38,$S$16:$S$38),0)</f>
        <v>0</v>
      </c>
      <c r="AC688" s="158">
        <f ca="1">IFERROR($T688/_xlfn.XLOOKUP($AE688,$B$16:$B$38,$T$16:$T$38),0)</f>
        <v>0</v>
      </c>
      <c r="AD688" s="164"/>
      <c r="AE688" s="148">
        <f t="shared" si="1173"/>
        <v>0</v>
      </c>
      <c r="AF688" s="149"/>
      <c r="AG688" s="150"/>
      <c r="AH688" s="159" t="e">
        <f>S688/$S$666</f>
        <v>#DIV/0!</v>
      </c>
      <c r="AI688" s="166">
        <f>IF(K688=0,0,K688/F688)</f>
        <v>0</v>
      </c>
      <c r="AJ688" s="105"/>
      <c r="AK688" s="105"/>
      <c r="AM688" s="105"/>
      <c r="AN688" s="105"/>
      <c r="AO688" s="105"/>
      <c r="AP688" s="105"/>
      <c r="AQ688" s="105"/>
      <c r="AR688" s="105"/>
    </row>
    <row r="689" spans="1:44" s="49" customFormat="1" ht="40.15" hidden="1" customHeight="1">
      <c r="A689" s="10">
        <f t="shared" ca="1" si="1129"/>
        <v>0</v>
      </c>
      <c r="B689" s="153"/>
      <c r="C689" s="154"/>
      <c r="D689" s="154"/>
      <c r="E689" s="161" t="s">
        <v>305</v>
      </c>
      <c r="F689" s="154"/>
      <c r="G689" s="154"/>
      <c r="H689" s="152"/>
      <c r="I689" s="152"/>
      <c r="J689" s="154"/>
      <c r="K689" s="154"/>
      <c r="L689" s="154"/>
      <c r="M689" s="154"/>
      <c r="N689" s="154"/>
      <c r="O689" s="154"/>
      <c r="P689" s="154"/>
      <c r="Q689" s="154"/>
      <c r="R689" s="154"/>
      <c r="S689" s="162"/>
      <c r="T689" s="162"/>
      <c r="U689" s="162"/>
      <c r="V689" s="162"/>
      <c r="W689" s="162"/>
      <c r="X689" s="154"/>
      <c r="Y689" s="154"/>
      <c r="Z689" s="154"/>
      <c r="AA689" s="154"/>
      <c r="AB689" s="154"/>
      <c r="AC689" s="154"/>
      <c r="AD689" s="106"/>
      <c r="AE689" s="148">
        <f>IF(SUM(S690:S691)&gt;0,IFERROR(TRUNC(A689,0),0),0)</f>
        <v>0</v>
      </c>
      <c r="AF689" s="149"/>
      <c r="AG689" s="150"/>
      <c r="AH689" s="159"/>
      <c r="AI689" s="160"/>
      <c r="AJ689" s="105"/>
      <c r="AK689" s="159"/>
      <c r="AM689" s="105"/>
      <c r="AN689" s="105"/>
      <c r="AO689" s="105"/>
      <c r="AP689" s="105"/>
      <c r="AQ689" s="105"/>
      <c r="AR689" s="105"/>
    </row>
    <row r="690" spans="1:44" s="49" customFormat="1" ht="40.15" hidden="1" customHeight="1">
      <c r="A690" s="152">
        <f t="shared" ca="1" si="1129"/>
        <v>0</v>
      </c>
      <c r="B690" s="153">
        <v>95876</v>
      </c>
      <c r="C690" s="154" t="str">
        <f>TEXT(B690,"0")</f>
        <v>95876</v>
      </c>
      <c r="D690" s="154" t="s">
        <v>1416</v>
      </c>
      <c r="E690" s="155" t="s">
        <v>3537</v>
      </c>
      <c r="F690" s="154">
        <f>IF(Dados_DMT!$B$23&lt;30,Dados_DMT!$B$23,30)</f>
        <v>0</v>
      </c>
      <c r="G690" s="154" t="s">
        <v>3538</v>
      </c>
      <c r="H690" s="152">
        <v>2.09</v>
      </c>
      <c r="I690" s="152">
        <v>2.1</v>
      </c>
      <c r="J690" s="156"/>
      <c r="K690" s="156">
        <f>ROUND(Recap_Final!I101*F690,2)</f>
        <v>0</v>
      </c>
      <c r="L690" s="156">
        <f>IF($K690&gt;$J690,$K690-$J690,0)</f>
        <v>0</v>
      </c>
      <c r="M690" s="156">
        <f>IF($K690&lt;$J690,$J690-$K690,0)</f>
        <v>0</v>
      </c>
      <c r="N690" s="156" t="s">
        <v>83</v>
      </c>
      <c r="O690" s="157" cm="1">
        <f t="array" ref="O690">TRUNC($H690*(1+_xlfn.SWITCH($N690,"BDI 1",$O$6,"BDI 2",$O$7,"BDI 3",$O$8)),2)</f>
        <v>2.52</v>
      </c>
      <c r="P690" s="157" cm="1">
        <f t="array" ref="P690">TRUNC($I690*(1+_xlfn.SWITCH($N690,"BDI 1",$P$6,"BDI 2",$P$7,"BDI 3",$P$8)),2)</f>
        <v>2.66</v>
      </c>
      <c r="Q690" s="157">
        <v>0</v>
      </c>
      <c r="R690" s="157">
        <f>$Q690-($Q690*LICITACAO_DESCONTO)</f>
        <v>0</v>
      </c>
      <c r="S690" s="156">
        <f>TRUNC($K690*$O690,2)</f>
        <v>0</v>
      </c>
      <c r="T690" s="156">
        <f>TRUNC($K690*$P690,2)</f>
        <v>0</v>
      </c>
      <c r="U690" s="156">
        <f>TRUNC($J690*$R690,2)</f>
        <v>0</v>
      </c>
      <c r="V690" s="156">
        <f>TRUNC($K690*$Q690,2)</f>
        <v>0</v>
      </c>
      <c r="W690" s="156">
        <f>TRUNC(V690-U690,2)</f>
        <v>0</v>
      </c>
      <c r="X690" s="158">
        <f>$S690/ORCAMENTO_VALOR_TOTAL_ND</f>
        <v>0</v>
      </c>
      <c r="Y690" s="158">
        <f>$T690/ORCAMENTO_VALOR_TOTAL_DE</f>
        <v>0</v>
      </c>
      <c r="Z690" s="158" cm="1">
        <f t="array" ref="Z690">_xlfn.SWITCH($N690,"BDI 1",$O$6,"BDI 2",$O$7,"BDI 3",$O$8)</f>
        <v>0.20699999999999999</v>
      </c>
      <c r="AA690" s="158" cm="1">
        <f t="array" ref="AA690">_xlfn.SWITCH($N690,"BDI 1",$P$6,"BDI 2",$P$7,"BDI 3",$P$8)</f>
        <v>0.26739999999999997</v>
      </c>
      <c r="AB690" s="158">
        <f ca="1">IFERROR($S690/_xlfn.XLOOKUP($AE690,$B$16:$B$38,$S$16:$S$38),0)</f>
        <v>0</v>
      </c>
      <c r="AC690" s="158">
        <f ca="1">IFERROR($T690/_xlfn.XLOOKUP($AE690,$B$16:$B$38,$T$16:$T$38),0)</f>
        <v>0</v>
      </c>
      <c r="AD690" s="164"/>
      <c r="AE690" s="148">
        <f t="shared" ref="AE690:AE691" si="1174">IF(S690&gt;0,IFERROR(TRUNC(A690,0),0),0)</f>
        <v>0</v>
      </c>
      <c r="AF690" s="149"/>
      <c r="AG690" s="150"/>
      <c r="AH690" s="159" t="e">
        <f>S690/$S$666</f>
        <v>#DIV/0!</v>
      </c>
      <c r="AI690" s="166">
        <f>IF(K690=0,0,K690/F690)</f>
        <v>0</v>
      </c>
      <c r="AJ690" s="105"/>
      <c r="AK690" s="105"/>
      <c r="AM690" s="105"/>
      <c r="AN690" s="105"/>
      <c r="AO690" s="105"/>
      <c r="AP690" s="105"/>
      <c r="AQ690" s="105"/>
      <c r="AR690" s="105"/>
    </row>
    <row r="691" spans="1:44" s="49" customFormat="1" ht="40.15" hidden="1" customHeight="1">
      <c r="A691" s="152">
        <f t="shared" ca="1" si="1129"/>
        <v>0</v>
      </c>
      <c r="B691" s="153">
        <v>93593</v>
      </c>
      <c r="C691" s="154" t="str">
        <f>TEXT(B691,"0")</f>
        <v>93593</v>
      </c>
      <c r="D691" s="154" t="s">
        <v>1416</v>
      </c>
      <c r="E691" s="155" t="s">
        <v>3545</v>
      </c>
      <c r="F691" s="154">
        <f>+Dados_DMT!$B$23-F690</f>
        <v>0</v>
      </c>
      <c r="G691" s="154" t="s">
        <v>3538</v>
      </c>
      <c r="H691" s="152">
        <v>0.84</v>
      </c>
      <c r="I691" s="152">
        <v>0.85</v>
      </c>
      <c r="J691" s="156"/>
      <c r="K691" s="156">
        <f>ROUND(Recap_Final!I101*F691,2)</f>
        <v>0</v>
      </c>
      <c r="L691" s="156">
        <f>IF($K691&gt;$J691,$K691-$J691,0)</f>
        <v>0</v>
      </c>
      <c r="M691" s="156">
        <f>IF($K691&lt;$J691,$J691-$K691,0)</f>
        <v>0</v>
      </c>
      <c r="N691" s="156" t="s">
        <v>83</v>
      </c>
      <c r="O691" s="157" cm="1">
        <f t="array" ref="O691">TRUNC($H691*(1+_xlfn.SWITCH($N691,"BDI 1",$O$6,"BDI 2",$O$7,"BDI 3",$O$8)),2)</f>
        <v>1.01</v>
      </c>
      <c r="P691" s="157" cm="1">
        <f t="array" ref="P691">TRUNC($I691*(1+_xlfn.SWITCH($N691,"BDI 1",$P$6,"BDI 2",$P$7,"BDI 3",$P$8)),2)</f>
        <v>1.07</v>
      </c>
      <c r="Q691" s="157">
        <v>0</v>
      </c>
      <c r="R691" s="157">
        <f>$Q691-($Q691*LICITACAO_DESCONTO)</f>
        <v>0</v>
      </c>
      <c r="S691" s="156">
        <f>TRUNC($K691*$O691,2)</f>
        <v>0</v>
      </c>
      <c r="T691" s="156">
        <f>TRUNC($K691*$P691,2)</f>
        <v>0</v>
      </c>
      <c r="U691" s="156">
        <f>TRUNC($J691*$R691,2)</f>
        <v>0</v>
      </c>
      <c r="V691" s="156">
        <f>TRUNC($K691*$Q691,2)</f>
        <v>0</v>
      </c>
      <c r="W691" s="156">
        <f>TRUNC(V691-U691,2)</f>
        <v>0</v>
      </c>
      <c r="X691" s="158">
        <f>$S691/ORCAMENTO_VALOR_TOTAL_ND</f>
        <v>0</v>
      </c>
      <c r="Y691" s="158">
        <f>$T691/ORCAMENTO_VALOR_TOTAL_DE</f>
        <v>0</v>
      </c>
      <c r="Z691" s="158" cm="1">
        <f t="array" ref="Z691">_xlfn.SWITCH($N691,"BDI 1",$O$6,"BDI 2",$O$7,"BDI 3",$O$8)</f>
        <v>0.20699999999999999</v>
      </c>
      <c r="AA691" s="158" cm="1">
        <f t="array" ref="AA691">_xlfn.SWITCH($N691,"BDI 1",$P$6,"BDI 2",$P$7,"BDI 3",$P$8)</f>
        <v>0.26739999999999997</v>
      </c>
      <c r="AB691" s="158">
        <f ca="1">IFERROR($S691/_xlfn.XLOOKUP($AE691,$B$16:$B$38,$S$16:$S$38),0)</f>
        <v>0</v>
      </c>
      <c r="AC691" s="158">
        <f ca="1">IFERROR($T691/_xlfn.XLOOKUP($AE691,$B$16:$B$38,$T$16:$T$38),0)</f>
        <v>0</v>
      </c>
      <c r="AD691" s="164"/>
      <c r="AE691" s="148">
        <f t="shared" si="1174"/>
        <v>0</v>
      </c>
      <c r="AF691" s="149"/>
      <c r="AG691" s="150"/>
      <c r="AH691" s="159" t="e">
        <f>S691/$S$666</f>
        <v>#DIV/0!</v>
      </c>
      <c r="AI691" s="166">
        <f>IF(K691=0,0,K691/F691)</f>
        <v>0</v>
      </c>
      <c r="AJ691" s="105"/>
      <c r="AK691" s="105"/>
      <c r="AM691" s="105"/>
      <c r="AN691" s="105"/>
      <c r="AO691" s="105"/>
      <c r="AP691" s="105"/>
      <c r="AQ691" s="105"/>
      <c r="AR691" s="105"/>
    </row>
    <row r="692" spans="1:44" s="49" customFormat="1" ht="40.15" hidden="1" customHeight="1">
      <c r="A692" s="10">
        <f t="shared" ca="1" si="1129"/>
        <v>0</v>
      </c>
      <c r="B692" s="153"/>
      <c r="C692" s="154"/>
      <c r="D692" s="154"/>
      <c r="E692" s="161" t="s">
        <v>306</v>
      </c>
      <c r="F692" s="154"/>
      <c r="G692" s="154"/>
      <c r="H692" s="152"/>
      <c r="I692" s="152"/>
      <c r="J692" s="154"/>
      <c r="K692" s="154"/>
      <c r="L692" s="154"/>
      <c r="M692" s="154"/>
      <c r="N692" s="154"/>
      <c r="O692" s="154"/>
      <c r="P692" s="154"/>
      <c r="Q692" s="154"/>
      <c r="R692" s="154"/>
      <c r="S692" s="162"/>
      <c r="T692" s="162"/>
      <c r="U692" s="162"/>
      <c r="V692" s="162"/>
      <c r="W692" s="162"/>
      <c r="X692" s="154"/>
      <c r="Y692" s="154"/>
      <c r="Z692" s="154"/>
      <c r="AA692" s="154"/>
      <c r="AB692" s="154"/>
      <c r="AC692" s="154"/>
      <c r="AD692" s="106"/>
      <c r="AE692" s="148">
        <f>IF(SUM(S693:S694)&gt;0,IFERROR(TRUNC(A692,0),0),0)</f>
        <v>0</v>
      </c>
      <c r="AF692" s="149"/>
      <c r="AG692" s="150"/>
      <c r="AH692" s="159"/>
      <c r="AI692" s="160"/>
      <c r="AJ692" s="105"/>
      <c r="AK692" s="159"/>
      <c r="AM692" s="105"/>
      <c r="AN692" s="105"/>
      <c r="AO692" s="105"/>
      <c r="AP692" s="105"/>
      <c r="AQ692" s="105"/>
      <c r="AR692" s="105"/>
    </row>
    <row r="693" spans="1:44" s="49" customFormat="1" ht="40.15" hidden="1" customHeight="1">
      <c r="A693" s="152">
        <f t="shared" ca="1" si="1129"/>
        <v>0</v>
      </c>
      <c r="B693" s="153">
        <v>95876</v>
      </c>
      <c r="C693" s="154" t="str">
        <f>TEXT(B693,"0")</f>
        <v>95876</v>
      </c>
      <c r="D693" s="154" t="s">
        <v>1416</v>
      </c>
      <c r="E693" s="155" t="s">
        <v>3537</v>
      </c>
      <c r="F693" s="154">
        <f>IF(Dados_DMT!$B$34&lt;30,Dados_DMT!$B$34,30)</f>
        <v>30</v>
      </c>
      <c r="G693" s="154" t="s">
        <v>3538</v>
      </c>
      <c r="H693" s="152">
        <v>2.09</v>
      </c>
      <c r="I693" s="152">
        <v>2.1</v>
      </c>
      <c r="J693" s="156"/>
      <c r="K693" s="156">
        <f>ROUND(Recap_Final!I103*F693,2)</f>
        <v>0</v>
      </c>
      <c r="L693" s="156">
        <f>IF($K693&gt;$J693,$K693-$J693,0)</f>
        <v>0</v>
      </c>
      <c r="M693" s="156">
        <f>IF($K693&lt;$J693,$J693-$K693,0)</f>
        <v>0</v>
      </c>
      <c r="N693" s="156" t="s">
        <v>83</v>
      </c>
      <c r="O693" s="157" cm="1">
        <f t="array" ref="O693">TRUNC($H693*(1+_xlfn.SWITCH($N693,"BDI 1",$O$6,"BDI 2",$O$7,"BDI 3",$O$8)),2)</f>
        <v>2.52</v>
      </c>
      <c r="P693" s="157" cm="1">
        <f t="array" ref="P693">TRUNC($I693*(1+_xlfn.SWITCH($N693,"BDI 1",$P$6,"BDI 2",$P$7,"BDI 3",$P$8)),2)</f>
        <v>2.66</v>
      </c>
      <c r="Q693" s="157">
        <v>0</v>
      </c>
      <c r="R693" s="157">
        <f>$Q693-($Q693*LICITACAO_DESCONTO)</f>
        <v>0</v>
      </c>
      <c r="S693" s="156">
        <f>TRUNC($K693*$O693,2)</f>
        <v>0</v>
      </c>
      <c r="T693" s="156">
        <f>TRUNC($K693*$P693,2)</f>
        <v>0</v>
      </c>
      <c r="U693" s="156">
        <f>TRUNC($J693*$R693,2)</f>
        <v>0</v>
      </c>
      <c r="V693" s="156">
        <f>TRUNC($K693*$Q693,2)</f>
        <v>0</v>
      </c>
      <c r="W693" s="156">
        <f>TRUNC(V693-U693,2)</f>
        <v>0</v>
      </c>
      <c r="X693" s="158">
        <f>$S693/ORCAMENTO_VALOR_TOTAL_ND</f>
        <v>0</v>
      </c>
      <c r="Y693" s="158">
        <f>$T693/ORCAMENTO_VALOR_TOTAL_DE</f>
        <v>0</v>
      </c>
      <c r="Z693" s="158" cm="1">
        <f t="array" ref="Z693">_xlfn.SWITCH($N693,"BDI 1",$O$6,"BDI 2",$O$7,"BDI 3",$O$8)</f>
        <v>0.20699999999999999</v>
      </c>
      <c r="AA693" s="158" cm="1">
        <f t="array" ref="AA693">_xlfn.SWITCH($N693,"BDI 1",$P$6,"BDI 2",$P$7,"BDI 3",$P$8)</f>
        <v>0.26739999999999997</v>
      </c>
      <c r="AB693" s="158">
        <f ca="1">IFERROR($S693/_xlfn.XLOOKUP($AE693,$B$16:$B$38,$S$16:$S$38),0)</f>
        <v>0</v>
      </c>
      <c r="AC693" s="158">
        <f ca="1">IFERROR($T693/_xlfn.XLOOKUP($AE693,$B$16:$B$38,$T$16:$T$38),0)</f>
        <v>0</v>
      </c>
      <c r="AD693" s="164"/>
      <c r="AE693" s="148">
        <f t="shared" ref="AE693:AE694" si="1175">IF(S693&gt;0,IFERROR(TRUNC(A693,0),0),0)</f>
        <v>0</v>
      </c>
      <c r="AF693" s="149"/>
      <c r="AG693" s="150"/>
      <c r="AH693" s="159" t="e">
        <f>S693/$S$666</f>
        <v>#DIV/0!</v>
      </c>
      <c r="AI693" s="166">
        <f>IF(K693=0,0,K693/F693)</f>
        <v>0</v>
      </c>
      <c r="AJ693" s="105"/>
      <c r="AK693" s="105"/>
      <c r="AM693" s="105"/>
      <c r="AN693" s="105"/>
      <c r="AO693" s="105"/>
      <c r="AP693" s="105"/>
      <c r="AQ693" s="105"/>
      <c r="AR693" s="105"/>
    </row>
    <row r="694" spans="1:44" s="49" customFormat="1" ht="40.15" hidden="1" customHeight="1">
      <c r="A694" s="152">
        <f t="shared" ca="1" si="1129"/>
        <v>0</v>
      </c>
      <c r="B694" s="153">
        <v>93593</v>
      </c>
      <c r="C694" s="154" t="str">
        <f>TEXT(B694,"0")</f>
        <v>93593</v>
      </c>
      <c r="D694" s="154" t="s">
        <v>1416</v>
      </c>
      <c r="E694" s="155" t="s">
        <v>3545</v>
      </c>
      <c r="F694" s="154">
        <f>+Dados_DMT!$B$34-F693</f>
        <v>80</v>
      </c>
      <c r="G694" s="154" t="s">
        <v>3538</v>
      </c>
      <c r="H694" s="152">
        <v>0.84</v>
      </c>
      <c r="I694" s="152">
        <v>0.85</v>
      </c>
      <c r="J694" s="156"/>
      <c r="K694" s="156">
        <f>ROUND(Recap_Final!I103*F694,2)</f>
        <v>0</v>
      </c>
      <c r="L694" s="156">
        <f>IF($K694&gt;$J694,$K694-$J694,0)</f>
        <v>0</v>
      </c>
      <c r="M694" s="156">
        <f>IF($K694&lt;$J694,$J694-$K694,0)</f>
        <v>0</v>
      </c>
      <c r="N694" s="156" t="s">
        <v>83</v>
      </c>
      <c r="O694" s="157" cm="1">
        <f t="array" ref="O694">TRUNC($H694*(1+_xlfn.SWITCH($N694,"BDI 1",$O$6,"BDI 2",$O$7,"BDI 3",$O$8)),2)</f>
        <v>1.01</v>
      </c>
      <c r="P694" s="157" cm="1">
        <f t="array" ref="P694">TRUNC($I694*(1+_xlfn.SWITCH($N694,"BDI 1",$P$6,"BDI 2",$P$7,"BDI 3",$P$8)),2)</f>
        <v>1.07</v>
      </c>
      <c r="Q694" s="157">
        <v>0</v>
      </c>
      <c r="R694" s="157">
        <f>$Q694-($Q694*LICITACAO_DESCONTO)</f>
        <v>0</v>
      </c>
      <c r="S694" s="156">
        <f>TRUNC($K694*$O694,2)</f>
        <v>0</v>
      </c>
      <c r="T694" s="156">
        <f>TRUNC($K694*$P694,2)</f>
        <v>0</v>
      </c>
      <c r="U694" s="156">
        <f>TRUNC($J694*$R694,2)</f>
        <v>0</v>
      </c>
      <c r="V694" s="156">
        <f>TRUNC($K694*$Q694,2)</f>
        <v>0</v>
      </c>
      <c r="W694" s="156">
        <f>TRUNC(V694-U694,2)</f>
        <v>0</v>
      </c>
      <c r="X694" s="158">
        <f>$S694/ORCAMENTO_VALOR_TOTAL_ND</f>
        <v>0</v>
      </c>
      <c r="Y694" s="158">
        <f>$T694/ORCAMENTO_VALOR_TOTAL_DE</f>
        <v>0</v>
      </c>
      <c r="Z694" s="158" cm="1">
        <f t="array" ref="Z694">_xlfn.SWITCH($N694,"BDI 1",$O$6,"BDI 2",$O$7,"BDI 3",$O$8)</f>
        <v>0.20699999999999999</v>
      </c>
      <c r="AA694" s="158" cm="1">
        <f t="array" ref="AA694">_xlfn.SWITCH($N694,"BDI 1",$P$6,"BDI 2",$P$7,"BDI 3",$P$8)</f>
        <v>0.26739999999999997</v>
      </c>
      <c r="AB694" s="158">
        <f ca="1">IFERROR($S694/_xlfn.XLOOKUP($AE694,$B$16:$B$38,$S$16:$S$38),0)</f>
        <v>0</v>
      </c>
      <c r="AC694" s="158">
        <f ca="1">IFERROR($T694/_xlfn.XLOOKUP($AE694,$B$16:$B$38,$T$16:$T$38),0)</f>
        <v>0</v>
      </c>
      <c r="AD694" s="164"/>
      <c r="AE694" s="148">
        <f t="shared" si="1175"/>
        <v>0</v>
      </c>
      <c r="AF694" s="149"/>
      <c r="AG694" s="150"/>
      <c r="AH694" s="159" t="e">
        <f>S694/$S$666</f>
        <v>#DIV/0!</v>
      </c>
      <c r="AI694" s="166">
        <f>IF(K694=0,0,K694/F694)</f>
        <v>0</v>
      </c>
      <c r="AJ694" s="105"/>
      <c r="AK694" s="105"/>
      <c r="AM694" s="105"/>
      <c r="AN694" s="105"/>
      <c r="AO694" s="105"/>
      <c r="AP694" s="105"/>
      <c r="AQ694" s="105"/>
      <c r="AR694" s="105"/>
    </row>
    <row r="695" spans="1:44" s="49" customFormat="1" ht="40.15" hidden="1" customHeight="1">
      <c r="A695" s="10">
        <f t="shared" ca="1" si="1129"/>
        <v>0</v>
      </c>
      <c r="B695" s="153"/>
      <c r="C695" s="154"/>
      <c r="D695" s="154"/>
      <c r="E695" s="161" t="s">
        <v>307</v>
      </c>
      <c r="F695" s="154"/>
      <c r="G695" s="154"/>
      <c r="H695" s="152"/>
      <c r="I695" s="152"/>
      <c r="J695" s="154"/>
      <c r="K695" s="154"/>
      <c r="L695" s="154"/>
      <c r="M695" s="154"/>
      <c r="N695" s="154"/>
      <c r="O695" s="154"/>
      <c r="P695" s="154"/>
      <c r="Q695" s="154"/>
      <c r="R695" s="154"/>
      <c r="S695" s="162"/>
      <c r="T695" s="162"/>
      <c r="U695" s="162"/>
      <c r="V695" s="162"/>
      <c r="W695" s="162"/>
      <c r="X695" s="154"/>
      <c r="Y695" s="154"/>
      <c r="Z695" s="154"/>
      <c r="AA695" s="154"/>
      <c r="AB695" s="154"/>
      <c r="AC695" s="154"/>
      <c r="AD695" s="106"/>
      <c r="AE695" s="148">
        <f>IF(SUM(S696:S697)&gt;0,IFERROR(TRUNC(A695,0),0),0)</f>
        <v>0</v>
      </c>
      <c r="AF695" s="149"/>
      <c r="AG695" s="150"/>
      <c r="AH695" s="159"/>
      <c r="AI695" s="160"/>
      <c r="AJ695" s="105"/>
      <c r="AK695" s="159"/>
      <c r="AM695" s="105"/>
      <c r="AN695" s="105"/>
      <c r="AO695" s="105"/>
      <c r="AP695" s="105"/>
      <c r="AQ695" s="105"/>
      <c r="AR695" s="105"/>
    </row>
    <row r="696" spans="1:44" s="49" customFormat="1" ht="40.15" hidden="1" customHeight="1">
      <c r="A696" s="152">
        <f t="shared" ca="1" si="1129"/>
        <v>0</v>
      </c>
      <c r="B696" s="153">
        <v>95876</v>
      </c>
      <c r="C696" s="154" t="str">
        <f>TEXT(B696,"0")</f>
        <v>95876</v>
      </c>
      <c r="D696" s="154" t="s">
        <v>1416</v>
      </c>
      <c r="E696" s="155" t="s">
        <v>3537</v>
      </c>
      <c r="F696" s="154">
        <f>IF(Dados_DMT!$B$34&lt;30,Dados_DMT!$B$34,30)</f>
        <v>30</v>
      </c>
      <c r="G696" s="154" t="s">
        <v>3538</v>
      </c>
      <c r="H696" s="152">
        <v>2.09</v>
      </c>
      <c r="I696" s="152">
        <v>2.1</v>
      </c>
      <c r="J696" s="156"/>
      <c r="K696" s="156">
        <f>ROUND(Recap_Final!I104*F696,2)</f>
        <v>0</v>
      </c>
      <c r="L696" s="156">
        <f>IF($K696&gt;$J696,$K696-$J696,0)</f>
        <v>0</v>
      </c>
      <c r="M696" s="156">
        <f>IF($K696&lt;$J696,$J696-$K696,0)</f>
        <v>0</v>
      </c>
      <c r="N696" s="156" t="s">
        <v>83</v>
      </c>
      <c r="O696" s="157" cm="1">
        <f t="array" ref="O696">TRUNC($H696*(1+_xlfn.SWITCH($N696,"BDI 1",$O$6,"BDI 2",$O$7,"BDI 3",$O$8)),2)</f>
        <v>2.52</v>
      </c>
      <c r="P696" s="157" cm="1">
        <f t="array" ref="P696">TRUNC($I696*(1+_xlfn.SWITCH($N696,"BDI 1",$P$6,"BDI 2",$P$7,"BDI 3",$P$8)),2)</f>
        <v>2.66</v>
      </c>
      <c r="Q696" s="157">
        <v>0</v>
      </c>
      <c r="R696" s="157">
        <f>$Q696-($Q696*LICITACAO_DESCONTO)</f>
        <v>0</v>
      </c>
      <c r="S696" s="156">
        <f>TRUNC($K696*$O696,2)</f>
        <v>0</v>
      </c>
      <c r="T696" s="156">
        <f>TRUNC($K696*$P696,2)</f>
        <v>0</v>
      </c>
      <c r="U696" s="156">
        <f>TRUNC($J696*$R696,2)</f>
        <v>0</v>
      </c>
      <c r="V696" s="156">
        <f>TRUNC($K696*$Q696,2)</f>
        <v>0</v>
      </c>
      <c r="W696" s="156">
        <f>TRUNC(V696-U696,2)</f>
        <v>0</v>
      </c>
      <c r="X696" s="158">
        <f>$S696/ORCAMENTO_VALOR_TOTAL_ND</f>
        <v>0</v>
      </c>
      <c r="Y696" s="158">
        <f>$T696/ORCAMENTO_VALOR_TOTAL_DE</f>
        <v>0</v>
      </c>
      <c r="Z696" s="158" cm="1">
        <f t="array" ref="Z696">_xlfn.SWITCH($N696,"BDI 1",$O$6,"BDI 2",$O$7,"BDI 3",$O$8)</f>
        <v>0.20699999999999999</v>
      </c>
      <c r="AA696" s="158" cm="1">
        <f t="array" ref="AA696">_xlfn.SWITCH($N696,"BDI 1",$P$6,"BDI 2",$P$7,"BDI 3",$P$8)</f>
        <v>0.26739999999999997</v>
      </c>
      <c r="AB696" s="158">
        <f ca="1">IFERROR($S696/_xlfn.XLOOKUP($AE696,$B$16:$B$38,$S$16:$S$38),0)</f>
        <v>0</v>
      </c>
      <c r="AC696" s="158">
        <f ca="1">IFERROR($T696/_xlfn.XLOOKUP($AE696,$B$16:$B$38,$T$16:$T$38),0)</f>
        <v>0</v>
      </c>
      <c r="AD696" s="164"/>
      <c r="AE696" s="148">
        <f t="shared" ref="AE696:AE697" si="1176">IF(S696&gt;0,IFERROR(TRUNC(A696,0),0),0)</f>
        <v>0</v>
      </c>
      <c r="AF696" s="149"/>
      <c r="AG696" s="150"/>
      <c r="AH696" s="159" t="e">
        <f>S696/$S$666</f>
        <v>#DIV/0!</v>
      </c>
      <c r="AI696" s="166">
        <f>IF(K696=0,0,K696/F696)</f>
        <v>0</v>
      </c>
      <c r="AJ696" s="105"/>
      <c r="AK696" s="105"/>
      <c r="AM696" s="105"/>
      <c r="AN696" s="105"/>
      <c r="AO696" s="105"/>
      <c r="AP696" s="105"/>
      <c r="AQ696" s="105"/>
      <c r="AR696" s="105"/>
    </row>
    <row r="697" spans="1:44" s="49" customFormat="1" ht="40.15" hidden="1" customHeight="1">
      <c r="A697" s="152">
        <f t="shared" ca="1" si="1129"/>
        <v>0</v>
      </c>
      <c r="B697" s="153">
        <v>93593</v>
      </c>
      <c r="C697" s="154" t="str">
        <f>TEXT(B697,"0")</f>
        <v>93593</v>
      </c>
      <c r="D697" s="154" t="s">
        <v>1416</v>
      </c>
      <c r="E697" s="155" t="s">
        <v>3545</v>
      </c>
      <c r="F697" s="154">
        <f>+Dados_DMT!$B$34-F696</f>
        <v>80</v>
      </c>
      <c r="G697" s="154" t="s">
        <v>3538</v>
      </c>
      <c r="H697" s="152">
        <v>0.84</v>
      </c>
      <c r="I697" s="152">
        <v>0.85</v>
      </c>
      <c r="J697" s="156"/>
      <c r="K697" s="156">
        <f>ROUND(Recap_Final!I104*F697,2)</f>
        <v>0</v>
      </c>
      <c r="L697" s="156">
        <f>IF($K697&gt;$J697,$K697-$J697,0)</f>
        <v>0</v>
      </c>
      <c r="M697" s="156">
        <f>IF($K697&lt;$J697,$J697-$K697,0)</f>
        <v>0</v>
      </c>
      <c r="N697" s="156" t="s">
        <v>83</v>
      </c>
      <c r="O697" s="157" cm="1">
        <f t="array" ref="O697">TRUNC($H697*(1+_xlfn.SWITCH($N697,"BDI 1",$O$6,"BDI 2",$O$7,"BDI 3",$O$8)),2)</f>
        <v>1.01</v>
      </c>
      <c r="P697" s="157" cm="1">
        <f t="array" ref="P697">TRUNC($I697*(1+_xlfn.SWITCH($N697,"BDI 1",$P$6,"BDI 2",$P$7,"BDI 3",$P$8)),2)</f>
        <v>1.07</v>
      </c>
      <c r="Q697" s="157">
        <v>0</v>
      </c>
      <c r="R697" s="157">
        <f>$Q697-($Q697*LICITACAO_DESCONTO)</f>
        <v>0</v>
      </c>
      <c r="S697" s="156">
        <f>TRUNC($K697*$O697,2)</f>
        <v>0</v>
      </c>
      <c r="T697" s="156">
        <f>TRUNC($K697*$P697,2)</f>
        <v>0</v>
      </c>
      <c r="U697" s="156">
        <f>TRUNC($J697*$R697,2)</f>
        <v>0</v>
      </c>
      <c r="V697" s="156">
        <f>TRUNC($K697*$Q697,2)</f>
        <v>0</v>
      </c>
      <c r="W697" s="156">
        <f>TRUNC(V697-U697,2)</f>
        <v>0</v>
      </c>
      <c r="X697" s="158">
        <f>$S697/ORCAMENTO_VALOR_TOTAL_ND</f>
        <v>0</v>
      </c>
      <c r="Y697" s="158">
        <f>$T697/ORCAMENTO_VALOR_TOTAL_DE</f>
        <v>0</v>
      </c>
      <c r="Z697" s="158" cm="1">
        <f t="array" ref="Z697">_xlfn.SWITCH($N697,"BDI 1",$O$6,"BDI 2",$O$7,"BDI 3",$O$8)</f>
        <v>0.20699999999999999</v>
      </c>
      <c r="AA697" s="158" cm="1">
        <f t="array" ref="AA697">_xlfn.SWITCH($N697,"BDI 1",$P$6,"BDI 2",$P$7,"BDI 3",$P$8)</f>
        <v>0.26739999999999997</v>
      </c>
      <c r="AB697" s="158">
        <f ca="1">IFERROR($S697/_xlfn.XLOOKUP($AE697,$B$16:$B$38,$S$16:$S$38),0)</f>
        <v>0</v>
      </c>
      <c r="AC697" s="158">
        <f ca="1">IFERROR($T697/_xlfn.XLOOKUP($AE697,$B$16:$B$38,$T$16:$T$38),0)</f>
        <v>0</v>
      </c>
      <c r="AD697" s="164"/>
      <c r="AE697" s="148">
        <f t="shared" si="1176"/>
        <v>0</v>
      </c>
      <c r="AF697" s="149"/>
      <c r="AG697" s="150"/>
      <c r="AH697" s="159" t="e">
        <f>S697/$S$666</f>
        <v>#DIV/0!</v>
      </c>
      <c r="AI697" s="166">
        <f>IF(K697=0,0,K697/F697)</f>
        <v>0</v>
      </c>
      <c r="AJ697" s="105"/>
      <c r="AK697" s="105"/>
      <c r="AM697" s="105"/>
      <c r="AN697" s="105"/>
      <c r="AO697" s="105"/>
      <c r="AP697" s="105"/>
      <c r="AQ697" s="105"/>
      <c r="AR697" s="105"/>
    </row>
    <row r="698" spans="1:44" s="49" customFormat="1" ht="40.15" hidden="1" customHeight="1">
      <c r="A698" s="10">
        <f t="shared" ca="1" si="1129"/>
        <v>0</v>
      </c>
      <c r="B698" s="153"/>
      <c r="C698" s="154"/>
      <c r="D698" s="154"/>
      <c r="E698" s="161" t="s">
        <v>265</v>
      </c>
      <c r="F698" s="154"/>
      <c r="G698" s="154"/>
      <c r="H698" s="152"/>
      <c r="I698" s="152"/>
      <c r="J698" s="154"/>
      <c r="K698" s="154"/>
      <c r="L698" s="154"/>
      <c r="M698" s="154"/>
      <c r="N698" s="154"/>
      <c r="O698" s="154"/>
      <c r="P698" s="154"/>
      <c r="Q698" s="154"/>
      <c r="R698" s="154"/>
      <c r="S698" s="162"/>
      <c r="T698" s="162"/>
      <c r="U698" s="162"/>
      <c r="V698" s="162"/>
      <c r="W698" s="162"/>
      <c r="X698" s="154"/>
      <c r="Y698" s="154"/>
      <c r="Z698" s="154"/>
      <c r="AA698" s="154"/>
      <c r="AB698" s="154"/>
      <c r="AC698" s="154"/>
      <c r="AD698" s="106"/>
      <c r="AE698" s="148">
        <f>IF(SUM(S699:S700)&gt;0,IFERROR(TRUNC(A698,0),0),0)</f>
        <v>0</v>
      </c>
      <c r="AF698" s="149"/>
      <c r="AG698" s="150"/>
      <c r="AH698" s="159"/>
      <c r="AI698" s="160"/>
      <c r="AJ698" s="105"/>
      <c r="AK698" s="159"/>
      <c r="AM698" s="105"/>
      <c r="AN698" s="105"/>
      <c r="AO698" s="105"/>
      <c r="AP698" s="105"/>
      <c r="AQ698" s="105"/>
      <c r="AR698" s="105"/>
    </row>
    <row r="699" spans="1:44" s="49" customFormat="1" ht="40.15" hidden="1" customHeight="1">
      <c r="A699" s="152">
        <f t="shared" ca="1" si="1129"/>
        <v>0</v>
      </c>
      <c r="B699" s="153">
        <v>95876</v>
      </c>
      <c r="C699" s="154" t="str">
        <f>TEXT(B699,"0")</f>
        <v>95876</v>
      </c>
      <c r="D699" s="154" t="s">
        <v>1416</v>
      </c>
      <c r="E699" s="155" t="s">
        <v>3537</v>
      </c>
      <c r="F699" s="154">
        <f>IF(Dados_DMT!$B$32&lt;30,Dados_DMT!$B$32,30)</f>
        <v>0</v>
      </c>
      <c r="G699" s="154" t="s">
        <v>3538</v>
      </c>
      <c r="H699" s="152">
        <v>2.09</v>
      </c>
      <c r="I699" s="152">
        <v>2.1</v>
      </c>
      <c r="J699" s="156"/>
      <c r="K699" s="156">
        <f>ROUND(Recap_Final!I105*F699,2)</f>
        <v>0</v>
      </c>
      <c r="L699" s="156">
        <f>IF($K699&gt;$J699,$K699-$J699,0)</f>
        <v>0</v>
      </c>
      <c r="M699" s="156">
        <f>IF($K699&lt;$J699,$J699-$K699,0)</f>
        <v>0</v>
      </c>
      <c r="N699" s="156" t="s">
        <v>83</v>
      </c>
      <c r="O699" s="157" cm="1">
        <f t="array" ref="O699">TRUNC($H699*(1+_xlfn.SWITCH($N699,"BDI 1",$O$6,"BDI 2",$O$7,"BDI 3",$O$8)),2)</f>
        <v>2.52</v>
      </c>
      <c r="P699" s="157" cm="1">
        <f t="array" ref="P699">TRUNC($I699*(1+_xlfn.SWITCH($N699,"BDI 1",$P$6,"BDI 2",$P$7,"BDI 3",$P$8)),2)</f>
        <v>2.66</v>
      </c>
      <c r="Q699" s="157">
        <v>0</v>
      </c>
      <c r="R699" s="157">
        <f>$Q699-($Q699*LICITACAO_DESCONTO)</f>
        <v>0</v>
      </c>
      <c r="S699" s="156">
        <f>TRUNC($K699*$O699,2)</f>
        <v>0</v>
      </c>
      <c r="T699" s="156">
        <f>TRUNC($K699*$P699,2)</f>
        <v>0</v>
      </c>
      <c r="U699" s="156">
        <f>TRUNC($J699*$R699,2)</f>
        <v>0</v>
      </c>
      <c r="V699" s="156">
        <f>TRUNC($K699*$Q699,2)</f>
        <v>0</v>
      </c>
      <c r="W699" s="156">
        <f>TRUNC(V699-U699,2)</f>
        <v>0</v>
      </c>
      <c r="X699" s="158">
        <f>$S699/ORCAMENTO_VALOR_TOTAL_ND</f>
        <v>0</v>
      </c>
      <c r="Y699" s="158">
        <f>$T699/ORCAMENTO_VALOR_TOTAL_DE</f>
        <v>0</v>
      </c>
      <c r="Z699" s="158" cm="1">
        <f t="array" ref="Z699">_xlfn.SWITCH($N699,"BDI 1",$O$6,"BDI 2",$O$7,"BDI 3",$O$8)</f>
        <v>0.20699999999999999</v>
      </c>
      <c r="AA699" s="158" cm="1">
        <f t="array" ref="AA699">_xlfn.SWITCH($N699,"BDI 1",$P$6,"BDI 2",$P$7,"BDI 3",$P$8)</f>
        <v>0.26739999999999997</v>
      </c>
      <c r="AB699" s="158">
        <f ca="1">IFERROR($S699/_xlfn.XLOOKUP($AE699,$B$16:$B$38,$S$16:$S$38),0)</f>
        <v>0</v>
      </c>
      <c r="AC699" s="158">
        <f ca="1">IFERROR($T699/_xlfn.XLOOKUP($AE699,$B$16:$B$38,$T$16:$T$38),0)</f>
        <v>0</v>
      </c>
      <c r="AD699" s="164"/>
      <c r="AE699" s="148">
        <f t="shared" ref="AE699:AE700" si="1177">IF(S699&gt;0,IFERROR(TRUNC(A699,0),0),0)</f>
        <v>0</v>
      </c>
      <c r="AF699" s="149"/>
      <c r="AG699" s="150"/>
      <c r="AH699" s="159" t="e">
        <f>S699/$S$666</f>
        <v>#DIV/0!</v>
      </c>
      <c r="AI699" s="166">
        <f>IF(K699=0,0,K699/F699)</f>
        <v>0</v>
      </c>
      <c r="AJ699" s="105"/>
      <c r="AK699" s="105"/>
      <c r="AM699" s="105"/>
      <c r="AN699" s="105"/>
      <c r="AO699" s="105"/>
      <c r="AP699" s="105"/>
      <c r="AQ699" s="105"/>
      <c r="AR699" s="105"/>
    </row>
    <row r="700" spans="1:44" s="49" customFormat="1" ht="40.15" hidden="1" customHeight="1">
      <c r="A700" s="152">
        <f t="shared" ca="1" si="1129"/>
        <v>0</v>
      </c>
      <c r="B700" s="153">
        <v>93593</v>
      </c>
      <c r="C700" s="154" t="str">
        <f>TEXT(B700,"0")</f>
        <v>93593</v>
      </c>
      <c r="D700" s="154" t="s">
        <v>1416</v>
      </c>
      <c r="E700" s="155" t="s">
        <v>3545</v>
      </c>
      <c r="F700" s="154">
        <f>+Dados_DMT!$B$32-F699</f>
        <v>0</v>
      </c>
      <c r="G700" s="154" t="s">
        <v>3538</v>
      </c>
      <c r="H700" s="152">
        <v>0.84</v>
      </c>
      <c r="I700" s="152">
        <v>0.85</v>
      </c>
      <c r="J700" s="156"/>
      <c r="K700" s="156">
        <f>ROUND(Recap_Final!I105*F700,2)</f>
        <v>0</v>
      </c>
      <c r="L700" s="156">
        <f>IF($K700&gt;$J700,$K700-$J700,0)</f>
        <v>0</v>
      </c>
      <c r="M700" s="156">
        <f>IF($K700&lt;$J700,$J700-$K700,0)</f>
        <v>0</v>
      </c>
      <c r="N700" s="156" t="s">
        <v>83</v>
      </c>
      <c r="O700" s="157" cm="1">
        <f t="array" ref="O700">TRUNC($H700*(1+_xlfn.SWITCH($N700,"BDI 1",$O$6,"BDI 2",$O$7,"BDI 3",$O$8)),2)</f>
        <v>1.01</v>
      </c>
      <c r="P700" s="157" cm="1">
        <f t="array" ref="P700">TRUNC($I700*(1+_xlfn.SWITCH($N700,"BDI 1",$P$6,"BDI 2",$P$7,"BDI 3",$P$8)),2)</f>
        <v>1.07</v>
      </c>
      <c r="Q700" s="157">
        <v>0</v>
      </c>
      <c r="R700" s="157">
        <f>$Q700-($Q700*LICITACAO_DESCONTO)</f>
        <v>0</v>
      </c>
      <c r="S700" s="156">
        <f>TRUNC($K700*$O700,2)</f>
        <v>0</v>
      </c>
      <c r="T700" s="156">
        <f>TRUNC($K700*$P700,2)</f>
        <v>0</v>
      </c>
      <c r="U700" s="156">
        <f>TRUNC($J700*$R700,2)</f>
        <v>0</v>
      </c>
      <c r="V700" s="156">
        <f>TRUNC($K700*$Q700,2)</f>
        <v>0</v>
      </c>
      <c r="W700" s="156">
        <f>TRUNC(V700-U700,2)</f>
        <v>0</v>
      </c>
      <c r="X700" s="158">
        <f>$S700/ORCAMENTO_VALOR_TOTAL_ND</f>
        <v>0</v>
      </c>
      <c r="Y700" s="158">
        <f>$T700/ORCAMENTO_VALOR_TOTAL_DE</f>
        <v>0</v>
      </c>
      <c r="Z700" s="158" cm="1">
        <f t="array" ref="Z700">_xlfn.SWITCH($N700,"BDI 1",$O$6,"BDI 2",$O$7,"BDI 3",$O$8)</f>
        <v>0.20699999999999999</v>
      </c>
      <c r="AA700" s="158" cm="1">
        <f t="array" ref="AA700">_xlfn.SWITCH($N700,"BDI 1",$P$6,"BDI 2",$P$7,"BDI 3",$P$8)</f>
        <v>0.26739999999999997</v>
      </c>
      <c r="AB700" s="158">
        <f ca="1">IFERROR($S700/_xlfn.XLOOKUP($AE700,$B$16:$B$38,$S$16:$S$38),0)</f>
        <v>0</v>
      </c>
      <c r="AC700" s="158">
        <f ca="1">IFERROR($T700/_xlfn.XLOOKUP($AE700,$B$16:$B$38,$T$16:$T$38),0)</f>
        <v>0</v>
      </c>
      <c r="AD700" s="164"/>
      <c r="AE700" s="148">
        <f t="shared" si="1177"/>
        <v>0</v>
      </c>
      <c r="AF700" s="149"/>
      <c r="AG700" s="150"/>
      <c r="AH700" s="159" t="e">
        <f>S700/$S$666</f>
        <v>#DIV/0!</v>
      </c>
      <c r="AI700" s="166">
        <f>IF(K700=0,0,K700/F700)</f>
        <v>0</v>
      </c>
      <c r="AJ700" s="105"/>
      <c r="AK700" s="105"/>
      <c r="AM700" s="105"/>
      <c r="AN700" s="105"/>
      <c r="AO700" s="105"/>
      <c r="AP700" s="105"/>
      <c r="AQ700" s="105"/>
      <c r="AR700" s="105"/>
    </row>
    <row r="701" spans="1:44" s="49" customFormat="1" ht="40.15" hidden="1" customHeight="1">
      <c r="A701" s="10">
        <f t="shared" ca="1" si="1129"/>
        <v>0</v>
      </c>
      <c r="B701" s="153"/>
      <c r="C701" s="154"/>
      <c r="D701" s="154"/>
      <c r="E701" s="161" t="s">
        <v>264</v>
      </c>
      <c r="F701" s="154"/>
      <c r="G701" s="154"/>
      <c r="H701" s="152"/>
      <c r="I701" s="152"/>
      <c r="J701" s="154"/>
      <c r="K701" s="154"/>
      <c r="L701" s="154"/>
      <c r="M701" s="154"/>
      <c r="N701" s="154"/>
      <c r="O701" s="154"/>
      <c r="P701" s="154"/>
      <c r="Q701" s="154"/>
      <c r="R701" s="154"/>
      <c r="S701" s="162"/>
      <c r="T701" s="162"/>
      <c r="U701" s="162"/>
      <c r="V701" s="162"/>
      <c r="W701" s="162"/>
      <c r="X701" s="154"/>
      <c r="Y701" s="154"/>
      <c r="Z701" s="154"/>
      <c r="AA701" s="154"/>
      <c r="AB701" s="154"/>
      <c r="AC701" s="154"/>
      <c r="AD701" s="106"/>
      <c r="AE701" s="148">
        <f>IF(SUM(S702:S703)&gt;0,IFERROR(TRUNC(A701,0),0),0)</f>
        <v>0</v>
      </c>
      <c r="AF701" s="149"/>
      <c r="AG701" s="150"/>
      <c r="AH701" s="159"/>
      <c r="AI701" s="160"/>
      <c r="AJ701" s="105"/>
      <c r="AK701" s="159"/>
      <c r="AM701" s="105"/>
      <c r="AN701" s="105"/>
      <c r="AO701" s="105"/>
      <c r="AP701" s="105"/>
      <c r="AQ701" s="105"/>
      <c r="AR701" s="105"/>
    </row>
    <row r="702" spans="1:44" s="49" customFormat="1" ht="40.15" hidden="1" customHeight="1">
      <c r="A702" s="152">
        <f t="shared" ca="1" si="1129"/>
        <v>0</v>
      </c>
      <c r="B702" s="153">
        <v>95876</v>
      </c>
      <c r="C702" s="154" t="str">
        <f>TEXT(B702,"0")</f>
        <v>95876</v>
      </c>
      <c r="D702" s="154" t="s">
        <v>1416</v>
      </c>
      <c r="E702" s="155" t="s">
        <v>3537</v>
      </c>
      <c r="F702" s="154">
        <f>IF(Dados_DMT!$B$33&lt;30,Dados_DMT!$B$33,30)</f>
        <v>0</v>
      </c>
      <c r="G702" s="154" t="s">
        <v>3538</v>
      </c>
      <c r="H702" s="152">
        <v>2.09</v>
      </c>
      <c r="I702" s="152">
        <v>2.1</v>
      </c>
      <c r="J702" s="156"/>
      <c r="K702" s="156">
        <f>ROUND(Recap_Final!I106*F702,2)</f>
        <v>0</v>
      </c>
      <c r="L702" s="156">
        <f>IF($K702&gt;$J702,$K702-$J702,0)</f>
        <v>0</v>
      </c>
      <c r="M702" s="156">
        <f>IF($K702&lt;$J702,$J702-$K702,0)</f>
        <v>0</v>
      </c>
      <c r="N702" s="156" t="s">
        <v>83</v>
      </c>
      <c r="O702" s="157" cm="1">
        <f t="array" ref="O702">TRUNC($H702*(1+_xlfn.SWITCH($N702,"BDI 1",$O$6,"BDI 2",$O$7,"BDI 3",$O$8)),2)</f>
        <v>2.52</v>
      </c>
      <c r="P702" s="157" cm="1">
        <f t="array" ref="P702">TRUNC($I702*(1+_xlfn.SWITCH($N702,"BDI 1",$P$6,"BDI 2",$P$7,"BDI 3",$P$8)),2)</f>
        <v>2.66</v>
      </c>
      <c r="Q702" s="157">
        <v>0</v>
      </c>
      <c r="R702" s="157">
        <f>$Q702-($Q702*LICITACAO_DESCONTO)</f>
        <v>0</v>
      </c>
      <c r="S702" s="156">
        <f>TRUNC($K702*$O702,2)</f>
        <v>0</v>
      </c>
      <c r="T702" s="156">
        <f>TRUNC($K702*$P702,2)</f>
        <v>0</v>
      </c>
      <c r="U702" s="156">
        <f>TRUNC($J702*$R702,2)</f>
        <v>0</v>
      </c>
      <c r="V702" s="156">
        <f>TRUNC($K702*$Q702,2)</f>
        <v>0</v>
      </c>
      <c r="W702" s="156">
        <f>TRUNC(V702-U702,2)</f>
        <v>0</v>
      </c>
      <c r="X702" s="158">
        <f>$S702/ORCAMENTO_VALOR_TOTAL_ND</f>
        <v>0</v>
      </c>
      <c r="Y702" s="158">
        <f>$T702/ORCAMENTO_VALOR_TOTAL_DE</f>
        <v>0</v>
      </c>
      <c r="Z702" s="158" cm="1">
        <f t="array" ref="Z702">_xlfn.SWITCH($N702,"BDI 1",$O$6,"BDI 2",$O$7,"BDI 3",$O$8)</f>
        <v>0.20699999999999999</v>
      </c>
      <c r="AA702" s="158" cm="1">
        <f t="array" ref="AA702">_xlfn.SWITCH($N702,"BDI 1",$P$6,"BDI 2",$P$7,"BDI 3",$P$8)</f>
        <v>0.26739999999999997</v>
      </c>
      <c r="AB702" s="158">
        <f ca="1">IFERROR($S702/_xlfn.XLOOKUP($AE702,$B$16:$B$38,$S$16:$S$38),0)</f>
        <v>0</v>
      </c>
      <c r="AC702" s="158">
        <f ca="1">IFERROR($T702/_xlfn.XLOOKUP($AE702,$B$16:$B$38,$T$16:$T$38),0)</f>
        <v>0</v>
      </c>
      <c r="AD702" s="164"/>
      <c r="AE702" s="148">
        <f t="shared" ref="AE702:AE703" si="1178">IF(S702&gt;0,IFERROR(TRUNC(A702,0),0),0)</f>
        <v>0</v>
      </c>
      <c r="AF702" s="149"/>
      <c r="AG702" s="150"/>
      <c r="AH702" s="159" t="e">
        <f>S702/$S$666</f>
        <v>#DIV/0!</v>
      </c>
      <c r="AI702" s="166">
        <f>IF(K702=0,0,K702/F702)</f>
        <v>0</v>
      </c>
      <c r="AJ702" s="105"/>
      <c r="AK702" s="105"/>
      <c r="AM702" s="105"/>
      <c r="AN702" s="105"/>
      <c r="AO702" s="105"/>
      <c r="AP702" s="105"/>
      <c r="AQ702" s="105"/>
      <c r="AR702" s="105"/>
    </row>
    <row r="703" spans="1:44" s="49" customFormat="1" ht="40.15" hidden="1" customHeight="1">
      <c r="A703" s="152">
        <f t="shared" ca="1" si="1129"/>
        <v>0</v>
      </c>
      <c r="B703" s="153">
        <v>93593</v>
      </c>
      <c r="C703" s="154" t="str">
        <f>TEXT(B703,"0")</f>
        <v>93593</v>
      </c>
      <c r="D703" s="154" t="s">
        <v>1416</v>
      </c>
      <c r="E703" s="155" t="s">
        <v>3545</v>
      </c>
      <c r="F703" s="154">
        <f>+Dados_DMT!$B$33-F702</f>
        <v>0</v>
      </c>
      <c r="G703" s="154" t="s">
        <v>3538</v>
      </c>
      <c r="H703" s="152">
        <v>0.84</v>
      </c>
      <c r="I703" s="152">
        <v>0.85</v>
      </c>
      <c r="J703" s="156"/>
      <c r="K703" s="156">
        <f>ROUND(Recap_Final!I106*F703,2)</f>
        <v>0</v>
      </c>
      <c r="L703" s="156">
        <f>IF($K703&gt;$J703,$K703-$J703,0)</f>
        <v>0</v>
      </c>
      <c r="M703" s="156">
        <f>IF($K703&lt;$J703,$J703-$K703,0)</f>
        <v>0</v>
      </c>
      <c r="N703" s="156" t="s">
        <v>83</v>
      </c>
      <c r="O703" s="157" cm="1">
        <f t="array" ref="O703">TRUNC($H703*(1+_xlfn.SWITCH($N703,"BDI 1",$O$6,"BDI 2",$O$7,"BDI 3",$O$8)),2)</f>
        <v>1.01</v>
      </c>
      <c r="P703" s="157" cm="1">
        <f t="array" ref="P703">TRUNC($I703*(1+_xlfn.SWITCH($N703,"BDI 1",$P$6,"BDI 2",$P$7,"BDI 3",$P$8)),2)</f>
        <v>1.07</v>
      </c>
      <c r="Q703" s="157">
        <v>0</v>
      </c>
      <c r="R703" s="157">
        <f>$Q703-($Q703*LICITACAO_DESCONTO)</f>
        <v>0</v>
      </c>
      <c r="S703" s="156">
        <f>TRUNC($K703*$O703,2)</f>
        <v>0</v>
      </c>
      <c r="T703" s="156">
        <f>TRUNC($K703*$P703,2)</f>
        <v>0</v>
      </c>
      <c r="U703" s="156">
        <f>TRUNC($J703*$R703,2)</f>
        <v>0</v>
      </c>
      <c r="V703" s="156">
        <f>TRUNC($K703*$Q703,2)</f>
        <v>0</v>
      </c>
      <c r="W703" s="156">
        <f>TRUNC(V703-U703,2)</f>
        <v>0</v>
      </c>
      <c r="X703" s="158">
        <f>$S703/ORCAMENTO_VALOR_TOTAL_ND</f>
        <v>0</v>
      </c>
      <c r="Y703" s="158">
        <f>$T703/ORCAMENTO_VALOR_TOTAL_DE</f>
        <v>0</v>
      </c>
      <c r="Z703" s="158" cm="1">
        <f t="array" ref="Z703">_xlfn.SWITCH($N703,"BDI 1",$O$6,"BDI 2",$O$7,"BDI 3",$O$8)</f>
        <v>0.20699999999999999</v>
      </c>
      <c r="AA703" s="158" cm="1">
        <f t="array" ref="AA703">_xlfn.SWITCH($N703,"BDI 1",$P$6,"BDI 2",$P$7,"BDI 3",$P$8)</f>
        <v>0.26739999999999997</v>
      </c>
      <c r="AB703" s="158">
        <f ca="1">IFERROR($S703/_xlfn.XLOOKUP($AE703,$B$16:$B$38,$S$16:$S$38),0)</f>
        <v>0</v>
      </c>
      <c r="AC703" s="158">
        <f ca="1">IFERROR($T703/_xlfn.XLOOKUP($AE703,$B$16:$B$38,$T$16:$T$38),0)</f>
        <v>0</v>
      </c>
      <c r="AD703" s="164"/>
      <c r="AE703" s="148">
        <f t="shared" si="1178"/>
        <v>0</v>
      </c>
      <c r="AF703" s="149"/>
      <c r="AG703" s="150"/>
      <c r="AH703" s="159" t="e">
        <f>S703/$S$666</f>
        <v>#DIV/0!</v>
      </c>
      <c r="AI703" s="166">
        <f>IF(K703=0,0,K703/F703)</f>
        <v>0</v>
      </c>
      <c r="AJ703" s="105"/>
      <c r="AK703" s="105"/>
      <c r="AM703" s="105"/>
      <c r="AN703" s="105"/>
      <c r="AO703" s="105"/>
      <c r="AP703" s="105"/>
      <c r="AQ703" s="105"/>
      <c r="AR703" s="105"/>
    </row>
    <row r="704" spans="1:44" s="49" customFormat="1" ht="40.15" hidden="1" customHeight="1">
      <c r="A704" s="10">
        <f t="shared" ca="1" si="1129"/>
        <v>0</v>
      </c>
      <c r="B704" s="153"/>
      <c r="C704" s="154"/>
      <c r="D704" s="154"/>
      <c r="E704" s="161" t="s">
        <v>270</v>
      </c>
      <c r="F704" s="154"/>
      <c r="G704" s="154"/>
      <c r="H704" s="152"/>
      <c r="I704" s="152"/>
      <c r="J704" s="154"/>
      <c r="K704" s="154"/>
      <c r="L704" s="154"/>
      <c r="M704" s="154"/>
      <c r="N704" s="154"/>
      <c r="O704" s="154"/>
      <c r="P704" s="154"/>
      <c r="Q704" s="154"/>
      <c r="R704" s="154"/>
      <c r="S704" s="162"/>
      <c r="T704" s="162"/>
      <c r="U704" s="162"/>
      <c r="V704" s="162"/>
      <c r="W704" s="162"/>
      <c r="X704" s="154"/>
      <c r="Y704" s="154"/>
      <c r="Z704" s="154"/>
      <c r="AA704" s="154"/>
      <c r="AB704" s="154"/>
      <c r="AC704" s="154"/>
      <c r="AD704" s="106"/>
      <c r="AE704" s="148">
        <f>IF(SUM(S705:S706)&gt;0,IFERROR(TRUNC(A704,0),0),0)</f>
        <v>0</v>
      </c>
      <c r="AF704" s="149"/>
      <c r="AG704" s="150"/>
      <c r="AH704" s="159"/>
      <c r="AI704" s="160"/>
      <c r="AJ704" s="105"/>
      <c r="AK704" s="159"/>
      <c r="AM704" s="105"/>
      <c r="AN704" s="105"/>
      <c r="AO704" s="105"/>
      <c r="AP704" s="105"/>
      <c r="AQ704" s="105"/>
      <c r="AR704" s="105"/>
    </row>
    <row r="705" spans="1:44" s="49" customFormat="1" ht="40.15" hidden="1" customHeight="1">
      <c r="A705" s="152">
        <f t="shared" ca="1" si="1129"/>
        <v>0</v>
      </c>
      <c r="B705" s="153">
        <v>95879</v>
      </c>
      <c r="C705" s="154" t="str">
        <f>TEXT(B705,"0")</f>
        <v>95879</v>
      </c>
      <c r="D705" s="154" t="s">
        <v>1416</v>
      </c>
      <c r="E705" s="155" t="s">
        <v>3535</v>
      </c>
      <c r="F705" s="154">
        <f>IF(Dados_DMT!$B$30&lt;30,Dados_DMT!$B$30,30)</f>
        <v>30</v>
      </c>
      <c r="G705" s="154" t="s">
        <v>3534</v>
      </c>
      <c r="H705" s="152">
        <v>1.41</v>
      </c>
      <c r="I705" s="152">
        <v>1.42</v>
      </c>
      <c r="J705" s="156"/>
      <c r="K705" s="156">
        <f>ROUND(Recap_Final!I114*F705,2)</f>
        <v>0</v>
      </c>
      <c r="L705" s="156">
        <f>IF($K705&gt;$J705,$K705-$J705,0)</f>
        <v>0</v>
      </c>
      <c r="M705" s="156">
        <f>IF($K705&lt;$J705,$J705-$K705,0)</f>
        <v>0</v>
      </c>
      <c r="N705" s="156" t="s">
        <v>83</v>
      </c>
      <c r="O705" s="157" cm="1">
        <f t="array" ref="O705">TRUNC($H705*(1+_xlfn.SWITCH($N705,"BDI 1",$O$6,"BDI 2",$O$7,"BDI 3",$O$8)),2)</f>
        <v>1.7</v>
      </c>
      <c r="P705" s="157" cm="1">
        <f t="array" ref="P705">TRUNC($I705*(1+_xlfn.SWITCH($N705,"BDI 1",$P$6,"BDI 2",$P$7,"BDI 3",$P$8)),2)</f>
        <v>1.79</v>
      </c>
      <c r="Q705" s="157">
        <v>0</v>
      </c>
      <c r="R705" s="157">
        <f>$Q705-($Q705*LICITACAO_DESCONTO)</f>
        <v>0</v>
      </c>
      <c r="S705" s="156">
        <f>TRUNC($K705*$O705,2)</f>
        <v>0</v>
      </c>
      <c r="T705" s="156">
        <f>TRUNC($K705*$P705,2)</f>
        <v>0</v>
      </c>
      <c r="U705" s="156">
        <f>TRUNC($J705*$R705,2)</f>
        <v>0</v>
      </c>
      <c r="V705" s="156">
        <f>TRUNC($K705*$Q705,2)</f>
        <v>0</v>
      </c>
      <c r="W705" s="156">
        <f>TRUNC(V705-U705,2)</f>
        <v>0</v>
      </c>
      <c r="X705" s="158">
        <f>$S705/ORCAMENTO_VALOR_TOTAL_ND</f>
        <v>0</v>
      </c>
      <c r="Y705" s="158">
        <f>$T705/ORCAMENTO_VALOR_TOTAL_DE</f>
        <v>0</v>
      </c>
      <c r="Z705" s="158" cm="1">
        <f t="array" ref="Z705">_xlfn.SWITCH($N705,"BDI 1",$O$6,"BDI 2",$O$7,"BDI 3",$O$8)</f>
        <v>0.20699999999999999</v>
      </c>
      <c r="AA705" s="158" cm="1">
        <f t="array" ref="AA705">_xlfn.SWITCH($N705,"BDI 1",$P$6,"BDI 2",$P$7,"BDI 3",$P$8)</f>
        <v>0.26739999999999997</v>
      </c>
      <c r="AB705" s="158">
        <f ca="1">IFERROR($S705/_xlfn.XLOOKUP($AE705,$B$16:$B$38,$S$16:$S$38),0)</f>
        <v>0</v>
      </c>
      <c r="AC705" s="158">
        <f ca="1">IFERROR($T705/_xlfn.XLOOKUP($AE705,$B$16:$B$38,$T$16:$T$38),0)</f>
        <v>0</v>
      </c>
      <c r="AD705" s="164"/>
      <c r="AE705" s="148">
        <f t="shared" ref="AE705:AE706" si="1179">IF(S705&gt;0,IFERROR(TRUNC(A705,0),0),0)</f>
        <v>0</v>
      </c>
      <c r="AF705" s="149"/>
      <c r="AG705" s="150"/>
      <c r="AH705" s="159" t="e">
        <f>S705/$S$666</f>
        <v>#DIV/0!</v>
      </c>
      <c r="AI705" s="209">
        <f>IF(K705=0,0,K705/F705)</f>
        <v>0</v>
      </c>
      <c r="AJ705" s="105"/>
      <c r="AK705" s="105"/>
      <c r="AM705" s="105"/>
      <c r="AN705" s="105"/>
      <c r="AO705" s="105"/>
      <c r="AP705" s="105"/>
      <c r="AQ705" s="105"/>
      <c r="AR705" s="105"/>
    </row>
    <row r="706" spans="1:44" s="49" customFormat="1" ht="40.15" hidden="1" customHeight="1">
      <c r="A706" s="152">
        <f t="shared" ca="1" si="1129"/>
        <v>0</v>
      </c>
      <c r="B706" s="153">
        <v>93599</v>
      </c>
      <c r="C706" s="154" t="str">
        <f>TEXT(B706,"0")</f>
        <v>93599</v>
      </c>
      <c r="D706" s="154" t="s">
        <v>1416</v>
      </c>
      <c r="E706" s="155" t="s">
        <v>3533</v>
      </c>
      <c r="F706" s="154">
        <f>+Dados_DMT!$B$30-F705</f>
        <v>80</v>
      </c>
      <c r="G706" s="154" t="s">
        <v>3534</v>
      </c>
      <c r="H706" s="152">
        <v>0.56000000000000005</v>
      </c>
      <c r="I706" s="152">
        <v>0.56000000000000005</v>
      </c>
      <c r="J706" s="156"/>
      <c r="K706" s="156">
        <f>ROUND(Recap_Final!I114*F706,2)</f>
        <v>0</v>
      </c>
      <c r="L706" s="156">
        <f>IF($K706&gt;$J706,$K706-$J706,0)</f>
        <v>0</v>
      </c>
      <c r="M706" s="156">
        <f>IF($K706&lt;$J706,$J706-$K706,0)</f>
        <v>0</v>
      </c>
      <c r="N706" s="156" t="s">
        <v>83</v>
      </c>
      <c r="O706" s="157" cm="1">
        <f t="array" ref="O706">TRUNC($H706*(1+_xlfn.SWITCH($N706,"BDI 1",$O$6,"BDI 2",$O$7,"BDI 3",$O$8)),2)</f>
        <v>0.67</v>
      </c>
      <c r="P706" s="157" cm="1">
        <f t="array" ref="P706">TRUNC($I706*(1+_xlfn.SWITCH($N706,"BDI 1",$P$6,"BDI 2",$P$7,"BDI 3",$P$8)),2)</f>
        <v>0.7</v>
      </c>
      <c r="Q706" s="157">
        <v>0</v>
      </c>
      <c r="R706" s="157">
        <f>$Q706-($Q706*LICITACAO_DESCONTO)</f>
        <v>0</v>
      </c>
      <c r="S706" s="156">
        <f>TRUNC($K706*$O706,2)</f>
        <v>0</v>
      </c>
      <c r="T706" s="156">
        <f>TRUNC($K706*$P706,2)</f>
        <v>0</v>
      </c>
      <c r="U706" s="156">
        <f>TRUNC($J706*$R706,2)</f>
        <v>0</v>
      </c>
      <c r="V706" s="156">
        <f>TRUNC($K706*$Q706,2)</f>
        <v>0</v>
      </c>
      <c r="W706" s="156">
        <f>TRUNC(V706-U706,2)</f>
        <v>0</v>
      </c>
      <c r="X706" s="158">
        <f>$S706/ORCAMENTO_VALOR_TOTAL_ND</f>
        <v>0</v>
      </c>
      <c r="Y706" s="158">
        <f>$T706/ORCAMENTO_VALOR_TOTAL_DE</f>
        <v>0</v>
      </c>
      <c r="Z706" s="158" cm="1">
        <f t="array" ref="Z706">_xlfn.SWITCH($N706,"BDI 1",$O$6,"BDI 2",$O$7,"BDI 3",$O$8)</f>
        <v>0.20699999999999999</v>
      </c>
      <c r="AA706" s="158" cm="1">
        <f t="array" ref="AA706">_xlfn.SWITCH($N706,"BDI 1",$P$6,"BDI 2",$P$7,"BDI 3",$P$8)</f>
        <v>0.26739999999999997</v>
      </c>
      <c r="AB706" s="158">
        <f ca="1">IFERROR($S706/_xlfn.XLOOKUP($AE706,$B$16:$B$38,$S$16:$S$38),0)</f>
        <v>0</v>
      </c>
      <c r="AC706" s="158">
        <f ca="1">IFERROR($T706/_xlfn.XLOOKUP($AE706,$B$16:$B$38,$T$16:$T$38),0)</f>
        <v>0</v>
      </c>
      <c r="AD706" s="164"/>
      <c r="AE706" s="148">
        <f t="shared" si="1179"/>
        <v>0</v>
      </c>
      <c r="AF706" s="149"/>
      <c r="AG706" s="150"/>
      <c r="AH706" s="159" t="e">
        <f>S706/$S$666</f>
        <v>#DIV/0!</v>
      </c>
      <c r="AI706" s="209">
        <f>IF(K706=0,0,K706/F706)</f>
        <v>0</v>
      </c>
      <c r="AJ706" s="105"/>
      <c r="AK706" s="105"/>
      <c r="AM706" s="105"/>
      <c r="AN706" s="105"/>
      <c r="AO706" s="105"/>
      <c r="AP706" s="105"/>
      <c r="AQ706" s="105"/>
      <c r="AR706" s="105"/>
    </row>
    <row r="707" spans="1:44" s="49" customFormat="1" ht="40.15" hidden="1" customHeight="1">
      <c r="A707" s="10">
        <f t="shared" ca="1" si="1129"/>
        <v>0</v>
      </c>
      <c r="B707" s="153"/>
      <c r="C707" s="154"/>
      <c r="D707" s="154"/>
      <c r="E707" s="161" t="s">
        <v>269</v>
      </c>
      <c r="F707" s="154"/>
      <c r="G707" s="154"/>
      <c r="H707" s="152"/>
      <c r="I707" s="152"/>
      <c r="J707" s="154"/>
      <c r="K707" s="154"/>
      <c r="L707" s="154"/>
      <c r="M707" s="154"/>
      <c r="N707" s="154"/>
      <c r="O707" s="154"/>
      <c r="P707" s="154"/>
      <c r="Q707" s="154"/>
      <c r="R707" s="154"/>
      <c r="S707" s="162"/>
      <c r="T707" s="162"/>
      <c r="U707" s="162"/>
      <c r="V707" s="162"/>
      <c r="W707" s="162"/>
      <c r="X707" s="154"/>
      <c r="Y707" s="154"/>
      <c r="Z707" s="154"/>
      <c r="AA707" s="154"/>
      <c r="AB707" s="154"/>
      <c r="AC707" s="154"/>
      <c r="AD707" s="106"/>
      <c r="AE707" s="148">
        <f>IF(SUM(S708:S709)&gt;0,IFERROR(TRUNC(A707,0),0),0)</f>
        <v>0</v>
      </c>
      <c r="AF707" s="149"/>
      <c r="AG707" s="150"/>
      <c r="AH707" s="159"/>
      <c r="AI707" s="160"/>
      <c r="AJ707" s="105"/>
      <c r="AK707" s="159"/>
      <c r="AM707" s="105"/>
      <c r="AN707" s="105"/>
      <c r="AO707" s="105"/>
      <c r="AP707" s="105"/>
      <c r="AQ707" s="105"/>
      <c r="AR707" s="105"/>
    </row>
    <row r="708" spans="1:44" s="49" customFormat="1" ht="40.15" hidden="1" customHeight="1">
      <c r="A708" s="152">
        <f t="shared" ca="1" si="1129"/>
        <v>0</v>
      </c>
      <c r="B708" s="153">
        <v>95879</v>
      </c>
      <c r="C708" s="154" t="str">
        <f>TEXT(B708,"0")</f>
        <v>95879</v>
      </c>
      <c r="D708" s="154" t="s">
        <v>1416</v>
      </c>
      <c r="E708" s="155" t="s">
        <v>3535</v>
      </c>
      <c r="F708" s="154">
        <f>IF(Dados_DMT!$B$31&lt;30,Dados_DMT!$B$31,30)</f>
        <v>0</v>
      </c>
      <c r="G708" s="154" t="s">
        <v>3534</v>
      </c>
      <c r="H708" s="152">
        <v>1.41</v>
      </c>
      <c r="I708" s="152">
        <v>1.42</v>
      </c>
      <c r="J708" s="156"/>
      <c r="K708" s="156">
        <f>ROUND(Recap_Final!I115*F708,2)</f>
        <v>0</v>
      </c>
      <c r="L708" s="156">
        <f>IF($K708&gt;$J708,$K708-$J708,0)</f>
        <v>0</v>
      </c>
      <c r="M708" s="156">
        <f>IF($K708&lt;$J708,$J708-$K708,0)</f>
        <v>0</v>
      </c>
      <c r="N708" s="156" t="s">
        <v>83</v>
      </c>
      <c r="O708" s="157" cm="1">
        <f t="array" ref="O708">TRUNC($H708*(1+_xlfn.SWITCH($N708,"BDI 1",$O$6,"BDI 2",$O$7,"BDI 3",$O$8)),2)</f>
        <v>1.7</v>
      </c>
      <c r="P708" s="157" cm="1">
        <f t="array" ref="P708">TRUNC($I708*(1+_xlfn.SWITCH($N708,"BDI 1",$P$6,"BDI 2",$P$7,"BDI 3",$P$8)),2)</f>
        <v>1.79</v>
      </c>
      <c r="Q708" s="157">
        <v>0</v>
      </c>
      <c r="R708" s="157">
        <f>$Q708-($Q708*LICITACAO_DESCONTO)</f>
        <v>0</v>
      </c>
      <c r="S708" s="156">
        <f>TRUNC($K708*$O708,2)</f>
        <v>0</v>
      </c>
      <c r="T708" s="156">
        <f>TRUNC($K708*$P708,2)</f>
        <v>0</v>
      </c>
      <c r="U708" s="156">
        <f>TRUNC($J708*$R708,2)</f>
        <v>0</v>
      </c>
      <c r="V708" s="156">
        <f>TRUNC($K708*$Q708,2)</f>
        <v>0</v>
      </c>
      <c r="W708" s="156">
        <f>TRUNC(V708-U708,2)</f>
        <v>0</v>
      </c>
      <c r="X708" s="158">
        <f>$S708/ORCAMENTO_VALOR_TOTAL_ND</f>
        <v>0</v>
      </c>
      <c r="Y708" s="158">
        <f>$T708/ORCAMENTO_VALOR_TOTAL_DE</f>
        <v>0</v>
      </c>
      <c r="Z708" s="158" cm="1">
        <f t="array" ref="Z708">_xlfn.SWITCH($N708,"BDI 1",$O$6,"BDI 2",$O$7,"BDI 3",$O$8)</f>
        <v>0.20699999999999999</v>
      </c>
      <c r="AA708" s="158" cm="1">
        <f t="array" ref="AA708">_xlfn.SWITCH($N708,"BDI 1",$P$6,"BDI 2",$P$7,"BDI 3",$P$8)</f>
        <v>0.26739999999999997</v>
      </c>
      <c r="AB708" s="158">
        <f ca="1">IFERROR($S708/_xlfn.XLOOKUP($AE708,$B$16:$B$38,$S$16:$S$38),0)</f>
        <v>0</v>
      </c>
      <c r="AC708" s="158">
        <f ca="1">IFERROR($T708/_xlfn.XLOOKUP($AE708,$B$16:$B$38,$T$16:$T$38),0)</f>
        <v>0</v>
      </c>
      <c r="AD708" s="164"/>
      <c r="AE708" s="148">
        <f t="shared" ref="AE708:AE709" si="1180">IF(S708&gt;0,IFERROR(TRUNC(A708,0),0),0)</f>
        <v>0</v>
      </c>
      <c r="AF708" s="149"/>
      <c r="AG708" s="150"/>
      <c r="AH708" s="159" t="e">
        <f>S708/$S$666</f>
        <v>#DIV/0!</v>
      </c>
      <c r="AI708" s="166">
        <f>IF(K708=0,0,K708/F708)</f>
        <v>0</v>
      </c>
      <c r="AJ708" s="105"/>
      <c r="AK708" s="105"/>
      <c r="AM708" s="105"/>
      <c r="AN708" s="105"/>
      <c r="AO708" s="105"/>
      <c r="AP708" s="105"/>
      <c r="AQ708" s="105"/>
      <c r="AR708" s="105"/>
    </row>
    <row r="709" spans="1:44" s="49" customFormat="1" ht="40.15" hidden="1" customHeight="1">
      <c r="A709" s="152">
        <f t="shared" ca="1" si="1129"/>
        <v>0</v>
      </c>
      <c r="B709" s="153">
        <v>93599</v>
      </c>
      <c r="C709" s="154" t="str">
        <f>TEXT(B709,"0")</f>
        <v>93599</v>
      </c>
      <c r="D709" s="154" t="s">
        <v>1416</v>
      </c>
      <c r="E709" s="155" t="s">
        <v>3533</v>
      </c>
      <c r="F709" s="154">
        <f>+Dados_DMT!$B$31-F708</f>
        <v>0</v>
      </c>
      <c r="G709" s="154" t="s">
        <v>3534</v>
      </c>
      <c r="H709" s="152">
        <v>0.56000000000000005</v>
      </c>
      <c r="I709" s="152">
        <v>0.56000000000000005</v>
      </c>
      <c r="J709" s="156"/>
      <c r="K709" s="156">
        <f>ROUND(Recap_Final!I115*F709,2)</f>
        <v>0</v>
      </c>
      <c r="L709" s="156">
        <f>IF($K709&gt;$J709,$K709-$J709,0)</f>
        <v>0</v>
      </c>
      <c r="M709" s="156">
        <f>IF($K709&lt;$J709,$J709-$K709,0)</f>
        <v>0</v>
      </c>
      <c r="N709" s="156" t="s">
        <v>83</v>
      </c>
      <c r="O709" s="157" cm="1">
        <f t="array" ref="O709">TRUNC($H709*(1+_xlfn.SWITCH($N709,"BDI 1",$O$6,"BDI 2",$O$7,"BDI 3",$O$8)),2)</f>
        <v>0.67</v>
      </c>
      <c r="P709" s="157" cm="1">
        <f t="array" ref="P709">TRUNC($I709*(1+_xlfn.SWITCH($N709,"BDI 1",$P$6,"BDI 2",$P$7,"BDI 3",$P$8)),2)</f>
        <v>0.7</v>
      </c>
      <c r="Q709" s="157">
        <v>0</v>
      </c>
      <c r="R709" s="157">
        <f>$Q709-($Q709*LICITACAO_DESCONTO)</f>
        <v>0</v>
      </c>
      <c r="S709" s="156">
        <f>TRUNC($K709*$O709,2)</f>
        <v>0</v>
      </c>
      <c r="T709" s="156">
        <f>TRUNC($K709*$P709,2)</f>
        <v>0</v>
      </c>
      <c r="U709" s="156">
        <f>TRUNC($J709*$R709,2)</f>
        <v>0</v>
      </c>
      <c r="V709" s="156">
        <f>TRUNC($K709*$Q709,2)</f>
        <v>0</v>
      </c>
      <c r="W709" s="156">
        <f>TRUNC(V709-U709,2)</f>
        <v>0</v>
      </c>
      <c r="X709" s="158">
        <f>$S709/ORCAMENTO_VALOR_TOTAL_ND</f>
        <v>0</v>
      </c>
      <c r="Y709" s="158">
        <f>$T709/ORCAMENTO_VALOR_TOTAL_DE</f>
        <v>0</v>
      </c>
      <c r="Z709" s="158" cm="1">
        <f t="array" ref="Z709">_xlfn.SWITCH($N709,"BDI 1",$O$6,"BDI 2",$O$7,"BDI 3",$O$8)</f>
        <v>0.20699999999999999</v>
      </c>
      <c r="AA709" s="158" cm="1">
        <f t="array" ref="AA709">_xlfn.SWITCH($N709,"BDI 1",$P$6,"BDI 2",$P$7,"BDI 3",$P$8)</f>
        <v>0.26739999999999997</v>
      </c>
      <c r="AB709" s="158">
        <f ca="1">IFERROR($S709/_xlfn.XLOOKUP($AE709,$B$16:$B$38,$S$16:$S$38),0)</f>
        <v>0</v>
      </c>
      <c r="AC709" s="158">
        <f ca="1">IFERROR($T709/_xlfn.XLOOKUP($AE709,$B$16:$B$38,$T$16:$T$38),0)</f>
        <v>0</v>
      </c>
      <c r="AD709" s="164"/>
      <c r="AE709" s="148">
        <f t="shared" si="1180"/>
        <v>0</v>
      </c>
      <c r="AF709" s="149"/>
      <c r="AG709" s="150"/>
      <c r="AH709" s="159" t="e">
        <f>S709/$S$666</f>
        <v>#DIV/0!</v>
      </c>
      <c r="AI709" s="166">
        <f>IF(K709=0,0,K709/F709)</f>
        <v>0</v>
      </c>
      <c r="AJ709" s="105"/>
      <c r="AK709" s="105"/>
      <c r="AM709" s="105"/>
      <c r="AN709" s="105"/>
      <c r="AO709" s="105"/>
      <c r="AP709" s="105"/>
      <c r="AQ709" s="105"/>
      <c r="AR709" s="105"/>
    </row>
    <row r="710" spans="1:44" s="49" customFormat="1" ht="40.15" hidden="1" customHeight="1">
      <c r="A710" s="10">
        <f t="shared" ca="1" si="1129"/>
        <v>0</v>
      </c>
      <c r="B710" s="153"/>
      <c r="C710" s="154"/>
      <c r="D710" s="154"/>
      <c r="E710" s="161" t="s">
        <v>272</v>
      </c>
      <c r="F710" s="154"/>
      <c r="G710" s="154"/>
      <c r="H710" s="152"/>
      <c r="I710" s="152"/>
      <c r="J710" s="154"/>
      <c r="K710" s="154"/>
      <c r="L710" s="154"/>
      <c r="M710" s="154"/>
      <c r="N710" s="154"/>
      <c r="O710" s="154"/>
      <c r="P710" s="154"/>
      <c r="Q710" s="154"/>
      <c r="R710" s="154"/>
      <c r="S710" s="162"/>
      <c r="T710" s="162"/>
      <c r="U710" s="162"/>
      <c r="V710" s="162"/>
      <c r="W710" s="162"/>
      <c r="X710" s="154"/>
      <c r="Y710" s="154"/>
      <c r="Z710" s="154"/>
      <c r="AA710" s="154"/>
      <c r="AB710" s="154"/>
      <c r="AC710" s="154"/>
      <c r="AD710" s="106"/>
      <c r="AE710" s="148">
        <f>IF(SUM(S711:S712)&gt;0,IFERROR(TRUNC(A710,0),0),0)</f>
        <v>0</v>
      </c>
      <c r="AF710" s="149"/>
      <c r="AG710" s="150"/>
      <c r="AH710" s="159"/>
      <c r="AI710" s="160"/>
      <c r="AJ710" s="105"/>
      <c r="AK710" s="159"/>
      <c r="AM710" s="105"/>
      <c r="AN710" s="105"/>
      <c r="AO710" s="105"/>
      <c r="AP710" s="105"/>
      <c r="AQ710" s="105"/>
      <c r="AR710" s="105"/>
    </row>
    <row r="711" spans="1:44" s="49" customFormat="1" ht="40.15" hidden="1" customHeight="1">
      <c r="A711" s="152">
        <f t="shared" ca="1" si="1129"/>
        <v>0</v>
      </c>
      <c r="B711" s="153">
        <v>102332</v>
      </c>
      <c r="C711" s="154" t="str">
        <f>TEXT(B711,"0")</f>
        <v>102332</v>
      </c>
      <c r="D711" s="154" t="s">
        <v>1416</v>
      </c>
      <c r="E711" s="155" t="s">
        <v>3547</v>
      </c>
      <c r="F711" s="154">
        <f>IF(Dados_DMT!$B$25&lt;30,Dados_DMT!$B$25,30)</f>
        <v>30</v>
      </c>
      <c r="G711" s="154" t="s">
        <v>3534</v>
      </c>
      <c r="H711" s="152">
        <v>1.79</v>
      </c>
      <c r="I711" s="152">
        <v>1.81</v>
      </c>
      <c r="J711" s="156"/>
      <c r="K711" s="156">
        <f>ROUND((Recap_Final!I107+Recap_Final!I108+Recap_Final!I109)*F711,2)</f>
        <v>0</v>
      </c>
      <c r="L711" s="156">
        <f>IF($K711&gt;$J711,$K711-$J711,0)</f>
        <v>0</v>
      </c>
      <c r="M711" s="156">
        <f>IF($K711&lt;$J711,$J711-$K711,0)</f>
        <v>0</v>
      </c>
      <c r="N711" s="156" t="s">
        <v>83</v>
      </c>
      <c r="O711" s="157" cm="1">
        <f t="array" ref="O711">TRUNC($H711*(1+_xlfn.SWITCH($N711,"BDI 1",$O$6,"BDI 2",$O$7,"BDI 3",$O$8)),2)</f>
        <v>2.16</v>
      </c>
      <c r="P711" s="157" cm="1">
        <f t="array" ref="P711">TRUNC($I711*(1+_xlfn.SWITCH($N711,"BDI 1",$P$6,"BDI 2",$P$7,"BDI 3",$P$8)),2)</f>
        <v>2.29</v>
      </c>
      <c r="Q711" s="157">
        <v>0</v>
      </c>
      <c r="R711" s="157">
        <f>$Q711-($Q711*LICITACAO_DESCONTO)</f>
        <v>0</v>
      </c>
      <c r="S711" s="156">
        <f>TRUNC($K711*$O711,2)</f>
        <v>0</v>
      </c>
      <c r="T711" s="156">
        <f>TRUNC($K711*$P711,2)</f>
        <v>0</v>
      </c>
      <c r="U711" s="156">
        <f>TRUNC($J711*$R711,2)</f>
        <v>0</v>
      </c>
      <c r="V711" s="156">
        <f>TRUNC($K711*$Q711,2)</f>
        <v>0</v>
      </c>
      <c r="W711" s="156">
        <f>TRUNC(V711-U711,2)</f>
        <v>0</v>
      </c>
      <c r="X711" s="158">
        <f>$S711/ORCAMENTO_VALOR_TOTAL_ND</f>
        <v>0</v>
      </c>
      <c r="Y711" s="158">
        <f>$T711/ORCAMENTO_VALOR_TOTAL_DE</f>
        <v>0</v>
      </c>
      <c r="Z711" s="158" cm="1">
        <f t="array" ref="Z711">_xlfn.SWITCH($N711,"BDI 1",$O$6,"BDI 2",$O$7,"BDI 3",$O$8)</f>
        <v>0.20699999999999999</v>
      </c>
      <c r="AA711" s="158" cm="1">
        <f t="array" ref="AA711">_xlfn.SWITCH($N711,"BDI 1",$P$6,"BDI 2",$P$7,"BDI 3",$P$8)</f>
        <v>0.26739999999999997</v>
      </c>
      <c r="AB711" s="158">
        <f ca="1">IFERROR($S711/_xlfn.XLOOKUP($AE711,$B$16:$B$38,$S$16:$S$38),0)</f>
        <v>0</v>
      </c>
      <c r="AC711" s="158">
        <f ca="1">IFERROR($T711/_xlfn.XLOOKUP($AE711,$B$16:$B$38,$T$16:$T$38),0)</f>
        <v>0</v>
      </c>
      <c r="AD711" s="164"/>
      <c r="AE711" s="148">
        <f t="shared" ref="AE711:AE712" si="1181">IF(S711&gt;0,IFERROR(TRUNC(A711,0),0),0)</f>
        <v>0</v>
      </c>
      <c r="AF711" s="149"/>
      <c r="AG711" s="150"/>
      <c r="AH711" s="159" t="e">
        <f>S711/$S$666</f>
        <v>#DIV/0!</v>
      </c>
      <c r="AI711" s="209">
        <f>IF(K711=0,0,K711/F711)</f>
        <v>0</v>
      </c>
      <c r="AJ711" s="105"/>
      <c r="AK711" s="105"/>
      <c r="AM711" s="105"/>
      <c r="AN711" s="105"/>
      <c r="AO711" s="105"/>
      <c r="AP711" s="105"/>
      <c r="AQ711" s="105"/>
      <c r="AR711" s="105"/>
    </row>
    <row r="712" spans="1:44" s="49" customFormat="1" ht="40.15" hidden="1" customHeight="1">
      <c r="A712" s="152">
        <f t="shared" ca="1" si="1129"/>
        <v>0</v>
      </c>
      <c r="B712" s="153">
        <v>102333</v>
      </c>
      <c r="C712" s="154" t="str">
        <f>TEXT(B712,"0")</f>
        <v>102333</v>
      </c>
      <c r="D712" s="154" t="s">
        <v>1416</v>
      </c>
      <c r="E712" s="155" t="s">
        <v>3546</v>
      </c>
      <c r="F712" s="154">
        <f>+Dados_DMT!$B$25-F711</f>
        <v>80</v>
      </c>
      <c r="G712" s="154" t="s">
        <v>3534</v>
      </c>
      <c r="H712" s="152">
        <v>0.72</v>
      </c>
      <c r="I712" s="152">
        <v>0.73</v>
      </c>
      <c r="J712" s="156"/>
      <c r="K712" s="156">
        <f>ROUND((Recap_Final!I107+Recap_Final!I108+Recap_Final!I109)*F712,2)</f>
        <v>0</v>
      </c>
      <c r="L712" s="156">
        <f>IF($K712&gt;$J712,$K712-$J712,0)</f>
        <v>0</v>
      </c>
      <c r="M712" s="156">
        <f>IF($K712&lt;$J712,$J712-$K712,0)</f>
        <v>0</v>
      </c>
      <c r="N712" s="156" t="s">
        <v>83</v>
      </c>
      <c r="O712" s="157" cm="1">
        <f t="array" ref="O712">TRUNC($H712*(1+_xlfn.SWITCH($N712,"BDI 1",$O$6,"BDI 2",$O$7,"BDI 3",$O$8)),2)</f>
        <v>0.86</v>
      </c>
      <c r="P712" s="157" cm="1">
        <f t="array" ref="P712">TRUNC($I712*(1+_xlfn.SWITCH($N712,"BDI 1",$P$6,"BDI 2",$P$7,"BDI 3",$P$8)),2)</f>
        <v>0.92</v>
      </c>
      <c r="Q712" s="157">
        <v>0</v>
      </c>
      <c r="R712" s="157">
        <f>$Q712-($Q712*LICITACAO_DESCONTO)</f>
        <v>0</v>
      </c>
      <c r="S712" s="156">
        <f>TRUNC($K712*$O712,2)</f>
        <v>0</v>
      </c>
      <c r="T712" s="156">
        <f>TRUNC($K712*$P712,2)</f>
        <v>0</v>
      </c>
      <c r="U712" s="156">
        <f>TRUNC($J712*$R712,2)</f>
        <v>0</v>
      </c>
      <c r="V712" s="156">
        <f>TRUNC($K712*$Q712,2)</f>
        <v>0</v>
      </c>
      <c r="W712" s="156">
        <f>TRUNC(V712-U712,2)</f>
        <v>0</v>
      </c>
      <c r="X712" s="158">
        <f>$S712/ORCAMENTO_VALOR_TOTAL_ND</f>
        <v>0</v>
      </c>
      <c r="Y712" s="158">
        <f>$T712/ORCAMENTO_VALOR_TOTAL_DE</f>
        <v>0</v>
      </c>
      <c r="Z712" s="158" cm="1">
        <f t="array" ref="Z712">_xlfn.SWITCH($N712,"BDI 1",$O$6,"BDI 2",$O$7,"BDI 3",$O$8)</f>
        <v>0.20699999999999999</v>
      </c>
      <c r="AA712" s="158" cm="1">
        <f t="array" ref="AA712">_xlfn.SWITCH($N712,"BDI 1",$P$6,"BDI 2",$P$7,"BDI 3",$P$8)</f>
        <v>0.26739999999999997</v>
      </c>
      <c r="AB712" s="158">
        <f ca="1">IFERROR($S712/_xlfn.XLOOKUP($AE712,$B$16:$B$38,$S$16:$S$38),0)</f>
        <v>0</v>
      </c>
      <c r="AC712" s="158">
        <f ca="1">IFERROR($T712/_xlfn.XLOOKUP($AE712,$B$16:$B$38,$T$16:$T$38),0)</f>
        <v>0</v>
      </c>
      <c r="AD712" s="164"/>
      <c r="AE712" s="148">
        <f t="shared" si="1181"/>
        <v>0</v>
      </c>
      <c r="AF712" s="149"/>
      <c r="AG712" s="150"/>
      <c r="AH712" s="159" t="e">
        <f>S712/$S$666</f>
        <v>#DIV/0!</v>
      </c>
      <c r="AI712" s="209">
        <f>IF(K712=0,0,K712/F712)</f>
        <v>0</v>
      </c>
      <c r="AJ712" s="105"/>
      <c r="AK712" s="105"/>
      <c r="AM712" s="105"/>
      <c r="AN712" s="105"/>
      <c r="AO712" s="105"/>
      <c r="AP712" s="105"/>
      <c r="AQ712" s="105"/>
      <c r="AR712" s="105"/>
    </row>
    <row r="713" spans="1:44" s="49" customFormat="1" ht="40.15" hidden="1" customHeight="1">
      <c r="A713" s="10">
        <f t="shared" ca="1" si="1129"/>
        <v>0</v>
      </c>
      <c r="B713" s="153"/>
      <c r="C713" s="154"/>
      <c r="D713" s="154"/>
      <c r="E713" s="161" t="s">
        <v>273</v>
      </c>
      <c r="F713" s="154"/>
      <c r="G713" s="154"/>
      <c r="H713" s="152"/>
      <c r="I713" s="152"/>
      <c r="J713" s="154"/>
      <c r="K713" s="154"/>
      <c r="L713" s="154"/>
      <c r="M713" s="154"/>
      <c r="N713" s="154"/>
      <c r="O713" s="154"/>
      <c r="P713" s="154"/>
      <c r="Q713" s="154"/>
      <c r="R713" s="154"/>
      <c r="S713" s="162"/>
      <c r="T713" s="162"/>
      <c r="U713" s="162"/>
      <c r="V713" s="162"/>
      <c r="W713" s="162"/>
      <c r="X713" s="154"/>
      <c r="Y713" s="154"/>
      <c r="Z713" s="154"/>
      <c r="AA713" s="154"/>
      <c r="AB713" s="154"/>
      <c r="AC713" s="154"/>
      <c r="AD713" s="106"/>
      <c r="AE713" s="148">
        <f>IF(SUM(S714:S715)&gt;0,IFERROR(TRUNC(A713,0),0),0)</f>
        <v>0</v>
      </c>
      <c r="AF713" s="149"/>
      <c r="AG713" s="150"/>
      <c r="AH713" s="159"/>
      <c r="AI713" s="160"/>
      <c r="AJ713" s="105"/>
      <c r="AK713" s="159"/>
      <c r="AM713" s="105"/>
      <c r="AN713" s="105"/>
      <c r="AO713" s="105"/>
      <c r="AP713" s="105"/>
      <c r="AQ713" s="105"/>
      <c r="AR713" s="105"/>
    </row>
    <row r="714" spans="1:44" s="49" customFormat="1" ht="40.15" hidden="1" customHeight="1">
      <c r="A714" s="152">
        <f t="shared" ca="1" si="1129"/>
        <v>0</v>
      </c>
      <c r="B714" s="153">
        <v>102332</v>
      </c>
      <c r="C714" s="154" t="str">
        <f>TEXT(B714,"0")</f>
        <v>102332</v>
      </c>
      <c r="D714" s="154" t="s">
        <v>1416</v>
      </c>
      <c r="E714" s="155" t="s">
        <v>3547</v>
      </c>
      <c r="F714" s="154">
        <f>IF(Dados_DMT!$B$26&lt;30,Dados_DMT!$B$26,30)</f>
        <v>0</v>
      </c>
      <c r="G714" s="154" t="s">
        <v>3534</v>
      </c>
      <c r="H714" s="152">
        <v>1.79</v>
      </c>
      <c r="I714" s="152">
        <v>1.81</v>
      </c>
      <c r="J714" s="156"/>
      <c r="K714" s="156">
        <f>ROUND(Recap_Final!I110*F714,2)</f>
        <v>0</v>
      </c>
      <c r="L714" s="156">
        <f>IF($K714&gt;$J714,$K714-$J714,0)</f>
        <v>0</v>
      </c>
      <c r="M714" s="156">
        <f>IF($K714&lt;$J714,$J714-$K714,0)</f>
        <v>0</v>
      </c>
      <c r="N714" s="156" t="s">
        <v>83</v>
      </c>
      <c r="O714" s="157" cm="1">
        <f t="array" ref="O714">TRUNC($H714*(1+_xlfn.SWITCH($N714,"BDI 1",$O$6,"BDI 2",$O$7,"BDI 3",$O$8)),2)</f>
        <v>2.16</v>
      </c>
      <c r="P714" s="157" cm="1">
        <f t="array" ref="P714">TRUNC($I714*(1+_xlfn.SWITCH($N714,"BDI 1",$P$6,"BDI 2",$P$7,"BDI 3",$P$8)),2)</f>
        <v>2.29</v>
      </c>
      <c r="Q714" s="157">
        <v>0</v>
      </c>
      <c r="R714" s="157">
        <f>$Q714-($Q714*LICITACAO_DESCONTO)</f>
        <v>0</v>
      </c>
      <c r="S714" s="156">
        <f>TRUNC($K714*$O714,2)</f>
        <v>0</v>
      </c>
      <c r="T714" s="156">
        <f>TRUNC($K714*$P714,2)</f>
        <v>0</v>
      </c>
      <c r="U714" s="156">
        <f>TRUNC($J714*$R714,2)</f>
        <v>0</v>
      </c>
      <c r="V714" s="156">
        <f>TRUNC($K714*$Q714,2)</f>
        <v>0</v>
      </c>
      <c r="W714" s="156">
        <f>TRUNC(V714-U714,2)</f>
        <v>0</v>
      </c>
      <c r="X714" s="158">
        <f>$S714/ORCAMENTO_VALOR_TOTAL_ND</f>
        <v>0</v>
      </c>
      <c r="Y714" s="158">
        <f>$T714/ORCAMENTO_VALOR_TOTAL_DE</f>
        <v>0</v>
      </c>
      <c r="Z714" s="158" cm="1">
        <f t="array" ref="Z714">_xlfn.SWITCH($N714,"BDI 1",$O$6,"BDI 2",$O$7,"BDI 3",$O$8)</f>
        <v>0.20699999999999999</v>
      </c>
      <c r="AA714" s="158" cm="1">
        <f t="array" ref="AA714">_xlfn.SWITCH($N714,"BDI 1",$P$6,"BDI 2",$P$7,"BDI 3",$P$8)</f>
        <v>0.26739999999999997</v>
      </c>
      <c r="AB714" s="158">
        <f ca="1">IFERROR($S714/_xlfn.XLOOKUP($AE714,$B$16:$B$38,$S$16:$S$38),0)</f>
        <v>0</v>
      </c>
      <c r="AC714" s="158">
        <f ca="1">IFERROR($T714/_xlfn.XLOOKUP($AE714,$B$16:$B$38,$T$16:$T$38),0)</f>
        <v>0</v>
      </c>
      <c r="AD714" s="164"/>
      <c r="AE714" s="148">
        <f t="shared" ref="AE714:AE715" si="1182">IF(S714&gt;0,IFERROR(TRUNC(A714,0),0),0)</f>
        <v>0</v>
      </c>
      <c r="AF714" s="149"/>
      <c r="AG714" s="150"/>
      <c r="AH714" s="159" t="e">
        <f>S714/$S$666</f>
        <v>#DIV/0!</v>
      </c>
      <c r="AI714" s="209">
        <f>IF(K714=0,0,K714/F714)</f>
        <v>0</v>
      </c>
      <c r="AJ714" s="105"/>
      <c r="AK714" s="105"/>
      <c r="AM714" s="105"/>
      <c r="AN714" s="105"/>
      <c r="AO714" s="105"/>
      <c r="AP714" s="105"/>
      <c r="AQ714" s="105"/>
      <c r="AR714" s="105"/>
    </row>
    <row r="715" spans="1:44" s="49" customFormat="1" ht="40.15" hidden="1" customHeight="1">
      <c r="A715" s="152">
        <f t="shared" ca="1" si="1129"/>
        <v>0</v>
      </c>
      <c r="B715" s="153">
        <v>102333</v>
      </c>
      <c r="C715" s="154" t="str">
        <f>TEXT(B715,"0")</f>
        <v>102333</v>
      </c>
      <c r="D715" s="154" t="s">
        <v>1416</v>
      </c>
      <c r="E715" s="155" t="s">
        <v>3546</v>
      </c>
      <c r="F715" s="154">
        <f>+Dados_DMT!$B$26-F714</f>
        <v>0</v>
      </c>
      <c r="G715" s="154" t="s">
        <v>3534</v>
      </c>
      <c r="H715" s="152">
        <v>0.72</v>
      </c>
      <c r="I715" s="152">
        <v>0.73</v>
      </c>
      <c r="J715" s="156"/>
      <c r="K715" s="156">
        <f>ROUND(Recap_Final!I110*F715,2)</f>
        <v>0</v>
      </c>
      <c r="L715" s="156">
        <f>IF($K715&gt;$J715,$K715-$J715,0)</f>
        <v>0</v>
      </c>
      <c r="M715" s="156">
        <f>IF($K715&lt;$J715,$J715-$K715,0)</f>
        <v>0</v>
      </c>
      <c r="N715" s="156" t="s">
        <v>83</v>
      </c>
      <c r="O715" s="157" cm="1">
        <f t="array" ref="O715">TRUNC($H715*(1+_xlfn.SWITCH($N715,"BDI 1",$O$6,"BDI 2",$O$7,"BDI 3",$O$8)),2)</f>
        <v>0.86</v>
      </c>
      <c r="P715" s="157" cm="1">
        <f t="array" ref="P715">TRUNC($I715*(1+_xlfn.SWITCH($N715,"BDI 1",$P$6,"BDI 2",$P$7,"BDI 3",$P$8)),2)</f>
        <v>0.92</v>
      </c>
      <c r="Q715" s="157">
        <v>0</v>
      </c>
      <c r="R715" s="157">
        <f>$Q715-($Q715*LICITACAO_DESCONTO)</f>
        <v>0</v>
      </c>
      <c r="S715" s="156">
        <f>TRUNC($K715*$O715,2)</f>
        <v>0</v>
      </c>
      <c r="T715" s="156">
        <f>TRUNC($K715*$P715,2)</f>
        <v>0</v>
      </c>
      <c r="U715" s="156">
        <f>TRUNC($J715*$R715,2)</f>
        <v>0</v>
      </c>
      <c r="V715" s="156">
        <f>TRUNC($K715*$Q715,2)</f>
        <v>0</v>
      </c>
      <c r="W715" s="156">
        <f>TRUNC(V715-U715,2)</f>
        <v>0</v>
      </c>
      <c r="X715" s="158">
        <f>$S715/ORCAMENTO_VALOR_TOTAL_ND</f>
        <v>0</v>
      </c>
      <c r="Y715" s="158">
        <f>$T715/ORCAMENTO_VALOR_TOTAL_DE</f>
        <v>0</v>
      </c>
      <c r="Z715" s="158" cm="1">
        <f t="array" ref="Z715">_xlfn.SWITCH($N715,"BDI 1",$O$6,"BDI 2",$O$7,"BDI 3",$O$8)</f>
        <v>0.20699999999999999</v>
      </c>
      <c r="AA715" s="158" cm="1">
        <f t="array" ref="AA715">_xlfn.SWITCH($N715,"BDI 1",$P$6,"BDI 2",$P$7,"BDI 3",$P$8)</f>
        <v>0.26739999999999997</v>
      </c>
      <c r="AB715" s="158">
        <f ca="1">IFERROR($S715/_xlfn.XLOOKUP($AE715,$B$16:$B$38,$S$16:$S$38),0)</f>
        <v>0</v>
      </c>
      <c r="AC715" s="158">
        <f ca="1">IFERROR($T715/_xlfn.XLOOKUP($AE715,$B$16:$B$38,$T$16:$T$38),0)</f>
        <v>0</v>
      </c>
      <c r="AD715" s="164"/>
      <c r="AE715" s="148">
        <f t="shared" si="1182"/>
        <v>0</v>
      </c>
      <c r="AF715" s="149"/>
      <c r="AG715" s="150"/>
      <c r="AH715" s="159" t="e">
        <f>S715/$S$666</f>
        <v>#DIV/0!</v>
      </c>
      <c r="AI715" s="209">
        <f>IF(K715=0,0,K715/F715)</f>
        <v>0</v>
      </c>
      <c r="AJ715" s="105"/>
      <c r="AK715" s="105"/>
      <c r="AM715" s="105"/>
      <c r="AN715" s="105"/>
      <c r="AO715" s="105"/>
      <c r="AP715" s="105"/>
      <c r="AQ715" s="105"/>
      <c r="AR715" s="105"/>
    </row>
    <row r="716" spans="1:44" s="49" customFormat="1" ht="40.15" hidden="1" customHeight="1">
      <c r="A716" s="10">
        <f t="shared" ca="1" si="1129"/>
        <v>0</v>
      </c>
      <c r="B716" s="153"/>
      <c r="C716" s="154"/>
      <c r="D716" s="154"/>
      <c r="E716" s="161" t="s">
        <v>274</v>
      </c>
      <c r="F716" s="154"/>
      <c r="G716" s="154"/>
      <c r="H716" s="152"/>
      <c r="I716" s="152"/>
      <c r="J716" s="154"/>
      <c r="K716" s="154"/>
      <c r="L716" s="154"/>
      <c r="M716" s="154"/>
      <c r="N716" s="154"/>
      <c r="O716" s="154"/>
      <c r="P716" s="154"/>
      <c r="Q716" s="154"/>
      <c r="R716" s="154"/>
      <c r="S716" s="162"/>
      <c r="T716" s="162"/>
      <c r="U716" s="162"/>
      <c r="V716" s="162"/>
      <c r="W716" s="162"/>
      <c r="X716" s="154"/>
      <c r="Y716" s="154"/>
      <c r="Z716" s="154"/>
      <c r="AA716" s="154"/>
      <c r="AB716" s="154"/>
      <c r="AC716" s="154"/>
      <c r="AD716" s="106"/>
      <c r="AE716" s="148">
        <f>IF(SUM(S717:S718)&gt;0,IFERROR(TRUNC(A716,0),0),0)</f>
        <v>0</v>
      </c>
      <c r="AF716" s="149"/>
      <c r="AG716" s="150"/>
      <c r="AH716" s="159"/>
      <c r="AI716" s="160"/>
      <c r="AJ716" s="105"/>
      <c r="AK716" s="159"/>
      <c r="AM716" s="105"/>
      <c r="AN716" s="105"/>
      <c r="AO716" s="105"/>
      <c r="AP716" s="105"/>
      <c r="AQ716" s="105"/>
      <c r="AR716" s="105"/>
    </row>
    <row r="717" spans="1:44" s="49" customFormat="1" ht="40.15" hidden="1" customHeight="1">
      <c r="A717" s="152">
        <f t="shared" ca="1" si="1129"/>
        <v>0</v>
      </c>
      <c r="B717" s="153">
        <v>102332</v>
      </c>
      <c r="C717" s="154" t="str">
        <f>TEXT(B717,"0")</f>
        <v>102332</v>
      </c>
      <c r="D717" s="154" t="s">
        <v>1416</v>
      </c>
      <c r="E717" s="155" t="s">
        <v>3547</v>
      </c>
      <c r="F717" s="154">
        <f>IF(Dados_DMT!B27&lt;30,Dados_DMT!B27,30)</f>
        <v>0</v>
      </c>
      <c r="G717" s="154" t="s">
        <v>3534</v>
      </c>
      <c r="H717" s="152">
        <v>1.79</v>
      </c>
      <c r="I717" s="152">
        <v>1.81</v>
      </c>
      <c r="J717" s="156"/>
      <c r="K717" s="156">
        <f>ROUND((Recap_Final!I111+Recap_Final!I112+Recap_Final!I113)*F717,2)</f>
        <v>0</v>
      </c>
      <c r="L717" s="156">
        <f>IF($K717&gt;$J717,$K717-$J717,0)</f>
        <v>0</v>
      </c>
      <c r="M717" s="156">
        <f>IF($K717&lt;$J717,$J717-$K717,0)</f>
        <v>0</v>
      </c>
      <c r="N717" s="156" t="s">
        <v>83</v>
      </c>
      <c r="O717" s="157" cm="1">
        <f t="array" ref="O717">TRUNC($H717*(1+_xlfn.SWITCH($N717,"BDI 1",$O$6,"BDI 2",$O$7,"BDI 3",$O$8)),2)</f>
        <v>2.16</v>
      </c>
      <c r="P717" s="157" cm="1">
        <f t="array" ref="P717">TRUNC($I717*(1+_xlfn.SWITCH($N717,"BDI 1",$P$6,"BDI 2",$P$7,"BDI 3",$P$8)),2)</f>
        <v>2.29</v>
      </c>
      <c r="Q717" s="157">
        <v>0</v>
      </c>
      <c r="R717" s="157">
        <f>$Q717-($Q717*LICITACAO_DESCONTO)</f>
        <v>0</v>
      </c>
      <c r="S717" s="156">
        <f>TRUNC($K717*$O717,2)</f>
        <v>0</v>
      </c>
      <c r="T717" s="156">
        <f>TRUNC($K717*$P717,2)</f>
        <v>0</v>
      </c>
      <c r="U717" s="156">
        <f>TRUNC($J717*$R717,2)</f>
        <v>0</v>
      </c>
      <c r="V717" s="156">
        <f>TRUNC($K717*$Q717,2)</f>
        <v>0</v>
      </c>
      <c r="W717" s="156">
        <f>TRUNC(V717-U717,2)</f>
        <v>0</v>
      </c>
      <c r="X717" s="158">
        <f>$S717/ORCAMENTO_VALOR_TOTAL_ND</f>
        <v>0</v>
      </c>
      <c r="Y717" s="158">
        <f>$T717/ORCAMENTO_VALOR_TOTAL_DE</f>
        <v>0</v>
      </c>
      <c r="Z717" s="158" cm="1">
        <f t="array" ref="Z717">_xlfn.SWITCH($N717,"BDI 1",$O$6,"BDI 2",$O$7,"BDI 3",$O$8)</f>
        <v>0.20699999999999999</v>
      </c>
      <c r="AA717" s="158" cm="1">
        <f t="array" ref="AA717">_xlfn.SWITCH($N717,"BDI 1",$P$6,"BDI 2",$P$7,"BDI 3",$P$8)</f>
        <v>0.26739999999999997</v>
      </c>
      <c r="AB717" s="158">
        <f ca="1">IFERROR($S717/_xlfn.XLOOKUP($AE717,$B$16:$B$38,$S$16:$S$38),0)</f>
        <v>0</v>
      </c>
      <c r="AC717" s="158">
        <f ca="1">IFERROR($T717/_xlfn.XLOOKUP($AE717,$B$16:$B$38,$T$16:$T$38),0)</f>
        <v>0</v>
      </c>
      <c r="AD717" s="164"/>
      <c r="AE717" s="148">
        <f t="shared" ref="AE717:AE718" si="1183">IF(S717&gt;0,IFERROR(TRUNC(A717,0),0),0)</f>
        <v>0</v>
      </c>
      <c r="AF717" s="149"/>
      <c r="AG717" s="150"/>
      <c r="AH717" s="159" t="e">
        <f>S717/$S$666</f>
        <v>#DIV/0!</v>
      </c>
      <c r="AI717" s="209">
        <f>IF(K717=0,0,K717/F717)</f>
        <v>0</v>
      </c>
      <c r="AJ717" s="105"/>
      <c r="AK717" s="105"/>
      <c r="AM717" s="105"/>
      <c r="AN717" s="105"/>
      <c r="AO717" s="105"/>
      <c r="AP717" s="105"/>
      <c r="AQ717" s="105"/>
      <c r="AR717" s="105"/>
    </row>
    <row r="718" spans="1:44" s="49" customFormat="1" ht="40.15" hidden="1" customHeight="1">
      <c r="A718" s="152">
        <f t="shared" ca="1" si="1129"/>
        <v>0</v>
      </c>
      <c r="B718" s="153">
        <v>102333</v>
      </c>
      <c r="C718" s="154" t="str">
        <f>TEXT(B718,"0")</f>
        <v>102333</v>
      </c>
      <c r="D718" s="154" t="s">
        <v>1416</v>
      </c>
      <c r="E718" s="155" t="s">
        <v>3546</v>
      </c>
      <c r="F718" s="154">
        <f>+Dados_DMT!B27-F717</f>
        <v>0</v>
      </c>
      <c r="G718" s="154" t="s">
        <v>3534</v>
      </c>
      <c r="H718" s="152">
        <v>0.72</v>
      </c>
      <c r="I718" s="152">
        <v>0.73</v>
      </c>
      <c r="J718" s="156"/>
      <c r="K718" s="156">
        <f>ROUND((Recap_Final!I111+Recap_Final!I112+Recap_Final!I113)*F718,2)</f>
        <v>0</v>
      </c>
      <c r="L718" s="156">
        <f>IF($K718&gt;$J718,$K718-$J718,0)</f>
        <v>0</v>
      </c>
      <c r="M718" s="156">
        <f>IF($K718&lt;$J718,$J718-$K718,0)</f>
        <v>0</v>
      </c>
      <c r="N718" s="156" t="s">
        <v>83</v>
      </c>
      <c r="O718" s="157" cm="1">
        <f t="array" ref="O718">TRUNC($H718*(1+_xlfn.SWITCH($N718,"BDI 1",$O$6,"BDI 2",$O$7,"BDI 3",$O$8)),2)</f>
        <v>0.86</v>
      </c>
      <c r="P718" s="157" cm="1">
        <f t="array" ref="P718">TRUNC($I718*(1+_xlfn.SWITCH($N718,"BDI 1",$P$6,"BDI 2",$P$7,"BDI 3",$P$8)),2)</f>
        <v>0.92</v>
      </c>
      <c r="Q718" s="157">
        <v>0</v>
      </c>
      <c r="R718" s="157">
        <f>$Q718-($Q718*LICITACAO_DESCONTO)</f>
        <v>0</v>
      </c>
      <c r="S718" s="156">
        <f>TRUNC($K718*$O718,2)</f>
        <v>0</v>
      </c>
      <c r="T718" s="156">
        <f>TRUNC($K718*$P718,2)</f>
        <v>0</v>
      </c>
      <c r="U718" s="156">
        <f>TRUNC($J718*$R718,2)</f>
        <v>0</v>
      </c>
      <c r="V718" s="156">
        <f>TRUNC($K718*$Q718,2)</f>
        <v>0</v>
      </c>
      <c r="W718" s="156">
        <f>TRUNC(V718-U718,2)</f>
        <v>0</v>
      </c>
      <c r="X718" s="158">
        <f>$S718/ORCAMENTO_VALOR_TOTAL_ND</f>
        <v>0</v>
      </c>
      <c r="Y718" s="158">
        <f>$T718/ORCAMENTO_VALOR_TOTAL_DE</f>
        <v>0</v>
      </c>
      <c r="Z718" s="158" cm="1">
        <f t="array" ref="Z718">_xlfn.SWITCH($N718,"BDI 1",$O$6,"BDI 2",$O$7,"BDI 3",$O$8)</f>
        <v>0.20699999999999999</v>
      </c>
      <c r="AA718" s="158" cm="1">
        <f t="array" ref="AA718">_xlfn.SWITCH($N718,"BDI 1",$P$6,"BDI 2",$P$7,"BDI 3",$P$8)</f>
        <v>0.26739999999999997</v>
      </c>
      <c r="AB718" s="158">
        <f ca="1">IFERROR($S718/_xlfn.XLOOKUP($AE718,$B$16:$B$38,$S$16:$S$38),0)</f>
        <v>0</v>
      </c>
      <c r="AC718" s="158">
        <f ca="1">IFERROR($T718/_xlfn.XLOOKUP($AE718,$B$16:$B$38,$T$16:$T$38),0)</f>
        <v>0</v>
      </c>
      <c r="AD718" s="164"/>
      <c r="AE718" s="148">
        <f t="shared" si="1183"/>
        <v>0</v>
      </c>
      <c r="AF718" s="149"/>
      <c r="AG718" s="150"/>
      <c r="AH718" s="159" t="e">
        <f>S718/$S$666</f>
        <v>#DIV/0!</v>
      </c>
      <c r="AI718" s="209">
        <f>IF(K718=0,0,K718/F718)</f>
        <v>0</v>
      </c>
      <c r="AJ718" s="105"/>
      <c r="AK718" s="105"/>
      <c r="AM718" s="105"/>
      <c r="AN718" s="105"/>
      <c r="AO718" s="105"/>
      <c r="AP718" s="105"/>
      <c r="AQ718" s="105"/>
      <c r="AR718" s="105"/>
    </row>
    <row r="719" spans="1:44" s="49" customFormat="1" ht="40.15" hidden="1" customHeight="1">
      <c r="A719" s="10">
        <f t="shared" ca="1" si="1129"/>
        <v>0</v>
      </c>
      <c r="B719" s="153"/>
      <c r="C719" s="154"/>
      <c r="D719" s="154"/>
      <c r="E719" s="155"/>
      <c r="F719" s="154"/>
      <c r="G719" s="154"/>
      <c r="H719" s="152"/>
      <c r="I719" s="152"/>
      <c r="J719" s="168"/>
      <c r="K719" s="168"/>
      <c r="L719" s="168"/>
      <c r="M719" s="168"/>
      <c r="N719" s="168"/>
      <c r="O719" s="157"/>
      <c r="P719" s="157"/>
      <c r="Q719" s="157"/>
      <c r="R719" s="157"/>
      <c r="S719" s="162"/>
      <c r="T719" s="162"/>
      <c r="U719" s="162"/>
      <c r="V719" s="162"/>
      <c r="W719" s="162"/>
      <c r="X719" s="163"/>
      <c r="Y719" s="163"/>
      <c r="Z719" s="163"/>
      <c r="AA719" s="163"/>
      <c r="AB719" s="163"/>
      <c r="AC719" s="163"/>
      <c r="AD719" s="164"/>
      <c r="AE719" s="148">
        <f>IF(S720&gt;0,IFERROR(TRUNC(A720,0),0),0)</f>
        <v>0</v>
      </c>
      <c r="AF719" s="149"/>
      <c r="AG719" s="150"/>
      <c r="AH719" s="159"/>
      <c r="AI719" s="160"/>
      <c r="AJ719" s="105"/>
      <c r="AK719" s="105"/>
      <c r="AM719" s="105"/>
      <c r="AN719" s="105"/>
      <c r="AO719" s="105"/>
      <c r="AP719" s="105"/>
      <c r="AQ719" s="105"/>
      <c r="AR719" s="105"/>
    </row>
    <row r="720" spans="1:44" s="105" customFormat="1" ht="40.15" hidden="1" customHeight="1">
      <c r="A720" s="169">
        <f ca="1">$B$28</f>
        <v>0</v>
      </c>
      <c r="B720" s="170"/>
      <c r="C720" s="171"/>
      <c r="D720" s="172"/>
      <c r="E720" s="173" t="str">
        <f>$D$28</f>
        <v>IMPLANTAÇÃO DE TERRAPLENAGEM</v>
      </c>
      <c r="F720" s="174"/>
      <c r="G720" s="175"/>
      <c r="H720" s="176" t="s">
        <v>308</v>
      </c>
      <c r="I720" s="176" t="s">
        <v>308</v>
      </c>
      <c r="J720" s="177"/>
      <c r="K720" s="177"/>
      <c r="L720" s="177"/>
      <c r="M720" s="177"/>
      <c r="N720" s="177"/>
      <c r="O720" s="178" t="str">
        <f ca="1">CONCATENATE("SUB-TOTAL ",$A720)</f>
        <v>SUB-TOTAL 0</v>
      </c>
      <c r="P720" s="178" t="e" cm="1">
        <f t="array" ref="P720">TRUNC($I720*(1+_xlfn.SWITCH($N720,"BDI 1",$P$6,"BDI 2",$P$7,"BDI 3",$P$8)),2)</f>
        <v>#VALUE!</v>
      </c>
      <c r="Q720" s="178" t="str">
        <f ca="1">CONCATENATE("SUB-TOTAL ",$A720)</f>
        <v>SUB-TOTAL 0</v>
      </c>
      <c r="R720" s="178"/>
      <c r="S720" s="179">
        <f>SUM(S721:S743)</f>
        <v>0</v>
      </c>
      <c r="T720" s="179">
        <f>SUM(T721:T743)</f>
        <v>0</v>
      </c>
      <c r="U720" s="179">
        <f>SUM(U721:U743)</f>
        <v>0</v>
      </c>
      <c r="V720" s="179">
        <f>SUM(V721:V743)</f>
        <v>0</v>
      </c>
      <c r="W720" s="179">
        <f t="shared" ref="W720:W729" si="1184">TRUNC(V720-U720,2)</f>
        <v>0</v>
      </c>
      <c r="X720" s="180">
        <f t="shared" ref="X720" si="1185">$S720/ORCAMENTO_VALOR_TOTAL_ND</f>
        <v>0</v>
      </c>
      <c r="Y720" s="180">
        <f t="shared" ref="Y720" si="1186">$T720/ORCAMENTO_VALOR_TOTAL_DE</f>
        <v>0</v>
      </c>
      <c r="Z720" s="180"/>
      <c r="AA720" s="180"/>
      <c r="AB720" s="180">
        <f>IFERROR($S720/$S720,0)</f>
        <v>0</v>
      </c>
      <c r="AC720" s="180">
        <f>IFERROR($T720/$T720,0)</f>
        <v>0</v>
      </c>
      <c r="AD720" s="147"/>
      <c r="AE720" s="148">
        <f t="shared" ref="AE720:AE729" si="1187">IF(S720&gt;0,IFERROR(TRUNC(A720,0),0),0)</f>
        <v>0</v>
      </c>
      <c r="AF720" s="149"/>
      <c r="AG720" s="150"/>
      <c r="AH720" s="151" t="e">
        <f t="shared" ref="AH720:AH729" si="1188">+S720/$S$720</f>
        <v>#DIV/0!</v>
      </c>
    </row>
    <row r="721" spans="1:44" s="49" customFormat="1" ht="40.15" hidden="1" customHeight="1">
      <c r="A721" s="152">
        <f t="shared" ref="A721:A729" ca="1" si="1189">+IF(K721&gt;0,A720+0.01,A720)</f>
        <v>0</v>
      </c>
      <c r="B721" s="153">
        <v>98525</v>
      </c>
      <c r="C721" s="154" t="str">
        <f t="shared" ref="C721:C729" si="1190">TEXT(B721,"0")</f>
        <v>98525</v>
      </c>
      <c r="D721" s="154" t="s">
        <v>1416</v>
      </c>
      <c r="E721" s="155" t="s">
        <v>1417</v>
      </c>
      <c r="F721" s="154"/>
      <c r="G721" s="154" t="s">
        <v>1418</v>
      </c>
      <c r="H721" s="152">
        <v>0.63</v>
      </c>
      <c r="I721" s="152">
        <v>0.37</v>
      </c>
      <c r="J721" s="156"/>
      <c r="K721" s="156">
        <f>+Pav_Terraplenagem!J10</f>
        <v>0</v>
      </c>
      <c r="L721" s="156">
        <f t="shared" ref="L721:L729" si="1191">IF($K721&gt;$J721,$K721-$J721,0)</f>
        <v>0</v>
      </c>
      <c r="M721" s="156">
        <f t="shared" ref="M721:M729" si="1192">IF($K721&lt;$J721,$J721-$K721,0)</f>
        <v>0</v>
      </c>
      <c r="N721" s="156" t="s">
        <v>83</v>
      </c>
      <c r="O721" s="157" cm="1">
        <f t="array" ref="O721">TRUNC($H721*(1+_xlfn.SWITCH($N721,"BDI 1",$O$6,"BDI 2",$O$7,"BDI 3",$O$8)),2)</f>
        <v>0.76</v>
      </c>
      <c r="P721" s="157" cm="1">
        <f t="array" ref="P721">TRUNC($I721*(1+_xlfn.SWITCH($N721,"BDI 1",$P$6,"BDI 2",$P$7,"BDI 3",$P$8)),2)</f>
        <v>0.46</v>
      </c>
      <c r="Q721" s="157">
        <v>0</v>
      </c>
      <c r="R721" s="157">
        <f t="shared" ref="R721:R729" si="1193">$Q721-($Q721*LICITACAO_DESCONTO)</f>
        <v>0</v>
      </c>
      <c r="S721" s="156">
        <f t="shared" ref="S721:S729" si="1194">TRUNC($K721*$O721,2)</f>
        <v>0</v>
      </c>
      <c r="T721" s="156">
        <f t="shared" ref="T721:T729" si="1195">TRUNC($K721*$P721,2)</f>
        <v>0</v>
      </c>
      <c r="U721" s="156">
        <f t="shared" ref="U721:U729" si="1196">TRUNC($J721*$R721,2)</f>
        <v>0</v>
      </c>
      <c r="V721" s="156">
        <f t="shared" ref="V721:V729" si="1197">TRUNC($K721*$Q721,2)</f>
        <v>0</v>
      </c>
      <c r="W721" s="156">
        <f t="shared" si="1184"/>
        <v>0</v>
      </c>
      <c r="X721" s="158">
        <f t="shared" ref="X721" si="1198">$S721/ORCAMENTO_VALOR_TOTAL_ND</f>
        <v>0</v>
      </c>
      <c r="Y721" s="158">
        <f t="shared" ref="Y721" si="1199">$T721/ORCAMENTO_VALOR_TOTAL_DE</f>
        <v>0</v>
      </c>
      <c r="Z721" s="158" cm="1">
        <f t="array" ref="Z721">_xlfn.SWITCH($N721,"BDI 1",$O$6,"BDI 2",$O$7,"BDI 3",$O$8)</f>
        <v>0.20699999999999999</v>
      </c>
      <c r="AA721" s="158" cm="1">
        <f t="array" ref="AA721">_xlfn.SWITCH($N721,"BDI 1",$P$6,"BDI 2",$P$7,"BDI 3",$P$8)</f>
        <v>0.26739999999999997</v>
      </c>
      <c r="AB721" s="158">
        <f t="shared" ref="AB721:AB729" ca="1" si="1200">IFERROR($S721/_xlfn.XLOOKUP($AE721,$B$16:$B$38,$S$16:$S$38),0)</f>
        <v>0</v>
      </c>
      <c r="AC721" s="158">
        <f t="shared" ref="AC721:AC729" ca="1" si="1201">IFERROR($T721/_xlfn.XLOOKUP($AE721,$B$16:$B$38,$T$16:$T$38),0)</f>
        <v>0</v>
      </c>
      <c r="AD721" s="164"/>
      <c r="AE721" s="148">
        <f t="shared" si="1187"/>
        <v>0</v>
      </c>
      <c r="AF721" s="149"/>
      <c r="AG721" s="150"/>
      <c r="AH721" s="159" t="e">
        <f t="shared" si="1188"/>
        <v>#DIV/0!</v>
      </c>
      <c r="AI721" s="160"/>
      <c r="AJ721" s="181" t="s">
        <v>105</v>
      </c>
      <c r="AK721" s="181" t="s">
        <v>106</v>
      </c>
      <c r="AM721" s="105"/>
      <c r="AN721" s="105"/>
      <c r="AO721" s="105"/>
      <c r="AP721" s="105"/>
      <c r="AQ721" s="105"/>
      <c r="AR721" s="105"/>
    </row>
    <row r="722" spans="1:44" s="49" customFormat="1" ht="40.15" hidden="1" customHeight="1">
      <c r="A722" s="152">
        <f t="shared" ca="1" si="1189"/>
        <v>0</v>
      </c>
      <c r="B722" s="153" t="s">
        <v>309</v>
      </c>
      <c r="C722" s="154" t="str">
        <f t="shared" si="1190"/>
        <v>PA/0001</v>
      </c>
      <c r="D722" s="154" t="s">
        <v>3549</v>
      </c>
      <c r="E722" s="155" t="s">
        <v>3898</v>
      </c>
      <c r="F722" s="154"/>
      <c r="G722" s="154" t="s">
        <v>464</v>
      </c>
      <c r="H722" s="152">
        <v>4.2300000000000004</v>
      </c>
      <c r="I722" s="152">
        <v>4.18</v>
      </c>
      <c r="J722" s="156"/>
      <c r="K722" s="156">
        <f>+Pav_Terraplenagem!J106</f>
        <v>0</v>
      </c>
      <c r="L722" s="156">
        <f t="shared" si="1191"/>
        <v>0</v>
      </c>
      <c r="M722" s="156">
        <f t="shared" si="1192"/>
        <v>0</v>
      </c>
      <c r="N722" s="156" t="s">
        <v>83</v>
      </c>
      <c r="O722" s="157" cm="1">
        <f t="array" ref="O722">TRUNC($H722*(1+_xlfn.SWITCH($N722,"BDI 1",$O$6,"BDI 2",$O$7,"BDI 3",$O$8)),2)</f>
        <v>5.0999999999999996</v>
      </c>
      <c r="P722" s="157" cm="1">
        <f t="array" ref="P722">TRUNC($I722*(1+_xlfn.SWITCH($N722,"BDI 1",$P$6,"BDI 2",$P$7,"BDI 3",$P$8)),2)</f>
        <v>5.29</v>
      </c>
      <c r="Q722" s="157">
        <v>0</v>
      </c>
      <c r="R722" s="157">
        <f t="shared" si="1193"/>
        <v>0</v>
      </c>
      <c r="S722" s="156">
        <f t="shared" si="1194"/>
        <v>0</v>
      </c>
      <c r="T722" s="156">
        <f t="shared" si="1195"/>
        <v>0</v>
      </c>
      <c r="U722" s="156">
        <f t="shared" si="1196"/>
        <v>0</v>
      </c>
      <c r="V722" s="156">
        <f t="shared" si="1197"/>
        <v>0</v>
      </c>
      <c r="W722" s="156">
        <f t="shared" si="1184"/>
        <v>0</v>
      </c>
      <c r="X722" s="158">
        <f t="shared" ref="X722" si="1202">$S722/ORCAMENTO_VALOR_TOTAL_ND</f>
        <v>0</v>
      </c>
      <c r="Y722" s="158">
        <f t="shared" ref="Y722" si="1203">$T722/ORCAMENTO_VALOR_TOTAL_DE</f>
        <v>0</v>
      </c>
      <c r="Z722" s="158" cm="1">
        <f t="array" ref="Z722">_xlfn.SWITCH($N722,"BDI 1",$O$6,"BDI 2",$O$7,"BDI 3",$O$8)</f>
        <v>0.20699999999999999</v>
      </c>
      <c r="AA722" s="158" cm="1">
        <f t="array" ref="AA722">_xlfn.SWITCH($N722,"BDI 1",$P$6,"BDI 2",$P$7,"BDI 3",$P$8)</f>
        <v>0.26739999999999997</v>
      </c>
      <c r="AB722" s="158">
        <f t="shared" ca="1" si="1200"/>
        <v>0</v>
      </c>
      <c r="AC722" s="158">
        <f t="shared" ca="1" si="1201"/>
        <v>0</v>
      </c>
      <c r="AD722" s="164"/>
      <c r="AE722" s="148">
        <f t="shared" si="1187"/>
        <v>0</v>
      </c>
      <c r="AF722" s="149"/>
      <c r="AG722" s="150"/>
      <c r="AH722" s="159" t="e">
        <f t="shared" si="1188"/>
        <v>#DIV/0!</v>
      </c>
      <c r="AI722" s="160"/>
      <c r="AJ722" s="182">
        <v>0</v>
      </c>
      <c r="AK722" s="183" t="e">
        <f>+K722/AJ722</f>
        <v>#DIV/0!</v>
      </c>
      <c r="AM722" s="105"/>
      <c r="AN722" s="105"/>
      <c r="AO722" s="105"/>
      <c r="AP722" s="105"/>
      <c r="AQ722" s="105"/>
      <c r="AR722" s="105"/>
    </row>
    <row r="723" spans="1:44" s="49" customFormat="1" ht="49.9" hidden="1" customHeight="1">
      <c r="A723" s="152">
        <f t="shared" ca="1" si="1189"/>
        <v>0</v>
      </c>
      <c r="B723" s="153">
        <v>100975</v>
      </c>
      <c r="C723" s="154" t="str">
        <f t="shared" si="1190"/>
        <v>100975</v>
      </c>
      <c r="D723" s="154" t="s">
        <v>1416</v>
      </c>
      <c r="E723" s="155" t="s">
        <v>3899</v>
      </c>
      <c r="F723" s="154"/>
      <c r="G723" s="154" t="s">
        <v>464</v>
      </c>
      <c r="H723" s="152">
        <v>8.3800000000000008</v>
      </c>
      <c r="I723" s="152">
        <v>8.35</v>
      </c>
      <c r="J723" s="156"/>
      <c r="K723" s="156">
        <f>ROUND(Pav_Terraplenagem!J106*1.25,2)</f>
        <v>0</v>
      </c>
      <c r="L723" s="156">
        <f t="shared" si="1191"/>
        <v>0</v>
      </c>
      <c r="M723" s="156">
        <f t="shared" si="1192"/>
        <v>0</v>
      </c>
      <c r="N723" s="156" t="s">
        <v>83</v>
      </c>
      <c r="O723" s="157" cm="1">
        <f t="array" ref="O723">TRUNC($H723*(1+_xlfn.SWITCH($N723,"BDI 1",$O$6,"BDI 2",$O$7,"BDI 3",$O$8)),2)</f>
        <v>10.11</v>
      </c>
      <c r="P723" s="157" cm="1">
        <f t="array" ref="P723">TRUNC($I723*(1+_xlfn.SWITCH($N723,"BDI 1",$P$6,"BDI 2",$P$7,"BDI 3",$P$8)),2)</f>
        <v>10.58</v>
      </c>
      <c r="Q723" s="157">
        <v>0</v>
      </c>
      <c r="R723" s="157">
        <f t="shared" si="1193"/>
        <v>0</v>
      </c>
      <c r="S723" s="156">
        <f t="shared" si="1194"/>
        <v>0</v>
      </c>
      <c r="T723" s="156">
        <f t="shared" si="1195"/>
        <v>0</v>
      </c>
      <c r="U723" s="156">
        <f t="shared" si="1196"/>
        <v>0</v>
      </c>
      <c r="V723" s="156">
        <f t="shared" si="1197"/>
        <v>0</v>
      </c>
      <c r="W723" s="156">
        <f t="shared" si="1184"/>
        <v>0</v>
      </c>
      <c r="X723" s="158">
        <f t="shared" ref="X723" si="1204">$S723/ORCAMENTO_VALOR_TOTAL_ND</f>
        <v>0</v>
      </c>
      <c r="Y723" s="158">
        <f t="shared" ref="Y723" si="1205">$T723/ORCAMENTO_VALOR_TOTAL_DE</f>
        <v>0</v>
      </c>
      <c r="Z723" s="158" cm="1">
        <f t="array" ref="Z723">_xlfn.SWITCH($N723,"BDI 1",$O$6,"BDI 2",$O$7,"BDI 3",$O$8)</f>
        <v>0.20699999999999999</v>
      </c>
      <c r="AA723" s="158" cm="1">
        <f t="array" ref="AA723">_xlfn.SWITCH($N723,"BDI 1",$P$6,"BDI 2",$P$7,"BDI 3",$P$8)</f>
        <v>0.26739999999999997</v>
      </c>
      <c r="AB723" s="158">
        <f t="shared" ca="1" si="1200"/>
        <v>0</v>
      </c>
      <c r="AC723" s="158">
        <f t="shared" ca="1" si="1201"/>
        <v>0</v>
      </c>
      <c r="AD723" s="164"/>
      <c r="AE723" s="148">
        <f t="shared" si="1187"/>
        <v>0</v>
      </c>
      <c r="AF723" s="149"/>
      <c r="AG723" s="150"/>
      <c r="AH723" s="159" t="e">
        <f t="shared" si="1188"/>
        <v>#DIV/0!</v>
      </c>
      <c r="AI723" s="160"/>
      <c r="AJ723" s="182">
        <v>0</v>
      </c>
      <c r="AK723" s="183" t="e">
        <f>+K723/AJ723</f>
        <v>#DIV/0!</v>
      </c>
      <c r="AM723" s="105"/>
      <c r="AN723" s="105"/>
      <c r="AO723" s="105"/>
      <c r="AP723" s="105"/>
      <c r="AQ723" s="105"/>
      <c r="AR723" s="105"/>
    </row>
    <row r="724" spans="1:44" s="49" customFormat="1" ht="40.15" hidden="1" customHeight="1">
      <c r="A724" s="152">
        <f t="shared" ca="1" si="1189"/>
        <v>0</v>
      </c>
      <c r="B724" s="153" t="s">
        <v>279</v>
      </c>
      <c r="C724" s="154" t="str">
        <f t="shared" si="1190"/>
        <v>PA/0010</v>
      </c>
      <c r="D724" s="154" t="s">
        <v>3549</v>
      </c>
      <c r="E724" s="155" t="s">
        <v>3878</v>
      </c>
      <c r="F724" s="154"/>
      <c r="G724" s="154" t="s">
        <v>464</v>
      </c>
      <c r="H724" s="152">
        <v>136.76</v>
      </c>
      <c r="I724" s="152">
        <v>136.53</v>
      </c>
      <c r="J724" s="156"/>
      <c r="K724" s="156">
        <f>+Pav_Terraplenagem!J103</f>
        <v>0</v>
      </c>
      <c r="L724" s="156">
        <f t="shared" si="1191"/>
        <v>0</v>
      </c>
      <c r="M724" s="156">
        <f t="shared" si="1192"/>
        <v>0</v>
      </c>
      <c r="N724" s="156" t="s">
        <v>83</v>
      </c>
      <c r="O724" s="157" cm="1">
        <f t="array" ref="O724">TRUNC($H724*(1+_xlfn.SWITCH($N724,"BDI 1",$O$6,"BDI 2",$O$7,"BDI 3",$O$8)),2)</f>
        <v>165.06</v>
      </c>
      <c r="P724" s="157" cm="1">
        <f t="array" ref="P724">TRUNC($I724*(1+_xlfn.SWITCH($N724,"BDI 1",$P$6,"BDI 2",$P$7,"BDI 3",$P$8)),2)</f>
        <v>173.03</v>
      </c>
      <c r="Q724" s="157">
        <v>0</v>
      </c>
      <c r="R724" s="157">
        <f t="shared" si="1193"/>
        <v>0</v>
      </c>
      <c r="S724" s="156">
        <f t="shared" si="1194"/>
        <v>0</v>
      </c>
      <c r="T724" s="156">
        <f t="shared" si="1195"/>
        <v>0</v>
      </c>
      <c r="U724" s="156">
        <f t="shared" si="1196"/>
        <v>0</v>
      </c>
      <c r="V724" s="156">
        <f t="shared" si="1197"/>
        <v>0</v>
      </c>
      <c r="W724" s="156">
        <f t="shared" si="1184"/>
        <v>0</v>
      </c>
      <c r="X724" s="158">
        <f t="shared" ref="X724" si="1206">$S724/ORCAMENTO_VALOR_TOTAL_ND</f>
        <v>0</v>
      </c>
      <c r="Y724" s="158">
        <f t="shared" ref="Y724" si="1207">$T724/ORCAMENTO_VALOR_TOTAL_DE</f>
        <v>0</v>
      </c>
      <c r="Z724" s="158" cm="1">
        <f t="array" ref="Z724">_xlfn.SWITCH($N724,"BDI 1",$O$6,"BDI 2",$O$7,"BDI 3",$O$8)</f>
        <v>0.20699999999999999</v>
      </c>
      <c r="AA724" s="158" cm="1">
        <f t="array" ref="AA724">_xlfn.SWITCH($N724,"BDI 1",$P$6,"BDI 2",$P$7,"BDI 3",$P$8)</f>
        <v>0.26739999999999997</v>
      </c>
      <c r="AB724" s="158">
        <f t="shared" ca="1" si="1200"/>
        <v>0</v>
      </c>
      <c r="AC724" s="158">
        <f t="shared" ca="1" si="1201"/>
        <v>0</v>
      </c>
      <c r="AD724" s="164"/>
      <c r="AE724" s="148">
        <f t="shared" si="1187"/>
        <v>0</v>
      </c>
      <c r="AF724" s="149"/>
      <c r="AG724" s="150"/>
      <c r="AH724" s="159" t="e">
        <f t="shared" si="1188"/>
        <v>#DIV/0!</v>
      </c>
      <c r="AI724" s="160"/>
      <c r="AJ724" s="105"/>
      <c r="AK724" s="105"/>
      <c r="AM724" s="105"/>
      <c r="AN724" s="105"/>
      <c r="AO724" s="105"/>
      <c r="AP724" s="105"/>
      <c r="AQ724" s="105"/>
      <c r="AR724" s="105"/>
    </row>
    <row r="725" spans="1:44" s="49" customFormat="1" ht="49.9" hidden="1" customHeight="1">
      <c r="A725" s="152">
        <f t="shared" ca="1" si="1189"/>
        <v>0</v>
      </c>
      <c r="B725" s="153">
        <v>101230</v>
      </c>
      <c r="C725" s="154" t="str">
        <f t="shared" si="1190"/>
        <v>101230</v>
      </c>
      <c r="D725" s="154" t="s">
        <v>1416</v>
      </c>
      <c r="E725" s="155" t="s">
        <v>3677</v>
      </c>
      <c r="F725" s="154"/>
      <c r="G725" s="154" t="s">
        <v>464</v>
      </c>
      <c r="H725" s="152">
        <v>10.7</v>
      </c>
      <c r="I725" s="152">
        <v>10.73</v>
      </c>
      <c r="J725" s="156"/>
      <c r="K725" s="156">
        <f>IF(AI728="COMERCIAL",0,Pav_Terraplenagem!J108)</f>
        <v>0</v>
      </c>
      <c r="L725" s="156">
        <f t="shared" si="1191"/>
        <v>0</v>
      </c>
      <c r="M725" s="156">
        <f t="shared" si="1192"/>
        <v>0</v>
      </c>
      <c r="N725" s="156" t="s">
        <v>83</v>
      </c>
      <c r="O725" s="157" cm="1">
        <f t="array" ref="O725">TRUNC($H725*(1+_xlfn.SWITCH($N725,"BDI 1",$O$6,"BDI 2",$O$7,"BDI 3",$O$8)),2)</f>
        <v>12.91</v>
      </c>
      <c r="P725" s="157" cm="1">
        <f t="array" ref="P725">TRUNC($I725*(1+_xlfn.SWITCH($N725,"BDI 1",$P$6,"BDI 2",$P$7,"BDI 3",$P$8)),2)</f>
        <v>13.59</v>
      </c>
      <c r="Q725" s="157">
        <v>0</v>
      </c>
      <c r="R725" s="157">
        <f t="shared" si="1193"/>
        <v>0</v>
      </c>
      <c r="S725" s="156">
        <f t="shared" si="1194"/>
        <v>0</v>
      </c>
      <c r="T725" s="156">
        <f t="shared" si="1195"/>
        <v>0</v>
      </c>
      <c r="U725" s="156">
        <f t="shared" si="1196"/>
        <v>0</v>
      </c>
      <c r="V725" s="156">
        <f t="shared" si="1197"/>
        <v>0</v>
      </c>
      <c r="W725" s="156">
        <f t="shared" si="1184"/>
        <v>0</v>
      </c>
      <c r="X725" s="158">
        <f t="shared" ref="X725" si="1208">$S725/ORCAMENTO_VALOR_TOTAL_ND</f>
        <v>0</v>
      </c>
      <c r="Y725" s="158">
        <f t="shared" ref="Y725" si="1209">$T725/ORCAMENTO_VALOR_TOTAL_DE</f>
        <v>0</v>
      </c>
      <c r="Z725" s="158" cm="1">
        <f t="array" ref="Z725">_xlfn.SWITCH($N725,"BDI 1",$O$6,"BDI 2",$O$7,"BDI 3",$O$8)</f>
        <v>0.20699999999999999</v>
      </c>
      <c r="AA725" s="158" cm="1">
        <f t="array" ref="AA725">_xlfn.SWITCH($N725,"BDI 1",$P$6,"BDI 2",$P$7,"BDI 3",$P$8)</f>
        <v>0.26739999999999997</v>
      </c>
      <c r="AB725" s="158">
        <f t="shared" ca="1" si="1200"/>
        <v>0</v>
      </c>
      <c r="AC725" s="158">
        <f t="shared" ca="1" si="1201"/>
        <v>0</v>
      </c>
      <c r="AD725" s="164"/>
      <c r="AE725" s="148">
        <f t="shared" si="1187"/>
        <v>0</v>
      </c>
      <c r="AF725" s="149"/>
      <c r="AG725" s="150"/>
      <c r="AH725" s="159" t="e">
        <f t="shared" si="1188"/>
        <v>#DIV/0!</v>
      </c>
      <c r="AI725" s="160"/>
      <c r="AJ725" s="105"/>
      <c r="AK725" s="105"/>
      <c r="AM725" s="105"/>
      <c r="AN725" s="105"/>
      <c r="AO725" s="105"/>
      <c r="AP725" s="105"/>
      <c r="AQ725" s="105"/>
      <c r="AR725" s="105"/>
    </row>
    <row r="726" spans="1:44" s="49" customFormat="1" ht="49.9" hidden="1" customHeight="1">
      <c r="A726" s="152">
        <f t="shared" ca="1" si="1189"/>
        <v>0</v>
      </c>
      <c r="B726" s="153">
        <v>101232</v>
      </c>
      <c r="C726" s="154" t="str">
        <f t="shared" si="1190"/>
        <v>101232</v>
      </c>
      <c r="D726" s="154" t="s">
        <v>1416</v>
      </c>
      <c r="E726" s="155" t="s">
        <v>3900</v>
      </c>
      <c r="F726" s="154"/>
      <c r="G726" s="154" t="s">
        <v>464</v>
      </c>
      <c r="H726" s="152">
        <v>9.17</v>
      </c>
      <c r="I726" s="152">
        <v>9.19</v>
      </c>
      <c r="J726" s="156"/>
      <c r="K726" s="156">
        <f>+Pav_Terraplenagem!J104</f>
        <v>0</v>
      </c>
      <c r="L726" s="156">
        <f t="shared" si="1191"/>
        <v>0</v>
      </c>
      <c r="M726" s="156">
        <f t="shared" si="1192"/>
        <v>0</v>
      </c>
      <c r="N726" s="156" t="s">
        <v>83</v>
      </c>
      <c r="O726" s="157" cm="1">
        <f t="array" ref="O726">TRUNC($H726*(1+_xlfn.SWITCH($N726,"BDI 1",$O$6,"BDI 2",$O$7,"BDI 3",$O$8)),2)</f>
        <v>11.06</v>
      </c>
      <c r="P726" s="157" cm="1">
        <f t="array" ref="P726">TRUNC($I726*(1+_xlfn.SWITCH($N726,"BDI 1",$P$6,"BDI 2",$P$7,"BDI 3",$P$8)),2)</f>
        <v>11.64</v>
      </c>
      <c r="Q726" s="157">
        <v>0</v>
      </c>
      <c r="R726" s="157">
        <f t="shared" si="1193"/>
        <v>0</v>
      </c>
      <c r="S726" s="156">
        <f t="shared" si="1194"/>
        <v>0</v>
      </c>
      <c r="T726" s="156">
        <f t="shared" si="1195"/>
        <v>0</v>
      </c>
      <c r="U726" s="156">
        <f t="shared" si="1196"/>
        <v>0</v>
      </c>
      <c r="V726" s="156">
        <f t="shared" si="1197"/>
        <v>0</v>
      </c>
      <c r="W726" s="156">
        <f t="shared" si="1184"/>
        <v>0</v>
      </c>
      <c r="X726" s="158">
        <f t="shared" ref="X726" si="1210">$S726/ORCAMENTO_VALOR_TOTAL_ND</f>
        <v>0</v>
      </c>
      <c r="Y726" s="158">
        <f t="shared" ref="Y726" si="1211">$T726/ORCAMENTO_VALOR_TOTAL_DE</f>
        <v>0</v>
      </c>
      <c r="Z726" s="158" cm="1">
        <f t="array" ref="Z726">_xlfn.SWITCH($N726,"BDI 1",$O$6,"BDI 2",$O$7,"BDI 3",$O$8)</f>
        <v>0.20699999999999999</v>
      </c>
      <c r="AA726" s="158" cm="1">
        <f t="array" ref="AA726">_xlfn.SWITCH($N726,"BDI 1",$P$6,"BDI 2",$P$7,"BDI 3",$P$8)</f>
        <v>0.26739999999999997</v>
      </c>
      <c r="AB726" s="158">
        <f t="shared" ca="1" si="1200"/>
        <v>0</v>
      </c>
      <c r="AC726" s="158">
        <f t="shared" ca="1" si="1201"/>
        <v>0</v>
      </c>
      <c r="AD726" s="164"/>
      <c r="AE726" s="148">
        <f t="shared" si="1187"/>
        <v>0</v>
      </c>
      <c r="AF726" s="149"/>
      <c r="AG726" s="150"/>
      <c r="AH726" s="159" t="e">
        <f t="shared" si="1188"/>
        <v>#DIV/0!</v>
      </c>
      <c r="AI726" s="160"/>
      <c r="AJ726" s="105"/>
      <c r="AK726" s="105"/>
      <c r="AM726" s="105"/>
      <c r="AN726" s="105"/>
      <c r="AO726" s="167"/>
      <c r="AP726" s="105"/>
      <c r="AQ726" s="105"/>
      <c r="AR726" s="105"/>
    </row>
    <row r="727" spans="1:44" s="49" customFormat="1" ht="40.15" hidden="1" customHeight="1">
      <c r="A727" s="152">
        <f t="shared" ca="1" si="1189"/>
        <v>0</v>
      </c>
      <c r="B727" s="153">
        <v>96385</v>
      </c>
      <c r="C727" s="154" t="str">
        <f t="shared" si="1190"/>
        <v>96385</v>
      </c>
      <c r="D727" s="154" t="s">
        <v>1416</v>
      </c>
      <c r="E727" s="155" t="s">
        <v>3813</v>
      </c>
      <c r="F727" s="154"/>
      <c r="G727" s="154" t="s">
        <v>464</v>
      </c>
      <c r="H727" s="152">
        <v>11.28</v>
      </c>
      <c r="I727" s="152">
        <v>11.08</v>
      </c>
      <c r="J727" s="156"/>
      <c r="K727" s="156">
        <f>+Pav_Terraplenagem!J107</f>
        <v>0</v>
      </c>
      <c r="L727" s="156">
        <f t="shared" si="1191"/>
        <v>0</v>
      </c>
      <c r="M727" s="156">
        <f t="shared" si="1192"/>
        <v>0</v>
      </c>
      <c r="N727" s="156" t="s">
        <v>83</v>
      </c>
      <c r="O727" s="157" cm="1">
        <f t="array" ref="O727">TRUNC($H727*(1+_xlfn.SWITCH($N727,"BDI 1",$O$6,"BDI 2",$O$7,"BDI 3",$O$8)),2)</f>
        <v>13.61</v>
      </c>
      <c r="P727" s="157" cm="1">
        <f t="array" ref="P727">TRUNC($I727*(1+_xlfn.SWITCH($N727,"BDI 1",$P$6,"BDI 2",$P$7,"BDI 3",$P$8)),2)</f>
        <v>14.04</v>
      </c>
      <c r="Q727" s="157">
        <v>0</v>
      </c>
      <c r="R727" s="157">
        <f t="shared" si="1193"/>
        <v>0</v>
      </c>
      <c r="S727" s="156">
        <f t="shared" si="1194"/>
        <v>0</v>
      </c>
      <c r="T727" s="156">
        <f t="shared" si="1195"/>
        <v>0</v>
      </c>
      <c r="U727" s="156">
        <f t="shared" si="1196"/>
        <v>0</v>
      </c>
      <c r="V727" s="156">
        <f t="shared" si="1197"/>
        <v>0</v>
      </c>
      <c r="W727" s="156">
        <f t="shared" si="1184"/>
        <v>0</v>
      </c>
      <c r="X727" s="158">
        <f t="shared" ref="X727" si="1212">$S727/ORCAMENTO_VALOR_TOTAL_ND</f>
        <v>0</v>
      </c>
      <c r="Y727" s="158">
        <f t="shared" ref="Y727" si="1213">$T727/ORCAMENTO_VALOR_TOTAL_DE</f>
        <v>0</v>
      </c>
      <c r="Z727" s="158" cm="1">
        <f t="array" ref="Z727">_xlfn.SWITCH($N727,"BDI 1",$O$6,"BDI 2",$O$7,"BDI 3",$O$8)</f>
        <v>0.20699999999999999</v>
      </c>
      <c r="AA727" s="158" cm="1">
        <f t="array" ref="AA727">_xlfn.SWITCH($N727,"BDI 1",$P$6,"BDI 2",$P$7,"BDI 3",$P$8)</f>
        <v>0.26739999999999997</v>
      </c>
      <c r="AB727" s="158">
        <f t="shared" ca="1" si="1200"/>
        <v>0</v>
      </c>
      <c r="AC727" s="158">
        <f t="shared" ca="1" si="1201"/>
        <v>0</v>
      </c>
      <c r="AD727" s="164"/>
      <c r="AE727" s="148">
        <f t="shared" si="1187"/>
        <v>0</v>
      </c>
      <c r="AF727" s="149"/>
      <c r="AG727" s="150"/>
      <c r="AH727" s="159" t="e">
        <f t="shared" si="1188"/>
        <v>#DIV/0!</v>
      </c>
      <c r="AI727" s="165" t="s">
        <v>310</v>
      </c>
      <c r="AJ727" s="105"/>
      <c r="AK727" s="105"/>
      <c r="AM727" s="105"/>
      <c r="AN727" s="105"/>
      <c r="AO727" s="105"/>
      <c r="AP727" s="105"/>
      <c r="AQ727" s="105"/>
      <c r="AR727" s="105"/>
    </row>
    <row r="728" spans="1:44" s="49" customFormat="1" ht="40.15" hidden="1" customHeight="1">
      <c r="A728" s="152">
        <f t="shared" ca="1" si="1189"/>
        <v>0</v>
      </c>
      <c r="B728" s="153">
        <v>6079</v>
      </c>
      <c r="C728" s="154" t="str">
        <f t="shared" si="1190"/>
        <v>6079</v>
      </c>
      <c r="D728" s="154" t="s">
        <v>3579</v>
      </c>
      <c r="E728" s="155" t="s">
        <v>3679</v>
      </c>
      <c r="F728" s="154"/>
      <c r="G728" s="154" t="s">
        <v>464</v>
      </c>
      <c r="H728" s="152">
        <v>37.35</v>
      </c>
      <c r="I728" s="152">
        <v>37.35</v>
      </c>
      <c r="J728" s="156"/>
      <c r="K728" s="156">
        <f>IF(AI728="COMERCIAL",Pav_Terraplenagem!J108,0)</f>
        <v>0</v>
      </c>
      <c r="L728" s="156">
        <f t="shared" si="1191"/>
        <v>0</v>
      </c>
      <c r="M728" s="156">
        <f t="shared" si="1192"/>
        <v>0</v>
      </c>
      <c r="N728" s="156" t="s">
        <v>92</v>
      </c>
      <c r="O728" s="157" cm="1">
        <f t="array" ref="O728">TRUNC($H728*(1+_xlfn.SWITCH($N728,"BDI 1",$O$6,"BDI 2",$O$7,"BDI 3",$O$8)),2)</f>
        <v>43.05</v>
      </c>
      <c r="P728" s="157" cm="1">
        <f t="array" ref="P728">TRUNC($I728*(1+_xlfn.SWITCH($N728,"BDI 1",$P$6,"BDI 2",$P$7,"BDI 3",$P$8)),2)</f>
        <v>43.05</v>
      </c>
      <c r="Q728" s="157">
        <v>0</v>
      </c>
      <c r="R728" s="157">
        <f t="shared" si="1193"/>
        <v>0</v>
      </c>
      <c r="S728" s="156">
        <f t="shared" si="1194"/>
        <v>0</v>
      </c>
      <c r="T728" s="156">
        <f t="shared" si="1195"/>
        <v>0</v>
      </c>
      <c r="U728" s="156">
        <f t="shared" si="1196"/>
        <v>0</v>
      </c>
      <c r="V728" s="156">
        <f t="shared" si="1197"/>
        <v>0</v>
      </c>
      <c r="W728" s="156">
        <f t="shared" si="1184"/>
        <v>0</v>
      </c>
      <c r="X728" s="158">
        <f t="shared" ref="X728" si="1214">$S728/ORCAMENTO_VALOR_TOTAL_ND</f>
        <v>0</v>
      </c>
      <c r="Y728" s="158">
        <f t="shared" ref="Y728" si="1215">$T728/ORCAMENTO_VALOR_TOTAL_DE</f>
        <v>0</v>
      </c>
      <c r="Z728" s="158" cm="1">
        <f t="array" ref="Z728">_xlfn.SWITCH($N728,"BDI 1",$O$6,"BDI 2",$O$7,"BDI 3",$O$8)</f>
        <v>0.1527</v>
      </c>
      <c r="AA728" s="158" cm="1">
        <f t="array" ref="AA728">_xlfn.SWITCH($N728,"BDI 1",$P$6,"BDI 2",$P$7,"BDI 3",$P$8)</f>
        <v>0.1527</v>
      </c>
      <c r="AB728" s="158">
        <f t="shared" ca="1" si="1200"/>
        <v>0</v>
      </c>
      <c r="AC728" s="158">
        <f t="shared" ca="1" si="1201"/>
        <v>0</v>
      </c>
      <c r="AD728" s="164"/>
      <c r="AE728" s="148">
        <f t="shared" si="1187"/>
        <v>0</v>
      </c>
      <c r="AF728" s="149"/>
      <c r="AG728" s="150"/>
      <c r="AH728" s="159" t="e">
        <f t="shared" si="1188"/>
        <v>#DIV/0!</v>
      </c>
      <c r="AI728" s="165" t="s">
        <v>243</v>
      </c>
      <c r="AJ728" s="105"/>
      <c r="AK728" s="105"/>
      <c r="AM728" s="105"/>
      <c r="AN728" s="105"/>
      <c r="AO728" s="105"/>
      <c r="AP728" s="105"/>
      <c r="AQ728" s="105"/>
      <c r="AR728" s="105"/>
    </row>
    <row r="729" spans="1:44" s="49" customFormat="1" ht="49.9" hidden="1" customHeight="1">
      <c r="A729" s="152">
        <f t="shared" ca="1" si="1189"/>
        <v>0</v>
      </c>
      <c r="B729" s="153">
        <v>100979</v>
      </c>
      <c r="C729" s="154" t="str">
        <f t="shared" si="1190"/>
        <v>100979</v>
      </c>
      <c r="D729" s="154" t="s">
        <v>1416</v>
      </c>
      <c r="E729" s="155" t="s">
        <v>1420</v>
      </c>
      <c r="F729" s="154"/>
      <c r="G729" s="154" t="s">
        <v>464</v>
      </c>
      <c r="H729" s="152">
        <v>6.4</v>
      </c>
      <c r="I729" s="152">
        <v>6.4</v>
      </c>
      <c r="J729" s="156"/>
      <c r="K729" s="156">
        <f>Pav_Terraplenagem!J111+Pav_Terraplenagem!J109</f>
        <v>0</v>
      </c>
      <c r="L729" s="156">
        <f t="shared" si="1191"/>
        <v>0</v>
      </c>
      <c r="M729" s="156">
        <f t="shared" si="1192"/>
        <v>0</v>
      </c>
      <c r="N729" s="156" t="s">
        <v>83</v>
      </c>
      <c r="O729" s="157" cm="1">
        <f t="array" ref="O729">TRUNC($H729*(1+_xlfn.SWITCH($N729,"BDI 1",$O$6,"BDI 2",$O$7,"BDI 3",$O$8)),2)</f>
        <v>7.72</v>
      </c>
      <c r="P729" s="157" cm="1">
        <f t="array" ref="P729">TRUNC($I729*(1+_xlfn.SWITCH($N729,"BDI 1",$P$6,"BDI 2",$P$7,"BDI 3",$P$8)),2)</f>
        <v>8.11</v>
      </c>
      <c r="Q729" s="157">
        <v>0</v>
      </c>
      <c r="R729" s="157">
        <f t="shared" si="1193"/>
        <v>0</v>
      </c>
      <c r="S729" s="156">
        <f t="shared" si="1194"/>
        <v>0</v>
      </c>
      <c r="T729" s="156">
        <f t="shared" si="1195"/>
        <v>0</v>
      </c>
      <c r="U729" s="156">
        <f t="shared" si="1196"/>
        <v>0</v>
      </c>
      <c r="V729" s="156">
        <f t="shared" si="1197"/>
        <v>0</v>
      </c>
      <c r="W729" s="156">
        <f t="shared" si="1184"/>
        <v>0</v>
      </c>
      <c r="X729" s="158">
        <f t="shared" ref="X729" si="1216">$S729/ORCAMENTO_VALOR_TOTAL_ND</f>
        <v>0</v>
      </c>
      <c r="Y729" s="158">
        <f t="shared" ref="Y729" si="1217">$T729/ORCAMENTO_VALOR_TOTAL_DE</f>
        <v>0</v>
      </c>
      <c r="Z729" s="158" cm="1">
        <f t="array" ref="Z729">_xlfn.SWITCH($N729,"BDI 1",$O$6,"BDI 2",$O$7,"BDI 3",$O$8)</f>
        <v>0.20699999999999999</v>
      </c>
      <c r="AA729" s="158" cm="1">
        <f t="array" ref="AA729">_xlfn.SWITCH($N729,"BDI 1",$P$6,"BDI 2",$P$7,"BDI 3",$P$8)</f>
        <v>0.26739999999999997</v>
      </c>
      <c r="AB729" s="158">
        <f t="shared" ca="1" si="1200"/>
        <v>0</v>
      </c>
      <c r="AC729" s="158">
        <f t="shared" ca="1" si="1201"/>
        <v>0</v>
      </c>
      <c r="AD729" s="164"/>
      <c r="AE729" s="148">
        <f t="shared" si="1187"/>
        <v>0</v>
      </c>
      <c r="AF729" s="149"/>
      <c r="AG729" s="150"/>
      <c r="AH729" s="159" t="e">
        <f t="shared" si="1188"/>
        <v>#DIV/0!</v>
      </c>
      <c r="AI729" s="165" t="s">
        <v>101</v>
      </c>
      <c r="AJ729" s="105"/>
      <c r="AK729" s="105"/>
      <c r="AM729" s="105"/>
      <c r="AN729" s="105"/>
      <c r="AO729" s="105"/>
      <c r="AP729" s="105"/>
      <c r="AQ729" s="105"/>
      <c r="AR729" s="105"/>
    </row>
    <row r="730" spans="1:44" s="49" customFormat="1" ht="40.15" hidden="1" customHeight="1">
      <c r="A730" s="10" t="e">
        <f>+IF(K730&gt;0,#REF!+0.01,#REF!)</f>
        <v>#REF!</v>
      </c>
      <c r="B730" s="153"/>
      <c r="C730" s="154"/>
      <c r="D730" s="154"/>
      <c r="E730" s="161" t="s">
        <v>311</v>
      </c>
      <c r="F730" s="154"/>
      <c r="G730" s="154"/>
      <c r="H730" s="152"/>
      <c r="I730" s="152"/>
      <c r="J730" s="154"/>
      <c r="K730" s="154"/>
      <c r="L730" s="154"/>
      <c r="M730" s="154"/>
      <c r="N730" s="154"/>
      <c r="O730" s="154"/>
      <c r="P730" s="154"/>
      <c r="Q730" s="154"/>
      <c r="R730" s="154"/>
      <c r="S730" s="162"/>
      <c r="T730" s="162"/>
      <c r="U730" s="162"/>
      <c r="V730" s="162"/>
      <c r="W730" s="162"/>
      <c r="X730" s="154"/>
      <c r="Y730" s="154"/>
      <c r="Z730" s="154"/>
      <c r="AA730" s="154"/>
      <c r="AB730" s="154"/>
      <c r="AC730" s="154"/>
      <c r="AD730" s="106"/>
      <c r="AE730" s="148">
        <f>IF(SUM(S731)&gt;0,IFERROR(TRUNC(A730,0),0),0)</f>
        <v>0</v>
      </c>
      <c r="AF730" s="149"/>
      <c r="AG730" s="150"/>
      <c r="AH730" s="159"/>
      <c r="AI730" s="160" t="s">
        <v>120</v>
      </c>
      <c r="AJ730" s="105"/>
      <c r="AK730" s="105"/>
      <c r="AM730" s="105"/>
      <c r="AN730" s="105"/>
      <c r="AO730" s="105"/>
      <c r="AP730" s="105"/>
      <c r="AQ730" s="105"/>
      <c r="AR730" s="105"/>
    </row>
    <row r="731" spans="1:44" s="49" customFormat="1" ht="40.15" hidden="1" customHeight="1">
      <c r="A731" s="152" t="e">
        <f t="shared" ref="A731:A732" si="1218">+IF(K731&gt;0,A730+0.01,A730)</f>
        <v>#REF!</v>
      </c>
      <c r="B731" s="153">
        <v>95876</v>
      </c>
      <c r="C731" s="154" t="str">
        <f>TEXT(B731,"0")</f>
        <v>95876</v>
      </c>
      <c r="D731" s="154" t="s">
        <v>1416</v>
      </c>
      <c r="E731" s="155" t="s">
        <v>3537</v>
      </c>
      <c r="F731" s="154">
        <f>+Dados_DMT!$B$15</f>
        <v>1</v>
      </c>
      <c r="G731" s="154" t="s">
        <v>3538</v>
      </c>
      <c r="H731" s="152">
        <v>2.09</v>
      </c>
      <c r="I731" s="152">
        <v>2.1</v>
      </c>
      <c r="J731" s="156"/>
      <c r="K731" s="156">
        <f>ROUND(Pav_Terraplenagem!J116*F731,2)</f>
        <v>0</v>
      </c>
      <c r="L731" s="156">
        <f>IF($K731&gt;$J731,$K731-$J731,0)</f>
        <v>0</v>
      </c>
      <c r="M731" s="156">
        <f>IF($K731&lt;$J731,$J731-$K731,0)</f>
        <v>0</v>
      </c>
      <c r="N731" s="156" t="s">
        <v>83</v>
      </c>
      <c r="O731" s="157" cm="1">
        <f t="array" ref="O731">TRUNC($H731*(1+_xlfn.SWITCH($N731,"BDI 1",$O$6,"BDI 2",$O$7,"BDI 3",$O$8)),2)</f>
        <v>2.52</v>
      </c>
      <c r="P731" s="157" cm="1">
        <f t="array" ref="P731">TRUNC($I731*(1+_xlfn.SWITCH($N731,"BDI 1",$P$6,"BDI 2",$P$7,"BDI 3",$P$8)),2)</f>
        <v>2.66</v>
      </c>
      <c r="Q731" s="157">
        <v>0</v>
      </c>
      <c r="R731" s="157">
        <f>$Q731-($Q731*LICITACAO_DESCONTO)</f>
        <v>0</v>
      </c>
      <c r="S731" s="156">
        <f>TRUNC($K731*$O731,2)</f>
        <v>0</v>
      </c>
      <c r="T731" s="156">
        <f>TRUNC($K731*$P731,2)</f>
        <v>0</v>
      </c>
      <c r="U731" s="156">
        <f>TRUNC($J731*$R731,2)</f>
        <v>0</v>
      </c>
      <c r="V731" s="156">
        <f>TRUNC($K731*$Q731,2)</f>
        <v>0</v>
      </c>
      <c r="W731" s="156">
        <f>TRUNC(V731-U731,2)</f>
        <v>0</v>
      </c>
      <c r="X731" s="158">
        <f>$S731/ORCAMENTO_VALOR_TOTAL_ND</f>
        <v>0</v>
      </c>
      <c r="Y731" s="158">
        <f>$T731/ORCAMENTO_VALOR_TOTAL_DE</f>
        <v>0</v>
      </c>
      <c r="Z731" s="158" cm="1">
        <f t="array" ref="Z731">_xlfn.SWITCH($N731,"BDI 1",$O$6,"BDI 2",$O$7,"BDI 3",$O$8)</f>
        <v>0.20699999999999999</v>
      </c>
      <c r="AA731" s="158" cm="1">
        <f t="array" ref="AA731">_xlfn.SWITCH($N731,"BDI 1",$P$6,"BDI 2",$P$7,"BDI 3",$P$8)</f>
        <v>0.26739999999999997</v>
      </c>
      <c r="AB731" s="158">
        <f ca="1">IFERROR($S731/_xlfn.XLOOKUP($AE731,$B$16:$B$38,$S$16:$S$38),0)</f>
        <v>0</v>
      </c>
      <c r="AC731" s="158">
        <f ca="1">IFERROR($T731/_xlfn.XLOOKUP($AE731,$B$16:$B$38,$T$16:$T$38),0)</f>
        <v>0</v>
      </c>
      <c r="AD731" s="164"/>
      <c r="AE731" s="148">
        <f t="shared" ref="AE731" si="1219">IF(S731&gt;0,IFERROR(TRUNC(A731,0),0),0)</f>
        <v>0</v>
      </c>
      <c r="AF731" s="149"/>
      <c r="AG731" s="150"/>
      <c r="AH731" s="159" t="e">
        <f>+S731/$S$720</f>
        <v>#DIV/0!</v>
      </c>
      <c r="AI731" s="160"/>
      <c r="AJ731" s="105"/>
      <c r="AK731" s="105"/>
      <c r="AM731" s="105"/>
      <c r="AN731" s="105"/>
      <c r="AO731" s="105"/>
      <c r="AP731" s="105"/>
      <c r="AQ731" s="105"/>
      <c r="AR731" s="105"/>
    </row>
    <row r="732" spans="1:44" s="49" customFormat="1" ht="40.15" hidden="1" customHeight="1">
      <c r="A732" s="10" t="e">
        <f t="shared" si="1218"/>
        <v>#REF!</v>
      </c>
      <c r="B732" s="153"/>
      <c r="C732" s="154"/>
      <c r="D732" s="154"/>
      <c r="E732" s="161" t="s">
        <v>103</v>
      </c>
      <c r="F732" s="154"/>
      <c r="G732" s="154"/>
      <c r="H732" s="152"/>
      <c r="I732" s="152"/>
      <c r="J732" s="154"/>
      <c r="K732" s="154"/>
      <c r="L732" s="154"/>
      <c r="M732" s="154"/>
      <c r="N732" s="154"/>
      <c r="O732" s="154"/>
      <c r="P732" s="154"/>
      <c r="Q732" s="154"/>
      <c r="R732" s="154"/>
      <c r="S732" s="162"/>
      <c r="T732" s="162"/>
      <c r="U732" s="162"/>
      <c r="V732" s="162"/>
      <c r="W732" s="162"/>
      <c r="X732" s="154"/>
      <c r="Y732" s="154"/>
      <c r="Z732" s="154"/>
      <c r="AA732" s="154"/>
      <c r="AB732" s="154"/>
      <c r="AC732" s="154"/>
      <c r="AD732" s="106"/>
      <c r="AE732" s="148">
        <f>IF(SUM(S733:S734)&gt;0,IFERROR(TRUNC(A732,0),0),0)</f>
        <v>0</v>
      </c>
      <c r="AF732" s="149"/>
      <c r="AG732" s="150"/>
      <c r="AH732" s="159"/>
      <c r="AI732" s="160"/>
      <c r="AJ732" s="105"/>
      <c r="AK732" s="105"/>
      <c r="AM732" s="105"/>
      <c r="AN732" s="105"/>
      <c r="AO732" s="105"/>
      <c r="AP732" s="105"/>
      <c r="AQ732" s="105"/>
      <c r="AR732" s="105"/>
    </row>
    <row r="733" spans="1:44" s="49" customFormat="1" ht="40.15" hidden="1" customHeight="1">
      <c r="A733" s="152" t="e">
        <f>+IF(K733&gt;0,A732+0.01,A732)</f>
        <v>#REF!</v>
      </c>
      <c r="B733" s="153">
        <v>95876</v>
      </c>
      <c r="C733" s="154" t="str">
        <f>TEXT(B733,"0")</f>
        <v>95876</v>
      </c>
      <c r="D733" s="154" t="s">
        <v>1416</v>
      </c>
      <c r="E733" s="155" t="s">
        <v>3537</v>
      </c>
      <c r="F733" s="154">
        <f>IF(Dados_DMT!$B$34&lt;30,Dados_DMT!$B$34,30)</f>
        <v>30</v>
      </c>
      <c r="G733" s="154" t="s">
        <v>3538</v>
      </c>
      <c r="H733" s="152">
        <v>2.09</v>
      </c>
      <c r="I733" s="152">
        <v>2.1</v>
      </c>
      <c r="J733" s="156"/>
      <c r="K733" s="156">
        <f>ROUND(Pav_Terraplenagem!J112*F733,2)</f>
        <v>0</v>
      </c>
      <c r="L733" s="156">
        <f>IF($K733&gt;$J733,$K733-$J733,0)</f>
        <v>0</v>
      </c>
      <c r="M733" s="156">
        <f>IF($K733&lt;$J733,$J733-$K733,0)</f>
        <v>0</v>
      </c>
      <c r="N733" s="156" t="s">
        <v>83</v>
      </c>
      <c r="O733" s="157" cm="1">
        <f t="array" ref="O733">TRUNC($H733*(1+_xlfn.SWITCH($N733,"BDI 1",$O$6,"BDI 2",$O$7,"BDI 3",$O$8)),2)</f>
        <v>2.52</v>
      </c>
      <c r="P733" s="157" cm="1">
        <f t="array" ref="P733">TRUNC($I733*(1+_xlfn.SWITCH($N733,"BDI 1",$P$6,"BDI 2",$P$7,"BDI 3",$P$8)),2)</f>
        <v>2.66</v>
      </c>
      <c r="Q733" s="157">
        <v>0</v>
      </c>
      <c r="R733" s="157">
        <f>$Q733-($Q733*LICITACAO_DESCONTO)</f>
        <v>0</v>
      </c>
      <c r="S733" s="156">
        <f>TRUNC($K733*$O733,2)</f>
        <v>0</v>
      </c>
      <c r="T733" s="156">
        <f>TRUNC($K733*$P733,2)</f>
        <v>0</v>
      </c>
      <c r="U733" s="156">
        <f>TRUNC($J733*$R733,2)</f>
        <v>0</v>
      </c>
      <c r="V733" s="156">
        <f>TRUNC($K733*$Q733,2)</f>
        <v>0</v>
      </c>
      <c r="W733" s="156">
        <f>TRUNC(V733-U733,2)</f>
        <v>0</v>
      </c>
      <c r="X733" s="158">
        <f>$S733/ORCAMENTO_VALOR_TOTAL_ND</f>
        <v>0</v>
      </c>
      <c r="Y733" s="158">
        <f>$T733/ORCAMENTO_VALOR_TOTAL_DE</f>
        <v>0</v>
      </c>
      <c r="Z733" s="158" cm="1">
        <f t="array" ref="Z733">_xlfn.SWITCH($N733,"BDI 1",$O$6,"BDI 2",$O$7,"BDI 3",$O$8)</f>
        <v>0.20699999999999999</v>
      </c>
      <c r="AA733" s="158" cm="1">
        <f t="array" ref="AA733">_xlfn.SWITCH($N733,"BDI 1",$P$6,"BDI 2",$P$7,"BDI 3",$P$8)</f>
        <v>0.26739999999999997</v>
      </c>
      <c r="AB733" s="158">
        <f ca="1">IFERROR($S733/_xlfn.XLOOKUP($AE733,$B$16:$B$38,$S$16:$S$38),0)</f>
        <v>0</v>
      </c>
      <c r="AC733" s="158">
        <f ca="1">IFERROR($T733/_xlfn.XLOOKUP($AE733,$B$16:$B$38,$T$16:$T$38),0)</f>
        <v>0</v>
      </c>
      <c r="AD733" s="164"/>
      <c r="AE733" s="148">
        <f t="shared" ref="AE733:AE734" si="1220">IF(S733&gt;0,IFERROR(TRUNC(A733,0),0),0)</f>
        <v>0</v>
      </c>
      <c r="AF733" s="149"/>
      <c r="AG733" s="150"/>
      <c r="AH733" s="159" t="e">
        <f>+S733/$S$720</f>
        <v>#DIV/0!</v>
      </c>
      <c r="AI733" s="166">
        <f>IF(K733=0,0,K733/F733)</f>
        <v>0</v>
      </c>
      <c r="AJ733" s="105"/>
      <c r="AK733" s="105"/>
      <c r="AM733" s="105"/>
      <c r="AN733" s="105"/>
      <c r="AO733" s="105"/>
      <c r="AP733" s="105"/>
      <c r="AQ733" s="105"/>
      <c r="AR733" s="105"/>
    </row>
    <row r="734" spans="1:44" s="49" customFormat="1" ht="40.15" hidden="1" customHeight="1">
      <c r="A734" s="152" t="e">
        <f t="shared" ref="A734:A744" si="1221">+IF(K734&gt;0,A733+0.01,A733)</f>
        <v>#REF!</v>
      </c>
      <c r="B734" s="153">
        <v>93593</v>
      </c>
      <c r="C734" s="154" t="str">
        <f>TEXT(B734,"0")</f>
        <v>93593</v>
      </c>
      <c r="D734" s="154" t="s">
        <v>1416</v>
      </c>
      <c r="E734" s="155" t="s">
        <v>3545</v>
      </c>
      <c r="F734" s="154">
        <f>+Dados_DMT!$B$34-F733</f>
        <v>80</v>
      </c>
      <c r="G734" s="154" t="s">
        <v>3538</v>
      </c>
      <c r="H734" s="152">
        <v>0.84</v>
      </c>
      <c r="I734" s="152">
        <v>0.85</v>
      </c>
      <c r="J734" s="156"/>
      <c r="K734" s="156">
        <f>ROUND(Pav_Terraplenagem!J112*F734,2)</f>
        <v>0</v>
      </c>
      <c r="L734" s="156">
        <f>IF($K734&gt;$J734,$K734-$J734,0)</f>
        <v>0</v>
      </c>
      <c r="M734" s="156">
        <f>IF($K734&lt;$J734,$J734-$K734,0)</f>
        <v>0</v>
      </c>
      <c r="N734" s="156" t="s">
        <v>83</v>
      </c>
      <c r="O734" s="157" cm="1">
        <f t="array" ref="O734">TRUNC($H734*(1+_xlfn.SWITCH($N734,"BDI 1",$O$6,"BDI 2",$O$7,"BDI 3",$O$8)),2)</f>
        <v>1.01</v>
      </c>
      <c r="P734" s="157" cm="1">
        <f t="array" ref="P734">TRUNC($I734*(1+_xlfn.SWITCH($N734,"BDI 1",$P$6,"BDI 2",$P$7,"BDI 3",$P$8)),2)</f>
        <v>1.07</v>
      </c>
      <c r="Q734" s="157">
        <v>0</v>
      </c>
      <c r="R734" s="157">
        <f>$Q734-($Q734*LICITACAO_DESCONTO)</f>
        <v>0</v>
      </c>
      <c r="S734" s="156">
        <f>TRUNC($K734*$O734,2)</f>
        <v>0</v>
      </c>
      <c r="T734" s="156">
        <f>TRUNC($K734*$P734,2)</f>
        <v>0</v>
      </c>
      <c r="U734" s="156">
        <f>TRUNC($J734*$R734,2)</f>
        <v>0</v>
      </c>
      <c r="V734" s="156">
        <f>TRUNC($K734*$Q734,2)</f>
        <v>0</v>
      </c>
      <c r="W734" s="156">
        <f>TRUNC(V734-U734,2)</f>
        <v>0</v>
      </c>
      <c r="X734" s="158">
        <f>$S734/ORCAMENTO_VALOR_TOTAL_ND</f>
        <v>0</v>
      </c>
      <c r="Y734" s="158">
        <f>$T734/ORCAMENTO_VALOR_TOTAL_DE</f>
        <v>0</v>
      </c>
      <c r="Z734" s="158" cm="1">
        <f t="array" ref="Z734">_xlfn.SWITCH($N734,"BDI 1",$O$6,"BDI 2",$O$7,"BDI 3",$O$8)</f>
        <v>0.20699999999999999</v>
      </c>
      <c r="AA734" s="158" cm="1">
        <f t="array" ref="AA734">_xlfn.SWITCH($N734,"BDI 1",$P$6,"BDI 2",$P$7,"BDI 3",$P$8)</f>
        <v>0.26739999999999997</v>
      </c>
      <c r="AB734" s="158">
        <f ca="1">IFERROR($S734/_xlfn.XLOOKUP($AE734,$B$16:$B$38,$S$16:$S$38),0)</f>
        <v>0</v>
      </c>
      <c r="AC734" s="158">
        <f ca="1">IFERROR($T734/_xlfn.XLOOKUP($AE734,$B$16:$B$38,$T$16:$T$38),0)</f>
        <v>0</v>
      </c>
      <c r="AD734" s="164"/>
      <c r="AE734" s="148">
        <f t="shared" si="1220"/>
        <v>0</v>
      </c>
      <c r="AF734" s="149"/>
      <c r="AG734" s="150"/>
      <c r="AH734" s="159" t="e">
        <f>+S734/$S$720</f>
        <v>#DIV/0!</v>
      </c>
      <c r="AI734" s="166">
        <f>IF(K734=0,0,K734/F734)</f>
        <v>0</v>
      </c>
      <c r="AJ734" s="105"/>
      <c r="AK734" s="105"/>
      <c r="AM734" s="105"/>
      <c r="AN734" s="105"/>
      <c r="AO734" s="105"/>
      <c r="AP734" s="105"/>
      <c r="AQ734" s="105"/>
      <c r="AR734" s="105"/>
    </row>
    <row r="735" spans="1:44" s="49" customFormat="1" ht="40.15" hidden="1" customHeight="1">
      <c r="A735" s="10" t="e">
        <f t="shared" si="1221"/>
        <v>#REF!</v>
      </c>
      <c r="B735" s="153"/>
      <c r="C735" s="154"/>
      <c r="D735" s="154"/>
      <c r="E735" s="161" t="s">
        <v>102</v>
      </c>
      <c r="F735" s="154"/>
      <c r="G735" s="154"/>
      <c r="H735" s="152"/>
      <c r="I735" s="152"/>
      <c r="J735" s="154"/>
      <c r="K735" s="154"/>
      <c r="L735" s="154"/>
      <c r="M735" s="154"/>
      <c r="N735" s="154"/>
      <c r="O735" s="154"/>
      <c r="P735" s="154"/>
      <c r="Q735" s="154"/>
      <c r="R735" s="154"/>
      <c r="S735" s="162"/>
      <c r="T735" s="162"/>
      <c r="U735" s="162"/>
      <c r="V735" s="162"/>
      <c r="W735" s="162"/>
      <c r="X735" s="154"/>
      <c r="Y735" s="154"/>
      <c r="Z735" s="154"/>
      <c r="AA735" s="154"/>
      <c r="AB735" s="154"/>
      <c r="AC735" s="154"/>
      <c r="AD735" s="106"/>
      <c r="AE735" s="148">
        <f>IF(SUM(S736:S737)&gt;0,IFERROR(TRUNC(A735,0),0),0)</f>
        <v>0</v>
      </c>
      <c r="AF735" s="149"/>
      <c r="AG735" s="150"/>
      <c r="AH735" s="159"/>
      <c r="AI735" s="160" t="s">
        <v>85</v>
      </c>
      <c r="AJ735" s="105"/>
      <c r="AK735" s="105"/>
      <c r="AM735" s="105"/>
      <c r="AN735" s="105"/>
      <c r="AO735" s="105"/>
      <c r="AP735" s="105"/>
      <c r="AQ735" s="105"/>
      <c r="AR735" s="105"/>
    </row>
    <row r="736" spans="1:44" s="49" customFormat="1" ht="40.15" hidden="1" customHeight="1">
      <c r="A736" s="152" t="e">
        <f t="shared" si="1221"/>
        <v>#REF!</v>
      </c>
      <c r="B736" s="153">
        <v>95876</v>
      </c>
      <c r="C736" s="154" t="str">
        <f>TEXT(B736,"0")</f>
        <v>95876</v>
      </c>
      <c r="D736" s="154" t="s">
        <v>1416</v>
      </c>
      <c r="E736" s="155" t="s">
        <v>3537</v>
      </c>
      <c r="F736" s="154">
        <f>IF(Dados_DMT!$B$17&lt;30,Dados_DMT!$B$17,30)</f>
        <v>3.5</v>
      </c>
      <c r="G736" s="154" t="s">
        <v>3538</v>
      </c>
      <c r="H736" s="152">
        <v>2.09</v>
      </c>
      <c r="I736" s="152">
        <v>2.1</v>
      </c>
      <c r="J736" s="156"/>
      <c r="K736" s="156">
        <f>ROUND(Pav_Terraplenagem!J114*F736,2)</f>
        <v>0</v>
      </c>
      <c r="L736" s="156">
        <f>IF($K736&gt;$J736,$K736-$J736,0)</f>
        <v>0</v>
      </c>
      <c r="M736" s="156">
        <f>IF($K736&lt;$J736,$J736-$K736,0)</f>
        <v>0</v>
      </c>
      <c r="N736" s="156" t="s">
        <v>83</v>
      </c>
      <c r="O736" s="157" cm="1">
        <f t="array" ref="O736">TRUNC($H736*(1+_xlfn.SWITCH($N736,"BDI 1",$O$6,"BDI 2",$O$7,"BDI 3",$O$8)),2)</f>
        <v>2.52</v>
      </c>
      <c r="P736" s="157" cm="1">
        <f t="array" ref="P736">TRUNC($I736*(1+_xlfn.SWITCH($N736,"BDI 1",$P$6,"BDI 2",$P$7,"BDI 3",$P$8)),2)</f>
        <v>2.66</v>
      </c>
      <c r="Q736" s="157">
        <v>0</v>
      </c>
      <c r="R736" s="157">
        <f>$Q736-($Q736*LICITACAO_DESCONTO)</f>
        <v>0</v>
      </c>
      <c r="S736" s="156">
        <f>TRUNC($K736*$O736,2)</f>
        <v>0</v>
      </c>
      <c r="T736" s="156">
        <f>TRUNC($K736*$P736,2)</f>
        <v>0</v>
      </c>
      <c r="U736" s="156">
        <f>TRUNC($J736*$R736,2)</f>
        <v>0</v>
      </c>
      <c r="V736" s="156">
        <f>TRUNC($K736*$Q736,2)</f>
        <v>0</v>
      </c>
      <c r="W736" s="156">
        <f>TRUNC(V736-U736,2)</f>
        <v>0</v>
      </c>
      <c r="X736" s="158">
        <f>$S736/ORCAMENTO_VALOR_TOTAL_ND</f>
        <v>0</v>
      </c>
      <c r="Y736" s="158">
        <f>$T736/ORCAMENTO_VALOR_TOTAL_DE</f>
        <v>0</v>
      </c>
      <c r="Z736" s="158" cm="1">
        <f t="array" ref="Z736">_xlfn.SWITCH($N736,"BDI 1",$O$6,"BDI 2",$O$7,"BDI 3",$O$8)</f>
        <v>0.20699999999999999</v>
      </c>
      <c r="AA736" s="158" cm="1">
        <f t="array" ref="AA736">_xlfn.SWITCH($N736,"BDI 1",$P$6,"BDI 2",$P$7,"BDI 3",$P$8)</f>
        <v>0.26739999999999997</v>
      </c>
      <c r="AB736" s="158">
        <f ca="1">IFERROR($S736/_xlfn.XLOOKUP($AE736,$B$16:$B$38,$S$16:$S$38),0)</f>
        <v>0</v>
      </c>
      <c r="AC736" s="158">
        <f ca="1">IFERROR($T736/_xlfn.XLOOKUP($AE736,$B$16:$B$38,$T$16:$T$38),0)</f>
        <v>0</v>
      </c>
      <c r="AD736" s="164"/>
      <c r="AE736" s="148">
        <f t="shared" ref="AE736:AE737" si="1222">IF(S736&gt;0,IFERROR(TRUNC(A736,0),0),0)</f>
        <v>0</v>
      </c>
      <c r="AF736" s="149"/>
      <c r="AG736" s="150"/>
      <c r="AH736" s="159" t="e">
        <f>+S736/$S$720</f>
        <v>#DIV/0!</v>
      </c>
      <c r="AI736" s="166">
        <f>IF(K736=0,0,K736/F736)</f>
        <v>0</v>
      </c>
      <c r="AJ736" s="105"/>
      <c r="AK736" s="105"/>
      <c r="AM736" s="105"/>
      <c r="AN736" s="105"/>
      <c r="AO736" s="105"/>
      <c r="AP736" s="105"/>
      <c r="AQ736" s="105"/>
      <c r="AR736" s="105"/>
    </row>
    <row r="737" spans="1:44" s="49" customFormat="1" ht="40.15" hidden="1" customHeight="1">
      <c r="A737" s="152" t="e">
        <f t="shared" si="1221"/>
        <v>#REF!</v>
      </c>
      <c r="B737" s="153">
        <v>93593</v>
      </c>
      <c r="C737" s="154" t="str">
        <f>TEXT(B737,"0")</f>
        <v>93593</v>
      </c>
      <c r="D737" s="154" t="s">
        <v>1416</v>
      </c>
      <c r="E737" s="155" t="s">
        <v>3545</v>
      </c>
      <c r="F737" s="154">
        <f>Dados_DMT!$B$17-F736</f>
        <v>0</v>
      </c>
      <c r="G737" s="154" t="s">
        <v>3538</v>
      </c>
      <c r="H737" s="152">
        <v>0.84</v>
      </c>
      <c r="I737" s="152">
        <v>0.85</v>
      </c>
      <c r="J737" s="156"/>
      <c r="K737" s="156">
        <f>ROUND(Pav_Terraplenagem!J114*F737,2)</f>
        <v>0</v>
      </c>
      <c r="L737" s="156">
        <f>IF($K737&gt;$J737,$K737-$J737,0)</f>
        <v>0</v>
      </c>
      <c r="M737" s="156">
        <f>IF($K737&lt;$J737,$J737-$K737,0)</f>
        <v>0</v>
      </c>
      <c r="N737" s="156" t="s">
        <v>83</v>
      </c>
      <c r="O737" s="157" cm="1">
        <f t="array" ref="O737">TRUNC($H737*(1+_xlfn.SWITCH($N737,"BDI 1",$O$6,"BDI 2",$O$7,"BDI 3",$O$8)),2)</f>
        <v>1.01</v>
      </c>
      <c r="P737" s="157" cm="1">
        <f t="array" ref="P737">TRUNC($I737*(1+_xlfn.SWITCH($N737,"BDI 1",$P$6,"BDI 2",$P$7,"BDI 3",$P$8)),2)</f>
        <v>1.07</v>
      </c>
      <c r="Q737" s="157">
        <v>0</v>
      </c>
      <c r="R737" s="157">
        <f>$Q737-($Q737*LICITACAO_DESCONTO)</f>
        <v>0</v>
      </c>
      <c r="S737" s="156">
        <f>TRUNC($K737*$O737,2)</f>
        <v>0</v>
      </c>
      <c r="T737" s="156">
        <f>TRUNC($K737*$P737,2)</f>
        <v>0</v>
      </c>
      <c r="U737" s="156">
        <f>TRUNC($J737*$R737,2)</f>
        <v>0</v>
      </c>
      <c r="V737" s="156">
        <f>TRUNC($K737*$Q737,2)</f>
        <v>0</v>
      </c>
      <c r="W737" s="156">
        <f>TRUNC(V737-U737,2)</f>
        <v>0</v>
      </c>
      <c r="X737" s="158">
        <f>$S737/ORCAMENTO_VALOR_TOTAL_ND</f>
        <v>0</v>
      </c>
      <c r="Y737" s="158">
        <f>$T737/ORCAMENTO_VALOR_TOTAL_DE</f>
        <v>0</v>
      </c>
      <c r="Z737" s="158" cm="1">
        <f t="array" ref="Z737">_xlfn.SWITCH($N737,"BDI 1",$O$6,"BDI 2",$O$7,"BDI 3",$O$8)</f>
        <v>0.20699999999999999</v>
      </c>
      <c r="AA737" s="158" cm="1">
        <f t="array" ref="AA737">_xlfn.SWITCH($N737,"BDI 1",$P$6,"BDI 2",$P$7,"BDI 3",$P$8)</f>
        <v>0.26739999999999997</v>
      </c>
      <c r="AB737" s="158">
        <f ca="1">IFERROR($S737/_xlfn.XLOOKUP($AE737,$B$16:$B$38,$S$16:$S$38),0)</f>
        <v>0</v>
      </c>
      <c r="AC737" s="158">
        <f ca="1">IFERROR($T737/_xlfn.XLOOKUP($AE737,$B$16:$B$38,$T$16:$T$38),0)</f>
        <v>0</v>
      </c>
      <c r="AD737" s="164"/>
      <c r="AE737" s="148">
        <f t="shared" si="1222"/>
        <v>0</v>
      </c>
      <c r="AF737" s="149"/>
      <c r="AG737" s="150"/>
      <c r="AH737" s="159" t="e">
        <f>+S737/$S$720</f>
        <v>#DIV/0!</v>
      </c>
      <c r="AI737" s="166">
        <f>IF(K737=0,0,K737/F737)</f>
        <v>0</v>
      </c>
      <c r="AJ737" s="105"/>
      <c r="AK737" s="105"/>
      <c r="AM737" s="105"/>
      <c r="AN737" s="105"/>
      <c r="AO737" s="105"/>
      <c r="AP737" s="105"/>
      <c r="AQ737" s="105"/>
      <c r="AR737" s="105"/>
    </row>
    <row r="738" spans="1:44" s="49" customFormat="1" ht="40.15" hidden="1" customHeight="1">
      <c r="A738" s="10" t="e">
        <f t="shared" si="1221"/>
        <v>#REF!</v>
      </c>
      <c r="B738" s="153"/>
      <c r="C738" s="154"/>
      <c r="D738" s="154"/>
      <c r="E738" s="161" t="s">
        <v>137</v>
      </c>
      <c r="F738" s="154"/>
      <c r="G738" s="154"/>
      <c r="H738" s="152"/>
      <c r="I738" s="152"/>
      <c r="J738" s="154"/>
      <c r="K738" s="154"/>
      <c r="L738" s="154"/>
      <c r="M738" s="154"/>
      <c r="N738" s="154"/>
      <c r="O738" s="154"/>
      <c r="P738" s="154"/>
      <c r="Q738" s="154"/>
      <c r="R738" s="154"/>
      <c r="S738" s="162"/>
      <c r="T738" s="162"/>
      <c r="U738" s="162"/>
      <c r="V738" s="162"/>
      <c r="W738" s="162"/>
      <c r="X738" s="154"/>
      <c r="Y738" s="154"/>
      <c r="Z738" s="154"/>
      <c r="AA738" s="154"/>
      <c r="AB738" s="154"/>
      <c r="AC738" s="154"/>
      <c r="AD738" s="106"/>
      <c r="AE738" s="148">
        <f>IF(SUM(S739:S740)&gt;0,IFERROR(TRUNC(A738,0),0),0)</f>
        <v>0</v>
      </c>
      <c r="AF738" s="149"/>
      <c r="AG738" s="150"/>
      <c r="AH738" s="159"/>
      <c r="AI738" s="160" t="s">
        <v>138</v>
      </c>
      <c r="AJ738" s="105"/>
      <c r="AK738" s="105"/>
      <c r="AM738" s="105"/>
      <c r="AN738" s="105"/>
      <c r="AO738" s="105"/>
      <c r="AP738" s="105"/>
      <c r="AQ738" s="105"/>
      <c r="AR738" s="105"/>
    </row>
    <row r="739" spans="1:44" s="49" customFormat="1" ht="40.15" hidden="1" customHeight="1">
      <c r="A739" s="152" t="e">
        <f t="shared" si="1221"/>
        <v>#REF!</v>
      </c>
      <c r="B739" s="153">
        <v>95876</v>
      </c>
      <c r="C739" s="154" t="str">
        <f>TEXT(B739,"0")</f>
        <v>95876</v>
      </c>
      <c r="D739" s="154" t="s">
        <v>1416</v>
      </c>
      <c r="E739" s="155" t="s">
        <v>3537</v>
      </c>
      <c r="F739" s="154">
        <f>IF(Dados_DMT!$B$17&lt;30,Dados_DMT!$B$17,30)</f>
        <v>3.5</v>
      </c>
      <c r="G739" s="154" t="s">
        <v>3538</v>
      </c>
      <c r="H739" s="152">
        <v>2.09</v>
      </c>
      <c r="I739" s="152">
        <v>2.1</v>
      </c>
      <c r="J739" s="156"/>
      <c r="K739" s="156">
        <f>ROUND(Pav_Terraplenagem!J115*F739,2)</f>
        <v>0</v>
      </c>
      <c r="L739" s="156">
        <f>IF($K739&gt;$J739,$K739-$J739,0)</f>
        <v>0</v>
      </c>
      <c r="M739" s="156">
        <f>IF($K739&lt;$J739,$J739-$K739,0)</f>
        <v>0</v>
      </c>
      <c r="N739" s="156" t="s">
        <v>83</v>
      </c>
      <c r="O739" s="157" cm="1">
        <f t="array" ref="O739">TRUNC($H739*(1+_xlfn.SWITCH($N739,"BDI 1",$O$6,"BDI 2",$O$7,"BDI 3",$O$8)),2)</f>
        <v>2.52</v>
      </c>
      <c r="P739" s="157" cm="1">
        <f t="array" ref="P739">TRUNC($I739*(1+_xlfn.SWITCH($N739,"BDI 1",$P$6,"BDI 2",$P$7,"BDI 3",$P$8)),2)</f>
        <v>2.66</v>
      </c>
      <c r="Q739" s="157">
        <v>0</v>
      </c>
      <c r="R739" s="157">
        <f>$Q739-($Q739*LICITACAO_DESCONTO)</f>
        <v>0</v>
      </c>
      <c r="S739" s="156">
        <f>TRUNC($K739*$O739,2)</f>
        <v>0</v>
      </c>
      <c r="T739" s="156">
        <f>TRUNC($K739*$P739,2)</f>
        <v>0</v>
      </c>
      <c r="U739" s="156">
        <f>TRUNC($J739*$R739,2)</f>
        <v>0</v>
      </c>
      <c r="V739" s="156">
        <f>TRUNC($K739*$Q739,2)</f>
        <v>0</v>
      </c>
      <c r="W739" s="156">
        <f>TRUNC(V739-U739,2)</f>
        <v>0</v>
      </c>
      <c r="X739" s="158">
        <f>$S739/ORCAMENTO_VALOR_TOTAL_ND</f>
        <v>0</v>
      </c>
      <c r="Y739" s="158">
        <f>$T739/ORCAMENTO_VALOR_TOTAL_DE</f>
        <v>0</v>
      </c>
      <c r="Z739" s="158" cm="1">
        <f t="array" ref="Z739">_xlfn.SWITCH($N739,"BDI 1",$O$6,"BDI 2",$O$7,"BDI 3",$O$8)</f>
        <v>0.20699999999999999</v>
      </c>
      <c r="AA739" s="158" cm="1">
        <f t="array" ref="AA739">_xlfn.SWITCH($N739,"BDI 1",$P$6,"BDI 2",$P$7,"BDI 3",$P$8)</f>
        <v>0.26739999999999997</v>
      </c>
      <c r="AB739" s="158">
        <f ca="1">IFERROR($S739/_xlfn.XLOOKUP($AE739,$B$16:$B$38,$S$16:$S$38),0)</f>
        <v>0</v>
      </c>
      <c r="AC739" s="158">
        <f ca="1">IFERROR($T739/_xlfn.XLOOKUP($AE739,$B$16:$B$38,$T$16:$T$38),0)</f>
        <v>0</v>
      </c>
      <c r="AD739" s="164"/>
      <c r="AE739" s="148">
        <f t="shared" ref="AE739:AE740" si="1223">IF(S739&gt;0,IFERROR(TRUNC(A739,0),0),0)</f>
        <v>0</v>
      </c>
      <c r="AF739" s="149"/>
      <c r="AG739" s="150"/>
      <c r="AH739" s="159" t="e">
        <f>+S739/$S$720</f>
        <v>#DIV/0!</v>
      </c>
      <c r="AI739" s="166">
        <f>IF(K739=0,0,K739/F739)</f>
        <v>0</v>
      </c>
      <c r="AJ739" s="105"/>
      <c r="AK739" s="105"/>
      <c r="AM739" s="105"/>
      <c r="AN739" s="105"/>
      <c r="AO739" s="105"/>
      <c r="AP739" s="105"/>
      <c r="AQ739" s="105"/>
      <c r="AR739" s="105"/>
    </row>
    <row r="740" spans="1:44" s="49" customFormat="1" ht="40.15" hidden="1" customHeight="1">
      <c r="A740" s="152" t="e">
        <f t="shared" si="1221"/>
        <v>#REF!</v>
      </c>
      <c r="B740" s="153">
        <v>93593</v>
      </c>
      <c r="C740" s="154" t="str">
        <f>TEXT(B740,"0")</f>
        <v>93593</v>
      </c>
      <c r="D740" s="154" t="s">
        <v>1416</v>
      </c>
      <c r="E740" s="155" t="s">
        <v>3545</v>
      </c>
      <c r="F740" s="154">
        <f>+Dados_DMT!$B$17-F739</f>
        <v>0</v>
      </c>
      <c r="G740" s="154" t="s">
        <v>3538</v>
      </c>
      <c r="H740" s="152">
        <v>0.84</v>
      </c>
      <c r="I740" s="152">
        <v>0.85</v>
      </c>
      <c r="J740" s="156"/>
      <c r="K740" s="156">
        <f>ROUND(Pav_Terraplenagem!J115*F740,2)</f>
        <v>0</v>
      </c>
      <c r="L740" s="156">
        <f>IF($K740&gt;$J740,$K740-$J740,0)</f>
        <v>0</v>
      </c>
      <c r="M740" s="156">
        <f>IF($K740&lt;$J740,$J740-$K740,0)</f>
        <v>0</v>
      </c>
      <c r="N740" s="156" t="s">
        <v>83</v>
      </c>
      <c r="O740" s="157" cm="1">
        <f t="array" ref="O740">TRUNC($H740*(1+_xlfn.SWITCH($N740,"BDI 1",$O$6,"BDI 2",$O$7,"BDI 3",$O$8)),2)</f>
        <v>1.01</v>
      </c>
      <c r="P740" s="157" cm="1">
        <f t="array" ref="P740">TRUNC($I740*(1+_xlfn.SWITCH($N740,"BDI 1",$P$6,"BDI 2",$P$7,"BDI 3",$P$8)),2)</f>
        <v>1.07</v>
      </c>
      <c r="Q740" s="157">
        <v>0</v>
      </c>
      <c r="R740" s="157">
        <f>$Q740-($Q740*LICITACAO_DESCONTO)</f>
        <v>0</v>
      </c>
      <c r="S740" s="156">
        <f>TRUNC($K740*$O740,2)</f>
        <v>0</v>
      </c>
      <c r="T740" s="156">
        <f>TRUNC($K740*$P740,2)</f>
        <v>0</v>
      </c>
      <c r="U740" s="156">
        <f>TRUNC($J740*$R740,2)</f>
        <v>0</v>
      </c>
      <c r="V740" s="156">
        <f>TRUNC($K740*$Q740,2)</f>
        <v>0</v>
      </c>
      <c r="W740" s="156">
        <f>TRUNC(V740-U740,2)</f>
        <v>0</v>
      </c>
      <c r="X740" s="158">
        <f>$S740/ORCAMENTO_VALOR_TOTAL_ND</f>
        <v>0</v>
      </c>
      <c r="Y740" s="158">
        <f>$T740/ORCAMENTO_VALOR_TOTAL_DE</f>
        <v>0</v>
      </c>
      <c r="Z740" s="158" cm="1">
        <f t="array" ref="Z740">_xlfn.SWITCH($N740,"BDI 1",$O$6,"BDI 2",$O$7,"BDI 3",$O$8)</f>
        <v>0.20699999999999999</v>
      </c>
      <c r="AA740" s="158" cm="1">
        <f t="array" ref="AA740">_xlfn.SWITCH($N740,"BDI 1",$P$6,"BDI 2",$P$7,"BDI 3",$P$8)</f>
        <v>0.26739999999999997</v>
      </c>
      <c r="AB740" s="158">
        <f ca="1">IFERROR($S740/_xlfn.XLOOKUP($AE740,$B$16:$B$38,$S$16:$S$38),0)</f>
        <v>0</v>
      </c>
      <c r="AC740" s="158">
        <f ca="1">IFERROR($T740/_xlfn.XLOOKUP($AE740,$B$16:$B$38,$T$16:$T$38),0)</f>
        <v>0</v>
      </c>
      <c r="AD740" s="164"/>
      <c r="AE740" s="148">
        <f t="shared" si="1223"/>
        <v>0</v>
      </c>
      <c r="AF740" s="149"/>
      <c r="AG740" s="150"/>
      <c r="AH740" s="159" t="e">
        <f>+S740/$S$720</f>
        <v>#DIV/0!</v>
      </c>
      <c r="AI740" s="166">
        <f>IF(K740=0,0,K740/F740)</f>
        <v>0</v>
      </c>
      <c r="AJ740" s="105"/>
      <c r="AK740" s="105"/>
      <c r="AM740" s="105"/>
      <c r="AN740" s="105"/>
      <c r="AO740" s="105"/>
      <c r="AP740" s="105"/>
      <c r="AQ740" s="105"/>
      <c r="AR740" s="105"/>
    </row>
    <row r="741" spans="1:44" s="49" customFormat="1" ht="40.15" hidden="1" customHeight="1">
      <c r="A741" s="10" t="e">
        <f t="shared" si="1221"/>
        <v>#REF!</v>
      </c>
      <c r="B741" s="153"/>
      <c r="C741" s="154"/>
      <c r="D741" s="154"/>
      <c r="E741" s="161" t="s">
        <v>139</v>
      </c>
      <c r="F741" s="154"/>
      <c r="G741" s="154"/>
      <c r="H741" s="152"/>
      <c r="I741" s="152"/>
      <c r="J741" s="154"/>
      <c r="K741" s="154"/>
      <c r="L741" s="154"/>
      <c r="M741" s="154"/>
      <c r="N741" s="154"/>
      <c r="O741" s="154"/>
      <c r="P741" s="154"/>
      <c r="Q741" s="154"/>
      <c r="R741" s="154"/>
      <c r="S741" s="162"/>
      <c r="T741" s="162"/>
      <c r="U741" s="162"/>
      <c r="V741" s="162"/>
      <c r="W741" s="162"/>
      <c r="X741" s="154"/>
      <c r="Y741" s="154"/>
      <c r="Z741" s="154"/>
      <c r="AA741" s="154"/>
      <c r="AB741" s="154"/>
      <c r="AC741" s="154"/>
      <c r="AD741" s="106"/>
      <c r="AE741" s="148">
        <f>IF(SUM(S742:S743)&gt;0,IFERROR(TRUNC(A741,0),0),0)</f>
        <v>0</v>
      </c>
      <c r="AF741" s="149"/>
      <c r="AG741" s="150"/>
      <c r="AH741" s="159"/>
      <c r="AI741" s="160"/>
      <c r="AJ741" s="105"/>
      <c r="AK741" s="105"/>
      <c r="AM741" s="105"/>
      <c r="AN741" s="105"/>
      <c r="AO741" s="105"/>
      <c r="AP741" s="105"/>
      <c r="AQ741" s="105"/>
      <c r="AR741" s="105"/>
    </row>
    <row r="742" spans="1:44" s="49" customFormat="1" ht="40.15" hidden="1" customHeight="1">
      <c r="A742" s="152" t="e">
        <f t="shared" si="1221"/>
        <v>#REF!</v>
      </c>
      <c r="B742" s="153">
        <v>95876</v>
      </c>
      <c r="C742" s="154" t="str">
        <f>TEXT(B742,"0")</f>
        <v>95876</v>
      </c>
      <c r="D742" s="154" t="s">
        <v>1416</v>
      </c>
      <c r="E742" s="155" t="s">
        <v>3537</v>
      </c>
      <c r="F742" s="154">
        <f>IF(Dados_DMT!$B$14&lt;30,Dados_DMT!$B$14,30)</f>
        <v>3.5</v>
      </c>
      <c r="G742" s="154" t="s">
        <v>3538</v>
      </c>
      <c r="H742" s="152">
        <v>2.09</v>
      </c>
      <c r="I742" s="152">
        <v>2.1</v>
      </c>
      <c r="J742" s="156"/>
      <c r="K742" s="156">
        <f>ROUND(Pav_Terraplenagem!J117*F742,2)</f>
        <v>0</v>
      </c>
      <c r="L742" s="156">
        <f>IF($K742&gt;$J742,$K742-$J742,0)</f>
        <v>0</v>
      </c>
      <c r="M742" s="156">
        <f>IF($K742&lt;$J742,$J742-$K742,0)</f>
        <v>0</v>
      </c>
      <c r="N742" s="156" t="s">
        <v>83</v>
      </c>
      <c r="O742" s="157" cm="1">
        <f t="array" ref="O742">TRUNC($H742*(1+_xlfn.SWITCH($N742,"BDI 1",$O$6,"BDI 2",$O$7,"BDI 3",$O$8)),2)</f>
        <v>2.52</v>
      </c>
      <c r="P742" s="157" cm="1">
        <f t="array" ref="P742">TRUNC($I742*(1+_xlfn.SWITCH($N742,"BDI 1",$P$6,"BDI 2",$P$7,"BDI 3",$P$8)),2)</f>
        <v>2.66</v>
      </c>
      <c r="Q742" s="157">
        <v>0</v>
      </c>
      <c r="R742" s="157">
        <f>$Q742-($Q742*LICITACAO_DESCONTO)</f>
        <v>0</v>
      </c>
      <c r="S742" s="156">
        <f>TRUNC($K742*$O742,2)</f>
        <v>0</v>
      </c>
      <c r="T742" s="156">
        <f>TRUNC($K742*$P742,2)</f>
        <v>0</v>
      </c>
      <c r="U742" s="156">
        <f>TRUNC($J742*$R742,2)</f>
        <v>0</v>
      </c>
      <c r="V742" s="156">
        <f>TRUNC($K742*$Q742,2)</f>
        <v>0</v>
      </c>
      <c r="W742" s="156">
        <f>TRUNC(V742-U742,2)</f>
        <v>0</v>
      </c>
      <c r="X742" s="158">
        <f>$S742/ORCAMENTO_VALOR_TOTAL_ND</f>
        <v>0</v>
      </c>
      <c r="Y742" s="158">
        <f>$T742/ORCAMENTO_VALOR_TOTAL_DE</f>
        <v>0</v>
      </c>
      <c r="Z742" s="158" cm="1">
        <f t="array" ref="Z742">_xlfn.SWITCH($N742,"BDI 1",$O$6,"BDI 2",$O$7,"BDI 3",$O$8)</f>
        <v>0.20699999999999999</v>
      </c>
      <c r="AA742" s="158" cm="1">
        <f t="array" ref="AA742">_xlfn.SWITCH($N742,"BDI 1",$P$6,"BDI 2",$P$7,"BDI 3",$P$8)</f>
        <v>0.26739999999999997</v>
      </c>
      <c r="AB742" s="158">
        <f ca="1">IFERROR($S742/_xlfn.XLOOKUP($AE742,$B$16:$B$38,$S$16:$S$38),0)</f>
        <v>0</v>
      </c>
      <c r="AC742" s="158">
        <f ca="1">IFERROR($T742/_xlfn.XLOOKUP($AE742,$B$16:$B$38,$T$16:$T$38),0)</f>
        <v>0</v>
      </c>
      <c r="AD742" s="164"/>
      <c r="AE742" s="148">
        <f t="shared" ref="AE742:AE743" si="1224">IF(S742&gt;0,IFERROR(TRUNC(A742,0),0),0)</f>
        <v>0</v>
      </c>
      <c r="AF742" s="149"/>
      <c r="AG742" s="150"/>
      <c r="AH742" s="159" t="e">
        <f>+S742/$S$720</f>
        <v>#DIV/0!</v>
      </c>
      <c r="AI742" s="166">
        <f>IF(K742=0,0,K742/F742)</f>
        <v>0</v>
      </c>
      <c r="AJ742" s="105"/>
      <c r="AK742" s="105"/>
      <c r="AM742" s="105"/>
      <c r="AN742" s="105"/>
      <c r="AO742" s="105"/>
      <c r="AP742" s="105"/>
      <c r="AQ742" s="105"/>
      <c r="AR742" s="105"/>
    </row>
    <row r="743" spans="1:44" s="49" customFormat="1" ht="40.15" hidden="1" customHeight="1">
      <c r="A743" s="152" t="e">
        <f t="shared" si="1221"/>
        <v>#REF!</v>
      </c>
      <c r="B743" s="153">
        <v>93593</v>
      </c>
      <c r="C743" s="154" t="str">
        <f>TEXT(B743,"0")</f>
        <v>93593</v>
      </c>
      <c r="D743" s="154" t="s">
        <v>1416</v>
      </c>
      <c r="E743" s="155" t="s">
        <v>3545</v>
      </c>
      <c r="F743" s="154">
        <f>+Dados_DMT!$B$14-F742</f>
        <v>0</v>
      </c>
      <c r="G743" s="154" t="s">
        <v>3538</v>
      </c>
      <c r="H743" s="152">
        <v>0.84</v>
      </c>
      <c r="I743" s="152">
        <v>0.85</v>
      </c>
      <c r="J743" s="156"/>
      <c r="K743" s="156">
        <f>ROUND(Pav_Terraplenagem!J117*F743,2)</f>
        <v>0</v>
      </c>
      <c r="L743" s="156">
        <f>IF($K743&gt;$J743,$K743-$J743,0)</f>
        <v>0</v>
      </c>
      <c r="M743" s="156">
        <f>IF($K743&lt;$J743,$J743-$K743,0)</f>
        <v>0</v>
      </c>
      <c r="N743" s="156" t="s">
        <v>83</v>
      </c>
      <c r="O743" s="157" cm="1">
        <f t="array" ref="O743">TRUNC($H743*(1+_xlfn.SWITCH($N743,"BDI 1",$O$6,"BDI 2",$O$7,"BDI 3",$O$8)),2)</f>
        <v>1.01</v>
      </c>
      <c r="P743" s="157" cm="1">
        <f t="array" ref="P743">TRUNC($I743*(1+_xlfn.SWITCH($N743,"BDI 1",$P$6,"BDI 2",$P$7,"BDI 3",$P$8)),2)</f>
        <v>1.07</v>
      </c>
      <c r="Q743" s="157">
        <v>0</v>
      </c>
      <c r="R743" s="157">
        <f>$Q743-($Q743*LICITACAO_DESCONTO)</f>
        <v>0</v>
      </c>
      <c r="S743" s="156">
        <f>TRUNC($K743*$O743,2)</f>
        <v>0</v>
      </c>
      <c r="T743" s="156">
        <f>TRUNC($K743*$P743,2)</f>
        <v>0</v>
      </c>
      <c r="U743" s="156">
        <f>TRUNC($J743*$R743,2)</f>
        <v>0</v>
      </c>
      <c r="V743" s="156">
        <f>TRUNC($K743*$Q743,2)</f>
        <v>0</v>
      </c>
      <c r="W743" s="156">
        <f>TRUNC(V743-U743,2)</f>
        <v>0</v>
      </c>
      <c r="X743" s="158">
        <f>$S743/ORCAMENTO_VALOR_TOTAL_ND</f>
        <v>0</v>
      </c>
      <c r="Y743" s="158">
        <f>$T743/ORCAMENTO_VALOR_TOTAL_DE</f>
        <v>0</v>
      </c>
      <c r="Z743" s="158" cm="1">
        <f t="array" ref="Z743">_xlfn.SWITCH($N743,"BDI 1",$O$6,"BDI 2",$O$7,"BDI 3",$O$8)</f>
        <v>0.20699999999999999</v>
      </c>
      <c r="AA743" s="158" cm="1">
        <f t="array" ref="AA743">_xlfn.SWITCH($N743,"BDI 1",$P$6,"BDI 2",$P$7,"BDI 3",$P$8)</f>
        <v>0.26739999999999997</v>
      </c>
      <c r="AB743" s="158">
        <f ca="1">IFERROR($S743/_xlfn.XLOOKUP($AE743,$B$16:$B$38,$S$16:$S$38),0)</f>
        <v>0</v>
      </c>
      <c r="AC743" s="158">
        <f ca="1">IFERROR($T743/_xlfn.XLOOKUP($AE743,$B$16:$B$38,$T$16:$T$38),0)</f>
        <v>0</v>
      </c>
      <c r="AD743" s="164"/>
      <c r="AE743" s="148">
        <f t="shared" si="1224"/>
        <v>0</v>
      </c>
      <c r="AF743" s="149"/>
      <c r="AG743" s="150"/>
      <c r="AH743" s="159" t="e">
        <f>+S743/$S$720</f>
        <v>#DIV/0!</v>
      </c>
      <c r="AI743" s="166">
        <f>IF(K743=0,0,K743/F743)</f>
        <v>0</v>
      </c>
      <c r="AJ743" s="105"/>
      <c r="AK743" s="105"/>
      <c r="AM743" s="105"/>
      <c r="AN743" s="105"/>
      <c r="AO743" s="105"/>
      <c r="AP743" s="105"/>
      <c r="AQ743" s="105"/>
      <c r="AR743" s="105"/>
    </row>
    <row r="744" spans="1:44" s="49" customFormat="1" ht="40.15" hidden="1" customHeight="1">
      <c r="A744" s="10" t="e">
        <f t="shared" si="1221"/>
        <v>#REF!</v>
      </c>
      <c r="B744" s="153"/>
      <c r="C744" s="154"/>
      <c r="D744" s="154"/>
      <c r="E744" s="155"/>
      <c r="F744" s="154"/>
      <c r="G744" s="154"/>
      <c r="H744" s="152"/>
      <c r="I744" s="152"/>
      <c r="J744" s="168"/>
      <c r="K744" s="168"/>
      <c r="L744" s="168"/>
      <c r="M744" s="168"/>
      <c r="N744" s="168"/>
      <c r="O744" s="157"/>
      <c r="P744" s="157"/>
      <c r="Q744" s="157"/>
      <c r="R744" s="157"/>
      <c r="S744" s="162"/>
      <c r="T744" s="162"/>
      <c r="U744" s="162"/>
      <c r="V744" s="162"/>
      <c r="W744" s="162"/>
      <c r="X744" s="163"/>
      <c r="Y744" s="163"/>
      <c r="Z744" s="163"/>
      <c r="AA744" s="163"/>
      <c r="AB744" s="163"/>
      <c r="AC744" s="163"/>
      <c r="AD744" s="164"/>
      <c r="AE744" s="148">
        <f>IF(S745&gt;0,IFERROR(TRUNC(A745,0),0),0)</f>
        <v>0</v>
      </c>
      <c r="AF744" s="149"/>
      <c r="AG744" s="150"/>
      <c r="AH744" s="159"/>
      <c r="AI744" s="160"/>
      <c r="AJ744" s="105"/>
      <c r="AK744" s="105"/>
      <c r="AM744" s="105"/>
      <c r="AN744" s="105"/>
      <c r="AO744" s="105"/>
      <c r="AP744" s="105"/>
      <c r="AQ744" s="105"/>
      <c r="AR744" s="105"/>
    </row>
    <row r="745" spans="1:44" s="105" customFormat="1" ht="40.15" hidden="1" customHeight="1">
      <c r="A745" s="169">
        <f ca="1">$B$29</f>
        <v>0</v>
      </c>
      <c r="B745" s="170"/>
      <c r="C745" s="171"/>
      <c r="D745" s="172"/>
      <c r="E745" s="173" t="str">
        <f>$D$29</f>
        <v>IMPLANTAÇÃO DE PAVIMENTAÇÃO</v>
      </c>
      <c r="F745" s="174"/>
      <c r="G745" s="175"/>
      <c r="H745" s="176" t="s">
        <v>312</v>
      </c>
      <c r="I745" s="176" t="s">
        <v>312</v>
      </c>
      <c r="J745" s="177"/>
      <c r="K745" s="177"/>
      <c r="L745" s="177"/>
      <c r="M745" s="177"/>
      <c r="N745" s="177"/>
      <c r="O745" s="178" t="str">
        <f ca="1">CONCATENATE("SUB-TOTAL ",$A745)</f>
        <v>SUB-TOTAL 0</v>
      </c>
      <c r="P745" s="178" t="e" cm="1">
        <f t="array" ref="P745">TRUNC($I745*(1+_xlfn.SWITCH($N745,"BDI 1",$P$6,"BDI 2",$P$7,"BDI 3",$P$8)),2)</f>
        <v>#VALUE!</v>
      </c>
      <c r="Q745" s="178" t="str">
        <f ca="1">CONCATENATE("SUB-TOTAL ",$A745)</f>
        <v>SUB-TOTAL 0</v>
      </c>
      <c r="R745" s="178"/>
      <c r="S745" s="179">
        <f>SUM(S746:S833)</f>
        <v>0</v>
      </c>
      <c r="T745" s="179">
        <f>SUM(T746:T833)</f>
        <v>0</v>
      </c>
      <c r="U745" s="179">
        <f>SUM(U746:U833)</f>
        <v>0</v>
      </c>
      <c r="V745" s="179">
        <f>SUM(V746:V833)</f>
        <v>0</v>
      </c>
      <c r="W745" s="179">
        <f t="shared" ref="W745:W771" si="1225">TRUNC(V745-U745,2)</f>
        <v>0</v>
      </c>
      <c r="X745" s="180">
        <f t="shared" ref="X745" si="1226">$S745/ORCAMENTO_VALOR_TOTAL_ND</f>
        <v>0</v>
      </c>
      <c r="Y745" s="180">
        <f t="shared" ref="Y745" si="1227">$T745/ORCAMENTO_VALOR_TOTAL_DE</f>
        <v>0</v>
      </c>
      <c r="Z745" s="180"/>
      <c r="AA745" s="180"/>
      <c r="AB745" s="180">
        <f>IFERROR($S745/$S745,0)</f>
        <v>0</v>
      </c>
      <c r="AC745" s="180">
        <f>IFERROR($T745/$T745,0)</f>
        <v>0</v>
      </c>
      <c r="AD745" s="147"/>
      <c r="AE745" s="148">
        <f t="shared" ref="AE745:AE771" si="1228">IF(S745&gt;0,IFERROR(TRUNC(A745,0),0),0)</f>
        <v>0</v>
      </c>
      <c r="AF745" s="149"/>
      <c r="AG745" s="150"/>
      <c r="AH745" s="151" t="e">
        <f t="shared" ref="AH745:AH771" si="1229">S745/$S$745</f>
        <v>#DIV/0!</v>
      </c>
      <c r="AJ745" s="181" t="s">
        <v>105</v>
      </c>
      <c r="AK745" s="181" t="s">
        <v>106</v>
      </c>
    </row>
    <row r="746" spans="1:44" s="49" customFormat="1" ht="40.15" hidden="1" customHeight="1">
      <c r="A746" s="152">
        <f t="shared" ref="A746:A809" ca="1" si="1230">+IF(K746&gt;0,A745+0.01,A745)</f>
        <v>0</v>
      </c>
      <c r="B746" s="153">
        <v>100576</v>
      </c>
      <c r="C746" s="154" t="str">
        <f t="shared" ref="C746:C771" si="1231">TEXT(B746,"0")</f>
        <v>100576</v>
      </c>
      <c r="D746" s="154" t="s">
        <v>1416</v>
      </c>
      <c r="E746" s="155" t="s">
        <v>3901</v>
      </c>
      <c r="F746" s="154"/>
      <c r="G746" s="154" t="s">
        <v>1418</v>
      </c>
      <c r="H746" s="152">
        <v>2.46</v>
      </c>
      <c r="I746" s="152">
        <v>2.39</v>
      </c>
      <c r="J746" s="156"/>
      <c r="K746" s="156">
        <f>+Pav_Estrutura!K11</f>
        <v>0</v>
      </c>
      <c r="L746" s="156">
        <f t="shared" ref="L746:L771" si="1232">IF($K746&gt;$J746,$K746-$J746,0)</f>
        <v>0</v>
      </c>
      <c r="M746" s="156">
        <f t="shared" ref="M746:M771" si="1233">IF($K746&lt;$J746,$J746-$K746,0)</f>
        <v>0</v>
      </c>
      <c r="N746" s="156" t="s">
        <v>83</v>
      </c>
      <c r="O746" s="157" cm="1">
        <f t="array" ref="O746">TRUNC($H746*(1+_xlfn.SWITCH($N746,"BDI 1",$O$6,"BDI 2",$O$7,"BDI 3",$O$8)),2)</f>
        <v>2.96</v>
      </c>
      <c r="P746" s="157" cm="1">
        <f t="array" ref="P746">TRUNC($I746*(1+_xlfn.SWITCH($N746,"BDI 1",$P$6,"BDI 2",$P$7,"BDI 3",$P$8)),2)</f>
        <v>3.02</v>
      </c>
      <c r="Q746" s="157">
        <v>0</v>
      </c>
      <c r="R746" s="157">
        <f t="shared" ref="R746:R771" si="1234">$Q746-($Q746*LICITACAO_DESCONTO)</f>
        <v>0</v>
      </c>
      <c r="S746" s="156">
        <f t="shared" ref="S746:S771" si="1235">TRUNC($K746*$O746,2)</f>
        <v>0</v>
      </c>
      <c r="T746" s="156">
        <f t="shared" ref="T746:T771" si="1236">TRUNC($K746*$P746,2)</f>
        <v>0</v>
      </c>
      <c r="U746" s="156">
        <f t="shared" ref="U746:U771" si="1237">TRUNC($J746*$R746,2)</f>
        <v>0</v>
      </c>
      <c r="V746" s="156">
        <f t="shared" ref="V746:V771" si="1238">TRUNC($K746*$Q746,2)</f>
        <v>0</v>
      </c>
      <c r="W746" s="156">
        <f t="shared" si="1225"/>
        <v>0</v>
      </c>
      <c r="X746" s="158">
        <f t="shared" ref="X746" si="1239">$S746/ORCAMENTO_VALOR_TOTAL_ND</f>
        <v>0</v>
      </c>
      <c r="Y746" s="158">
        <f t="shared" ref="Y746" si="1240">$T746/ORCAMENTO_VALOR_TOTAL_DE</f>
        <v>0</v>
      </c>
      <c r="Z746" s="158" cm="1">
        <f t="array" ref="Z746">_xlfn.SWITCH($N746,"BDI 1",$O$6,"BDI 2",$O$7,"BDI 3",$O$8)</f>
        <v>0.20699999999999999</v>
      </c>
      <c r="AA746" s="158" cm="1">
        <f t="array" ref="AA746">_xlfn.SWITCH($N746,"BDI 1",$P$6,"BDI 2",$P$7,"BDI 3",$P$8)</f>
        <v>0.26739999999999997</v>
      </c>
      <c r="AB746" s="158">
        <f t="shared" ref="AB746:AB771" ca="1" si="1241">IFERROR($S746/_xlfn.XLOOKUP($AE746,$B$16:$B$38,$S$16:$S$38),0)</f>
        <v>0</v>
      </c>
      <c r="AC746" s="158">
        <f t="shared" ref="AC746:AC771" ca="1" si="1242">IFERROR($T746/_xlfn.XLOOKUP($AE746,$B$16:$B$38,$T$16:$T$38),0)</f>
        <v>0</v>
      </c>
      <c r="AD746" s="164"/>
      <c r="AE746" s="148">
        <f t="shared" si="1228"/>
        <v>0</v>
      </c>
      <c r="AF746" s="149"/>
      <c r="AG746" s="150"/>
      <c r="AH746" s="159" t="e">
        <f t="shared" si="1229"/>
        <v>#DIV/0!</v>
      </c>
      <c r="AI746" s="165" t="s">
        <v>310</v>
      </c>
      <c r="AJ746" s="182">
        <v>0</v>
      </c>
      <c r="AK746" s="183" t="e">
        <f t="shared" ref="AK746:AK754" si="1243">+K746/AJ746</f>
        <v>#DIV/0!</v>
      </c>
      <c r="AM746" s="105"/>
      <c r="AN746" s="105"/>
      <c r="AO746" s="214"/>
      <c r="AP746" s="214"/>
      <c r="AQ746" s="214"/>
      <c r="AR746" s="214"/>
    </row>
    <row r="747" spans="1:44" s="49" customFormat="1" ht="49.9" hidden="1" customHeight="1">
      <c r="A747" s="152">
        <f t="shared" ca="1" si="1230"/>
        <v>0</v>
      </c>
      <c r="B747" s="153">
        <v>101767</v>
      </c>
      <c r="C747" s="154" t="str">
        <f t="shared" si="1231"/>
        <v>101767</v>
      </c>
      <c r="D747" s="154" t="s">
        <v>1416</v>
      </c>
      <c r="E747" s="155" t="s">
        <v>3870</v>
      </c>
      <c r="F747" s="154"/>
      <c r="G747" s="154" t="s">
        <v>464</v>
      </c>
      <c r="H747" s="152">
        <v>27.3</v>
      </c>
      <c r="I747" s="152">
        <v>26.65</v>
      </c>
      <c r="J747" s="156"/>
      <c r="K747" s="156">
        <f>+Pav_Estrutura!K28+Pav_Estrutura!K54</f>
        <v>0</v>
      </c>
      <c r="L747" s="156">
        <f t="shared" si="1232"/>
        <v>0</v>
      </c>
      <c r="M747" s="156">
        <f t="shared" si="1233"/>
        <v>0</v>
      </c>
      <c r="N747" s="156" t="s">
        <v>83</v>
      </c>
      <c r="O747" s="157" cm="1">
        <f t="array" ref="O747">TRUNC($H747*(1+_xlfn.SWITCH($N747,"BDI 1",$O$6,"BDI 2",$O$7,"BDI 3",$O$8)),2)</f>
        <v>32.950000000000003</v>
      </c>
      <c r="P747" s="157" cm="1">
        <f t="array" ref="P747">TRUNC($I747*(1+_xlfn.SWITCH($N747,"BDI 1",$P$6,"BDI 2",$P$7,"BDI 3",$P$8)),2)</f>
        <v>33.770000000000003</v>
      </c>
      <c r="Q747" s="157">
        <v>0</v>
      </c>
      <c r="R747" s="157">
        <f t="shared" si="1234"/>
        <v>0</v>
      </c>
      <c r="S747" s="156">
        <f t="shared" si="1235"/>
        <v>0</v>
      </c>
      <c r="T747" s="156">
        <f t="shared" si="1236"/>
        <v>0</v>
      </c>
      <c r="U747" s="156">
        <f t="shared" si="1237"/>
        <v>0</v>
      </c>
      <c r="V747" s="156">
        <f t="shared" si="1238"/>
        <v>0</v>
      </c>
      <c r="W747" s="156">
        <f t="shared" si="1225"/>
        <v>0</v>
      </c>
      <c r="X747" s="158">
        <f t="shared" ref="X747" si="1244">$S747/ORCAMENTO_VALOR_TOTAL_ND</f>
        <v>0</v>
      </c>
      <c r="Y747" s="158">
        <f t="shared" ref="Y747" si="1245">$T747/ORCAMENTO_VALOR_TOTAL_DE</f>
        <v>0</v>
      </c>
      <c r="Z747" s="158" cm="1">
        <f t="array" ref="Z747">_xlfn.SWITCH($N747,"BDI 1",$O$6,"BDI 2",$O$7,"BDI 3",$O$8)</f>
        <v>0.20699999999999999</v>
      </c>
      <c r="AA747" s="158" cm="1">
        <f t="array" ref="AA747">_xlfn.SWITCH($N747,"BDI 1",$P$6,"BDI 2",$P$7,"BDI 3",$P$8)</f>
        <v>0.26739999999999997</v>
      </c>
      <c r="AB747" s="158">
        <f t="shared" ca="1" si="1241"/>
        <v>0</v>
      </c>
      <c r="AC747" s="158">
        <f t="shared" ca="1" si="1242"/>
        <v>0</v>
      </c>
      <c r="AD747" s="164"/>
      <c r="AE747" s="148">
        <f t="shared" si="1228"/>
        <v>0</v>
      </c>
      <c r="AF747" s="149"/>
      <c r="AG747" s="150"/>
      <c r="AH747" s="159" t="e">
        <f t="shared" si="1229"/>
        <v>#DIV/0!</v>
      </c>
      <c r="AI747" s="160"/>
      <c r="AJ747" s="182">
        <v>20</v>
      </c>
      <c r="AK747" s="183">
        <f t="shared" si="1243"/>
        <v>0</v>
      </c>
      <c r="AM747" s="105"/>
      <c r="AN747" s="105"/>
      <c r="AO747" s="105"/>
      <c r="AP747" s="105"/>
      <c r="AQ747" s="105"/>
      <c r="AR747" s="105"/>
    </row>
    <row r="748" spans="1:44" s="49" customFormat="1" ht="49.9" hidden="1" customHeight="1">
      <c r="A748" s="152">
        <f t="shared" ca="1" si="1230"/>
        <v>0</v>
      </c>
      <c r="B748" s="153">
        <v>101768</v>
      </c>
      <c r="C748" s="154" t="str">
        <f t="shared" si="1231"/>
        <v>101768</v>
      </c>
      <c r="D748" s="154" t="s">
        <v>1416</v>
      </c>
      <c r="E748" s="155" t="s">
        <v>3871</v>
      </c>
      <c r="F748" s="154"/>
      <c r="G748" s="154" t="s">
        <v>464</v>
      </c>
      <c r="H748" s="152">
        <v>23.65</v>
      </c>
      <c r="I748" s="152">
        <v>23.25</v>
      </c>
      <c r="J748" s="156"/>
      <c r="K748" s="156">
        <f>+Pav_Estrutura!K29+Pav_Estrutura!K55</f>
        <v>0</v>
      </c>
      <c r="L748" s="156">
        <f t="shared" si="1232"/>
        <v>0</v>
      </c>
      <c r="M748" s="156">
        <f t="shared" si="1233"/>
        <v>0</v>
      </c>
      <c r="N748" s="156" t="s">
        <v>83</v>
      </c>
      <c r="O748" s="157" cm="1">
        <f t="array" ref="O748">TRUNC($H748*(1+_xlfn.SWITCH($N748,"BDI 1",$O$6,"BDI 2",$O$7,"BDI 3",$O$8)),2)</f>
        <v>28.54</v>
      </c>
      <c r="P748" s="157" cm="1">
        <f t="array" ref="P748">TRUNC($I748*(1+_xlfn.SWITCH($N748,"BDI 1",$P$6,"BDI 2",$P$7,"BDI 3",$P$8)),2)</f>
        <v>29.46</v>
      </c>
      <c r="Q748" s="157">
        <v>0</v>
      </c>
      <c r="R748" s="157">
        <f t="shared" si="1234"/>
        <v>0</v>
      </c>
      <c r="S748" s="156">
        <f t="shared" si="1235"/>
        <v>0</v>
      </c>
      <c r="T748" s="156">
        <f t="shared" si="1236"/>
        <v>0</v>
      </c>
      <c r="U748" s="156">
        <f t="shared" si="1237"/>
        <v>0</v>
      </c>
      <c r="V748" s="156">
        <f t="shared" si="1238"/>
        <v>0</v>
      </c>
      <c r="W748" s="156">
        <f t="shared" si="1225"/>
        <v>0</v>
      </c>
      <c r="X748" s="158">
        <f t="shared" ref="X748" si="1246">$S748/ORCAMENTO_VALOR_TOTAL_ND</f>
        <v>0</v>
      </c>
      <c r="Y748" s="158">
        <f t="shared" ref="Y748" si="1247">$T748/ORCAMENTO_VALOR_TOTAL_DE</f>
        <v>0</v>
      </c>
      <c r="Z748" s="158" cm="1">
        <f t="array" ref="Z748">_xlfn.SWITCH($N748,"BDI 1",$O$6,"BDI 2",$O$7,"BDI 3",$O$8)</f>
        <v>0.20699999999999999</v>
      </c>
      <c r="AA748" s="158" cm="1">
        <f t="array" ref="AA748">_xlfn.SWITCH($N748,"BDI 1",$P$6,"BDI 2",$P$7,"BDI 3",$P$8)</f>
        <v>0.26739999999999997</v>
      </c>
      <c r="AB748" s="158">
        <f t="shared" ca="1" si="1241"/>
        <v>0</v>
      </c>
      <c r="AC748" s="158">
        <f t="shared" ca="1" si="1242"/>
        <v>0</v>
      </c>
      <c r="AD748" s="164"/>
      <c r="AE748" s="148">
        <f t="shared" si="1228"/>
        <v>0</v>
      </c>
      <c r="AF748" s="149"/>
      <c r="AG748" s="150"/>
      <c r="AH748" s="159" t="e">
        <f t="shared" si="1229"/>
        <v>#DIV/0!</v>
      </c>
      <c r="AI748" s="160"/>
      <c r="AJ748" s="182">
        <v>0</v>
      </c>
      <c r="AK748" s="183" t="e">
        <f t="shared" si="1243"/>
        <v>#DIV/0!</v>
      </c>
      <c r="AM748" s="105"/>
      <c r="AN748" s="105"/>
      <c r="AO748" s="105"/>
      <c r="AP748" s="105"/>
      <c r="AQ748" s="105"/>
      <c r="AR748" s="105"/>
    </row>
    <row r="749" spans="1:44" s="49" customFormat="1" ht="40.15" hidden="1" customHeight="1">
      <c r="A749" s="152">
        <f t="shared" ca="1" si="1230"/>
        <v>0</v>
      </c>
      <c r="B749" s="153" t="s">
        <v>248</v>
      </c>
      <c r="C749" s="154" t="str">
        <f t="shared" si="1231"/>
        <v>PA/0020</v>
      </c>
      <c r="D749" s="154" t="s">
        <v>3549</v>
      </c>
      <c r="E749" s="155" t="s">
        <v>3873</v>
      </c>
      <c r="F749" s="154"/>
      <c r="G749" s="154" t="s">
        <v>464</v>
      </c>
      <c r="H749" s="152">
        <v>13.37</v>
      </c>
      <c r="I749" s="152">
        <v>13.23</v>
      </c>
      <c r="J749" s="156"/>
      <c r="K749" s="156">
        <f>+Pav_Estrutura!K30+Pav_Estrutura!K31+Pav_Estrutura!K56+Pav_Estrutura!K57</f>
        <v>0</v>
      </c>
      <c r="L749" s="156">
        <f t="shared" si="1232"/>
        <v>0</v>
      </c>
      <c r="M749" s="156">
        <f t="shared" si="1233"/>
        <v>0</v>
      </c>
      <c r="N749" s="156" t="s">
        <v>83</v>
      </c>
      <c r="O749" s="157" cm="1">
        <f t="array" ref="O749">TRUNC($H749*(1+_xlfn.SWITCH($N749,"BDI 1",$O$6,"BDI 2",$O$7,"BDI 3",$O$8)),2)</f>
        <v>16.13</v>
      </c>
      <c r="P749" s="157" cm="1">
        <f t="array" ref="P749">TRUNC($I749*(1+_xlfn.SWITCH($N749,"BDI 1",$P$6,"BDI 2",$P$7,"BDI 3",$P$8)),2)</f>
        <v>16.760000000000002</v>
      </c>
      <c r="Q749" s="157">
        <v>0</v>
      </c>
      <c r="R749" s="157">
        <f t="shared" si="1234"/>
        <v>0</v>
      </c>
      <c r="S749" s="156">
        <f t="shared" si="1235"/>
        <v>0</v>
      </c>
      <c r="T749" s="156">
        <f t="shared" si="1236"/>
        <v>0</v>
      </c>
      <c r="U749" s="156">
        <f t="shared" si="1237"/>
        <v>0</v>
      </c>
      <c r="V749" s="156">
        <f t="shared" si="1238"/>
        <v>0</v>
      </c>
      <c r="W749" s="156">
        <f t="shared" si="1225"/>
        <v>0</v>
      </c>
      <c r="X749" s="158">
        <f t="shared" ref="X749" si="1248">$S749/ORCAMENTO_VALOR_TOTAL_ND</f>
        <v>0</v>
      </c>
      <c r="Y749" s="158">
        <f t="shared" ref="Y749" si="1249">$T749/ORCAMENTO_VALOR_TOTAL_DE</f>
        <v>0</v>
      </c>
      <c r="Z749" s="158" cm="1">
        <f t="array" ref="Z749">_xlfn.SWITCH($N749,"BDI 1",$O$6,"BDI 2",$O$7,"BDI 3",$O$8)</f>
        <v>0.20699999999999999</v>
      </c>
      <c r="AA749" s="158" cm="1">
        <f t="array" ref="AA749">_xlfn.SWITCH($N749,"BDI 1",$P$6,"BDI 2",$P$7,"BDI 3",$P$8)</f>
        <v>0.26739999999999997</v>
      </c>
      <c r="AB749" s="158">
        <f t="shared" ca="1" si="1241"/>
        <v>0</v>
      </c>
      <c r="AC749" s="158">
        <f t="shared" ca="1" si="1242"/>
        <v>0</v>
      </c>
      <c r="AD749" s="164"/>
      <c r="AE749" s="148">
        <f t="shared" si="1228"/>
        <v>0</v>
      </c>
      <c r="AF749" s="149"/>
      <c r="AG749" s="150"/>
      <c r="AH749" s="159" t="e">
        <f t="shared" si="1229"/>
        <v>#DIV/0!</v>
      </c>
      <c r="AI749" s="160"/>
      <c r="AJ749" s="182">
        <v>33.33</v>
      </c>
      <c r="AK749" s="183">
        <f t="shared" si="1243"/>
        <v>0</v>
      </c>
      <c r="AM749" s="105"/>
      <c r="AN749" s="105"/>
      <c r="AO749" s="214"/>
      <c r="AP749" s="214"/>
      <c r="AQ749" s="214"/>
      <c r="AR749" s="214"/>
    </row>
    <row r="750" spans="1:44" s="49" customFormat="1" ht="40.15" hidden="1" customHeight="1">
      <c r="A750" s="152">
        <f t="shared" ca="1" si="1230"/>
        <v>0</v>
      </c>
      <c r="B750" s="153" t="s">
        <v>247</v>
      </c>
      <c r="C750" s="154" t="str">
        <f t="shared" si="1231"/>
        <v>PA/0018</v>
      </c>
      <c r="D750" s="154" t="s">
        <v>3549</v>
      </c>
      <c r="E750" s="155" t="s">
        <v>3872</v>
      </c>
      <c r="F750" s="154"/>
      <c r="G750" s="154" t="s">
        <v>464</v>
      </c>
      <c r="H750" s="152">
        <v>6.89</v>
      </c>
      <c r="I750" s="152">
        <v>6.5</v>
      </c>
      <c r="J750" s="156"/>
      <c r="K750" s="156">
        <f>+Pav_Estrutura!K31+Pav_Estrutura!K57</f>
        <v>0</v>
      </c>
      <c r="L750" s="156">
        <f t="shared" si="1232"/>
        <v>0</v>
      </c>
      <c r="M750" s="156">
        <f t="shared" si="1233"/>
        <v>0</v>
      </c>
      <c r="N750" s="156" t="s">
        <v>83</v>
      </c>
      <c r="O750" s="157" cm="1">
        <f t="array" ref="O750">TRUNC($H750*(1+_xlfn.SWITCH($N750,"BDI 1",$O$6,"BDI 2",$O$7,"BDI 3",$O$8)),2)</f>
        <v>8.31</v>
      </c>
      <c r="P750" s="157" cm="1">
        <f t="array" ref="P750">TRUNC($I750*(1+_xlfn.SWITCH($N750,"BDI 1",$P$6,"BDI 2",$P$7,"BDI 3",$P$8)),2)</f>
        <v>8.23</v>
      </c>
      <c r="Q750" s="157">
        <v>0</v>
      </c>
      <c r="R750" s="157">
        <f t="shared" si="1234"/>
        <v>0</v>
      </c>
      <c r="S750" s="156">
        <f t="shared" si="1235"/>
        <v>0</v>
      </c>
      <c r="T750" s="156">
        <f t="shared" si="1236"/>
        <v>0</v>
      </c>
      <c r="U750" s="156">
        <f t="shared" si="1237"/>
        <v>0</v>
      </c>
      <c r="V750" s="156">
        <f t="shared" si="1238"/>
        <v>0</v>
      </c>
      <c r="W750" s="156">
        <f t="shared" si="1225"/>
        <v>0</v>
      </c>
      <c r="X750" s="158">
        <f t="shared" ref="X750" si="1250">$S750/ORCAMENTO_VALOR_TOTAL_ND</f>
        <v>0</v>
      </c>
      <c r="Y750" s="158">
        <f t="shared" ref="Y750" si="1251">$T750/ORCAMENTO_VALOR_TOTAL_DE</f>
        <v>0</v>
      </c>
      <c r="Z750" s="158" cm="1">
        <f t="array" ref="Z750">_xlfn.SWITCH($N750,"BDI 1",$O$6,"BDI 2",$O$7,"BDI 3",$O$8)</f>
        <v>0.20699999999999999</v>
      </c>
      <c r="AA750" s="158" cm="1">
        <f t="array" ref="AA750">_xlfn.SWITCH($N750,"BDI 1",$P$6,"BDI 2",$P$7,"BDI 3",$P$8)</f>
        <v>0.26739999999999997</v>
      </c>
      <c r="AB750" s="158">
        <f t="shared" ca="1" si="1241"/>
        <v>0</v>
      </c>
      <c r="AC750" s="158">
        <f t="shared" ca="1" si="1242"/>
        <v>0</v>
      </c>
      <c r="AD750" s="164"/>
      <c r="AE750" s="148">
        <f t="shared" si="1228"/>
        <v>0</v>
      </c>
      <c r="AF750" s="149"/>
      <c r="AG750" s="150"/>
      <c r="AH750" s="159" t="e">
        <f t="shared" si="1229"/>
        <v>#DIV/0!</v>
      </c>
      <c r="AI750" s="160"/>
      <c r="AJ750" s="182">
        <v>33.33</v>
      </c>
      <c r="AK750" s="183">
        <f t="shared" si="1243"/>
        <v>0</v>
      </c>
      <c r="AM750" s="105"/>
      <c r="AN750" s="105"/>
      <c r="AO750" s="105"/>
      <c r="AP750" s="105"/>
      <c r="AQ750" s="105"/>
      <c r="AR750" s="105"/>
    </row>
    <row r="751" spans="1:44" s="49" customFormat="1" ht="49.9" hidden="1" customHeight="1">
      <c r="A751" s="152">
        <f t="shared" ca="1" si="1230"/>
        <v>0</v>
      </c>
      <c r="B751" s="153">
        <v>96389</v>
      </c>
      <c r="C751" s="154" t="str">
        <f t="shared" si="1231"/>
        <v>96389</v>
      </c>
      <c r="D751" s="154" t="s">
        <v>1416</v>
      </c>
      <c r="E751" s="155" t="s">
        <v>3902</v>
      </c>
      <c r="F751" s="154"/>
      <c r="G751" s="154" t="s">
        <v>464</v>
      </c>
      <c r="H751" s="152">
        <v>53.2</v>
      </c>
      <c r="I751" s="152">
        <v>52.93</v>
      </c>
      <c r="J751" s="156"/>
      <c r="K751" s="156">
        <f>+Pav_Estrutura!K50</f>
        <v>0</v>
      </c>
      <c r="L751" s="156">
        <f t="shared" si="1232"/>
        <v>0</v>
      </c>
      <c r="M751" s="156">
        <f t="shared" si="1233"/>
        <v>0</v>
      </c>
      <c r="N751" s="156" t="s">
        <v>83</v>
      </c>
      <c r="O751" s="157" cm="1">
        <f t="array" ref="O751">TRUNC($H751*(1+_xlfn.SWITCH($N751,"BDI 1",$O$6,"BDI 2",$O$7,"BDI 3",$O$8)),2)</f>
        <v>64.209999999999994</v>
      </c>
      <c r="P751" s="157" cm="1">
        <f t="array" ref="P751">TRUNC($I751*(1+_xlfn.SWITCH($N751,"BDI 1",$P$6,"BDI 2",$P$7,"BDI 3",$P$8)),2)</f>
        <v>67.08</v>
      </c>
      <c r="Q751" s="157">
        <v>0</v>
      </c>
      <c r="R751" s="157">
        <f t="shared" si="1234"/>
        <v>0</v>
      </c>
      <c r="S751" s="156">
        <f t="shared" si="1235"/>
        <v>0</v>
      </c>
      <c r="T751" s="156">
        <f t="shared" si="1236"/>
        <v>0</v>
      </c>
      <c r="U751" s="156">
        <f t="shared" si="1237"/>
        <v>0</v>
      </c>
      <c r="V751" s="156">
        <f t="shared" si="1238"/>
        <v>0</v>
      </c>
      <c r="W751" s="156">
        <f t="shared" si="1225"/>
        <v>0</v>
      </c>
      <c r="X751" s="158">
        <f t="shared" ref="X751" si="1252">$S751/ORCAMENTO_VALOR_TOTAL_ND</f>
        <v>0</v>
      </c>
      <c r="Y751" s="158">
        <f t="shared" ref="Y751" si="1253">$T751/ORCAMENTO_VALOR_TOTAL_DE</f>
        <v>0</v>
      </c>
      <c r="Z751" s="158" cm="1">
        <f t="array" ref="Z751">_xlfn.SWITCH($N751,"BDI 1",$O$6,"BDI 2",$O$7,"BDI 3",$O$8)</f>
        <v>0.20699999999999999</v>
      </c>
      <c r="AA751" s="158" cm="1">
        <f t="array" ref="AA751">_xlfn.SWITCH($N751,"BDI 1",$P$6,"BDI 2",$P$7,"BDI 3",$P$8)</f>
        <v>0.26739999999999997</v>
      </c>
      <c r="AB751" s="158">
        <f t="shared" ca="1" si="1241"/>
        <v>0</v>
      </c>
      <c r="AC751" s="158">
        <f t="shared" ca="1" si="1242"/>
        <v>0</v>
      </c>
      <c r="AD751" s="164"/>
      <c r="AE751" s="148">
        <f t="shared" si="1228"/>
        <v>0</v>
      </c>
      <c r="AF751" s="149"/>
      <c r="AG751" s="150"/>
      <c r="AH751" s="159" t="e">
        <f t="shared" si="1229"/>
        <v>#DIV/0!</v>
      </c>
      <c r="AI751" s="160"/>
      <c r="AJ751" s="182">
        <v>0</v>
      </c>
      <c r="AK751" s="183" t="e">
        <f t="shared" si="1243"/>
        <v>#DIV/0!</v>
      </c>
      <c r="AM751" s="105"/>
      <c r="AN751" s="105"/>
      <c r="AO751" s="105"/>
      <c r="AP751" s="105"/>
      <c r="AQ751" s="105"/>
      <c r="AR751" s="105"/>
    </row>
    <row r="752" spans="1:44" s="49" customFormat="1" ht="49.9" hidden="1" customHeight="1">
      <c r="A752" s="152">
        <f t="shared" ca="1" si="1230"/>
        <v>0</v>
      </c>
      <c r="B752" s="153">
        <v>96390</v>
      </c>
      <c r="C752" s="154" t="str">
        <f t="shared" si="1231"/>
        <v>96390</v>
      </c>
      <c r="D752" s="154" t="s">
        <v>1416</v>
      </c>
      <c r="E752" s="155" t="s">
        <v>3903</v>
      </c>
      <c r="F752" s="154"/>
      <c r="G752" s="154" t="s">
        <v>464</v>
      </c>
      <c r="H752" s="152">
        <v>85.56</v>
      </c>
      <c r="I752" s="152">
        <v>85.29</v>
      </c>
      <c r="J752" s="156"/>
      <c r="K752" s="156">
        <f>+Pav_Estrutura!K51</f>
        <v>0</v>
      </c>
      <c r="L752" s="156">
        <f t="shared" si="1232"/>
        <v>0</v>
      </c>
      <c r="M752" s="156">
        <f t="shared" si="1233"/>
        <v>0</v>
      </c>
      <c r="N752" s="156" t="s">
        <v>83</v>
      </c>
      <c r="O752" s="157" cm="1">
        <f t="array" ref="O752">TRUNC($H752*(1+_xlfn.SWITCH($N752,"BDI 1",$O$6,"BDI 2",$O$7,"BDI 3",$O$8)),2)</f>
        <v>103.27</v>
      </c>
      <c r="P752" s="157" cm="1">
        <f t="array" ref="P752">TRUNC($I752*(1+_xlfn.SWITCH($N752,"BDI 1",$P$6,"BDI 2",$P$7,"BDI 3",$P$8)),2)</f>
        <v>108.09</v>
      </c>
      <c r="Q752" s="157">
        <v>0</v>
      </c>
      <c r="R752" s="157">
        <f t="shared" si="1234"/>
        <v>0</v>
      </c>
      <c r="S752" s="156">
        <f t="shared" si="1235"/>
        <v>0</v>
      </c>
      <c r="T752" s="156">
        <f t="shared" si="1236"/>
        <v>0</v>
      </c>
      <c r="U752" s="156">
        <f t="shared" si="1237"/>
        <v>0</v>
      </c>
      <c r="V752" s="156">
        <f t="shared" si="1238"/>
        <v>0</v>
      </c>
      <c r="W752" s="156">
        <f t="shared" si="1225"/>
        <v>0</v>
      </c>
      <c r="X752" s="158">
        <f t="shared" ref="X752" si="1254">$S752/ORCAMENTO_VALOR_TOTAL_ND</f>
        <v>0</v>
      </c>
      <c r="Y752" s="158">
        <f t="shared" ref="Y752" si="1255">$T752/ORCAMENTO_VALOR_TOTAL_DE</f>
        <v>0</v>
      </c>
      <c r="Z752" s="158" cm="1">
        <f t="array" ref="Z752">_xlfn.SWITCH($N752,"BDI 1",$O$6,"BDI 2",$O$7,"BDI 3",$O$8)</f>
        <v>0.20699999999999999</v>
      </c>
      <c r="AA752" s="158" cm="1">
        <f t="array" ref="AA752">_xlfn.SWITCH($N752,"BDI 1",$P$6,"BDI 2",$P$7,"BDI 3",$P$8)</f>
        <v>0.26739999999999997</v>
      </c>
      <c r="AB752" s="158">
        <f t="shared" ca="1" si="1241"/>
        <v>0</v>
      </c>
      <c r="AC752" s="158">
        <f t="shared" ca="1" si="1242"/>
        <v>0</v>
      </c>
      <c r="AD752" s="164"/>
      <c r="AE752" s="148">
        <f t="shared" si="1228"/>
        <v>0</v>
      </c>
      <c r="AF752" s="149"/>
      <c r="AG752" s="150"/>
      <c r="AH752" s="159" t="e">
        <f t="shared" si="1229"/>
        <v>#DIV/0!</v>
      </c>
      <c r="AI752" s="160"/>
      <c r="AJ752" s="182">
        <v>0</v>
      </c>
      <c r="AK752" s="183" t="e">
        <f t="shared" si="1243"/>
        <v>#DIV/0!</v>
      </c>
      <c r="AM752" s="105"/>
      <c r="AN752" s="105"/>
      <c r="AO752" s="105"/>
      <c r="AP752" s="105"/>
      <c r="AQ752" s="105"/>
      <c r="AR752" s="105"/>
    </row>
    <row r="753" spans="1:44" s="49" customFormat="1" ht="49.9" hidden="1" customHeight="1">
      <c r="A753" s="152">
        <f t="shared" ca="1" si="1230"/>
        <v>0</v>
      </c>
      <c r="B753" s="153">
        <v>96391</v>
      </c>
      <c r="C753" s="154" t="str">
        <f t="shared" si="1231"/>
        <v>96391</v>
      </c>
      <c r="D753" s="154" t="s">
        <v>1416</v>
      </c>
      <c r="E753" s="155" t="s">
        <v>3904</v>
      </c>
      <c r="F753" s="154"/>
      <c r="G753" s="154" t="s">
        <v>464</v>
      </c>
      <c r="H753" s="152">
        <v>119.51</v>
      </c>
      <c r="I753" s="152">
        <v>119.2</v>
      </c>
      <c r="J753" s="156"/>
      <c r="K753" s="156">
        <f>+Pav_Estrutura!K52</f>
        <v>0</v>
      </c>
      <c r="L753" s="156">
        <f t="shared" si="1232"/>
        <v>0</v>
      </c>
      <c r="M753" s="156">
        <f t="shared" si="1233"/>
        <v>0</v>
      </c>
      <c r="N753" s="156" t="s">
        <v>83</v>
      </c>
      <c r="O753" s="157" cm="1">
        <f t="array" ref="O753">TRUNC($H753*(1+_xlfn.SWITCH($N753,"BDI 1",$O$6,"BDI 2",$O$7,"BDI 3",$O$8)),2)</f>
        <v>144.24</v>
      </c>
      <c r="P753" s="157" cm="1">
        <f t="array" ref="P753">TRUNC($I753*(1+_xlfn.SWITCH($N753,"BDI 1",$P$6,"BDI 2",$P$7,"BDI 3",$P$8)),2)</f>
        <v>151.07</v>
      </c>
      <c r="Q753" s="157">
        <v>0</v>
      </c>
      <c r="R753" s="157">
        <f t="shared" si="1234"/>
        <v>0</v>
      </c>
      <c r="S753" s="156">
        <f t="shared" si="1235"/>
        <v>0</v>
      </c>
      <c r="T753" s="156">
        <f t="shared" si="1236"/>
        <v>0</v>
      </c>
      <c r="U753" s="156">
        <f t="shared" si="1237"/>
        <v>0</v>
      </c>
      <c r="V753" s="156">
        <f t="shared" si="1238"/>
        <v>0</v>
      </c>
      <c r="W753" s="156">
        <f t="shared" si="1225"/>
        <v>0</v>
      </c>
      <c r="X753" s="158">
        <f t="shared" ref="X753" si="1256">$S753/ORCAMENTO_VALOR_TOTAL_ND</f>
        <v>0</v>
      </c>
      <c r="Y753" s="158">
        <f t="shared" ref="Y753" si="1257">$T753/ORCAMENTO_VALOR_TOTAL_DE</f>
        <v>0</v>
      </c>
      <c r="Z753" s="158" cm="1">
        <f t="array" ref="Z753">_xlfn.SWITCH($N753,"BDI 1",$O$6,"BDI 2",$O$7,"BDI 3",$O$8)</f>
        <v>0.20699999999999999</v>
      </c>
      <c r="AA753" s="158" cm="1">
        <f t="array" ref="AA753">_xlfn.SWITCH($N753,"BDI 1",$P$6,"BDI 2",$P$7,"BDI 3",$P$8)</f>
        <v>0.26739999999999997</v>
      </c>
      <c r="AB753" s="158">
        <f t="shared" ca="1" si="1241"/>
        <v>0</v>
      </c>
      <c r="AC753" s="158">
        <f t="shared" ca="1" si="1242"/>
        <v>0</v>
      </c>
      <c r="AD753" s="164"/>
      <c r="AE753" s="148">
        <f t="shared" si="1228"/>
        <v>0</v>
      </c>
      <c r="AF753" s="149"/>
      <c r="AG753" s="150"/>
      <c r="AH753" s="159" t="e">
        <f t="shared" si="1229"/>
        <v>#DIV/0!</v>
      </c>
      <c r="AI753" s="160"/>
      <c r="AJ753" s="182">
        <v>0</v>
      </c>
      <c r="AK753" s="183" t="e">
        <f t="shared" si="1243"/>
        <v>#DIV/0!</v>
      </c>
      <c r="AM753" s="105"/>
      <c r="AN753" s="105"/>
      <c r="AO753" s="105"/>
      <c r="AP753" s="105"/>
      <c r="AQ753" s="105"/>
      <c r="AR753" s="105"/>
    </row>
    <row r="754" spans="1:44" s="49" customFormat="1" ht="49.9" hidden="1" customHeight="1">
      <c r="A754" s="152">
        <f t="shared" ca="1" si="1230"/>
        <v>0</v>
      </c>
      <c r="B754" s="153">
        <v>96392</v>
      </c>
      <c r="C754" s="154" t="str">
        <f t="shared" si="1231"/>
        <v>96392</v>
      </c>
      <c r="D754" s="154" t="s">
        <v>1416</v>
      </c>
      <c r="E754" s="155" t="s">
        <v>3905</v>
      </c>
      <c r="F754" s="154"/>
      <c r="G754" s="154" t="s">
        <v>464</v>
      </c>
      <c r="H754" s="152">
        <v>152.24</v>
      </c>
      <c r="I754" s="152">
        <v>151.93</v>
      </c>
      <c r="J754" s="156"/>
      <c r="K754" s="156">
        <f>+Pav_Estrutura!K53</f>
        <v>0</v>
      </c>
      <c r="L754" s="156">
        <f t="shared" si="1232"/>
        <v>0</v>
      </c>
      <c r="M754" s="156">
        <f t="shared" si="1233"/>
        <v>0</v>
      </c>
      <c r="N754" s="156" t="s">
        <v>83</v>
      </c>
      <c r="O754" s="157" cm="1">
        <f t="array" ref="O754">TRUNC($H754*(1+_xlfn.SWITCH($N754,"BDI 1",$O$6,"BDI 2",$O$7,"BDI 3",$O$8)),2)</f>
        <v>183.75</v>
      </c>
      <c r="P754" s="157" cm="1">
        <f t="array" ref="P754">TRUNC($I754*(1+_xlfn.SWITCH($N754,"BDI 1",$P$6,"BDI 2",$P$7,"BDI 3",$P$8)),2)</f>
        <v>192.55</v>
      </c>
      <c r="Q754" s="157">
        <v>0</v>
      </c>
      <c r="R754" s="157">
        <f t="shared" si="1234"/>
        <v>0</v>
      </c>
      <c r="S754" s="156">
        <f t="shared" si="1235"/>
        <v>0</v>
      </c>
      <c r="T754" s="156">
        <f t="shared" si="1236"/>
        <v>0</v>
      </c>
      <c r="U754" s="156">
        <f t="shared" si="1237"/>
        <v>0</v>
      </c>
      <c r="V754" s="156">
        <f t="shared" si="1238"/>
        <v>0</v>
      </c>
      <c r="W754" s="156">
        <f t="shared" si="1225"/>
        <v>0</v>
      </c>
      <c r="X754" s="158">
        <f t="shared" ref="X754" si="1258">$S754/ORCAMENTO_VALOR_TOTAL_ND</f>
        <v>0</v>
      </c>
      <c r="Y754" s="158">
        <f t="shared" ref="Y754" si="1259">$T754/ORCAMENTO_VALOR_TOTAL_DE</f>
        <v>0</v>
      </c>
      <c r="Z754" s="158" cm="1">
        <f t="array" ref="Z754">_xlfn.SWITCH($N754,"BDI 1",$O$6,"BDI 2",$O$7,"BDI 3",$O$8)</f>
        <v>0.20699999999999999</v>
      </c>
      <c r="AA754" s="158" cm="1">
        <f t="array" ref="AA754">_xlfn.SWITCH($N754,"BDI 1",$P$6,"BDI 2",$P$7,"BDI 3",$P$8)</f>
        <v>0.26739999999999997</v>
      </c>
      <c r="AB754" s="158">
        <f t="shared" ca="1" si="1241"/>
        <v>0</v>
      </c>
      <c r="AC754" s="158">
        <f t="shared" ca="1" si="1242"/>
        <v>0</v>
      </c>
      <c r="AD754" s="164"/>
      <c r="AE754" s="148">
        <f t="shared" si="1228"/>
        <v>0</v>
      </c>
      <c r="AF754" s="149"/>
      <c r="AG754" s="150"/>
      <c r="AH754" s="159" t="e">
        <f t="shared" si="1229"/>
        <v>#DIV/0!</v>
      </c>
      <c r="AI754" s="160"/>
      <c r="AJ754" s="182">
        <v>0</v>
      </c>
      <c r="AK754" s="183" t="e">
        <f t="shared" si="1243"/>
        <v>#DIV/0!</v>
      </c>
      <c r="AM754" s="105"/>
      <c r="AN754" s="105"/>
      <c r="AO754" s="105"/>
      <c r="AP754" s="105"/>
      <c r="AQ754" s="105"/>
      <c r="AR754" s="105"/>
    </row>
    <row r="755" spans="1:44" s="49" customFormat="1" ht="40.15" hidden="1" customHeight="1">
      <c r="A755" s="152">
        <f t="shared" ca="1" si="1230"/>
        <v>0</v>
      </c>
      <c r="B755" s="153" t="s">
        <v>249</v>
      </c>
      <c r="C755" s="154" t="str">
        <f t="shared" si="1231"/>
        <v>PA/0025</v>
      </c>
      <c r="D755" s="154" t="s">
        <v>3549</v>
      </c>
      <c r="E755" s="155" t="s">
        <v>3532</v>
      </c>
      <c r="F755" s="154"/>
      <c r="G755" s="154" t="s">
        <v>1418</v>
      </c>
      <c r="H755" s="152">
        <v>5.28</v>
      </c>
      <c r="I755" s="152">
        <v>5.24</v>
      </c>
      <c r="J755" s="156"/>
      <c r="K755" s="156">
        <f>+Pav_Estrutura!K64</f>
        <v>0</v>
      </c>
      <c r="L755" s="156">
        <f t="shared" si="1232"/>
        <v>0</v>
      </c>
      <c r="M755" s="156">
        <f t="shared" si="1233"/>
        <v>0</v>
      </c>
      <c r="N755" s="156" t="s">
        <v>83</v>
      </c>
      <c r="O755" s="157" cm="1">
        <f t="array" ref="O755">TRUNC($H755*(1+_xlfn.SWITCH($N755,"BDI 1",$O$6,"BDI 2",$O$7,"BDI 3",$O$8)),2)</f>
        <v>6.37</v>
      </c>
      <c r="P755" s="157" cm="1">
        <f t="array" ref="P755">TRUNC($I755*(1+_xlfn.SWITCH($N755,"BDI 1",$P$6,"BDI 2",$P$7,"BDI 3",$P$8)),2)</f>
        <v>6.64</v>
      </c>
      <c r="Q755" s="157">
        <v>0</v>
      </c>
      <c r="R755" s="157">
        <f t="shared" si="1234"/>
        <v>0</v>
      </c>
      <c r="S755" s="156">
        <f t="shared" si="1235"/>
        <v>0</v>
      </c>
      <c r="T755" s="156">
        <f t="shared" si="1236"/>
        <v>0</v>
      </c>
      <c r="U755" s="156">
        <f t="shared" si="1237"/>
        <v>0</v>
      </c>
      <c r="V755" s="156">
        <f t="shared" si="1238"/>
        <v>0</v>
      </c>
      <c r="W755" s="156">
        <f t="shared" si="1225"/>
        <v>0</v>
      </c>
      <c r="X755" s="158">
        <f t="shared" ref="X755" si="1260">$S755/ORCAMENTO_VALOR_TOTAL_ND</f>
        <v>0</v>
      </c>
      <c r="Y755" s="158">
        <f t="shared" ref="Y755" si="1261">$T755/ORCAMENTO_VALOR_TOTAL_DE</f>
        <v>0</v>
      </c>
      <c r="Z755" s="158" cm="1">
        <f t="array" ref="Z755">_xlfn.SWITCH($N755,"BDI 1",$O$6,"BDI 2",$O$7,"BDI 3",$O$8)</f>
        <v>0.20699999999999999</v>
      </c>
      <c r="AA755" s="158" cm="1">
        <f t="array" ref="AA755">_xlfn.SWITCH($N755,"BDI 1",$P$6,"BDI 2",$P$7,"BDI 3",$P$8)</f>
        <v>0.26739999999999997</v>
      </c>
      <c r="AB755" s="158">
        <f t="shared" ca="1" si="1241"/>
        <v>0</v>
      </c>
      <c r="AC755" s="158">
        <f t="shared" ca="1" si="1242"/>
        <v>0</v>
      </c>
      <c r="AD755" s="164"/>
      <c r="AE755" s="148">
        <f t="shared" si="1228"/>
        <v>0</v>
      </c>
      <c r="AF755" s="149"/>
      <c r="AG755" s="150"/>
      <c r="AH755" s="159" t="e">
        <f t="shared" si="1229"/>
        <v>#DIV/0!</v>
      </c>
      <c r="AI755" s="165" t="s">
        <v>250</v>
      </c>
      <c r="AJ755" s="182"/>
      <c r="AK755" s="183"/>
      <c r="AM755" s="105"/>
      <c r="AN755" s="105"/>
      <c r="AO755" s="214"/>
      <c r="AP755" s="214"/>
      <c r="AQ755" s="214"/>
      <c r="AR755" s="214"/>
    </row>
    <row r="756" spans="1:44" s="49" customFormat="1" ht="40.15" hidden="1" customHeight="1">
      <c r="A756" s="152">
        <f t="shared" ca="1" si="1230"/>
        <v>0</v>
      </c>
      <c r="B756" s="153" t="s">
        <v>287</v>
      </c>
      <c r="C756" s="154" t="str">
        <f t="shared" si="1231"/>
        <v>PA/0023</v>
      </c>
      <c r="D756" s="154" t="s">
        <v>3549</v>
      </c>
      <c r="E756" s="155" t="s">
        <v>3539</v>
      </c>
      <c r="F756" s="154"/>
      <c r="G756" s="154" t="s">
        <v>1418</v>
      </c>
      <c r="H756" s="152">
        <v>2.37</v>
      </c>
      <c r="I756" s="152">
        <v>2.33</v>
      </c>
      <c r="J756" s="156"/>
      <c r="K756" s="156">
        <f>+Pav_Estrutura!K66</f>
        <v>0</v>
      </c>
      <c r="L756" s="156">
        <f t="shared" si="1232"/>
        <v>0</v>
      </c>
      <c r="M756" s="156">
        <f t="shared" si="1233"/>
        <v>0</v>
      </c>
      <c r="N756" s="156" t="s">
        <v>83</v>
      </c>
      <c r="O756" s="157" cm="1">
        <f t="array" ref="O756">TRUNC($H756*(1+_xlfn.SWITCH($N756,"BDI 1",$O$6,"BDI 2",$O$7,"BDI 3",$O$8)),2)</f>
        <v>2.86</v>
      </c>
      <c r="P756" s="157" cm="1">
        <f t="array" ref="P756">TRUNC($I756*(1+_xlfn.SWITCH($N756,"BDI 1",$P$6,"BDI 2",$P$7,"BDI 3",$P$8)),2)</f>
        <v>2.95</v>
      </c>
      <c r="Q756" s="157">
        <v>0</v>
      </c>
      <c r="R756" s="157">
        <f t="shared" si="1234"/>
        <v>0</v>
      </c>
      <c r="S756" s="156">
        <f t="shared" si="1235"/>
        <v>0</v>
      </c>
      <c r="T756" s="156">
        <f t="shared" si="1236"/>
        <v>0</v>
      </c>
      <c r="U756" s="156">
        <f t="shared" si="1237"/>
        <v>0</v>
      </c>
      <c r="V756" s="156">
        <f t="shared" si="1238"/>
        <v>0</v>
      </c>
      <c r="W756" s="156">
        <f t="shared" si="1225"/>
        <v>0</v>
      </c>
      <c r="X756" s="158">
        <f t="shared" ref="X756" si="1262">$S756/ORCAMENTO_VALOR_TOTAL_ND</f>
        <v>0</v>
      </c>
      <c r="Y756" s="158">
        <f t="shared" ref="Y756" si="1263">$T756/ORCAMENTO_VALOR_TOTAL_DE</f>
        <v>0</v>
      </c>
      <c r="Z756" s="158" cm="1">
        <f t="array" ref="Z756">_xlfn.SWITCH($N756,"BDI 1",$O$6,"BDI 2",$O$7,"BDI 3",$O$8)</f>
        <v>0.20699999999999999</v>
      </c>
      <c r="AA756" s="158" cm="1">
        <f t="array" ref="AA756">_xlfn.SWITCH($N756,"BDI 1",$P$6,"BDI 2",$P$7,"BDI 3",$P$8)</f>
        <v>0.26739999999999997</v>
      </c>
      <c r="AB756" s="158">
        <f t="shared" ca="1" si="1241"/>
        <v>0</v>
      </c>
      <c r="AC756" s="158">
        <f t="shared" ca="1" si="1242"/>
        <v>0</v>
      </c>
      <c r="AD756" s="164"/>
      <c r="AE756" s="148">
        <f t="shared" si="1228"/>
        <v>0</v>
      </c>
      <c r="AF756" s="149"/>
      <c r="AG756" s="150"/>
      <c r="AH756" s="159" t="e">
        <f t="shared" si="1229"/>
        <v>#DIV/0!</v>
      </c>
      <c r="AI756" s="160"/>
      <c r="AJ756" s="182"/>
      <c r="AK756" s="183"/>
      <c r="AM756" s="105"/>
      <c r="AN756" s="105"/>
      <c r="AO756" s="214"/>
      <c r="AP756" s="214"/>
      <c r="AQ756" s="214"/>
      <c r="AR756" s="214"/>
    </row>
    <row r="757" spans="1:44" s="49" customFormat="1" ht="40.15" hidden="1" customHeight="1">
      <c r="A757" s="152">
        <f t="shared" ca="1" si="1230"/>
        <v>0</v>
      </c>
      <c r="B757" s="153" t="s">
        <v>251</v>
      </c>
      <c r="C757" s="154" t="str">
        <f t="shared" si="1231"/>
        <v>PA/0150</v>
      </c>
      <c r="D757" s="154" t="s">
        <v>3549</v>
      </c>
      <c r="E757" s="155" t="s">
        <v>3874</v>
      </c>
      <c r="F757" s="154"/>
      <c r="G757" s="154" t="s">
        <v>1418</v>
      </c>
      <c r="H757" s="152">
        <v>17.59</v>
      </c>
      <c r="I757" s="152">
        <v>17.55</v>
      </c>
      <c r="J757" s="156"/>
      <c r="K757" s="156">
        <f>+Pav_Estrutura!K68</f>
        <v>0</v>
      </c>
      <c r="L757" s="156">
        <f t="shared" si="1232"/>
        <v>0</v>
      </c>
      <c r="M757" s="156">
        <f t="shared" si="1233"/>
        <v>0</v>
      </c>
      <c r="N757" s="156" t="s">
        <v>83</v>
      </c>
      <c r="O757" s="157" cm="1">
        <f t="array" ref="O757">TRUNC($H757*(1+_xlfn.SWITCH($N757,"BDI 1",$O$6,"BDI 2",$O$7,"BDI 3",$O$8)),2)</f>
        <v>21.23</v>
      </c>
      <c r="P757" s="157" cm="1">
        <f t="array" ref="P757">TRUNC($I757*(1+_xlfn.SWITCH($N757,"BDI 1",$P$6,"BDI 2",$P$7,"BDI 3",$P$8)),2)</f>
        <v>22.24</v>
      </c>
      <c r="Q757" s="157">
        <v>0</v>
      </c>
      <c r="R757" s="157">
        <f t="shared" si="1234"/>
        <v>0</v>
      </c>
      <c r="S757" s="156">
        <f t="shared" si="1235"/>
        <v>0</v>
      </c>
      <c r="T757" s="156">
        <f t="shared" si="1236"/>
        <v>0</v>
      </c>
      <c r="U757" s="156">
        <f t="shared" si="1237"/>
        <v>0</v>
      </c>
      <c r="V757" s="156">
        <f t="shared" si="1238"/>
        <v>0</v>
      </c>
      <c r="W757" s="156">
        <f t="shared" si="1225"/>
        <v>0</v>
      </c>
      <c r="X757" s="158">
        <f t="shared" ref="X757" si="1264">$S757/ORCAMENTO_VALOR_TOTAL_ND</f>
        <v>0</v>
      </c>
      <c r="Y757" s="158">
        <f t="shared" ref="Y757" si="1265">$T757/ORCAMENTO_VALOR_TOTAL_DE</f>
        <v>0</v>
      </c>
      <c r="Z757" s="158" cm="1">
        <f t="array" ref="Z757">_xlfn.SWITCH($N757,"BDI 1",$O$6,"BDI 2",$O$7,"BDI 3",$O$8)</f>
        <v>0.20699999999999999</v>
      </c>
      <c r="AA757" s="158" cm="1">
        <f t="array" ref="AA757">_xlfn.SWITCH($N757,"BDI 1",$P$6,"BDI 2",$P$7,"BDI 3",$P$8)</f>
        <v>0.26739999999999997</v>
      </c>
      <c r="AB757" s="158">
        <f t="shared" ca="1" si="1241"/>
        <v>0</v>
      </c>
      <c r="AC757" s="158">
        <f t="shared" ca="1" si="1242"/>
        <v>0</v>
      </c>
      <c r="AD757" s="164"/>
      <c r="AE757" s="148">
        <f t="shared" si="1228"/>
        <v>0</v>
      </c>
      <c r="AF757" s="149"/>
      <c r="AG757" s="150"/>
      <c r="AH757" s="159" t="e">
        <f t="shared" si="1229"/>
        <v>#DIV/0!</v>
      </c>
      <c r="AI757" s="160"/>
      <c r="AJ757" s="182">
        <v>0</v>
      </c>
      <c r="AK757" s="183" t="e">
        <f>+K757/AJ757</f>
        <v>#DIV/0!</v>
      </c>
      <c r="AM757" s="105"/>
      <c r="AN757" s="105"/>
      <c r="AO757" s="105"/>
      <c r="AP757" s="105"/>
      <c r="AQ757" s="105"/>
      <c r="AR757" s="105"/>
    </row>
    <row r="758" spans="1:44" s="49" customFormat="1" ht="40.15" hidden="1" customHeight="1">
      <c r="A758" s="152">
        <f t="shared" ca="1" si="1230"/>
        <v>0</v>
      </c>
      <c r="B758" s="153" t="s">
        <v>299</v>
      </c>
      <c r="C758" s="154" t="str">
        <f t="shared" si="1231"/>
        <v>PA/0035</v>
      </c>
      <c r="D758" s="154" t="s">
        <v>3549</v>
      </c>
      <c r="E758" s="155" t="s">
        <v>3893</v>
      </c>
      <c r="F758" s="154"/>
      <c r="G758" s="154" t="s">
        <v>1418</v>
      </c>
      <c r="H758" s="152">
        <v>2.83</v>
      </c>
      <c r="I758" s="152">
        <v>2.81</v>
      </c>
      <c r="J758" s="156"/>
      <c r="K758" s="156">
        <f>+Pav_Estrutura!K72</f>
        <v>0</v>
      </c>
      <c r="L758" s="156">
        <f t="shared" si="1232"/>
        <v>0</v>
      </c>
      <c r="M758" s="156">
        <f t="shared" si="1233"/>
        <v>0</v>
      </c>
      <c r="N758" s="156" t="s">
        <v>83</v>
      </c>
      <c r="O758" s="157" cm="1">
        <f t="array" ref="O758">TRUNC($H758*(1+_xlfn.SWITCH($N758,"BDI 1",$O$6,"BDI 2",$O$7,"BDI 3",$O$8)),2)</f>
        <v>3.41</v>
      </c>
      <c r="P758" s="157" cm="1">
        <f t="array" ref="P758">TRUNC($I758*(1+_xlfn.SWITCH($N758,"BDI 1",$P$6,"BDI 2",$P$7,"BDI 3",$P$8)),2)</f>
        <v>3.56</v>
      </c>
      <c r="Q758" s="157">
        <v>0</v>
      </c>
      <c r="R758" s="157">
        <f t="shared" si="1234"/>
        <v>0</v>
      </c>
      <c r="S758" s="156">
        <f t="shared" si="1235"/>
        <v>0</v>
      </c>
      <c r="T758" s="156">
        <f t="shared" si="1236"/>
        <v>0</v>
      </c>
      <c r="U758" s="156">
        <f t="shared" si="1237"/>
        <v>0</v>
      </c>
      <c r="V758" s="156">
        <f t="shared" si="1238"/>
        <v>0</v>
      </c>
      <c r="W758" s="156">
        <f t="shared" si="1225"/>
        <v>0</v>
      </c>
      <c r="X758" s="158">
        <f t="shared" ref="X758" si="1266">$S758/ORCAMENTO_VALOR_TOTAL_ND</f>
        <v>0</v>
      </c>
      <c r="Y758" s="158">
        <f t="shared" ref="Y758" si="1267">$T758/ORCAMENTO_VALOR_TOTAL_DE</f>
        <v>0</v>
      </c>
      <c r="Z758" s="158" cm="1">
        <f t="array" ref="Z758">_xlfn.SWITCH($N758,"BDI 1",$O$6,"BDI 2",$O$7,"BDI 3",$O$8)</f>
        <v>0.20699999999999999</v>
      </c>
      <c r="AA758" s="158" cm="1">
        <f t="array" ref="AA758">_xlfn.SWITCH($N758,"BDI 1",$P$6,"BDI 2",$P$7,"BDI 3",$P$8)</f>
        <v>0.26739999999999997</v>
      </c>
      <c r="AB758" s="158">
        <f t="shared" ca="1" si="1241"/>
        <v>0</v>
      </c>
      <c r="AC758" s="158">
        <f t="shared" ca="1" si="1242"/>
        <v>0</v>
      </c>
      <c r="AD758" s="164"/>
      <c r="AE758" s="148">
        <f t="shared" si="1228"/>
        <v>0</v>
      </c>
      <c r="AF758" s="149"/>
      <c r="AG758" s="150"/>
      <c r="AH758" s="159" t="e">
        <f t="shared" si="1229"/>
        <v>#DIV/0!</v>
      </c>
      <c r="AI758" s="160"/>
      <c r="AJ758" s="182">
        <v>0</v>
      </c>
      <c r="AK758" s="183" t="e">
        <f>+K758/AJ758</f>
        <v>#DIV/0!</v>
      </c>
      <c r="AM758" s="105"/>
      <c r="AN758" s="105"/>
      <c r="AO758" s="105"/>
      <c r="AP758" s="105"/>
      <c r="AQ758" s="105"/>
      <c r="AR758" s="105"/>
    </row>
    <row r="759" spans="1:44" s="49" customFormat="1" ht="49.9" hidden="1" customHeight="1">
      <c r="A759" s="152">
        <f t="shared" ca="1" si="1230"/>
        <v>0</v>
      </c>
      <c r="B759" s="153" t="s">
        <v>252</v>
      </c>
      <c r="C759" s="154" t="str">
        <f t="shared" si="1231"/>
        <v>PA/0040</v>
      </c>
      <c r="D759" s="154" t="s">
        <v>3549</v>
      </c>
      <c r="E759" s="155" t="s">
        <v>3875</v>
      </c>
      <c r="F759" s="154"/>
      <c r="G759" s="154" t="s">
        <v>464</v>
      </c>
      <c r="H759" s="152">
        <v>1628.68</v>
      </c>
      <c r="I759" s="152">
        <v>1625.69</v>
      </c>
      <c r="J759" s="156"/>
      <c r="K759" s="156">
        <f>Pav_Estrutura!K82</f>
        <v>0</v>
      </c>
      <c r="L759" s="156">
        <f t="shared" si="1232"/>
        <v>0</v>
      </c>
      <c r="M759" s="156">
        <f t="shared" si="1233"/>
        <v>0</v>
      </c>
      <c r="N759" s="156" t="s">
        <v>83</v>
      </c>
      <c r="O759" s="157" cm="1">
        <f t="array" ref="O759">TRUNC($H759*(1+_xlfn.SWITCH($N759,"BDI 1",$O$6,"BDI 2",$O$7,"BDI 3",$O$8)),2)</f>
        <v>1965.81</v>
      </c>
      <c r="P759" s="157" cm="1">
        <f t="array" ref="P759">TRUNC($I759*(1+_xlfn.SWITCH($N759,"BDI 1",$P$6,"BDI 2",$P$7,"BDI 3",$P$8)),2)</f>
        <v>2060.39</v>
      </c>
      <c r="Q759" s="157">
        <v>0</v>
      </c>
      <c r="R759" s="157">
        <f t="shared" si="1234"/>
        <v>0</v>
      </c>
      <c r="S759" s="156">
        <f t="shared" si="1235"/>
        <v>0</v>
      </c>
      <c r="T759" s="156">
        <f t="shared" si="1236"/>
        <v>0</v>
      </c>
      <c r="U759" s="156">
        <f t="shared" si="1237"/>
        <v>0</v>
      </c>
      <c r="V759" s="156">
        <f t="shared" si="1238"/>
        <v>0</v>
      </c>
      <c r="W759" s="156">
        <f t="shared" si="1225"/>
        <v>0</v>
      </c>
      <c r="X759" s="158">
        <f t="shared" ref="X759" si="1268">$S759/ORCAMENTO_VALOR_TOTAL_ND</f>
        <v>0</v>
      </c>
      <c r="Y759" s="158">
        <f t="shared" ref="Y759" si="1269">$T759/ORCAMENTO_VALOR_TOTAL_DE</f>
        <v>0</v>
      </c>
      <c r="Z759" s="158" cm="1">
        <f t="array" ref="Z759">_xlfn.SWITCH($N759,"BDI 1",$O$6,"BDI 2",$O$7,"BDI 3",$O$8)</f>
        <v>0.20699999999999999</v>
      </c>
      <c r="AA759" s="158" cm="1">
        <f t="array" ref="AA759">_xlfn.SWITCH($N759,"BDI 1",$P$6,"BDI 2",$P$7,"BDI 3",$P$8)</f>
        <v>0.26739999999999997</v>
      </c>
      <c r="AB759" s="158">
        <f t="shared" ca="1" si="1241"/>
        <v>0</v>
      </c>
      <c r="AC759" s="158">
        <f t="shared" ca="1" si="1242"/>
        <v>0</v>
      </c>
      <c r="AD759" s="164"/>
      <c r="AE759" s="148">
        <f t="shared" si="1228"/>
        <v>0</v>
      </c>
      <c r="AF759" s="149"/>
      <c r="AG759" s="150"/>
      <c r="AH759" s="159" t="e">
        <f t="shared" si="1229"/>
        <v>#DIV/0!</v>
      </c>
      <c r="AI759" s="165" t="s">
        <v>243</v>
      </c>
      <c r="AJ759" s="182">
        <v>0</v>
      </c>
      <c r="AK759" s="183"/>
      <c r="AM759" s="105"/>
      <c r="AN759" s="105"/>
      <c r="AO759" s="214"/>
      <c r="AP759" s="214"/>
      <c r="AQ759" s="214"/>
      <c r="AR759" s="214"/>
    </row>
    <row r="760" spans="1:44" s="49" customFormat="1" ht="40.15" hidden="1" customHeight="1">
      <c r="A760" s="152">
        <f t="shared" ca="1" si="1230"/>
        <v>0</v>
      </c>
      <c r="B760" s="153">
        <v>95995</v>
      </c>
      <c r="C760" s="154" t="str">
        <f t="shared" si="1231"/>
        <v>95995</v>
      </c>
      <c r="D760" s="154" t="s">
        <v>1416</v>
      </c>
      <c r="E760" s="155" t="s">
        <v>3894</v>
      </c>
      <c r="F760" s="154"/>
      <c r="G760" s="154" t="s">
        <v>464</v>
      </c>
      <c r="H760" s="152">
        <v>1658.13</v>
      </c>
      <c r="I760" s="152">
        <v>1643.62</v>
      </c>
      <c r="J760" s="156"/>
      <c r="K760" s="156">
        <f>Pav_Estrutura!K83</f>
        <v>0</v>
      </c>
      <c r="L760" s="156">
        <f t="shared" si="1232"/>
        <v>0</v>
      </c>
      <c r="M760" s="156">
        <f t="shared" si="1233"/>
        <v>0</v>
      </c>
      <c r="N760" s="156" t="s">
        <v>83</v>
      </c>
      <c r="O760" s="157" cm="1">
        <f t="array" ref="O760">TRUNC($H760*(1+_xlfn.SWITCH($N760,"BDI 1",$O$6,"BDI 2",$O$7,"BDI 3",$O$8)),2)</f>
        <v>2001.36</v>
      </c>
      <c r="P760" s="157" cm="1">
        <f t="array" ref="P760">TRUNC($I760*(1+_xlfn.SWITCH($N760,"BDI 1",$P$6,"BDI 2",$P$7,"BDI 3",$P$8)),2)</f>
        <v>2083.12</v>
      </c>
      <c r="Q760" s="157">
        <v>0</v>
      </c>
      <c r="R760" s="157">
        <f t="shared" si="1234"/>
        <v>0</v>
      </c>
      <c r="S760" s="156">
        <f t="shared" si="1235"/>
        <v>0</v>
      </c>
      <c r="T760" s="156">
        <f t="shared" si="1236"/>
        <v>0</v>
      </c>
      <c r="U760" s="156">
        <f t="shared" si="1237"/>
        <v>0</v>
      </c>
      <c r="V760" s="156">
        <f t="shared" si="1238"/>
        <v>0</v>
      </c>
      <c r="W760" s="156">
        <f t="shared" si="1225"/>
        <v>0</v>
      </c>
      <c r="X760" s="158">
        <f t="shared" ref="X760" si="1270">$S760/ORCAMENTO_VALOR_TOTAL_ND</f>
        <v>0</v>
      </c>
      <c r="Y760" s="158">
        <f t="shared" ref="Y760" si="1271">$T760/ORCAMENTO_VALOR_TOTAL_DE</f>
        <v>0</v>
      </c>
      <c r="Z760" s="158" cm="1">
        <f t="array" ref="Z760">_xlfn.SWITCH($N760,"BDI 1",$O$6,"BDI 2",$O$7,"BDI 3",$O$8)</f>
        <v>0.20699999999999999</v>
      </c>
      <c r="AA760" s="158" cm="1">
        <f t="array" ref="AA760">_xlfn.SWITCH($N760,"BDI 1",$P$6,"BDI 2",$P$7,"BDI 3",$P$8)</f>
        <v>0.26739999999999997</v>
      </c>
      <c r="AB760" s="158">
        <f t="shared" ca="1" si="1241"/>
        <v>0</v>
      </c>
      <c r="AC760" s="158">
        <f t="shared" ca="1" si="1242"/>
        <v>0</v>
      </c>
      <c r="AD760" s="164"/>
      <c r="AE760" s="148">
        <f t="shared" si="1228"/>
        <v>0</v>
      </c>
      <c r="AF760" s="149"/>
      <c r="AG760" s="150"/>
      <c r="AH760" s="159" t="e">
        <f t="shared" si="1229"/>
        <v>#DIV/0!</v>
      </c>
      <c r="AI760" s="165" t="s">
        <v>243</v>
      </c>
      <c r="AJ760" s="182">
        <v>0</v>
      </c>
      <c r="AK760" s="183" t="e">
        <f>+K760/AJ760</f>
        <v>#DIV/0!</v>
      </c>
      <c r="AM760" s="105"/>
      <c r="AN760" s="105"/>
      <c r="AO760" s="105"/>
      <c r="AP760" s="105"/>
      <c r="AQ760" s="105"/>
      <c r="AR760" s="105"/>
    </row>
    <row r="761" spans="1:44" s="49" customFormat="1" ht="49.9" hidden="1" customHeight="1">
      <c r="A761" s="152">
        <f t="shared" ca="1" si="1230"/>
        <v>0</v>
      </c>
      <c r="B761" s="153" t="s">
        <v>300</v>
      </c>
      <c r="C761" s="154" t="str">
        <f t="shared" si="1231"/>
        <v>PA/0045</v>
      </c>
      <c r="D761" s="154" t="s">
        <v>3549</v>
      </c>
      <c r="E761" s="155" t="s">
        <v>3895</v>
      </c>
      <c r="F761" s="154"/>
      <c r="G761" s="154" t="s">
        <v>464</v>
      </c>
      <c r="H761" s="152">
        <v>1889.24</v>
      </c>
      <c r="I761" s="152">
        <v>1886.25</v>
      </c>
      <c r="J761" s="156"/>
      <c r="K761" s="156">
        <f>Pav_Estrutura!K84</f>
        <v>0</v>
      </c>
      <c r="L761" s="156">
        <f t="shared" si="1232"/>
        <v>0</v>
      </c>
      <c r="M761" s="156">
        <f t="shared" si="1233"/>
        <v>0</v>
      </c>
      <c r="N761" s="156" t="s">
        <v>83</v>
      </c>
      <c r="O761" s="157" cm="1">
        <f t="array" ref="O761">TRUNC($H761*(1+_xlfn.SWITCH($N761,"BDI 1",$O$6,"BDI 2",$O$7,"BDI 3",$O$8)),2)</f>
        <v>2280.31</v>
      </c>
      <c r="P761" s="157" cm="1">
        <f t="array" ref="P761">TRUNC($I761*(1+_xlfn.SWITCH($N761,"BDI 1",$P$6,"BDI 2",$P$7,"BDI 3",$P$8)),2)</f>
        <v>2390.63</v>
      </c>
      <c r="Q761" s="157">
        <v>0</v>
      </c>
      <c r="R761" s="157">
        <f t="shared" si="1234"/>
        <v>0</v>
      </c>
      <c r="S761" s="156">
        <f t="shared" si="1235"/>
        <v>0</v>
      </c>
      <c r="T761" s="156">
        <f t="shared" si="1236"/>
        <v>0</v>
      </c>
      <c r="U761" s="156">
        <f t="shared" si="1237"/>
        <v>0</v>
      </c>
      <c r="V761" s="156">
        <f t="shared" si="1238"/>
        <v>0</v>
      </c>
      <c r="W761" s="156">
        <f t="shared" si="1225"/>
        <v>0</v>
      </c>
      <c r="X761" s="158">
        <f t="shared" ref="X761" si="1272">$S761/ORCAMENTO_VALOR_TOTAL_ND</f>
        <v>0</v>
      </c>
      <c r="Y761" s="158">
        <f t="shared" ref="Y761" si="1273">$T761/ORCAMENTO_VALOR_TOTAL_DE</f>
        <v>0</v>
      </c>
      <c r="Z761" s="158" cm="1">
        <f t="array" ref="Z761">_xlfn.SWITCH($N761,"BDI 1",$O$6,"BDI 2",$O$7,"BDI 3",$O$8)</f>
        <v>0.20699999999999999</v>
      </c>
      <c r="AA761" s="158" cm="1">
        <f t="array" ref="AA761">_xlfn.SWITCH($N761,"BDI 1",$P$6,"BDI 2",$P$7,"BDI 3",$P$8)</f>
        <v>0.26739999999999997</v>
      </c>
      <c r="AB761" s="158">
        <f t="shared" ca="1" si="1241"/>
        <v>0</v>
      </c>
      <c r="AC761" s="158">
        <f t="shared" ca="1" si="1242"/>
        <v>0</v>
      </c>
      <c r="AD761" s="164"/>
      <c r="AE761" s="148">
        <f t="shared" si="1228"/>
        <v>0</v>
      </c>
      <c r="AF761" s="149"/>
      <c r="AG761" s="150"/>
      <c r="AH761" s="159" t="e">
        <f t="shared" si="1229"/>
        <v>#DIV/0!</v>
      </c>
      <c r="AI761" s="160"/>
      <c r="AJ761" s="182">
        <v>0</v>
      </c>
      <c r="AK761" s="183" t="e">
        <f>+K761/AJ761</f>
        <v>#DIV/0!</v>
      </c>
      <c r="AM761" s="105"/>
      <c r="AN761" s="105"/>
      <c r="AO761" s="105"/>
      <c r="AP761" s="105"/>
      <c r="AQ761" s="105"/>
      <c r="AR761" s="105"/>
    </row>
    <row r="762" spans="1:44" s="49" customFormat="1" ht="40.15" hidden="1" customHeight="1">
      <c r="A762" s="152">
        <f t="shared" ca="1" si="1230"/>
        <v>0</v>
      </c>
      <c r="B762" s="153" t="s">
        <v>290</v>
      </c>
      <c r="C762" s="154" t="str">
        <f t="shared" si="1231"/>
        <v>PA/0055</v>
      </c>
      <c r="D762" s="154">
        <v>0</v>
      </c>
      <c r="E762" s="155" t="s">
        <v>3766</v>
      </c>
      <c r="F762" s="154"/>
      <c r="G762" s="154">
        <v>0</v>
      </c>
      <c r="H762" s="152">
        <v>0</v>
      </c>
      <c r="I762" s="152">
        <v>0</v>
      </c>
      <c r="J762" s="156"/>
      <c r="K762" s="156">
        <f>+Pav_Estrutura!K91</f>
        <v>0</v>
      </c>
      <c r="L762" s="156">
        <f t="shared" si="1232"/>
        <v>0</v>
      </c>
      <c r="M762" s="156">
        <f t="shared" si="1233"/>
        <v>0</v>
      </c>
      <c r="N762" s="156" t="s">
        <v>83</v>
      </c>
      <c r="O762" s="157" cm="1">
        <f t="array" ref="O762">TRUNC($H762*(1+_xlfn.SWITCH($N762,"BDI 1",$O$6,"BDI 2",$O$7,"BDI 3",$O$8)),2)</f>
        <v>0</v>
      </c>
      <c r="P762" s="157" cm="1">
        <f t="array" ref="P762">TRUNC($I762*(1+_xlfn.SWITCH($N762,"BDI 1",$P$6,"BDI 2",$P$7,"BDI 3",$P$8)),2)</f>
        <v>0</v>
      </c>
      <c r="Q762" s="157">
        <v>0</v>
      </c>
      <c r="R762" s="157">
        <f t="shared" si="1234"/>
        <v>0</v>
      </c>
      <c r="S762" s="156">
        <f t="shared" si="1235"/>
        <v>0</v>
      </c>
      <c r="T762" s="156">
        <f t="shared" si="1236"/>
        <v>0</v>
      </c>
      <c r="U762" s="156">
        <f t="shared" si="1237"/>
        <v>0</v>
      </c>
      <c r="V762" s="156">
        <f t="shared" si="1238"/>
        <v>0</v>
      </c>
      <c r="W762" s="156">
        <f t="shared" si="1225"/>
        <v>0</v>
      </c>
      <c r="X762" s="158">
        <f t="shared" ref="X762" si="1274">$S762/ORCAMENTO_VALOR_TOTAL_ND</f>
        <v>0</v>
      </c>
      <c r="Y762" s="158">
        <f t="shared" ref="Y762" si="1275">$T762/ORCAMENTO_VALOR_TOTAL_DE</f>
        <v>0</v>
      </c>
      <c r="Z762" s="158" cm="1">
        <f t="array" ref="Z762">_xlfn.SWITCH($N762,"BDI 1",$O$6,"BDI 2",$O$7,"BDI 3",$O$8)</f>
        <v>0.20699999999999999</v>
      </c>
      <c r="AA762" s="158" cm="1">
        <f t="array" ref="AA762">_xlfn.SWITCH($N762,"BDI 1",$P$6,"BDI 2",$P$7,"BDI 3",$P$8)</f>
        <v>0.26739999999999997</v>
      </c>
      <c r="AB762" s="158">
        <f t="shared" ca="1" si="1241"/>
        <v>0</v>
      </c>
      <c r="AC762" s="158">
        <f t="shared" ca="1" si="1242"/>
        <v>0</v>
      </c>
      <c r="AD762" s="164"/>
      <c r="AE762" s="148">
        <f t="shared" si="1228"/>
        <v>0</v>
      </c>
      <c r="AF762" s="149"/>
      <c r="AG762" s="150"/>
      <c r="AH762" s="213" t="e">
        <f t="shared" si="1229"/>
        <v>#DIV/0!</v>
      </c>
      <c r="AI762" s="160"/>
      <c r="AJ762" s="182" t="e">
        <v>#N/A</v>
      </c>
      <c r="AK762" s="183" t="e">
        <f>+K762/AJ762</f>
        <v>#N/A</v>
      </c>
      <c r="AM762" s="105"/>
      <c r="AN762" s="105"/>
      <c r="AO762" s="105"/>
      <c r="AP762" s="105"/>
      <c r="AQ762" s="105"/>
      <c r="AR762" s="105"/>
    </row>
    <row r="763" spans="1:44" s="49" customFormat="1" ht="40.15" hidden="1" customHeight="1">
      <c r="A763" s="152">
        <f t="shared" ca="1" si="1230"/>
        <v>0</v>
      </c>
      <c r="B763" s="153">
        <v>92404</v>
      </c>
      <c r="C763" s="154" t="str">
        <f t="shared" si="1231"/>
        <v>92404</v>
      </c>
      <c r="D763" s="154" t="s">
        <v>1416</v>
      </c>
      <c r="E763" s="155" t="s">
        <v>3906</v>
      </c>
      <c r="F763" s="154"/>
      <c r="G763" s="154" t="s">
        <v>1418</v>
      </c>
      <c r="H763" s="152">
        <v>90.06</v>
      </c>
      <c r="I763" s="152">
        <v>80.67</v>
      </c>
      <c r="J763" s="156"/>
      <c r="K763" s="156">
        <f>+Pav_Estrutura!K75+Pav_Estrutura!K77</f>
        <v>0</v>
      </c>
      <c r="L763" s="156">
        <f t="shared" si="1232"/>
        <v>0</v>
      </c>
      <c r="M763" s="156">
        <f t="shared" si="1233"/>
        <v>0</v>
      </c>
      <c r="N763" s="156" t="s">
        <v>83</v>
      </c>
      <c r="O763" s="157" cm="1">
        <f t="array" ref="O763">TRUNC($H763*(1+_xlfn.SWITCH($N763,"BDI 1",$O$6,"BDI 2",$O$7,"BDI 3",$O$8)),2)</f>
        <v>108.7</v>
      </c>
      <c r="P763" s="157" cm="1">
        <f t="array" ref="P763">TRUNC($I763*(1+_xlfn.SWITCH($N763,"BDI 1",$P$6,"BDI 2",$P$7,"BDI 3",$P$8)),2)</f>
        <v>102.24</v>
      </c>
      <c r="Q763" s="157">
        <v>0</v>
      </c>
      <c r="R763" s="157">
        <f t="shared" si="1234"/>
        <v>0</v>
      </c>
      <c r="S763" s="156">
        <f t="shared" si="1235"/>
        <v>0</v>
      </c>
      <c r="T763" s="156">
        <f t="shared" si="1236"/>
        <v>0</v>
      </c>
      <c r="U763" s="156">
        <f t="shared" si="1237"/>
        <v>0</v>
      </c>
      <c r="V763" s="156">
        <f t="shared" si="1238"/>
        <v>0</v>
      </c>
      <c r="W763" s="156">
        <f t="shared" si="1225"/>
        <v>0</v>
      </c>
      <c r="X763" s="158">
        <f t="shared" ref="X763" si="1276">$S763/ORCAMENTO_VALOR_TOTAL_ND</f>
        <v>0</v>
      </c>
      <c r="Y763" s="158">
        <f t="shared" ref="Y763" si="1277">$T763/ORCAMENTO_VALOR_TOTAL_DE</f>
        <v>0</v>
      </c>
      <c r="Z763" s="158" cm="1">
        <f t="array" ref="Z763">_xlfn.SWITCH($N763,"BDI 1",$O$6,"BDI 2",$O$7,"BDI 3",$O$8)</f>
        <v>0.20699999999999999</v>
      </c>
      <c r="AA763" s="158" cm="1">
        <f t="array" ref="AA763">_xlfn.SWITCH($N763,"BDI 1",$P$6,"BDI 2",$P$7,"BDI 3",$P$8)</f>
        <v>0.26739999999999997</v>
      </c>
      <c r="AB763" s="158">
        <f t="shared" ca="1" si="1241"/>
        <v>0</v>
      </c>
      <c r="AC763" s="158">
        <f t="shared" ca="1" si="1242"/>
        <v>0</v>
      </c>
      <c r="AD763" s="164"/>
      <c r="AE763" s="148">
        <f t="shared" si="1228"/>
        <v>0</v>
      </c>
      <c r="AF763" s="149"/>
      <c r="AG763" s="150"/>
      <c r="AH763" s="159" t="e">
        <f t="shared" si="1229"/>
        <v>#DIV/0!</v>
      </c>
      <c r="AI763" s="160"/>
      <c r="AJ763" s="182">
        <v>0</v>
      </c>
      <c r="AK763" s="183" t="e">
        <f>+K763/AJ763</f>
        <v>#DIV/0!</v>
      </c>
      <c r="AM763" s="105"/>
      <c r="AN763" s="105"/>
      <c r="AO763" s="105"/>
      <c r="AP763" s="105"/>
      <c r="AQ763" s="105"/>
      <c r="AR763" s="105"/>
    </row>
    <row r="764" spans="1:44" s="49" customFormat="1" ht="40.15" hidden="1" customHeight="1">
      <c r="A764" s="152">
        <f t="shared" ca="1" si="1230"/>
        <v>0</v>
      </c>
      <c r="B764" s="153">
        <v>92406</v>
      </c>
      <c r="C764" s="154" t="str">
        <f t="shared" si="1231"/>
        <v>92406</v>
      </c>
      <c r="D764" s="154" t="s">
        <v>1416</v>
      </c>
      <c r="E764" s="155" t="s">
        <v>3907</v>
      </c>
      <c r="F764" s="154"/>
      <c r="G764" s="154" t="s">
        <v>1418</v>
      </c>
      <c r="H764" s="152">
        <v>107.99</v>
      </c>
      <c r="I764" s="152">
        <v>96.54</v>
      </c>
      <c r="J764" s="156"/>
      <c r="K764" s="156">
        <f>+Pav_Estrutura!K76+Pav_Estrutura!K78</f>
        <v>0</v>
      </c>
      <c r="L764" s="156">
        <f t="shared" si="1232"/>
        <v>0</v>
      </c>
      <c r="M764" s="156">
        <f t="shared" si="1233"/>
        <v>0</v>
      </c>
      <c r="N764" s="156" t="s">
        <v>83</v>
      </c>
      <c r="O764" s="157" cm="1">
        <f t="array" ref="O764">TRUNC($H764*(1+_xlfn.SWITCH($N764,"BDI 1",$O$6,"BDI 2",$O$7,"BDI 3",$O$8)),2)</f>
        <v>130.34</v>
      </c>
      <c r="P764" s="157" cm="1">
        <f t="array" ref="P764">TRUNC($I764*(1+_xlfn.SWITCH($N764,"BDI 1",$P$6,"BDI 2",$P$7,"BDI 3",$P$8)),2)</f>
        <v>122.35</v>
      </c>
      <c r="Q764" s="157">
        <v>0</v>
      </c>
      <c r="R764" s="157">
        <f t="shared" si="1234"/>
        <v>0</v>
      </c>
      <c r="S764" s="156">
        <f t="shared" si="1235"/>
        <v>0</v>
      </c>
      <c r="T764" s="156">
        <f t="shared" si="1236"/>
        <v>0</v>
      </c>
      <c r="U764" s="156">
        <f t="shared" si="1237"/>
        <v>0</v>
      </c>
      <c r="V764" s="156">
        <f t="shared" si="1238"/>
        <v>0</v>
      </c>
      <c r="W764" s="156">
        <f t="shared" si="1225"/>
        <v>0</v>
      </c>
      <c r="X764" s="158">
        <f t="shared" ref="X764" si="1278">$S764/ORCAMENTO_VALOR_TOTAL_ND</f>
        <v>0</v>
      </c>
      <c r="Y764" s="158">
        <f t="shared" ref="Y764" si="1279">$T764/ORCAMENTO_VALOR_TOTAL_DE</f>
        <v>0</v>
      </c>
      <c r="Z764" s="158" cm="1">
        <f t="array" ref="Z764">_xlfn.SWITCH($N764,"BDI 1",$O$6,"BDI 2",$O$7,"BDI 3",$O$8)</f>
        <v>0.20699999999999999</v>
      </c>
      <c r="AA764" s="158" cm="1">
        <f t="array" ref="AA764">_xlfn.SWITCH($N764,"BDI 1",$P$6,"BDI 2",$P$7,"BDI 3",$P$8)</f>
        <v>0.26739999999999997</v>
      </c>
      <c r="AB764" s="158">
        <f t="shared" ca="1" si="1241"/>
        <v>0</v>
      </c>
      <c r="AC764" s="158">
        <f t="shared" ca="1" si="1242"/>
        <v>0</v>
      </c>
      <c r="AD764" s="164"/>
      <c r="AE764" s="148">
        <f t="shared" si="1228"/>
        <v>0</v>
      </c>
      <c r="AF764" s="149"/>
      <c r="AG764" s="150"/>
      <c r="AH764" s="159" t="e">
        <f t="shared" si="1229"/>
        <v>#DIV/0!</v>
      </c>
      <c r="AI764" s="160"/>
      <c r="AJ764" s="182">
        <v>0</v>
      </c>
      <c r="AK764" s="183" t="e">
        <f>+K764/AJ764</f>
        <v>#DIV/0!</v>
      </c>
      <c r="AM764" s="105"/>
      <c r="AN764" s="105"/>
      <c r="AO764" s="105"/>
      <c r="AP764" s="105"/>
      <c r="AQ764" s="105"/>
      <c r="AR764" s="105"/>
    </row>
    <row r="765" spans="1:44" s="49" customFormat="1" ht="49.9" hidden="1" customHeight="1">
      <c r="A765" s="152">
        <f t="shared" ca="1" si="1230"/>
        <v>0</v>
      </c>
      <c r="B765" s="153">
        <v>101230</v>
      </c>
      <c r="C765" s="154" t="str">
        <f t="shared" si="1231"/>
        <v>101230</v>
      </c>
      <c r="D765" s="154" t="s">
        <v>1416</v>
      </c>
      <c r="E765" s="155" t="s">
        <v>3677</v>
      </c>
      <c r="F765" s="154"/>
      <c r="G765" s="154" t="s">
        <v>464</v>
      </c>
      <c r="H765" s="152">
        <v>10.7</v>
      </c>
      <c r="I765" s="152">
        <v>10.73</v>
      </c>
      <c r="J765" s="156"/>
      <c r="K765" s="156">
        <f>IF(K766=0,Pav_Estrutura!K33+Pav_Estrutura!K59,0)+IF(K767=0,Pav_Estrutura!K35+Pav_Estrutura!K61,0)</f>
        <v>0</v>
      </c>
      <c r="L765" s="156">
        <f t="shared" si="1232"/>
        <v>0</v>
      </c>
      <c r="M765" s="156">
        <f t="shared" si="1233"/>
        <v>0</v>
      </c>
      <c r="N765" s="156" t="s">
        <v>83</v>
      </c>
      <c r="O765" s="157" cm="1">
        <f t="array" ref="O765">TRUNC($H765*(1+_xlfn.SWITCH($N765,"BDI 1",$O$6,"BDI 2",$O$7,"BDI 3",$O$8)),2)</f>
        <v>12.91</v>
      </c>
      <c r="P765" s="157" cm="1">
        <f t="array" ref="P765">TRUNC($I765*(1+_xlfn.SWITCH($N765,"BDI 1",$P$6,"BDI 2",$P$7,"BDI 3",$P$8)),2)</f>
        <v>13.59</v>
      </c>
      <c r="Q765" s="157">
        <v>0</v>
      </c>
      <c r="R765" s="157">
        <f t="shared" si="1234"/>
        <v>0</v>
      </c>
      <c r="S765" s="156">
        <f t="shared" si="1235"/>
        <v>0</v>
      </c>
      <c r="T765" s="156">
        <f t="shared" si="1236"/>
        <v>0</v>
      </c>
      <c r="U765" s="156">
        <f t="shared" si="1237"/>
        <v>0</v>
      </c>
      <c r="V765" s="156">
        <f t="shared" si="1238"/>
        <v>0</v>
      </c>
      <c r="W765" s="156">
        <f t="shared" si="1225"/>
        <v>0</v>
      </c>
      <c r="X765" s="158">
        <f t="shared" ref="X765" si="1280">$S765/ORCAMENTO_VALOR_TOTAL_ND</f>
        <v>0</v>
      </c>
      <c r="Y765" s="158">
        <f t="shared" ref="Y765" si="1281">$T765/ORCAMENTO_VALOR_TOTAL_DE</f>
        <v>0</v>
      </c>
      <c r="Z765" s="158" cm="1">
        <f t="array" ref="Z765">_xlfn.SWITCH($N765,"BDI 1",$O$6,"BDI 2",$O$7,"BDI 3",$O$8)</f>
        <v>0.20699999999999999</v>
      </c>
      <c r="AA765" s="158" cm="1">
        <f t="array" ref="AA765">_xlfn.SWITCH($N765,"BDI 1",$P$6,"BDI 2",$P$7,"BDI 3",$P$8)</f>
        <v>0.26739999999999997</v>
      </c>
      <c r="AB765" s="158">
        <f t="shared" ca="1" si="1241"/>
        <v>0</v>
      </c>
      <c r="AC765" s="158">
        <f t="shared" ca="1" si="1242"/>
        <v>0</v>
      </c>
      <c r="AD765" s="164"/>
      <c r="AE765" s="148">
        <f t="shared" si="1228"/>
        <v>0</v>
      </c>
      <c r="AF765" s="149"/>
      <c r="AG765" s="150"/>
      <c r="AH765" s="159" t="e">
        <f t="shared" si="1229"/>
        <v>#DIV/0!</v>
      </c>
      <c r="AI765" s="160"/>
      <c r="AJ765" s="105"/>
      <c r="AK765" s="105"/>
      <c r="AM765" s="105"/>
      <c r="AN765" s="105"/>
      <c r="AO765" s="105"/>
      <c r="AP765" s="105"/>
      <c r="AQ765" s="105"/>
      <c r="AR765" s="105"/>
    </row>
    <row r="766" spans="1:44" s="49" customFormat="1" ht="40.15" hidden="1" customHeight="1">
      <c r="A766" s="152">
        <f t="shared" ca="1" si="1230"/>
        <v>0</v>
      </c>
      <c r="B766" s="153">
        <v>6079</v>
      </c>
      <c r="C766" s="154" t="str">
        <f t="shared" si="1231"/>
        <v>6079</v>
      </c>
      <c r="D766" s="154" t="s">
        <v>3579</v>
      </c>
      <c r="E766" s="155" t="s">
        <v>3679</v>
      </c>
      <c r="F766" s="154"/>
      <c r="G766" s="154" t="s">
        <v>464</v>
      </c>
      <c r="H766" s="152">
        <v>37.35</v>
      </c>
      <c r="I766" s="152">
        <v>37.35</v>
      </c>
      <c r="J766" s="156"/>
      <c r="K766" s="156">
        <f>IF(AI766="COMERCIAL",Pav_Estrutura!K33+Pav_Estrutura!K59,0)</f>
        <v>0</v>
      </c>
      <c r="L766" s="156">
        <f t="shared" si="1232"/>
        <v>0</v>
      </c>
      <c r="M766" s="156">
        <f t="shared" si="1233"/>
        <v>0</v>
      </c>
      <c r="N766" s="156" t="s">
        <v>92</v>
      </c>
      <c r="O766" s="157" cm="1">
        <f t="array" ref="O766">TRUNC($H766*(1+_xlfn.SWITCH($N766,"BDI 1",$O$6,"BDI 2",$O$7,"BDI 3",$O$8)),2)</f>
        <v>43.05</v>
      </c>
      <c r="P766" s="157" cm="1">
        <f t="array" ref="P766">TRUNC($I766*(1+_xlfn.SWITCH($N766,"BDI 1",$P$6,"BDI 2",$P$7,"BDI 3",$P$8)),2)</f>
        <v>43.05</v>
      </c>
      <c r="Q766" s="157">
        <v>0</v>
      </c>
      <c r="R766" s="157">
        <f t="shared" si="1234"/>
        <v>0</v>
      </c>
      <c r="S766" s="156">
        <f t="shared" si="1235"/>
        <v>0</v>
      </c>
      <c r="T766" s="156">
        <f t="shared" si="1236"/>
        <v>0</v>
      </c>
      <c r="U766" s="156">
        <f t="shared" si="1237"/>
        <v>0</v>
      </c>
      <c r="V766" s="156">
        <f t="shared" si="1238"/>
        <v>0</v>
      </c>
      <c r="W766" s="156">
        <f t="shared" si="1225"/>
        <v>0</v>
      </c>
      <c r="X766" s="158">
        <f t="shared" ref="X766" si="1282">$S766/ORCAMENTO_VALOR_TOTAL_ND</f>
        <v>0</v>
      </c>
      <c r="Y766" s="158">
        <f t="shared" ref="Y766" si="1283">$T766/ORCAMENTO_VALOR_TOTAL_DE</f>
        <v>0</v>
      </c>
      <c r="Z766" s="158" cm="1">
        <f t="array" ref="Z766">_xlfn.SWITCH($N766,"BDI 1",$O$6,"BDI 2",$O$7,"BDI 3",$O$8)</f>
        <v>0.1527</v>
      </c>
      <c r="AA766" s="158" cm="1">
        <f t="array" ref="AA766">_xlfn.SWITCH($N766,"BDI 1",$P$6,"BDI 2",$P$7,"BDI 3",$P$8)</f>
        <v>0.1527</v>
      </c>
      <c r="AB766" s="158">
        <f t="shared" ca="1" si="1241"/>
        <v>0</v>
      </c>
      <c r="AC766" s="158">
        <f t="shared" ca="1" si="1242"/>
        <v>0</v>
      </c>
      <c r="AD766" s="164"/>
      <c r="AE766" s="148">
        <f t="shared" si="1228"/>
        <v>0</v>
      </c>
      <c r="AF766" s="149"/>
      <c r="AG766" s="150"/>
      <c r="AH766" s="159" t="e">
        <f t="shared" si="1229"/>
        <v>#DIV/0!</v>
      </c>
      <c r="AI766" s="165" t="s">
        <v>243</v>
      </c>
      <c r="AJ766" s="105"/>
      <c r="AK766" s="105"/>
      <c r="AM766" s="105"/>
      <c r="AN766" s="105"/>
      <c r="AO766" s="105"/>
      <c r="AP766" s="105"/>
      <c r="AQ766" s="105"/>
      <c r="AR766" s="105"/>
    </row>
    <row r="767" spans="1:44" s="49" customFormat="1" ht="40.15" hidden="1" customHeight="1">
      <c r="A767" s="152">
        <f t="shared" ca="1" si="1230"/>
        <v>0</v>
      </c>
      <c r="B767" s="153">
        <v>4743</v>
      </c>
      <c r="C767" s="154" t="str">
        <f t="shared" si="1231"/>
        <v>4743</v>
      </c>
      <c r="D767" s="154" t="s">
        <v>3579</v>
      </c>
      <c r="E767" s="155" t="s">
        <v>3867</v>
      </c>
      <c r="F767" s="154"/>
      <c r="G767" s="154" t="s">
        <v>464</v>
      </c>
      <c r="H767" s="152">
        <v>55.95</v>
      </c>
      <c r="I767" s="152">
        <v>55.95</v>
      </c>
      <c r="J767" s="156"/>
      <c r="K767" s="156">
        <f>IF(AI767="COMERCIAL",Pav_Estrutura!K35+Pav_Estrutura!K61,0)</f>
        <v>0</v>
      </c>
      <c r="L767" s="156">
        <f t="shared" si="1232"/>
        <v>0</v>
      </c>
      <c r="M767" s="156">
        <f t="shared" si="1233"/>
        <v>0</v>
      </c>
      <c r="N767" s="156" t="s">
        <v>92</v>
      </c>
      <c r="O767" s="157" cm="1">
        <f t="array" ref="O767">TRUNC($H767*(1+_xlfn.SWITCH($N767,"BDI 1",$O$6,"BDI 2",$O$7,"BDI 3",$O$8)),2)</f>
        <v>64.489999999999995</v>
      </c>
      <c r="P767" s="157" cm="1">
        <f t="array" ref="P767">TRUNC($I767*(1+_xlfn.SWITCH($N767,"BDI 1",$P$6,"BDI 2",$P$7,"BDI 3",$P$8)),2)</f>
        <v>64.489999999999995</v>
      </c>
      <c r="Q767" s="157">
        <v>0</v>
      </c>
      <c r="R767" s="157">
        <f t="shared" si="1234"/>
        <v>0</v>
      </c>
      <c r="S767" s="156">
        <f t="shared" si="1235"/>
        <v>0</v>
      </c>
      <c r="T767" s="156">
        <f t="shared" si="1236"/>
        <v>0</v>
      </c>
      <c r="U767" s="156">
        <f t="shared" si="1237"/>
        <v>0</v>
      </c>
      <c r="V767" s="156">
        <f t="shared" si="1238"/>
        <v>0</v>
      </c>
      <c r="W767" s="156">
        <f t="shared" si="1225"/>
        <v>0</v>
      </c>
      <c r="X767" s="158">
        <f t="shared" ref="X767" si="1284">$S767/ORCAMENTO_VALOR_TOTAL_ND</f>
        <v>0</v>
      </c>
      <c r="Y767" s="158">
        <f t="shared" ref="Y767" si="1285">$T767/ORCAMENTO_VALOR_TOTAL_DE</f>
        <v>0</v>
      </c>
      <c r="Z767" s="158" cm="1">
        <f t="array" ref="Z767">_xlfn.SWITCH($N767,"BDI 1",$O$6,"BDI 2",$O$7,"BDI 3",$O$8)</f>
        <v>0.1527</v>
      </c>
      <c r="AA767" s="158" cm="1">
        <f t="array" ref="AA767">_xlfn.SWITCH($N767,"BDI 1",$P$6,"BDI 2",$P$7,"BDI 3",$P$8)</f>
        <v>0.1527</v>
      </c>
      <c r="AB767" s="158">
        <f t="shared" ca="1" si="1241"/>
        <v>0</v>
      </c>
      <c r="AC767" s="158">
        <f t="shared" ca="1" si="1242"/>
        <v>0</v>
      </c>
      <c r="AD767" s="164"/>
      <c r="AE767" s="148">
        <f t="shared" si="1228"/>
        <v>0</v>
      </c>
      <c r="AF767" s="149"/>
      <c r="AG767" s="150"/>
      <c r="AH767" s="159" t="e">
        <f t="shared" si="1229"/>
        <v>#DIV/0!</v>
      </c>
      <c r="AI767" s="165" t="s">
        <v>134</v>
      </c>
      <c r="AJ767" s="105"/>
      <c r="AK767" s="105"/>
      <c r="AM767" s="105"/>
      <c r="AN767" s="105"/>
      <c r="AO767" s="105"/>
      <c r="AP767" s="105"/>
      <c r="AQ767" s="105"/>
      <c r="AR767" s="105"/>
    </row>
    <row r="768" spans="1:44" s="49" customFormat="1" ht="40.15" hidden="1" customHeight="1">
      <c r="A768" s="152">
        <f t="shared" ca="1" si="1230"/>
        <v>0</v>
      </c>
      <c r="B768" s="153">
        <v>4721</v>
      </c>
      <c r="C768" s="154" t="str">
        <f t="shared" si="1231"/>
        <v>4721</v>
      </c>
      <c r="D768" s="154" t="s">
        <v>3579</v>
      </c>
      <c r="E768" s="155" t="s">
        <v>3866</v>
      </c>
      <c r="F768" s="154"/>
      <c r="G768" s="154" t="s">
        <v>464</v>
      </c>
      <c r="H768" s="152">
        <v>95.96</v>
      </c>
      <c r="I768" s="152">
        <v>95.96</v>
      </c>
      <c r="J768" s="156"/>
      <c r="K768" s="156">
        <f>+Pav_Estrutura!K34+Pav_Estrutura!K60</f>
        <v>0</v>
      </c>
      <c r="L768" s="156">
        <f t="shared" si="1232"/>
        <v>0</v>
      </c>
      <c r="M768" s="156">
        <f t="shared" si="1233"/>
        <v>0</v>
      </c>
      <c r="N768" s="156" t="s">
        <v>92</v>
      </c>
      <c r="O768" s="157" cm="1">
        <f t="array" ref="O768">TRUNC($H768*(1+_xlfn.SWITCH($N768,"BDI 1",$O$6,"BDI 2",$O$7,"BDI 3",$O$8)),2)</f>
        <v>110.61</v>
      </c>
      <c r="P768" s="157" cm="1">
        <f t="array" ref="P768">TRUNC($I768*(1+_xlfn.SWITCH($N768,"BDI 1",$P$6,"BDI 2",$P$7,"BDI 3",$P$8)),2)</f>
        <v>110.61</v>
      </c>
      <c r="Q768" s="157">
        <v>0</v>
      </c>
      <c r="R768" s="157">
        <f t="shared" si="1234"/>
        <v>0</v>
      </c>
      <c r="S768" s="156">
        <f t="shared" si="1235"/>
        <v>0</v>
      </c>
      <c r="T768" s="156">
        <f t="shared" si="1236"/>
        <v>0</v>
      </c>
      <c r="U768" s="156">
        <f t="shared" si="1237"/>
        <v>0</v>
      </c>
      <c r="V768" s="156">
        <f t="shared" si="1238"/>
        <v>0</v>
      </c>
      <c r="W768" s="156">
        <f t="shared" si="1225"/>
        <v>0</v>
      </c>
      <c r="X768" s="158">
        <f t="shared" ref="X768" si="1286">$S768/ORCAMENTO_VALOR_TOTAL_ND</f>
        <v>0</v>
      </c>
      <c r="Y768" s="158">
        <f t="shared" ref="Y768" si="1287">$T768/ORCAMENTO_VALOR_TOTAL_DE</f>
        <v>0</v>
      </c>
      <c r="Z768" s="158" cm="1">
        <f t="array" ref="Z768">_xlfn.SWITCH($N768,"BDI 1",$O$6,"BDI 2",$O$7,"BDI 3",$O$8)</f>
        <v>0.1527</v>
      </c>
      <c r="AA768" s="158" cm="1">
        <f t="array" ref="AA768">_xlfn.SWITCH($N768,"BDI 1",$P$6,"BDI 2",$P$7,"BDI 3",$P$8)</f>
        <v>0.1527</v>
      </c>
      <c r="AB768" s="158">
        <f t="shared" ca="1" si="1241"/>
        <v>0</v>
      </c>
      <c r="AC768" s="158">
        <f t="shared" ca="1" si="1242"/>
        <v>0</v>
      </c>
      <c r="AD768" s="164"/>
      <c r="AE768" s="148">
        <f t="shared" si="1228"/>
        <v>0</v>
      </c>
      <c r="AF768" s="149"/>
      <c r="AG768" s="150"/>
      <c r="AH768" s="159" t="e">
        <f t="shared" si="1229"/>
        <v>#DIV/0!</v>
      </c>
      <c r="AI768" s="160"/>
      <c r="AJ768" s="105"/>
      <c r="AK768" s="105"/>
      <c r="AM768" s="105"/>
      <c r="AN768" s="105"/>
      <c r="AO768" s="105"/>
      <c r="AP768" s="105"/>
      <c r="AQ768" s="105"/>
      <c r="AR768" s="105"/>
    </row>
    <row r="769" spans="1:44" s="49" customFormat="1" ht="40.15" hidden="1" customHeight="1">
      <c r="A769" s="152">
        <f t="shared" ca="1" si="1230"/>
        <v>0</v>
      </c>
      <c r="B769" s="153">
        <v>4748</v>
      </c>
      <c r="C769" s="154" t="str">
        <f t="shared" si="1231"/>
        <v>4748</v>
      </c>
      <c r="D769" s="154" t="s">
        <v>3579</v>
      </c>
      <c r="E769" s="155" t="s">
        <v>3868</v>
      </c>
      <c r="F769" s="154"/>
      <c r="G769" s="154" t="s">
        <v>464</v>
      </c>
      <c r="H769" s="152">
        <v>88.63</v>
      </c>
      <c r="I769" s="152">
        <v>88.63</v>
      </c>
      <c r="J769" s="156"/>
      <c r="K769" s="156">
        <f>+Pav_Estrutura!K36+Pav_Estrutura!K62</f>
        <v>0</v>
      </c>
      <c r="L769" s="156">
        <f t="shared" si="1232"/>
        <v>0</v>
      </c>
      <c r="M769" s="156">
        <f t="shared" si="1233"/>
        <v>0</v>
      </c>
      <c r="N769" s="156" t="s">
        <v>92</v>
      </c>
      <c r="O769" s="157" cm="1">
        <f t="array" ref="O769">TRUNC($H769*(1+_xlfn.SWITCH($N769,"BDI 1",$O$6,"BDI 2",$O$7,"BDI 3",$O$8)),2)</f>
        <v>102.16</v>
      </c>
      <c r="P769" s="157" cm="1">
        <f t="array" ref="P769">TRUNC($I769*(1+_xlfn.SWITCH($N769,"BDI 1",$P$6,"BDI 2",$P$7,"BDI 3",$P$8)),2)</f>
        <v>102.16</v>
      </c>
      <c r="Q769" s="157">
        <v>0</v>
      </c>
      <c r="R769" s="157">
        <f t="shared" si="1234"/>
        <v>0</v>
      </c>
      <c r="S769" s="156">
        <f t="shared" si="1235"/>
        <v>0</v>
      </c>
      <c r="T769" s="156">
        <f t="shared" si="1236"/>
        <v>0</v>
      </c>
      <c r="U769" s="156">
        <f t="shared" si="1237"/>
        <v>0</v>
      </c>
      <c r="V769" s="156">
        <f t="shared" si="1238"/>
        <v>0</v>
      </c>
      <c r="W769" s="156">
        <f t="shared" si="1225"/>
        <v>0</v>
      </c>
      <c r="X769" s="158">
        <f t="shared" ref="X769" si="1288">$S769/ORCAMENTO_VALOR_TOTAL_ND</f>
        <v>0</v>
      </c>
      <c r="Y769" s="158">
        <f t="shared" ref="Y769" si="1289">$T769/ORCAMENTO_VALOR_TOTAL_DE</f>
        <v>0</v>
      </c>
      <c r="Z769" s="158" cm="1">
        <f t="array" ref="Z769">_xlfn.SWITCH($N769,"BDI 1",$O$6,"BDI 2",$O$7,"BDI 3",$O$8)</f>
        <v>0.1527</v>
      </c>
      <c r="AA769" s="158" cm="1">
        <f t="array" ref="AA769">_xlfn.SWITCH($N769,"BDI 1",$P$6,"BDI 2",$P$7,"BDI 3",$P$8)</f>
        <v>0.1527</v>
      </c>
      <c r="AB769" s="158">
        <f t="shared" ca="1" si="1241"/>
        <v>0</v>
      </c>
      <c r="AC769" s="158">
        <f t="shared" ca="1" si="1242"/>
        <v>0</v>
      </c>
      <c r="AD769" s="164"/>
      <c r="AE769" s="148">
        <f t="shared" si="1228"/>
        <v>0</v>
      </c>
      <c r="AF769" s="149"/>
      <c r="AG769" s="150"/>
      <c r="AH769" s="159" t="e">
        <f t="shared" si="1229"/>
        <v>#DIV/0!</v>
      </c>
      <c r="AI769" s="160"/>
      <c r="AJ769" s="105"/>
      <c r="AK769" s="105"/>
      <c r="AM769" s="105"/>
      <c r="AN769" s="105"/>
      <c r="AO769" s="214"/>
      <c r="AP769" s="214"/>
      <c r="AQ769" s="214"/>
      <c r="AR769" s="214"/>
    </row>
    <row r="770" spans="1:44" s="49" customFormat="1" ht="40.15" hidden="1" customHeight="1">
      <c r="A770" s="152">
        <f t="shared" ca="1" si="1230"/>
        <v>0</v>
      </c>
      <c r="B770" s="153">
        <v>4729</v>
      </c>
      <c r="C770" s="154" t="str">
        <f t="shared" si="1231"/>
        <v>4729</v>
      </c>
      <c r="D770" s="154" t="s">
        <v>3579</v>
      </c>
      <c r="E770" s="155" t="s">
        <v>3869</v>
      </c>
      <c r="F770" s="154"/>
      <c r="G770" s="154" t="s">
        <v>464</v>
      </c>
      <c r="H770" s="152">
        <v>96.69</v>
      </c>
      <c r="I770" s="152">
        <v>96.69</v>
      </c>
      <c r="J770" s="156"/>
      <c r="K770" s="156">
        <f>Pav_Estrutura!K37+Pav_Estrutura!K63</f>
        <v>0</v>
      </c>
      <c r="L770" s="156">
        <f t="shared" si="1232"/>
        <v>0</v>
      </c>
      <c r="M770" s="156">
        <f t="shared" si="1233"/>
        <v>0</v>
      </c>
      <c r="N770" s="156" t="s">
        <v>92</v>
      </c>
      <c r="O770" s="157" cm="1">
        <f t="array" ref="O770">TRUNC($H770*(1+_xlfn.SWITCH($N770,"BDI 1",$O$6,"BDI 2",$O$7,"BDI 3",$O$8)),2)</f>
        <v>111.45</v>
      </c>
      <c r="P770" s="157" cm="1">
        <f t="array" ref="P770">TRUNC($I770*(1+_xlfn.SWITCH($N770,"BDI 1",$P$6,"BDI 2",$P$7,"BDI 3",$P$8)),2)</f>
        <v>111.45</v>
      </c>
      <c r="Q770" s="157">
        <v>0</v>
      </c>
      <c r="R770" s="157">
        <f t="shared" si="1234"/>
        <v>0</v>
      </c>
      <c r="S770" s="156">
        <f t="shared" si="1235"/>
        <v>0</v>
      </c>
      <c r="T770" s="156">
        <f t="shared" si="1236"/>
        <v>0</v>
      </c>
      <c r="U770" s="156">
        <f t="shared" si="1237"/>
        <v>0</v>
      </c>
      <c r="V770" s="156">
        <f t="shared" si="1238"/>
        <v>0</v>
      </c>
      <c r="W770" s="156">
        <f t="shared" si="1225"/>
        <v>0</v>
      </c>
      <c r="X770" s="158">
        <f t="shared" ref="X770" si="1290">$S770/ORCAMENTO_VALOR_TOTAL_ND</f>
        <v>0</v>
      </c>
      <c r="Y770" s="158">
        <f t="shared" ref="Y770" si="1291">$T770/ORCAMENTO_VALOR_TOTAL_DE</f>
        <v>0</v>
      </c>
      <c r="Z770" s="158" cm="1">
        <f t="array" ref="Z770">_xlfn.SWITCH($N770,"BDI 1",$O$6,"BDI 2",$O$7,"BDI 3",$O$8)</f>
        <v>0.1527</v>
      </c>
      <c r="AA770" s="158" cm="1">
        <f t="array" ref="AA770">_xlfn.SWITCH($N770,"BDI 1",$P$6,"BDI 2",$P$7,"BDI 3",$P$8)</f>
        <v>0.1527</v>
      </c>
      <c r="AB770" s="158">
        <f t="shared" ca="1" si="1241"/>
        <v>0</v>
      </c>
      <c r="AC770" s="158">
        <f t="shared" ca="1" si="1242"/>
        <v>0</v>
      </c>
      <c r="AD770" s="164"/>
      <c r="AE770" s="148">
        <f t="shared" si="1228"/>
        <v>0</v>
      </c>
      <c r="AF770" s="149"/>
      <c r="AG770" s="150"/>
      <c r="AH770" s="159" t="e">
        <f t="shared" si="1229"/>
        <v>#DIV/0!</v>
      </c>
      <c r="AI770" s="160"/>
      <c r="AJ770" s="105"/>
      <c r="AK770" s="105"/>
      <c r="AM770" s="105"/>
      <c r="AN770" s="105"/>
      <c r="AO770" s="105"/>
      <c r="AP770" s="105"/>
      <c r="AQ770" s="105"/>
      <c r="AR770" s="105"/>
    </row>
    <row r="771" spans="1:44" s="49" customFormat="1" ht="49.9" hidden="1" customHeight="1">
      <c r="A771" s="152">
        <f t="shared" ca="1" si="1230"/>
        <v>0</v>
      </c>
      <c r="B771" s="153" t="s">
        <v>313</v>
      </c>
      <c r="C771" s="154" t="str">
        <f t="shared" si="1231"/>
        <v>100979</v>
      </c>
      <c r="D771" s="154" t="s">
        <v>1416</v>
      </c>
      <c r="E771" s="155" t="s">
        <v>1420</v>
      </c>
      <c r="F771" s="154"/>
      <c r="G771" s="154" t="s">
        <v>464</v>
      </c>
      <c r="H771" s="152">
        <v>6.4</v>
      </c>
      <c r="I771" s="152">
        <v>6.4</v>
      </c>
      <c r="J771" s="156"/>
      <c r="K771" s="156">
        <f>Pav_Estrutura!K110+Pav_Estrutura!K106</f>
        <v>0</v>
      </c>
      <c r="L771" s="156">
        <f t="shared" si="1232"/>
        <v>0</v>
      </c>
      <c r="M771" s="156">
        <f t="shared" si="1233"/>
        <v>0</v>
      </c>
      <c r="N771" s="156" t="s">
        <v>83</v>
      </c>
      <c r="O771" s="157" cm="1">
        <f t="array" ref="O771">TRUNC($H771*(1+_xlfn.SWITCH($N771,"BDI 1",$O$6,"BDI 2",$O$7,"BDI 3",$O$8)),2)</f>
        <v>7.72</v>
      </c>
      <c r="P771" s="157" cm="1">
        <f t="array" ref="P771">TRUNC($I771*(1+_xlfn.SWITCH($N771,"BDI 1",$P$6,"BDI 2",$P$7,"BDI 3",$P$8)),2)</f>
        <v>8.11</v>
      </c>
      <c r="Q771" s="157">
        <v>0</v>
      </c>
      <c r="R771" s="157">
        <f t="shared" si="1234"/>
        <v>0</v>
      </c>
      <c r="S771" s="156">
        <f t="shared" si="1235"/>
        <v>0</v>
      </c>
      <c r="T771" s="156">
        <f t="shared" si="1236"/>
        <v>0</v>
      </c>
      <c r="U771" s="156">
        <f t="shared" si="1237"/>
        <v>0</v>
      </c>
      <c r="V771" s="156">
        <f t="shared" si="1238"/>
        <v>0</v>
      </c>
      <c r="W771" s="156">
        <f t="shared" si="1225"/>
        <v>0</v>
      </c>
      <c r="X771" s="158">
        <f t="shared" ref="X771" si="1292">$S771/ORCAMENTO_VALOR_TOTAL_ND</f>
        <v>0</v>
      </c>
      <c r="Y771" s="158">
        <f t="shared" ref="Y771" si="1293">$T771/ORCAMENTO_VALOR_TOTAL_DE</f>
        <v>0</v>
      </c>
      <c r="Z771" s="158" cm="1">
        <f t="array" ref="Z771">_xlfn.SWITCH($N771,"BDI 1",$O$6,"BDI 2",$O$7,"BDI 3",$O$8)</f>
        <v>0.20699999999999999</v>
      </c>
      <c r="AA771" s="158" cm="1">
        <f t="array" ref="AA771">_xlfn.SWITCH($N771,"BDI 1",$P$6,"BDI 2",$P$7,"BDI 3",$P$8)</f>
        <v>0.26739999999999997</v>
      </c>
      <c r="AB771" s="158">
        <f t="shared" ca="1" si="1241"/>
        <v>0</v>
      </c>
      <c r="AC771" s="158">
        <f t="shared" ca="1" si="1242"/>
        <v>0</v>
      </c>
      <c r="AD771" s="164"/>
      <c r="AE771" s="148">
        <f t="shared" si="1228"/>
        <v>0</v>
      </c>
      <c r="AF771" s="149"/>
      <c r="AG771" s="150"/>
      <c r="AH771" s="159" t="e">
        <f t="shared" si="1229"/>
        <v>#DIV/0!</v>
      </c>
      <c r="AI771" s="165" t="s">
        <v>101</v>
      </c>
      <c r="AJ771" s="105"/>
      <c r="AK771" s="105"/>
      <c r="AM771" s="105"/>
      <c r="AN771" s="105"/>
      <c r="AO771" s="105"/>
      <c r="AP771" s="105"/>
      <c r="AQ771" s="105"/>
      <c r="AR771" s="105"/>
    </row>
    <row r="772" spans="1:44" s="49" customFormat="1" ht="40.15" hidden="1" customHeight="1">
      <c r="A772" s="10">
        <f t="shared" ca="1" si="1230"/>
        <v>0</v>
      </c>
      <c r="B772" s="153"/>
      <c r="C772" s="154"/>
      <c r="D772" s="154"/>
      <c r="E772" s="161" t="s">
        <v>314</v>
      </c>
      <c r="F772" s="154"/>
      <c r="G772" s="154"/>
      <c r="H772" s="152"/>
      <c r="I772" s="152"/>
      <c r="J772" s="154"/>
      <c r="K772" s="154"/>
      <c r="L772" s="154"/>
      <c r="M772" s="154"/>
      <c r="N772" s="154"/>
      <c r="O772" s="154"/>
      <c r="P772" s="154"/>
      <c r="Q772" s="154"/>
      <c r="R772" s="154"/>
      <c r="S772" s="162"/>
      <c r="T772" s="162"/>
      <c r="U772" s="162"/>
      <c r="V772" s="162"/>
      <c r="W772" s="162"/>
      <c r="X772" s="163"/>
      <c r="Y772" s="163"/>
      <c r="Z772" s="163"/>
      <c r="AA772" s="163"/>
      <c r="AB772" s="163"/>
      <c r="AC772" s="163"/>
      <c r="AD772" s="164"/>
      <c r="AE772" s="148">
        <f>IF(SUM(S773:S774)&gt;0,IFERROR(TRUNC(A772,0),0),0)</f>
        <v>0</v>
      </c>
      <c r="AF772" s="149"/>
      <c r="AG772" s="150"/>
      <c r="AH772" s="159"/>
      <c r="AI772" s="160"/>
      <c r="AJ772" s="105"/>
      <c r="AK772" s="105"/>
      <c r="AM772" s="105"/>
      <c r="AN772" s="105"/>
      <c r="AO772" s="105"/>
      <c r="AP772" s="105"/>
      <c r="AQ772" s="105"/>
      <c r="AR772" s="105"/>
    </row>
    <row r="773" spans="1:44" s="49" customFormat="1" ht="40.15" hidden="1" customHeight="1">
      <c r="A773" s="152">
        <f t="shared" ca="1" si="1230"/>
        <v>0</v>
      </c>
      <c r="B773" s="153">
        <v>95876</v>
      </c>
      <c r="C773" s="154" t="str">
        <f>TEXT(B773,"0")</f>
        <v>95876</v>
      </c>
      <c r="D773" s="154" t="s">
        <v>1416</v>
      </c>
      <c r="E773" s="155" t="s">
        <v>3537</v>
      </c>
      <c r="F773" s="154">
        <f>IF(Dados_DMT!$B$14&lt;30,Dados_DMT!$B$14,30)</f>
        <v>3.5</v>
      </c>
      <c r="G773" s="154" t="s">
        <v>3538</v>
      </c>
      <c r="H773" s="152">
        <v>2.09</v>
      </c>
      <c r="I773" s="152">
        <v>2.1</v>
      </c>
      <c r="J773" s="156"/>
      <c r="K773" s="156">
        <f>ROUND(Pav_Estrutura!K97*F773,2)</f>
        <v>0</v>
      </c>
      <c r="L773" s="156">
        <f>IF($K773&gt;$J773,$K773-$J773,0)</f>
        <v>0</v>
      </c>
      <c r="M773" s="156">
        <f>IF($K773&lt;$J773,$J773-$K773,0)</f>
        <v>0</v>
      </c>
      <c r="N773" s="156" t="s">
        <v>83</v>
      </c>
      <c r="O773" s="157" cm="1">
        <f t="array" ref="O773">TRUNC($H773*(1+_xlfn.SWITCH($N773,"BDI 1",$O$6,"BDI 2",$O$7,"BDI 3",$O$8)),2)</f>
        <v>2.52</v>
      </c>
      <c r="P773" s="157" cm="1">
        <f t="array" ref="P773">TRUNC($I773*(1+_xlfn.SWITCH($N773,"BDI 1",$P$6,"BDI 2",$P$7,"BDI 3",$P$8)),2)</f>
        <v>2.66</v>
      </c>
      <c r="Q773" s="157">
        <v>0</v>
      </c>
      <c r="R773" s="157">
        <f>$Q773-($Q773*LICITACAO_DESCONTO)</f>
        <v>0</v>
      </c>
      <c r="S773" s="156">
        <f>TRUNC($K773*$O773,2)</f>
        <v>0</v>
      </c>
      <c r="T773" s="156">
        <f>TRUNC($K773*$P773,2)</f>
        <v>0</v>
      </c>
      <c r="U773" s="156">
        <f>TRUNC($J773*$R773,2)</f>
        <v>0</v>
      </c>
      <c r="V773" s="156">
        <f>TRUNC($K773*$Q773,2)</f>
        <v>0</v>
      </c>
      <c r="W773" s="156">
        <f>TRUNC(V773-U773,2)</f>
        <v>0</v>
      </c>
      <c r="X773" s="158">
        <f>$S773/ORCAMENTO_VALOR_TOTAL_ND</f>
        <v>0</v>
      </c>
      <c r="Y773" s="158">
        <f>$T773/ORCAMENTO_VALOR_TOTAL_DE</f>
        <v>0</v>
      </c>
      <c r="Z773" s="158" cm="1">
        <f t="array" ref="Z773">_xlfn.SWITCH($N773,"BDI 1",$O$6,"BDI 2",$O$7,"BDI 3",$O$8)</f>
        <v>0.20699999999999999</v>
      </c>
      <c r="AA773" s="158" cm="1">
        <f t="array" ref="AA773">_xlfn.SWITCH($N773,"BDI 1",$P$6,"BDI 2",$P$7,"BDI 3",$P$8)</f>
        <v>0.26739999999999997</v>
      </c>
      <c r="AB773" s="158">
        <f ca="1">IFERROR($S773/_xlfn.XLOOKUP($AE773,$B$16:$B$38,$S$16:$S$38),0)</f>
        <v>0</v>
      </c>
      <c r="AC773" s="158">
        <f ca="1">IFERROR($T773/_xlfn.XLOOKUP($AE773,$B$16:$B$38,$T$16:$T$38),0)</f>
        <v>0</v>
      </c>
      <c r="AD773" s="164"/>
      <c r="AE773" s="148">
        <f t="shared" ref="AE773:AE774" si="1294">IF(S773&gt;0,IFERROR(TRUNC(A773,0),0),0)</f>
        <v>0</v>
      </c>
      <c r="AF773" s="149"/>
      <c r="AG773" s="150"/>
      <c r="AH773" s="159" t="e">
        <f>S773/$S$745</f>
        <v>#DIV/0!</v>
      </c>
      <c r="AI773" s="166">
        <f>IF(K773=0,0,K773/F773)</f>
        <v>0</v>
      </c>
      <c r="AJ773" s="105"/>
      <c r="AK773" s="105"/>
      <c r="AM773" s="105"/>
      <c r="AN773" s="105"/>
      <c r="AO773" s="105"/>
      <c r="AP773" s="105"/>
      <c r="AQ773" s="105"/>
      <c r="AR773" s="105"/>
    </row>
    <row r="774" spans="1:44" s="49" customFormat="1" ht="40.15" hidden="1" customHeight="1">
      <c r="A774" s="152">
        <f t="shared" ca="1" si="1230"/>
        <v>0</v>
      </c>
      <c r="B774" s="153">
        <v>93593</v>
      </c>
      <c r="C774" s="154" t="str">
        <f>TEXT(B774,"0")</f>
        <v>93593</v>
      </c>
      <c r="D774" s="154" t="s">
        <v>1416</v>
      </c>
      <c r="E774" s="155" t="s">
        <v>3545</v>
      </c>
      <c r="F774" s="154">
        <f>+Dados_DMT!$B$14-F773</f>
        <v>0</v>
      </c>
      <c r="G774" s="154" t="s">
        <v>3538</v>
      </c>
      <c r="H774" s="152">
        <v>0.84</v>
      </c>
      <c r="I774" s="152">
        <v>0.85</v>
      </c>
      <c r="J774" s="156"/>
      <c r="K774" s="156">
        <f>ROUND(Pav_Estrutura!K97*F774,2)</f>
        <v>0</v>
      </c>
      <c r="L774" s="156">
        <f>IF($K774&gt;$J774,$K774-$J774,0)</f>
        <v>0</v>
      </c>
      <c r="M774" s="156">
        <f>IF($K774&lt;$J774,$J774-$K774,0)</f>
        <v>0</v>
      </c>
      <c r="N774" s="156" t="s">
        <v>83</v>
      </c>
      <c r="O774" s="157" cm="1">
        <f t="array" ref="O774">TRUNC($H774*(1+_xlfn.SWITCH($N774,"BDI 1",$O$6,"BDI 2",$O$7,"BDI 3",$O$8)),2)</f>
        <v>1.01</v>
      </c>
      <c r="P774" s="157" cm="1">
        <f t="array" ref="P774">TRUNC($I774*(1+_xlfn.SWITCH($N774,"BDI 1",$P$6,"BDI 2",$P$7,"BDI 3",$P$8)),2)</f>
        <v>1.07</v>
      </c>
      <c r="Q774" s="157">
        <v>0</v>
      </c>
      <c r="R774" s="157">
        <f>$Q774-($Q774*LICITACAO_DESCONTO)</f>
        <v>0</v>
      </c>
      <c r="S774" s="156">
        <f>TRUNC($K774*$O774,2)</f>
        <v>0</v>
      </c>
      <c r="T774" s="156">
        <f>TRUNC($K774*$P774,2)</f>
        <v>0</v>
      </c>
      <c r="U774" s="156">
        <f>TRUNC($J774*$R774,2)</f>
        <v>0</v>
      </c>
      <c r="V774" s="156">
        <f>TRUNC($K774*$Q774,2)</f>
        <v>0</v>
      </c>
      <c r="W774" s="156">
        <f>TRUNC(V774-U774,2)</f>
        <v>0</v>
      </c>
      <c r="X774" s="158">
        <f>$S774/ORCAMENTO_VALOR_TOTAL_ND</f>
        <v>0</v>
      </c>
      <c r="Y774" s="158">
        <f>$T774/ORCAMENTO_VALOR_TOTAL_DE</f>
        <v>0</v>
      </c>
      <c r="Z774" s="158" cm="1">
        <f t="array" ref="Z774">_xlfn.SWITCH($N774,"BDI 1",$O$6,"BDI 2",$O$7,"BDI 3",$O$8)</f>
        <v>0.20699999999999999</v>
      </c>
      <c r="AA774" s="158" cm="1">
        <f t="array" ref="AA774">_xlfn.SWITCH($N774,"BDI 1",$P$6,"BDI 2",$P$7,"BDI 3",$P$8)</f>
        <v>0.26739999999999997</v>
      </c>
      <c r="AB774" s="158">
        <f ca="1">IFERROR($S774/_xlfn.XLOOKUP($AE774,$B$16:$B$38,$S$16:$S$38),0)</f>
        <v>0</v>
      </c>
      <c r="AC774" s="158">
        <f ca="1">IFERROR($T774/_xlfn.XLOOKUP($AE774,$B$16:$B$38,$T$16:$T$38),0)</f>
        <v>0</v>
      </c>
      <c r="AD774" s="164"/>
      <c r="AE774" s="148">
        <f t="shared" si="1294"/>
        <v>0</v>
      </c>
      <c r="AF774" s="149"/>
      <c r="AG774" s="150"/>
      <c r="AH774" s="159" t="e">
        <f>S774/$S$745</f>
        <v>#DIV/0!</v>
      </c>
      <c r="AI774" s="166">
        <f>IF(K774=0,0,K774/F774)</f>
        <v>0</v>
      </c>
      <c r="AJ774" s="105"/>
      <c r="AK774" s="105"/>
      <c r="AM774" s="105"/>
      <c r="AN774" s="105"/>
      <c r="AO774" s="105"/>
      <c r="AP774" s="105"/>
      <c r="AQ774" s="105"/>
      <c r="AR774" s="105"/>
    </row>
    <row r="775" spans="1:44" s="49" customFormat="1" ht="40.15" hidden="1" customHeight="1">
      <c r="A775" s="10">
        <f t="shared" ca="1" si="1230"/>
        <v>0</v>
      </c>
      <c r="B775" s="153"/>
      <c r="C775" s="154"/>
      <c r="D775" s="154"/>
      <c r="E775" s="161" t="s">
        <v>258</v>
      </c>
      <c r="F775" s="154"/>
      <c r="G775" s="154"/>
      <c r="H775" s="152"/>
      <c r="I775" s="152"/>
      <c r="J775" s="154"/>
      <c r="K775" s="154"/>
      <c r="L775" s="154"/>
      <c r="M775" s="154"/>
      <c r="N775" s="154"/>
      <c r="O775" s="154"/>
      <c r="P775" s="154"/>
      <c r="Q775" s="154"/>
      <c r="R775" s="154"/>
      <c r="S775" s="162"/>
      <c r="T775" s="162"/>
      <c r="U775" s="162"/>
      <c r="V775" s="162"/>
      <c r="W775" s="162"/>
      <c r="X775" s="163"/>
      <c r="Y775" s="163"/>
      <c r="Z775" s="163"/>
      <c r="AA775" s="163"/>
      <c r="AB775" s="163"/>
      <c r="AC775" s="163"/>
      <c r="AD775" s="164"/>
      <c r="AE775" s="148">
        <f>IF(SUM(S776)&gt;0,IFERROR(TRUNC(A775,0),0),0)</f>
        <v>0</v>
      </c>
      <c r="AF775" s="149"/>
      <c r="AG775" s="150"/>
      <c r="AH775" s="159"/>
      <c r="AI775" s="160" t="s">
        <v>120</v>
      </c>
      <c r="AJ775" s="105"/>
      <c r="AK775" s="105"/>
      <c r="AM775" s="105"/>
      <c r="AN775" s="105"/>
      <c r="AO775" s="105"/>
      <c r="AP775" s="105"/>
      <c r="AQ775" s="105"/>
      <c r="AR775" s="105"/>
    </row>
    <row r="776" spans="1:44" s="49" customFormat="1" ht="40.15" hidden="1" customHeight="1">
      <c r="A776" s="152">
        <f t="shared" ca="1" si="1230"/>
        <v>0</v>
      </c>
      <c r="B776" s="153">
        <v>95876</v>
      </c>
      <c r="C776" s="154" t="str">
        <f>TEXT(B776,"0")</f>
        <v>95876</v>
      </c>
      <c r="D776" s="154" t="s">
        <v>1416</v>
      </c>
      <c r="E776" s="155" t="s">
        <v>3537</v>
      </c>
      <c r="F776" s="154">
        <f>+Dados_DMT!$B$15</f>
        <v>1</v>
      </c>
      <c r="G776" s="154" t="s">
        <v>3538</v>
      </c>
      <c r="H776" s="152">
        <v>2.09</v>
      </c>
      <c r="I776" s="152">
        <v>2.1</v>
      </c>
      <c r="J776" s="156"/>
      <c r="K776" s="156">
        <f>ROUND(Pav_Estrutura!K110*F776,2)</f>
        <v>0</v>
      </c>
      <c r="L776" s="156">
        <f>IF($K776&gt;$J776,$K776-$J776,0)</f>
        <v>0</v>
      </c>
      <c r="M776" s="156">
        <f>IF($K776&lt;$J776,$J776-$K776,0)</f>
        <v>0</v>
      </c>
      <c r="N776" s="156" t="s">
        <v>83</v>
      </c>
      <c r="O776" s="157" cm="1">
        <f t="array" ref="O776">TRUNC($H776*(1+_xlfn.SWITCH($N776,"BDI 1",$O$6,"BDI 2",$O$7,"BDI 3",$O$8)),2)</f>
        <v>2.52</v>
      </c>
      <c r="P776" s="157" cm="1">
        <f t="array" ref="P776">TRUNC($I776*(1+_xlfn.SWITCH($N776,"BDI 1",$P$6,"BDI 2",$P$7,"BDI 3",$P$8)),2)</f>
        <v>2.66</v>
      </c>
      <c r="Q776" s="157">
        <v>0</v>
      </c>
      <c r="R776" s="157">
        <f>$Q776-($Q776*LICITACAO_DESCONTO)</f>
        <v>0</v>
      </c>
      <c r="S776" s="156">
        <f>TRUNC($K776*$O776,2)</f>
        <v>0</v>
      </c>
      <c r="T776" s="156">
        <f>TRUNC($K776*$P776,2)</f>
        <v>0</v>
      </c>
      <c r="U776" s="156">
        <f>TRUNC($J776*$R776,2)</f>
        <v>0</v>
      </c>
      <c r="V776" s="156">
        <f>TRUNC($K776*$Q776,2)</f>
        <v>0</v>
      </c>
      <c r="W776" s="156">
        <f>TRUNC(V776-U776,2)</f>
        <v>0</v>
      </c>
      <c r="X776" s="158">
        <f>$S776/ORCAMENTO_VALOR_TOTAL_ND</f>
        <v>0</v>
      </c>
      <c r="Y776" s="158">
        <f>$T776/ORCAMENTO_VALOR_TOTAL_DE</f>
        <v>0</v>
      </c>
      <c r="Z776" s="158" cm="1">
        <f t="array" ref="Z776">_xlfn.SWITCH($N776,"BDI 1",$O$6,"BDI 2",$O$7,"BDI 3",$O$8)</f>
        <v>0.20699999999999999</v>
      </c>
      <c r="AA776" s="158" cm="1">
        <f t="array" ref="AA776">_xlfn.SWITCH($N776,"BDI 1",$P$6,"BDI 2",$P$7,"BDI 3",$P$8)</f>
        <v>0.26739999999999997</v>
      </c>
      <c r="AB776" s="158">
        <f ca="1">IFERROR($S776/_xlfn.XLOOKUP($AE776,$B$16:$B$38,$S$16:$S$38),0)</f>
        <v>0</v>
      </c>
      <c r="AC776" s="158">
        <f ca="1">IFERROR($T776/_xlfn.XLOOKUP($AE776,$B$16:$B$38,$T$16:$T$38),0)</f>
        <v>0</v>
      </c>
      <c r="AD776" s="164"/>
      <c r="AE776" s="148">
        <f t="shared" ref="AE776" si="1295">IF(S776&gt;0,IFERROR(TRUNC(A776,0),0),0)</f>
        <v>0</v>
      </c>
      <c r="AF776" s="149"/>
      <c r="AG776" s="150"/>
      <c r="AH776" s="159" t="e">
        <f>S776/$S$745</f>
        <v>#DIV/0!</v>
      </c>
      <c r="AI776" s="160"/>
      <c r="AJ776" s="105"/>
      <c r="AK776" s="105"/>
      <c r="AM776" s="105"/>
      <c r="AN776" s="105"/>
      <c r="AO776" s="105"/>
      <c r="AP776" s="105"/>
      <c r="AQ776" s="105"/>
      <c r="AR776" s="105"/>
    </row>
    <row r="777" spans="1:44" s="49" customFormat="1" ht="40.15" hidden="1" customHeight="1">
      <c r="A777" s="10">
        <f t="shared" ca="1" si="1230"/>
        <v>0</v>
      </c>
      <c r="B777" s="153"/>
      <c r="C777" s="154"/>
      <c r="D777" s="154"/>
      <c r="E777" s="161" t="s">
        <v>259</v>
      </c>
      <c r="F777" s="154"/>
      <c r="G777" s="154"/>
      <c r="H777" s="152"/>
      <c r="I777" s="152"/>
      <c r="J777" s="154"/>
      <c r="K777" s="154"/>
      <c r="L777" s="154"/>
      <c r="M777" s="154"/>
      <c r="N777" s="154"/>
      <c r="O777" s="154"/>
      <c r="P777" s="154"/>
      <c r="Q777" s="154"/>
      <c r="R777" s="154"/>
      <c r="S777" s="162"/>
      <c r="T777" s="162"/>
      <c r="U777" s="162"/>
      <c r="V777" s="162"/>
      <c r="W777" s="162"/>
      <c r="X777" s="163"/>
      <c r="Y777" s="163"/>
      <c r="Z777" s="163"/>
      <c r="AA777" s="163"/>
      <c r="AB777" s="163"/>
      <c r="AC777" s="163"/>
      <c r="AD777" s="164"/>
      <c r="AE777" s="148">
        <f>IF(SUM(S778:S779)&gt;0,IFERROR(TRUNC(A777,0),0),0)</f>
        <v>0</v>
      </c>
      <c r="AF777" s="149"/>
      <c r="AG777" s="150"/>
      <c r="AH777" s="159"/>
      <c r="AI777" s="160"/>
      <c r="AJ777" s="105"/>
      <c r="AK777" s="105"/>
      <c r="AM777" s="105"/>
      <c r="AN777" s="105"/>
      <c r="AO777" s="105"/>
      <c r="AP777" s="105"/>
      <c r="AQ777" s="105"/>
      <c r="AR777" s="105"/>
    </row>
    <row r="778" spans="1:44" s="49" customFormat="1" ht="40.15" hidden="1" customHeight="1">
      <c r="A778" s="152">
        <f t="shared" ca="1" si="1230"/>
        <v>0</v>
      </c>
      <c r="B778" s="153">
        <v>95876</v>
      </c>
      <c r="C778" s="154" t="str">
        <f>TEXT(B778,"0")</f>
        <v>95876</v>
      </c>
      <c r="D778" s="154" t="s">
        <v>1416</v>
      </c>
      <c r="E778" s="155" t="s">
        <v>3537</v>
      </c>
      <c r="F778" s="154">
        <f>IF(Dados_DMT!$B$24&lt;30,Dados_DMT!$B$24,30)</f>
        <v>0</v>
      </c>
      <c r="G778" s="154" t="s">
        <v>3538</v>
      </c>
      <c r="H778" s="152">
        <v>2.09</v>
      </c>
      <c r="I778" s="152">
        <v>2.1</v>
      </c>
      <c r="J778" s="156"/>
      <c r="K778" s="156">
        <f>ROUND(Pav_Estrutura!K103*F778,2)</f>
        <v>0</v>
      </c>
      <c r="L778" s="156">
        <f>IF($K778&gt;$J778,$K778-$J778,0)</f>
        <v>0</v>
      </c>
      <c r="M778" s="156">
        <f>IF($K778&lt;$J778,$J778-$K778,0)</f>
        <v>0</v>
      </c>
      <c r="N778" s="156" t="s">
        <v>83</v>
      </c>
      <c r="O778" s="157" cm="1">
        <f t="array" ref="O778">TRUNC($H778*(1+_xlfn.SWITCH($N778,"BDI 1",$O$6,"BDI 2",$O$7,"BDI 3",$O$8)),2)</f>
        <v>2.52</v>
      </c>
      <c r="P778" s="157" cm="1">
        <f t="array" ref="P778">TRUNC($I778*(1+_xlfn.SWITCH($N778,"BDI 1",$P$6,"BDI 2",$P$7,"BDI 3",$P$8)),2)</f>
        <v>2.66</v>
      </c>
      <c r="Q778" s="157">
        <v>0</v>
      </c>
      <c r="R778" s="157">
        <f>$Q778-($Q778*LICITACAO_DESCONTO)</f>
        <v>0</v>
      </c>
      <c r="S778" s="156">
        <f>TRUNC($K778*$O778,2)</f>
        <v>0</v>
      </c>
      <c r="T778" s="156">
        <f>TRUNC($K778*$P778,2)</f>
        <v>0</v>
      </c>
      <c r="U778" s="156">
        <f>TRUNC($J778*$R778,2)</f>
        <v>0</v>
      </c>
      <c r="V778" s="156">
        <f>TRUNC($K778*$Q778,2)</f>
        <v>0</v>
      </c>
      <c r="W778" s="156">
        <f>TRUNC(V778-U778,2)</f>
        <v>0</v>
      </c>
      <c r="X778" s="158">
        <f>$S778/ORCAMENTO_VALOR_TOTAL_ND</f>
        <v>0</v>
      </c>
      <c r="Y778" s="158">
        <f>$T778/ORCAMENTO_VALOR_TOTAL_DE</f>
        <v>0</v>
      </c>
      <c r="Z778" s="158" cm="1">
        <f t="array" ref="Z778">_xlfn.SWITCH($N778,"BDI 1",$O$6,"BDI 2",$O$7,"BDI 3",$O$8)</f>
        <v>0.20699999999999999</v>
      </c>
      <c r="AA778" s="158" cm="1">
        <f t="array" ref="AA778">_xlfn.SWITCH($N778,"BDI 1",$P$6,"BDI 2",$P$7,"BDI 3",$P$8)</f>
        <v>0.26739999999999997</v>
      </c>
      <c r="AB778" s="158">
        <f ca="1">IFERROR($S778/_xlfn.XLOOKUP($AE778,$B$16:$B$38,$S$16:$S$38),0)</f>
        <v>0</v>
      </c>
      <c r="AC778" s="158">
        <f ca="1">IFERROR($T778/_xlfn.XLOOKUP($AE778,$B$16:$B$38,$T$16:$T$38),0)</f>
        <v>0</v>
      </c>
      <c r="AD778" s="164"/>
      <c r="AE778" s="148">
        <f t="shared" ref="AE778:AE779" si="1296">IF(S778&gt;0,IFERROR(TRUNC(A778,0),0),0)</f>
        <v>0</v>
      </c>
      <c r="AF778" s="149"/>
      <c r="AG778" s="150"/>
      <c r="AH778" s="159" t="e">
        <f>S778/$S$745</f>
        <v>#DIV/0!</v>
      </c>
      <c r="AI778" s="166">
        <f>IF(K778=0,0,K778/F778)</f>
        <v>0</v>
      </c>
      <c r="AJ778" s="105"/>
      <c r="AK778" s="105"/>
      <c r="AM778" s="105"/>
      <c r="AN778" s="105"/>
      <c r="AO778" s="105"/>
      <c r="AP778" s="105"/>
      <c r="AQ778" s="105"/>
      <c r="AR778" s="105"/>
    </row>
    <row r="779" spans="1:44" s="49" customFormat="1" ht="40.15" hidden="1" customHeight="1">
      <c r="A779" s="152">
        <f t="shared" ca="1" si="1230"/>
        <v>0</v>
      </c>
      <c r="B779" s="153">
        <v>93593</v>
      </c>
      <c r="C779" s="154" t="str">
        <f>TEXT(B779,"0")</f>
        <v>93593</v>
      </c>
      <c r="D779" s="154" t="s">
        <v>1416</v>
      </c>
      <c r="E779" s="155" t="s">
        <v>3545</v>
      </c>
      <c r="F779" s="154">
        <f>+Dados_DMT!$B$24-F778</f>
        <v>0</v>
      </c>
      <c r="G779" s="154" t="s">
        <v>3538</v>
      </c>
      <c r="H779" s="152">
        <v>0.84</v>
      </c>
      <c r="I779" s="152">
        <v>0.85</v>
      </c>
      <c r="J779" s="156"/>
      <c r="K779" s="156">
        <f>ROUND(Pav_Estrutura!K103*F779,2)</f>
        <v>0</v>
      </c>
      <c r="L779" s="156">
        <f>IF($K779&gt;$J779,$K779-$J779,0)</f>
        <v>0</v>
      </c>
      <c r="M779" s="156">
        <f>IF($K779&lt;$J779,$J779-$K779,0)</f>
        <v>0</v>
      </c>
      <c r="N779" s="156" t="s">
        <v>83</v>
      </c>
      <c r="O779" s="157" cm="1">
        <f t="array" ref="O779">TRUNC($H779*(1+_xlfn.SWITCH($N779,"BDI 1",$O$6,"BDI 2",$O$7,"BDI 3",$O$8)),2)</f>
        <v>1.01</v>
      </c>
      <c r="P779" s="157" cm="1">
        <f t="array" ref="P779">TRUNC($I779*(1+_xlfn.SWITCH($N779,"BDI 1",$P$6,"BDI 2",$P$7,"BDI 3",$P$8)),2)</f>
        <v>1.07</v>
      </c>
      <c r="Q779" s="157">
        <v>0</v>
      </c>
      <c r="R779" s="157">
        <f>$Q779-($Q779*LICITACAO_DESCONTO)</f>
        <v>0</v>
      </c>
      <c r="S779" s="156">
        <f>TRUNC($K779*$O779,2)</f>
        <v>0</v>
      </c>
      <c r="T779" s="156">
        <f>TRUNC($K779*$P779,2)</f>
        <v>0</v>
      </c>
      <c r="U779" s="156">
        <f>TRUNC($J779*$R779,2)</f>
        <v>0</v>
      </c>
      <c r="V779" s="156">
        <f>TRUNC($K779*$Q779,2)</f>
        <v>0</v>
      </c>
      <c r="W779" s="156">
        <f>TRUNC(V779-U779,2)</f>
        <v>0</v>
      </c>
      <c r="X779" s="158">
        <f>$S779/ORCAMENTO_VALOR_TOTAL_ND</f>
        <v>0</v>
      </c>
      <c r="Y779" s="158">
        <f>$T779/ORCAMENTO_VALOR_TOTAL_DE</f>
        <v>0</v>
      </c>
      <c r="Z779" s="158" cm="1">
        <f t="array" ref="Z779">_xlfn.SWITCH($N779,"BDI 1",$O$6,"BDI 2",$O$7,"BDI 3",$O$8)</f>
        <v>0.20699999999999999</v>
      </c>
      <c r="AA779" s="158" cm="1">
        <f t="array" ref="AA779">_xlfn.SWITCH($N779,"BDI 1",$P$6,"BDI 2",$P$7,"BDI 3",$P$8)</f>
        <v>0.26739999999999997</v>
      </c>
      <c r="AB779" s="158">
        <f ca="1">IFERROR($S779/_xlfn.XLOOKUP($AE779,$B$16:$B$38,$S$16:$S$38),0)</f>
        <v>0</v>
      </c>
      <c r="AC779" s="158">
        <f ca="1">IFERROR($T779/_xlfn.XLOOKUP($AE779,$B$16:$B$38,$T$16:$T$38),0)</f>
        <v>0</v>
      </c>
      <c r="AD779" s="164"/>
      <c r="AE779" s="148">
        <f t="shared" si="1296"/>
        <v>0</v>
      </c>
      <c r="AF779" s="149"/>
      <c r="AG779" s="150"/>
      <c r="AH779" s="159" t="e">
        <f>S779/$S$745</f>
        <v>#DIV/0!</v>
      </c>
      <c r="AI779" s="166">
        <f>IF(K779=0,0,K779/F779)</f>
        <v>0</v>
      </c>
      <c r="AJ779" s="105"/>
      <c r="AK779" s="105"/>
      <c r="AM779" s="105"/>
      <c r="AN779" s="105"/>
      <c r="AO779" s="105"/>
      <c r="AP779" s="105"/>
      <c r="AQ779" s="105"/>
      <c r="AR779" s="105"/>
    </row>
    <row r="780" spans="1:44" s="49" customFormat="1" ht="40.15" hidden="1" customHeight="1">
      <c r="A780" s="10">
        <f t="shared" ca="1" si="1230"/>
        <v>0</v>
      </c>
      <c r="B780" s="153"/>
      <c r="C780" s="154"/>
      <c r="D780" s="154"/>
      <c r="E780" s="161" t="s">
        <v>260</v>
      </c>
      <c r="F780" s="154"/>
      <c r="G780" s="154"/>
      <c r="H780" s="152"/>
      <c r="I780" s="152"/>
      <c r="J780" s="154"/>
      <c r="K780" s="154"/>
      <c r="L780" s="154"/>
      <c r="M780" s="154"/>
      <c r="N780" s="154"/>
      <c r="O780" s="154"/>
      <c r="P780" s="154"/>
      <c r="Q780" s="154"/>
      <c r="R780" s="154"/>
      <c r="S780" s="162"/>
      <c r="T780" s="162"/>
      <c r="U780" s="162"/>
      <c r="V780" s="162"/>
      <c r="W780" s="162"/>
      <c r="X780" s="163"/>
      <c r="Y780" s="163"/>
      <c r="Z780" s="163"/>
      <c r="AA780" s="163"/>
      <c r="AB780" s="163"/>
      <c r="AC780" s="163"/>
      <c r="AD780" s="164"/>
      <c r="AE780" s="148">
        <f>IF(SUM(S781:S782)&gt;0,IFERROR(TRUNC(A780,0),0),0)</f>
        <v>0</v>
      </c>
      <c r="AF780" s="149"/>
      <c r="AG780" s="150"/>
      <c r="AH780" s="159"/>
      <c r="AI780" s="160"/>
      <c r="AJ780" s="105"/>
      <c r="AK780" s="105"/>
      <c r="AM780" s="105"/>
      <c r="AN780" s="105"/>
      <c r="AO780" s="105"/>
      <c r="AP780" s="105"/>
      <c r="AQ780" s="105"/>
      <c r="AR780" s="105"/>
    </row>
    <row r="781" spans="1:44" s="49" customFormat="1" ht="40.15" hidden="1" customHeight="1">
      <c r="A781" s="152">
        <f t="shared" ca="1" si="1230"/>
        <v>0</v>
      </c>
      <c r="B781" s="153">
        <v>95876</v>
      </c>
      <c r="C781" s="154" t="str">
        <f>TEXT(B781,"0")</f>
        <v>95876</v>
      </c>
      <c r="D781" s="154" t="s">
        <v>1416</v>
      </c>
      <c r="E781" s="155" t="s">
        <v>3537</v>
      </c>
      <c r="F781" s="154">
        <f>IF(Dados_DMT!$B$34&lt;30,Dados_DMT!$B$34,30)</f>
        <v>30</v>
      </c>
      <c r="G781" s="154" t="s">
        <v>3538</v>
      </c>
      <c r="H781" s="152">
        <v>2.09</v>
      </c>
      <c r="I781" s="152">
        <v>2.1</v>
      </c>
      <c r="J781" s="156"/>
      <c r="K781" s="156">
        <f>ROUND(Pav_Estrutura!K104*F781,2)</f>
        <v>0</v>
      </c>
      <c r="L781" s="156">
        <f>IF($K781&gt;$J781,$K781-$J781,0)</f>
        <v>0</v>
      </c>
      <c r="M781" s="156">
        <f>IF($K781&lt;$J781,$J781-$K781,0)</f>
        <v>0</v>
      </c>
      <c r="N781" s="156" t="s">
        <v>83</v>
      </c>
      <c r="O781" s="157" cm="1">
        <f t="array" ref="O781">TRUNC($H781*(1+_xlfn.SWITCH($N781,"BDI 1",$O$6,"BDI 2",$O$7,"BDI 3",$O$8)),2)</f>
        <v>2.52</v>
      </c>
      <c r="P781" s="157" cm="1">
        <f t="array" ref="P781">TRUNC($I781*(1+_xlfn.SWITCH($N781,"BDI 1",$P$6,"BDI 2",$P$7,"BDI 3",$P$8)),2)</f>
        <v>2.66</v>
      </c>
      <c r="Q781" s="157">
        <v>0</v>
      </c>
      <c r="R781" s="157">
        <f>$Q781-($Q781*LICITACAO_DESCONTO)</f>
        <v>0</v>
      </c>
      <c r="S781" s="156">
        <f>TRUNC($K781*$O781,2)</f>
        <v>0</v>
      </c>
      <c r="T781" s="156">
        <f>TRUNC($K781*$P781,2)</f>
        <v>0</v>
      </c>
      <c r="U781" s="156">
        <f>TRUNC($J781*$R781,2)</f>
        <v>0</v>
      </c>
      <c r="V781" s="156">
        <f>TRUNC($K781*$Q781,2)</f>
        <v>0</v>
      </c>
      <c r="W781" s="156">
        <f>TRUNC(V781-U781,2)</f>
        <v>0</v>
      </c>
      <c r="X781" s="158">
        <f>$S781/ORCAMENTO_VALOR_TOTAL_ND</f>
        <v>0</v>
      </c>
      <c r="Y781" s="158">
        <f>$T781/ORCAMENTO_VALOR_TOTAL_DE</f>
        <v>0</v>
      </c>
      <c r="Z781" s="158" cm="1">
        <f t="array" ref="Z781">_xlfn.SWITCH($N781,"BDI 1",$O$6,"BDI 2",$O$7,"BDI 3",$O$8)</f>
        <v>0.20699999999999999</v>
      </c>
      <c r="AA781" s="158" cm="1">
        <f t="array" ref="AA781">_xlfn.SWITCH($N781,"BDI 1",$P$6,"BDI 2",$P$7,"BDI 3",$P$8)</f>
        <v>0.26739999999999997</v>
      </c>
      <c r="AB781" s="158">
        <f ca="1">IFERROR($S781/_xlfn.XLOOKUP($AE781,$B$16:$B$38,$S$16:$S$38),0)</f>
        <v>0</v>
      </c>
      <c r="AC781" s="158">
        <f ca="1">IFERROR($T781/_xlfn.XLOOKUP($AE781,$B$16:$B$38,$T$16:$T$38),0)</f>
        <v>0</v>
      </c>
      <c r="AD781" s="164"/>
      <c r="AE781" s="148">
        <f t="shared" ref="AE781:AE782" si="1297">IF(S781&gt;0,IFERROR(TRUNC(A781,0),0),0)</f>
        <v>0</v>
      </c>
      <c r="AF781" s="149"/>
      <c r="AG781" s="150"/>
      <c r="AH781" s="159" t="e">
        <f>S781/$S$745</f>
        <v>#DIV/0!</v>
      </c>
      <c r="AI781" s="166">
        <f>IF(K781=0,0,K781/F781)</f>
        <v>0</v>
      </c>
      <c r="AJ781" s="105"/>
      <c r="AK781" s="105"/>
      <c r="AM781" s="105"/>
      <c r="AN781" s="105"/>
      <c r="AO781" s="105"/>
      <c r="AP781" s="105"/>
      <c r="AQ781" s="105"/>
      <c r="AR781" s="105"/>
    </row>
    <row r="782" spans="1:44" s="49" customFormat="1" ht="40.15" hidden="1" customHeight="1">
      <c r="A782" s="152">
        <f t="shared" ca="1" si="1230"/>
        <v>0</v>
      </c>
      <c r="B782" s="153">
        <v>93593</v>
      </c>
      <c r="C782" s="154" t="str">
        <f>TEXT(B782,"0")</f>
        <v>93593</v>
      </c>
      <c r="D782" s="154" t="s">
        <v>1416</v>
      </c>
      <c r="E782" s="155" t="s">
        <v>3545</v>
      </c>
      <c r="F782" s="154">
        <f>+Dados_DMT!$B$34-F781</f>
        <v>80</v>
      </c>
      <c r="G782" s="154" t="s">
        <v>3538</v>
      </c>
      <c r="H782" s="152">
        <v>0.84</v>
      </c>
      <c r="I782" s="152">
        <v>0.85</v>
      </c>
      <c r="J782" s="156"/>
      <c r="K782" s="156">
        <f>ROUND(Pav_Estrutura!K104*F782,2)</f>
        <v>0</v>
      </c>
      <c r="L782" s="156">
        <f>IF($K782&gt;$J782,$K782-$J782,0)</f>
        <v>0</v>
      </c>
      <c r="M782" s="156">
        <f>IF($K782&lt;$J782,$J782-$K782,0)</f>
        <v>0</v>
      </c>
      <c r="N782" s="156" t="s">
        <v>83</v>
      </c>
      <c r="O782" s="157" cm="1">
        <f t="array" ref="O782">TRUNC($H782*(1+_xlfn.SWITCH($N782,"BDI 1",$O$6,"BDI 2",$O$7,"BDI 3",$O$8)),2)</f>
        <v>1.01</v>
      </c>
      <c r="P782" s="157" cm="1">
        <f t="array" ref="P782">TRUNC($I782*(1+_xlfn.SWITCH($N782,"BDI 1",$P$6,"BDI 2",$P$7,"BDI 3",$P$8)),2)</f>
        <v>1.07</v>
      </c>
      <c r="Q782" s="157">
        <v>0</v>
      </c>
      <c r="R782" s="157">
        <f>$Q782-($Q782*LICITACAO_DESCONTO)</f>
        <v>0</v>
      </c>
      <c r="S782" s="156">
        <f>TRUNC($K782*$O782,2)</f>
        <v>0</v>
      </c>
      <c r="T782" s="156">
        <f>TRUNC($K782*$P782,2)</f>
        <v>0</v>
      </c>
      <c r="U782" s="156">
        <f>TRUNC($J782*$R782,2)</f>
        <v>0</v>
      </c>
      <c r="V782" s="156">
        <f>TRUNC($K782*$Q782,2)</f>
        <v>0</v>
      </c>
      <c r="W782" s="156">
        <f>TRUNC(V782-U782,2)</f>
        <v>0</v>
      </c>
      <c r="X782" s="158">
        <f>$S782/ORCAMENTO_VALOR_TOTAL_ND</f>
        <v>0</v>
      </c>
      <c r="Y782" s="158">
        <f>$T782/ORCAMENTO_VALOR_TOTAL_DE</f>
        <v>0</v>
      </c>
      <c r="Z782" s="158" cm="1">
        <f t="array" ref="Z782">_xlfn.SWITCH($N782,"BDI 1",$O$6,"BDI 2",$O$7,"BDI 3",$O$8)</f>
        <v>0.20699999999999999</v>
      </c>
      <c r="AA782" s="158" cm="1">
        <f t="array" ref="AA782">_xlfn.SWITCH($N782,"BDI 1",$P$6,"BDI 2",$P$7,"BDI 3",$P$8)</f>
        <v>0.26739999999999997</v>
      </c>
      <c r="AB782" s="158">
        <f ca="1">IFERROR($S782/_xlfn.XLOOKUP($AE782,$B$16:$B$38,$S$16:$S$38),0)</f>
        <v>0</v>
      </c>
      <c r="AC782" s="158">
        <f ca="1">IFERROR($T782/_xlfn.XLOOKUP($AE782,$B$16:$B$38,$T$16:$T$38),0)</f>
        <v>0</v>
      </c>
      <c r="AD782" s="164"/>
      <c r="AE782" s="148">
        <f t="shared" si="1297"/>
        <v>0</v>
      </c>
      <c r="AF782" s="149"/>
      <c r="AG782" s="150"/>
      <c r="AH782" s="159" t="e">
        <f>S782/$S$745</f>
        <v>#DIV/0!</v>
      </c>
      <c r="AI782" s="166">
        <f>IF(K782=0,0,K782/F782)</f>
        <v>0</v>
      </c>
      <c r="AJ782" s="105"/>
      <c r="AK782" s="105"/>
      <c r="AM782" s="105"/>
      <c r="AN782" s="105"/>
      <c r="AO782" s="105"/>
      <c r="AP782" s="105"/>
      <c r="AQ782" s="105"/>
      <c r="AR782" s="105"/>
    </row>
    <row r="783" spans="1:44" s="49" customFormat="1" ht="40.15" hidden="1" customHeight="1">
      <c r="A783" s="10">
        <f t="shared" ca="1" si="1230"/>
        <v>0</v>
      </c>
      <c r="B783" s="153"/>
      <c r="C783" s="154"/>
      <c r="D783" s="154"/>
      <c r="E783" s="161" t="s">
        <v>261</v>
      </c>
      <c r="F783" s="154"/>
      <c r="G783" s="154"/>
      <c r="H783" s="152"/>
      <c r="I783" s="152"/>
      <c r="J783" s="154"/>
      <c r="K783" s="154"/>
      <c r="L783" s="154"/>
      <c r="M783" s="154"/>
      <c r="N783" s="154"/>
      <c r="O783" s="154"/>
      <c r="P783" s="154"/>
      <c r="Q783" s="154"/>
      <c r="R783" s="154"/>
      <c r="S783" s="162"/>
      <c r="T783" s="162"/>
      <c r="U783" s="162"/>
      <c r="V783" s="162"/>
      <c r="W783" s="162"/>
      <c r="X783" s="163"/>
      <c r="Y783" s="163"/>
      <c r="Z783" s="163"/>
      <c r="AA783" s="163"/>
      <c r="AB783" s="163"/>
      <c r="AC783" s="163"/>
      <c r="AD783" s="164"/>
      <c r="AE783" s="148">
        <f>IF(SUM(S784:S785)&gt;0,IFERROR(TRUNC(A783,0),0),0)</f>
        <v>0</v>
      </c>
      <c r="AF783" s="149"/>
      <c r="AG783" s="150"/>
      <c r="AH783" s="159"/>
      <c r="AI783" s="160"/>
      <c r="AJ783" s="105"/>
      <c r="AK783" s="105"/>
      <c r="AM783" s="105"/>
      <c r="AN783" s="105"/>
      <c r="AO783" s="214"/>
      <c r="AP783" s="214"/>
      <c r="AQ783" s="214"/>
      <c r="AR783" s="214"/>
    </row>
    <row r="784" spans="1:44" s="49" customFormat="1" ht="40.15" hidden="1" customHeight="1">
      <c r="A784" s="152">
        <f t="shared" ca="1" si="1230"/>
        <v>0</v>
      </c>
      <c r="B784" s="153">
        <v>95876</v>
      </c>
      <c r="C784" s="154" t="str">
        <f>TEXT(B784,"0")</f>
        <v>95876</v>
      </c>
      <c r="D784" s="154" t="s">
        <v>1416</v>
      </c>
      <c r="E784" s="155" t="s">
        <v>3537</v>
      </c>
      <c r="F784" s="154">
        <f>IF(Dados_DMT!$B$34&lt;30,Dados_DMT!$B$34,30)</f>
        <v>30</v>
      </c>
      <c r="G784" s="154" t="s">
        <v>3538</v>
      </c>
      <c r="H784" s="152">
        <v>2.09</v>
      </c>
      <c r="I784" s="152">
        <v>2.1</v>
      </c>
      <c r="J784" s="156"/>
      <c r="K784" s="156">
        <f>ROUND(Pav_Estrutura!K105*F784,2)</f>
        <v>0</v>
      </c>
      <c r="L784" s="156">
        <f>IF($K784&gt;$J784,$K784-$J784,0)</f>
        <v>0</v>
      </c>
      <c r="M784" s="156">
        <f>IF($K784&lt;$J784,$J784-$K784,0)</f>
        <v>0</v>
      </c>
      <c r="N784" s="156" t="s">
        <v>83</v>
      </c>
      <c r="O784" s="157" cm="1">
        <f t="array" ref="O784">TRUNC($H784*(1+_xlfn.SWITCH($N784,"BDI 1",$O$6,"BDI 2",$O$7,"BDI 3",$O$8)),2)</f>
        <v>2.52</v>
      </c>
      <c r="P784" s="157" cm="1">
        <f t="array" ref="P784">TRUNC($I784*(1+_xlfn.SWITCH($N784,"BDI 1",$P$6,"BDI 2",$P$7,"BDI 3",$P$8)),2)</f>
        <v>2.66</v>
      </c>
      <c r="Q784" s="157">
        <v>0</v>
      </c>
      <c r="R784" s="157">
        <f>$Q784-($Q784*LICITACAO_DESCONTO)</f>
        <v>0</v>
      </c>
      <c r="S784" s="156">
        <f>TRUNC($K784*$O784,2)</f>
        <v>0</v>
      </c>
      <c r="T784" s="156">
        <f>TRUNC($K784*$P784,2)</f>
        <v>0</v>
      </c>
      <c r="U784" s="156">
        <f>TRUNC($J784*$R784,2)</f>
        <v>0</v>
      </c>
      <c r="V784" s="156">
        <f>TRUNC($K784*$Q784,2)</f>
        <v>0</v>
      </c>
      <c r="W784" s="156">
        <f>TRUNC(V784-U784,2)</f>
        <v>0</v>
      </c>
      <c r="X784" s="158">
        <f>$S784/ORCAMENTO_VALOR_TOTAL_ND</f>
        <v>0</v>
      </c>
      <c r="Y784" s="158">
        <f>$T784/ORCAMENTO_VALOR_TOTAL_DE</f>
        <v>0</v>
      </c>
      <c r="Z784" s="158" cm="1">
        <f t="array" ref="Z784">_xlfn.SWITCH($N784,"BDI 1",$O$6,"BDI 2",$O$7,"BDI 3",$O$8)</f>
        <v>0.20699999999999999</v>
      </c>
      <c r="AA784" s="158" cm="1">
        <f t="array" ref="AA784">_xlfn.SWITCH($N784,"BDI 1",$P$6,"BDI 2",$P$7,"BDI 3",$P$8)</f>
        <v>0.26739999999999997</v>
      </c>
      <c r="AB784" s="158">
        <f ca="1">IFERROR($S784/_xlfn.XLOOKUP($AE784,$B$16:$B$38,$S$16:$S$38),0)</f>
        <v>0</v>
      </c>
      <c r="AC784" s="158">
        <f ca="1">IFERROR($T784/_xlfn.XLOOKUP($AE784,$B$16:$B$38,$T$16:$T$38),0)</f>
        <v>0</v>
      </c>
      <c r="AD784" s="164"/>
      <c r="AE784" s="148">
        <f t="shared" ref="AE784:AE785" si="1298">IF(S784&gt;0,IFERROR(TRUNC(A784,0),0),0)</f>
        <v>0</v>
      </c>
      <c r="AF784" s="149"/>
      <c r="AG784" s="150"/>
      <c r="AH784" s="159" t="e">
        <f>S784/$S$745</f>
        <v>#DIV/0!</v>
      </c>
      <c r="AI784" s="166">
        <f>IF(K784=0,0,K784/F784)</f>
        <v>0</v>
      </c>
      <c r="AJ784" s="105"/>
      <c r="AK784" s="105"/>
      <c r="AM784" s="105"/>
      <c r="AN784" s="105"/>
      <c r="AO784" s="214"/>
      <c r="AP784" s="214"/>
      <c r="AQ784" s="214"/>
      <c r="AR784" s="214"/>
    </row>
    <row r="785" spans="1:44" s="49" customFormat="1" ht="40.15" hidden="1" customHeight="1">
      <c r="A785" s="152">
        <f t="shared" ca="1" si="1230"/>
        <v>0</v>
      </c>
      <c r="B785" s="153">
        <v>93593</v>
      </c>
      <c r="C785" s="154" t="str">
        <f>TEXT(B785,"0")</f>
        <v>93593</v>
      </c>
      <c r="D785" s="154" t="s">
        <v>1416</v>
      </c>
      <c r="E785" s="155" t="s">
        <v>3545</v>
      </c>
      <c r="F785" s="154">
        <f>+Dados_DMT!$B$34-F784</f>
        <v>80</v>
      </c>
      <c r="G785" s="154" t="s">
        <v>3538</v>
      </c>
      <c r="H785" s="152">
        <v>0.84</v>
      </c>
      <c r="I785" s="152">
        <v>0.85</v>
      </c>
      <c r="J785" s="156"/>
      <c r="K785" s="156">
        <f>ROUND(Pav_Estrutura!K105*F785,2)</f>
        <v>0</v>
      </c>
      <c r="L785" s="156">
        <f>IF($K785&gt;$J785,$K785-$J785,0)</f>
        <v>0</v>
      </c>
      <c r="M785" s="156">
        <f>IF($K785&lt;$J785,$J785-$K785,0)</f>
        <v>0</v>
      </c>
      <c r="N785" s="156" t="s">
        <v>83</v>
      </c>
      <c r="O785" s="157" cm="1">
        <f t="array" ref="O785">TRUNC($H785*(1+_xlfn.SWITCH($N785,"BDI 1",$O$6,"BDI 2",$O$7,"BDI 3",$O$8)),2)</f>
        <v>1.01</v>
      </c>
      <c r="P785" s="157" cm="1">
        <f t="array" ref="P785">TRUNC($I785*(1+_xlfn.SWITCH($N785,"BDI 1",$P$6,"BDI 2",$P$7,"BDI 3",$P$8)),2)</f>
        <v>1.07</v>
      </c>
      <c r="Q785" s="157">
        <v>0</v>
      </c>
      <c r="R785" s="157">
        <f>$Q785-($Q785*LICITACAO_DESCONTO)</f>
        <v>0</v>
      </c>
      <c r="S785" s="156">
        <f>TRUNC($K785*$O785,2)</f>
        <v>0</v>
      </c>
      <c r="T785" s="156">
        <f>TRUNC($K785*$P785,2)</f>
        <v>0</v>
      </c>
      <c r="U785" s="156">
        <f>TRUNC($J785*$R785,2)</f>
        <v>0</v>
      </c>
      <c r="V785" s="156">
        <f>TRUNC($K785*$Q785,2)</f>
        <v>0</v>
      </c>
      <c r="W785" s="156">
        <f>TRUNC(V785-U785,2)</f>
        <v>0</v>
      </c>
      <c r="X785" s="158">
        <f>$S785/ORCAMENTO_VALOR_TOTAL_ND</f>
        <v>0</v>
      </c>
      <c r="Y785" s="158">
        <f>$T785/ORCAMENTO_VALOR_TOTAL_DE</f>
        <v>0</v>
      </c>
      <c r="Z785" s="158" cm="1">
        <f t="array" ref="Z785">_xlfn.SWITCH($N785,"BDI 1",$O$6,"BDI 2",$O$7,"BDI 3",$O$8)</f>
        <v>0.20699999999999999</v>
      </c>
      <c r="AA785" s="158" cm="1">
        <f t="array" ref="AA785">_xlfn.SWITCH($N785,"BDI 1",$P$6,"BDI 2",$P$7,"BDI 3",$P$8)</f>
        <v>0.26739999999999997</v>
      </c>
      <c r="AB785" s="158">
        <f ca="1">IFERROR($S785/_xlfn.XLOOKUP($AE785,$B$16:$B$38,$S$16:$S$38),0)</f>
        <v>0</v>
      </c>
      <c r="AC785" s="158">
        <f ca="1">IFERROR($T785/_xlfn.XLOOKUP($AE785,$B$16:$B$38,$T$16:$T$38),0)</f>
        <v>0</v>
      </c>
      <c r="AD785" s="164"/>
      <c r="AE785" s="148">
        <f t="shared" si="1298"/>
        <v>0</v>
      </c>
      <c r="AF785" s="149"/>
      <c r="AG785" s="150"/>
      <c r="AH785" s="159" t="e">
        <f>S785/$S$745</f>
        <v>#DIV/0!</v>
      </c>
      <c r="AI785" s="166">
        <f>IF(K785=0,0,K785/F785)</f>
        <v>0</v>
      </c>
      <c r="AJ785" s="105"/>
      <c r="AK785" s="105"/>
      <c r="AM785" s="105"/>
      <c r="AN785" s="105"/>
      <c r="AO785" s="214"/>
      <c r="AP785" s="214"/>
      <c r="AQ785" s="214"/>
      <c r="AR785" s="214"/>
    </row>
    <row r="786" spans="1:44" s="49" customFormat="1" ht="40.15" hidden="1" customHeight="1">
      <c r="A786" s="10">
        <f t="shared" ca="1" si="1230"/>
        <v>0</v>
      </c>
      <c r="B786" s="153"/>
      <c r="C786" s="154"/>
      <c r="D786" s="154"/>
      <c r="E786" s="161" t="s">
        <v>262</v>
      </c>
      <c r="F786" s="154"/>
      <c r="G786" s="154"/>
      <c r="H786" s="152"/>
      <c r="I786" s="152"/>
      <c r="J786" s="154"/>
      <c r="K786" s="154"/>
      <c r="L786" s="154"/>
      <c r="M786" s="154"/>
      <c r="N786" s="154"/>
      <c r="O786" s="154"/>
      <c r="P786" s="154"/>
      <c r="Q786" s="154"/>
      <c r="R786" s="154"/>
      <c r="S786" s="162"/>
      <c r="T786" s="162"/>
      <c r="U786" s="162"/>
      <c r="V786" s="162"/>
      <c r="W786" s="162"/>
      <c r="X786" s="163"/>
      <c r="Y786" s="163"/>
      <c r="Z786" s="163"/>
      <c r="AA786" s="163"/>
      <c r="AB786" s="163"/>
      <c r="AC786" s="163"/>
      <c r="AD786" s="164"/>
      <c r="AE786" s="148">
        <f>IF(SUM(S787:S788)&gt;0,IFERROR(TRUNC(A786,0),0),0)</f>
        <v>0</v>
      </c>
      <c r="AF786" s="149"/>
      <c r="AG786" s="150"/>
      <c r="AH786" s="159"/>
      <c r="AI786" s="160"/>
      <c r="AJ786" s="105"/>
      <c r="AK786" s="105"/>
      <c r="AM786" s="105"/>
      <c r="AN786" s="105"/>
      <c r="AO786" s="105"/>
      <c r="AP786" s="105"/>
      <c r="AQ786" s="105"/>
      <c r="AR786" s="105"/>
    </row>
    <row r="787" spans="1:44" s="49" customFormat="1" ht="40.15" hidden="1" customHeight="1">
      <c r="A787" s="152">
        <f t="shared" ca="1" si="1230"/>
        <v>0</v>
      </c>
      <c r="B787" s="153">
        <v>95876</v>
      </c>
      <c r="C787" s="154" t="str">
        <f>TEXT(B787,"0")</f>
        <v>95876</v>
      </c>
      <c r="D787" s="154" t="s">
        <v>1416</v>
      </c>
      <c r="E787" s="155" t="s">
        <v>3537</v>
      </c>
      <c r="F787" s="154">
        <f>IF(Dados_DMT!$B$34&lt;30,Dados_DMT!$B$34,30)</f>
        <v>30</v>
      </c>
      <c r="G787" s="154" t="s">
        <v>3538</v>
      </c>
      <c r="H787" s="152">
        <v>2.09</v>
      </c>
      <c r="I787" s="152">
        <v>2.1</v>
      </c>
      <c r="J787" s="156"/>
      <c r="K787" s="156">
        <f>ROUND(Pav_Estrutura!K106*F787,2)</f>
        <v>0</v>
      </c>
      <c r="L787" s="156">
        <f>IF($K787&gt;$J787,$K787-$J787,0)</f>
        <v>0</v>
      </c>
      <c r="M787" s="156">
        <f>IF($K787&lt;$J787,$J787-$K787,0)</f>
        <v>0</v>
      </c>
      <c r="N787" s="156" t="s">
        <v>83</v>
      </c>
      <c r="O787" s="157" cm="1">
        <f t="array" ref="O787">TRUNC($H787*(1+_xlfn.SWITCH($N787,"BDI 1",$O$6,"BDI 2",$O$7,"BDI 3",$O$8)),2)</f>
        <v>2.52</v>
      </c>
      <c r="P787" s="157" cm="1">
        <f t="array" ref="P787">TRUNC($I787*(1+_xlfn.SWITCH($N787,"BDI 1",$P$6,"BDI 2",$P$7,"BDI 3",$P$8)),2)</f>
        <v>2.66</v>
      </c>
      <c r="Q787" s="157">
        <v>0</v>
      </c>
      <c r="R787" s="157">
        <f>$Q787-($Q787*LICITACAO_DESCONTO)</f>
        <v>0</v>
      </c>
      <c r="S787" s="156">
        <f>TRUNC($K787*$O787,2)</f>
        <v>0</v>
      </c>
      <c r="T787" s="156">
        <f>TRUNC($K787*$P787,2)</f>
        <v>0</v>
      </c>
      <c r="U787" s="156">
        <f>TRUNC($J787*$R787,2)</f>
        <v>0</v>
      </c>
      <c r="V787" s="156">
        <f>TRUNC($K787*$Q787,2)</f>
        <v>0</v>
      </c>
      <c r="W787" s="156">
        <f>TRUNC(V787-U787,2)</f>
        <v>0</v>
      </c>
      <c r="X787" s="158">
        <f>$S787/ORCAMENTO_VALOR_TOTAL_ND</f>
        <v>0</v>
      </c>
      <c r="Y787" s="158">
        <f>$T787/ORCAMENTO_VALOR_TOTAL_DE</f>
        <v>0</v>
      </c>
      <c r="Z787" s="158" cm="1">
        <f t="array" ref="Z787">_xlfn.SWITCH($N787,"BDI 1",$O$6,"BDI 2",$O$7,"BDI 3",$O$8)</f>
        <v>0.20699999999999999</v>
      </c>
      <c r="AA787" s="158" cm="1">
        <f t="array" ref="AA787">_xlfn.SWITCH($N787,"BDI 1",$P$6,"BDI 2",$P$7,"BDI 3",$P$8)</f>
        <v>0.26739999999999997</v>
      </c>
      <c r="AB787" s="158">
        <f ca="1">IFERROR($S787/_xlfn.XLOOKUP($AE787,$B$16:$B$38,$S$16:$S$38),0)</f>
        <v>0</v>
      </c>
      <c r="AC787" s="158">
        <f ca="1">IFERROR($T787/_xlfn.XLOOKUP($AE787,$B$16:$B$38,$T$16:$T$38),0)</f>
        <v>0</v>
      </c>
      <c r="AD787" s="164"/>
      <c r="AE787" s="148">
        <f t="shared" ref="AE787:AE788" si="1299">IF(S787&gt;0,IFERROR(TRUNC(A787,0),0),0)</f>
        <v>0</v>
      </c>
      <c r="AF787" s="149"/>
      <c r="AG787" s="150"/>
      <c r="AH787" s="159" t="e">
        <f>S787/$S$745</f>
        <v>#DIV/0!</v>
      </c>
      <c r="AI787" s="166">
        <f>IF(K787=0,0,K787/F787)</f>
        <v>0</v>
      </c>
      <c r="AJ787" s="105"/>
      <c r="AK787" s="105"/>
      <c r="AM787" s="105"/>
      <c r="AN787" s="105"/>
      <c r="AO787" s="105"/>
      <c r="AP787" s="105"/>
      <c r="AQ787" s="105"/>
      <c r="AR787" s="105"/>
    </row>
    <row r="788" spans="1:44" s="49" customFormat="1" ht="40.15" hidden="1" customHeight="1">
      <c r="A788" s="152">
        <f t="shared" ca="1" si="1230"/>
        <v>0</v>
      </c>
      <c r="B788" s="153">
        <v>93593</v>
      </c>
      <c r="C788" s="154" t="str">
        <f>TEXT(B788,"0")</f>
        <v>93593</v>
      </c>
      <c r="D788" s="154" t="s">
        <v>1416</v>
      </c>
      <c r="E788" s="155" t="s">
        <v>3545</v>
      </c>
      <c r="F788" s="154">
        <f>+Dados_DMT!$B$34-F787</f>
        <v>80</v>
      </c>
      <c r="G788" s="154" t="s">
        <v>3538</v>
      </c>
      <c r="H788" s="152">
        <v>0.84</v>
      </c>
      <c r="I788" s="152">
        <v>0.85</v>
      </c>
      <c r="J788" s="156"/>
      <c r="K788" s="156">
        <f>ROUND(Pav_Estrutura!K106*F788,2)</f>
        <v>0</v>
      </c>
      <c r="L788" s="156">
        <f>IF($K788&gt;$J788,$K788-$J788,0)</f>
        <v>0</v>
      </c>
      <c r="M788" s="156">
        <f>IF($K788&lt;$J788,$J788-$K788,0)</f>
        <v>0</v>
      </c>
      <c r="N788" s="156" t="s">
        <v>83</v>
      </c>
      <c r="O788" s="157" cm="1">
        <f t="array" ref="O788">TRUNC($H788*(1+_xlfn.SWITCH($N788,"BDI 1",$O$6,"BDI 2",$O$7,"BDI 3",$O$8)),2)</f>
        <v>1.01</v>
      </c>
      <c r="P788" s="157" cm="1">
        <f t="array" ref="P788">TRUNC($I788*(1+_xlfn.SWITCH($N788,"BDI 1",$P$6,"BDI 2",$P$7,"BDI 3",$P$8)),2)</f>
        <v>1.07</v>
      </c>
      <c r="Q788" s="157">
        <v>0</v>
      </c>
      <c r="R788" s="157">
        <f>$Q788-($Q788*LICITACAO_DESCONTO)</f>
        <v>0</v>
      </c>
      <c r="S788" s="156">
        <f>TRUNC($K788*$O788,2)</f>
        <v>0</v>
      </c>
      <c r="T788" s="156">
        <f>TRUNC($K788*$P788,2)</f>
        <v>0</v>
      </c>
      <c r="U788" s="156">
        <f>TRUNC($J788*$R788,2)</f>
        <v>0</v>
      </c>
      <c r="V788" s="156">
        <f>TRUNC($K788*$Q788,2)</f>
        <v>0</v>
      </c>
      <c r="W788" s="156">
        <f>TRUNC(V788-U788,2)</f>
        <v>0</v>
      </c>
      <c r="X788" s="158">
        <f>$S788/ORCAMENTO_VALOR_TOTAL_ND</f>
        <v>0</v>
      </c>
      <c r="Y788" s="158">
        <f>$T788/ORCAMENTO_VALOR_TOTAL_DE</f>
        <v>0</v>
      </c>
      <c r="Z788" s="158" cm="1">
        <f t="array" ref="Z788">_xlfn.SWITCH($N788,"BDI 1",$O$6,"BDI 2",$O$7,"BDI 3",$O$8)</f>
        <v>0.20699999999999999</v>
      </c>
      <c r="AA788" s="158" cm="1">
        <f t="array" ref="AA788">_xlfn.SWITCH($N788,"BDI 1",$P$6,"BDI 2",$P$7,"BDI 3",$P$8)</f>
        <v>0.26739999999999997</v>
      </c>
      <c r="AB788" s="158">
        <f ca="1">IFERROR($S788/_xlfn.XLOOKUP($AE788,$B$16:$B$38,$S$16:$S$38),0)</f>
        <v>0</v>
      </c>
      <c r="AC788" s="158">
        <f ca="1">IFERROR($T788/_xlfn.XLOOKUP($AE788,$B$16:$B$38,$T$16:$T$38),0)</f>
        <v>0</v>
      </c>
      <c r="AD788" s="164"/>
      <c r="AE788" s="148">
        <f t="shared" si="1299"/>
        <v>0</v>
      </c>
      <c r="AF788" s="149"/>
      <c r="AG788" s="150"/>
      <c r="AH788" s="159" t="e">
        <f>S788/$S$745</f>
        <v>#DIV/0!</v>
      </c>
      <c r="AI788" s="166">
        <f>IF(K788=0,0,K788/F788)</f>
        <v>0</v>
      </c>
      <c r="AJ788" s="105"/>
      <c r="AK788" s="105"/>
      <c r="AM788" s="105"/>
      <c r="AN788" s="105"/>
      <c r="AO788" s="105"/>
      <c r="AP788" s="105"/>
      <c r="AQ788" s="105"/>
      <c r="AR788" s="105"/>
    </row>
    <row r="789" spans="1:44" s="49" customFormat="1" ht="40.15" hidden="1" customHeight="1">
      <c r="A789" s="10">
        <f t="shared" ca="1" si="1230"/>
        <v>0</v>
      </c>
      <c r="B789" s="153"/>
      <c r="C789" s="154"/>
      <c r="D789" s="154"/>
      <c r="E789" s="161" t="s">
        <v>263</v>
      </c>
      <c r="F789" s="154"/>
      <c r="G789" s="154"/>
      <c r="H789" s="152"/>
      <c r="I789" s="152"/>
      <c r="J789" s="154"/>
      <c r="K789" s="154"/>
      <c r="L789" s="154"/>
      <c r="M789" s="154"/>
      <c r="N789" s="154"/>
      <c r="O789" s="154"/>
      <c r="P789" s="154"/>
      <c r="Q789" s="154"/>
      <c r="R789" s="154"/>
      <c r="S789" s="162"/>
      <c r="T789" s="162"/>
      <c r="U789" s="162"/>
      <c r="V789" s="162"/>
      <c r="W789" s="162"/>
      <c r="X789" s="163"/>
      <c r="Y789" s="163"/>
      <c r="Z789" s="163"/>
      <c r="AA789" s="163"/>
      <c r="AB789" s="163"/>
      <c r="AC789" s="163"/>
      <c r="AD789" s="164"/>
      <c r="AE789" s="148">
        <f>IF(SUM(S790:S791)&gt;0,IFERROR(TRUNC(A789,0),0),0)</f>
        <v>0</v>
      </c>
      <c r="AF789" s="149"/>
      <c r="AG789" s="150"/>
      <c r="AH789" s="159"/>
      <c r="AI789" s="160"/>
      <c r="AJ789" s="105"/>
      <c r="AK789" s="105"/>
      <c r="AM789" s="105"/>
      <c r="AN789" s="105"/>
      <c r="AO789" s="105"/>
      <c r="AP789" s="105"/>
      <c r="AQ789" s="105"/>
      <c r="AR789" s="105"/>
    </row>
    <row r="790" spans="1:44" s="49" customFormat="1" ht="40.15" hidden="1" customHeight="1">
      <c r="A790" s="152">
        <f t="shared" ca="1" si="1230"/>
        <v>0</v>
      </c>
      <c r="B790" s="153">
        <v>95876</v>
      </c>
      <c r="C790" s="154" t="str">
        <f>TEXT(B790,"0")</f>
        <v>95876</v>
      </c>
      <c r="D790" s="154" t="s">
        <v>1416</v>
      </c>
      <c r="E790" s="155" t="s">
        <v>3537</v>
      </c>
      <c r="F790" s="154">
        <f>IF(Dados_DMT!$B$34&lt;30,Dados_DMT!$B$34,30)</f>
        <v>30</v>
      </c>
      <c r="G790" s="154" t="s">
        <v>3538</v>
      </c>
      <c r="H790" s="152">
        <v>2.09</v>
      </c>
      <c r="I790" s="152">
        <v>2.1</v>
      </c>
      <c r="J790" s="156"/>
      <c r="K790" s="156">
        <f>ROUND(Pav_Estrutura!K107*F790,2)</f>
        <v>0</v>
      </c>
      <c r="L790" s="156">
        <f>IF($K790&gt;$J790,$K790-$J790,0)</f>
        <v>0</v>
      </c>
      <c r="M790" s="156">
        <f>IF($K790&lt;$J790,$J790-$K790,0)</f>
        <v>0</v>
      </c>
      <c r="N790" s="156" t="s">
        <v>83</v>
      </c>
      <c r="O790" s="157" cm="1">
        <f t="array" ref="O790">TRUNC($H790*(1+_xlfn.SWITCH($N790,"BDI 1",$O$6,"BDI 2",$O$7,"BDI 3",$O$8)),2)</f>
        <v>2.52</v>
      </c>
      <c r="P790" s="157" cm="1">
        <f t="array" ref="P790">TRUNC($I790*(1+_xlfn.SWITCH($N790,"BDI 1",$P$6,"BDI 2",$P$7,"BDI 3",$P$8)),2)</f>
        <v>2.66</v>
      </c>
      <c r="Q790" s="157">
        <v>0</v>
      </c>
      <c r="R790" s="157">
        <f>$Q790-($Q790*LICITACAO_DESCONTO)</f>
        <v>0</v>
      </c>
      <c r="S790" s="156">
        <f>TRUNC($K790*$O790,2)</f>
        <v>0</v>
      </c>
      <c r="T790" s="156">
        <f>TRUNC($K790*$P790,2)</f>
        <v>0</v>
      </c>
      <c r="U790" s="156">
        <f>TRUNC($J790*$R790,2)</f>
        <v>0</v>
      </c>
      <c r="V790" s="156">
        <f>TRUNC($K790*$Q790,2)</f>
        <v>0</v>
      </c>
      <c r="W790" s="156">
        <f>TRUNC(V790-U790,2)</f>
        <v>0</v>
      </c>
      <c r="X790" s="158">
        <f>$S790/ORCAMENTO_VALOR_TOTAL_ND</f>
        <v>0</v>
      </c>
      <c r="Y790" s="158">
        <f>$T790/ORCAMENTO_VALOR_TOTAL_DE</f>
        <v>0</v>
      </c>
      <c r="Z790" s="158" cm="1">
        <f t="array" ref="Z790">_xlfn.SWITCH($N790,"BDI 1",$O$6,"BDI 2",$O$7,"BDI 3",$O$8)</f>
        <v>0.20699999999999999</v>
      </c>
      <c r="AA790" s="158" cm="1">
        <f t="array" ref="AA790">_xlfn.SWITCH($N790,"BDI 1",$P$6,"BDI 2",$P$7,"BDI 3",$P$8)</f>
        <v>0.26739999999999997</v>
      </c>
      <c r="AB790" s="158">
        <f ca="1">IFERROR($S790/_xlfn.XLOOKUP($AE790,$B$16:$B$38,$S$16:$S$38),0)</f>
        <v>0</v>
      </c>
      <c r="AC790" s="158">
        <f ca="1">IFERROR($T790/_xlfn.XLOOKUP($AE790,$B$16:$B$38,$T$16:$T$38),0)</f>
        <v>0</v>
      </c>
      <c r="AD790" s="164"/>
      <c r="AE790" s="148">
        <f t="shared" ref="AE790:AE791" si="1300">IF(S790&gt;0,IFERROR(TRUNC(A790,0),0),0)</f>
        <v>0</v>
      </c>
      <c r="AF790" s="149"/>
      <c r="AG790" s="150"/>
      <c r="AH790" s="159" t="e">
        <f>S790/$S$745</f>
        <v>#DIV/0!</v>
      </c>
      <c r="AI790" s="166">
        <f>IF(K790=0,0,K790/F790)</f>
        <v>0</v>
      </c>
      <c r="AJ790" s="105"/>
      <c r="AK790" s="105"/>
      <c r="AM790" s="105"/>
      <c r="AN790" s="105"/>
      <c r="AO790" s="105"/>
      <c r="AP790" s="105"/>
      <c r="AQ790" s="105"/>
      <c r="AR790" s="105"/>
    </row>
    <row r="791" spans="1:44" s="49" customFormat="1" ht="40.15" hidden="1" customHeight="1">
      <c r="A791" s="152">
        <f t="shared" ca="1" si="1230"/>
        <v>0</v>
      </c>
      <c r="B791" s="153">
        <v>93593</v>
      </c>
      <c r="C791" s="154" t="str">
        <f>TEXT(B791,"0")</f>
        <v>93593</v>
      </c>
      <c r="D791" s="154" t="s">
        <v>1416</v>
      </c>
      <c r="E791" s="155" t="s">
        <v>3545</v>
      </c>
      <c r="F791" s="154">
        <f>+Dados_DMT!$B$34-F790</f>
        <v>80</v>
      </c>
      <c r="G791" s="154" t="s">
        <v>3538</v>
      </c>
      <c r="H791" s="152">
        <v>0.84</v>
      </c>
      <c r="I791" s="152">
        <v>0.85</v>
      </c>
      <c r="J791" s="156"/>
      <c r="K791" s="156">
        <f>ROUND(Pav_Estrutura!K107*F791,2)</f>
        <v>0</v>
      </c>
      <c r="L791" s="156">
        <f>IF($K791&gt;$J791,$K791-$J791,0)</f>
        <v>0</v>
      </c>
      <c r="M791" s="156">
        <f>IF($K791&lt;$J791,$J791-$K791,0)</f>
        <v>0</v>
      </c>
      <c r="N791" s="156" t="s">
        <v>83</v>
      </c>
      <c r="O791" s="157" cm="1">
        <f t="array" ref="O791">TRUNC($H791*(1+_xlfn.SWITCH($N791,"BDI 1",$O$6,"BDI 2",$O$7,"BDI 3",$O$8)),2)</f>
        <v>1.01</v>
      </c>
      <c r="P791" s="157" cm="1">
        <f t="array" ref="P791">TRUNC($I791*(1+_xlfn.SWITCH($N791,"BDI 1",$P$6,"BDI 2",$P$7,"BDI 3",$P$8)),2)</f>
        <v>1.07</v>
      </c>
      <c r="Q791" s="157">
        <v>0</v>
      </c>
      <c r="R791" s="157">
        <f>$Q791-($Q791*LICITACAO_DESCONTO)</f>
        <v>0</v>
      </c>
      <c r="S791" s="156">
        <f>TRUNC($K791*$O791,2)</f>
        <v>0</v>
      </c>
      <c r="T791" s="156">
        <f>TRUNC($K791*$P791,2)</f>
        <v>0</v>
      </c>
      <c r="U791" s="156">
        <f>TRUNC($J791*$R791,2)</f>
        <v>0</v>
      </c>
      <c r="V791" s="156">
        <f>TRUNC($K791*$Q791,2)</f>
        <v>0</v>
      </c>
      <c r="W791" s="156">
        <f>TRUNC(V791-U791,2)</f>
        <v>0</v>
      </c>
      <c r="X791" s="158">
        <f>$S791/ORCAMENTO_VALOR_TOTAL_ND</f>
        <v>0</v>
      </c>
      <c r="Y791" s="158">
        <f>$T791/ORCAMENTO_VALOR_TOTAL_DE</f>
        <v>0</v>
      </c>
      <c r="Z791" s="158" cm="1">
        <f t="array" ref="Z791">_xlfn.SWITCH($N791,"BDI 1",$O$6,"BDI 2",$O$7,"BDI 3",$O$8)</f>
        <v>0.20699999999999999</v>
      </c>
      <c r="AA791" s="158" cm="1">
        <f t="array" ref="AA791">_xlfn.SWITCH($N791,"BDI 1",$P$6,"BDI 2",$P$7,"BDI 3",$P$8)</f>
        <v>0.26739999999999997</v>
      </c>
      <c r="AB791" s="158">
        <f ca="1">IFERROR($S791/_xlfn.XLOOKUP($AE791,$B$16:$B$38,$S$16:$S$38),0)</f>
        <v>0</v>
      </c>
      <c r="AC791" s="158">
        <f ca="1">IFERROR($T791/_xlfn.XLOOKUP($AE791,$B$16:$B$38,$T$16:$T$38),0)</f>
        <v>0</v>
      </c>
      <c r="AD791" s="164"/>
      <c r="AE791" s="148">
        <f t="shared" si="1300"/>
        <v>0</v>
      </c>
      <c r="AF791" s="149"/>
      <c r="AG791" s="150"/>
      <c r="AH791" s="159" t="e">
        <f>S791/$S$745</f>
        <v>#DIV/0!</v>
      </c>
      <c r="AI791" s="166">
        <f>IF(K791=0,0,K791/F791)</f>
        <v>0</v>
      </c>
      <c r="AJ791" s="105"/>
      <c r="AK791" s="105"/>
      <c r="AM791" s="105"/>
      <c r="AN791" s="105"/>
      <c r="AO791" s="105"/>
      <c r="AP791" s="105"/>
      <c r="AQ791" s="105"/>
      <c r="AR791" s="105"/>
    </row>
    <row r="792" spans="1:44" s="49" customFormat="1" ht="40.15" hidden="1" customHeight="1">
      <c r="A792" s="10">
        <f t="shared" ca="1" si="1230"/>
        <v>0</v>
      </c>
      <c r="B792" s="153"/>
      <c r="C792" s="154"/>
      <c r="D792" s="154"/>
      <c r="E792" s="161" t="s">
        <v>264</v>
      </c>
      <c r="F792" s="154"/>
      <c r="G792" s="154"/>
      <c r="H792" s="152"/>
      <c r="I792" s="152"/>
      <c r="J792" s="154"/>
      <c r="K792" s="154"/>
      <c r="L792" s="154"/>
      <c r="M792" s="154"/>
      <c r="N792" s="154"/>
      <c r="O792" s="154"/>
      <c r="P792" s="154"/>
      <c r="Q792" s="154"/>
      <c r="R792" s="154"/>
      <c r="S792" s="162"/>
      <c r="T792" s="162"/>
      <c r="U792" s="162"/>
      <c r="V792" s="162"/>
      <c r="W792" s="162"/>
      <c r="X792" s="163"/>
      <c r="Y792" s="163"/>
      <c r="Z792" s="163"/>
      <c r="AA792" s="163"/>
      <c r="AB792" s="163"/>
      <c r="AC792" s="163"/>
      <c r="AD792" s="164"/>
      <c r="AE792" s="148">
        <f>IF(SUM(S793:S794)&gt;0,IFERROR(TRUNC(A792,0),0),0)</f>
        <v>0</v>
      </c>
      <c r="AF792" s="149"/>
      <c r="AG792" s="150"/>
      <c r="AH792" s="159"/>
      <c r="AI792" s="160"/>
      <c r="AJ792" s="105"/>
      <c r="AK792" s="105"/>
      <c r="AM792" s="105"/>
      <c r="AN792" s="105"/>
      <c r="AO792" s="105"/>
      <c r="AP792" s="105"/>
      <c r="AQ792" s="105"/>
      <c r="AR792" s="105"/>
    </row>
    <row r="793" spans="1:44" s="49" customFormat="1" ht="40.15" hidden="1" customHeight="1">
      <c r="A793" s="152">
        <f t="shared" ca="1" si="1230"/>
        <v>0</v>
      </c>
      <c r="B793" s="153">
        <v>95876</v>
      </c>
      <c r="C793" s="154" t="str">
        <f>TEXT(B793,"0")</f>
        <v>95876</v>
      </c>
      <c r="D793" s="154" t="s">
        <v>1416</v>
      </c>
      <c r="E793" s="155" t="s">
        <v>3537</v>
      </c>
      <c r="F793" s="154">
        <f>IF(Dados_DMT!$B$33&lt;30,Dados_DMT!$B$33,30)</f>
        <v>0</v>
      </c>
      <c r="G793" s="154" t="s">
        <v>3538</v>
      </c>
      <c r="H793" s="152">
        <v>2.09</v>
      </c>
      <c r="I793" s="152">
        <v>2.1</v>
      </c>
      <c r="J793" s="156"/>
      <c r="K793" s="156">
        <f>ROUND(Pav_Estrutura!K109*F793,2)</f>
        <v>0</v>
      </c>
      <c r="L793" s="156">
        <f>IF($K793&gt;$J793,$K793-$J793,0)</f>
        <v>0</v>
      </c>
      <c r="M793" s="156">
        <f>IF($K793&lt;$J793,$J793-$K793,0)</f>
        <v>0</v>
      </c>
      <c r="N793" s="156" t="s">
        <v>83</v>
      </c>
      <c r="O793" s="157" cm="1">
        <f t="array" ref="O793">TRUNC($H793*(1+_xlfn.SWITCH($N793,"BDI 1",$O$6,"BDI 2",$O$7,"BDI 3",$O$8)),2)</f>
        <v>2.52</v>
      </c>
      <c r="P793" s="157" cm="1">
        <f t="array" ref="P793">TRUNC($I793*(1+_xlfn.SWITCH($N793,"BDI 1",$P$6,"BDI 2",$P$7,"BDI 3",$P$8)),2)</f>
        <v>2.66</v>
      </c>
      <c r="Q793" s="157">
        <v>0</v>
      </c>
      <c r="R793" s="157">
        <f>$Q793-($Q793*LICITACAO_DESCONTO)</f>
        <v>0</v>
      </c>
      <c r="S793" s="156">
        <f>TRUNC($K793*$O793,2)</f>
        <v>0</v>
      </c>
      <c r="T793" s="156">
        <f>TRUNC($K793*$P793,2)</f>
        <v>0</v>
      </c>
      <c r="U793" s="156">
        <f>TRUNC($J793*$R793,2)</f>
        <v>0</v>
      </c>
      <c r="V793" s="156">
        <f>TRUNC($K793*$Q793,2)</f>
        <v>0</v>
      </c>
      <c r="W793" s="156">
        <f>TRUNC(V793-U793,2)</f>
        <v>0</v>
      </c>
      <c r="X793" s="158">
        <f>$S793/ORCAMENTO_VALOR_TOTAL_ND</f>
        <v>0</v>
      </c>
      <c r="Y793" s="158">
        <f>$T793/ORCAMENTO_VALOR_TOTAL_DE</f>
        <v>0</v>
      </c>
      <c r="Z793" s="158" cm="1">
        <f t="array" ref="Z793">_xlfn.SWITCH($N793,"BDI 1",$O$6,"BDI 2",$O$7,"BDI 3",$O$8)</f>
        <v>0.20699999999999999</v>
      </c>
      <c r="AA793" s="158" cm="1">
        <f t="array" ref="AA793">_xlfn.SWITCH($N793,"BDI 1",$P$6,"BDI 2",$P$7,"BDI 3",$P$8)</f>
        <v>0.26739999999999997</v>
      </c>
      <c r="AB793" s="158">
        <f ca="1">IFERROR($S793/_xlfn.XLOOKUP($AE793,$B$16:$B$38,$S$16:$S$38),0)</f>
        <v>0</v>
      </c>
      <c r="AC793" s="158">
        <f ca="1">IFERROR($T793/_xlfn.XLOOKUP($AE793,$B$16:$B$38,$T$16:$T$38),0)</f>
        <v>0</v>
      </c>
      <c r="AD793" s="164"/>
      <c r="AE793" s="148">
        <f t="shared" ref="AE793:AE794" si="1301">IF(S793&gt;0,IFERROR(TRUNC(A793,0),0),0)</f>
        <v>0</v>
      </c>
      <c r="AF793" s="149"/>
      <c r="AG793" s="150"/>
      <c r="AH793" s="159" t="e">
        <f>S793/$S$745</f>
        <v>#DIV/0!</v>
      </c>
      <c r="AI793" s="166">
        <f>IF(K793=0,0,K793/F793)</f>
        <v>0</v>
      </c>
      <c r="AJ793" s="105"/>
      <c r="AK793" s="105"/>
      <c r="AM793" s="105"/>
      <c r="AN793" s="105"/>
      <c r="AO793" s="105"/>
      <c r="AP793" s="105"/>
      <c r="AQ793" s="105"/>
      <c r="AR793" s="105"/>
    </row>
    <row r="794" spans="1:44" s="49" customFormat="1" ht="40.15" hidden="1" customHeight="1">
      <c r="A794" s="152">
        <f t="shared" ca="1" si="1230"/>
        <v>0</v>
      </c>
      <c r="B794" s="153">
        <v>93593</v>
      </c>
      <c r="C794" s="154" t="str">
        <f>TEXT(B794,"0")</f>
        <v>93593</v>
      </c>
      <c r="D794" s="154" t="s">
        <v>1416</v>
      </c>
      <c r="E794" s="155" t="s">
        <v>3545</v>
      </c>
      <c r="F794" s="154">
        <f>+Dados_DMT!$B$33-F793</f>
        <v>0</v>
      </c>
      <c r="G794" s="154" t="s">
        <v>3538</v>
      </c>
      <c r="H794" s="152">
        <v>0.84</v>
      </c>
      <c r="I794" s="152">
        <v>0.85</v>
      </c>
      <c r="J794" s="156"/>
      <c r="K794" s="156">
        <f>ROUND(Pav_Estrutura!K109*F794,2)</f>
        <v>0</v>
      </c>
      <c r="L794" s="156">
        <f>IF($K794&gt;$J794,$K794-$J794,0)</f>
        <v>0</v>
      </c>
      <c r="M794" s="156">
        <f>IF($K794&lt;$J794,$J794-$K794,0)</f>
        <v>0</v>
      </c>
      <c r="N794" s="156" t="s">
        <v>83</v>
      </c>
      <c r="O794" s="157" cm="1">
        <f t="array" ref="O794">TRUNC($H794*(1+_xlfn.SWITCH($N794,"BDI 1",$O$6,"BDI 2",$O$7,"BDI 3",$O$8)),2)</f>
        <v>1.01</v>
      </c>
      <c r="P794" s="157" cm="1">
        <f t="array" ref="P794">TRUNC($I794*(1+_xlfn.SWITCH($N794,"BDI 1",$P$6,"BDI 2",$P$7,"BDI 3",$P$8)),2)</f>
        <v>1.07</v>
      </c>
      <c r="Q794" s="157">
        <v>0</v>
      </c>
      <c r="R794" s="157">
        <f>$Q794-($Q794*LICITACAO_DESCONTO)</f>
        <v>0</v>
      </c>
      <c r="S794" s="156">
        <f>TRUNC($K794*$O794,2)</f>
        <v>0</v>
      </c>
      <c r="T794" s="156">
        <f>TRUNC($K794*$P794,2)</f>
        <v>0</v>
      </c>
      <c r="U794" s="156">
        <f>TRUNC($J794*$R794,2)</f>
        <v>0</v>
      </c>
      <c r="V794" s="156">
        <f>TRUNC($K794*$Q794,2)</f>
        <v>0</v>
      </c>
      <c r="W794" s="156">
        <f>TRUNC(V794-U794,2)</f>
        <v>0</v>
      </c>
      <c r="X794" s="158">
        <f>$S794/ORCAMENTO_VALOR_TOTAL_ND</f>
        <v>0</v>
      </c>
      <c r="Y794" s="158">
        <f>$T794/ORCAMENTO_VALOR_TOTAL_DE</f>
        <v>0</v>
      </c>
      <c r="Z794" s="158" cm="1">
        <f t="array" ref="Z794">_xlfn.SWITCH($N794,"BDI 1",$O$6,"BDI 2",$O$7,"BDI 3",$O$8)</f>
        <v>0.20699999999999999</v>
      </c>
      <c r="AA794" s="158" cm="1">
        <f t="array" ref="AA794">_xlfn.SWITCH($N794,"BDI 1",$P$6,"BDI 2",$P$7,"BDI 3",$P$8)</f>
        <v>0.26739999999999997</v>
      </c>
      <c r="AB794" s="158">
        <f ca="1">IFERROR($S794/_xlfn.XLOOKUP($AE794,$B$16:$B$38,$S$16:$S$38),0)</f>
        <v>0</v>
      </c>
      <c r="AC794" s="158">
        <f ca="1">IFERROR($T794/_xlfn.XLOOKUP($AE794,$B$16:$B$38,$T$16:$T$38),0)</f>
        <v>0</v>
      </c>
      <c r="AD794" s="164"/>
      <c r="AE794" s="148">
        <f t="shared" si="1301"/>
        <v>0</v>
      </c>
      <c r="AF794" s="149"/>
      <c r="AG794" s="150"/>
      <c r="AH794" s="159" t="e">
        <f>S794/$S$745</f>
        <v>#DIV/0!</v>
      </c>
      <c r="AI794" s="166">
        <f>IF(K794=0,0,K794/F794)</f>
        <v>0</v>
      </c>
      <c r="AJ794" s="105"/>
      <c r="AK794" s="105"/>
      <c r="AM794" s="105"/>
      <c r="AN794" s="105"/>
      <c r="AO794" s="105"/>
      <c r="AP794" s="105"/>
      <c r="AQ794" s="105"/>
      <c r="AR794" s="105"/>
    </row>
    <row r="795" spans="1:44" s="49" customFormat="1" ht="40.15" hidden="1" customHeight="1">
      <c r="A795" s="10">
        <f t="shared" ca="1" si="1230"/>
        <v>0</v>
      </c>
      <c r="B795" s="153"/>
      <c r="C795" s="154"/>
      <c r="D795" s="154"/>
      <c r="E795" s="161" t="s">
        <v>265</v>
      </c>
      <c r="F795" s="154"/>
      <c r="G795" s="154"/>
      <c r="H795" s="152"/>
      <c r="I795" s="152"/>
      <c r="J795" s="154"/>
      <c r="K795" s="154"/>
      <c r="L795" s="154"/>
      <c r="M795" s="154"/>
      <c r="N795" s="154"/>
      <c r="O795" s="154"/>
      <c r="P795" s="154"/>
      <c r="Q795" s="154"/>
      <c r="R795" s="154"/>
      <c r="S795" s="162"/>
      <c r="T795" s="162"/>
      <c r="U795" s="162"/>
      <c r="V795" s="162"/>
      <c r="W795" s="162"/>
      <c r="X795" s="163"/>
      <c r="Y795" s="163"/>
      <c r="Z795" s="163"/>
      <c r="AA795" s="163"/>
      <c r="AB795" s="163"/>
      <c r="AC795" s="163"/>
      <c r="AD795" s="164"/>
      <c r="AE795" s="148">
        <f>IF(SUM(S796:S797)&gt;0,IFERROR(TRUNC(A795,0),0),0)</f>
        <v>0</v>
      </c>
      <c r="AF795" s="149"/>
      <c r="AG795" s="150"/>
      <c r="AH795" s="159"/>
      <c r="AI795" s="160"/>
      <c r="AJ795" s="105"/>
      <c r="AK795" s="105"/>
      <c r="AM795" s="105"/>
      <c r="AN795" s="105"/>
      <c r="AO795" s="105"/>
      <c r="AP795" s="105"/>
      <c r="AQ795" s="105"/>
      <c r="AR795" s="105"/>
    </row>
    <row r="796" spans="1:44" s="49" customFormat="1" ht="40.15" hidden="1" customHeight="1">
      <c r="A796" s="152">
        <f t="shared" ca="1" si="1230"/>
        <v>0</v>
      </c>
      <c r="B796" s="153">
        <v>95876</v>
      </c>
      <c r="C796" s="154" t="str">
        <f>TEXT(B796,"0")</f>
        <v>95876</v>
      </c>
      <c r="D796" s="154" t="s">
        <v>1416</v>
      </c>
      <c r="E796" s="155" t="s">
        <v>3537</v>
      </c>
      <c r="F796" s="154">
        <f>IF(Dados_DMT!$B$32&lt;30,Dados_DMT!$B$32,30)</f>
        <v>0</v>
      </c>
      <c r="G796" s="154" t="s">
        <v>3538</v>
      </c>
      <c r="H796" s="152">
        <v>2.09</v>
      </c>
      <c r="I796" s="152">
        <v>2.1</v>
      </c>
      <c r="J796" s="156"/>
      <c r="K796" s="156">
        <f>ROUND(Pav_Estrutura!K108*F796,2)</f>
        <v>0</v>
      </c>
      <c r="L796" s="156">
        <f>IF($K796&gt;$J796,$K796-$J796,0)</f>
        <v>0</v>
      </c>
      <c r="M796" s="156">
        <f>IF($K796&lt;$J796,$J796-$K796,0)</f>
        <v>0</v>
      </c>
      <c r="N796" s="156" t="s">
        <v>83</v>
      </c>
      <c r="O796" s="157" cm="1">
        <f t="array" ref="O796">TRUNC($H796*(1+_xlfn.SWITCH($N796,"BDI 1",$O$6,"BDI 2",$O$7,"BDI 3",$O$8)),2)</f>
        <v>2.52</v>
      </c>
      <c r="P796" s="157" cm="1">
        <f t="array" ref="P796">TRUNC($I796*(1+_xlfn.SWITCH($N796,"BDI 1",$P$6,"BDI 2",$P$7,"BDI 3",$P$8)),2)</f>
        <v>2.66</v>
      </c>
      <c r="Q796" s="157">
        <v>0</v>
      </c>
      <c r="R796" s="157">
        <f>$Q796-($Q796*LICITACAO_DESCONTO)</f>
        <v>0</v>
      </c>
      <c r="S796" s="156">
        <f>TRUNC($K796*$O796,2)</f>
        <v>0</v>
      </c>
      <c r="T796" s="156">
        <f>TRUNC($K796*$P796,2)</f>
        <v>0</v>
      </c>
      <c r="U796" s="156">
        <f>TRUNC($J796*$R796,2)</f>
        <v>0</v>
      </c>
      <c r="V796" s="156">
        <f>TRUNC($K796*$Q796,2)</f>
        <v>0</v>
      </c>
      <c r="W796" s="156">
        <f>TRUNC(V796-U796,2)</f>
        <v>0</v>
      </c>
      <c r="X796" s="158">
        <f>$S796/ORCAMENTO_VALOR_TOTAL_ND</f>
        <v>0</v>
      </c>
      <c r="Y796" s="158">
        <f>$T796/ORCAMENTO_VALOR_TOTAL_DE</f>
        <v>0</v>
      </c>
      <c r="Z796" s="158" cm="1">
        <f t="array" ref="Z796">_xlfn.SWITCH($N796,"BDI 1",$O$6,"BDI 2",$O$7,"BDI 3",$O$8)</f>
        <v>0.20699999999999999</v>
      </c>
      <c r="AA796" s="158" cm="1">
        <f t="array" ref="AA796">_xlfn.SWITCH($N796,"BDI 1",$P$6,"BDI 2",$P$7,"BDI 3",$P$8)</f>
        <v>0.26739999999999997</v>
      </c>
      <c r="AB796" s="158">
        <f ca="1">IFERROR($S796/_xlfn.XLOOKUP($AE796,$B$16:$B$38,$S$16:$S$38),0)</f>
        <v>0</v>
      </c>
      <c r="AC796" s="158">
        <f ca="1">IFERROR($T796/_xlfn.XLOOKUP($AE796,$B$16:$B$38,$T$16:$T$38),0)</f>
        <v>0</v>
      </c>
      <c r="AD796" s="164"/>
      <c r="AE796" s="148">
        <f t="shared" ref="AE796:AE797" si="1302">IF(S796&gt;0,IFERROR(TRUNC(A796,0),0),0)</f>
        <v>0</v>
      </c>
      <c r="AF796" s="149"/>
      <c r="AG796" s="150"/>
      <c r="AH796" s="159" t="e">
        <f>S796/$S$745</f>
        <v>#DIV/0!</v>
      </c>
      <c r="AI796" s="166">
        <f>IF(K796=0,0,K796/F796)</f>
        <v>0</v>
      </c>
      <c r="AJ796" s="105"/>
      <c r="AK796" s="105"/>
      <c r="AM796" s="105"/>
      <c r="AN796" s="105"/>
      <c r="AO796" s="105"/>
      <c r="AP796" s="105"/>
      <c r="AQ796" s="105"/>
      <c r="AR796" s="105"/>
    </row>
    <row r="797" spans="1:44" s="49" customFormat="1" ht="40.15" hidden="1" customHeight="1">
      <c r="A797" s="152">
        <f t="shared" ca="1" si="1230"/>
        <v>0</v>
      </c>
      <c r="B797" s="153">
        <v>93593</v>
      </c>
      <c r="C797" s="154" t="str">
        <f>TEXT(B797,"0")</f>
        <v>93593</v>
      </c>
      <c r="D797" s="154" t="s">
        <v>1416</v>
      </c>
      <c r="E797" s="155" t="s">
        <v>3545</v>
      </c>
      <c r="F797" s="154">
        <f>+Dados_DMT!$B$32-F796</f>
        <v>0</v>
      </c>
      <c r="G797" s="154" t="s">
        <v>3538</v>
      </c>
      <c r="H797" s="152">
        <v>0.84</v>
      </c>
      <c r="I797" s="152">
        <v>0.85</v>
      </c>
      <c r="J797" s="156"/>
      <c r="K797" s="156">
        <f>ROUND(Pav_Estrutura!K108*F797,2)</f>
        <v>0</v>
      </c>
      <c r="L797" s="156">
        <f>IF($K797&gt;$J797,$K797-$J797,0)</f>
        <v>0</v>
      </c>
      <c r="M797" s="156">
        <f>IF($K797&lt;$J797,$J797-$K797,0)</f>
        <v>0</v>
      </c>
      <c r="N797" s="156" t="s">
        <v>83</v>
      </c>
      <c r="O797" s="157" cm="1">
        <f t="array" ref="O797">TRUNC($H797*(1+_xlfn.SWITCH($N797,"BDI 1",$O$6,"BDI 2",$O$7,"BDI 3",$O$8)),2)</f>
        <v>1.01</v>
      </c>
      <c r="P797" s="157" cm="1">
        <f t="array" ref="P797">TRUNC($I797*(1+_xlfn.SWITCH($N797,"BDI 1",$P$6,"BDI 2",$P$7,"BDI 3",$P$8)),2)</f>
        <v>1.07</v>
      </c>
      <c r="Q797" s="157">
        <v>0</v>
      </c>
      <c r="R797" s="157">
        <f>$Q797-($Q797*LICITACAO_DESCONTO)</f>
        <v>0</v>
      </c>
      <c r="S797" s="156">
        <f>TRUNC($K797*$O797,2)</f>
        <v>0</v>
      </c>
      <c r="T797" s="156">
        <f>TRUNC($K797*$P797,2)</f>
        <v>0</v>
      </c>
      <c r="U797" s="156">
        <f>TRUNC($J797*$R797,2)</f>
        <v>0</v>
      </c>
      <c r="V797" s="156">
        <f>TRUNC($K797*$Q797,2)</f>
        <v>0</v>
      </c>
      <c r="W797" s="156">
        <f>TRUNC(V797-U797,2)</f>
        <v>0</v>
      </c>
      <c r="X797" s="158">
        <f>$S797/ORCAMENTO_VALOR_TOTAL_ND</f>
        <v>0</v>
      </c>
      <c r="Y797" s="158">
        <f>$T797/ORCAMENTO_VALOR_TOTAL_DE</f>
        <v>0</v>
      </c>
      <c r="Z797" s="158" cm="1">
        <f t="array" ref="Z797">_xlfn.SWITCH($N797,"BDI 1",$O$6,"BDI 2",$O$7,"BDI 3",$O$8)</f>
        <v>0.20699999999999999</v>
      </c>
      <c r="AA797" s="158" cm="1">
        <f t="array" ref="AA797">_xlfn.SWITCH($N797,"BDI 1",$P$6,"BDI 2",$P$7,"BDI 3",$P$8)</f>
        <v>0.26739999999999997</v>
      </c>
      <c r="AB797" s="158">
        <f ca="1">IFERROR($S797/_xlfn.XLOOKUP($AE797,$B$16:$B$38,$S$16:$S$38),0)</f>
        <v>0</v>
      </c>
      <c r="AC797" s="158">
        <f ca="1">IFERROR($T797/_xlfn.XLOOKUP($AE797,$B$16:$B$38,$T$16:$T$38),0)</f>
        <v>0</v>
      </c>
      <c r="AD797" s="164"/>
      <c r="AE797" s="148">
        <f t="shared" si="1302"/>
        <v>0</v>
      </c>
      <c r="AF797" s="149"/>
      <c r="AG797" s="150"/>
      <c r="AH797" s="159" t="e">
        <f>S797/$S$745</f>
        <v>#DIV/0!</v>
      </c>
      <c r="AI797" s="166">
        <f>IF(K797=0,0,K797/F797)</f>
        <v>0</v>
      </c>
      <c r="AJ797" s="105"/>
      <c r="AK797" s="105"/>
      <c r="AM797" s="105"/>
      <c r="AN797" s="105"/>
      <c r="AO797" s="105"/>
      <c r="AP797" s="105"/>
      <c r="AQ797" s="105"/>
      <c r="AR797" s="105"/>
    </row>
    <row r="798" spans="1:44" s="49" customFormat="1" ht="40.15" hidden="1" customHeight="1">
      <c r="A798" s="10">
        <f t="shared" ca="1" si="1230"/>
        <v>0</v>
      </c>
      <c r="B798" s="153"/>
      <c r="C798" s="154"/>
      <c r="D798" s="154"/>
      <c r="E798" s="161" t="s">
        <v>267</v>
      </c>
      <c r="F798" s="154"/>
      <c r="G798" s="154"/>
      <c r="H798" s="152"/>
      <c r="I798" s="152"/>
      <c r="J798" s="154"/>
      <c r="K798" s="154"/>
      <c r="L798" s="154"/>
      <c r="M798" s="154"/>
      <c r="N798" s="154"/>
      <c r="O798" s="154"/>
      <c r="P798" s="154"/>
      <c r="Q798" s="154"/>
      <c r="R798" s="154"/>
      <c r="S798" s="162"/>
      <c r="T798" s="162"/>
      <c r="U798" s="162"/>
      <c r="V798" s="162"/>
      <c r="W798" s="162"/>
      <c r="X798" s="163"/>
      <c r="Y798" s="163"/>
      <c r="Z798" s="163"/>
      <c r="AA798" s="163"/>
      <c r="AB798" s="163"/>
      <c r="AC798" s="163"/>
      <c r="AD798" s="164"/>
      <c r="AE798" s="148">
        <f>IF(SUM(S799:S800)&gt;0,IFERROR(TRUNC(A798,0),0),0)</f>
        <v>0</v>
      </c>
      <c r="AF798" s="149"/>
      <c r="AG798" s="150"/>
      <c r="AH798" s="159"/>
      <c r="AI798" s="160"/>
      <c r="AJ798" s="105"/>
      <c r="AK798" s="105"/>
      <c r="AM798" s="105"/>
      <c r="AN798" s="105"/>
      <c r="AO798" s="105"/>
      <c r="AP798" s="105"/>
      <c r="AQ798" s="105"/>
      <c r="AR798" s="105"/>
    </row>
    <row r="799" spans="1:44" s="49" customFormat="1" ht="40.15" hidden="1" customHeight="1">
      <c r="A799" s="152">
        <f t="shared" ca="1" si="1230"/>
        <v>0</v>
      </c>
      <c r="B799" s="153">
        <v>95876</v>
      </c>
      <c r="C799" s="154" t="str">
        <f>TEXT(B799,"0")</f>
        <v>95876</v>
      </c>
      <c r="D799" s="154" t="s">
        <v>1416</v>
      </c>
      <c r="E799" s="155" t="s">
        <v>3537</v>
      </c>
      <c r="F799" s="154">
        <f>IF(Dados_DMT!$B$23&lt;30,Dados_DMT!$B$23,30)</f>
        <v>0</v>
      </c>
      <c r="G799" s="154" t="s">
        <v>3538</v>
      </c>
      <c r="H799" s="152">
        <v>2.09</v>
      </c>
      <c r="I799" s="152">
        <v>2.1</v>
      </c>
      <c r="J799" s="156"/>
      <c r="K799" s="156">
        <f>ROUND(Pav_Estrutura!K102*F799,2)</f>
        <v>0</v>
      </c>
      <c r="L799" s="156">
        <f>IF($K799&gt;$J799,$K799-$J799,0)</f>
        <v>0</v>
      </c>
      <c r="M799" s="156">
        <f>IF($K799&lt;$J799,$J799-$K799,0)</f>
        <v>0</v>
      </c>
      <c r="N799" s="156" t="s">
        <v>83</v>
      </c>
      <c r="O799" s="157" cm="1">
        <f t="array" ref="O799">TRUNC($H799*(1+_xlfn.SWITCH($N799,"BDI 1",$O$6,"BDI 2",$O$7,"BDI 3",$O$8)),2)</f>
        <v>2.52</v>
      </c>
      <c r="P799" s="157" cm="1">
        <f t="array" ref="P799">TRUNC($I799*(1+_xlfn.SWITCH($N799,"BDI 1",$P$6,"BDI 2",$P$7,"BDI 3",$P$8)),2)</f>
        <v>2.66</v>
      </c>
      <c r="Q799" s="157">
        <v>0</v>
      </c>
      <c r="R799" s="157">
        <f>$Q799-($Q799*LICITACAO_DESCONTO)</f>
        <v>0</v>
      </c>
      <c r="S799" s="156">
        <f>TRUNC($K799*$O799,2)</f>
        <v>0</v>
      </c>
      <c r="T799" s="156">
        <f>TRUNC($K799*$P799,2)</f>
        <v>0</v>
      </c>
      <c r="U799" s="156">
        <f>TRUNC($J799*$R799,2)</f>
        <v>0</v>
      </c>
      <c r="V799" s="156">
        <f>TRUNC($K799*$Q799,2)</f>
        <v>0</v>
      </c>
      <c r="W799" s="156">
        <f>TRUNC(V799-U799,2)</f>
        <v>0</v>
      </c>
      <c r="X799" s="158">
        <f>$S799/ORCAMENTO_VALOR_TOTAL_ND</f>
        <v>0</v>
      </c>
      <c r="Y799" s="158">
        <f>$T799/ORCAMENTO_VALOR_TOTAL_DE</f>
        <v>0</v>
      </c>
      <c r="Z799" s="158" cm="1">
        <f t="array" ref="Z799">_xlfn.SWITCH($N799,"BDI 1",$O$6,"BDI 2",$O$7,"BDI 3",$O$8)</f>
        <v>0.20699999999999999</v>
      </c>
      <c r="AA799" s="158" cm="1">
        <f t="array" ref="AA799">_xlfn.SWITCH($N799,"BDI 1",$P$6,"BDI 2",$P$7,"BDI 3",$P$8)</f>
        <v>0.26739999999999997</v>
      </c>
      <c r="AB799" s="158">
        <f ca="1">IFERROR($S799/_xlfn.XLOOKUP($AE799,$B$16:$B$38,$S$16:$S$38),0)</f>
        <v>0</v>
      </c>
      <c r="AC799" s="158">
        <f ca="1">IFERROR($T799/_xlfn.XLOOKUP($AE799,$B$16:$B$38,$T$16:$T$38),0)</f>
        <v>0</v>
      </c>
      <c r="AD799" s="164"/>
      <c r="AE799" s="148">
        <f t="shared" ref="AE799:AE800" si="1303">IF(S799&gt;0,IFERROR(TRUNC(A799,0),0),0)</f>
        <v>0</v>
      </c>
      <c r="AF799" s="149"/>
      <c r="AG799" s="150"/>
      <c r="AH799" s="159" t="e">
        <f>S799/$S$745</f>
        <v>#DIV/0!</v>
      </c>
      <c r="AI799" s="166">
        <f>IF(K799=0,0,K799/F799)</f>
        <v>0</v>
      </c>
      <c r="AJ799" s="105"/>
      <c r="AK799" s="105"/>
      <c r="AM799" s="105"/>
      <c r="AN799" s="105"/>
      <c r="AO799" s="105"/>
      <c r="AP799" s="105"/>
      <c r="AQ799" s="105"/>
      <c r="AR799" s="105"/>
    </row>
    <row r="800" spans="1:44" s="49" customFormat="1" ht="40.15" hidden="1" customHeight="1">
      <c r="A800" s="152">
        <f t="shared" ca="1" si="1230"/>
        <v>0</v>
      </c>
      <c r="B800" s="153">
        <v>93593</v>
      </c>
      <c r="C800" s="154" t="str">
        <f>TEXT(B800,"0")</f>
        <v>93593</v>
      </c>
      <c r="D800" s="154" t="s">
        <v>1416</v>
      </c>
      <c r="E800" s="155" t="s">
        <v>3545</v>
      </c>
      <c r="F800" s="154">
        <f>+Dados_DMT!$B$23-F799</f>
        <v>0</v>
      </c>
      <c r="G800" s="154" t="s">
        <v>3538</v>
      </c>
      <c r="H800" s="152">
        <v>0.84</v>
      </c>
      <c r="I800" s="152">
        <v>0.85</v>
      </c>
      <c r="J800" s="156"/>
      <c r="K800" s="156">
        <f>ROUND(Pav_Estrutura!K102*F800,2)</f>
        <v>0</v>
      </c>
      <c r="L800" s="156">
        <f>IF($K800&gt;$J800,$K800-$J800,0)</f>
        <v>0</v>
      </c>
      <c r="M800" s="156">
        <f>IF($K800&lt;$J800,$J800-$K800,0)</f>
        <v>0</v>
      </c>
      <c r="N800" s="156" t="s">
        <v>83</v>
      </c>
      <c r="O800" s="157" cm="1">
        <f t="array" ref="O800">TRUNC($H800*(1+_xlfn.SWITCH($N800,"BDI 1",$O$6,"BDI 2",$O$7,"BDI 3",$O$8)),2)</f>
        <v>1.01</v>
      </c>
      <c r="P800" s="157" cm="1">
        <f t="array" ref="P800">TRUNC($I800*(1+_xlfn.SWITCH($N800,"BDI 1",$P$6,"BDI 2",$P$7,"BDI 3",$P$8)),2)</f>
        <v>1.07</v>
      </c>
      <c r="Q800" s="157">
        <v>0</v>
      </c>
      <c r="R800" s="157">
        <f>$Q800-($Q800*LICITACAO_DESCONTO)</f>
        <v>0</v>
      </c>
      <c r="S800" s="156">
        <f>TRUNC($K800*$O800,2)</f>
        <v>0</v>
      </c>
      <c r="T800" s="156">
        <f>TRUNC($K800*$P800,2)</f>
        <v>0</v>
      </c>
      <c r="U800" s="156">
        <f>TRUNC($J800*$R800,2)</f>
        <v>0</v>
      </c>
      <c r="V800" s="156">
        <f>TRUNC($K800*$Q800,2)</f>
        <v>0</v>
      </c>
      <c r="W800" s="156">
        <f>TRUNC(V800-U800,2)</f>
        <v>0</v>
      </c>
      <c r="X800" s="158">
        <f>$S800/ORCAMENTO_VALOR_TOTAL_ND</f>
        <v>0</v>
      </c>
      <c r="Y800" s="158">
        <f>$T800/ORCAMENTO_VALOR_TOTAL_DE</f>
        <v>0</v>
      </c>
      <c r="Z800" s="158" cm="1">
        <f t="array" ref="Z800">_xlfn.SWITCH($N800,"BDI 1",$O$6,"BDI 2",$O$7,"BDI 3",$O$8)</f>
        <v>0.20699999999999999</v>
      </c>
      <c r="AA800" s="158" cm="1">
        <f t="array" ref="AA800">_xlfn.SWITCH($N800,"BDI 1",$P$6,"BDI 2",$P$7,"BDI 3",$P$8)</f>
        <v>0.26739999999999997</v>
      </c>
      <c r="AB800" s="158">
        <f ca="1">IFERROR($S800/_xlfn.XLOOKUP($AE800,$B$16:$B$38,$S$16:$S$38),0)</f>
        <v>0</v>
      </c>
      <c r="AC800" s="158">
        <f ca="1">IFERROR($T800/_xlfn.XLOOKUP($AE800,$B$16:$B$38,$T$16:$T$38),0)</f>
        <v>0</v>
      </c>
      <c r="AD800" s="164"/>
      <c r="AE800" s="148">
        <f t="shared" si="1303"/>
        <v>0</v>
      </c>
      <c r="AF800" s="149"/>
      <c r="AG800" s="150"/>
      <c r="AH800" s="159" t="e">
        <f>S800/$S$745</f>
        <v>#DIV/0!</v>
      </c>
      <c r="AI800" s="166">
        <f>IF(K800=0,0,K800/F800)</f>
        <v>0</v>
      </c>
      <c r="AJ800" s="105"/>
      <c r="AK800" s="105"/>
      <c r="AM800" s="105"/>
      <c r="AN800" s="105"/>
      <c r="AO800" s="105"/>
      <c r="AP800" s="105"/>
      <c r="AQ800" s="105"/>
      <c r="AR800" s="105"/>
    </row>
    <row r="801" spans="1:44" s="49" customFormat="1" ht="40.15" hidden="1" customHeight="1">
      <c r="A801" s="10">
        <f t="shared" ca="1" si="1230"/>
        <v>0</v>
      </c>
      <c r="B801" s="153"/>
      <c r="C801" s="154"/>
      <c r="D801" s="154"/>
      <c r="E801" s="161" t="s">
        <v>268</v>
      </c>
      <c r="F801" s="154"/>
      <c r="G801" s="154"/>
      <c r="H801" s="152"/>
      <c r="I801" s="152"/>
      <c r="J801" s="154"/>
      <c r="K801" s="154"/>
      <c r="L801" s="154"/>
      <c r="M801" s="154"/>
      <c r="N801" s="154"/>
      <c r="O801" s="154"/>
      <c r="P801" s="154"/>
      <c r="Q801" s="154"/>
      <c r="R801" s="154"/>
      <c r="S801" s="162"/>
      <c r="T801" s="162"/>
      <c r="U801" s="162"/>
      <c r="V801" s="162"/>
      <c r="W801" s="162"/>
      <c r="X801" s="163"/>
      <c r="Y801" s="163"/>
      <c r="Z801" s="163"/>
      <c r="AA801" s="163"/>
      <c r="AB801" s="163"/>
      <c r="AC801" s="163"/>
      <c r="AD801" s="164"/>
      <c r="AE801" s="148">
        <f>IF(SUM(S802:S803)&gt;0,IFERROR(TRUNC(A801,0),0),0)</f>
        <v>0</v>
      </c>
      <c r="AF801" s="149"/>
      <c r="AG801" s="150"/>
      <c r="AH801" s="159"/>
      <c r="AI801" s="160"/>
      <c r="AJ801" s="105"/>
      <c r="AK801" s="105"/>
      <c r="AM801" s="105"/>
      <c r="AN801" s="105"/>
      <c r="AO801" s="105"/>
      <c r="AP801" s="105"/>
      <c r="AQ801" s="105"/>
      <c r="AR801" s="105"/>
    </row>
    <row r="802" spans="1:44" s="49" customFormat="1" ht="40.15" hidden="1" customHeight="1">
      <c r="A802" s="152">
        <f t="shared" ca="1" si="1230"/>
        <v>0</v>
      </c>
      <c r="B802" s="153">
        <v>95876</v>
      </c>
      <c r="C802" s="154" t="str">
        <f>TEXT(B802,"0")</f>
        <v>95876</v>
      </c>
      <c r="D802" s="154" t="s">
        <v>1416</v>
      </c>
      <c r="E802" s="155" t="s">
        <v>3537</v>
      </c>
      <c r="F802" s="154">
        <f>IF(Dados_DMT!$B$22&lt;30,Dados_DMT!$B$22,30)</f>
        <v>0</v>
      </c>
      <c r="G802" s="154" t="s">
        <v>3538</v>
      </c>
      <c r="H802" s="152">
        <v>2.09</v>
      </c>
      <c r="I802" s="152">
        <v>2.1</v>
      </c>
      <c r="J802" s="156"/>
      <c r="K802" s="156">
        <f>ROUND(Pav_Estrutura!K101*F802,2)</f>
        <v>0</v>
      </c>
      <c r="L802" s="156">
        <f>IF($K802&gt;$J802,$K802-$J802,0)</f>
        <v>0</v>
      </c>
      <c r="M802" s="156">
        <f>IF($K802&lt;$J802,$J802-$K802,0)</f>
        <v>0</v>
      </c>
      <c r="N802" s="156" t="s">
        <v>83</v>
      </c>
      <c r="O802" s="157" cm="1">
        <f t="array" ref="O802">TRUNC($H802*(1+_xlfn.SWITCH($N802,"BDI 1",$O$6,"BDI 2",$O$7,"BDI 3",$O$8)),2)</f>
        <v>2.52</v>
      </c>
      <c r="P802" s="157" cm="1">
        <f t="array" ref="P802">TRUNC($I802*(1+_xlfn.SWITCH($N802,"BDI 1",$P$6,"BDI 2",$P$7,"BDI 3",$P$8)),2)</f>
        <v>2.66</v>
      </c>
      <c r="Q802" s="157">
        <v>0</v>
      </c>
      <c r="R802" s="157">
        <f>$Q802-($Q802*LICITACAO_DESCONTO)</f>
        <v>0</v>
      </c>
      <c r="S802" s="156">
        <f>TRUNC($K802*$O802,2)</f>
        <v>0</v>
      </c>
      <c r="T802" s="156">
        <f>TRUNC($K802*$P802,2)</f>
        <v>0</v>
      </c>
      <c r="U802" s="156">
        <f>TRUNC($J802*$R802,2)</f>
        <v>0</v>
      </c>
      <c r="V802" s="156">
        <f>TRUNC($K802*$Q802,2)</f>
        <v>0</v>
      </c>
      <c r="W802" s="156">
        <f>TRUNC(V802-U802,2)</f>
        <v>0</v>
      </c>
      <c r="X802" s="158">
        <f>$S802/ORCAMENTO_VALOR_TOTAL_ND</f>
        <v>0</v>
      </c>
      <c r="Y802" s="158">
        <f>$T802/ORCAMENTO_VALOR_TOTAL_DE</f>
        <v>0</v>
      </c>
      <c r="Z802" s="158" cm="1">
        <f t="array" ref="Z802">_xlfn.SWITCH($N802,"BDI 1",$O$6,"BDI 2",$O$7,"BDI 3",$O$8)</f>
        <v>0.20699999999999999</v>
      </c>
      <c r="AA802" s="158" cm="1">
        <f t="array" ref="AA802">_xlfn.SWITCH($N802,"BDI 1",$P$6,"BDI 2",$P$7,"BDI 3",$P$8)</f>
        <v>0.26739999999999997</v>
      </c>
      <c r="AB802" s="158">
        <f ca="1">IFERROR($S802/_xlfn.XLOOKUP($AE802,$B$16:$B$38,$S$16:$S$38),0)</f>
        <v>0</v>
      </c>
      <c r="AC802" s="158">
        <f ca="1">IFERROR($T802/_xlfn.XLOOKUP($AE802,$B$16:$B$38,$T$16:$T$38),0)</f>
        <v>0</v>
      </c>
      <c r="AD802" s="164"/>
      <c r="AE802" s="148">
        <f t="shared" ref="AE802:AE803" si="1304">IF(S802&gt;0,IFERROR(TRUNC(A802,0),0),0)</f>
        <v>0</v>
      </c>
      <c r="AF802" s="149"/>
      <c r="AG802" s="150"/>
      <c r="AH802" s="159" t="e">
        <f>S802/$S$745</f>
        <v>#DIV/0!</v>
      </c>
      <c r="AI802" s="166">
        <f>IF(K802=0,0,K802/F802)</f>
        <v>0</v>
      </c>
      <c r="AJ802" s="105"/>
      <c r="AK802" s="105"/>
      <c r="AM802" s="105"/>
      <c r="AN802" s="105"/>
      <c r="AO802" s="105"/>
      <c r="AP802" s="105"/>
      <c r="AQ802" s="105"/>
      <c r="AR802" s="105"/>
    </row>
    <row r="803" spans="1:44" s="49" customFormat="1" ht="40.15" hidden="1" customHeight="1">
      <c r="A803" s="152">
        <f t="shared" ca="1" si="1230"/>
        <v>0</v>
      </c>
      <c r="B803" s="153">
        <v>93593</v>
      </c>
      <c r="C803" s="154" t="str">
        <f>TEXT(B803,"0")</f>
        <v>93593</v>
      </c>
      <c r="D803" s="154" t="s">
        <v>1416</v>
      </c>
      <c r="E803" s="155" t="s">
        <v>3545</v>
      </c>
      <c r="F803" s="154">
        <f>+Dados_DMT!$B$22-F802</f>
        <v>0</v>
      </c>
      <c r="G803" s="154" t="s">
        <v>3538</v>
      </c>
      <c r="H803" s="152">
        <v>0.84</v>
      </c>
      <c r="I803" s="152">
        <v>0.85</v>
      </c>
      <c r="J803" s="156"/>
      <c r="K803" s="156">
        <f>ROUND(Pav_Estrutura!K101*F803,2)</f>
        <v>0</v>
      </c>
      <c r="L803" s="156">
        <f>IF($K803&gt;$J803,$K803-$J803,0)</f>
        <v>0</v>
      </c>
      <c r="M803" s="156">
        <f>IF($K803&lt;$J803,$J803-$K803,0)</f>
        <v>0</v>
      </c>
      <c r="N803" s="156" t="s">
        <v>83</v>
      </c>
      <c r="O803" s="157" cm="1">
        <f t="array" ref="O803">TRUNC($H803*(1+_xlfn.SWITCH($N803,"BDI 1",$O$6,"BDI 2",$O$7,"BDI 3",$O$8)),2)</f>
        <v>1.01</v>
      </c>
      <c r="P803" s="157" cm="1">
        <f t="array" ref="P803">TRUNC($I803*(1+_xlfn.SWITCH($N803,"BDI 1",$P$6,"BDI 2",$P$7,"BDI 3",$P$8)),2)</f>
        <v>1.07</v>
      </c>
      <c r="Q803" s="157">
        <v>0</v>
      </c>
      <c r="R803" s="157">
        <f>$Q803-($Q803*LICITACAO_DESCONTO)</f>
        <v>0</v>
      </c>
      <c r="S803" s="156">
        <f>TRUNC($K803*$O803,2)</f>
        <v>0</v>
      </c>
      <c r="T803" s="156">
        <f>TRUNC($K803*$P803,2)</f>
        <v>0</v>
      </c>
      <c r="U803" s="156">
        <f>TRUNC($J803*$R803,2)</f>
        <v>0</v>
      </c>
      <c r="V803" s="156">
        <f>TRUNC($K803*$Q803,2)</f>
        <v>0</v>
      </c>
      <c r="W803" s="156">
        <f>TRUNC(V803-U803,2)</f>
        <v>0</v>
      </c>
      <c r="X803" s="158">
        <f>$S803/ORCAMENTO_VALOR_TOTAL_ND</f>
        <v>0</v>
      </c>
      <c r="Y803" s="158">
        <f>$T803/ORCAMENTO_VALOR_TOTAL_DE</f>
        <v>0</v>
      </c>
      <c r="Z803" s="158" cm="1">
        <f t="array" ref="Z803">_xlfn.SWITCH($N803,"BDI 1",$O$6,"BDI 2",$O$7,"BDI 3",$O$8)</f>
        <v>0.20699999999999999</v>
      </c>
      <c r="AA803" s="158" cm="1">
        <f t="array" ref="AA803">_xlfn.SWITCH($N803,"BDI 1",$P$6,"BDI 2",$P$7,"BDI 3",$P$8)</f>
        <v>0.26739999999999997</v>
      </c>
      <c r="AB803" s="158">
        <f ca="1">IFERROR($S803/_xlfn.XLOOKUP($AE803,$B$16:$B$38,$S$16:$S$38),0)</f>
        <v>0</v>
      </c>
      <c r="AC803" s="158">
        <f ca="1">IFERROR($T803/_xlfn.XLOOKUP($AE803,$B$16:$B$38,$T$16:$T$38),0)</f>
        <v>0</v>
      </c>
      <c r="AD803" s="164"/>
      <c r="AE803" s="148">
        <f t="shared" si="1304"/>
        <v>0</v>
      </c>
      <c r="AF803" s="149"/>
      <c r="AG803" s="150"/>
      <c r="AH803" s="159" t="e">
        <f>S803/$S$745</f>
        <v>#DIV/0!</v>
      </c>
      <c r="AI803" s="166">
        <f>IF(K803=0,0,K803/F803)</f>
        <v>0</v>
      </c>
      <c r="AJ803" s="105"/>
      <c r="AK803" s="105"/>
      <c r="AM803" s="105"/>
      <c r="AN803" s="105"/>
      <c r="AO803" s="105"/>
      <c r="AP803" s="105"/>
      <c r="AQ803" s="105"/>
      <c r="AR803" s="105"/>
    </row>
    <row r="804" spans="1:44" s="49" customFormat="1" ht="40.15" hidden="1" customHeight="1">
      <c r="A804" s="10">
        <f t="shared" ca="1" si="1230"/>
        <v>0</v>
      </c>
      <c r="B804" s="153"/>
      <c r="C804" s="154"/>
      <c r="D804" s="154"/>
      <c r="E804" s="161" t="s">
        <v>266</v>
      </c>
      <c r="F804" s="154"/>
      <c r="G804" s="154"/>
      <c r="H804" s="152"/>
      <c r="I804" s="152"/>
      <c r="J804" s="154"/>
      <c r="K804" s="154"/>
      <c r="L804" s="154"/>
      <c r="M804" s="154"/>
      <c r="N804" s="154"/>
      <c r="O804" s="154"/>
      <c r="P804" s="154"/>
      <c r="Q804" s="154"/>
      <c r="R804" s="154"/>
      <c r="S804" s="162"/>
      <c r="T804" s="162"/>
      <c r="U804" s="162"/>
      <c r="V804" s="162"/>
      <c r="W804" s="162"/>
      <c r="X804" s="163"/>
      <c r="Y804" s="163"/>
      <c r="Z804" s="163"/>
      <c r="AA804" s="163"/>
      <c r="AB804" s="163"/>
      <c r="AC804" s="163"/>
      <c r="AD804" s="164"/>
      <c r="AE804" s="148">
        <f>IF(SUM(S805:S806)&gt;0,IFERROR(TRUNC(A804,0),0),0)</f>
        <v>0</v>
      </c>
      <c r="AF804" s="149"/>
      <c r="AG804" s="150"/>
      <c r="AH804" s="159"/>
      <c r="AI804" s="160"/>
      <c r="AJ804" s="105"/>
      <c r="AK804" s="105"/>
      <c r="AM804" s="105"/>
      <c r="AN804" s="105"/>
      <c r="AO804" s="105"/>
      <c r="AP804" s="105"/>
      <c r="AQ804" s="105"/>
      <c r="AR804" s="105"/>
    </row>
    <row r="805" spans="1:44" s="49" customFormat="1" ht="40.15" hidden="1" customHeight="1">
      <c r="A805" s="152">
        <f t="shared" ca="1" si="1230"/>
        <v>0</v>
      </c>
      <c r="B805" s="153">
        <v>95876</v>
      </c>
      <c r="C805" s="154" t="str">
        <f>TEXT(B805,"0")</f>
        <v>95876</v>
      </c>
      <c r="D805" s="154" t="s">
        <v>1416</v>
      </c>
      <c r="E805" s="155" t="s">
        <v>3537</v>
      </c>
      <c r="F805" s="154">
        <f>IF(Dados_DMT!$B$21&lt;30,Dados_DMT!$B$21,30)</f>
        <v>0</v>
      </c>
      <c r="G805" s="154" t="s">
        <v>3538</v>
      </c>
      <c r="H805" s="152">
        <v>2.09</v>
      </c>
      <c r="I805" s="152">
        <v>2.1</v>
      </c>
      <c r="J805" s="156"/>
      <c r="K805" s="156">
        <f>ROUND(Pav_Estrutura!K100*F805,2)</f>
        <v>0</v>
      </c>
      <c r="L805" s="156">
        <f>IF($K805&gt;$J805,$K805-$J805,0)</f>
        <v>0</v>
      </c>
      <c r="M805" s="156">
        <f>IF($K805&lt;$J805,$J805-$K805,0)</f>
        <v>0</v>
      </c>
      <c r="N805" s="156" t="s">
        <v>83</v>
      </c>
      <c r="O805" s="157" cm="1">
        <f t="array" ref="O805">TRUNC($H805*(1+_xlfn.SWITCH($N805,"BDI 1",$O$6,"BDI 2",$O$7,"BDI 3",$O$8)),2)</f>
        <v>2.52</v>
      </c>
      <c r="P805" s="157" cm="1">
        <f t="array" ref="P805">TRUNC($I805*(1+_xlfn.SWITCH($N805,"BDI 1",$P$6,"BDI 2",$P$7,"BDI 3",$P$8)),2)</f>
        <v>2.66</v>
      </c>
      <c r="Q805" s="157">
        <v>0</v>
      </c>
      <c r="R805" s="157">
        <f>$Q805-($Q805*LICITACAO_DESCONTO)</f>
        <v>0</v>
      </c>
      <c r="S805" s="156">
        <f>TRUNC($K805*$O805,2)</f>
        <v>0</v>
      </c>
      <c r="T805" s="156">
        <f>TRUNC($K805*$P805,2)</f>
        <v>0</v>
      </c>
      <c r="U805" s="156">
        <f>TRUNC($J805*$R805,2)</f>
        <v>0</v>
      </c>
      <c r="V805" s="156">
        <f>TRUNC($K805*$Q805,2)</f>
        <v>0</v>
      </c>
      <c r="W805" s="156">
        <f>TRUNC(V805-U805,2)</f>
        <v>0</v>
      </c>
      <c r="X805" s="158">
        <f>$S805/ORCAMENTO_VALOR_TOTAL_ND</f>
        <v>0</v>
      </c>
      <c r="Y805" s="158">
        <f>$T805/ORCAMENTO_VALOR_TOTAL_DE</f>
        <v>0</v>
      </c>
      <c r="Z805" s="158" cm="1">
        <f t="array" ref="Z805">_xlfn.SWITCH($N805,"BDI 1",$O$6,"BDI 2",$O$7,"BDI 3",$O$8)</f>
        <v>0.20699999999999999</v>
      </c>
      <c r="AA805" s="158" cm="1">
        <f t="array" ref="AA805">_xlfn.SWITCH($N805,"BDI 1",$P$6,"BDI 2",$P$7,"BDI 3",$P$8)</f>
        <v>0.26739999999999997</v>
      </c>
      <c r="AB805" s="158">
        <f ca="1">IFERROR($S805/_xlfn.XLOOKUP($AE805,$B$16:$B$38,$S$16:$S$38),0)</f>
        <v>0</v>
      </c>
      <c r="AC805" s="158">
        <f ca="1">IFERROR($T805/_xlfn.XLOOKUP($AE805,$B$16:$B$38,$T$16:$T$38),0)</f>
        <v>0</v>
      </c>
      <c r="AD805" s="164"/>
      <c r="AE805" s="148">
        <f t="shared" ref="AE805:AE806" si="1305">IF(S805&gt;0,IFERROR(TRUNC(A805,0),0),0)</f>
        <v>0</v>
      </c>
      <c r="AF805" s="149"/>
      <c r="AG805" s="150"/>
      <c r="AH805" s="159" t="e">
        <f>S805/$S$745</f>
        <v>#DIV/0!</v>
      </c>
      <c r="AI805" s="166">
        <f>IF(K805=0,0,K805/F805)</f>
        <v>0</v>
      </c>
      <c r="AJ805" s="105"/>
      <c r="AK805" s="105"/>
      <c r="AM805" s="105"/>
      <c r="AN805" s="105"/>
      <c r="AO805" s="105"/>
      <c r="AP805" s="105"/>
      <c r="AQ805" s="105"/>
      <c r="AR805" s="105"/>
    </row>
    <row r="806" spans="1:44" s="49" customFormat="1" ht="40.15" hidden="1" customHeight="1">
      <c r="A806" s="152">
        <f t="shared" ca="1" si="1230"/>
        <v>0</v>
      </c>
      <c r="B806" s="153">
        <v>93593</v>
      </c>
      <c r="C806" s="154" t="str">
        <f>TEXT(B806,"0")</f>
        <v>93593</v>
      </c>
      <c r="D806" s="154" t="s">
        <v>1416</v>
      </c>
      <c r="E806" s="155" t="s">
        <v>3545</v>
      </c>
      <c r="F806" s="154">
        <f>+Dados_DMT!$B$21-F805</f>
        <v>0</v>
      </c>
      <c r="G806" s="154" t="s">
        <v>3538</v>
      </c>
      <c r="H806" s="152">
        <v>0.84</v>
      </c>
      <c r="I806" s="152">
        <v>0.85</v>
      </c>
      <c r="J806" s="156"/>
      <c r="K806" s="156">
        <f>ROUND(Pav_Estrutura!K100*F806,2)</f>
        <v>0</v>
      </c>
      <c r="L806" s="156">
        <f>IF($K806&gt;$J806,$K806-$J806,0)</f>
        <v>0</v>
      </c>
      <c r="M806" s="156">
        <f>IF($K806&lt;$J806,$J806-$K806,0)</f>
        <v>0</v>
      </c>
      <c r="N806" s="156" t="s">
        <v>83</v>
      </c>
      <c r="O806" s="157" cm="1">
        <f t="array" ref="O806">TRUNC($H806*(1+_xlfn.SWITCH($N806,"BDI 1",$O$6,"BDI 2",$O$7,"BDI 3",$O$8)),2)</f>
        <v>1.01</v>
      </c>
      <c r="P806" s="157" cm="1">
        <f t="array" ref="P806">TRUNC($I806*(1+_xlfn.SWITCH($N806,"BDI 1",$P$6,"BDI 2",$P$7,"BDI 3",$P$8)),2)</f>
        <v>1.07</v>
      </c>
      <c r="Q806" s="157">
        <v>0</v>
      </c>
      <c r="R806" s="157">
        <f>$Q806-($Q806*LICITACAO_DESCONTO)</f>
        <v>0</v>
      </c>
      <c r="S806" s="156">
        <f>TRUNC($K806*$O806,2)</f>
        <v>0</v>
      </c>
      <c r="T806" s="156">
        <f>TRUNC($K806*$P806,2)</f>
        <v>0</v>
      </c>
      <c r="U806" s="156">
        <f>TRUNC($J806*$R806,2)</f>
        <v>0</v>
      </c>
      <c r="V806" s="156">
        <f>TRUNC($K806*$Q806,2)</f>
        <v>0</v>
      </c>
      <c r="W806" s="156">
        <f>TRUNC(V806-U806,2)</f>
        <v>0</v>
      </c>
      <c r="X806" s="158">
        <f>$S806/ORCAMENTO_VALOR_TOTAL_ND</f>
        <v>0</v>
      </c>
      <c r="Y806" s="158">
        <f>$T806/ORCAMENTO_VALOR_TOTAL_DE</f>
        <v>0</v>
      </c>
      <c r="Z806" s="158" cm="1">
        <f t="array" ref="Z806">_xlfn.SWITCH($N806,"BDI 1",$O$6,"BDI 2",$O$7,"BDI 3",$O$8)</f>
        <v>0.20699999999999999</v>
      </c>
      <c r="AA806" s="158" cm="1">
        <f t="array" ref="AA806">_xlfn.SWITCH($N806,"BDI 1",$P$6,"BDI 2",$P$7,"BDI 3",$P$8)</f>
        <v>0.26739999999999997</v>
      </c>
      <c r="AB806" s="158">
        <f ca="1">IFERROR($S806/_xlfn.XLOOKUP($AE806,$B$16:$B$38,$S$16:$S$38),0)</f>
        <v>0</v>
      </c>
      <c r="AC806" s="158">
        <f ca="1">IFERROR($T806/_xlfn.XLOOKUP($AE806,$B$16:$B$38,$T$16:$T$38),0)</f>
        <v>0</v>
      </c>
      <c r="AD806" s="164"/>
      <c r="AE806" s="148">
        <f t="shared" si="1305"/>
        <v>0</v>
      </c>
      <c r="AF806" s="149"/>
      <c r="AG806" s="150"/>
      <c r="AH806" s="159" t="e">
        <f>S806/$S$745</f>
        <v>#DIV/0!</v>
      </c>
      <c r="AI806" s="166">
        <f>IF(K806=0,0,K806/F806)</f>
        <v>0</v>
      </c>
      <c r="AJ806" s="105"/>
      <c r="AK806" s="105"/>
      <c r="AM806" s="105"/>
      <c r="AN806" s="105"/>
      <c r="AO806" s="105"/>
      <c r="AP806" s="105"/>
      <c r="AQ806" s="105"/>
      <c r="AR806" s="105"/>
    </row>
    <row r="807" spans="1:44" s="49" customFormat="1" ht="40.15" hidden="1" customHeight="1">
      <c r="A807" s="10">
        <f t="shared" ca="1" si="1230"/>
        <v>0</v>
      </c>
      <c r="B807" s="153"/>
      <c r="C807" s="154"/>
      <c r="D807" s="154"/>
      <c r="E807" s="161" t="s">
        <v>315</v>
      </c>
      <c r="F807" s="154"/>
      <c r="G807" s="154"/>
      <c r="H807" s="152"/>
      <c r="I807" s="152"/>
      <c r="J807" s="154"/>
      <c r="K807" s="154"/>
      <c r="L807" s="154"/>
      <c r="M807" s="154"/>
      <c r="N807" s="154"/>
      <c r="O807" s="154"/>
      <c r="P807" s="154"/>
      <c r="Q807" s="154"/>
      <c r="R807" s="154"/>
      <c r="S807" s="162"/>
      <c r="T807" s="162"/>
      <c r="U807" s="162"/>
      <c r="V807" s="162"/>
      <c r="W807" s="162"/>
      <c r="X807" s="163"/>
      <c r="Y807" s="163"/>
      <c r="Z807" s="163"/>
      <c r="AA807" s="163"/>
      <c r="AB807" s="163"/>
      <c r="AC807" s="163"/>
      <c r="AD807" s="164"/>
      <c r="AE807" s="148">
        <f>IF(SUM(S808:S809)&gt;0,IFERROR(TRUNC(A807,0),0),0)</f>
        <v>0</v>
      </c>
      <c r="AF807" s="149"/>
      <c r="AG807" s="150"/>
      <c r="AH807" s="159"/>
      <c r="AI807" s="160"/>
      <c r="AJ807" s="105"/>
      <c r="AK807" s="105"/>
      <c r="AM807" s="105"/>
      <c r="AN807" s="105"/>
      <c r="AO807" s="105"/>
      <c r="AP807" s="105"/>
      <c r="AQ807" s="105"/>
      <c r="AR807" s="105"/>
    </row>
    <row r="808" spans="1:44" s="49" customFormat="1" ht="40.15" hidden="1" customHeight="1">
      <c r="A808" s="152">
        <f t="shared" ca="1" si="1230"/>
        <v>0</v>
      </c>
      <c r="B808" s="153">
        <v>95876</v>
      </c>
      <c r="C808" s="154" t="str">
        <f>TEXT(B808,"0")</f>
        <v>95876</v>
      </c>
      <c r="D808" s="154" t="s">
        <v>1416</v>
      </c>
      <c r="E808" s="155" t="s">
        <v>3537</v>
      </c>
      <c r="F808" s="154">
        <f>IF(Dados_DMT!$B$21&lt;30,Dados_DMT!$B$21,30)</f>
        <v>0</v>
      </c>
      <c r="G808" s="154" t="s">
        <v>3538</v>
      </c>
      <c r="H808" s="152">
        <v>2.09</v>
      </c>
      <c r="I808" s="152">
        <v>2.1</v>
      </c>
      <c r="J808" s="156"/>
      <c r="K808" s="156">
        <f>ROUND(Pav_Estrutura!K99*F808,2)</f>
        <v>0</v>
      </c>
      <c r="L808" s="156">
        <f>IF($K808&gt;$J808,$K808-$J808,0)</f>
        <v>0</v>
      </c>
      <c r="M808" s="156">
        <f>IF($K808&lt;$J808,$J808-$K808,0)</f>
        <v>0</v>
      </c>
      <c r="N808" s="156" t="s">
        <v>83</v>
      </c>
      <c r="O808" s="157" cm="1">
        <f t="array" ref="O808">TRUNC($H808*(1+_xlfn.SWITCH($N808,"BDI 1",$O$6,"BDI 2",$O$7,"BDI 3",$O$8)),2)</f>
        <v>2.52</v>
      </c>
      <c r="P808" s="157" cm="1">
        <f t="array" ref="P808">TRUNC($I808*(1+_xlfn.SWITCH($N808,"BDI 1",$P$6,"BDI 2",$P$7,"BDI 3",$P$8)),2)</f>
        <v>2.66</v>
      </c>
      <c r="Q808" s="157">
        <v>0</v>
      </c>
      <c r="R808" s="157">
        <f>$Q808-($Q808*LICITACAO_DESCONTO)</f>
        <v>0</v>
      </c>
      <c r="S808" s="156">
        <f>TRUNC($K808*$O808,2)</f>
        <v>0</v>
      </c>
      <c r="T808" s="156">
        <f>TRUNC($K808*$P808,2)</f>
        <v>0</v>
      </c>
      <c r="U808" s="156">
        <f>TRUNC($J808*$R808,2)</f>
        <v>0</v>
      </c>
      <c r="V808" s="156">
        <f>TRUNC($K808*$Q808,2)</f>
        <v>0</v>
      </c>
      <c r="W808" s="156">
        <f>TRUNC(V808-U808,2)</f>
        <v>0</v>
      </c>
      <c r="X808" s="158">
        <f>$S808/ORCAMENTO_VALOR_TOTAL_ND</f>
        <v>0</v>
      </c>
      <c r="Y808" s="158">
        <f>$T808/ORCAMENTO_VALOR_TOTAL_DE</f>
        <v>0</v>
      </c>
      <c r="Z808" s="158" cm="1">
        <f t="array" ref="Z808">_xlfn.SWITCH($N808,"BDI 1",$O$6,"BDI 2",$O$7,"BDI 3",$O$8)</f>
        <v>0.20699999999999999</v>
      </c>
      <c r="AA808" s="158" cm="1">
        <f t="array" ref="AA808">_xlfn.SWITCH($N808,"BDI 1",$P$6,"BDI 2",$P$7,"BDI 3",$P$8)</f>
        <v>0.26739999999999997</v>
      </c>
      <c r="AB808" s="158">
        <f ca="1">IFERROR($S808/_xlfn.XLOOKUP($AE808,$B$16:$B$38,$S$16:$S$38),0)</f>
        <v>0</v>
      </c>
      <c r="AC808" s="158">
        <f ca="1">IFERROR($T808/_xlfn.XLOOKUP($AE808,$B$16:$B$38,$T$16:$T$38),0)</f>
        <v>0</v>
      </c>
      <c r="AD808" s="164"/>
      <c r="AE808" s="148">
        <f t="shared" ref="AE808:AE809" si="1306">IF(S808&gt;0,IFERROR(TRUNC(A808,0),0),0)</f>
        <v>0</v>
      </c>
      <c r="AF808" s="149"/>
      <c r="AG808" s="150"/>
      <c r="AH808" s="159" t="e">
        <f>S808/$S$745</f>
        <v>#DIV/0!</v>
      </c>
      <c r="AI808" s="166">
        <f>IF(K808=0,0,K808/F808)</f>
        <v>0</v>
      </c>
      <c r="AJ808" s="105"/>
      <c r="AK808" s="105"/>
      <c r="AM808" s="105"/>
      <c r="AN808" s="105"/>
      <c r="AO808" s="105"/>
      <c r="AP808" s="105"/>
      <c r="AQ808" s="105"/>
      <c r="AR808" s="105"/>
    </row>
    <row r="809" spans="1:44" s="49" customFormat="1" ht="40.15" hidden="1" customHeight="1">
      <c r="A809" s="152">
        <f t="shared" ca="1" si="1230"/>
        <v>0</v>
      </c>
      <c r="B809" s="153">
        <v>93593</v>
      </c>
      <c r="C809" s="154" t="str">
        <f>TEXT(B809,"0")</f>
        <v>93593</v>
      </c>
      <c r="D809" s="154" t="s">
        <v>1416</v>
      </c>
      <c r="E809" s="155" t="s">
        <v>3545</v>
      </c>
      <c r="F809" s="154">
        <f>Dados_DMT!$B$21-F808</f>
        <v>0</v>
      </c>
      <c r="G809" s="154" t="s">
        <v>3538</v>
      </c>
      <c r="H809" s="152">
        <v>0.84</v>
      </c>
      <c r="I809" s="152">
        <v>0.85</v>
      </c>
      <c r="J809" s="156"/>
      <c r="K809" s="156">
        <f>ROUND(Pav_Estrutura!K99*F809,2)</f>
        <v>0</v>
      </c>
      <c r="L809" s="156">
        <f>IF($K809&gt;$J809,$K809-$J809,0)</f>
        <v>0</v>
      </c>
      <c r="M809" s="156">
        <f>IF($K809&lt;$J809,$J809-$K809,0)</f>
        <v>0</v>
      </c>
      <c r="N809" s="156" t="s">
        <v>83</v>
      </c>
      <c r="O809" s="157" cm="1">
        <f t="array" ref="O809">TRUNC($H809*(1+_xlfn.SWITCH($N809,"BDI 1",$O$6,"BDI 2",$O$7,"BDI 3",$O$8)),2)</f>
        <v>1.01</v>
      </c>
      <c r="P809" s="157" cm="1">
        <f t="array" ref="P809">TRUNC($I809*(1+_xlfn.SWITCH($N809,"BDI 1",$P$6,"BDI 2",$P$7,"BDI 3",$P$8)),2)</f>
        <v>1.07</v>
      </c>
      <c r="Q809" s="157">
        <v>0</v>
      </c>
      <c r="R809" s="157">
        <f>$Q809-($Q809*LICITACAO_DESCONTO)</f>
        <v>0</v>
      </c>
      <c r="S809" s="156">
        <f>TRUNC($K809*$O809,2)</f>
        <v>0</v>
      </c>
      <c r="T809" s="156">
        <f>TRUNC($K809*$P809,2)</f>
        <v>0</v>
      </c>
      <c r="U809" s="156">
        <f>TRUNC($J809*$R809,2)</f>
        <v>0</v>
      </c>
      <c r="V809" s="156">
        <f>TRUNC($K809*$Q809,2)</f>
        <v>0</v>
      </c>
      <c r="W809" s="156">
        <f>TRUNC(V809-U809,2)</f>
        <v>0</v>
      </c>
      <c r="X809" s="158">
        <f>$S809/ORCAMENTO_VALOR_TOTAL_ND</f>
        <v>0</v>
      </c>
      <c r="Y809" s="158">
        <f>$T809/ORCAMENTO_VALOR_TOTAL_DE</f>
        <v>0</v>
      </c>
      <c r="Z809" s="158" cm="1">
        <f t="array" ref="Z809">_xlfn.SWITCH($N809,"BDI 1",$O$6,"BDI 2",$O$7,"BDI 3",$O$8)</f>
        <v>0.20699999999999999</v>
      </c>
      <c r="AA809" s="158" cm="1">
        <f t="array" ref="AA809">_xlfn.SWITCH($N809,"BDI 1",$P$6,"BDI 2",$P$7,"BDI 3",$P$8)</f>
        <v>0.26739999999999997</v>
      </c>
      <c r="AB809" s="158">
        <f ca="1">IFERROR($S809/_xlfn.XLOOKUP($AE809,$B$16:$B$38,$S$16:$S$38),0)</f>
        <v>0</v>
      </c>
      <c r="AC809" s="158">
        <f ca="1">IFERROR($T809/_xlfn.XLOOKUP($AE809,$B$16:$B$38,$T$16:$T$38),0)</f>
        <v>0</v>
      </c>
      <c r="AD809" s="164"/>
      <c r="AE809" s="148">
        <f t="shared" si="1306"/>
        <v>0</v>
      </c>
      <c r="AF809" s="149"/>
      <c r="AG809" s="150"/>
      <c r="AH809" s="159" t="e">
        <f>S809/$S$745</f>
        <v>#DIV/0!</v>
      </c>
      <c r="AI809" s="166">
        <f>IF(K809=0,0,K809/F809)</f>
        <v>0</v>
      </c>
      <c r="AJ809" s="105"/>
      <c r="AK809" s="105"/>
      <c r="AM809" s="105"/>
      <c r="AN809" s="105"/>
      <c r="AO809" s="105"/>
      <c r="AP809" s="105"/>
      <c r="AQ809" s="105"/>
      <c r="AR809" s="105"/>
    </row>
    <row r="810" spans="1:44" s="49" customFormat="1" ht="40.15" hidden="1" customHeight="1">
      <c r="A810" s="10">
        <f t="shared" ref="A810:A834" ca="1" si="1307">+IF(K810&gt;0,A809+0.01,A809)</f>
        <v>0</v>
      </c>
      <c r="B810" s="153"/>
      <c r="C810" s="154"/>
      <c r="D810" s="154"/>
      <c r="E810" s="161" t="s">
        <v>269</v>
      </c>
      <c r="F810" s="154"/>
      <c r="G810" s="154"/>
      <c r="H810" s="152"/>
      <c r="I810" s="152"/>
      <c r="J810" s="154"/>
      <c r="K810" s="154"/>
      <c r="L810" s="154"/>
      <c r="M810" s="154"/>
      <c r="N810" s="154"/>
      <c r="O810" s="154"/>
      <c r="P810" s="154"/>
      <c r="Q810" s="154"/>
      <c r="R810" s="154"/>
      <c r="S810" s="162"/>
      <c r="T810" s="162"/>
      <c r="U810" s="162"/>
      <c r="V810" s="162"/>
      <c r="W810" s="162"/>
      <c r="X810" s="163"/>
      <c r="Y810" s="163"/>
      <c r="Z810" s="163"/>
      <c r="AA810" s="163"/>
      <c r="AB810" s="163"/>
      <c r="AC810" s="163"/>
      <c r="AD810" s="164"/>
      <c r="AE810" s="148">
        <f>IF(SUM(S811:S812)&gt;0,IFERROR(TRUNC(A810,0),0),0)</f>
        <v>0</v>
      </c>
      <c r="AF810" s="149"/>
      <c r="AG810" s="150"/>
      <c r="AH810" s="159"/>
      <c r="AI810" s="160"/>
      <c r="AJ810" s="105"/>
      <c r="AK810" s="105"/>
      <c r="AM810" s="105"/>
      <c r="AN810" s="105"/>
      <c r="AO810" s="105"/>
      <c r="AP810" s="105"/>
      <c r="AQ810" s="105"/>
      <c r="AR810" s="105"/>
    </row>
    <row r="811" spans="1:44" s="49" customFormat="1" ht="40.15" hidden="1" customHeight="1">
      <c r="A811" s="152">
        <f t="shared" ca="1" si="1307"/>
        <v>0</v>
      </c>
      <c r="B811" s="153">
        <v>95879</v>
      </c>
      <c r="C811" s="154" t="str">
        <f>TEXT(B811,"0")</f>
        <v>95879</v>
      </c>
      <c r="D811" s="154" t="s">
        <v>1416</v>
      </c>
      <c r="E811" s="155" t="s">
        <v>3535</v>
      </c>
      <c r="F811" s="154">
        <f>IF(Dados_DMT!$B$31&lt;30,Dados_DMT!$B$31,30)</f>
        <v>0</v>
      </c>
      <c r="G811" s="154" t="s">
        <v>3534</v>
      </c>
      <c r="H811" s="152">
        <v>1.41</v>
      </c>
      <c r="I811" s="152">
        <v>1.42</v>
      </c>
      <c r="J811" s="156"/>
      <c r="K811" s="215">
        <f>ROUND(Pav_Estrutura!K120*F811,2)</f>
        <v>0</v>
      </c>
      <c r="L811" s="156">
        <f>IF($K811&gt;$J811,$K811-$J811,0)</f>
        <v>0</v>
      </c>
      <c r="M811" s="156">
        <f>IF($K811&lt;$J811,$J811-$K811,0)</f>
        <v>0</v>
      </c>
      <c r="N811" s="156" t="s">
        <v>83</v>
      </c>
      <c r="O811" s="157" cm="1">
        <f t="array" ref="O811">TRUNC($H811*(1+_xlfn.SWITCH($N811,"BDI 1",$O$6,"BDI 2",$O$7,"BDI 3",$O$8)),2)</f>
        <v>1.7</v>
      </c>
      <c r="P811" s="157" cm="1">
        <f t="array" ref="P811">TRUNC($I811*(1+_xlfn.SWITCH($N811,"BDI 1",$P$6,"BDI 2",$P$7,"BDI 3",$P$8)),2)</f>
        <v>1.79</v>
      </c>
      <c r="Q811" s="157">
        <v>0</v>
      </c>
      <c r="R811" s="157">
        <f>$Q811-($Q811*LICITACAO_DESCONTO)</f>
        <v>0</v>
      </c>
      <c r="S811" s="156">
        <f>TRUNC($K811*$O811,2)</f>
        <v>0</v>
      </c>
      <c r="T811" s="156">
        <f>TRUNC($K811*$P811,2)</f>
        <v>0</v>
      </c>
      <c r="U811" s="156">
        <f>TRUNC($J811*$R811,2)</f>
        <v>0</v>
      </c>
      <c r="V811" s="156">
        <f>TRUNC($K811*$Q811,2)</f>
        <v>0</v>
      </c>
      <c r="W811" s="156">
        <f>TRUNC(V811-U811,2)</f>
        <v>0</v>
      </c>
      <c r="X811" s="158">
        <f>$S811/ORCAMENTO_VALOR_TOTAL_ND</f>
        <v>0</v>
      </c>
      <c r="Y811" s="158">
        <f>$T811/ORCAMENTO_VALOR_TOTAL_DE</f>
        <v>0</v>
      </c>
      <c r="Z811" s="158" cm="1">
        <f t="array" ref="Z811">_xlfn.SWITCH($N811,"BDI 1",$O$6,"BDI 2",$O$7,"BDI 3",$O$8)</f>
        <v>0.20699999999999999</v>
      </c>
      <c r="AA811" s="158" cm="1">
        <f t="array" ref="AA811">_xlfn.SWITCH($N811,"BDI 1",$P$6,"BDI 2",$P$7,"BDI 3",$P$8)</f>
        <v>0.26739999999999997</v>
      </c>
      <c r="AB811" s="158">
        <f ca="1">IFERROR($S811/_xlfn.XLOOKUP($AE811,$B$16:$B$38,$S$16:$S$38),0)</f>
        <v>0</v>
      </c>
      <c r="AC811" s="158">
        <f ca="1">IFERROR($T811/_xlfn.XLOOKUP($AE811,$B$16:$B$38,$T$16:$T$38),0)</f>
        <v>0</v>
      </c>
      <c r="AD811" s="164"/>
      <c r="AE811" s="148">
        <f t="shared" ref="AE811:AE812" si="1308">IF(S811&gt;0,IFERROR(TRUNC(A811,0),0),0)</f>
        <v>0</v>
      </c>
      <c r="AF811" s="149"/>
      <c r="AG811" s="150"/>
      <c r="AH811" s="159" t="e">
        <f>S811/$S$745</f>
        <v>#DIV/0!</v>
      </c>
      <c r="AI811" s="166">
        <f>IF(K811=0,0,K811/F811)</f>
        <v>0</v>
      </c>
      <c r="AJ811" s="105"/>
      <c r="AK811" s="105"/>
      <c r="AM811" s="105"/>
      <c r="AN811" s="105"/>
      <c r="AO811" s="105"/>
      <c r="AP811" s="105"/>
      <c r="AQ811" s="105"/>
      <c r="AR811" s="105"/>
    </row>
    <row r="812" spans="1:44" s="49" customFormat="1" ht="40.15" hidden="1" customHeight="1">
      <c r="A812" s="152">
        <f t="shared" ca="1" si="1307"/>
        <v>0</v>
      </c>
      <c r="B812" s="153">
        <v>93599</v>
      </c>
      <c r="C812" s="154" t="str">
        <f>TEXT(B812,"0")</f>
        <v>93599</v>
      </c>
      <c r="D812" s="154" t="s">
        <v>1416</v>
      </c>
      <c r="E812" s="155" t="s">
        <v>3533</v>
      </c>
      <c r="F812" s="154">
        <f>+Dados_DMT!$B$31-F811</f>
        <v>0</v>
      </c>
      <c r="G812" s="154" t="s">
        <v>3534</v>
      </c>
      <c r="H812" s="152">
        <v>0.56000000000000005</v>
      </c>
      <c r="I812" s="152">
        <v>0.56000000000000005</v>
      </c>
      <c r="J812" s="156"/>
      <c r="K812" s="156">
        <f>ROUND(Pav_Estrutura!K120*F812,2)</f>
        <v>0</v>
      </c>
      <c r="L812" s="156">
        <f>IF($K812&gt;$J812,$K812-$J812,0)</f>
        <v>0</v>
      </c>
      <c r="M812" s="156">
        <f>IF($K812&lt;$J812,$J812-$K812,0)</f>
        <v>0</v>
      </c>
      <c r="N812" s="156" t="s">
        <v>83</v>
      </c>
      <c r="O812" s="157" cm="1">
        <f t="array" ref="O812">TRUNC($H812*(1+_xlfn.SWITCH($N812,"BDI 1",$O$6,"BDI 2",$O$7,"BDI 3",$O$8)),2)</f>
        <v>0.67</v>
      </c>
      <c r="P812" s="157" cm="1">
        <f t="array" ref="P812">TRUNC($I812*(1+_xlfn.SWITCH($N812,"BDI 1",$P$6,"BDI 2",$P$7,"BDI 3",$P$8)),2)</f>
        <v>0.7</v>
      </c>
      <c r="Q812" s="157">
        <v>0</v>
      </c>
      <c r="R812" s="157">
        <f>$Q812-($Q812*LICITACAO_DESCONTO)</f>
        <v>0</v>
      </c>
      <c r="S812" s="156">
        <f>TRUNC($K812*$O812,2)</f>
        <v>0</v>
      </c>
      <c r="T812" s="156">
        <f>TRUNC($K812*$P812,2)</f>
        <v>0</v>
      </c>
      <c r="U812" s="156">
        <f>TRUNC($J812*$R812,2)</f>
        <v>0</v>
      </c>
      <c r="V812" s="156">
        <f>TRUNC($K812*$Q812,2)</f>
        <v>0</v>
      </c>
      <c r="W812" s="156">
        <f>TRUNC(V812-U812,2)</f>
        <v>0</v>
      </c>
      <c r="X812" s="158">
        <f>$S812/ORCAMENTO_VALOR_TOTAL_ND</f>
        <v>0</v>
      </c>
      <c r="Y812" s="158">
        <f>$T812/ORCAMENTO_VALOR_TOTAL_DE</f>
        <v>0</v>
      </c>
      <c r="Z812" s="158" cm="1">
        <f t="array" ref="Z812">_xlfn.SWITCH($N812,"BDI 1",$O$6,"BDI 2",$O$7,"BDI 3",$O$8)</f>
        <v>0.20699999999999999</v>
      </c>
      <c r="AA812" s="158" cm="1">
        <f t="array" ref="AA812">_xlfn.SWITCH($N812,"BDI 1",$P$6,"BDI 2",$P$7,"BDI 3",$P$8)</f>
        <v>0.26739999999999997</v>
      </c>
      <c r="AB812" s="158">
        <f ca="1">IFERROR($S812/_xlfn.XLOOKUP($AE812,$B$16:$B$38,$S$16:$S$38),0)</f>
        <v>0</v>
      </c>
      <c r="AC812" s="158">
        <f ca="1">IFERROR($T812/_xlfn.XLOOKUP($AE812,$B$16:$B$38,$T$16:$T$38),0)</f>
        <v>0</v>
      </c>
      <c r="AD812" s="164"/>
      <c r="AE812" s="148">
        <f t="shared" si="1308"/>
        <v>0</v>
      </c>
      <c r="AF812" s="149"/>
      <c r="AG812" s="150"/>
      <c r="AH812" s="159" t="e">
        <f>S812/$S$745</f>
        <v>#DIV/0!</v>
      </c>
      <c r="AI812" s="166">
        <f>IF(K812=0,0,K812/F812)</f>
        <v>0</v>
      </c>
      <c r="AJ812" s="105"/>
      <c r="AK812" s="105"/>
      <c r="AM812" s="105"/>
      <c r="AN812" s="105"/>
      <c r="AO812" s="105"/>
      <c r="AP812" s="105"/>
      <c r="AQ812" s="105"/>
      <c r="AR812" s="105"/>
    </row>
    <row r="813" spans="1:44" s="49" customFormat="1" ht="40.15" hidden="1" customHeight="1">
      <c r="A813" s="10">
        <f t="shared" ca="1" si="1307"/>
        <v>0</v>
      </c>
      <c r="B813" s="153"/>
      <c r="C813" s="154"/>
      <c r="D813" s="154"/>
      <c r="E813" s="161" t="s">
        <v>270</v>
      </c>
      <c r="F813" s="154"/>
      <c r="G813" s="154"/>
      <c r="H813" s="152"/>
      <c r="I813" s="152"/>
      <c r="J813" s="154"/>
      <c r="K813" s="154"/>
      <c r="L813" s="154"/>
      <c r="M813" s="154"/>
      <c r="N813" s="154"/>
      <c r="O813" s="154"/>
      <c r="P813" s="154"/>
      <c r="Q813" s="154"/>
      <c r="R813" s="154"/>
      <c r="S813" s="162"/>
      <c r="T813" s="162"/>
      <c r="U813" s="162"/>
      <c r="V813" s="162"/>
      <c r="W813" s="162"/>
      <c r="X813" s="163"/>
      <c r="Y813" s="163"/>
      <c r="Z813" s="163"/>
      <c r="AA813" s="163"/>
      <c r="AB813" s="163"/>
      <c r="AC813" s="163"/>
      <c r="AD813" s="164"/>
      <c r="AE813" s="148">
        <f>IF(SUM(S814:S815)&gt;0,IFERROR(TRUNC(A813,0),0),0)</f>
        <v>0</v>
      </c>
      <c r="AF813" s="149"/>
      <c r="AG813" s="150"/>
      <c r="AH813" s="159"/>
      <c r="AI813" s="160"/>
      <c r="AJ813" s="105"/>
      <c r="AK813" s="105"/>
      <c r="AM813" s="105"/>
      <c r="AN813" s="105"/>
      <c r="AO813" s="214"/>
      <c r="AP813" s="214"/>
      <c r="AQ813" s="214"/>
      <c r="AR813" s="214"/>
    </row>
    <row r="814" spans="1:44" s="49" customFormat="1" ht="40.15" hidden="1" customHeight="1">
      <c r="A814" s="152">
        <f t="shared" ca="1" si="1307"/>
        <v>0</v>
      </c>
      <c r="B814" s="153">
        <v>95879</v>
      </c>
      <c r="C814" s="154" t="str">
        <f>TEXT(B814,"0")</f>
        <v>95879</v>
      </c>
      <c r="D814" s="154" t="s">
        <v>1416</v>
      </c>
      <c r="E814" s="155" t="s">
        <v>3535</v>
      </c>
      <c r="F814" s="154">
        <f>IF(Dados_DMT!$B$30&lt;30,Dados_DMT!$B$30,30)</f>
        <v>30</v>
      </c>
      <c r="G814" s="154" t="s">
        <v>3534</v>
      </c>
      <c r="H814" s="152">
        <v>1.41</v>
      </c>
      <c r="I814" s="152">
        <v>1.42</v>
      </c>
      <c r="J814" s="156"/>
      <c r="K814" s="156">
        <f>ROUND(Pav_Estrutura!K119*F814,2)</f>
        <v>0</v>
      </c>
      <c r="L814" s="156">
        <f>IF($K814&gt;$J814,$K814-$J814,0)</f>
        <v>0</v>
      </c>
      <c r="M814" s="156">
        <f>IF($K814&lt;$J814,$J814-$K814,0)</f>
        <v>0</v>
      </c>
      <c r="N814" s="156" t="s">
        <v>83</v>
      </c>
      <c r="O814" s="157" cm="1">
        <f t="array" ref="O814">TRUNC($H814*(1+_xlfn.SWITCH($N814,"BDI 1",$O$6,"BDI 2",$O$7,"BDI 3",$O$8)),2)</f>
        <v>1.7</v>
      </c>
      <c r="P814" s="157" cm="1">
        <f t="array" ref="P814">TRUNC($I814*(1+_xlfn.SWITCH($N814,"BDI 1",$P$6,"BDI 2",$P$7,"BDI 3",$P$8)),2)</f>
        <v>1.79</v>
      </c>
      <c r="Q814" s="157">
        <v>0</v>
      </c>
      <c r="R814" s="157">
        <f>$Q814-($Q814*LICITACAO_DESCONTO)</f>
        <v>0</v>
      </c>
      <c r="S814" s="156">
        <f>TRUNC($K814*$O814,2)</f>
        <v>0</v>
      </c>
      <c r="T814" s="156">
        <f>TRUNC($K814*$P814,2)</f>
        <v>0</v>
      </c>
      <c r="U814" s="156">
        <f>TRUNC($J814*$R814,2)</f>
        <v>0</v>
      </c>
      <c r="V814" s="156">
        <f>TRUNC($K814*$Q814,2)</f>
        <v>0</v>
      </c>
      <c r="W814" s="156">
        <f>TRUNC(V814-U814,2)</f>
        <v>0</v>
      </c>
      <c r="X814" s="158">
        <f>$S814/ORCAMENTO_VALOR_TOTAL_ND</f>
        <v>0</v>
      </c>
      <c r="Y814" s="158">
        <f>$T814/ORCAMENTO_VALOR_TOTAL_DE</f>
        <v>0</v>
      </c>
      <c r="Z814" s="158" cm="1">
        <f t="array" ref="Z814">_xlfn.SWITCH($N814,"BDI 1",$O$6,"BDI 2",$O$7,"BDI 3",$O$8)</f>
        <v>0.20699999999999999</v>
      </c>
      <c r="AA814" s="158" cm="1">
        <f t="array" ref="AA814">_xlfn.SWITCH($N814,"BDI 1",$P$6,"BDI 2",$P$7,"BDI 3",$P$8)</f>
        <v>0.26739999999999997</v>
      </c>
      <c r="AB814" s="158">
        <f ca="1">IFERROR($S814/_xlfn.XLOOKUP($AE814,$B$16:$B$38,$S$16:$S$38),0)</f>
        <v>0</v>
      </c>
      <c r="AC814" s="158">
        <f ca="1">IFERROR($T814/_xlfn.XLOOKUP($AE814,$B$16:$B$38,$T$16:$T$38),0)</f>
        <v>0</v>
      </c>
      <c r="AD814" s="164"/>
      <c r="AE814" s="148">
        <f t="shared" ref="AE814:AE815" si="1309">IF(S814&gt;0,IFERROR(TRUNC(A814,0),0),0)</f>
        <v>0</v>
      </c>
      <c r="AF814" s="149"/>
      <c r="AG814" s="150"/>
      <c r="AH814" s="159" t="e">
        <f>S814/$S$745</f>
        <v>#DIV/0!</v>
      </c>
      <c r="AI814" s="209">
        <f>IF(K814=0,0,K814/F814)</f>
        <v>0</v>
      </c>
      <c r="AJ814" s="105"/>
      <c r="AK814" s="105"/>
      <c r="AM814" s="105"/>
      <c r="AN814" s="105"/>
      <c r="AO814" s="214"/>
      <c r="AP814" s="214"/>
      <c r="AQ814" s="214"/>
      <c r="AR814" s="214"/>
    </row>
    <row r="815" spans="1:44" s="49" customFormat="1" ht="40.15" hidden="1" customHeight="1">
      <c r="A815" s="152">
        <f t="shared" ca="1" si="1307"/>
        <v>0</v>
      </c>
      <c r="B815" s="153">
        <v>93599</v>
      </c>
      <c r="C815" s="154" t="str">
        <f>TEXT(B815,"0")</f>
        <v>93599</v>
      </c>
      <c r="D815" s="154" t="s">
        <v>1416</v>
      </c>
      <c r="E815" s="155" t="s">
        <v>3533</v>
      </c>
      <c r="F815" s="154">
        <f>+Dados_DMT!$B$30-F814</f>
        <v>80</v>
      </c>
      <c r="G815" s="154" t="s">
        <v>3534</v>
      </c>
      <c r="H815" s="152">
        <v>0.56000000000000005</v>
      </c>
      <c r="I815" s="152">
        <v>0.56000000000000005</v>
      </c>
      <c r="J815" s="156"/>
      <c r="K815" s="156">
        <f>ROUND(Pav_Estrutura!K119*F815,2)</f>
        <v>0</v>
      </c>
      <c r="L815" s="156">
        <f>IF($K815&gt;$J815,$K815-$J815,0)</f>
        <v>0</v>
      </c>
      <c r="M815" s="156">
        <f>IF($K815&lt;$J815,$J815-$K815,0)</f>
        <v>0</v>
      </c>
      <c r="N815" s="156" t="s">
        <v>83</v>
      </c>
      <c r="O815" s="157" cm="1">
        <f t="array" ref="O815">TRUNC($H815*(1+_xlfn.SWITCH($N815,"BDI 1",$O$6,"BDI 2",$O$7,"BDI 3",$O$8)),2)</f>
        <v>0.67</v>
      </c>
      <c r="P815" s="157" cm="1">
        <f t="array" ref="P815">TRUNC($I815*(1+_xlfn.SWITCH($N815,"BDI 1",$P$6,"BDI 2",$P$7,"BDI 3",$P$8)),2)</f>
        <v>0.7</v>
      </c>
      <c r="Q815" s="157">
        <v>0</v>
      </c>
      <c r="R815" s="157">
        <f>$Q815-($Q815*LICITACAO_DESCONTO)</f>
        <v>0</v>
      </c>
      <c r="S815" s="156">
        <f>TRUNC($K815*$O815,2)</f>
        <v>0</v>
      </c>
      <c r="T815" s="156">
        <f>TRUNC($K815*$P815,2)</f>
        <v>0</v>
      </c>
      <c r="U815" s="156">
        <f>TRUNC($J815*$R815,2)</f>
        <v>0</v>
      </c>
      <c r="V815" s="156">
        <f>TRUNC($K815*$Q815,2)</f>
        <v>0</v>
      </c>
      <c r="W815" s="156">
        <f>TRUNC(V815-U815,2)</f>
        <v>0</v>
      </c>
      <c r="X815" s="158">
        <f>$S815/ORCAMENTO_VALOR_TOTAL_ND</f>
        <v>0</v>
      </c>
      <c r="Y815" s="158">
        <f>$T815/ORCAMENTO_VALOR_TOTAL_DE</f>
        <v>0</v>
      </c>
      <c r="Z815" s="158" cm="1">
        <f t="array" ref="Z815">_xlfn.SWITCH($N815,"BDI 1",$O$6,"BDI 2",$O$7,"BDI 3",$O$8)</f>
        <v>0.20699999999999999</v>
      </c>
      <c r="AA815" s="158" cm="1">
        <f t="array" ref="AA815">_xlfn.SWITCH($N815,"BDI 1",$P$6,"BDI 2",$P$7,"BDI 3",$P$8)</f>
        <v>0.26739999999999997</v>
      </c>
      <c r="AB815" s="158">
        <f ca="1">IFERROR($S815/_xlfn.XLOOKUP($AE815,$B$16:$B$38,$S$16:$S$38),0)</f>
        <v>0</v>
      </c>
      <c r="AC815" s="158">
        <f ca="1">IFERROR($T815/_xlfn.XLOOKUP($AE815,$B$16:$B$38,$T$16:$T$38),0)</f>
        <v>0</v>
      </c>
      <c r="AD815" s="164"/>
      <c r="AE815" s="148">
        <f t="shared" si="1309"/>
        <v>0</v>
      </c>
      <c r="AF815" s="149"/>
      <c r="AG815" s="150"/>
      <c r="AH815" s="159" t="e">
        <f>S815/$S$745</f>
        <v>#DIV/0!</v>
      </c>
      <c r="AI815" s="209">
        <f>IF(K815=0,0,K815/F815)</f>
        <v>0</v>
      </c>
      <c r="AJ815" s="105"/>
      <c r="AK815" s="105"/>
      <c r="AM815" s="105"/>
      <c r="AN815" s="105"/>
      <c r="AO815" s="214"/>
      <c r="AP815" s="214"/>
      <c r="AQ815" s="214"/>
      <c r="AR815" s="214"/>
    </row>
    <row r="816" spans="1:44" s="49" customFormat="1" ht="40.15" hidden="1" customHeight="1">
      <c r="A816" s="10">
        <f t="shared" ca="1" si="1307"/>
        <v>0</v>
      </c>
      <c r="B816" s="153"/>
      <c r="C816" s="154"/>
      <c r="D816" s="154"/>
      <c r="E816" s="161" t="s">
        <v>271</v>
      </c>
      <c r="F816" s="154"/>
      <c r="G816" s="154"/>
      <c r="H816" s="152"/>
      <c r="I816" s="152"/>
      <c r="J816" s="154"/>
      <c r="K816" s="154"/>
      <c r="L816" s="154"/>
      <c r="M816" s="154"/>
      <c r="N816" s="154"/>
      <c r="O816" s="154"/>
      <c r="P816" s="154"/>
      <c r="Q816" s="154"/>
      <c r="R816" s="154"/>
      <c r="S816" s="162"/>
      <c r="T816" s="162"/>
      <c r="U816" s="162"/>
      <c r="V816" s="162"/>
      <c r="W816" s="162"/>
      <c r="X816" s="163"/>
      <c r="Y816" s="163"/>
      <c r="Z816" s="163"/>
      <c r="AA816" s="163"/>
      <c r="AB816" s="163"/>
      <c r="AC816" s="163"/>
      <c r="AD816" s="164"/>
      <c r="AE816" s="148">
        <f>IF(SUM(S817:S818)&gt;0,IFERROR(TRUNC(A816,0),0),0)</f>
        <v>0</v>
      </c>
      <c r="AF816" s="149"/>
      <c r="AG816" s="150"/>
      <c r="AH816" s="159"/>
      <c r="AI816" s="160"/>
      <c r="AJ816" s="105"/>
      <c r="AK816" s="105"/>
      <c r="AM816" s="105"/>
      <c r="AN816" s="105"/>
      <c r="AO816" s="105"/>
      <c r="AP816" s="105"/>
      <c r="AQ816" s="105"/>
      <c r="AR816" s="105"/>
    </row>
    <row r="817" spans="1:44" s="49" customFormat="1" ht="40.15" hidden="1" customHeight="1">
      <c r="A817" s="152">
        <f t="shared" ca="1" si="1307"/>
        <v>0</v>
      </c>
      <c r="B817" s="153">
        <v>102332</v>
      </c>
      <c r="C817" s="154" t="str">
        <f>TEXT(B817,"0")</f>
        <v>102332</v>
      </c>
      <c r="D817" s="154" t="s">
        <v>1416</v>
      </c>
      <c r="E817" s="155" t="s">
        <v>3547</v>
      </c>
      <c r="F817" s="154">
        <f>IF(Dados_DMT!$B$25&lt;30,Dados_DMT!$B$25,30)</f>
        <v>30</v>
      </c>
      <c r="G817" s="154" t="s">
        <v>3534</v>
      </c>
      <c r="H817" s="152">
        <v>1.79</v>
      </c>
      <c r="I817" s="152">
        <v>1.81</v>
      </c>
      <c r="J817" s="156"/>
      <c r="K817" s="156">
        <f>IF(B755="PA/0025",0,ROUND(Pav_Estrutura!K112*F817,2))</f>
        <v>0</v>
      </c>
      <c r="L817" s="156">
        <f>IF($K817&gt;$J817,$K817-$J817,0)</f>
        <v>0</v>
      </c>
      <c r="M817" s="156">
        <f>IF($K817&lt;$J817,$J817-$K817,0)</f>
        <v>0</v>
      </c>
      <c r="N817" s="156" t="s">
        <v>83</v>
      </c>
      <c r="O817" s="157" cm="1">
        <f t="array" ref="O817">TRUNC($H817*(1+_xlfn.SWITCH($N817,"BDI 1",$O$6,"BDI 2",$O$7,"BDI 3",$O$8)),2)</f>
        <v>2.16</v>
      </c>
      <c r="P817" s="157" cm="1">
        <f t="array" ref="P817">TRUNC($I817*(1+_xlfn.SWITCH($N817,"BDI 1",$P$6,"BDI 2",$P$7,"BDI 3",$P$8)),2)</f>
        <v>2.29</v>
      </c>
      <c r="Q817" s="157">
        <v>0</v>
      </c>
      <c r="R817" s="157">
        <f>$Q817-($Q817*LICITACAO_DESCONTO)</f>
        <v>0</v>
      </c>
      <c r="S817" s="156">
        <f>TRUNC($K817*$O817,2)</f>
        <v>0</v>
      </c>
      <c r="T817" s="156">
        <f>TRUNC($K817*$P817,2)</f>
        <v>0</v>
      </c>
      <c r="U817" s="156">
        <f>TRUNC($J817*$R817,2)</f>
        <v>0</v>
      </c>
      <c r="V817" s="156">
        <f>TRUNC($K817*$Q817,2)</f>
        <v>0</v>
      </c>
      <c r="W817" s="156">
        <f>TRUNC(V817-U817,2)</f>
        <v>0</v>
      </c>
      <c r="X817" s="158">
        <f>$S817/ORCAMENTO_VALOR_TOTAL_ND</f>
        <v>0</v>
      </c>
      <c r="Y817" s="158">
        <f>$T817/ORCAMENTO_VALOR_TOTAL_DE</f>
        <v>0</v>
      </c>
      <c r="Z817" s="158" cm="1">
        <f t="array" ref="Z817">_xlfn.SWITCH($N817,"BDI 1",$O$6,"BDI 2",$O$7,"BDI 3",$O$8)</f>
        <v>0.20699999999999999</v>
      </c>
      <c r="AA817" s="158" cm="1">
        <f t="array" ref="AA817">_xlfn.SWITCH($N817,"BDI 1",$P$6,"BDI 2",$P$7,"BDI 3",$P$8)</f>
        <v>0.26739999999999997</v>
      </c>
      <c r="AB817" s="158">
        <f ca="1">IFERROR($S817/_xlfn.XLOOKUP($AE817,$B$16:$B$38,$S$16:$S$38),0)</f>
        <v>0</v>
      </c>
      <c r="AC817" s="158">
        <f ca="1">IFERROR($T817/_xlfn.XLOOKUP($AE817,$B$16:$B$38,$T$16:$T$38),0)</f>
        <v>0</v>
      </c>
      <c r="AD817" s="164"/>
      <c r="AE817" s="148">
        <f t="shared" ref="AE817:AE818" si="1310">IF(S817&gt;0,IFERROR(TRUNC(A817,0),0),0)</f>
        <v>0</v>
      </c>
      <c r="AF817" s="149"/>
      <c r="AG817" s="150"/>
      <c r="AH817" s="159" t="e">
        <f>S817/$S$745</f>
        <v>#DIV/0!</v>
      </c>
      <c r="AI817" s="209">
        <f>IF(K817=0,0,K817/F817)</f>
        <v>0</v>
      </c>
      <c r="AJ817" s="105"/>
      <c r="AK817" s="105"/>
      <c r="AM817" s="105"/>
      <c r="AN817" s="105"/>
      <c r="AO817" s="105"/>
      <c r="AP817" s="105"/>
      <c r="AQ817" s="105"/>
      <c r="AR817" s="105"/>
    </row>
    <row r="818" spans="1:44" s="49" customFormat="1" ht="40.15" hidden="1" customHeight="1">
      <c r="A818" s="152">
        <f t="shared" ca="1" si="1307"/>
        <v>0</v>
      </c>
      <c r="B818" s="153">
        <v>102333</v>
      </c>
      <c r="C818" s="154" t="str">
        <f>TEXT(B818,"0")</f>
        <v>102333</v>
      </c>
      <c r="D818" s="154" t="s">
        <v>1416</v>
      </c>
      <c r="E818" s="155" t="s">
        <v>3546</v>
      </c>
      <c r="F818" s="154">
        <f>+Dados_DMT!$B$25-F817</f>
        <v>80</v>
      </c>
      <c r="G818" s="154" t="s">
        <v>3534</v>
      </c>
      <c r="H818" s="152">
        <v>0.72</v>
      </c>
      <c r="I818" s="152">
        <v>0.73</v>
      </c>
      <c r="J818" s="156"/>
      <c r="K818" s="156">
        <f>IF(B755="PA/0025",0,ROUND(Pav_Estrutura!K112*F818,2))</f>
        <v>0</v>
      </c>
      <c r="L818" s="156">
        <f>IF($K818&gt;$J818,$K818-$J818,0)</f>
        <v>0</v>
      </c>
      <c r="M818" s="156">
        <f>IF($K818&lt;$J818,$J818-$K818,0)</f>
        <v>0</v>
      </c>
      <c r="N818" s="156" t="s">
        <v>83</v>
      </c>
      <c r="O818" s="157" cm="1">
        <f t="array" ref="O818">TRUNC($H818*(1+_xlfn.SWITCH($N818,"BDI 1",$O$6,"BDI 2",$O$7,"BDI 3",$O$8)),2)</f>
        <v>0.86</v>
      </c>
      <c r="P818" s="157" cm="1">
        <f t="array" ref="P818">TRUNC($I818*(1+_xlfn.SWITCH($N818,"BDI 1",$P$6,"BDI 2",$P$7,"BDI 3",$P$8)),2)</f>
        <v>0.92</v>
      </c>
      <c r="Q818" s="157">
        <v>0</v>
      </c>
      <c r="R818" s="157">
        <f>$Q818-($Q818*LICITACAO_DESCONTO)</f>
        <v>0</v>
      </c>
      <c r="S818" s="156">
        <f>TRUNC($K818*$O818,2)</f>
        <v>0</v>
      </c>
      <c r="T818" s="156">
        <f>TRUNC($K818*$P818,2)</f>
        <v>0</v>
      </c>
      <c r="U818" s="156">
        <f>TRUNC($J818*$R818,2)</f>
        <v>0</v>
      </c>
      <c r="V818" s="156">
        <f>TRUNC($K818*$Q818,2)</f>
        <v>0</v>
      </c>
      <c r="W818" s="156">
        <f>TRUNC(V818-U818,2)</f>
        <v>0</v>
      </c>
      <c r="X818" s="158">
        <f>$S818/ORCAMENTO_VALOR_TOTAL_ND</f>
        <v>0</v>
      </c>
      <c r="Y818" s="158">
        <f>$T818/ORCAMENTO_VALOR_TOTAL_DE</f>
        <v>0</v>
      </c>
      <c r="Z818" s="158" cm="1">
        <f t="array" ref="Z818">_xlfn.SWITCH($N818,"BDI 1",$O$6,"BDI 2",$O$7,"BDI 3",$O$8)</f>
        <v>0.20699999999999999</v>
      </c>
      <c r="AA818" s="158" cm="1">
        <f t="array" ref="AA818">_xlfn.SWITCH($N818,"BDI 1",$P$6,"BDI 2",$P$7,"BDI 3",$P$8)</f>
        <v>0.26739999999999997</v>
      </c>
      <c r="AB818" s="158">
        <f ca="1">IFERROR($S818/_xlfn.XLOOKUP($AE818,$B$16:$B$38,$S$16:$S$38),0)</f>
        <v>0</v>
      </c>
      <c r="AC818" s="158">
        <f ca="1">IFERROR($T818/_xlfn.XLOOKUP($AE818,$B$16:$B$38,$T$16:$T$38),0)</f>
        <v>0</v>
      </c>
      <c r="AD818" s="164"/>
      <c r="AE818" s="148">
        <f t="shared" si="1310"/>
        <v>0</v>
      </c>
      <c r="AF818" s="149"/>
      <c r="AG818" s="150"/>
      <c r="AH818" s="159" t="e">
        <f>S818/$S$745</f>
        <v>#DIV/0!</v>
      </c>
      <c r="AI818" s="209">
        <f>IF(K818=0,0,K818/F818)</f>
        <v>0</v>
      </c>
      <c r="AJ818" s="105"/>
      <c r="AK818" s="105"/>
      <c r="AM818" s="105"/>
      <c r="AN818" s="105"/>
      <c r="AO818" s="105"/>
      <c r="AP818" s="105"/>
      <c r="AQ818" s="105"/>
      <c r="AR818" s="105"/>
    </row>
    <row r="819" spans="1:44" s="49" customFormat="1" ht="40.15" hidden="1" customHeight="1">
      <c r="A819" s="10">
        <f t="shared" ca="1" si="1307"/>
        <v>0</v>
      </c>
      <c r="B819" s="153"/>
      <c r="C819" s="154"/>
      <c r="D819" s="154"/>
      <c r="E819" s="161" t="s">
        <v>272</v>
      </c>
      <c r="F819" s="154"/>
      <c r="G819" s="154"/>
      <c r="H819" s="152"/>
      <c r="I819" s="152"/>
      <c r="J819" s="154"/>
      <c r="K819" s="154"/>
      <c r="L819" s="154"/>
      <c r="M819" s="154"/>
      <c r="N819" s="154"/>
      <c r="O819" s="154"/>
      <c r="P819" s="154"/>
      <c r="Q819" s="154"/>
      <c r="R819" s="154"/>
      <c r="S819" s="162"/>
      <c r="T819" s="162"/>
      <c r="U819" s="162"/>
      <c r="V819" s="162"/>
      <c r="W819" s="162"/>
      <c r="X819" s="163"/>
      <c r="Y819" s="163"/>
      <c r="Z819" s="163"/>
      <c r="AA819" s="163"/>
      <c r="AB819" s="163"/>
      <c r="AC819" s="163"/>
      <c r="AD819" s="164"/>
      <c r="AE819" s="148">
        <f>IF(SUM(S820:S821)&gt;0,IFERROR(TRUNC(A819,0),0),0)</f>
        <v>0</v>
      </c>
      <c r="AF819" s="149"/>
      <c r="AG819" s="150"/>
      <c r="AH819" s="159"/>
      <c r="AI819" s="160"/>
      <c r="AJ819" s="105"/>
      <c r="AK819" s="105"/>
      <c r="AM819" s="105"/>
      <c r="AN819" s="105"/>
      <c r="AO819" s="105"/>
      <c r="AP819" s="105"/>
      <c r="AQ819" s="105"/>
      <c r="AR819" s="105"/>
    </row>
    <row r="820" spans="1:44" s="49" customFormat="1" ht="40.15" hidden="1" customHeight="1">
      <c r="A820" s="152">
        <f t="shared" ca="1" si="1307"/>
        <v>0</v>
      </c>
      <c r="B820" s="153">
        <v>102332</v>
      </c>
      <c r="C820" s="154" t="str">
        <f>TEXT(B820,"0")</f>
        <v>102332</v>
      </c>
      <c r="D820" s="154" t="s">
        <v>1416</v>
      </c>
      <c r="E820" s="155" t="s">
        <v>3547</v>
      </c>
      <c r="F820" s="154">
        <f>IF(Dados_DMT!$B$25&lt;30,Dados_DMT!$B$25,30)</f>
        <v>30</v>
      </c>
      <c r="G820" s="154" t="s">
        <v>3534</v>
      </c>
      <c r="H820" s="152">
        <v>1.79</v>
      </c>
      <c r="I820" s="152">
        <v>1.81</v>
      </c>
      <c r="J820" s="156"/>
      <c r="K820" s="156">
        <f>IF(B755="PA/0025",ROUND(Pav_Estrutura!K112,2)*F820,0)+ROUND(SUM(Pav_Estrutura!K113:K114)*F820,2)</f>
        <v>0</v>
      </c>
      <c r="L820" s="156">
        <f>IF($K820&gt;$J820,$K820-$J820,0)</f>
        <v>0</v>
      </c>
      <c r="M820" s="156">
        <f>IF($K820&lt;$J820,$J820-$K820,0)</f>
        <v>0</v>
      </c>
      <c r="N820" s="156" t="s">
        <v>83</v>
      </c>
      <c r="O820" s="157" cm="1">
        <f t="array" ref="O820">TRUNC($H820*(1+_xlfn.SWITCH($N820,"BDI 1",$O$6,"BDI 2",$O$7,"BDI 3",$O$8)),2)</f>
        <v>2.16</v>
      </c>
      <c r="P820" s="157" cm="1">
        <f t="array" ref="P820">TRUNC($I820*(1+_xlfn.SWITCH($N820,"BDI 1",$P$6,"BDI 2",$P$7,"BDI 3",$P$8)),2)</f>
        <v>2.29</v>
      </c>
      <c r="Q820" s="157">
        <v>0</v>
      </c>
      <c r="R820" s="157">
        <f>$Q820-($Q820*LICITACAO_DESCONTO)</f>
        <v>0</v>
      </c>
      <c r="S820" s="156">
        <f>TRUNC($K820*$O820,2)</f>
        <v>0</v>
      </c>
      <c r="T820" s="156">
        <f>TRUNC($K820*$P820,2)</f>
        <v>0</v>
      </c>
      <c r="U820" s="156">
        <f>TRUNC($J820*$R820,2)</f>
        <v>0</v>
      </c>
      <c r="V820" s="156">
        <f>TRUNC($K820*$Q820,2)</f>
        <v>0</v>
      </c>
      <c r="W820" s="156">
        <f>TRUNC(V820-U820,2)</f>
        <v>0</v>
      </c>
      <c r="X820" s="158">
        <f>$S820/ORCAMENTO_VALOR_TOTAL_ND</f>
        <v>0</v>
      </c>
      <c r="Y820" s="158">
        <f>$T820/ORCAMENTO_VALOR_TOTAL_DE</f>
        <v>0</v>
      </c>
      <c r="Z820" s="158" cm="1">
        <f t="array" ref="Z820">_xlfn.SWITCH($N820,"BDI 1",$O$6,"BDI 2",$O$7,"BDI 3",$O$8)</f>
        <v>0.20699999999999999</v>
      </c>
      <c r="AA820" s="158" cm="1">
        <f t="array" ref="AA820">_xlfn.SWITCH($N820,"BDI 1",$P$6,"BDI 2",$P$7,"BDI 3",$P$8)</f>
        <v>0.26739999999999997</v>
      </c>
      <c r="AB820" s="158">
        <f ca="1">IFERROR($S820/_xlfn.XLOOKUP($AE820,$B$16:$B$38,$S$16:$S$38),0)</f>
        <v>0</v>
      </c>
      <c r="AC820" s="158">
        <f ca="1">IFERROR($T820/_xlfn.XLOOKUP($AE820,$B$16:$B$38,$T$16:$T$38),0)</f>
        <v>0</v>
      </c>
      <c r="AD820" s="164"/>
      <c r="AE820" s="148">
        <f t="shared" ref="AE820:AE821" si="1311">IF(S820&gt;0,IFERROR(TRUNC(A820,0),0),0)</f>
        <v>0</v>
      </c>
      <c r="AF820" s="149"/>
      <c r="AG820" s="150"/>
      <c r="AH820" s="159" t="e">
        <f>S820/$S$745</f>
        <v>#DIV/0!</v>
      </c>
      <c r="AI820" s="209">
        <f>IF(K820=0,0,K820/F820)</f>
        <v>0</v>
      </c>
      <c r="AJ820" s="105"/>
      <c r="AK820" s="105"/>
      <c r="AM820" s="105"/>
      <c r="AN820" s="105"/>
      <c r="AO820" s="105"/>
      <c r="AP820" s="105"/>
      <c r="AQ820" s="105"/>
      <c r="AR820" s="105"/>
    </row>
    <row r="821" spans="1:44" s="49" customFormat="1" ht="40.15" hidden="1" customHeight="1">
      <c r="A821" s="152">
        <f t="shared" ca="1" si="1307"/>
        <v>0</v>
      </c>
      <c r="B821" s="153">
        <v>102333</v>
      </c>
      <c r="C821" s="154" t="str">
        <f>TEXT(B821,"0")</f>
        <v>102333</v>
      </c>
      <c r="D821" s="154" t="s">
        <v>1416</v>
      </c>
      <c r="E821" s="155" t="s">
        <v>3546</v>
      </c>
      <c r="F821" s="154">
        <f>+Dados_DMT!$B$25-F820</f>
        <v>80</v>
      </c>
      <c r="G821" s="154" t="s">
        <v>3534</v>
      </c>
      <c r="H821" s="152">
        <v>0.72</v>
      </c>
      <c r="I821" s="152">
        <v>0.73</v>
      </c>
      <c r="J821" s="156"/>
      <c r="K821" s="156">
        <f>IF(B755="PA/0025",ROUND(Pav_Estrutura!K112,2)*F821,0)+ROUND(SUM(Pav_Estrutura!K113:K114)*F821,2)</f>
        <v>0</v>
      </c>
      <c r="L821" s="156">
        <f>IF($K821&gt;$J821,$K821-$J821,0)</f>
        <v>0</v>
      </c>
      <c r="M821" s="156">
        <f>IF($K821&lt;$J821,$J821-$K821,0)</f>
        <v>0</v>
      </c>
      <c r="N821" s="156" t="s">
        <v>83</v>
      </c>
      <c r="O821" s="157" cm="1">
        <f t="array" ref="O821">TRUNC($H821*(1+_xlfn.SWITCH($N821,"BDI 1",$O$6,"BDI 2",$O$7,"BDI 3",$O$8)),2)</f>
        <v>0.86</v>
      </c>
      <c r="P821" s="157" cm="1">
        <f t="array" ref="P821">TRUNC($I821*(1+_xlfn.SWITCH($N821,"BDI 1",$P$6,"BDI 2",$P$7,"BDI 3",$P$8)),2)</f>
        <v>0.92</v>
      </c>
      <c r="Q821" s="157">
        <v>0</v>
      </c>
      <c r="R821" s="157">
        <f>$Q821-($Q821*LICITACAO_DESCONTO)</f>
        <v>0</v>
      </c>
      <c r="S821" s="156">
        <f>TRUNC($K821*$O821,2)</f>
        <v>0</v>
      </c>
      <c r="T821" s="156">
        <f>TRUNC($K821*$P821,2)</f>
        <v>0</v>
      </c>
      <c r="U821" s="156">
        <f>TRUNC($J821*$R821,2)</f>
        <v>0</v>
      </c>
      <c r="V821" s="156">
        <f>TRUNC($K821*$Q821,2)</f>
        <v>0</v>
      </c>
      <c r="W821" s="156">
        <f>TRUNC(V821-U821,2)</f>
        <v>0</v>
      </c>
      <c r="X821" s="158">
        <f>$S821/ORCAMENTO_VALOR_TOTAL_ND</f>
        <v>0</v>
      </c>
      <c r="Y821" s="158">
        <f>$T821/ORCAMENTO_VALOR_TOTAL_DE</f>
        <v>0</v>
      </c>
      <c r="Z821" s="158" cm="1">
        <f t="array" ref="Z821">_xlfn.SWITCH($N821,"BDI 1",$O$6,"BDI 2",$O$7,"BDI 3",$O$8)</f>
        <v>0.20699999999999999</v>
      </c>
      <c r="AA821" s="158" cm="1">
        <f t="array" ref="AA821">_xlfn.SWITCH($N821,"BDI 1",$P$6,"BDI 2",$P$7,"BDI 3",$P$8)</f>
        <v>0.26739999999999997</v>
      </c>
      <c r="AB821" s="158">
        <f ca="1">IFERROR($S821/_xlfn.XLOOKUP($AE821,$B$16:$B$38,$S$16:$S$38),0)</f>
        <v>0</v>
      </c>
      <c r="AC821" s="158">
        <f ca="1">IFERROR($T821/_xlfn.XLOOKUP($AE821,$B$16:$B$38,$T$16:$T$38),0)</f>
        <v>0</v>
      </c>
      <c r="AD821" s="164"/>
      <c r="AE821" s="148">
        <f t="shared" si="1311"/>
        <v>0</v>
      </c>
      <c r="AF821" s="149"/>
      <c r="AG821" s="150"/>
      <c r="AH821" s="159" t="e">
        <f>S821/$S$745</f>
        <v>#DIV/0!</v>
      </c>
      <c r="AI821" s="209">
        <f>IF(K821=0,0,K821/F821)</f>
        <v>0</v>
      </c>
      <c r="AJ821" s="105"/>
      <c r="AK821" s="105"/>
      <c r="AM821" s="105"/>
      <c r="AN821" s="105"/>
      <c r="AO821" s="105"/>
      <c r="AP821" s="105"/>
      <c r="AQ821" s="105"/>
      <c r="AR821" s="105"/>
    </row>
    <row r="822" spans="1:44" s="49" customFormat="1" ht="40.15" hidden="1" customHeight="1">
      <c r="A822" s="10">
        <f t="shared" ca="1" si="1307"/>
        <v>0</v>
      </c>
      <c r="B822" s="153"/>
      <c r="C822" s="154"/>
      <c r="D822" s="154"/>
      <c r="E822" s="161" t="s">
        <v>273</v>
      </c>
      <c r="F822" s="154"/>
      <c r="G822" s="154"/>
      <c r="H822" s="152"/>
      <c r="I822" s="152"/>
      <c r="J822" s="154"/>
      <c r="K822" s="154"/>
      <c r="L822" s="154"/>
      <c r="M822" s="154"/>
      <c r="N822" s="154"/>
      <c r="O822" s="154"/>
      <c r="P822" s="154"/>
      <c r="Q822" s="154"/>
      <c r="R822" s="154"/>
      <c r="S822" s="162"/>
      <c r="T822" s="162"/>
      <c r="U822" s="162"/>
      <c r="V822" s="162"/>
      <c r="W822" s="162"/>
      <c r="X822" s="163"/>
      <c r="Y822" s="163"/>
      <c r="Z822" s="163"/>
      <c r="AA822" s="163"/>
      <c r="AB822" s="163"/>
      <c r="AC822" s="163"/>
      <c r="AD822" s="164"/>
      <c r="AE822" s="148">
        <f>IF(SUM(S823:S824)&gt;0,IFERROR(TRUNC(A822,0),0),0)</f>
        <v>0</v>
      </c>
      <c r="AF822" s="149"/>
      <c r="AG822" s="150"/>
      <c r="AH822" s="159"/>
      <c r="AI822" s="160"/>
      <c r="AJ822" s="105"/>
      <c r="AK822" s="105"/>
      <c r="AM822" s="105"/>
      <c r="AN822" s="105"/>
      <c r="AO822" s="105"/>
      <c r="AP822" s="105"/>
      <c r="AQ822" s="105"/>
      <c r="AR822" s="105"/>
    </row>
    <row r="823" spans="1:44" s="49" customFormat="1" ht="40.15" hidden="1" customHeight="1">
      <c r="A823" s="152">
        <f t="shared" ca="1" si="1307"/>
        <v>0</v>
      </c>
      <c r="B823" s="153">
        <v>102332</v>
      </c>
      <c r="C823" s="154" t="str">
        <f>TEXT(B823,"0")</f>
        <v>102332</v>
      </c>
      <c r="D823" s="154" t="s">
        <v>1416</v>
      </c>
      <c r="E823" s="155" t="s">
        <v>3547</v>
      </c>
      <c r="F823" s="154">
        <f>IF(Dados_DMT!$B$26&lt;30,Dados_DMT!$B$26,30)</f>
        <v>0</v>
      </c>
      <c r="G823" s="154" t="s">
        <v>3534</v>
      </c>
      <c r="H823" s="152">
        <v>1.79</v>
      </c>
      <c r="I823" s="152">
        <v>1.81</v>
      </c>
      <c r="J823" s="156"/>
      <c r="K823" s="156">
        <f>ROUND(Pav_Estrutura!K115*F823,2)</f>
        <v>0</v>
      </c>
      <c r="L823" s="156">
        <f>IF($K823&gt;$J823,$K823-$J823,0)</f>
        <v>0</v>
      </c>
      <c r="M823" s="156">
        <f>IF($K823&lt;$J823,$J823-$K823,0)</f>
        <v>0</v>
      </c>
      <c r="N823" s="156" t="s">
        <v>83</v>
      </c>
      <c r="O823" s="157" cm="1">
        <f t="array" ref="O823">TRUNC($H823*(1+_xlfn.SWITCH($N823,"BDI 1",$O$6,"BDI 2",$O$7,"BDI 3",$O$8)),2)</f>
        <v>2.16</v>
      </c>
      <c r="P823" s="157" cm="1">
        <f t="array" ref="P823">TRUNC($I823*(1+_xlfn.SWITCH($N823,"BDI 1",$P$6,"BDI 2",$P$7,"BDI 3",$P$8)),2)</f>
        <v>2.29</v>
      </c>
      <c r="Q823" s="157">
        <v>0</v>
      </c>
      <c r="R823" s="157">
        <f>$Q823-($Q823*LICITACAO_DESCONTO)</f>
        <v>0</v>
      </c>
      <c r="S823" s="156">
        <f>TRUNC($K823*$O823,2)</f>
        <v>0</v>
      </c>
      <c r="T823" s="156">
        <f>TRUNC($K823*$P823,2)</f>
        <v>0</v>
      </c>
      <c r="U823" s="156">
        <f>TRUNC($J823*$R823,2)</f>
        <v>0</v>
      </c>
      <c r="V823" s="156">
        <f>TRUNC($K823*$Q823,2)</f>
        <v>0</v>
      </c>
      <c r="W823" s="156">
        <f>TRUNC(V823-U823,2)</f>
        <v>0</v>
      </c>
      <c r="X823" s="158">
        <f>$S823/ORCAMENTO_VALOR_TOTAL_ND</f>
        <v>0</v>
      </c>
      <c r="Y823" s="158">
        <f>$T823/ORCAMENTO_VALOR_TOTAL_DE</f>
        <v>0</v>
      </c>
      <c r="Z823" s="158" cm="1">
        <f t="array" ref="Z823">_xlfn.SWITCH($N823,"BDI 1",$O$6,"BDI 2",$O$7,"BDI 3",$O$8)</f>
        <v>0.20699999999999999</v>
      </c>
      <c r="AA823" s="158" cm="1">
        <f t="array" ref="AA823">_xlfn.SWITCH($N823,"BDI 1",$P$6,"BDI 2",$P$7,"BDI 3",$P$8)</f>
        <v>0.26739999999999997</v>
      </c>
      <c r="AB823" s="158">
        <f ca="1">IFERROR($S823/_xlfn.XLOOKUP($AE823,$B$16:$B$38,$S$16:$S$38),0)</f>
        <v>0</v>
      </c>
      <c r="AC823" s="158">
        <f ca="1">IFERROR($T823/_xlfn.XLOOKUP($AE823,$B$16:$B$38,$T$16:$T$38),0)</f>
        <v>0</v>
      </c>
      <c r="AD823" s="164"/>
      <c r="AE823" s="148">
        <f t="shared" ref="AE823:AE824" si="1312">IF(S823&gt;0,IFERROR(TRUNC(A823,0),0),0)</f>
        <v>0</v>
      </c>
      <c r="AF823" s="149"/>
      <c r="AG823" s="150"/>
      <c r="AH823" s="159" t="e">
        <f>S823/$S$745</f>
        <v>#DIV/0!</v>
      </c>
      <c r="AI823" s="209">
        <f>IF(K823=0,0,K823/F823)</f>
        <v>0</v>
      </c>
      <c r="AJ823" s="105"/>
      <c r="AK823" s="105"/>
      <c r="AM823" s="105"/>
      <c r="AN823" s="105"/>
      <c r="AO823" s="105"/>
      <c r="AP823" s="105"/>
      <c r="AQ823" s="105"/>
      <c r="AR823" s="105"/>
    </row>
    <row r="824" spans="1:44" s="49" customFormat="1" ht="40.15" hidden="1" customHeight="1">
      <c r="A824" s="152">
        <f t="shared" ca="1" si="1307"/>
        <v>0</v>
      </c>
      <c r="B824" s="153">
        <v>102333</v>
      </c>
      <c r="C824" s="154" t="str">
        <f>TEXT(B824,"0")</f>
        <v>102333</v>
      </c>
      <c r="D824" s="154" t="s">
        <v>1416</v>
      </c>
      <c r="E824" s="155" t="s">
        <v>3546</v>
      </c>
      <c r="F824" s="154">
        <f>Dados_DMT!$B$26-F823</f>
        <v>0</v>
      </c>
      <c r="G824" s="154" t="s">
        <v>3534</v>
      </c>
      <c r="H824" s="152">
        <v>0.72</v>
      </c>
      <c r="I824" s="152">
        <v>0.73</v>
      </c>
      <c r="J824" s="156"/>
      <c r="K824" s="156">
        <f>ROUND(Pav_Estrutura!K115*F824,2)</f>
        <v>0</v>
      </c>
      <c r="L824" s="156">
        <f>IF($K824&gt;$J824,$K824-$J824,0)</f>
        <v>0</v>
      </c>
      <c r="M824" s="156">
        <f>IF($K824&lt;$J824,$J824-$K824,0)</f>
        <v>0</v>
      </c>
      <c r="N824" s="156" t="s">
        <v>83</v>
      </c>
      <c r="O824" s="157" cm="1">
        <f t="array" ref="O824">TRUNC($H824*(1+_xlfn.SWITCH($N824,"BDI 1",$O$6,"BDI 2",$O$7,"BDI 3",$O$8)),2)</f>
        <v>0.86</v>
      </c>
      <c r="P824" s="157" cm="1">
        <f t="array" ref="P824">TRUNC($I824*(1+_xlfn.SWITCH($N824,"BDI 1",$P$6,"BDI 2",$P$7,"BDI 3",$P$8)),2)</f>
        <v>0.92</v>
      </c>
      <c r="Q824" s="157">
        <v>0</v>
      </c>
      <c r="R824" s="157">
        <f>$Q824-($Q824*LICITACAO_DESCONTO)</f>
        <v>0</v>
      </c>
      <c r="S824" s="156">
        <f>TRUNC($K824*$O824,2)</f>
        <v>0</v>
      </c>
      <c r="T824" s="156">
        <f>TRUNC($K824*$P824,2)</f>
        <v>0</v>
      </c>
      <c r="U824" s="156">
        <f>TRUNC($J824*$R824,2)</f>
        <v>0</v>
      </c>
      <c r="V824" s="156">
        <f>TRUNC($K824*$Q824,2)</f>
        <v>0</v>
      </c>
      <c r="W824" s="156">
        <f>TRUNC(V824-U824,2)</f>
        <v>0</v>
      </c>
      <c r="X824" s="158">
        <f>$S824/ORCAMENTO_VALOR_TOTAL_ND</f>
        <v>0</v>
      </c>
      <c r="Y824" s="158">
        <f>$T824/ORCAMENTO_VALOR_TOTAL_DE</f>
        <v>0</v>
      </c>
      <c r="Z824" s="158" cm="1">
        <f t="array" ref="Z824">_xlfn.SWITCH($N824,"BDI 1",$O$6,"BDI 2",$O$7,"BDI 3",$O$8)</f>
        <v>0.20699999999999999</v>
      </c>
      <c r="AA824" s="158" cm="1">
        <f t="array" ref="AA824">_xlfn.SWITCH($N824,"BDI 1",$P$6,"BDI 2",$P$7,"BDI 3",$P$8)</f>
        <v>0.26739999999999997</v>
      </c>
      <c r="AB824" s="158">
        <f ca="1">IFERROR($S824/_xlfn.XLOOKUP($AE824,$B$16:$B$38,$S$16:$S$38),0)</f>
        <v>0</v>
      </c>
      <c r="AC824" s="158">
        <f ca="1">IFERROR($T824/_xlfn.XLOOKUP($AE824,$B$16:$B$38,$T$16:$T$38),0)</f>
        <v>0</v>
      </c>
      <c r="AD824" s="164"/>
      <c r="AE824" s="148">
        <f t="shared" si="1312"/>
        <v>0</v>
      </c>
      <c r="AF824" s="149"/>
      <c r="AG824" s="150"/>
      <c r="AH824" s="159" t="e">
        <f>S824/$S$745</f>
        <v>#DIV/0!</v>
      </c>
      <c r="AI824" s="209">
        <f>IF(K824=0,0,K824/F824)</f>
        <v>0</v>
      </c>
      <c r="AJ824" s="105"/>
      <c r="AK824" s="105"/>
      <c r="AM824" s="105"/>
      <c r="AN824" s="105"/>
      <c r="AO824" s="105"/>
      <c r="AP824" s="105"/>
      <c r="AQ824" s="105"/>
      <c r="AR824" s="105"/>
    </row>
    <row r="825" spans="1:44" s="49" customFormat="1" ht="40.15" hidden="1" customHeight="1">
      <c r="A825" s="10">
        <f t="shared" ca="1" si="1307"/>
        <v>0</v>
      </c>
      <c r="B825" s="153"/>
      <c r="C825" s="154"/>
      <c r="D825" s="154"/>
      <c r="E825" s="161" t="s">
        <v>274</v>
      </c>
      <c r="F825" s="154"/>
      <c r="G825" s="154"/>
      <c r="H825" s="152"/>
      <c r="I825" s="152"/>
      <c r="J825" s="154"/>
      <c r="K825" s="154"/>
      <c r="L825" s="154"/>
      <c r="M825" s="154"/>
      <c r="N825" s="154"/>
      <c r="O825" s="154"/>
      <c r="P825" s="154"/>
      <c r="Q825" s="154"/>
      <c r="R825" s="154"/>
      <c r="S825" s="162"/>
      <c r="T825" s="162"/>
      <c r="U825" s="162"/>
      <c r="V825" s="162"/>
      <c r="W825" s="162"/>
      <c r="X825" s="163"/>
      <c r="Y825" s="163"/>
      <c r="Z825" s="163"/>
      <c r="AA825" s="163"/>
      <c r="AB825" s="163"/>
      <c r="AC825" s="163"/>
      <c r="AD825" s="164"/>
      <c r="AE825" s="148">
        <f>IF(SUM(S826:S827)&gt;0,IFERROR(TRUNC(A825,0),0),0)</f>
        <v>0</v>
      </c>
      <c r="AF825" s="149"/>
      <c r="AG825" s="150"/>
      <c r="AH825" s="159"/>
      <c r="AI825" s="160"/>
      <c r="AJ825" s="105"/>
      <c r="AK825" s="105"/>
      <c r="AM825" s="105"/>
      <c r="AN825" s="105"/>
      <c r="AO825" s="105"/>
      <c r="AP825" s="105"/>
      <c r="AQ825" s="105"/>
      <c r="AR825" s="105"/>
    </row>
    <row r="826" spans="1:44" s="49" customFormat="1" ht="40.15" hidden="1" customHeight="1">
      <c r="A826" s="152">
        <f t="shared" ca="1" si="1307"/>
        <v>0</v>
      </c>
      <c r="B826" s="153">
        <v>102332</v>
      </c>
      <c r="C826" s="154" t="str">
        <f>TEXT(B826,"0")</f>
        <v>102332</v>
      </c>
      <c r="D826" s="154" t="s">
        <v>1416</v>
      </c>
      <c r="E826" s="155" t="s">
        <v>3547</v>
      </c>
      <c r="F826" s="154">
        <f>IF(Dados_DMT!$B$27&lt;30,Dados_DMT!$B$27,30)</f>
        <v>0</v>
      </c>
      <c r="G826" s="154" t="s">
        <v>3534</v>
      </c>
      <c r="H826" s="152">
        <v>1.79</v>
      </c>
      <c r="I826" s="152">
        <v>1.81</v>
      </c>
      <c r="J826" s="156"/>
      <c r="K826" s="156">
        <f>ROUND(SUM(Pav_Estrutura!K116:K118)*F826,2)</f>
        <v>0</v>
      </c>
      <c r="L826" s="156">
        <f>IF($K826&gt;$J826,$K826-$J826,0)</f>
        <v>0</v>
      </c>
      <c r="M826" s="156">
        <f>IF($K826&lt;$J826,$J826-$K826,0)</f>
        <v>0</v>
      </c>
      <c r="N826" s="156" t="s">
        <v>83</v>
      </c>
      <c r="O826" s="157" cm="1">
        <f t="array" ref="O826">TRUNC($H826*(1+_xlfn.SWITCH($N826,"BDI 1",$O$6,"BDI 2",$O$7,"BDI 3",$O$8)),2)</f>
        <v>2.16</v>
      </c>
      <c r="P826" s="157" cm="1">
        <f t="array" ref="P826">TRUNC($I826*(1+_xlfn.SWITCH($N826,"BDI 1",$P$6,"BDI 2",$P$7,"BDI 3",$P$8)),2)</f>
        <v>2.29</v>
      </c>
      <c r="Q826" s="157">
        <v>0</v>
      </c>
      <c r="R826" s="157">
        <f>$Q826-($Q826*LICITACAO_DESCONTO)</f>
        <v>0</v>
      </c>
      <c r="S826" s="156">
        <f>TRUNC($K826*$O826,2)</f>
        <v>0</v>
      </c>
      <c r="T826" s="156">
        <f>TRUNC($K826*$P826,2)</f>
        <v>0</v>
      </c>
      <c r="U826" s="156">
        <f>TRUNC($J826*$R826,2)</f>
        <v>0</v>
      </c>
      <c r="V826" s="156">
        <f>TRUNC($K826*$Q826,2)</f>
        <v>0</v>
      </c>
      <c r="W826" s="156">
        <f>TRUNC(V826-U826,2)</f>
        <v>0</v>
      </c>
      <c r="X826" s="158">
        <f>$S826/ORCAMENTO_VALOR_TOTAL_ND</f>
        <v>0</v>
      </c>
      <c r="Y826" s="158">
        <f>$T826/ORCAMENTO_VALOR_TOTAL_DE</f>
        <v>0</v>
      </c>
      <c r="Z826" s="158" cm="1">
        <f t="array" ref="Z826">_xlfn.SWITCH($N826,"BDI 1",$O$6,"BDI 2",$O$7,"BDI 3",$O$8)</f>
        <v>0.20699999999999999</v>
      </c>
      <c r="AA826" s="158" cm="1">
        <f t="array" ref="AA826">_xlfn.SWITCH($N826,"BDI 1",$P$6,"BDI 2",$P$7,"BDI 3",$P$8)</f>
        <v>0.26739999999999997</v>
      </c>
      <c r="AB826" s="158">
        <f ca="1">IFERROR($S826/_xlfn.XLOOKUP($AE826,$B$16:$B$38,$S$16:$S$38),0)</f>
        <v>0</v>
      </c>
      <c r="AC826" s="158">
        <f ca="1">IFERROR($T826/_xlfn.XLOOKUP($AE826,$B$16:$B$38,$T$16:$T$38),0)</f>
        <v>0</v>
      </c>
      <c r="AD826" s="164"/>
      <c r="AE826" s="148">
        <f t="shared" ref="AE826:AE827" si="1313">IF(S826&gt;0,IFERROR(TRUNC(A826,0),0),0)</f>
        <v>0</v>
      </c>
      <c r="AF826" s="149"/>
      <c r="AG826" s="150"/>
      <c r="AH826" s="159" t="e">
        <f>S826/$S$745</f>
        <v>#DIV/0!</v>
      </c>
      <c r="AI826" s="209">
        <f>IF(K826=0,0,K826/F826)</f>
        <v>0</v>
      </c>
      <c r="AJ826" s="105"/>
      <c r="AK826" s="105"/>
      <c r="AM826" s="105"/>
      <c r="AN826" s="105"/>
      <c r="AO826" s="105"/>
      <c r="AP826" s="105"/>
      <c r="AQ826" s="105"/>
      <c r="AR826" s="105"/>
    </row>
    <row r="827" spans="1:44" s="49" customFormat="1" ht="40.15" hidden="1" customHeight="1">
      <c r="A827" s="152">
        <f t="shared" ca="1" si="1307"/>
        <v>0</v>
      </c>
      <c r="B827" s="153">
        <v>102333</v>
      </c>
      <c r="C827" s="154" t="str">
        <f>TEXT(B827,"0")</f>
        <v>102333</v>
      </c>
      <c r="D827" s="154" t="s">
        <v>1416</v>
      </c>
      <c r="E827" s="155" t="s">
        <v>3546</v>
      </c>
      <c r="F827" s="154">
        <f>+Dados_DMT!$B$27-F826</f>
        <v>0</v>
      </c>
      <c r="G827" s="154" t="s">
        <v>3534</v>
      </c>
      <c r="H827" s="152">
        <v>0.72</v>
      </c>
      <c r="I827" s="152">
        <v>0.73</v>
      </c>
      <c r="J827" s="156"/>
      <c r="K827" s="156">
        <f>ROUND(SUM(Pav_Estrutura!K116:K118)*F827,2)</f>
        <v>0</v>
      </c>
      <c r="L827" s="156">
        <f>IF($K827&gt;$J827,$K827-$J827,0)</f>
        <v>0</v>
      </c>
      <c r="M827" s="156">
        <f>IF($K827&lt;$J827,$J827-$K827,0)</f>
        <v>0</v>
      </c>
      <c r="N827" s="156" t="s">
        <v>83</v>
      </c>
      <c r="O827" s="157" cm="1">
        <f t="array" ref="O827">TRUNC($H827*(1+_xlfn.SWITCH($N827,"BDI 1",$O$6,"BDI 2",$O$7,"BDI 3",$O$8)),2)</f>
        <v>0.86</v>
      </c>
      <c r="P827" s="157" cm="1">
        <f t="array" ref="P827">TRUNC($I827*(1+_xlfn.SWITCH($N827,"BDI 1",$P$6,"BDI 2",$P$7,"BDI 3",$P$8)),2)</f>
        <v>0.92</v>
      </c>
      <c r="Q827" s="157">
        <v>0</v>
      </c>
      <c r="R827" s="157">
        <f>$Q827-($Q827*LICITACAO_DESCONTO)</f>
        <v>0</v>
      </c>
      <c r="S827" s="156">
        <f>TRUNC($K827*$O827,2)</f>
        <v>0</v>
      </c>
      <c r="T827" s="156">
        <f>TRUNC($K827*$P827,2)</f>
        <v>0</v>
      </c>
      <c r="U827" s="156">
        <f>TRUNC($J827*$R827,2)</f>
        <v>0</v>
      </c>
      <c r="V827" s="156">
        <f>TRUNC($K827*$Q827,2)</f>
        <v>0</v>
      </c>
      <c r="W827" s="156">
        <f>TRUNC(V827-U827,2)</f>
        <v>0</v>
      </c>
      <c r="X827" s="158">
        <f>$S827/ORCAMENTO_VALOR_TOTAL_ND</f>
        <v>0</v>
      </c>
      <c r="Y827" s="158">
        <f>$T827/ORCAMENTO_VALOR_TOTAL_DE</f>
        <v>0</v>
      </c>
      <c r="Z827" s="158" cm="1">
        <f t="array" ref="Z827">_xlfn.SWITCH($N827,"BDI 1",$O$6,"BDI 2",$O$7,"BDI 3",$O$8)</f>
        <v>0.20699999999999999</v>
      </c>
      <c r="AA827" s="158" cm="1">
        <f t="array" ref="AA827">_xlfn.SWITCH($N827,"BDI 1",$P$6,"BDI 2",$P$7,"BDI 3",$P$8)</f>
        <v>0.26739999999999997</v>
      </c>
      <c r="AB827" s="158">
        <f ca="1">IFERROR($S827/_xlfn.XLOOKUP($AE827,$B$16:$B$38,$S$16:$S$38),0)</f>
        <v>0</v>
      </c>
      <c r="AC827" s="158">
        <f ca="1">IFERROR($T827/_xlfn.XLOOKUP($AE827,$B$16:$B$38,$T$16:$T$38),0)</f>
        <v>0</v>
      </c>
      <c r="AD827" s="164"/>
      <c r="AE827" s="148">
        <f t="shared" si="1313"/>
        <v>0</v>
      </c>
      <c r="AF827" s="149"/>
      <c r="AG827" s="150"/>
      <c r="AH827" s="159" t="e">
        <f>S827/$S$745</f>
        <v>#DIV/0!</v>
      </c>
      <c r="AI827" s="209">
        <f>IF(K827=0,0,K827/F827)</f>
        <v>0</v>
      </c>
      <c r="AJ827" s="105"/>
      <c r="AK827" s="105"/>
      <c r="AM827" s="105"/>
      <c r="AN827" s="105"/>
      <c r="AO827" s="105"/>
      <c r="AP827" s="105"/>
      <c r="AQ827" s="105"/>
      <c r="AR827" s="105"/>
    </row>
    <row r="828" spans="1:44" s="49" customFormat="1" ht="40.15" hidden="1" customHeight="1">
      <c r="A828" s="10">
        <f t="shared" ca="1" si="1307"/>
        <v>0</v>
      </c>
      <c r="B828" s="153"/>
      <c r="C828" s="154"/>
      <c r="D828" s="154"/>
      <c r="E828" s="161" t="s">
        <v>316</v>
      </c>
      <c r="F828" s="154"/>
      <c r="G828" s="154"/>
      <c r="H828" s="152"/>
      <c r="I828" s="152"/>
      <c r="J828" s="154"/>
      <c r="K828" s="154"/>
      <c r="L828" s="154"/>
      <c r="M828" s="154"/>
      <c r="N828" s="154"/>
      <c r="O828" s="154"/>
      <c r="P828" s="154"/>
      <c r="Q828" s="154"/>
      <c r="R828" s="154"/>
      <c r="S828" s="162"/>
      <c r="T828" s="162"/>
      <c r="U828" s="162"/>
      <c r="V828" s="162"/>
      <c r="W828" s="162"/>
      <c r="X828" s="163"/>
      <c r="Y828" s="163"/>
      <c r="Z828" s="163"/>
      <c r="AA828" s="163"/>
      <c r="AB828" s="163"/>
      <c r="AC828" s="163"/>
      <c r="AD828" s="164"/>
      <c r="AE828" s="148">
        <f>IF(SUM(S829:S830)&gt;0,IFERROR(TRUNC(A828,0),0),0)</f>
        <v>0</v>
      </c>
      <c r="AF828" s="149"/>
      <c r="AG828" s="150"/>
      <c r="AH828" s="159"/>
      <c r="AI828" s="160"/>
      <c r="AJ828" s="105"/>
      <c r="AK828" s="105"/>
      <c r="AM828" s="105"/>
      <c r="AN828" s="105"/>
      <c r="AO828" s="105"/>
      <c r="AP828" s="105"/>
      <c r="AQ828" s="105"/>
      <c r="AR828" s="105"/>
    </row>
    <row r="829" spans="1:44" s="49" customFormat="1" ht="40.15" hidden="1" customHeight="1">
      <c r="A829" s="152">
        <f t="shared" ca="1" si="1307"/>
        <v>0</v>
      </c>
      <c r="B829" s="153">
        <v>100947</v>
      </c>
      <c r="C829" s="154" t="str">
        <f>TEXT(B829,"0")</f>
        <v>100947</v>
      </c>
      <c r="D829" s="154" t="s">
        <v>1416</v>
      </c>
      <c r="E829" s="155" t="s">
        <v>385</v>
      </c>
      <c r="F829" s="154">
        <f>IF(Dados_DMT!$B$35&lt;30,Dados_DMT!$B$35,30)</f>
        <v>0</v>
      </c>
      <c r="G829" s="154" t="s">
        <v>3534</v>
      </c>
      <c r="H829" s="152">
        <v>2.15</v>
      </c>
      <c r="I829" s="152">
        <v>2.13</v>
      </c>
      <c r="J829" s="156"/>
      <c r="K829" s="156">
        <f>ROUND(Pav_Estrutura!K98*F829,2)</f>
        <v>0</v>
      </c>
      <c r="L829" s="156">
        <f>IF($K829&gt;$J829,$K829-$J829,0)</f>
        <v>0</v>
      </c>
      <c r="M829" s="156">
        <f>IF($K829&lt;$J829,$J829-$K829,0)</f>
        <v>0</v>
      </c>
      <c r="N829" s="156" t="s">
        <v>83</v>
      </c>
      <c r="O829" s="157" cm="1">
        <f t="array" ref="O829">TRUNC($H829*(1+_xlfn.SWITCH($N829,"BDI 1",$O$6,"BDI 2",$O$7,"BDI 3",$O$8)),2)</f>
        <v>2.59</v>
      </c>
      <c r="P829" s="157" cm="1">
        <f t="array" ref="P829">TRUNC($I829*(1+_xlfn.SWITCH($N829,"BDI 1",$P$6,"BDI 2",$P$7,"BDI 3",$P$8)),2)</f>
        <v>2.69</v>
      </c>
      <c r="Q829" s="157">
        <v>0</v>
      </c>
      <c r="R829" s="157">
        <f>$Q829-($Q829*LICITACAO_DESCONTO)</f>
        <v>0</v>
      </c>
      <c r="S829" s="156">
        <f>TRUNC($K829*$O829,2)</f>
        <v>0</v>
      </c>
      <c r="T829" s="156">
        <f>TRUNC($K829*$P829,2)</f>
        <v>0</v>
      </c>
      <c r="U829" s="156">
        <f>TRUNC($J829*$R829,2)</f>
        <v>0</v>
      </c>
      <c r="V829" s="156">
        <f>TRUNC($K829*$Q829,2)</f>
        <v>0</v>
      </c>
      <c r="W829" s="156">
        <f>TRUNC(V829-U829,2)</f>
        <v>0</v>
      </c>
      <c r="X829" s="158">
        <f>$S829/ORCAMENTO_VALOR_TOTAL_ND</f>
        <v>0</v>
      </c>
      <c r="Y829" s="158">
        <f>$T829/ORCAMENTO_VALOR_TOTAL_DE</f>
        <v>0</v>
      </c>
      <c r="Z829" s="158" cm="1">
        <f t="array" ref="Z829">_xlfn.SWITCH($N829,"BDI 1",$O$6,"BDI 2",$O$7,"BDI 3",$O$8)</f>
        <v>0.20699999999999999</v>
      </c>
      <c r="AA829" s="158" cm="1">
        <f t="array" ref="AA829">_xlfn.SWITCH($N829,"BDI 1",$P$6,"BDI 2",$P$7,"BDI 3",$P$8)</f>
        <v>0.26739999999999997</v>
      </c>
      <c r="AB829" s="158">
        <f ca="1">IFERROR($S829/_xlfn.XLOOKUP($AE829,$B$16:$B$38,$S$16:$S$38),0)</f>
        <v>0</v>
      </c>
      <c r="AC829" s="158">
        <f ca="1">IFERROR($T829/_xlfn.XLOOKUP($AE829,$B$16:$B$38,$T$16:$T$38),0)</f>
        <v>0</v>
      </c>
      <c r="AD829" s="164"/>
      <c r="AE829" s="148">
        <f t="shared" ref="AE829:AE830" si="1314">IF(S829&gt;0,IFERROR(TRUNC(A829,0),0),0)</f>
        <v>0</v>
      </c>
      <c r="AF829" s="149"/>
      <c r="AG829" s="150"/>
      <c r="AH829" s="159" t="e">
        <f>S829/$S$745</f>
        <v>#DIV/0!</v>
      </c>
      <c r="AI829" s="160"/>
      <c r="AJ829" s="105"/>
      <c r="AK829" s="105"/>
      <c r="AM829" s="105"/>
      <c r="AN829" s="105"/>
      <c r="AO829" s="105"/>
      <c r="AP829" s="105"/>
      <c r="AQ829" s="105"/>
      <c r="AR829" s="105"/>
    </row>
    <row r="830" spans="1:44" s="49" customFormat="1" ht="40.15" hidden="1" customHeight="1">
      <c r="A830" s="152">
        <f t="shared" ca="1" si="1307"/>
        <v>0</v>
      </c>
      <c r="B830" s="153">
        <v>100948</v>
      </c>
      <c r="C830" s="154" t="str">
        <f>TEXT(B830,"0")</f>
        <v>100948</v>
      </c>
      <c r="D830" s="154" t="s">
        <v>1416</v>
      </c>
      <c r="E830" s="155" t="s">
        <v>3615</v>
      </c>
      <c r="F830" s="154">
        <f>+Dados_DMT!$B$35-F829</f>
        <v>0</v>
      </c>
      <c r="G830" s="154" t="s">
        <v>3534</v>
      </c>
      <c r="H830" s="152">
        <v>0.85</v>
      </c>
      <c r="I830" s="152">
        <v>0.84</v>
      </c>
      <c r="J830" s="156"/>
      <c r="K830" s="156">
        <f>ROUND(Pav_Estrutura!K98*F830,2)</f>
        <v>0</v>
      </c>
      <c r="L830" s="156">
        <f>IF($K830&gt;$J830,$K830-$J830,0)</f>
        <v>0</v>
      </c>
      <c r="M830" s="156">
        <f>IF($K830&lt;$J830,$J830-$K830,0)</f>
        <v>0</v>
      </c>
      <c r="N830" s="156" t="s">
        <v>83</v>
      </c>
      <c r="O830" s="157" cm="1">
        <f t="array" ref="O830">TRUNC($H830*(1+_xlfn.SWITCH($N830,"BDI 1",$O$6,"BDI 2",$O$7,"BDI 3",$O$8)),2)</f>
        <v>1.02</v>
      </c>
      <c r="P830" s="157" cm="1">
        <f t="array" ref="P830">TRUNC($I830*(1+_xlfn.SWITCH($N830,"BDI 1",$P$6,"BDI 2",$P$7,"BDI 3",$P$8)),2)</f>
        <v>1.06</v>
      </c>
      <c r="Q830" s="157">
        <v>0</v>
      </c>
      <c r="R830" s="157">
        <f>$Q830-($Q830*LICITACAO_DESCONTO)</f>
        <v>0</v>
      </c>
      <c r="S830" s="156">
        <f>TRUNC($K830*$O830,2)</f>
        <v>0</v>
      </c>
      <c r="T830" s="156">
        <f>TRUNC($K830*$P830,2)</f>
        <v>0</v>
      </c>
      <c r="U830" s="156">
        <f>TRUNC($J830*$R830,2)</f>
        <v>0</v>
      </c>
      <c r="V830" s="156">
        <f>TRUNC($K830*$Q830,2)</f>
        <v>0</v>
      </c>
      <c r="W830" s="156">
        <f>TRUNC(V830-U830,2)</f>
        <v>0</v>
      </c>
      <c r="X830" s="158">
        <f>$S830/ORCAMENTO_VALOR_TOTAL_ND</f>
        <v>0</v>
      </c>
      <c r="Y830" s="158">
        <f>$T830/ORCAMENTO_VALOR_TOTAL_DE</f>
        <v>0</v>
      </c>
      <c r="Z830" s="158" cm="1">
        <f t="array" ref="Z830">_xlfn.SWITCH($N830,"BDI 1",$O$6,"BDI 2",$O$7,"BDI 3",$O$8)</f>
        <v>0.20699999999999999</v>
      </c>
      <c r="AA830" s="158" cm="1">
        <f t="array" ref="AA830">_xlfn.SWITCH($N830,"BDI 1",$P$6,"BDI 2",$P$7,"BDI 3",$P$8)</f>
        <v>0.26739999999999997</v>
      </c>
      <c r="AB830" s="158">
        <f ca="1">IFERROR($S830/_xlfn.XLOOKUP($AE830,$B$16:$B$38,$S$16:$S$38),0)</f>
        <v>0</v>
      </c>
      <c r="AC830" s="158">
        <f ca="1">IFERROR($T830/_xlfn.XLOOKUP($AE830,$B$16:$B$38,$T$16:$T$38),0)</f>
        <v>0</v>
      </c>
      <c r="AD830" s="164"/>
      <c r="AE830" s="148">
        <f t="shared" si="1314"/>
        <v>0</v>
      </c>
      <c r="AF830" s="149"/>
      <c r="AG830" s="150"/>
      <c r="AH830" s="159" t="e">
        <f>S830/$S$745</f>
        <v>#DIV/0!</v>
      </c>
      <c r="AI830" s="160"/>
      <c r="AJ830" s="105"/>
      <c r="AK830" s="105"/>
      <c r="AM830" s="105"/>
      <c r="AN830" s="105"/>
      <c r="AO830" s="105"/>
      <c r="AP830" s="105"/>
      <c r="AQ830" s="105"/>
      <c r="AR830" s="105"/>
    </row>
    <row r="831" spans="1:44" s="49" customFormat="1" ht="40.15" hidden="1" customHeight="1">
      <c r="A831" s="10">
        <f t="shared" ca="1" si="1307"/>
        <v>0</v>
      </c>
      <c r="B831" s="153"/>
      <c r="C831" s="154"/>
      <c r="D831" s="154"/>
      <c r="E831" s="161" t="s">
        <v>317</v>
      </c>
      <c r="F831" s="154"/>
      <c r="G831" s="154"/>
      <c r="H831" s="152"/>
      <c r="I831" s="152"/>
      <c r="J831" s="154"/>
      <c r="K831" s="154"/>
      <c r="L831" s="154"/>
      <c r="M831" s="154"/>
      <c r="N831" s="154"/>
      <c r="O831" s="154"/>
      <c r="P831" s="154"/>
      <c r="Q831" s="154"/>
      <c r="R831" s="154"/>
      <c r="S831" s="162"/>
      <c r="T831" s="162"/>
      <c r="U831" s="162"/>
      <c r="V831" s="162"/>
      <c r="W831" s="162"/>
      <c r="X831" s="163"/>
      <c r="Y831" s="163"/>
      <c r="Z831" s="163"/>
      <c r="AA831" s="163"/>
      <c r="AB831" s="163"/>
      <c r="AC831" s="163"/>
      <c r="AD831" s="164"/>
      <c r="AE831" s="148">
        <f>IF(SUM(S832:S833)&gt;0,IFERROR(TRUNC(A831,0),0),0)</f>
        <v>0</v>
      </c>
      <c r="AF831" s="149"/>
      <c r="AG831" s="150"/>
      <c r="AH831" s="159"/>
      <c r="AI831" s="160"/>
      <c r="AJ831" s="105"/>
      <c r="AK831" s="105"/>
      <c r="AM831" s="105"/>
      <c r="AN831" s="105"/>
      <c r="AO831" s="105"/>
      <c r="AP831" s="105"/>
      <c r="AQ831" s="105"/>
      <c r="AR831" s="105"/>
    </row>
    <row r="832" spans="1:44" s="49" customFormat="1" ht="40.15" hidden="1" customHeight="1">
      <c r="A832" s="152">
        <f t="shared" ca="1" si="1307"/>
        <v>0</v>
      </c>
      <c r="B832" s="153">
        <v>100947</v>
      </c>
      <c r="C832" s="154" t="str">
        <f>TEXT(B832,"0")</f>
        <v>100947</v>
      </c>
      <c r="D832" s="154" t="s">
        <v>1416</v>
      </c>
      <c r="E832" s="155" t="s">
        <v>385</v>
      </c>
      <c r="F832" s="154">
        <f>IF(Dados_DMT!$B$13&lt;30,Dados_DMT!$B$13,30)</f>
        <v>30</v>
      </c>
      <c r="G832" s="154" t="s">
        <v>3534</v>
      </c>
      <c r="H832" s="152">
        <v>2.15</v>
      </c>
      <c r="I832" s="152">
        <v>2.13</v>
      </c>
      <c r="J832" s="156"/>
      <c r="K832" s="156">
        <f>ROUND(Pav_Estrutura!K111*F832,2)</f>
        <v>0</v>
      </c>
      <c r="L832" s="156">
        <f>IF($K832&gt;$J832,$K832-$J832,0)</f>
        <v>0</v>
      </c>
      <c r="M832" s="156">
        <f>IF($K832&lt;$J832,$J832-$K832,0)</f>
        <v>0</v>
      </c>
      <c r="N832" s="156" t="s">
        <v>83</v>
      </c>
      <c r="O832" s="157" cm="1">
        <f t="array" ref="O832">TRUNC($H832*(1+_xlfn.SWITCH($N832,"BDI 1",$O$6,"BDI 2",$O$7,"BDI 3",$O$8)),2)</f>
        <v>2.59</v>
      </c>
      <c r="P832" s="157" cm="1">
        <f t="array" ref="P832">TRUNC($I832*(1+_xlfn.SWITCH($N832,"BDI 1",$P$6,"BDI 2",$P$7,"BDI 3",$P$8)),2)</f>
        <v>2.69</v>
      </c>
      <c r="Q832" s="157">
        <v>0</v>
      </c>
      <c r="R832" s="157">
        <f>$Q832-($Q832*LICITACAO_DESCONTO)</f>
        <v>0</v>
      </c>
      <c r="S832" s="156">
        <f>TRUNC($K832*$O832,2)</f>
        <v>0</v>
      </c>
      <c r="T832" s="156">
        <f>TRUNC($K832*$P832,2)</f>
        <v>0</v>
      </c>
      <c r="U832" s="156">
        <f>TRUNC($J832*$R832,2)</f>
        <v>0</v>
      </c>
      <c r="V832" s="156">
        <f>TRUNC($K832*$Q832,2)</f>
        <v>0</v>
      </c>
      <c r="W832" s="156">
        <f>TRUNC(V832-U832,2)</f>
        <v>0</v>
      </c>
      <c r="X832" s="158">
        <f>$S832/ORCAMENTO_VALOR_TOTAL_ND</f>
        <v>0</v>
      </c>
      <c r="Y832" s="158">
        <f>$T832/ORCAMENTO_VALOR_TOTAL_DE</f>
        <v>0</v>
      </c>
      <c r="Z832" s="158" cm="1">
        <f t="array" ref="Z832">_xlfn.SWITCH($N832,"BDI 1",$O$6,"BDI 2",$O$7,"BDI 3",$O$8)</f>
        <v>0.20699999999999999</v>
      </c>
      <c r="AA832" s="158" cm="1">
        <f t="array" ref="AA832">_xlfn.SWITCH($N832,"BDI 1",$P$6,"BDI 2",$P$7,"BDI 3",$P$8)</f>
        <v>0.26739999999999997</v>
      </c>
      <c r="AB832" s="158">
        <f ca="1">IFERROR($S832/_xlfn.XLOOKUP($AE832,$B$16:$B$38,$S$16:$S$38),0)</f>
        <v>0</v>
      </c>
      <c r="AC832" s="158">
        <f ca="1">IFERROR($T832/_xlfn.XLOOKUP($AE832,$B$16:$B$38,$T$16:$T$38),0)</f>
        <v>0</v>
      </c>
      <c r="AD832" s="164"/>
      <c r="AE832" s="148">
        <f t="shared" ref="AE832:AE833" si="1315">IF(S832&gt;0,IFERROR(TRUNC(A832,0),0),0)</f>
        <v>0</v>
      </c>
      <c r="AF832" s="149"/>
      <c r="AG832" s="150"/>
      <c r="AH832" s="159" t="e">
        <f>S832/$S$745</f>
        <v>#DIV/0!</v>
      </c>
      <c r="AI832" s="160"/>
      <c r="AJ832" s="105"/>
      <c r="AK832" s="105"/>
      <c r="AM832" s="105"/>
      <c r="AN832" s="105"/>
      <c r="AO832" s="105"/>
      <c r="AP832" s="105"/>
      <c r="AQ832" s="105"/>
      <c r="AR832" s="105"/>
    </row>
    <row r="833" spans="1:44" s="49" customFormat="1" ht="40.15" hidden="1" customHeight="1">
      <c r="A833" s="152">
        <f t="shared" ca="1" si="1307"/>
        <v>0</v>
      </c>
      <c r="B833" s="153">
        <v>100948</v>
      </c>
      <c r="C833" s="154" t="str">
        <f>TEXT(B833,"0")</f>
        <v>100948</v>
      </c>
      <c r="D833" s="154" t="s">
        <v>1416</v>
      </c>
      <c r="E833" s="155" t="s">
        <v>3615</v>
      </c>
      <c r="F833" s="154">
        <f>+Dados_DMT!$B$13-F832</f>
        <v>70</v>
      </c>
      <c r="G833" s="154" t="s">
        <v>3534</v>
      </c>
      <c r="H833" s="152">
        <v>0.85</v>
      </c>
      <c r="I833" s="152">
        <v>0.84</v>
      </c>
      <c r="J833" s="156"/>
      <c r="K833" s="156">
        <f>ROUND(Pav_Estrutura!K111*F833,2)</f>
        <v>0</v>
      </c>
      <c r="L833" s="156">
        <f>IF($K833&gt;$J833,$K833-$J833,0)</f>
        <v>0</v>
      </c>
      <c r="M833" s="156">
        <f>IF($K833&lt;$J833,$J833-$K833,0)</f>
        <v>0</v>
      </c>
      <c r="N833" s="156" t="s">
        <v>83</v>
      </c>
      <c r="O833" s="157" cm="1">
        <f t="array" ref="O833">TRUNC($H833*(1+_xlfn.SWITCH($N833,"BDI 1",$O$6,"BDI 2",$O$7,"BDI 3",$O$8)),2)</f>
        <v>1.02</v>
      </c>
      <c r="P833" s="157" cm="1">
        <f t="array" ref="P833">TRUNC($I833*(1+_xlfn.SWITCH($N833,"BDI 1",$P$6,"BDI 2",$P$7,"BDI 3",$P$8)),2)</f>
        <v>1.06</v>
      </c>
      <c r="Q833" s="157">
        <v>0</v>
      </c>
      <c r="R833" s="157">
        <f>$Q833-($Q833*LICITACAO_DESCONTO)</f>
        <v>0</v>
      </c>
      <c r="S833" s="156">
        <f>TRUNC($K833*$O833,2)</f>
        <v>0</v>
      </c>
      <c r="T833" s="156">
        <f>TRUNC($K833*$P833,2)</f>
        <v>0</v>
      </c>
      <c r="U833" s="156">
        <f>TRUNC($J833*$R833,2)</f>
        <v>0</v>
      </c>
      <c r="V833" s="156">
        <f>TRUNC($K833*$Q833,2)</f>
        <v>0</v>
      </c>
      <c r="W833" s="156">
        <f>TRUNC(V833-U833,2)</f>
        <v>0</v>
      </c>
      <c r="X833" s="158">
        <f>$S833/ORCAMENTO_VALOR_TOTAL_ND</f>
        <v>0</v>
      </c>
      <c r="Y833" s="158">
        <f>$T833/ORCAMENTO_VALOR_TOTAL_DE</f>
        <v>0</v>
      </c>
      <c r="Z833" s="158" cm="1">
        <f t="array" ref="Z833">_xlfn.SWITCH($N833,"BDI 1",$O$6,"BDI 2",$O$7,"BDI 3",$O$8)</f>
        <v>0.20699999999999999</v>
      </c>
      <c r="AA833" s="158" cm="1">
        <f t="array" ref="AA833">_xlfn.SWITCH($N833,"BDI 1",$P$6,"BDI 2",$P$7,"BDI 3",$P$8)</f>
        <v>0.26739999999999997</v>
      </c>
      <c r="AB833" s="158">
        <f ca="1">IFERROR($S833/_xlfn.XLOOKUP($AE833,$B$16:$B$38,$S$16:$S$38),0)</f>
        <v>0</v>
      </c>
      <c r="AC833" s="158">
        <f ca="1">IFERROR($T833/_xlfn.XLOOKUP($AE833,$B$16:$B$38,$T$16:$T$38),0)</f>
        <v>0</v>
      </c>
      <c r="AD833" s="164"/>
      <c r="AE833" s="148">
        <f t="shared" si="1315"/>
        <v>0</v>
      </c>
      <c r="AF833" s="149"/>
      <c r="AG833" s="150"/>
      <c r="AH833" s="159" t="e">
        <f>S833/$S$745</f>
        <v>#DIV/0!</v>
      </c>
      <c r="AI833" s="160"/>
      <c r="AJ833" s="105"/>
      <c r="AK833" s="105"/>
      <c r="AM833" s="105"/>
      <c r="AN833" s="105"/>
      <c r="AO833" s="105"/>
      <c r="AP833" s="105"/>
      <c r="AQ833" s="105"/>
      <c r="AR833" s="105"/>
    </row>
    <row r="834" spans="1:44" s="49" customFormat="1" ht="40.15" hidden="1" customHeight="1">
      <c r="A834" s="10">
        <f t="shared" ca="1" si="1307"/>
        <v>0</v>
      </c>
      <c r="B834" s="153"/>
      <c r="C834" s="154"/>
      <c r="D834" s="154"/>
      <c r="E834" s="155"/>
      <c r="F834" s="154"/>
      <c r="G834" s="154"/>
      <c r="H834" s="152"/>
      <c r="I834" s="152"/>
      <c r="J834" s="168"/>
      <c r="K834" s="168"/>
      <c r="L834" s="168"/>
      <c r="M834" s="168"/>
      <c r="N834" s="168"/>
      <c r="O834" s="157"/>
      <c r="P834" s="157"/>
      <c r="Q834" s="157"/>
      <c r="R834" s="157"/>
      <c r="S834" s="162"/>
      <c r="T834" s="162"/>
      <c r="U834" s="162"/>
      <c r="V834" s="162"/>
      <c r="W834" s="162"/>
      <c r="X834" s="163"/>
      <c r="Y834" s="163"/>
      <c r="Z834" s="163"/>
      <c r="AA834" s="163"/>
      <c r="AB834" s="163"/>
      <c r="AC834" s="163"/>
      <c r="AD834" s="164"/>
      <c r="AE834" s="148">
        <f>IF(S835&gt;0,IFERROR(TRUNC(A835,0),0),0)</f>
        <v>0</v>
      </c>
      <c r="AF834" s="149"/>
      <c r="AG834" s="150"/>
      <c r="AH834" s="159"/>
      <c r="AI834" s="160"/>
      <c r="AJ834" s="105"/>
      <c r="AK834" s="105"/>
      <c r="AM834" s="105"/>
      <c r="AN834" s="105"/>
      <c r="AO834" s="105"/>
      <c r="AP834" s="105"/>
      <c r="AQ834" s="105"/>
      <c r="AR834" s="105"/>
    </row>
    <row r="835" spans="1:44" s="105" customFormat="1" ht="30" hidden="1" customHeight="1">
      <c r="A835" s="169">
        <f ca="1">$B$30</f>
        <v>0</v>
      </c>
      <c r="B835" s="170"/>
      <c r="C835" s="171"/>
      <c r="D835" s="172"/>
      <c r="E835" s="173" t="str">
        <f>$D$30</f>
        <v>SERVIÇOS COMPLEMENTARES</v>
      </c>
      <c r="F835" s="174">
        <v>0</v>
      </c>
      <c r="G835" s="175"/>
      <c r="H835" s="176" t="s">
        <v>312</v>
      </c>
      <c r="I835" s="176" t="s">
        <v>312</v>
      </c>
      <c r="J835" s="177"/>
      <c r="K835" s="177"/>
      <c r="L835" s="177"/>
      <c r="M835" s="177"/>
      <c r="N835" s="177"/>
      <c r="O835" s="178" t="str">
        <f ca="1">CONCATENATE("SUB-TOTAL ",$A835)</f>
        <v>SUB-TOTAL 0</v>
      </c>
      <c r="P835" s="178" t="e" cm="1">
        <f t="array" ref="P835">TRUNC($I835*(1+_xlfn.SWITCH($N835,"BDI 1",$P$6,"BDI 2",$P$7,"BDI 3",$P$8)),2)</f>
        <v>#VALUE!</v>
      </c>
      <c r="Q835" s="178" t="str">
        <f ca="1">CONCATENATE("SUB-TOTAL ",$A835)</f>
        <v>SUB-TOTAL 0</v>
      </c>
      <c r="R835" s="178"/>
      <c r="S835" s="179">
        <f>SUM(S836:S867)</f>
        <v>0</v>
      </c>
      <c r="T835" s="179">
        <f>SUM(T836:T867)</f>
        <v>0</v>
      </c>
      <c r="U835" s="179">
        <f>SUM(U836:U867)</f>
        <v>0</v>
      </c>
      <c r="V835" s="179">
        <f>SUM(V836:V867)</f>
        <v>0</v>
      </c>
      <c r="W835" s="179">
        <f t="shared" ref="W835:W864" si="1316">TRUNC(V835-U835,2)</f>
        <v>0</v>
      </c>
      <c r="X835" s="180">
        <f t="shared" ref="X835" si="1317">$S835/ORCAMENTO_VALOR_TOTAL_ND</f>
        <v>0</v>
      </c>
      <c r="Y835" s="180">
        <f t="shared" ref="Y835" si="1318">$T835/ORCAMENTO_VALOR_TOTAL_DE</f>
        <v>0</v>
      </c>
      <c r="Z835" s="180"/>
      <c r="AA835" s="180"/>
      <c r="AB835" s="180">
        <f>IFERROR($S835/$S835,0)</f>
        <v>0</v>
      </c>
      <c r="AC835" s="180">
        <f>IFERROR($T835/$T835,0)</f>
        <v>0</v>
      </c>
      <c r="AD835" s="147"/>
      <c r="AE835" s="148">
        <f t="shared" ref="AE835:AE864" si="1319">IF(S835&gt;0,IFERROR(TRUNC(A835,0),0),0)</f>
        <v>0</v>
      </c>
      <c r="AF835" s="149"/>
      <c r="AG835" s="150"/>
      <c r="AH835" s="151" t="e">
        <f t="shared" ref="AH835:AH864" si="1320">S835/$S$835</f>
        <v>#DIV/0!</v>
      </c>
      <c r="AJ835" s="181" t="s">
        <v>105</v>
      </c>
      <c r="AK835" s="181" t="s">
        <v>106</v>
      </c>
    </row>
    <row r="836" spans="1:44" s="49" customFormat="1" ht="49.9" hidden="1" customHeight="1">
      <c r="A836" s="152">
        <f t="shared" ref="A836:A868" ca="1" si="1321">+IF(K836&gt;0,A835+0.01,A835)</f>
        <v>0</v>
      </c>
      <c r="B836" s="153" t="s">
        <v>318</v>
      </c>
      <c r="C836" s="154" t="str">
        <f t="shared" ref="C836:C864" si="1322">TEXT(B836,"0")</f>
        <v>SC/0005</v>
      </c>
      <c r="D836" s="154" t="s">
        <v>3549</v>
      </c>
      <c r="E836" s="155" t="s">
        <v>3908</v>
      </c>
      <c r="F836" s="154"/>
      <c r="G836" s="154" t="s">
        <v>58</v>
      </c>
      <c r="H836" s="152">
        <v>82.15</v>
      </c>
      <c r="I836" s="152">
        <v>78.459999999999994</v>
      </c>
      <c r="J836" s="156"/>
      <c r="K836" s="156">
        <f>+S_Complementares!M5</f>
        <v>0</v>
      </c>
      <c r="L836" s="156">
        <f t="shared" ref="L836:L864" si="1323">IF($K836&gt;$J836,$K836-$J836,0)</f>
        <v>0</v>
      </c>
      <c r="M836" s="156">
        <f t="shared" ref="M836:M864" si="1324">IF($K836&lt;$J836,$J836-$K836,0)</f>
        <v>0</v>
      </c>
      <c r="N836" s="156" t="s">
        <v>83</v>
      </c>
      <c r="O836" s="157" cm="1">
        <f t="array" ref="O836">TRUNC($H836*(1+_xlfn.SWITCH($N836,"BDI 1",$O$6,"BDI 2",$O$7,"BDI 3",$O$8)),2)</f>
        <v>99.15</v>
      </c>
      <c r="P836" s="157" cm="1">
        <f t="array" ref="P836">TRUNC($I836*(1+_xlfn.SWITCH($N836,"BDI 1",$P$6,"BDI 2",$P$7,"BDI 3",$P$8)),2)</f>
        <v>99.44</v>
      </c>
      <c r="Q836" s="157">
        <v>0</v>
      </c>
      <c r="R836" s="157">
        <f t="shared" ref="R836:R864" si="1325">$Q836-($Q836*LICITACAO_DESCONTO)</f>
        <v>0</v>
      </c>
      <c r="S836" s="156">
        <f t="shared" ref="S836:S864" si="1326">TRUNC($K836*$O836,2)</f>
        <v>0</v>
      </c>
      <c r="T836" s="156">
        <f t="shared" ref="T836:T864" si="1327">TRUNC($K836*$P836,2)</f>
        <v>0</v>
      </c>
      <c r="U836" s="156">
        <f t="shared" ref="U836:U864" si="1328">TRUNC($J836*$R836,2)</f>
        <v>0</v>
      </c>
      <c r="V836" s="156">
        <f t="shared" ref="V836:V864" si="1329">TRUNC($K836*$Q836,2)</f>
        <v>0</v>
      </c>
      <c r="W836" s="156">
        <f t="shared" si="1316"/>
        <v>0</v>
      </c>
      <c r="X836" s="158">
        <f t="shared" ref="X836" si="1330">$S836/ORCAMENTO_VALOR_TOTAL_ND</f>
        <v>0</v>
      </c>
      <c r="Y836" s="158">
        <f t="shared" ref="Y836" si="1331">$T836/ORCAMENTO_VALOR_TOTAL_DE</f>
        <v>0</v>
      </c>
      <c r="Z836" s="158" cm="1">
        <f t="array" ref="Z836">_xlfn.SWITCH($N836,"BDI 1",$O$6,"BDI 2",$O$7,"BDI 3",$O$8)</f>
        <v>0.20699999999999999</v>
      </c>
      <c r="AA836" s="158" cm="1">
        <f t="array" ref="AA836">_xlfn.SWITCH($N836,"BDI 1",$P$6,"BDI 2",$P$7,"BDI 3",$P$8)</f>
        <v>0.26739999999999997</v>
      </c>
      <c r="AB836" s="158">
        <f t="shared" ref="AB836:AB864" ca="1" si="1332">IFERROR($S836/_xlfn.XLOOKUP($AE836,$B$16:$B$38,$S$16:$S$38),0)</f>
        <v>0</v>
      </c>
      <c r="AC836" s="158">
        <f t="shared" ref="AC836:AC864" ca="1" si="1333">IFERROR($T836/_xlfn.XLOOKUP($AE836,$B$16:$B$38,$T$16:$T$38),0)</f>
        <v>0</v>
      </c>
      <c r="AD836" s="164"/>
      <c r="AE836" s="148">
        <f t="shared" si="1319"/>
        <v>0</v>
      </c>
      <c r="AF836" s="149"/>
      <c r="AG836" s="150"/>
      <c r="AH836" s="159" t="e">
        <f t="shared" si="1320"/>
        <v>#DIV/0!</v>
      </c>
      <c r="AI836" s="165" t="s">
        <v>319</v>
      </c>
      <c r="AJ836" s="182">
        <v>11.06</v>
      </c>
      <c r="AK836" s="183">
        <f t="shared" ref="AK836:AK842" si="1334">+K836/AJ836</f>
        <v>0</v>
      </c>
      <c r="AM836" s="105"/>
      <c r="AN836" s="105"/>
      <c r="AO836" s="105"/>
      <c r="AP836" s="105"/>
      <c r="AQ836" s="105"/>
      <c r="AR836" s="105"/>
    </row>
    <row r="837" spans="1:44" s="49" customFormat="1" ht="40.15" hidden="1" customHeight="1">
      <c r="A837" s="152">
        <f t="shared" ca="1" si="1321"/>
        <v>0</v>
      </c>
      <c r="B837" s="153" t="s">
        <v>320</v>
      </c>
      <c r="C837" s="154" t="str">
        <f t="shared" si="1322"/>
        <v>SC/0010</v>
      </c>
      <c r="D837" s="154" t="s">
        <v>3549</v>
      </c>
      <c r="E837" s="155" t="s">
        <v>3909</v>
      </c>
      <c r="F837" s="154"/>
      <c r="G837" s="154" t="s">
        <v>58</v>
      </c>
      <c r="H837" s="152">
        <v>26.85</v>
      </c>
      <c r="I837" s="152">
        <v>25.83</v>
      </c>
      <c r="J837" s="156"/>
      <c r="K837" s="156">
        <f>+S_Complementares!M6</f>
        <v>0</v>
      </c>
      <c r="L837" s="156">
        <f t="shared" si="1323"/>
        <v>0</v>
      </c>
      <c r="M837" s="156">
        <f t="shared" si="1324"/>
        <v>0</v>
      </c>
      <c r="N837" s="156" t="s">
        <v>83</v>
      </c>
      <c r="O837" s="157" cm="1">
        <f t="array" ref="O837">TRUNC($H837*(1+_xlfn.SWITCH($N837,"BDI 1",$O$6,"BDI 2",$O$7,"BDI 3",$O$8)),2)</f>
        <v>32.4</v>
      </c>
      <c r="P837" s="157" cm="1">
        <f t="array" ref="P837">TRUNC($I837*(1+_xlfn.SWITCH($N837,"BDI 1",$P$6,"BDI 2",$P$7,"BDI 3",$P$8)),2)</f>
        <v>32.729999999999997</v>
      </c>
      <c r="Q837" s="157">
        <v>0</v>
      </c>
      <c r="R837" s="157">
        <f t="shared" si="1325"/>
        <v>0</v>
      </c>
      <c r="S837" s="156">
        <f t="shared" si="1326"/>
        <v>0</v>
      </c>
      <c r="T837" s="156">
        <f t="shared" si="1327"/>
        <v>0</v>
      </c>
      <c r="U837" s="156">
        <f t="shared" si="1328"/>
        <v>0</v>
      </c>
      <c r="V837" s="156">
        <f t="shared" si="1329"/>
        <v>0</v>
      </c>
      <c r="W837" s="156">
        <f t="shared" si="1316"/>
        <v>0</v>
      </c>
      <c r="X837" s="158">
        <f t="shared" ref="X837" si="1335">$S837/ORCAMENTO_VALOR_TOTAL_ND</f>
        <v>0</v>
      </c>
      <c r="Y837" s="158">
        <f t="shared" ref="Y837" si="1336">$T837/ORCAMENTO_VALOR_TOTAL_DE</f>
        <v>0</v>
      </c>
      <c r="Z837" s="158" cm="1">
        <f t="array" ref="Z837">_xlfn.SWITCH($N837,"BDI 1",$O$6,"BDI 2",$O$7,"BDI 3",$O$8)</f>
        <v>0.20699999999999999</v>
      </c>
      <c r="AA837" s="158" cm="1">
        <f t="array" ref="AA837">_xlfn.SWITCH($N837,"BDI 1",$P$6,"BDI 2",$P$7,"BDI 3",$P$8)</f>
        <v>0.26739999999999997</v>
      </c>
      <c r="AB837" s="158">
        <f t="shared" ca="1" si="1332"/>
        <v>0</v>
      </c>
      <c r="AC837" s="158">
        <f t="shared" ca="1" si="1333"/>
        <v>0</v>
      </c>
      <c r="AD837" s="164"/>
      <c r="AE837" s="148">
        <f t="shared" si="1319"/>
        <v>0</v>
      </c>
      <c r="AF837" s="149"/>
      <c r="AG837" s="150"/>
      <c r="AH837" s="159" t="e">
        <f t="shared" si="1320"/>
        <v>#DIV/0!</v>
      </c>
      <c r="AI837" s="165" t="s">
        <v>319</v>
      </c>
      <c r="AJ837" s="182">
        <v>23.86</v>
      </c>
      <c r="AK837" s="183">
        <f t="shared" si="1334"/>
        <v>0</v>
      </c>
      <c r="AM837" s="105"/>
      <c r="AN837" s="105"/>
      <c r="AO837" s="105"/>
      <c r="AP837" s="105"/>
      <c r="AQ837" s="105"/>
      <c r="AR837" s="105"/>
    </row>
    <row r="838" spans="1:44" s="49" customFormat="1" ht="40.15" hidden="1" customHeight="1">
      <c r="A838" s="152">
        <f t="shared" ca="1" si="1321"/>
        <v>0</v>
      </c>
      <c r="B838" s="153" t="s">
        <v>321</v>
      </c>
      <c r="C838" s="154" t="str">
        <f t="shared" si="1322"/>
        <v>SC/0065</v>
      </c>
      <c r="D838" s="154" t="s">
        <v>3549</v>
      </c>
      <c r="E838" s="155" t="s">
        <v>3910</v>
      </c>
      <c r="F838" s="154"/>
      <c r="G838" s="154" t="s">
        <v>58</v>
      </c>
      <c r="H838" s="152">
        <v>16.91</v>
      </c>
      <c r="I838" s="152">
        <v>16.23</v>
      </c>
      <c r="J838" s="156"/>
      <c r="K838" s="156">
        <f>+S_Complementares!M7</f>
        <v>0</v>
      </c>
      <c r="L838" s="156">
        <f t="shared" si="1323"/>
        <v>0</v>
      </c>
      <c r="M838" s="156">
        <f t="shared" si="1324"/>
        <v>0</v>
      </c>
      <c r="N838" s="156" t="s">
        <v>83</v>
      </c>
      <c r="O838" s="157" cm="1">
        <f t="array" ref="O838">TRUNC($H838*(1+_xlfn.SWITCH($N838,"BDI 1",$O$6,"BDI 2",$O$7,"BDI 3",$O$8)),2)</f>
        <v>20.41</v>
      </c>
      <c r="P838" s="157" cm="1">
        <f t="array" ref="P838">TRUNC($I838*(1+_xlfn.SWITCH($N838,"BDI 1",$P$6,"BDI 2",$P$7,"BDI 3",$P$8)),2)</f>
        <v>20.56</v>
      </c>
      <c r="Q838" s="157">
        <v>0</v>
      </c>
      <c r="R838" s="157">
        <f t="shared" si="1325"/>
        <v>0</v>
      </c>
      <c r="S838" s="156">
        <f t="shared" si="1326"/>
        <v>0</v>
      </c>
      <c r="T838" s="156">
        <f t="shared" si="1327"/>
        <v>0</v>
      </c>
      <c r="U838" s="156">
        <f t="shared" si="1328"/>
        <v>0</v>
      </c>
      <c r="V838" s="156">
        <f t="shared" si="1329"/>
        <v>0</v>
      </c>
      <c r="W838" s="156">
        <f t="shared" si="1316"/>
        <v>0</v>
      </c>
      <c r="X838" s="158">
        <f t="shared" ref="X838" si="1337">$S838/ORCAMENTO_VALOR_TOTAL_ND</f>
        <v>0</v>
      </c>
      <c r="Y838" s="158">
        <f t="shared" ref="Y838" si="1338">$T838/ORCAMENTO_VALOR_TOTAL_DE</f>
        <v>0</v>
      </c>
      <c r="Z838" s="158" cm="1">
        <f t="array" ref="Z838">_xlfn.SWITCH($N838,"BDI 1",$O$6,"BDI 2",$O$7,"BDI 3",$O$8)</f>
        <v>0.20699999999999999</v>
      </c>
      <c r="AA838" s="158" cm="1">
        <f t="array" ref="AA838">_xlfn.SWITCH($N838,"BDI 1",$P$6,"BDI 2",$P$7,"BDI 3",$P$8)</f>
        <v>0.26739999999999997</v>
      </c>
      <c r="AB838" s="158">
        <f t="shared" ca="1" si="1332"/>
        <v>0</v>
      </c>
      <c r="AC838" s="158">
        <f t="shared" ca="1" si="1333"/>
        <v>0</v>
      </c>
      <c r="AD838" s="164"/>
      <c r="AE838" s="148">
        <f t="shared" si="1319"/>
        <v>0</v>
      </c>
      <c r="AF838" s="149"/>
      <c r="AG838" s="150"/>
      <c r="AH838" s="159" t="e">
        <f t="shared" si="1320"/>
        <v>#DIV/0!</v>
      </c>
      <c r="AI838" s="165" t="s">
        <v>319</v>
      </c>
      <c r="AJ838" s="182">
        <v>26.88</v>
      </c>
      <c r="AK838" s="183">
        <f t="shared" si="1334"/>
        <v>0</v>
      </c>
      <c r="AM838" s="105"/>
      <c r="AN838" s="105"/>
      <c r="AO838" s="105"/>
      <c r="AP838" s="105"/>
      <c r="AQ838" s="105"/>
      <c r="AR838" s="105"/>
    </row>
    <row r="839" spans="1:44" s="49" customFormat="1" ht="40.15" hidden="1" customHeight="1">
      <c r="A839" s="152">
        <f t="shared" ca="1" si="1321"/>
        <v>0</v>
      </c>
      <c r="B839" s="153" t="s">
        <v>322</v>
      </c>
      <c r="C839" s="154" t="str">
        <f t="shared" si="1322"/>
        <v>SC/0020</v>
      </c>
      <c r="D839" s="154" t="s">
        <v>3549</v>
      </c>
      <c r="E839" s="155" t="s">
        <v>3911</v>
      </c>
      <c r="F839" s="154"/>
      <c r="G839" s="154" t="s">
        <v>58</v>
      </c>
      <c r="H839" s="152">
        <v>79.540000000000006</v>
      </c>
      <c r="I839" s="152">
        <v>76.23</v>
      </c>
      <c r="J839" s="156"/>
      <c r="K839" s="156">
        <f>+S_Complementares!M8</f>
        <v>0</v>
      </c>
      <c r="L839" s="156">
        <f t="shared" si="1323"/>
        <v>0</v>
      </c>
      <c r="M839" s="156">
        <f t="shared" si="1324"/>
        <v>0</v>
      </c>
      <c r="N839" s="156" t="s">
        <v>83</v>
      </c>
      <c r="O839" s="157" cm="1">
        <f t="array" ref="O839">TRUNC($H839*(1+_xlfn.SWITCH($N839,"BDI 1",$O$6,"BDI 2",$O$7,"BDI 3",$O$8)),2)</f>
        <v>96</v>
      </c>
      <c r="P839" s="157" cm="1">
        <f t="array" ref="P839">TRUNC($I839*(1+_xlfn.SWITCH($N839,"BDI 1",$P$6,"BDI 2",$P$7,"BDI 3",$P$8)),2)</f>
        <v>96.61</v>
      </c>
      <c r="Q839" s="157">
        <v>0</v>
      </c>
      <c r="R839" s="157">
        <f t="shared" si="1325"/>
        <v>0</v>
      </c>
      <c r="S839" s="156">
        <f t="shared" si="1326"/>
        <v>0</v>
      </c>
      <c r="T839" s="156">
        <f t="shared" si="1327"/>
        <v>0</v>
      </c>
      <c r="U839" s="156">
        <f t="shared" si="1328"/>
        <v>0</v>
      </c>
      <c r="V839" s="156">
        <f t="shared" si="1329"/>
        <v>0</v>
      </c>
      <c r="W839" s="156">
        <f t="shared" si="1316"/>
        <v>0</v>
      </c>
      <c r="X839" s="158">
        <f t="shared" ref="X839" si="1339">$S839/ORCAMENTO_VALOR_TOTAL_ND</f>
        <v>0</v>
      </c>
      <c r="Y839" s="158">
        <f t="shared" ref="Y839" si="1340">$T839/ORCAMENTO_VALOR_TOTAL_DE</f>
        <v>0</v>
      </c>
      <c r="Z839" s="158" cm="1">
        <f t="array" ref="Z839">_xlfn.SWITCH($N839,"BDI 1",$O$6,"BDI 2",$O$7,"BDI 3",$O$8)</f>
        <v>0.20699999999999999</v>
      </c>
      <c r="AA839" s="158" cm="1">
        <f t="array" ref="AA839">_xlfn.SWITCH($N839,"BDI 1",$P$6,"BDI 2",$P$7,"BDI 3",$P$8)</f>
        <v>0.26739999999999997</v>
      </c>
      <c r="AB839" s="158">
        <f t="shared" ca="1" si="1332"/>
        <v>0</v>
      </c>
      <c r="AC839" s="158">
        <f t="shared" ca="1" si="1333"/>
        <v>0</v>
      </c>
      <c r="AD839" s="164"/>
      <c r="AE839" s="148">
        <f t="shared" si="1319"/>
        <v>0</v>
      </c>
      <c r="AF839" s="149"/>
      <c r="AG839" s="150"/>
      <c r="AH839" s="159" t="e">
        <f t="shared" si="1320"/>
        <v>#DIV/0!</v>
      </c>
      <c r="AI839" s="160"/>
      <c r="AJ839" s="182">
        <v>7.77</v>
      </c>
      <c r="AK839" s="183">
        <f t="shared" si="1334"/>
        <v>0</v>
      </c>
      <c r="AM839" s="105"/>
      <c r="AN839" s="105"/>
      <c r="AO839" s="105"/>
      <c r="AP839" s="105"/>
      <c r="AQ839" s="105"/>
      <c r="AR839" s="105"/>
    </row>
    <row r="840" spans="1:44" s="49" customFormat="1" ht="40.15" hidden="1" customHeight="1">
      <c r="A840" s="152">
        <f t="shared" ca="1" si="1321"/>
        <v>0</v>
      </c>
      <c r="B840" s="153" t="s">
        <v>323</v>
      </c>
      <c r="C840" s="154" t="str">
        <f t="shared" si="1322"/>
        <v>SC/0030</v>
      </c>
      <c r="D840" s="154" t="s">
        <v>3549</v>
      </c>
      <c r="E840" s="155" t="s">
        <v>3912</v>
      </c>
      <c r="F840" s="154"/>
      <c r="G840" s="154" t="s">
        <v>58</v>
      </c>
      <c r="H840" s="152">
        <v>29.92</v>
      </c>
      <c r="I840" s="152">
        <v>28.71</v>
      </c>
      <c r="J840" s="156"/>
      <c r="K840" s="156">
        <f>+S_Complementares!M9</f>
        <v>0</v>
      </c>
      <c r="L840" s="156">
        <f t="shared" si="1323"/>
        <v>0</v>
      </c>
      <c r="M840" s="156">
        <f t="shared" si="1324"/>
        <v>0</v>
      </c>
      <c r="N840" s="156" t="s">
        <v>83</v>
      </c>
      <c r="O840" s="157" cm="1">
        <f t="array" ref="O840">TRUNC($H840*(1+_xlfn.SWITCH($N840,"BDI 1",$O$6,"BDI 2",$O$7,"BDI 3",$O$8)),2)</f>
        <v>36.11</v>
      </c>
      <c r="P840" s="157" cm="1">
        <f t="array" ref="P840">TRUNC($I840*(1+_xlfn.SWITCH($N840,"BDI 1",$P$6,"BDI 2",$P$7,"BDI 3",$P$8)),2)</f>
        <v>36.380000000000003</v>
      </c>
      <c r="Q840" s="157">
        <v>0</v>
      </c>
      <c r="R840" s="157">
        <f t="shared" si="1325"/>
        <v>0</v>
      </c>
      <c r="S840" s="156">
        <f t="shared" si="1326"/>
        <v>0</v>
      </c>
      <c r="T840" s="156">
        <f t="shared" si="1327"/>
        <v>0</v>
      </c>
      <c r="U840" s="156">
        <f t="shared" si="1328"/>
        <v>0</v>
      </c>
      <c r="V840" s="156">
        <f t="shared" si="1329"/>
        <v>0</v>
      </c>
      <c r="W840" s="156">
        <f t="shared" si="1316"/>
        <v>0</v>
      </c>
      <c r="X840" s="158">
        <f t="shared" ref="X840" si="1341">$S840/ORCAMENTO_VALOR_TOTAL_ND</f>
        <v>0</v>
      </c>
      <c r="Y840" s="158">
        <f t="shared" ref="Y840" si="1342">$T840/ORCAMENTO_VALOR_TOTAL_DE</f>
        <v>0</v>
      </c>
      <c r="Z840" s="158" cm="1">
        <f t="array" ref="Z840">_xlfn.SWITCH($N840,"BDI 1",$O$6,"BDI 2",$O$7,"BDI 3",$O$8)</f>
        <v>0.20699999999999999</v>
      </c>
      <c r="AA840" s="158" cm="1">
        <f t="array" ref="AA840">_xlfn.SWITCH($N840,"BDI 1",$P$6,"BDI 2",$P$7,"BDI 3",$P$8)</f>
        <v>0.26739999999999997</v>
      </c>
      <c r="AB840" s="158">
        <f t="shared" ca="1" si="1332"/>
        <v>0</v>
      </c>
      <c r="AC840" s="158">
        <f t="shared" ca="1" si="1333"/>
        <v>0</v>
      </c>
      <c r="AD840" s="164"/>
      <c r="AE840" s="148">
        <f t="shared" si="1319"/>
        <v>0</v>
      </c>
      <c r="AF840" s="149"/>
      <c r="AG840" s="150"/>
      <c r="AH840" s="159" t="e">
        <f t="shared" si="1320"/>
        <v>#DIV/0!</v>
      </c>
      <c r="AI840" s="160"/>
      <c r="AJ840" s="182">
        <v>20.61</v>
      </c>
      <c r="AK840" s="183">
        <f t="shared" si="1334"/>
        <v>0</v>
      </c>
      <c r="AM840" s="105"/>
      <c r="AN840" s="105"/>
      <c r="AO840" s="105"/>
      <c r="AP840" s="105"/>
      <c r="AQ840" s="105"/>
      <c r="AR840" s="105"/>
    </row>
    <row r="841" spans="1:44" s="49" customFormat="1" ht="40.15" hidden="1" customHeight="1">
      <c r="A841" s="152">
        <f t="shared" ca="1" si="1321"/>
        <v>0</v>
      </c>
      <c r="B841" s="153" t="s">
        <v>324</v>
      </c>
      <c r="C841" s="154" t="str">
        <f t="shared" si="1322"/>
        <v>SC/0035</v>
      </c>
      <c r="D841" s="154" t="s">
        <v>3549</v>
      </c>
      <c r="E841" s="155" t="s">
        <v>3913</v>
      </c>
      <c r="F841" s="154"/>
      <c r="G841" s="154" t="s">
        <v>58</v>
      </c>
      <c r="H841" s="152">
        <v>32.25</v>
      </c>
      <c r="I841" s="152">
        <v>30.97</v>
      </c>
      <c r="J841" s="156"/>
      <c r="K841" s="156">
        <f>+S_Complementares!M10</f>
        <v>0</v>
      </c>
      <c r="L841" s="156">
        <f t="shared" si="1323"/>
        <v>0</v>
      </c>
      <c r="M841" s="156">
        <f t="shared" si="1324"/>
        <v>0</v>
      </c>
      <c r="N841" s="156" t="s">
        <v>83</v>
      </c>
      <c r="O841" s="157" cm="1">
        <f t="array" ref="O841">TRUNC($H841*(1+_xlfn.SWITCH($N841,"BDI 1",$O$6,"BDI 2",$O$7,"BDI 3",$O$8)),2)</f>
        <v>38.92</v>
      </c>
      <c r="P841" s="157" cm="1">
        <f t="array" ref="P841">TRUNC($I841*(1+_xlfn.SWITCH($N841,"BDI 1",$P$6,"BDI 2",$P$7,"BDI 3",$P$8)),2)</f>
        <v>39.25</v>
      </c>
      <c r="Q841" s="157">
        <v>0</v>
      </c>
      <c r="R841" s="157">
        <f t="shared" si="1325"/>
        <v>0</v>
      </c>
      <c r="S841" s="156">
        <f t="shared" si="1326"/>
        <v>0</v>
      </c>
      <c r="T841" s="156">
        <f t="shared" si="1327"/>
        <v>0</v>
      </c>
      <c r="U841" s="156">
        <f t="shared" si="1328"/>
        <v>0</v>
      </c>
      <c r="V841" s="156">
        <f t="shared" si="1329"/>
        <v>0</v>
      </c>
      <c r="W841" s="156">
        <f t="shared" si="1316"/>
        <v>0</v>
      </c>
      <c r="X841" s="158">
        <f t="shared" ref="X841" si="1343">$S841/ORCAMENTO_VALOR_TOTAL_ND</f>
        <v>0</v>
      </c>
      <c r="Y841" s="158">
        <f t="shared" ref="Y841" si="1344">$T841/ORCAMENTO_VALOR_TOTAL_DE</f>
        <v>0</v>
      </c>
      <c r="Z841" s="158" cm="1">
        <f t="array" ref="Z841">_xlfn.SWITCH($N841,"BDI 1",$O$6,"BDI 2",$O$7,"BDI 3",$O$8)</f>
        <v>0.20699999999999999</v>
      </c>
      <c r="AA841" s="158" cm="1">
        <f t="array" ref="AA841">_xlfn.SWITCH($N841,"BDI 1",$P$6,"BDI 2",$P$7,"BDI 3",$P$8)</f>
        <v>0.26739999999999997</v>
      </c>
      <c r="AB841" s="158">
        <f t="shared" ca="1" si="1332"/>
        <v>0</v>
      </c>
      <c r="AC841" s="158">
        <f t="shared" ca="1" si="1333"/>
        <v>0</v>
      </c>
      <c r="AD841" s="164"/>
      <c r="AE841" s="148">
        <f t="shared" si="1319"/>
        <v>0</v>
      </c>
      <c r="AF841" s="149"/>
      <c r="AG841" s="150"/>
      <c r="AH841" s="159" t="e">
        <f t="shared" si="1320"/>
        <v>#DIV/0!</v>
      </c>
      <c r="AI841" s="160"/>
      <c r="AJ841" s="182">
        <v>20.61</v>
      </c>
      <c r="AK841" s="183">
        <f t="shared" si="1334"/>
        <v>0</v>
      </c>
      <c r="AM841" s="105"/>
      <c r="AN841" s="105"/>
      <c r="AO841" s="105"/>
      <c r="AP841" s="105"/>
      <c r="AQ841" s="105"/>
      <c r="AR841" s="105"/>
    </row>
    <row r="842" spans="1:44" s="49" customFormat="1" ht="40.15" hidden="1" customHeight="1">
      <c r="A842" s="152">
        <f t="shared" ca="1" si="1321"/>
        <v>0</v>
      </c>
      <c r="B842" s="153" t="s">
        <v>325</v>
      </c>
      <c r="C842" s="154" t="str">
        <f t="shared" si="1322"/>
        <v>SC/0040</v>
      </c>
      <c r="D842" s="154" t="s">
        <v>3549</v>
      </c>
      <c r="E842" s="155" t="s">
        <v>3914</v>
      </c>
      <c r="F842" s="154"/>
      <c r="G842" s="154" t="s">
        <v>58</v>
      </c>
      <c r="H842" s="152">
        <v>42.4</v>
      </c>
      <c r="I842" s="152">
        <v>40.68</v>
      </c>
      <c r="J842" s="156"/>
      <c r="K842" s="156">
        <f>+S_Complementares!M11</f>
        <v>0</v>
      </c>
      <c r="L842" s="156">
        <f t="shared" si="1323"/>
        <v>0</v>
      </c>
      <c r="M842" s="156">
        <f t="shared" si="1324"/>
        <v>0</v>
      </c>
      <c r="N842" s="156" t="s">
        <v>83</v>
      </c>
      <c r="O842" s="157" cm="1">
        <f t="array" ref="O842">TRUNC($H842*(1+_xlfn.SWITCH($N842,"BDI 1",$O$6,"BDI 2",$O$7,"BDI 3",$O$8)),2)</f>
        <v>51.17</v>
      </c>
      <c r="P842" s="157" cm="1">
        <f t="array" ref="P842">TRUNC($I842*(1+_xlfn.SWITCH($N842,"BDI 1",$P$6,"BDI 2",$P$7,"BDI 3",$P$8)),2)</f>
        <v>51.55</v>
      </c>
      <c r="Q842" s="157">
        <v>0</v>
      </c>
      <c r="R842" s="157">
        <f t="shared" si="1325"/>
        <v>0</v>
      </c>
      <c r="S842" s="156">
        <f t="shared" si="1326"/>
        <v>0</v>
      </c>
      <c r="T842" s="156">
        <f t="shared" si="1327"/>
        <v>0</v>
      </c>
      <c r="U842" s="156">
        <f t="shared" si="1328"/>
        <v>0</v>
      </c>
      <c r="V842" s="156">
        <f t="shared" si="1329"/>
        <v>0</v>
      </c>
      <c r="W842" s="156">
        <f t="shared" si="1316"/>
        <v>0</v>
      </c>
      <c r="X842" s="158">
        <f t="shared" ref="X842" si="1345">$S842/ORCAMENTO_VALOR_TOTAL_ND</f>
        <v>0</v>
      </c>
      <c r="Y842" s="158">
        <f t="shared" ref="Y842" si="1346">$T842/ORCAMENTO_VALOR_TOTAL_DE</f>
        <v>0</v>
      </c>
      <c r="Z842" s="158" cm="1">
        <f t="array" ref="Z842">_xlfn.SWITCH($N842,"BDI 1",$O$6,"BDI 2",$O$7,"BDI 3",$O$8)</f>
        <v>0.20699999999999999</v>
      </c>
      <c r="AA842" s="158" cm="1">
        <f t="array" ref="AA842">_xlfn.SWITCH($N842,"BDI 1",$P$6,"BDI 2",$P$7,"BDI 3",$P$8)</f>
        <v>0.26739999999999997</v>
      </c>
      <c r="AB842" s="158">
        <f t="shared" ca="1" si="1332"/>
        <v>0</v>
      </c>
      <c r="AC842" s="158">
        <f t="shared" ca="1" si="1333"/>
        <v>0</v>
      </c>
      <c r="AD842" s="164"/>
      <c r="AE842" s="148">
        <f t="shared" si="1319"/>
        <v>0</v>
      </c>
      <c r="AF842" s="149"/>
      <c r="AG842" s="150"/>
      <c r="AH842" s="159" t="e">
        <f t="shared" si="1320"/>
        <v>#DIV/0!</v>
      </c>
      <c r="AI842" s="160"/>
      <c r="AJ842" s="182">
        <v>15.11</v>
      </c>
      <c r="AK842" s="183">
        <f t="shared" si="1334"/>
        <v>0</v>
      </c>
      <c r="AM842" s="105"/>
      <c r="AN842" s="105"/>
      <c r="AO842" s="105"/>
      <c r="AP842" s="105"/>
      <c r="AQ842" s="105"/>
      <c r="AR842" s="105"/>
    </row>
    <row r="843" spans="1:44" s="49" customFormat="1" ht="40.15" hidden="1" customHeight="1">
      <c r="A843" s="152">
        <f t="shared" ca="1" si="1321"/>
        <v>0</v>
      </c>
      <c r="B843" s="153">
        <v>97084</v>
      </c>
      <c r="C843" s="154" t="str">
        <f t="shared" si="1322"/>
        <v>97084</v>
      </c>
      <c r="D843" s="154" t="s">
        <v>1416</v>
      </c>
      <c r="E843" s="155" t="s">
        <v>3915</v>
      </c>
      <c r="F843" s="154"/>
      <c r="G843" s="154" t="s">
        <v>1418</v>
      </c>
      <c r="H843" s="152">
        <v>0.64</v>
      </c>
      <c r="I843" s="152">
        <v>0.57999999999999996</v>
      </c>
      <c r="J843" s="156"/>
      <c r="K843" s="156">
        <f>+S_Complementares!M33</f>
        <v>0</v>
      </c>
      <c r="L843" s="156">
        <f t="shared" si="1323"/>
        <v>0</v>
      </c>
      <c r="M843" s="156">
        <f t="shared" si="1324"/>
        <v>0</v>
      </c>
      <c r="N843" s="156" t="s">
        <v>83</v>
      </c>
      <c r="O843" s="157" cm="1">
        <f t="array" ref="O843">TRUNC($H843*(1+_xlfn.SWITCH($N843,"BDI 1",$O$6,"BDI 2",$O$7,"BDI 3",$O$8)),2)</f>
        <v>0.77</v>
      </c>
      <c r="P843" s="157" cm="1">
        <f t="array" ref="P843">TRUNC($I843*(1+_xlfn.SWITCH($N843,"BDI 1",$P$6,"BDI 2",$P$7,"BDI 3",$P$8)),2)</f>
        <v>0.73</v>
      </c>
      <c r="Q843" s="157">
        <v>0</v>
      </c>
      <c r="R843" s="157">
        <f t="shared" si="1325"/>
        <v>0</v>
      </c>
      <c r="S843" s="156">
        <f t="shared" si="1326"/>
        <v>0</v>
      </c>
      <c r="T843" s="156">
        <f t="shared" si="1327"/>
        <v>0</v>
      </c>
      <c r="U843" s="156">
        <f t="shared" si="1328"/>
        <v>0</v>
      </c>
      <c r="V843" s="156">
        <f t="shared" si="1329"/>
        <v>0</v>
      </c>
      <c r="W843" s="156">
        <f t="shared" si="1316"/>
        <v>0</v>
      </c>
      <c r="X843" s="158">
        <f t="shared" ref="X843" si="1347">$S843/ORCAMENTO_VALOR_TOTAL_ND</f>
        <v>0</v>
      </c>
      <c r="Y843" s="158">
        <f t="shared" ref="Y843" si="1348">$T843/ORCAMENTO_VALOR_TOTAL_DE</f>
        <v>0</v>
      </c>
      <c r="Z843" s="158" cm="1">
        <f t="array" ref="Z843">_xlfn.SWITCH($N843,"BDI 1",$O$6,"BDI 2",$O$7,"BDI 3",$O$8)</f>
        <v>0.20699999999999999</v>
      </c>
      <c r="AA843" s="158" cm="1">
        <f t="array" ref="AA843">_xlfn.SWITCH($N843,"BDI 1",$P$6,"BDI 2",$P$7,"BDI 3",$P$8)</f>
        <v>0.26739999999999997</v>
      </c>
      <c r="AB843" s="158">
        <f t="shared" ca="1" si="1332"/>
        <v>0</v>
      </c>
      <c r="AC843" s="158">
        <f t="shared" ca="1" si="1333"/>
        <v>0</v>
      </c>
      <c r="AD843" s="164"/>
      <c r="AE843" s="148">
        <f t="shared" si="1319"/>
        <v>0</v>
      </c>
      <c r="AF843" s="149"/>
      <c r="AG843" s="150"/>
      <c r="AH843" s="159" t="e">
        <f t="shared" si="1320"/>
        <v>#DIV/0!</v>
      </c>
      <c r="AI843" s="160"/>
      <c r="AJ843" s="105"/>
      <c r="AK843" s="105"/>
      <c r="AM843" s="105"/>
      <c r="AN843" s="105"/>
      <c r="AO843" s="105"/>
      <c r="AP843" s="105"/>
      <c r="AQ843" s="105"/>
      <c r="AR843" s="105"/>
    </row>
    <row r="844" spans="1:44" s="49" customFormat="1" ht="40.15" hidden="1" customHeight="1">
      <c r="A844" s="152">
        <f t="shared" ca="1" si="1321"/>
        <v>0</v>
      </c>
      <c r="B844" s="153">
        <v>100575</v>
      </c>
      <c r="C844" s="154" t="str">
        <f t="shared" si="1322"/>
        <v>100575</v>
      </c>
      <c r="D844" s="154" t="s">
        <v>1416</v>
      </c>
      <c r="E844" s="155" t="s">
        <v>3588</v>
      </c>
      <c r="F844" s="154"/>
      <c r="G844" s="154" t="s">
        <v>1418</v>
      </c>
      <c r="H844" s="152">
        <v>0.14000000000000001</v>
      </c>
      <c r="I844" s="152">
        <v>0.12</v>
      </c>
      <c r="J844" s="156"/>
      <c r="K844" s="156">
        <f>+S_Complementares!M37</f>
        <v>0</v>
      </c>
      <c r="L844" s="156">
        <f t="shared" si="1323"/>
        <v>0</v>
      </c>
      <c r="M844" s="156">
        <f t="shared" si="1324"/>
        <v>0</v>
      </c>
      <c r="N844" s="156" t="s">
        <v>83</v>
      </c>
      <c r="O844" s="157" cm="1">
        <f t="array" ref="O844">TRUNC($H844*(1+_xlfn.SWITCH($N844,"BDI 1",$O$6,"BDI 2",$O$7,"BDI 3",$O$8)),2)</f>
        <v>0.16</v>
      </c>
      <c r="P844" s="157" cm="1">
        <f t="array" ref="P844">TRUNC($I844*(1+_xlfn.SWITCH($N844,"BDI 1",$P$6,"BDI 2",$P$7,"BDI 3",$P$8)),2)</f>
        <v>0.15</v>
      </c>
      <c r="Q844" s="157">
        <v>0</v>
      </c>
      <c r="R844" s="157">
        <f t="shared" si="1325"/>
        <v>0</v>
      </c>
      <c r="S844" s="156">
        <f t="shared" si="1326"/>
        <v>0</v>
      </c>
      <c r="T844" s="156">
        <f t="shared" si="1327"/>
        <v>0</v>
      </c>
      <c r="U844" s="156">
        <f t="shared" si="1328"/>
        <v>0</v>
      </c>
      <c r="V844" s="156">
        <f t="shared" si="1329"/>
        <v>0</v>
      </c>
      <c r="W844" s="156">
        <f t="shared" si="1316"/>
        <v>0</v>
      </c>
      <c r="X844" s="158">
        <f t="shared" ref="X844" si="1349">$S844/ORCAMENTO_VALOR_TOTAL_ND</f>
        <v>0</v>
      </c>
      <c r="Y844" s="158">
        <f t="shared" ref="Y844" si="1350">$T844/ORCAMENTO_VALOR_TOTAL_DE</f>
        <v>0</v>
      </c>
      <c r="Z844" s="158" cm="1">
        <f t="array" ref="Z844">_xlfn.SWITCH($N844,"BDI 1",$O$6,"BDI 2",$O$7,"BDI 3",$O$8)</f>
        <v>0.20699999999999999</v>
      </c>
      <c r="AA844" s="158" cm="1">
        <f t="array" ref="AA844">_xlfn.SWITCH($N844,"BDI 1",$P$6,"BDI 2",$P$7,"BDI 3",$P$8)</f>
        <v>0.26739999999999997</v>
      </c>
      <c r="AB844" s="158">
        <f t="shared" ca="1" si="1332"/>
        <v>0</v>
      </c>
      <c r="AC844" s="158">
        <f t="shared" ca="1" si="1333"/>
        <v>0</v>
      </c>
      <c r="AD844" s="164"/>
      <c r="AE844" s="148">
        <f t="shared" si="1319"/>
        <v>0</v>
      </c>
      <c r="AF844" s="149"/>
      <c r="AG844" s="150"/>
      <c r="AH844" s="159" t="e">
        <f t="shared" si="1320"/>
        <v>#DIV/0!</v>
      </c>
      <c r="AI844" s="160"/>
      <c r="AJ844" s="105"/>
      <c r="AK844" s="105"/>
      <c r="AM844" s="105"/>
      <c r="AN844" s="105"/>
      <c r="AO844" s="105"/>
      <c r="AP844" s="105"/>
      <c r="AQ844" s="105"/>
      <c r="AR844" s="105"/>
    </row>
    <row r="845" spans="1:44" s="49" customFormat="1" ht="40.15" hidden="1" customHeight="1">
      <c r="A845" s="152">
        <f t="shared" ca="1" si="1321"/>
        <v>0</v>
      </c>
      <c r="B845" s="153" t="s">
        <v>228</v>
      </c>
      <c r="C845" s="154" t="str">
        <f t="shared" si="1322"/>
        <v>SC/0250</v>
      </c>
      <c r="D845" s="154" t="s">
        <v>3549</v>
      </c>
      <c r="E845" s="155" t="s">
        <v>3847</v>
      </c>
      <c r="F845" s="154"/>
      <c r="G845" s="154" t="s">
        <v>1418</v>
      </c>
      <c r="H845" s="152">
        <v>6.57</v>
      </c>
      <c r="I845" s="152">
        <v>6.52</v>
      </c>
      <c r="J845" s="156"/>
      <c r="K845" s="156">
        <f>+S_Complementares!M15</f>
        <v>0</v>
      </c>
      <c r="L845" s="156">
        <f t="shared" si="1323"/>
        <v>0</v>
      </c>
      <c r="M845" s="156">
        <f t="shared" si="1324"/>
        <v>0</v>
      </c>
      <c r="N845" s="156" t="s">
        <v>83</v>
      </c>
      <c r="O845" s="157" cm="1">
        <f t="array" ref="O845">TRUNC($H845*(1+_xlfn.SWITCH($N845,"BDI 1",$O$6,"BDI 2",$O$7,"BDI 3",$O$8)),2)</f>
        <v>7.92</v>
      </c>
      <c r="P845" s="157" cm="1">
        <f t="array" ref="P845">TRUNC($I845*(1+_xlfn.SWITCH($N845,"BDI 1",$P$6,"BDI 2",$P$7,"BDI 3",$P$8)),2)</f>
        <v>8.26</v>
      </c>
      <c r="Q845" s="157">
        <v>0</v>
      </c>
      <c r="R845" s="157">
        <f t="shared" si="1325"/>
        <v>0</v>
      </c>
      <c r="S845" s="156">
        <f t="shared" si="1326"/>
        <v>0</v>
      </c>
      <c r="T845" s="156">
        <f t="shared" si="1327"/>
        <v>0</v>
      </c>
      <c r="U845" s="156">
        <f t="shared" si="1328"/>
        <v>0</v>
      </c>
      <c r="V845" s="156">
        <f t="shared" si="1329"/>
        <v>0</v>
      </c>
      <c r="W845" s="156">
        <f t="shared" si="1316"/>
        <v>0</v>
      </c>
      <c r="X845" s="158">
        <f t="shared" ref="X845" si="1351">$S845/ORCAMENTO_VALOR_TOTAL_ND</f>
        <v>0</v>
      </c>
      <c r="Y845" s="158">
        <f t="shared" ref="Y845" si="1352">$T845/ORCAMENTO_VALOR_TOTAL_DE</f>
        <v>0</v>
      </c>
      <c r="Z845" s="158" cm="1">
        <f t="array" ref="Z845">_xlfn.SWITCH($N845,"BDI 1",$O$6,"BDI 2",$O$7,"BDI 3",$O$8)</f>
        <v>0.20699999999999999</v>
      </c>
      <c r="AA845" s="158" cm="1">
        <f t="array" ref="AA845">_xlfn.SWITCH($N845,"BDI 1",$P$6,"BDI 2",$P$7,"BDI 3",$P$8)</f>
        <v>0.26739999999999997</v>
      </c>
      <c r="AB845" s="158">
        <f t="shared" ca="1" si="1332"/>
        <v>0</v>
      </c>
      <c r="AC845" s="158">
        <f t="shared" ca="1" si="1333"/>
        <v>0</v>
      </c>
      <c r="AD845" s="164"/>
      <c r="AE845" s="148">
        <f t="shared" si="1319"/>
        <v>0</v>
      </c>
      <c r="AF845" s="149"/>
      <c r="AG845" s="150"/>
      <c r="AH845" s="159" t="e">
        <f t="shared" si="1320"/>
        <v>#DIV/0!</v>
      </c>
      <c r="AI845" s="160"/>
      <c r="AJ845" s="105"/>
      <c r="AK845" s="105"/>
      <c r="AM845" s="105"/>
      <c r="AN845" s="105"/>
      <c r="AO845" s="105"/>
      <c r="AP845" s="105"/>
      <c r="AQ845" s="105"/>
      <c r="AR845" s="105"/>
    </row>
    <row r="846" spans="1:44" s="49" customFormat="1" ht="40.15" hidden="1" customHeight="1">
      <c r="A846" s="152">
        <f t="shared" ca="1" si="1321"/>
        <v>0</v>
      </c>
      <c r="B846" s="153">
        <v>98503</v>
      </c>
      <c r="C846" s="154" t="str">
        <f t="shared" si="1322"/>
        <v>98503</v>
      </c>
      <c r="D846" s="154" t="s">
        <v>1416</v>
      </c>
      <c r="E846" s="155" t="s">
        <v>3916</v>
      </c>
      <c r="F846" s="154"/>
      <c r="G846" s="154" t="s">
        <v>1418</v>
      </c>
      <c r="H846" s="152">
        <v>22.49</v>
      </c>
      <c r="I846" s="152">
        <v>23.3</v>
      </c>
      <c r="J846" s="156"/>
      <c r="K846" s="156"/>
      <c r="L846" s="156">
        <f t="shared" si="1323"/>
        <v>0</v>
      </c>
      <c r="M846" s="156">
        <f t="shared" si="1324"/>
        <v>0</v>
      </c>
      <c r="N846" s="156" t="s">
        <v>83</v>
      </c>
      <c r="O846" s="157" cm="1">
        <f t="array" ref="O846">TRUNC($H846*(1+_xlfn.SWITCH($N846,"BDI 1",$O$6,"BDI 2",$O$7,"BDI 3",$O$8)),2)</f>
        <v>27.14</v>
      </c>
      <c r="P846" s="157" cm="1">
        <f t="array" ref="P846">TRUNC($I846*(1+_xlfn.SWITCH($N846,"BDI 1",$P$6,"BDI 2",$P$7,"BDI 3",$P$8)),2)</f>
        <v>29.53</v>
      </c>
      <c r="Q846" s="157">
        <v>0</v>
      </c>
      <c r="R846" s="157">
        <f t="shared" si="1325"/>
        <v>0</v>
      </c>
      <c r="S846" s="156">
        <f t="shared" si="1326"/>
        <v>0</v>
      </c>
      <c r="T846" s="156">
        <f t="shared" si="1327"/>
        <v>0</v>
      </c>
      <c r="U846" s="156">
        <f t="shared" si="1328"/>
        <v>0</v>
      </c>
      <c r="V846" s="156">
        <f t="shared" si="1329"/>
        <v>0</v>
      </c>
      <c r="W846" s="156">
        <f t="shared" si="1316"/>
        <v>0</v>
      </c>
      <c r="X846" s="158">
        <f t="shared" ref="X846" si="1353">$S846/ORCAMENTO_VALOR_TOTAL_ND</f>
        <v>0</v>
      </c>
      <c r="Y846" s="158">
        <f t="shared" ref="Y846" si="1354">$T846/ORCAMENTO_VALOR_TOTAL_DE</f>
        <v>0</v>
      </c>
      <c r="Z846" s="158" cm="1">
        <f t="array" ref="Z846">_xlfn.SWITCH($N846,"BDI 1",$O$6,"BDI 2",$O$7,"BDI 3",$O$8)</f>
        <v>0.20699999999999999</v>
      </c>
      <c r="AA846" s="158" cm="1">
        <f t="array" ref="AA846">_xlfn.SWITCH($N846,"BDI 1",$P$6,"BDI 2",$P$7,"BDI 3",$P$8)</f>
        <v>0.26739999999999997</v>
      </c>
      <c r="AB846" s="158">
        <f t="shared" ca="1" si="1332"/>
        <v>0</v>
      </c>
      <c r="AC846" s="158">
        <f t="shared" ca="1" si="1333"/>
        <v>0</v>
      </c>
      <c r="AD846" s="164"/>
      <c r="AE846" s="148">
        <f t="shared" si="1319"/>
        <v>0</v>
      </c>
      <c r="AF846" s="149"/>
      <c r="AG846" s="150"/>
      <c r="AH846" s="159" t="e">
        <f t="shared" si="1320"/>
        <v>#DIV/0!</v>
      </c>
      <c r="AI846" s="154"/>
      <c r="AJ846" s="105"/>
      <c r="AK846" s="105"/>
      <c r="AM846" s="105"/>
      <c r="AN846" s="105"/>
      <c r="AO846" s="105"/>
      <c r="AP846" s="105"/>
      <c r="AQ846" s="105"/>
      <c r="AR846" s="105"/>
    </row>
    <row r="847" spans="1:44" s="49" customFormat="1" ht="40.15" hidden="1" customHeight="1">
      <c r="A847" s="152">
        <f t="shared" ca="1" si="1321"/>
        <v>0</v>
      </c>
      <c r="B847" s="153">
        <v>103946</v>
      </c>
      <c r="C847" s="154" t="str">
        <f t="shared" si="1322"/>
        <v>103946</v>
      </c>
      <c r="D847" s="154" t="s">
        <v>1416</v>
      </c>
      <c r="E847" s="155" t="s">
        <v>3680</v>
      </c>
      <c r="F847" s="154"/>
      <c r="G847" s="154" t="s">
        <v>1418</v>
      </c>
      <c r="H847" s="152">
        <v>13.06</v>
      </c>
      <c r="I847" s="152">
        <v>12.44</v>
      </c>
      <c r="J847" s="156"/>
      <c r="K847" s="156">
        <f>+S_Complementares!M20</f>
        <v>0</v>
      </c>
      <c r="L847" s="156">
        <f t="shared" si="1323"/>
        <v>0</v>
      </c>
      <c r="M847" s="156">
        <f t="shared" si="1324"/>
        <v>0</v>
      </c>
      <c r="N847" s="156" t="s">
        <v>83</v>
      </c>
      <c r="O847" s="157" cm="1">
        <f t="array" ref="O847">TRUNC($H847*(1+_xlfn.SWITCH($N847,"BDI 1",$O$6,"BDI 2",$O$7,"BDI 3",$O$8)),2)</f>
        <v>15.76</v>
      </c>
      <c r="P847" s="157" cm="1">
        <f t="array" ref="P847">TRUNC($I847*(1+_xlfn.SWITCH($N847,"BDI 1",$P$6,"BDI 2",$P$7,"BDI 3",$P$8)),2)</f>
        <v>15.76</v>
      </c>
      <c r="Q847" s="157">
        <v>0</v>
      </c>
      <c r="R847" s="157">
        <f t="shared" si="1325"/>
        <v>0</v>
      </c>
      <c r="S847" s="156">
        <f t="shared" si="1326"/>
        <v>0</v>
      </c>
      <c r="T847" s="156">
        <f t="shared" si="1327"/>
        <v>0</v>
      </c>
      <c r="U847" s="156">
        <f t="shared" si="1328"/>
        <v>0</v>
      </c>
      <c r="V847" s="156">
        <f t="shared" si="1329"/>
        <v>0</v>
      </c>
      <c r="W847" s="156">
        <f t="shared" si="1316"/>
        <v>0</v>
      </c>
      <c r="X847" s="158">
        <f t="shared" ref="X847" si="1355">$S847/ORCAMENTO_VALOR_TOTAL_ND</f>
        <v>0</v>
      </c>
      <c r="Y847" s="158">
        <f t="shared" ref="Y847" si="1356">$T847/ORCAMENTO_VALOR_TOTAL_DE</f>
        <v>0</v>
      </c>
      <c r="Z847" s="158" cm="1">
        <f t="array" ref="Z847">_xlfn.SWITCH($N847,"BDI 1",$O$6,"BDI 2",$O$7,"BDI 3",$O$8)</f>
        <v>0.20699999999999999</v>
      </c>
      <c r="AA847" s="158" cm="1">
        <f t="array" ref="AA847">_xlfn.SWITCH($N847,"BDI 1",$P$6,"BDI 2",$P$7,"BDI 3",$P$8)</f>
        <v>0.26739999999999997</v>
      </c>
      <c r="AB847" s="158">
        <f t="shared" ca="1" si="1332"/>
        <v>0</v>
      </c>
      <c r="AC847" s="158">
        <f t="shared" ca="1" si="1333"/>
        <v>0</v>
      </c>
      <c r="AD847" s="164"/>
      <c r="AE847" s="148">
        <f t="shared" si="1319"/>
        <v>0</v>
      </c>
      <c r="AF847" s="149"/>
      <c r="AG847" s="150"/>
      <c r="AH847" s="159" t="e">
        <f t="shared" si="1320"/>
        <v>#DIV/0!</v>
      </c>
      <c r="AI847" s="165" t="s">
        <v>135</v>
      </c>
      <c r="AJ847" s="105"/>
      <c r="AK847" s="105"/>
      <c r="AM847" s="105"/>
      <c r="AN847" s="105"/>
      <c r="AO847" s="105"/>
      <c r="AP847" s="105"/>
      <c r="AQ847" s="105"/>
      <c r="AR847" s="105"/>
    </row>
    <row r="848" spans="1:44" s="49" customFormat="1" ht="49.9" hidden="1" customHeight="1">
      <c r="A848" s="152">
        <f t="shared" ca="1" si="1321"/>
        <v>0</v>
      </c>
      <c r="B848" s="153">
        <v>101203</v>
      </c>
      <c r="C848" s="154" t="str">
        <f t="shared" si="1322"/>
        <v>101203</v>
      </c>
      <c r="D848" s="154" t="s">
        <v>1416</v>
      </c>
      <c r="E848" s="155" t="s">
        <v>1432</v>
      </c>
      <c r="F848" s="154"/>
      <c r="G848" s="154" t="s">
        <v>58</v>
      </c>
      <c r="H848" s="152">
        <v>40.98</v>
      </c>
      <c r="I848" s="152">
        <v>38.450000000000003</v>
      </c>
      <c r="J848" s="156"/>
      <c r="K848" s="156">
        <f>+S_Complementares!M21</f>
        <v>0</v>
      </c>
      <c r="L848" s="156">
        <f t="shared" si="1323"/>
        <v>0</v>
      </c>
      <c r="M848" s="156">
        <f t="shared" si="1324"/>
        <v>0</v>
      </c>
      <c r="N848" s="156" t="s">
        <v>83</v>
      </c>
      <c r="O848" s="157" cm="1">
        <f t="array" ref="O848">TRUNC($H848*(1+_xlfn.SWITCH($N848,"BDI 1",$O$6,"BDI 2",$O$7,"BDI 3",$O$8)),2)</f>
        <v>49.46</v>
      </c>
      <c r="P848" s="157" cm="1">
        <f t="array" ref="P848">TRUNC($I848*(1+_xlfn.SWITCH($N848,"BDI 1",$P$6,"BDI 2",$P$7,"BDI 3",$P$8)),2)</f>
        <v>48.73</v>
      </c>
      <c r="Q848" s="157">
        <v>0</v>
      </c>
      <c r="R848" s="157">
        <f t="shared" si="1325"/>
        <v>0</v>
      </c>
      <c r="S848" s="156">
        <f t="shared" si="1326"/>
        <v>0</v>
      </c>
      <c r="T848" s="156">
        <f t="shared" si="1327"/>
        <v>0</v>
      </c>
      <c r="U848" s="156">
        <f t="shared" si="1328"/>
        <v>0</v>
      </c>
      <c r="V848" s="156">
        <f t="shared" si="1329"/>
        <v>0</v>
      </c>
      <c r="W848" s="156">
        <f t="shared" si="1316"/>
        <v>0</v>
      </c>
      <c r="X848" s="158">
        <f t="shared" ref="X848" si="1357">$S848/ORCAMENTO_VALOR_TOTAL_ND</f>
        <v>0</v>
      </c>
      <c r="Y848" s="158">
        <f t="shared" ref="Y848" si="1358">$T848/ORCAMENTO_VALOR_TOTAL_DE</f>
        <v>0</v>
      </c>
      <c r="Z848" s="158" cm="1">
        <f t="array" ref="Z848">_xlfn.SWITCH($N848,"BDI 1",$O$6,"BDI 2",$O$7,"BDI 3",$O$8)</f>
        <v>0.20699999999999999</v>
      </c>
      <c r="AA848" s="158" cm="1">
        <f t="array" ref="AA848">_xlfn.SWITCH($N848,"BDI 1",$P$6,"BDI 2",$P$7,"BDI 3",$P$8)</f>
        <v>0.26739999999999997</v>
      </c>
      <c r="AB848" s="158">
        <f t="shared" ca="1" si="1332"/>
        <v>0</v>
      </c>
      <c r="AC848" s="158">
        <f t="shared" ca="1" si="1333"/>
        <v>0</v>
      </c>
      <c r="AD848" s="164"/>
      <c r="AE848" s="148">
        <f t="shared" si="1319"/>
        <v>0</v>
      </c>
      <c r="AF848" s="149"/>
      <c r="AG848" s="150"/>
      <c r="AH848" s="159" t="e">
        <f t="shared" si="1320"/>
        <v>#DIV/0!</v>
      </c>
      <c r="AI848" s="154"/>
      <c r="AJ848" s="105"/>
      <c r="AK848" s="105"/>
      <c r="AM848" s="105"/>
      <c r="AN848" s="105"/>
      <c r="AO848" s="105"/>
      <c r="AP848" s="105"/>
      <c r="AQ848" s="105"/>
      <c r="AR848" s="105"/>
    </row>
    <row r="849" spans="1:44" s="49" customFormat="1" ht="40.15" hidden="1" customHeight="1">
      <c r="A849" s="152">
        <f t="shared" ca="1" si="1321"/>
        <v>0</v>
      </c>
      <c r="B849" s="153">
        <v>101193</v>
      </c>
      <c r="C849" s="154" t="str">
        <f t="shared" si="1322"/>
        <v>101193</v>
      </c>
      <c r="D849" s="154" t="s">
        <v>1416</v>
      </c>
      <c r="E849" s="155" t="s">
        <v>3917</v>
      </c>
      <c r="F849" s="154"/>
      <c r="G849" s="154" t="s">
        <v>58</v>
      </c>
      <c r="H849" s="152">
        <v>55.82</v>
      </c>
      <c r="I849" s="152">
        <v>53.44</v>
      </c>
      <c r="J849" s="156"/>
      <c r="K849" s="156">
        <f>+S_Complementares!M22</f>
        <v>0</v>
      </c>
      <c r="L849" s="156">
        <f t="shared" si="1323"/>
        <v>0</v>
      </c>
      <c r="M849" s="156">
        <f t="shared" si="1324"/>
        <v>0</v>
      </c>
      <c r="N849" s="156" t="s">
        <v>83</v>
      </c>
      <c r="O849" s="157" cm="1">
        <f t="array" ref="O849">TRUNC($H849*(1+_xlfn.SWITCH($N849,"BDI 1",$O$6,"BDI 2",$O$7,"BDI 3",$O$8)),2)</f>
        <v>67.37</v>
      </c>
      <c r="P849" s="157" cm="1">
        <f t="array" ref="P849">TRUNC($I849*(1+_xlfn.SWITCH($N849,"BDI 1",$P$6,"BDI 2",$P$7,"BDI 3",$P$8)),2)</f>
        <v>67.72</v>
      </c>
      <c r="Q849" s="157">
        <v>0</v>
      </c>
      <c r="R849" s="157">
        <f t="shared" si="1325"/>
        <v>0</v>
      </c>
      <c r="S849" s="156">
        <f t="shared" si="1326"/>
        <v>0</v>
      </c>
      <c r="T849" s="156">
        <f t="shared" si="1327"/>
        <v>0</v>
      </c>
      <c r="U849" s="156">
        <f t="shared" si="1328"/>
        <v>0</v>
      </c>
      <c r="V849" s="156">
        <f t="shared" si="1329"/>
        <v>0</v>
      </c>
      <c r="W849" s="156">
        <f t="shared" si="1316"/>
        <v>0</v>
      </c>
      <c r="X849" s="158">
        <f t="shared" ref="X849" si="1359">$S849/ORCAMENTO_VALOR_TOTAL_ND</f>
        <v>0</v>
      </c>
      <c r="Y849" s="158">
        <f t="shared" ref="Y849" si="1360">$T849/ORCAMENTO_VALOR_TOTAL_DE</f>
        <v>0</v>
      </c>
      <c r="Z849" s="158" cm="1">
        <f t="array" ref="Z849">_xlfn.SWITCH($N849,"BDI 1",$O$6,"BDI 2",$O$7,"BDI 3",$O$8)</f>
        <v>0.20699999999999999</v>
      </c>
      <c r="AA849" s="158" cm="1">
        <f t="array" ref="AA849">_xlfn.SWITCH($N849,"BDI 1",$P$6,"BDI 2",$P$7,"BDI 3",$P$8)</f>
        <v>0.26739999999999997</v>
      </c>
      <c r="AB849" s="158">
        <f t="shared" ca="1" si="1332"/>
        <v>0</v>
      </c>
      <c r="AC849" s="158">
        <f t="shared" ca="1" si="1333"/>
        <v>0</v>
      </c>
      <c r="AD849" s="164"/>
      <c r="AE849" s="148">
        <f t="shared" si="1319"/>
        <v>0</v>
      </c>
      <c r="AF849" s="149"/>
      <c r="AG849" s="150"/>
      <c r="AH849" s="159" t="e">
        <f t="shared" si="1320"/>
        <v>#DIV/0!</v>
      </c>
      <c r="AI849" s="154"/>
      <c r="AJ849" s="105"/>
      <c r="AK849" s="105"/>
      <c r="AM849" s="105"/>
      <c r="AN849" s="105"/>
      <c r="AO849" s="105"/>
      <c r="AP849" s="105"/>
      <c r="AQ849" s="105"/>
      <c r="AR849" s="105"/>
    </row>
    <row r="850" spans="1:44" s="49" customFormat="1" ht="49.9" hidden="1" customHeight="1">
      <c r="A850" s="152">
        <f t="shared" ca="1" si="1321"/>
        <v>0</v>
      </c>
      <c r="B850" s="153" t="s">
        <v>226</v>
      </c>
      <c r="C850" s="154" t="str">
        <f t="shared" si="1322"/>
        <v>SC/0115</v>
      </c>
      <c r="D850" s="154" t="s">
        <v>3549</v>
      </c>
      <c r="E850" s="155" t="s">
        <v>3844</v>
      </c>
      <c r="F850" s="154"/>
      <c r="G850" s="154" t="s">
        <v>58</v>
      </c>
      <c r="H850" s="152">
        <v>233.38</v>
      </c>
      <c r="I850" s="152">
        <v>223.03</v>
      </c>
      <c r="J850" s="156"/>
      <c r="K850" s="156">
        <f>+S_Complementares!M23</f>
        <v>0</v>
      </c>
      <c r="L850" s="156">
        <f t="shared" si="1323"/>
        <v>0</v>
      </c>
      <c r="M850" s="156">
        <f t="shared" si="1324"/>
        <v>0</v>
      </c>
      <c r="N850" s="156" t="s">
        <v>83</v>
      </c>
      <c r="O850" s="157" cm="1">
        <f t="array" ref="O850">TRUNC($H850*(1+_xlfn.SWITCH($N850,"BDI 1",$O$6,"BDI 2",$O$7,"BDI 3",$O$8)),2)</f>
        <v>281.68</v>
      </c>
      <c r="P850" s="157" cm="1">
        <f t="array" ref="P850">TRUNC($I850*(1+_xlfn.SWITCH($N850,"BDI 1",$P$6,"BDI 2",$P$7,"BDI 3",$P$8)),2)</f>
        <v>282.66000000000003</v>
      </c>
      <c r="Q850" s="157">
        <v>0</v>
      </c>
      <c r="R850" s="157">
        <f t="shared" si="1325"/>
        <v>0</v>
      </c>
      <c r="S850" s="156">
        <f t="shared" si="1326"/>
        <v>0</v>
      </c>
      <c r="T850" s="156">
        <f t="shared" si="1327"/>
        <v>0</v>
      </c>
      <c r="U850" s="156">
        <f t="shared" si="1328"/>
        <v>0</v>
      </c>
      <c r="V850" s="156">
        <f t="shared" si="1329"/>
        <v>0</v>
      </c>
      <c r="W850" s="156">
        <f t="shared" si="1316"/>
        <v>0</v>
      </c>
      <c r="X850" s="158">
        <f t="shared" ref="X850" si="1361">$S850/ORCAMENTO_VALOR_TOTAL_ND</f>
        <v>0</v>
      </c>
      <c r="Y850" s="158">
        <f t="shared" ref="Y850" si="1362">$T850/ORCAMENTO_VALOR_TOTAL_DE</f>
        <v>0</v>
      </c>
      <c r="Z850" s="158" cm="1">
        <f t="array" ref="Z850">_xlfn.SWITCH($N850,"BDI 1",$O$6,"BDI 2",$O$7,"BDI 3",$O$8)</f>
        <v>0.20699999999999999</v>
      </c>
      <c r="AA850" s="158" cm="1">
        <f t="array" ref="AA850">_xlfn.SWITCH($N850,"BDI 1",$P$6,"BDI 2",$P$7,"BDI 3",$P$8)</f>
        <v>0.26739999999999997</v>
      </c>
      <c r="AB850" s="158">
        <f t="shared" ca="1" si="1332"/>
        <v>0</v>
      </c>
      <c r="AC850" s="158">
        <f t="shared" ca="1" si="1333"/>
        <v>0</v>
      </c>
      <c r="AD850" s="164"/>
      <c r="AE850" s="148">
        <f t="shared" si="1319"/>
        <v>0</v>
      </c>
      <c r="AF850" s="149"/>
      <c r="AG850" s="150"/>
      <c r="AH850" s="159" t="e">
        <f t="shared" si="1320"/>
        <v>#DIV/0!</v>
      </c>
      <c r="AI850" s="154"/>
      <c r="AJ850" s="105"/>
      <c r="AK850" s="105"/>
      <c r="AM850" s="105"/>
      <c r="AN850" s="105"/>
      <c r="AO850" s="105"/>
      <c r="AP850" s="105"/>
      <c r="AQ850" s="105"/>
      <c r="AR850" s="105"/>
    </row>
    <row r="851" spans="1:44" s="49" customFormat="1" ht="40.15" hidden="1" customHeight="1">
      <c r="A851" s="152">
        <f t="shared" ca="1" si="1321"/>
        <v>0</v>
      </c>
      <c r="B851" s="153" t="s">
        <v>94</v>
      </c>
      <c r="C851" s="154" t="str">
        <f t="shared" si="1322"/>
        <v>SC/0120</v>
      </c>
      <c r="D851" s="154" t="s">
        <v>3549</v>
      </c>
      <c r="E851" s="155" t="s">
        <v>3543</v>
      </c>
      <c r="F851" s="154"/>
      <c r="G851" s="154" t="s">
        <v>1418</v>
      </c>
      <c r="H851" s="152">
        <v>989.46</v>
      </c>
      <c r="I851" s="152">
        <v>939.81</v>
      </c>
      <c r="J851" s="156"/>
      <c r="K851" s="156">
        <f>+S_Complementares!M27</f>
        <v>0</v>
      </c>
      <c r="L851" s="156">
        <f t="shared" si="1323"/>
        <v>0</v>
      </c>
      <c r="M851" s="156">
        <f t="shared" si="1324"/>
        <v>0</v>
      </c>
      <c r="N851" s="156" t="s">
        <v>83</v>
      </c>
      <c r="O851" s="157" cm="1">
        <f t="array" ref="O851">TRUNC($H851*(1+_xlfn.SWITCH($N851,"BDI 1",$O$6,"BDI 2",$O$7,"BDI 3",$O$8)),2)</f>
        <v>1194.27</v>
      </c>
      <c r="P851" s="157" cm="1">
        <f t="array" ref="P851">TRUNC($I851*(1+_xlfn.SWITCH($N851,"BDI 1",$P$6,"BDI 2",$P$7,"BDI 3",$P$8)),2)</f>
        <v>1191.1099999999999</v>
      </c>
      <c r="Q851" s="157">
        <v>0</v>
      </c>
      <c r="R851" s="157">
        <f t="shared" si="1325"/>
        <v>0</v>
      </c>
      <c r="S851" s="156">
        <f t="shared" si="1326"/>
        <v>0</v>
      </c>
      <c r="T851" s="156">
        <f t="shared" si="1327"/>
        <v>0</v>
      </c>
      <c r="U851" s="156">
        <f t="shared" si="1328"/>
        <v>0</v>
      </c>
      <c r="V851" s="156">
        <f t="shared" si="1329"/>
        <v>0</v>
      </c>
      <c r="W851" s="156">
        <f t="shared" si="1316"/>
        <v>0</v>
      </c>
      <c r="X851" s="158">
        <f t="shared" ref="X851" si="1363">$S851/ORCAMENTO_VALOR_TOTAL_ND</f>
        <v>0</v>
      </c>
      <c r="Y851" s="158">
        <f t="shared" ref="Y851" si="1364">$T851/ORCAMENTO_VALOR_TOTAL_DE</f>
        <v>0</v>
      </c>
      <c r="Z851" s="158" cm="1">
        <f t="array" ref="Z851">_xlfn.SWITCH($N851,"BDI 1",$O$6,"BDI 2",$O$7,"BDI 3",$O$8)</f>
        <v>0.20699999999999999</v>
      </c>
      <c r="AA851" s="158" cm="1">
        <f t="array" ref="AA851">_xlfn.SWITCH($N851,"BDI 1",$P$6,"BDI 2",$P$7,"BDI 3",$P$8)</f>
        <v>0.26739999999999997</v>
      </c>
      <c r="AB851" s="158">
        <f t="shared" ca="1" si="1332"/>
        <v>0</v>
      </c>
      <c r="AC851" s="158">
        <f t="shared" ca="1" si="1333"/>
        <v>0</v>
      </c>
      <c r="AD851" s="164"/>
      <c r="AE851" s="148">
        <f t="shared" si="1319"/>
        <v>0</v>
      </c>
      <c r="AF851" s="149"/>
      <c r="AG851" s="150"/>
      <c r="AH851" s="159" t="e">
        <f t="shared" si="1320"/>
        <v>#DIV/0!</v>
      </c>
      <c r="AI851" s="154"/>
      <c r="AJ851" s="105"/>
      <c r="AK851" s="105"/>
      <c r="AM851" s="105"/>
      <c r="AN851" s="105"/>
      <c r="AO851" s="105"/>
      <c r="AP851" s="105"/>
      <c r="AQ851" s="105"/>
      <c r="AR851" s="105"/>
    </row>
    <row r="852" spans="1:44" s="49" customFormat="1" ht="40.15" hidden="1" customHeight="1">
      <c r="A852" s="152">
        <f t="shared" ca="1" si="1321"/>
        <v>0</v>
      </c>
      <c r="B852" s="153">
        <v>98510</v>
      </c>
      <c r="C852" s="154" t="str">
        <f t="shared" si="1322"/>
        <v>98510</v>
      </c>
      <c r="D852" s="154" t="s">
        <v>1416</v>
      </c>
      <c r="E852" s="155" t="s">
        <v>1429</v>
      </c>
      <c r="F852" s="154"/>
      <c r="G852" s="154" t="s">
        <v>1412</v>
      </c>
      <c r="H852" s="152">
        <v>68.48</v>
      </c>
      <c r="I852" s="152">
        <v>66.75</v>
      </c>
      <c r="J852" s="156"/>
      <c r="K852" s="156">
        <f>+S_Complementares!M41</f>
        <v>0</v>
      </c>
      <c r="L852" s="156">
        <f t="shared" si="1323"/>
        <v>0</v>
      </c>
      <c r="M852" s="156">
        <f t="shared" si="1324"/>
        <v>0</v>
      </c>
      <c r="N852" s="156" t="s">
        <v>83</v>
      </c>
      <c r="O852" s="157" cm="1">
        <f t="array" ref="O852">TRUNC($H852*(1+_xlfn.SWITCH($N852,"BDI 1",$O$6,"BDI 2",$O$7,"BDI 3",$O$8)),2)</f>
        <v>82.65</v>
      </c>
      <c r="P852" s="157" cm="1">
        <f t="array" ref="P852">TRUNC($I852*(1+_xlfn.SWITCH($N852,"BDI 1",$P$6,"BDI 2",$P$7,"BDI 3",$P$8)),2)</f>
        <v>84.59</v>
      </c>
      <c r="Q852" s="157">
        <v>0</v>
      </c>
      <c r="R852" s="157">
        <f t="shared" si="1325"/>
        <v>0</v>
      </c>
      <c r="S852" s="156">
        <f t="shared" si="1326"/>
        <v>0</v>
      </c>
      <c r="T852" s="156">
        <f t="shared" si="1327"/>
        <v>0</v>
      </c>
      <c r="U852" s="156">
        <f t="shared" si="1328"/>
        <v>0</v>
      </c>
      <c r="V852" s="156">
        <f t="shared" si="1329"/>
        <v>0</v>
      </c>
      <c r="W852" s="156">
        <f t="shared" si="1316"/>
        <v>0</v>
      </c>
      <c r="X852" s="158">
        <f t="shared" ref="X852" si="1365">$S852/ORCAMENTO_VALOR_TOTAL_ND</f>
        <v>0</v>
      </c>
      <c r="Y852" s="158">
        <f t="shared" ref="Y852" si="1366">$T852/ORCAMENTO_VALOR_TOTAL_DE</f>
        <v>0</v>
      </c>
      <c r="Z852" s="158" cm="1">
        <f t="array" ref="Z852">_xlfn.SWITCH($N852,"BDI 1",$O$6,"BDI 2",$O$7,"BDI 3",$O$8)</f>
        <v>0.20699999999999999</v>
      </c>
      <c r="AA852" s="158" cm="1">
        <f t="array" ref="AA852">_xlfn.SWITCH($N852,"BDI 1",$P$6,"BDI 2",$P$7,"BDI 3",$P$8)</f>
        <v>0.26739999999999997</v>
      </c>
      <c r="AB852" s="158">
        <f t="shared" ca="1" si="1332"/>
        <v>0</v>
      </c>
      <c r="AC852" s="158">
        <f t="shared" ca="1" si="1333"/>
        <v>0</v>
      </c>
      <c r="AD852" s="164"/>
      <c r="AE852" s="148">
        <f t="shared" si="1319"/>
        <v>0</v>
      </c>
      <c r="AF852" s="149"/>
      <c r="AG852" s="150"/>
      <c r="AH852" s="159" t="e">
        <f t="shared" si="1320"/>
        <v>#DIV/0!</v>
      </c>
      <c r="AI852" s="165" t="s">
        <v>229</v>
      </c>
      <c r="AJ852" s="105"/>
      <c r="AK852" s="105"/>
      <c r="AM852" s="105"/>
      <c r="AN852" s="105"/>
      <c r="AO852" s="105"/>
      <c r="AP852" s="105"/>
      <c r="AQ852" s="105"/>
      <c r="AR852" s="105"/>
    </row>
    <row r="853" spans="1:44" s="49" customFormat="1" ht="40.15" hidden="1" customHeight="1">
      <c r="A853" s="152">
        <f t="shared" ca="1" si="1321"/>
        <v>0</v>
      </c>
      <c r="B853" s="153">
        <v>98516</v>
      </c>
      <c r="C853" s="154" t="str">
        <f t="shared" si="1322"/>
        <v>98516</v>
      </c>
      <c r="D853" s="154" t="s">
        <v>1416</v>
      </c>
      <c r="E853" s="155" t="s">
        <v>3848</v>
      </c>
      <c r="F853" s="154"/>
      <c r="G853" s="154" t="s">
        <v>1412</v>
      </c>
      <c r="H853" s="152">
        <v>352.12</v>
      </c>
      <c r="I853" s="152">
        <v>337.78</v>
      </c>
      <c r="J853" s="156"/>
      <c r="K853" s="156">
        <f>+S_Complementares!M42</f>
        <v>0</v>
      </c>
      <c r="L853" s="156">
        <f t="shared" si="1323"/>
        <v>0</v>
      </c>
      <c r="M853" s="156">
        <f t="shared" si="1324"/>
        <v>0</v>
      </c>
      <c r="N853" s="156" t="s">
        <v>83</v>
      </c>
      <c r="O853" s="157" cm="1">
        <f t="array" ref="O853">TRUNC($H853*(1+_xlfn.SWITCH($N853,"BDI 1",$O$6,"BDI 2",$O$7,"BDI 3",$O$8)),2)</f>
        <v>425</v>
      </c>
      <c r="P853" s="157" cm="1">
        <f t="array" ref="P853">TRUNC($I853*(1+_xlfn.SWITCH($N853,"BDI 1",$P$6,"BDI 2",$P$7,"BDI 3",$P$8)),2)</f>
        <v>428.1</v>
      </c>
      <c r="Q853" s="157">
        <v>0</v>
      </c>
      <c r="R853" s="157">
        <f t="shared" si="1325"/>
        <v>0</v>
      </c>
      <c r="S853" s="156">
        <f t="shared" si="1326"/>
        <v>0</v>
      </c>
      <c r="T853" s="156">
        <f t="shared" si="1327"/>
        <v>0</v>
      </c>
      <c r="U853" s="156">
        <f t="shared" si="1328"/>
        <v>0</v>
      </c>
      <c r="V853" s="156">
        <f t="shared" si="1329"/>
        <v>0</v>
      </c>
      <c r="W853" s="156">
        <f t="shared" si="1316"/>
        <v>0</v>
      </c>
      <c r="X853" s="158">
        <f t="shared" ref="X853" si="1367">$S853/ORCAMENTO_VALOR_TOTAL_ND</f>
        <v>0</v>
      </c>
      <c r="Y853" s="158">
        <f t="shared" ref="Y853" si="1368">$T853/ORCAMENTO_VALOR_TOTAL_DE</f>
        <v>0</v>
      </c>
      <c r="Z853" s="158" cm="1">
        <f t="array" ref="Z853">_xlfn.SWITCH($N853,"BDI 1",$O$6,"BDI 2",$O$7,"BDI 3",$O$8)</f>
        <v>0.20699999999999999</v>
      </c>
      <c r="AA853" s="158" cm="1">
        <f t="array" ref="AA853">_xlfn.SWITCH($N853,"BDI 1",$P$6,"BDI 2",$P$7,"BDI 3",$P$8)</f>
        <v>0.26739999999999997</v>
      </c>
      <c r="AB853" s="158">
        <f t="shared" ca="1" si="1332"/>
        <v>0</v>
      </c>
      <c r="AC853" s="158">
        <f t="shared" ca="1" si="1333"/>
        <v>0</v>
      </c>
      <c r="AD853" s="164"/>
      <c r="AE853" s="148">
        <f t="shared" si="1319"/>
        <v>0</v>
      </c>
      <c r="AF853" s="149"/>
      <c r="AG853" s="150"/>
      <c r="AH853" s="159" t="e">
        <f t="shared" si="1320"/>
        <v>#DIV/0!</v>
      </c>
      <c r="AI853" s="160"/>
      <c r="AJ853" s="105"/>
      <c r="AK853" s="105"/>
      <c r="AM853" s="105"/>
      <c r="AN853" s="105"/>
      <c r="AO853" s="105"/>
      <c r="AP853" s="105"/>
      <c r="AQ853" s="105"/>
      <c r="AR853" s="105"/>
    </row>
    <row r="854" spans="1:44" s="49" customFormat="1" ht="40.15" hidden="1" customHeight="1">
      <c r="A854" s="152">
        <f t="shared" ca="1" si="1321"/>
        <v>0</v>
      </c>
      <c r="B854" s="153">
        <v>94963</v>
      </c>
      <c r="C854" s="154" t="str">
        <f t="shared" si="1322"/>
        <v>94963</v>
      </c>
      <c r="D854" s="154" t="s">
        <v>1416</v>
      </c>
      <c r="E854" s="155" t="s">
        <v>3862</v>
      </c>
      <c r="F854" s="154"/>
      <c r="G854" s="154" t="s">
        <v>464</v>
      </c>
      <c r="H854" s="152">
        <v>428.94</v>
      </c>
      <c r="I854" s="152">
        <v>426.98</v>
      </c>
      <c r="J854" s="156"/>
      <c r="K854" s="156">
        <f>+S_Complementares!M41</f>
        <v>0</v>
      </c>
      <c r="L854" s="156">
        <f t="shared" si="1323"/>
        <v>0</v>
      </c>
      <c r="M854" s="156">
        <f t="shared" si="1324"/>
        <v>0</v>
      </c>
      <c r="N854" s="156" t="s">
        <v>83</v>
      </c>
      <c r="O854" s="157" cm="1">
        <f t="array" ref="O854">TRUNC($H854*(1+_xlfn.SWITCH($N854,"BDI 1",$O$6,"BDI 2",$O$7,"BDI 3",$O$8)),2)</f>
        <v>517.73</v>
      </c>
      <c r="P854" s="157" cm="1">
        <f t="array" ref="P854">TRUNC($I854*(1+_xlfn.SWITCH($N854,"BDI 1",$P$6,"BDI 2",$P$7,"BDI 3",$P$8)),2)</f>
        <v>541.15</v>
      </c>
      <c r="Q854" s="157">
        <v>0</v>
      </c>
      <c r="R854" s="157">
        <f t="shared" si="1325"/>
        <v>0</v>
      </c>
      <c r="S854" s="156">
        <f t="shared" si="1326"/>
        <v>0</v>
      </c>
      <c r="T854" s="156">
        <f t="shared" si="1327"/>
        <v>0</v>
      </c>
      <c r="U854" s="156">
        <f t="shared" si="1328"/>
        <v>0</v>
      </c>
      <c r="V854" s="156">
        <f t="shared" si="1329"/>
        <v>0</v>
      </c>
      <c r="W854" s="156">
        <f t="shared" si="1316"/>
        <v>0</v>
      </c>
      <c r="X854" s="158">
        <f t="shared" ref="X854" si="1369">$S854/ORCAMENTO_VALOR_TOTAL_ND</f>
        <v>0</v>
      </c>
      <c r="Y854" s="158">
        <f t="shared" ref="Y854" si="1370">$T854/ORCAMENTO_VALOR_TOTAL_DE</f>
        <v>0</v>
      </c>
      <c r="Z854" s="158" cm="1">
        <f t="array" ref="Z854">_xlfn.SWITCH($N854,"BDI 1",$O$6,"BDI 2",$O$7,"BDI 3",$O$8)</f>
        <v>0.20699999999999999</v>
      </c>
      <c r="AA854" s="158" cm="1">
        <f t="array" ref="AA854">_xlfn.SWITCH($N854,"BDI 1",$P$6,"BDI 2",$P$7,"BDI 3",$P$8)</f>
        <v>0.26739999999999997</v>
      </c>
      <c r="AB854" s="158">
        <f t="shared" ca="1" si="1332"/>
        <v>0</v>
      </c>
      <c r="AC854" s="158">
        <f t="shared" ca="1" si="1333"/>
        <v>0</v>
      </c>
      <c r="AD854" s="164"/>
      <c r="AE854" s="148">
        <f t="shared" si="1319"/>
        <v>0</v>
      </c>
      <c r="AF854" s="149"/>
      <c r="AG854" s="150"/>
      <c r="AH854" s="159" t="e">
        <f t="shared" si="1320"/>
        <v>#DIV/0!</v>
      </c>
      <c r="AI854" s="160"/>
      <c r="AJ854" s="105"/>
      <c r="AK854" s="105"/>
      <c r="AM854" s="105"/>
      <c r="AN854" s="105"/>
      <c r="AO854" s="105"/>
      <c r="AP854" s="105"/>
      <c r="AQ854" s="105"/>
      <c r="AR854" s="105"/>
    </row>
    <row r="855" spans="1:44" s="49" customFormat="1" ht="40.15" hidden="1" customHeight="1">
      <c r="A855" s="152">
        <f t="shared" ca="1" si="1321"/>
        <v>0</v>
      </c>
      <c r="B855" s="153">
        <v>94965</v>
      </c>
      <c r="C855" s="154" t="str">
        <f t="shared" si="1322"/>
        <v>94965</v>
      </c>
      <c r="D855" s="154" t="s">
        <v>1416</v>
      </c>
      <c r="E855" s="155" t="s">
        <v>3820</v>
      </c>
      <c r="F855" s="154"/>
      <c r="G855" s="154" t="s">
        <v>464</v>
      </c>
      <c r="H855" s="152">
        <v>489.71</v>
      </c>
      <c r="I855" s="152">
        <v>487.51</v>
      </c>
      <c r="J855" s="156"/>
      <c r="K855" s="156">
        <f>+S_Complementares!M45</f>
        <v>0</v>
      </c>
      <c r="L855" s="156">
        <f t="shared" si="1323"/>
        <v>0</v>
      </c>
      <c r="M855" s="156">
        <f t="shared" si="1324"/>
        <v>0</v>
      </c>
      <c r="N855" s="156" t="s">
        <v>83</v>
      </c>
      <c r="O855" s="157" cm="1">
        <f t="array" ref="O855">TRUNC($H855*(1+_xlfn.SWITCH($N855,"BDI 1",$O$6,"BDI 2",$O$7,"BDI 3",$O$8)),2)</f>
        <v>591.07000000000005</v>
      </c>
      <c r="P855" s="157" cm="1">
        <f t="array" ref="P855">TRUNC($I855*(1+_xlfn.SWITCH($N855,"BDI 1",$P$6,"BDI 2",$P$7,"BDI 3",$P$8)),2)</f>
        <v>617.87</v>
      </c>
      <c r="Q855" s="157">
        <v>0</v>
      </c>
      <c r="R855" s="157">
        <f t="shared" si="1325"/>
        <v>0</v>
      </c>
      <c r="S855" s="156">
        <f t="shared" si="1326"/>
        <v>0</v>
      </c>
      <c r="T855" s="156">
        <f t="shared" si="1327"/>
        <v>0</v>
      </c>
      <c r="U855" s="156">
        <f t="shared" si="1328"/>
        <v>0</v>
      </c>
      <c r="V855" s="156">
        <f t="shared" si="1329"/>
        <v>0</v>
      </c>
      <c r="W855" s="156">
        <f t="shared" si="1316"/>
        <v>0</v>
      </c>
      <c r="X855" s="158">
        <f t="shared" ref="X855" si="1371">$S855/ORCAMENTO_VALOR_TOTAL_ND</f>
        <v>0</v>
      </c>
      <c r="Y855" s="158">
        <f t="shared" ref="Y855" si="1372">$T855/ORCAMENTO_VALOR_TOTAL_DE</f>
        <v>0</v>
      </c>
      <c r="Z855" s="158" cm="1">
        <f t="array" ref="Z855">_xlfn.SWITCH($N855,"BDI 1",$O$6,"BDI 2",$O$7,"BDI 3",$O$8)</f>
        <v>0.20699999999999999</v>
      </c>
      <c r="AA855" s="158" cm="1">
        <f t="array" ref="AA855">_xlfn.SWITCH($N855,"BDI 1",$P$6,"BDI 2",$P$7,"BDI 3",$P$8)</f>
        <v>0.26739999999999997</v>
      </c>
      <c r="AB855" s="158">
        <f t="shared" ca="1" si="1332"/>
        <v>0</v>
      </c>
      <c r="AC855" s="158">
        <f t="shared" ca="1" si="1333"/>
        <v>0</v>
      </c>
      <c r="AD855" s="164"/>
      <c r="AE855" s="148">
        <f t="shared" si="1319"/>
        <v>0</v>
      </c>
      <c r="AF855" s="149"/>
      <c r="AG855" s="150"/>
      <c r="AH855" s="159" t="e">
        <f t="shared" si="1320"/>
        <v>#DIV/0!</v>
      </c>
      <c r="AI855" s="160"/>
      <c r="AJ855" s="105"/>
      <c r="AK855" s="105"/>
      <c r="AM855" s="105"/>
      <c r="AN855" s="105"/>
      <c r="AO855" s="105"/>
      <c r="AP855" s="105"/>
      <c r="AQ855" s="105"/>
      <c r="AR855" s="105"/>
    </row>
    <row r="856" spans="1:44" s="49" customFormat="1" ht="40.15" hidden="1" customHeight="1">
      <c r="A856" s="152">
        <f t="shared" ca="1" si="1321"/>
        <v>0</v>
      </c>
      <c r="B856" s="153">
        <v>92413</v>
      </c>
      <c r="C856" s="154" t="str">
        <f t="shared" si="1322"/>
        <v>92413</v>
      </c>
      <c r="D856" s="154" t="s">
        <v>1416</v>
      </c>
      <c r="E856" s="155" t="s">
        <v>3800</v>
      </c>
      <c r="F856" s="154"/>
      <c r="G856" s="154" t="s">
        <v>1418</v>
      </c>
      <c r="H856" s="152">
        <v>93.28</v>
      </c>
      <c r="I856" s="152">
        <v>87.04</v>
      </c>
      <c r="J856" s="156"/>
      <c r="K856" s="156">
        <f>+S_Complementares!M48</f>
        <v>0</v>
      </c>
      <c r="L856" s="156">
        <f t="shared" si="1323"/>
        <v>0</v>
      </c>
      <c r="M856" s="156">
        <f t="shared" si="1324"/>
        <v>0</v>
      </c>
      <c r="N856" s="156" t="s">
        <v>83</v>
      </c>
      <c r="O856" s="157" cm="1">
        <f t="array" ref="O856">TRUNC($H856*(1+_xlfn.SWITCH($N856,"BDI 1",$O$6,"BDI 2",$O$7,"BDI 3",$O$8)),2)</f>
        <v>112.58</v>
      </c>
      <c r="P856" s="157" cm="1">
        <f t="array" ref="P856">TRUNC($I856*(1+_xlfn.SWITCH($N856,"BDI 1",$P$6,"BDI 2",$P$7,"BDI 3",$P$8)),2)</f>
        <v>110.31</v>
      </c>
      <c r="Q856" s="157">
        <v>0</v>
      </c>
      <c r="R856" s="157">
        <f t="shared" si="1325"/>
        <v>0</v>
      </c>
      <c r="S856" s="156">
        <f t="shared" si="1326"/>
        <v>0</v>
      </c>
      <c r="T856" s="156">
        <f t="shared" si="1327"/>
        <v>0</v>
      </c>
      <c r="U856" s="156">
        <f t="shared" si="1328"/>
        <v>0</v>
      </c>
      <c r="V856" s="156">
        <f t="shared" si="1329"/>
        <v>0</v>
      </c>
      <c r="W856" s="156">
        <f t="shared" si="1316"/>
        <v>0</v>
      </c>
      <c r="X856" s="158">
        <f t="shared" ref="X856" si="1373">$S856/ORCAMENTO_VALOR_TOTAL_ND</f>
        <v>0</v>
      </c>
      <c r="Y856" s="158">
        <f t="shared" ref="Y856" si="1374">$T856/ORCAMENTO_VALOR_TOTAL_DE</f>
        <v>0</v>
      </c>
      <c r="Z856" s="158" cm="1">
        <f t="array" ref="Z856">_xlfn.SWITCH($N856,"BDI 1",$O$6,"BDI 2",$O$7,"BDI 3",$O$8)</f>
        <v>0.20699999999999999</v>
      </c>
      <c r="AA856" s="158" cm="1">
        <f t="array" ref="AA856">_xlfn.SWITCH($N856,"BDI 1",$P$6,"BDI 2",$P$7,"BDI 3",$P$8)</f>
        <v>0.26739999999999997</v>
      </c>
      <c r="AB856" s="158">
        <f t="shared" ca="1" si="1332"/>
        <v>0</v>
      </c>
      <c r="AC856" s="158">
        <f t="shared" ca="1" si="1333"/>
        <v>0</v>
      </c>
      <c r="AD856" s="164"/>
      <c r="AE856" s="148">
        <f t="shared" si="1319"/>
        <v>0</v>
      </c>
      <c r="AF856" s="149"/>
      <c r="AG856" s="150"/>
      <c r="AH856" s="159" t="e">
        <f t="shared" si="1320"/>
        <v>#DIV/0!</v>
      </c>
      <c r="AI856" s="160"/>
      <c r="AJ856" s="105"/>
      <c r="AK856" s="105"/>
      <c r="AM856" s="105"/>
      <c r="AN856" s="105"/>
      <c r="AO856" s="105"/>
      <c r="AP856" s="105"/>
      <c r="AQ856" s="105"/>
      <c r="AR856" s="105"/>
    </row>
    <row r="857" spans="1:44" s="49" customFormat="1" ht="40.15" hidden="1" customHeight="1">
      <c r="A857" s="152">
        <f t="shared" ca="1" si="1321"/>
        <v>0</v>
      </c>
      <c r="B857" s="153">
        <v>96543</v>
      </c>
      <c r="C857" s="154" t="str">
        <f t="shared" si="1322"/>
        <v>96543</v>
      </c>
      <c r="D857" s="154" t="s">
        <v>1416</v>
      </c>
      <c r="E857" s="155" t="s">
        <v>3801</v>
      </c>
      <c r="F857" s="154"/>
      <c r="G857" s="154" t="s">
        <v>3802</v>
      </c>
      <c r="H857" s="152">
        <v>19.41</v>
      </c>
      <c r="I857" s="152">
        <v>18.38</v>
      </c>
      <c r="J857" s="156"/>
      <c r="K857" s="156">
        <f>+S_Complementares!M49</f>
        <v>0</v>
      </c>
      <c r="L857" s="156">
        <f t="shared" si="1323"/>
        <v>0</v>
      </c>
      <c r="M857" s="156">
        <f t="shared" si="1324"/>
        <v>0</v>
      </c>
      <c r="N857" s="156" t="s">
        <v>83</v>
      </c>
      <c r="O857" s="157" cm="1">
        <f t="array" ref="O857">TRUNC($H857*(1+_xlfn.SWITCH($N857,"BDI 1",$O$6,"BDI 2",$O$7,"BDI 3",$O$8)),2)</f>
        <v>23.42</v>
      </c>
      <c r="P857" s="157" cm="1">
        <f t="array" ref="P857">TRUNC($I857*(1+_xlfn.SWITCH($N857,"BDI 1",$P$6,"BDI 2",$P$7,"BDI 3",$P$8)),2)</f>
        <v>23.29</v>
      </c>
      <c r="Q857" s="157">
        <v>0</v>
      </c>
      <c r="R857" s="157">
        <f t="shared" si="1325"/>
        <v>0</v>
      </c>
      <c r="S857" s="156">
        <f t="shared" si="1326"/>
        <v>0</v>
      </c>
      <c r="T857" s="156">
        <f t="shared" si="1327"/>
        <v>0</v>
      </c>
      <c r="U857" s="156">
        <f t="shared" si="1328"/>
        <v>0</v>
      </c>
      <c r="V857" s="156">
        <f t="shared" si="1329"/>
        <v>0</v>
      </c>
      <c r="W857" s="156">
        <f t="shared" si="1316"/>
        <v>0</v>
      </c>
      <c r="X857" s="158">
        <f t="shared" ref="X857" si="1375">$S857/ORCAMENTO_VALOR_TOTAL_ND</f>
        <v>0</v>
      </c>
      <c r="Y857" s="158">
        <f t="shared" ref="Y857" si="1376">$T857/ORCAMENTO_VALOR_TOTAL_DE</f>
        <v>0</v>
      </c>
      <c r="Z857" s="158" cm="1">
        <f t="array" ref="Z857">_xlfn.SWITCH($N857,"BDI 1",$O$6,"BDI 2",$O$7,"BDI 3",$O$8)</f>
        <v>0.20699999999999999</v>
      </c>
      <c r="AA857" s="158" cm="1">
        <f t="array" ref="AA857">_xlfn.SWITCH($N857,"BDI 1",$P$6,"BDI 2",$P$7,"BDI 3",$P$8)</f>
        <v>0.26739999999999997</v>
      </c>
      <c r="AB857" s="158">
        <f t="shared" ca="1" si="1332"/>
        <v>0</v>
      </c>
      <c r="AC857" s="158">
        <f t="shared" ca="1" si="1333"/>
        <v>0</v>
      </c>
      <c r="AD857" s="164"/>
      <c r="AE857" s="148">
        <f t="shared" si="1319"/>
        <v>0</v>
      </c>
      <c r="AF857" s="149"/>
      <c r="AG857" s="150"/>
      <c r="AH857" s="159" t="e">
        <f t="shared" si="1320"/>
        <v>#DIV/0!</v>
      </c>
      <c r="AI857" s="160"/>
      <c r="AJ857" s="105"/>
      <c r="AK857" s="105"/>
      <c r="AM857" s="105"/>
      <c r="AN857" s="105"/>
      <c r="AO857" s="105"/>
      <c r="AP857" s="105"/>
      <c r="AQ857" s="105"/>
      <c r="AR857" s="105"/>
    </row>
    <row r="858" spans="1:44" s="49" customFormat="1" ht="40.15" hidden="1" customHeight="1">
      <c r="A858" s="152">
        <f t="shared" ca="1" si="1321"/>
        <v>0</v>
      </c>
      <c r="B858" s="153">
        <v>100342</v>
      </c>
      <c r="C858" s="154" t="str">
        <f t="shared" si="1322"/>
        <v>100342</v>
      </c>
      <c r="D858" s="154" t="s">
        <v>1416</v>
      </c>
      <c r="E858" s="155" t="s">
        <v>3803</v>
      </c>
      <c r="F858" s="154"/>
      <c r="G858" s="154" t="s">
        <v>3802</v>
      </c>
      <c r="H858" s="152">
        <v>14.4</v>
      </c>
      <c r="I858" s="152">
        <v>13.93</v>
      </c>
      <c r="J858" s="156"/>
      <c r="K858" s="156">
        <f>+S_Complementares!M50</f>
        <v>0</v>
      </c>
      <c r="L858" s="156">
        <f t="shared" si="1323"/>
        <v>0</v>
      </c>
      <c r="M858" s="156">
        <f t="shared" si="1324"/>
        <v>0</v>
      </c>
      <c r="N858" s="156" t="s">
        <v>83</v>
      </c>
      <c r="O858" s="157" cm="1">
        <f t="array" ref="O858">TRUNC($H858*(1+_xlfn.SWITCH($N858,"BDI 1",$O$6,"BDI 2",$O$7,"BDI 3",$O$8)),2)</f>
        <v>17.38</v>
      </c>
      <c r="P858" s="157" cm="1">
        <f t="array" ref="P858">TRUNC($I858*(1+_xlfn.SWITCH($N858,"BDI 1",$P$6,"BDI 2",$P$7,"BDI 3",$P$8)),2)</f>
        <v>17.649999999999999</v>
      </c>
      <c r="Q858" s="157">
        <v>0</v>
      </c>
      <c r="R858" s="157">
        <f t="shared" si="1325"/>
        <v>0</v>
      </c>
      <c r="S858" s="156">
        <f t="shared" si="1326"/>
        <v>0</v>
      </c>
      <c r="T858" s="156">
        <f t="shared" si="1327"/>
        <v>0</v>
      </c>
      <c r="U858" s="156">
        <f t="shared" si="1328"/>
        <v>0</v>
      </c>
      <c r="V858" s="156">
        <f t="shared" si="1329"/>
        <v>0</v>
      </c>
      <c r="W858" s="156">
        <f t="shared" si="1316"/>
        <v>0</v>
      </c>
      <c r="X858" s="158">
        <f t="shared" ref="X858" si="1377">$S858/ORCAMENTO_VALOR_TOTAL_ND</f>
        <v>0</v>
      </c>
      <c r="Y858" s="158">
        <f t="shared" ref="Y858" si="1378">$T858/ORCAMENTO_VALOR_TOTAL_DE</f>
        <v>0</v>
      </c>
      <c r="Z858" s="158" cm="1">
        <f t="array" ref="Z858">_xlfn.SWITCH($N858,"BDI 1",$O$6,"BDI 2",$O$7,"BDI 3",$O$8)</f>
        <v>0.20699999999999999</v>
      </c>
      <c r="AA858" s="158" cm="1">
        <f t="array" ref="AA858">_xlfn.SWITCH($N858,"BDI 1",$P$6,"BDI 2",$P$7,"BDI 3",$P$8)</f>
        <v>0.26739999999999997</v>
      </c>
      <c r="AB858" s="158">
        <f t="shared" ca="1" si="1332"/>
        <v>0</v>
      </c>
      <c r="AC858" s="158">
        <f t="shared" ca="1" si="1333"/>
        <v>0</v>
      </c>
      <c r="AD858" s="164"/>
      <c r="AE858" s="148">
        <f t="shared" si="1319"/>
        <v>0</v>
      </c>
      <c r="AF858" s="149"/>
      <c r="AG858" s="150"/>
      <c r="AH858" s="159" t="e">
        <f t="shared" si="1320"/>
        <v>#DIV/0!</v>
      </c>
      <c r="AI858" s="160"/>
      <c r="AJ858" s="105"/>
      <c r="AK858" s="105"/>
      <c r="AM858" s="105"/>
      <c r="AN858" s="105"/>
      <c r="AO858" s="105"/>
      <c r="AP858" s="105"/>
      <c r="AQ858" s="105"/>
      <c r="AR858" s="105"/>
    </row>
    <row r="859" spans="1:44" s="49" customFormat="1" ht="40.15" hidden="1" customHeight="1">
      <c r="A859" s="152">
        <f t="shared" ca="1" si="1321"/>
        <v>0</v>
      </c>
      <c r="B859" s="153">
        <v>100343</v>
      </c>
      <c r="C859" s="154" t="str">
        <f t="shared" si="1322"/>
        <v>100343</v>
      </c>
      <c r="D859" s="154" t="s">
        <v>1416</v>
      </c>
      <c r="E859" s="155" t="s">
        <v>3804</v>
      </c>
      <c r="F859" s="154"/>
      <c r="G859" s="154" t="s">
        <v>3802</v>
      </c>
      <c r="H859" s="152">
        <v>13.61</v>
      </c>
      <c r="I859" s="152">
        <v>13.26</v>
      </c>
      <c r="J859" s="156"/>
      <c r="K859" s="156">
        <f>+S_Complementares!M51</f>
        <v>0</v>
      </c>
      <c r="L859" s="156">
        <f t="shared" si="1323"/>
        <v>0</v>
      </c>
      <c r="M859" s="156">
        <f t="shared" si="1324"/>
        <v>0</v>
      </c>
      <c r="N859" s="156" t="s">
        <v>83</v>
      </c>
      <c r="O859" s="157" cm="1">
        <f t="array" ref="O859">TRUNC($H859*(1+_xlfn.SWITCH($N859,"BDI 1",$O$6,"BDI 2",$O$7,"BDI 3",$O$8)),2)</f>
        <v>16.420000000000002</v>
      </c>
      <c r="P859" s="157" cm="1">
        <f t="array" ref="P859">TRUNC($I859*(1+_xlfn.SWITCH($N859,"BDI 1",$P$6,"BDI 2",$P$7,"BDI 3",$P$8)),2)</f>
        <v>16.8</v>
      </c>
      <c r="Q859" s="157">
        <v>0</v>
      </c>
      <c r="R859" s="157">
        <f t="shared" si="1325"/>
        <v>0</v>
      </c>
      <c r="S859" s="156">
        <f t="shared" si="1326"/>
        <v>0</v>
      </c>
      <c r="T859" s="156">
        <f t="shared" si="1327"/>
        <v>0</v>
      </c>
      <c r="U859" s="156">
        <f t="shared" si="1328"/>
        <v>0</v>
      </c>
      <c r="V859" s="156">
        <f t="shared" si="1329"/>
        <v>0</v>
      </c>
      <c r="W859" s="156">
        <f t="shared" si="1316"/>
        <v>0</v>
      </c>
      <c r="X859" s="158">
        <f t="shared" ref="X859" si="1379">$S859/ORCAMENTO_VALOR_TOTAL_ND</f>
        <v>0</v>
      </c>
      <c r="Y859" s="158">
        <f t="shared" ref="Y859" si="1380">$T859/ORCAMENTO_VALOR_TOTAL_DE</f>
        <v>0</v>
      </c>
      <c r="Z859" s="158" cm="1">
        <f t="array" ref="Z859">_xlfn.SWITCH($N859,"BDI 1",$O$6,"BDI 2",$O$7,"BDI 3",$O$8)</f>
        <v>0.20699999999999999</v>
      </c>
      <c r="AA859" s="158" cm="1">
        <f t="array" ref="AA859">_xlfn.SWITCH($N859,"BDI 1",$P$6,"BDI 2",$P$7,"BDI 3",$P$8)</f>
        <v>0.26739999999999997</v>
      </c>
      <c r="AB859" s="158">
        <f t="shared" ca="1" si="1332"/>
        <v>0</v>
      </c>
      <c r="AC859" s="158">
        <f t="shared" ca="1" si="1333"/>
        <v>0</v>
      </c>
      <c r="AD859" s="164"/>
      <c r="AE859" s="148">
        <f t="shared" si="1319"/>
        <v>0</v>
      </c>
      <c r="AF859" s="149"/>
      <c r="AG859" s="150"/>
      <c r="AH859" s="159" t="e">
        <f t="shared" si="1320"/>
        <v>#DIV/0!</v>
      </c>
      <c r="AI859" s="160"/>
      <c r="AJ859" s="105"/>
      <c r="AK859" s="105"/>
      <c r="AM859" s="105"/>
      <c r="AN859" s="105"/>
      <c r="AO859" s="105"/>
      <c r="AP859" s="105"/>
      <c r="AQ859" s="105"/>
      <c r="AR859" s="105"/>
    </row>
    <row r="860" spans="1:44" s="49" customFormat="1" ht="40.15" hidden="1" customHeight="1">
      <c r="A860" s="152">
        <f t="shared" ca="1" si="1321"/>
        <v>0</v>
      </c>
      <c r="B860" s="153">
        <v>100344</v>
      </c>
      <c r="C860" s="154" t="str">
        <f t="shared" si="1322"/>
        <v>100344</v>
      </c>
      <c r="D860" s="154" t="s">
        <v>1416</v>
      </c>
      <c r="E860" s="155" t="s">
        <v>3805</v>
      </c>
      <c r="F860" s="154"/>
      <c r="G860" s="154" t="s">
        <v>3802</v>
      </c>
      <c r="H860" s="152">
        <v>12.17</v>
      </c>
      <c r="I860" s="152">
        <v>11.92</v>
      </c>
      <c r="J860" s="156"/>
      <c r="K860" s="156">
        <f>+S_Complementares!M52</f>
        <v>0</v>
      </c>
      <c r="L860" s="156">
        <f t="shared" si="1323"/>
        <v>0</v>
      </c>
      <c r="M860" s="156">
        <f t="shared" si="1324"/>
        <v>0</v>
      </c>
      <c r="N860" s="156" t="s">
        <v>83</v>
      </c>
      <c r="O860" s="157" cm="1">
        <f t="array" ref="O860">TRUNC($H860*(1+_xlfn.SWITCH($N860,"BDI 1",$O$6,"BDI 2",$O$7,"BDI 3",$O$8)),2)</f>
        <v>14.68</v>
      </c>
      <c r="P860" s="157" cm="1">
        <f t="array" ref="P860">TRUNC($I860*(1+_xlfn.SWITCH($N860,"BDI 1",$P$6,"BDI 2",$P$7,"BDI 3",$P$8)),2)</f>
        <v>15.1</v>
      </c>
      <c r="Q860" s="157">
        <v>0</v>
      </c>
      <c r="R860" s="157">
        <f t="shared" si="1325"/>
        <v>0</v>
      </c>
      <c r="S860" s="156">
        <f t="shared" si="1326"/>
        <v>0</v>
      </c>
      <c r="T860" s="156">
        <f t="shared" si="1327"/>
        <v>0</v>
      </c>
      <c r="U860" s="156">
        <f t="shared" si="1328"/>
        <v>0</v>
      </c>
      <c r="V860" s="156">
        <f t="shared" si="1329"/>
        <v>0</v>
      </c>
      <c r="W860" s="156">
        <f t="shared" si="1316"/>
        <v>0</v>
      </c>
      <c r="X860" s="158">
        <f t="shared" ref="X860" si="1381">$S860/ORCAMENTO_VALOR_TOTAL_ND</f>
        <v>0</v>
      </c>
      <c r="Y860" s="158">
        <f t="shared" ref="Y860" si="1382">$T860/ORCAMENTO_VALOR_TOTAL_DE</f>
        <v>0</v>
      </c>
      <c r="Z860" s="158" cm="1">
        <f t="array" ref="Z860">_xlfn.SWITCH($N860,"BDI 1",$O$6,"BDI 2",$O$7,"BDI 3",$O$8)</f>
        <v>0.20699999999999999</v>
      </c>
      <c r="AA860" s="158" cm="1">
        <f t="array" ref="AA860">_xlfn.SWITCH($N860,"BDI 1",$P$6,"BDI 2",$P$7,"BDI 3",$P$8)</f>
        <v>0.26739999999999997</v>
      </c>
      <c r="AB860" s="158">
        <f t="shared" ca="1" si="1332"/>
        <v>0</v>
      </c>
      <c r="AC860" s="158">
        <f t="shared" ca="1" si="1333"/>
        <v>0</v>
      </c>
      <c r="AD860" s="164"/>
      <c r="AE860" s="148">
        <f t="shared" si="1319"/>
        <v>0</v>
      </c>
      <c r="AF860" s="149"/>
      <c r="AG860" s="150"/>
      <c r="AH860" s="159" t="e">
        <f t="shared" si="1320"/>
        <v>#DIV/0!</v>
      </c>
      <c r="AI860" s="160"/>
      <c r="AJ860" s="105"/>
      <c r="AK860" s="105"/>
      <c r="AM860" s="105"/>
      <c r="AN860" s="105"/>
      <c r="AO860" s="105"/>
      <c r="AP860" s="105"/>
      <c r="AQ860" s="105"/>
      <c r="AR860" s="105"/>
    </row>
    <row r="861" spans="1:44" s="49" customFormat="1" ht="40.15" hidden="1" customHeight="1">
      <c r="A861" s="152">
        <f t="shared" ca="1" si="1321"/>
        <v>0</v>
      </c>
      <c r="B861" s="153" t="s">
        <v>223</v>
      </c>
      <c r="C861" s="154" t="str">
        <f t="shared" si="1322"/>
        <v>SC/0100</v>
      </c>
      <c r="D861" s="154" t="s">
        <v>3549</v>
      </c>
      <c r="E861" s="155" t="s">
        <v>3842</v>
      </c>
      <c r="F861" s="154"/>
      <c r="G861" s="154" t="s">
        <v>58</v>
      </c>
      <c r="H861" s="152">
        <v>58.41</v>
      </c>
      <c r="I861" s="152">
        <v>58.28</v>
      </c>
      <c r="J861" s="156"/>
      <c r="K861" s="156">
        <f>+S_Complementares!M53</f>
        <v>0</v>
      </c>
      <c r="L861" s="156">
        <f t="shared" si="1323"/>
        <v>0</v>
      </c>
      <c r="M861" s="156">
        <f t="shared" si="1324"/>
        <v>0</v>
      </c>
      <c r="N861" s="156" t="s">
        <v>83</v>
      </c>
      <c r="O861" s="157" cm="1">
        <f t="array" ref="O861">TRUNC($H861*(1+_xlfn.SWITCH($N861,"BDI 1",$O$6,"BDI 2",$O$7,"BDI 3",$O$8)),2)</f>
        <v>70.5</v>
      </c>
      <c r="P861" s="157" cm="1">
        <f t="array" ref="P861">TRUNC($I861*(1+_xlfn.SWITCH($N861,"BDI 1",$P$6,"BDI 2",$P$7,"BDI 3",$P$8)),2)</f>
        <v>73.86</v>
      </c>
      <c r="Q861" s="157">
        <v>0</v>
      </c>
      <c r="R861" s="157">
        <f t="shared" si="1325"/>
        <v>0</v>
      </c>
      <c r="S861" s="156">
        <f t="shared" si="1326"/>
        <v>0</v>
      </c>
      <c r="T861" s="156">
        <f t="shared" si="1327"/>
        <v>0</v>
      </c>
      <c r="U861" s="156">
        <f t="shared" si="1328"/>
        <v>0</v>
      </c>
      <c r="V861" s="156">
        <f t="shared" si="1329"/>
        <v>0</v>
      </c>
      <c r="W861" s="156">
        <f t="shared" si="1316"/>
        <v>0</v>
      </c>
      <c r="X861" s="158">
        <f t="shared" ref="X861" si="1383">$S861/ORCAMENTO_VALOR_TOTAL_ND</f>
        <v>0</v>
      </c>
      <c r="Y861" s="158">
        <f t="shared" ref="Y861" si="1384">$T861/ORCAMENTO_VALOR_TOTAL_DE</f>
        <v>0</v>
      </c>
      <c r="Z861" s="158" cm="1">
        <f t="array" ref="Z861">_xlfn.SWITCH($N861,"BDI 1",$O$6,"BDI 2",$O$7,"BDI 3",$O$8)</f>
        <v>0.20699999999999999</v>
      </c>
      <c r="AA861" s="158" cm="1">
        <f t="array" ref="AA861">_xlfn.SWITCH($N861,"BDI 1",$P$6,"BDI 2",$P$7,"BDI 3",$P$8)</f>
        <v>0.26739999999999997</v>
      </c>
      <c r="AB861" s="158">
        <f t="shared" ca="1" si="1332"/>
        <v>0</v>
      </c>
      <c r="AC861" s="158">
        <f t="shared" ca="1" si="1333"/>
        <v>0</v>
      </c>
      <c r="AD861" s="164"/>
      <c r="AE861" s="148">
        <f t="shared" si="1319"/>
        <v>0</v>
      </c>
      <c r="AF861" s="149"/>
      <c r="AG861" s="150"/>
      <c r="AH861" s="159" t="e">
        <f t="shared" si="1320"/>
        <v>#DIV/0!</v>
      </c>
      <c r="AI861" s="160"/>
      <c r="AJ861" s="105"/>
      <c r="AK861" s="105"/>
      <c r="AM861" s="105"/>
      <c r="AN861" s="105"/>
      <c r="AO861" s="105"/>
      <c r="AP861" s="105"/>
      <c r="AQ861" s="105"/>
      <c r="AR861" s="105"/>
    </row>
    <row r="862" spans="1:44" s="49" customFormat="1" ht="40.15" hidden="1" customHeight="1">
      <c r="A862" s="152">
        <f t="shared" ca="1" si="1321"/>
        <v>0</v>
      </c>
      <c r="B862" s="153" t="s">
        <v>224</v>
      </c>
      <c r="C862" s="154" t="str">
        <f t="shared" si="1322"/>
        <v>SC/0105</v>
      </c>
      <c r="D862" s="154" t="s">
        <v>3549</v>
      </c>
      <c r="E862" s="155" t="s">
        <v>3843</v>
      </c>
      <c r="F862" s="154"/>
      <c r="G862" s="154" t="s">
        <v>58</v>
      </c>
      <c r="H862" s="152">
        <v>76.19</v>
      </c>
      <c r="I862" s="152">
        <v>76.06</v>
      </c>
      <c r="J862" s="156"/>
      <c r="K862" s="156">
        <f>+S_Complementares!M54</f>
        <v>0</v>
      </c>
      <c r="L862" s="156">
        <f t="shared" si="1323"/>
        <v>0</v>
      </c>
      <c r="M862" s="156">
        <f t="shared" si="1324"/>
        <v>0</v>
      </c>
      <c r="N862" s="156" t="s">
        <v>83</v>
      </c>
      <c r="O862" s="157" cm="1">
        <f t="array" ref="O862">TRUNC($H862*(1+_xlfn.SWITCH($N862,"BDI 1",$O$6,"BDI 2",$O$7,"BDI 3",$O$8)),2)</f>
        <v>91.96</v>
      </c>
      <c r="P862" s="157" cm="1">
        <f t="array" ref="P862">TRUNC($I862*(1+_xlfn.SWITCH($N862,"BDI 1",$P$6,"BDI 2",$P$7,"BDI 3",$P$8)),2)</f>
        <v>96.39</v>
      </c>
      <c r="Q862" s="157">
        <v>0</v>
      </c>
      <c r="R862" s="157">
        <f t="shared" si="1325"/>
        <v>0</v>
      </c>
      <c r="S862" s="156">
        <f t="shared" si="1326"/>
        <v>0</v>
      </c>
      <c r="T862" s="156">
        <f t="shared" si="1327"/>
        <v>0</v>
      </c>
      <c r="U862" s="156">
        <f t="shared" si="1328"/>
        <v>0</v>
      </c>
      <c r="V862" s="156">
        <f t="shared" si="1329"/>
        <v>0</v>
      </c>
      <c r="W862" s="156">
        <f t="shared" si="1316"/>
        <v>0</v>
      </c>
      <c r="X862" s="158">
        <f t="shared" ref="X862" si="1385">$S862/ORCAMENTO_VALOR_TOTAL_ND</f>
        <v>0</v>
      </c>
      <c r="Y862" s="158">
        <f t="shared" ref="Y862" si="1386">$T862/ORCAMENTO_VALOR_TOTAL_DE</f>
        <v>0</v>
      </c>
      <c r="Z862" s="158" cm="1">
        <f t="array" ref="Z862">_xlfn.SWITCH($N862,"BDI 1",$O$6,"BDI 2",$O$7,"BDI 3",$O$8)</f>
        <v>0.20699999999999999</v>
      </c>
      <c r="AA862" s="158" cm="1">
        <f t="array" ref="AA862">_xlfn.SWITCH($N862,"BDI 1",$P$6,"BDI 2",$P$7,"BDI 3",$P$8)</f>
        <v>0.26739999999999997</v>
      </c>
      <c r="AB862" s="158">
        <f t="shared" ca="1" si="1332"/>
        <v>0</v>
      </c>
      <c r="AC862" s="158">
        <f t="shared" ca="1" si="1333"/>
        <v>0</v>
      </c>
      <c r="AD862" s="164"/>
      <c r="AE862" s="148">
        <f t="shared" si="1319"/>
        <v>0</v>
      </c>
      <c r="AF862" s="149"/>
      <c r="AG862" s="150"/>
      <c r="AH862" s="159" t="e">
        <f t="shared" si="1320"/>
        <v>#DIV/0!</v>
      </c>
      <c r="AI862" s="160"/>
      <c r="AJ862" s="105"/>
      <c r="AK862" s="105"/>
      <c r="AM862" s="105"/>
      <c r="AN862" s="105"/>
      <c r="AO862" s="105"/>
      <c r="AP862" s="105"/>
      <c r="AQ862" s="105"/>
      <c r="AR862" s="105"/>
    </row>
    <row r="863" spans="1:44" s="49" customFormat="1" ht="40.15" hidden="1" customHeight="1">
      <c r="A863" s="152">
        <f t="shared" ca="1" si="1321"/>
        <v>0</v>
      </c>
      <c r="B863" s="153" t="s">
        <v>326</v>
      </c>
      <c r="C863" s="154" t="str">
        <f t="shared" si="1322"/>
        <v>SC/0090</v>
      </c>
      <c r="D863" s="154" t="s">
        <v>3549</v>
      </c>
      <c r="E863" s="155" t="s">
        <v>3918</v>
      </c>
      <c r="F863" s="154"/>
      <c r="G863" s="154" t="s">
        <v>58</v>
      </c>
      <c r="H863" s="152">
        <v>502.34</v>
      </c>
      <c r="I863" s="152">
        <v>502.13</v>
      </c>
      <c r="J863" s="156"/>
      <c r="K863" s="156">
        <f>+S_Complementares!M55</f>
        <v>0</v>
      </c>
      <c r="L863" s="156">
        <f t="shared" si="1323"/>
        <v>0</v>
      </c>
      <c r="M863" s="156">
        <f t="shared" si="1324"/>
        <v>0</v>
      </c>
      <c r="N863" s="156" t="s">
        <v>83</v>
      </c>
      <c r="O863" s="157" cm="1">
        <f t="array" ref="O863">TRUNC($H863*(1+_xlfn.SWITCH($N863,"BDI 1",$O$6,"BDI 2",$O$7,"BDI 3",$O$8)),2)</f>
        <v>606.32000000000005</v>
      </c>
      <c r="P863" s="157" cm="1">
        <f t="array" ref="P863">TRUNC($I863*(1+_xlfn.SWITCH($N863,"BDI 1",$P$6,"BDI 2",$P$7,"BDI 3",$P$8)),2)</f>
        <v>636.39</v>
      </c>
      <c r="Q863" s="157">
        <v>0</v>
      </c>
      <c r="R863" s="157">
        <f t="shared" si="1325"/>
        <v>0</v>
      </c>
      <c r="S863" s="156">
        <f t="shared" si="1326"/>
        <v>0</v>
      </c>
      <c r="T863" s="156">
        <f t="shared" si="1327"/>
        <v>0</v>
      </c>
      <c r="U863" s="156">
        <f t="shared" si="1328"/>
        <v>0</v>
      </c>
      <c r="V863" s="156">
        <f t="shared" si="1329"/>
        <v>0</v>
      </c>
      <c r="W863" s="156">
        <f t="shared" si="1316"/>
        <v>0</v>
      </c>
      <c r="X863" s="158">
        <f t="shared" ref="X863" si="1387">$S863/ORCAMENTO_VALOR_TOTAL_ND</f>
        <v>0</v>
      </c>
      <c r="Y863" s="158">
        <f t="shared" ref="Y863" si="1388">$T863/ORCAMENTO_VALOR_TOTAL_DE</f>
        <v>0</v>
      </c>
      <c r="Z863" s="158" cm="1">
        <f t="array" ref="Z863">_xlfn.SWITCH($N863,"BDI 1",$O$6,"BDI 2",$O$7,"BDI 3",$O$8)</f>
        <v>0.20699999999999999</v>
      </c>
      <c r="AA863" s="158" cm="1">
        <f t="array" ref="AA863">_xlfn.SWITCH($N863,"BDI 1",$P$6,"BDI 2",$P$7,"BDI 3",$P$8)</f>
        <v>0.26739999999999997</v>
      </c>
      <c r="AB863" s="158">
        <f t="shared" ca="1" si="1332"/>
        <v>0</v>
      </c>
      <c r="AC863" s="158">
        <f t="shared" ca="1" si="1333"/>
        <v>0</v>
      </c>
      <c r="AD863" s="164"/>
      <c r="AE863" s="148">
        <f t="shared" si="1319"/>
        <v>0</v>
      </c>
      <c r="AF863" s="149"/>
      <c r="AG863" s="150"/>
      <c r="AH863" s="159" t="e">
        <f t="shared" si="1320"/>
        <v>#DIV/0!</v>
      </c>
      <c r="AI863" s="160"/>
      <c r="AJ863" s="105"/>
      <c r="AK863" s="105"/>
      <c r="AM863" s="105"/>
      <c r="AN863" s="105"/>
      <c r="AO863" s="105"/>
      <c r="AP863" s="105"/>
      <c r="AQ863" s="105"/>
      <c r="AR863" s="105"/>
    </row>
    <row r="864" spans="1:44" s="49" customFormat="1" ht="40.15" hidden="1" customHeight="1">
      <c r="A864" s="152">
        <f t="shared" ca="1" si="1321"/>
        <v>0</v>
      </c>
      <c r="B864" s="153" t="s">
        <v>327</v>
      </c>
      <c r="C864" s="154" t="str">
        <f t="shared" si="1322"/>
        <v>SC/0095</v>
      </c>
      <c r="D864" s="154" t="s">
        <v>3549</v>
      </c>
      <c r="E864" s="155" t="s">
        <v>3919</v>
      </c>
      <c r="F864" s="154"/>
      <c r="G864" s="154" t="s">
        <v>58</v>
      </c>
      <c r="H864" s="152">
        <v>702.44</v>
      </c>
      <c r="I864" s="152">
        <v>701.94</v>
      </c>
      <c r="J864" s="156"/>
      <c r="K864" s="156">
        <f>+S_Complementares!M56</f>
        <v>0</v>
      </c>
      <c r="L864" s="156">
        <f t="shared" si="1323"/>
        <v>0</v>
      </c>
      <c r="M864" s="156">
        <f t="shared" si="1324"/>
        <v>0</v>
      </c>
      <c r="N864" s="156" t="s">
        <v>83</v>
      </c>
      <c r="O864" s="157" cm="1">
        <f t="array" ref="O864">TRUNC($H864*(1+_xlfn.SWITCH($N864,"BDI 1",$O$6,"BDI 2",$O$7,"BDI 3",$O$8)),2)</f>
        <v>847.84</v>
      </c>
      <c r="P864" s="157" cm="1">
        <f t="array" ref="P864">TRUNC($I864*(1+_xlfn.SWITCH($N864,"BDI 1",$P$6,"BDI 2",$P$7,"BDI 3",$P$8)),2)</f>
        <v>889.63</v>
      </c>
      <c r="Q864" s="157">
        <v>0</v>
      </c>
      <c r="R864" s="157">
        <f t="shared" si="1325"/>
        <v>0</v>
      </c>
      <c r="S864" s="156">
        <f t="shared" si="1326"/>
        <v>0</v>
      </c>
      <c r="T864" s="156">
        <f t="shared" si="1327"/>
        <v>0</v>
      </c>
      <c r="U864" s="156">
        <f t="shared" si="1328"/>
        <v>0</v>
      </c>
      <c r="V864" s="156">
        <f t="shared" si="1329"/>
        <v>0</v>
      </c>
      <c r="W864" s="156">
        <f t="shared" si="1316"/>
        <v>0</v>
      </c>
      <c r="X864" s="158">
        <f t="shared" ref="X864" si="1389">$S864/ORCAMENTO_VALOR_TOTAL_ND</f>
        <v>0</v>
      </c>
      <c r="Y864" s="158">
        <f t="shared" ref="Y864" si="1390">$T864/ORCAMENTO_VALOR_TOTAL_DE</f>
        <v>0</v>
      </c>
      <c r="Z864" s="158" cm="1">
        <f t="array" ref="Z864">_xlfn.SWITCH($N864,"BDI 1",$O$6,"BDI 2",$O$7,"BDI 3",$O$8)</f>
        <v>0.20699999999999999</v>
      </c>
      <c r="AA864" s="158" cm="1">
        <f t="array" ref="AA864">_xlfn.SWITCH($N864,"BDI 1",$P$6,"BDI 2",$P$7,"BDI 3",$P$8)</f>
        <v>0.26739999999999997</v>
      </c>
      <c r="AB864" s="158">
        <f t="shared" ca="1" si="1332"/>
        <v>0</v>
      </c>
      <c r="AC864" s="158">
        <f t="shared" ca="1" si="1333"/>
        <v>0</v>
      </c>
      <c r="AD864" s="164"/>
      <c r="AE864" s="148">
        <f t="shared" si="1319"/>
        <v>0</v>
      </c>
      <c r="AF864" s="149"/>
      <c r="AG864" s="150"/>
      <c r="AH864" s="159" t="e">
        <f t="shared" si="1320"/>
        <v>#DIV/0!</v>
      </c>
      <c r="AI864" s="160"/>
      <c r="AJ864" s="105"/>
      <c r="AK864" s="105"/>
      <c r="AM864" s="105"/>
      <c r="AN864" s="105"/>
      <c r="AO864" s="105"/>
      <c r="AP864" s="105"/>
      <c r="AQ864" s="105"/>
      <c r="AR864" s="105"/>
    </row>
    <row r="865" spans="1:44" s="49" customFormat="1" ht="40.15" hidden="1" customHeight="1">
      <c r="A865" s="10">
        <f t="shared" ca="1" si="1321"/>
        <v>0</v>
      </c>
      <c r="B865" s="153"/>
      <c r="C865" s="154"/>
      <c r="D865" s="154"/>
      <c r="E865" s="161" t="s">
        <v>328</v>
      </c>
      <c r="F865" s="154"/>
      <c r="G865" s="154"/>
      <c r="H865" s="152"/>
      <c r="I865" s="152"/>
      <c r="J865" s="154"/>
      <c r="K865" s="154"/>
      <c r="L865" s="154"/>
      <c r="M865" s="154"/>
      <c r="N865" s="154"/>
      <c r="O865" s="154"/>
      <c r="P865" s="154"/>
      <c r="Q865" s="154"/>
      <c r="R865" s="154"/>
      <c r="S865" s="162"/>
      <c r="T865" s="162"/>
      <c r="U865" s="162"/>
      <c r="V865" s="162"/>
      <c r="W865" s="162"/>
      <c r="X865" s="163"/>
      <c r="Y865" s="163"/>
      <c r="Z865" s="163"/>
      <c r="AA865" s="163"/>
      <c r="AB865" s="163"/>
      <c r="AC865" s="163"/>
      <c r="AD865" s="164"/>
      <c r="AE865" s="148">
        <f>IF(SUM(S866:S867)&gt;0,IFERROR(TRUNC(A865,0),0),0)</f>
        <v>0</v>
      </c>
      <c r="AF865" s="149"/>
      <c r="AG865" s="150"/>
      <c r="AH865" s="159"/>
      <c r="AI865" s="160"/>
      <c r="AJ865" s="105"/>
      <c r="AK865" s="105"/>
      <c r="AM865" s="105"/>
      <c r="AN865" s="105"/>
      <c r="AO865" s="105"/>
      <c r="AP865" s="105"/>
      <c r="AQ865" s="105"/>
      <c r="AR865" s="105"/>
    </row>
    <row r="866" spans="1:44" s="49" customFormat="1" ht="40.15" hidden="1" customHeight="1">
      <c r="A866" s="152">
        <f t="shared" ca="1" si="1321"/>
        <v>0</v>
      </c>
      <c r="B866" s="153">
        <v>100947</v>
      </c>
      <c r="C866" s="154" t="str">
        <f>TEXT(B866,"0")</f>
        <v>100947</v>
      </c>
      <c r="D866" s="154" t="s">
        <v>1416</v>
      </c>
      <c r="E866" s="155" t="s">
        <v>385</v>
      </c>
      <c r="F866" s="154">
        <f>IF(Dados_DMT!$B$13&lt;30,Dados_DMT!$B$13,30)</f>
        <v>30</v>
      </c>
      <c r="G866" s="154" t="s">
        <v>3534</v>
      </c>
      <c r="H866" s="152">
        <v>2.15</v>
      </c>
      <c r="I866" s="152">
        <v>2.13</v>
      </c>
      <c r="J866" s="156"/>
      <c r="K866" s="156">
        <f>ROUND(S_Complementares!M62*F866,2)</f>
        <v>0</v>
      </c>
      <c r="L866" s="156">
        <f>IF($K866&gt;$J866,$K866-$J866,0)</f>
        <v>0</v>
      </c>
      <c r="M866" s="156">
        <f>IF($K866&lt;$J866,$J866-$K866,0)</f>
        <v>0</v>
      </c>
      <c r="N866" s="156" t="s">
        <v>83</v>
      </c>
      <c r="O866" s="157" cm="1">
        <f t="array" ref="O866">TRUNC($H866*(1+_xlfn.SWITCH($N866,"BDI 1",$O$6,"BDI 2",$O$7,"BDI 3",$O$8)),2)</f>
        <v>2.59</v>
      </c>
      <c r="P866" s="157" cm="1">
        <f t="array" ref="P866">TRUNC($I866*(1+_xlfn.SWITCH($N866,"BDI 1",$P$6,"BDI 2",$P$7,"BDI 3",$P$8)),2)</f>
        <v>2.69</v>
      </c>
      <c r="Q866" s="157">
        <v>0</v>
      </c>
      <c r="R866" s="157">
        <f>$Q866-($Q866*LICITACAO_DESCONTO)</f>
        <v>0</v>
      </c>
      <c r="S866" s="156">
        <f>TRUNC($K866*$O866,2)</f>
        <v>0</v>
      </c>
      <c r="T866" s="156">
        <f>TRUNC($K866*$P866,2)</f>
        <v>0</v>
      </c>
      <c r="U866" s="156">
        <f>TRUNC($J866*$R866,2)</f>
        <v>0</v>
      </c>
      <c r="V866" s="156">
        <f>TRUNC($K866*$Q866,2)</f>
        <v>0</v>
      </c>
      <c r="W866" s="156">
        <f>TRUNC(V866-U866,2)</f>
        <v>0</v>
      </c>
      <c r="X866" s="158">
        <f>$S866/ORCAMENTO_VALOR_TOTAL_ND</f>
        <v>0</v>
      </c>
      <c r="Y866" s="158">
        <f>$T866/ORCAMENTO_VALOR_TOTAL_DE</f>
        <v>0</v>
      </c>
      <c r="Z866" s="158" cm="1">
        <f t="array" ref="Z866">_xlfn.SWITCH($N866,"BDI 1",$O$6,"BDI 2",$O$7,"BDI 3",$O$8)</f>
        <v>0.20699999999999999</v>
      </c>
      <c r="AA866" s="158" cm="1">
        <f t="array" ref="AA866">_xlfn.SWITCH($N866,"BDI 1",$P$6,"BDI 2",$P$7,"BDI 3",$P$8)</f>
        <v>0.26739999999999997</v>
      </c>
      <c r="AB866" s="158">
        <f ca="1">IFERROR($S866/_xlfn.XLOOKUP($AE866,$B$16:$B$38,$S$16:$S$38),0)</f>
        <v>0</v>
      </c>
      <c r="AC866" s="158">
        <f ca="1">IFERROR($T866/_xlfn.XLOOKUP($AE866,$B$16:$B$38,$T$16:$T$38),0)</f>
        <v>0</v>
      </c>
      <c r="AD866" s="164"/>
      <c r="AE866" s="148">
        <f t="shared" ref="AE866:AE867" si="1391">IF(S866&gt;0,IFERROR(TRUNC(A866,0),0),0)</f>
        <v>0</v>
      </c>
      <c r="AF866" s="149"/>
      <c r="AG866" s="150"/>
      <c r="AH866" s="159" t="e">
        <f>S866/$S$835</f>
        <v>#DIV/0!</v>
      </c>
      <c r="AI866" s="160"/>
      <c r="AJ866" s="105"/>
      <c r="AK866" s="105"/>
      <c r="AM866" s="105"/>
      <c r="AN866" s="105"/>
      <c r="AO866" s="105"/>
      <c r="AP866" s="105"/>
      <c r="AQ866" s="105"/>
      <c r="AR866" s="105"/>
    </row>
    <row r="867" spans="1:44" s="49" customFormat="1" ht="40.15" hidden="1" customHeight="1">
      <c r="A867" s="152">
        <f t="shared" ca="1" si="1321"/>
        <v>0</v>
      </c>
      <c r="B867" s="153">
        <v>100948</v>
      </c>
      <c r="C867" s="154" t="str">
        <f>TEXT(B867,"0")</f>
        <v>100948</v>
      </c>
      <c r="D867" s="154" t="s">
        <v>1416</v>
      </c>
      <c r="E867" s="155" t="s">
        <v>3615</v>
      </c>
      <c r="F867" s="154">
        <f>+Dados_DMT!$B$13-F866</f>
        <v>70</v>
      </c>
      <c r="G867" s="154" t="s">
        <v>3534</v>
      </c>
      <c r="H867" s="152">
        <v>0.85</v>
      </c>
      <c r="I867" s="152">
        <v>0.84</v>
      </c>
      <c r="J867" s="156"/>
      <c r="K867" s="156">
        <f>ROUND(S_Complementares!M62*F867,2)</f>
        <v>0</v>
      </c>
      <c r="L867" s="156">
        <f>IF($K867&gt;$J867,$K867-$J867,0)</f>
        <v>0</v>
      </c>
      <c r="M867" s="156">
        <f>IF($K867&lt;$J867,$J867-$K867,0)</f>
        <v>0</v>
      </c>
      <c r="N867" s="156" t="s">
        <v>83</v>
      </c>
      <c r="O867" s="157" cm="1">
        <f t="array" ref="O867">TRUNC($H867*(1+_xlfn.SWITCH($N867,"BDI 1",$O$6,"BDI 2",$O$7,"BDI 3",$O$8)),2)</f>
        <v>1.02</v>
      </c>
      <c r="P867" s="157" cm="1">
        <f t="array" ref="P867">TRUNC($I867*(1+_xlfn.SWITCH($N867,"BDI 1",$P$6,"BDI 2",$P$7,"BDI 3",$P$8)),2)</f>
        <v>1.06</v>
      </c>
      <c r="Q867" s="157">
        <v>0</v>
      </c>
      <c r="R867" s="157">
        <f>$Q867-($Q867*LICITACAO_DESCONTO)</f>
        <v>0</v>
      </c>
      <c r="S867" s="156">
        <f>TRUNC($K867*$O867,2)</f>
        <v>0</v>
      </c>
      <c r="T867" s="156">
        <f>TRUNC($K867*$P867,2)</f>
        <v>0</v>
      </c>
      <c r="U867" s="156">
        <f>TRUNC($J867*$R867,2)</f>
        <v>0</v>
      </c>
      <c r="V867" s="156">
        <f>TRUNC($K867*$Q867,2)</f>
        <v>0</v>
      </c>
      <c r="W867" s="156">
        <f>TRUNC(V867-U867,2)</f>
        <v>0</v>
      </c>
      <c r="X867" s="158">
        <f>$S867/ORCAMENTO_VALOR_TOTAL_ND</f>
        <v>0</v>
      </c>
      <c r="Y867" s="158">
        <f>$T867/ORCAMENTO_VALOR_TOTAL_DE</f>
        <v>0</v>
      </c>
      <c r="Z867" s="158" cm="1">
        <f t="array" ref="Z867">_xlfn.SWITCH($N867,"BDI 1",$O$6,"BDI 2",$O$7,"BDI 3",$O$8)</f>
        <v>0.20699999999999999</v>
      </c>
      <c r="AA867" s="158" cm="1">
        <f t="array" ref="AA867">_xlfn.SWITCH($N867,"BDI 1",$P$6,"BDI 2",$P$7,"BDI 3",$P$8)</f>
        <v>0.26739999999999997</v>
      </c>
      <c r="AB867" s="158">
        <f ca="1">IFERROR($S867/_xlfn.XLOOKUP($AE867,$B$16:$B$38,$S$16:$S$38),0)</f>
        <v>0</v>
      </c>
      <c r="AC867" s="158">
        <f ca="1">IFERROR($T867/_xlfn.XLOOKUP($AE867,$B$16:$B$38,$T$16:$T$38),0)</f>
        <v>0</v>
      </c>
      <c r="AD867" s="164"/>
      <c r="AE867" s="148">
        <f t="shared" si="1391"/>
        <v>0</v>
      </c>
      <c r="AF867" s="149"/>
      <c r="AG867" s="150"/>
      <c r="AH867" s="159" t="e">
        <f>S867/$S$835</f>
        <v>#DIV/0!</v>
      </c>
      <c r="AI867" s="160"/>
      <c r="AJ867" s="105"/>
      <c r="AK867" s="105"/>
      <c r="AM867" s="105"/>
      <c r="AN867" s="105"/>
      <c r="AO867" s="105"/>
      <c r="AP867" s="105"/>
      <c r="AQ867" s="105"/>
      <c r="AR867" s="105"/>
    </row>
    <row r="868" spans="1:44" s="49" customFormat="1" ht="40.15" hidden="1" customHeight="1">
      <c r="A868" s="10">
        <f t="shared" ca="1" si="1321"/>
        <v>0</v>
      </c>
      <c r="B868" s="153"/>
      <c r="C868" s="154"/>
      <c r="D868" s="154"/>
      <c r="E868" s="155"/>
      <c r="F868" s="154"/>
      <c r="G868" s="154"/>
      <c r="H868" s="154"/>
      <c r="I868" s="154"/>
      <c r="J868" s="168"/>
      <c r="K868" s="168"/>
      <c r="L868" s="168"/>
      <c r="M868" s="168"/>
      <c r="N868" s="168"/>
      <c r="O868" s="157"/>
      <c r="P868" s="157"/>
      <c r="Q868" s="157"/>
      <c r="R868" s="157"/>
      <c r="S868" s="162"/>
      <c r="T868" s="162"/>
      <c r="U868" s="162"/>
      <c r="V868" s="162"/>
      <c r="W868" s="162"/>
      <c r="X868" s="163"/>
      <c r="Y868" s="163"/>
      <c r="Z868" s="163"/>
      <c r="AA868" s="163"/>
      <c r="AB868" s="163"/>
      <c r="AC868" s="163"/>
      <c r="AD868" s="164"/>
      <c r="AE868" s="148">
        <f>IF(S869&gt;0,IFERROR(TRUNC(A869,0),0),0)</f>
        <v>0</v>
      </c>
      <c r="AF868" s="149"/>
      <c r="AG868" s="150"/>
      <c r="AH868" s="159"/>
      <c r="AI868" s="160"/>
      <c r="AJ868" s="105"/>
      <c r="AK868" s="105"/>
      <c r="AM868" s="105"/>
      <c r="AN868" s="105"/>
      <c r="AO868" s="105"/>
      <c r="AP868" s="105"/>
      <c r="AQ868" s="105"/>
      <c r="AR868" s="105"/>
    </row>
    <row r="869" spans="1:44" s="105" customFormat="1" ht="40.15" hidden="1" customHeight="1">
      <c r="A869" s="169">
        <f ca="1">$B$31</f>
        <v>0</v>
      </c>
      <c r="B869" s="170"/>
      <c r="C869" s="171"/>
      <c r="D869" s="172"/>
      <c r="E869" s="187" t="str">
        <f>$D$31</f>
        <v>PASSEIO COM ACESSIBILIDADE</v>
      </c>
      <c r="F869" s="174">
        <v>0</v>
      </c>
      <c r="G869" s="175"/>
      <c r="H869" s="176" t="s">
        <v>329</v>
      </c>
      <c r="I869" s="176" t="s">
        <v>329</v>
      </c>
      <c r="J869" s="177"/>
      <c r="K869" s="177"/>
      <c r="L869" s="177"/>
      <c r="M869" s="177"/>
      <c r="N869" s="177"/>
      <c r="O869" s="178" t="str">
        <f ca="1">CONCATENATE("SUB-TOTAL ",$A869)</f>
        <v>SUB-TOTAL 0</v>
      </c>
      <c r="P869" s="178" t="e" cm="1">
        <f t="array" ref="P869">TRUNC($I869*(1+_xlfn.SWITCH($N869,"BDI 1",$P$6,"BDI 2",$P$7,"BDI 3",$P$8)),2)</f>
        <v>#VALUE!</v>
      </c>
      <c r="Q869" s="178" t="str">
        <f ca="1">CONCATENATE("SUB-TOTAL ",$A869)</f>
        <v>SUB-TOTAL 0</v>
      </c>
      <c r="R869" s="178"/>
      <c r="S869" s="179">
        <f>SUM(S870:S915)</f>
        <v>0</v>
      </c>
      <c r="T869" s="179">
        <f>SUM(T870:T915)</f>
        <v>0</v>
      </c>
      <c r="U869" s="179">
        <f>SUM(U870:U915)</f>
        <v>0</v>
      </c>
      <c r="V869" s="179">
        <f>SUM(V870:V915)</f>
        <v>0</v>
      </c>
      <c r="W869" s="179">
        <f t="shared" ref="W869:W900" si="1392">TRUNC(V869-U869,2)</f>
        <v>0</v>
      </c>
      <c r="X869" s="180">
        <f t="shared" ref="X869" si="1393">$S869/ORCAMENTO_VALOR_TOTAL_ND</f>
        <v>0</v>
      </c>
      <c r="Y869" s="180">
        <f t="shared" ref="Y869" si="1394">$T869/ORCAMENTO_VALOR_TOTAL_DE</f>
        <v>0</v>
      </c>
      <c r="Z869" s="180"/>
      <c r="AA869" s="180"/>
      <c r="AB869" s="180">
        <f>IFERROR($S869/$S869,0)</f>
        <v>0</v>
      </c>
      <c r="AC869" s="180">
        <f>IFERROR($T869/$T869,0)</f>
        <v>0</v>
      </c>
      <c r="AD869" s="147"/>
      <c r="AE869" s="148">
        <f t="shared" ref="AE869:AE900" si="1395">IF(S869&gt;0,IFERROR(TRUNC(A869,0),0),0)</f>
        <v>0</v>
      </c>
      <c r="AF869" s="149"/>
      <c r="AG869" s="150"/>
      <c r="AH869" s="151" t="e">
        <f t="shared" ref="AH869:AH900" si="1396">+S869/$S$869</f>
        <v>#DIV/0!</v>
      </c>
    </row>
    <row r="870" spans="1:44" s="49" customFormat="1" ht="49.9" hidden="1" customHeight="1">
      <c r="A870" s="152">
        <f t="shared" ref="A870:A916" ca="1" si="1397">+IF(K870&gt;0,A869+0.01,A869)</f>
        <v>0</v>
      </c>
      <c r="B870" s="153">
        <v>90099</v>
      </c>
      <c r="C870" s="154" t="str">
        <f t="shared" ref="C870:C900" si="1398">TEXT(B870,"0")</f>
        <v>90099</v>
      </c>
      <c r="D870" s="154" t="s">
        <v>1416</v>
      </c>
      <c r="E870" s="155" t="s">
        <v>3620</v>
      </c>
      <c r="F870" s="154"/>
      <c r="G870" s="154" t="s">
        <v>464</v>
      </c>
      <c r="H870" s="152">
        <v>15.75</v>
      </c>
      <c r="I870" s="152">
        <v>15.19</v>
      </c>
      <c r="J870" s="156"/>
      <c r="K870" s="156">
        <f>+Passeio!L230</f>
        <v>0</v>
      </c>
      <c r="L870" s="156">
        <f t="shared" ref="L870:L900" si="1399">IF($K870&gt;$J870,$K870-$J870,0)</f>
        <v>0</v>
      </c>
      <c r="M870" s="156">
        <f t="shared" ref="M870:M900" si="1400">IF($K870&lt;$J870,$J870-$K870,0)</f>
        <v>0</v>
      </c>
      <c r="N870" s="156" t="s">
        <v>83</v>
      </c>
      <c r="O870" s="157" cm="1">
        <f t="array" ref="O870">TRUNC($H870*(1+_xlfn.SWITCH($N870,"BDI 1",$O$6,"BDI 2",$O$7,"BDI 3",$O$8)),2)</f>
        <v>19.010000000000002</v>
      </c>
      <c r="P870" s="157" cm="1">
        <f t="array" ref="P870">TRUNC($I870*(1+_xlfn.SWITCH($N870,"BDI 1",$P$6,"BDI 2",$P$7,"BDI 3",$P$8)),2)</f>
        <v>19.25</v>
      </c>
      <c r="Q870" s="157">
        <v>0</v>
      </c>
      <c r="R870" s="157">
        <f t="shared" ref="R870:R900" si="1401">$Q870-($Q870*LICITACAO_DESCONTO)</f>
        <v>0</v>
      </c>
      <c r="S870" s="156">
        <f t="shared" ref="S870:S900" si="1402">TRUNC($K870*$O870,2)</f>
        <v>0</v>
      </c>
      <c r="T870" s="156">
        <f t="shared" ref="T870:T900" si="1403">TRUNC($K870*$P870,2)</f>
        <v>0</v>
      </c>
      <c r="U870" s="156">
        <f t="shared" ref="U870:U900" si="1404">TRUNC($J870*$R870,2)</f>
        <v>0</v>
      </c>
      <c r="V870" s="156">
        <f t="shared" ref="V870:V900" si="1405">TRUNC($K870*$Q870,2)</f>
        <v>0</v>
      </c>
      <c r="W870" s="156">
        <f t="shared" si="1392"/>
        <v>0</v>
      </c>
      <c r="X870" s="158">
        <f t="shared" ref="X870" si="1406">$S870/ORCAMENTO_VALOR_TOTAL_ND</f>
        <v>0</v>
      </c>
      <c r="Y870" s="158">
        <f t="shared" ref="Y870" si="1407">$T870/ORCAMENTO_VALOR_TOTAL_DE</f>
        <v>0</v>
      </c>
      <c r="Z870" s="158" cm="1">
        <f t="array" ref="Z870">_xlfn.SWITCH($N870,"BDI 1",$O$6,"BDI 2",$O$7,"BDI 3",$O$8)</f>
        <v>0.20699999999999999</v>
      </c>
      <c r="AA870" s="158" cm="1">
        <f t="array" ref="AA870">_xlfn.SWITCH($N870,"BDI 1",$P$6,"BDI 2",$P$7,"BDI 3",$P$8)</f>
        <v>0.26739999999999997</v>
      </c>
      <c r="AB870" s="158">
        <f t="shared" ref="AB870:AB900" ca="1" si="1408">IFERROR($S870/_xlfn.XLOOKUP($AE870,$B$16:$B$38,$S$16:$S$38),0)</f>
        <v>0</v>
      </c>
      <c r="AC870" s="158">
        <f t="shared" ref="AC870:AC900" ca="1" si="1409">IFERROR($T870/_xlfn.XLOOKUP($AE870,$B$16:$B$38,$T$16:$T$38),0)</f>
        <v>0</v>
      </c>
      <c r="AD870" s="164"/>
      <c r="AE870" s="148">
        <f t="shared" si="1395"/>
        <v>0</v>
      </c>
      <c r="AF870" s="149"/>
      <c r="AG870" s="150"/>
      <c r="AH870" s="159" t="e">
        <f t="shared" si="1396"/>
        <v>#DIV/0!</v>
      </c>
      <c r="AI870" s="160">
        <v>0</v>
      </c>
      <c r="AJ870" s="105"/>
      <c r="AK870" s="105"/>
      <c r="AM870" s="105"/>
      <c r="AN870" s="105"/>
      <c r="AO870" s="105"/>
      <c r="AP870" s="105"/>
      <c r="AQ870" s="105"/>
      <c r="AR870" s="105"/>
    </row>
    <row r="871" spans="1:44" s="49" customFormat="1" ht="49.9" hidden="1" customHeight="1">
      <c r="A871" s="152">
        <f t="shared" ca="1" si="1397"/>
        <v>0</v>
      </c>
      <c r="B871" s="153">
        <v>101230</v>
      </c>
      <c r="C871" s="154" t="str">
        <f t="shared" si="1398"/>
        <v>101230</v>
      </c>
      <c r="D871" s="154" t="s">
        <v>1416</v>
      </c>
      <c r="E871" s="155" t="s">
        <v>3677</v>
      </c>
      <c r="F871" s="154"/>
      <c r="G871" s="154" t="s">
        <v>464</v>
      </c>
      <c r="H871" s="152">
        <v>10.7</v>
      </c>
      <c r="I871" s="152">
        <v>10.73</v>
      </c>
      <c r="J871" s="156"/>
      <c r="K871" s="156">
        <f>IF(K872=0,Passeio!L176,0)</f>
        <v>0</v>
      </c>
      <c r="L871" s="156">
        <f t="shared" si="1399"/>
        <v>0</v>
      </c>
      <c r="M871" s="156">
        <f t="shared" si="1400"/>
        <v>0</v>
      </c>
      <c r="N871" s="156" t="s">
        <v>83</v>
      </c>
      <c r="O871" s="157" cm="1">
        <f t="array" ref="O871">TRUNC($H871*(1+_xlfn.SWITCH($N871,"BDI 1",$O$6,"BDI 2",$O$7,"BDI 3",$O$8)),2)</f>
        <v>12.91</v>
      </c>
      <c r="P871" s="157" cm="1">
        <f t="array" ref="P871">TRUNC($I871*(1+_xlfn.SWITCH($N871,"BDI 1",$P$6,"BDI 2",$P$7,"BDI 3",$P$8)),2)</f>
        <v>13.59</v>
      </c>
      <c r="Q871" s="157">
        <v>0</v>
      </c>
      <c r="R871" s="157">
        <f t="shared" si="1401"/>
        <v>0</v>
      </c>
      <c r="S871" s="156">
        <f t="shared" si="1402"/>
        <v>0</v>
      </c>
      <c r="T871" s="156">
        <f t="shared" si="1403"/>
        <v>0</v>
      </c>
      <c r="U871" s="156">
        <f t="shared" si="1404"/>
        <v>0</v>
      </c>
      <c r="V871" s="156">
        <f t="shared" si="1405"/>
        <v>0</v>
      </c>
      <c r="W871" s="156">
        <f t="shared" si="1392"/>
        <v>0</v>
      </c>
      <c r="X871" s="158">
        <f t="shared" ref="X871" si="1410">$S871/ORCAMENTO_VALOR_TOTAL_ND</f>
        <v>0</v>
      </c>
      <c r="Y871" s="158">
        <f t="shared" ref="Y871" si="1411">$T871/ORCAMENTO_VALOR_TOTAL_DE</f>
        <v>0</v>
      </c>
      <c r="Z871" s="158" cm="1">
        <f t="array" ref="Z871">_xlfn.SWITCH($N871,"BDI 1",$O$6,"BDI 2",$O$7,"BDI 3",$O$8)</f>
        <v>0.20699999999999999</v>
      </c>
      <c r="AA871" s="158" cm="1">
        <f t="array" ref="AA871">_xlfn.SWITCH($N871,"BDI 1",$P$6,"BDI 2",$P$7,"BDI 3",$P$8)</f>
        <v>0.26739999999999997</v>
      </c>
      <c r="AB871" s="158">
        <f t="shared" ca="1" si="1408"/>
        <v>0</v>
      </c>
      <c r="AC871" s="158">
        <f t="shared" ca="1" si="1409"/>
        <v>0</v>
      </c>
      <c r="AD871" s="164"/>
      <c r="AE871" s="148">
        <f t="shared" si="1395"/>
        <v>0</v>
      </c>
      <c r="AF871" s="149"/>
      <c r="AG871" s="150"/>
      <c r="AH871" s="159" t="e">
        <f t="shared" si="1396"/>
        <v>#DIV/0!</v>
      </c>
      <c r="AI871" s="160"/>
      <c r="AJ871" s="105"/>
      <c r="AK871" s="105"/>
      <c r="AM871" s="105"/>
      <c r="AN871" s="105"/>
      <c r="AO871" s="105"/>
      <c r="AP871" s="105"/>
      <c r="AQ871" s="105"/>
      <c r="AR871" s="105"/>
    </row>
    <row r="872" spans="1:44" s="49" customFormat="1" ht="40.15" hidden="1" customHeight="1">
      <c r="A872" s="152">
        <f t="shared" ca="1" si="1397"/>
        <v>0</v>
      </c>
      <c r="B872" s="153">
        <v>6079</v>
      </c>
      <c r="C872" s="154" t="str">
        <f t="shared" si="1398"/>
        <v>6079</v>
      </c>
      <c r="D872" s="154" t="s">
        <v>3579</v>
      </c>
      <c r="E872" s="155" t="s">
        <v>3679</v>
      </c>
      <c r="F872" s="154"/>
      <c r="G872" s="154" t="s">
        <v>464</v>
      </c>
      <c r="H872" s="152">
        <v>37.35</v>
      </c>
      <c r="I872" s="152">
        <v>37.35</v>
      </c>
      <c r="J872" s="156"/>
      <c r="K872" s="156">
        <f>IF(AI872="COMERCIAL",Passeio!L176,0)</f>
        <v>0</v>
      </c>
      <c r="L872" s="156">
        <f t="shared" si="1399"/>
        <v>0</v>
      </c>
      <c r="M872" s="156">
        <f t="shared" si="1400"/>
        <v>0</v>
      </c>
      <c r="N872" s="156" t="s">
        <v>92</v>
      </c>
      <c r="O872" s="157" cm="1">
        <f t="array" ref="O872">TRUNC($H872*(1+_xlfn.SWITCH($N872,"BDI 1",$O$6,"BDI 2",$O$7,"BDI 3",$O$8)),2)</f>
        <v>43.05</v>
      </c>
      <c r="P872" s="157" cm="1">
        <f t="array" ref="P872">TRUNC($I872*(1+_xlfn.SWITCH($N872,"BDI 1",$P$6,"BDI 2",$P$7,"BDI 3",$P$8)),2)</f>
        <v>43.05</v>
      </c>
      <c r="Q872" s="157">
        <v>0</v>
      </c>
      <c r="R872" s="157">
        <f t="shared" si="1401"/>
        <v>0</v>
      </c>
      <c r="S872" s="156">
        <f t="shared" si="1402"/>
        <v>0</v>
      </c>
      <c r="T872" s="156">
        <f t="shared" si="1403"/>
        <v>0</v>
      </c>
      <c r="U872" s="156">
        <f t="shared" si="1404"/>
        <v>0</v>
      </c>
      <c r="V872" s="156">
        <f t="shared" si="1405"/>
        <v>0</v>
      </c>
      <c r="W872" s="156">
        <f t="shared" si="1392"/>
        <v>0</v>
      </c>
      <c r="X872" s="158">
        <f t="shared" ref="X872" si="1412">$S872/ORCAMENTO_VALOR_TOTAL_ND</f>
        <v>0</v>
      </c>
      <c r="Y872" s="158">
        <f t="shared" ref="Y872" si="1413">$T872/ORCAMENTO_VALOR_TOTAL_DE</f>
        <v>0</v>
      </c>
      <c r="Z872" s="158" cm="1">
        <f t="array" ref="Z872">_xlfn.SWITCH($N872,"BDI 1",$O$6,"BDI 2",$O$7,"BDI 3",$O$8)</f>
        <v>0.1527</v>
      </c>
      <c r="AA872" s="158" cm="1">
        <f t="array" ref="AA872">_xlfn.SWITCH($N872,"BDI 1",$P$6,"BDI 2",$P$7,"BDI 3",$P$8)</f>
        <v>0.1527</v>
      </c>
      <c r="AB872" s="158">
        <f t="shared" ca="1" si="1408"/>
        <v>0</v>
      </c>
      <c r="AC872" s="158">
        <f t="shared" ca="1" si="1409"/>
        <v>0</v>
      </c>
      <c r="AD872" s="164"/>
      <c r="AE872" s="148">
        <f t="shared" si="1395"/>
        <v>0</v>
      </c>
      <c r="AF872" s="149"/>
      <c r="AG872" s="150"/>
      <c r="AH872" s="159" t="e">
        <f t="shared" si="1396"/>
        <v>#DIV/0!</v>
      </c>
      <c r="AI872" s="165" t="s">
        <v>243</v>
      </c>
      <c r="AJ872" s="105"/>
      <c r="AK872" s="105"/>
      <c r="AM872" s="105"/>
      <c r="AN872" s="105"/>
      <c r="AO872" s="105"/>
      <c r="AP872" s="105"/>
      <c r="AQ872" s="105"/>
      <c r="AR872" s="105"/>
    </row>
    <row r="873" spans="1:44" s="49" customFormat="1" ht="40.15" hidden="1" customHeight="1">
      <c r="A873" s="152">
        <f t="shared" ca="1" si="1397"/>
        <v>0</v>
      </c>
      <c r="B873" s="153">
        <v>100324</v>
      </c>
      <c r="C873" s="154" t="str">
        <f t="shared" si="1398"/>
        <v>100324</v>
      </c>
      <c r="D873" s="154" t="s">
        <v>1416</v>
      </c>
      <c r="E873" s="155" t="s">
        <v>3852</v>
      </c>
      <c r="F873" s="154"/>
      <c r="G873" s="154" t="s">
        <v>464</v>
      </c>
      <c r="H873" s="152">
        <v>166.91</v>
      </c>
      <c r="I873" s="152">
        <v>166.99</v>
      </c>
      <c r="J873" s="156"/>
      <c r="K873" s="156">
        <f>Passeio!L166+Passeio!L232</f>
        <v>0</v>
      </c>
      <c r="L873" s="156">
        <f t="shared" si="1399"/>
        <v>0</v>
      </c>
      <c r="M873" s="156">
        <f t="shared" si="1400"/>
        <v>0</v>
      </c>
      <c r="N873" s="156" t="s">
        <v>83</v>
      </c>
      <c r="O873" s="157" cm="1">
        <f t="array" ref="O873">TRUNC($H873*(1+_xlfn.SWITCH($N873,"BDI 1",$O$6,"BDI 2",$O$7,"BDI 3",$O$8)),2)</f>
        <v>201.46</v>
      </c>
      <c r="P873" s="157" cm="1">
        <f t="array" ref="P873">TRUNC($I873*(1+_xlfn.SWITCH($N873,"BDI 1",$P$6,"BDI 2",$P$7,"BDI 3",$P$8)),2)</f>
        <v>211.64</v>
      </c>
      <c r="Q873" s="157">
        <v>0</v>
      </c>
      <c r="R873" s="157">
        <f t="shared" si="1401"/>
        <v>0</v>
      </c>
      <c r="S873" s="156">
        <f t="shared" si="1402"/>
        <v>0</v>
      </c>
      <c r="T873" s="156">
        <f t="shared" si="1403"/>
        <v>0</v>
      </c>
      <c r="U873" s="156">
        <f t="shared" si="1404"/>
        <v>0</v>
      </c>
      <c r="V873" s="156">
        <f t="shared" si="1405"/>
        <v>0</v>
      </c>
      <c r="W873" s="156">
        <f t="shared" si="1392"/>
        <v>0</v>
      </c>
      <c r="X873" s="158">
        <f t="shared" ref="X873" si="1414">$S873/ORCAMENTO_VALOR_TOTAL_ND</f>
        <v>0</v>
      </c>
      <c r="Y873" s="158">
        <f t="shared" ref="Y873" si="1415">$T873/ORCAMENTO_VALOR_TOTAL_DE</f>
        <v>0</v>
      </c>
      <c r="Z873" s="158" cm="1">
        <f t="array" ref="Z873">_xlfn.SWITCH($N873,"BDI 1",$O$6,"BDI 2",$O$7,"BDI 3",$O$8)</f>
        <v>0.20699999999999999</v>
      </c>
      <c r="AA873" s="158" cm="1">
        <f t="array" ref="AA873">_xlfn.SWITCH($N873,"BDI 1",$P$6,"BDI 2",$P$7,"BDI 3",$P$8)</f>
        <v>0.26739999999999997</v>
      </c>
      <c r="AB873" s="158">
        <f t="shared" ca="1" si="1408"/>
        <v>0</v>
      </c>
      <c r="AC873" s="158">
        <f t="shared" ca="1" si="1409"/>
        <v>0</v>
      </c>
      <c r="AD873" s="164"/>
      <c r="AE873" s="148">
        <f t="shared" si="1395"/>
        <v>0</v>
      </c>
      <c r="AF873" s="149"/>
      <c r="AG873" s="150"/>
      <c r="AH873" s="159" t="e">
        <f t="shared" si="1396"/>
        <v>#DIV/0!</v>
      </c>
      <c r="AI873" s="160"/>
      <c r="AJ873" s="181" t="s">
        <v>105</v>
      </c>
      <c r="AK873" s="181" t="s">
        <v>106</v>
      </c>
      <c r="AM873" s="105"/>
      <c r="AN873" s="105"/>
      <c r="AO873" s="105"/>
      <c r="AP873" s="105"/>
      <c r="AQ873" s="105"/>
      <c r="AR873" s="105"/>
    </row>
    <row r="874" spans="1:44" s="49" customFormat="1" ht="40.15" hidden="1" customHeight="1">
      <c r="A874" s="152">
        <f t="shared" ca="1" si="1397"/>
        <v>0</v>
      </c>
      <c r="B874" s="153">
        <v>98524</v>
      </c>
      <c r="C874" s="154" t="str">
        <f t="shared" si="1398"/>
        <v>98524</v>
      </c>
      <c r="D874" s="154" t="s">
        <v>1416</v>
      </c>
      <c r="E874" s="155" t="s">
        <v>3920</v>
      </c>
      <c r="F874" s="154"/>
      <c r="G874" s="154" t="s">
        <v>1418</v>
      </c>
      <c r="H874" s="152">
        <v>4.29</v>
      </c>
      <c r="I874" s="152">
        <v>2.85</v>
      </c>
      <c r="J874" s="156"/>
      <c r="K874" s="156">
        <f>+Passeio!L24</f>
        <v>0</v>
      </c>
      <c r="L874" s="156">
        <f t="shared" si="1399"/>
        <v>0</v>
      </c>
      <c r="M874" s="156">
        <f t="shared" si="1400"/>
        <v>0</v>
      </c>
      <c r="N874" s="156" t="s">
        <v>83</v>
      </c>
      <c r="O874" s="157" cm="1">
        <f t="array" ref="O874">TRUNC($H874*(1+_xlfn.SWITCH($N874,"BDI 1",$O$6,"BDI 2",$O$7,"BDI 3",$O$8)),2)</f>
        <v>5.17</v>
      </c>
      <c r="P874" s="157" cm="1">
        <f t="array" ref="P874">TRUNC($I874*(1+_xlfn.SWITCH($N874,"BDI 1",$P$6,"BDI 2",$P$7,"BDI 3",$P$8)),2)</f>
        <v>3.61</v>
      </c>
      <c r="Q874" s="157">
        <v>0</v>
      </c>
      <c r="R874" s="157">
        <f t="shared" si="1401"/>
        <v>0</v>
      </c>
      <c r="S874" s="156">
        <f t="shared" si="1402"/>
        <v>0</v>
      </c>
      <c r="T874" s="156">
        <f t="shared" si="1403"/>
        <v>0</v>
      </c>
      <c r="U874" s="156">
        <f t="shared" si="1404"/>
        <v>0</v>
      </c>
      <c r="V874" s="156">
        <f t="shared" si="1405"/>
        <v>0</v>
      </c>
      <c r="W874" s="156">
        <f t="shared" si="1392"/>
        <v>0</v>
      </c>
      <c r="X874" s="158">
        <f t="shared" ref="X874" si="1416">$S874/ORCAMENTO_VALOR_TOTAL_ND</f>
        <v>0</v>
      </c>
      <c r="Y874" s="158">
        <f t="shared" ref="Y874" si="1417">$T874/ORCAMENTO_VALOR_TOTAL_DE</f>
        <v>0</v>
      </c>
      <c r="Z874" s="158" cm="1">
        <f t="array" ref="Z874">_xlfn.SWITCH($N874,"BDI 1",$O$6,"BDI 2",$O$7,"BDI 3",$O$8)</f>
        <v>0.20699999999999999</v>
      </c>
      <c r="AA874" s="158" cm="1">
        <f t="array" ref="AA874">_xlfn.SWITCH($N874,"BDI 1",$P$6,"BDI 2",$P$7,"BDI 3",$P$8)</f>
        <v>0.26739999999999997</v>
      </c>
      <c r="AB874" s="158">
        <f t="shared" ca="1" si="1408"/>
        <v>0</v>
      </c>
      <c r="AC874" s="158">
        <f t="shared" ca="1" si="1409"/>
        <v>0</v>
      </c>
      <c r="AD874" s="164"/>
      <c r="AE874" s="148">
        <f t="shared" si="1395"/>
        <v>0</v>
      </c>
      <c r="AF874" s="149"/>
      <c r="AG874" s="150"/>
      <c r="AH874" s="159" t="e">
        <f t="shared" si="1396"/>
        <v>#DIV/0!</v>
      </c>
      <c r="AI874" s="160"/>
      <c r="AJ874" s="181" t="s">
        <v>105</v>
      </c>
      <c r="AK874" s="181" t="s">
        <v>106</v>
      </c>
      <c r="AM874" s="105"/>
      <c r="AN874" s="105"/>
      <c r="AO874" s="105"/>
      <c r="AP874" s="105"/>
      <c r="AQ874" s="105"/>
      <c r="AR874" s="105"/>
    </row>
    <row r="875" spans="1:44" s="49" customFormat="1" ht="49.9" hidden="1" customHeight="1">
      <c r="A875" s="152">
        <f t="shared" ca="1" si="1397"/>
        <v>0</v>
      </c>
      <c r="B875" s="153">
        <v>100975</v>
      </c>
      <c r="C875" s="154" t="str">
        <f t="shared" si="1398"/>
        <v>100975</v>
      </c>
      <c r="D875" s="154" t="s">
        <v>1416</v>
      </c>
      <c r="E875" s="155" t="s">
        <v>3899</v>
      </c>
      <c r="F875" s="154"/>
      <c r="G875" s="154" t="s">
        <v>464</v>
      </c>
      <c r="H875" s="152">
        <v>8.3800000000000008</v>
      </c>
      <c r="I875" s="152">
        <v>8.35</v>
      </c>
      <c r="J875" s="156"/>
      <c r="K875" s="156">
        <f>+Passeio!L25</f>
        <v>0</v>
      </c>
      <c r="L875" s="156">
        <f t="shared" si="1399"/>
        <v>0</v>
      </c>
      <c r="M875" s="156">
        <f t="shared" si="1400"/>
        <v>0</v>
      </c>
      <c r="N875" s="156" t="s">
        <v>83</v>
      </c>
      <c r="O875" s="157" cm="1">
        <f t="array" ref="O875">TRUNC($H875*(1+_xlfn.SWITCH($N875,"BDI 1",$O$6,"BDI 2",$O$7,"BDI 3",$O$8)),2)</f>
        <v>10.11</v>
      </c>
      <c r="P875" s="157" cm="1">
        <f t="array" ref="P875">TRUNC($I875*(1+_xlfn.SWITCH($N875,"BDI 1",$P$6,"BDI 2",$P$7,"BDI 3",$P$8)),2)</f>
        <v>10.58</v>
      </c>
      <c r="Q875" s="157">
        <v>0</v>
      </c>
      <c r="R875" s="157">
        <f t="shared" si="1401"/>
        <v>0</v>
      </c>
      <c r="S875" s="156">
        <f t="shared" si="1402"/>
        <v>0</v>
      </c>
      <c r="T875" s="156">
        <f t="shared" si="1403"/>
        <v>0</v>
      </c>
      <c r="U875" s="156">
        <f t="shared" si="1404"/>
        <v>0</v>
      </c>
      <c r="V875" s="156">
        <f t="shared" si="1405"/>
        <v>0</v>
      </c>
      <c r="W875" s="156">
        <f t="shared" si="1392"/>
        <v>0</v>
      </c>
      <c r="X875" s="158">
        <f t="shared" ref="X875" si="1418">$S875/ORCAMENTO_VALOR_TOTAL_ND</f>
        <v>0</v>
      </c>
      <c r="Y875" s="158">
        <f t="shared" ref="Y875" si="1419">$T875/ORCAMENTO_VALOR_TOTAL_DE</f>
        <v>0</v>
      </c>
      <c r="Z875" s="158" cm="1">
        <f t="array" ref="Z875">_xlfn.SWITCH($N875,"BDI 1",$O$6,"BDI 2",$O$7,"BDI 3",$O$8)</f>
        <v>0.20699999999999999</v>
      </c>
      <c r="AA875" s="158" cm="1">
        <f t="array" ref="AA875">_xlfn.SWITCH($N875,"BDI 1",$P$6,"BDI 2",$P$7,"BDI 3",$P$8)</f>
        <v>0.26739999999999997</v>
      </c>
      <c r="AB875" s="158">
        <f t="shared" ca="1" si="1408"/>
        <v>0</v>
      </c>
      <c r="AC875" s="158">
        <f t="shared" ca="1" si="1409"/>
        <v>0</v>
      </c>
      <c r="AD875" s="164"/>
      <c r="AE875" s="148">
        <f t="shared" si="1395"/>
        <v>0</v>
      </c>
      <c r="AF875" s="149"/>
      <c r="AG875" s="150"/>
      <c r="AH875" s="159" t="e">
        <f t="shared" si="1396"/>
        <v>#DIV/0!</v>
      </c>
      <c r="AI875" s="160"/>
      <c r="AJ875" s="181" t="s">
        <v>105</v>
      </c>
      <c r="AK875" s="181" t="s">
        <v>106</v>
      </c>
      <c r="AM875" s="105"/>
      <c r="AN875" s="105"/>
      <c r="AO875" s="105"/>
      <c r="AP875" s="105"/>
      <c r="AQ875" s="105"/>
      <c r="AR875" s="105"/>
    </row>
    <row r="876" spans="1:44" s="49" customFormat="1" ht="40.15" hidden="1" customHeight="1">
      <c r="A876" s="152">
        <f t="shared" ca="1" si="1397"/>
        <v>0</v>
      </c>
      <c r="B876" s="153">
        <v>97084</v>
      </c>
      <c r="C876" s="154" t="str">
        <f t="shared" si="1398"/>
        <v>97084</v>
      </c>
      <c r="D876" s="154" t="s">
        <v>1416</v>
      </c>
      <c r="E876" s="155" t="s">
        <v>3915</v>
      </c>
      <c r="F876" s="154"/>
      <c r="G876" s="154" t="s">
        <v>1418</v>
      </c>
      <c r="H876" s="152">
        <v>0.64</v>
      </c>
      <c r="I876" s="152">
        <v>0.57999999999999996</v>
      </c>
      <c r="J876" s="156"/>
      <c r="K876" s="156">
        <f>+Passeio!L170+Passeio!L231</f>
        <v>0</v>
      </c>
      <c r="L876" s="156">
        <f t="shared" si="1399"/>
        <v>0</v>
      </c>
      <c r="M876" s="156">
        <f t="shared" si="1400"/>
        <v>0</v>
      </c>
      <c r="N876" s="156" t="s">
        <v>83</v>
      </c>
      <c r="O876" s="157" cm="1">
        <f t="array" ref="O876">TRUNC($H876*(1+_xlfn.SWITCH($N876,"BDI 1",$O$6,"BDI 2",$O$7,"BDI 3",$O$8)),2)</f>
        <v>0.77</v>
      </c>
      <c r="P876" s="157" cm="1">
        <f t="array" ref="P876">TRUNC($I876*(1+_xlfn.SWITCH($N876,"BDI 1",$P$6,"BDI 2",$P$7,"BDI 3",$P$8)),2)</f>
        <v>0.73</v>
      </c>
      <c r="Q876" s="157">
        <v>0</v>
      </c>
      <c r="R876" s="157">
        <f t="shared" si="1401"/>
        <v>0</v>
      </c>
      <c r="S876" s="156">
        <f t="shared" si="1402"/>
        <v>0</v>
      </c>
      <c r="T876" s="156">
        <f t="shared" si="1403"/>
        <v>0</v>
      </c>
      <c r="U876" s="156">
        <f t="shared" si="1404"/>
        <v>0</v>
      </c>
      <c r="V876" s="156">
        <f t="shared" si="1405"/>
        <v>0</v>
      </c>
      <c r="W876" s="156">
        <f t="shared" si="1392"/>
        <v>0</v>
      </c>
      <c r="X876" s="158">
        <f t="shared" ref="X876" si="1420">$S876/ORCAMENTO_VALOR_TOTAL_ND</f>
        <v>0</v>
      </c>
      <c r="Y876" s="158">
        <f t="shared" ref="Y876" si="1421">$T876/ORCAMENTO_VALOR_TOTAL_DE</f>
        <v>0</v>
      </c>
      <c r="Z876" s="158" cm="1">
        <f t="array" ref="Z876">_xlfn.SWITCH($N876,"BDI 1",$O$6,"BDI 2",$O$7,"BDI 3",$O$8)</f>
        <v>0.20699999999999999</v>
      </c>
      <c r="AA876" s="158" cm="1">
        <f t="array" ref="AA876">_xlfn.SWITCH($N876,"BDI 1",$P$6,"BDI 2",$P$7,"BDI 3",$P$8)</f>
        <v>0.26739999999999997</v>
      </c>
      <c r="AB876" s="158">
        <f t="shared" ca="1" si="1408"/>
        <v>0</v>
      </c>
      <c r="AC876" s="158">
        <f t="shared" ca="1" si="1409"/>
        <v>0</v>
      </c>
      <c r="AD876" s="164"/>
      <c r="AE876" s="148">
        <f t="shared" si="1395"/>
        <v>0</v>
      </c>
      <c r="AF876" s="149"/>
      <c r="AG876" s="150"/>
      <c r="AH876" s="159" t="e">
        <f t="shared" si="1396"/>
        <v>#DIV/0!</v>
      </c>
      <c r="AI876" s="160"/>
      <c r="AJ876" s="184">
        <v>0</v>
      </c>
      <c r="AK876" s="183" t="e">
        <f>+K876/AJ876</f>
        <v>#DIV/0!</v>
      </c>
      <c r="AM876" s="105"/>
      <c r="AN876" s="105"/>
      <c r="AO876" s="105"/>
      <c r="AP876" s="105"/>
      <c r="AQ876" s="105"/>
      <c r="AR876" s="105"/>
    </row>
    <row r="877" spans="1:44" s="49" customFormat="1" ht="49.9" hidden="1" customHeight="1">
      <c r="A877" s="152">
        <f t="shared" ca="1" si="1397"/>
        <v>0</v>
      </c>
      <c r="B877" s="153" t="s">
        <v>230</v>
      </c>
      <c r="C877" s="154" t="str">
        <f t="shared" si="1398"/>
        <v>SC/0080</v>
      </c>
      <c r="D877" s="154" t="s">
        <v>3549</v>
      </c>
      <c r="E877" s="155" t="s">
        <v>3849</v>
      </c>
      <c r="F877" s="154"/>
      <c r="G877" s="154" t="s">
        <v>58</v>
      </c>
      <c r="H877" s="152">
        <v>59.35</v>
      </c>
      <c r="I877" s="152">
        <v>57.76</v>
      </c>
      <c r="J877" s="156"/>
      <c r="K877" s="156">
        <f>+Passeio!L156+Passeio!L157</f>
        <v>0</v>
      </c>
      <c r="L877" s="156">
        <f t="shared" si="1399"/>
        <v>0</v>
      </c>
      <c r="M877" s="156">
        <f t="shared" si="1400"/>
        <v>0</v>
      </c>
      <c r="N877" s="156" t="s">
        <v>83</v>
      </c>
      <c r="O877" s="157" cm="1">
        <f t="array" ref="O877">TRUNC($H877*(1+_xlfn.SWITCH($N877,"BDI 1",$O$6,"BDI 2",$O$7,"BDI 3",$O$8)),2)</f>
        <v>71.63</v>
      </c>
      <c r="P877" s="157" cm="1">
        <f t="array" ref="P877">TRUNC($I877*(1+_xlfn.SWITCH($N877,"BDI 1",$P$6,"BDI 2",$P$7,"BDI 3",$P$8)),2)</f>
        <v>73.2</v>
      </c>
      <c r="Q877" s="157">
        <v>0</v>
      </c>
      <c r="R877" s="157">
        <f t="shared" si="1401"/>
        <v>0</v>
      </c>
      <c r="S877" s="156">
        <f t="shared" si="1402"/>
        <v>0</v>
      </c>
      <c r="T877" s="156">
        <f t="shared" si="1403"/>
        <v>0</v>
      </c>
      <c r="U877" s="156">
        <f t="shared" si="1404"/>
        <v>0</v>
      </c>
      <c r="V877" s="156">
        <f t="shared" si="1405"/>
        <v>0</v>
      </c>
      <c r="W877" s="156">
        <f t="shared" si="1392"/>
        <v>0</v>
      </c>
      <c r="X877" s="158">
        <f t="shared" ref="X877" si="1422">$S877/ORCAMENTO_VALOR_TOTAL_ND</f>
        <v>0</v>
      </c>
      <c r="Y877" s="158">
        <f t="shared" ref="Y877" si="1423">$T877/ORCAMENTO_VALOR_TOTAL_DE</f>
        <v>0</v>
      </c>
      <c r="Z877" s="158" cm="1">
        <f t="array" ref="Z877">_xlfn.SWITCH($N877,"BDI 1",$O$6,"BDI 2",$O$7,"BDI 3",$O$8)</f>
        <v>0.20699999999999999</v>
      </c>
      <c r="AA877" s="158" cm="1">
        <f t="array" ref="AA877">_xlfn.SWITCH($N877,"BDI 1",$P$6,"BDI 2",$P$7,"BDI 3",$P$8)</f>
        <v>0.26739999999999997</v>
      </c>
      <c r="AB877" s="158">
        <f t="shared" ca="1" si="1408"/>
        <v>0</v>
      </c>
      <c r="AC877" s="158">
        <f t="shared" ca="1" si="1409"/>
        <v>0</v>
      </c>
      <c r="AD877" s="164"/>
      <c r="AE877" s="148">
        <f t="shared" si="1395"/>
        <v>0</v>
      </c>
      <c r="AF877" s="149"/>
      <c r="AG877" s="150"/>
      <c r="AH877" s="159" t="e">
        <f t="shared" si="1396"/>
        <v>#DIV/0!</v>
      </c>
      <c r="AI877" s="160"/>
      <c r="AJ877" s="184"/>
      <c r="AK877" s="183"/>
      <c r="AM877" s="105"/>
      <c r="AN877" s="105"/>
      <c r="AO877" s="105"/>
      <c r="AP877" s="105"/>
      <c r="AQ877" s="105"/>
      <c r="AR877" s="105"/>
    </row>
    <row r="878" spans="1:44" s="49" customFormat="1" ht="40.15" hidden="1" customHeight="1">
      <c r="A878" s="152">
        <f t="shared" ca="1" si="1397"/>
        <v>0</v>
      </c>
      <c r="B878" s="153">
        <v>94962</v>
      </c>
      <c r="C878" s="154" t="str">
        <f t="shared" si="1398"/>
        <v>94962</v>
      </c>
      <c r="D878" s="154" t="s">
        <v>1416</v>
      </c>
      <c r="E878" s="155" t="s">
        <v>3791</v>
      </c>
      <c r="F878" s="154"/>
      <c r="G878" s="154" t="s">
        <v>464</v>
      </c>
      <c r="H878" s="152">
        <v>385.31</v>
      </c>
      <c r="I878" s="152">
        <v>383.4</v>
      </c>
      <c r="J878" s="156"/>
      <c r="K878" s="156">
        <f>+Passeio!L155</f>
        <v>0</v>
      </c>
      <c r="L878" s="156">
        <f t="shared" si="1399"/>
        <v>0</v>
      </c>
      <c r="M878" s="156">
        <f t="shared" si="1400"/>
        <v>0</v>
      </c>
      <c r="N878" s="156" t="s">
        <v>83</v>
      </c>
      <c r="O878" s="157" cm="1">
        <f t="array" ref="O878">TRUNC($H878*(1+_xlfn.SWITCH($N878,"BDI 1",$O$6,"BDI 2",$O$7,"BDI 3",$O$8)),2)</f>
        <v>465.06</v>
      </c>
      <c r="P878" s="157" cm="1">
        <f t="array" ref="P878">TRUNC($I878*(1+_xlfn.SWITCH($N878,"BDI 1",$P$6,"BDI 2",$P$7,"BDI 3",$P$8)),2)</f>
        <v>485.92</v>
      </c>
      <c r="Q878" s="157">
        <v>0</v>
      </c>
      <c r="R878" s="157">
        <f t="shared" si="1401"/>
        <v>0</v>
      </c>
      <c r="S878" s="156">
        <f t="shared" si="1402"/>
        <v>0</v>
      </c>
      <c r="T878" s="156">
        <f t="shared" si="1403"/>
        <v>0</v>
      </c>
      <c r="U878" s="156">
        <f t="shared" si="1404"/>
        <v>0</v>
      </c>
      <c r="V878" s="156">
        <f t="shared" si="1405"/>
        <v>0</v>
      </c>
      <c r="W878" s="156">
        <f t="shared" si="1392"/>
        <v>0</v>
      </c>
      <c r="X878" s="158">
        <f t="shared" ref="X878" si="1424">$S878/ORCAMENTO_VALOR_TOTAL_ND</f>
        <v>0</v>
      </c>
      <c r="Y878" s="158">
        <f t="shared" ref="Y878" si="1425">$T878/ORCAMENTO_VALOR_TOTAL_DE</f>
        <v>0</v>
      </c>
      <c r="Z878" s="158" cm="1">
        <f t="array" ref="Z878">_xlfn.SWITCH($N878,"BDI 1",$O$6,"BDI 2",$O$7,"BDI 3",$O$8)</f>
        <v>0.20699999999999999</v>
      </c>
      <c r="AA878" s="158" cm="1">
        <f t="array" ref="AA878">_xlfn.SWITCH($N878,"BDI 1",$P$6,"BDI 2",$P$7,"BDI 3",$P$8)</f>
        <v>0.26739999999999997</v>
      </c>
      <c r="AB878" s="158">
        <f t="shared" ca="1" si="1408"/>
        <v>0</v>
      </c>
      <c r="AC878" s="158">
        <f t="shared" ca="1" si="1409"/>
        <v>0</v>
      </c>
      <c r="AD878" s="164"/>
      <c r="AE878" s="148">
        <f t="shared" si="1395"/>
        <v>0</v>
      </c>
      <c r="AF878" s="149"/>
      <c r="AG878" s="150"/>
      <c r="AH878" s="159" t="e">
        <f t="shared" si="1396"/>
        <v>#DIV/0!</v>
      </c>
      <c r="AI878" s="160"/>
      <c r="AJ878" s="184"/>
      <c r="AK878" s="183"/>
      <c r="AM878" s="105"/>
      <c r="AN878" s="105"/>
      <c r="AO878" s="105"/>
      <c r="AP878" s="105"/>
      <c r="AQ878" s="105"/>
      <c r="AR878" s="105"/>
    </row>
    <row r="879" spans="1:44" s="49" customFormat="1" ht="40.15" hidden="1" customHeight="1">
      <c r="A879" s="152">
        <f t="shared" ca="1" si="1397"/>
        <v>0</v>
      </c>
      <c r="B879" s="153">
        <v>94991</v>
      </c>
      <c r="C879" s="154" t="str">
        <f t="shared" si="1398"/>
        <v>94991</v>
      </c>
      <c r="D879" s="154" t="s">
        <v>1416</v>
      </c>
      <c r="E879" s="155" t="s">
        <v>3850</v>
      </c>
      <c r="F879" s="154"/>
      <c r="G879" s="154" t="s">
        <v>464</v>
      </c>
      <c r="H879" s="152">
        <v>801</v>
      </c>
      <c r="I879" s="152">
        <v>784.57</v>
      </c>
      <c r="J879" s="156"/>
      <c r="K879" s="156">
        <f>+Passeio!L164</f>
        <v>0</v>
      </c>
      <c r="L879" s="156">
        <f t="shared" si="1399"/>
        <v>0</v>
      </c>
      <c r="M879" s="156">
        <f t="shared" si="1400"/>
        <v>0</v>
      </c>
      <c r="N879" s="156" t="s">
        <v>83</v>
      </c>
      <c r="O879" s="157" cm="1">
        <f t="array" ref="O879">TRUNC($H879*(1+_xlfn.SWITCH($N879,"BDI 1",$O$6,"BDI 2",$O$7,"BDI 3",$O$8)),2)</f>
        <v>966.8</v>
      </c>
      <c r="P879" s="157" cm="1">
        <f t="array" ref="P879">TRUNC($I879*(1+_xlfn.SWITCH($N879,"BDI 1",$P$6,"BDI 2",$P$7,"BDI 3",$P$8)),2)</f>
        <v>994.36</v>
      </c>
      <c r="Q879" s="157">
        <v>0</v>
      </c>
      <c r="R879" s="157">
        <f t="shared" si="1401"/>
        <v>0</v>
      </c>
      <c r="S879" s="156">
        <f t="shared" si="1402"/>
        <v>0</v>
      </c>
      <c r="T879" s="156">
        <f t="shared" si="1403"/>
        <v>0</v>
      </c>
      <c r="U879" s="156">
        <f t="shared" si="1404"/>
        <v>0</v>
      </c>
      <c r="V879" s="156">
        <f t="shared" si="1405"/>
        <v>0</v>
      </c>
      <c r="W879" s="156">
        <f t="shared" si="1392"/>
        <v>0</v>
      </c>
      <c r="X879" s="158">
        <f t="shared" ref="X879" si="1426">$S879/ORCAMENTO_VALOR_TOTAL_ND</f>
        <v>0</v>
      </c>
      <c r="Y879" s="158">
        <f t="shared" ref="Y879" si="1427">$T879/ORCAMENTO_VALOR_TOTAL_DE</f>
        <v>0</v>
      </c>
      <c r="Z879" s="158" cm="1">
        <f t="array" ref="Z879">_xlfn.SWITCH($N879,"BDI 1",$O$6,"BDI 2",$O$7,"BDI 3",$O$8)</f>
        <v>0.20699999999999999</v>
      </c>
      <c r="AA879" s="158" cm="1">
        <f t="array" ref="AA879">_xlfn.SWITCH($N879,"BDI 1",$P$6,"BDI 2",$P$7,"BDI 3",$P$8)</f>
        <v>0.26739999999999997</v>
      </c>
      <c r="AB879" s="158">
        <f t="shared" ca="1" si="1408"/>
        <v>0</v>
      </c>
      <c r="AC879" s="158">
        <f t="shared" ca="1" si="1409"/>
        <v>0</v>
      </c>
      <c r="AD879" s="164"/>
      <c r="AE879" s="148">
        <f t="shared" si="1395"/>
        <v>0</v>
      </c>
      <c r="AF879" s="149"/>
      <c r="AG879" s="150"/>
      <c r="AH879" s="159" t="e">
        <f t="shared" si="1396"/>
        <v>#DIV/0!</v>
      </c>
      <c r="AI879" s="165" t="s">
        <v>216</v>
      </c>
      <c r="AJ879" s="184"/>
      <c r="AK879" s="183"/>
      <c r="AM879" s="167"/>
      <c r="AN879" s="167"/>
      <c r="AO879" s="167"/>
      <c r="AP879" s="167"/>
      <c r="AQ879" s="167"/>
      <c r="AR879" s="167"/>
    </row>
    <row r="880" spans="1:44" s="49" customFormat="1" ht="40.15" hidden="1" customHeight="1">
      <c r="A880" s="152">
        <f t="shared" ca="1" si="1397"/>
        <v>0</v>
      </c>
      <c r="B880" s="153">
        <v>94994</v>
      </c>
      <c r="C880" s="154" t="str">
        <f t="shared" si="1398"/>
        <v>94994</v>
      </c>
      <c r="D880" s="154" t="s">
        <v>1416</v>
      </c>
      <c r="E880" s="155" t="s">
        <v>3851</v>
      </c>
      <c r="F880" s="154"/>
      <c r="G880" s="154" t="s">
        <v>1418</v>
      </c>
      <c r="H880" s="152">
        <v>93.23</v>
      </c>
      <c r="I880" s="152">
        <v>90.7</v>
      </c>
      <c r="J880" s="156"/>
      <c r="K880" s="156">
        <f>+Passeio!L168</f>
        <v>0</v>
      </c>
      <c r="L880" s="156">
        <f t="shared" si="1399"/>
        <v>0</v>
      </c>
      <c r="M880" s="156">
        <f t="shared" si="1400"/>
        <v>0</v>
      </c>
      <c r="N880" s="156" t="s">
        <v>83</v>
      </c>
      <c r="O880" s="157" cm="1">
        <f t="array" ref="O880">TRUNC($H880*(1+_xlfn.SWITCH($N880,"BDI 1",$O$6,"BDI 2",$O$7,"BDI 3",$O$8)),2)</f>
        <v>112.52</v>
      </c>
      <c r="P880" s="157" cm="1">
        <f t="array" ref="P880">TRUNC($I880*(1+_xlfn.SWITCH($N880,"BDI 1",$P$6,"BDI 2",$P$7,"BDI 3",$P$8)),2)</f>
        <v>114.95</v>
      </c>
      <c r="Q880" s="157">
        <v>0</v>
      </c>
      <c r="R880" s="157">
        <f t="shared" si="1401"/>
        <v>0</v>
      </c>
      <c r="S880" s="156">
        <f t="shared" si="1402"/>
        <v>0</v>
      </c>
      <c r="T880" s="156">
        <f t="shared" si="1403"/>
        <v>0</v>
      </c>
      <c r="U880" s="156">
        <f t="shared" si="1404"/>
        <v>0</v>
      </c>
      <c r="V880" s="156">
        <f t="shared" si="1405"/>
        <v>0</v>
      </c>
      <c r="W880" s="156">
        <f t="shared" si="1392"/>
        <v>0</v>
      </c>
      <c r="X880" s="158">
        <f t="shared" ref="X880" si="1428">$S880/ORCAMENTO_VALOR_TOTAL_ND</f>
        <v>0</v>
      </c>
      <c r="Y880" s="158">
        <f t="shared" ref="Y880" si="1429">$T880/ORCAMENTO_VALOR_TOTAL_DE</f>
        <v>0</v>
      </c>
      <c r="Z880" s="158" cm="1">
        <f t="array" ref="Z880">_xlfn.SWITCH($N880,"BDI 1",$O$6,"BDI 2",$O$7,"BDI 3",$O$8)</f>
        <v>0.20699999999999999</v>
      </c>
      <c r="AA880" s="158" cm="1">
        <f t="array" ref="AA880">_xlfn.SWITCH($N880,"BDI 1",$P$6,"BDI 2",$P$7,"BDI 3",$P$8)</f>
        <v>0.26739999999999997</v>
      </c>
      <c r="AB880" s="158">
        <f t="shared" ca="1" si="1408"/>
        <v>0</v>
      </c>
      <c r="AC880" s="158">
        <f t="shared" ca="1" si="1409"/>
        <v>0</v>
      </c>
      <c r="AD880" s="164"/>
      <c r="AE880" s="148">
        <f t="shared" si="1395"/>
        <v>0</v>
      </c>
      <c r="AF880" s="149"/>
      <c r="AG880" s="150"/>
      <c r="AH880" s="159" t="e">
        <f t="shared" si="1396"/>
        <v>#DIV/0!</v>
      </c>
      <c r="AI880" s="165" t="s">
        <v>231</v>
      </c>
      <c r="AJ880" s="184">
        <v>0</v>
      </c>
      <c r="AK880" s="183"/>
      <c r="AM880" s="167"/>
      <c r="AN880" s="167"/>
      <c r="AO880" s="167"/>
      <c r="AP880" s="167"/>
      <c r="AQ880" s="167"/>
      <c r="AR880" s="167"/>
    </row>
    <row r="881" spans="1:44" s="49" customFormat="1" ht="40.15" hidden="1" customHeight="1">
      <c r="A881" s="152">
        <f t="shared" ca="1" si="1397"/>
        <v>0</v>
      </c>
      <c r="B881" s="153">
        <v>92396</v>
      </c>
      <c r="C881" s="154" t="str">
        <f t="shared" si="1398"/>
        <v>92396</v>
      </c>
      <c r="D881" s="154" t="s">
        <v>1416</v>
      </c>
      <c r="E881" s="155" t="s">
        <v>3853</v>
      </c>
      <c r="F881" s="154"/>
      <c r="G881" s="154" t="s">
        <v>1418</v>
      </c>
      <c r="H881" s="152">
        <v>83.59</v>
      </c>
      <c r="I881" s="152">
        <v>75.23</v>
      </c>
      <c r="J881" s="156"/>
      <c r="K881" s="156">
        <f>+Passeio!L30</f>
        <v>0</v>
      </c>
      <c r="L881" s="156">
        <f t="shared" si="1399"/>
        <v>0</v>
      </c>
      <c r="M881" s="156">
        <f t="shared" si="1400"/>
        <v>0</v>
      </c>
      <c r="N881" s="156" t="s">
        <v>83</v>
      </c>
      <c r="O881" s="157" cm="1">
        <f t="array" ref="O881">TRUNC($H881*(1+_xlfn.SWITCH($N881,"BDI 1",$O$6,"BDI 2",$O$7,"BDI 3",$O$8)),2)</f>
        <v>100.89</v>
      </c>
      <c r="P881" s="157" cm="1">
        <f t="array" ref="P881">TRUNC($I881*(1+_xlfn.SWITCH($N881,"BDI 1",$P$6,"BDI 2",$P$7,"BDI 3",$P$8)),2)</f>
        <v>95.34</v>
      </c>
      <c r="Q881" s="157">
        <v>0</v>
      </c>
      <c r="R881" s="157">
        <f t="shared" si="1401"/>
        <v>0</v>
      </c>
      <c r="S881" s="156">
        <f t="shared" si="1402"/>
        <v>0</v>
      </c>
      <c r="T881" s="156">
        <f t="shared" si="1403"/>
        <v>0</v>
      </c>
      <c r="U881" s="156">
        <f t="shared" si="1404"/>
        <v>0</v>
      </c>
      <c r="V881" s="156">
        <f t="shared" si="1405"/>
        <v>0</v>
      </c>
      <c r="W881" s="156">
        <f t="shared" si="1392"/>
        <v>0</v>
      </c>
      <c r="X881" s="158">
        <f t="shared" ref="X881" si="1430">$S881/ORCAMENTO_VALOR_TOTAL_ND</f>
        <v>0</v>
      </c>
      <c r="Y881" s="158">
        <f t="shared" ref="Y881" si="1431">$T881/ORCAMENTO_VALOR_TOTAL_DE</f>
        <v>0</v>
      </c>
      <c r="Z881" s="158" cm="1">
        <f t="array" ref="Z881">_xlfn.SWITCH($N881,"BDI 1",$O$6,"BDI 2",$O$7,"BDI 3",$O$8)</f>
        <v>0.20699999999999999</v>
      </c>
      <c r="AA881" s="158" cm="1">
        <f t="array" ref="AA881">_xlfn.SWITCH($N881,"BDI 1",$P$6,"BDI 2",$P$7,"BDI 3",$P$8)</f>
        <v>0.26739999999999997</v>
      </c>
      <c r="AB881" s="158">
        <f t="shared" ca="1" si="1408"/>
        <v>0</v>
      </c>
      <c r="AC881" s="158">
        <f t="shared" ca="1" si="1409"/>
        <v>0</v>
      </c>
      <c r="AD881" s="164"/>
      <c r="AE881" s="148">
        <f t="shared" si="1395"/>
        <v>0</v>
      </c>
      <c r="AF881" s="149"/>
      <c r="AG881" s="150"/>
      <c r="AH881" s="159" t="e">
        <f t="shared" si="1396"/>
        <v>#DIV/0!</v>
      </c>
      <c r="AI881" s="165" t="s">
        <v>232</v>
      </c>
      <c r="AJ881" s="105"/>
      <c r="AK881" s="167"/>
      <c r="AM881" s="167"/>
      <c r="AN881" s="167"/>
      <c r="AO881" s="167"/>
      <c r="AP881" s="167"/>
      <c r="AQ881" s="167"/>
      <c r="AR881" s="167"/>
    </row>
    <row r="882" spans="1:44" s="49" customFormat="1" ht="40.15" hidden="1" customHeight="1">
      <c r="A882" s="152">
        <f t="shared" ca="1" si="1397"/>
        <v>0</v>
      </c>
      <c r="B882" s="153" t="s">
        <v>330</v>
      </c>
      <c r="C882" s="154" t="str">
        <f t="shared" si="1398"/>
        <v>SC/0130</v>
      </c>
      <c r="D882" s="154" t="s">
        <v>3549</v>
      </c>
      <c r="E882" s="155" t="s">
        <v>3921</v>
      </c>
      <c r="F882" s="154"/>
      <c r="G882" s="154" t="s">
        <v>1412</v>
      </c>
      <c r="H882" s="152">
        <v>134.16</v>
      </c>
      <c r="I882" s="152">
        <v>131.59</v>
      </c>
      <c r="J882" s="156"/>
      <c r="K882" s="156">
        <f>+Passeio!L200</f>
        <v>0</v>
      </c>
      <c r="L882" s="156">
        <f t="shared" si="1399"/>
        <v>0</v>
      </c>
      <c r="M882" s="156">
        <f t="shared" si="1400"/>
        <v>0</v>
      </c>
      <c r="N882" s="156" t="s">
        <v>83</v>
      </c>
      <c r="O882" s="157" cm="1">
        <f t="array" ref="O882">TRUNC($H882*(1+_xlfn.SWITCH($N882,"BDI 1",$O$6,"BDI 2",$O$7,"BDI 3",$O$8)),2)</f>
        <v>161.93</v>
      </c>
      <c r="P882" s="157" cm="1">
        <f t="array" ref="P882">TRUNC($I882*(1+_xlfn.SWITCH($N882,"BDI 1",$P$6,"BDI 2",$P$7,"BDI 3",$P$8)),2)</f>
        <v>166.77</v>
      </c>
      <c r="Q882" s="157">
        <v>0</v>
      </c>
      <c r="R882" s="157">
        <f t="shared" si="1401"/>
        <v>0</v>
      </c>
      <c r="S882" s="156">
        <f t="shared" si="1402"/>
        <v>0</v>
      </c>
      <c r="T882" s="156">
        <f t="shared" si="1403"/>
        <v>0</v>
      </c>
      <c r="U882" s="156">
        <f t="shared" si="1404"/>
        <v>0</v>
      </c>
      <c r="V882" s="156">
        <f t="shared" si="1405"/>
        <v>0</v>
      </c>
      <c r="W882" s="156">
        <f t="shared" si="1392"/>
        <v>0</v>
      </c>
      <c r="X882" s="158">
        <f t="shared" ref="X882" si="1432">$S882/ORCAMENTO_VALOR_TOTAL_ND</f>
        <v>0</v>
      </c>
      <c r="Y882" s="158">
        <f t="shared" ref="Y882" si="1433">$T882/ORCAMENTO_VALOR_TOTAL_DE</f>
        <v>0</v>
      </c>
      <c r="Z882" s="158" cm="1">
        <f t="array" ref="Z882">_xlfn.SWITCH($N882,"BDI 1",$O$6,"BDI 2",$O$7,"BDI 3",$O$8)</f>
        <v>0.20699999999999999</v>
      </c>
      <c r="AA882" s="158" cm="1">
        <f t="array" ref="AA882">_xlfn.SWITCH($N882,"BDI 1",$P$6,"BDI 2",$P$7,"BDI 3",$P$8)</f>
        <v>0.26739999999999997</v>
      </c>
      <c r="AB882" s="158">
        <f t="shared" ca="1" si="1408"/>
        <v>0</v>
      </c>
      <c r="AC882" s="158">
        <f t="shared" ca="1" si="1409"/>
        <v>0</v>
      </c>
      <c r="AD882" s="164"/>
      <c r="AE882" s="148">
        <f t="shared" si="1395"/>
        <v>0</v>
      </c>
      <c r="AF882" s="149"/>
      <c r="AG882" s="150"/>
      <c r="AH882" s="159" t="e">
        <f t="shared" si="1396"/>
        <v>#DIV/0!</v>
      </c>
      <c r="AI882" s="160"/>
      <c r="AJ882" s="105"/>
      <c r="AK882" s="105"/>
      <c r="AM882" s="105"/>
      <c r="AN882" s="105"/>
      <c r="AO882" s="105"/>
      <c r="AP882" s="105"/>
      <c r="AQ882" s="105"/>
      <c r="AR882" s="105"/>
    </row>
    <row r="883" spans="1:44" s="49" customFormat="1" ht="40.15" hidden="1" customHeight="1">
      <c r="A883" s="152">
        <f t="shared" ca="1" si="1397"/>
        <v>0</v>
      </c>
      <c r="B883" s="153" t="s">
        <v>331</v>
      </c>
      <c r="C883" s="154" t="str">
        <f t="shared" si="1398"/>
        <v>SC/0135</v>
      </c>
      <c r="D883" s="154" t="s">
        <v>3549</v>
      </c>
      <c r="E883" s="155" t="s">
        <v>3922</v>
      </c>
      <c r="F883" s="154"/>
      <c r="G883" s="154" t="s">
        <v>1412</v>
      </c>
      <c r="H883" s="152">
        <v>202.6</v>
      </c>
      <c r="I883" s="152">
        <v>198.74</v>
      </c>
      <c r="J883" s="156"/>
      <c r="K883" s="156">
        <f>+Passeio!L201</f>
        <v>0</v>
      </c>
      <c r="L883" s="156">
        <f t="shared" si="1399"/>
        <v>0</v>
      </c>
      <c r="M883" s="156">
        <f t="shared" si="1400"/>
        <v>0</v>
      </c>
      <c r="N883" s="156" t="s">
        <v>83</v>
      </c>
      <c r="O883" s="157" cm="1">
        <f t="array" ref="O883">TRUNC($H883*(1+_xlfn.SWITCH($N883,"BDI 1",$O$6,"BDI 2",$O$7,"BDI 3",$O$8)),2)</f>
        <v>244.53</v>
      </c>
      <c r="P883" s="157" cm="1">
        <f t="array" ref="P883">TRUNC($I883*(1+_xlfn.SWITCH($N883,"BDI 1",$P$6,"BDI 2",$P$7,"BDI 3",$P$8)),2)</f>
        <v>251.88</v>
      </c>
      <c r="Q883" s="157">
        <v>0</v>
      </c>
      <c r="R883" s="157">
        <f t="shared" si="1401"/>
        <v>0</v>
      </c>
      <c r="S883" s="156">
        <f t="shared" si="1402"/>
        <v>0</v>
      </c>
      <c r="T883" s="156">
        <f t="shared" si="1403"/>
        <v>0</v>
      </c>
      <c r="U883" s="156">
        <f t="shared" si="1404"/>
        <v>0</v>
      </c>
      <c r="V883" s="156">
        <f t="shared" si="1405"/>
        <v>0</v>
      </c>
      <c r="W883" s="156">
        <f t="shared" si="1392"/>
        <v>0</v>
      </c>
      <c r="X883" s="158">
        <f t="shared" ref="X883" si="1434">$S883/ORCAMENTO_VALOR_TOTAL_ND</f>
        <v>0</v>
      </c>
      <c r="Y883" s="158">
        <f t="shared" ref="Y883" si="1435">$T883/ORCAMENTO_VALOR_TOTAL_DE</f>
        <v>0</v>
      </c>
      <c r="Z883" s="158" cm="1">
        <f t="array" ref="Z883">_xlfn.SWITCH($N883,"BDI 1",$O$6,"BDI 2",$O$7,"BDI 3",$O$8)</f>
        <v>0.20699999999999999</v>
      </c>
      <c r="AA883" s="158" cm="1">
        <f t="array" ref="AA883">_xlfn.SWITCH($N883,"BDI 1",$P$6,"BDI 2",$P$7,"BDI 3",$P$8)</f>
        <v>0.26739999999999997</v>
      </c>
      <c r="AB883" s="158">
        <f t="shared" ca="1" si="1408"/>
        <v>0</v>
      </c>
      <c r="AC883" s="158">
        <f t="shared" ca="1" si="1409"/>
        <v>0</v>
      </c>
      <c r="AD883" s="164"/>
      <c r="AE883" s="148">
        <f t="shared" si="1395"/>
        <v>0</v>
      </c>
      <c r="AF883" s="149"/>
      <c r="AG883" s="150"/>
      <c r="AH883" s="159" t="e">
        <f t="shared" si="1396"/>
        <v>#DIV/0!</v>
      </c>
      <c r="AI883" s="160"/>
      <c r="AJ883" s="105"/>
      <c r="AK883" s="105"/>
      <c r="AM883" s="105"/>
      <c r="AN883" s="105"/>
      <c r="AO883" s="105"/>
      <c r="AP883" s="105"/>
      <c r="AQ883" s="105"/>
      <c r="AR883" s="105"/>
    </row>
    <row r="884" spans="1:44" s="49" customFormat="1" ht="40.15" hidden="1" customHeight="1">
      <c r="A884" s="152">
        <f t="shared" ca="1" si="1397"/>
        <v>0</v>
      </c>
      <c r="B884" s="153" t="s">
        <v>332</v>
      </c>
      <c r="C884" s="154" t="str">
        <f t="shared" si="1398"/>
        <v>SC/0140</v>
      </c>
      <c r="D884" s="154" t="s">
        <v>3549</v>
      </c>
      <c r="E884" s="155" t="s">
        <v>3923</v>
      </c>
      <c r="F884" s="154"/>
      <c r="G884" s="154" t="s">
        <v>1412</v>
      </c>
      <c r="H884" s="152">
        <v>294.04000000000002</v>
      </c>
      <c r="I884" s="152">
        <v>289.54000000000002</v>
      </c>
      <c r="J884" s="156"/>
      <c r="K884" s="156">
        <f>+Passeio!L202</f>
        <v>0</v>
      </c>
      <c r="L884" s="156">
        <f t="shared" si="1399"/>
        <v>0</v>
      </c>
      <c r="M884" s="156">
        <f t="shared" si="1400"/>
        <v>0</v>
      </c>
      <c r="N884" s="156" t="s">
        <v>83</v>
      </c>
      <c r="O884" s="157" cm="1">
        <f t="array" ref="O884">TRUNC($H884*(1+_xlfn.SWITCH($N884,"BDI 1",$O$6,"BDI 2",$O$7,"BDI 3",$O$8)),2)</f>
        <v>354.9</v>
      </c>
      <c r="P884" s="157" cm="1">
        <f t="array" ref="P884">TRUNC($I884*(1+_xlfn.SWITCH($N884,"BDI 1",$P$6,"BDI 2",$P$7,"BDI 3",$P$8)),2)</f>
        <v>366.96</v>
      </c>
      <c r="Q884" s="157">
        <v>0</v>
      </c>
      <c r="R884" s="157">
        <f t="shared" si="1401"/>
        <v>0</v>
      </c>
      <c r="S884" s="156">
        <f t="shared" si="1402"/>
        <v>0</v>
      </c>
      <c r="T884" s="156">
        <f t="shared" si="1403"/>
        <v>0</v>
      </c>
      <c r="U884" s="156">
        <f t="shared" si="1404"/>
        <v>0</v>
      </c>
      <c r="V884" s="156">
        <f t="shared" si="1405"/>
        <v>0</v>
      </c>
      <c r="W884" s="156">
        <f t="shared" si="1392"/>
        <v>0</v>
      </c>
      <c r="X884" s="158">
        <f t="shared" ref="X884" si="1436">$S884/ORCAMENTO_VALOR_TOTAL_ND</f>
        <v>0</v>
      </c>
      <c r="Y884" s="158">
        <f t="shared" ref="Y884" si="1437">$T884/ORCAMENTO_VALOR_TOTAL_DE</f>
        <v>0</v>
      </c>
      <c r="Z884" s="158" cm="1">
        <f t="array" ref="Z884">_xlfn.SWITCH($N884,"BDI 1",$O$6,"BDI 2",$O$7,"BDI 3",$O$8)</f>
        <v>0.20699999999999999</v>
      </c>
      <c r="AA884" s="158" cm="1">
        <f t="array" ref="AA884">_xlfn.SWITCH($N884,"BDI 1",$P$6,"BDI 2",$P$7,"BDI 3",$P$8)</f>
        <v>0.26739999999999997</v>
      </c>
      <c r="AB884" s="158">
        <f t="shared" ca="1" si="1408"/>
        <v>0</v>
      </c>
      <c r="AC884" s="158">
        <f t="shared" ca="1" si="1409"/>
        <v>0</v>
      </c>
      <c r="AD884" s="164"/>
      <c r="AE884" s="148">
        <f t="shared" si="1395"/>
        <v>0</v>
      </c>
      <c r="AF884" s="149"/>
      <c r="AG884" s="150"/>
      <c r="AH884" s="159" t="e">
        <f t="shared" si="1396"/>
        <v>#DIV/0!</v>
      </c>
      <c r="AI884" s="160"/>
      <c r="AJ884" s="105"/>
      <c r="AK884" s="105"/>
      <c r="AM884" s="105"/>
      <c r="AN884" s="105"/>
      <c r="AO884" s="105"/>
      <c r="AP884" s="105"/>
      <c r="AQ884" s="105"/>
      <c r="AR884" s="105"/>
    </row>
    <row r="885" spans="1:44" s="49" customFormat="1" ht="40.15" hidden="1" customHeight="1">
      <c r="A885" s="152">
        <f t="shared" ca="1" si="1397"/>
        <v>0</v>
      </c>
      <c r="B885" s="153" t="s">
        <v>333</v>
      </c>
      <c r="C885" s="154" t="str">
        <f t="shared" si="1398"/>
        <v>SC/0145</v>
      </c>
      <c r="D885" s="154" t="s">
        <v>3549</v>
      </c>
      <c r="E885" s="155" t="s">
        <v>3923</v>
      </c>
      <c r="F885" s="154"/>
      <c r="G885" s="154" t="s">
        <v>1412</v>
      </c>
      <c r="H885" s="152">
        <v>301.06</v>
      </c>
      <c r="I885" s="152">
        <v>295.92</v>
      </c>
      <c r="J885" s="156"/>
      <c r="K885" s="156">
        <f>+Passeio!L203</f>
        <v>0</v>
      </c>
      <c r="L885" s="156">
        <f t="shared" si="1399"/>
        <v>0</v>
      </c>
      <c r="M885" s="156">
        <f t="shared" si="1400"/>
        <v>0</v>
      </c>
      <c r="N885" s="156" t="s">
        <v>83</v>
      </c>
      <c r="O885" s="157" cm="1">
        <f t="array" ref="O885">TRUNC($H885*(1+_xlfn.SWITCH($N885,"BDI 1",$O$6,"BDI 2",$O$7,"BDI 3",$O$8)),2)</f>
        <v>363.37</v>
      </c>
      <c r="P885" s="157" cm="1">
        <f t="array" ref="P885">TRUNC($I885*(1+_xlfn.SWITCH($N885,"BDI 1",$P$6,"BDI 2",$P$7,"BDI 3",$P$8)),2)</f>
        <v>375.04</v>
      </c>
      <c r="Q885" s="157">
        <v>0</v>
      </c>
      <c r="R885" s="157">
        <f t="shared" si="1401"/>
        <v>0</v>
      </c>
      <c r="S885" s="156">
        <f t="shared" si="1402"/>
        <v>0</v>
      </c>
      <c r="T885" s="156">
        <f t="shared" si="1403"/>
        <v>0</v>
      </c>
      <c r="U885" s="156">
        <f t="shared" si="1404"/>
        <v>0</v>
      </c>
      <c r="V885" s="156">
        <f t="shared" si="1405"/>
        <v>0</v>
      </c>
      <c r="W885" s="156">
        <f t="shared" si="1392"/>
        <v>0</v>
      </c>
      <c r="X885" s="158">
        <f t="shared" ref="X885" si="1438">$S885/ORCAMENTO_VALOR_TOTAL_ND</f>
        <v>0</v>
      </c>
      <c r="Y885" s="158">
        <f t="shared" ref="Y885" si="1439">$T885/ORCAMENTO_VALOR_TOTAL_DE</f>
        <v>0</v>
      </c>
      <c r="Z885" s="158" cm="1">
        <f t="array" ref="Z885">_xlfn.SWITCH($N885,"BDI 1",$O$6,"BDI 2",$O$7,"BDI 3",$O$8)</f>
        <v>0.20699999999999999</v>
      </c>
      <c r="AA885" s="158" cm="1">
        <f t="array" ref="AA885">_xlfn.SWITCH($N885,"BDI 1",$P$6,"BDI 2",$P$7,"BDI 3",$P$8)</f>
        <v>0.26739999999999997</v>
      </c>
      <c r="AB885" s="158">
        <f t="shared" ca="1" si="1408"/>
        <v>0</v>
      </c>
      <c r="AC885" s="158">
        <f t="shared" ca="1" si="1409"/>
        <v>0</v>
      </c>
      <c r="AD885" s="164"/>
      <c r="AE885" s="148">
        <f t="shared" si="1395"/>
        <v>0</v>
      </c>
      <c r="AF885" s="149"/>
      <c r="AG885" s="150"/>
      <c r="AH885" s="159" t="e">
        <f t="shared" si="1396"/>
        <v>#DIV/0!</v>
      </c>
      <c r="AI885" s="160"/>
      <c r="AJ885" s="105"/>
      <c r="AK885" s="105"/>
      <c r="AM885" s="105"/>
      <c r="AN885" s="105"/>
      <c r="AO885" s="105"/>
      <c r="AP885" s="105"/>
      <c r="AQ885" s="105"/>
      <c r="AR885" s="105"/>
    </row>
    <row r="886" spans="1:44" s="49" customFormat="1" ht="40.15" hidden="1" customHeight="1">
      <c r="A886" s="152">
        <f t="shared" ca="1" si="1397"/>
        <v>0</v>
      </c>
      <c r="B886" s="153" t="s">
        <v>334</v>
      </c>
      <c r="C886" s="154" t="str">
        <f t="shared" si="1398"/>
        <v>SC/0150</v>
      </c>
      <c r="D886" s="154" t="s">
        <v>3549</v>
      </c>
      <c r="E886" s="155" t="s">
        <v>3924</v>
      </c>
      <c r="F886" s="154"/>
      <c r="G886" s="154" t="s">
        <v>1412</v>
      </c>
      <c r="H886" s="152">
        <v>404.69</v>
      </c>
      <c r="I886" s="152">
        <v>398.91</v>
      </c>
      <c r="J886" s="156"/>
      <c r="K886" s="156">
        <f>+Passeio!L204</f>
        <v>0</v>
      </c>
      <c r="L886" s="156">
        <f t="shared" si="1399"/>
        <v>0</v>
      </c>
      <c r="M886" s="156">
        <f t="shared" si="1400"/>
        <v>0</v>
      </c>
      <c r="N886" s="156" t="s">
        <v>83</v>
      </c>
      <c r="O886" s="157" cm="1">
        <f t="array" ref="O886">TRUNC($H886*(1+_xlfn.SWITCH($N886,"BDI 1",$O$6,"BDI 2",$O$7,"BDI 3",$O$8)),2)</f>
        <v>488.46</v>
      </c>
      <c r="P886" s="157" cm="1">
        <f t="array" ref="P886">TRUNC($I886*(1+_xlfn.SWITCH($N886,"BDI 1",$P$6,"BDI 2",$P$7,"BDI 3",$P$8)),2)</f>
        <v>505.57</v>
      </c>
      <c r="Q886" s="157">
        <v>0</v>
      </c>
      <c r="R886" s="157">
        <f t="shared" si="1401"/>
        <v>0</v>
      </c>
      <c r="S886" s="156">
        <f t="shared" si="1402"/>
        <v>0</v>
      </c>
      <c r="T886" s="156">
        <f t="shared" si="1403"/>
        <v>0</v>
      </c>
      <c r="U886" s="156">
        <f t="shared" si="1404"/>
        <v>0</v>
      </c>
      <c r="V886" s="156">
        <f t="shared" si="1405"/>
        <v>0</v>
      </c>
      <c r="W886" s="156">
        <f t="shared" si="1392"/>
        <v>0</v>
      </c>
      <c r="X886" s="158">
        <f t="shared" ref="X886" si="1440">$S886/ORCAMENTO_VALOR_TOTAL_ND</f>
        <v>0</v>
      </c>
      <c r="Y886" s="158">
        <f t="shared" ref="Y886" si="1441">$T886/ORCAMENTO_VALOR_TOTAL_DE</f>
        <v>0</v>
      </c>
      <c r="Z886" s="158" cm="1">
        <f t="array" ref="Z886">_xlfn.SWITCH($N886,"BDI 1",$O$6,"BDI 2",$O$7,"BDI 3",$O$8)</f>
        <v>0.20699999999999999</v>
      </c>
      <c r="AA886" s="158" cm="1">
        <f t="array" ref="AA886">_xlfn.SWITCH($N886,"BDI 1",$P$6,"BDI 2",$P$7,"BDI 3",$P$8)</f>
        <v>0.26739999999999997</v>
      </c>
      <c r="AB886" s="158">
        <f t="shared" ca="1" si="1408"/>
        <v>0</v>
      </c>
      <c r="AC886" s="158">
        <f t="shared" ca="1" si="1409"/>
        <v>0</v>
      </c>
      <c r="AD886" s="164"/>
      <c r="AE886" s="148">
        <f t="shared" si="1395"/>
        <v>0</v>
      </c>
      <c r="AF886" s="149"/>
      <c r="AG886" s="150"/>
      <c r="AH886" s="159" t="e">
        <f t="shared" si="1396"/>
        <v>#DIV/0!</v>
      </c>
      <c r="AI886" s="160"/>
      <c r="AJ886" s="105"/>
      <c r="AK886" s="105"/>
      <c r="AM886" s="105"/>
      <c r="AN886" s="105"/>
      <c r="AO886" s="105"/>
      <c r="AP886" s="105"/>
      <c r="AQ886" s="105"/>
      <c r="AR886" s="105"/>
    </row>
    <row r="887" spans="1:44" s="49" customFormat="1" ht="40.15" hidden="1" customHeight="1">
      <c r="A887" s="152">
        <f t="shared" ca="1" si="1397"/>
        <v>0</v>
      </c>
      <c r="B887" s="153">
        <v>101798</v>
      </c>
      <c r="C887" s="154" t="str">
        <f t="shared" si="1398"/>
        <v>101798</v>
      </c>
      <c r="D887" s="154" t="s">
        <v>1416</v>
      </c>
      <c r="E887" s="155" t="s">
        <v>3925</v>
      </c>
      <c r="F887" s="154"/>
      <c r="G887" s="154" t="s">
        <v>1412</v>
      </c>
      <c r="H887" s="152">
        <v>384.05</v>
      </c>
      <c r="I887" s="152">
        <v>368.89</v>
      </c>
      <c r="J887" s="156"/>
      <c r="K887" s="156">
        <f>+Passeio!L205</f>
        <v>0</v>
      </c>
      <c r="L887" s="156">
        <f t="shared" si="1399"/>
        <v>0</v>
      </c>
      <c r="M887" s="156">
        <f t="shared" si="1400"/>
        <v>0</v>
      </c>
      <c r="N887" s="156" t="s">
        <v>83</v>
      </c>
      <c r="O887" s="157" cm="1">
        <f t="array" ref="O887">TRUNC($H887*(1+_xlfn.SWITCH($N887,"BDI 1",$O$6,"BDI 2",$O$7,"BDI 3",$O$8)),2)</f>
        <v>463.54</v>
      </c>
      <c r="P887" s="157" cm="1">
        <f t="array" ref="P887">TRUNC($I887*(1+_xlfn.SWITCH($N887,"BDI 1",$P$6,"BDI 2",$P$7,"BDI 3",$P$8)),2)</f>
        <v>467.53</v>
      </c>
      <c r="Q887" s="157">
        <v>0</v>
      </c>
      <c r="R887" s="157">
        <f t="shared" si="1401"/>
        <v>0</v>
      </c>
      <c r="S887" s="156">
        <f t="shared" si="1402"/>
        <v>0</v>
      </c>
      <c r="T887" s="156">
        <f t="shared" si="1403"/>
        <v>0</v>
      </c>
      <c r="U887" s="156">
        <f t="shared" si="1404"/>
        <v>0</v>
      </c>
      <c r="V887" s="156">
        <f t="shared" si="1405"/>
        <v>0</v>
      </c>
      <c r="W887" s="156">
        <f t="shared" si="1392"/>
        <v>0</v>
      </c>
      <c r="X887" s="158">
        <f t="shared" ref="X887" si="1442">$S887/ORCAMENTO_VALOR_TOTAL_ND</f>
        <v>0</v>
      </c>
      <c r="Y887" s="158">
        <f t="shared" ref="Y887" si="1443">$T887/ORCAMENTO_VALOR_TOTAL_DE</f>
        <v>0</v>
      </c>
      <c r="Z887" s="158" cm="1">
        <f t="array" ref="Z887">_xlfn.SWITCH($N887,"BDI 1",$O$6,"BDI 2",$O$7,"BDI 3",$O$8)</f>
        <v>0.20699999999999999</v>
      </c>
      <c r="AA887" s="158" cm="1">
        <f t="array" ref="AA887">_xlfn.SWITCH($N887,"BDI 1",$P$6,"BDI 2",$P$7,"BDI 3",$P$8)</f>
        <v>0.26739999999999997</v>
      </c>
      <c r="AB887" s="158">
        <f t="shared" ca="1" si="1408"/>
        <v>0</v>
      </c>
      <c r="AC887" s="158">
        <f t="shared" ca="1" si="1409"/>
        <v>0</v>
      </c>
      <c r="AD887" s="164"/>
      <c r="AE887" s="148">
        <f t="shared" si="1395"/>
        <v>0</v>
      </c>
      <c r="AF887" s="149"/>
      <c r="AG887" s="150"/>
      <c r="AH887" s="159" t="e">
        <f t="shared" si="1396"/>
        <v>#DIV/0!</v>
      </c>
      <c r="AI887" s="160"/>
      <c r="AJ887" s="105"/>
      <c r="AK887" s="105"/>
      <c r="AM887" s="105"/>
      <c r="AN887" s="105"/>
      <c r="AO887" s="105"/>
      <c r="AP887" s="105"/>
      <c r="AQ887" s="105"/>
      <c r="AR887" s="105"/>
    </row>
    <row r="888" spans="1:44" s="49" customFormat="1" ht="40.15" hidden="1" customHeight="1">
      <c r="A888" s="152">
        <f t="shared" ca="1" si="1397"/>
        <v>0</v>
      </c>
      <c r="B888" s="153">
        <v>101799</v>
      </c>
      <c r="C888" s="154" t="str">
        <f t="shared" si="1398"/>
        <v>101799</v>
      </c>
      <c r="D888" s="154" t="s">
        <v>1416</v>
      </c>
      <c r="E888" s="155" t="s">
        <v>3926</v>
      </c>
      <c r="F888" s="154"/>
      <c r="G888" s="154" t="s">
        <v>1412</v>
      </c>
      <c r="H888" s="152">
        <v>935.75</v>
      </c>
      <c r="I888" s="152">
        <v>900.72</v>
      </c>
      <c r="J888" s="156"/>
      <c r="K888" s="156">
        <f>+Passeio!L206</f>
        <v>0</v>
      </c>
      <c r="L888" s="156">
        <f t="shared" si="1399"/>
        <v>0</v>
      </c>
      <c r="M888" s="156">
        <f t="shared" si="1400"/>
        <v>0</v>
      </c>
      <c r="N888" s="156" t="s">
        <v>83</v>
      </c>
      <c r="O888" s="157" cm="1">
        <f t="array" ref="O888">TRUNC($H888*(1+_xlfn.SWITCH($N888,"BDI 1",$O$6,"BDI 2",$O$7,"BDI 3",$O$8)),2)</f>
        <v>1129.45</v>
      </c>
      <c r="P888" s="157" cm="1">
        <f t="array" ref="P888">TRUNC($I888*(1+_xlfn.SWITCH($N888,"BDI 1",$P$6,"BDI 2",$P$7,"BDI 3",$P$8)),2)</f>
        <v>1141.57</v>
      </c>
      <c r="Q888" s="157">
        <v>0</v>
      </c>
      <c r="R888" s="157">
        <f t="shared" si="1401"/>
        <v>0</v>
      </c>
      <c r="S888" s="156">
        <f t="shared" si="1402"/>
        <v>0</v>
      </c>
      <c r="T888" s="156">
        <f t="shared" si="1403"/>
        <v>0</v>
      </c>
      <c r="U888" s="156">
        <f t="shared" si="1404"/>
        <v>0</v>
      </c>
      <c r="V888" s="156">
        <f t="shared" si="1405"/>
        <v>0</v>
      </c>
      <c r="W888" s="156">
        <f t="shared" si="1392"/>
        <v>0</v>
      </c>
      <c r="X888" s="158">
        <f t="shared" ref="X888" si="1444">$S888/ORCAMENTO_VALOR_TOTAL_ND</f>
        <v>0</v>
      </c>
      <c r="Y888" s="158">
        <f t="shared" ref="Y888" si="1445">$T888/ORCAMENTO_VALOR_TOTAL_DE</f>
        <v>0</v>
      </c>
      <c r="Z888" s="158" cm="1">
        <f t="array" ref="Z888">_xlfn.SWITCH($N888,"BDI 1",$O$6,"BDI 2",$O$7,"BDI 3",$O$8)</f>
        <v>0.20699999999999999</v>
      </c>
      <c r="AA888" s="158" cm="1">
        <f t="array" ref="AA888">_xlfn.SWITCH($N888,"BDI 1",$P$6,"BDI 2",$P$7,"BDI 3",$P$8)</f>
        <v>0.26739999999999997</v>
      </c>
      <c r="AB888" s="158">
        <f t="shared" ca="1" si="1408"/>
        <v>0</v>
      </c>
      <c r="AC888" s="158">
        <f t="shared" ca="1" si="1409"/>
        <v>0</v>
      </c>
      <c r="AD888" s="164"/>
      <c r="AE888" s="148">
        <f t="shared" si="1395"/>
        <v>0</v>
      </c>
      <c r="AF888" s="149"/>
      <c r="AG888" s="150"/>
      <c r="AH888" s="159" t="e">
        <f t="shared" si="1396"/>
        <v>#DIV/0!</v>
      </c>
      <c r="AI888" s="160"/>
      <c r="AJ888" s="105"/>
      <c r="AK888" s="105"/>
      <c r="AM888" s="105"/>
      <c r="AN888" s="105"/>
      <c r="AO888" s="105"/>
      <c r="AP888" s="105"/>
      <c r="AQ888" s="105"/>
      <c r="AR888" s="105"/>
    </row>
    <row r="889" spans="1:44" s="49" customFormat="1" ht="40.15" hidden="1" customHeight="1">
      <c r="A889" s="152">
        <f t="shared" ca="1" si="1397"/>
        <v>0</v>
      </c>
      <c r="B889" s="153" t="s">
        <v>335</v>
      </c>
      <c r="C889" s="154" t="str">
        <f t="shared" si="1398"/>
        <v>SC/0155</v>
      </c>
      <c r="D889" s="154">
        <v>0</v>
      </c>
      <c r="E889" s="155" t="s">
        <v>3766</v>
      </c>
      <c r="F889" s="154"/>
      <c r="G889" s="154">
        <v>0</v>
      </c>
      <c r="H889" s="152">
        <v>0</v>
      </c>
      <c r="I889" s="152">
        <v>0</v>
      </c>
      <c r="J889" s="156"/>
      <c r="K889" s="156">
        <f>+Passeio!L207</f>
        <v>0</v>
      </c>
      <c r="L889" s="156">
        <f t="shared" si="1399"/>
        <v>0</v>
      </c>
      <c r="M889" s="156">
        <f t="shared" si="1400"/>
        <v>0</v>
      </c>
      <c r="N889" s="156" t="s">
        <v>83</v>
      </c>
      <c r="O889" s="157" cm="1">
        <f t="array" ref="O889">TRUNC($H889*(1+_xlfn.SWITCH($N889,"BDI 1",$O$6,"BDI 2",$O$7,"BDI 3",$O$8)),2)</f>
        <v>0</v>
      </c>
      <c r="P889" s="157" cm="1">
        <f t="array" ref="P889">TRUNC($I889*(1+_xlfn.SWITCH($N889,"BDI 1",$P$6,"BDI 2",$P$7,"BDI 3",$P$8)),2)</f>
        <v>0</v>
      </c>
      <c r="Q889" s="157">
        <v>0</v>
      </c>
      <c r="R889" s="157">
        <f t="shared" si="1401"/>
        <v>0</v>
      </c>
      <c r="S889" s="156">
        <f t="shared" si="1402"/>
        <v>0</v>
      </c>
      <c r="T889" s="156">
        <f t="shared" si="1403"/>
        <v>0</v>
      </c>
      <c r="U889" s="156">
        <f t="shared" si="1404"/>
        <v>0</v>
      </c>
      <c r="V889" s="156">
        <f t="shared" si="1405"/>
        <v>0</v>
      </c>
      <c r="W889" s="156">
        <f t="shared" si="1392"/>
        <v>0</v>
      </c>
      <c r="X889" s="158">
        <f t="shared" ref="X889" si="1446">$S889/ORCAMENTO_VALOR_TOTAL_ND</f>
        <v>0</v>
      </c>
      <c r="Y889" s="158">
        <f t="shared" ref="Y889" si="1447">$T889/ORCAMENTO_VALOR_TOTAL_DE</f>
        <v>0</v>
      </c>
      <c r="Z889" s="158" cm="1">
        <f t="array" ref="Z889">_xlfn.SWITCH($N889,"BDI 1",$O$6,"BDI 2",$O$7,"BDI 3",$O$8)</f>
        <v>0.20699999999999999</v>
      </c>
      <c r="AA889" s="158" cm="1">
        <f t="array" ref="AA889">_xlfn.SWITCH($N889,"BDI 1",$P$6,"BDI 2",$P$7,"BDI 3",$P$8)</f>
        <v>0.26739999999999997</v>
      </c>
      <c r="AB889" s="158">
        <f t="shared" ca="1" si="1408"/>
        <v>0</v>
      </c>
      <c r="AC889" s="158">
        <f t="shared" ca="1" si="1409"/>
        <v>0</v>
      </c>
      <c r="AD889" s="164"/>
      <c r="AE889" s="148">
        <f t="shared" si="1395"/>
        <v>0</v>
      </c>
      <c r="AF889" s="149"/>
      <c r="AG889" s="150"/>
      <c r="AH889" s="159" t="e">
        <f t="shared" si="1396"/>
        <v>#DIV/0!</v>
      </c>
      <c r="AI889" s="160"/>
      <c r="AJ889" s="105"/>
      <c r="AK889" s="105"/>
      <c r="AM889" s="105"/>
      <c r="AN889" s="105"/>
      <c r="AO889" s="105"/>
      <c r="AP889" s="105"/>
      <c r="AQ889" s="105"/>
      <c r="AR889" s="105"/>
    </row>
    <row r="890" spans="1:44" s="49" customFormat="1" ht="40.15" hidden="1" customHeight="1">
      <c r="A890" s="152">
        <f t="shared" ca="1" si="1397"/>
        <v>0</v>
      </c>
      <c r="B890" s="153" t="s">
        <v>336</v>
      </c>
      <c r="C890" s="154" t="str">
        <f t="shared" si="1398"/>
        <v>SC/0160</v>
      </c>
      <c r="D890" s="154" t="s">
        <v>3549</v>
      </c>
      <c r="E890" s="155" t="s">
        <v>3927</v>
      </c>
      <c r="F890" s="154"/>
      <c r="G890" s="154" t="s">
        <v>1418</v>
      </c>
      <c r="H890" s="152">
        <v>108.12</v>
      </c>
      <c r="I890" s="152">
        <v>105.98</v>
      </c>
      <c r="J890" s="156"/>
      <c r="K890" s="156">
        <f>+Passeio!L199</f>
        <v>0</v>
      </c>
      <c r="L890" s="156">
        <f t="shared" si="1399"/>
        <v>0</v>
      </c>
      <c r="M890" s="156">
        <f t="shared" si="1400"/>
        <v>0</v>
      </c>
      <c r="N890" s="156" t="s">
        <v>83</v>
      </c>
      <c r="O890" s="157" cm="1">
        <f t="array" ref="O890">TRUNC($H890*(1+_xlfn.SWITCH($N890,"BDI 1",$O$6,"BDI 2",$O$7,"BDI 3",$O$8)),2)</f>
        <v>130.5</v>
      </c>
      <c r="P890" s="157" cm="1">
        <f t="array" ref="P890">TRUNC($I890*(1+_xlfn.SWITCH($N890,"BDI 1",$P$6,"BDI 2",$P$7,"BDI 3",$P$8)),2)</f>
        <v>134.31</v>
      </c>
      <c r="Q890" s="157">
        <v>0</v>
      </c>
      <c r="R890" s="157">
        <f t="shared" si="1401"/>
        <v>0</v>
      </c>
      <c r="S890" s="156">
        <f t="shared" si="1402"/>
        <v>0</v>
      </c>
      <c r="T890" s="156">
        <f t="shared" si="1403"/>
        <v>0</v>
      </c>
      <c r="U890" s="156">
        <f t="shared" si="1404"/>
        <v>0</v>
      </c>
      <c r="V890" s="156">
        <f t="shared" si="1405"/>
        <v>0</v>
      </c>
      <c r="W890" s="156">
        <f t="shared" si="1392"/>
        <v>0</v>
      </c>
      <c r="X890" s="158">
        <f t="shared" ref="X890" si="1448">$S890/ORCAMENTO_VALOR_TOTAL_ND</f>
        <v>0</v>
      </c>
      <c r="Y890" s="158">
        <f t="shared" ref="Y890" si="1449">$T890/ORCAMENTO_VALOR_TOTAL_DE</f>
        <v>0</v>
      </c>
      <c r="Z890" s="158" cm="1">
        <f t="array" ref="Z890">_xlfn.SWITCH($N890,"BDI 1",$O$6,"BDI 2",$O$7,"BDI 3",$O$8)</f>
        <v>0.20699999999999999</v>
      </c>
      <c r="AA890" s="158" cm="1">
        <f t="array" ref="AA890">_xlfn.SWITCH($N890,"BDI 1",$P$6,"BDI 2",$P$7,"BDI 3",$P$8)</f>
        <v>0.26739999999999997</v>
      </c>
      <c r="AB890" s="158">
        <f t="shared" ca="1" si="1408"/>
        <v>0</v>
      </c>
      <c r="AC890" s="158">
        <f t="shared" ca="1" si="1409"/>
        <v>0</v>
      </c>
      <c r="AD890" s="164"/>
      <c r="AE890" s="148">
        <f t="shared" si="1395"/>
        <v>0</v>
      </c>
      <c r="AF890" s="149"/>
      <c r="AG890" s="150"/>
      <c r="AH890" s="159" t="e">
        <f t="shared" si="1396"/>
        <v>#DIV/0!</v>
      </c>
      <c r="AI890" s="160"/>
      <c r="AJ890" s="105"/>
      <c r="AK890" s="105"/>
      <c r="AM890" s="105"/>
      <c r="AN890" s="105"/>
      <c r="AO890" s="105"/>
      <c r="AP890" s="105"/>
      <c r="AQ890" s="105"/>
      <c r="AR890" s="105"/>
    </row>
    <row r="891" spans="1:44" s="49" customFormat="1" ht="40.15" hidden="1" customHeight="1">
      <c r="A891" s="152">
        <f t="shared" ca="1" si="1397"/>
        <v>0</v>
      </c>
      <c r="B891" s="153">
        <v>89512</v>
      </c>
      <c r="C891" s="154" t="str">
        <f t="shared" si="1398"/>
        <v>89512</v>
      </c>
      <c r="D891" s="154" t="s">
        <v>1416</v>
      </c>
      <c r="E891" s="155" t="s">
        <v>3928</v>
      </c>
      <c r="F891" s="154"/>
      <c r="G891" s="154" t="s">
        <v>58</v>
      </c>
      <c r="H891" s="152">
        <v>46.86</v>
      </c>
      <c r="I891" s="152">
        <v>45.12</v>
      </c>
      <c r="J891" s="156"/>
      <c r="K891" s="156">
        <f>+Passeio!L198</f>
        <v>0</v>
      </c>
      <c r="L891" s="156">
        <f t="shared" si="1399"/>
        <v>0</v>
      </c>
      <c r="M891" s="156">
        <f t="shared" si="1400"/>
        <v>0</v>
      </c>
      <c r="N891" s="156" t="s">
        <v>83</v>
      </c>
      <c r="O891" s="157" cm="1">
        <f t="array" ref="O891">TRUNC($H891*(1+_xlfn.SWITCH($N891,"BDI 1",$O$6,"BDI 2",$O$7,"BDI 3",$O$8)),2)</f>
        <v>56.56</v>
      </c>
      <c r="P891" s="157" cm="1">
        <f t="array" ref="P891">TRUNC($I891*(1+_xlfn.SWITCH($N891,"BDI 1",$P$6,"BDI 2",$P$7,"BDI 3",$P$8)),2)</f>
        <v>57.18</v>
      </c>
      <c r="Q891" s="157">
        <v>0</v>
      </c>
      <c r="R891" s="157">
        <f t="shared" si="1401"/>
        <v>0</v>
      </c>
      <c r="S891" s="156">
        <f t="shared" si="1402"/>
        <v>0</v>
      </c>
      <c r="T891" s="156">
        <f t="shared" si="1403"/>
        <v>0</v>
      </c>
      <c r="U891" s="156">
        <f t="shared" si="1404"/>
        <v>0</v>
      </c>
      <c r="V891" s="156">
        <f t="shared" si="1405"/>
        <v>0</v>
      </c>
      <c r="W891" s="156">
        <f t="shared" si="1392"/>
        <v>0</v>
      </c>
      <c r="X891" s="158">
        <f t="shared" ref="X891" si="1450">$S891/ORCAMENTO_VALOR_TOTAL_ND</f>
        <v>0</v>
      </c>
      <c r="Y891" s="158">
        <f t="shared" ref="Y891" si="1451">$T891/ORCAMENTO_VALOR_TOTAL_DE</f>
        <v>0</v>
      </c>
      <c r="Z891" s="158" cm="1">
        <f t="array" ref="Z891">_xlfn.SWITCH($N891,"BDI 1",$O$6,"BDI 2",$O$7,"BDI 3",$O$8)</f>
        <v>0.20699999999999999</v>
      </c>
      <c r="AA891" s="158" cm="1">
        <f t="array" ref="AA891">_xlfn.SWITCH($N891,"BDI 1",$P$6,"BDI 2",$P$7,"BDI 3",$P$8)</f>
        <v>0.26739999999999997</v>
      </c>
      <c r="AB891" s="158">
        <f t="shared" ca="1" si="1408"/>
        <v>0</v>
      </c>
      <c r="AC891" s="158">
        <f t="shared" ca="1" si="1409"/>
        <v>0</v>
      </c>
      <c r="AD891" s="164"/>
      <c r="AE891" s="148">
        <f t="shared" si="1395"/>
        <v>0</v>
      </c>
      <c r="AF891" s="149"/>
      <c r="AG891" s="150"/>
      <c r="AH891" s="159" t="e">
        <f t="shared" si="1396"/>
        <v>#DIV/0!</v>
      </c>
      <c r="AI891" s="160"/>
      <c r="AJ891" s="105"/>
      <c r="AK891" s="105"/>
      <c r="AM891" s="105"/>
      <c r="AN891" s="105"/>
      <c r="AO891" s="105"/>
      <c r="AP891" s="105"/>
      <c r="AQ891" s="105"/>
      <c r="AR891" s="105"/>
    </row>
    <row r="892" spans="1:44" s="49" customFormat="1" ht="40.15" hidden="1" customHeight="1">
      <c r="A892" s="152">
        <f t="shared" ca="1" si="1397"/>
        <v>0</v>
      </c>
      <c r="B892" s="153">
        <v>101166</v>
      </c>
      <c r="C892" s="154" t="str">
        <f t="shared" si="1398"/>
        <v>101166</v>
      </c>
      <c r="D892" s="154" t="s">
        <v>1416</v>
      </c>
      <c r="E892" s="155" t="s">
        <v>3929</v>
      </c>
      <c r="F892" s="154"/>
      <c r="G892" s="154" t="s">
        <v>464</v>
      </c>
      <c r="H892" s="152">
        <v>659.55</v>
      </c>
      <c r="I892" s="152">
        <v>630.85</v>
      </c>
      <c r="J892" s="156"/>
      <c r="K892" s="156">
        <f>+Passeio!L209</f>
        <v>0</v>
      </c>
      <c r="L892" s="156">
        <f t="shared" si="1399"/>
        <v>0</v>
      </c>
      <c r="M892" s="156">
        <f t="shared" si="1400"/>
        <v>0</v>
      </c>
      <c r="N892" s="156" t="s">
        <v>83</v>
      </c>
      <c r="O892" s="157" cm="1">
        <f t="array" ref="O892">TRUNC($H892*(1+_xlfn.SWITCH($N892,"BDI 1",$O$6,"BDI 2",$O$7,"BDI 3",$O$8)),2)</f>
        <v>796.07</v>
      </c>
      <c r="P892" s="157" cm="1">
        <f t="array" ref="P892">TRUNC($I892*(1+_xlfn.SWITCH($N892,"BDI 1",$P$6,"BDI 2",$P$7,"BDI 3",$P$8)),2)</f>
        <v>799.53</v>
      </c>
      <c r="Q892" s="157">
        <v>0</v>
      </c>
      <c r="R892" s="157">
        <f t="shared" si="1401"/>
        <v>0</v>
      </c>
      <c r="S892" s="156">
        <f t="shared" si="1402"/>
        <v>0</v>
      </c>
      <c r="T892" s="156">
        <f t="shared" si="1403"/>
        <v>0</v>
      </c>
      <c r="U892" s="156">
        <f t="shared" si="1404"/>
        <v>0</v>
      </c>
      <c r="V892" s="156">
        <f t="shared" si="1405"/>
        <v>0</v>
      </c>
      <c r="W892" s="156">
        <f t="shared" si="1392"/>
        <v>0</v>
      </c>
      <c r="X892" s="158">
        <f t="shared" ref="X892" si="1452">$S892/ORCAMENTO_VALOR_TOTAL_ND</f>
        <v>0</v>
      </c>
      <c r="Y892" s="158">
        <f t="shared" ref="Y892" si="1453">$T892/ORCAMENTO_VALOR_TOTAL_DE</f>
        <v>0</v>
      </c>
      <c r="Z892" s="158" cm="1">
        <f t="array" ref="Z892">_xlfn.SWITCH($N892,"BDI 1",$O$6,"BDI 2",$O$7,"BDI 3",$O$8)</f>
        <v>0.20699999999999999</v>
      </c>
      <c r="AA892" s="158" cm="1">
        <f t="array" ref="AA892">_xlfn.SWITCH($N892,"BDI 1",$P$6,"BDI 2",$P$7,"BDI 3",$P$8)</f>
        <v>0.26739999999999997</v>
      </c>
      <c r="AB892" s="158">
        <f t="shared" ca="1" si="1408"/>
        <v>0</v>
      </c>
      <c r="AC892" s="158">
        <f t="shared" ca="1" si="1409"/>
        <v>0</v>
      </c>
      <c r="AD892" s="164"/>
      <c r="AE892" s="148">
        <f t="shared" si="1395"/>
        <v>0</v>
      </c>
      <c r="AF892" s="149"/>
      <c r="AG892" s="150"/>
      <c r="AH892" s="159" t="e">
        <f t="shared" si="1396"/>
        <v>#DIV/0!</v>
      </c>
      <c r="AI892" s="160"/>
      <c r="AJ892" s="105"/>
      <c r="AK892" s="105"/>
      <c r="AM892" s="105"/>
      <c r="AN892" s="105"/>
      <c r="AO892" s="105"/>
      <c r="AP892" s="105"/>
      <c r="AQ892" s="105"/>
      <c r="AR892" s="105"/>
    </row>
    <row r="893" spans="1:44" s="49" customFormat="1" ht="40.15" hidden="1" customHeight="1">
      <c r="A893" s="152">
        <f t="shared" ca="1" si="1397"/>
        <v>0</v>
      </c>
      <c r="B893" s="153">
        <v>87878</v>
      </c>
      <c r="C893" s="154" t="str">
        <f t="shared" si="1398"/>
        <v>87878</v>
      </c>
      <c r="D893" s="154" t="s">
        <v>1416</v>
      </c>
      <c r="E893" s="155" t="s">
        <v>3864</v>
      </c>
      <c r="F893" s="154"/>
      <c r="G893" s="154" t="s">
        <v>1418</v>
      </c>
      <c r="H893" s="152">
        <v>4.5599999999999996</v>
      </c>
      <c r="I893" s="152">
        <v>4.29</v>
      </c>
      <c r="J893" s="156"/>
      <c r="K893" s="156">
        <f>+Passeio!L210</f>
        <v>0</v>
      </c>
      <c r="L893" s="156">
        <f t="shared" si="1399"/>
        <v>0</v>
      </c>
      <c r="M893" s="156">
        <f t="shared" si="1400"/>
        <v>0</v>
      </c>
      <c r="N893" s="156" t="s">
        <v>83</v>
      </c>
      <c r="O893" s="157" cm="1">
        <f t="array" ref="O893">TRUNC($H893*(1+_xlfn.SWITCH($N893,"BDI 1",$O$6,"BDI 2",$O$7,"BDI 3",$O$8)),2)</f>
        <v>5.5</v>
      </c>
      <c r="P893" s="157" cm="1">
        <f t="array" ref="P893">TRUNC($I893*(1+_xlfn.SWITCH($N893,"BDI 1",$P$6,"BDI 2",$P$7,"BDI 3",$P$8)),2)</f>
        <v>5.43</v>
      </c>
      <c r="Q893" s="157">
        <v>0</v>
      </c>
      <c r="R893" s="157">
        <f t="shared" si="1401"/>
        <v>0</v>
      </c>
      <c r="S893" s="156">
        <f t="shared" si="1402"/>
        <v>0</v>
      </c>
      <c r="T893" s="156">
        <f t="shared" si="1403"/>
        <v>0</v>
      </c>
      <c r="U893" s="156">
        <f t="shared" si="1404"/>
        <v>0</v>
      </c>
      <c r="V893" s="156">
        <f t="shared" si="1405"/>
        <v>0</v>
      </c>
      <c r="W893" s="156">
        <f t="shared" si="1392"/>
        <v>0</v>
      </c>
      <c r="X893" s="158">
        <f t="shared" ref="X893" si="1454">$S893/ORCAMENTO_VALOR_TOTAL_ND</f>
        <v>0</v>
      </c>
      <c r="Y893" s="158">
        <f t="shared" ref="Y893" si="1455">$T893/ORCAMENTO_VALOR_TOTAL_DE</f>
        <v>0</v>
      </c>
      <c r="Z893" s="158" cm="1">
        <f t="array" ref="Z893">_xlfn.SWITCH($N893,"BDI 1",$O$6,"BDI 2",$O$7,"BDI 3",$O$8)</f>
        <v>0.20699999999999999</v>
      </c>
      <c r="AA893" s="158" cm="1">
        <f t="array" ref="AA893">_xlfn.SWITCH($N893,"BDI 1",$P$6,"BDI 2",$P$7,"BDI 3",$P$8)</f>
        <v>0.26739999999999997</v>
      </c>
      <c r="AB893" s="158">
        <f t="shared" ca="1" si="1408"/>
        <v>0</v>
      </c>
      <c r="AC893" s="158">
        <f t="shared" ca="1" si="1409"/>
        <v>0</v>
      </c>
      <c r="AD893" s="164"/>
      <c r="AE893" s="148">
        <f t="shared" si="1395"/>
        <v>0</v>
      </c>
      <c r="AF893" s="149"/>
      <c r="AG893" s="150"/>
      <c r="AH893" s="159" t="e">
        <f t="shared" si="1396"/>
        <v>#DIV/0!</v>
      </c>
      <c r="AI893" s="160"/>
      <c r="AJ893" s="105"/>
      <c r="AK893" s="105"/>
      <c r="AM893" s="105"/>
      <c r="AN893" s="105"/>
      <c r="AO893" s="105"/>
      <c r="AP893" s="105"/>
      <c r="AQ893" s="105"/>
      <c r="AR893" s="105"/>
    </row>
    <row r="894" spans="1:44" s="49" customFormat="1" ht="40.15" hidden="1" customHeight="1">
      <c r="A894" s="152">
        <f t="shared" ca="1" si="1397"/>
        <v>0</v>
      </c>
      <c r="B894" s="153">
        <v>87313</v>
      </c>
      <c r="C894" s="154" t="str">
        <f t="shared" si="1398"/>
        <v>87313</v>
      </c>
      <c r="D894" s="154" t="s">
        <v>1416</v>
      </c>
      <c r="E894" s="155" t="s">
        <v>3865</v>
      </c>
      <c r="F894" s="154"/>
      <c r="G894" s="154" t="s">
        <v>464</v>
      </c>
      <c r="H894" s="152">
        <v>530.89</v>
      </c>
      <c r="I894" s="152">
        <v>524.08000000000004</v>
      </c>
      <c r="J894" s="156"/>
      <c r="K894" s="156">
        <f>+Passeio!L211</f>
        <v>0</v>
      </c>
      <c r="L894" s="156">
        <f t="shared" si="1399"/>
        <v>0</v>
      </c>
      <c r="M894" s="156">
        <f t="shared" si="1400"/>
        <v>0</v>
      </c>
      <c r="N894" s="156" t="s">
        <v>83</v>
      </c>
      <c r="O894" s="157" cm="1">
        <f t="array" ref="O894">TRUNC($H894*(1+_xlfn.SWITCH($N894,"BDI 1",$O$6,"BDI 2",$O$7,"BDI 3",$O$8)),2)</f>
        <v>640.78</v>
      </c>
      <c r="P894" s="157" cm="1">
        <f t="array" ref="P894">TRUNC($I894*(1+_xlfn.SWITCH($N894,"BDI 1",$P$6,"BDI 2",$P$7,"BDI 3",$P$8)),2)</f>
        <v>664.21</v>
      </c>
      <c r="Q894" s="157">
        <v>0</v>
      </c>
      <c r="R894" s="157">
        <f t="shared" si="1401"/>
        <v>0</v>
      </c>
      <c r="S894" s="156">
        <f t="shared" si="1402"/>
        <v>0</v>
      </c>
      <c r="T894" s="156">
        <f t="shared" si="1403"/>
        <v>0</v>
      </c>
      <c r="U894" s="156">
        <f t="shared" si="1404"/>
        <v>0</v>
      </c>
      <c r="V894" s="156">
        <f t="shared" si="1405"/>
        <v>0</v>
      </c>
      <c r="W894" s="156">
        <f t="shared" si="1392"/>
        <v>0</v>
      </c>
      <c r="X894" s="158">
        <f t="shared" ref="X894" si="1456">$S894/ORCAMENTO_VALOR_TOTAL_ND</f>
        <v>0</v>
      </c>
      <c r="Y894" s="158">
        <f t="shared" ref="Y894" si="1457">$T894/ORCAMENTO_VALOR_TOTAL_DE</f>
        <v>0</v>
      </c>
      <c r="Z894" s="158" cm="1">
        <f t="array" ref="Z894">_xlfn.SWITCH($N894,"BDI 1",$O$6,"BDI 2",$O$7,"BDI 3",$O$8)</f>
        <v>0.20699999999999999</v>
      </c>
      <c r="AA894" s="158" cm="1">
        <f t="array" ref="AA894">_xlfn.SWITCH($N894,"BDI 1",$P$6,"BDI 2",$P$7,"BDI 3",$P$8)</f>
        <v>0.26739999999999997</v>
      </c>
      <c r="AB894" s="158">
        <f t="shared" ca="1" si="1408"/>
        <v>0</v>
      </c>
      <c r="AC894" s="158">
        <f t="shared" ca="1" si="1409"/>
        <v>0</v>
      </c>
      <c r="AD894" s="164"/>
      <c r="AE894" s="148">
        <f t="shared" si="1395"/>
        <v>0</v>
      </c>
      <c r="AF894" s="149"/>
      <c r="AG894" s="150"/>
      <c r="AH894" s="159" t="e">
        <f t="shared" si="1396"/>
        <v>#DIV/0!</v>
      </c>
      <c r="AI894" s="160"/>
      <c r="AJ894" s="105"/>
      <c r="AK894" s="105"/>
      <c r="AM894" s="105"/>
      <c r="AN894" s="105"/>
      <c r="AO894" s="105"/>
      <c r="AP894" s="105"/>
      <c r="AQ894" s="105"/>
      <c r="AR894" s="105"/>
    </row>
    <row r="895" spans="1:44" s="49" customFormat="1" ht="40.15" hidden="1" customHeight="1">
      <c r="A895" s="152">
        <f t="shared" ca="1" si="1397"/>
        <v>0</v>
      </c>
      <c r="B895" s="153">
        <v>94963</v>
      </c>
      <c r="C895" s="154" t="str">
        <f t="shared" si="1398"/>
        <v>94963</v>
      </c>
      <c r="D895" s="154" t="s">
        <v>1416</v>
      </c>
      <c r="E895" s="155" t="s">
        <v>3862</v>
      </c>
      <c r="F895" s="154"/>
      <c r="G895" s="154" t="s">
        <v>464</v>
      </c>
      <c r="H895" s="152">
        <v>428.94</v>
      </c>
      <c r="I895" s="152">
        <v>426.98</v>
      </c>
      <c r="J895" s="156"/>
      <c r="K895" s="156">
        <f>+Passeio!L208</f>
        <v>0</v>
      </c>
      <c r="L895" s="156">
        <f t="shared" si="1399"/>
        <v>0</v>
      </c>
      <c r="M895" s="156">
        <f t="shared" si="1400"/>
        <v>0</v>
      </c>
      <c r="N895" s="156" t="s">
        <v>83</v>
      </c>
      <c r="O895" s="157" cm="1">
        <f t="array" ref="O895">TRUNC($H895*(1+_xlfn.SWITCH($N895,"BDI 1",$O$6,"BDI 2",$O$7,"BDI 3",$O$8)),2)</f>
        <v>517.73</v>
      </c>
      <c r="P895" s="157" cm="1">
        <f t="array" ref="P895">TRUNC($I895*(1+_xlfn.SWITCH($N895,"BDI 1",$P$6,"BDI 2",$P$7,"BDI 3",$P$8)),2)</f>
        <v>541.15</v>
      </c>
      <c r="Q895" s="157">
        <v>0</v>
      </c>
      <c r="R895" s="157">
        <f t="shared" si="1401"/>
        <v>0</v>
      </c>
      <c r="S895" s="156">
        <f t="shared" si="1402"/>
        <v>0</v>
      </c>
      <c r="T895" s="156">
        <f t="shared" si="1403"/>
        <v>0</v>
      </c>
      <c r="U895" s="156">
        <f t="shared" si="1404"/>
        <v>0</v>
      </c>
      <c r="V895" s="156">
        <f t="shared" si="1405"/>
        <v>0</v>
      </c>
      <c r="W895" s="156">
        <f t="shared" si="1392"/>
        <v>0</v>
      </c>
      <c r="X895" s="158">
        <f t="shared" ref="X895" si="1458">$S895/ORCAMENTO_VALOR_TOTAL_ND</f>
        <v>0</v>
      </c>
      <c r="Y895" s="158">
        <f t="shared" ref="Y895" si="1459">$T895/ORCAMENTO_VALOR_TOTAL_DE</f>
        <v>0</v>
      </c>
      <c r="Z895" s="158" cm="1">
        <f t="array" ref="Z895">_xlfn.SWITCH($N895,"BDI 1",$O$6,"BDI 2",$O$7,"BDI 3",$O$8)</f>
        <v>0.20699999999999999</v>
      </c>
      <c r="AA895" s="158" cm="1">
        <f t="array" ref="AA895">_xlfn.SWITCH($N895,"BDI 1",$P$6,"BDI 2",$P$7,"BDI 3",$P$8)</f>
        <v>0.26739999999999997</v>
      </c>
      <c r="AB895" s="158">
        <f t="shared" ca="1" si="1408"/>
        <v>0</v>
      </c>
      <c r="AC895" s="158">
        <f t="shared" ca="1" si="1409"/>
        <v>0</v>
      </c>
      <c r="AD895" s="164"/>
      <c r="AE895" s="148">
        <f t="shared" si="1395"/>
        <v>0</v>
      </c>
      <c r="AF895" s="149"/>
      <c r="AG895" s="150"/>
      <c r="AH895" s="159" t="e">
        <f t="shared" si="1396"/>
        <v>#DIV/0!</v>
      </c>
      <c r="AI895" s="160"/>
      <c r="AJ895" s="105"/>
      <c r="AK895" s="105"/>
      <c r="AM895" s="105"/>
      <c r="AN895" s="105"/>
      <c r="AO895" s="105"/>
      <c r="AP895" s="105"/>
      <c r="AQ895" s="105"/>
      <c r="AR895" s="105"/>
    </row>
    <row r="896" spans="1:44" s="49" customFormat="1" ht="40.15" hidden="1" customHeight="1">
      <c r="A896" s="152">
        <f t="shared" ca="1" si="1397"/>
        <v>0</v>
      </c>
      <c r="B896" s="153">
        <v>34495</v>
      </c>
      <c r="C896" s="154" t="str">
        <f t="shared" si="1398"/>
        <v>34495</v>
      </c>
      <c r="D896" s="154" t="s">
        <v>3579</v>
      </c>
      <c r="E896" s="155" t="s">
        <v>3822</v>
      </c>
      <c r="F896" s="154"/>
      <c r="G896" s="154" t="s">
        <v>464</v>
      </c>
      <c r="H896" s="152">
        <v>619.65</v>
      </c>
      <c r="I896" s="152">
        <v>619.65</v>
      </c>
      <c r="J896" s="156"/>
      <c r="K896" s="156">
        <f>+Passeio!L234</f>
        <v>0</v>
      </c>
      <c r="L896" s="156">
        <f t="shared" si="1399"/>
        <v>0</v>
      </c>
      <c r="M896" s="156">
        <f t="shared" si="1400"/>
        <v>0</v>
      </c>
      <c r="N896" s="156" t="s">
        <v>92</v>
      </c>
      <c r="O896" s="157" cm="1">
        <f t="array" ref="O896">TRUNC($H896*(1+_xlfn.SWITCH($N896,"BDI 1",$O$6,"BDI 2",$O$7,"BDI 3",$O$8)),2)</f>
        <v>714.27</v>
      </c>
      <c r="P896" s="157" cm="1">
        <f t="array" ref="P896">TRUNC($I896*(1+_xlfn.SWITCH($N896,"BDI 1",$P$6,"BDI 2",$P$7,"BDI 3",$P$8)),2)</f>
        <v>714.27</v>
      </c>
      <c r="Q896" s="157">
        <v>0</v>
      </c>
      <c r="R896" s="157">
        <f t="shared" si="1401"/>
        <v>0</v>
      </c>
      <c r="S896" s="156">
        <f t="shared" si="1402"/>
        <v>0</v>
      </c>
      <c r="T896" s="156">
        <f t="shared" si="1403"/>
        <v>0</v>
      </c>
      <c r="U896" s="156">
        <f t="shared" si="1404"/>
        <v>0</v>
      </c>
      <c r="V896" s="156">
        <f t="shared" si="1405"/>
        <v>0</v>
      </c>
      <c r="W896" s="156">
        <f t="shared" si="1392"/>
        <v>0</v>
      </c>
      <c r="X896" s="158">
        <f t="shared" ref="X896" si="1460">$S896/ORCAMENTO_VALOR_TOTAL_ND</f>
        <v>0</v>
      </c>
      <c r="Y896" s="158">
        <f t="shared" ref="Y896" si="1461">$T896/ORCAMENTO_VALOR_TOTAL_DE</f>
        <v>0</v>
      </c>
      <c r="Z896" s="158" cm="1">
        <f t="array" ref="Z896">_xlfn.SWITCH($N896,"BDI 1",$O$6,"BDI 2",$O$7,"BDI 3",$O$8)</f>
        <v>0.1527</v>
      </c>
      <c r="AA896" s="158" cm="1">
        <f t="array" ref="AA896">_xlfn.SWITCH($N896,"BDI 1",$P$6,"BDI 2",$P$7,"BDI 3",$P$8)</f>
        <v>0.1527</v>
      </c>
      <c r="AB896" s="158">
        <f t="shared" ca="1" si="1408"/>
        <v>0</v>
      </c>
      <c r="AC896" s="158">
        <f t="shared" ca="1" si="1409"/>
        <v>0</v>
      </c>
      <c r="AD896" s="164"/>
      <c r="AE896" s="148">
        <f t="shared" si="1395"/>
        <v>0</v>
      </c>
      <c r="AF896" s="149"/>
      <c r="AG896" s="150"/>
      <c r="AH896" s="159" t="e">
        <f t="shared" si="1396"/>
        <v>#DIV/0!</v>
      </c>
      <c r="AI896" s="160"/>
      <c r="AJ896" s="105"/>
      <c r="AK896" s="105"/>
      <c r="AM896" s="105"/>
      <c r="AN896" s="105"/>
      <c r="AO896" s="105"/>
      <c r="AP896" s="105"/>
      <c r="AQ896" s="105"/>
      <c r="AR896" s="105"/>
    </row>
    <row r="897" spans="1:44" s="49" customFormat="1" ht="40.15" hidden="1" customHeight="1">
      <c r="A897" s="152">
        <f t="shared" ca="1" si="1397"/>
        <v>0</v>
      </c>
      <c r="B897" s="153">
        <v>103670</v>
      </c>
      <c r="C897" s="154" t="str">
        <f t="shared" si="1398"/>
        <v>103670</v>
      </c>
      <c r="D897" s="154" t="s">
        <v>1416</v>
      </c>
      <c r="E897" s="155" t="s">
        <v>3792</v>
      </c>
      <c r="F897" s="154"/>
      <c r="G897" s="154" t="s">
        <v>464</v>
      </c>
      <c r="H897" s="152">
        <v>272.37</v>
      </c>
      <c r="I897" s="152">
        <v>247.05</v>
      </c>
      <c r="J897" s="156"/>
      <c r="K897" s="156">
        <f>+K896+K895</f>
        <v>0</v>
      </c>
      <c r="L897" s="156">
        <f t="shared" si="1399"/>
        <v>0</v>
      </c>
      <c r="M897" s="156">
        <f t="shared" si="1400"/>
        <v>0</v>
      </c>
      <c r="N897" s="156" t="s">
        <v>83</v>
      </c>
      <c r="O897" s="157" cm="1">
        <f t="array" ref="O897">TRUNC($H897*(1+_xlfn.SWITCH($N897,"BDI 1",$O$6,"BDI 2",$O$7,"BDI 3",$O$8)),2)</f>
        <v>328.75</v>
      </c>
      <c r="P897" s="157" cm="1">
        <f t="array" ref="P897">TRUNC($I897*(1+_xlfn.SWITCH($N897,"BDI 1",$P$6,"BDI 2",$P$7,"BDI 3",$P$8)),2)</f>
        <v>313.11</v>
      </c>
      <c r="Q897" s="157">
        <v>0</v>
      </c>
      <c r="R897" s="157">
        <f t="shared" si="1401"/>
        <v>0</v>
      </c>
      <c r="S897" s="156">
        <f t="shared" si="1402"/>
        <v>0</v>
      </c>
      <c r="T897" s="156">
        <f t="shared" si="1403"/>
        <v>0</v>
      </c>
      <c r="U897" s="156">
        <f t="shared" si="1404"/>
        <v>0</v>
      </c>
      <c r="V897" s="156">
        <f t="shared" si="1405"/>
        <v>0</v>
      </c>
      <c r="W897" s="156">
        <f t="shared" si="1392"/>
        <v>0</v>
      </c>
      <c r="X897" s="158">
        <f t="shared" ref="X897" si="1462">$S897/ORCAMENTO_VALOR_TOTAL_ND</f>
        <v>0</v>
      </c>
      <c r="Y897" s="158">
        <f t="shared" ref="Y897" si="1463">$T897/ORCAMENTO_VALOR_TOTAL_DE</f>
        <v>0</v>
      </c>
      <c r="Z897" s="158" cm="1">
        <f t="array" ref="Z897">_xlfn.SWITCH($N897,"BDI 1",$O$6,"BDI 2",$O$7,"BDI 3",$O$8)</f>
        <v>0.20699999999999999</v>
      </c>
      <c r="AA897" s="158" cm="1">
        <f t="array" ref="AA897">_xlfn.SWITCH($N897,"BDI 1",$P$6,"BDI 2",$P$7,"BDI 3",$P$8)</f>
        <v>0.26739999999999997</v>
      </c>
      <c r="AB897" s="158">
        <f t="shared" ca="1" si="1408"/>
        <v>0</v>
      </c>
      <c r="AC897" s="158">
        <f t="shared" ca="1" si="1409"/>
        <v>0</v>
      </c>
      <c r="AD897" s="164"/>
      <c r="AE897" s="148">
        <f t="shared" si="1395"/>
        <v>0</v>
      </c>
      <c r="AF897" s="149"/>
      <c r="AG897" s="150"/>
      <c r="AH897" s="159" t="e">
        <f t="shared" si="1396"/>
        <v>#DIV/0!</v>
      </c>
      <c r="AI897" s="160"/>
      <c r="AJ897" s="105"/>
      <c r="AK897" s="105"/>
      <c r="AM897" s="105"/>
      <c r="AN897" s="105"/>
      <c r="AO897" s="105"/>
      <c r="AP897" s="105"/>
      <c r="AQ897" s="105"/>
      <c r="AR897" s="105"/>
    </row>
    <row r="898" spans="1:44" s="49" customFormat="1" ht="40.15" hidden="1" customHeight="1">
      <c r="A898" s="152">
        <f t="shared" ca="1" si="1397"/>
        <v>0</v>
      </c>
      <c r="B898" s="153">
        <v>92411</v>
      </c>
      <c r="C898" s="154" t="str">
        <f t="shared" si="1398"/>
        <v>92411</v>
      </c>
      <c r="D898" s="154" t="s">
        <v>1416</v>
      </c>
      <c r="E898" s="155" t="s">
        <v>3799</v>
      </c>
      <c r="F898" s="154"/>
      <c r="G898" s="154" t="s">
        <v>1418</v>
      </c>
      <c r="H898" s="152">
        <v>142.63</v>
      </c>
      <c r="I898" s="152">
        <v>134.08000000000001</v>
      </c>
      <c r="J898" s="156"/>
      <c r="K898" s="156">
        <f>+Passeio!L233</f>
        <v>0</v>
      </c>
      <c r="L898" s="156">
        <f t="shared" si="1399"/>
        <v>0</v>
      </c>
      <c r="M898" s="156">
        <f t="shared" si="1400"/>
        <v>0</v>
      </c>
      <c r="N898" s="156" t="s">
        <v>83</v>
      </c>
      <c r="O898" s="157" cm="1">
        <f t="array" ref="O898">TRUNC($H898*(1+_xlfn.SWITCH($N898,"BDI 1",$O$6,"BDI 2",$O$7,"BDI 3",$O$8)),2)</f>
        <v>172.15</v>
      </c>
      <c r="P898" s="157" cm="1">
        <f t="array" ref="P898">TRUNC($I898*(1+_xlfn.SWITCH($N898,"BDI 1",$P$6,"BDI 2",$P$7,"BDI 3",$P$8)),2)</f>
        <v>169.93</v>
      </c>
      <c r="Q898" s="157">
        <v>0</v>
      </c>
      <c r="R898" s="157">
        <f t="shared" si="1401"/>
        <v>0</v>
      </c>
      <c r="S898" s="156">
        <f t="shared" si="1402"/>
        <v>0</v>
      </c>
      <c r="T898" s="156">
        <f t="shared" si="1403"/>
        <v>0</v>
      </c>
      <c r="U898" s="156">
        <f t="shared" si="1404"/>
        <v>0</v>
      </c>
      <c r="V898" s="156">
        <f t="shared" si="1405"/>
        <v>0</v>
      </c>
      <c r="W898" s="156">
        <f t="shared" si="1392"/>
        <v>0</v>
      </c>
      <c r="X898" s="158">
        <f t="shared" ref="X898" si="1464">$S898/ORCAMENTO_VALOR_TOTAL_ND</f>
        <v>0</v>
      </c>
      <c r="Y898" s="158">
        <f t="shared" ref="Y898" si="1465">$T898/ORCAMENTO_VALOR_TOTAL_DE</f>
        <v>0</v>
      </c>
      <c r="Z898" s="158" cm="1">
        <f t="array" ref="Z898">_xlfn.SWITCH($N898,"BDI 1",$O$6,"BDI 2",$O$7,"BDI 3",$O$8)</f>
        <v>0.20699999999999999</v>
      </c>
      <c r="AA898" s="158" cm="1">
        <f t="array" ref="AA898">_xlfn.SWITCH($N898,"BDI 1",$P$6,"BDI 2",$P$7,"BDI 3",$P$8)</f>
        <v>0.26739999999999997</v>
      </c>
      <c r="AB898" s="158">
        <f t="shared" ca="1" si="1408"/>
        <v>0</v>
      </c>
      <c r="AC898" s="158">
        <f t="shared" ca="1" si="1409"/>
        <v>0</v>
      </c>
      <c r="AD898" s="164"/>
      <c r="AE898" s="148">
        <f t="shared" si="1395"/>
        <v>0</v>
      </c>
      <c r="AF898" s="149"/>
      <c r="AG898" s="150"/>
      <c r="AH898" s="159" t="e">
        <f t="shared" si="1396"/>
        <v>#DIV/0!</v>
      </c>
      <c r="AI898" s="160"/>
      <c r="AJ898" s="105"/>
      <c r="AK898" s="105"/>
      <c r="AM898" s="105"/>
      <c r="AN898" s="105"/>
      <c r="AO898" s="105"/>
      <c r="AP898" s="105"/>
      <c r="AQ898" s="105"/>
      <c r="AR898" s="105"/>
    </row>
    <row r="899" spans="1:44" s="49" customFormat="1" ht="40.15" hidden="1" customHeight="1">
      <c r="A899" s="152">
        <f t="shared" ca="1" si="1397"/>
        <v>0</v>
      </c>
      <c r="B899" s="153">
        <v>91593</v>
      </c>
      <c r="C899" s="154" t="str">
        <f t="shared" si="1398"/>
        <v>91593</v>
      </c>
      <c r="D899" s="154" t="s">
        <v>1416</v>
      </c>
      <c r="E899" s="155" t="s">
        <v>3807</v>
      </c>
      <c r="F899" s="154"/>
      <c r="G899" s="154" t="s">
        <v>3802</v>
      </c>
      <c r="H899" s="152">
        <v>10.59</v>
      </c>
      <c r="I899" s="152">
        <v>10.220000000000001</v>
      </c>
      <c r="J899" s="156"/>
      <c r="K899" s="156">
        <f>+Passeio!L235</f>
        <v>0</v>
      </c>
      <c r="L899" s="156">
        <f t="shared" si="1399"/>
        <v>0</v>
      </c>
      <c r="M899" s="156">
        <f t="shared" si="1400"/>
        <v>0</v>
      </c>
      <c r="N899" s="156" t="s">
        <v>83</v>
      </c>
      <c r="O899" s="157" cm="1">
        <f t="array" ref="O899">TRUNC($H899*(1+_xlfn.SWITCH($N899,"BDI 1",$O$6,"BDI 2",$O$7,"BDI 3",$O$8)),2)</f>
        <v>12.78</v>
      </c>
      <c r="P899" s="157" cm="1">
        <f t="array" ref="P899">TRUNC($I899*(1+_xlfn.SWITCH($N899,"BDI 1",$P$6,"BDI 2",$P$7,"BDI 3",$P$8)),2)</f>
        <v>12.95</v>
      </c>
      <c r="Q899" s="157">
        <v>0</v>
      </c>
      <c r="R899" s="157">
        <f t="shared" si="1401"/>
        <v>0</v>
      </c>
      <c r="S899" s="156">
        <f t="shared" si="1402"/>
        <v>0</v>
      </c>
      <c r="T899" s="156">
        <f t="shared" si="1403"/>
        <v>0</v>
      </c>
      <c r="U899" s="156">
        <f t="shared" si="1404"/>
        <v>0</v>
      </c>
      <c r="V899" s="156">
        <f t="shared" si="1405"/>
        <v>0</v>
      </c>
      <c r="W899" s="156">
        <f t="shared" si="1392"/>
        <v>0</v>
      </c>
      <c r="X899" s="158">
        <f t="shared" ref="X899" si="1466">$S899/ORCAMENTO_VALOR_TOTAL_ND</f>
        <v>0</v>
      </c>
      <c r="Y899" s="158">
        <f t="shared" ref="Y899" si="1467">$T899/ORCAMENTO_VALOR_TOTAL_DE</f>
        <v>0</v>
      </c>
      <c r="Z899" s="158" cm="1">
        <f t="array" ref="Z899">_xlfn.SWITCH($N899,"BDI 1",$O$6,"BDI 2",$O$7,"BDI 3",$O$8)</f>
        <v>0.20699999999999999</v>
      </c>
      <c r="AA899" s="158" cm="1">
        <f t="array" ref="AA899">_xlfn.SWITCH($N899,"BDI 1",$P$6,"BDI 2",$P$7,"BDI 3",$P$8)</f>
        <v>0.26739999999999997</v>
      </c>
      <c r="AB899" s="158">
        <f t="shared" ca="1" si="1408"/>
        <v>0</v>
      </c>
      <c r="AC899" s="158">
        <f t="shared" ca="1" si="1409"/>
        <v>0</v>
      </c>
      <c r="AD899" s="164"/>
      <c r="AE899" s="148">
        <f t="shared" si="1395"/>
        <v>0</v>
      </c>
      <c r="AF899" s="149"/>
      <c r="AG899" s="150"/>
      <c r="AH899" s="159" t="e">
        <f t="shared" si="1396"/>
        <v>#DIV/0!</v>
      </c>
      <c r="AI899" s="160"/>
      <c r="AJ899" s="105"/>
      <c r="AK899" s="105"/>
      <c r="AM899" s="105"/>
      <c r="AN899" s="105"/>
      <c r="AO899" s="105"/>
      <c r="AP899" s="105"/>
      <c r="AQ899" s="105"/>
      <c r="AR899" s="105"/>
    </row>
    <row r="900" spans="1:44" s="49" customFormat="1" ht="40.15" hidden="1" customHeight="1">
      <c r="A900" s="152">
        <f t="shared" ca="1" si="1397"/>
        <v>0</v>
      </c>
      <c r="B900" s="153" t="s">
        <v>337</v>
      </c>
      <c r="C900" s="154" t="str">
        <f t="shared" si="1398"/>
        <v>SC/0085</v>
      </c>
      <c r="D900" s="154" t="s">
        <v>3549</v>
      </c>
      <c r="E900" s="155" t="s">
        <v>3930</v>
      </c>
      <c r="F900" s="154"/>
      <c r="G900" s="154" t="s">
        <v>1412</v>
      </c>
      <c r="H900" s="152">
        <v>1456.21</v>
      </c>
      <c r="I900" s="152">
        <v>1408.86</v>
      </c>
      <c r="J900" s="156"/>
      <c r="K900" s="156">
        <f>+Passeio!L236</f>
        <v>0</v>
      </c>
      <c r="L900" s="156">
        <f t="shared" si="1399"/>
        <v>0</v>
      </c>
      <c r="M900" s="156">
        <f t="shared" si="1400"/>
        <v>0</v>
      </c>
      <c r="N900" s="156" t="s">
        <v>83</v>
      </c>
      <c r="O900" s="157" cm="1">
        <f t="array" ref="O900">TRUNC($H900*(1+_xlfn.SWITCH($N900,"BDI 1",$O$6,"BDI 2",$O$7,"BDI 3",$O$8)),2)</f>
        <v>1757.64</v>
      </c>
      <c r="P900" s="157" cm="1">
        <f t="array" ref="P900">TRUNC($I900*(1+_xlfn.SWITCH($N900,"BDI 1",$P$6,"BDI 2",$P$7,"BDI 3",$P$8)),2)</f>
        <v>1785.58</v>
      </c>
      <c r="Q900" s="157">
        <v>0</v>
      </c>
      <c r="R900" s="157">
        <f t="shared" si="1401"/>
        <v>0</v>
      </c>
      <c r="S900" s="156">
        <f t="shared" si="1402"/>
        <v>0</v>
      </c>
      <c r="T900" s="156">
        <f t="shared" si="1403"/>
        <v>0</v>
      </c>
      <c r="U900" s="156">
        <f t="shared" si="1404"/>
        <v>0</v>
      </c>
      <c r="V900" s="156">
        <f t="shared" si="1405"/>
        <v>0</v>
      </c>
      <c r="W900" s="156">
        <f t="shared" si="1392"/>
        <v>0</v>
      </c>
      <c r="X900" s="158">
        <f t="shared" ref="X900" si="1468">$S900/ORCAMENTO_VALOR_TOTAL_ND</f>
        <v>0</v>
      </c>
      <c r="Y900" s="158">
        <f t="shared" ref="Y900" si="1469">$T900/ORCAMENTO_VALOR_TOTAL_DE</f>
        <v>0</v>
      </c>
      <c r="Z900" s="158" cm="1">
        <f t="array" ref="Z900">_xlfn.SWITCH($N900,"BDI 1",$O$6,"BDI 2",$O$7,"BDI 3",$O$8)</f>
        <v>0.20699999999999999</v>
      </c>
      <c r="AA900" s="158" cm="1">
        <f t="array" ref="AA900">_xlfn.SWITCH($N900,"BDI 1",$P$6,"BDI 2",$P$7,"BDI 3",$P$8)</f>
        <v>0.26739999999999997</v>
      </c>
      <c r="AB900" s="158">
        <f t="shared" ca="1" si="1408"/>
        <v>0</v>
      </c>
      <c r="AC900" s="158">
        <f t="shared" ca="1" si="1409"/>
        <v>0</v>
      </c>
      <c r="AD900" s="164"/>
      <c r="AE900" s="148">
        <f t="shared" si="1395"/>
        <v>0</v>
      </c>
      <c r="AF900" s="149"/>
      <c r="AG900" s="150"/>
      <c r="AH900" s="159" t="e">
        <f t="shared" si="1396"/>
        <v>#DIV/0!</v>
      </c>
      <c r="AI900" s="160"/>
      <c r="AJ900" s="105"/>
      <c r="AK900" s="105"/>
      <c r="AM900" s="105"/>
      <c r="AN900" s="105"/>
      <c r="AO900" s="105"/>
      <c r="AP900" s="105"/>
      <c r="AQ900" s="105"/>
      <c r="AR900" s="105"/>
    </row>
    <row r="901" spans="1:44" s="49" customFormat="1" ht="40.15" hidden="1" customHeight="1">
      <c r="A901" s="10">
        <f t="shared" ca="1" si="1397"/>
        <v>0</v>
      </c>
      <c r="B901" s="153"/>
      <c r="C901" s="154"/>
      <c r="D901" s="154"/>
      <c r="E901" s="161" t="s">
        <v>137</v>
      </c>
      <c r="F901" s="154"/>
      <c r="G901" s="154"/>
      <c r="H901" s="152"/>
      <c r="I901" s="152"/>
      <c r="J901" s="154"/>
      <c r="K901" s="154"/>
      <c r="L901" s="154"/>
      <c r="M901" s="154"/>
      <c r="N901" s="154"/>
      <c r="O901" s="157"/>
      <c r="P901" s="157"/>
      <c r="Q901" s="157"/>
      <c r="R901" s="157"/>
      <c r="S901" s="162"/>
      <c r="T901" s="162"/>
      <c r="U901" s="162"/>
      <c r="V901" s="162"/>
      <c r="W901" s="162"/>
      <c r="X901" s="163"/>
      <c r="Y901" s="163"/>
      <c r="Z901" s="163"/>
      <c r="AA901" s="163"/>
      <c r="AB901" s="163"/>
      <c r="AC901" s="163"/>
      <c r="AD901" s="164"/>
      <c r="AE901" s="148">
        <f>IF(SUM(S902:S903)&gt;0,IFERROR(TRUNC(A901,0),0),0)</f>
        <v>0</v>
      </c>
      <c r="AF901" s="149"/>
      <c r="AG901" s="150"/>
      <c r="AH901" s="159"/>
      <c r="AI901" s="160" t="s">
        <v>138</v>
      </c>
      <c r="AJ901" s="105"/>
      <c r="AK901" s="105"/>
      <c r="AM901" s="105"/>
      <c r="AN901" s="105"/>
      <c r="AO901" s="105"/>
      <c r="AP901" s="105"/>
      <c r="AQ901" s="105"/>
      <c r="AR901" s="105"/>
    </row>
    <row r="902" spans="1:44" s="49" customFormat="1" ht="40.15" hidden="1" customHeight="1">
      <c r="A902" s="152">
        <f t="shared" ca="1" si="1397"/>
        <v>0</v>
      </c>
      <c r="B902" s="153">
        <v>95876</v>
      </c>
      <c r="C902" s="154" t="str">
        <f>TEXT(B902,"0")</f>
        <v>95876</v>
      </c>
      <c r="D902" s="154" t="s">
        <v>1416</v>
      </c>
      <c r="E902" s="155" t="s">
        <v>3537</v>
      </c>
      <c r="F902" s="154">
        <f>IF(Dados_DMT!$B$17&lt;30,Dados_DMT!$B$17,30)</f>
        <v>3.5</v>
      </c>
      <c r="G902" s="154" t="s">
        <v>3538</v>
      </c>
      <c r="H902" s="152">
        <v>2.09</v>
      </c>
      <c r="I902" s="152">
        <v>2.1</v>
      </c>
      <c r="J902" s="156"/>
      <c r="K902" s="156">
        <f>ROUND(Passeio!L237*F902,2)</f>
        <v>0</v>
      </c>
      <c r="L902" s="156">
        <f>IF($K902&gt;$J902,$K902-$J902,0)</f>
        <v>0</v>
      </c>
      <c r="M902" s="156">
        <f>IF($K902&lt;$J902,$J902-$K902,0)</f>
        <v>0</v>
      </c>
      <c r="N902" s="156" t="s">
        <v>83</v>
      </c>
      <c r="O902" s="157" cm="1">
        <f t="array" ref="O902">TRUNC($H902*(1+_xlfn.SWITCH($N902,"BDI 1",$O$6,"BDI 2",$O$7,"BDI 3",$O$8)),2)</f>
        <v>2.52</v>
      </c>
      <c r="P902" s="157" cm="1">
        <f t="array" ref="P902">TRUNC($I902*(1+_xlfn.SWITCH($N902,"BDI 1",$P$6,"BDI 2",$P$7,"BDI 3",$P$8)),2)</f>
        <v>2.66</v>
      </c>
      <c r="Q902" s="157">
        <v>0</v>
      </c>
      <c r="R902" s="157">
        <f>$Q902-($Q902*LICITACAO_DESCONTO)</f>
        <v>0</v>
      </c>
      <c r="S902" s="156">
        <f>TRUNC($K902*$O902,2)</f>
        <v>0</v>
      </c>
      <c r="T902" s="156">
        <f>TRUNC($K902*$P902,2)</f>
        <v>0</v>
      </c>
      <c r="U902" s="156">
        <f>TRUNC($J902*$R902,2)</f>
        <v>0</v>
      </c>
      <c r="V902" s="156">
        <f>TRUNC($K902*$Q902,2)</f>
        <v>0</v>
      </c>
      <c r="W902" s="156">
        <f>TRUNC(V902-U902,2)</f>
        <v>0</v>
      </c>
      <c r="X902" s="158">
        <f>$S902/ORCAMENTO_VALOR_TOTAL_ND</f>
        <v>0</v>
      </c>
      <c r="Y902" s="158">
        <f>$T902/ORCAMENTO_VALOR_TOTAL_DE</f>
        <v>0</v>
      </c>
      <c r="Z902" s="158" cm="1">
        <f t="array" ref="Z902">_xlfn.SWITCH($N902,"BDI 1",$O$6,"BDI 2",$O$7,"BDI 3",$O$8)</f>
        <v>0.20699999999999999</v>
      </c>
      <c r="AA902" s="158" cm="1">
        <f t="array" ref="AA902">_xlfn.SWITCH($N902,"BDI 1",$P$6,"BDI 2",$P$7,"BDI 3",$P$8)</f>
        <v>0.26739999999999997</v>
      </c>
      <c r="AB902" s="158">
        <f ca="1">IFERROR($S902/_xlfn.XLOOKUP($AE902,$B$16:$B$38,$S$16:$S$38),0)</f>
        <v>0</v>
      </c>
      <c r="AC902" s="158">
        <f ca="1">IFERROR($T902/_xlfn.XLOOKUP($AE902,$B$16:$B$38,$T$16:$T$38),0)</f>
        <v>0</v>
      </c>
      <c r="AD902" s="164"/>
      <c r="AE902" s="148">
        <f t="shared" ref="AE902:AE903" si="1470">IF(S902&gt;0,IFERROR(TRUNC(A902,0),0),0)</f>
        <v>0</v>
      </c>
      <c r="AF902" s="149"/>
      <c r="AG902" s="150"/>
      <c r="AH902" s="159" t="e">
        <f>+S902/$S$869</f>
        <v>#DIV/0!</v>
      </c>
      <c r="AI902" s="166">
        <f>IF(K902=0,0,K902/F902)</f>
        <v>0</v>
      </c>
      <c r="AJ902" s="105"/>
      <c r="AK902" s="105"/>
      <c r="AM902" s="105"/>
      <c r="AN902" s="105"/>
      <c r="AO902" s="105"/>
      <c r="AP902" s="105"/>
      <c r="AQ902" s="105"/>
      <c r="AR902" s="105"/>
    </row>
    <row r="903" spans="1:44" s="49" customFormat="1" ht="40.15" hidden="1" customHeight="1">
      <c r="A903" s="152">
        <f t="shared" ca="1" si="1397"/>
        <v>0</v>
      </c>
      <c r="B903" s="153">
        <v>93593</v>
      </c>
      <c r="C903" s="154" t="str">
        <f>TEXT(B903,"0")</f>
        <v>93593</v>
      </c>
      <c r="D903" s="154" t="s">
        <v>1416</v>
      </c>
      <c r="E903" s="155" t="s">
        <v>3545</v>
      </c>
      <c r="F903" s="154">
        <f>+Dados_DMT!$B$17-F902</f>
        <v>0</v>
      </c>
      <c r="G903" s="154" t="s">
        <v>3538</v>
      </c>
      <c r="H903" s="152">
        <v>0.84</v>
      </c>
      <c r="I903" s="152">
        <v>0.85</v>
      </c>
      <c r="J903" s="156"/>
      <c r="K903" s="156">
        <f>ROUND(Passeio!L237*F903,2)</f>
        <v>0</v>
      </c>
      <c r="L903" s="156">
        <f>IF($K903&gt;$J903,$K903-$J903,0)</f>
        <v>0</v>
      </c>
      <c r="M903" s="156">
        <f>IF($K903&lt;$J903,$J903-$K903,0)</f>
        <v>0</v>
      </c>
      <c r="N903" s="156" t="s">
        <v>83</v>
      </c>
      <c r="O903" s="157" cm="1">
        <f t="array" ref="O903">TRUNC($H903*(1+_xlfn.SWITCH($N903,"BDI 1",$O$6,"BDI 2",$O$7,"BDI 3",$O$8)),2)</f>
        <v>1.01</v>
      </c>
      <c r="P903" s="157" cm="1">
        <f t="array" ref="P903">TRUNC($I903*(1+_xlfn.SWITCH($N903,"BDI 1",$P$6,"BDI 2",$P$7,"BDI 3",$P$8)),2)</f>
        <v>1.07</v>
      </c>
      <c r="Q903" s="157">
        <v>0</v>
      </c>
      <c r="R903" s="157">
        <f>$Q903-($Q903*LICITACAO_DESCONTO)</f>
        <v>0</v>
      </c>
      <c r="S903" s="156">
        <f>TRUNC($K903*$O903,2)</f>
        <v>0</v>
      </c>
      <c r="T903" s="156">
        <f>TRUNC($K903*$P903,2)</f>
        <v>0</v>
      </c>
      <c r="U903" s="156">
        <f>TRUNC($J903*$R903,2)</f>
        <v>0</v>
      </c>
      <c r="V903" s="156">
        <f>TRUNC($K903*$Q903,2)</f>
        <v>0</v>
      </c>
      <c r="W903" s="156">
        <f>TRUNC(V903-U903,2)</f>
        <v>0</v>
      </c>
      <c r="X903" s="158">
        <f>$S903/ORCAMENTO_VALOR_TOTAL_ND</f>
        <v>0</v>
      </c>
      <c r="Y903" s="158">
        <f>$T903/ORCAMENTO_VALOR_TOTAL_DE</f>
        <v>0</v>
      </c>
      <c r="Z903" s="158" cm="1">
        <f t="array" ref="Z903">_xlfn.SWITCH($N903,"BDI 1",$O$6,"BDI 2",$O$7,"BDI 3",$O$8)</f>
        <v>0.20699999999999999</v>
      </c>
      <c r="AA903" s="158" cm="1">
        <f t="array" ref="AA903">_xlfn.SWITCH($N903,"BDI 1",$P$6,"BDI 2",$P$7,"BDI 3",$P$8)</f>
        <v>0.26739999999999997</v>
      </c>
      <c r="AB903" s="158">
        <f ca="1">IFERROR($S903/_xlfn.XLOOKUP($AE903,$B$16:$B$38,$S$16:$S$38),0)</f>
        <v>0</v>
      </c>
      <c r="AC903" s="158">
        <f ca="1">IFERROR($T903/_xlfn.XLOOKUP($AE903,$B$16:$B$38,$T$16:$T$38),0)</f>
        <v>0</v>
      </c>
      <c r="AD903" s="164"/>
      <c r="AE903" s="148">
        <f t="shared" si="1470"/>
        <v>0</v>
      </c>
      <c r="AF903" s="149"/>
      <c r="AG903" s="150"/>
      <c r="AH903" s="159" t="e">
        <f>+S903/$S$869</f>
        <v>#DIV/0!</v>
      </c>
      <c r="AI903" s="166">
        <f>IF(K903=0,0,K903/F903)</f>
        <v>0</v>
      </c>
      <c r="AJ903" s="105"/>
      <c r="AK903" s="105"/>
      <c r="AM903" s="105"/>
      <c r="AN903" s="105"/>
      <c r="AO903" s="105"/>
      <c r="AP903" s="105"/>
      <c r="AQ903" s="105"/>
      <c r="AR903" s="105"/>
    </row>
    <row r="904" spans="1:44" s="49" customFormat="1" ht="40.15" hidden="1" customHeight="1">
      <c r="A904" s="10">
        <f t="shared" ca="1" si="1397"/>
        <v>0</v>
      </c>
      <c r="B904" s="153"/>
      <c r="C904" s="154"/>
      <c r="D904" s="154"/>
      <c r="E904" s="161" t="s">
        <v>139</v>
      </c>
      <c r="F904" s="154"/>
      <c r="G904" s="154"/>
      <c r="H904" s="152"/>
      <c r="I904" s="152"/>
      <c r="J904" s="154"/>
      <c r="K904" s="154"/>
      <c r="L904" s="154"/>
      <c r="M904" s="154"/>
      <c r="N904" s="154"/>
      <c r="O904" s="157"/>
      <c r="P904" s="157"/>
      <c r="Q904" s="157"/>
      <c r="R904" s="157"/>
      <c r="S904" s="162"/>
      <c r="T904" s="162"/>
      <c r="U904" s="162"/>
      <c r="V904" s="162"/>
      <c r="W904" s="162"/>
      <c r="X904" s="163"/>
      <c r="Y904" s="163"/>
      <c r="Z904" s="163"/>
      <c r="AA904" s="163"/>
      <c r="AB904" s="163"/>
      <c r="AC904" s="163"/>
      <c r="AD904" s="164"/>
      <c r="AE904" s="148">
        <f>IF(SUM(S905:S906)&gt;0,IFERROR(TRUNC(A904,0),0),0)</f>
        <v>0</v>
      </c>
      <c r="AF904" s="149"/>
      <c r="AG904" s="150"/>
      <c r="AH904" s="159"/>
      <c r="AI904" s="160"/>
      <c r="AJ904" s="105"/>
      <c r="AK904" s="105"/>
      <c r="AM904" s="105"/>
      <c r="AN904" s="105"/>
      <c r="AO904" s="105"/>
      <c r="AP904" s="105"/>
      <c r="AQ904" s="105"/>
      <c r="AR904" s="105"/>
    </row>
    <row r="905" spans="1:44" s="49" customFormat="1" ht="40.15" hidden="1" customHeight="1">
      <c r="A905" s="152">
        <f t="shared" ca="1" si="1397"/>
        <v>0</v>
      </c>
      <c r="B905" s="153">
        <v>95876</v>
      </c>
      <c r="C905" s="154" t="str">
        <f>TEXT(B905,"0")</f>
        <v>95876</v>
      </c>
      <c r="D905" s="154" t="s">
        <v>1416</v>
      </c>
      <c r="E905" s="155" t="s">
        <v>3537</v>
      </c>
      <c r="F905" s="154">
        <f>IF(Dados_DMT!$B$14&lt;30,Dados_DMT!$B$14,30)</f>
        <v>3.5</v>
      </c>
      <c r="G905" s="154" t="s">
        <v>3538</v>
      </c>
      <c r="H905" s="152">
        <v>2.09</v>
      </c>
      <c r="I905" s="152">
        <v>2.1</v>
      </c>
      <c r="J905" s="156"/>
      <c r="K905" s="156">
        <f>ROUND(Passeio!L238*F905,2)</f>
        <v>0</v>
      </c>
      <c r="L905" s="156">
        <f>IF($K905&gt;$J905,$K905-$J905,0)</f>
        <v>0</v>
      </c>
      <c r="M905" s="156">
        <f>IF($K905&lt;$J905,$J905-$K905,0)</f>
        <v>0</v>
      </c>
      <c r="N905" s="156" t="s">
        <v>83</v>
      </c>
      <c r="O905" s="157" cm="1">
        <f t="array" ref="O905">TRUNC($H905*(1+_xlfn.SWITCH($N905,"BDI 1",$O$6,"BDI 2",$O$7,"BDI 3",$O$8)),2)</f>
        <v>2.52</v>
      </c>
      <c r="P905" s="157" cm="1">
        <f t="array" ref="P905">TRUNC($I905*(1+_xlfn.SWITCH($N905,"BDI 1",$P$6,"BDI 2",$P$7,"BDI 3",$P$8)),2)</f>
        <v>2.66</v>
      </c>
      <c r="Q905" s="157">
        <v>0</v>
      </c>
      <c r="R905" s="157">
        <f>$Q905-($Q905*LICITACAO_DESCONTO)</f>
        <v>0</v>
      </c>
      <c r="S905" s="156">
        <f>TRUNC($K905*$O905,2)</f>
        <v>0</v>
      </c>
      <c r="T905" s="156">
        <f>TRUNC($K905*$P905,2)</f>
        <v>0</v>
      </c>
      <c r="U905" s="156">
        <f>TRUNC($J905*$R905,2)</f>
        <v>0</v>
      </c>
      <c r="V905" s="156">
        <f>TRUNC($K905*$Q905,2)</f>
        <v>0</v>
      </c>
      <c r="W905" s="156">
        <f>TRUNC(V905-U905,2)</f>
        <v>0</v>
      </c>
      <c r="X905" s="158">
        <f>$S905/ORCAMENTO_VALOR_TOTAL_ND</f>
        <v>0</v>
      </c>
      <c r="Y905" s="158">
        <f>$T905/ORCAMENTO_VALOR_TOTAL_DE</f>
        <v>0</v>
      </c>
      <c r="Z905" s="158" cm="1">
        <f t="array" ref="Z905">_xlfn.SWITCH($N905,"BDI 1",$O$6,"BDI 2",$O$7,"BDI 3",$O$8)</f>
        <v>0.20699999999999999</v>
      </c>
      <c r="AA905" s="158" cm="1">
        <f t="array" ref="AA905">_xlfn.SWITCH($N905,"BDI 1",$P$6,"BDI 2",$P$7,"BDI 3",$P$8)</f>
        <v>0.26739999999999997</v>
      </c>
      <c r="AB905" s="158">
        <f ca="1">IFERROR($S905/_xlfn.XLOOKUP($AE905,$B$16:$B$38,$S$16:$S$38),0)</f>
        <v>0</v>
      </c>
      <c r="AC905" s="158">
        <f ca="1">IFERROR($T905/_xlfn.XLOOKUP($AE905,$B$16:$B$38,$T$16:$T$38),0)</f>
        <v>0</v>
      </c>
      <c r="AD905" s="164"/>
      <c r="AE905" s="148">
        <f t="shared" ref="AE905:AE906" si="1471">IF(S905&gt;0,IFERROR(TRUNC(A905,0),0),0)</f>
        <v>0</v>
      </c>
      <c r="AF905" s="149"/>
      <c r="AG905" s="150"/>
      <c r="AH905" s="159" t="e">
        <f>+S905/$S$869</f>
        <v>#DIV/0!</v>
      </c>
      <c r="AI905" s="166">
        <f>IF(K905=0,0,K905/F905)</f>
        <v>0</v>
      </c>
      <c r="AJ905" s="105"/>
      <c r="AK905" s="105"/>
      <c r="AM905" s="105"/>
      <c r="AN905" s="105"/>
      <c r="AO905" s="105"/>
      <c r="AP905" s="105"/>
      <c r="AQ905" s="105"/>
      <c r="AR905" s="105"/>
    </row>
    <row r="906" spans="1:44" s="49" customFormat="1" ht="40.15" hidden="1" customHeight="1">
      <c r="A906" s="152">
        <f t="shared" ca="1" si="1397"/>
        <v>0</v>
      </c>
      <c r="B906" s="153">
        <v>93593</v>
      </c>
      <c r="C906" s="154" t="str">
        <f>TEXT(B906,"0")</f>
        <v>93593</v>
      </c>
      <c r="D906" s="154" t="s">
        <v>1416</v>
      </c>
      <c r="E906" s="155" t="s">
        <v>3545</v>
      </c>
      <c r="F906" s="154">
        <f>+Dados_DMT!$B$14-F905</f>
        <v>0</v>
      </c>
      <c r="G906" s="154" t="s">
        <v>3538</v>
      </c>
      <c r="H906" s="152">
        <v>0.84</v>
      </c>
      <c r="I906" s="152">
        <v>0.85</v>
      </c>
      <c r="J906" s="156"/>
      <c r="K906" s="156">
        <f>ROUND(Passeio!L238*F906,2)</f>
        <v>0</v>
      </c>
      <c r="L906" s="156">
        <f>IF($K906&gt;$J906,$K906-$J906,0)</f>
        <v>0</v>
      </c>
      <c r="M906" s="156">
        <f>IF($K906&lt;$J906,$J906-$K906,0)</f>
        <v>0</v>
      </c>
      <c r="N906" s="156" t="s">
        <v>83</v>
      </c>
      <c r="O906" s="157" cm="1">
        <f t="array" ref="O906">TRUNC($H906*(1+_xlfn.SWITCH($N906,"BDI 1",$O$6,"BDI 2",$O$7,"BDI 3",$O$8)),2)</f>
        <v>1.01</v>
      </c>
      <c r="P906" s="157" cm="1">
        <f t="array" ref="P906">TRUNC($I906*(1+_xlfn.SWITCH($N906,"BDI 1",$P$6,"BDI 2",$P$7,"BDI 3",$P$8)),2)</f>
        <v>1.07</v>
      </c>
      <c r="Q906" s="157">
        <v>0</v>
      </c>
      <c r="R906" s="157">
        <f>$Q906-($Q906*LICITACAO_DESCONTO)</f>
        <v>0</v>
      </c>
      <c r="S906" s="156">
        <f>TRUNC($K906*$O906,2)</f>
        <v>0</v>
      </c>
      <c r="T906" s="156">
        <f>TRUNC($K906*$P906,2)</f>
        <v>0</v>
      </c>
      <c r="U906" s="156">
        <f>TRUNC($J906*$R906,2)</f>
        <v>0</v>
      </c>
      <c r="V906" s="156">
        <f>TRUNC($K906*$Q906,2)</f>
        <v>0</v>
      </c>
      <c r="W906" s="156">
        <f>TRUNC(V906-U906,2)</f>
        <v>0</v>
      </c>
      <c r="X906" s="158">
        <f>$S906/ORCAMENTO_VALOR_TOTAL_ND</f>
        <v>0</v>
      </c>
      <c r="Y906" s="158">
        <f>$T906/ORCAMENTO_VALOR_TOTAL_DE</f>
        <v>0</v>
      </c>
      <c r="Z906" s="158" cm="1">
        <f t="array" ref="Z906">_xlfn.SWITCH($N906,"BDI 1",$O$6,"BDI 2",$O$7,"BDI 3",$O$8)</f>
        <v>0.20699999999999999</v>
      </c>
      <c r="AA906" s="158" cm="1">
        <f t="array" ref="AA906">_xlfn.SWITCH($N906,"BDI 1",$P$6,"BDI 2",$P$7,"BDI 3",$P$8)</f>
        <v>0.26739999999999997</v>
      </c>
      <c r="AB906" s="158">
        <f ca="1">IFERROR($S906/_xlfn.XLOOKUP($AE906,$B$16:$B$38,$S$16:$S$38),0)</f>
        <v>0</v>
      </c>
      <c r="AC906" s="158">
        <f ca="1">IFERROR($T906/_xlfn.XLOOKUP($AE906,$B$16:$B$38,$T$16:$T$38),0)</f>
        <v>0</v>
      </c>
      <c r="AD906" s="164"/>
      <c r="AE906" s="148">
        <f t="shared" si="1471"/>
        <v>0</v>
      </c>
      <c r="AF906" s="149"/>
      <c r="AG906" s="150"/>
      <c r="AH906" s="159" t="e">
        <f>+S906/$S$869</f>
        <v>#DIV/0!</v>
      </c>
      <c r="AI906" s="166">
        <f>IF(K906=0,0,K906/F906)</f>
        <v>0</v>
      </c>
      <c r="AJ906" s="105"/>
      <c r="AK906" s="105"/>
      <c r="AM906" s="105"/>
      <c r="AN906" s="105"/>
      <c r="AO906" s="105"/>
      <c r="AP906" s="105"/>
      <c r="AQ906" s="105"/>
      <c r="AR906" s="105"/>
    </row>
    <row r="907" spans="1:44" s="49" customFormat="1" ht="40.15" hidden="1" customHeight="1">
      <c r="A907" s="10">
        <f t="shared" ca="1" si="1397"/>
        <v>0</v>
      </c>
      <c r="B907" s="153"/>
      <c r="C907" s="154"/>
      <c r="D907" s="154"/>
      <c r="E907" s="161" t="s">
        <v>103</v>
      </c>
      <c r="F907" s="154"/>
      <c r="G907" s="154"/>
      <c r="H907" s="152"/>
      <c r="I907" s="152"/>
      <c r="J907" s="154"/>
      <c r="K907" s="154"/>
      <c r="L907" s="154"/>
      <c r="M907" s="154"/>
      <c r="N907" s="154"/>
      <c r="O907" s="154"/>
      <c r="P907" s="154"/>
      <c r="Q907" s="154"/>
      <c r="R907" s="154"/>
      <c r="S907" s="162"/>
      <c r="T907" s="162"/>
      <c r="U907" s="162"/>
      <c r="V907" s="162"/>
      <c r="W907" s="162"/>
      <c r="X907" s="154"/>
      <c r="Y907" s="154"/>
      <c r="Z907" s="154"/>
      <c r="AA907" s="154"/>
      <c r="AB907" s="154"/>
      <c r="AC907" s="154"/>
      <c r="AD907" s="106"/>
      <c r="AE907" s="148">
        <f>IF(SUM(S908:S909)&gt;0,IFERROR(TRUNC(A907,0),0),0)</f>
        <v>0</v>
      </c>
      <c r="AF907" s="149"/>
      <c r="AG907" s="150"/>
      <c r="AH907" s="159"/>
      <c r="AI907" s="160"/>
      <c r="AJ907" s="105"/>
      <c r="AK907" s="105"/>
      <c r="AM907" s="105"/>
      <c r="AN907" s="105"/>
      <c r="AO907" s="105"/>
      <c r="AP907" s="105"/>
      <c r="AQ907" s="105"/>
      <c r="AR907" s="105"/>
    </row>
    <row r="908" spans="1:44" s="49" customFormat="1" ht="40.15" hidden="1" customHeight="1">
      <c r="A908" s="152">
        <f t="shared" ca="1" si="1397"/>
        <v>0</v>
      </c>
      <c r="B908" s="153">
        <v>95876</v>
      </c>
      <c r="C908" s="154" t="str">
        <f>TEXT(B908,"0")</f>
        <v>95876</v>
      </c>
      <c r="D908" s="154" t="s">
        <v>1416</v>
      </c>
      <c r="E908" s="155" t="s">
        <v>3537</v>
      </c>
      <c r="F908" s="154">
        <f>IF(Dados_DMT!$B$34&lt;30,Dados_DMT!$B$34,30)</f>
        <v>30</v>
      </c>
      <c r="G908" s="154" t="s">
        <v>3538</v>
      </c>
      <c r="H908" s="152">
        <v>2.09</v>
      </c>
      <c r="I908" s="152">
        <v>2.1</v>
      </c>
      <c r="J908" s="156"/>
      <c r="K908" s="156">
        <f>IF(AI879="USINADO",0,ROUND(Passeio!L243*F908,2))</f>
        <v>0</v>
      </c>
      <c r="L908" s="156">
        <f>IF($K908&gt;$J908,$K908-$J908,0)</f>
        <v>0</v>
      </c>
      <c r="M908" s="156">
        <f>IF($K908&lt;$J908,$J908-$K908,0)</f>
        <v>0</v>
      </c>
      <c r="N908" s="156" t="s">
        <v>83</v>
      </c>
      <c r="O908" s="157" cm="1">
        <f t="array" ref="O908">TRUNC($H908*(1+_xlfn.SWITCH($N908,"BDI 1",$O$6,"BDI 2",$O$7,"BDI 3",$O$8)),2)</f>
        <v>2.52</v>
      </c>
      <c r="P908" s="157" cm="1">
        <f t="array" ref="P908">TRUNC($I908*(1+_xlfn.SWITCH($N908,"BDI 1",$P$6,"BDI 2",$P$7,"BDI 3",$P$8)),2)</f>
        <v>2.66</v>
      </c>
      <c r="Q908" s="157">
        <v>0</v>
      </c>
      <c r="R908" s="157">
        <f>$Q908-($Q908*LICITACAO_DESCONTO)</f>
        <v>0</v>
      </c>
      <c r="S908" s="156">
        <f>TRUNC($K908*$O908,2)</f>
        <v>0</v>
      </c>
      <c r="T908" s="156">
        <f>TRUNC($K908*$P908,2)</f>
        <v>0</v>
      </c>
      <c r="U908" s="156">
        <f>TRUNC($J908*$R908,2)</f>
        <v>0</v>
      </c>
      <c r="V908" s="156">
        <f>TRUNC($K908*$Q908,2)</f>
        <v>0</v>
      </c>
      <c r="W908" s="156">
        <f>TRUNC(V908-U908,2)</f>
        <v>0</v>
      </c>
      <c r="X908" s="158">
        <f>$S908/ORCAMENTO_VALOR_TOTAL_ND</f>
        <v>0</v>
      </c>
      <c r="Y908" s="158">
        <f>$T908/ORCAMENTO_VALOR_TOTAL_DE</f>
        <v>0</v>
      </c>
      <c r="Z908" s="158" cm="1">
        <f t="array" ref="Z908">_xlfn.SWITCH($N908,"BDI 1",$O$6,"BDI 2",$O$7,"BDI 3",$O$8)</f>
        <v>0.20699999999999999</v>
      </c>
      <c r="AA908" s="158" cm="1">
        <f t="array" ref="AA908">_xlfn.SWITCH($N908,"BDI 1",$P$6,"BDI 2",$P$7,"BDI 3",$P$8)</f>
        <v>0.26739999999999997</v>
      </c>
      <c r="AB908" s="158">
        <f ca="1">IFERROR($S908/_xlfn.XLOOKUP($AE908,$B$16:$B$38,$S$16:$S$38),0)</f>
        <v>0</v>
      </c>
      <c r="AC908" s="158">
        <f ca="1">IFERROR($T908/_xlfn.XLOOKUP($AE908,$B$16:$B$38,$T$16:$T$38),0)</f>
        <v>0</v>
      </c>
      <c r="AD908" s="164"/>
      <c r="AE908" s="148">
        <f t="shared" ref="AE908:AE909" si="1472">IF(S908&gt;0,IFERROR(TRUNC(A908,0),0),0)</f>
        <v>0</v>
      </c>
      <c r="AF908" s="149"/>
      <c r="AG908" s="150"/>
      <c r="AH908" s="159" t="e">
        <f>+S908/$S$720</f>
        <v>#DIV/0!</v>
      </c>
      <c r="AI908" s="166">
        <f>IF(K908=0,0,K908/F908)</f>
        <v>0</v>
      </c>
      <c r="AJ908" s="105"/>
      <c r="AK908" s="105"/>
      <c r="AM908" s="105"/>
      <c r="AN908" s="105"/>
      <c r="AO908" s="105"/>
      <c r="AP908" s="105"/>
      <c r="AQ908" s="105"/>
      <c r="AR908" s="105"/>
    </row>
    <row r="909" spans="1:44" s="49" customFormat="1" ht="40.15" hidden="1" customHeight="1">
      <c r="A909" s="152">
        <f t="shared" ca="1" si="1397"/>
        <v>0</v>
      </c>
      <c r="B909" s="153">
        <v>93593</v>
      </c>
      <c r="C909" s="154" t="str">
        <f>TEXT(B909,"0")</f>
        <v>93593</v>
      </c>
      <c r="D909" s="154" t="s">
        <v>1416</v>
      </c>
      <c r="E909" s="155" t="s">
        <v>3545</v>
      </c>
      <c r="F909" s="154">
        <f>+Dados_DMT!$B$34-F908</f>
        <v>80</v>
      </c>
      <c r="G909" s="154" t="s">
        <v>3538</v>
      </c>
      <c r="H909" s="152">
        <v>0.84</v>
      </c>
      <c r="I909" s="152">
        <v>0.85</v>
      </c>
      <c r="J909" s="156"/>
      <c r="K909" s="156">
        <f>IF(AI879="USINADO",0,ROUND(Passeio!L243*F909,2))</f>
        <v>0</v>
      </c>
      <c r="L909" s="156">
        <f>IF($K909&gt;$J909,$K909-$J909,0)</f>
        <v>0</v>
      </c>
      <c r="M909" s="156">
        <f>IF($K909&lt;$J909,$J909-$K909,0)</f>
        <v>0</v>
      </c>
      <c r="N909" s="156" t="s">
        <v>83</v>
      </c>
      <c r="O909" s="157" cm="1">
        <f t="array" ref="O909">TRUNC($H909*(1+_xlfn.SWITCH($N909,"BDI 1",$O$6,"BDI 2",$O$7,"BDI 3",$O$8)),2)</f>
        <v>1.01</v>
      </c>
      <c r="P909" s="157" cm="1">
        <f t="array" ref="P909">TRUNC($I909*(1+_xlfn.SWITCH($N909,"BDI 1",$P$6,"BDI 2",$P$7,"BDI 3",$P$8)),2)</f>
        <v>1.07</v>
      </c>
      <c r="Q909" s="157">
        <v>0</v>
      </c>
      <c r="R909" s="157">
        <f>$Q909-($Q909*LICITACAO_DESCONTO)</f>
        <v>0</v>
      </c>
      <c r="S909" s="156">
        <f>TRUNC($K909*$O909,2)</f>
        <v>0</v>
      </c>
      <c r="T909" s="156">
        <f>TRUNC($K909*$P909,2)</f>
        <v>0</v>
      </c>
      <c r="U909" s="156">
        <f>TRUNC($J909*$R909,2)</f>
        <v>0</v>
      </c>
      <c r="V909" s="156">
        <f>TRUNC($K909*$Q909,2)</f>
        <v>0</v>
      </c>
      <c r="W909" s="156">
        <f>TRUNC(V909-U909,2)</f>
        <v>0</v>
      </c>
      <c r="X909" s="158">
        <f>$S909/ORCAMENTO_VALOR_TOTAL_ND</f>
        <v>0</v>
      </c>
      <c r="Y909" s="158">
        <f>$T909/ORCAMENTO_VALOR_TOTAL_DE</f>
        <v>0</v>
      </c>
      <c r="Z909" s="158" cm="1">
        <f t="array" ref="Z909">_xlfn.SWITCH($N909,"BDI 1",$O$6,"BDI 2",$O$7,"BDI 3",$O$8)</f>
        <v>0.20699999999999999</v>
      </c>
      <c r="AA909" s="158" cm="1">
        <f t="array" ref="AA909">_xlfn.SWITCH($N909,"BDI 1",$P$6,"BDI 2",$P$7,"BDI 3",$P$8)</f>
        <v>0.26739999999999997</v>
      </c>
      <c r="AB909" s="158">
        <f ca="1">IFERROR($S909/_xlfn.XLOOKUP($AE909,$B$16:$B$38,$S$16:$S$38),0)</f>
        <v>0</v>
      </c>
      <c r="AC909" s="158">
        <f ca="1">IFERROR($T909/_xlfn.XLOOKUP($AE909,$B$16:$B$38,$T$16:$T$38),0)</f>
        <v>0</v>
      </c>
      <c r="AD909" s="164"/>
      <c r="AE909" s="148">
        <f t="shared" si="1472"/>
        <v>0</v>
      </c>
      <c r="AF909" s="149"/>
      <c r="AG909" s="150"/>
      <c r="AH909" s="159" t="e">
        <f>+S909/$S$720</f>
        <v>#DIV/0!</v>
      </c>
      <c r="AI909" s="166">
        <f>IF(K909=0,0,K909/F909)</f>
        <v>0</v>
      </c>
      <c r="AJ909" s="105"/>
      <c r="AK909" s="105"/>
      <c r="AM909" s="105"/>
      <c r="AN909" s="105"/>
      <c r="AO909" s="105"/>
      <c r="AP909" s="105"/>
      <c r="AQ909" s="105"/>
      <c r="AR909" s="105"/>
    </row>
    <row r="910" spans="1:44" s="49" customFormat="1" ht="40.15" hidden="1" customHeight="1">
      <c r="A910" s="10">
        <f t="shared" ca="1" si="1397"/>
        <v>0</v>
      </c>
      <c r="B910" s="153"/>
      <c r="C910" s="154"/>
      <c r="D910" s="154"/>
      <c r="E910" s="161" t="s">
        <v>338</v>
      </c>
      <c r="F910" s="154"/>
      <c r="G910" s="154"/>
      <c r="H910" s="152"/>
      <c r="I910" s="152"/>
      <c r="J910" s="154"/>
      <c r="K910" s="154"/>
      <c r="L910" s="154"/>
      <c r="M910" s="154"/>
      <c r="N910" s="154"/>
      <c r="O910" s="157"/>
      <c r="P910" s="157"/>
      <c r="Q910" s="157"/>
      <c r="R910" s="157"/>
      <c r="S910" s="162"/>
      <c r="T910" s="162"/>
      <c r="U910" s="162"/>
      <c r="V910" s="162"/>
      <c r="W910" s="162"/>
      <c r="X910" s="163"/>
      <c r="Y910" s="163"/>
      <c r="Z910" s="163"/>
      <c r="AA910" s="163"/>
      <c r="AB910" s="163"/>
      <c r="AC910" s="163"/>
      <c r="AD910" s="164"/>
      <c r="AE910" s="148">
        <f>IF(SUM(S911:S912)&gt;0,IFERROR(TRUNC(A910,0),0),0)</f>
        <v>0</v>
      </c>
      <c r="AF910" s="149"/>
      <c r="AG910" s="150"/>
      <c r="AH910" s="159"/>
      <c r="AI910" s="160"/>
      <c r="AJ910" s="105"/>
      <c r="AK910" s="105"/>
      <c r="AM910" s="105"/>
      <c r="AN910" s="105"/>
      <c r="AO910" s="105"/>
      <c r="AP910" s="105"/>
      <c r="AQ910" s="105"/>
      <c r="AR910" s="105"/>
    </row>
    <row r="911" spans="1:44" s="49" customFormat="1" ht="40.15" hidden="1" customHeight="1">
      <c r="A911" s="152">
        <f t="shared" ca="1" si="1397"/>
        <v>0</v>
      </c>
      <c r="B911" s="153">
        <v>95876</v>
      </c>
      <c r="C911" s="154" t="str">
        <f>TEXT(B911,"0")</f>
        <v>95876</v>
      </c>
      <c r="D911" s="154" t="s">
        <v>1416</v>
      </c>
      <c r="E911" s="155" t="s">
        <v>3537</v>
      </c>
      <c r="F911" s="154">
        <f>IF(Dados_DMT!$B$17&lt;30,Dados_DMT!$B$17,30)</f>
        <v>3.5</v>
      </c>
      <c r="G911" s="154" t="s">
        <v>3538</v>
      </c>
      <c r="H911" s="152">
        <v>2.09</v>
      </c>
      <c r="I911" s="152">
        <v>2.1</v>
      </c>
      <c r="J911" s="156"/>
      <c r="K911" s="156">
        <f>ROUND(Passeio!L25*F911,2)</f>
        <v>0</v>
      </c>
      <c r="L911" s="156">
        <f>IF($K911&gt;$J911,$K911-$J911,0)</f>
        <v>0</v>
      </c>
      <c r="M911" s="156">
        <f>IF($K911&lt;$J911,$J911-$K911,0)</f>
        <v>0</v>
      </c>
      <c r="N911" s="156" t="s">
        <v>83</v>
      </c>
      <c r="O911" s="157" cm="1">
        <f t="array" ref="O911">TRUNC($H911*(1+_xlfn.SWITCH($N911,"BDI 1",$O$6,"BDI 2",$O$7,"BDI 3",$O$8)),2)</f>
        <v>2.52</v>
      </c>
      <c r="P911" s="157" cm="1">
        <f t="array" ref="P911">TRUNC($I911*(1+_xlfn.SWITCH($N911,"BDI 1",$P$6,"BDI 2",$P$7,"BDI 3",$P$8)),2)</f>
        <v>2.66</v>
      </c>
      <c r="Q911" s="157">
        <v>0</v>
      </c>
      <c r="R911" s="157">
        <f>$Q911-($Q911*LICITACAO_DESCONTO)</f>
        <v>0</v>
      </c>
      <c r="S911" s="156">
        <f>TRUNC($K911*$O911,2)</f>
        <v>0</v>
      </c>
      <c r="T911" s="156">
        <f>TRUNC($K911*$P911,2)</f>
        <v>0</v>
      </c>
      <c r="U911" s="156">
        <f>TRUNC($J911*$R911,2)</f>
        <v>0</v>
      </c>
      <c r="V911" s="156">
        <f>TRUNC($K911*$Q911,2)</f>
        <v>0</v>
      </c>
      <c r="W911" s="156">
        <f>TRUNC(V911-U911,2)</f>
        <v>0</v>
      </c>
      <c r="X911" s="158">
        <f>$S911/ORCAMENTO_VALOR_TOTAL_ND</f>
        <v>0</v>
      </c>
      <c r="Y911" s="158">
        <f>$T911/ORCAMENTO_VALOR_TOTAL_DE</f>
        <v>0</v>
      </c>
      <c r="Z911" s="158" cm="1">
        <f t="array" ref="Z911">_xlfn.SWITCH($N911,"BDI 1",$O$6,"BDI 2",$O$7,"BDI 3",$O$8)</f>
        <v>0.20699999999999999</v>
      </c>
      <c r="AA911" s="158" cm="1">
        <f t="array" ref="AA911">_xlfn.SWITCH($N911,"BDI 1",$P$6,"BDI 2",$P$7,"BDI 3",$P$8)</f>
        <v>0.26739999999999997</v>
      </c>
      <c r="AB911" s="158">
        <f ca="1">IFERROR($S911/_xlfn.XLOOKUP($AE911,$B$16:$B$38,$S$16:$S$38),0)</f>
        <v>0</v>
      </c>
      <c r="AC911" s="158">
        <f ca="1">IFERROR($T911/_xlfn.XLOOKUP($AE911,$B$16:$B$38,$T$16:$T$38),0)</f>
        <v>0</v>
      </c>
      <c r="AD911" s="164"/>
      <c r="AE911" s="148">
        <f t="shared" ref="AE911:AE912" si="1473">IF(S911&gt;0,IFERROR(TRUNC(A911,0),0),0)</f>
        <v>0</v>
      </c>
      <c r="AF911" s="149"/>
      <c r="AG911" s="150"/>
      <c r="AH911" s="159" t="e">
        <f>+S911/$S$869</f>
        <v>#DIV/0!</v>
      </c>
      <c r="AI911" s="166">
        <f>IF(K911=0,0,K911/F911)</f>
        <v>0</v>
      </c>
      <c r="AJ911" s="105"/>
      <c r="AK911" s="105"/>
      <c r="AM911" s="105"/>
      <c r="AN911" s="105"/>
      <c r="AO911" s="105"/>
      <c r="AP911" s="105"/>
      <c r="AQ911" s="105"/>
      <c r="AR911" s="105"/>
    </row>
    <row r="912" spans="1:44" s="49" customFormat="1" ht="40.15" hidden="1" customHeight="1">
      <c r="A912" s="152">
        <f t="shared" ca="1" si="1397"/>
        <v>0</v>
      </c>
      <c r="B912" s="153">
        <v>93593</v>
      </c>
      <c r="C912" s="154" t="str">
        <f>TEXT(B912,"0")</f>
        <v>93593</v>
      </c>
      <c r="D912" s="154" t="s">
        <v>1416</v>
      </c>
      <c r="E912" s="155" t="s">
        <v>3545</v>
      </c>
      <c r="F912" s="154">
        <f>+Dados_DMT!$B$17-F911</f>
        <v>0</v>
      </c>
      <c r="G912" s="154" t="s">
        <v>3538</v>
      </c>
      <c r="H912" s="152">
        <v>0.84</v>
      </c>
      <c r="I912" s="152">
        <v>0.85</v>
      </c>
      <c r="J912" s="156"/>
      <c r="K912" s="156">
        <f>ROUND(Passeio!L25*F912,2)</f>
        <v>0</v>
      </c>
      <c r="L912" s="156">
        <f>IF($K912&gt;$J912,$K912-$J912,0)</f>
        <v>0</v>
      </c>
      <c r="M912" s="156">
        <f>IF($K912&lt;$J912,$J912-$K912,0)</f>
        <v>0</v>
      </c>
      <c r="N912" s="156" t="s">
        <v>83</v>
      </c>
      <c r="O912" s="157" cm="1">
        <f t="array" ref="O912">TRUNC($H912*(1+_xlfn.SWITCH($N912,"BDI 1",$O$6,"BDI 2",$O$7,"BDI 3",$O$8)),2)</f>
        <v>1.01</v>
      </c>
      <c r="P912" s="157" cm="1">
        <f t="array" ref="P912">TRUNC($I912*(1+_xlfn.SWITCH($N912,"BDI 1",$P$6,"BDI 2",$P$7,"BDI 3",$P$8)),2)</f>
        <v>1.07</v>
      </c>
      <c r="Q912" s="157">
        <v>0</v>
      </c>
      <c r="R912" s="157">
        <f>$Q912-($Q912*LICITACAO_DESCONTO)</f>
        <v>0</v>
      </c>
      <c r="S912" s="156">
        <f>TRUNC($K912*$O912,2)</f>
        <v>0</v>
      </c>
      <c r="T912" s="156">
        <f>TRUNC($K912*$P912,2)</f>
        <v>0</v>
      </c>
      <c r="U912" s="156">
        <f>TRUNC($J912*$R912,2)</f>
        <v>0</v>
      </c>
      <c r="V912" s="156">
        <f>TRUNC($K912*$Q912,2)</f>
        <v>0</v>
      </c>
      <c r="W912" s="156">
        <f>TRUNC(V912-U912,2)</f>
        <v>0</v>
      </c>
      <c r="X912" s="158">
        <f>$S912/ORCAMENTO_VALOR_TOTAL_ND</f>
        <v>0</v>
      </c>
      <c r="Y912" s="158">
        <f>$T912/ORCAMENTO_VALOR_TOTAL_DE</f>
        <v>0</v>
      </c>
      <c r="Z912" s="158" cm="1">
        <f t="array" ref="Z912">_xlfn.SWITCH($N912,"BDI 1",$O$6,"BDI 2",$O$7,"BDI 3",$O$8)</f>
        <v>0.20699999999999999</v>
      </c>
      <c r="AA912" s="158" cm="1">
        <f t="array" ref="AA912">_xlfn.SWITCH($N912,"BDI 1",$P$6,"BDI 2",$P$7,"BDI 3",$P$8)</f>
        <v>0.26739999999999997</v>
      </c>
      <c r="AB912" s="158">
        <f ca="1">IFERROR($S912/_xlfn.XLOOKUP($AE912,$B$16:$B$38,$S$16:$S$38),0)</f>
        <v>0</v>
      </c>
      <c r="AC912" s="158">
        <f ca="1">IFERROR($T912/_xlfn.XLOOKUP($AE912,$B$16:$B$38,$T$16:$T$38),0)</f>
        <v>0</v>
      </c>
      <c r="AD912" s="164"/>
      <c r="AE912" s="148">
        <f t="shared" si="1473"/>
        <v>0</v>
      </c>
      <c r="AF912" s="149"/>
      <c r="AG912" s="150"/>
      <c r="AH912" s="159" t="e">
        <f>+S912/$S$869</f>
        <v>#DIV/0!</v>
      </c>
      <c r="AI912" s="166">
        <f>IF(K912=0,0,K912/F912)</f>
        <v>0</v>
      </c>
      <c r="AJ912" s="105"/>
      <c r="AK912" s="105"/>
      <c r="AM912" s="105"/>
      <c r="AN912" s="105"/>
      <c r="AO912" s="105"/>
      <c r="AP912" s="105"/>
      <c r="AQ912" s="105"/>
      <c r="AR912" s="105"/>
    </row>
    <row r="913" spans="1:44" s="49" customFormat="1" ht="40.15" hidden="1" customHeight="1">
      <c r="A913" s="10">
        <f t="shared" ca="1" si="1397"/>
        <v>0</v>
      </c>
      <c r="B913" s="153"/>
      <c r="C913" s="154"/>
      <c r="D913" s="154"/>
      <c r="E913" s="161" t="s">
        <v>339</v>
      </c>
      <c r="F913" s="154"/>
      <c r="G913" s="154"/>
      <c r="H913" s="152"/>
      <c r="I913" s="152"/>
      <c r="J913" s="154"/>
      <c r="K913" s="154"/>
      <c r="L913" s="154"/>
      <c r="M913" s="154"/>
      <c r="N913" s="154"/>
      <c r="O913" s="162"/>
      <c r="P913" s="162"/>
      <c r="Q913" s="162"/>
      <c r="R913" s="162"/>
      <c r="S913" s="162"/>
      <c r="T913" s="162"/>
      <c r="U913" s="162"/>
      <c r="V913" s="162"/>
      <c r="W913" s="162"/>
      <c r="X913" s="163"/>
      <c r="Y913" s="163"/>
      <c r="Z913" s="163"/>
      <c r="AA913" s="163"/>
      <c r="AB913" s="163"/>
      <c r="AC913" s="163"/>
      <c r="AD913" s="164"/>
      <c r="AE913" s="148">
        <f>IF(SUM(S914:S915)&gt;0,IFERROR(TRUNC(A913,0),0),0)</f>
        <v>0</v>
      </c>
      <c r="AF913" s="149"/>
      <c r="AG913" s="150"/>
      <c r="AH913" s="159"/>
      <c r="AI913" s="160"/>
      <c r="AJ913" s="105"/>
      <c r="AK913" s="105"/>
      <c r="AM913" s="105"/>
      <c r="AN913" s="105"/>
      <c r="AO913" s="105"/>
      <c r="AP913" s="105"/>
      <c r="AQ913" s="105"/>
      <c r="AR913" s="105"/>
    </row>
    <row r="914" spans="1:44" s="49" customFormat="1" ht="40.15" hidden="1" customHeight="1">
      <c r="A914" s="152">
        <f t="shared" ca="1" si="1397"/>
        <v>0</v>
      </c>
      <c r="B914" s="153">
        <v>100947</v>
      </c>
      <c r="C914" s="154" t="str">
        <f>TEXT(B914,"0")</f>
        <v>100947</v>
      </c>
      <c r="D914" s="154" t="s">
        <v>1416</v>
      </c>
      <c r="E914" s="155" t="s">
        <v>385</v>
      </c>
      <c r="F914" s="154">
        <f>IF(Dados_DMT!$B$13&lt;30,Dados_DMT!$B$13,30)</f>
        <v>30</v>
      </c>
      <c r="G914" s="154" t="s">
        <v>3534</v>
      </c>
      <c r="H914" s="152">
        <v>2.15</v>
      </c>
      <c r="I914" s="152">
        <v>2.13</v>
      </c>
      <c r="J914" s="156"/>
      <c r="K914" s="156">
        <f>ROUND(Passeio!L239*F914,2)</f>
        <v>0</v>
      </c>
      <c r="L914" s="156">
        <f>IF($K914&gt;$J914,$K914-$J914,0)</f>
        <v>0</v>
      </c>
      <c r="M914" s="156">
        <f>IF($K914&lt;$J914,$J914-$K914,0)</f>
        <v>0</v>
      </c>
      <c r="N914" s="156" t="s">
        <v>83</v>
      </c>
      <c r="O914" s="157" cm="1">
        <f t="array" ref="O914">TRUNC($H914*(1+_xlfn.SWITCH($N914,"BDI 1",$O$6,"BDI 2",$O$7,"BDI 3",$O$8)),2)</f>
        <v>2.59</v>
      </c>
      <c r="P914" s="157" cm="1">
        <f t="array" ref="P914">TRUNC($I914*(1+_xlfn.SWITCH($N914,"BDI 1",$P$6,"BDI 2",$P$7,"BDI 3",$P$8)),2)</f>
        <v>2.69</v>
      </c>
      <c r="Q914" s="157">
        <v>0</v>
      </c>
      <c r="R914" s="157">
        <f>$Q914-($Q914*LICITACAO_DESCONTO)</f>
        <v>0</v>
      </c>
      <c r="S914" s="156">
        <f>TRUNC($K914*$O914,2)</f>
        <v>0</v>
      </c>
      <c r="T914" s="156">
        <f>TRUNC($K914*$P914,2)</f>
        <v>0</v>
      </c>
      <c r="U914" s="156">
        <f>TRUNC($J914*$R914,2)</f>
        <v>0</v>
      </c>
      <c r="V914" s="156">
        <f>TRUNC($K914*$Q914,2)</f>
        <v>0</v>
      </c>
      <c r="W914" s="156">
        <f>TRUNC(V914-U914,2)</f>
        <v>0</v>
      </c>
      <c r="X914" s="158">
        <f>$S914/ORCAMENTO_VALOR_TOTAL_ND</f>
        <v>0</v>
      </c>
      <c r="Y914" s="158">
        <f>$T914/ORCAMENTO_VALOR_TOTAL_DE</f>
        <v>0</v>
      </c>
      <c r="Z914" s="158" cm="1">
        <f t="array" ref="Z914">_xlfn.SWITCH($N914,"BDI 1",$O$6,"BDI 2",$O$7,"BDI 3",$O$8)</f>
        <v>0.20699999999999999</v>
      </c>
      <c r="AA914" s="158" cm="1">
        <f t="array" ref="AA914">_xlfn.SWITCH($N914,"BDI 1",$P$6,"BDI 2",$P$7,"BDI 3",$P$8)</f>
        <v>0.26739999999999997</v>
      </c>
      <c r="AB914" s="158">
        <f ca="1">IFERROR($S914/_xlfn.XLOOKUP($AE914,$B$16:$B$38,$S$16:$S$38),0)</f>
        <v>0</v>
      </c>
      <c r="AC914" s="158">
        <f ca="1">IFERROR($T914/_xlfn.XLOOKUP($AE914,$B$16:$B$38,$T$16:$T$38),0)</f>
        <v>0</v>
      </c>
      <c r="AD914" s="164"/>
      <c r="AE914" s="148">
        <f t="shared" ref="AE914:AE915" si="1474">IF(S914&gt;0,IFERROR(TRUNC(A914,0),0),0)</f>
        <v>0</v>
      </c>
      <c r="AF914" s="149"/>
      <c r="AG914" s="150"/>
      <c r="AH914" s="159" t="e">
        <f>+S914/$S$869</f>
        <v>#DIV/0!</v>
      </c>
      <c r="AI914" s="160"/>
      <c r="AJ914" s="105"/>
      <c r="AK914" s="105"/>
      <c r="AM914" s="105"/>
      <c r="AN914" s="105"/>
      <c r="AO914" s="105"/>
      <c r="AP914" s="105"/>
      <c r="AQ914" s="105"/>
      <c r="AR914" s="105"/>
    </row>
    <row r="915" spans="1:44" s="49" customFormat="1" ht="40.15" hidden="1" customHeight="1">
      <c r="A915" s="152">
        <f t="shared" ca="1" si="1397"/>
        <v>0</v>
      </c>
      <c r="B915" s="153">
        <v>100948</v>
      </c>
      <c r="C915" s="154" t="str">
        <f>TEXT(B915,"0")</f>
        <v>100948</v>
      </c>
      <c r="D915" s="154" t="s">
        <v>1416</v>
      </c>
      <c r="E915" s="155" t="s">
        <v>3615</v>
      </c>
      <c r="F915" s="154">
        <f>+Dados_DMT!$B$13-F914</f>
        <v>70</v>
      </c>
      <c r="G915" s="154" t="s">
        <v>3534</v>
      </c>
      <c r="H915" s="152">
        <v>0.85</v>
      </c>
      <c r="I915" s="152">
        <v>0.84</v>
      </c>
      <c r="J915" s="156"/>
      <c r="K915" s="156">
        <f>ROUND(Passeio!L239*F915,2)</f>
        <v>0</v>
      </c>
      <c r="L915" s="156">
        <f>IF($K915&gt;$J915,$K915-$J915,0)</f>
        <v>0</v>
      </c>
      <c r="M915" s="156">
        <f>IF($K915&lt;$J915,$J915-$K915,0)</f>
        <v>0</v>
      </c>
      <c r="N915" s="156" t="s">
        <v>83</v>
      </c>
      <c r="O915" s="157" cm="1">
        <f t="array" ref="O915">TRUNC($H915*(1+_xlfn.SWITCH($N915,"BDI 1",$O$6,"BDI 2",$O$7,"BDI 3",$O$8)),2)</f>
        <v>1.02</v>
      </c>
      <c r="P915" s="157" cm="1">
        <f t="array" ref="P915">TRUNC($I915*(1+_xlfn.SWITCH($N915,"BDI 1",$P$6,"BDI 2",$P$7,"BDI 3",$P$8)),2)</f>
        <v>1.06</v>
      </c>
      <c r="Q915" s="157">
        <v>0</v>
      </c>
      <c r="R915" s="157">
        <f>$Q915-($Q915*LICITACAO_DESCONTO)</f>
        <v>0</v>
      </c>
      <c r="S915" s="156">
        <f>TRUNC($K915*$O915,2)</f>
        <v>0</v>
      </c>
      <c r="T915" s="156">
        <f>TRUNC($K915*$P915,2)</f>
        <v>0</v>
      </c>
      <c r="U915" s="156">
        <f>TRUNC($J915*$R915,2)</f>
        <v>0</v>
      </c>
      <c r="V915" s="156">
        <f>TRUNC($K915*$Q915,2)</f>
        <v>0</v>
      </c>
      <c r="W915" s="156">
        <f>TRUNC(V915-U915,2)</f>
        <v>0</v>
      </c>
      <c r="X915" s="158">
        <f>$S915/ORCAMENTO_VALOR_TOTAL_ND</f>
        <v>0</v>
      </c>
      <c r="Y915" s="158">
        <f>$T915/ORCAMENTO_VALOR_TOTAL_DE</f>
        <v>0</v>
      </c>
      <c r="Z915" s="158" cm="1">
        <f t="array" ref="Z915">_xlfn.SWITCH($N915,"BDI 1",$O$6,"BDI 2",$O$7,"BDI 3",$O$8)</f>
        <v>0.20699999999999999</v>
      </c>
      <c r="AA915" s="158" cm="1">
        <f t="array" ref="AA915">_xlfn.SWITCH($N915,"BDI 1",$P$6,"BDI 2",$P$7,"BDI 3",$P$8)</f>
        <v>0.26739999999999997</v>
      </c>
      <c r="AB915" s="158">
        <f ca="1">IFERROR($S915/_xlfn.XLOOKUP($AE915,$B$16:$B$38,$S$16:$S$38),0)</f>
        <v>0</v>
      </c>
      <c r="AC915" s="158">
        <f ca="1">IFERROR($T915/_xlfn.XLOOKUP($AE915,$B$16:$B$38,$T$16:$T$38),0)</f>
        <v>0</v>
      </c>
      <c r="AD915" s="164"/>
      <c r="AE915" s="148">
        <f t="shared" si="1474"/>
        <v>0</v>
      </c>
      <c r="AF915" s="149"/>
      <c r="AG915" s="150"/>
      <c r="AH915" s="159" t="e">
        <f>+S915/$S$869</f>
        <v>#DIV/0!</v>
      </c>
      <c r="AI915" s="160"/>
      <c r="AJ915" s="105"/>
      <c r="AK915" s="105"/>
      <c r="AM915" s="105"/>
      <c r="AN915" s="105"/>
      <c r="AO915" s="105"/>
      <c r="AP915" s="105"/>
      <c r="AQ915" s="105"/>
      <c r="AR915" s="105"/>
    </row>
    <row r="916" spans="1:44" s="49" customFormat="1" ht="40.15" hidden="1" customHeight="1">
      <c r="A916" s="10">
        <f t="shared" ca="1" si="1397"/>
        <v>0</v>
      </c>
      <c r="B916" s="153"/>
      <c r="C916" s="154"/>
      <c r="D916" s="154"/>
      <c r="E916" s="155"/>
      <c r="F916" s="154"/>
      <c r="G916" s="154"/>
      <c r="H916" s="154"/>
      <c r="I916" s="154"/>
      <c r="J916" s="168"/>
      <c r="K916" s="168"/>
      <c r="L916" s="168"/>
      <c r="M916" s="168"/>
      <c r="N916" s="168"/>
      <c r="O916" s="157"/>
      <c r="P916" s="157"/>
      <c r="Q916" s="157"/>
      <c r="R916" s="157"/>
      <c r="S916" s="162"/>
      <c r="T916" s="162"/>
      <c r="U916" s="162"/>
      <c r="V916" s="162"/>
      <c r="W916" s="162"/>
      <c r="X916" s="163"/>
      <c r="Y916" s="163"/>
      <c r="Z916" s="163"/>
      <c r="AA916" s="163"/>
      <c r="AB916" s="163"/>
      <c r="AC916" s="163"/>
      <c r="AD916" s="164"/>
      <c r="AE916" s="148">
        <f>IF(S917&gt;0,IFERROR(TRUNC(A917,0),0),0)</f>
        <v>0</v>
      </c>
      <c r="AF916" s="149"/>
      <c r="AG916" s="150"/>
      <c r="AH916" s="159"/>
      <c r="AI916" s="160"/>
      <c r="AJ916" s="105"/>
      <c r="AK916" s="105"/>
      <c r="AM916" s="105"/>
      <c r="AN916" s="105"/>
      <c r="AO916" s="105"/>
      <c r="AP916" s="105"/>
      <c r="AQ916" s="105"/>
      <c r="AR916" s="105"/>
    </row>
    <row r="917" spans="1:44" s="105" customFormat="1" ht="40.15" hidden="1" customHeight="1">
      <c r="A917" s="169">
        <f ca="1">$B$32</f>
        <v>0</v>
      </c>
      <c r="B917" s="170"/>
      <c r="C917" s="171"/>
      <c r="D917" s="172"/>
      <c r="E917" s="173" t="str">
        <f>$D$32</f>
        <v>PARADA DE ÔNIBUS - PAVIMENTO RÍGIDO E PLATAFORMA</v>
      </c>
      <c r="F917" s="174">
        <v>0</v>
      </c>
      <c r="G917" s="175"/>
      <c r="H917" s="176" t="s">
        <v>329</v>
      </c>
      <c r="I917" s="176" t="s">
        <v>329</v>
      </c>
      <c r="J917" s="177"/>
      <c r="K917" s="177"/>
      <c r="L917" s="177"/>
      <c r="M917" s="177"/>
      <c r="N917" s="177"/>
      <c r="O917" s="178" t="str">
        <f ca="1">CONCATENATE("SUB-TOTAL ",$A917)</f>
        <v>SUB-TOTAL 0</v>
      </c>
      <c r="P917" s="178" t="e" cm="1">
        <f t="array" ref="P917">TRUNC($I917*(1+_xlfn.SWITCH($N917,"BDI 1",$P$6,"BDI 2",$P$7,"BDI 3",$P$8)),2)</f>
        <v>#VALUE!</v>
      </c>
      <c r="Q917" s="178" t="str">
        <f ca="1">CONCATENATE("SUB-TOTAL ",$A917)</f>
        <v>SUB-TOTAL 0</v>
      </c>
      <c r="R917" s="178"/>
      <c r="S917" s="179">
        <f>SUM(S918:S959)</f>
        <v>0</v>
      </c>
      <c r="T917" s="179">
        <f>SUM(T918:T959)</f>
        <v>0</v>
      </c>
      <c r="U917" s="179">
        <f>SUM(U918:U959)</f>
        <v>0</v>
      </c>
      <c r="V917" s="179">
        <f>SUM(V918:V959)</f>
        <v>0</v>
      </c>
      <c r="W917" s="179">
        <f t="shared" ref="W917:W934" si="1475">TRUNC(V917-U917,2)</f>
        <v>0</v>
      </c>
      <c r="X917" s="180">
        <f t="shared" ref="X917" si="1476">$S917/ORCAMENTO_VALOR_TOTAL_ND</f>
        <v>0</v>
      </c>
      <c r="Y917" s="180">
        <f t="shared" ref="Y917" si="1477">$T917/ORCAMENTO_VALOR_TOTAL_DE</f>
        <v>0</v>
      </c>
      <c r="Z917" s="180"/>
      <c r="AA917" s="180"/>
      <c r="AB917" s="180">
        <f>IFERROR($S917/$S917,0)</f>
        <v>0</v>
      </c>
      <c r="AC917" s="180">
        <f>IFERROR($T917/$T917,0)</f>
        <v>0</v>
      </c>
      <c r="AD917" s="147"/>
      <c r="AE917" s="148">
        <f t="shared" ref="AE917:AE934" si="1478">IF(S917&gt;0,IFERROR(TRUNC(A917,0),0),0)</f>
        <v>0</v>
      </c>
      <c r="AF917" s="149"/>
      <c r="AG917" s="150"/>
      <c r="AH917" s="151" t="e">
        <f t="shared" ref="AH917:AH954" si="1479">+S917/$S$869</f>
        <v>#DIV/0!</v>
      </c>
    </row>
    <row r="918" spans="1:44" s="49" customFormat="1" ht="40.15" hidden="1" customHeight="1">
      <c r="A918" s="152">
        <f t="shared" ref="A918:A960" ca="1" si="1480">+IF(K918&gt;0,A917+0.01,A917)</f>
        <v>0</v>
      </c>
      <c r="B918" s="153">
        <v>97636</v>
      </c>
      <c r="C918" s="154" t="str">
        <f t="shared" ref="C918:C934" si="1481">TEXT(B918,"0")</f>
        <v>97636</v>
      </c>
      <c r="D918" s="154" t="s">
        <v>1416</v>
      </c>
      <c r="E918" s="155" t="s">
        <v>3596</v>
      </c>
      <c r="F918" s="154"/>
      <c r="G918" s="154" t="s">
        <v>1418</v>
      </c>
      <c r="H918" s="152">
        <v>20.57</v>
      </c>
      <c r="I918" s="152">
        <v>19.809999999999999</v>
      </c>
      <c r="J918" s="156"/>
      <c r="K918" s="156">
        <f>Ponto_Onibus!I10</f>
        <v>0</v>
      </c>
      <c r="L918" s="156">
        <f t="shared" ref="L918:L934" si="1482">IF($K918&gt;$J918,$K918-$J918,0)</f>
        <v>0</v>
      </c>
      <c r="M918" s="156">
        <f t="shared" ref="M918:M934" si="1483">IF($K918&lt;$J918,$J918-$K918,0)</f>
        <v>0</v>
      </c>
      <c r="N918" s="156" t="s">
        <v>83</v>
      </c>
      <c r="O918" s="157" cm="1">
        <f t="array" ref="O918">TRUNC($H918*(1+_xlfn.SWITCH($N918,"BDI 1",$O$6,"BDI 2",$O$7,"BDI 3",$O$8)),2)</f>
        <v>24.82</v>
      </c>
      <c r="P918" s="157" cm="1">
        <f t="array" ref="P918">TRUNC($I918*(1+_xlfn.SWITCH($N918,"BDI 1",$P$6,"BDI 2",$P$7,"BDI 3",$P$8)),2)</f>
        <v>25.1</v>
      </c>
      <c r="Q918" s="157">
        <v>0</v>
      </c>
      <c r="R918" s="157">
        <f t="shared" ref="R918:R934" si="1484">$Q918-($Q918*LICITACAO_DESCONTO)</f>
        <v>0</v>
      </c>
      <c r="S918" s="156">
        <f t="shared" ref="S918:S934" si="1485">TRUNC($K918*$O918,2)</f>
        <v>0</v>
      </c>
      <c r="T918" s="156">
        <f t="shared" ref="T918:T934" si="1486">TRUNC($K918*$P918,2)</f>
        <v>0</v>
      </c>
      <c r="U918" s="156">
        <f t="shared" ref="U918:U934" si="1487">TRUNC($J918*$R918,2)</f>
        <v>0</v>
      </c>
      <c r="V918" s="156">
        <f t="shared" ref="V918:V934" si="1488">TRUNC($K918*$Q918,2)</f>
        <v>0</v>
      </c>
      <c r="W918" s="156">
        <f t="shared" si="1475"/>
        <v>0</v>
      </c>
      <c r="X918" s="158">
        <f t="shared" ref="X918" si="1489">$S918/ORCAMENTO_VALOR_TOTAL_ND</f>
        <v>0</v>
      </c>
      <c r="Y918" s="158">
        <f t="shared" ref="Y918" si="1490">$T918/ORCAMENTO_VALOR_TOTAL_DE</f>
        <v>0</v>
      </c>
      <c r="Z918" s="158" cm="1">
        <f t="array" ref="Z918">_xlfn.SWITCH($N918,"BDI 1",$O$6,"BDI 2",$O$7,"BDI 3",$O$8)</f>
        <v>0.20699999999999999</v>
      </c>
      <c r="AA918" s="158" cm="1">
        <f t="array" ref="AA918">_xlfn.SWITCH($N918,"BDI 1",$P$6,"BDI 2",$P$7,"BDI 3",$P$8)</f>
        <v>0.26739999999999997</v>
      </c>
      <c r="AB918" s="158">
        <f t="shared" ref="AB918:AB934" ca="1" si="1491">IFERROR($S918/_xlfn.XLOOKUP($AE918,$B$16:$B$38,$S$16:$S$38),0)</f>
        <v>0</v>
      </c>
      <c r="AC918" s="158">
        <f t="shared" ref="AC918:AC934" ca="1" si="1492">IFERROR($T918/_xlfn.XLOOKUP($AE918,$B$16:$B$38,$T$16:$T$38),0)</f>
        <v>0</v>
      </c>
      <c r="AD918" s="164"/>
      <c r="AE918" s="148">
        <f t="shared" si="1478"/>
        <v>0</v>
      </c>
      <c r="AF918" s="149"/>
      <c r="AG918" s="150"/>
      <c r="AH918" s="159" t="e">
        <f t="shared" si="1479"/>
        <v>#DIV/0!</v>
      </c>
      <c r="AI918" s="160">
        <v>0</v>
      </c>
      <c r="AJ918" s="105"/>
      <c r="AK918" s="105"/>
      <c r="AM918" s="105"/>
      <c r="AN918" s="105"/>
      <c r="AO918" s="105"/>
      <c r="AP918" s="105"/>
      <c r="AQ918" s="105"/>
      <c r="AR918" s="105"/>
    </row>
    <row r="919" spans="1:44" s="49" customFormat="1" ht="49.9" hidden="1" customHeight="1">
      <c r="A919" s="152">
        <f t="shared" ca="1" si="1480"/>
        <v>0</v>
      </c>
      <c r="B919" s="153">
        <v>101230</v>
      </c>
      <c r="C919" s="154" t="str">
        <f t="shared" si="1481"/>
        <v>101230</v>
      </c>
      <c r="D919" s="154" t="s">
        <v>1416</v>
      </c>
      <c r="E919" s="155" t="s">
        <v>3677</v>
      </c>
      <c r="F919" s="154"/>
      <c r="G919" s="154" t="s">
        <v>464</v>
      </c>
      <c r="H919" s="152">
        <v>10.7</v>
      </c>
      <c r="I919" s="152">
        <v>10.73</v>
      </c>
      <c r="J919" s="156"/>
      <c r="K919" s="156">
        <f>+Ponto_Onibus!I17+Ponto_Onibus!I11</f>
        <v>0</v>
      </c>
      <c r="L919" s="156">
        <f t="shared" si="1482"/>
        <v>0</v>
      </c>
      <c r="M919" s="156">
        <f t="shared" si="1483"/>
        <v>0</v>
      </c>
      <c r="N919" s="156" t="s">
        <v>83</v>
      </c>
      <c r="O919" s="157" cm="1">
        <f t="array" ref="O919">TRUNC($H919*(1+_xlfn.SWITCH($N919,"BDI 1",$O$6,"BDI 2",$O$7,"BDI 3",$O$8)),2)</f>
        <v>12.91</v>
      </c>
      <c r="P919" s="157" cm="1">
        <f t="array" ref="P919">TRUNC($I919*(1+_xlfn.SWITCH($N919,"BDI 1",$P$6,"BDI 2",$P$7,"BDI 3",$P$8)),2)</f>
        <v>13.59</v>
      </c>
      <c r="Q919" s="157">
        <v>0</v>
      </c>
      <c r="R919" s="157">
        <f t="shared" si="1484"/>
        <v>0</v>
      </c>
      <c r="S919" s="156">
        <f t="shared" si="1485"/>
        <v>0</v>
      </c>
      <c r="T919" s="156">
        <f t="shared" si="1486"/>
        <v>0</v>
      </c>
      <c r="U919" s="156">
        <f t="shared" si="1487"/>
        <v>0</v>
      </c>
      <c r="V919" s="156">
        <f t="shared" si="1488"/>
        <v>0</v>
      </c>
      <c r="W919" s="156">
        <f t="shared" si="1475"/>
        <v>0</v>
      </c>
      <c r="X919" s="158">
        <f t="shared" ref="X919" si="1493">$S919/ORCAMENTO_VALOR_TOTAL_ND</f>
        <v>0</v>
      </c>
      <c r="Y919" s="158">
        <f t="shared" ref="Y919" si="1494">$T919/ORCAMENTO_VALOR_TOTAL_DE</f>
        <v>0</v>
      </c>
      <c r="Z919" s="158" cm="1">
        <f t="array" ref="Z919">_xlfn.SWITCH($N919,"BDI 1",$O$6,"BDI 2",$O$7,"BDI 3",$O$8)</f>
        <v>0.20699999999999999</v>
      </c>
      <c r="AA919" s="158" cm="1">
        <f t="array" ref="AA919">_xlfn.SWITCH($N919,"BDI 1",$P$6,"BDI 2",$P$7,"BDI 3",$P$8)</f>
        <v>0.26739999999999997</v>
      </c>
      <c r="AB919" s="158">
        <f t="shared" ca="1" si="1491"/>
        <v>0</v>
      </c>
      <c r="AC919" s="158">
        <f t="shared" ca="1" si="1492"/>
        <v>0</v>
      </c>
      <c r="AD919" s="164"/>
      <c r="AE919" s="148">
        <f t="shared" si="1478"/>
        <v>0</v>
      </c>
      <c r="AF919" s="149"/>
      <c r="AG919" s="150"/>
      <c r="AH919" s="159" t="e">
        <f t="shared" si="1479"/>
        <v>#DIV/0!</v>
      </c>
      <c r="AI919" s="160"/>
      <c r="AJ919" s="105"/>
      <c r="AK919" s="105"/>
      <c r="AM919" s="105"/>
      <c r="AN919" s="105"/>
      <c r="AO919" s="105"/>
      <c r="AP919" s="105"/>
      <c r="AQ919" s="105"/>
      <c r="AR919" s="105"/>
    </row>
    <row r="920" spans="1:44" s="49" customFormat="1" ht="40.15" hidden="1" customHeight="1">
      <c r="A920" s="152">
        <f t="shared" ca="1" si="1480"/>
        <v>0</v>
      </c>
      <c r="B920" s="153" t="s">
        <v>279</v>
      </c>
      <c r="C920" s="154" t="str">
        <f t="shared" si="1481"/>
        <v>PA/0010</v>
      </c>
      <c r="D920" s="154" t="s">
        <v>3549</v>
      </c>
      <c r="E920" s="155" t="s">
        <v>3878</v>
      </c>
      <c r="F920" s="154"/>
      <c r="G920" s="154" t="s">
        <v>464</v>
      </c>
      <c r="H920" s="152">
        <v>136.76</v>
      </c>
      <c r="I920" s="152">
        <v>136.53</v>
      </c>
      <c r="J920" s="156"/>
      <c r="K920" s="156">
        <f>+Ponto_Onibus!I17</f>
        <v>0</v>
      </c>
      <c r="L920" s="156">
        <f t="shared" si="1482"/>
        <v>0</v>
      </c>
      <c r="M920" s="156">
        <f t="shared" si="1483"/>
        <v>0</v>
      </c>
      <c r="N920" s="156" t="s">
        <v>83</v>
      </c>
      <c r="O920" s="157" cm="1">
        <f t="array" ref="O920">TRUNC($H920*(1+_xlfn.SWITCH($N920,"BDI 1",$O$6,"BDI 2",$O$7,"BDI 3",$O$8)),2)</f>
        <v>165.06</v>
      </c>
      <c r="P920" s="157" cm="1">
        <f t="array" ref="P920">TRUNC($I920*(1+_xlfn.SWITCH($N920,"BDI 1",$P$6,"BDI 2",$P$7,"BDI 3",$P$8)),2)</f>
        <v>173.03</v>
      </c>
      <c r="Q920" s="157">
        <v>0</v>
      </c>
      <c r="R920" s="157">
        <f t="shared" si="1484"/>
        <v>0</v>
      </c>
      <c r="S920" s="156">
        <f t="shared" si="1485"/>
        <v>0</v>
      </c>
      <c r="T920" s="156">
        <f t="shared" si="1486"/>
        <v>0</v>
      </c>
      <c r="U920" s="156">
        <f t="shared" si="1487"/>
        <v>0</v>
      </c>
      <c r="V920" s="156">
        <f t="shared" si="1488"/>
        <v>0</v>
      </c>
      <c r="W920" s="156">
        <f t="shared" si="1475"/>
        <v>0</v>
      </c>
      <c r="X920" s="158">
        <f t="shared" ref="X920" si="1495">$S920/ORCAMENTO_VALOR_TOTAL_ND</f>
        <v>0</v>
      </c>
      <c r="Y920" s="158">
        <f t="shared" ref="Y920" si="1496">$T920/ORCAMENTO_VALOR_TOTAL_DE</f>
        <v>0</v>
      </c>
      <c r="Z920" s="158" cm="1">
        <f t="array" ref="Z920">_xlfn.SWITCH($N920,"BDI 1",$O$6,"BDI 2",$O$7,"BDI 3",$O$8)</f>
        <v>0.20699999999999999</v>
      </c>
      <c r="AA920" s="158" cm="1">
        <f t="array" ref="AA920">_xlfn.SWITCH($N920,"BDI 1",$P$6,"BDI 2",$P$7,"BDI 3",$P$8)</f>
        <v>0.26739999999999997</v>
      </c>
      <c r="AB920" s="158">
        <f t="shared" ca="1" si="1491"/>
        <v>0</v>
      </c>
      <c r="AC920" s="158">
        <f t="shared" ca="1" si="1492"/>
        <v>0</v>
      </c>
      <c r="AD920" s="164"/>
      <c r="AE920" s="148">
        <f t="shared" si="1478"/>
        <v>0</v>
      </c>
      <c r="AF920" s="149"/>
      <c r="AG920" s="150"/>
      <c r="AH920" s="159" t="e">
        <f t="shared" si="1479"/>
        <v>#DIV/0!</v>
      </c>
      <c r="AI920" s="165" t="s">
        <v>243</v>
      </c>
      <c r="AJ920" s="105"/>
      <c r="AK920" s="105"/>
      <c r="AM920" s="105"/>
      <c r="AN920" s="105"/>
      <c r="AO920" s="105"/>
      <c r="AP920" s="105"/>
      <c r="AQ920" s="105"/>
      <c r="AR920" s="105"/>
    </row>
    <row r="921" spans="1:44" s="49" customFormat="1" ht="40.15" hidden="1" customHeight="1">
      <c r="A921" s="152">
        <f t="shared" ca="1" si="1480"/>
        <v>0</v>
      </c>
      <c r="B921" s="153">
        <v>100576</v>
      </c>
      <c r="C921" s="154" t="str">
        <f t="shared" si="1481"/>
        <v>100576</v>
      </c>
      <c r="D921" s="154" t="s">
        <v>1416</v>
      </c>
      <c r="E921" s="155" t="s">
        <v>3901</v>
      </c>
      <c r="F921" s="154"/>
      <c r="G921" s="154" t="s">
        <v>1418</v>
      </c>
      <c r="H921" s="152">
        <v>2.46</v>
      </c>
      <c r="I921" s="152">
        <v>2.39</v>
      </c>
      <c r="J921" s="156"/>
      <c r="K921" s="156">
        <f>+Ponto_Onibus!I12</f>
        <v>0</v>
      </c>
      <c r="L921" s="156">
        <f t="shared" si="1482"/>
        <v>0</v>
      </c>
      <c r="M921" s="156">
        <f t="shared" si="1483"/>
        <v>0</v>
      </c>
      <c r="N921" s="156" t="s">
        <v>83</v>
      </c>
      <c r="O921" s="157" cm="1">
        <f t="array" ref="O921">TRUNC($H921*(1+_xlfn.SWITCH($N921,"BDI 1",$O$6,"BDI 2",$O$7,"BDI 3",$O$8)),2)</f>
        <v>2.96</v>
      </c>
      <c r="P921" s="157" cm="1">
        <f t="array" ref="P921">TRUNC($I921*(1+_xlfn.SWITCH($N921,"BDI 1",$P$6,"BDI 2",$P$7,"BDI 3",$P$8)),2)</f>
        <v>3.02</v>
      </c>
      <c r="Q921" s="157">
        <v>0</v>
      </c>
      <c r="R921" s="157">
        <f t="shared" si="1484"/>
        <v>0</v>
      </c>
      <c r="S921" s="156">
        <f t="shared" si="1485"/>
        <v>0</v>
      </c>
      <c r="T921" s="156">
        <f t="shared" si="1486"/>
        <v>0</v>
      </c>
      <c r="U921" s="156">
        <f t="shared" si="1487"/>
        <v>0</v>
      </c>
      <c r="V921" s="156">
        <f t="shared" si="1488"/>
        <v>0</v>
      </c>
      <c r="W921" s="156">
        <f t="shared" si="1475"/>
        <v>0</v>
      </c>
      <c r="X921" s="158">
        <f t="shared" ref="X921" si="1497">$S921/ORCAMENTO_VALOR_TOTAL_ND</f>
        <v>0</v>
      </c>
      <c r="Y921" s="158">
        <f t="shared" ref="Y921" si="1498">$T921/ORCAMENTO_VALOR_TOTAL_DE</f>
        <v>0</v>
      </c>
      <c r="Z921" s="158" cm="1">
        <f t="array" ref="Z921">_xlfn.SWITCH($N921,"BDI 1",$O$6,"BDI 2",$O$7,"BDI 3",$O$8)</f>
        <v>0.20699999999999999</v>
      </c>
      <c r="AA921" s="158" cm="1">
        <f t="array" ref="AA921">_xlfn.SWITCH($N921,"BDI 1",$P$6,"BDI 2",$P$7,"BDI 3",$P$8)</f>
        <v>0.26739999999999997</v>
      </c>
      <c r="AB921" s="158">
        <f t="shared" ca="1" si="1491"/>
        <v>0</v>
      </c>
      <c r="AC921" s="158">
        <f t="shared" ca="1" si="1492"/>
        <v>0</v>
      </c>
      <c r="AD921" s="164"/>
      <c r="AE921" s="148">
        <f t="shared" si="1478"/>
        <v>0</v>
      </c>
      <c r="AF921" s="149"/>
      <c r="AG921" s="150"/>
      <c r="AH921" s="159" t="e">
        <f t="shared" si="1479"/>
        <v>#DIV/0!</v>
      </c>
      <c r="AI921" s="160"/>
      <c r="AJ921" s="181" t="s">
        <v>105</v>
      </c>
      <c r="AK921" s="181" t="s">
        <v>106</v>
      </c>
      <c r="AM921" s="105"/>
      <c r="AN921" s="105"/>
      <c r="AO921" s="105"/>
      <c r="AP921" s="105"/>
      <c r="AQ921" s="105"/>
      <c r="AR921" s="105"/>
    </row>
    <row r="922" spans="1:44" s="49" customFormat="1" ht="40.15" hidden="1" customHeight="1">
      <c r="A922" s="152">
        <f t="shared" ca="1" si="1480"/>
        <v>0</v>
      </c>
      <c r="B922" s="153" t="s">
        <v>248</v>
      </c>
      <c r="C922" s="154" t="str">
        <f t="shared" si="1481"/>
        <v>PA/0020</v>
      </c>
      <c r="D922" s="154" t="s">
        <v>3549</v>
      </c>
      <c r="E922" s="155" t="s">
        <v>3873</v>
      </c>
      <c r="F922" s="154"/>
      <c r="G922" s="154" t="s">
        <v>464</v>
      </c>
      <c r="H922" s="152">
        <v>13.37</v>
      </c>
      <c r="I922" s="152">
        <v>13.23</v>
      </c>
      <c r="J922" s="156"/>
      <c r="K922" s="156">
        <f>+Ponto_Onibus!I24</f>
        <v>0</v>
      </c>
      <c r="L922" s="156">
        <f t="shared" si="1482"/>
        <v>0</v>
      </c>
      <c r="M922" s="156">
        <f t="shared" si="1483"/>
        <v>0</v>
      </c>
      <c r="N922" s="156" t="s">
        <v>83</v>
      </c>
      <c r="O922" s="157" cm="1">
        <f t="array" ref="O922">TRUNC($H922*(1+_xlfn.SWITCH($N922,"BDI 1",$O$6,"BDI 2",$O$7,"BDI 3",$O$8)),2)</f>
        <v>16.13</v>
      </c>
      <c r="P922" s="157" cm="1">
        <f t="array" ref="P922">TRUNC($I922*(1+_xlfn.SWITCH($N922,"BDI 1",$P$6,"BDI 2",$P$7,"BDI 3",$P$8)),2)</f>
        <v>16.760000000000002</v>
      </c>
      <c r="Q922" s="157">
        <v>0</v>
      </c>
      <c r="R922" s="157">
        <f t="shared" si="1484"/>
        <v>0</v>
      </c>
      <c r="S922" s="156">
        <f t="shared" si="1485"/>
        <v>0</v>
      </c>
      <c r="T922" s="156">
        <f t="shared" si="1486"/>
        <v>0</v>
      </c>
      <c r="U922" s="156">
        <f t="shared" si="1487"/>
        <v>0</v>
      </c>
      <c r="V922" s="156">
        <f t="shared" si="1488"/>
        <v>0</v>
      </c>
      <c r="W922" s="156">
        <f t="shared" si="1475"/>
        <v>0</v>
      </c>
      <c r="X922" s="158">
        <f t="shared" ref="X922" si="1499">$S922/ORCAMENTO_VALOR_TOTAL_ND</f>
        <v>0</v>
      </c>
      <c r="Y922" s="158">
        <f t="shared" ref="Y922" si="1500">$T922/ORCAMENTO_VALOR_TOTAL_DE</f>
        <v>0</v>
      </c>
      <c r="Z922" s="158" cm="1">
        <f t="array" ref="Z922">_xlfn.SWITCH($N922,"BDI 1",$O$6,"BDI 2",$O$7,"BDI 3",$O$8)</f>
        <v>0.20699999999999999</v>
      </c>
      <c r="AA922" s="158" cm="1">
        <f t="array" ref="AA922">_xlfn.SWITCH($N922,"BDI 1",$P$6,"BDI 2",$P$7,"BDI 3",$P$8)</f>
        <v>0.26739999999999997</v>
      </c>
      <c r="AB922" s="158">
        <f t="shared" ca="1" si="1491"/>
        <v>0</v>
      </c>
      <c r="AC922" s="158">
        <f t="shared" ca="1" si="1492"/>
        <v>0</v>
      </c>
      <c r="AD922" s="164"/>
      <c r="AE922" s="148">
        <f t="shared" si="1478"/>
        <v>0</v>
      </c>
      <c r="AF922" s="149"/>
      <c r="AG922" s="150"/>
      <c r="AH922" s="159" t="e">
        <f t="shared" si="1479"/>
        <v>#DIV/0!</v>
      </c>
      <c r="AI922" s="160"/>
      <c r="AJ922" s="181" t="s">
        <v>105</v>
      </c>
      <c r="AK922" s="181" t="s">
        <v>106</v>
      </c>
      <c r="AM922" s="105"/>
      <c r="AN922" s="105"/>
      <c r="AO922" s="105"/>
      <c r="AP922" s="105"/>
      <c r="AQ922" s="105"/>
      <c r="AR922" s="105"/>
    </row>
    <row r="923" spans="1:44" s="49" customFormat="1" ht="40.15" hidden="1" customHeight="1">
      <c r="A923" s="152">
        <f t="shared" ca="1" si="1480"/>
        <v>0</v>
      </c>
      <c r="B923" s="153" t="s">
        <v>287</v>
      </c>
      <c r="C923" s="154" t="str">
        <f t="shared" si="1481"/>
        <v>PA/0023</v>
      </c>
      <c r="D923" s="154" t="s">
        <v>3549</v>
      </c>
      <c r="E923" s="155" t="s">
        <v>3539</v>
      </c>
      <c r="F923" s="154"/>
      <c r="G923" s="154" t="s">
        <v>1418</v>
      </c>
      <c r="H923" s="152">
        <v>2.37</v>
      </c>
      <c r="I923" s="152">
        <v>2.33</v>
      </c>
      <c r="J923" s="156"/>
      <c r="K923" s="156">
        <f>+Ponto_Onibus!I29</f>
        <v>0</v>
      </c>
      <c r="L923" s="156">
        <f t="shared" si="1482"/>
        <v>0</v>
      </c>
      <c r="M923" s="156">
        <f t="shared" si="1483"/>
        <v>0</v>
      </c>
      <c r="N923" s="156" t="s">
        <v>83</v>
      </c>
      <c r="O923" s="157" cm="1">
        <f t="array" ref="O923">TRUNC($H923*(1+_xlfn.SWITCH($N923,"BDI 1",$O$6,"BDI 2",$O$7,"BDI 3",$O$8)),2)</f>
        <v>2.86</v>
      </c>
      <c r="P923" s="157" cm="1">
        <f t="array" ref="P923">TRUNC($I923*(1+_xlfn.SWITCH($N923,"BDI 1",$P$6,"BDI 2",$P$7,"BDI 3",$P$8)),2)</f>
        <v>2.95</v>
      </c>
      <c r="Q923" s="157">
        <v>0</v>
      </c>
      <c r="R923" s="157">
        <f t="shared" si="1484"/>
        <v>0</v>
      </c>
      <c r="S923" s="156">
        <f t="shared" si="1485"/>
        <v>0</v>
      </c>
      <c r="T923" s="156">
        <f t="shared" si="1486"/>
        <v>0</v>
      </c>
      <c r="U923" s="156">
        <f t="shared" si="1487"/>
        <v>0</v>
      </c>
      <c r="V923" s="156">
        <f t="shared" si="1488"/>
        <v>0</v>
      </c>
      <c r="W923" s="156">
        <f t="shared" si="1475"/>
        <v>0</v>
      </c>
      <c r="X923" s="158">
        <f t="shared" ref="X923" si="1501">$S923/ORCAMENTO_VALOR_TOTAL_ND</f>
        <v>0</v>
      </c>
      <c r="Y923" s="158">
        <f t="shared" ref="Y923" si="1502">$T923/ORCAMENTO_VALOR_TOTAL_DE</f>
        <v>0</v>
      </c>
      <c r="Z923" s="158" cm="1">
        <f t="array" ref="Z923">_xlfn.SWITCH($N923,"BDI 1",$O$6,"BDI 2",$O$7,"BDI 3",$O$8)</f>
        <v>0.20699999999999999</v>
      </c>
      <c r="AA923" s="158" cm="1">
        <f t="array" ref="AA923">_xlfn.SWITCH($N923,"BDI 1",$P$6,"BDI 2",$P$7,"BDI 3",$P$8)</f>
        <v>0.26739999999999997</v>
      </c>
      <c r="AB923" s="158">
        <f t="shared" ca="1" si="1491"/>
        <v>0</v>
      </c>
      <c r="AC923" s="158">
        <f t="shared" ca="1" si="1492"/>
        <v>0</v>
      </c>
      <c r="AD923" s="164"/>
      <c r="AE923" s="148">
        <f t="shared" si="1478"/>
        <v>0</v>
      </c>
      <c r="AF923" s="149"/>
      <c r="AG923" s="150"/>
      <c r="AH923" s="159" t="e">
        <f t="shared" si="1479"/>
        <v>#DIV/0!</v>
      </c>
      <c r="AI923" s="160"/>
      <c r="AJ923" s="181" t="s">
        <v>105</v>
      </c>
      <c r="AK923" s="181" t="s">
        <v>106</v>
      </c>
      <c r="AM923" s="105"/>
      <c r="AN923" s="105"/>
      <c r="AO923" s="105"/>
      <c r="AP923" s="105"/>
      <c r="AQ923" s="105"/>
      <c r="AR923" s="105"/>
    </row>
    <row r="924" spans="1:44" s="49" customFormat="1" ht="40.15" hidden="1" customHeight="1">
      <c r="A924" s="152">
        <f t="shared" ca="1" si="1480"/>
        <v>0</v>
      </c>
      <c r="B924" s="153">
        <v>97106</v>
      </c>
      <c r="C924" s="154" t="str">
        <f t="shared" si="1481"/>
        <v>97106</v>
      </c>
      <c r="D924" s="154" t="s">
        <v>1416</v>
      </c>
      <c r="E924" s="155" t="s">
        <v>3931</v>
      </c>
      <c r="F924" s="154"/>
      <c r="G924" s="154" t="s">
        <v>1418</v>
      </c>
      <c r="H924" s="152">
        <v>182.46</v>
      </c>
      <c r="I924" s="152">
        <v>179.33</v>
      </c>
      <c r="J924" s="156"/>
      <c r="K924" s="156">
        <f>+Ponto_Onibus!I34</f>
        <v>0</v>
      </c>
      <c r="L924" s="156">
        <f t="shared" si="1482"/>
        <v>0</v>
      </c>
      <c r="M924" s="156">
        <f t="shared" si="1483"/>
        <v>0</v>
      </c>
      <c r="N924" s="156" t="s">
        <v>83</v>
      </c>
      <c r="O924" s="157" cm="1">
        <f t="array" ref="O924">TRUNC($H924*(1+_xlfn.SWITCH($N924,"BDI 1",$O$6,"BDI 2",$O$7,"BDI 3",$O$8)),2)</f>
        <v>220.22</v>
      </c>
      <c r="P924" s="157" cm="1">
        <f t="array" ref="P924">TRUNC($I924*(1+_xlfn.SWITCH($N924,"BDI 1",$P$6,"BDI 2",$P$7,"BDI 3",$P$8)),2)</f>
        <v>227.28</v>
      </c>
      <c r="Q924" s="157">
        <v>0</v>
      </c>
      <c r="R924" s="157">
        <f t="shared" si="1484"/>
        <v>0</v>
      </c>
      <c r="S924" s="156">
        <f t="shared" si="1485"/>
        <v>0</v>
      </c>
      <c r="T924" s="156">
        <f t="shared" si="1486"/>
        <v>0</v>
      </c>
      <c r="U924" s="156">
        <f t="shared" si="1487"/>
        <v>0</v>
      </c>
      <c r="V924" s="156">
        <f t="shared" si="1488"/>
        <v>0</v>
      </c>
      <c r="W924" s="156">
        <f t="shared" si="1475"/>
        <v>0</v>
      </c>
      <c r="X924" s="158">
        <f t="shared" ref="X924" si="1503">$S924/ORCAMENTO_VALOR_TOTAL_ND</f>
        <v>0</v>
      </c>
      <c r="Y924" s="158">
        <f t="shared" ref="Y924" si="1504">$T924/ORCAMENTO_VALOR_TOTAL_DE</f>
        <v>0</v>
      </c>
      <c r="Z924" s="158" cm="1">
        <f t="array" ref="Z924">_xlfn.SWITCH($N924,"BDI 1",$O$6,"BDI 2",$O$7,"BDI 3",$O$8)</f>
        <v>0.20699999999999999</v>
      </c>
      <c r="AA924" s="158" cm="1">
        <f t="array" ref="AA924">_xlfn.SWITCH($N924,"BDI 1",$P$6,"BDI 2",$P$7,"BDI 3",$P$8)</f>
        <v>0.26739999999999997</v>
      </c>
      <c r="AB924" s="158">
        <f t="shared" ca="1" si="1491"/>
        <v>0</v>
      </c>
      <c r="AC924" s="158">
        <f t="shared" ca="1" si="1492"/>
        <v>0</v>
      </c>
      <c r="AD924" s="164"/>
      <c r="AE924" s="148">
        <f t="shared" si="1478"/>
        <v>0</v>
      </c>
      <c r="AF924" s="149"/>
      <c r="AG924" s="150"/>
      <c r="AH924" s="159" t="e">
        <f t="shared" si="1479"/>
        <v>#DIV/0!</v>
      </c>
      <c r="AI924" s="160"/>
      <c r="AJ924" s="184">
        <v>0</v>
      </c>
      <c r="AK924" s="183" t="e">
        <f>+K924/AJ924</f>
        <v>#DIV/0!</v>
      </c>
      <c r="AM924" s="105"/>
      <c r="AN924" s="105"/>
      <c r="AO924" s="105"/>
      <c r="AP924" s="105"/>
      <c r="AQ924" s="105"/>
      <c r="AR924" s="105"/>
    </row>
    <row r="925" spans="1:44" s="49" customFormat="1" ht="49.9" hidden="1" customHeight="1">
      <c r="A925" s="152">
        <f t="shared" ca="1" si="1480"/>
        <v>0</v>
      </c>
      <c r="B925" s="153">
        <v>101230</v>
      </c>
      <c r="C925" s="154" t="str">
        <f t="shared" si="1481"/>
        <v>101230</v>
      </c>
      <c r="D925" s="154" t="s">
        <v>1416</v>
      </c>
      <c r="E925" s="155" t="s">
        <v>3677</v>
      </c>
      <c r="F925" s="154"/>
      <c r="G925" s="154" t="s">
        <v>464</v>
      </c>
      <c r="H925" s="152">
        <v>10.7</v>
      </c>
      <c r="I925" s="152">
        <v>10.73</v>
      </c>
      <c r="J925" s="156"/>
      <c r="K925" s="156">
        <f>IF(K929=0,Ponto_Onibus!I49,0)</f>
        <v>0</v>
      </c>
      <c r="L925" s="156">
        <f t="shared" si="1482"/>
        <v>0</v>
      </c>
      <c r="M925" s="156">
        <f t="shared" si="1483"/>
        <v>0</v>
      </c>
      <c r="N925" s="156" t="s">
        <v>83</v>
      </c>
      <c r="O925" s="157" cm="1">
        <f t="array" ref="O925">TRUNC($H925*(1+_xlfn.SWITCH($N925,"BDI 1",$O$6,"BDI 2",$O$7,"BDI 3",$O$8)),2)</f>
        <v>12.91</v>
      </c>
      <c r="P925" s="157" cm="1">
        <f t="array" ref="P925">TRUNC($I925*(1+_xlfn.SWITCH($N925,"BDI 1",$P$6,"BDI 2",$P$7,"BDI 3",$P$8)),2)</f>
        <v>13.59</v>
      </c>
      <c r="Q925" s="157">
        <v>0</v>
      </c>
      <c r="R925" s="157">
        <f t="shared" si="1484"/>
        <v>0</v>
      </c>
      <c r="S925" s="156">
        <f t="shared" si="1485"/>
        <v>0</v>
      </c>
      <c r="T925" s="156">
        <f t="shared" si="1486"/>
        <v>0</v>
      </c>
      <c r="U925" s="156">
        <f t="shared" si="1487"/>
        <v>0</v>
      </c>
      <c r="V925" s="156">
        <f t="shared" si="1488"/>
        <v>0</v>
      </c>
      <c r="W925" s="156">
        <f t="shared" si="1475"/>
        <v>0</v>
      </c>
      <c r="X925" s="158">
        <f t="shared" ref="X925" si="1505">$S925/ORCAMENTO_VALOR_TOTAL_ND</f>
        <v>0</v>
      </c>
      <c r="Y925" s="158">
        <f t="shared" ref="Y925" si="1506">$T925/ORCAMENTO_VALOR_TOTAL_DE</f>
        <v>0</v>
      </c>
      <c r="Z925" s="158" cm="1">
        <f t="array" ref="Z925">_xlfn.SWITCH($N925,"BDI 1",$O$6,"BDI 2",$O$7,"BDI 3",$O$8)</f>
        <v>0.20699999999999999</v>
      </c>
      <c r="AA925" s="158" cm="1">
        <f t="array" ref="AA925">_xlfn.SWITCH($N925,"BDI 1",$P$6,"BDI 2",$P$7,"BDI 3",$P$8)</f>
        <v>0.26739999999999997</v>
      </c>
      <c r="AB925" s="158">
        <f t="shared" ca="1" si="1491"/>
        <v>0</v>
      </c>
      <c r="AC925" s="158">
        <f t="shared" ca="1" si="1492"/>
        <v>0</v>
      </c>
      <c r="AD925" s="164"/>
      <c r="AE925" s="148">
        <f t="shared" si="1478"/>
        <v>0</v>
      </c>
      <c r="AF925" s="149"/>
      <c r="AG925" s="150"/>
      <c r="AH925" s="159" t="e">
        <f t="shared" si="1479"/>
        <v>#DIV/0!</v>
      </c>
      <c r="AI925" s="160"/>
      <c r="AJ925" s="184"/>
      <c r="AK925" s="183"/>
      <c r="AM925" s="105"/>
      <c r="AN925" s="105"/>
      <c r="AO925" s="105"/>
      <c r="AP925" s="105"/>
      <c r="AQ925" s="105"/>
      <c r="AR925" s="105"/>
    </row>
    <row r="926" spans="1:44" s="49" customFormat="1" ht="40.15" hidden="1" customHeight="1">
      <c r="A926" s="152">
        <f t="shared" ca="1" si="1480"/>
        <v>0</v>
      </c>
      <c r="B926" s="153">
        <v>104737</v>
      </c>
      <c r="C926" s="154" t="str">
        <f t="shared" si="1481"/>
        <v>104737</v>
      </c>
      <c r="D926" s="154" t="s">
        <v>1416</v>
      </c>
      <c r="E926" s="155" t="s">
        <v>3932</v>
      </c>
      <c r="F926" s="154"/>
      <c r="G926" s="154" t="s">
        <v>464</v>
      </c>
      <c r="H926" s="152">
        <v>20.32</v>
      </c>
      <c r="I926" s="152">
        <v>18.670000000000002</v>
      </c>
      <c r="J926" s="156"/>
      <c r="K926" s="156">
        <f>+Ponto_Onibus!I40</f>
        <v>0</v>
      </c>
      <c r="L926" s="156">
        <f t="shared" si="1482"/>
        <v>0</v>
      </c>
      <c r="M926" s="156">
        <f t="shared" si="1483"/>
        <v>0</v>
      </c>
      <c r="N926" s="156" t="s">
        <v>83</v>
      </c>
      <c r="O926" s="157" cm="1">
        <f t="array" ref="O926">TRUNC($H926*(1+_xlfn.SWITCH($N926,"BDI 1",$O$6,"BDI 2",$O$7,"BDI 3",$O$8)),2)</f>
        <v>24.52</v>
      </c>
      <c r="P926" s="157" cm="1">
        <f t="array" ref="P926">TRUNC($I926*(1+_xlfn.SWITCH($N926,"BDI 1",$P$6,"BDI 2",$P$7,"BDI 3",$P$8)),2)</f>
        <v>23.66</v>
      </c>
      <c r="Q926" s="157">
        <v>0</v>
      </c>
      <c r="R926" s="157">
        <f t="shared" si="1484"/>
        <v>0</v>
      </c>
      <c r="S926" s="156">
        <f t="shared" si="1485"/>
        <v>0</v>
      </c>
      <c r="T926" s="156">
        <f t="shared" si="1486"/>
        <v>0</v>
      </c>
      <c r="U926" s="156">
        <f t="shared" si="1487"/>
        <v>0</v>
      </c>
      <c r="V926" s="156">
        <f t="shared" si="1488"/>
        <v>0</v>
      </c>
      <c r="W926" s="156">
        <f t="shared" si="1475"/>
        <v>0</v>
      </c>
      <c r="X926" s="158">
        <f t="shared" ref="X926" si="1507">$S926/ORCAMENTO_VALOR_TOTAL_ND</f>
        <v>0</v>
      </c>
      <c r="Y926" s="158">
        <f t="shared" ref="Y926" si="1508">$T926/ORCAMENTO_VALOR_TOTAL_DE</f>
        <v>0</v>
      </c>
      <c r="Z926" s="158" cm="1">
        <f t="array" ref="Z926">_xlfn.SWITCH($N926,"BDI 1",$O$6,"BDI 2",$O$7,"BDI 3",$O$8)</f>
        <v>0.20699999999999999</v>
      </c>
      <c r="AA926" s="158" cm="1">
        <f t="array" ref="AA926">_xlfn.SWITCH($N926,"BDI 1",$P$6,"BDI 2",$P$7,"BDI 3",$P$8)</f>
        <v>0.26739999999999997</v>
      </c>
      <c r="AB926" s="158">
        <f t="shared" ca="1" si="1491"/>
        <v>0</v>
      </c>
      <c r="AC926" s="158">
        <f t="shared" ca="1" si="1492"/>
        <v>0</v>
      </c>
      <c r="AD926" s="164"/>
      <c r="AE926" s="148">
        <f t="shared" si="1478"/>
        <v>0</v>
      </c>
      <c r="AF926" s="149"/>
      <c r="AG926" s="150"/>
      <c r="AH926" s="159" t="e">
        <f t="shared" si="1479"/>
        <v>#DIV/0!</v>
      </c>
      <c r="AI926" s="160"/>
      <c r="AJ926" s="184"/>
      <c r="AK926" s="183"/>
      <c r="AM926" s="105"/>
      <c r="AN926" s="105"/>
      <c r="AO926" s="105"/>
      <c r="AP926" s="105"/>
      <c r="AQ926" s="105"/>
      <c r="AR926" s="105"/>
    </row>
    <row r="927" spans="1:44" s="49" customFormat="1" ht="40.15" hidden="1" customHeight="1">
      <c r="A927" s="152">
        <f t="shared" ca="1" si="1480"/>
        <v>0</v>
      </c>
      <c r="B927" s="153">
        <v>100324</v>
      </c>
      <c r="C927" s="154" t="str">
        <f t="shared" si="1481"/>
        <v>100324</v>
      </c>
      <c r="D927" s="154" t="s">
        <v>1416</v>
      </c>
      <c r="E927" s="155" t="s">
        <v>3852</v>
      </c>
      <c r="F927" s="154"/>
      <c r="G927" s="154" t="s">
        <v>464</v>
      </c>
      <c r="H927" s="152">
        <v>166.91</v>
      </c>
      <c r="I927" s="152">
        <v>166.99</v>
      </c>
      <c r="J927" s="156"/>
      <c r="K927" s="156">
        <f>+Ponto_Onibus!I42</f>
        <v>0</v>
      </c>
      <c r="L927" s="156">
        <f t="shared" si="1482"/>
        <v>0</v>
      </c>
      <c r="M927" s="156">
        <f t="shared" si="1483"/>
        <v>0</v>
      </c>
      <c r="N927" s="156" t="s">
        <v>83</v>
      </c>
      <c r="O927" s="157" cm="1">
        <f t="array" ref="O927">TRUNC($H927*(1+_xlfn.SWITCH($N927,"BDI 1",$O$6,"BDI 2",$O$7,"BDI 3",$O$8)),2)</f>
        <v>201.46</v>
      </c>
      <c r="P927" s="157" cm="1">
        <f t="array" ref="P927">TRUNC($I927*(1+_xlfn.SWITCH($N927,"BDI 1",$P$6,"BDI 2",$P$7,"BDI 3",$P$8)),2)</f>
        <v>211.64</v>
      </c>
      <c r="Q927" s="157">
        <v>0</v>
      </c>
      <c r="R927" s="157">
        <f t="shared" si="1484"/>
        <v>0</v>
      </c>
      <c r="S927" s="156">
        <f t="shared" si="1485"/>
        <v>0</v>
      </c>
      <c r="T927" s="156">
        <f t="shared" si="1486"/>
        <v>0</v>
      </c>
      <c r="U927" s="156">
        <f t="shared" si="1487"/>
        <v>0</v>
      </c>
      <c r="V927" s="156">
        <f t="shared" si="1488"/>
        <v>0</v>
      </c>
      <c r="W927" s="156">
        <f t="shared" si="1475"/>
        <v>0</v>
      </c>
      <c r="X927" s="158">
        <f t="shared" ref="X927" si="1509">$S927/ORCAMENTO_VALOR_TOTAL_ND</f>
        <v>0</v>
      </c>
      <c r="Y927" s="158">
        <f t="shared" ref="Y927" si="1510">$T927/ORCAMENTO_VALOR_TOTAL_DE</f>
        <v>0</v>
      </c>
      <c r="Z927" s="158" cm="1">
        <f t="array" ref="Z927">_xlfn.SWITCH($N927,"BDI 1",$O$6,"BDI 2",$O$7,"BDI 3",$O$8)</f>
        <v>0.20699999999999999</v>
      </c>
      <c r="AA927" s="158" cm="1">
        <f t="array" ref="AA927">_xlfn.SWITCH($N927,"BDI 1",$P$6,"BDI 2",$P$7,"BDI 3",$P$8)</f>
        <v>0.26739999999999997</v>
      </c>
      <c r="AB927" s="158">
        <f t="shared" ca="1" si="1491"/>
        <v>0</v>
      </c>
      <c r="AC927" s="158">
        <f t="shared" ca="1" si="1492"/>
        <v>0</v>
      </c>
      <c r="AD927" s="164"/>
      <c r="AE927" s="148">
        <f t="shared" si="1478"/>
        <v>0</v>
      </c>
      <c r="AF927" s="149"/>
      <c r="AG927" s="150"/>
      <c r="AH927" s="159" t="e">
        <f t="shared" si="1479"/>
        <v>#DIV/0!</v>
      </c>
      <c r="AI927" s="165" t="s">
        <v>216</v>
      </c>
      <c r="AJ927" s="184"/>
      <c r="AK927" s="183"/>
      <c r="AM927" s="167"/>
      <c r="AN927" s="167"/>
      <c r="AO927" s="167"/>
      <c r="AP927" s="167"/>
      <c r="AQ927" s="167"/>
      <c r="AR927" s="167"/>
    </row>
    <row r="928" spans="1:44" s="49" customFormat="1" ht="40.15" hidden="1" customHeight="1">
      <c r="A928" s="152">
        <f t="shared" ca="1" si="1480"/>
        <v>0</v>
      </c>
      <c r="B928" s="153">
        <v>94995</v>
      </c>
      <c r="C928" s="154" t="str">
        <f t="shared" si="1481"/>
        <v>94995</v>
      </c>
      <c r="D928" s="154" t="s">
        <v>1416</v>
      </c>
      <c r="E928" s="155" t="s">
        <v>3933</v>
      </c>
      <c r="F928" s="154"/>
      <c r="G928" s="154" t="s">
        <v>1418</v>
      </c>
      <c r="H928" s="152">
        <v>98.01</v>
      </c>
      <c r="I928" s="152">
        <v>95.45</v>
      </c>
      <c r="J928" s="156"/>
      <c r="K928" s="156">
        <f>IF(Ponto_Onibus!I44&gt;0,Ponto_Onibus!I38,0)</f>
        <v>0</v>
      </c>
      <c r="L928" s="156">
        <f t="shared" si="1482"/>
        <v>0</v>
      </c>
      <c r="M928" s="156">
        <f t="shared" si="1483"/>
        <v>0</v>
      </c>
      <c r="N928" s="156" t="s">
        <v>83</v>
      </c>
      <c r="O928" s="157" cm="1">
        <f t="array" ref="O928">TRUNC($H928*(1+_xlfn.SWITCH($N928,"BDI 1",$O$6,"BDI 2",$O$7,"BDI 3",$O$8)),2)</f>
        <v>118.29</v>
      </c>
      <c r="P928" s="157" cm="1">
        <f t="array" ref="P928">TRUNC($I928*(1+_xlfn.SWITCH($N928,"BDI 1",$P$6,"BDI 2",$P$7,"BDI 3",$P$8)),2)</f>
        <v>120.97</v>
      </c>
      <c r="Q928" s="157">
        <v>0</v>
      </c>
      <c r="R928" s="157">
        <f t="shared" si="1484"/>
        <v>0</v>
      </c>
      <c r="S928" s="156">
        <f t="shared" si="1485"/>
        <v>0</v>
      </c>
      <c r="T928" s="156">
        <f t="shared" si="1486"/>
        <v>0</v>
      </c>
      <c r="U928" s="156">
        <f t="shared" si="1487"/>
        <v>0</v>
      </c>
      <c r="V928" s="156">
        <f t="shared" si="1488"/>
        <v>0</v>
      </c>
      <c r="W928" s="156">
        <f t="shared" si="1475"/>
        <v>0</v>
      </c>
      <c r="X928" s="158">
        <f t="shared" ref="X928" si="1511">$S928/ORCAMENTO_VALOR_TOTAL_ND</f>
        <v>0</v>
      </c>
      <c r="Y928" s="158">
        <f t="shared" ref="Y928" si="1512">$T928/ORCAMENTO_VALOR_TOTAL_DE</f>
        <v>0</v>
      </c>
      <c r="Z928" s="158" cm="1">
        <f t="array" ref="Z928">_xlfn.SWITCH($N928,"BDI 1",$O$6,"BDI 2",$O$7,"BDI 3",$O$8)</f>
        <v>0.20699999999999999</v>
      </c>
      <c r="AA928" s="158" cm="1">
        <f t="array" ref="AA928">_xlfn.SWITCH($N928,"BDI 1",$P$6,"BDI 2",$P$7,"BDI 3",$P$8)</f>
        <v>0.26739999999999997</v>
      </c>
      <c r="AB928" s="158">
        <f t="shared" ca="1" si="1491"/>
        <v>0</v>
      </c>
      <c r="AC928" s="158">
        <f t="shared" ca="1" si="1492"/>
        <v>0</v>
      </c>
      <c r="AD928" s="164"/>
      <c r="AE928" s="148">
        <f t="shared" si="1478"/>
        <v>0</v>
      </c>
      <c r="AF928" s="149"/>
      <c r="AG928" s="150"/>
      <c r="AH928" s="159" t="e">
        <f t="shared" si="1479"/>
        <v>#DIV/0!</v>
      </c>
      <c r="AI928" s="165" t="s">
        <v>231</v>
      </c>
      <c r="AJ928" s="184">
        <v>0</v>
      </c>
      <c r="AK928" s="183"/>
      <c r="AM928" s="167"/>
      <c r="AN928" s="167"/>
      <c r="AO928" s="167"/>
      <c r="AP928" s="167"/>
      <c r="AQ928" s="167"/>
      <c r="AR928" s="167"/>
    </row>
    <row r="929" spans="1:44" s="49" customFormat="1" ht="40.15" hidden="1" customHeight="1">
      <c r="A929" s="152">
        <f t="shared" ca="1" si="1480"/>
        <v>0</v>
      </c>
      <c r="B929" s="153" t="s">
        <v>340</v>
      </c>
      <c r="C929" s="154" t="str">
        <f t="shared" si="1481"/>
        <v>SC/0015</v>
      </c>
      <c r="D929" s="154" t="s">
        <v>3549</v>
      </c>
      <c r="E929" s="155" t="s">
        <v>3934</v>
      </c>
      <c r="F929" s="154"/>
      <c r="G929" s="154" t="s">
        <v>58</v>
      </c>
      <c r="H929" s="152">
        <v>47.65</v>
      </c>
      <c r="I929" s="152">
        <v>45.88</v>
      </c>
      <c r="J929" s="156"/>
      <c r="K929" s="156">
        <f>+Ponto_Onibus!I45</f>
        <v>0</v>
      </c>
      <c r="L929" s="156">
        <f t="shared" si="1482"/>
        <v>0</v>
      </c>
      <c r="M929" s="156">
        <f t="shared" si="1483"/>
        <v>0</v>
      </c>
      <c r="N929" s="156" t="s">
        <v>83</v>
      </c>
      <c r="O929" s="157" cm="1">
        <f t="array" ref="O929">TRUNC($H929*(1+_xlfn.SWITCH($N929,"BDI 1",$O$6,"BDI 2",$O$7,"BDI 3",$O$8)),2)</f>
        <v>57.51</v>
      </c>
      <c r="P929" s="157" cm="1">
        <f t="array" ref="P929">TRUNC($I929*(1+_xlfn.SWITCH($N929,"BDI 1",$P$6,"BDI 2",$P$7,"BDI 3",$P$8)),2)</f>
        <v>58.14</v>
      </c>
      <c r="Q929" s="157">
        <v>0</v>
      </c>
      <c r="R929" s="157">
        <f t="shared" si="1484"/>
        <v>0</v>
      </c>
      <c r="S929" s="156">
        <f t="shared" si="1485"/>
        <v>0</v>
      </c>
      <c r="T929" s="156">
        <f t="shared" si="1486"/>
        <v>0</v>
      </c>
      <c r="U929" s="156">
        <f t="shared" si="1487"/>
        <v>0</v>
      </c>
      <c r="V929" s="156">
        <f t="shared" si="1488"/>
        <v>0</v>
      </c>
      <c r="W929" s="156">
        <f t="shared" si="1475"/>
        <v>0</v>
      </c>
      <c r="X929" s="158">
        <f t="shared" ref="X929" si="1513">$S929/ORCAMENTO_VALOR_TOTAL_ND</f>
        <v>0</v>
      </c>
      <c r="Y929" s="158">
        <f t="shared" ref="Y929" si="1514">$T929/ORCAMENTO_VALOR_TOTAL_DE</f>
        <v>0</v>
      </c>
      <c r="Z929" s="158" cm="1">
        <f t="array" ref="Z929">_xlfn.SWITCH($N929,"BDI 1",$O$6,"BDI 2",$O$7,"BDI 3",$O$8)</f>
        <v>0.20699999999999999</v>
      </c>
      <c r="AA929" s="158" cm="1">
        <f t="array" ref="AA929">_xlfn.SWITCH($N929,"BDI 1",$P$6,"BDI 2",$P$7,"BDI 3",$P$8)</f>
        <v>0.26739999999999997</v>
      </c>
      <c r="AB929" s="158">
        <f t="shared" ca="1" si="1491"/>
        <v>0</v>
      </c>
      <c r="AC929" s="158">
        <f t="shared" ca="1" si="1492"/>
        <v>0</v>
      </c>
      <c r="AD929" s="164"/>
      <c r="AE929" s="148">
        <f t="shared" si="1478"/>
        <v>0</v>
      </c>
      <c r="AF929" s="149"/>
      <c r="AG929" s="150"/>
      <c r="AH929" s="159" t="e">
        <f t="shared" si="1479"/>
        <v>#DIV/0!</v>
      </c>
      <c r="AI929" s="160"/>
      <c r="AJ929" s="105"/>
      <c r="AK929" s="167"/>
      <c r="AM929" s="167"/>
      <c r="AN929" s="167"/>
      <c r="AO929" s="167"/>
      <c r="AP929" s="167"/>
      <c r="AQ929" s="167"/>
      <c r="AR929" s="167"/>
    </row>
    <row r="930" spans="1:44" s="49" customFormat="1" ht="40.15" hidden="1" customHeight="1">
      <c r="A930" s="152">
        <f t="shared" ca="1" si="1480"/>
        <v>0</v>
      </c>
      <c r="B930" s="153">
        <v>6079</v>
      </c>
      <c r="C930" s="154" t="str">
        <f t="shared" si="1481"/>
        <v>6079</v>
      </c>
      <c r="D930" s="154" t="s">
        <v>3579</v>
      </c>
      <c r="E930" s="155" t="s">
        <v>3679</v>
      </c>
      <c r="F930" s="154"/>
      <c r="G930" s="154" t="s">
        <v>464</v>
      </c>
      <c r="H930" s="152">
        <v>37.35</v>
      </c>
      <c r="I930" s="152">
        <v>37.35</v>
      </c>
      <c r="J930" s="156"/>
      <c r="K930" s="156">
        <f>IF(AI929="COMERCIAL",Ponto_Onibus!I49,0)</f>
        <v>0</v>
      </c>
      <c r="L930" s="156">
        <f t="shared" si="1482"/>
        <v>0</v>
      </c>
      <c r="M930" s="156">
        <f t="shared" si="1483"/>
        <v>0</v>
      </c>
      <c r="N930" s="156" t="s">
        <v>92</v>
      </c>
      <c r="O930" s="157" cm="1">
        <f t="array" ref="O930">TRUNC($H930*(1+_xlfn.SWITCH($N930,"BDI 1",$O$6,"BDI 2",$O$7,"BDI 3",$O$8)),2)</f>
        <v>43.05</v>
      </c>
      <c r="P930" s="157" cm="1">
        <f t="array" ref="P930">TRUNC($I930*(1+_xlfn.SWITCH($N930,"BDI 1",$P$6,"BDI 2",$P$7,"BDI 3",$P$8)),2)</f>
        <v>43.05</v>
      </c>
      <c r="Q930" s="157">
        <v>0</v>
      </c>
      <c r="R930" s="157">
        <f t="shared" si="1484"/>
        <v>0</v>
      </c>
      <c r="S930" s="156">
        <f t="shared" si="1485"/>
        <v>0</v>
      </c>
      <c r="T930" s="156">
        <f t="shared" si="1486"/>
        <v>0</v>
      </c>
      <c r="U930" s="156">
        <f t="shared" si="1487"/>
        <v>0</v>
      </c>
      <c r="V930" s="156">
        <f t="shared" si="1488"/>
        <v>0</v>
      </c>
      <c r="W930" s="156">
        <f t="shared" si="1475"/>
        <v>0</v>
      </c>
      <c r="X930" s="158">
        <f t="shared" ref="X930" si="1515">$S930/ORCAMENTO_VALOR_TOTAL_ND</f>
        <v>0</v>
      </c>
      <c r="Y930" s="158">
        <f t="shared" ref="Y930" si="1516">$T930/ORCAMENTO_VALOR_TOTAL_DE</f>
        <v>0</v>
      </c>
      <c r="Z930" s="158" cm="1">
        <f t="array" ref="Z930">_xlfn.SWITCH($N930,"BDI 1",$O$6,"BDI 2",$O$7,"BDI 3",$O$8)</f>
        <v>0.1527</v>
      </c>
      <c r="AA930" s="158" cm="1">
        <f t="array" ref="AA930">_xlfn.SWITCH($N930,"BDI 1",$P$6,"BDI 2",$P$7,"BDI 3",$P$8)</f>
        <v>0.1527</v>
      </c>
      <c r="AB930" s="158">
        <f t="shared" ca="1" si="1491"/>
        <v>0</v>
      </c>
      <c r="AC930" s="158">
        <f t="shared" ca="1" si="1492"/>
        <v>0</v>
      </c>
      <c r="AD930" s="164"/>
      <c r="AE930" s="148">
        <f t="shared" si="1478"/>
        <v>0</v>
      </c>
      <c r="AF930" s="149"/>
      <c r="AG930" s="150"/>
      <c r="AH930" s="159" t="e">
        <f t="shared" si="1479"/>
        <v>#DIV/0!</v>
      </c>
      <c r="AI930" s="165" t="s">
        <v>232</v>
      </c>
      <c r="AJ930" s="105"/>
      <c r="AK930" s="167"/>
      <c r="AM930" s="167"/>
      <c r="AN930" s="167"/>
      <c r="AO930" s="167"/>
      <c r="AP930" s="167"/>
      <c r="AQ930" s="167"/>
      <c r="AR930" s="167"/>
    </row>
    <row r="931" spans="1:44" s="49" customFormat="1" ht="40.15" hidden="1" customHeight="1">
      <c r="A931" s="152">
        <f t="shared" ca="1" si="1480"/>
        <v>0</v>
      </c>
      <c r="B931" s="153">
        <v>4748</v>
      </c>
      <c r="C931" s="154" t="str">
        <f t="shared" si="1481"/>
        <v>4748</v>
      </c>
      <c r="D931" s="154" t="s">
        <v>3579</v>
      </c>
      <c r="E931" s="155" t="s">
        <v>3868</v>
      </c>
      <c r="F931" s="154"/>
      <c r="G931" s="154" t="s">
        <v>464</v>
      </c>
      <c r="H931" s="152">
        <v>88.63</v>
      </c>
      <c r="I931" s="152">
        <v>88.63</v>
      </c>
      <c r="J931" s="156"/>
      <c r="K931" s="156">
        <f>+Ponto_Onibus!I27</f>
        <v>0</v>
      </c>
      <c r="L931" s="156">
        <f t="shared" si="1482"/>
        <v>0</v>
      </c>
      <c r="M931" s="156">
        <f t="shared" si="1483"/>
        <v>0</v>
      </c>
      <c r="N931" s="156" t="s">
        <v>92</v>
      </c>
      <c r="O931" s="157" cm="1">
        <f t="array" ref="O931">TRUNC($H931*(1+_xlfn.SWITCH($N931,"BDI 1",$O$6,"BDI 2",$O$7,"BDI 3",$O$8)),2)</f>
        <v>102.16</v>
      </c>
      <c r="P931" s="157" cm="1">
        <f t="array" ref="P931">TRUNC($I931*(1+_xlfn.SWITCH($N931,"BDI 1",$P$6,"BDI 2",$P$7,"BDI 3",$P$8)),2)</f>
        <v>102.16</v>
      </c>
      <c r="Q931" s="157">
        <v>0</v>
      </c>
      <c r="R931" s="157">
        <f t="shared" si="1484"/>
        <v>0</v>
      </c>
      <c r="S931" s="156">
        <f t="shared" si="1485"/>
        <v>0</v>
      </c>
      <c r="T931" s="156">
        <f t="shared" si="1486"/>
        <v>0</v>
      </c>
      <c r="U931" s="156">
        <f t="shared" si="1487"/>
        <v>0</v>
      </c>
      <c r="V931" s="156">
        <f t="shared" si="1488"/>
        <v>0</v>
      </c>
      <c r="W931" s="156">
        <f t="shared" si="1475"/>
        <v>0</v>
      </c>
      <c r="X931" s="158">
        <f t="shared" ref="X931" si="1517">$S931/ORCAMENTO_VALOR_TOTAL_ND</f>
        <v>0</v>
      </c>
      <c r="Y931" s="158">
        <f t="shared" ref="Y931" si="1518">$T931/ORCAMENTO_VALOR_TOTAL_DE</f>
        <v>0</v>
      </c>
      <c r="Z931" s="158" cm="1">
        <f t="array" ref="Z931">_xlfn.SWITCH($N931,"BDI 1",$O$6,"BDI 2",$O$7,"BDI 3",$O$8)</f>
        <v>0.1527</v>
      </c>
      <c r="AA931" s="158" cm="1">
        <f t="array" ref="AA931">_xlfn.SWITCH($N931,"BDI 1",$P$6,"BDI 2",$P$7,"BDI 3",$P$8)</f>
        <v>0.1527</v>
      </c>
      <c r="AB931" s="158">
        <f t="shared" ca="1" si="1491"/>
        <v>0</v>
      </c>
      <c r="AC931" s="158">
        <f t="shared" ca="1" si="1492"/>
        <v>0</v>
      </c>
      <c r="AD931" s="164"/>
      <c r="AE931" s="148">
        <f t="shared" si="1478"/>
        <v>0</v>
      </c>
      <c r="AF931" s="149"/>
      <c r="AG931" s="150"/>
      <c r="AH931" s="159" t="e">
        <f t="shared" si="1479"/>
        <v>#DIV/0!</v>
      </c>
      <c r="AI931" s="160"/>
      <c r="AJ931" s="105"/>
      <c r="AK931" s="105"/>
      <c r="AM931" s="105"/>
      <c r="AN931" s="105"/>
      <c r="AO931" s="105"/>
      <c r="AP931" s="105"/>
      <c r="AQ931" s="105"/>
      <c r="AR931" s="105"/>
    </row>
    <row r="932" spans="1:44" s="49" customFormat="1" ht="40.15" hidden="1" customHeight="1">
      <c r="A932" s="152">
        <f t="shared" ca="1" si="1480"/>
        <v>0</v>
      </c>
      <c r="B932" s="153">
        <v>4729</v>
      </c>
      <c r="C932" s="154" t="str">
        <f t="shared" si="1481"/>
        <v>4729</v>
      </c>
      <c r="D932" s="154" t="s">
        <v>3579</v>
      </c>
      <c r="E932" s="155" t="s">
        <v>3869</v>
      </c>
      <c r="F932" s="154"/>
      <c r="G932" s="154" t="s">
        <v>464</v>
      </c>
      <c r="H932" s="152">
        <v>96.69</v>
      </c>
      <c r="I932" s="152">
        <v>96.69</v>
      </c>
      <c r="J932" s="156"/>
      <c r="K932" s="156">
        <f>+Ponto_Onibus!I28</f>
        <v>0</v>
      </c>
      <c r="L932" s="156">
        <f t="shared" si="1482"/>
        <v>0</v>
      </c>
      <c r="M932" s="156">
        <f t="shared" si="1483"/>
        <v>0</v>
      </c>
      <c r="N932" s="156" t="s">
        <v>92</v>
      </c>
      <c r="O932" s="157" cm="1">
        <f t="array" ref="O932">TRUNC($H932*(1+_xlfn.SWITCH($N932,"BDI 1",$O$6,"BDI 2",$O$7,"BDI 3",$O$8)),2)</f>
        <v>111.45</v>
      </c>
      <c r="P932" s="157" cm="1">
        <f t="array" ref="P932">TRUNC($I932*(1+_xlfn.SWITCH($N932,"BDI 1",$P$6,"BDI 2",$P$7,"BDI 3",$P$8)),2)</f>
        <v>111.45</v>
      </c>
      <c r="Q932" s="157">
        <v>0</v>
      </c>
      <c r="R932" s="157">
        <f t="shared" si="1484"/>
        <v>0</v>
      </c>
      <c r="S932" s="156">
        <f t="shared" si="1485"/>
        <v>0</v>
      </c>
      <c r="T932" s="156">
        <f t="shared" si="1486"/>
        <v>0</v>
      </c>
      <c r="U932" s="156">
        <f t="shared" si="1487"/>
        <v>0</v>
      </c>
      <c r="V932" s="156">
        <f t="shared" si="1488"/>
        <v>0</v>
      </c>
      <c r="W932" s="156">
        <f t="shared" si="1475"/>
        <v>0</v>
      </c>
      <c r="X932" s="158">
        <f t="shared" ref="X932" si="1519">$S932/ORCAMENTO_VALOR_TOTAL_ND</f>
        <v>0</v>
      </c>
      <c r="Y932" s="158">
        <f t="shared" ref="Y932" si="1520">$T932/ORCAMENTO_VALOR_TOTAL_DE</f>
        <v>0</v>
      </c>
      <c r="Z932" s="158" cm="1">
        <f t="array" ref="Z932">_xlfn.SWITCH($N932,"BDI 1",$O$6,"BDI 2",$O$7,"BDI 3",$O$8)</f>
        <v>0.1527</v>
      </c>
      <c r="AA932" s="158" cm="1">
        <f t="array" ref="AA932">_xlfn.SWITCH($N932,"BDI 1",$P$6,"BDI 2",$P$7,"BDI 3",$P$8)</f>
        <v>0.1527</v>
      </c>
      <c r="AB932" s="158">
        <f t="shared" ca="1" si="1491"/>
        <v>0</v>
      </c>
      <c r="AC932" s="158">
        <f t="shared" ca="1" si="1492"/>
        <v>0</v>
      </c>
      <c r="AD932" s="164"/>
      <c r="AE932" s="148">
        <f t="shared" si="1478"/>
        <v>0</v>
      </c>
      <c r="AF932" s="149"/>
      <c r="AG932" s="150"/>
      <c r="AH932" s="159" t="e">
        <f t="shared" si="1479"/>
        <v>#DIV/0!</v>
      </c>
      <c r="AI932" s="160"/>
      <c r="AJ932" s="105"/>
      <c r="AK932" s="105"/>
      <c r="AM932" s="105"/>
      <c r="AN932" s="105"/>
      <c r="AO932" s="105"/>
      <c r="AP932" s="105"/>
      <c r="AQ932" s="105"/>
      <c r="AR932" s="105"/>
    </row>
    <row r="933" spans="1:44" s="49" customFormat="1" ht="49.9" hidden="1" customHeight="1">
      <c r="A933" s="152">
        <f t="shared" ca="1" si="1480"/>
        <v>0</v>
      </c>
      <c r="B933" s="153">
        <v>100978</v>
      </c>
      <c r="C933" s="154" t="str">
        <f t="shared" si="1481"/>
        <v>100978</v>
      </c>
      <c r="D933" s="154" t="s">
        <v>1416</v>
      </c>
      <c r="E933" s="155" t="s">
        <v>3810</v>
      </c>
      <c r="F933" s="154"/>
      <c r="G933" s="154" t="s">
        <v>464</v>
      </c>
      <c r="H933" s="152">
        <v>6.64</v>
      </c>
      <c r="I933" s="152">
        <v>6.55</v>
      </c>
      <c r="J933" s="156"/>
      <c r="K933" s="156">
        <f>Ponto_Onibus!I36+IF(Ponto_Onibus!I37&lt;=50,Ponto_Onibus!I37,0)</f>
        <v>0</v>
      </c>
      <c r="L933" s="156">
        <f t="shared" si="1482"/>
        <v>0</v>
      </c>
      <c r="M933" s="156">
        <f t="shared" si="1483"/>
        <v>0</v>
      </c>
      <c r="N933" s="156" t="s">
        <v>83</v>
      </c>
      <c r="O933" s="157" cm="1">
        <f t="array" ref="O933">TRUNC($H933*(1+_xlfn.SWITCH($N933,"BDI 1",$O$6,"BDI 2",$O$7,"BDI 3",$O$8)),2)</f>
        <v>8.01</v>
      </c>
      <c r="P933" s="157" cm="1">
        <f t="array" ref="P933">TRUNC($I933*(1+_xlfn.SWITCH($N933,"BDI 1",$P$6,"BDI 2",$P$7,"BDI 3",$P$8)),2)</f>
        <v>8.3000000000000007</v>
      </c>
      <c r="Q933" s="157">
        <v>0</v>
      </c>
      <c r="R933" s="157">
        <f t="shared" si="1484"/>
        <v>0</v>
      </c>
      <c r="S933" s="156">
        <f t="shared" si="1485"/>
        <v>0</v>
      </c>
      <c r="T933" s="156">
        <f t="shared" si="1486"/>
        <v>0</v>
      </c>
      <c r="U933" s="156">
        <f t="shared" si="1487"/>
        <v>0</v>
      </c>
      <c r="V933" s="156">
        <f t="shared" si="1488"/>
        <v>0</v>
      </c>
      <c r="W933" s="156">
        <f t="shared" si="1475"/>
        <v>0</v>
      </c>
      <c r="X933" s="158">
        <f t="shared" ref="X933" si="1521">$S933/ORCAMENTO_VALOR_TOTAL_ND</f>
        <v>0</v>
      </c>
      <c r="Y933" s="158">
        <f t="shared" ref="Y933" si="1522">$T933/ORCAMENTO_VALOR_TOTAL_DE</f>
        <v>0</v>
      </c>
      <c r="Z933" s="158" cm="1">
        <f t="array" ref="Z933">_xlfn.SWITCH($N933,"BDI 1",$O$6,"BDI 2",$O$7,"BDI 3",$O$8)</f>
        <v>0.20699999999999999</v>
      </c>
      <c r="AA933" s="158" cm="1">
        <f t="array" ref="AA933">_xlfn.SWITCH($N933,"BDI 1",$P$6,"BDI 2",$P$7,"BDI 3",$P$8)</f>
        <v>0.26739999999999997</v>
      </c>
      <c r="AB933" s="158">
        <f t="shared" ca="1" si="1491"/>
        <v>0</v>
      </c>
      <c r="AC933" s="158">
        <f t="shared" ca="1" si="1492"/>
        <v>0</v>
      </c>
      <c r="AD933" s="164"/>
      <c r="AE933" s="148">
        <f t="shared" si="1478"/>
        <v>0</v>
      </c>
      <c r="AF933" s="149"/>
      <c r="AG933" s="150"/>
      <c r="AH933" s="159" t="e">
        <f t="shared" si="1479"/>
        <v>#DIV/0!</v>
      </c>
      <c r="AI933" s="160"/>
      <c r="AJ933" s="105"/>
      <c r="AK933" s="105"/>
      <c r="AM933" s="105"/>
      <c r="AN933" s="105"/>
      <c r="AO933" s="105"/>
      <c r="AP933" s="105"/>
      <c r="AQ933" s="105"/>
      <c r="AR933" s="105"/>
    </row>
    <row r="934" spans="1:44" s="49" customFormat="1" ht="49.9" hidden="1" customHeight="1">
      <c r="A934" s="152">
        <f t="shared" ca="1" si="1480"/>
        <v>0</v>
      </c>
      <c r="B934" s="153">
        <v>100979</v>
      </c>
      <c r="C934" s="154" t="str">
        <f t="shared" si="1481"/>
        <v>100979</v>
      </c>
      <c r="D934" s="154" t="s">
        <v>1416</v>
      </c>
      <c r="E934" s="155" t="s">
        <v>1420</v>
      </c>
      <c r="F934" s="154"/>
      <c r="G934" s="154" t="s">
        <v>464</v>
      </c>
      <c r="H934" s="152">
        <v>6.4</v>
      </c>
      <c r="I934" s="152">
        <v>6.4</v>
      </c>
      <c r="J934" s="156"/>
      <c r="K934" s="156">
        <f>IF(Ponto_Onibus!I37&gt;50,Ponto_Onibus!I37,0)</f>
        <v>0</v>
      </c>
      <c r="L934" s="156">
        <f t="shared" si="1482"/>
        <v>0</v>
      </c>
      <c r="M934" s="156">
        <f t="shared" si="1483"/>
        <v>0</v>
      </c>
      <c r="N934" s="156" t="s">
        <v>83</v>
      </c>
      <c r="O934" s="157" cm="1">
        <f t="array" ref="O934">TRUNC($H934*(1+_xlfn.SWITCH($N934,"BDI 1",$O$6,"BDI 2",$O$7,"BDI 3",$O$8)),2)</f>
        <v>7.72</v>
      </c>
      <c r="P934" s="157" cm="1">
        <f t="array" ref="P934">TRUNC($I934*(1+_xlfn.SWITCH($N934,"BDI 1",$P$6,"BDI 2",$P$7,"BDI 3",$P$8)),2)</f>
        <v>8.11</v>
      </c>
      <c r="Q934" s="157">
        <v>0</v>
      </c>
      <c r="R934" s="157">
        <f t="shared" si="1484"/>
        <v>0</v>
      </c>
      <c r="S934" s="156">
        <f t="shared" si="1485"/>
        <v>0</v>
      </c>
      <c r="T934" s="156">
        <f t="shared" si="1486"/>
        <v>0</v>
      </c>
      <c r="U934" s="156">
        <f t="shared" si="1487"/>
        <v>0</v>
      </c>
      <c r="V934" s="156">
        <f t="shared" si="1488"/>
        <v>0</v>
      </c>
      <c r="W934" s="156">
        <f t="shared" si="1475"/>
        <v>0</v>
      </c>
      <c r="X934" s="158">
        <f t="shared" ref="X934" si="1523">$S934/ORCAMENTO_VALOR_TOTAL_ND</f>
        <v>0</v>
      </c>
      <c r="Y934" s="158">
        <f t="shared" ref="Y934" si="1524">$T934/ORCAMENTO_VALOR_TOTAL_DE</f>
        <v>0</v>
      </c>
      <c r="Z934" s="158" cm="1">
        <f t="array" ref="Z934">_xlfn.SWITCH($N934,"BDI 1",$O$6,"BDI 2",$O$7,"BDI 3",$O$8)</f>
        <v>0.20699999999999999</v>
      </c>
      <c r="AA934" s="158" cm="1">
        <f t="array" ref="AA934">_xlfn.SWITCH($N934,"BDI 1",$P$6,"BDI 2",$P$7,"BDI 3",$P$8)</f>
        <v>0.26739999999999997</v>
      </c>
      <c r="AB934" s="158">
        <f t="shared" ca="1" si="1491"/>
        <v>0</v>
      </c>
      <c r="AC934" s="158">
        <f t="shared" ca="1" si="1492"/>
        <v>0</v>
      </c>
      <c r="AD934" s="164"/>
      <c r="AE934" s="148">
        <f t="shared" si="1478"/>
        <v>0</v>
      </c>
      <c r="AF934" s="149"/>
      <c r="AG934" s="150"/>
      <c r="AH934" s="159" t="e">
        <f t="shared" si="1479"/>
        <v>#DIV/0!</v>
      </c>
      <c r="AI934" s="160"/>
      <c r="AJ934" s="105"/>
      <c r="AK934" s="105"/>
      <c r="AM934" s="105"/>
      <c r="AN934" s="105"/>
      <c r="AO934" s="105"/>
      <c r="AP934" s="105"/>
      <c r="AQ934" s="105"/>
      <c r="AR934" s="105"/>
    </row>
    <row r="935" spans="1:44" s="49" customFormat="1" ht="40.15" hidden="1" customHeight="1">
      <c r="A935" s="10">
        <f t="shared" ca="1" si="1480"/>
        <v>0</v>
      </c>
      <c r="B935" s="153"/>
      <c r="C935" s="154"/>
      <c r="D935" s="154"/>
      <c r="E935" s="161" t="s">
        <v>292</v>
      </c>
      <c r="F935" s="154"/>
      <c r="G935" s="154"/>
      <c r="H935" s="152"/>
      <c r="I935" s="152"/>
      <c r="J935" s="154"/>
      <c r="K935" s="154"/>
      <c r="L935" s="154"/>
      <c r="M935" s="154"/>
      <c r="N935" s="154"/>
      <c r="O935" s="154"/>
      <c r="P935" s="154"/>
      <c r="Q935" s="154"/>
      <c r="R935" s="154"/>
      <c r="S935" s="162"/>
      <c r="T935" s="162"/>
      <c r="U935" s="162"/>
      <c r="V935" s="162"/>
      <c r="W935" s="162"/>
      <c r="X935" s="163"/>
      <c r="Y935" s="163"/>
      <c r="Z935" s="163"/>
      <c r="AA935" s="163"/>
      <c r="AB935" s="163"/>
      <c r="AC935" s="163"/>
      <c r="AD935" s="164"/>
      <c r="AE935" s="148">
        <f>IF(SUM(S936:S937)&gt;0,IFERROR(TRUNC(A935,0),0),0)</f>
        <v>0</v>
      </c>
      <c r="AF935" s="149"/>
      <c r="AG935" s="150"/>
      <c r="AH935" s="159" t="e">
        <f t="shared" si="1479"/>
        <v>#DIV/0!</v>
      </c>
      <c r="AI935" s="160"/>
      <c r="AJ935" s="105"/>
      <c r="AK935" s="105"/>
      <c r="AM935" s="105"/>
      <c r="AN935" s="105"/>
      <c r="AO935" s="105"/>
      <c r="AP935" s="105"/>
      <c r="AQ935" s="105"/>
      <c r="AR935" s="105"/>
    </row>
    <row r="936" spans="1:44" s="49" customFormat="1" ht="40.15" hidden="1" customHeight="1">
      <c r="A936" s="152">
        <f t="shared" ca="1" si="1480"/>
        <v>0</v>
      </c>
      <c r="B936" s="153">
        <v>95879</v>
      </c>
      <c r="C936" s="154" t="str">
        <f>TEXT(B936,"0")</f>
        <v>95879</v>
      </c>
      <c r="D936" s="154" t="s">
        <v>1416</v>
      </c>
      <c r="E936" s="155" t="s">
        <v>3535</v>
      </c>
      <c r="F936" s="154">
        <f>IF(Dados_DMT!B17&lt;30,Dados_DMT!B17,30)</f>
        <v>3.5</v>
      </c>
      <c r="G936" s="154" t="s">
        <v>3534</v>
      </c>
      <c r="H936" s="152">
        <v>1.41</v>
      </c>
      <c r="I936" s="152">
        <v>1.42</v>
      </c>
      <c r="J936" s="156"/>
      <c r="K936" s="156">
        <f>ROUND(Ponto_Onibus!I46*F936,2)</f>
        <v>0</v>
      </c>
      <c r="L936" s="156">
        <f>IF($K936&gt;$J936,$K936-$J936,0)</f>
        <v>0</v>
      </c>
      <c r="M936" s="156">
        <f>IF($K936&lt;$J936,$J936-$K936,0)</f>
        <v>0</v>
      </c>
      <c r="N936" s="156" t="s">
        <v>83</v>
      </c>
      <c r="O936" s="157" cm="1">
        <f t="array" ref="O936">TRUNC($H936*(1+_xlfn.SWITCH($N936,"BDI 1",$O$6,"BDI 2",$O$7,"BDI 3",$O$8)),2)</f>
        <v>1.7</v>
      </c>
      <c r="P936" s="157" cm="1">
        <f t="array" ref="P936">TRUNC($I936*(1+_xlfn.SWITCH($N936,"BDI 1",$P$6,"BDI 2",$P$7,"BDI 3",$P$8)),2)</f>
        <v>1.79</v>
      </c>
      <c r="Q936" s="157">
        <v>0</v>
      </c>
      <c r="R936" s="157">
        <f>$Q936-($Q936*LICITACAO_DESCONTO)</f>
        <v>0</v>
      </c>
      <c r="S936" s="156">
        <f>TRUNC($K936*$O936,2)</f>
        <v>0</v>
      </c>
      <c r="T936" s="156">
        <f>TRUNC($K936*$P936,2)</f>
        <v>0</v>
      </c>
      <c r="U936" s="156">
        <f>TRUNC($J936*$R936,2)</f>
        <v>0</v>
      </c>
      <c r="V936" s="156">
        <f>TRUNC($K936*$Q936,2)</f>
        <v>0</v>
      </c>
      <c r="W936" s="156">
        <f>TRUNC(V936-U936,2)</f>
        <v>0</v>
      </c>
      <c r="X936" s="158">
        <f>$S936/ORCAMENTO_VALOR_TOTAL_ND</f>
        <v>0</v>
      </c>
      <c r="Y936" s="158">
        <f>$T936/ORCAMENTO_VALOR_TOTAL_DE</f>
        <v>0</v>
      </c>
      <c r="Z936" s="158" cm="1">
        <f t="array" ref="Z936">_xlfn.SWITCH($N936,"BDI 1",$O$6,"BDI 2",$O$7,"BDI 3",$O$8)</f>
        <v>0.20699999999999999</v>
      </c>
      <c r="AA936" s="158" cm="1">
        <f t="array" ref="AA936">_xlfn.SWITCH($N936,"BDI 1",$P$6,"BDI 2",$P$7,"BDI 3",$P$8)</f>
        <v>0.26739999999999997</v>
      </c>
      <c r="AB936" s="158">
        <f ca="1">IFERROR($S936/_xlfn.XLOOKUP($AE936,$B$16:$B$38,$S$16:$S$38),0)</f>
        <v>0</v>
      </c>
      <c r="AC936" s="158">
        <f ca="1">IFERROR($T936/_xlfn.XLOOKUP($AE936,$B$16:$B$38,$T$16:$T$38),0)</f>
        <v>0</v>
      </c>
      <c r="AD936" s="164"/>
      <c r="AE936" s="148">
        <f t="shared" ref="AE936:AE937" si="1525">IF(S936&gt;0,IFERROR(TRUNC(A936,0),0),0)</f>
        <v>0</v>
      </c>
      <c r="AF936" s="149"/>
      <c r="AG936" s="150"/>
      <c r="AH936" s="159" t="e">
        <f t="shared" si="1479"/>
        <v>#DIV/0!</v>
      </c>
      <c r="AI936" s="160"/>
      <c r="AJ936" s="105"/>
      <c r="AK936" s="105"/>
      <c r="AM936" s="105"/>
      <c r="AN936" s="105"/>
      <c r="AO936" s="105"/>
      <c r="AP936" s="105"/>
      <c r="AQ936" s="105"/>
      <c r="AR936" s="105"/>
    </row>
    <row r="937" spans="1:44" s="49" customFormat="1" ht="40.15" hidden="1" customHeight="1">
      <c r="A937" s="152">
        <f t="shared" ca="1" si="1480"/>
        <v>0</v>
      </c>
      <c r="B937" s="153">
        <v>93599</v>
      </c>
      <c r="C937" s="154" t="str">
        <f>TEXT(B937,"0")</f>
        <v>93599</v>
      </c>
      <c r="D937" s="154" t="s">
        <v>1416</v>
      </c>
      <c r="E937" s="155" t="s">
        <v>3533</v>
      </c>
      <c r="F937" s="154">
        <f>Dados_DMT!B17-F936</f>
        <v>0</v>
      </c>
      <c r="G937" s="154" t="s">
        <v>3534</v>
      </c>
      <c r="H937" s="152">
        <v>0.56000000000000005</v>
      </c>
      <c r="I937" s="152">
        <v>0.56000000000000005</v>
      </c>
      <c r="J937" s="156"/>
      <c r="K937" s="156">
        <f>ROUND(Ponto_Onibus!I46*F937,2)</f>
        <v>0</v>
      </c>
      <c r="L937" s="156">
        <f>IF($K937&gt;$J937,$K937-$J937,0)</f>
        <v>0</v>
      </c>
      <c r="M937" s="156">
        <f>IF($K937&lt;$J937,$J937-$K937,0)</f>
        <v>0</v>
      </c>
      <c r="N937" s="156" t="s">
        <v>83</v>
      </c>
      <c r="O937" s="157" cm="1">
        <f t="array" ref="O937">TRUNC($H937*(1+_xlfn.SWITCH($N937,"BDI 1",$O$6,"BDI 2",$O$7,"BDI 3",$O$8)),2)</f>
        <v>0.67</v>
      </c>
      <c r="P937" s="157" cm="1">
        <f t="array" ref="P937">TRUNC($I937*(1+_xlfn.SWITCH($N937,"BDI 1",$P$6,"BDI 2",$P$7,"BDI 3",$P$8)),2)</f>
        <v>0.7</v>
      </c>
      <c r="Q937" s="157">
        <v>0</v>
      </c>
      <c r="R937" s="157">
        <f>$Q937-($Q937*LICITACAO_DESCONTO)</f>
        <v>0</v>
      </c>
      <c r="S937" s="156">
        <f>TRUNC($K937*$O937,2)</f>
        <v>0</v>
      </c>
      <c r="T937" s="156">
        <f>TRUNC($K937*$P937,2)</f>
        <v>0</v>
      </c>
      <c r="U937" s="156">
        <f>TRUNC($J937*$R937,2)</f>
        <v>0</v>
      </c>
      <c r="V937" s="156">
        <f>TRUNC($K937*$Q937,2)</f>
        <v>0</v>
      </c>
      <c r="W937" s="156">
        <f>TRUNC(V937-U937,2)</f>
        <v>0</v>
      </c>
      <c r="X937" s="158">
        <f>$S937/ORCAMENTO_VALOR_TOTAL_ND</f>
        <v>0</v>
      </c>
      <c r="Y937" s="158">
        <f>$T937/ORCAMENTO_VALOR_TOTAL_DE</f>
        <v>0</v>
      </c>
      <c r="Z937" s="158" cm="1">
        <f t="array" ref="Z937">_xlfn.SWITCH($N937,"BDI 1",$O$6,"BDI 2",$O$7,"BDI 3",$O$8)</f>
        <v>0.20699999999999999</v>
      </c>
      <c r="AA937" s="158" cm="1">
        <f t="array" ref="AA937">_xlfn.SWITCH($N937,"BDI 1",$P$6,"BDI 2",$P$7,"BDI 3",$P$8)</f>
        <v>0.26739999999999997</v>
      </c>
      <c r="AB937" s="158">
        <f ca="1">IFERROR($S937/_xlfn.XLOOKUP($AE937,$B$16:$B$38,$S$16:$S$38),0)</f>
        <v>0</v>
      </c>
      <c r="AC937" s="158">
        <f ca="1">IFERROR($T937/_xlfn.XLOOKUP($AE937,$B$16:$B$38,$T$16:$T$38),0)</f>
        <v>0</v>
      </c>
      <c r="AD937" s="164"/>
      <c r="AE937" s="148">
        <f t="shared" si="1525"/>
        <v>0</v>
      </c>
      <c r="AF937" s="149"/>
      <c r="AG937" s="150"/>
      <c r="AH937" s="159" t="e">
        <f t="shared" si="1479"/>
        <v>#DIV/0!</v>
      </c>
      <c r="AI937" s="160"/>
      <c r="AJ937" s="105"/>
      <c r="AK937" s="105"/>
      <c r="AM937" s="105"/>
      <c r="AN937" s="105"/>
      <c r="AO937" s="105"/>
      <c r="AP937" s="105"/>
      <c r="AQ937" s="105"/>
      <c r="AR937" s="105"/>
    </row>
    <row r="938" spans="1:44" s="49" customFormat="1" ht="40.15" hidden="1" customHeight="1">
      <c r="A938" s="10">
        <f t="shared" ca="1" si="1480"/>
        <v>0</v>
      </c>
      <c r="B938" s="153"/>
      <c r="C938" s="154"/>
      <c r="D938" s="154"/>
      <c r="E938" s="161" t="s">
        <v>137</v>
      </c>
      <c r="F938" s="154"/>
      <c r="G938" s="154"/>
      <c r="H938" s="152"/>
      <c r="I938" s="152"/>
      <c r="J938" s="154"/>
      <c r="K938" s="154"/>
      <c r="L938" s="154"/>
      <c r="M938" s="154"/>
      <c r="N938" s="154"/>
      <c r="O938" s="154"/>
      <c r="P938" s="154"/>
      <c r="Q938" s="154"/>
      <c r="R938" s="154"/>
      <c r="S938" s="162"/>
      <c r="T938" s="162"/>
      <c r="U938" s="162"/>
      <c r="V938" s="162"/>
      <c r="W938" s="162"/>
      <c r="X938" s="163"/>
      <c r="Y938" s="163"/>
      <c r="Z938" s="163"/>
      <c r="AA938" s="163"/>
      <c r="AB938" s="163"/>
      <c r="AC938" s="163"/>
      <c r="AD938" s="164"/>
      <c r="AE938" s="148">
        <f>IF(SUM(S939:S940)&gt;0,IFERROR(TRUNC(A938,0),0),0)</f>
        <v>0</v>
      </c>
      <c r="AF938" s="149"/>
      <c r="AG938" s="150"/>
      <c r="AH938" s="159" t="e">
        <f t="shared" si="1479"/>
        <v>#DIV/0!</v>
      </c>
      <c r="AI938" s="160"/>
      <c r="AJ938" s="105"/>
      <c r="AK938" s="105"/>
      <c r="AM938" s="105"/>
      <c r="AN938" s="105"/>
      <c r="AO938" s="105"/>
      <c r="AP938" s="105"/>
      <c r="AQ938" s="105"/>
      <c r="AR938" s="105"/>
    </row>
    <row r="939" spans="1:44" s="49" customFormat="1" ht="40.15" hidden="1" customHeight="1">
      <c r="A939" s="152">
        <f t="shared" ca="1" si="1480"/>
        <v>0</v>
      </c>
      <c r="B939" s="153">
        <v>95876</v>
      </c>
      <c r="C939" s="154" t="str">
        <f>TEXT(B939,"0")</f>
        <v>95876</v>
      </c>
      <c r="D939" s="154" t="s">
        <v>1416</v>
      </c>
      <c r="E939" s="155" t="s">
        <v>3537</v>
      </c>
      <c r="F939" s="154">
        <f>IF(Dados_DMT!B17&lt;30,Dados_DMT!B17,30)</f>
        <v>3.5</v>
      </c>
      <c r="G939" s="154" t="s">
        <v>3538</v>
      </c>
      <c r="H939" s="152">
        <v>2.09</v>
      </c>
      <c r="I939" s="152">
        <v>2.1</v>
      </c>
      <c r="J939" s="156"/>
      <c r="K939" s="156">
        <f>ROUND(Ponto_Onibus!I47*F939,2)</f>
        <v>0</v>
      </c>
      <c r="L939" s="156">
        <f>IF($K939&gt;$J939,$K939-$J939,0)</f>
        <v>0</v>
      </c>
      <c r="M939" s="156">
        <f>IF($K939&lt;$J939,$J939-$K939,0)</f>
        <v>0</v>
      </c>
      <c r="N939" s="156" t="s">
        <v>83</v>
      </c>
      <c r="O939" s="157" cm="1">
        <f t="array" ref="O939">TRUNC($H939*(1+_xlfn.SWITCH($N939,"BDI 1",$O$6,"BDI 2",$O$7,"BDI 3",$O$8)),2)</f>
        <v>2.52</v>
      </c>
      <c r="P939" s="157" cm="1">
        <f t="array" ref="P939">TRUNC($I939*(1+_xlfn.SWITCH($N939,"BDI 1",$P$6,"BDI 2",$P$7,"BDI 3",$P$8)),2)</f>
        <v>2.66</v>
      </c>
      <c r="Q939" s="157">
        <v>0</v>
      </c>
      <c r="R939" s="157">
        <f>$Q939-($Q939*LICITACAO_DESCONTO)</f>
        <v>0</v>
      </c>
      <c r="S939" s="156">
        <f>TRUNC($K939*$O939,2)</f>
        <v>0</v>
      </c>
      <c r="T939" s="156">
        <f>TRUNC($K939*$P939,2)</f>
        <v>0</v>
      </c>
      <c r="U939" s="156">
        <f>TRUNC($J939*$R939,2)</f>
        <v>0</v>
      </c>
      <c r="V939" s="156">
        <f>TRUNC($K939*$Q939,2)</f>
        <v>0</v>
      </c>
      <c r="W939" s="156">
        <f>TRUNC(V939-U939,2)</f>
        <v>0</v>
      </c>
      <c r="X939" s="158">
        <f>$S939/ORCAMENTO_VALOR_TOTAL_ND</f>
        <v>0</v>
      </c>
      <c r="Y939" s="158">
        <f>$T939/ORCAMENTO_VALOR_TOTAL_DE</f>
        <v>0</v>
      </c>
      <c r="Z939" s="158" cm="1">
        <f t="array" ref="Z939">_xlfn.SWITCH($N939,"BDI 1",$O$6,"BDI 2",$O$7,"BDI 3",$O$8)</f>
        <v>0.20699999999999999</v>
      </c>
      <c r="AA939" s="158" cm="1">
        <f t="array" ref="AA939">_xlfn.SWITCH($N939,"BDI 1",$P$6,"BDI 2",$P$7,"BDI 3",$P$8)</f>
        <v>0.26739999999999997</v>
      </c>
      <c r="AB939" s="158">
        <f ca="1">IFERROR($S939/_xlfn.XLOOKUP($AE939,$B$16:$B$38,$S$16:$S$38),0)</f>
        <v>0</v>
      </c>
      <c r="AC939" s="158">
        <f ca="1">IFERROR($T939/_xlfn.XLOOKUP($AE939,$B$16:$B$38,$T$16:$T$38),0)</f>
        <v>0</v>
      </c>
      <c r="AD939" s="164"/>
      <c r="AE939" s="148">
        <f t="shared" ref="AE939:AE940" si="1526">IF(S939&gt;0,IFERROR(TRUNC(A939,0),0),0)</f>
        <v>0</v>
      </c>
      <c r="AF939" s="149"/>
      <c r="AG939" s="150"/>
      <c r="AH939" s="159" t="e">
        <f t="shared" si="1479"/>
        <v>#DIV/0!</v>
      </c>
      <c r="AI939" s="160"/>
      <c r="AJ939" s="105"/>
      <c r="AK939" s="105"/>
      <c r="AM939" s="105"/>
      <c r="AN939" s="105"/>
      <c r="AO939" s="105"/>
      <c r="AP939" s="105"/>
      <c r="AQ939" s="105"/>
      <c r="AR939" s="105"/>
    </row>
    <row r="940" spans="1:44" s="49" customFormat="1" ht="40.15" hidden="1" customHeight="1">
      <c r="A940" s="152">
        <f t="shared" ca="1" si="1480"/>
        <v>0</v>
      </c>
      <c r="B940" s="153">
        <v>93593</v>
      </c>
      <c r="C940" s="154" t="str">
        <f>TEXT(B940,"0")</f>
        <v>93593</v>
      </c>
      <c r="D940" s="154" t="s">
        <v>1416</v>
      </c>
      <c r="E940" s="155" t="s">
        <v>3545</v>
      </c>
      <c r="F940" s="154">
        <f>Dados_DMT!B17-F939</f>
        <v>0</v>
      </c>
      <c r="G940" s="154" t="s">
        <v>3538</v>
      </c>
      <c r="H940" s="152">
        <v>0.84</v>
      </c>
      <c r="I940" s="152">
        <v>0.85</v>
      </c>
      <c r="J940" s="156"/>
      <c r="K940" s="156">
        <f>ROUND(Ponto_Onibus!I47*F940,2)</f>
        <v>0</v>
      </c>
      <c r="L940" s="156">
        <f>IF($K940&gt;$J940,$K940-$J940,0)</f>
        <v>0</v>
      </c>
      <c r="M940" s="156">
        <f>IF($K940&lt;$J940,$J940-$K940,0)</f>
        <v>0</v>
      </c>
      <c r="N940" s="156" t="s">
        <v>83</v>
      </c>
      <c r="O940" s="157" cm="1">
        <f t="array" ref="O940">TRUNC($H940*(1+_xlfn.SWITCH($N940,"BDI 1",$O$6,"BDI 2",$O$7,"BDI 3",$O$8)),2)</f>
        <v>1.01</v>
      </c>
      <c r="P940" s="157" cm="1">
        <f t="array" ref="P940">TRUNC($I940*(1+_xlfn.SWITCH($N940,"BDI 1",$P$6,"BDI 2",$P$7,"BDI 3",$P$8)),2)</f>
        <v>1.07</v>
      </c>
      <c r="Q940" s="157">
        <v>0</v>
      </c>
      <c r="R940" s="157">
        <f>$Q940-($Q940*LICITACAO_DESCONTO)</f>
        <v>0</v>
      </c>
      <c r="S940" s="156">
        <f>TRUNC($K940*$O940,2)</f>
        <v>0</v>
      </c>
      <c r="T940" s="156">
        <f>TRUNC($K940*$P940,2)</f>
        <v>0</v>
      </c>
      <c r="U940" s="156">
        <f>TRUNC($J940*$R940,2)</f>
        <v>0</v>
      </c>
      <c r="V940" s="156">
        <f>TRUNC($K940*$Q940,2)</f>
        <v>0</v>
      </c>
      <c r="W940" s="156">
        <f>TRUNC(V940-U940,2)</f>
        <v>0</v>
      </c>
      <c r="X940" s="158">
        <f>$S940/ORCAMENTO_VALOR_TOTAL_ND</f>
        <v>0</v>
      </c>
      <c r="Y940" s="158">
        <f>$T940/ORCAMENTO_VALOR_TOTAL_DE</f>
        <v>0</v>
      </c>
      <c r="Z940" s="158" cm="1">
        <f t="array" ref="Z940">_xlfn.SWITCH($N940,"BDI 1",$O$6,"BDI 2",$O$7,"BDI 3",$O$8)</f>
        <v>0.20699999999999999</v>
      </c>
      <c r="AA940" s="158" cm="1">
        <f t="array" ref="AA940">_xlfn.SWITCH($N940,"BDI 1",$P$6,"BDI 2",$P$7,"BDI 3",$P$8)</f>
        <v>0.26739999999999997</v>
      </c>
      <c r="AB940" s="158">
        <f ca="1">IFERROR($S940/_xlfn.XLOOKUP($AE940,$B$16:$B$38,$S$16:$S$38),0)</f>
        <v>0</v>
      </c>
      <c r="AC940" s="158">
        <f ca="1">IFERROR($T940/_xlfn.XLOOKUP($AE940,$B$16:$B$38,$T$16:$T$38),0)</f>
        <v>0</v>
      </c>
      <c r="AD940" s="164"/>
      <c r="AE940" s="148">
        <f t="shared" si="1526"/>
        <v>0</v>
      </c>
      <c r="AF940" s="149"/>
      <c r="AG940" s="150"/>
      <c r="AH940" s="159" t="e">
        <f t="shared" si="1479"/>
        <v>#DIV/0!</v>
      </c>
      <c r="AI940" s="160"/>
      <c r="AJ940" s="105"/>
      <c r="AK940" s="105"/>
      <c r="AM940" s="105"/>
      <c r="AN940" s="105"/>
      <c r="AO940" s="105"/>
      <c r="AP940" s="105"/>
      <c r="AQ940" s="105"/>
      <c r="AR940" s="105"/>
    </row>
    <row r="941" spans="1:44" s="49" customFormat="1" ht="40.15" hidden="1" customHeight="1">
      <c r="A941" s="10">
        <f t="shared" ca="1" si="1480"/>
        <v>0</v>
      </c>
      <c r="B941" s="153"/>
      <c r="C941" s="154"/>
      <c r="D941" s="154"/>
      <c r="E941" s="161" t="s">
        <v>258</v>
      </c>
      <c r="F941" s="154"/>
      <c r="G941" s="154"/>
      <c r="H941" s="152"/>
      <c r="I941" s="152"/>
      <c r="J941" s="154"/>
      <c r="K941" s="154"/>
      <c r="L941" s="154"/>
      <c r="M941" s="154"/>
      <c r="N941" s="154"/>
      <c r="O941" s="154"/>
      <c r="P941" s="154"/>
      <c r="Q941" s="154"/>
      <c r="R941" s="154"/>
      <c r="S941" s="162"/>
      <c r="T941" s="162"/>
      <c r="U941" s="162"/>
      <c r="V941" s="162"/>
      <c r="W941" s="162"/>
      <c r="X941" s="163"/>
      <c r="Y941" s="163"/>
      <c r="Z941" s="163"/>
      <c r="AA941" s="163"/>
      <c r="AB941" s="163"/>
      <c r="AC941" s="163"/>
      <c r="AD941" s="164"/>
      <c r="AE941" s="148">
        <f>IF(SUM(S942)&gt;0,IFERROR(TRUNC(A941,0),0),0)</f>
        <v>0</v>
      </c>
      <c r="AF941" s="149"/>
      <c r="AG941" s="150"/>
      <c r="AH941" s="159" t="e">
        <f t="shared" si="1479"/>
        <v>#DIV/0!</v>
      </c>
      <c r="AI941" s="160"/>
      <c r="AJ941" s="105"/>
      <c r="AK941" s="105"/>
      <c r="AM941" s="105"/>
      <c r="AN941" s="105"/>
      <c r="AO941" s="105"/>
      <c r="AP941" s="105"/>
      <c r="AQ941" s="105"/>
      <c r="AR941" s="105"/>
    </row>
    <row r="942" spans="1:44" s="49" customFormat="1" ht="40.15" hidden="1" customHeight="1">
      <c r="A942" s="152">
        <f t="shared" ca="1" si="1480"/>
        <v>0</v>
      </c>
      <c r="B942" s="153">
        <v>95876</v>
      </c>
      <c r="C942" s="154" t="str">
        <f>TEXT(B942,"0")</f>
        <v>95876</v>
      </c>
      <c r="D942" s="154" t="s">
        <v>1416</v>
      </c>
      <c r="E942" s="155" t="s">
        <v>3537</v>
      </c>
      <c r="F942" s="154">
        <f>Dados_DMT!B15</f>
        <v>1</v>
      </c>
      <c r="G942" s="154" t="s">
        <v>3538</v>
      </c>
      <c r="H942" s="152">
        <v>2.09</v>
      </c>
      <c r="I942" s="152">
        <v>2.1</v>
      </c>
      <c r="J942" s="156"/>
      <c r="K942" s="156">
        <f>ROUND(Ponto_Onibus!I48*F942,2)</f>
        <v>0</v>
      </c>
      <c r="L942" s="156">
        <f>IF($K942&gt;$J942,$K942-$J942,0)</f>
        <v>0</v>
      </c>
      <c r="M942" s="156">
        <f>IF($K942&lt;$J942,$J942-$K942,0)</f>
        <v>0</v>
      </c>
      <c r="N942" s="156" t="s">
        <v>83</v>
      </c>
      <c r="O942" s="157" cm="1">
        <f t="array" ref="O942">TRUNC($H942*(1+_xlfn.SWITCH($N942,"BDI 1",$O$6,"BDI 2",$O$7,"BDI 3",$O$8)),2)</f>
        <v>2.52</v>
      </c>
      <c r="P942" s="157" cm="1">
        <f t="array" ref="P942">TRUNC($I942*(1+_xlfn.SWITCH($N942,"BDI 1",$P$6,"BDI 2",$P$7,"BDI 3",$P$8)),2)</f>
        <v>2.66</v>
      </c>
      <c r="Q942" s="157">
        <v>0</v>
      </c>
      <c r="R942" s="157">
        <f>$Q942-($Q942*LICITACAO_DESCONTO)</f>
        <v>0</v>
      </c>
      <c r="S942" s="156">
        <f>TRUNC($K942*$O942,2)</f>
        <v>0</v>
      </c>
      <c r="T942" s="156">
        <f>TRUNC($K942*$P942,2)</f>
        <v>0</v>
      </c>
      <c r="U942" s="156">
        <f>TRUNC($J942*$R942,2)</f>
        <v>0</v>
      </c>
      <c r="V942" s="156">
        <f>TRUNC($K942*$Q942,2)</f>
        <v>0</v>
      </c>
      <c r="W942" s="156">
        <f>TRUNC(V942-U942,2)</f>
        <v>0</v>
      </c>
      <c r="X942" s="158">
        <f>$S942/ORCAMENTO_VALOR_TOTAL_ND</f>
        <v>0</v>
      </c>
      <c r="Y942" s="158">
        <f>$T942/ORCAMENTO_VALOR_TOTAL_DE</f>
        <v>0</v>
      </c>
      <c r="Z942" s="158" cm="1">
        <f t="array" ref="Z942">_xlfn.SWITCH($N942,"BDI 1",$O$6,"BDI 2",$O$7,"BDI 3",$O$8)</f>
        <v>0.20699999999999999</v>
      </c>
      <c r="AA942" s="158" cm="1">
        <f t="array" ref="AA942">_xlfn.SWITCH($N942,"BDI 1",$P$6,"BDI 2",$P$7,"BDI 3",$P$8)</f>
        <v>0.26739999999999997</v>
      </c>
      <c r="AB942" s="158">
        <f ca="1">IFERROR($S942/_xlfn.XLOOKUP($AE942,$B$16:$B$38,$S$16:$S$38),0)</f>
        <v>0</v>
      </c>
      <c r="AC942" s="158">
        <f ca="1">IFERROR($T942/_xlfn.XLOOKUP($AE942,$B$16:$B$38,$T$16:$T$38),0)</f>
        <v>0</v>
      </c>
      <c r="AD942" s="164"/>
      <c r="AE942" s="148">
        <f t="shared" ref="AE942" si="1527">IF(S942&gt;0,IFERROR(TRUNC(A942,0),0),0)</f>
        <v>0</v>
      </c>
      <c r="AF942" s="149"/>
      <c r="AG942" s="150"/>
      <c r="AH942" s="159" t="e">
        <f t="shared" si="1479"/>
        <v>#DIV/0!</v>
      </c>
      <c r="AI942" s="160"/>
      <c r="AJ942" s="105"/>
      <c r="AK942" s="105"/>
      <c r="AM942" s="105"/>
      <c r="AN942" s="105"/>
      <c r="AO942" s="105"/>
      <c r="AP942" s="105"/>
      <c r="AQ942" s="105"/>
      <c r="AR942" s="105"/>
    </row>
    <row r="943" spans="1:44" s="49" customFormat="1" ht="40.15" hidden="1" customHeight="1">
      <c r="A943" s="10">
        <f t="shared" ca="1" si="1480"/>
        <v>0</v>
      </c>
      <c r="B943" s="153"/>
      <c r="C943" s="154"/>
      <c r="D943" s="154"/>
      <c r="E943" s="161" t="s">
        <v>139</v>
      </c>
      <c r="F943" s="154"/>
      <c r="G943" s="154"/>
      <c r="H943" s="152"/>
      <c r="I943" s="152"/>
      <c r="J943" s="154"/>
      <c r="K943" s="154"/>
      <c r="L943" s="154"/>
      <c r="M943" s="154"/>
      <c r="N943" s="154"/>
      <c r="O943" s="154"/>
      <c r="P943" s="154"/>
      <c r="Q943" s="154"/>
      <c r="R943" s="154"/>
      <c r="S943" s="162"/>
      <c r="T943" s="162"/>
      <c r="U943" s="162"/>
      <c r="V943" s="162"/>
      <c r="W943" s="162"/>
      <c r="X943" s="163"/>
      <c r="Y943" s="163"/>
      <c r="Z943" s="163"/>
      <c r="AA943" s="163"/>
      <c r="AB943" s="163"/>
      <c r="AC943" s="163"/>
      <c r="AD943" s="164"/>
      <c r="AE943" s="148">
        <f>IF(SUM(S944)&gt;0,IFERROR(TRUNC(A943,0),0),0)</f>
        <v>0</v>
      </c>
      <c r="AF943" s="149"/>
      <c r="AG943" s="150"/>
      <c r="AH943" s="159" t="e">
        <f t="shared" si="1479"/>
        <v>#DIV/0!</v>
      </c>
      <c r="AI943" s="160"/>
      <c r="AJ943" s="105"/>
      <c r="AK943" s="105"/>
      <c r="AM943" s="105"/>
      <c r="AN943" s="105"/>
      <c r="AO943" s="105"/>
      <c r="AP943" s="105"/>
      <c r="AQ943" s="105"/>
      <c r="AR943" s="105"/>
    </row>
    <row r="944" spans="1:44" s="49" customFormat="1" ht="40.15" hidden="1" customHeight="1">
      <c r="A944" s="152">
        <f t="shared" ca="1" si="1480"/>
        <v>0</v>
      </c>
      <c r="B944" s="153">
        <v>95876</v>
      </c>
      <c r="C944" s="154" t="str">
        <f>TEXT(B944,"0")</f>
        <v>95876</v>
      </c>
      <c r="D944" s="154" t="s">
        <v>1416</v>
      </c>
      <c r="E944" s="155" t="s">
        <v>3537</v>
      </c>
      <c r="F944" s="154">
        <f>Dados_DMT!B14</f>
        <v>3.5</v>
      </c>
      <c r="G944" s="154" t="s">
        <v>3538</v>
      </c>
      <c r="H944" s="152">
        <v>2.09</v>
      </c>
      <c r="I944" s="152">
        <v>2.1</v>
      </c>
      <c r="J944" s="156"/>
      <c r="K944" s="156">
        <f>ROUND(Ponto_Onibus!I49*F944,2)</f>
        <v>0</v>
      </c>
      <c r="L944" s="156">
        <f>IF($K944&gt;$J944,$K944-$J944,0)</f>
        <v>0</v>
      </c>
      <c r="M944" s="156">
        <f>IF($K944&lt;$J944,$J944-$K944,0)</f>
        <v>0</v>
      </c>
      <c r="N944" s="156" t="s">
        <v>83</v>
      </c>
      <c r="O944" s="157" cm="1">
        <f t="array" ref="O944">TRUNC($H944*(1+_xlfn.SWITCH($N944,"BDI 1",$O$6,"BDI 2",$O$7,"BDI 3",$O$8)),2)</f>
        <v>2.52</v>
      </c>
      <c r="P944" s="157" cm="1">
        <f t="array" ref="P944">TRUNC($I944*(1+_xlfn.SWITCH($N944,"BDI 1",$P$6,"BDI 2",$P$7,"BDI 3",$P$8)),2)</f>
        <v>2.66</v>
      </c>
      <c r="Q944" s="157">
        <v>0</v>
      </c>
      <c r="R944" s="157">
        <f>$Q944-($Q944*LICITACAO_DESCONTO)</f>
        <v>0</v>
      </c>
      <c r="S944" s="156">
        <f>TRUNC($K944*$O944,2)</f>
        <v>0</v>
      </c>
      <c r="T944" s="156">
        <f>TRUNC($K944*$P944,2)</f>
        <v>0</v>
      </c>
      <c r="U944" s="156">
        <f>TRUNC($J944*$R944,2)</f>
        <v>0</v>
      </c>
      <c r="V944" s="156">
        <f>TRUNC($K944*$Q944,2)</f>
        <v>0</v>
      </c>
      <c r="W944" s="156">
        <f>TRUNC(V944-U944,2)</f>
        <v>0</v>
      </c>
      <c r="X944" s="158">
        <f>$S944/ORCAMENTO_VALOR_TOTAL_ND</f>
        <v>0</v>
      </c>
      <c r="Y944" s="158">
        <f>$T944/ORCAMENTO_VALOR_TOTAL_DE</f>
        <v>0</v>
      </c>
      <c r="Z944" s="158" cm="1">
        <f t="array" ref="Z944">_xlfn.SWITCH($N944,"BDI 1",$O$6,"BDI 2",$O$7,"BDI 3",$O$8)</f>
        <v>0.20699999999999999</v>
      </c>
      <c r="AA944" s="158" cm="1">
        <f t="array" ref="AA944">_xlfn.SWITCH($N944,"BDI 1",$P$6,"BDI 2",$P$7,"BDI 3",$P$8)</f>
        <v>0.26739999999999997</v>
      </c>
      <c r="AB944" s="158">
        <f ca="1">IFERROR($S944/_xlfn.XLOOKUP($AE944,$B$16:$B$38,$S$16:$S$38),0)</f>
        <v>0</v>
      </c>
      <c r="AC944" s="158">
        <f ca="1">IFERROR($T944/_xlfn.XLOOKUP($AE944,$B$16:$B$38,$T$16:$T$38),0)</f>
        <v>0</v>
      </c>
      <c r="AD944" s="164"/>
      <c r="AE944" s="148">
        <f t="shared" ref="AE944" si="1528">IF(S944&gt;0,IFERROR(TRUNC(A944,0),0),0)</f>
        <v>0</v>
      </c>
      <c r="AF944" s="149"/>
      <c r="AG944" s="150"/>
      <c r="AH944" s="159" t="e">
        <f t="shared" si="1479"/>
        <v>#DIV/0!</v>
      </c>
      <c r="AI944" s="160"/>
      <c r="AJ944" s="105"/>
      <c r="AK944" s="105"/>
      <c r="AM944" s="105"/>
      <c r="AN944" s="105"/>
      <c r="AO944" s="105"/>
      <c r="AP944" s="105"/>
      <c r="AQ944" s="105"/>
      <c r="AR944" s="105"/>
    </row>
    <row r="945" spans="1:44" s="49" customFormat="1" ht="40.15" hidden="1" customHeight="1">
      <c r="A945" s="10">
        <f t="shared" ca="1" si="1480"/>
        <v>0</v>
      </c>
      <c r="B945" s="153"/>
      <c r="C945" s="154"/>
      <c r="D945" s="154"/>
      <c r="E945" s="161" t="s">
        <v>103</v>
      </c>
      <c r="F945" s="154"/>
      <c r="G945" s="154"/>
      <c r="H945" s="154"/>
      <c r="I945" s="154"/>
      <c r="J945" s="216"/>
      <c r="K945" s="216"/>
      <c r="L945" s="216"/>
      <c r="M945" s="216"/>
      <c r="N945" s="216"/>
      <c r="O945" s="154"/>
      <c r="P945" s="154"/>
      <c r="Q945" s="154"/>
      <c r="R945" s="154"/>
      <c r="S945" s="162"/>
      <c r="T945" s="162"/>
      <c r="U945" s="162"/>
      <c r="V945" s="162"/>
      <c r="W945" s="162"/>
      <c r="X945" s="162"/>
      <c r="Y945" s="162"/>
      <c r="Z945" s="162"/>
      <c r="AA945" s="162"/>
      <c r="AB945" s="162"/>
      <c r="AC945" s="162"/>
      <c r="AD945" s="217"/>
      <c r="AE945" s="148">
        <f>IF(SUM(S946:S947)&gt;0,IFERROR(TRUNC(A945,0),0),0)</f>
        <v>0</v>
      </c>
      <c r="AF945" s="149"/>
      <c r="AG945" s="150"/>
      <c r="AH945" s="159" t="e">
        <f t="shared" si="1479"/>
        <v>#DIV/0!</v>
      </c>
      <c r="AI945" s="160"/>
      <c r="AJ945" s="105"/>
      <c r="AK945" s="105"/>
      <c r="AM945" s="105"/>
      <c r="AN945" s="105"/>
      <c r="AO945" s="105"/>
      <c r="AP945" s="105"/>
      <c r="AQ945" s="105"/>
      <c r="AR945" s="105"/>
    </row>
    <row r="946" spans="1:44" s="49" customFormat="1" ht="40.15" hidden="1" customHeight="1">
      <c r="A946" s="152">
        <f t="shared" ca="1" si="1480"/>
        <v>0</v>
      </c>
      <c r="B946" s="153">
        <v>95876</v>
      </c>
      <c r="C946" s="154" t="str">
        <f>TEXT(B946,"0")</f>
        <v>95876</v>
      </c>
      <c r="D946" s="154" t="s">
        <v>1416</v>
      </c>
      <c r="E946" s="155" t="s">
        <v>3537</v>
      </c>
      <c r="F946" s="154">
        <f>IF(Dados_DMT!B34&lt;30,Dados_DMT!B34,30)</f>
        <v>30</v>
      </c>
      <c r="G946" s="154" t="s">
        <v>3538</v>
      </c>
      <c r="H946" s="152">
        <v>2.09</v>
      </c>
      <c r="I946" s="152">
        <v>2.1</v>
      </c>
      <c r="J946" s="156"/>
      <c r="K946" s="156">
        <f>ROUND((Ponto_Onibus!I50+Ponto_Onibus!I53)*F946,2)</f>
        <v>0</v>
      </c>
      <c r="L946" s="156">
        <f>IF($K946&gt;$J946,$K946-$J946,0)</f>
        <v>0</v>
      </c>
      <c r="M946" s="156">
        <f>IF($K946&lt;$J946,$J946-$K946,0)</f>
        <v>0</v>
      </c>
      <c r="N946" s="156" t="s">
        <v>83</v>
      </c>
      <c r="O946" s="157" cm="1">
        <f t="array" ref="O946">TRUNC($H946*(1+_xlfn.SWITCH($N946,"BDI 1",$O$6,"BDI 2",$O$7,"BDI 3",$O$8)),2)</f>
        <v>2.52</v>
      </c>
      <c r="P946" s="157" cm="1">
        <f t="array" ref="P946">TRUNC($I946*(1+_xlfn.SWITCH($N946,"BDI 1",$P$6,"BDI 2",$P$7,"BDI 3",$P$8)),2)</f>
        <v>2.66</v>
      </c>
      <c r="Q946" s="157">
        <v>0</v>
      </c>
      <c r="R946" s="157">
        <f>$Q946-($Q946*LICITACAO_DESCONTO)</f>
        <v>0</v>
      </c>
      <c r="S946" s="156">
        <f>TRUNC($K946*$O946,2)</f>
        <v>0</v>
      </c>
      <c r="T946" s="156">
        <f>TRUNC($K946*$P946,2)</f>
        <v>0</v>
      </c>
      <c r="U946" s="156">
        <f>TRUNC($J946*$R946,2)</f>
        <v>0</v>
      </c>
      <c r="V946" s="156">
        <f>TRUNC($K946*$Q946,2)</f>
        <v>0</v>
      </c>
      <c r="W946" s="156">
        <f>TRUNC(V946-U946,2)</f>
        <v>0</v>
      </c>
      <c r="X946" s="158">
        <f>$S946/ORCAMENTO_VALOR_TOTAL_ND</f>
        <v>0</v>
      </c>
      <c r="Y946" s="158">
        <f>$T946/ORCAMENTO_VALOR_TOTAL_DE</f>
        <v>0</v>
      </c>
      <c r="Z946" s="158" cm="1">
        <f t="array" ref="Z946">_xlfn.SWITCH($N946,"BDI 1",$O$6,"BDI 2",$O$7,"BDI 3",$O$8)</f>
        <v>0.20699999999999999</v>
      </c>
      <c r="AA946" s="158" cm="1">
        <f t="array" ref="AA946">_xlfn.SWITCH($N946,"BDI 1",$P$6,"BDI 2",$P$7,"BDI 3",$P$8)</f>
        <v>0.26739999999999997</v>
      </c>
      <c r="AB946" s="158">
        <f ca="1">IFERROR($S946/_xlfn.XLOOKUP($AE946,$B$16:$B$38,$S$16:$S$38),0)</f>
        <v>0</v>
      </c>
      <c r="AC946" s="158">
        <f ca="1">IFERROR($T946/_xlfn.XLOOKUP($AE946,$B$16:$B$38,$T$16:$T$38),0)</f>
        <v>0</v>
      </c>
      <c r="AD946" s="164"/>
      <c r="AE946" s="148">
        <f t="shared" ref="AE946:AE947" si="1529">IF(S946&gt;0,IFERROR(TRUNC(A946,0),0),0)</f>
        <v>0</v>
      </c>
      <c r="AF946" s="149"/>
      <c r="AG946" s="150"/>
      <c r="AH946" s="159" t="e">
        <f t="shared" si="1479"/>
        <v>#DIV/0!</v>
      </c>
      <c r="AI946" s="160"/>
      <c r="AJ946" s="105"/>
      <c r="AK946" s="105"/>
      <c r="AM946" s="105"/>
      <c r="AN946" s="105"/>
      <c r="AO946" s="105"/>
      <c r="AP946" s="105"/>
      <c r="AQ946" s="105"/>
      <c r="AR946" s="105"/>
    </row>
    <row r="947" spans="1:44" s="49" customFormat="1" ht="40.15" hidden="1" customHeight="1">
      <c r="A947" s="152">
        <f t="shared" ca="1" si="1480"/>
        <v>0</v>
      </c>
      <c r="B947" s="153">
        <v>93593</v>
      </c>
      <c r="C947" s="154" t="str">
        <f>TEXT(B947,"0")</f>
        <v>93593</v>
      </c>
      <c r="D947" s="154" t="s">
        <v>1416</v>
      </c>
      <c r="E947" s="155" t="s">
        <v>3545</v>
      </c>
      <c r="F947" s="154">
        <f>Dados_DMT!B34-F946</f>
        <v>80</v>
      </c>
      <c r="G947" s="154" t="s">
        <v>3538</v>
      </c>
      <c r="H947" s="152">
        <v>0.84</v>
      </c>
      <c r="I947" s="152">
        <v>0.85</v>
      </c>
      <c r="J947" s="156"/>
      <c r="K947" s="156">
        <f>ROUND((Ponto_Onibus!I50+Ponto_Onibus!I53)*F947,2)</f>
        <v>0</v>
      </c>
      <c r="L947" s="156">
        <f>IF($K947&gt;$J947,$K947-$J947,0)</f>
        <v>0</v>
      </c>
      <c r="M947" s="156">
        <f>IF($K947&lt;$J947,$J947-$K947,0)</f>
        <v>0</v>
      </c>
      <c r="N947" s="156" t="s">
        <v>83</v>
      </c>
      <c r="O947" s="157" cm="1">
        <f t="array" ref="O947">TRUNC($H947*(1+_xlfn.SWITCH($N947,"BDI 1",$O$6,"BDI 2",$O$7,"BDI 3",$O$8)),2)</f>
        <v>1.01</v>
      </c>
      <c r="P947" s="157" cm="1">
        <f t="array" ref="P947">TRUNC($I947*(1+_xlfn.SWITCH($N947,"BDI 1",$P$6,"BDI 2",$P$7,"BDI 3",$P$8)),2)</f>
        <v>1.07</v>
      </c>
      <c r="Q947" s="157">
        <v>0</v>
      </c>
      <c r="R947" s="157">
        <f>$Q947-($Q947*LICITACAO_DESCONTO)</f>
        <v>0</v>
      </c>
      <c r="S947" s="156">
        <f>TRUNC($K947*$O947,2)</f>
        <v>0</v>
      </c>
      <c r="T947" s="156">
        <f>TRUNC($K947*$P947,2)</f>
        <v>0</v>
      </c>
      <c r="U947" s="156">
        <f>TRUNC($J947*$R947,2)</f>
        <v>0</v>
      </c>
      <c r="V947" s="156">
        <f>TRUNC($K947*$Q947,2)</f>
        <v>0</v>
      </c>
      <c r="W947" s="156">
        <f>TRUNC(V947-U947,2)</f>
        <v>0</v>
      </c>
      <c r="X947" s="158">
        <f>$S947/ORCAMENTO_VALOR_TOTAL_ND</f>
        <v>0</v>
      </c>
      <c r="Y947" s="158">
        <f>$T947/ORCAMENTO_VALOR_TOTAL_DE</f>
        <v>0</v>
      </c>
      <c r="Z947" s="158" cm="1">
        <f t="array" ref="Z947">_xlfn.SWITCH($N947,"BDI 1",$O$6,"BDI 2",$O$7,"BDI 3",$O$8)</f>
        <v>0.20699999999999999</v>
      </c>
      <c r="AA947" s="158" cm="1">
        <f t="array" ref="AA947">_xlfn.SWITCH($N947,"BDI 1",$P$6,"BDI 2",$P$7,"BDI 3",$P$8)</f>
        <v>0.26739999999999997</v>
      </c>
      <c r="AB947" s="158">
        <f ca="1">IFERROR($S947/_xlfn.XLOOKUP($AE947,$B$16:$B$38,$S$16:$S$38),0)</f>
        <v>0</v>
      </c>
      <c r="AC947" s="158">
        <f ca="1">IFERROR($T947/_xlfn.XLOOKUP($AE947,$B$16:$B$38,$T$16:$T$38),0)</f>
        <v>0</v>
      </c>
      <c r="AD947" s="164"/>
      <c r="AE947" s="148">
        <f t="shared" si="1529"/>
        <v>0</v>
      </c>
      <c r="AF947" s="149"/>
      <c r="AG947" s="150"/>
      <c r="AH947" s="159" t="e">
        <f t="shared" si="1479"/>
        <v>#DIV/0!</v>
      </c>
      <c r="AI947" s="160"/>
      <c r="AJ947" s="105"/>
      <c r="AK947" s="105"/>
      <c r="AM947" s="105"/>
      <c r="AN947" s="105"/>
      <c r="AO947" s="105"/>
      <c r="AP947" s="105"/>
      <c r="AQ947" s="105"/>
      <c r="AR947" s="105"/>
    </row>
    <row r="948" spans="1:44" s="49" customFormat="1" ht="40.15" hidden="1" customHeight="1">
      <c r="A948" s="10">
        <f t="shared" ca="1" si="1480"/>
        <v>0</v>
      </c>
      <c r="B948" s="153"/>
      <c r="C948" s="154"/>
      <c r="D948" s="154"/>
      <c r="E948" s="161" t="s">
        <v>261</v>
      </c>
      <c r="F948" s="154"/>
      <c r="G948" s="154"/>
      <c r="H948" s="154"/>
      <c r="I948" s="154"/>
      <c r="J948" s="216"/>
      <c r="K948" s="216"/>
      <c r="L948" s="216"/>
      <c r="M948" s="216"/>
      <c r="N948" s="216"/>
      <c r="O948" s="154"/>
      <c r="P948" s="154"/>
      <c r="Q948" s="154"/>
      <c r="R948" s="154"/>
      <c r="S948" s="162"/>
      <c r="T948" s="162"/>
      <c r="U948" s="162"/>
      <c r="V948" s="162"/>
      <c r="W948" s="162"/>
      <c r="X948" s="162"/>
      <c r="Y948" s="162"/>
      <c r="Z948" s="162"/>
      <c r="AA948" s="162"/>
      <c r="AB948" s="162"/>
      <c r="AC948" s="162"/>
      <c r="AD948" s="217"/>
      <c r="AE948" s="148">
        <f>IF(SUM(S949:S950)&gt;0,IFERROR(TRUNC(A948,0),0),0)</f>
        <v>0</v>
      </c>
      <c r="AF948" s="149"/>
      <c r="AG948" s="150"/>
      <c r="AH948" s="159" t="e">
        <f t="shared" si="1479"/>
        <v>#DIV/0!</v>
      </c>
      <c r="AI948" s="160"/>
      <c r="AJ948" s="105"/>
      <c r="AK948" s="105"/>
      <c r="AM948" s="105"/>
      <c r="AN948" s="105"/>
      <c r="AO948" s="105"/>
      <c r="AP948" s="105"/>
      <c r="AQ948" s="105"/>
      <c r="AR948" s="105"/>
    </row>
    <row r="949" spans="1:44" s="49" customFormat="1" ht="40.15" hidden="1" customHeight="1">
      <c r="A949" s="152">
        <f t="shared" ca="1" si="1480"/>
        <v>0</v>
      </c>
      <c r="B949" s="153">
        <v>95876</v>
      </c>
      <c r="C949" s="154" t="str">
        <f>TEXT(B949,"0")</f>
        <v>95876</v>
      </c>
      <c r="D949" s="154" t="s">
        <v>1416</v>
      </c>
      <c r="E949" s="155" t="s">
        <v>3537</v>
      </c>
      <c r="F949" s="154">
        <f>Dados_DMT!B34</f>
        <v>110</v>
      </c>
      <c r="G949" s="154" t="s">
        <v>3538</v>
      </c>
      <c r="H949" s="152">
        <v>2.09</v>
      </c>
      <c r="I949" s="152">
        <v>2.1</v>
      </c>
      <c r="J949" s="156"/>
      <c r="K949" s="156">
        <f>ROUND(Ponto_Onibus!I51*F949,2)</f>
        <v>0</v>
      </c>
      <c r="L949" s="156">
        <f>IF($K949&gt;$J949,$K949-$J949,0)</f>
        <v>0</v>
      </c>
      <c r="M949" s="156">
        <f>IF($K949&lt;$J949,$J949-$K949,0)</f>
        <v>0</v>
      </c>
      <c r="N949" s="156" t="s">
        <v>83</v>
      </c>
      <c r="O949" s="157" cm="1">
        <f t="array" ref="O949">TRUNC($H949*(1+_xlfn.SWITCH($N949,"BDI 1",$O$6,"BDI 2",$O$7,"BDI 3",$O$8)),2)</f>
        <v>2.52</v>
      </c>
      <c r="P949" s="157" cm="1">
        <f t="array" ref="P949">TRUNC($I949*(1+_xlfn.SWITCH($N949,"BDI 1",$P$6,"BDI 2",$P$7,"BDI 3",$P$8)),2)</f>
        <v>2.66</v>
      </c>
      <c r="Q949" s="157">
        <v>0</v>
      </c>
      <c r="R949" s="157">
        <f>$Q949-($Q949*LICITACAO_DESCONTO)</f>
        <v>0</v>
      </c>
      <c r="S949" s="156">
        <f>TRUNC($K949*$O949,2)</f>
        <v>0</v>
      </c>
      <c r="T949" s="156">
        <f>TRUNC($K949*$P949,2)</f>
        <v>0</v>
      </c>
      <c r="U949" s="156">
        <f>TRUNC($J949*$R949,2)</f>
        <v>0</v>
      </c>
      <c r="V949" s="156">
        <f>TRUNC($K949*$Q949,2)</f>
        <v>0</v>
      </c>
      <c r="W949" s="156">
        <f>TRUNC(V949-U949,2)</f>
        <v>0</v>
      </c>
      <c r="X949" s="158">
        <f>$S949/ORCAMENTO_VALOR_TOTAL_ND</f>
        <v>0</v>
      </c>
      <c r="Y949" s="158">
        <f>$T949/ORCAMENTO_VALOR_TOTAL_DE</f>
        <v>0</v>
      </c>
      <c r="Z949" s="158" cm="1">
        <f t="array" ref="Z949">_xlfn.SWITCH($N949,"BDI 1",$O$6,"BDI 2",$O$7,"BDI 3",$O$8)</f>
        <v>0.20699999999999999</v>
      </c>
      <c r="AA949" s="158" cm="1">
        <f t="array" ref="AA949">_xlfn.SWITCH($N949,"BDI 1",$P$6,"BDI 2",$P$7,"BDI 3",$P$8)</f>
        <v>0.26739999999999997</v>
      </c>
      <c r="AB949" s="158">
        <f ca="1">IFERROR($S949/_xlfn.XLOOKUP($AE949,$B$16:$B$38,$S$16:$S$38),0)</f>
        <v>0</v>
      </c>
      <c r="AC949" s="158">
        <f ca="1">IFERROR($T949/_xlfn.XLOOKUP($AE949,$B$16:$B$38,$T$16:$T$38),0)</f>
        <v>0</v>
      </c>
      <c r="AD949" s="164"/>
      <c r="AE949" s="148">
        <f t="shared" ref="AE949:AE950" si="1530">IF(S949&gt;0,IFERROR(TRUNC(A949,0),0),0)</f>
        <v>0</v>
      </c>
      <c r="AF949" s="149"/>
      <c r="AG949" s="150"/>
      <c r="AH949" s="159" t="e">
        <f t="shared" si="1479"/>
        <v>#DIV/0!</v>
      </c>
      <c r="AI949" s="160"/>
      <c r="AJ949" s="105"/>
      <c r="AK949" s="105"/>
      <c r="AM949" s="105"/>
      <c r="AN949" s="105"/>
      <c r="AO949" s="105"/>
      <c r="AP949" s="105"/>
      <c r="AQ949" s="105"/>
      <c r="AR949" s="105"/>
    </row>
    <row r="950" spans="1:44" s="49" customFormat="1" ht="40.15" hidden="1" customHeight="1">
      <c r="A950" s="152">
        <f t="shared" ca="1" si="1480"/>
        <v>0</v>
      </c>
      <c r="B950" s="153">
        <v>93593</v>
      </c>
      <c r="C950" s="154" t="str">
        <f>TEXT(B950,"0")</f>
        <v>93593</v>
      </c>
      <c r="D950" s="154" t="s">
        <v>1416</v>
      </c>
      <c r="E950" s="155" t="s">
        <v>3545</v>
      </c>
      <c r="F950" s="154">
        <f>Dados_DMT!B34-F949</f>
        <v>0</v>
      </c>
      <c r="G950" s="154" t="s">
        <v>3538</v>
      </c>
      <c r="H950" s="152">
        <v>0.84</v>
      </c>
      <c r="I950" s="152">
        <v>0.85</v>
      </c>
      <c r="J950" s="156"/>
      <c r="K950" s="156">
        <f>ROUND(Ponto_Onibus!I51*F950,2)</f>
        <v>0</v>
      </c>
      <c r="L950" s="156">
        <f>IF($K950&gt;$J950,$K950-$J950,0)</f>
        <v>0</v>
      </c>
      <c r="M950" s="156">
        <f>IF($K950&lt;$J950,$J950-$K950,0)</f>
        <v>0</v>
      </c>
      <c r="N950" s="156" t="s">
        <v>83</v>
      </c>
      <c r="O950" s="157" cm="1">
        <f t="array" ref="O950">TRUNC($H950*(1+_xlfn.SWITCH($N950,"BDI 1",$O$6,"BDI 2",$O$7,"BDI 3",$O$8)),2)</f>
        <v>1.01</v>
      </c>
      <c r="P950" s="157" cm="1">
        <f t="array" ref="P950">TRUNC($I950*(1+_xlfn.SWITCH($N950,"BDI 1",$P$6,"BDI 2",$P$7,"BDI 3",$P$8)),2)</f>
        <v>1.07</v>
      </c>
      <c r="Q950" s="157">
        <v>0</v>
      </c>
      <c r="R950" s="157">
        <f>$Q950-($Q950*LICITACAO_DESCONTO)</f>
        <v>0</v>
      </c>
      <c r="S950" s="156">
        <f>TRUNC($K950*$O950,2)</f>
        <v>0</v>
      </c>
      <c r="T950" s="156">
        <f>TRUNC($K950*$P950,2)</f>
        <v>0</v>
      </c>
      <c r="U950" s="156">
        <f>TRUNC($J950*$R950,2)</f>
        <v>0</v>
      </c>
      <c r="V950" s="156">
        <f>TRUNC($K950*$Q950,2)</f>
        <v>0</v>
      </c>
      <c r="W950" s="156">
        <f>TRUNC(V950-U950,2)</f>
        <v>0</v>
      </c>
      <c r="X950" s="158">
        <f>$S950/ORCAMENTO_VALOR_TOTAL_ND</f>
        <v>0</v>
      </c>
      <c r="Y950" s="158">
        <f>$T950/ORCAMENTO_VALOR_TOTAL_DE</f>
        <v>0</v>
      </c>
      <c r="Z950" s="158" cm="1">
        <f t="array" ref="Z950">_xlfn.SWITCH($N950,"BDI 1",$O$6,"BDI 2",$O$7,"BDI 3",$O$8)</f>
        <v>0.20699999999999999</v>
      </c>
      <c r="AA950" s="158" cm="1">
        <f t="array" ref="AA950">_xlfn.SWITCH($N950,"BDI 1",$P$6,"BDI 2",$P$7,"BDI 3",$P$8)</f>
        <v>0.26739999999999997</v>
      </c>
      <c r="AB950" s="158">
        <f ca="1">IFERROR($S950/_xlfn.XLOOKUP($AE950,$B$16:$B$38,$S$16:$S$38),0)</f>
        <v>0</v>
      </c>
      <c r="AC950" s="158">
        <f ca="1">IFERROR($T950/_xlfn.XLOOKUP($AE950,$B$16:$B$38,$T$16:$T$38),0)</f>
        <v>0</v>
      </c>
      <c r="AD950" s="164"/>
      <c r="AE950" s="148">
        <f t="shared" si="1530"/>
        <v>0</v>
      </c>
      <c r="AF950" s="149"/>
      <c r="AG950" s="150"/>
      <c r="AH950" s="159" t="e">
        <f t="shared" si="1479"/>
        <v>#DIV/0!</v>
      </c>
      <c r="AI950" s="160"/>
      <c r="AJ950" s="105"/>
      <c r="AK950" s="105"/>
      <c r="AM950" s="105"/>
      <c r="AN950" s="105"/>
      <c r="AO950" s="105"/>
      <c r="AP950" s="105"/>
      <c r="AQ950" s="105"/>
      <c r="AR950" s="105"/>
    </row>
    <row r="951" spans="1:44" s="49" customFormat="1" ht="40.15" hidden="1" customHeight="1">
      <c r="A951" s="10">
        <f t="shared" ca="1" si="1480"/>
        <v>0</v>
      </c>
      <c r="B951" s="153"/>
      <c r="C951" s="154"/>
      <c r="D951" s="154"/>
      <c r="E951" s="161" t="s">
        <v>262</v>
      </c>
      <c r="F951" s="154"/>
      <c r="G951" s="154"/>
      <c r="H951" s="154"/>
      <c r="I951" s="154"/>
      <c r="J951" s="216"/>
      <c r="K951" s="216"/>
      <c r="L951" s="216"/>
      <c r="M951" s="216"/>
      <c r="N951" s="216"/>
      <c r="O951" s="154"/>
      <c r="P951" s="154"/>
      <c r="Q951" s="154"/>
      <c r="R951" s="154"/>
      <c r="S951" s="162"/>
      <c r="T951" s="162"/>
      <c r="U951" s="162"/>
      <c r="V951" s="162"/>
      <c r="W951" s="162"/>
      <c r="X951" s="162"/>
      <c r="Y951" s="162"/>
      <c r="Z951" s="162"/>
      <c r="AA951" s="162"/>
      <c r="AB951" s="162"/>
      <c r="AC951" s="162"/>
      <c r="AD951" s="217"/>
      <c r="AE951" s="148">
        <f>IF(SUM(S952:S953)&gt;0,IFERROR(TRUNC(A951,0),0),0)</f>
        <v>0</v>
      </c>
      <c r="AF951" s="149"/>
      <c r="AG951" s="150"/>
      <c r="AH951" s="159" t="e">
        <f t="shared" si="1479"/>
        <v>#DIV/0!</v>
      </c>
      <c r="AI951" s="160"/>
      <c r="AJ951" s="105"/>
      <c r="AK951" s="105"/>
      <c r="AM951" s="105"/>
      <c r="AN951" s="105"/>
      <c r="AO951" s="105"/>
      <c r="AP951" s="105"/>
      <c r="AQ951" s="105"/>
      <c r="AR951" s="105"/>
    </row>
    <row r="952" spans="1:44" s="49" customFormat="1" ht="40.15" hidden="1" customHeight="1">
      <c r="A952" s="152">
        <f t="shared" ca="1" si="1480"/>
        <v>0</v>
      </c>
      <c r="B952" s="153">
        <v>95876</v>
      </c>
      <c r="C952" s="154" t="str">
        <f>TEXT(B952,"0")</f>
        <v>95876</v>
      </c>
      <c r="D952" s="154" t="s">
        <v>1416</v>
      </c>
      <c r="E952" s="155" t="s">
        <v>3537</v>
      </c>
      <c r="F952" s="154">
        <f>IF(Dados_DMT!B34&lt;30,Dados_DMT!B34,30)</f>
        <v>30</v>
      </c>
      <c r="G952" s="154" t="s">
        <v>3538</v>
      </c>
      <c r="H952" s="152">
        <v>2.09</v>
      </c>
      <c r="I952" s="152">
        <v>2.1</v>
      </c>
      <c r="J952" s="156"/>
      <c r="K952" s="156">
        <f>ROUND(Ponto_Onibus!I52*F952,2)</f>
        <v>0</v>
      </c>
      <c r="L952" s="156">
        <f>IF($K952&gt;$J952,$K952-$J952,0)</f>
        <v>0</v>
      </c>
      <c r="M952" s="156">
        <f>IF($K952&lt;$J952,$J952-$K952,0)</f>
        <v>0</v>
      </c>
      <c r="N952" s="156" t="s">
        <v>83</v>
      </c>
      <c r="O952" s="157" cm="1">
        <f t="array" ref="O952">TRUNC($H952*(1+_xlfn.SWITCH($N952,"BDI 1",$O$6,"BDI 2",$O$7,"BDI 3",$O$8)),2)</f>
        <v>2.52</v>
      </c>
      <c r="P952" s="157" cm="1">
        <f t="array" ref="P952">TRUNC($I952*(1+_xlfn.SWITCH($N952,"BDI 1",$P$6,"BDI 2",$P$7,"BDI 3",$P$8)),2)</f>
        <v>2.66</v>
      </c>
      <c r="Q952" s="157">
        <v>0</v>
      </c>
      <c r="R952" s="157">
        <f>$Q952-($Q952*LICITACAO_DESCONTO)</f>
        <v>0</v>
      </c>
      <c r="S952" s="156">
        <f>TRUNC($K952*$O952,2)</f>
        <v>0</v>
      </c>
      <c r="T952" s="156">
        <f>TRUNC($K952*$P952,2)</f>
        <v>0</v>
      </c>
      <c r="U952" s="156">
        <f>TRUNC($J952*$R952,2)</f>
        <v>0</v>
      </c>
      <c r="V952" s="156">
        <f>TRUNC($K952*$Q952,2)</f>
        <v>0</v>
      </c>
      <c r="W952" s="156">
        <f>TRUNC(V952-U952,2)</f>
        <v>0</v>
      </c>
      <c r="X952" s="158">
        <f>$S952/ORCAMENTO_VALOR_TOTAL_ND</f>
        <v>0</v>
      </c>
      <c r="Y952" s="158">
        <f>$T952/ORCAMENTO_VALOR_TOTAL_DE</f>
        <v>0</v>
      </c>
      <c r="Z952" s="158" cm="1">
        <f t="array" ref="Z952">_xlfn.SWITCH($N952,"BDI 1",$O$6,"BDI 2",$O$7,"BDI 3",$O$8)</f>
        <v>0.20699999999999999</v>
      </c>
      <c r="AA952" s="158" cm="1">
        <f t="array" ref="AA952">_xlfn.SWITCH($N952,"BDI 1",$P$6,"BDI 2",$P$7,"BDI 3",$P$8)</f>
        <v>0.26739999999999997</v>
      </c>
      <c r="AB952" s="158">
        <f ca="1">IFERROR($S952/_xlfn.XLOOKUP($AE952,$B$16:$B$38,$S$16:$S$38),0)</f>
        <v>0</v>
      </c>
      <c r="AC952" s="158">
        <f ca="1">IFERROR($T952/_xlfn.XLOOKUP($AE952,$B$16:$B$38,$T$16:$T$38),0)</f>
        <v>0</v>
      </c>
      <c r="AD952" s="164"/>
      <c r="AE952" s="148">
        <f t="shared" ref="AE952:AE953" si="1531">IF(S952&gt;0,IFERROR(TRUNC(A952,0),0),0)</f>
        <v>0</v>
      </c>
      <c r="AF952" s="149"/>
      <c r="AG952" s="150"/>
      <c r="AH952" s="159" t="e">
        <f t="shared" si="1479"/>
        <v>#DIV/0!</v>
      </c>
      <c r="AI952" s="160"/>
      <c r="AJ952" s="105"/>
      <c r="AK952" s="105"/>
      <c r="AM952" s="105"/>
      <c r="AN952" s="105"/>
      <c r="AO952" s="105"/>
      <c r="AP952" s="105"/>
      <c r="AQ952" s="105"/>
      <c r="AR952" s="105"/>
    </row>
    <row r="953" spans="1:44" s="49" customFormat="1" ht="40.15" hidden="1" customHeight="1">
      <c r="A953" s="152">
        <f t="shared" ca="1" si="1480"/>
        <v>0</v>
      </c>
      <c r="B953" s="153">
        <v>93593</v>
      </c>
      <c r="C953" s="154" t="str">
        <f>TEXT(B953,"0")</f>
        <v>93593</v>
      </c>
      <c r="D953" s="154" t="s">
        <v>1416</v>
      </c>
      <c r="E953" s="155" t="s">
        <v>3545</v>
      </c>
      <c r="F953" s="154">
        <f>Dados_DMT!B34-F952</f>
        <v>80</v>
      </c>
      <c r="G953" s="154" t="s">
        <v>3538</v>
      </c>
      <c r="H953" s="152">
        <v>0.84</v>
      </c>
      <c r="I953" s="152">
        <v>0.85</v>
      </c>
      <c r="J953" s="156"/>
      <c r="K953" s="156">
        <f>ROUND(Ponto_Onibus!I52*F953,2)</f>
        <v>0</v>
      </c>
      <c r="L953" s="156">
        <f>IF($K953&gt;$J953,$K953-$J953,0)</f>
        <v>0</v>
      </c>
      <c r="M953" s="156">
        <f>IF($K953&lt;$J953,$J953-$K953,0)</f>
        <v>0</v>
      </c>
      <c r="N953" s="156" t="s">
        <v>83</v>
      </c>
      <c r="O953" s="157" cm="1">
        <f t="array" ref="O953">TRUNC($H953*(1+_xlfn.SWITCH($N953,"BDI 1",$O$6,"BDI 2",$O$7,"BDI 3",$O$8)),2)</f>
        <v>1.01</v>
      </c>
      <c r="P953" s="157" cm="1">
        <f t="array" ref="P953">TRUNC($I953*(1+_xlfn.SWITCH($N953,"BDI 1",$P$6,"BDI 2",$P$7,"BDI 3",$P$8)),2)</f>
        <v>1.07</v>
      </c>
      <c r="Q953" s="157">
        <v>0</v>
      </c>
      <c r="R953" s="157">
        <f>$Q953-($Q953*LICITACAO_DESCONTO)</f>
        <v>0</v>
      </c>
      <c r="S953" s="156">
        <f>TRUNC($K953*$O953,2)</f>
        <v>0</v>
      </c>
      <c r="T953" s="156">
        <f>TRUNC($K953*$P953,2)</f>
        <v>0</v>
      </c>
      <c r="U953" s="156">
        <f>TRUNC($J953*$R953,2)</f>
        <v>0</v>
      </c>
      <c r="V953" s="156">
        <f>TRUNC($K953*$Q953,2)</f>
        <v>0</v>
      </c>
      <c r="W953" s="156">
        <f>TRUNC(V953-U953,2)</f>
        <v>0</v>
      </c>
      <c r="X953" s="158">
        <f>$S953/ORCAMENTO_VALOR_TOTAL_ND</f>
        <v>0</v>
      </c>
      <c r="Y953" s="158">
        <f>$T953/ORCAMENTO_VALOR_TOTAL_DE</f>
        <v>0</v>
      </c>
      <c r="Z953" s="158" cm="1">
        <f t="array" ref="Z953">_xlfn.SWITCH($N953,"BDI 1",$O$6,"BDI 2",$O$7,"BDI 3",$O$8)</f>
        <v>0.20699999999999999</v>
      </c>
      <c r="AA953" s="158" cm="1">
        <f t="array" ref="AA953">_xlfn.SWITCH($N953,"BDI 1",$P$6,"BDI 2",$P$7,"BDI 3",$P$8)</f>
        <v>0.26739999999999997</v>
      </c>
      <c r="AB953" s="158">
        <f ca="1">IFERROR($S953/_xlfn.XLOOKUP($AE953,$B$16:$B$38,$S$16:$S$38),0)</f>
        <v>0</v>
      </c>
      <c r="AC953" s="158">
        <f ca="1">IFERROR($T953/_xlfn.XLOOKUP($AE953,$B$16:$B$38,$T$16:$T$38),0)</f>
        <v>0</v>
      </c>
      <c r="AD953" s="164"/>
      <c r="AE953" s="148">
        <f t="shared" si="1531"/>
        <v>0</v>
      </c>
      <c r="AF953" s="149"/>
      <c r="AG953" s="150"/>
      <c r="AH953" s="159" t="e">
        <f t="shared" si="1479"/>
        <v>#DIV/0!</v>
      </c>
      <c r="AI953" s="160"/>
      <c r="AJ953" s="105"/>
      <c r="AK953" s="105"/>
      <c r="AM953" s="105"/>
      <c r="AN953" s="105"/>
      <c r="AO953" s="105"/>
      <c r="AP953" s="105"/>
      <c r="AQ953" s="105"/>
      <c r="AR953" s="105"/>
    </row>
    <row r="954" spans="1:44" s="49" customFormat="1" ht="40.15" hidden="1" customHeight="1">
      <c r="A954" s="10">
        <f t="shared" ca="1" si="1480"/>
        <v>0</v>
      </c>
      <c r="B954" s="153"/>
      <c r="C954" s="154"/>
      <c r="D954" s="154"/>
      <c r="E954" s="161" t="s">
        <v>272</v>
      </c>
      <c r="F954" s="154"/>
      <c r="G954" s="154"/>
      <c r="H954" s="152"/>
      <c r="I954" s="152"/>
      <c r="J954" s="216"/>
      <c r="K954" s="216"/>
      <c r="L954" s="216"/>
      <c r="M954" s="216"/>
      <c r="N954" s="216"/>
      <c r="O954" s="154"/>
      <c r="P954" s="154"/>
      <c r="Q954" s="154"/>
      <c r="R954" s="154"/>
      <c r="S954" s="162"/>
      <c r="T954" s="162"/>
      <c r="U954" s="162"/>
      <c r="V954" s="162"/>
      <c r="W954" s="162"/>
      <c r="X954" s="163"/>
      <c r="Y954" s="163"/>
      <c r="Z954" s="163"/>
      <c r="AA954" s="163"/>
      <c r="AB954" s="163"/>
      <c r="AC954" s="163"/>
      <c r="AD954" s="164"/>
      <c r="AE954" s="148">
        <f>IF(SUM(S955:S956)&gt;0,IFERROR(TRUNC(A954,0),0),0)</f>
        <v>0</v>
      </c>
      <c r="AF954" s="149"/>
      <c r="AG954" s="150"/>
      <c r="AH954" s="159" t="e">
        <f t="shared" si="1479"/>
        <v>#DIV/0!</v>
      </c>
      <c r="AI954" s="160"/>
      <c r="AJ954" s="105"/>
      <c r="AK954" s="105"/>
      <c r="AM954" s="105"/>
      <c r="AN954" s="105"/>
      <c r="AO954" s="105"/>
      <c r="AP954" s="105"/>
      <c r="AQ954" s="105"/>
      <c r="AR954" s="105"/>
    </row>
    <row r="955" spans="1:44" s="49" customFormat="1" ht="40.15" hidden="1" customHeight="1">
      <c r="A955" s="152">
        <f t="shared" ca="1" si="1480"/>
        <v>0</v>
      </c>
      <c r="B955" s="153">
        <v>102332</v>
      </c>
      <c r="C955" s="154" t="str">
        <f>TEXT(B955,"0")</f>
        <v>102332</v>
      </c>
      <c r="D955" s="154" t="s">
        <v>1416</v>
      </c>
      <c r="E955" s="155" t="s">
        <v>3547</v>
      </c>
      <c r="F955" s="154">
        <f>IF(Dados_DMT!B25&lt;30,Dados_DMT!B25,30)</f>
        <v>30</v>
      </c>
      <c r="G955" s="154" t="s">
        <v>3534</v>
      </c>
      <c r="H955" s="152">
        <v>1.79</v>
      </c>
      <c r="I955" s="152">
        <v>1.81</v>
      </c>
      <c r="J955" s="156"/>
      <c r="K955" s="156">
        <f>ROUND(Ponto_Onibus!I58*F955,2)</f>
        <v>0</v>
      </c>
      <c r="L955" s="156">
        <f>IF($K955&gt;$J955,$K955-$J955,0)</f>
        <v>0</v>
      </c>
      <c r="M955" s="156">
        <f>IF($K955&lt;$J955,$J955-$K955,0)</f>
        <v>0</v>
      </c>
      <c r="N955" s="156" t="s">
        <v>83</v>
      </c>
      <c r="O955" s="157" cm="1">
        <f t="array" ref="O955">TRUNC($H955*(1+_xlfn.SWITCH($N955,"BDI 1",$O$6,"BDI 2",$O$7,"BDI 3",$O$8)),2)</f>
        <v>2.16</v>
      </c>
      <c r="P955" s="157" cm="1">
        <f t="array" ref="P955">TRUNC($I955*(1+_xlfn.SWITCH($N955,"BDI 1",$P$6,"BDI 2",$P$7,"BDI 3",$P$8)),2)</f>
        <v>2.29</v>
      </c>
      <c r="Q955" s="157">
        <v>0</v>
      </c>
      <c r="R955" s="157">
        <f>$Q955-($Q955*LICITACAO_DESCONTO)</f>
        <v>0</v>
      </c>
      <c r="S955" s="156">
        <f>TRUNC($K955*$O955,2)</f>
        <v>0</v>
      </c>
      <c r="T955" s="156">
        <f>TRUNC($K955*$P955,2)</f>
        <v>0</v>
      </c>
      <c r="U955" s="156">
        <f>TRUNC($J955*$R955,2)</f>
        <v>0</v>
      </c>
      <c r="V955" s="156">
        <f>TRUNC($K955*$Q955,2)</f>
        <v>0</v>
      </c>
      <c r="W955" s="156">
        <f>TRUNC(V955-U955,2)</f>
        <v>0</v>
      </c>
      <c r="X955" s="158">
        <f>$S955/ORCAMENTO_VALOR_TOTAL_ND</f>
        <v>0</v>
      </c>
      <c r="Y955" s="158">
        <f>$T955/ORCAMENTO_VALOR_TOTAL_DE</f>
        <v>0</v>
      </c>
      <c r="Z955" s="158" cm="1">
        <f t="array" ref="Z955">_xlfn.SWITCH($N955,"BDI 1",$O$6,"BDI 2",$O$7,"BDI 3",$O$8)</f>
        <v>0.20699999999999999</v>
      </c>
      <c r="AA955" s="158" cm="1">
        <f t="array" ref="AA955">_xlfn.SWITCH($N955,"BDI 1",$P$6,"BDI 2",$P$7,"BDI 3",$P$8)</f>
        <v>0.26739999999999997</v>
      </c>
      <c r="AB955" s="158">
        <f ca="1">IFERROR($S955/_xlfn.XLOOKUP($AE955,$B$16:$B$38,$S$16:$S$38),0)</f>
        <v>0</v>
      </c>
      <c r="AC955" s="158">
        <f ca="1">IFERROR($T955/_xlfn.XLOOKUP($AE955,$B$16:$B$38,$T$16:$T$38),0)</f>
        <v>0</v>
      </c>
      <c r="AD955" s="164"/>
      <c r="AE955" s="148">
        <f t="shared" ref="AE955:AE956" si="1532">IF(S955&gt;0,IFERROR(TRUNC(A955,0),0),0)</f>
        <v>0</v>
      </c>
      <c r="AF955" s="149"/>
      <c r="AG955" s="150"/>
      <c r="AH955" s="159"/>
      <c r="AI955" s="160" t="s">
        <v>138</v>
      </c>
      <c r="AJ955" s="105"/>
      <c r="AK955" s="105"/>
      <c r="AM955" s="105"/>
      <c r="AN955" s="105"/>
      <c r="AO955" s="105"/>
      <c r="AP955" s="105"/>
      <c r="AQ955" s="105"/>
      <c r="AR955" s="105"/>
    </row>
    <row r="956" spans="1:44" s="49" customFormat="1" ht="40.15" hidden="1" customHeight="1">
      <c r="A956" s="152">
        <f t="shared" ca="1" si="1480"/>
        <v>0</v>
      </c>
      <c r="B956" s="153">
        <v>102333</v>
      </c>
      <c r="C956" s="154" t="str">
        <f>TEXT(B956,"0")</f>
        <v>102333</v>
      </c>
      <c r="D956" s="154" t="s">
        <v>1416</v>
      </c>
      <c r="E956" s="155" t="s">
        <v>3546</v>
      </c>
      <c r="F956" s="154">
        <f>Dados_DMT!B25-F955</f>
        <v>80</v>
      </c>
      <c r="G956" s="154" t="s">
        <v>3534</v>
      </c>
      <c r="H956" s="152">
        <v>0.72</v>
      </c>
      <c r="I956" s="152">
        <v>0.73</v>
      </c>
      <c r="J956" s="156"/>
      <c r="K956" s="156">
        <f>ROUND(Ponto_Onibus!I58*F956,2)</f>
        <v>0</v>
      </c>
      <c r="L956" s="156">
        <f>IF($K956&gt;$J956,$K956-$J956,0)</f>
        <v>0</v>
      </c>
      <c r="M956" s="156">
        <f>IF($K956&lt;$J956,$J956-$K956,0)</f>
        <v>0</v>
      </c>
      <c r="N956" s="156" t="s">
        <v>83</v>
      </c>
      <c r="O956" s="157" cm="1">
        <f t="array" ref="O956">TRUNC($H956*(1+_xlfn.SWITCH($N956,"BDI 1",$O$6,"BDI 2",$O$7,"BDI 3",$O$8)),2)</f>
        <v>0.86</v>
      </c>
      <c r="P956" s="157" cm="1">
        <f t="array" ref="P956">TRUNC($I956*(1+_xlfn.SWITCH($N956,"BDI 1",$P$6,"BDI 2",$P$7,"BDI 3",$P$8)),2)</f>
        <v>0.92</v>
      </c>
      <c r="Q956" s="157">
        <v>0</v>
      </c>
      <c r="R956" s="157">
        <f>$Q956-($Q956*LICITACAO_DESCONTO)</f>
        <v>0</v>
      </c>
      <c r="S956" s="156">
        <f>TRUNC($K956*$O956,2)</f>
        <v>0</v>
      </c>
      <c r="T956" s="156">
        <f>TRUNC($K956*$P956,2)</f>
        <v>0</v>
      </c>
      <c r="U956" s="156">
        <f>TRUNC($J956*$R956,2)</f>
        <v>0</v>
      </c>
      <c r="V956" s="156">
        <f>TRUNC($K956*$Q956,2)</f>
        <v>0</v>
      </c>
      <c r="W956" s="156">
        <f>TRUNC(V956-U956,2)</f>
        <v>0</v>
      </c>
      <c r="X956" s="158">
        <f>$S956/ORCAMENTO_VALOR_TOTAL_ND</f>
        <v>0</v>
      </c>
      <c r="Y956" s="158">
        <f>$T956/ORCAMENTO_VALOR_TOTAL_DE</f>
        <v>0</v>
      </c>
      <c r="Z956" s="158" cm="1">
        <f t="array" ref="Z956">_xlfn.SWITCH($N956,"BDI 1",$O$6,"BDI 2",$O$7,"BDI 3",$O$8)</f>
        <v>0.20699999999999999</v>
      </c>
      <c r="AA956" s="158" cm="1">
        <f t="array" ref="AA956">_xlfn.SWITCH($N956,"BDI 1",$P$6,"BDI 2",$P$7,"BDI 3",$P$8)</f>
        <v>0.26739999999999997</v>
      </c>
      <c r="AB956" s="158">
        <f ca="1">IFERROR($S956/_xlfn.XLOOKUP($AE956,$B$16:$B$38,$S$16:$S$38),0)</f>
        <v>0</v>
      </c>
      <c r="AC956" s="158">
        <f ca="1">IFERROR($T956/_xlfn.XLOOKUP($AE956,$B$16:$B$38,$T$16:$T$38),0)</f>
        <v>0</v>
      </c>
      <c r="AD956" s="164"/>
      <c r="AE956" s="148">
        <f t="shared" si="1532"/>
        <v>0</v>
      </c>
      <c r="AF956" s="149"/>
      <c r="AG956" s="150"/>
      <c r="AH956" s="159"/>
      <c r="AI956" s="160" t="s">
        <v>138</v>
      </c>
      <c r="AJ956" s="105"/>
      <c r="AK956" s="105"/>
      <c r="AM956" s="105"/>
      <c r="AN956" s="105"/>
      <c r="AO956" s="105"/>
      <c r="AP956" s="105"/>
      <c r="AQ956" s="105"/>
      <c r="AR956" s="105"/>
    </row>
    <row r="957" spans="1:44" s="49" customFormat="1" ht="40.15" hidden="1" customHeight="1">
      <c r="A957" s="10">
        <f t="shared" ca="1" si="1480"/>
        <v>0</v>
      </c>
      <c r="B957" s="153"/>
      <c r="C957" s="154"/>
      <c r="D957" s="154"/>
      <c r="E957" s="161" t="s">
        <v>341</v>
      </c>
      <c r="F957" s="154"/>
      <c r="G957" s="154"/>
      <c r="H957" s="152"/>
      <c r="I957" s="152"/>
      <c r="J957" s="154"/>
      <c r="K957" s="154"/>
      <c r="L957" s="154"/>
      <c r="M957" s="154"/>
      <c r="N957" s="154"/>
      <c r="O957" s="154"/>
      <c r="P957" s="154"/>
      <c r="Q957" s="154"/>
      <c r="R957" s="154"/>
      <c r="S957" s="162"/>
      <c r="T957" s="162"/>
      <c r="U957" s="162"/>
      <c r="V957" s="162"/>
      <c r="W957" s="162"/>
      <c r="X957" s="163"/>
      <c r="Y957" s="163"/>
      <c r="Z957" s="163"/>
      <c r="AA957" s="163"/>
      <c r="AB957" s="163"/>
      <c r="AC957" s="163"/>
      <c r="AD957" s="164"/>
      <c r="AE957" s="148">
        <f>IF(SUM(S958:S959)&gt;0,IFERROR(TRUNC(A957,0),0),0)</f>
        <v>0</v>
      </c>
      <c r="AF957" s="149"/>
      <c r="AG957" s="150"/>
      <c r="AH957" s="159" t="e">
        <f>+S957/$S$869</f>
        <v>#DIV/0!</v>
      </c>
      <c r="AI957" s="166">
        <f>IF(K957=0,0,K957/F957)</f>
        <v>0</v>
      </c>
      <c r="AJ957" s="105"/>
      <c r="AK957" s="105"/>
      <c r="AM957" s="105"/>
      <c r="AN957" s="105"/>
      <c r="AO957" s="105"/>
      <c r="AP957" s="105"/>
      <c r="AQ957" s="105"/>
      <c r="AR957" s="105"/>
    </row>
    <row r="958" spans="1:44" s="49" customFormat="1" ht="40.15" hidden="1" customHeight="1">
      <c r="A958" s="152">
        <f t="shared" ca="1" si="1480"/>
        <v>0</v>
      </c>
      <c r="B958" s="153">
        <v>100947</v>
      </c>
      <c r="C958" s="154" t="str">
        <f>TEXT(B958,"0")</f>
        <v>100947</v>
      </c>
      <c r="D958" s="154" t="s">
        <v>1416</v>
      </c>
      <c r="E958" s="155" t="s">
        <v>385</v>
      </c>
      <c r="F958" s="154">
        <f>IF(Dados_DMT!B35&lt;30,Dados_DMT!B35,30)</f>
        <v>0</v>
      </c>
      <c r="G958" s="154" t="s">
        <v>3534</v>
      </c>
      <c r="H958" s="152">
        <v>2.15</v>
      </c>
      <c r="I958" s="152">
        <v>2.13</v>
      </c>
      <c r="J958" s="218"/>
      <c r="K958" s="218">
        <f>ROUND(Ponto_Onibus!I56*F958,2)</f>
        <v>0</v>
      </c>
      <c r="L958" s="218">
        <f>IF($K958&gt;$J958,$K958-$J958,0)</f>
        <v>0</v>
      </c>
      <c r="M958" s="218">
        <f>IF($K958&lt;$J958,$J958-$K958,0)</f>
        <v>0</v>
      </c>
      <c r="N958" s="156" t="s">
        <v>83</v>
      </c>
      <c r="O958" s="157" cm="1">
        <f t="array" ref="O958">TRUNC($H958*(1+_xlfn.SWITCH($N958,"BDI 1",$O$6,"BDI 2",$O$7,"BDI 3",$O$8)),2)</f>
        <v>2.59</v>
      </c>
      <c r="P958" s="157" cm="1">
        <f t="array" ref="P958">TRUNC($I958*(1+_xlfn.SWITCH($N958,"BDI 1",$P$6,"BDI 2",$P$7,"BDI 3",$P$8)),2)</f>
        <v>2.69</v>
      </c>
      <c r="Q958" s="157">
        <v>0</v>
      </c>
      <c r="R958" s="157">
        <f>$Q958-($Q958*LICITACAO_DESCONTO)</f>
        <v>0</v>
      </c>
      <c r="S958" s="218">
        <f>TRUNC($K958*$O958,2)</f>
        <v>0</v>
      </c>
      <c r="T958" s="218">
        <f>TRUNC($K958*$P958,2)</f>
        <v>0</v>
      </c>
      <c r="U958" s="218">
        <f>TRUNC($J958*$R958,2)</f>
        <v>0</v>
      </c>
      <c r="V958" s="218">
        <f>TRUNC($K958*$Q958,2)</f>
        <v>0</v>
      </c>
      <c r="W958" s="218">
        <f>TRUNC(V958-U958,2)</f>
        <v>0</v>
      </c>
      <c r="X958" s="163">
        <f>$S958/ORCAMENTO_VALOR_TOTAL_ND</f>
        <v>0</v>
      </c>
      <c r="Y958" s="163">
        <f>$T958/ORCAMENTO_VALOR_TOTAL_DE</f>
        <v>0</v>
      </c>
      <c r="Z958" s="163" cm="1">
        <f t="array" ref="Z958">_xlfn.SWITCH($N958,"BDI 1",$O$6,"BDI 2",$O$7,"BDI 3",$O$8)</f>
        <v>0.20699999999999999</v>
      </c>
      <c r="AA958" s="163" cm="1">
        <f t="array" ref="AA958">_xlfn.SWITCH($N958,"BDI 1",$P$6,"BDI 2",$P$7,"BDI 3",$P$8)</f>
        <v>0.26739999999999997</v>
      </c>
      <c r="AB958" s="163">
        <f ca="1">IFERROR($S958/_xlfn.XLOOKUP($AE958,$B$16:$B$38,$S$16:$S$38),0)</f>
        <v>0</v>
      </c>
      <c r="AC958" s="163">
        <f ca="1">IFERROR($T958/_xlfn.XLOOKUP($AE958,$B$16:$B$38,$T$16:$T$38),0)</f>
        <v>0</v>
      </c>
      <c r="AD958" s="164"/>
      <c r="AE958" s="148">
        <f t="shared" ref="AE958:AE959" si="1533">IF(S958&gt;0,IFERROR(TRUNC(A958,0),0),0)</f>
        <v>0</v>
      </c>
      <c r="AF958" s="149"/>
      <c r="AG958" s="150"/>
      <c r="AH958" s="159"/>
      <c r="AI958" s="160"/>
      <c r="AJ958" s="105"/>
      <c r="AK958" s="105"/>
      <c r="AM958" s="105"/>
      <c r="AN958" s="105"/>
      <c r="AO958" s="105"/>
      <c r="AP958" s="105"/>
      <c r="AQ958" s="105"/>
      <c r="AR958" s="105"/>
    </row>
    <row r="959" spans="1:44" s="49" customFormat="1" ht="40.15" hidden="1" customHeight="1">
      <c r="A959" s="152">
        <f t="shared" ca="1" si="1480"/>
        <v>0</v>
      </c>
      <c r="B959" s="153">
        <v>100948</v>
      </c>
      <c r="C959" s="154" t="str">
        <f>TEXT(B959,"0")</f>
        <v>100948</v>
      </c>
      <c r="D959" s="154" t="s">
        <v>1416</v>
      </c>
      <c r="E959" s="155" t="s">
        <v>3615</v>
      </c>
      <c r="F959" s="154">
        <f>Dados_DMT!B35-F958</f>
        <v>0</v>
      </c>
      <c r="G959" s="154" t="s">
        <v>3534</v>
      </c>
      <c r="H959" s="152">
        <v>0.85</v>
      </c>
      <c r="I959" s="152">
        <v>0.84</v>
      </c>
      <c r="J959" s="218"/>
      <c r="K959" s="218">
        <f>ROUND(Ponto_Onibus!I56*F959,2)</f>
        <v>0</v>
      </c>
      <c r="L959" s="218">
        <f>IF($K959&gt;$J959,$K959-$J959,0)</f>
        <v>0</v>
      </c>
      <c r="M959" s="218">
        <f>IF($K959&lt;$J959,$J959-$K959,0)</f>
        <v>0</v>
      </c>
      <c r="N959" s="156" t="s">
        <v>83</v>
      </c>
      <c r="O959" s="157" cm="1">
        <f t="array" ref="O959">TRUNC($H959*(1+_xlfn.SWITCH($N959,"BDI 1",$O$6,"BDI 2",$O$7,"BDI 3",$O$8)),2)</f>
        <v>1.02</v>
      </c>
      <c r="P959" s="157" cm="1">
        <f t="array" ref="P959">TRUNC($I959*(1+_xlfn.SWITCH($N959,"BDI 1",$P$6,"BDI 2",$P$7,"BDI 3",$P$8)),2)</f>
        <v>1.06</v>
      </c>
      <c r="Q959" s="157">
        <v>0</v>
      </c>
      <c r="R959" s="157">
        <f>$Q959-($Q959*LICITACAO_DESCONTO)</f>
        <v>0</v>
      </c>
      <c r="S959" s="218">
        <f>TRUNC($K959*$O959,2)</f>
        <v>0</v>
      </c>
      <c r="T959" s="218">
        <f>TRUNC($K959*$P959,2)</f>
        <v>0</v>
      </c>
      <c r="U959" s="218">
        <f>TRUNC($J959*$R959,2)</f>
        <v>0</v>
      </c>
      <c r="V959" s="218">
        <f>TRUNC($K959*$Q959,2)</f>
        <v>0</v>
      </c>
      <c r="W959" s="218">
        <f>TRUNC(V959-U959,2)</f>
        <v>0</v>
      </c>
      <c r="X959" s="163">
        <f>$S959/ORCAMENTO_VALOR_TOTAL_ND</f>
        <v>0</v>
      </c>
      <c r="Y959" s="163">
        <f>$T959/ORCAMENTO_VALOR_TOTAL_DE</f>
        <v>0</v>
      </c>
      <c r="Z959" s="163" cm="1">
        <f t="array" ref="Z959">_xlfn.SWITCH($N959,"BDI 1",$O$6,"BDI 2",$O$7,"BDI 3",$O$8)</f>
        <v>0.20699999999999999</v>
      </c>
      <c r="AA959" s="163" cm="1">
        <f t="array" ref="AA959">_xlfn.SWITCH($N959,"BDI 1",$P$6,"BDI 2",$P$7,"BDI 3",$P$8)</f>
        <v>0.26739999999999997</v>
      </c>
      <c r="AB959" s="163">
        <f ca="1">IFERROR($S959/_xlfn.XLOOKUP($AE959,$B$16:$B$38,$S$16:$S$38),0)</f>
        <v>0</v>
      </c>
      <c r="AC959" s="163">
        <f ca="1">IFERROR($T959/_xlfn.XLOOKUP($AE959,$B$16:$B$38,$T$16:$T$38),0)</f>
        <v>0</v>
      </c>
      <c r="AD959" s="164"/>
      <c r="AE959" s="148">
        <f t="shared" si="1533"/>
        <v>0</v>
      </c>
      <c r="AF959" s="149"/>
      <c r="AG959" s="150"/>
      <c r="AH959" s="159"/>
      <c r="AI959" s="160"/>
      <c r="AJ959" s="105"/>
      <c r="AK959" s="105"/>
      <c r="AM959" s="105"/>
      <c r="AN959" s="105"/>
      <c r="AO959" s="105"/>
      <c r="AP959" s="105"/>
      <c r="AQ959" s="105"/>
      <c r="AR959" s="105"/>
    </row>
    <row r="960" spans="1:44" s="49" customFormat="1" ht="40.15" hidden="1" customHeight="1">
      <c r="A960" s="10">
        <f t="shared" ca="1" si="1480"/>
        <v>0</v>
      </c>
      <c r="B960" s="153"/>
      <c r="C960" s="154"/>
      <c r="D960" s="154"/>
      <c r="E960" s="155"/>
      <c r="F960" s="154"/>
      <c r="G960" s="154"/>
      <c r="H960" s="154"/>
      <c r="I960" s="154"/>
      <c r="J960" s="168"/>
      <c r="K960" s="168"/>
      <c r="L960" s="168"/>
      <c r="M960" s="168"/>
      <c r="N960" s="168"/>
      <c r="O960" s="157"/>
      <c r="P960" s="157"/>
      <c r="Q960" s="157"/>
      <c r="R960" s="157"/>
      <c r="S960" s="162"/>
      <c r="T960" s="162"/>
      <c r="U960" s="162"/>
      <c r="V960" s="162"/>
      <c r="W960" s="162"/>
      <c r="X960" s="163"/>
      <c r="Y960" s="163"/>
      <c r="Z960" s="163"/>
      <c r="AA960" s="163"/>
      <c r="AB960" s="163"/>
      <c r="AC960" s="163"/>
      <c r="AD960" s="164"/>
      <c r="AE960" s="148">
        <f>IF(S961&gt;0,IFERROR(TRUNC(A961,0),0),0)</f>
        <v>0</v>
      </c>
      <c r="AF960" s="149"/>
      <c r="AG960" s="150"/>
      <c r="AH960" s="159"/>
      <c r="AI960" s="160"/>
      <c r="AJ960" s="105"/>
      <c r="AK960" s="105"/>
      <c r="AM960" s="105"/>
      <c r="AN960" s="105"/>
      <c r="AO960" s="105"/>
      <c r="AP960" s="105"/>
      <c r="AQ960" s="105"/>
      <c r="AR960" s="105"/>
    </row>
    <row r="961" spans="1:44" s="219" customFormat="1" ht="40.15" hidden="1" customHeight="1">
      <c r="A961" s="169">
        <f ca="1">$B$33</f>
        <v>0</v>
      </c>
      <c r="B961" s="170"/>
      <c r="C961" s="171"/>
      <c r="D961" s="172"/>
      <c r="E961" s="173" t="str">
        <f>$D$33</f>
        <v>OBRAS DE ARTE ESPECIAIS - PONTE SOBRE O CÓRREGO MONTALVÃO - OPÇÃO PRÉ-TENSÃO</v>
      </c>
      <c r="F961" s="174">
        <v>0</v>
      </c>
      <c r="G961" s="175"/>
      <c r="H961" s="176" t="s">
        <v>342</v>
      </c>
      <c r="I961" s="176" t="s">
        <v>342</v>
      </c>
      <c r="J961" s="177"/>
      <c r="K961" s="177"/>
      <c r="L961" s="177"/>
      <c r="M961" s="177"/>
      <c r="N961" s="177"/>
      <c r="O961" s="178" t="str">
        <f ca="1">CONCATENATE("SUB-TOTAL ",$A961)</f>
        <v>SUB-TOTAL 0</v>
      </c>
      <c r="P961" s="178" t="e" cm="1">
        <f t="array" ref="P961">TRUNC($I961*(1+_xlfn.SWITCH($N961,"BDI 1",$P$6,"BDI 2",$P$7,"BDI 3",$P$8)),2)</f>
        <v>#VALUE!</v>
      </c>
      <c r="Q961" s="178" t="str">
        <f ca="1">CONCATENATE("SUB-TOTAL ",$A961)</f>
        <v>SUB-TOTAL 0</v>
      </c>
      <c r="R961" s="178"/>
      <c r="S961" s="179">
        <f>SUM(S963:S1116)</f>
        <v>0</v>
      </c>
      <c r="T961" s="179">
        <f>SUM(T963:T1116)</f>
        <v>0</v>
      </c>
      <c r="U961" s="179">
        <f>SUM(U963:U1116)</f>
        <v>0</v>
      </c>
      <c r="V961" s="179">
        <f>SUM(V963:V1116)</f>
        <v>0</v>
      </c>
      <c r="W961" s="179">
        <f>TRUNC(V961-U961,2)</f>
        <v>0</v>
      </c>
      <c r="X961" s="180">
        <f>+$S961/ORCAMENTO_VALOR_TOTAL_ND</f>
        <v>0</v>
      </c>
      <c r="Y961" s="180">
        <f>+$T961/ORCAMENTO_VALOR_TOTAL_DE</f>
        <v>0</v>
      </c>
      <c r="Z961" s="180"/>
      <c r="AA961" s="180"/>
      <c r="AB961" s="180">
        <f>IFERROR($S961/$S961,0)</f>
        <v>0</v>
      </c>
      <c r="AC961" s="180">
        <f>IFERROR($T961/$T961,0)</f>
        <v>0</v>
      </c>
      <c r="AD961" s="147"/>
      <c r="AE961" s="148">
        <f t="shared" ref="AE961:AE1024" si="1534">IF(S961&gt;0,IFERROR(TRUNC(A961,0),0),0)</f>
        <v>0</v>
      </c>
      <c r="AF961" s="149"/>
      <c r="AG961" s="150"/>
      <c r="AH961" s="151" t="e">
        <f>+S961/$S$961</f>
        <v>#DIV/0!</v>
      </c>
      <c r="AJ961" s="181" t="s">
        <v>105</v>
      </c>
      <c r="AK961" s="181" t="s">
        <v>106</v>
      </c>
      <c r="AQ961" s="219">
        <f>S961/(12*40)</f>
        <v>0</v>
      </c>
    </row>
    <row r="962" spans="1:44" s="49" customFormat="1" ht="40.15" hidden="1" customHeight="1">
      <c r="A962" s="152">
        <f t="shared" ref="A962:A1025" ca="1" si="1535">+IF(K962&gt;0,A959+0.01,A959)</f>
        <v>0</v>
      </c>
      <c r="B962" s="153"/>
      <c r="C962" s="154"/>
      <c r="D962" s="154"/>
      <c r="E962" s="161" t="s">
        <v>343</v>
      </c>
      <c r="F962" s="154"/>
      <c r="G962" s="154"/>
      <c r="H962" s="152"/>
      <c r="I962" s="152"/>
      <c r="J962" s="154"/>
      <c r="K962" s="154"/>
      <c r="L962" s="154"/>
      <c r="M962" s="154"/>
      <c r="N962" s="154"/>
      <c r="O962" s="162"/>
      <c r="P962" s="162"/>
      <c r="Q962" s="162"/>
      <c r="R962" s="162"/>
      <c r="S962" s="162"/>
      <c r="T962" s="162"/>
      <c r="U962" s="162"/>
      <c r="V962" s="162"/>
      <c r="W962" s="162"/>
      <c r="X962" s="163"/>
      <c r="Y962" s="163"/>
      <c r="Z962" s="163"/>
      <c r="AA962" s="163"/>
      <c r="AB962" s="163"/>
      <c r="AC962" s="163"/>
      <c r="AD962" s="164"/>
      <c r="AE962" s="148">
        <f t="shared" si="1534"/>
        <v>0</v>
      </c>
      <c r="AF962" s="149"/>
      <c r="AG962" s="150"/>
      <c r="AH962" s="159"/>
      <c r="AI962" s="160"/>
      <c r="AJ962" s="105"/>
      <c r="AK962" s="105"/>
      <c r="AM962" s="105"/>
      <c r="AN962" s="105"/>
      <c r="AO962" s="105"/>
      <c r="AP962" s="105"/>
      <c r="AQ962" s="105"/>
      <c r="AR962" s="105"/>
    </row>
    <row r="963" spans="1:44" s="49" customFormat="1" ht="40.15" hidden="1" customHeight="1">
      <c r="A963" s="152">
        <f t="shared" ca="1" si="1535"/>
        <v>0</v>
      </c>
      <c r="B963" s="153"/>
      <c r="C963" s="154"/>
      <c r="D963" s="154"/>
      <c r="E963" s="161" t="s">
        <v>344</v>
      </c>
      <c r="F963" s="154"/>
      <c r="G963" s="154"/>
      <c r="H963" s="152"/>
      <c r="I963" s="152"/>
      <c r="J963" s="154"/>
      <c r="K963" s="154"/>
      <c r="L963" s="154"/>
      <c r="M963" s="154"/>
      <c r="N963" s="154"/>
      <c r="O963" s="162"/>
      <c r="P963" s="162"/>
      <c r="Q963" s="162"/>
      <c r="R963" s="162"/>
      <c r="S963" s="162"/>
      <c r="T963" s="162"/>
      <c r="U963" s="162"/>
      <c r="V963" s="162"/>
      <c r="W963" s="162"/>
      <c r="X963" s="163"/>
      <c r="Y963" s="163"/>
      <c r="Z963" s="163"/>
      <c r="AA963" s="163"/>
      <c r="AB963" s="163"/>
      <c r="AC963" s="163"/>
      <c r="AD963" s="164"/>
      <c r="AE963" s="148">
        <f t="shared" si="1534"/>
        <v>0</v>
      </c>
      <c r="AF963" s="149"/>
      <c r="AG963" s="150"/>
      <c r="AH963" s="159"/>
      <c r="AI963" s="160"/>
      <c r="AJ963" s="105"/>
      <c r="AK963" s="105"/>
      <c r="AM963" s="105"/>
      <c r="AN963" s="105"/>
      <c r="AO963" s="105"/>
      <c r="AP963" s="105"/>
      <c r="AQ963" s="105"/>
      <c r="AR963" s="105"/>
    </row>
    <row r="964" spans="1:44" s="220" customFormat="1" ht="49.9" hidden="1" customHeight="1">
      <c r="A964" s="152">
        <f t="shared" ca="1" si="1535"/>
        <v>0</v>
      </c>
      <c r="B964" s="153" t="s">
        <v>345</v>
      </c>
      <c r="C964" s="154" t="str">
        <f t="shared" ref="C964:C976" si="1536">TEXT(B964,"0")</f>
        <v>DR/0024</v>
      </c>
      <c r="D964" s="154" t="s">
        <v>3549</v>
      </c>
      <c r="E964" s="155" t="s">
        <v>3935</v>
      </c>
      <c r="F964" s="154"/>
      <c r="G964" s="154" t="s">
        <v>464</v>
      </c>
      <c r="H964" s="152">
        <v>9.73</v>
      </c>
      <c r="I964" s="152">
        <v>9.77</v>
      </c>
      <c r="J964" s="156"/>
      <c r="K964" s="156"/>
      <c r="L964" s="156">
        <f t="shared" ref="L964:L976" si="1537">IF($K964&gt;$J964,$K964-$J964,0)</f>
        <v>0</v>
      </c>
      <c r="M964" s="156">
        <f t="shared" ref="M964:M976" si="1538">IF($K964&lt;$J964,$J964-$K964,0)</f>
        <v>0</v>
      </c>
      <c r="N964" s="156" t="s">
        <v>83</v>
      </c>
      <c r="O964" s="157" cm="1">
        <f t="array" ref="O964">TRUNC($H964*(1+_xlfn.SWITCH($N964,"BDI 1",$O$6,"BDI 2",$O$7,"BDI 3",$O$8)),2)</f>
        <v>11.74</v>
      </c>
      <c r="P964" s="157" cm="1">
        <f t="array" ref="P964">TRUNC($I964*(1+_xlfn.SWITCH($N964,"BDI 1",$P$6,"BDI 2",$P$7,"BDI 3",$P$8)),2)</f>
        <v>12.38</v>
      </c>
      <c r="Q964" s="157">
        <v>0</v>
      </c>
      <c r="R964" s="157">
        <f t="shared" ref="R964:R976" si="1539">$Q964-($Q964*LICITACAO_DESCONTO)</f>
        <v>0</v>
      </c>
      <c r="S964" s="156">
        <f t="shared" ref="S964:S976" si="1540">TRUNC($K964*$O964,2)</f>
        <v>0</v>
      </c>
      <c r="T964" s="156">
        <f t="shared" ref="T964:T976" si="1541">TRUNC($K964*$P964,2)</f>
        <v>0</v>
      </c>
      <c r="U964" s="156">
        <f t="shared" ref="U964:U976" si="1542">TRUNC($J964*$R964,2)</f>
        <v>0</v>
      </c>
      <c r="V964" s="156">
        <f t="shared" ref="V964:V976" si="1543">TRUNC($K964*$Q964,2)</f>
        <v>0</v>
      </c>
      <c r="W964" s="156">
        <f t="shared" ref="W964:W976" si="1544">TRUNC(V964-U964,2)</f>
        <v>0</v>
      </c>
      <c r="X964" s="158">
        <f t="shared" ref="X964" si="1545">$S964/ORCAMENTO_VALOR_TOTAL_ND</f>
        <v>0</v>
      </c>
      <c r="Y964" s="158">
        <f t="shared" ref="Y964" si="1546">$T964/ORCAMENTO_VALOR_TOTAL_DE</f>
        <v>0</v>
      </c>
      <c r="Z964" s="158" cm="1">
        <f t="array" ref="Z964">_xlfn.SWITCH($N964,"BDI 1",$O$6,"BDI 2",$O$7,"BDI 3",$O$8)</f>
        <v>0.20699999999999999</v>
      </c>
      <c r="AA964" s="158" cm="1">
        <f t="array" ref="AA964">_xlfn.SWITCH($N964,"BDI 1",$P$6,"BDI 2",$P$7,"BDI 3",$P$8)</f>
        <v>0.26739999999999997</v>
      </c>
      <c r="AB964" s="158">
        <f t="shared" ref="AB964:AB976" ca="1" si="1547">IFERROR($S964/_xlfn.XLOOKUP($AE964,$B$16:$B$38,$S$16:$S$38),0)</f>
        <v>0</v>
      </c>
      <c r="AC964" s="158">
        <f t="shared" ref="AC964:AC976" ca="1" si="1548">IFERROR($T964/_xlfn.XLOOKUP($AE964,$B$16:$B$38,$T$16:$T$38),0)</f>
        <v>0</v>
      </c>
      <c r="AD964" s="164"/>
      <c r="AE964" s="148">
        <f t="shared" si="1534"/>
        <v>0</v>
      </c>
      <c r="AF964" s="149"/>
      <c r="AG964" s="150"/>
      <c r="AH964" s="159" t="e">
        <f t="shared" ref="AH964:AH976" si="1549">+S964/$S$961</f>
        <v>#DIV/0!</v>
      </c>
      <c r="AI964" s="160"/>
      <c r="AJ964" s="182">
        <v>0</v>
      </c>
      <c r="AK964" s="183" t="e">
        <f t="shared" ref="AK964:AK969" si="1550">+K964/AJ964</f>
        <v>#DIV/0!</v>
      </c>
      <c r="AM964" s="219"/>
      <c r="AN964" s="219"/>
      <c r="AO964" s="219"/>
      <c r="AP964" s="219"/>
      <c r="AQ964" s="219"/>
      <c r="AR964" s="219"/>
    </row>
    <row r="965" spans="1:44" s="220" customFormat="1" ht="49.9" hidden="1" customHeight="1">
      <c r="A965" s="152">
        <f t="shared" ca="1" si="1535"/>
        <v>0</v>
      </c>
      <c r="B965" s="153">
        <v>101230</v>
      </c>
      <c r="C965" s="154" t="str">
        <f t="shared" si="1536"/>
        <v>101230</v>
      </c>
      <c r="D965" s="154" t="s">
        <v>1416</v>
      </c>
      <c r="E965" s="155" t="s">
        <v>3677</v>
      </c>
      <c r="F965" s="154"/>
      <c r="G965" s="154" t="s">
        <v>464</v>
      </c>
      <c r="H965" s="152">
        <v>10.7</v>
      </c>
      <c r="I965" s="152">
        <v>10.73</v>
      </c>
      <c r="J965" s="156"/>
      <c r="K965" s="156"/>
      <c r="L965" s="156">
        <f t="shared" si="1537"/>
        <v>0</v>
      </c>
      <c r="M965" s="156">
        <f t="shared" si="1538"/>
        <v>0</v>
      </c>
      <c r="N965" s="156" t="s">
        <v>83</v>
      </c>
      <c r="O965" s="157" cm="1">
        <f t="array" ref="O965">TRUNC($H965*(1+_xlfn.SWITCH($N965,"BDI 1",$O$6,"BDI 2",$O$7,"BDI 3",$O$8)),2)</f>
        <v>12.91</v>
      </c>
      <c r="P965" s="157" cm="1">
        <f t="array" ref="P965">TRUNC($I965*(1+_xlfn.SWITCH($N965,"BDI 1",$P$6,"BDI 2",$P$7,"BDI 3",$P$8)),2)</f>
        <v>13.59</v>
      </c>
      <c r="Q965" s="157">
        <v>0</v>
      </c>
      <c r="R965" s="157">
        <f t="shared" si="1539"/>
        <v>0</v>
      </c>
      <c r="S965" s="156">
        <f t="shared" si="1540"/>
        <v>0</v>
      </c>
      <c r="T965" s="156">
        <f t="shared" si="1541"/>
        <v>0</v>
      </c>
      <c r="U965" s="156">
        <f t="shared" si="1542"/>
        <v>0</v>
      </c>
      <c r="V965" s="156">
        <f t="shared" si="1543"/>
        <v>0</v>
      </c>
      <c r="W965" s="156">
        <f t="shared" si="1544"/>
        <v>0</v>
      </c>
      <c r="X965" s="158">
        <f t="shared" ref="X965" si="1551">$S965/ORCAMENTO_VALOR_TOTAL_ND</f>
        <v>0</v>
      </c>
      <c r="Y965" s="158">
        <f t="shared" ref="Y965" si="1552">$T965/ORCAMENTO_VALOR_TOTAL_DE</f>
        <v>0</v>
      </c>
      <c r="Z965" s="158" cm="1">
        <f t="array" ref="Z965">_xlfn.SWITCH($N965,"BDI 1",$O$6,"BDI 2",$O$7,"BDI 3",$O$8)</f>
        <v>0.20699999999999999</v>
      </c>
      <c r="AA965" s="158" cm="1">
        <f t="array" ref="AA965">_xlfn.SWITCH($N965,"BDI 1",$P$6,"BDI 2",$P$7,"BDI 3",$P$8)</f>
        <v>0.26739999999999997</v>
      </c>
      <c r="AB965" s="158">
        <f t="shared" ca="1" si="1547"/>
        <v>0</v>
      </c>
      <c r="AC965" s="158">
        <f t="shared" ca="1" si="1548"/>
        <v>0</v>
      </c>
      <c r="AD965" s="164"/>
      <c r="AE965" s="148">
        <f t="shared" si="1534"/>
        <v>0</v>
      </c>
      <c r="AF965" s="149"/>
      <c r="AG965" s="150"/>
      <c r="AH965" s="159" t="e">
        <f t="shared" si="1549"/>
        <v>#DIV/0!</v>
      </c>
      <c r="AI965" s="160"/>
      <c r="AJ965" s="182">
        <v>0</v>
      </c>
      <c r="AK965" s="183" t="e">
        <f t="shared" si="1550"/>
        <v>#DIV/0!</v>
      </c>
      <c r="AM965" s="219"/>
      <c r="AN965" s="219"/>
      <c r="AO965" s="219"/>
      <c r="AP965" s="219"/>
      <c r="AQ965" s="219"/>
      <c r="AR965" s="219"/>
    </row>
    <row r="966" spans="1:44" s="220" customFormat="1" ht="40.15" hidden="1" customHeight="1">
      <c r="A966" s="152">
        <f t="shared" ca="1" si="1535"/>
        <v>0</v>
      </c>
      <c r="B966" s="153">
        <v>95876</v>
      </c>
      <c r="C966" s="154" t="str">
        <f t="shared" si="1536"/>
        <v>95876</v>
      </c>
      <c r="D966" s="154" t="s">
        <v>1416</v>
      </c>
      <c r="E966" s="155" t="s">
        <v>3537</v>
      </c>
      <c r="F966" s="154">
        <f>Dados_DMT!B14</f>
        <v>3.5</v>
      </c>
      <c r="G966" s="154" t="s">
        <v>3538</v>
      </c>
      <c r="H966" s="152">
        <v>2.09</v>
      </c>
      <c r="I966" s="152">
        <v>2.1</v>
      </c>
      <c r="J966" s="156"/>
      <c r="K966" s="156">
        <f>ROUND(((K964+K965)*1.25-K974*1.25-K987*1.25)*F966,2)</f>
        <v>0</v>
      </c>
      <c r="L966" s="156">
        <f t="shared" si="1537"/>
        <v>0</v>
      </c>
      <c r="M966" s="156">
        <f t="shared" si="1538"/>
        <v>0</v>
      </c>
      <c r="N966" s="156" t="s">
        <v>83</v>
      </c>
      <c r="O966" s="157" cm="1">
        <f t="array" ref="O966">TRUNC($H966*(1+_xlfn.SWITCH($N966,"BDI 1",$O$6,"BDI 2",$O$7,"BDI 3",$O$8)),2)</f>
        <v>2.52</v>
      </c>
      <c r="P966" s="157" cm="1">
        <f t="array" ref="P966">TRUNC($I966*(1+_xlfn.SWITCH($N966,"BDI 1",$P$6,"BDI 2",$P$7,"BDI 3",$P$8)),2)</f>
        <v>2.66</v>
      </c>
      <c r="Q966" s="157">
        <v>0</v>
      </c>
      <c r="R966" s="157">
        <f t="shared" si="1539"/>
        <v>0</v>
      </c>
      <c r="S966" s="156">
        <f t="shared" si="1540"/>
        <v>0</v>
      </c>
      <c r="T966" s="156">
        <f t="shared" si="1541"/>
        <v>0</v>
      </c>
      <c r="U966" s="156">
        <f t="shared" si="1542"/>
        <v>0</v>
      </c>
      <c r="V966" s="156">
        <f t="shared" si="1543"/>
        <v>0</v>
      </c>
      <c r="W966" s="156">
        <f t="shared" si="1544"/>
        <v>0</v>
      </c>
      <c r="X966" s="158">
        <f t="shared" ref="X966" si="1553">$S966/ORCAMENTO_VALOR_TOTAL_ND</f>
        <v>0</v>
      </c>
      <c r="Y966" s="158">
        <f t="shared" ref="Y966" si="1554">$T966/ORCAMENTO_VALOR_TOTAL_DE</f>
        <v>0</v>
      </c>
      <c r="Z966" s="158" cm="1">
        <f t="array" ref="Z966">_xlfn.SWITCH($N966,"BDI 1",$O$6,"BDI 2",$O$7,"BDI 3",$O$8)</f>
        <v>0.20699999999999999</v>
      </c>
      <c r="AA966" s="158" cm="1">
        <f t="array" ref="AA966">_xlfn.SWITCH($N966,"BDI 1",$P$6,"BDI 2",$P$7,"BDI 3",$P$8)</f>
        <v>0.26739999999999997</v>
      </c>
      <c r="AB966" s="158">
        <f t="shared" ca="1" si="1547"/>
        <v>0</v>
      </c>
      <c r="AC966" s="158">
        <f t="shared" ca="1" si="1548"/>
        <v>0</v>
      </c>
      <c r="AD966" s="164"/>
      <c r="AE966" s="148">
        <f t="shared" si="1534"/>
        <v>0</v>
      </c>
      <c r="AF966" s="149"/>
      <c r="AG966" s="150"/>
      <c r="AH966" s="159" t="e">
        <f t="shared" si="1549"/>
        <v>#DIV/0!</v>
      </c>
      <c r="AI966" s="160"/>
      <c r="AJ966" s="182">
        <v>0</v>
      </c>
      <c r="AK966" s="183" t="e">
        <f t="shared" si="1550"/>
        <v>#DIV/0!</v>
      </c>
      <c r="AM966" s="219"/>
      <c r="AN966" s="219"/>
      <c r="AO966" s="219"/>
      <c r="AP966" s="219"/>
      <c r="AQ966" s="219"/>
      <c r="AR966" s="219"/>
    </row>
    <row r="967" spans="1:44" s="220" customFormat="1" ht="40.15" hidden="1" customHeight="1">
      <c r="A967" s="152">
        <f t="shared" ca="1" si="1535"/>
        <v>0</v>
      </c>
      <c r="B967" s="153" t="s">
        <v>346</v>
      </c>
      <c r="C967" s="154" t="str">
        <f t="shared" si="1536"/>
        <v>SEL-307</v>
      </c>
      <c r="D967" s="154">
        <v>0</v>
      </c>
      <c r="E967" s="155" t="s">
        <v>3766</v>
      </c>
      <c r="F967" s="154"/>
      <c r="G967" s="154">
        <v>0</v>
      </c>
      <c r="H967" s="152">
        <v>0</v>
      </c>
      <c r="I967" s="152">
        <v>0</v>
      </c>
      <c r="J967" s="156"/>
      <c r="K967" s="156"/>
      <c r="L967" s="156">
        <f t="shared" si="1537"/>
        <v>0</v>
      </c>
      <c r="M967" s="156">
        <f t="shared" si="1538"/>
        <v>0</v>
      </c>
      <c r="N967" s="156" t="s">
        <v>83</v>
      </c>
      <c r="O967" s="157" cm="1">
        <f t="array" ref="O967">TRUNC($H967*(1+_xlfn.SWITCH($N967,"BDI 1",$O$6,"BDI 2",$O$7,"BDI 3",$O$8)),2)</f>
        <v>0</v>
      </c>
      <c r="P967" s="157" cm="1">
        <f t="array" ref="P967">TRUNC($I967*(1+_xlfn.SWITCH($N967,"BDI 1",$P$6,"BDI 2",$P$7,"BDI 3",$P$8)),2)</f>
        <v>0</v>
      </c>
      <c r="Q967" s="157">
        <v>0</v>
      </c>
      <c r="R967" s="157">
        <f t="shared" si="1539"/>
        <v>0</v>
      </c>
      <c r="S967" s="156">
        <f t="shared" si="1540"/>
        <v>0</v>
      </c>
      <c r="T967" s="156">
        <f t="shared" si="1541"/>
        <v>0</v>
      </c>
      <c r="U967" s="156">
        <f t="shared" si="1542"/>
        <v>0</v>
      </c>
      <c r="V967" s="156">
        <f t="shared" si="1543"/>
        <v>0</v>
      </c>
      <c r="W967" s="156">
        <f t="shared" si="1544"/>
        <v>0</v>
      </c>
      <c r="X967" s="158">
        <f t="shared" ref="X967" si="1555">$S967/ORCAMENTO_VALOR_TOTAL_ND</f>
        <v>0</v>
      </c>
      <c r="Y967" s="158">
        <f t="shared" ref="Y967" si="1556">$T967/ORCAMENTO_VALOR_TOTAL_DE</f>
        <v>0</v>
      </c>
      <c r="Z967" s="158" cm="1">
        <f t="array" ref="Z967">_xlfn.SWITCH($N967,"BDI 1",$O$6,"BDI 2",$O$7,"BDI 3",$O$8)</f>
        <v>0.20699999999999999</v>
      </c>
      <c r="AA967" s="158" cm="1">
        <f t="array" ref="AA967">_xlfn.SWITCH($N967,"BDI 1",$P$6,"BDI 2",$P$7,"BDI 3",$P$8)</f>
        <v>0.26739999999999997</v>
      </c>
      <c r="AB967" s="158">
        <f t="shared" ca="1" si="1547"/>
        <v>0</v>
      </c>
      <c r="AC967" s="158">
        <f t="shared" ca="1" si="1548"/>
        <v>0</v>
      </c>
      <c r="AD967" s="164"/>
      <c r="AE967" s="148">
        <f t="shared" si="1534"/>
        <v>0</v>
      </c>
      <c r="AF967" s="149"/>
      <c r="AG967" s="150"/>
      <c r="AH967" s="159" t="e">
        <f t="shared" si="1549"/>
        <v>#DIV/0!</v>
      </c>
      <c r="AI967" s="160"/>
      <c r="AJ967" s="184" t="e">
        <v>#N/A</v>
      </c>
      <c r="AK967" s="183" t="e">
        <f t="shared" si="1550"/>
        <v>#N/A</v>
      </c>
      <c r="AM967" s="219"/>
      <c r="AN967" s="219"/>
      <c r="AO967" s="219"/>
      <c r="AP967" s="219"/>
      <c r="AQ967" s="219" t="e">
        <f>K967+#REF!+#REF!+#REF!+#REF!+K1021+#REF!+K1044+K1053+K1079+K1086</f>
        <v>#REF!</v>
      </c>
      <c r="AR967" s="219"/>
    </row>
    <row r="968" spans="1:44" s="220" customFormat="1" ht="40.15" hidden="1" customHeight="1">
      <c r="A968" s="152">
        <f t="shared" ca="1" si="1535"/>
        <v>0</v>
      </c>
      <c r="B968" s="153">
        <v>103673</v>
      </c>
      <c r="C968" s="154" t="str">
        <f t="shared" si="1536"/>
        <v>103673</v>
      </c>
      <c r="D968" s="154" t="s">
        <v>1416</v>
      </c>
      <c r="E968" s="155" t="s">
        <v>3795</v>
      </c>
      <c r="F968" s="154"/>
      <c r="G968" s="154" t="s">
        <v>464</v>
      </c>
      <c r="H968" s="152">
        <v>38.33</v>
      </c>
      <c r="I968" s="152">
        <v>34.799999999999997</v>
      </c>
      <c r="J968" s="156"/>
      <c r="K968" s="156">
        <f>K967</f>
        <v>0</v>
      </c>
      <c r="L968" s="156">
        <f t="shared" si="1537"/>
        <v>0</v>
      </c>
      <c r="M968" s="156">
        <f t="shared" si="1538"/>
        <v>0</v>
      </c>
      <c r="N968" s="156" t="s">
        <v>83</v>
      </c>
      <c r="O968" s="157" cm="1">
        <f t="array" ref="O968">TRUNC($H968*(1+_xlfn.SWITCH($N968,"BDI 1",$O$6,"BDI 2",$O$7,"BDI 3",$O$8)),2)</f>
        <v>46.26</v>
      </c>
      <c r="P968" s="157" cm="1">
        <f t="array" ref="P968">TRUNC($I968*(1+_xlfn.SWITCH($N968,"BDI 1",$P$6,"BDI 2",$P$7,"BDI 3",$P$8)),2)</f>
        <v>44.1</v>
      </c>
      <c r="Q968" s="157">
        <v>0</v>
      </c>
      <c r="R968" s="157">
        <f t="shared" si="1539"/>
        <v>0</v>
      </c>
      <c r="S968" s="156">
        <f t="shared" si="1540"/>
        <v>0</v>
      </c>
      <c r="T968" s="156">
        <f t="shared" si="1541"/>
        <v>0</v>
      </c>
      <c r="U968" s="156">
        <f t="shared" si="1542"/>
        <v>0</v>
      </c>
      <c r="V968" s="156">
        <f t="shared" si="1543"/>
        <v>0</v>
      </c>
      <c r="W968" s="156">
        <f t="shared" si="1544"/>
        <v>0</v>
      </c>
      <c r="X968" s="158">
        <f t="shared" ref="X968" si="1557">$S968/ORCAMENTO_VALOR_TOTAL_ND</f>
        <v>0</v>
      </c>
      <c r="Y968" s="158">
        <f t="shared" ref="Y968" si="1558">$T968/ORCAMENTO_VALOR_TOTAL_DE</f>
        <v>0</v>
      </c>
      <c r="Z968" s="158" cm="1">
        <f t="array" ref="Z968">_xlfn.SWITCH($N968,"BDI 1",$O$6,"BDI 2",$O$7,"BDI 3",$O$8)</f>
        <v>0.20699999999999999</v>
      </c>
      <c r="AA968" s="158" cm="1">
        <f t="array" ref="AA968">_xlfn.SWITCH($N968,"BDI 1",$P$6,"BDI 2",$P$7,"BDI 3",$P$8)</f>
        <v>0.26739999999999997</v>
      </c>
      <c r="AB968" s="158">
        <f t="shared" ca="1" si="1547"/>
        <v>0</v>
      </c>
      <c r="AC968" s="158">
        <f t="shared" ca="1" si="1548"/>
        <v>0</v>
      </c>
      <c r="AD968" s="164"/>
      <c r="AE968" s="148">
        <f t="shared" si="1534"/>
        <v>0</v>
      </c>
      <c r="AF968" s="149"/>
      <c r="AG968" s="150"/>
      <c r="AH968" s="159" t="e">
        <f t="shared" si="1549"/>
        <v>#DIV/0!</v>
      </c>
      <c r="AI968" s="160"/>
      <c r="AJ968" s="184">
        <v>0</v>
      </c>
      <c r="AK968" s="183" t="e">
        <f t="shared" si="1550"/>
        <v>#DIV/0!</v>
      </c>
      <c r="AM968" s="219"/>
      <c r="AN968" s="219"/>
      <c r="AO968" s="219"/>
      <c r="AP968" s="219"/>
      <c r="AQ968" s="219">
        <f>K968+K983+K994+K1002+K1009+K1022+K1038+K1045+K1054+K1080+K1087</f>
        <v>0</v>
      </c>
      <c r="AR968" s="219"/>
    </row>
    <row r="969" spans="1:44" s="220" customFormat="1" ht="40.15" hidden="1" customHeight="1">
      <c r="A969" s="152">
        <f t="shared" ca="1" si="1535"/>
        <v>0</v>
      </c>
      <c r="B969" s="153">
        <v>94969</v>
      </c>
      <c r="C969" s="154" t="str">
        <f t="shared" si="1536"/>
        <v>94969</v>
      </c>
      <c r="D969" s="154" t="s">
        <v>1416</v>
      </c>
      <c r="E969" s="155" t="s">
        <v>3936</v>
      </c>
      <c r="F969" s="154"/>
      <c r="G969" s="154" t="s">
        <v>464</v>
      </c>
      <c r="H969" s="152">
        <v>422.25</v>
      </c>
      <c r="I969" s="152">
        <v>421.36</v>
      </c>
      <c r="J969" s="156"/>
      <c r="K969" s="156"/>
      <c r="L969" s="156">
        <f t="shared" si="1537"/>
        <v>0</v>
      </c>
      <c r="M969" s="156">
        <f t="shared" si="1538"/>
        <v>0</v>
      </c>
      <c r="N969" s="156" t="s">
        <v>83</v>
      </c>
      <c r="O969" s="157" cm="1">
        <f t="array" ref="O969">TRUNC($H969*(1+_xlfn.SWITCH($N969,"BDI 1",$O$6,"BDI 2",$O$7,"BDI 3",$O$8)),2)</f>
        <v>509.65</v>
      </c>
      <c r="P969" s="157" cm="1">
        <f t="array" ref="P969">TRUNC($I969*(1+_xlfn.SWITCH($N969,"BDI 1",$P$6,"BDI 2",$P$7,"BDI 3",$P$8)),2)</f>
        <v>534.03</v>
      </c>
      <c r="Q969" s="157">
        <v>0</v>
      </c>
      <c r="R969" s="157">
        <f t="shared" si="1539"/>
        <v>0</v>
      </c>
      <c r="S969" s="156">
        <f t="shared" si="1540"/>
        <v>0</v>
      </c>
      <c r="T969" s="156">
        <f t="shared" si="1541"/>
        <v>0</v>
      </c>
      <c r="U969" s="156">
        <f t="shared" si="1542"/>
        <v>0</v>
      </c>
      <c r="V969" s="156">
        <f t="shared" si="1543"/>
        <v>0</v>
      </c>
      <c r="W969" s="156">
        <f t="shared" si="1544"/>
        <v>0</v>
      </c>
      <c r="X969" s="158">
        <f t="shared" ref="X969" si="1559">$S969/ORCAMENTO_VALOR_TOTAL_ND</f>
        <v>0</v>
      </c>
      <c r="Y969" s="158">
        <f t="shared" ref="Y969" si="1560">$T969/ORCAMENTO_VALOR_TOTAL_DE</f>
        <v>0</v>
      </c>
      <c r="Z969" s="158" cm="1">
        <f t="array" ref="Z969">_xlfn.SWITCH($N969,"BDI 1",$O$6,"BDI 2",$O$7,"BDI 3",$O$8)</f>
        <v>0.20699999999999999</v>
      </c>
      <c r="AA969" s="158" cm="1">
        <f t="array" ref="AA969">_xlfn.SWITCH($N969,"BDI 1",$P$6,"BDI 2",$P$7,"BDI 3",$P$8)</f>
        <v>0.26739999999999997</v>
      </c>
      <c r="AB969" s="158">
        <f t="shared" ca="1" si="1547"/>
        <v>0</v>
      </c>
      <c r="AC969" s="158">
        <f t="shared" ca="1" si="1548"/>
        <v>0</v>
      </c>
      <c r="AD969" s="164"/>
      <c r="AE969" s="148">
        <f t="shared" si="1534"/>
        <v>0</v>
      </c>
      <c r="AF969" s="149"/>
      <c r="AG969" s="150"/>
      <c r="AH969" s="159" t="e">
        <f t="shared" si="1549"/>
        <v>#DIV/0!</v>
      </c>
      <c r="AI969" s="160"/>
      <c r="AJ969" s="182">
        <v>0</v>
      </c>
      <c r="AK969" s="183" t="e">
        <f t="shared" si="1550"/>
        <v>#DIV/0!</v>
      </c>
      <c r="AM969" s="219"/>
      <c r="AN969" s="219"/>
      <c r="AO969" s="219"/>
      <c r="AP969" s="219"/>
      <c r="AQ969" s="219"/>
      <c r="AR969" s="219"/>
    </row>
    <row r="970" spans="1:44" s="220" customFormat="1" ht="40.15" hidden="1" customHeight="1">
      <c r="A970" s="152">
        <f t="shared" ca="1" si="1535"/>
        <v>0</v>
      </c>
      <c r="B970" s="153">
        <v>103670</v>
      </c>
      <c r="C970" s="154" t="str">
        <f t="shared" si="1536"/>
        <v>103670</v>
      </c>
      <c r="D970" s="154" t="s">
        <v>1416</v>
      </c>
      <c r="E970" s="155" t="s">
        <v>3792</v>
      </c>
      <c r="F970" s="154"/>
      <c r="G970" s="154" t="s">
        <v>464</v>
      </c>
      <c r="H970" s="152">
        <v>272.37</v>
      </c>
      <c r="I970" s="152">
        <v>247.05</v>
      </c>
      <c r="J970" s="156"/>
      <c r="K970" s="156">
        <f>K969</f>
        <v>0</v>
      </c>
      <c r="L970" s="156">
        <f t="shared" si="1537"/>
        <v>0</v>
      </c>
      <c r="M970" s="156">
        <f t="shared" si="1538"/>
        <v>0</v>
      </c>
      <c r="N970" s="156" t="s">
        <v>83</v>
      </c>
      <c r="O970" s="157" cm="1">
        <f t="array" ref="O970">TRUNC($H970*(1+_xlfn.SWITCH($N970,"BDI 1",$O$6,"BDI 2",$O$7,"BDI 3",$O$8)),2)</f>
        <v>328.75</v>
      </c>
      <c r="P970" s="157" cm="1">
        <f t="array" ref="P970">TRUNC($I970*(1+_xlfn.SWITCH($N970,"BDI 1",$P$6,"BDI 2",$P$7,"BDI 3",$P$8)),2)</f>
        <v>313.11</v>
      </c>
      <c r="Q970" s="157">
        <v>0</v>
      </c>
      <c r="R970" s="157">
        <f t="shared" si="1539"/>
        <v>0</v>
      </c>
      <c r="S970" s="156">
        <f t="shared" si="1540"/>
        <v>0</v>
      </c>
      <c r="T970" s="156">
        <f t="shared" si="1541"/>
        <v>0</v>
      </c>
      <c r="U970" s="156">
        <f t="shared" si="1542"/>
        <v>0</v>
      </c>
      <c r="V970" s="156">
        <f t="shared" si="1543"/>
        <v>0</v>
      </c>
      <c r="W970" s="156">
        <f t="shared" si="1544"/>
        <v>0</v>
      </c>
      <c r="X970" s="158">
        <f t="shared" ref="X970" si="1561">$S970/ORCAMENTO_VALOR_TOTAL_ND</f>
        <v>0</v>
      </c>
      <c r="Y970" s="158">
        <f t="shared" ref="Y970" si="1562">$T970/ORCAMENTO_VALOR_TOTAL_DE</f>
        <v>0</v>
      </c>
      <c r="Z970" s="158" cm="1">
        <f t="array" ref="Z970">_xlfn.SWITCH($N970,"BDI 1",$O$6,"BDI 2",$O$7,"BDI 3",$O$8)</f>
        <v>0.20699999999999999</v>
      </c>
      <c r="AA970" s="158" cm="1">
        <f t="array" ref="AA970">_xlfn.SWITCH($N970,"BDI 1",$P$6,"BDI 2",$P$7,"BDI 3",$P$8)</f>
        <v>0.26739999999999997</v>
      </c>
      <c r="AB970" s="158">
        <f t="shared" ca="1" si="1547"/>
        <v>0</v>
      </c>
      <c r="AC970" s="158">
        <f t="shared" ca="1" si="1548"/>
        <v>0</v>
      </c>
      <c r="AD970" s="164"/>
      <c r="AE970" s="148">
        <f t="shared" si="1534"/>
        <v>0</v>
      </c>
      <c r="AF970" s="149"/>
      <c r="AG970" s="150"/>
      <c r="AH970" s="159" t="e">
        <f t="shared" si="1549"/>
        <v>#DIV/0!</v>
      </c>
      <c r="AI970" s="160"/>
      <c r="AJ970" s="182"/>
      <c r="AK970" s="183"/>
      <c r="AM970" s="219"/>
      <c r="AN970" s="219"/>
      <c r="AO970" s="219"/>
      <c r="AP970" s="219"/>
      <c r="AQ970" s="219"/>
      <c r="AR970" s="219"/>
    </row>
    <row r="971" spans="1:44" s="220" customFormat="1" ht="40.15" hidden="1" customHeight="1">
      <c r="A971" s="152">
        <f t="shared" ca="1" si="1535"/>
        <v>0</v>
      </c>
      <c r="B971" s="153">
        <v>96541</v>
      </c>
      <c r="C971" s="154" t="str">
        <f t="shared" si="1536"/>
        <v>96541</v>
      </c>
      <c r="D971" s="154" t="s">
        <v>1416</v>
      </c>
      <c r="E971" s="155" t="s">
        <v>3937</v>
      </c>
      <c r="F971" s="154"/>
      <c r="G971" s="154" t="s">
        <v>1418</v>
      </c>
      <c r="H971" s="152">
        <v>165.49</v>
      </c>
      <c r="I971" s="152">
        <v>154.08000000000001</v>
      </c>
      <c r="J971" s="156"/>
      <c r="K971" s="156"/>
      <c r="L971" s="156">
        <f t="shared" si="1537"/>
        <v>0</v>
      </c>
      <c r="M971" s="156">
        <f t="shared" si="1538"/>
        <v>0</v>
      </c>
      <c r="N971" s="156" t="s">
        <v>83</v>
      </c>
      <c r="O971" s="157" cm="1">
        <f t="array" ref="O971">TRUNC($H971*(1+_xlfn.SWITCH($N971,"BDI 1",$O$6,"BDI 2",$O$7,"BDI 3",$O$8)),2)</f>
        <v>199.74</v>
      </c>
      <c r="P971" s="157" cm="1">
        <f t="array" ref="P971">TRUNC($I971*(1+_xlfn.SWITCH($N971,"BDI 1",$P$6,"BDI 2",$P$7,"BDI 3",$P$8)),2)</f>
        <v>195.28</v>
      </c>
      <c r="Q971" s="157">
        <v>0</v>
      </c>
      <c r="R971" s="157">
        <f t="shared" si="1539"/>
        <v>0</v>
      </c>
      <c r="S971" s="156">
        <f t="shared" si="1540"/>
        <v>0</v>
      </c>
      <c r="T971" s="156">
        <f t="shared" si="1541"/>
        <v>0</v>
      </c>
      <c r="U971" s="156">
        <f t="shared" si="1542"/>
        <v>0</v>
      </c>
      <c r="V971" s="156">
        <f t="shared" si="1543"/>
        <v>0</v>
      </c>
      <c r="W971" s="156">
        <f t="shared" si="1544"/>
        <v>0</v>
      </c>
      <c r="X971" s="158">
        <f t="shared" ref="X971" si="1563">$S971/ORCAMENTO_VALOR_TOTAL_ND</f>
        <v>0</v>
      </c>
      <c r="Y971" s="158">
        <f t="shared" ref="Y971" si="1564">$T971/ORCAMENTO_VALOR_TOTAL_DE</f>
        <v>0</v>
      </c>
      <c r="Z971" s="158" cm="1">
        <f t="array" ref="Z971">_xlfn.SWITCH($N971,"BDI 1",$O$6,"BDI 2",$O$7,"BDI 3",$O$8)</f>
        <v>0.20699999999999999</v>
      </c>
      <c r="AA971" s="158" cm="1">
        <f t="array" ref="AA971">_xlfn.SWITCH($N971,"BDI 1",$P$6,"BDI 2",$P$7,"BDI 3",$P$8)</f>
        <v>0.26739999999999997</v>
      </c>
      <c r="AB971" s="158">
        <f t="shared" ca="1" si="1547"/>
        <v>0</v>
      </c>
      <c r="AC971" s="158">
        <f t="shared" ca="1" si="1548"/>
        <v>0</v>
      </c>
      <c r="AD971" s="164"/>
      <c r="AE971" s="148">
        <f t="shared" si="1534"/>
        <v>0</v>
      </c>
      <c r="AF971" s="149"/>
      <c r="AG971" s="150"/>
      <c r="AH971" s="159" t="e">
        <f t="shared" si="1549"/>
        <v>#DIV/0!</v>
      </c>
      <c r="AI971" s="160"/>
      <c r="AJ971" s="184">
        <v>0</v>
      </c>
      <c r="AK971" s="183" t="e">
        <f>+K971/AJ971</f>
        <v>#DIV/0!</v>
      </c>
      <c r="AM971" s="219"/>
      <c r="AN971" s="219"/>
      <c r="AO971" s="219"/>
      <c r="AP971" s="219"/>
      <c r="AQ971" s="219"/>
      <c r="AR971" s="219"/>
    </row>
    <row r="972" spans="1:44" s="220" customFormat="1" ht="40.15" hidden="1" customHeight="1">
      <c r="A972" s="152">
        <f t="shared" ca="1" si="1535"/>
        <v>0</v>
      </c>
      <c r="B972" s="153">
        <v>96546</v>
      </c>
      <c r="C972" s="154" t="str">
        <f t="shared" si="1536"/>
        <v>96546</v>
      </c>
      <c r="D972" s="154" t="s">
        <v>1416</v>
      </c>
      <c r="E972" s="155" t="s">
        <v>3938</v>
      </c>
      <c r="F972" s="154"/>
      <c r="G972" s="154" t="s">
        <v>3802</v>
      </c>
      <c r="H972" s="152">
        <v>14.25</v>
      </c>
      <c r="I972" s="152">
        <v>13.8</v>
      </c>
      <c r="J972" s="156"/>
      <c r="K972" s="156"/>
      <c r="L972" s="156">
        <f t="shared" si="1537"/>
        <v>0</v>
      </c>
      <c r="M972" s="156">
        <f t="shared" si="1538"/>
        <v>0</v>
      </c>
      <c r="N972" s="156" t="s">
        <v>83</v>
      </c>
      <c r="O972" s="157" cm="1">
        <f t="array" ref="O972">TRUNC($H972*(1+_xlfn.SWITCH($N972,"BDI 1",$O$6,"BDI 2",$O$7,"BDI 3",$O$8)),2)</f>
        <v>17.190000000000001</v>
      </c>
      <c r="P972" s="157" cm="1">
        <f t="array" ref="P972">TRUNC($I972*(1+_xlfn.SWITCH($N972,"BDI 1",$P$6,"BDI 2",$P$7,"BDI 3",$P$8)),2)</f>
        <v>17.489999999999998</v>
      </c>
      <c r="Q972" s="157">
        <v>0</v>
      </c>
      <c r="R972" s="157">
        <f t="shared" si="1539"/>
        <v>0</v>
      </c>
      <c r="S972" s="156">
        <f t="shared" si="1540"/>
        <v>0</v>
      </c>
      <c r="T972" s="156">
        <f t="shared" si="1541"/>
        <v>0</v>
      </c>
      <c r="U972" s="156">
        <f t="shared" si="1542"/>
        <v>0</v>
      </c>
      <c r="V972" s="156">
        <f t="shared" si="1543"/>
        <v>0</v>
      </c>
      <c r="W972" s="156">
        <f t="shared" si="1544"/>
        <v>0</v>
      </c>
      <c r="X972" s="158">
        <f t="shared" ref="X972" si="1565">$S972/ORCAMENTO_VALOR_TOTAL_ND</f>
        <v>0</v>
      </c>
      <c r="Y972" s="158">
        <f t="shared" ref="Y972" si="1566">$T972/ORCAMENTO_VALOR_TOTAL_DE</f>
        <v>0</v>
      </c>
      <c r="Z972" s="158" cm="1">
        <f t="array" ref="Z972">_xlfn.SWITCH($N972,"BDI 1",$O$6,"BDI 2",$O$7,"BDI 3",$O$8)</f>
        <v>0.20699999999999999</v>
      </c>
      <c r="AA972" s="158" cm="1">
        <f t="array" ref="AA972">_xlfn.SWITCH($N972,"BDI 1",$P$6,"BDI 2",$P$7,"BDI 3",$P$8)</f>
        <v>0.26739999999999997</v>
      </c>
      <c r="AB972" s="158">
        <f t="shared" ca="1" si="1547"/>
        <v>0</v>
      </c>
      <c r="AC972" s="158">
        <f t="shared" ca="1" si="1548"/>
        <v>0</v>
      </c>
      <c r="AD972" s="164"/>
      <c r="AE972" s="148">
        <f t="shared" si="1534"/>
        <v>0</v>
      </c>
      <c r="AF972" s="149"/>
      <c r="AG972" s="150"/>
      <c r="AH972" s="159" t="e">
        <f t="shared" si="1549"/>
        <v>#DIV/0!</v>
      </c>
      <c r="AI972" s="160"/>
      <c r="AJ972" s="219"/>
      <c r="AK972" s="219"/>
      <c r="AM972" s="219"/>
      <c r="AN972" s="219"/>
      <c r="AO972" s="219"/>
      <c r="AP972" s="219"/>
      <c r="AQ972" s="219"/>
      <c r="AR972" s="219"/>
    </row>
    <row r="973" spans="1:44" s="220" customFormat="1" ht="40.15" hidden="1" customHeight="1">
      <c r="A973" s="152">
        <f t="shared" ca="1" si="1535"/>
        <v>0</v>
      </c>
      <c r="B973" s="153">
        <v>104920</v>
      </c>
      <c r="C973" s="154" t="str">
        <f t="shared" si="1536"/>
        <v>104920</v>
      </c>
      <c r="D973" s="154" t="s">
        <v>1416</v>
      </c>
      <c r="E973" s="155" t="s">
        <v>3939</v>
      </c>
      <c r="F973" s="154"/>
      <c r="G973" s="154" t="s">
        <v>3802</v>
      </c>
      <c r="H973" s="152">
        <v>11.15</v>
      </c>
      <c r="I973" s="152">
        <v>10.85</v>
      </c>
      <c r="J973" s="156"/>
      <c r="K973" s="156"/>
      <c r="L973" s="156">
        <f t="shared" si="1537"/>
        <v>0</v>
      </c>
      <c r="M973" s="156">
        <f t="shared" si="1538"/>
        <v>0</v>
      </c>
      <c r="N973" s="156" t="s">
        <v>83</v>
      </c>
      <c r="O973" s="157" cm="1">
        <f t="array" ref="O973">TRUNC($H973*(1+_xlfn.SWITCH($N973,"BDI 1",$O$6,"BDI 2",$O$7,"BDI 3",$O$8)),2)</f>
        <v>13.45</v>
      </c>
      <c r="P973" s="157" cm="1">
        <f t="array" ref="P973">TRUNC($I973*(1+_xlfn.SWITCH($N973,"BDI 1",$P$6,"BDI 2",$P$7,"BDI 3",$P$8)),2)</f>
        <v>13.75</v>
      </c>
      <c r="Q973" s="157">
        <v>0</v>
      </c>
      <c r="R973" s="157">
        <f t="shared" si="1539"/>
        <v>0</v>
      </c>
      <c r="S973" s="156">
        <f t="shared" si="1540"/>
        <v>0</v>
      </c>
      <c r="T973" s="156">
        <f t="shared" si="1541"/>
        <v>0</v>
      </c>
      <c r="U973" s="156">
        <f t="shared" si="1542"/>
        <v>0</v>
      </c>
      <c r="V973" s="156">
        <f t="shared" si="1543"/>
        <v>0</v>
      </c>
      <c r="W973" s="156">
        <f t="shared" si="1544"/>
        <v>0</v>
      </c>
      <c r="X973" s="158">
        <f t="shared" ref="X973" si="1567">$S973/ORCAMENTO_VALOR_TOTAL_ND</f>
        <v>0</v>
      </c>
      <c r="Y973" s="158">
        <f t="shared" ref="Y973" si="1568">$T973/ORCAMENTO_VALOR_TOTAL_DE</f>
        <v>0</v>
      </c>
      <c r="Z973" s="158" cm="1">
        <f t="array" ref="Z973">_xlfn.SWITCH($N973,"BDI 1",$O$6,"BDI 2",$O$7,"BDI 3",$O$8)</f>
        <v>0.20699999999999999</v>
      </c>
      <c r="AA973" s="158" cm="1">
        <f t="array" ref="AA973">_xlfn.SWITCH($N973,"BDI 1",$P$6,"BDI 2",$P$7,"BDI 3",$P$8)</f>
        <v>0.26739999999999997</v>
      </c>
      <c r="AB973" s="158">
        <f t="shared" ca="1" si="1547"/>
        <v>0</v>
      </c>
      <c r="AC973" s="158">
        <f t="shared" ca="1" si="1548"/>
        <v>0</v>
      </c>
      <c r="AD973" s="164"/>
      <c r="AE973" s="148">
        <f t="shared" si="1534"/>
        <v>0</v>
      </c>
      <c r="AF973" s="149"/>
      <c r="AG973" s="150"/>
      <c r="AH973" s="159" t="e">
        <f t="shared" si="1549"/>
        <v>#DIV/0!</v>
      </c>
      <c r="AI973" s="160"/>
      <c r="AJ973" s="182">
        <v>0</v>
      </c>
      <c r="AK973" s="183" t="e">
        <f>+K973/AJ973</f>
        <v>#DIV/0!</v>
      </c>
      <c r="AM973" s="219"/>
      <c r="AN973" s="219"/>
      <c r="AO973" s="219"/>
      <c r="AP973" s="219"/>
      <c r="AQ973" s="219"/>
      <c r="AR973" s="219"/>
    </row>
    <row r="974" spans="1:44" s="220" customFormat="1" ht="49.9" hidden="1" customHeight="1">
      <c r="A974" s="152">
        <f t="shared" ca="1" si="1535"/>
        <v>0</v>
      </c>
      <c r="B974" s="153">
        <v>93373</v>
      </c>
      <c r="C974" s="154" t="str">
        <f t="shared" si="1536"/>
        <v>93373</v>
      </c>
      <c r="D974" s="154" t="s">
        <v>1416</v>
      </c>
      <c r="E974" s="155" t="s">
        <v>3675</v>
      </c>
      <c r="F974" s="154"/>
      <c r="G974" s="154" t="s">
        <v>464</v>
      </c>
      <c r="H974" s="152">
        <v>12.97</v>
      </c>
      <c r="I974" s="152">
        <v>12.47</v>
      </c>
      <c r="J974" s="156"/>
      <c r="K974" s="156"/>
      <c r="L974" s="156">
        <f t="shared" si="1537"/>
        <v>0</v>
      </c>
      <c r="M974" s="156">
        <f t="shared" si="1538"/>
        <v>0</v>
      </c>
      <c r="N974" s="156" t="s">
        <v>83</v>
      </c>
      <c r="O974" s="157" cm="1">
        <f t="array" ref="O974">TRUNC($H974*(1+_xlfn.SWITCH($N974,"BDI 1",$O$6,"BDI 2",$O$7,"BDI 3",$O$8)),2)</f>
        <v>15.65</v>
      </c>
      <c r="P974" s="157" cm="1">
        <f t="array" ref="P974">TRUNC($I974*(1+_xlfn.SWITCH($N974,"BDI 1",$P$6,"BDI 2",$P$7,"BDI 3",$P$8)),2)</f>
        <v>15.8</v>
      </c>
      <c r="Q974" s="157">
        <v>0</v>
      </c>
      <c r="R974" s="157">
        <f t="shared" si="1539"/>
        <v>0</v>
      </c>
      <c r="S974" s="156">
        <f t="shared" si="1540"/>
        <v>0</v>
      </c>
      <c r="T974" s="156">
        <f t="shared" si="1541"/>
        <v>0</v>
      </c>
      <c r="U974" s="156">
        <f t="shared" si="1542"/>
        <v>0</v>
      </c>
      <c r="V974" s="156">
        <f t="shared" si="1543"/>
        <v>0</v>
      </c>
      <c r="W974" s="156">
        <f t="shared" si="1544"/>
        <v>0</v>
      </c>
      <c r="X974" s="158">
        <f t="shared" ref="X974" si="1569">$S974/ORCAMENTO_VALOR_TOTAL_ND</f>
        <v>0</v>
      </c>
      <c r="Y974" s="158">
        <f t="shared" ref="Y974" si="1570">$T974/ORCAMENTO_VALOR_TOTAL_DE</f>
        <v>0</v>
      </c>
      <c r="Z974" s="158" cm="1">
        <f t="array" ref="Z974">_xlfn.SWITCH($N974,"BDI 1",$O$6,"BDI 2",$O$7,"BDI 3",$O$8)</f>
        <v>0.20699999999999999</v>
      </c>
      <c r="AA974" s="158" cm="1">
        <f t="array" ref="AA974">_xlfn.SWITCH($N974,"BDI 1",$P$6,"BDI 2",$P$7,"BDI 3",$P$8)</f>
        <v>0.26739999999999997</v>
      </c>
      <c r="AB974" s="158">
        <f t="shared" ca="1" si="1547"/>
        <v>0</v>
      </c>
      <c r="AC974" s="158">
        <f t="shared" ca="1" si="1548"/>
        <v>0</v>
      </c>
      <c r="AD974" s="164"/>
      <c r="AE974" s="148">
        <f t="shared" si="1534"/>
        <v>0</v>
      </c>
      <c r="AF974" s="149"/>
      <c r="AG974" s="150"/>
      <c r="AH974" s="159" t="e">
        <f t="shared" si="1549"/>
        <v>#DIV/0!</v>
      </c>
      <c r="AI974" s="160"/>
      <c r="AJ974" s="219"/>
      <c r="AK974" s="219"/>
      <c r="AM974" s="219"/>
      <c r="AN974" s="219"/>
      <c r="AO974" s="219"/>
      <c r="AP974" s="219"/>
      <c r="AQ974" s="219"/>
      <c r="AR974" s="219"/>
    </row>
    <row r="975" spans="1:44" s="220" customFormat="1" ht="40.15" hidden="1" customHeight="1">
      <c r="A975" s="152">
        <f t="shared" ca="1" si="1535"/>
        <v>0</v>
      </c>
      <c r="B975" s="153" t="s">
        <v>347</v>
      </c>
      <c r="C975" s="154" t="str">
        <f t="shared" si="1536"/>
        <v>DR/0033</v>
      </c>
      <c r="D975" s="154" t="s">
        <v>3549</v>
      </c>
      <c r="E975" s="155" t="s">
        <v>3940</v>
      </c>
      <c r="F975" s="154"/>
      <c r="G975" s="154" t="s">
        <v>464</v>
      </c>
      <c r="H975" s="152">
        <v>355.22</v>
      </c>
      <c r="I975" s="152">
        <v>337.12</v>
      </c>
      <c r="J975" s="156"/>
      <c r="K975" s="156"/>
      <c r="L975" s="156">
        <f t="shared" si="1537"/>
        <v>0</v>
      </c>
      <c r="M975" s="156">
        <f t="shared" si="1538"/>
        <v>0</v>
      </c>
      <c r="N975" s="156" t="s">
        <v>83</v>
      </c>
      <c r="O975" s="157" cm="1">
        <f t="array" ref="O975">TRUNC($H975*(1+_xlfn.SWITCH($N975,"BDI 1",$O$6,"BDI 2",$O$7,"BDI 3",$O$8)),2)</f>
        <v>428.75</v>
      </c>
      <c r="P975" s="157" cm="1">
        <f t="array" ref="P975">TRUNC($I975*(1+_xlfn.SWITCH($N975,"BDI 1",$P$6,"BDI 2",$P$7,"BDI 3",$P$8)),2)</f>
        <v>427.26</v>
      </c>
      <c r="Q975" s="157">
        <v>0</v>
      </c>
      <c r="R975" s="157">
        <f t="shared" si="1539"/>
        <v>0</v>
      </c>
      <c r="S975" s="156">
        <f t="shared" si="1540"/>
        <v>0</v>
      </c>
      <c r="T975" s="156">
        <f t="shared" si="1541"/>
        <v>0</v>
      </c>
      <c r="U975" s="156">
        <f t="shared" si="1542"/>
        <v>0</v>
      </c>
      <c r="V975" s="156">
        <f t="shared" si="1543"/>
        <v>0</v>
      </c>
      <c r="W975" s="156">
        <f t="shared" si="1544"/>
        <v>0</v>
      </c>
      <c r="X975" s="158">
        <f t="shared" ref="X975" si="1571">$S975/ORCAMENTO_VALOR_TOTAL_ND</f>
        <v>0</v>
      </c>
      <c r="Y975" s="158">
        <f t="shared" ref="Y975" si="1572">$T975/ORCAMENTO_VALOR_TOTAL_DE</f>
        <v>0</v>
      </c>
      <c r="Z975" s="158" cm="1">
        <f t="array" ref="Z975">_xlfn.SWITCH($N975,"BDI 1",$O$6,"BDI 2",$O$7,"BDI 3",$O$8)</f>
        <v>0.20699999999999999</v>
      </c>
      <c r="AA975" s="158" cm="1">
        <f t="array" ref="AA975">_xlfn.SWITCH($N975,"BDI 1",$P$6,"BDI 2",$P$7,"BDI 3",$P$8)</f>
        <v>0.26739999999999997</v>
      </c>
      <c r="AB975" s="158">
        <f t="shared" ca="1" si="1547"/>
        <v>0</v>
      </c>
      <c r="AC975" s="158">
        <f t="shared" ca="1" si="1548"/>
        <v>0</v>
      </c>
      <c r="AD975" s="164"/>
      <c r="AE975" s="148">
        <f t="shared" si="1534"/>
        <v>0</v>
      </c>
      <c r="AF975" s="149"/>
      <c r="AG975" s="150"/>
      <c r="AH975" s="159" t="e">
        <f t="shared" si="1549"/>
        <v>#DIV/0!</v>
      </c>
      <c r="AI975" s="160"/>
      <c r="AJ975" s="219"/>
      <c r="AK975" s="219"/>
      <c r="AM975" s="219"/>
      <c r="AN975" s="219"/>
      <c r="AO975" s="219"/>
      <c r="AP975" s="219"/>
      <c r="AQ975" s="219"/>
      <c r="AR975" s="219"/>
    </row>
    <row r="976" spans="1:44" s="220" customFormat="1" ht="40.15" hidden="1" customHeight="1">
      <c r="A976" s="152">
        <f t="shared" ca="1" si="1535"/>
        <v>0</v>
      </c>
      <c r="B976" s="153" t="s">
        <v>127</v>
      </c>
      <c r="C976" s="154" t="str">
        <f t="shared" si="1536"/>
        <v>DR/0050</v>
      </c>
      <c r="D976" s="154" t="s">
        <v>3549</v>
      </c>
      <c r="E976" s="155" t="s">
        <v>3616</v>
      </c>
      <c r="F976" s="154"/>
      <c r="G976" s="154" t="s">
        <v>3617</v>
      </c>
      <c r="H976" s="152">
        <v>13.36</v>
      </c>
      <c r="I976" s="152">
        <v>13.22</v>
      </c>
      <c r="J976" s="156"/>
      <c r="K976" s="156">
        <f>(K964+K965)/84</f>
        <v>0</v>
      </c>
      <c r="L976" s="156">
        <f t="shared" si="1537"/>
        <v>0</v>
      </c>
      <c r="M976" s="156">
        <f t="shared" si="1538"/>
        <v>0</v>
      </c>
      <c r="N976" s="156" t="s">
        <v>83</v>
      </c>
      <c r="O976" s="157" cm="1">
        <f t="array" ref="O976">TRUNC($H976*(1+_xlfn.SWITCH($N976,"BDI 1",$O$6,"BDI 2",$O$7,"BDI 3",$O$8)),2)</f>
        <v>16.12</v>
      </c>
      <c r="P976" s="157" cm="1">
        <f t="array" ref="P976">TRUNC($I976*(1+_xlfn.SWITCH($N976,"BDI 1",$P$6,"BDI 2",$P$7,"BDI 3",$P$8)),2)</f>
        <v>16.75</v>
      </c>
      <c r="Q976" s="157">
        <v>0</v>
      </c>
      <c r="R976" s="157">
        <f t="shared" si="1539"/>
        <v>0</v>
      </c>
      <c r="S976" s="156">
        <f t="shared" si="1540"/>
        <v>0</v>
      </c>
      <c r="T976" s="156">
        <f t="shared" si="1541"/>
        <v>0</v>
      </c>
      <c r="U976" s="156">
        <f t="shared" si="1542"/>
        <v>0</v>
      </c>
      <c r="V976" s="156">
        <f t="shared" si="1543"/>
        <v>0</v>
      </c>
      <c r="W976" s="156">
        <f t="shared" si="1544"/>
        <v>0</v>
      </c>
      <c r="X976" s="158">
        <f t="shared" ref="X976" si="1573">$S976/ORCAMENTO_VALOR_TOTAL_ND</f>
        <v>0</v>
      </c>
      <c r="Y976" s="158">
        <f t="shared" ref="Y976" si="1574">$T976/ORCAMENTO_VALOR_TOTAL_DE</f>
        <v>0</v>
      </c>
      <c r="Z976" s="158" cm="1">
        <f t="array" ref="Z976">_xlfn.SWITCH($N976,"BDI 1",$O$6,"BDI 2",$O$7,"BDI 3",$O$8)</f>
        <v>0.20699999999999999</v>
      </c>
      <c r="AA976" s="158" cm="1">
        <f t="array" ref="AA976">_xlfn.SWITCH($N976,"BDI 1",$P$6,"BDI 2",$P$7,"BDI 3",$P$8)</f>
        <v>0.26739999999999997</v>
      </c>
      <c r="AB976" s="158">
        <f t="shared" ca="1" si="1547"/>
        <v>0</v>
      </c>
      <c r="AC976" s="158">
        <f t="shared" ca="1" si="1548"/>
        <v>0</v>
      </c>
      <c r="AD976" s="164"/>
      <c r="AE976" s="148">
        <f t="shared" si="1534"/>
        <v>0</v>
      </c>
      <c r="AF976" s="149"/>
      <c r="AG976" s="150"/>
      <c r="AH976" s="159" t="e">
        <f t="shared" si="1549"/>
        <v>#DIV/0!</v>
      </c>
      <c r="AI976" s="160"/>
      <c r="AJ976" s="184">
        <v>0</v>
      </c>
      <c r="AK976" s="183" t="e">
        <f>+K976/AJ976</f>
        <v>#DIV/0!</v>
      </c>
      <c r="AM976" s="219"/>
      <c r="AN976" s="219"/>
      <c r="AO976" s="219"/>
      <c r="AP976" s="219"/>
      <c r="AQ976" s="219"/>
      <c r="AR976" s="219"/>
    </row>
    <row r="977" spans="1:44" s="49" customFormat="1" ht="40.15" hidden="1" customHeight="1">
      <c r="A977" s="152">
        <f t="shared" ca="1" si="1535"/>
        <v>0</v>
      </c>
      <c r="B977" s="153"/>
      <c r="C977" s="154"/>
      <c r="D977" s="154"/>
      <c r="E977" s="161" t="s">
        <v>348</v>
      </c>
      <c r="F977" s="154"/>
      <c r="G977" s="154"/>
      <c r="H977" s="152"/>
      <c r="I977" s="152"/>
      <c r="J977" s="154"/>
      <c r="K977" s="154"/>
      <c r="L977" s="154"/>
      <c r="M977" s="154"/>
      <c r="N977" s="154"/>
      <c r="O977" s="162"/>
      <c r="P977" s="162"/>
      <c r="Q977" s="162"/>
      <c r="R977" s="162"/>
      <c r="S977" s="162"/>
      <c r="T977" s="162"/>
      <c r="U977" s="162"/>
      <c r="V977" s="162"/>
      <c r="W977" s="162"/>
      <c r="X977" s="163"/>
      <c r="Y977" s="163"/>
      <c r="Z977" s="163"/>
      <c r="AA977" s="163"/>
      <c r="AB977" s="163"/>
      <c r="AC977" s="163"/>
      <c r="AD977" s="164"/>
      <c r="AE977" s="148">
        <f t="shared" si="1534"/>
        <v>0</v>
      </c>
      <c r="AF977" s="149"/>
      <c r="AG977" s="150"/>
      <c r="AH977" s="159"/>
      <c r="AI977" s="160"/>
      <c r="AJ977" s="105"/>
      <c r="AK977" s="105"/>
      <c r="AM977" s="105"/>
      <c r="AN977" s="105"/>
      <c r="AO977" s="105"/>
      <c r="AP977" s="105"/>
      <c r="AQ977" s="105"/>
      <c r="AR977" s="105"/>
    </row>
    <row r="978" spans="1:44" s="220" customFormat="1" ht="49.9" hidden="1" customHeight="1">
      <c r="A978" s="152">
        <f t="shared" ca="1" si="1535"/>
        <v>0</v>
      </c>
      <c r="B978" s="153" t="s">
        <v>345</v>
      </c>
      <c r="C978" s="154" t="str">
        <f t="shared" ref="C978:C989" si="1575">TEXT(B978,"0")</f>
        <v>DR/0024</v>
      </c>
      <c r="D978" s="154" t="s">
        <v>3549</v>
      </c>
      <c r="E978" s="155" t="s">
        <v>3935</v>
      </c>
      <c r="F978" s="154"/>
      <c r="G978" s="154" t="s">
        <v>464</v>
      </c>
      <c r="H978" s="152">
        <v>9.73</v>
      </c>
      <c r="I978" s="152">
        <v>9.77</v>
      </c>
      <c r="J978" s="156"/>
      <c r="K978" s="156"/>
      <c r="L978" s="156">
        <f t="shared" ref="L978:L989" si="1576">IF($K978&gt;$J978,$K978-$J978,0)</f>
        <v>0</v>
      </c>
      <c r="M978" s="156">
        <f t="shared" ref="M978:M989" si="1577">IF($K978&lt;$J978,$J978-$K978,0)</f>
        <v>0</v>
      </c>
      <c r="N978" s="156" t="s">
        <v>83</v>
      </c>
      <c r="O978" s="157" cm="1">
        <f t="array" ref="O978">TRUNC($H978*(1+_xlfn.SWITCH($N978,"BDI 1",$O$6,"BDI 2",$O$7,"BDI 3",$O$8)),2)</f>
        <v>11.74</v>
      </c>
      <c r="P978" s="157" cm="1">
        <f t="array" ref="P978">TRUNC($I978*(1+_xlfn.SWITCH($N978,"BDI 1",$P$6,"BDI 2",$P$7,"BDI 3",$P$8)),2)</f>
        <v>12.38</v>
      </c>
      <c r="Q978" s="157">
        <v>0</v>
      </c>
      <c r="R978" s="157">
        <f t="shared" ref="R978:R989" si="1578">$Q978-($Q978*LICITACAO_DESCONTO)</f>
        <v>0</v>
      </c>
      <c r="S978" s="156">
        <f t="shared" ref="S978:S989" si="1579">TRUNC($K978*$O978,2)</f>
        <v>0</v>
      </c>
      <c r="T978" s="156">
        <f t="shared" ref="T978:T989" si="1580">TRUNC($K978*$P978,2)</f>
        <v>0</v>
      </c>
      <c r="U978" s="156">
        <f t="shared" ref="U978:U989" si="1581">TRUNC($J978*$R978,2)</f>
        <v>0</v>
      </c>
      <c r="V978" s="156">
        <f t="shared" ref="V978:V989" si="1582">TRUNC($K978*$Q978,2)</f>
        <v>0</v>
      </c>
      <c r="W978" s="156">
        <f t="shared" ref="W978:W989" si="1583">TRUNC(V978-U978,2)</f>
        <v>0</v>
      </c>
      <c r="X978" s="158">
        <f t="shared" ref="X978" si="1584">$S978/ORCAMENTO_VALOR_TOTAL_ND</f>
        <v>0</v>
      </c>
      <c r="Y978" s="158">
        <f t="shared" ref="Y978" si="1585">$T978/ORCAMENTO_VALOR_TOTAL_DE</f>
        <v>0</v>
      </c>
      <c r="Z978" s="158" cm="1">
        <f t="array" ref="Z978">_xlfn.SWITCH($N978,"BDI 1",$O$6,"BDI 2",$O$7,"BDI 3",$O$8)</f>
        <v>0.20699999999999999</v>
      </c>
      <c r="AA978" s="158" cm="1">
        <f t="array" ref="AA978">_xlfn.SWITCH($N978,"BDI 1",$P$6,"BDI 2",$P$7,"BDI 3",$P$8)</f>
        <v>0.26739999999999997</v>
      </c>
      <c r="AB978" s="158">
        <f t="shared" ref="AB978:AB989" ca="1" si="1586">IFERROR($S978/_xlfn.XLOOKUP($AE978,$B$16:$B$38,$S$16:$S$38),0)</f>
        <v>0</v>
      </c>
      <c r="AC978" s="158">
        <f t="shared" ref="AC978:AC989" ca="1" si="1587">IFERROR($T978/_xlfn.XLOOKUP($AE978,$B$16:$B$38,$T$16:$T$38),0)</f>
        <v>0</v>
      </c>
      <c r="AD978" s="164"/>
      <c r="AE978" s="148">
        <f t="shared" si="1534"/>
        <v>0</v>
      </c>
      <c r="AF978" s="149"/>
      <c r="AG978" s="150"/>
      <c r="AH978" s="159" t="e">
        <f t="shared" ref="AH978:AH989" si="1588">+S978/$S$961</f>
        <v>#DIV/0!</v>
      </c>
      <c r="AI978" s="165" t="s">
        <v>243</v>
      </c>
      <c r="AJ978" s="219"/>
      <c r="AK978" s="219"/>
      <c r="AM978" s="219"/>
      <c r="AN978" s="219"/>
      <c r="AO978" s="219"/>
      <c r="AP978" s="219"/>
      <c r="AQ978" s="219"/>
      <c r="AR978" s="219"/>
    </row>
    <row r="979" spans="1:44" s="220" customFormat="1" ht="49.9" hidden="1" customHeight="1">
      <c r="A979" s="152">
        <f t="shared" ca="1" si="1535"/>
        <v>0</v>
      </c>
      <c r="B979" s="153">
        <v>101230</v>
      </c>
      <c r="C979" s="154" t="str">
        <f t="shared" si="1575"/>
        <v>101230</v>
      </c>
      <c r="D979" s="154" t="s">
        <v>1416</v>
      </c>
      <c r="E979" s="155" t="s">
        <v>3677</v>
      </c>
      <c r="F979" s="154"/>
      <c r="G979" s="154" t="s">
        <v>464</v>
      </c>
      <c r="H979" s="152">
        <v>10.7</v>
      </c>
      <c r="I979" s="152">
        <v>10.73</v>
      </c>
      <c r="J979" s="156"/>
      <c r="K979" s="156"/>
      <c r="L979" s="156">
        <f t="shared" si="1576"/>
        <v>0</v>
      </c>
      <c r="M979" s="156">
        <f t="shared" si="1577"/>
        <v>0</v>
      </c>
      <c r="N979" s="156" t="s">
        <v>83</v>
      </c>
      <c r="O979" s="157" cm="1">
        <f t="array" ref="O979">TRUNC($H979*(1+_xlfn.SWITCH($N979,"BDI 1",$O$6,"BDI 2",$O$7,"BDI 3",$O$8)),2)</f>
        <v>12.91</v>
      </c>
      <c r="P979" s="157" cm="1">
        <f t="array" ref="P979">TRUNC($I979*(1+_xlfn.SWITCH($N979,"BDI 1",$P$6,"BDI 2",$P$7,"BDI 3",$P$8)),2)</f>
        <v>13.59</v>
      </c>
      <c r="Q979" s="157">
        <v>0</v>
      </c>
      <c r="R979" s="157">
        <f t="shared" si="1578"/>
        <v>0</v>
      </c>
      <c r="S979" s="156">
        <f t="shared" si="1579"/>
        <v>0</v>
      </c>
      <c r="T979" s="156">
        <f t="shared" si="1580"/>
        <v>0</v>
      </c>
      <c r="U979" s="156">
        <f t="shared" si="1581"/>
        <v>0</v>
      </c>
      <c r="V979" s="156">
        <f t="shared" si="1582"/>
        <v>0</v>
      </c>
      <c r="W979" s="156">
        <f t="shared" si="1583"/>
        <v>0</v>
      </c>
      <c r="X979" s="158">
        <f t="shared" ref="X979" si="1589">$S979/ORCAMENTO_VALOR_TOTAL_ND</f>
        <v>0</v>
      </c>
      <c r="Y979" s="158">
        <f t="shared" ref="Y979" si="1590">$T979/ORCAMENTO_VALOR_TOTAL_DE</f>
        <v>0</v>
      </c>
      <c r="Z979" s="158" cm="1">
        <f t="array" ref="Z979">_xlfn.SWITCH($N979,"BDI 1",$O$6,"BDI 2",$O$7,"BDI 3",$O$8)</f>
        <v>0.20699999999999999</v>
      </c>
      <c r="AA979" s="158" cm="1">
        <f t="array" ref="AA979">_xlfn.SWITCH($N979,"BDI 1",$P$6,"BDI 2",$P$7,"BDI 3",$P$8)</f>
        <v>0.26739999999999997</v>
      </c>
      <c r="AB979" s="158">
        <f t="shared" ca="1" si="1586"/>
        <v>0</v>
      </c>
      <c r="AC979" s="158">
        <f t="shared" ca="1" si="1587"/>
        <v>0</v>
      </c>
      <c r="AD979" s="164"/>
      <c r="AE979" s="148">
        <f t="shared" si="1534"/>
        <v>0</v>
      </c>
      <c r="AF979" s="149"/>
      <c r="AG979" s="150"/>
      <c r="AH979" s="159" t="e">
        <f t="shared" si="1588"/>
        <v>#DIV/0!</v>
      </c>
      <c r="AI979" s="160"/>
      <c r="AJ979" s="219"/>
      <c r="AK979" s="219"/>
      <c r="AM979" s="219"/>
      <c r="AN979" s="219"/>
      <c r="AO979" s="219"/>
      <c r="AP979" s="219"/>
      <c r="AQ979" s="219"/>
      <c r="AR979" s="219"/>
    </row>
    <row r="980" spans="1:44" s="220" customFormat="1" ht="40.15" hidden="1" customHeight="1">
      <c r="A980" s="152">
        <f t="shared" ca="1" si="1535"/>
        <v>0</v>
      </c>
      <c r="B980" s="153">
        <v>95876</v>
      </c>
      <c r="C980" s="154" t="str">
        <f t="shared" si="1575"/>
        <v>95876</v>
      </c>
      <c r="D980" s="154" t="s">
        <v>1416</v>
      </c>
      <c r="E980" s="155" t="s">
        <v>3537</v>
      </c>
      <c r="F980" s="154">
        <f>Dados_DMT!B17</f>
        <v>3.5</v>
      </c>
      <c r="G980" s="154" t="s">
        <v>3538</v>
      </c>
      <c r="H980" s="152">
        <v>2.09</v>
      </c>
      <c r="I980" s="152">
        <v>2.1</v>
      </c>
      <c r="J980" s="156"/>
      <c r="K980" s="156">
        <f>ROUND(((K978+K979)*1.25-K988*1.25)*F980,2)</f>
        <v>0</v>
      </c>
      <c r="L980" s="156">
        <f t="shared" si="1576"/>
        <v>0</v>
      </c>
      <c r="M980" s="156">
        <f t="shared" si="1577"/>
        <v>0</v>
      </c>
      <c r="N980" s="156" t="s">
        <v>83</v>
      </c>
      <c r="O980" s="157" cm="1">
        <f t="array" ref="O980">TRUNC($H980*(1+_xlfn.SWITCH($N980,"BDI 1",$O$6,"BDI 2",$O$7,"BDI 3",$O$8)),2)</f>
        <v>2.52</v>
      </c>
      <c r="P980" s="157" cm="1">
        <f t="array" ref="P980">TRUNC($I980*(1+_xlfn.SWITCH($N980,"BDI 1",$P$6,"BDI 2",$P$7,"BDI 3",$P$8)),2)</f>
        <v>2.66</v>
      </c>
      <c r="Q980" s="157">
        <v>0</v>
      </c>
      <c r="R980" s="157">
        <f t="shared" si="1578"/>
        <v>0</v>
      </c>
      <c r="S980" s="156">
        <f t="shared" si="1579"/>
        <v>0</v>
      </c>
      <c r="T980" s="156">
        <f t="shared" si="1580"/>
        <v>0</v>
      </c>
      <c r="U980" s="156">
        <f t="shared" si="1581"/>
        <v>0</v>
      </c>
      <c r="V980" s="156">
        <f t="shared" si="1582"/>
        <v>0</v>
      </c>
      <c r="W980" s="156">
        <f t="shared" si="1583"/>
        <v>0</v>
      </c>
      <c r="X980" s="158">
        <f t="shared" ref="X980" si="1591">$S980/ORCAMENTO_VALOR_TOTAL_ND</f>
        <v>0</v>
      </c>
      <c r="Y980" s="158">
        <f t="shared" ref="Y980" si="1592">$T980/ORCAMENTO_VALOR_TOTAL_DE</f>
        <v>0</v>
      </c>
      <c r="Z980" s="158" cm="1">
        <f t="array" ref="Z980">_xlfn.SWITCH($N980,"BDI 1",$O$6,"BDI 2",$O$7,"BDI 3",$O$8)</f>
        <v>0.20699999999999999</v>
      </c>
      <c r="AA980" s="158" cm="1">
        <f t="array" ref="AA980">_xlfn.SWITCH($N980,"BDI 1",$P$6,"BDI 2",$P$7,"BDI 3",$P$8)</f>
        <v>0.26739999999999997</v>
      </c>
      <c r="AB980" s="158">
        <f t="shared" ca="1" si="1586"/>
        <v>0</v>
      </c>
      <c r="AC980" s="158">
        <f t="shared" ca="1" si="1587"/>
        <v>0</v>
      </c>
      <c r="AD980" s="164"/>
      <c r="AE980" s="148">
        <f t="shared" si="1534"/>
        <v>0</v>
      </c>
      <c r="AF980" s="149"/>
      <c r="AG980" s="150"/>
      <c r="AH980" s="159" t="e">
        <f t="shared" si="1588"/>
        <v>#DIV/0!</v>
      </c>
      <c r="AI980" s="160"/>
      <c r="AJ980" s="219"/>
      <c r="AK980" s="219"/>
      <c r="AM980" s="219"/>
      <c r="AN980" s="219"/>
      <c r="AO980" s="219"/>
      <c r="AP980" s="219"/>
      <c r="AQ980" s="219"/>
      <c r="AR980" s="219"/>
    </row>
    <row r="981" spans="1:44" s="220" customFormat="1" ht="40.15" hidden="1" customHeight="1">
      <c r="A981" s="152">
        <f t="shared" ca="1" si="1535"/>
        <v>0</v>
      </c>
      <c r="B981" s="153" t="s">
        <v>346</v>
      </c>
      <c r="C981" s="154" t="str">
        <f t="shared" si="1575"/>
        <v>SEL-307</v>
      </c>
      <c r="D981" s="154">
        <v>0</v>
      </c>
      <c r="E981" s="155" t="s">
        <v>3766</v>
      </c>
      <c r="F981" s="154"/>
      <c r="G981" s="154">
        <v>0</v>
      </c>
      <c r="H981" s="152">
        <v>0</v>
      </c>
      <c r="I981" s="152">
        <v>0</v>
      </c>
      <c r="J981" s="156"/>
      <c r="K981" s="156"/>
      <c r="L981" s="156">
        <f t="shared" si="1576"/>
        <v>0</v>
      </c>
      <c r="M981" s="156">
        <f t="shared" si="1577"/>
        <v>0</v>
      </c>
      <c r="N981" s="156" t="s">
        <v>83</v>
      </c>
      <c r="O981" s="157" cm="1">
        <f t="array" ref="O981">TRUNC($H981*(1+_xlfn.SWITCH($N981,"BDI 1",$O$6,"BDI 2",$O$7,"BDI 3",$O$8)),2)</f>
        <v>0</v>
      </c>
      <c r="P981" s="157" cm="1">
        <f t="array" ref="P981">TRUNC($I981*(1+_xlfn.SWITCH($N981,"BDI 1",$P$6,"BDI 2",$P$7,"BDI 3",$P$8)),2)</f>
        <v>0</v>
      </c>
      <c r="Q981" s="157">
        <v>0</v>
      </c>
      <c r="R981" s="157">
        <f t="shared" si="1578"/>
        <v>0</v>
      </c>
      <c r="S981" s="156">
        <f t="shared" si="1579"/>
        <v>0</v>
      </c>
      <c r="T981" s="156">
        <f t="shared" si="1580"/>
        <v>0</v>
      </c>
      <c r="U981" s="156">
        <f t="shared" si="1581"/>
        <v>0</v>
      </c>
      <c r="V981" s="156">
        <f t="shared" si="1582"/>
        <v>0</v>
      </c>
      <c r="W981" s="156">
        <f t="shared" si="1583"/>
        <v>0</v>
      </c>
      <c r="X981" s="158">
        <f t="shared" ref="X981" si="1593">$S981/ORCAMENTO_VALOR_TOTAL_ND</f>
        <v>0</v>
      </c>
      <c r="Y981" s="158">
        <f t="shared" ref="Y981" si="1594">$T981/ORCAMENTO_VALOR_TOTAL_DE</f>
        <v>0</v>
      </c>
      <c r="Z981" s="158" cm="1">
        <f t="array" ref="Z981">_xlfn.SWITCH($N981,"BDI 1",$O$6,"BDI 2",$O$7,"BDI 3",$O$8)</f>
        <v>0.20699999999999999</v>
      </c>
      <c r="AA981" s="158" cm="1">
        <f t="array" ref="AA981">_xlfn.SWITCH($N981,"BDI 1",$P$6,"BDI 2",$P$7,"BDI 3",$P$8)</f>
        <v>0.26739999999999997</v>
      </c>
      <c r="AB981" s="158">
        <f t="shared" ca="1" si="1586"/>
        <v>0</v>
      </c>
      <c r="AC981" s="158">
        <f t="shared" ca="1" si="1587"/>
        <v>0</v>
      </c>
      <c r="AD981" s="164"/>
      <c r="AE981" s="148">
        <f t="shared" si="1534"/>
        <v>0</v>
      </c>
      <c r="AF981" s="149"/>
      <c r="AG981" s="150"/>
      <c r="AH981" s="159" t="e">
        <f t="shared" si="1588"/>
        <v>#DIV/0!</v>
      </c>
      <c r="AI981" s="160"/>
      <c r="AJ981" s="184" t="e">
        <v>#N/A</v>
      </c>
      <c r="AK981" s="183" t="e">
        <f>+K981/AJ981</f>
        <v>#N/A</v>
      </c>
      <c r="AM981" s="219"/>
      <c r="AN981" s="219"/>
      <c r="AO981" s="219"/>
      <c r="AP981" s="219"/>
      <c r="AQ981" s="219" t="e">
        <f>K981+K996+#REF!+K1016+K1023+#REF!+K1050+K1059+#REF!+K1094+K1106</f>
        <v>#REF!</v>
      </c>
      <c r="AR981" s="219"/>
    </row>
    <row r="982" spans="1:44" s="220" customFormat="1" ht="40.15" hidden="1" customHeight="1">
      <c r="A982" s="152">
        <f t="shared" ca="1" si="1535"/>
        <v>0</v>
      </c>
      <c r="B982" s="153">
        <v>103673</v>
      </c>
      <c r="C982" s="154" t="str">
        <f t="shared" si="1575"/>
        <v>103673</v>
      </c>
      <c r="D982" s="154" t="s">
        <v>1416</v>
      </c>
      <c r="E982" s="155" t="s">
        <v>3795</v>
      </c>
      <c r="F982" s="154"/>
      <c r="G982" s="154" t="s">
        <v>464</v>
      </c>
      <c r="H982" s="152">
        <v>38.33</v>
      </c>
      <c r="I982" s="152">
        <v>34.799999999999997</v>
      </c>
      <c r="J982" s="156"/>
      <c r="K982" s="156">
        <f>K981</f>
        <v>0</v>
      </c>
      <c r="L982" s="156">
        <f t="shared" si="1576"/>
        <v>0</v>
      </c>
      <c r="M982" s="156">
        <f t="shared" si="1577"/>
        <v>0</v>
      </c>
      <c r="N982" s="156" t="s">
        <v>83</v>
      </c>
      <c r="O982" s="157" cm="1">
        <f t="array" ref="O982">TRUNC($H982*(1+_xlfn.SWITCH($N982,"BDI 1",$O$6,"BDI 2",$O$7,"BDI 3",$O$8)),2)</f>
        <v>46.26</v>
      </c>
      <c r="P982" s="157" cm="1">
        <f t="array" ref="P982">TRUNC($I982*(1+_xlfn.SWITCH($N982,"BDI 1",$P$6,"BDI 2",$P$7,"BDI 3",$P$8)),2)</f>
        <v>44.1</v>
      </c>
      <c r="Q982" s="157">
        <v>0</v>
      </c>
      <c r="R982" s="157">
        <f t="shared" si="1578"/>
        <v>0</v>
      </c>
      <c r="S982" s="156">
        <f t="shared" si="1579"/>
        <v>0</v>
      </c>
      <c r="T982" s="156">
        <f t="shared" si="1580"/>
        <v>0</v>
      </c>
      <c r="U982" s="156">
        <f t="shared" si="1581"/>
        <v>0</v>
      </c>
      <c r="V982" s="156">
        <f t="shared" si="1582"/>
        <v>0</v>
      </c>
      <c r="W982" s="156">
        <f t="shared" si="1583"/>
        <v>0</v>
      </c>
      <c r="X982" s="158">
        <f t="shared" ref="X982" si="1595">$S982/ORCAMENTO_VALOR_TOTAL_ND</f>
        <v>0</v>
      </c>
      <c r="Y982" s="158">
        <f t="shared" ref="Y982" si="1596">$T982/ORCAMENTO_VALOR_TOTAL_DE</f>
        <v>0</v>
      </c>
      <c r="Z982" s="158" cm="1">
        <f t="array" ref="Z982">_xlfn.SWITCH($N982,"BDI 1",$O$6,"BDI 2",$O$7,"BDI 3",$O$8)</f>
        <v>0.20699999999999999</v>
      </c>
      <c r="AA982" s="158" cm="1">
        <f t="array" ref="AA982">_xlfn.SWITCH($N982,"BDI 1",$P$6,"BDI 2",$P$7,"BDI 3",$P$8)</f>
        <v>0.26739999999999997</v>
      </c>
      <c r="AB982" s="158">
        <f t="shared" ca="1" si="1586"/>
        <v>0</v>
      </c>
      <c r="AC982" s="158">
        <f t="shared" ca="1" si="1587"/>
        <v>0</v>
      </c>
      <c r="AD982" s="164"/>
      <c r="AE982" s="148">
        <f t="shared" si="1534"/>
        <v>0</v>
      </c>
      <c r="AF982" s="149"/>
      <c r="AG982" s="150"/>
      <c r="AH982" s="159" t="e">
        <f t="shared" si="1588"/>
        <v>#DIV/0!</v>
      </c>
      <c r="AI982" s="160"/>
      <c r="AJ982" s="184">
        <v>0</v>
      </c>
      <c r="AK982" s="183" t="e">
        <f>+K982/AJ982</f>
        <v>#DIV/0!</v>
      </c>
      <c r="AM982" s="219"/>
      <c r="AN982" s="219"/>
      <c r="AO982" s="219"/>
      <c r="AP982" s="219"/>
      <c r="AQ982" s="219">
        <f>K982+K999+K1009+K1017+K1024+K1038+K1051+K1060+K1069+K1095+K1107</f>
        <v>0</v>
      </c>
      <c r="AR982" s="219"/>
    </row>
    <row r="983" spans="1:44" s="220" customFormat="1" ht="40.15" hidden="1" customHeight="1">
      <c r="A983" s="152">
        <f t="shared" ca="1" si="1535"/>
        <v>0</v>
      </c>
      <c r="B983" s="153">
        <v>94969</v>
      </c>
      <c r="C983" s="154" t="str">
        <f t="shared" si="1575"/>
        <v>94969</v>
      </c>
      <c r="D983" s="154" t="s">
        <v>1416</v>
      </c>
      <c r="E983" s="155" t="s">
        <v>3936</v>
      </c>
      <c r="F983" s="154"/>
      <c r="G983" s="154" t="s">
        <v>464</v>
      </c>
      <c r="H983" s="152">
        <v>422.25</v>
      </c>
      <c r="I983" s="152">
        <v>421.36</v>
      </c>
      <c r="J983" s="156"/>
      <c r="K983" s="156"/>
      <c r="L983" s="156">
        <f t="shared" si="1576"/>
        <v>0</v>
      </c>
      <c r="M983" s="156">
        <f t="shared" si="1577"/>
        <v>0</v>
      </c>
      <c r="N983" s="156" t="s">
        <v>83</v>
      </c>
      <c r="O983" s="157" cm="1">
        <f t="array" ref="O983">TRUNC($H983*(1+_xlfn.SWITCH($N983,"BDI 1",$O$6,"BDI 2",$O$7,"BDI 3",$O$8)),2)</f>
        <v>509.65</v>
      </c>
      <c r="P983" s="157" cm="1">
        <f t="array" ref="P983">TRUNC($I983*(1+_xlfn.SWITCH($N983,"BDI 1",$P$6,"BDI 2",$P$7,"BDI 3",$P$8)),2)</f>
        <v>534.03</v>
      </c>
      <c r="Q983" s="157">
        <v>0</v>
      </c>
      <c r="R983" s="157">
        <f t="shared" si="1578"/>
        <v>0</v>
      </c>
      <c r="S983" s="156">
        <f t="shared" si="1579"/>
        <v>0</v>
      </c>
      <c r="T983" s="156">
        <f t="shared" si="1580"/>
        <v>0</v>
      </c>
      <c r="U983" s="156">
        <f t="shared" si="1581"/>
        <v>0</v>
      </c>
      <c r="V983" s="156">
        <f t="shared" si="1582"/>
        <v>0</v>
      </c>
      <c r="W983" s="156">
        <f t="shared" si="1583"/>
        <v>0</v>
      </c>
      <c r="X983" s="158">
        <f t="shared" ref="X983" si="1597">$S983/ORCAMENTO_VALOR_TOTAL_ND</f>
        <v>0</v>
      </c>
      <c r="Y983" s="158">
        <f t="shared" ref="Y983" si="1598">$T983/ORCAMENTO_VALOR_TOTAL_DE</f>
        <v>0</v>
      </c>
      <c r="Z983" s="158" cm="1">
        <f t="array" ref="Z983">_xlfn.SWITCH($N983,"BDI 1",$O$6,"BDI 2",$O$7,"BDI 3",$O$8)</f>
        <v>0.20699999999999999</v>
      </c>
      <c r="AA983" s="158" cm="1">
        <f t="array" ref="AA983">_xlfn.SWITCH($N983,"BDI 1",$P$6,"BDI 2",$P$7,"BDI 3",$P$8)</f>
        <v>0.26739999999999997</v>
      </c>
      <c r="AB983" s="158">
        <f t="shared" ca="1" si="1586"/>
        <v>0</v>
      </c>
      <c r="AC983" s="158">
        <f t="shared" ca="1" si="1587"/>
        <v>0</v>
      </c>
      <c r="AD983" s="164"/>
      <c r="AE983" s="148">
        <f t="shared" si="1534"/>
        <v>0</v>
      </c>
      <c r="AF983" s="149"/>
      <c r="AG983" s="150"/>
      <c r="AH983" s="159" t="e">
        <f t="shared" si="1588"/>
        <v>#DIV/0!</v>
      </c>
      <c r="AI983" s="165" t="s">
        <v>101</v>
      </c>
      <c r="AJ983" s="219"/>
      <c r="AK983" s="219"/>
      <c r="AM983" s="219"/>
      <c r="AN983" s="219"/>
      <c r="AO983" s="219"/>
      <c r="AP983" s="219"/>
      <c r="AQ983" s="219"/>
      <c r="AR983" s="219"/>
    </row>
    <row r="984" spans="1:44" s="220" customFormat="1" ht="40.15" hidden="1" customHeight="1">
      <c r="A984" s="152">
        <f t="shared" ca="1" si="1535"/>
        <v>0</v>
      </c>
      <c r="B984" s="153">
        <v>103670</v>
      </c>
      <c r="C984" s="154" t="str">
        <f t="shared" si="1575"/>
        <v>103670</v>
      </c>
      <c r="D984" s="154" t="s">
        <v>1416</v>
      </c>
      <c r="E984" s="155" t="s">
        <v>3792</v>
      </c>
      <c r="F984" s="154"/>
      <c r="G984" s="154" t="s">
        <v>464</v>
      </c>
      <c r="H984" s="152">
        <v>272.37</v>
      </c>
      <c r="I984" s="152">
        <v>247.05</v>
      </c>
      <c r="J984" s="156"/>
      <c r="K984" s="156">
        <f>K983</f>
        <v>0</v>
      </c>
      <c r="L984" s="156">
        <f t="shared" si="1576"/>
        <v>0</v>
      </c>
      <c r="M984" s="156">
        <f t="shared" si="1577"/>
        <v>0</v>
      </c>
      <c r="N984" s="156" t="s">
        <v>83</v>
      </c>
      <c r="O984" s="157" cm="1">
        <f t="array" ref="O984">TRUNC($H984*(1+_xlfn.SWITCH($N984,"BDI 1",$O$6,"BDI 2",$O$7,"BDI 3",$O$8)),2)</f>
        <v>328.75</v>
      </c>
      <c r="P984" s="157" cm="1">
        <f t="array" ref="P984">TRUNC($I984*(1+_xlfn.SWITCH($N984,"BDI 1",$P$6,"BDI 2",$P$7,"BDI 3",$P$8)),2)</f>
        <v>313.11</v>
      </c>
      <c r="Q984" s="157">
        <v>0</v>
      </c>
      <c r="R984" s="157">
        <f t="shared" si="1578"/>
        <v>0</v>
      </c>
      <c r="S984" s="156">
        <f t="shared" si="1579"/>
        <v>0</v>
      </c>
      <c r="T984" s="156">
        <f t="shared" si="1580"/>
        <v>0</v>
      </c>
      <c r="U984" s="156">
        <f t="shared" si="1581"/>
        <v>0</v>
      </c>
      <c r="V984" s="156">
        <f t="shared" si="1582"/>
        <v>0</v>
      </c>
      <c r="W984" s="156">
        <f t="shared" si="1583"/>
        <v>0</v>
      </c>
      <c r="X984" s="158">
        <f t="shared" ref="X984" si="1599">$S984/ORCAMENTO_VALOR_TOTAL_ND</f>
        <v>0</v>
      </c>
      <c r="Y984" s="158">
        <f t="shared" ref="Y984" si="1600">$T984/ORCAMENTO_VALOR_TOTAL_DE</f>
        <v>0</v>
      </c>
      <c r="Z984" s="158" cm="1">
        <f t="array" ref="Z984">_xlfn.SWITCH($N984,"BDI 1",$O$6,"BDI 2",$O$7,"BDI 3",$O$8)</f>
        <v>0.20699999999999999</v>
      </c>
      <c r="AA984" s="158" cm="1">
        <f t="array" ref="AA984">_xlfn.SWITCH($N984,"BDI 1",$P$6,"BDI 2",$P$7,"BDI 3",$P$8)</f>
        <v>0.26739999999999997</v>
      </c>
      <c r="AB984" s="158">
        <f t="shared" ca="1" si="1586"/>
        <v>0</v>
      </c>
      <c r="AC984" s="158">
        <f t="shared" ca="1" si="1587"/>
        <v>0</v>
      </c>
      <c r="AD984" s="164"/>
      <c r="AE984" s="148">
        <f t="shared" si="1534"/>
        <v>0</v>
      </c>
      <c r="AF984" s="149"/>
      <c r="AG984" s="150"/>
      <c r="AH984" s="159" t="e">
        <f t="shared" si="1588"/>
        <v>#DIV/0!</v>
      </c>
      <c r="AI984" s="165" t="s">
        <v>243</v>
      </c>
      <c r="AJ984" s="219"/>
      <c r="AK984" s="219"/>
      <c r="AM984" s="219"/>
      <c r="AN984" s="219"/>
      <c r="AO984" s="219"/>
      <c r="AP984" s="219"/>
      <c r="AQ984" s="219"/>
      <c r="AR984" s="219"/>
    </row>
    <row r="985" spans="1:44" s="220" customFormat="1" ht="40.15" hidden="1" customHeight="1">
      <c r="A985" s="152">
        <f t="shared" ca="1" si="1535"/>
        <v>0</v>
      </c>
      <c r="B985" s="153">
        <v>96541</v>
      </c>
      <c r="C985" s="154" t="str">
        <f t="shared" si="1575"/>
        <v>96541</v>
      </c>
      <c r="D985" s="154" t="s">
        <v>1416</v>
      </c>
      <c r="E985" s="155" t="s">
        <v>3937</v>
      </c>
      <c r="F985" s="154"/>
      <c r="G985" s="154" t="s">
        <v>1418</v>
      </c>
      <c r="H985" s="152">
        <v>165.49</v>
      </c>
      <c r="I985" s="152">
        <v>154.08000000000001</v>
      </c>
      <c r="J985" s="156"/>
      <c r="K985" s="156"/>
      <c r="L985" s="156">
        <f t="shared" si="1576"/>
        <v>0</v>
      </c>
      <c r="M985" s="156">
        <f t="shared" si="1577"/>
        <v>0</v>
      </c>
      <c r="N985" s="156" t="s">
        <v>83</v>
      </c>
      <c r="O985" s="157" cm="1">
        <f t="array" ref="O985">TRUNC($H985*(1+_xlfn.SWITCH($N985,"BDI 1",$O$6,"BDI 2",$O$7,"BDI 3",$O$8)),2)</f>
        <v>199.74</v>
      </c>
      <c r="P985" s="157" cm="1">
        <f t="array" ref="P985">TRUNC($I985*(1+_xlfn.SWITCH($N985,"BDI 1",$P$6,"BDI 2",$P$7,"BDI 3",$P$8)),2)</f>
        <v>195.28</v>
      </c>
      <c r="Q985" s="157">
        <v>0</v>
      </c>
      <c r="R985" s="157">
        <f t="shared" si="1578"/>
        <v>0</v>
      </c>
      <c r="S985" s="156">
        <f t="shared" si="1579"/>
        <v>0</v>
      </c>
      <c r="T985" s="156">
        <f t="shared" si="1580"/>
        <v>0</v>
      </c>
      <c r="U985" s="156">
        <f t="shared" si="1581"/>
        <v>0</v>
      </c>
      <c r="V985" s="156">
        <f t="shared" si="1582"/>
        <v>0</v>
      </c>
      <c r="W985" s="156">
        <f t="shared" si="1583"/>
        <v>0</v>
      </c>
      <c r="X985" s="158">
        <f t="shared" ref="X985" si="1601">$S985/ORCAMENTO_VALOR_TOTAL_ND</f>
        <v>0</v>
      </c>
      <c r="Y985" s="158">
        <f t="shared" ref="Y985" si="1602">$T985/ORCAMENTO_VALOR_TOTAL_DE</f>
        <v>0</v>
      </c>
      <c r="Z985" s="158" cm="1">
        <f t="array" ref="Z985">_xlfn.SWITCH($N985,"BDI 1",$O$6,"BDI 2",$O$7,"BDI 3",$O$8)</f>
        <v>0.20699999999999999</v>
      </c>
      <c r="AA985" s="158" cm="1">
        <f t="array" ref="AA985">_xlfn.SWITCH($N985,"BDI 1",$P$6,"BDI 2",$P$7,"BDI 3",$P$8)</f>
        <v>0.26739999999999997</v>
      </c>
      <c r="AB985" s="158">
        <f t="shared" ca="1" si="1586"/>
        <v>0</v>
      </c>
      <c r="AC985" s="158">
        <f t="shared" ca="1" si="1587"/>
        <v>0</v>
      </c>
      <c r="AD985" s="164"/>
      <c r="AE985" s="148">
        <f t="shared" si="1534"/>
        <v>0</v>
      </c>
      <c r="AF985" s="149"/>
      <c r="AG985" s="150"/>
      <c r="AH985" s="159" t="e">
        <f t="shared" si="1588"/>
        <v>#DIV/0!</v>
      </c>
      <c r="AI985" s="160"/>
      <c r="AJ985" s="219"/>
      <c r="AK985" s="219"/>
      <c r="AM985" s="219"/>
      <c r="AN985" s="219"/>
      <c r="AO985" s="219"/>
      <c r="AP985" s="219"/>
      <c r="AQ985" s="219"/>
      <c r="AR985" s="219"/>
    </row>
    <row r="986" spans="1:44" s="220" customFormat="1" ht="40.15" hidden="1" customHeight="1">
      <c r="A986" s="152">
        <f t="shared" ca="1" si="1535"/>
        <v>0</v>
      </c>
      <c r="B986" s="153">
        <v>104920</v>
      </c>
      <c r="C986" s="154" t="str">
        <f t="shared" si="1575"/>
        <v>104920</v>
      </c>
      <c r="D986" s="154" t="s">
        <v>1416</v>
      </c>
      <c r="E986" s="155" t="s">
        <v>3939</v>
      </c>
      <c r="F986" s="154"/>
      <c r="G986" s="154" t="s">
        <v>3802</v>
      </c>
      <c r="H986" s="152">
        <v>11.15</v>
      </c>
      <c r="I986" s="152">
        <v>10.85</v>
      </c>
      <c r="J986" s="156"/>
      <c r="K986" s="156"/>
      <c r="L986" s="156">
        <f t="shared" si="1576"/>
        <v>0</v>
      </c>
      <c r="M986" s="156">
        <f t="shared" si="1577"/>
        <v>0</v>
      </c>
      <c r="N986" s="156" t="s">
        <v>83</v>
      </c>
      <c r="O986" s="157" cm="1">
        <f t="array" ref="O986">TRUNC($H986*(1+_xlfn.SWITCH($N986,"BDI 1",$O$6,"BDI 2",$O$7,"BDI 3",$O$8)),2)</f>
        <v>13.45</v>
      </c>
      <c r="P986" s="157" cm="1">
        <f t="array" ref="P986">TRUNC($I986*(1+_xlfn.SWITCH($N986,"BDI 1",$P$6,"BDI 2",$P$7,"BDI 3",$P$8)),2)</f>
        <v>13.75</v>
      </c>
      <c r="Q986" s="157">
        <v>0</v>
      </c>
      <c r="R986" s="157">
        <f t="shared" si="1578"/>
        <v>0</v>
      </c>
      <c r="S986" s="156">
        <f t="shared" si="1579"/>
        <v>0</v>
      </c>
      <c r="T986" s="156">
        <f t="shared" si="1580"/>
        <v>0</v>
      </c>
      <c r="U986" s="156">
        <f t="shared" si="1581"/>
        <v>0</v>
      </c>
      <c r="V986" s="156">
        <f t="shared" si="1582"/>
        <v>0</v>
      </c>
      <c r="W986" s="156">
        <f t="shared" si="1583"/>
        <v>0</v>
      </c>
      <c r="X986" s="158">
        <f t="shared" ref="X986" si="1603">$S986/ORCAMENTO_VALOR_TOTAL_ND</f>
        <v>0</v>
      </c>
      <c r="Y986" s="158">
        <f t="shared" ref="Y986" si="1604">$T986/ORCAMENTO_VALOR_TOTAL_DE</f>
        <v>0</v>
      </c>
      <c r="Z986" s="158" cm="1">
        <f t="array" ref="Z986">_xlfn.SWITCH($N986,"BDI 1",$O$6,"BDI 2",$O$7,"BDI 3",$O$8)</f>
        <v>0.20699999999999999</v>
      </c>
      <c r="AA986" s="158" cm="1">
        <f t="array" ref="AA986">_xlfn.SWITCH($N986,"BDI 1",$P$6,"BDI 2",$P$7,"BDI 3",$P$8)</f>
        <v>0.26739999999999997</v>
      </c>
      <c r="AB986" s="158">
        <f t="shared" ca="1" si="1586"/>
        <v>0</v>
      </c>
      <c r="AC986" s="158">
        <f t="shared" ca="1" si="1587"/>
        <v>0</v>
      </c>
      <c r="AD986" s="164"/>
      <c r="AE986" s="148">
        <f t="shared" si="1534"/>
        <v>0</v>
      </c>
      <c r="AF986" s="149"/>
      <c r="AG986" s="150"/>
      <c r="AH986" s="159" t="e">
        <f t="shared" si="1588"/>
        <v>#DIV/0!</v>
      </c>
      <c r="AI986" s="160"/>
      <c r="AJ986" s="219"/>
      <c r="AK986" s="219"/>
      <c r="AM986" s="219"/>
      <c r="AN986" s="219"/>
      <c r="AO986" s="219"/>
      <c r="AP986" s="219"/>
      <c r="AQ986" s="219"/>
      <c r="AR986" s="219"/>
    </row>
    <row r="987" spans="1:44" s="220" customFormat="1" ht="49.9" hidden="1" customHeight="1">
      <c r="A987" s="152">
        <f t="shared" ca="1" si="1535"/>
        <v>0</v>
      </c>
      <c r="B987" s="153">
        <v>93373</v>
      </c>
      <c r="C987" s="154" t="str">
        <f t="shared" si="1575"/>
        <v>93373</v>
      </c>
      <c r="D987" s="154" t="s">
        <v>1416</v>
      </c>
      <c r="E987" s="155" t="s">
        <v>3675</v>
      </c>
      <c r="F987" s="154"/>
      <c r="G987" s="154" t="s">
        <v>464</v>
      </c>
      <c r="H987" s="152">
        <v>12.97</v>
      </c>
      <c r="I987" s="152">
        <v>12.47</v>
      </c>
      <c r="J987" s="156"/>
      <c r="K987" s="156"/>
      <c r="L987" s="156">
        <f t="shared" si="1576"/>
        <v>0</v>
      </c>
      <c r="M987" s="156">
        <f t="shared" si="1577"/>
        <v>0</v>
      </c>
      <c r="N987" s="156" t="s">
        <v>83</v>
      </c>
      <c r="O987" s="157" cm="1">
        <f t="array" ref="O987">TRUNC($H987*(1+_xlfn.SWITCH($N987,"BDI 1",$O$6,"BDI 2",$O$7,"BDI 3",$O$8)),2)</f>
        <v>15.65</v>
      </c>
      <c r="P987" s="157" cm="1">
        <f t="array" ref="P987">TRUNC($I987*(1+_xlfn.SWITCH($N987,"BDI 1",$P$6,"BDI 2",$P$7,"BDI 3",$P$8)),2)</f>
        <v>15.8</v>
      </c>
      <c r="Q987" s="157">
        <v>0</v>
      </c>
      <c r="R987" s="157">
        <f t="shared" si="1578"/>
        <v>0</v>
      </c>
      <c r="S987" s="156">
        <f t="shared" si="1579"/>
        <v>0</v>
      </c>
      <c r="T987" s="156">
        <f t="shared" si="1580"/>
        <v>0</v>
      </c>
      <c r="U987" s="156">
        <f t="shared" si="1581"/>
        <v>0</v>
      </c>
      <c r="V987" s="156">
        <f t="shared" si="1582"/>
        <v>0</v>
      </c>
      <c r="W987" s="156">
        <f t="shared" si="1583"/>
        <v>0</v>
      </c>
      <c r="X987" s="158">
        <f t="shared" ref="X987" si="1605">$S987/ORCAMENTO_VALOR_TOTAL_ND</f>
        <v>0</v>
      </c>
      <c r="Y987" s="158">
        <f t="shared" ref="Y987" si="1606">$T987/ORCAMENTO_VALOR_TOTAL_DE</f>
        <v>0</v>
      </c>
      <c r="Z987" s="158" cm="1">
        <f t="array" ref="Z987">_xlfn.SWITCH($N987,"BDI 1",$O$6,"BDI 2",$O$7,"BDI 3",$O$8)</f>
        <v>0.20699999999999999</v>
      </c>
      <c r="AA987" s="158" cm="1">
        <f t="array" ref="AA987">_xlfn.SWITCH($N987,"BDI 1",$P$6,"BDI 2",$P$7,"BDI 3",$P$8)</f>
        <v>0.26739999999999997</v>
      </c>
      <c r="AB987" s="158">
        <f t="shared" ca="1" si="1586"/>
        <v>0</v>
      </c>
      <c r="AC987" s="158">
        <f t="shared" ca="1" si="1587"/>
        <v>0</v>
      </c>
      <c r="AD987" s="164"/>
      <c r="AE987" s="148">
        <f t="shared" si="1534"/>
        <v>0</v>
      </c>
      <c r="AF987" s="149"/>
      <c r="AG987" s="150"/>
      <c r="AH987" s="159" t="e">
        <f t="shared" si="1588"/>
        <v>#DIV/0!</v>
      </c>
      <c r="AI987" s="165" t="s">
        <v>101</v>
      </c>
      <c r="AJ987" s="219"/>
      <c r="AK987" s="219"/>
      <c r="AM987" s="219"/>
      <c r="AN987" s="219"/>
      <c r="AO987" s="219"/>
      <c r="AP987" s="219"/>
      <c r="AQ987" s="219"/>
      <c r="AR987" s="219"/>
    </row>
    <row r="988" spans="1:44" s="220" customFormat="1" ht="49.9" hidden="1" customHeight="1">
      <c r="A988" s="152">
        <f t="shared" ca="1" si="1535"/>
        <v>0</v>
      </c>
      <c r="B988" s="153" t="s">
        <v>349</v>
      </c>
      <c r="C988" s="154" t="str">
        <f t="shared" si="1575"/>
        <v>EC/0060</v>
      </c>
      <c r="D988" s="154" t="s">
        <v>3549</v>
      </c>
      <c r="E988" s="155" t="s">
        <v>3941</v>
      </c>
      <c r="F988" s="154"/>
      <c r="G988" s="154" t="s">
        <v>464</v>
      </c>
      <c r="H988" s="152">
        <v>385.84</v>
      </c>
      <c r="I988" s="152">
        <v>374.84</v>
      </c>
      <c r="J988" s="156"/>
      <c r="K988" s="156"/>
      <c r="L988" s="156">
        <f t="shared" si="1576"/>
        <v>0</v>
      </c>
      <c r="M988" s="156">
        <f t="shared" si="1577"/>
        <v>0</v>
      </c>
      <c r="N988" s="156" t="s">
        <v>83</v>
      </c>
      <c r="O988" s="157" cm="1">
        <f t="array" ref="O988">TRUNC($H988*(1+_xlfn.SWITCH($N988,"BDI 1",$O$6,"BDI 2",$O$7,"BDI 3",$O$8)),2)</f>
        <v>465.7</v>
      </c>
      <c r="P988" s="157" cm="1">
        <f t="array" ref="P988">TRUNC($I988*(1+_xlfn.SWITCH($N988,"BDI 1",$P$6,"BDI 2",$P$7,"BDI 3",$P$8)),2)</f>
        <v>475.07</v>
      </c>
      <c r="Q988" s="157">
        <v>0</v>
      </c>
      <c r="R988" s="157">
        <f t="shared" si="1578"/>
        <v>0</v>
      </c>
      <c r="S988" s="156">
        <f t="shared" si="1579"/>
        <v>0</v>
      </c>
      <c r="T988" s="156">
        <f t="shared" si="1580"/>
        <v>0</v>
      </c>
      <c r="U988" s="156">
        <f t="shared" si="1581"/>
        <v>0</v>
      </c>
      <c r="V988" s="156">
        <f t="shared" si="1582"/>
        <v>0</v>
      </c>
      <c r="W988" s="156">
        <f t="shared" si="1583"/>
        <v>0</v>
      </c>
      <c r="X988" s="158">
        <f t="shared" ref="X988" si="1607">$S988/ORCAMENTO_VALOR_TOTAL_ND</f>
        <v>0</v>
      </c>
      <c r="Y988" s="158">
        <f t="shared" ref="Y988" si="1608">$T988/ORCAMENTO_VALOR_TOTAL_DE</f>
        <v>0</v>
      </c>
      <c r="Z988" s="158" cm="1">
        <f t="array" ref="Z988">_xlfn.SWITCH($N988,"BDI 1",$O$6,"BDI 2",$O$7,"BDI 3",$O$8)</f>
        <v>0.20699999999999999</v>
      </c>
      <c r="AA988" s="158" cm="1">
        <f t="array" ref="AA988">_xlfn.SWITCH($N988,"BDI 1",$P$6,"BDI 2",$P$7,"BDI 3",$P$8)</f>
        <v>0.26739999999999997</v>
      </c>
      <c r="AB988" s="158">
        <f t="shared" ca="1" si="1586"/>
        <v>0</v>
      </c>
      <c r="AC988" s="158">
        <f t="shared" ca="1" si="1587"/>
        <v>0</v>
      </c>
      <c r="AD988" s="164"/>
      <c r="AE988" s="148">
        <f t="shared" si="1534"/>
        <v>0</v>
      </c>
      <c r="AF988" s="149"/>
      <c r="AG988" s="150"/>
      <c r="AH988" s="159" t="e">
        <f t="shared" si="1588"/>
        <v>#DIV/0!</v>
      </c>
      <c r="AI988" s="165" t="s">
        <v>101</v>
      </c>
      <c r="AJ988" s="219"/>
      <c r="AK988" s="219"/>
      <c r="AM988" s="219"/>
      <c r="AN988" s="219"/>
      <c r="AO988" s="219"/>
      <c r="AP988" s="219"/>
      <c r="AQ988" s="219"/>
      <c r="AR988" s="219"/>
    </row>
    <row r="989" spans="1:44" s="220" customFormat="1" ht="40.15" hidden="1" customHeight="1">
      <c r="A989" s="152">
        <f t="shared" ca="1" si="1535"/>
        <v>0</v>
      </c>
      <c r="B989" s="153" t="s">
        <v>127</v>
      </c>
      <c r="C989" s="154" t="str">
        <f t="shared" si="1575"/>
        <v>DR/0050</v>
      </c>
      <c r="D989" s="154" t="s">
        <v>3549</v>
      </c>
      <c r="E989" s="155" t="s">
        <v>3616</v>
      </c>
      <c r="F989" s="154"/>
      <c r="G989" s="154" t="s">
        <v>3617</v>
      </c>
      <c r="H989" s="152">
        <v>13.36</v>
      </c>
      <c r="I989" s="152">
        <v>13.22</v>
      </c>
      <c r="J989" s="156"/>
      <c r="K989" s="156">
        <f>(K978+K979)/84</f>
        <v>0</v>
      </c>
      <c r="L989" s="156">
        <f t="shared" si="1576"/>
        <v>0</v>
      </c>
      <c r="M989" s="156">
        <f t="shared" si="1577"/>
        <v>0</v>
      </c>
      <c r="N989" s="156" t="s">
        <v>83</v>
      </c>
      <c r="O989" s="157" cm="1">
        <f t="array" ref="O989">TRUNC($H989*(1+_xlfn.SWITCH($N989,"BDI 1",$O$6,"BDI 2",$O$7,"BDI 3",$O$8)),2)</f>
        <v>16.12</v>
      </c>
      <c r="P989" s="157" cm="1">
        <f t="array" ref="P989">TRUNC($I989*(1+_xlfn.SWITCH($N989,"BDI 1",$P$6,"BDI 2",$P$7,"BDI 3",$P$8)),2)</f>
        <v>16.75</v>
      </c>
      <c r="Q989" s="157">
        <v>0</v>
      </c>
      <c r="R989" s="157">
        <f t="shared" si="1578"/>
        <v>0</v>
      </c>
      <c r="S989" s="156">
        <f t="shared" si="1579"/>
        <v>0</v>
      </c>
      <c r="T989" s="156">
        <f t="shared" si="1580"/>
        <v>0</v>
      </c>
      <c r="U989" s="156">
        <f t="shared" si="1581"/>
        <v>0</v>
      </c>
      <c r="V989" s="156">
        <f t="shared" si="1582"/>
        <v>0</v>
      </c>
      <c r="W989" s="156">
        <f t="shared" si="1583"/>
        <v>0</v>
      </c>
      <c r="X989" s="158">
        <f t="shared" ref="X989" si="1609">$S989/ORCAMENTO_VALOR_TOTAL_ND</f>
        <v>0</v>
      </c>
      <c r="Y989" s="158">
        <f t="shared" ref="Y989" si="1610">$T989/ORCAMENTO_VALOR_TOTAL_DE</f>
        <v>0</v>
      </c>
      <c r="Z989" s="158" cm="1">
        <f t="array" ref="Z989">_xlfn.SWITCH($N989,"BDI 1",$O$6,"BDI 2",$O$7,"BDI 3",$O$8)</f>
        <v>0.20699999999999999</v>
      </c>
      <c r="AA989" s="158" cm="1">
        <f t="array" ref="AA989">_xlfn.SWITCH($N989,"BDI 1",$P$6,"BDI 2",$P$7,"BDI 3",$P$8)</f>
        <v>0.26739999999999997</v>
      </c>
      <c r="AB989" s="158">
        <f t="shared" ca="1" si="1586"/>
        <v>0</v>
      </c>
      <c r="AC989" s="158">
        <f t="shared" ca="1" si="1587"/>
        <v>0</v>
      </c>
      <c r="AD989" s="164"/>
      <c r="AE989" s="148">
        <f t="shared" si="1534"/>
        <v>0</v>
      </c>
      <c r="AF989" s="149"/>
      <c r="AG989" s="150"/>
      <c r="AH989" s="159" t="e">
        <f t="shared" si="1588"/>
        <v>#DIV/0!</v>
      </c>
      <c r="AI989" s="165" t="s">
        <v>243</v>
      </c>
      <c r="AJ989" s="219"/>
      <c r="AK989" s="219"/>
      <c r="AM989" s="219"/>
      <c r="AN989" s="219"/>
      <c r="AO989" s="219"/>
      <c r="AP989" s="219"/>
      <c r="AQ989" s="219"/>
      <c r="AR989" s="219"/>
    </row>
    <row r="990" spans="1:44" s="49" customFormat="1" ht="40.15" hidden="1" customHeight="1">
      <c r="A990" s="152">
        <f t="shared" ca="1" si="1535"/>
        <v>0</v>
      </c>
      <c r="B990" s="153"/>
      <c r="C990" s="154"/>
      <c r="D990" s="154"/>
      <c r="E990" s="161" t="s">
        <v>350</v>
      </c>
      <c r="F990" s="154"/>
      <c r="G990" s="154"/>
      <c r="H990" s="152"/>
      <c r="I990" s="152"/>
      <c r="J990" s="154"/>
      <c r="K990" s="154"/>
      <c r="L990" s="154"/>
      <c r="M990" s="154"/>
      <c r="N990" s="154"/>
      <c r="O990" s="162"/>
      <c r="P990" s="162"/>
      <c r="Q990" s="162"/>
      <c r="R990" s="162"/>
      <c r="S990" s="162"/>
      <c r="T990" s="162"/>
      <c r="U990" s="162"/>
      <c r="V990" s="162"/>
      <c r="W990" s="162"/>
      <c r="X990" s="163"/>
      <c r="Y990" s="163"/>
      <c r="Z990" s="163"/>
      <c r="AA990" s="163"/>
      <c r="AB990" s="163"/>
      <c r="AC990" s="163"/>
      <c r="AD990" s="164"/>
      <c r="AE990" s="148">
        <f t="shared" si="1534"/>
        <v>0</v>
      </c>
      <c r="AF990" s="149"/>
      <c r="AG990" s="150"/>
      <c r="AH990" s="159"/>
      <c r="AI990" s="160"/>
      <c r="AJ990" s="105"/>
      <c r="AK990" s="105"/>
      <c r="AM990" s="105"/>
      <c r="AN990" s="105"/>
      <c r="AO990" s="105"/>
      <c r="AP990" s="105"/>
      <c r="AQ990" s="105"/>
      <c r="AR990" s="105"/>
    </row>
    <row r="991" spans="1:44" s="49" customFormat="1" ht="40.15" hidden="1" customHeight="1">
      <c r="A991" s="152">
        <f t="shared" ca="1" si="1535"/>
        <v>0</v>
      </c>
      <c r="B991" s="153"/>
      <c r="C991" s="154"/>
      <c r="D991" s="154"/>
      <c r="E991" s="161" t="s">
        <v>351</v>
      </c>
      <c r="F991" s="154"/>
      <c r="G991" s="154"/>
      <c r="H991" s="152"/>
      <c r="I991" s="152"/>
      <c r="J991" s="154"/>
      <c r="K991" s="154"/>
      <c r="L991" s="154"/>
      <c r="M991" s="154"/>
      <c r="N991" s="154"/>
      <c r="O991" s="162"/>
      <c r="P991" s="162"/>
      <c r="Q991" s="162"/>
      <c r="R991" s="162"/>
      <c r="S991" s="162"/>
      <c r="T991" s="162"/>
      <c r="U991" s="162"/>
      <c r="V991" s="162"/>
      <c r="W991" s="162"/>
      <c r="X991" s="163"/>
      <c r="Y991" s="163"/>
      <c r="Z991" s="163"/>
      <c r="AA991" s="163"/>
      <c r="AB991" s="163"/>
      <c r="AC991" s="163"/>
      <c r="AD991" s="164"/>
      <c r="AE991" s="148">
        <f t="shared" si="1534"/>
        <v>0</v>
      </c>
      <c r="AF991" s="149"/>
      <c r="AG991" s="150"/>
      <c r="AH991" s="159"/>
      <c r="AI991" s="160"/>
      <c r="AJ991" s="105"/>
      <c r="AK991" s="105"/>
      <c r="AM991" s="105"/>
      <c r="AN991" s="105"/>
      <c r="AO991" s="105"/>
      <c r="AP991" s="105"/>
      <c r="AQ991" s="105"/>
      <c r="AR991" s="105"/>
    </row>
    <row r="992" spans="1:44" s="220" customFormat="1" ht="40.15" hidden="1" customHeight="1">
      <c r="A992" s="152">
        <f t="shared" ca="1" si="1535"/>
        <v>0</v>
      </c>
      <c r="B992" s="153" t="s">
        <v>346</v>
      </c>
      <c r="C992" s="154" t="str">
        <f t="shared" ref="C992:C999" si="1611">TEXT(B992,"0")</f>
        <v>SEL-307</v>
      </c>
      <c r="D992" s="154">
        <v>0</v>
      </c>
      <c r="E992" s="155" t="s">
        <v>3766</v>
      </c>
      <c r="F992" s="154"/>
      <c r="G992" s="154">
        <v>0</v>
      </c>
      <c r="H992" s="152">
        <v>0</v>
      </c>
      <c r="I992" s="152">
        <v>0</v>
      </c>
      <c r="J992" s="156"/>
      <c r="K992" s="156"/>
      <c r="L992" s="156">
        <f t="shared" ref="L992:L999" si="1612">IF($K992&gt;$J992,$K992-$J992,0)</f>
        <v>0</v>
      </c>
      <c r="M992" s="156">
        <f t="shared" ref="M992:M999" si="1613">IF($K992&lt;$J992,$J992-$K992,0)</f>
        <v>0</v>
      </c>
      <c r="N992" s="156" t="s">
        <v>83</v>
      </c>
      <c r="O992" s="157" cm="1">
        <f t="array" ref="O992">TRUNC($H992*(1+_xlfn.SWITCH($N992,"BDI 1",$O$6,"BDI 2",$O$7,"BDI 3",$O$8)),2)</f>
        <v>0</v>
      </c>
      <c r="P992" s="157" cm="1">
        <f t="array" ref="P992">TRUNC($I992*(1+_xlfn.SWITCH($N992,"BDI 1",$P$6,"BDI 2",$P$7,"BDI 3",$P$8)),2)</f>
        <v>0</v>
      </c>
      <c r="Q992" s="157">
        <v>0</v>
      </c>
      <c r="R992" s="157">
        <f t="shared" ref="R992:R999" si="1614">$Q992-($Q992*LICITACAO_DESCONTO)</f>
        <v>0</v>
      </c>
      <c r="S992" s="156">
        <f t="shared" ref="S992:S999" si="1615">TRUNC($K992*$O992,2)</f>
        <v>0</v>
      </c>
      <c r="T992" s="156">
        <f t="shared" ref="T992:T999" si="1616">TRUNC($K992*$P992,2)</f>
        <v>0</v>
      </c>
      <c r="U992" s="156">
        <f t="shared" ref="U992:U999" si="1617">TRUNC($J992*$R992,2)</f>
        <v>0</v>
      </c>
      <c r="V992" s="156">
        <f t="shared" ref="V992:V999" si="1618">TRUNC($K992*$Q992,2)</f>
        <v>0</v>
      </c>
      <c r="W992" s="156">
        <f t="shared" ref="W992:W999" si="1619">TRUNC(V992-U992,2)</f>
        <v>0</v>
      </c>
      <c r="X992" s="158">
        <f t="shared" ref="X992" si="1620">$S992/ORCAMENTO_VALOR_TOTAL_ND</f>
        <v>0</v>
      </c>
      <c r="Y992" s="158">
        <f t="shared" ref="Y992" si="1621">$T992/ORCAMENTO_VALOR_TOTAL_DE</f>
        <v>0</v>
      </c>
      <c r="Z992" s="158" cm="1">
        <f t="array" ref="Z992">_xlfn.SWITCH($N992,"BDI 1",$O$6,"BDI 2",$O$7,"BDI 3",$O$8)</f>
        <v>0.20699999999999999</v>
      </c>
      <c r="AA992" s="158" cm="1">
        <f t="array" ref="AA992">_xlfn.SWITCH($N992,"BDI 1",$P$6,"BDI 2",$P$7,"BDI 3",$P$8)</f>
        <v>0.26739999999999997</v>
      </c>
      <c r="AB992" s="158">
        <f t="shared" ref="AB992:AB999" ca="1" si="1622">IFERROR($S992/_xlfn.XLOOKUP($AE992,$B$16:$B$38,$S$16:$S$38),0)</f>
        <v>0</v>
      </c>
      <c r="AC992" s="158">
        <f t="shared" ref="AC992:AC999" ca="1" si="1623">IFERROR($T992/_xlfn.XLOOKUP($AE992,$B$16:$B$38,$T$16:$T$38),0)</f>
        <v>0</v>
      </c>
      <c r="AD992" s="164"/>
      <c r="AE992" s="148">
        <f t="shared" si="1534"/>
        <v>0</v>
      </c>
      <c r="AF992" s="149"/>
      <c r="AG992" s="150"/>
      <c r="AH992" s="159" t="e">
        <f t="shared" ref="AH992:AH999" si="1624">+S992/$S$961</f>
        <v>#DIV/0!</v>
      </c>
      <c r="AI992" s="160"/>
      <c r="AJ992" s="184" t="e">
        <v>#N/A</v>
      </c>
      <c r="AK992" s="183" t="e">
        <f>+K992/AJ992</f>
        <v>#N/A</v>
      </c>
      <c r="AM992" s="219"/>
      <c r="AN992" s="219"/>
      <c r="AO992" s="219"/>
      <c r="AP992" s="219"/>
      <c r="AQ992" s="219" t="e">
        <f>K992+#REF!+K1020+K1028+K1035+K1047+K1062+K1071+K1080+#REF!+#REF!</f>
        <v>#REF!</v>
      </c>
      <c r="AR992" s="219"/>
    </row>
    <row r="993" spans="1:44" s="220" customFormat="1" ht="40.15" hidden="1" customHeight="1">
      <c r="A993" s="152">
        <f t="shared" ca="1" si="1535"/>
        <v>0</v>
      </c>
      <c r="B993" s="153">
        <v>103673</v>
      </c>
      <c r="C993" s="154" t="str">
        <f t="shared" si="1611"/>
        <v>103673</v>
      </c>
      <c r="D993" s="154" t="s">
        <v>1416</v>
      </c>
      <c r="E993" s="155" t="s">
        <v>3795</v>
      </c>
      <c r="F993" s="154"/>
      <c r="G993" s="154" t="s">
        <v>464</v>
      </c>
      <c r="H993" s="152">
        <v>38.33</v>
      </c>
      <c r="I993" s="152">
        <v>34.799999999999997</v>
      </c>
      <c r="J993" s="156"/>
      <c r="K993" s="156">
        <f>K992</f>
        <v>0</v>
      </c>
      <c r="L993" s="156">
        <f t="shared" si="1612"/>
        <v>0</v>
      </c>
      <c r="M993" s="156">
        <f t="shared" si="1613"/>
        <v>0</v>
      </c>
      <c r="N993" s="156" t="s">
        <v>83</v>
      </c>
      <c r="O993" s="157" cm="1">
        <f t="array" ref="O993">TRUNC($H993*(1+_xlfn.SWITCH($N993,"BDI 1",$O$6,"BDI 2",$O$7,"BDI 3",$O$8)),2)</f>
        <v>46.26</v>
      </c>
      <c r="P993" s="157" cm="1">
        <f t="array" ref="P993">TRUNC($I993*(1+_xlfn.SWITCH($N993,"BDI 1",$P$6,"BDI 2",$P$7,"BDI 3",$P$8)),2)</f>
        <v>44.1</v>
      </c>
      <c r="Q993" s="157">
        <v>0</v>
      </c>
      <c r="R993" s="157">
        <f t="shared" si="1614"/>
        <v>0</v>
      </c>
      <c r="S993" s="156">
        <f t="shared" si="1615"/>
        <v>0</v>
      </c>
      <c r="T993" s="156">
        <f t="shared" si="1616"/>
        <v>0</v>
      </c>
      <c r="U993" s="156">
        <f t="shared" si="1617"/>
        <v>0</v>
      </c>
      <c r="V993" s="156">
        <f t="shared" si="1618"/>
        <v>0</v>
      </c>
      <c r="W993" s="156">
        <f t="shared" si="1619"/>
        <v>0</v>
      </c>
      <c r="X993" s="158">
        <f t="shared" ref="X993" si="1625">$S993/ORCAMENTO_VALOR_TOTAL_ND</f>
        <v>0</v>
      </c>
      <c r="Y993" s="158">
        <f t="shared" ref="Y993" si="1626">$T993/ORCAMENTO_VALOR_TOTAL_DE</f>
        <v>0</v>
      </c>
      <c r="Z993" s="158" cm="1">
        <f t="array" ref="Z993">_xlfn.SWITCH($N993,"BDI 1",$O$6,"BDI 2",$O$7,"BDI 3",$O$8)</f>
        <v>0.20699999999999999</v>
      </c>
      <c r="AA993" s="158" cm="1">
        <f t="array" ref="AA993">_xlfn.SWITCH($N993,"BDI 1",$P$6,"BDI 2",$P$7,"BDI 3",$P$8)</f>
        <v>0.26739999999999997</v>
      </c>
      <c r="AB993" s="158">
        <f t="shared" ca="1" si="1622"/>
        <v>0</v>
      </c>
      <c r="AC993" s="158">
        <f t="shared" ca="1" si="1623"/>
        <v>0</v>
      </c>
      <c r="AD993" s="164"/>
      <c r="AE993" s="148">
        <f t="shared" si="1534"/>
        <v>0</v>
      </c>
      <c r="AF993" s="149"/>
      <c r="AG993" s="150"/>
      <c r="AH993" s="159" t="e">
        <f t="shared" si="1624"/>
        <v>#DIV/0!</v>
      </c>
      <c r="AI993" s="160"/>
      <c r="AJ993" s="184">
        <v>0</v>
      </c>
      <c r="AK993" s="183" t="e">
        <f>+K993/AJ993</f>
        <v>#DIV/0!</v>
      </c>
      <c r="AM993" s="219"/>
      <c r="AN993" s="219"/>
      <c r="AO993" s="219"/>
      <c r="AP993" s="219"/>
      <c r="AQ993" s="219" t="e">
        <f>K993+K1011+K1021+K1029+#REF!+K1048+K1063+K1072+K1081+K1108+#REF!</f>
        <v>#REF!</v>
      </c>
      <c r="AR993" s="219"/>
    </row>
    <row r="994" spans="1:44" s="220" customFormat="1" ht="40.15" hidden="1" customHeight="1">
      <c r="A994" s="152">
        <f t="shared" ca="1" si="1535"/>
        <v>0</v>
      </c>
      <c r="B994" s="153">
        <v>100341</v>
      </c>
      <c r="C994" s="154" t="str">
        <f t="shared" si="1611"/>
        <v>100341</v>
      </c>
      <c r="D994" s="154" t="s">
        <v>1416</v>
      </c>
      <c r="E994" s="155" t="s">
        <v>3942</v>
      </c>
      <c r="F994" s="154"/>
      <c r="G994" s="154" t="s">
        <v>1418</v>
      </c>
      <c r="H994" s="152">
        <v>41.95</v>
      </c>
      <c r="I994" s="152">
        <v>36.67</v>
      </c>
      <c r="J994" s="156"/>
      <c r="K994" s="156"/>
      <c r="L994" s="156">
        <f t="shared" si="1612"/>
        <v>0</v>
      </c>
      <c r="M994" s="156">
        <f t="shared" si="1613"/>
        <v>0</v>
      </c>
      <c r="N994" s="156" t="s">
        <v>83</v>
      </c>
      <c r="O994" s="157" cm="1">
        <f t="array" ref="O994">TRUNC($H994*(1+_xlfn.SWITCH($N994,"BDI 1",$O$6,"BDI 2",$O$7,"BDI 3",$O$8)),2)</f>
        <v>50.63</v>
      </c>
      <c r="P994" s="157" cm="1">
        <f t="array" ref="P994">TRUNC($I994*(1+_xlfn.SWITCH($N994,"BDI 1",$P$6,"BDI 2",$P$7,"BDI 3",$P$8)),2)</f>
        <v>46.47</v>
      </c>
      <c r="Q994" s="157">
        <v>0</v>
      </c>
      <c r="R994" s="157">
        <f t="shared" si="1614"/>
        <v>0</v>
      </c>
      <c r="S994" s="156">
        <f t="shared" si="1615"/>
        <v>0</v>
      </c>
      <c r="T994" s="156">
        <f t="shared" si="1616"/>
        <v>0</v>
      </c>
      <c r="U994" s="156">
        <f t="shared" si="1617"/>
        <v>0</v>
      </c>
      <c r="V994" s="156">
        <f t="shared" si="1618"/>
        <v>0</v>
      </c>
      <c r="W994" s="156">
        <f t="shared" si="1619"/>
        <v>0</v>
      </c>
      <c r="X994" s="158">
        <f t="shared" ref="X994" si="1627">$S994/ORCAMENTO_VALOR_TOTAL_ND</f>
        <v>0</v>
      </c>
      <c r="Y994" s="158">
        <f t="shared" ref="Y994" si="1628">$T994/ORCAMENTO_VALOR_TOTAL_DE</f>
        <v>0</v>
      </c>
      <c r="Z994" s="158" cm="1">
        <f t="array" ref="Z994">_xlfn.SWITCH($N994,"BDI 1",$O$6,"BDI 2",$O$7,"BDI 3",$O$8)</f>
        <v>0.20699999999999999</v>
      </c>
      <c r="AA994" s="158" cm="1">
        <f t="array" ref="AA994">_xlfn.SWITCH($N994,"BDI 1",$P$6,"BDI 2",$P$7,"BDI 3",$P$8)</f>
        <v>0.26739999999999997</v>
      </c>
      <c r="AB994" s="158">
        <f t="shared" ca="1" si="1622"/>
        <v>0</v>
      </c>
      <c r="AC994" s="158">
        <f t="shared" ca="1" si="1623"/>
        <v>0</v>
      </c>
      <c r="AD994" s="164"/>
      <c r="AE994" s="148">
        <f t="shared" si="1534"/>
        <v>0</v>
      </c>
      <c r="AF994" s="149"/>
      <c r="AG994" s="150"/>
      <c r="AH994" s="159" t="e">
        <f t="shared" si="1624"/>
        <v>#DIV/0!</v>
      </c>
      <c r="AI994" s="160"/>
      <c r="AJ994" s="219"/>
      <c r="AK994" s="219"/>
      <c r="AM994" s="219"/>
      <c r="AN994" s="219"/>
      <c r="AO994" s="219"/>
      <c r="AP994" s="219"/>
      <c r="AQ994" s="219"/>
      <c r="AR994" s="219"/>
    </row>
    <row r="995" spans="1:44" s="220" customFormat="1" ht="40.15" hidden="1" customHeight="1">
      <c r="A995" s="152">
        <f t="shared" ca="1" si="1535"/>
        <v>0</v>
      </c>
      <c r="B995" s="153">
        <v>100344</v>
      </c>
      <c r="C995" s="154" t="str">
        <f t="shared" si="1611"/>
        <v>100344</v>
      </c>
      <c r="D995" s="154" t="s">
        <v>1416</v>
      </c>
      <c r="E995" s="155" t="s">
        <v>3805</v>
      </c>
      <c r="F995" s="154"/>
      <c r="G995" s="154" t="s">
        <v>3802</v>
      </c>
      <c r="H995" s="152">
        <v>12.17</v>
      </c>
      <c r="I995" s="152">
        <v>11.92</v>
      </c>
      <c r="J995" s="156"/>
      <c r="K995" s="156"/>
      <c r="L995" s="156">
        <f t="shared" si="1612"/>
        <v>0</v>
      </c>
      <c r="M995" s="156">
        <f t="shared" si="1613"/>
        <v>0</v>
      </c>
      <c r="N995" s="156" t="s">
        <v>83</v>
      </c>
      <c r="O995" s="157" cm="1">
        <f t="array" ref="O995">TRUNC($H995*(1+_xlfn.SWITCH($N995,"BDI 1",$O$6,"BDI 2",$O$7,"BDI 3",$O$8)),2)</f>
        <v>14.68</v>
      </c>
      <c r="P995" s="157" cm="1">
        <f t="array" ref="P995">TRUNC($I995*(1+_xlfn.SWITCH($N995,"BDI 1",$P$6,"BDI 2",$P$7,"BDI 3",$P$8)),2)</f>
        <v>15.1</v>
      </c>
      <c r="Q995" s="157">
        <v>0</v>
      </c>
      <c r="R995" s="157">
        <f t="shared" si="1614"/>
        <v>0</v>
      </c>
      <c r="S995" s="156">
        <f t="shared" si="1615"/>
        <v>0</v>
      </c>
      <c r="T995" s="156">
        <f t="shared" si="1616"/>
        <v>0</v>
      </c>
      <c r="U995" s="156">
        <f t="shared" si="1617"/>
        <v>0</v>
      </c>
      <c r="V995" s="156">
        <f t="shared" si="1618"/>
        <v>0</v>
      </c>
      <c r="W995" s="156">
        <f t="shared" si="1619"/>
        <v>0</v>
      </c>
      <c r="X995" s="158">
        <f t="shared" ref="X995" si="1629">$S995/ORCAMENTO_VALOR_TOTAL_ND</f>
        <v>0</v>
      </c>
      <c r="Y995" s="158">
        <f t="shared" ref="Y995" si="1630">$T995/ORCAMENTO_VALOR_TOTAL_DE</f>
        <v>0</v>
      </c>
      <c r="Z995" s="158" cm="1">
        <f t="array" ref="Z995">_xlfn.SWITCH($N995,"BDI 1",$O$6,"BDI 2",$O$7,"BDI 3",$O$8)</f>
        <v>0.20699999999999999</v>
      </c>
      <c r="AA995" s="158" cm="1">
        <f t="array" ref="AA995">_xlfn.SWITCH($N995,"BDI 1",$P$6,"BDI 2",$P$7,"BDI 3",$P$8)</f>
        <v>0.26739999999999997</v>
      </c>
      <c r="AB995" s="158">
        <f t="shared" ca="1" si="1622"/>
        <v>0</v>
      </c>
      <c r="AC995" s="158">
        <f t="shared" ca="1" si="1623"/>
        <v>0</v>
      </c>
      <c r="AD995" s="164"/>
      <c r="AE995" s="148">
        <f t="shared" si="1534"/>
        <v>0</v>
      </c>
      <c r="AF995" s="149"/>
      <c r="AG995" s="150"/>
      <c r="AH995" s="159" t="e">
        <f t="shared" si="1624"/>
        <v>#DIV/0!</v>
      </c>
      <c r="AI995" s="165" t="s">
        <v>101</v>
      </c>
      <c r="AJ995" s="219"/>
      <c r="AK995" s="219"/>
      <c r="AM995" s="219"/>
      <c r="AN995" s="219"/>
      <c r="AO995" s="219"/>
      <c r="AP995" s="219"/>
      <c r="AQ995" s="219"/>
      <c r="AR995" s="219"/>
    </row>
    <row r="996" spans="1:44" s="220" customFormat="1" ht="40.15" hidden="1" customHeight="1">
      <c r="A996" s="152">
        <f t="shared" ca="1" si="1535"/>
        <v>0</v>
      </c>
      <c r="B996" s="153">
        <v>100345</v>
      </c>
      <c r="C996" s="154" t="str">
        <f t="shared" si="1611"/>
        <v>100345</v>
      </c>
      <c r="D996" s="154" t="s">
        <v>1416</v>
      </c>
      <c r="E996" s="155" t="s">
        <v>3806</v>
      </c>
      <c r="F996" s="154"/>
      <c r="G996" s="154" t="s">
        <v>3802</v>
      </c>
      <c r="H996" s="152">
        <v>10.31</v>
      </c>
      <c r="I996" s="152">
        <v>10.1</v>
      </c>
      <c r="J996" s="156"/>
      <c r="K996" s="156"/>
      <c r="L996" s="156">
        <f t="shared" si="1612"/>
        <v>0</v>
      </c>
      <c r="M996" s="156">
        <f t="shared" si="1613"/>
        <v>0</v>
      </c>
      <c r="N996" s="156" t="s">
        <v>83</v>
      </c>
      <c r="O996" s="157" cm="1">
        <f t="array" ref="O996">TRUNC($H996*(1+_xlfn.SWITCH($N996,"BDI 1",$O$6,"BDI 2",$O$7,"BDI 3",$O$8)),2)</f>
        <v>12.44</v>
      </c>
      <c r="P996" s="157" cm="1">
        <f t="array" ref="P996">TRUNC($I996*(1+_xlfn.SWITCH($N996,"BDI 1",$P$6,"BDI 2",$P$7,"BDI 3",$P$8)),2)</f>
        <v>12.8</v>
      </c>
      <c r="Q996" s="157">
        <v>0</v>
      </c>
      <c r="R996" s="157">
        <f t="shared" si="1614"/>
        <v>0</v>
      </c>
      <c r="S996" s="156">
        <f t="shared" si="1615"/>
        <v>0</v>
      </c>
      <c r="T996" s="156">
        <f t="shared" si="1616"/>
        <v>0</v>
      </c>
      <c r="U996" s="156">
        <f t="shared" si="1617"/>
        <v>0</v>
      </c>
      <c r="V996" s="156">
        <f t="shared" si="1618"/>
        <v>0</v>
      </c>
      <c r="W996" s="156">
        <f t="shared" si="1619"/>
        <v>0</v>
      </c>
      <c r="X996" s="158">
        <f t="shared" ref="X996" si="1631">$S996/ORCAMENTO_VALOR_TOTAL_ND</f>
        <v>0</v>
      </c>
      <c r="Y996" s="158">
        <f t="shared" ref="Y996" si="1632">$T996/ORCAMENTO_VALOR_TOTAL_DE</f>
        <v>0</v>
      </c>
      <c r="Z996" s="158" cm="1">
        <f t="array" ref="Z996">_xlfn.SWITCH($N996,"BDI 1",$O$6,"BDI 2",$O$7,"BDI 3",$O$8)</f>
        <v>0.20699999999999999</v>
      </c>
      <c r="AA996" s="158" cm="1">
        <f t="array" ref="AA996">_xlfn.SWITCH($N996,"BDI 1",$P$6,"BDI 2",$P$7,"BDI 3",$P$8)</f>
        <v>0.26739999999999997</v>
      </c>
      <c r="AB996" s="158">
        <f t="shared" ca="1" si="1622"/>
        <v>0</v>
      </c>
      <c r="AC996" s="158">
        <f t="shared" ca="1" si="1623"/>
        <v>0</v>
      </c>
      <c r="AD996" s="164"/>
      <c r="AE996" s="148">
        <f t="shared" si="1534"/>
        <v>0</v>
      </c>
      <c r="AF996" s="149"/>
      <c r="AG996" s="150"/>
      <c r="AH996" s="159" t="e">
        <f t="shared" si="1624"/>
        <v>#DIV/0!</v>
      </c>
      <c r="AI996" s="165" t="s">
        <v>101</v>
      </c>
      <c r="AJ996" s="219"/>
      <c r="AK996" s="219"/>
      <c r="AM996" s="219"/>
      <c r="AN996" s="219"/>
      <c r="AO996" s="219"/>
      <c r="AP996" s="219"/>
      <c r="AQ996" s="219"/>
      <c r="AR996" s="219"/>
    </row>
    <row r="997" spans="1:44" s="220" customFormat="1" ht="40.15" hidden="1" customHeight="1">
      <c r="A997" s="152">
        <f t="shared" ca="1" si="1535"/>
        <v>0</v>
      </c>
      <c r="B997" s="153">
        <v>100347</v>
      </c>
      <c r="C997" s="154" t="str">
        <f t="shared" si="1611"/>
        <v>100347</v>
      </c>
      <c r="D997" s="154" t="s">
        <v>1416</v>
      </c>
      <c r="E997" s="155" t="s">
        <v>3943</v>
      </c>
      <c r="F997" s="154"/>
      <c r="G997" s="154" t="s">
        <v>3802</v>
      </c>
      <c r="H997" s="152">
        <v>11</v>
      </c>
      <c r="I997" s="152">
        <v>10.87</v>
      </c>
      <c r="J997" s="156"/>
      <c r="K997" s="156"/>
      <c r="L997" s="156">
        <f t="shared" si="1612"/>
        <v>0</v>
      </c>
      <c r="M997" s="156">
        <f t="shared" si="1613"/>
        <v>0</v>
      </c>
      <c r="N997" s="156" t="s">
        <v>83</v>
      </c>
      <c r="O997" s="157" cm="1">
        <f t="array" ref="O997">TRUNC($H997*(1+_xlfn.SWITCH($N997,"BDI 1",$O$6,"BDI 2",$O$7,"BDI 3",$O$8)),2)</f>
        <v>13.27</v>
      </c>
      <c r="P997" s="157" cm="1">
        <f t="array" ref="P997">TRUNC($I997*(1+_xlfn.SWITCH($N997,"BDI 1",$P$6,"BDI 2",$P$7,"BDI 3",$P$8)),2)</f>
        <v>13.77</v>
      </c>
      <c r="Q997" s="157">
        <v>0</v>
      </c>
      <c r="R997" s="157">
        <f t="shared" si="1614"/>
        <v>0</v>
      </c>
      <c r="S997" s="156">
        <f t="shared" si="1615"/>
        <v>0</v>
      </c>
      <c r="T997" s="156">
        <f t="shared" si="1616"/>
        <v>0</v>
      </c>
      <c r="U997" s="156">
        <f t="shared" si="1617"/>
        <v>0</v>
      </c>
      <c r="V997" s="156">
        <f t="shared" si="1618"/>
        <v>0</v>
      </c>
      <c r="W997" s="156">
        <f t="shared" si="1619"/>
        <v>0</v>
      </c>
      <c r="X997" s="158">
        <f t="shared" ref="X997" si="1633">$S997/ORCAMENTO_VALOR_TOTAL_ND</f>
        <v>0</v>
      </c>
      <c r="Y997" s="158">
        <f t="shared" ref="Y997" si="1634">$T997/ORCAMENTO_VALOR_TOTAL_DE</f>
        <v>0</v>
      </c>
      <c r="Z997" s="158" cm="1">
        <f t="array" ref="Z997">_xlfn.SWITCH($N997,"BDI 1",$O$6,"BDI 2",$O$7,"BDI 3",$O$8)</f>
        <v>0.20699999999999999</v>
      </c>
      <c r="AA997" s="158" cm="1">
        <f t="array" ref="AA997">_xlfn.SWITCH($N997,"BDI 1",$P$6,"BDI 2",$P$7,"BDI 3",$P$8)</f>
        <v>0.26739999999999997</v>
      </c>
      <c r="AB997" s="158">
        <f t="shared" ca="1" si="1622"/>
        <v>0</v>
      </c>
      <c r="AC997" s="158">
        <f t="shared" ca="1" si="1623"/>
        <v>0</v>
      </c>
      <c r="AD997" s="164"/>
      <c r="AE997" s="148">
        <f t="shared" si="1534"/>
        <v>0</v>
      </c>
      <c r="AF997" s="149"/>
      <c r="AG997" s="150"/>
      <c r="AH997" s="159" t="e">
        <f t="shared" si="1624"/>
        <v>#DIV/0!</v>
      </c>
      <c r="AI997" s="165" t="s">
        <v>243</v>
      </c>
      <c r="AJ997" s="219"/>
      <c r="AK997" s="219"/>
      <c r="AM997" s="219"/>
      <c r="AN997" s="219"/>
      <c r="AO997" s="219"/>
      <c r="AP997" s="219"/>
      <c r="AQ997" s="219"/>
      <c r="AR997" s="219"/>
    </row>
    <row r="998" spans="1:44" s="220" customFormat="1" ht="40.15" hidden="1" customHeight="1">
      <c r="A998" s="152">
        <f t="shared" ca="1" si="1535"/>
        <v>0</v>
      </c>
      <c r="B998" s="153">
        <v>100348</v>
      </c>
      <c r="C998" s="154" t="str">
        <f t="shared" si="1611"/>
        <v>100348</v>
      </c>
      <c r="D998" s="154" t="s">
        <v>1416</v>
      </c>
      <c r="E998" s="155" t="s">
        <v>3944</v>
      </c>
      <c r="F998" s="154"/>
      <c r="G998" s="154" t="s">
        <v>3802</v>
      </c>
      <c r="H998" s="152">
        <v>10.76</v>
      </c>
      <c r="I998" s="152">
        <v>10.66</v>
      </c>
      <c r="J998" s="156"/>
      <c r="K998" s="156"/>
      <c r="L998" s="156">
        <f t="shared" si="1612"/>
        <v>0</v>
      </c>
      <c r="M998" s="156">
        <f t="shared" si="1613"/>
        <v>0</v>
      </c>
      <c r="N998" s="156" t="s">
        <v>83</v>
      </c>
      <c r="O998" s="157" cm="1">
        <f t="array" ref="O998">TRUNC($H998*(1+_xlfn.SWITCH($N998,"BDI 1",$O$6,"BDI 2",$O$7,"BDI 3",$O$8)),2)</f>
        <v>12.98</v>
      </c>
      <c r="P998" s="157" cm="1">
        <f t="array" ref="P998">TRUNC($I998*(1+_xlfn.SWITCH($N998,"BDI 1",$P$6,"BDI 2",$P$7,"BDI 3",$P$8)),2)</f>
        <v>13.51</v>
      </c>
      <c r="Q998" s="157">
        <v>0</v>
      </c>
      <c r="R998" s="157">
        <f t="shared" si="1614"/>
        <v>0</v>
      </c>
      <c r="S998" s="156">
        <f t="shared" si="1615"/>
        <v>0</v>
      </c>
      <c r="T998" s="156">
        <f t="shared" si="1616"/>
        <v>0</v>
      </c>
      <c r="U998" s="156">
        <f t="shared" si="1617"/>
        <v>0</v>
      </c>
      <c r="V998" s="156">
        <f t="shared" si="1618"/>
        <v>0</v>
      </c>
      <c r="W998" s="156">
        <f t="shared" si="1619"/>
        <v>0</v>
      </c>
      <c r="X998" s="158">
        <f t="shared" ref="X998" si="1635">$S998/ORCAMENTO_VALOR_TOTAL_ND</f>
        <v>0</v>
      </c>
      <c r="Y998" s="158">
        <f t="shared" ref="Y998" si="1636">$T998/ORCAMENTO_VALOR_TOTAL_DE</f>
        <v>0</v>
      </c>
      <c r="Z998" s="158" cm="1">
        <f t="array" ref="Z998">_xlfn.SWITCH($N998,"BDI 1",$O$6,"BDI 2",$O$7,"BDI 3",$O$8)</f>
        <v>0.20699999999999999</v>
      </c>
      <c r="AA998" s="158" cm="1">
        <f t="array" ref="AA998">_xlfn.SWITCH($N998,"BDI 1",$P$6,"BDI 2",$P$7,"BDI 3",$P$8)</f>
        <v>0.26739999999999997</v>
      </c>
      <c r="AB998" s="158">
        <f t="shared" ca="1" si="1622"/>
        <v>0</v>
      </c>
      <c r="AC998" s="158">
        <f t="shared" ca="1" si="1623"/>
        <v>0</v>
      </c>
      <c r="AD998" s="164"/>
      <c r="AE998" s="148">
        <f t="shared" si="1534"/>
        <v>0</v>
      </c>
      <c r="AF998" s="149"/>
      <c r="AG998" s="150"/>
      <c r="AH998" s="159" t="e">
        <f t="shared" si="1624"/>
        <v>#DIV/0!</v>
      </c>
      <c r="AI998" s="160"/>
      <c r="AJ998" s="219"/>
      <c r="AK998" s="219"/>
      <c r="AM998" s="219"/>
      <c r="AN998" s="219"/>
      <c r="AO998" s="219"/>
      <c r="AP998" s="219"/>
      <c r="AQ998" s="219"/>
      <c r="AR998" s="219"/>
    </row>
    <row r="999" spans="1:44" s="220" customFormat="1" ht="40.15" hidden="1" customHeight="1">
      <c r="A999" s="152">
        <f t="shared" ca="1" si="1535"/>
        <v>0</v>
      </c>
      <c r="B999" s="153" t="s">
        <v>352</v>
      </c>
      <c r="C999" s="154" t="str">
        <f t="shared" si="1611"/>
        <v>EC/0170</v>
      </c>
      <c r="D999" s="154" t="s">
        <v>3549</v>
      </c>
      <c r="E999" s="155" t="s">
        <v>3945</v>
      </c>
      <c r="F999" s="154"/>
      <c r="G999" s="154" t="s">
        <v>3946</v>
      </c>
      <c r="H999" s="152">
        <v>52.05</v>
      </c>
      <c r="I999" s="152">
        <v>50.33</v>
      </c>
      <c r="J999" s="156"/>
      <c r="K999" s="156"/>
      <c r="L999" s="156">
        <f t="shared" si="1612"/>
        <v>0</v>
      </c>
      <c r="M999" s="156">
        <f t="shared" si="1613"/>
        <v>0</v>
      </c>
      <c r="N999" s="156" t="s">
        <v>83</v>
      </c>
      <c r="O999" s="157" cm="1">
        <f t="array" ref="O999">TRUNC($H999*(1+_xlfn.SWITCH($N999,"BDI 1",$O$6,"BDI 2",$O$7,"BDI 3",$O$8)),2)</f>
        <v>62.82</v>
      </c>
      <c r="P999" s="157" cm="1">
        <f t="array" ref="P999">TRUNC($I999*(1+_xlfn.SWITCH($N999,"BDI 1",$P$6,"BDI 2",$P$7,"BDI 3",$P$8)),2)</f>
        <v>63.78</v>
      </c>
      <c r="Q999" s="157">
        <v>0</v>
      </c>
      <c r="R999" s="157">
        <f t="shared" si="1614"/>
        <v>0</v>
      </c>
      <c r="S999" s="156">
        <f t="shared" si="1615"/>
        <v>0</v>
      </c>
      <c r="T999" s="156">
        <f t="shared" si="1616"/>
        <v>0</v>
      </c>
      <c r="U999" s="156">
        <f t="shared" si="1617"/>
        <v>0</v>
      </c>
      <c r="V999" s="156">
        <f t="shared" si="1618"/>
        <v>0</v>
      </c>
      <c r="W999" s="156">
        <f t="shared" si="1619"/>
        <v>0</v>
      </c>
      <c r="X999" s="158">
        <f t="shared" ref="X999" si="1637">$S999/ORCAMENTO_VALOR_TOTAL_ND</f>
        <v>0</v>
      </c>
      <c r="Y999" s="158">
        <f t="shared" ref="Y999" si="1638">$T999/ORCAMENTO_VALOR_TOTAL_DE</f>
        <v>0</v>
      </c>
      <c r="Z999" s="158" cm="1">
        <f t="array" ref="Z999">_xlfn.SWITCH($N999,"BDI 1",$O$6,"BDI 2",$O$7,"BDI 3",$O$8)</f>
        <v>0.20699999999999999</v>
      </c>
      <c r="AA999" s="158" cm="1">
        <f t="array" ref="AA999">_xlfn.SWITCH($N999,"BDI 1",$P$6,"BDI 2",$P$7,"BDI 3",$P$8)</f>
        <v>0.26739999999999997</v>
      </c>
      <c r="AB999" s="158">
        <f t="shared" ca="1" si="1622"/>
        <v>0</v>
      </c>
      <c r="AC999" s="158">
        <f t="shared" ca="1" si="1623"/>
        <v>0</v>
      </c>
      <c r="AD999" s="164"/>
      <c r="AE999" s="148">
        <f t="shared" si="1534"/>
        <v>0</v>
      </c>
      <c r="AF999" s="149"/>
      <c r="AG999" s="150"/>
      <c r="AH999" s="159" t="e">
        <f t="shared" si="1624"/>
        <v>#DIV/0!</v>
      </c>
      <c r="AI999" s="160"/>
      <c r="AJ999" s="219"/>
      <c r="AK999" s="219"/>
      <c r="AM999" s="219"/>
      <c r="AN999" s="219"/>
      <c r="AO999" s="219"/>
      <c r="AP999" s="219"/>
      <c r="AQ999" s="219"/>
      <c r="AR999" s="219"/>
    </row>
    <row r="1000" spans="1:44" s="49" customFormat="1" ht="40.15" hidden="1" customHeight="1">
      <c r="A1000" s="152">
        <f t="shared" ca="1" si="1535"/>
        <v>0</v>
      </c>
      <c r="B1000" s="153"/>
      <c r="C1000" s="154"/>
      <c r="D1000" s="154"/>
      <c r="E1000" s="161" t="s">
        <v>353</v>
      </c>
      <c r="F1000" s="154"/>
      <c r="G1000" s="154"/>
      <c r="H1000" s="152"/>
      <c r="I1000" s="152"/>
      <c r="J1000" s="154"/>
      <c r="K1000" s="154"/>
      <c r="L1000" s="154"/>
      <c r="M1000" s="154"/>
      <c r="N1000" s="154"/>
      <c r="O1000" s="162"/>
      <c r="P1000" s="162"/>
      <c r="Q1000" s="162"/>
      <c r="R1000" s="162"/>
      <c r="S1000" s="162"/>
      <c r="T1000" s="162"/>
      <c r="U1000" s="162"/>
      <c r="V1000" s="162"/>
      <c r="W1000" s="162"/>
      <c r="X1000" s="163"/>
      <c r="Y1000" s="163"/>
      <c r="Z1000" s="163"/>
      <c r="AA1000" s="163"/>
      <c r="AB1000" s="163"/>
      <c r="AC1000" s="163"/>
      <c r="AD1000" s="164"/>
      <c r="AE1000" s="148">
        <f t="shared" si="1534"/>
        <v>0</v>
      </c>
      <c r="AF1000" s="149"/>
      <c r="AG1000" s="150"/>
      <c r="AH1000" s="159"/>
      <c r="AI1000" s="160"/>
      <c r="AJ1000" s="105"/>
      <c r="AK1000" s="105"/>
      <c r="AM1000" s="105"/>
      <c r="AN1000" s="105"/>
      <c r="AO1000" s="105"/>
      <c r="AP1000" s="105"/>
      <c r="AQ1000" s="105"/>
      <c r="AR1000" s="105"/>
    </row>
    <row r="1001" spans="1:44" s="220" customFormat="1" ht="40.15" hidden="1" customHeight="1">
      <c r="A1001" s="152">
        <f t="shared" ca="1" si="1535"/>
        <v>0</v>
      </c>
      <c r="B1001" s="153" t="s">
        <v>346</v>
      </c>
      <c r="C1001" s="154" t="str">
        <f t="shared" ref="C1001:C1006" si="1639">TEXT(B1001,"0")</f>
        <v>SEL-307</v>
      </c>
      <c r="D1001" s="154">
        <v>0</v>
      </c>
      <c r="E1001" s="155" t="s">
        <v>3766</v>
      </c>
      <c r="F1001" s="154"/>
      <c r="G1001" s="154">
        <v>0</v>
      </c>
      <c r="H1001" s="152">
        <v>0</v>
      </c>
      <c r="I1001" s="152">
        <v>0</v>
      </c>
      <c r="J1001" s="156"/>
      <c r="K1001" s="156"/>
      <c r="L1001" s="156">
        <f t="shared" ref="L1001:L1006" si="1640">IF($K1001&gt;$J1001,$K1001-$J1001,0)</f>
        <v>0</v>
      </c>
      <c r="M1001" s="156">
        <f t="shared" ref="M1001:M1006" si="1641">IF($K1001&lt;$J1001,$J1001-$K1001,0)</f>
        <v>0</v>
      </c>
      <c r="N1001" s="156" t="s">
        <v>83</v>
      </c>
      <c r="O1001" s="157" cm="1">
        <f t="array" ref="O1001">TRUNC($H1001*(1+_xlfn.SWITCH($N1001,"BDI 1",$O$6,"BDI 2",$O$7,"BDI 3",$O$8)),2)</f>
        <v>0</v>
      </c>
      <c r="P1001" s="157" cm="1">
        <f t="array" ref="P1001">TRUNC($I1001*(1+_xlfn.SWITCH($N1001,"BDI 1",$P$6,"BDI 2",$P$7,"BDI 3",$P$8)),2)</f>
        <v>0</v>
      </c>
      <c r="Q1001" s="157">
        <v>0</v>
      </c>
      <c r="R1001" s="157">
        <f t="shared" ref="R1001:R1006" si="1642">$Q1001-($Q1001*LICITACAO_DESCONTO)</f>
        <v>0</v>
      </c>
      <c r="S1001" s="156">
        <f t="shared" ref="S1001:S1006" si="1643">TRUNC($K1001*$O1001,2)</f>
        <v>0</v>
      </c>
      <c r="T1001" s="156">
        <f t="shared" ref="T1001:T1006" si="1644">TRUNC($K1001*$P1001,2)</f>
        <v>0</v>
      </c>
      <c r="U1001" s="156">
        <f t="shared" ref="U1001:U1006" si="1645">TRUNC($J1001*$R1001,2)</f>
        <v>0</v>
      </c>
      <c r="V1001" s="156">
        <f t="shared" ref="V1001:V1006" si="1646">TRUNC($K1001*$Q1001,2)</f>
        <v>0</v>
      </c>
      <c r="W1001" s="156">
        <f t="shared" ref="W1001:W1006" si="1647">TRUNC(V1001-U1001,2)</f>
        <v>0</v>
      </c>
      <c r="X1001" s="158">
        <f t="shared" ref="X1001" si="1648">$S1001/ORCAMENTO_VALOR_TOTAL_ND</f>
        <v>0</v>
      </c>
      <c r="Y1001" s="158">
        <f t="shared" ref="Y1001" si="1649">$T1001/ORCAMENTO_VALOR_TOTAL_DE</f>
        <v>0</v>
      </c>
      <c r="Z1001" s="158" cm="1">
        <f t="array" ref="Z1001">_xlfn.SWITCH($N1001,"BDI 1",$O$6,"BDI 2",$O$7,"BDI 3",$O$8)</f>
        <v>0.20699999999999999</v>
      </c>
      <c r="AA1001" s="158" cm="1">
        <f t="array" ref="AA1001">_xlfn.SWITCH($N1001,"BDI 1",$P$6,"BDI 2",$P$7,"BDI 3",$P$8)</f>
        <v>0.26739999999999997</v>
      </c>
      <c r="AB1001" s="158">
        <f t="shared" ref="AB1001:AB1006" ca="1" si="1650">IFERROR($S1001/_xlfn.XLOOKUP($AE1001,$B$16:$B$38,$S$16:$S$38),0)</f>
        <v>0</v>
      </c>
      <c r="AC1001" s="158">
        <f t="shared" ref="AC1001:AC1006" ca="1" si="1651">IFERROR($T1001/_xlfn.XLOOKUP($AE1001,$B$16:$B$38,$T$16:$T$38),0)</f>
        <v>0</v>
      </c>
      <c r="AD1001" s="164"/>
      <c r="AE1001" s="148">
        <f t="shared" si="1534"/>
        <v>0</v>
      </c>
      <c r="AF1001" s="149"/>
      <c r="AG1001" s="150"/>
      <c r="AH1001" s="159" t="e">
        <f t="shared" ref="AH1001:AH1006" si="1652">+S1001/$S$961</f>
        <v>#DIV/0!</v>
      </c>
      <c r="AI1001" s="160"/>
      <c r="AJ1001" s="184" t="e">
        <v>#N/A</v>
      </c>
      <c r="AK1001" s="183" t="e">
        <f>+K1001/AJ1001</f>
        <v>#N/A</v>
      </c>
      <c r="AM1001" s="219"/>
      <c r="AN1001" s="219"/>
      <c r="AO1001" s="219"/>
      <c r="AP1001" s="219"/>
      <c r="AQ1001" s="219" t="e">
        <f>K1001+K1018+K1030+K1039+K1044+K1057+K1072+K1081+K1090+#REF!+K1121</f>
        <v>#REF!</v>
      </c>
      <c r="AR1001" s="219"/>
    </row>
    <row r="1002" spans="1:44" s="220" customFormat="1" ht="40.15" hidden="1" customHeight="1">
      <c r="A1002" s="152">
        <f t="shared" ca="1" si="1535"/>
        <v>0</v>
      </c>
      <c r="B1002" s="153">
        <v>103673</v>
      </c>
      <c r="C1002" s="154" t="str">
        <f t="shared" si="1639"/>
        <v>103673</v>
      </c>
      <c r="D1002" s="154" t="s">
        <v>1416</v>
      </c>
      <c r="E1002" s="155" t="s">
        <v>3795</v>
      </c>
      <c r="F1002" s="154"/>
      <c r="G1002" s="154" t="s">
        <v>464</v>
      </c>
      <c r="H1002" s="152">
        <v>38.33</v>
      </c>
      <c r="I1002" s="152">
        <v>34.799999999999997</v>
      </c>
      <c r="J1002" s="156"/>
      <c r="K1002" s="156"/>
      <c r="L1002" s="156">
        <f t="shared" si="1640"/>
        <v>0</v>
      </c>
      <c r="M1002" s="156">
        <f t="shared" si="1641"/>
        <v>0</v>
      </c>
      <c r="N1002" s="156" t="s">
        <v>83</v>
      </c>
      <c r="O1002" s="157" cm="1">
        <f t="array" ref="O1002">TRUNC($H1002*(1+_xlfn.SWITCH($N1002,"BDI 1",$O$6,"BDI 2",$O$7,"BDI 3",$O$8)),2)</f>
        <v>46.26</v>
      </c>
      <c r="P1002" s="157" cm="1">
        <f t="array" ref="P1002">TRUNC($I1002*(1+_xlfn.SWITCH($N1002,"BDI 1",$P$6,"BDI 2",$P$7,"BDI 3",$P$8)),2)</f>
        <v>44.1</v>
      </c>
      <c r="Q1002" s="157">
        <v>0</v>
      </c>
      <c r="R1002" s="157">
        <f t="shared" si="1642"/>
        <v>0</v>
      </c>
      <c r="S1002" s="156">
        <f t="shared" si="1643"/>
        <v>0</v>
      </c>
      <c r="T1002" s="156">
        <f t="shared" si="1644"/>
        <v>0</v>
      </c>
      <c r="U1002" s="156">
        <f t="shared" si="1645"/>
        <v>0</v>
      </c>
      <c r="V1002" s="156">
        <f t="shared" si="1646"/>
        <v>0</v>
      </c>
      <c r="W1002" s="156">
        <f t="shared" si="1647"/>
        <v>0</v>
      </c>
      <c r="X1002" s="158">
        <f t="shared" ref="X1002" si="1653">$S1002/ORCAMENTO_VALOR_TOTAL_ND</f>
        <v>0</v>
      </c>
      <c r="Y1002" s="158">
        <f t="shared" ref="Y1002" si="1654">$T1002/ORCAMENTO_VALOR_TOTAL_DE</f>
        <v>0</v>
      </c>
      <c r="Z1002" s="158" cm="1">
        <f t="array" ref="Z1002">_xlfn.SWITCH($N1002,"BDI 1",$O$6,"BDI 2",$O$7,"BDI 3",$O$8)</f>
        <v>0.20699999999999999</v>
      </c>
      <c r="AA1002" s="158" cm="1">
        <f t="array" ref="AA1002">_xlfn.SWITCH($N1002,"BDI 1",$P$6,"BDI 2",$P$7,"BDI 3",$P$8)</f>
        <v>0.26739999999999997</v>
      </c>
      <c r="AB1002" s="158">
        <f t="shared" ca="1" si="1650"/>
        <v>0</v>
      </c>
      <c r="AC1002" s="158">
        <f t="shared" ca="1" si="1651"/>
        <v>0</v>
      </c>
      <c r="AD1002" s="164"/>
      <c r="AE1002" s="148">
        <f t="shared" si="1534"/>
        <v>0</v>
      </c>
      <c r="AF1002" s="149"/>
      <c r="AG1002" s="150"/>
      <c r="AH1002" s="159" t="e">
        <f t="shared" si="1652"/>
        <v>#DIV/0!</v>
      </c>
      <c r="AI1002" s="165" t="s">
        <v>101</v>
      </c>
      <c r="AJ1002" s="219"/>
      <c r="AK1002" s="219"/>
      <c r="AM1002" s="219"/>
      <c r="AN1002" s="219"/>
      <c r="AO1002" s="219"/>
      <c r="AP1002" s="219"/>
      <c r="AQ1002" s="219"/>
      <c r="AR1002" s="219"/>
    </row>
    <row r="1003" spans="1:44" s="220" customFormat="1" ht="40.15" hidden="1" customHeight="1">
      <c r="A1003" s="152">
        <f t="shared" ca="1" si="1535"/>
        <v>0</v>
      </c>
      <c r="B1003" s="153">
        <v>92263</v>
      </c>
      <c r="C1003" s="154" t="str">
        <f t="shared" si="1639"/>
        <v>92263</v>
      </c>
      <c r="D1003" s="154" t="s">
        <v>1416</v>
      </c>
      <c r="E1003" s="155" t="s">
        <v>3947</v>
      </c>
      <c r="F1003" s="154"/>
      <c r="G1003" s="154" t="s">
        <v>1418</v>
      </c>
      <c r="H1003" s="152">
        <v>169.96</v>
      </c>
      <c r="I1003" s="152">
        <v>165.9</v>
      </c>
      <c r="J1003" s="156"/>
      <c r="K1003" s="156"/>
      <c r="L1003" s="156">
        <f t="shared" si="1640"/>
        <v>0</v>
      </c>
      <c r="M1003" s="156">
        <f t="shared" si="1641"/>
        <v>0</v>
      </c>
      <c r="N1003" s="156" t="s">
        <v>83</v>
      </c>
      <c r="O1003" s="157" cm="1">
        <f t="array" ref="O1003">TRUNC($H1003*(1+_xlfn.SWITCH($N1003,"BDI 1",$O$6,"BDI 2",$O$7,"BDI 3",$O$8)),2)</f>
        <v>205.14</v>
      </c>
      <c r="P1003" s="157" cm="1">
        <f t="array" ref="P1003">TRUNC($I1003*(1+_xlfn.SWITCH($N1003,"BDI 1",$P$6,"BDI 2",$P$7,"BDI 3",$P$8)),2)</f>
        <v>210.26</v>
      </c>
      <c r="Q1003" s="157">
        <v>0</v>
      </c>
      <c r="R1003" s="157">
        <f t="shared" si="1642"/>
        <v>0</v>
      </c>
      <c r="S1003" s="156">
        <f t="shared" si="1643"/>
        <v>0</v>
      </c>
      <c r="T1003" s="156">
        <f t="shared" si="1644"/>
        <v>0</v>
      </c>
      <c r="U1003" s="156">
        <f t="shared" si="1645"/>
        <v>0</v>
      </c>
      <c r="V1003" s="156">
        <f t="shared" si="1646"/>
        <v>0</v>
      </c>
      <c r="W1003" s="156">
        <f t="shared" si="1647"/>
        <v>0</v>
      </c>
      <c r="X1003" s="158">
        <f t="shared" ref="X1003" si="1655">$S1003/ORCAMENTO_VALOR_TOTAL_ND</f>
        <v>0</v>
      </c>
      <c r="Y1003" s="158">
        <f t="shared" ref="Y1003" si="1656">$T1003/ORCAMENTO_VALOR_TOTAL_DE</f>
        <v>0</v>
      </c>
      <c r="Z1003" s="158" cm="1">
        <f t="array" ref="Z1003">_xlfn.SWITCH($N1003,"BDI 1",$O$6,"BDI 2",$O$7,"BDI 3",$O$8)</f>
        <v>0.20699999999999999</v>
      </c>
      <c r="AA1003" s="158" cm="1">
        <f t="array" ref="AA1003">_xlfn.SWITCH($N1003,"BDI 1",$P$6,"BDI 2",$P$7,"BDI 3",$P$8)</f>
        <v>0.26739999999999997</v>
      </c>
      <c r="AB1003" s="158">
        <f t="shared" ca="1" si="1650"/>
        <v>0</v>
      </c>
      <c r="AC1003" s="158">
        <f t="shared" ca="1" si="1651"/>
        <v>0</v>
      </c>
      <c r="AD1003" s="164"/>
      <c r="AE1003" s="148">
        <f t="shared" si="1534"/>
        <v>0</v>
      </c>
      <c r="AF1003" s="149"/>
      <c r="AG1003" s="150"/>
      <c r="AH1003" s="159" t="e">
        <f t="shared" si="1652"/>
        <v>#DIV/0!</v>
      </c>
      <c r="AI1003" s="165" t="s">
        <v>101</v>
      </c>
      <c r="AJ1003" s="219"/>
      <c r="AK1003" s="219"/>
      <c r="AM1003" s="219"/>
      <c r="AN1003" s="219"/>
      <c r="AO1003" s="219"/>
      <c r="AP1003" s="219"/>
      <c r="AQ1003" s="219"/>
      <c r="AR1003" s="219"/>
    </row>
    <row r="1004" spans="1:44" s="220" customFormat="1" ht="40.15" hidden="1" customHeight="1">
      <c r="A1004" s="152">
        <f t="shared" ca="1" si="1535"/>
        <v>0</v>
      </c>
      <c r="B1004" s="153">
        <v>92760</v>
      </c>
      <c r="C1004" s="154" t="str">
        <f t="shared" si="1639"/>
        <v>92760</v>
      </c>
      <c r="D1004" s="154" t="s">
        <v>1416</v>
      </c>
      <c r="E1004" s="155" t="s">
        <v>3948</v>
      </c>
      <c r="F1004" s="154"/>
      <c r="G1004" s="154" t="s">
        <v>3802</v>
      </c>
      <c r="H1004" s="152">
        <v>13.61</v>
      </c>
      <c r="I1004" s="152">
        <v>13.23</v>
      </c>
      <c r="J1004" s="156"/>
      <c r="K1004" s="156"/>
      <c r="L1004" s="156">
        <f t="shared" si="1640"/>
        <v>0</v>
      </c>
      <c r="M1004" s="156">
        <f t="shared" si="1641"/>
        <v>0</v>
      </c>
      <c r="N1004" s="156" t="s">
        <v>83</v>
      </c>
      <c r="O1004" s="157" cm="1">
        <f t="array" ref="O1004">TRUNC($H1004*(1+_xlfn.SWITCH($N1004,"BDI 1",$O$6,"BDI 2",$O$7,"BDI 3",$O$8)),2)</f>
        <v>16.420000000000002</v>
      </c>
      <c r="P1004" s="157" cm="1">
        <f t="array" ref="P1004">TRUNC($I1004*(1+_xlfn.SWITCH($N1004,"BDI 1",$P$6,"BDI 2",$P$7,"BDI 3",$P$8)),2)</f>
        <v>16.760000000000002</v>
      </c>
      <c r="Q1004" s="157">
        <v>0</v>
      </c>
      <c r="R1004" s="157">
        <f t="shared" si="1642"/>
        <v>0</v>
      </c>
      <c r="S1004" s="156">
        <f t="shared" si="1643"/>
        <v>0</v>
      </c>
      <c r="T1004" s="156">
        <f t="shared" si="1644"/>
        <v>0</v>
      </c>
      <c r="U1004" s="156">
        <f t="shared" si="1645"/>
        <v>0</v>
      </c>
      <c r="V1004" s="156">
        <f t="shared" si="1646"/>
        <v>0</v>
      </c>
      <c r="W1004" s="156">
        <f t="shared" si="1647"/>
        <v>0</v>
      </c>
      <c r="X1004" s="158">
        <f t="shared" ref="X1004" si="1657">$S1004/ORCAMENTO_VALOR_TOTAL_ND</f>
        <v>0</v>
      </c>
      <c r="Y1004" s="158">
        <f t="shared" ref="Y1004" si="1658">$T1004/ORCAMENTO_VALOR_TOTAL_DE</f>
        <v>0</v>
      </c>
      <c r="Z1004" s="158" cm="1">
        <f t="array" ref="Z1004">_xlfn.SWITCH($N1004,"BDI 1",$O$6,"BDI 2",$O$7,"BDI 3",$O$8)</f>
        <v>0.20699999999999999</v>
      </c>
      <c r="AA1004" s="158" cm="1">
        <f t="array" ref="AA1004">_xlfn.SWITCH($N1004,"BDI 1",$P$6,"BDI 2",$P$7,"BDI 3",$P$8)</f>
        <v>0.26739999999999997</v>
      </c>
      <c r="AB1004" s="158">
        <f t="shared" ca="1" si="1650"/>
        <v>0</v>
      </c>
      <c r="AC1004" s="158">
        <f t="shared" ca="1" si="1651"/>
        <v>0</v>
      </c>
      <c r="AD1004" s="164"/>
      <c r="AE1004" s="148">
        <f t="shared" si="1534"/>
        <v>0</v>
      </c>
      <c r="AF1004" s="149"/>
      <c r="AG1004" s="150"/>
      <c r="AH1004" s="159" t="e">
        <f t="shared" si="1652"/>
        <v>#DIV/0!</v>
      </c>
      <c r="AI1004" s="165" t="s">
        <v>243</v>
      </c>
      <c r="AJ1004" s="219"/>
      <c r="AK1004" s="219"/>
      <c r="AM1004" s="219"/>
      <c r="AN1004" s="219"/>
      <c r="AO1004" s="219"/>
      <c r="AP1004" s="219"/>
      <c r="AQ1004" s="219"/>
      <c r="AR1004" s="219"/>
    </row>
    <row r="1005" spans="1:44" s="220" customFormat="1" ht="40.15" hidden="1" customHeight="1">
      <c r="A1005" s="152">
        <f t="shared" ca="1" si="1535"/>
        <v>0</v>
      </c>
      <c r="B1005" s="153">
        <v>92766</v>
      </c>
      <c r="C1005" s="154" t="str">
        <f t="shared" si="1639"/>
        <v>92766</v>
      </c>
      <c r="D1005" s="154" t="s">
        <v>1416</v>
      </c>
      <c r="E1005" s="155" t="s">
        <v>3949</v>
      </c>
      <c r="F1005" s="154"/>
      <c r="G1005" s="154" t="s">
        <v>3802</v>
      </c>
      <c r="H1005" s="152">
        <v>10.77</v>
      </c>
      <c r="I1005" s="152">
        <v>10.66</v>
      </c>
      <c r="J1005" s="156"/>
      <c r="K1005" s="156"/>
      <c r="L1005" s="156">
        <f t="shared" si="1640"/>
        <v>0</v>
      </c>
      <c r="M1005" s="156">
        <f t="shared" si="1641"/>
        <v>0</v>
      </c>
      <c r="N1005" s="156" t="s">
        <v>83</v>
      </c>
      <c r="O1005" s="157" cm="1">
        <f t="array" ref="O1005">TRUNC($H1005*(1+_xlfn.SWITCH($N1005,"BDI 1",$O$6,"BDI 2",$O$7,"BDI 3",$O$8)),2)</f>
        <v>12.99</v>
      </c>
      <c r="P1005" s="157" cm="1">
        <f t="array" ref="P1005">TRUNC($I1005*(1+_xlfn.SWITCH($N1005,"BDI 1",$P$6,"BDI 2",$P$7,"BDI 3",$P$8)),2)</f>
        <v>13.51</v>
      </c>
      <c r="Q1005" s="157">
        <v>0</v>
      </c>
      <c r="R1005" s="157">
        <f t="shared" si="1642"/>
        <v>0</v>
      </c>
      <c r="S1005" s="156">
        <f t="shared" si="1643"/>
        <v>0</v>
      </c>
      <c r="T1005" s="156">
        <f t="shared" si="1644"/>
        <v>0</v>
      </c>
      <c r="U1005" s="156">
        <f t="shared" si="1645"/>
        <v>0</v>
      </c>
      <c r="V1005" s="156">
        <f t="shared" si="1646"/>
        <v>0</v>
      </c>
      <c r="W1005" s="156">
        <f t="shared" si="1647"/>
        <v>0</v>
      </c>
      <c r="X1005" s="158">
        <f t="shared" ref="X1005" si="1659">$S1005/ORCAMENTO_VALOR_TOTAL_ND</f>
        <v>0</v>
      </c>
      <c r="Y1005" s="158">
        <f t="shared" ref="Y1005" si="1660">$T1005/ORCAMENTO_VALOR_TOTAL_DE</f>
        <v>0</v>
      </c>
      <c r="Z1005" s="158" cm="1">
        <f t="array" ref="Z1005">_xlfn.SWITCH($N1005,"BDI 1",$O$6,"BDI 2",$O$7,"BDI 3",$O$8)</f>
        <v>0.20699999999999999</v>
      </c>
      <c r="AA1005" s="158" cm="1">
        <f t="array" ref="AA1005">_xlfn.SWITCH($N1005,"BDI 1",$P$6,"BDI 2",$P$7,"BDI 3",$P$8)</f>
        <v>0.26739999999999997</v>
      </c>
      <c r="AB1005" s="158">
        <f t="shared" ca="1" si="1650"/>
        <v>0</v>
      </c>
      <c r="AC1005" s="158">
        <f t="shared" ca="1" si="1651"/>
        <v>0</v>
      </c>
      <c r="AD1005" s="164"/>
      <c r="AE1005" s="148">
        <f t="shared" si="1534"/>
        <v>0</v>
      </c>
      <c r="AF1005" s="149"/>
      <c r="AG1005" s="150"/>
      <c r="AH1005" s="159" t="e">
        <f t="shared" si="1652"/>
        <v>#DIV/0!</v>
      </c>
      <c r="AI1005" s="160"/>
      <c r="AJ1005" s="219"/>
      <c r="AK1005" s="219"/>
      <c r="AM1005" s="219"/>
      <c r="AN1005" s="219"/>
      <c r="AO1005" s="219"/>
      <c r="AP1005" s="219"/>
      <c r="AQ1005" s="219"/>
      <c r="AR1005" s="219"/>
    </row>
    <row r="1006" spans="1:44" s="220" customFormat="1" ht="40.15" hidden="1" customHeight="1">
      <c r="A1006" s="152">
        <f t="shared" ca="1" si="1535"/>
        <v>0</v>
      </c>
      <c r="B1006" s="153" t="s">
        <v>352</v>
      </c>
      <c r="C1006" s="154" t="str">
        <f t="shared" si="1639"/>
        <v>EC/0170</v>
      </c>
      <c r="D1006" s="154" t="s">
        <v>3549</v>
      </c>
      <c r="E1006" s="155" t="s">
        <v>3945</v>
      </c>
      <c r="F1006" s="154"/>
      <c r="G1006" s="154" t="s">
        <v>3946</v>
      </c>
      <c r="H1006" s="152">
        <v>52.05</v>
      </c>
      <c r="I1006" s="152">
        <v>50.33</v>
      </c>
      <c r="J1006" s="156"/>
      <c r="K1006" s="156"/>
      <c r="L1006" s="156">
        <f t="shared" si="1640"/>
        <v>0</v>
      </c>
      <c r="M1006" s="156">
        <f t="shared" si="1641"/>
        <v>0</v>
      </c>
      <c r="N1006" s="156" t="s">
        <v>83</v>
      </c>
      <c r="O1006" s="157" cm="1">
        <f t="array" ref="O1006">TRUNC($H1006*(1+_xlfn.SWITCH($N1006,"BDI 1",$O$6,"BDI 2",$O$7,"BDI 3",$O$8)),2)</f>
        <v>62.82</v>
      </c>
      <c r="P1006" s="157" cm="1">
        <f t="array" ref="P1006">TRUNC($I1006*(1+_xlfn.SWITCH($N1006,"BDI 1",$P$6,"BDI 2",$P$7,"BDI 3",$P$8)),2)</f>
        <v>63.78</v>
      </c>
      <c r="Q1006" s="157">
        <v>0</v>
      </c>
      <c r="R1006" s="157">
        <f t="shared" si="1642"/>
        <v>0</v>
      </c>
      <c r="S1006" s="156">
        <f t="shared" si="1643"/>
        <v>0</v>
      </c>
      <c r="T1006" s="156">
        <f t="shared" si="1644"/>
        <v>0</v>
      </c>
      <c r="U1006" s="156">
        <f t="shared" si="1645"/>
        <v>0</v>
      </c>
      <c r="V1006" s="156">
        <f t="shared" si="1646"/>
        <v>0</v>
      </c>
      <c r="W1006" s="156">
        <f t="shared" si="1647"/>
        <v>0</v>
      </c>
      <c r="X1006" s="158">
        <f t="shared" ref="X1006" si="1661">$S1006/ORCAMENTO_VALOR_TOTAL_ND</f>
        <v>0</v>
      </c>
      <c r="Y1006" s="158">
        <f t="shared" ref="Y1006" si="1662">$T1006/ORCAMENTO_VALOR_TOTAL_DE</f>
        <v>0</v>
      </c>
      <c r="Z1006" s="158" cm="1">
        <f t="array" ref="Z1006">_xlfn.SWITCH($N1006,"BDI 1",$O$6,"BDI 2",$O$7,"BDI 3",$O$8)</f>
        <v>0.20699999999999999</v>
      </c>
      <c r="AA1006" s="158" cm="1">
        <f t="array" ref="AA1006">_xlfn.SWITCH($N1006,"BDI 1",$P$6,"BDI 2",$P$7,"BDI 3",$P$8)</f>
        <v>0.26739999999999997</v>
      </c>
      <c r="AB1006" s="158">
        <f t="shared" ca="1" si="1650"/>
        <v>0</v>
      </c>
      <c r="AC1006" s="158">
        <f t="shared" ca="1" si="1651"/>
        <v>0</v>
      </c>
      <c r="AD1006" s="164"/>
      <c r="AE1006" s="148">
        <f t="shared" si="1534"/>
        <v>0</v>
      </c>
      <c r="AF1006" s="149"/>
      <c r="AG1006" s="150"/>
      <c r="AH1006" s="159" t="e">
        <f t="shared" si="1652"/>
        <v>#DIV/0!</v>
      </c>
      <c r="AI1006" s="160"/>
      <c r="AJ1006" s="219"/>
      <c r="AK1006" s="219"/>
      <c r="AM1006" s="219"/>
      <c r="AN1006" s="219"/>
      <c r="AO1006" s="219"/>
      <c r="AP1006" s="219"/>
      <c r="AQ1006" s="219"/>
      <c r="AR1006" s="219"/>
    </row>
    <row r="1007" spans="1:44" s="49" customFormat="1" ht="40.15" hidden="1" customHeight="1">
      <c r="A1007" s="152">
        <f t="shared" ca="1" si="1535"/>
        <v>0</v>
      </c>
      <c r="B1007" s="153"/>
      <c r="C1007" s="154"/>
      <c r="D1007" s="154"/>
      <c r="E1007" s="161" t="s">
        <v>354</v>
      </c>
      <c r="F1007" s="154"/>
      <c r="G1007" s="154"/>
      <c r="H1007" s="152"/>
      <c r="I1007" s="152"/>
      <c r="J1007" s="154"/>
      <c r="K1007" s="154"/>
      <c r="L1007" s="154"/>
      <c r="M1007" s="154"/>
      <c r="N1007" s="154"/>
      <c r="O1007" s="162"/>
      <c r="P1007" s="162"/>
      <c r="Q1007" s="162"/>
      <c r="R1007" s="162"/>
      <c r="S1007" s="162"/>
      <c r="T1007" s="162"/>
      <c r="U1007" s="162"/>
      <c r="V1007" s="162"/>
      <c r="W1007" s="162"/>
      <c r="X1007" s="163"/>
      <c r="Y1007" s="163"/>
      <c r="Z1007" s="163"/>
      <c r="AA1007" s="163"/>
      <c r="AB1007" s="163"/>
      <c r="AC1007" s="163"/>
      <c r="AD1007" s="164"/>
      <c r="AE1007" s="148">
        <f t="shared" si="1534"/>
        <v>0</v>
      </c>
      <c r="AF1007" s="149"/>
      <c r="AG1007" s="150"/>
      <c r="AH1007" s="159"/>
      <c r="AI1007" s="160"/>
      <c r="AJ1007" s="105"/>
      <c r="AK1007" s="105"/>
      <c r="AM1007" s="105"/>
      <c r="AN1007" s="105"/>
      <c r="AO1007" s="105"/>
      <c r="AP1007" s="105"/>
      <c r="AQ1007" s="105"/>
      <c r="AR1007" s="105"/>
    </row>
    <row r="1008" spans="1:44" s="220" customFormat="1" ht="40.15" hidden="1" customHeight="1">
      <c r="A1008" s="152">
        <f t="shared" ca="1" si="1535"/>
        <v>0</v>
      </c>
      <c r="B1008" s="153" t="s">
        <v>346</v>
      </c>
      <c r="C1008" s="154" t="str">
        <f t="shared" ref="C1008:C1013" si="1663">TEXT(B1008,"0")</f>
        <v>SEL-307</v>
      </c>
      <c r="D1008" s="154">
        <v>0</v>
      </c>
      <c r="E1008" s="155" t="s">
        <v>3766</v>
      </c>
      <c r="F1008" s="154"/>
      <c r="G1008" s="154">
        <v>0</v>
      </c>
      <c r="H1008" s="152">
        <v>0</v>
      </c>
      <c r="I1008" s="152">
        <v>0</v>
      </c>
      <c r="J1008" s="156"/>
      <c r="K1008" s="156"/>
      <c r="L1008" s="156">
        <f t="shared" ref="L1008:L1013" si="1664">IF($K1008&gt;$J1008,$K1008-$J1008,0)</f>
        <v>0</v>
      </c>
      <c r="M1008" s="156">
        <f t="shared" ref="M1008:M1013" si="1665">IF($K1008&lt;$J1008,$J1008-$K1008,0)</f>
        <v>0</v>
      </c>
      <c r="N1008" s="156" t="s">
        <v>83</v>
      </c>
      <c r="O1008" s="157" cm="1">
        <f t="array" ref="O1008">TRUNC($H1008*(1+_xlfn.SWITCH($N1008,"BDI 1",$O$6,"BDI 2",$O$7,"BDI 3",$O$8)),2)</f>
        <v>0</v>
      </c>
      <c r="P1008" s="157" cm="1">
        <f t="array" ref="P1008">TRUNC($I1008*(1+_xlfn.SWITCH($N1008,"BDI 1",$P$6,"BDI 2",$P$7,"BDI 3",$P$8)),2)</f>
        <v>0</v>
      </c>
      <c r="Q1008" s="157">
        <v>0</v>
      </c>
      <c r="R1008" s="157">
        <f t="shared" ref="R1008:R1013" si="1666">$Q1008-($Q1008*LICITACAO_DESCONTO)</f>
        <v>0</v>
      </c>
      <c r="S1008" s="156">
        <f t="shared" ref="S1008:S1013" si="1667">TRUNC($K1008*$O1008,2)</f>
        <v>0</v>
      </c>
      <c r="T1008" s="156">
        <f t="shared" ref="T1008:T1013" si="1668">TRUNC($K1008*$P1008,2)</f>
        <v>0</v>
      </c>
      <c r="U1008" s="156">
        <f t="shared" ref="U1008:U1013" si="1669">TRUNC($J1008*$R1008,2)</f>
        <v>0</v>
      </c>
      <c r="V1008" s="156">
        <f t="shared" ref="V1008:V1013" si="1670">TRUNC($K1008*$Q1008,2)</f>
        <v>0</v>
      </c>
      <c r="W1008" s="156">
        <f t="shared" ref="W1008:W1013" si="1671">TRUNC(V1008-U1008,2)</f>
        <v>0</v>
      </c>
      <c r="X1008" s="158">
        <f t="shared" ref="X1008" si="1672">$S1008/ORCAMENTO_VALOR_TOTAL_ND</f>
        <v>0</v>
      </c>
      <c r="Y1008" s="158">
        <f t="shared" ref="Y1008" si="1673">$T1008/ORCAMENTO_VALOR_TOTAL_DE</f>
        <v>0</v>
      </c>
      <c r="Z1008" s="158" cm="1">
        <f t="array" ref="Z1008">_xlfn.SWITCH($N1008,"BDI 1",$O$6,"BDI 2",$O$7,"BDI 3",$O$8)</f>
        <v>0.20699999999999999</v>
      </c>
      <c r="AA1008" s="158" cm="1">
        <f t="array" ref="AA1008">_xlfn.SWITCH($N1008,"BDI 1",$P$6,"BDI 2",$P$7,"BDI 3",$P$8)</f>
        <v>0.26739999999999997</v>
      </c>
      <c r="AB1008" s="158">
        <f t="shared" ref="AB1008:AB1013" ca="1" si="1674">IFERROR($S1008/_xlfn.XLOOKUP($AE1008,$B$16:$B$38,$S$16:$S$38),0)</f>
        <v>0</v>
      </c>
      <c r="AC1008" s="158">
        <f t="shared" ref="AC1008:AC1013" ca="1" si="1675">IFERROR($T1008/_xlfn.XLOOKUP($AE1008,$B$16:$B$38,$T$16:$T$38),0)</f>
        <v>0</v>
      </c>
      <c r="AD1008" s="164"/>
      <c r="AE1008" s="148">
        <f t="shared" si="1534"/>
        <v>0</v>
      </c>
      <c r="AF1008" s="149"/>
      <c r="AG1008" s="150"/>
      <c r="AH1008" s="159" t="e">
        <f t="shared" ref="AH1008:AH1013" si="1676">+S1008/$S$961</f>
        <v>#DIV/0!</v>
      </c>
      <c r="AI1008" s="160"/>
      <c r="AJ1008" s="184" t="e">
        <v>#N/A</v>
      </c>
      <c r="AK1008" s="183" t="e">
        <f>+K1008/AJ1008</f>
        <v>#N/A</v>
      </c>
      <c r="AM1008" s="219"/>
      <c r="AN1008" s="219"/>
      <c r="AO1008" s="219"/>
      <c r="AP1008" s="219"/>
      <c r="AQ1008" s="219">
        <f>K1008+K1026+K1039+K1045+K1052+K1065+K1080+K1089+K1097+K1122+K1130</f>
        <v>0</v>
      </c>
      <c r="AR1008" s="219"/>
    </row>
    <row r="1009" spans="1:44" s="220" customFormat="1" ht="40.15" hidden="1" customHeight="1">
      <c r="A1009" s="152">
        <f t="shared" ca="1" si="1535"/>
        <v>0</v>
      </c>
      <c r="B1009" s="153">
        <v>103673</v>
      </c>
      <c r="C1009" s="154" t="str">
        <f t="shared" si="1663"/>
        <v>103673</v>
      </c>
      <c r="D1009" s="154" t="s">
        <v>1416</v>
      </c>
      <c r="E1009" s="155" t="s">
        <v>3795</v>
      </c>
      <c r="F1009" s="154"/>
      <c r="G1009" s="154" t="s">
        <v>464</v>
      </c>
      <c r="H1009" s="152">
        <v>38.33</v>
      </c>
      <c r="I1009" s="152">
        <v>34.799999999999997</v>
      </c>
      <c r="J1009" s="156"/>
      <c r="K1009" s="156">
        <f>K1008</f>
        <v>0</v>
      </c>
      <c r="L1009" s="156">
        <f t="shared" si="1664"/>
        <v>0</v>
      </c>
      <c r="M1009" s="156">
        <f t="shared" si="1665"/>
        <v>0</v>
      </c>
      <c r="N1009" s="156" t="s">
        <v>83</v>
      </c>
      <c r="O1009" s="157" cm="1">
        <f t="array" ref="O1009">TRUNC($H1009*(1+_xlfn.SWITCH($N1009,"BDI 1",$O$6,"BDI 2",$O$7,"BDI 3",$O$8)),2)</f>
        <v>46.26</v>
      </c>
      <c r="P1009" s="157" cm="1">
        <f t="array" ref="P1009">TRUNC($I1009*(1+_xlfn.SWITCH($N1009,"BDI 1",$P$6,"BDI 2",$P$7,"BDI 3",$P$8)),2)</f>
        <v>44.1</v>
      </c>
      <c r="Q1009" s="157">
        <v>0</v>
      </c>
      <c r="R1009" s="157">
        <f t="shared" si="1666"/>
        <v>0</v>
      </c>
      <c r="S1009" s="156">
        <f t="shared" si="1667"/>
        <v>0</v>
      </c>
      <c r="T1009" s="156">
        <f t="shared" si="1668"/>
        <v>0</v>
      </c>
      <c r="U1009" s="156">
        <f t="shared" si="1669"/>
        <v>0</v>
      </c>
      <c r="V1009" s="156">
        <f t="shared" si="1670"/>
        <v>0</v>
      </c>
      <c r="W1009" s="156">
        <f t="shared" si="1671"/>
        <v>0</v>
      </c>
      <c r="X1009" s="158">
        <f t="shared" ref="X1009" si="1677">$S1009/ORCAMENTO_VALOR_TOTAL_ND</f>
        <v>0</v>
      </c>
      <c r="Y1009" s="158">
        <f t="shared" ref="Y1009" si="1678">$T1009/ORCAMENTO_VALOR_TOTAL_DE</f>
        <v>0</v>
      </c>
      <c r="Z1009" s="158" cm="1">
        <f t="array" ref="Z1009">_xlfn.SWITCH($N1009,"BDI 1",$O$6,"BDI 2",$O$7,"BDI 3",$O$8)</f>
        <v>0.20699999999999999</v>
      </c>
      <c r="AA1009" s="158" cm="1">
        <f t="array" ref="AA1009">_xlfn.SWITCH($N1009,"BDI 1",$P$6,"BDI 2",$P$7,"BDI 3",$P$8)</f>
        <v>0.26739999999999997</v>
      </c>
      <c r="AB1009" s="158">
        <f t="shared" ca="1" si="1674"/>
        <v>0</v>
      </c>
      <c r="AC1009" s="158">
        <f t="shared" ca="1" si="1675"/>
        <v>0</v>
      </c>
      <c r="AD1009" s="164"/>
      <c r="AE1009" s="148">
        <f t="shared" si="1534"/>
        <v>0</v>
      </c>
      <c r="AF1009" s="149"/>
      <c r="AG1009" s="150"/>
      <c r="AH1009" s="159" t="e">
        <f t="shared" si="1676"/>
        <v>#DIV/0!</v>
      </c>
      <c r="AI1009" s="165" t="s">
        <v>101</v>
      </c>
      <c r="AJ1009" s="219"/>
      <c r="AK1009" s="219"/>
      <c r="AM1009" s="219"/>
      <c r="AN1009" s="219"/>
      <c r="AO1009" s="219"/>
      <c r="AP1009" s="219"/>
      <c r="AQ1009" s="219"/>
      <c r="AR1009" s="219"/>
    </row>
    <row r="1010" spans="1:44" s="220" customFormat="1" ht="40.15" hidden="1" customHeight="1">
      <c r="A1010" s="152">
        <f t="shared" ca="1" si="1535"/>
        <v>0</v>
      </c>
      <c r="B1010" s="153">
        <v>92265</v>
      </c>
      <c r="C1010" s="154" t="str">
        <f t="shared" si="1663"/>
        <v>92265</v>
      </c>
      <c r="D1010" s="154" t="s">
        <v>1416</v>
      </c>
      <c r="E1010" s="155" t="s">
        <v>3950</v>
      </c>
      <c r="F1010" s="154"/>
      <c r="G1010" s="154" t="s">
        <v>1418</v>
      </c>
      <c r="H1010" s="152">
        <v>125.92</v>
      </c>
      <c r="I1010" s="152">
        <v>122.63</v>
      </c>
      <c r="J1010" s="156"/>
      <c r="K1010" s="156"/>
      <c r="L1010" s="156">
        <f t="shared" si="1664"/>
        <v>0</v>
      </c>
      <c r="M1010" s="156">
        <f t="shared" si="1665"/>
        <v>0</v>
      </c>
      <c r="N1010" s="156" t="s">
        <v>83</v>
      </c>
      <c r="O1010" s="157" cm="1">
        <f t="array" ref="O1010">TRUNC($H1010*(1+_xlfn.SWITCH($N1010,"BDI 1",$O$6,"BDI 2",$O$7,"BDI 3",$O$8)),2)</f>
        <v>151.97999999999999</v>
      </c>
      <c r="P1010" s="157" cm="1">
        <f t="array" ref="P1010">TRUNC($I1010*(1+_xlfn.SWITCH($N1010,"BDI 1",$P$6,"BDI 2",$P$7,"BDI 3",$P$8)),2)</f>
        <v>155.41999999999999</v>
      </c>
      <c r="Q1010" s="157">
        <v>0</v>
      </c>
      <c r="R1010" s="157">
        <f t="shared" si="1666"/>
        <v>0</v>
      </c>
      <c r="S1010" s="156">
        <f t="shared" si="1667"/>
        <v>0</v>
      </c>
      <c r="T1010" s="156">
        <f t="shared" si="1668"/>
        <v>0</v>
      </c>
      <c r="U1010" s="156">
        <f t="shared" si="1669"/>
        <v>0</v>
      </c>
      <c r="V1010" s="156">
        <f t="shared" si="1670"/>
        <v>0</v>
      </c>
      <c r="W1010" s="156">
        <f t="shared" si="1671"/>
        <v>0</v>
      </c>
      <c r="X1010" s="158">
        <f t="shared" ref="X1010" si="1679">$S1010/ORCAMENTO_VALOR_TOTAL_ND</f>
        <v>0</v>
      </c>
      <c r="Y1010" s="158">
        <f t="shared" ref="Y1010" si="1680">$T1010/ORCAMENTO_VALOR_TOTAL_DE</f>
        <v>0</v>
      </c>
      <c r="Z1010" s="158" cm="1">
        <f t="array" ref="Z1010">_xlfn.SWITCH($N1010,"BDI 1",$O$6,"BDI 2",$O$7,"BDI 3",$O$8)</f>
        <v>0.20699999999999999</v>
      </c>
      <c r="AA1010" s="158" cm="1">
        <f t="array" ref="AA1010">_xlfn.SWITCH($N1010,"BDI 1",$P$6,"BDI 2",$P$7,"BDI 3",$P$8)</f>
        <v>0.26739999999999997</v>
      </c>
      <c r="AB1010" s="158">
        <f t="shared" ca="1" si="1674"/>
        <v>0</v>
      </c>
      <c r="AC1010" s="158">
        <f t="shared" ca="1" si="1675"/>
        <v>0</v>
      </c>
      <c r="AD1010" s="164"/>
      <c r="AE1010" s="148">
        <f t="shared" si="1534"/>
        <v>0</v>
      </c>
      <c r="AF1010" s="149"/>
      <c r="AG1010" s="150"/>
      <c r="AH1010" s="159" t="e">
        <f t="shared" si="1676"/>
        <v>#DIV/0!</v>
      </c>
      <c r="AI1010" s="165" t="s">
        <v>101</v>
      </c>
      <c r="AJ1010" s="219"/>
      <c r="AK1010" s="219"/>
      <c r="AM1010" s="219"/>
      <c r="AN1010" s="219"/>
      <c r="AO1010" s="219"/>
      <c r="AP1010" s="219"/>
      <c r="AQ1010" s="219"/>
      <c r="AR1010" s="219"/>
    </row>
    <row r="1011" spans="1:44" s="220" customFormat="1" ht="40.15" hidden="1" customHeight="1">
      <c r="A1011" s="152">
        <f t="shared" ca="1" si="1535"/>
        <v>0</v>
      </c>
      <c r="B1011" s="153">
        <v>92763</v>
      </c>
      <c r="C1011" s="154" t="str">
        <f t="shared" si="1663"/>
        <v>92763</v>
      </c>
      <c r="D1011" s="154" t="s">
        <v>1416</v>
      </c>
      <c r="E1011" s="155" t="s">
        <v>3951</v>
      </c>
      <c r="F1011" s="154"/>
      <c r="G1011" s="154" t="s">
        <v>3802</v>
      </c>
      <c r="H1011" s="152">
        <v>9.7899999999999991</v>
      </c>
      <c r="I1011" s="152">
        <v>9.6300000000000008</v>
      </c>
      <c r="J1011" s="156"/>
      <c r="K1011" s="156"/>
      <c r="L1011" s="156">
        <f t="shared" si="1664"/>
        <v>0</v>
      </c>
      <c r="M1011" s="156">
        <f t="shared" si="1665"/>
        <v>0</v>
      </c>
      <c r="N1011" s="156" t="s">
        <v>83</v>
      </c>
      <c r="O1011" s="157" cm="1">
        <f t="array" ref="O1011">TRUNC($H1011*(1+_xlfn.SWITCH($N1011,"BDI 1",$O$6,"BDI 2",$O$7,"BDI 3",$O$8)),2)</f>
        <v>11.81</v>
      </c>
      <c r="P1011" s="157" cm="1">
        <f t="array" ref="P1011">TRUNC($I1011*(1+_xlfn.SWITCH($N1011,"BDI 1",$P$6,"BDI 2",$P$7,"BDI 3",$P$8)),2)</f>
        <v>12.2</v>
      </c>
      <c r="Q1011" s="157">
        <v>0</v>
      </c>
      <c r="R1011" s="157">
        <f t="shared" si="1666"/>
        <v>0</v>
      </c>
      <c r="S1011" s="156">
        <f t="shared" si="1667"/>
        <v>0</v>
      </c>
      <c r="T1011" s="156">
        <f t="shared" si="1668"/>
        <v>0</v>
      </c>
      <c r="U1011" s="156">
        <f t="shared" si="1669"/>
        <v>0</v>
      </c>
      <c r="V1011" s="156">
        <f t="shared" si="1670"/>
        <v>0</v>
      </c>
      <c r="W1011" s="156">
        <f t="shared" si="1671"/>
        <v>0</v>
      </c>
      <c r="X1011" s="158">
        <f t="shared" ref="X1011" si="1681">$S1011/ORCAMENTO_VALOR_TOTAL_ND</f>
        <v>0</v>
      </c>
      <c r="Y1011" s="158">
        <f t="shared" ref="Y1011" si="1682">$T1011/ORCAMENTO_VALOR_TOTAL_DE</f>
        <v>0</v>
      </c>
      <c r="Z1011" s="158" cm="1">
        <f t="array" ref="Z1011">_xlfn.SWITCH($N1011,"BDI 1",$O$6,"BDI 2",$O$7,"BDI 3",$O$8)</f>
        <v>0.20699999999999999</v>
      </c>
      <c r="AA1011" s="158" cm="1">
        <f t="array" ref="AA1011">_xlfn.SWITCH($N1011,"BDI 1",$P$6,"BDI 2",$P$7,"BDI 3",$P$8)</f>
        <v>0.26739999999999997</v>
      </c>
      <c r="AB1011" s="158">
        <f t="shared" ca="1" si="1674"/>
        <v>0</v>
      </c>
      <c r="AC1011" s="158">
        <f t="shared" ca="1" si="1675"/>
        <v>0</v>
      </c>
      <c r="AD1011" s="164"/>
      <c r="AE1011" s="148">
        <f t="shared" si="1534"/>
        <v>0</v>
      </c>
      <c r="AF1011" s="149"/>
      <c r="AG1011" s="150"/>
      <c r="AH1011" s="159" t="e">
        <f t="shared" si="1676"/>
        <v>#DIV/0!</v>
      </c>
      <c r="AI1011" s="165" t="s">
        <v>243</v>
      </c>
      <c r="AJ1011" s="219"/>
      <c r="AK1011" s="219"/>
      <c r="AM1011" s="219"/>
      <c r="AN1011" s="219"/>
      <c r="AO1011" s="219"/>
      <c r="AP1011" s="219"/>
      <c r="AQ1011" s="219"/>
      <c r="AR1011" s="219"/>
    </row>
    <row r="1012" spans="1:44" s="220" customFormat="1" ht="40.15" hidden="1" customHeight="1">
      <c r="A1012" s="152">
        <f t="shared" ca="1" si="1535"/>
        <v>0</v>
      </c>
      <c r="B1012" s="153">
        <v>92766</v>
      </c>
      <c r="C1012" s="154" t="str">
        <f t="shared" si="1663"/>
        <v>92766</v>
      </c>
      <c r="D1012" s="154" t="s">
        <v>1416</v>
      </c>
      <c r="E1012" s="155" t="s">
        <v>3949</v>
      </c>
      <c r="F1012" s="154"/>
      <c r="G1012" s="154" t="s">
        <v>3802</v>
      </c>
      <c r="H1012" s="152">
        <v>10.77</v>
      </c>
      <c r="I1012" s="152">
        <v>10.66</v>
      </c>
      <c r="J1012" s="156"/>
      <c r="K1012" s="156"/>
      <c r="L1012" s="156">
        <f t="shared" si="1664"/>
        <v>0</v>
      </c>
      <c r="M1012" s="156">
        <f t="shared" si="1665"/>
        <v>0</v>
      </c>
      <c r="N1012" s="156" t="s">
        <v>83</v>
      </c>
      <c r="O1012" s="157" cm="1">
        <f t="array" ref="O1012">TRUNC($H1012*(1+_xlfn.SWITCH($N1012,"BDI 1",$O$6,"BDI 2",$O$7,"BDI 3",$O$8)),2)</f>
        <v>12.99</v>
      </c>
      <c r="P1012" s="157" cm="1">
        <f t="array" ref="P1012">TRUNC($I1012*(1+_xlfn.SWITCH($N1012,"BDI 1",$P$6,"BDI 2",$P$7,"BDI 3",$P$8)),2)</f>
        <v>13.51</v>
      </c>
      <c r="Q1012" s="157">
        <v>0</v>
      </c>
      <c r="R1012" s="157">
        <f t="shared" si="1666"/>
        <v>0</v>
      </c>
      <c r="S1012" s="156">
        <f t="shared" si="1667"/>
        <v>0</v>
      </c>
      <c r="T1012" s="156">
        <f t="shared" si="1668"/>
        <v>0</v>
      </c>
      <c r="U1012" s="156">
        <f t="shared" si="1669"/>
        <v>0</v>
      </c>
      <c r="V1012" s="156">
        <f t="shared" si="1670"/>
        <v>0</v>
      </c>
      <c r="W1012" s="156">
        <f t="shared" si="1671"/>
        <v>0</v>
      </c>
      <c r="X1012" s="158">
        <f t="shared" ref="X1012" si="1683">$S1012/ORCAMENTO_VALOR_TOTAL_ND</f>
        <v>0</v>
      </c>
      <c r="Y1012" s="158">
        <f t="shared" ref="Y1012" si="1684">$T1012/ORCAMENTO_VALOR_TOTAL_DE</f>
        <v>0</v>
      </c>
      <c r="Z1012" s="158" cm="1">
        <f t="array" ref="Z1012">_xlfn.SWITCH($N1012,"BDI 1",$O$6,"BDI 2",$O$7,"BDI 3",$O$8)</f>
        <v>0.20699999999999999</v>
      </c>
      <c r="AA1012" s="158" cm="1">
        <f t="array" ref="AA1012">_xlfn.SWITCH($N1012,"BDI 1",$P$6,"BDI 2",$P$7,"BDI 3",$P$8)</f>
        <v>0.26739999999999997</v>
      </c>
      <c r="AB1012" s="158">
        <f t="shared" ca="1" si="1674"/>
        <v>0</v>
      </c>
      <c r="AC1012" s="158">
        <f t="shared" ca="1" si="1675"/>
        <v>0</v>
      </c>
      <c r="AD1012" s="164"/>
      <c r="AE1012" s="148">
        <f t="shared" si="1534"/>
        <v>0</v>
      </c>
      <c r="AF1012" s="149"/>
      <c r="AG1012" s="150"/>
      <c r="AH1012" s="159" t="e">
        <f t="shared" si="1676"/>
        <v>#DIV/0!</v>
      </c>
      <c r="AI1012" s="160"/>
      <c r="AJ1012" s="219"/>
      <c r="AK1012" s="219"/>
      <c r="AM1012" s="219"/>
      <c r="AN1012" s="219"/>
      <c r="AO1012" s="219"/>
      <c r="AP1012" s="219"/>
      <c r="AQ1012" s="219"/>
      <c r="AR1012" s="219"/>
    </row>
    <row r="1013" spans="1:44" s="220" customFormat="1" ht="40.15" hidden="1" customHeight="1">
      <c r="A1013" s="152">
        <f t="shared" ca="1" si="1535"/>
        <v>0</v>
      </c>
      <c r="B1013" s="153" t="s">
        <v>352</v>
      </c>
      <c r="C1013" s="154" t="str">
        <f t="shared" si="1663"/>
        <v>EC/0170</v>
      </c>
      <c r="D1013" s="154" t="s">
        <v>3549</v>
      </c>
      <c r="E1013" s="155" t="s">
        <v>3945</v>
      </c>
      <c r="F1013" s="154"/>
      <c r="G1013" s="154" t="s">
        <v>3946</v>
      </c>
      <c r="H1013" s="152">
        <v>52.05</v>
      </c>
      <c r="I1013" s="152">
        <v>50.33</v>
      </c>
      <c r="J1013" s="156"/>
      <c r="K1013" s="156"/>
      <c r="L1013" s="156">
        <f t="shared" si="1664"/>
        <v>0</v>
      </c>
      <c r="M1013" s="156">
        <f t="shared" si="1665"/>
        <v>0</v>
      </c>
      <c r="N1013" s="156" t="s">
        <v>83</v>
      </c>
      <c r="O1013" s="157" cm="1">
        <f t="array" ref="O1013">TRUNC($H1013*(1+_xlfn.SWITCH($N1013,"BDI 1",$O$6,"BDI 2",$O$7,"BDI 3",$O$8)),2)</f>
        <v>62.82</v>
      </c>
      <c r="P1013" s="157" cm="1">
        <f t="array" ref="P1013">TRUNC($I1013*(1+_xlfn.SWITCH($N1013,"BDI 1",$P$6,"BDI 2",$P$7,"BDI 3",$P$8)),2)</f>
        <v>63.78</v>
      </c>
      <c r="Q1013" s="157">
        <v>0</v>
      </c>
      <c r="R1013" s="157">
        <f t="shared" si="1666"/>
        <v>0</v>
      </c>
      <c r="S1013" s="156">
        <f t="shared" si="1667"/>
        <v>0</v>
      </c>
      <c r="T1013" s="156">
        <f t="shared" si="1668"/>
        <v>0</v>
      </c>
      <c r="U1013" s="156">
        <f t="shared" si="1669"/>
        <v>0</v>
      </c>
      <c r="V1013" s="156">
        <f t="shared" si="1670"/>
        <v>0</v>
      </c>
      <c r="W1013" s="156">
        <f t="shared" si="1671"/>
        <v>0</v>
      </c>
      <c r="X1013" s="158">
        <f t="shared" ref="X1013" si="1685">$S1013/ORCAMENTO_VALOR_TOTAL_ND</f>
        <v>0</v>
      </c>
      <c r="Y1013" s="158">
        <f t="shared" ref="Y1013" si="1686">$T1013/ORCAMENTO_VALOR_TOTAL_DE</f>
        <v>0</v>
      </c>
      <c r="Z1013" s="158" cm="1">
        <f t="array" ref="Z1013">_xlfn.SWITCH($N1013,"BDI 1",$O$6,"BDI 2",$O$7,"BDI 3",$O$8)</f>
        <v>0.20699999999999999</v>
      </c>
      <c r="AA1013" s="158" cm="1">
        <f t="array" ref="AA1013">_xlfn.SWITCH($N1013,"BDI 1",$P$6,"BDI 2",$P$7,"BDI 3",$P$8)</f>
        <v>0.26739999999999997</v>
      </c>
      <c r="AB1013" s="158">
        <f t="shared" ca="1" si="1674"/>
        <v>0</v>
      </c>
      <c r="AC1013" s="158">
        <f t="shared" ca="1" si="1675"/>
        <v>0</v>
      </c>
      <c r="AD1013" s="164"/>
      <c r="AE1013" s="148">
        <f t="shared" si="1534"/>
        <v>0</v>
      </c>
      <c r="AF1013" s="149"/>
      <c r="AG1013" s="150"/>
      <c r="AH1013" s="159" t="e">
        <f t="shared" si="1676"/>
        <v>#DIV/0!</v>
      </c>
      <c r="AI1013" s="165" t="s">
        <v>101</v>
      </c>
      <c r="AJ1013" s="219"/>
      <c r="AK1013" s="219"/>
      <c r="AM1013" s="219"/>
      <c r="AN1013" s="219"/>
      <c r="AO1013" s="219"/>
      <c r="AP1013" s="219"/>
      <c r="AQ1013" s="219"/>
      <c r="AR1013" s="219"/>
    </row>
    <row r="1014" spans="1:44" s="49" customFormat="1" ht="40.15" hidden="1" customHeight="1">
      <c r="A1014" s="152">
        <f t="shared" ca="1" si="1535"/>
        <v>0</v>
      </c>
      <c r="B1014" s="153"/>
      <c r="C1014" s="154"/>
      <c r="D1014" s="154"/>
      <c r="E1014" s="161" t="s">
        <v>355</v>
      </c>
      <c r="F1014" s="154"/>
      <c r="G1014" s="154"/>
      <c r="H1014" s="152"/>
      <c r="I1014" s="152"/>
      <c r="J1014" s="154"/>
      <c r="K1014" s="154"/>
      <c r="L1014" s="154"/>
      <c r="M1014" s="154"/>
      <c r="N1014" s="154"/>
      <c r="O1014" s="162"/>
      <c r="P1014" s="162"/>
      <c r="Q1014" s="162"/>
      <c r="R1014" s="162"/>
      <c r="S1014" s="162"/>
      <c r="T1014" s="162"/>
      <c r="U1014" s="162"/>
      <c r="V1014" s="162"/>
      <c r="W1014" s="162"/>
      <c r="X1014" s="163"/>
      <c r="Y1014" s="163"/>
      <c r="Z1014" s="163"/>
      <c r="AA1014" s="163"/>
      <c r="AB1014" s="163"/>
      <c r="AC1014" s="163"/>
      <c r="AD1014" s="164"/>
      <c r="AE1014" s="148">
        <f t="shared" si="1534"/>
        <v>0</v>
      </c>
      <c r="AF1014" s="149"/>
      <c r="AG1014" s="150"/>
      <c r="AH1014" s="159"/>
      <c r="AI1014" s="160"/>
      <c r="AJ1014" s="105"/>
      <c r="AK1014" s="105"/>
      <c r="AM1014" s="105"/>
      <c r="AN1014" s="105"/>
      <c r="AO1014" s="105"/>
      <c r="AP1014" s="105"/>
      <c r="AQ1014" s="105"/>
      <c r="AR1014" s="105"/>
    </row>
    <row r="1015" spans="1:44" s="220" customFormat="1" ht="40.15" hidden="1" customHeight="1">
      <c r="A1015" s="152">
        <f t="shared" ca="1" si="1535"/>
        <v>0</v>
      </c>
      <c r="B1015" s="153">
        <v>94972</v>
      </c>
      <c r="C1015" s="154" t="str">
        <f>TEXT(B1015,"0")</f>
        <v>94972</v>
      </c>
      <c r="D1015" s="154" t="s">
        <v>1416</v>
      </c>
      <c r="E1015" s="155" t="s">
        <v>3952</v>
      </c>
      <c r="F1015" s="154"/>
      <c r="G1015" s="154" t="s">
        <v>464</v>
      </c>
      <c r="H1015" s="152">
        <v>500.26</v>
      </c>
      <c r="I1015" s="152">
        <v>499.21</v>
      </c>
      <c r="J1015" s="156"/>
      <c r="K1015" s="156"/>
      <c r="L1015" s="156">
        <f>IF($K1015&gt;$J1015,$K1015-$J1015,0)</f>
        <v>0</v>
      </c>
      <c r="M1015" s="156">
        <f>IF($K1015&lt;$J1015,$J1015-$K1015,0)</f>
        <v>0</v>
      </c>
      <c r="N1015" s="156" t="s">
        <v>83</v>
      </c>
      <c r="O1015" s="157" cm="1">
        <f t="array" ref="O1015">TRUNC($H1015*(1+_xlfn.SWITCH($N1015,"BDI 1",$O$6,"BDI 2",$O$7,"BDI 3",$O$8)),2)</f>
        <v>603.80999999999995</v>
      </c>
      <c r="P1015" s="157" cm="1">
        <f t="array" ref="P1015">TRUNC($I1015*(1+_xlfn.SWITCH($N1015,"BDI 1",$P$6,"BDI 2",$P$7,"BDI 3",$P$8)),2)</f>
        <v>632.69000000000005</v>
      </c>
      <c r="Q1015" s="157">
        <v>0</v>
      </c>
      <c r="R1015" s="157">
        <f>$Q1015-($Q1015*LICITACAO_DESCONTO)</f>
        <v>0</v>
      </c>
      <c r="S1015" s="156">
        <f>TRUNC($K1015*$O1015,2)</f>
        <v>0</v>
      </c>
      <c r="T1015" s="156">
        <f>TRUNC($K1015*$P1015,2)</f>
        <v>0</v>
      </c>
      <c r="U1015" s="156">
        <f>TRUNC($J1015*$R1015,2)</f>
        <v>0</v>
      </c>
      <c r="V1015" s="156">
        <f>TRUNC($K1015*$Q1015,2)</f>
        <v>0</v>
      </c>
      <c r="W1015" s="156">
        <f>TRUNC(V1015-U1015,2)</f>
        <v>0</v>
      </c>
      <c r="X1015" s="158">
        <f>$S1015/ORCAMENTO_VALOR_TOTAL_ND</f>
        <v>0</v>
      </c>
      <c r="Y1015" s="158">
        <f>$T1015/ORCAMENTO_VALOR_TOTAL_DE</f>
        <v>0</v>
      </c>
      <c r="Z1015" s="158" cm="1">
        <f t="array" ref="Z1015">_xlfn.SWITCH($N1015,"BDI 1",$O$6,"BDI 2",$O$7,"BDI 3",$O$8)</f>
        <v>0.20699999999999999</v>
      </c>
      <c r="AA1015" s="158" cm="1">
        <f t="array" ref="AA1015">_xlfn.SWITCH($N1015,"BDI 1",$P$6,"BDI 2",$P$7,"BDI 3",$P$8)</f>
        <v>0.26739999999999997</v>
      </c>
      <c r="AB1015" s="158">
        <f ca="1">IFERROR($S1015/_xlfn.XLOOKUP($AE1015,$B$16:$B$38,$S$16:$S$38),0)</f>
        <v>0</v>
      </c>
      <c r="AC1015" s="158">
        <f ca="1">IFERROR($T1015/_xlfn.XLOOKUP($AE1015,$B$16:$B$38,$T$16:$T$38),0)</f>
        <v>0</v>
      </c>
      <c r="AD1015" s="164"/>
      <c r="AE1015" s="148">
        <f t="shared" si="1534"/>
        <v>0</v>
      </c>
      <c r="AF1015" s="149"/>
      <c r="AG1015" s="150"/>
      <c r="AH1015" s="159" t="e">
        <f>+S1015/$S$961</f>
        <v>#DIV/0!</v>
      </c>
      <c r="AI1015" s="165" t="s">
        <v>101</v>
      </c>
      <c r="AJ1015" s="219"/>
      <c r="AK1015" s="219"/>
      <c r="AM1015" s="219"/>
      <c r="AN1015" s="219"/>
      <c r="AO1015" s="219"/>
      <c r="AP1015" s="219"/>
      <c r="AQ1015" s="219"/>
      <c r="AR1015" s="219"/>
    </row>
    <row r="1016" spans="1:44" s="220" customFormat="1" ht="40.15" hidden="1" customHeight="1">
      <c r="A1016" s="152">
        <f t="shared" ca="1" si="1535"/>
        <v>0</v>
      </c>
      <c r="B1016" s="153">
        <v>103670</v>
      </c>
      <c r="C1016" s="154" t="str">
        <f>TEXT(B1016,"0")</f>
        <v>103670</v>
      </c>
      <c r="D1016" s="154" t="s">
        <v>1416</v>
      </c>
      <c r="E1016" s="155" t="s">
        <v>3792</v>
      </c>
      <c r="F1016" s="154"/>
      <c r="G1016" s="154" t="s">
        <v>464</v>
      </c>
      <c r="H1016" s="152">
        <v>272.37</v>
      </c>
      <c r="I1016" s="152">
        <v>247.05</v>
      </c>
      <c r="J1016" s="156"/>
      <c r="K1016" s="156">
        <f>K1015</f>
        <v>0</v>
      </c>
      <c r="L1016" s="156">
        <f>IF($K1016&gt;$J1016,$K1016-$J1016,0)</f>
        <v>0</v>
      </c>
      <c r="M1016" s="156">
        <f>IF($K1016&lt;$J1016,$J1016-$K1016,0)</f>
        <v>0</v>
      </c>
      <c r="N1016" s="156" t="s">
        <v>83</v>
      </c>
      <c r="O1016" s="157" cm="1">
        <f t="array" ref="O1016">TRUNC($H1016*(1+_xlfn.SWITCH($N1016,"BDI 1",$O$6,"BDI 2",$O$7,"BDI 3",$O$8)),2)</f>
        <v>328.75</v>
      </c>
      <c r="P1016" s="157" cm="1">
        <f t="array" ref="P1016">TRUNC($I1016*(1+_xlfn.SWITCH($N1016,"BDI 1",$P$6,"BDI 2",$P$7,"BDI 3",$P$8)),2)</f>
        <v>313.11</v>
      </c>
      <c r="Q1016" s="157">
        <v>0</v>
      </c>
      <c r="R1016" s="157">
        <f>$Q1016-($Q1016*LICITACAO_DESCONTO)</f>
        <v>0</v>
      </c>
      <c r="S1016" s="156">
        <f>TRUNC($K1016*$O1016,2)</f>
        <v>0</v>
      </c>
      <c r="T1016" s="156">
        <f>TRUNC($K1016*$P1016,2)</f>
        <v>0</v>
      </c>
      <c r="U1016" s="156">
        <f>TRUNC($J1016*$R1016,2)</f>
        <v>0</v>
      </c>
      <c r="V1016" s="156">
        <f>TRUNC($K1016*$Q1016,2)</f>
        <v>0</v>
      </c>
      <c r="W1016" s="156">
        <f>TRUNC(V1016-U1016,2)</f>
        <v>0</v>
      </c>
      <c r="X1016" s="158">
        <f>$S1016/ORCAMENTO_VALOR_TOTAL_ND</f>
        <v>0</v>
      </c>
      <c r="Y1016" s="158">
        <f>$T1016/ORCAMENTO_VALOR_TOTAL_DE</f>
        <v>0</v>
      </c>
      <c r="Z1016" s="158" cm="1">
        <f t="array" ref="Z1016">_xlfn.SWITCH($N1016,"BDI 1",$O$6,"BDI 2",$O$7,"BDI 3",$O$8)</f>
        <v>0.20699999999999999</v>
      </c>
      <c r="AA1016" s="158" cm="1">
        <f t="array" ref="AA1016">_xlfn.SWITCH($N1016,"BDI 1",$P$6,"BDI 2",$P$7,"BDI 3",$P$8)</f>
        <v>0.26739999999999997</v>
      </c>
      <c r="AB1016" s="158">
        <f ca="1">IFERROR($S1016/_xlfn.XLOOKUP($AE1016,$B$16:$B$38,$S$16:$S$38),0)</f>
        <v>0</v>
      </c>
      <c r="AC1016" s="158">
        <f ca="1">IFERROR($T1016/_xlfn.XLOOKUP($AE1016,$B$16:$B$38,$T$16:$T$38),0)</f>
        <v>0</v>
      </c>
      <c r="AD1016" s="164"/>
      <c r="AE1016" s="148">
        <f t="shared" si="1534"/>
        <v>0</v>
      </c>
      <c r="AF1016" s="149"/>
      <c r="AG1016" s="150"/>
      <c r="AH1016" s="159" t="e">
        <f>+S1016/$S$961</f>
        <v>#DIV/0!</v>
      </c>
      <c r="AI1016" s="165" t="s">
        <v>101</v>
      </c>
      <c r="AJ1016" s="219"/>
      <c r="AK1016" s="219"/>
      <c r="AM1016" s="219"/>
      <c r="AN1016" s="219"/>
      <c r="AO1016" s="219"/>
      <c r="AP1016" s="219"/>
      <c r="AQ1016" s="219"/>
      <c r="AR1016" s="219"/>
    </row>
    <row r="1017" spans="1:44" s="220" customFormat="1" ht="40.15" hidden="1" customHeight="1">
      <c r="A1017" s="152">
        <f t="shared" ca="1" si="1535"/>
        <v>0</v>
      </c>
      <c r="B1017" s="153">
        <v>96542</v>
      </c>
      <c r="C1017" s="154" t="str">
        <f>TEXT(B1017,"0")</f>
        <v>96542</v>
      </c>
      <c r="D1017" s="154" t="s">
        <v>1416</v>
      </c>
      <c r="E1017" s="155" t="s">
        <v>3953</v>
      </c>
      <c r="F1017" s="154"/>
      <c r="G1017" s="154" t="s">
        <v>1418</v>
      </c>
      <c r="H1017" s="152">
        <v>90.23</v>
      </c>
      <c r="I1017" s="152">
        <v>84.55</v>
      </c>
      <c r="J1017" s="156"/>
      <c r="K1017" s="156"/>
      <c r="L1017" s="156">
        <f>IF($K1017&gt;$J1017,$K1017-$J1017,0)</f>
        <v>0</v>
      </c>
      <c r="M1017" s="156">
        <f>IF($K1017&lt;$J1017,$J1017-$K1017,0)</f>
        <v>0</v>
      </c>
      <c r="N1017" s="156" t="s">
        <v>83</v>
      </c>
      <c r="O1017" s="157" cm="1">
        <f t="array" ref="O1017">TRUNC($H1017*(1+_xlfn.SWITCH($N1017,"BDI 1",$O$6,"BDI 2",$O$7,"BDI 3",$O$8)),2)</f>
        <v>108.9</v>
      </c>
      <c r="P1017" s="157" cm="1">
        <f t="array" ref="P1017">TRUNC($I1017*(1+_xlfn.SWITCH($N1017,"BDI 1",$P$6,"BDI 2",$P$7,"BDI 3",$P$8)),2)</f>
        <v>107.15</v>
      </c>
      <c r="Q1017" s="157">
        <v>0</v>
      </c>
      <c r="R1017" s="157">
        <f>$Q1017-($Q1017*LICITACAO_DESCONTO)</f>
        <v>0</v>
      </c>
      <c r="S1017" s="156">
        <f>TRUNC($K1017*$O1017,2)</f>
        <v>0</v>
      </c>
      <c r="T1017" s="156">
        <f>TRUNC($K1017*$P1017,2)</f>
        <v>0</v>
      </c>
      <c r="U1017" s="156">
        <f>TRUNC($J1017*$R1017,2)</f>
        <v>0</v>
      </c>
      <c r="V1017" s="156">
        <f>TRUNC($K1017*$Q1017,2)</f>
        <v>0</v>
      </c>
      <c r="W1017" s="156">
        <f>TRUNC(V1017-U1017,2)</f>
        <v>0</v>
      </c>
      <c r="X1017" s="158">
        <f>$S1017/ORCAMENTO_VALOR_TOTAL_ND</f>
        <v>0</v>
      </c>
      <c r="Y1017" s="158">
        <f>$T1017/ORCAMENTO_VALOR_TOTAL_DE</f>
        <v>0</v>
      </c>
      <c r="Z1017" s="158" cm="1">
        <f t="array" ref="Z1017">_xlfn.SWITCH($N1017,"BDI 1",$O$6,"BDI 2",$O$7,"BDI 3",$O$8)</f>
        <v>0.20699999999999999</v>
      </c>
      <c r="AA1017" s="158" cm="1">
        <f t="array" ref="AA1017">_xlfn.SWITCH($N1017,"BDI 1",$P$6,"BDI 2",$P$7,"BDI 3",$P$8)</f>
        <v>0.26739999999999997</v>
      </c>
      <c r="AB1017" s="158">
        <f ca="1">IFERROR($S1017/_xlfn.XLOOKUP($AE1017,$B$16:$B$38,$S$16:$S$38),0)</f>
        <v>0</v>
      </c>
      <c r="AC1017" s="158">
        <f ca="1">IFERROR($T1017/_xlfn.XLOOKUP($AE1017,$B$16:$B$38,$T$16:$T$38),0)</f>
        <v>0</v>
      </c>
      <c r="AD1017" s="164"/>
      <c r="AE1017" s="148">
        <f t="shared" si="1534"/>
        <v>0</v>
      </c>
      <c r="AF1017" s="149"/>
      <c r="AG1017" s="150"/>
      <c r="AH1017" s="159" t="e">
        <f>+S1017/$S$961</f>
        <v>#DIV/0!</v>
      </c>
      <c r="AI1017" s="165" t="s">
        <v>243</v>
      </c>
      <c r="AJ1017" s="219"/>
      <c r="AK1017" s="219"/>
      <c r="AM1017" s="219"/>
      <c r="AN1017" s="219"/>
      <c r="AO1017" s="219"/>
      <c r="AP1017" s="219"/>
      <c r="AQ1017" s="219"/>
      <c r="AR1017" s="219"/>
    </row>
    <row r="1018" spans="1:44" s="220" customFormat="1" ht="40.15" hidden="1" customHeight="1">
      <c r="A1018" s="152">
        <f t="shared" ca="1" si="1535"/>
        <v>0</v>
      </c>
      <c r="B1018" s="153">
        <v>92761</v>
      </c>
      <c r="C1018" s="154" t="str">
        <f>TEXT(B1018,"0")</f>
        <v>92761</v>
      </c>
      <c r="D1018" s="154" t="s">
        <v>1416</v>
      </c>
      <c r="E1018" s="155" t="s">
        <v>3954</v>
      </c>
      <c r="F1018" s="154"/>
      <c r="G1018" s="154" t="s">
        <v>3802</v>
      </c>
      <c r="H1018" s="152">
        <v>12.93</v>
      </c>
      <c r="I1018" s="152">
        <v>12.66</v>
      </c>
      <c r="J1018" s="156"/>
      <c r="K1018" s="156"/>
      <c r="L1018" s="156">
        <f>IF($K1018&gt;$J1018,$K1018-$J1018,0)</f>
        <v>0</v>
      </c>
      <c r="M1018" s="156">
        <f>IF($K1018&lt;$J1018,$J1018-$K1018,0)</f>
        <v>0</v>
      </c>
      <c r="N1018" s="156" t="s">
        <v>83</v>
      </c>
      <c r="O1018" s="157" cm="1">
        <f t="array" ref="O1018">TRUNC($H1018*(1+_xlfn.SWITCH($N1018,"BDI 1",$O$6,"BDI 2",$O$7,"BDI 3",$O$8)),2)</f>
        <v>15.6</v>
      </c>
      <c r="P1018" s="157" cm="1">
        <f t="array" ref="P1018">TRUNC($I1018*(1+_xlfn.SWITCH($N1018,"BDI 1",$P$6,"BDI 2",$P$7,"BDI 3",$P$8)),2)</f>
        <v>16.04</v>
      </c>
      <c r="Q1018" s="157">
        <v>0</v>
      </c>
      <c r="R1018" s="157">
        <f>$Q1018-($Q1018*LICITACAO_DESCONTO)</f>
        <v>0</v>
      </c>
      <c r="S1018" s="156">
        <f>TRUNC($K1018*$O1018,2)</f>
        <v>0</v>
      </c>
      <c r="T1018" s="156">
        <f>TRUNC($K1018*$P1018,2)</f>
        <v>0</v>
      </c>
      <c r="U1018" s="156">
        <f>TRUNC($J1018*$R1018,2)</f>
        <v>0</v>
      </c>
      <c r="V1018" s="156">
        <f>TRUNC($K1018*$Q1018,2)</f>
        <v>0</v>
      </c>
      <c r="W1018" s="156">
        <f>TRUNC(V1018-U1018,2)</f>
        <v>0</v>
      </c>
      <c r="X1018" s="158">
        <f>$S1018/ORCAMENTO_VALOR_TOTAL_ND</f>
        <v>0</v>
      </c>
      <c r="Y1018" s="158">
        <f>$T1018/ORCAMENTO_VALOR_TOTAL_DE</f>
        <v>0</v>
      </c>
      <c r="Z1018" s="158" cm="1">
        <f t="array" ref="Z1018">_xlfn.SWITCH($N1018,"BDI 1",$O$6,"BDI 2",$O$7,"BDI 3",$O$8)</f>
        <v>0.20699999999999999</v>
      </c>
      <c r="AA1018" s="158" cm="1">
        <f t="array" ref="AA1018">_xlfn.SWITCH($N1018,"BDI 1",$P$6,"BDI 2",$P$7,"BDI 3",$P$8)</f>
        <v>0.26739999999999997</v>
      </c>
      <c r="AB1018" s="158">
        <f ca="1">IFERROR($S1018/_xlfn.XLOOKUP($AE1018,$B$16:$B$38,$S$16:$S$38),0)</f>
        <v>0</v>
      </c>
      <c r="AC1018" s="158">
        <f ca="1">IFERROR($T1018/_xlfn.XLOOKUP($AE1018,$B$16:$B$38,$T$16:$T$38),0)</f>
        <v>0</v>
      </c>
      <c r="AD1018" s="164"/>
      <c r="AE1018" s="148">
        <f t="shared" si="1534"/>
        <v>0</v>
      </c>
      <c r="AF1018" s="149"/>
      <c r="AG1018" s="150"/>
      <c r="AH1018" s="159" t="e">
        <f>+S1018/$S$961</f>
        <v>#DIV/0!</v>
      </c>
      <c r="AI1018" s="160"/>
      <c r="AJ1018" s="219"/>
      <c r="AK1018" s="219"/>
      <c r="AM1018" s="219"/>
      <c r="AN1018" s="219"/>
      <c r="AO1018" s="219"/>
      <c r="AP1018" s="219"/>
      <c r="AQ1018" s="219"/>
      <c r="AR1018" s="219"/>
    </row>
    <row r="1019" spans="1:44" s="220" customFormat="1" ht="40.15" hidden="1" customHeight="1">
      <c r="A1019" s="152">
        <f t="shared" ca="1" si="1535"/>
        <v>0</v>
      </c>
      <c r="B1019" s="153">
        <v>92763</v>
      </c>
      <c r="C1019" s="154" t="str">
        <f>TEXT(B1019,"0")</f>
        <v>92763</v>
      </c>
      <c r="D1019" s="154" t="s">
        <v>1416</v>
      </c>
      <c r="E1019" s="155" t="s">
        <v>3951</v>
      </c>
      <c r="F1019" s="154"/>
      <c r="G1019" s="154" t="s">
        <v>3802</v>
      </c>
      <c r="H1019" s="152">
        <v>9.7899999999999991</v>
      </c>
      <c r="I1019" s="152">
        <v>9.6300000000000008</v>
      </c>
      <c r="J1019" s="156"/>
      <c r="K1019" s="156"/>
      <c r="L1019" s="156">
        <f>IF($K1019&gt;$J1019,$K1019-$J1019,0)</f>
        <v>0</v>
      </c>
      <c r="M1019" s="156">
        <f>IF($K1019&lt;$J1019,$J1019-$K1019,0)</f>
        <v>0</v>
      </c>
      <c r="N1019" s="156" t="s">
        <v>83</v>
      </c>
      <c r="O1019" s="157" cm="1">
        <f t="array" ref="O1019">TRUNC($H1019*(1+_xlfn.SWITCH($N1019,"BDI 1",$O$6,"BDI 2",$O$7,"BDI 3",$O$8)),2)</f>
        <v>11.81</v>
      </c>
      <c r="P1019" s="157" cm="1">
        <f t="array" ref="P1019">TRUNC($I1019*(1+_xlfn.SWITCH($N1019,"BDI 1",$P$6,"BDI 2",$P$7,"BDI 3",$P$8)),2)</f>
        <v>12.2</v>
      </c>
      <c r="Q1019" s="157">
        <v>0</v>
      </c>
      <c r="R1019" s="157">
        <f>$Q1019-($Q1019*LICITACAO_DESCONTO)</f>
        <v>0</v>
      </c>
      <c r="S1019" s="156">
        <f>TRUNC($K1019*$O1019,2)</f>
        <v>0</v>
      </c>
      <c r="T1019" s="156">
        <f>TRUNC($K1019*$P1019,2)</f>
        <v>0</v>
      </c>
      <c r="U1019" s="156">
        <f>TRUNC($J1019*$R1019,2)</f>
        <v>0</v>
      </c>
      <c r="V1019" s="156">
        <f>TRUNC($K1019*$Q1019,2)</f>
        <v>0</v>
      </c>
      <c r="W1019" s="156">
        <f>TRUNC(V1019-U1019,2)</f>
        <v>0</v>
      </c>
      <c r="X1019" s="158">
        <f>$S1019/ORCAMENTO_VALOR_TOTAL_ND</f>
        <v>0</v>
      </c>
      <c r="Y1019" s="158">
        <f>$T1019/ORCAMENTO_VALOR_TOTAL_DE</f>
        <v>0</v>
      </c>
      <c r="Z1019" s="158" cm="1">
        <f t="array" ref="Z1019">_xlfn.SWITCH($N1019,"BDI 1",$O$6,"BDI 2",$O$7,"BDI 3",$O$8)</f>
        <v>0.20699999999999999</v>
      </c>
      <c r="AA1019" s="158" cm="1">
        <f t="array" ref="AA1019">_xlfn.SWITCH($N1019,"BDI 1",$P$6,"BDI 2",$P$7,"BDI 3",$P$8)</f>
        <v>0.26739999999999997</v>
      </c>
      <c r="AB1019" s="158">
        <f ca="1">IFERROR($S1019/_xlfn.XLOOKUP($AE1019,$B$16:$B$38,$S$16:$S$38),0)</f>
        <v>0</v>
      </c>
      <c r="AC1019" s="158">
        <f ca="1">IFERROR($T1019/_xlfn.XLOOKUP($AE1019,$B$16:$B$38,$T$16:$T$38),0)</f>
        <v>0</v>
      </c>
      <c r="AD1019" s="164"/>
      <c r="AE1019" s="148">
        <f t="shared" si="1534"/>
        <v>0</v>
      </c>
      <c r="AF1019" s="149"/>
      <c r="AG1019" s="150"/>
      <c r="AH1019" s="159" t="e">
        <f>+S1019/$S$961</f>
        <v>#DIV/0!</v>
      </c>
      <c r="AI1019" s="165" t="s">
        <v>243</v>
      </c>
      <c r="AJ1019" s="219"/>
      <c r="AK1019" s="219"/>
      <c r="AM1019" s="219"/>
      <c r="AN1019" s="219"/>
      <c r="AO1019" s="219"/>
      <c r="AP1019" s="219"/>
      <c r="AQ1019" s="219"/>
      <c r="AR1019" s="219"/>
    </row>
    <row r="1020" spans="1:44" s="49" customFormat="1" ht="40.15" hidden="1" customHeight="1">
      <c r="A1020" s="152">
        <f t="shared" ca="1" si="1535"/>
        <v>0</v>
      </c>
      <c r="B1020" s="153"/>
      <c r="C1020" s="154"/>
      <c r="D1020" s="154"/>
      <c r="E1020" s="161" t="s">
        <v>356</v>
      </c>
      <c r="F1020" s="154"/>
      <c r="G1020" s="154"/>
      <c r="H1020" s="152"/>
      <c r="I1020" s="152"/>
      <c r="J1020" s="154"/>
      <c r="K1020" s="154"/>
      <c r="L1020" s="154"/>
      <c r="M1020" s="154"/>
      <c r="N1020" s="154"/>
      <c r="O1020" s="162"/>
      <c r="P1020" s="162"/>
      <c r="Q1020" s="162"/>
      <c r="R1020" s="162"/>
      <c r="S1020" s="162"/>
      <c r="T1020" s="162"/>
      <c r="U1020" s="162"/>
      <c r="V1020" s="162"/>
      <c r="W1020" s="162"/>
      <c r="X1020" s="163"/>
      <c r="Y1020" s="163"/>
      <c r="Z1020" s="163"/>
      <c r="AA1020" s="163"/>
      <c r="AB1020" s="163"/>
      <c r="AC1020" s="163"/>
      <c r="AD1020" s="164"/>
      <c r="AE1020" s="148">
        <f t="shared" si="1534"/>
        <v>0</v>
      </c>
      <c r="AF1020" s="149"/>
      <c r="AG1020" s="150"/>
      <c r="AH1020" s="159"/>
      <c r="AI1020" s="160"/>
      <c r="AJ1020" s="105"/>
      <c r="AK1020" s="105"/>
      <c r="AM1020" s="105"/>
      <c r="AN1020" s="105"/>
      <c r="AO1020" s="105"/>
      <c r="AP1020" s="105"/>
      <c r="AQ1020" s="105"/>
      <c r="AR1020" s="105"/>
    </row>
    <row r="1021" spans="1:44" s="220" customFormat="1" ht="40.15" hidden="1" customHeight="1">
      <c r="A1021" s="152">
        <f t="shared" ca="1" si="1535"/>
        <v>0</v>
      </c>
      <c r="B1021" s="153">
        <v>94972</v>
      </c>
      <c r="C1021" s="154" t="str">
        <f t="shared" ref="C1021:C1028" si="1687">TEXT(B1021,"0")</f>
        <v>94972</v>
      </c>
      <c r="D1021" s="154" t="s">
        <v>1416</v>
      </c>
      <c r="E1021" s="155" t="s">
        <v>3952</v>
      </c>
      <c r="F1021" s="154"/>
      <c r="G1021" s="154" t="s">
        <v>464</v>
      </c>
      <c r="H1021" s="152">
        <v>500.26</v>
      </c>
      <c r="I1021" s="152">
        <v>499.21</v>
      </c>
      <c r="J1021" s="156"/>
      <c r="K1021" s="156"/>
      <c r="L1021" s="156">
        <f t="shared" ref="L1021:L1028" si="1688">IF($K1021&gt;$J1021,$K1021-$J1021,0)</f>
        <v>0</v>
      </c>
      <c r="M1021" s="156">
        <f t="shared" ref="M1021:M1028" si="1689">IF($K1021&lt;$J1021,$J1021-$K1021,0)</f>
        <v>0</v>
      </c>
      <c r="N1021" s="156" t="s">
        <v>83</v>
      </c>
      <c r="O1021" s="157" cm="1">
        <f t="array" ref="O1021">TRUNC($H1021*(1+_xlfn.SWITCH($N1021,"BDI 1",$O$6,"BDI 2",$O$7,"BDI 3",$O$8)),2)</f>
        <v>603.80999999999995</v>
      </c>
      <c r="P1021" s="157" cm="1">
        <f t="array" ref="P1021">TRUNC($I1021*(1+_xlfn.SWITCH($N1021,"BDI 1",$P$6,"BDI 2",$P$7,"BDI 3",$P$8)),2)</f>
        <v>632.69000000000005</v>
      </c>
      <c r="Q1021" s="157">
        <v>0</v>
      </c>
      <c r="R1021" s="157">
        <f t="shared" ref="R1021:R1028" si="1690">$Q1021-($Q1021*LICITACAO_DESCONTO)</f>
        <v>0</v>
      </c>
      <c r="S1021" s="156">
        <f t="shared" ref="S1021:S1028" si="1691">TRUNC($K1021*$O1021,2)</f>
        <v>0</v>
      </c>
      <c r="T1021" s="156">
        <f t="shared" ref="T1021:T1028" si="1692">TRUNC($K1021*$P1021,2)</f>
        <v>0</v>
      </c>
      <c r="U1021" s="156">
        <f t="shared" ref="U1021:U1028" si="1693">TRUNC($J1021*$R1021,2)</f>
        <v>0</v>
      </c>
      <c r="V1021" s="156">
        <f t="shared" ref="V1021:V1028" si="1694">TRUNC($K1021*$Q1021,2)</f>
        <v>0</v>
      </c>
      <c r="W1021" s="156">
        <f t="shared" ref="W1021:W1028" si="1695">TRUNC(V1021-U1021,2)</f>
        <v>0</v>
      </c>
      <c r="X1021" s="158">
        <f t="shared" ref="X1021" si="1696">$S1021/ORCAMENTO_VALOR_TOTAL_ND</f>
        <v>0</v>
      </c>
      <c r="Y1021" s="158">
        <f t="shared" ref="Y1021" si="1697">$T1021/ORCAMENTO_VALOR_TOTAL_DE</f>
        <v>0</v>
      </c>
      <c r="Z1021" s="158" cm="1">
        <f t="array" ref="Z1021">_xlfn.SWITCH($N1021,"BDI 1",$O$6,"BDI 2",$O$7,"BDI 3",$O$8)</f>
        <v>0.20699999999999999</v>
      </c>
      <c r="AA1021" s="158" cm="1">
        <f t="array" ref="AA1021">_xlfn.SWITCH($N1021,"BDI 1",$P$6,"BDI 2",$P$7,"BDI 3",$P$8)</f>
        <v>0.26739999999999997</v>
      </c>
      <c r="AB1021" s="158">
        <f t="shared" ref="AB1021:AB1028" ca="1" si="1698">IFERROR($S1021/_xlfn.XLOOKUP($AE1021,$B$16:$B$38,$S$16:$S$38),0)</f>
        <v>0</v>
      </c>
      <c r="AC1021" s="158">
        <f t="shared" ref="AC1021:AC1028" ca="1" si="1699">IFERROR($T1021/_xlfn.XLOOKUP($AE1021,$B$16:$B$38,$T$16:$T$38),0)</f>
        <v>0</v>
      </c>
      <c r="AD1021" s="164"/>
      <c r="AE1021" s="148">
        <f t="shared" si="1534"/>
        <v>0</v>
      </c>
      <c r="AF1021" s="149"/>
      <c r="AG1021" s="150"/>
      <c r="AH1021" s="159" t="e">
        <f t="shared" ref="AH1021:AH1028" si="1700">+S1021/$S$961</f>
        <v>#DIV/0!</v>
      </c>
      <c r="AI1021" s="165" t="s">
        <v>101</v>
      </c>
      <c r="AJ1021" s="219"/>
      <c r="AK1021" s="219"/>
      <c r="AM1021" s="219"/>
      <c r="AN1021" s="219"/>
      <c r="AO1021" s="219"/>
      <c r="AP1021" s="219"/>
      <c r="AQ1021" s="219"/>
      <c r="AR1021" s="219"/>
    </row>
    <row r="1022" spans="1:44" s="220" customFormat="1" ht="40.15" hidden="1" customHeight="1">
      <c r="A1022" s="152">
        <f t="shared" ca="1" si="1535"/>
        <v>0</v>
      </c>
      <c r="B1022" s="153">
        <v>103670</v>
      </c>
      <c r="C1022" s="154" t="str">
        <f t="shared" si="1687"/>
        <v>103670</v>
      </c>
      <c r="D1022" s="154" t="s">
        <v>1416</v>
      </c>
      <c r="E1022" s="155" t="s">
        <v>3792</v>
      </c>
      <c r="F1022" s="154"/>
      <c r="G1022" s="154" t="s">
        <v>464</v>
      </c>
      <c r="H1022" s="152">
        <v>272.37</v>
      </c>
      <c r="I1022" s="152">
        <v>247.05</v>
      </c>
      <c r="J1022" s="156"/>
      <c r="K1022" s="156">
        <f>K1021</f>
        <v>0</v>
      </c>
      <c r="L1022" s="156">
        <f t="shared" si="1688"/>
        <v>0</v>
      </c>
      <c r="M1022" s="156">
        <f t="shared" si="1689"/>
        <v>0</v>
      </c>
      <c r="N1022" s="156" t="s">
        <v>83</v>
      </c>
      <c r="O1022" s="157" cm="1">
        <f t="array" ref="O1022">TRUNC($H1022*(1+_xlfn.SWITCH($N1022,"BDI 1",$O$6,"BDI 2",$O$7,"BDI 3",$O$8)),2)</f>
        <v>328.75</v>
      </c>
      <c r="P1022" s="157" cm="1">
        <f t="array" ref="P1022">TRUNC($I1022*(1+_xlfn.SWITCH($N1022,"BDI 1",$P$6,"BDI 2",$P$7,"BDI 3",$P$8)),2)</f>
        <v>313.11</v>
      </c>
      <c r="Q1022" s="157">
        <v>0</v>
      </c>
      <c r="R1022" s="157">
        <f t="shared" si="1690"/>
        <v>0</v>
      </c>
      <c r="S1022" s="156">
        <f t="shared" si="1691"/>
        <v>0</v>
      </c>
      <c r="T1022" s="156">
        <f t="shared" si="1692"/>
        <v>0</v>
      </c>
      <c r="U1022" s="156">
        <f t="shared" si="1693"/>
        <v>0</v>
      </c>
      <c r="V1022" s="156">
        <f t="shared" si="1694"/>
        <v>0</v>
      </c>
      <c r="W1022" s="156">
        <f t="shared" si="1695"/>
        <v>0</v>
      </c>
      <c r="X1022" s="158">
        <f t="shared" ref="X1022" si="1701">$S1022/ORCAMENTO_VALOR_TOTAL_ND</f>
        <v>0</v>
      </c>
      <c r="Y1022" s="158">
        <f t="shared" ref="Y1022" si="1702">$T1022/ORCAMENTO_VALOR_TOTAL_DE</f>
        <v>0</v>
      </c>
      <c r="Z1022" s="158" cm="1">
        <f t="array" ref="Z1022">_xlfn.SWITCH($N1022,"BDI 1",$O$6,"BDI 2",$O$7,"BDI 3",$O$8)</f>
        <v>0.20699999999999999</v>
      </c>
      <c r="AA1022" s="158" cm="1">
        <f t="array" ref="AA1022">_xlfn.SWITCH($N1022,"BDI 1",$P$6,"BDI 2",$P$7,"BDI 3",$P$8)</f>
        <v>0.26739999999999997</v>
      </c>
      <c r="AB1022" s="158">
        <f t="shared" ca="1" si="1698"/>
        <v>0</v>
      </c>
      <c r="AC1022" s="158">
        <f t="shared" ca="1" si="1699"/>
        <v>0</v>
      </c>
      <c r="AD1022" s="164"/>
      <c r="AE1022" s="148">
        <f t="shared" si="1534"/>
        <v>0</v>
      </c>
      <c r="AF1022" s="149"/>
      <c r="AG1022" s="150"/>
      <c r="AH1022" s="159" t="e">
        <f t="shared" si="1700"/>
        <v>#DIV/0!</v>
      </c>
      <c r="AI1022" s="165" t="s">
        <v>101</v>
      </c>
      <c r="AJ1022" s="219"/>
      <c r="AK1022" s="219"/>
      <c r="AM1022" s="219"/>
      <c r="AN1022" s="219"/>
      <c r="AO1022" s="219"/>
      <c r="AP1022" s="219"/>
      <c r="AQ1022" s="219"/>
      <c r="AR1022" s="219"/>
    </row>
    <row r="1023" spans="1:44" s="220" customFormat="1" ht="40.15" hidden="1" customHeight="1">
      <c r="A1023" s="152">
        <f t="shared" ca="1" si="1535"/>
        <v>0</v>
      </c>
      <c r="B1023" s="153">
        <v>94969</v>
      </c>
      <c r="C1023" s="154" t="str">
        <f t="shared" si="1687"/>
        <v>94969</v>
      </c>
      <c r="D1023" s="154" t="s">
        <v>1416</v>
      </c>
      <c r="E1023" s="155" t="s">
        <v>3936</v>
      </c>
      <c r="F1023" s="154"/>
      <c r="G1023" s="154" t="s">
        <v>464</v>
      </c>
      <c r="H1023" s="152">
        <v>422.25</v>
      </c>
      <c r="I1023" s="152">
        <v>421.36</v>
      </c>
      <c r="J1023" s="156"/>
      <c r="K1023" s="156"/>
      <c r="L1023" s="156">
        <f t="shared" si="1688"/>
        <v>0</v>
      </c>
      <c r="M1023" s="156">
        <f t="shared" si="1689"/>
        <v>0</v>
      </c>
      <c r="N1023" s="156" t="s">
        <v>83</v>
      </c>
      <c r="O1023" s="157" cm="1">
        <f t="array" ref="O1023">TRUNC($H1023*(1+_xlfn.SWITCH($N1023,"BDI 1",$O$6,"BDI 2",$O$7,"BDI 3",$O$8)),2)</f>
        <v>509.65</v>
      </c>
      <c r="P1023" s="157" cm="1">
        <f t="array" ref="P1023">TRUNC($I1023*(1+_xlfn.SWITCH($N1023,"BDI 1",$P$6,"BDI 2",$P$7,"BDI 3",$P$8)),2)</f>
        <v>534.03</v>
      </c>
      <c r="Q1023" s="157">
        <v>0</v>
      </c>
      <c r="R1023" s="157">
        <f t="shared" si="1690"/>
        <v>0</v>
      </c>
      <c r="S1023" s="156">
        <f t="shared" si="1691"/>
        <v>0</v>
      </c>
      <c r="T1023" s="156">
        <f t="shared" si="1692"/>
        <v>0</v>
      </c>
      <c r="U1023" s="156">
        <f t="shared" si="1693"/>
        <v>0</v>
      </c>
      <c r="V1023" s="156">
        <f t="shared" si="1694"/>
        <v>0</v>
      </c>
      <c r="W1023" s="156">
        <f t="shared" si="1695"/>
        <v>0</v>
      </c>
      <c r="X1023" s="158">
        <f t="shared" ref="X1023" si="1703">$S1023/ORCAMENTO_VALOR_TOTAL_ND</f>
        <v>0</v>
      </c>
      <c r="Y1023" s="158">
        <f t="shared" ref="Y1023" si="1704">$T1023/ORCAMENTO_VALOR_TOTAL_DE</f>
        <v>0</v>
      </c>
      <c r="Z1023" s="158" cm="1">
        <f t="array" ref="Z1023">_xlfn.SWITCH($N1023,"BDI 1",$O$6,"BDI 2",$O$7,"BDI 3",$O$8)</f>
        <v>0.20699999999999999</v>
      </c>
      <c r="AA1023" s="158" cm="1">
        <f t="array" ref="AA1023">_xlfn.SWITCH($N1023,"BDI 1",$P$6,"BDI 2",$P$7,"BDI 3",$P$8)</f>
        <v>0.26739999999999997</v>
      </c>
      <c r="AB1023" s="158">
        <f t="shared" ca="1" si="1698"/>
        <v>0</v>
      </c>
      <c r="AC1023" s="158">
        <f t="shared" ca="1" si="1699"/>
        <v>0</v>
      </c>
      <c r="AD1023" s="164"/>
      <c r="AE1023" s="148">
        <f t="shared" si="1534"/>
        <v>0</v>
      </c>
      <c r="AF1023" s="149"/>
      <c r="AG1023" s="150"/>
      <c r="AH1023" s="159" t="e">
        <f t="shared" si="1700"/>
        <v>#DIV/0!</v>
      </c>
      <c r="AI1023" s="165" t="s">
        <v>243</v>
      </c>
      <c r="AJ1023" s="219"/>
      <c r="AK1023" s="219"/>
      <c r="AM1023" s="219"/>
      <c r="AN1023" s="219"/>
      <c r="AO1023" s="219"/>
      <c r="AP1023" s="219"/>
      <c r="AQ1023" s="219"/>
      <c r="AR1023" s="219"/>
    </row>
    <row r="1024" spans="1:44" s="220" customFormat="1" ht="40.15" hidden="1" customHeight="1">
      <c r="A1024" s="152">
        <f t="shared" ca="1" si="1535"/>
        <v>0</v>
      </c>
      <c r="B1024" s="153">
        <v>103670</v>
      </c>
      <c r="C1024" s="154" t="str">
        <f t="shared" si="1687"/>
        <v>103670</v>
      </c>
      <c r="D1024" s="154" t="s">
        <v>1416</v>
      </c>
      <c r="E1024" s="155" t="s">
        <v>3792</v>
      </c>
      <c r="F1024" s="154"/>
      <c r="G1024" s="154" t="s">
        <v>464</v>
      </c>
      <c r="H1024" s="152">
        <v>272.37</v>
      </c>
      <c r="I1024" s="152">
        <v>247.05</v>
      </c>
      <c r="J1024" s="156"/>
      <c r="K1024" s="156">
        <f>K1023</f>
        <v>0</v>
      </c>
      <c r="L1024" s="156">
        <f t="shared" si="1688"/>
        <v>0</v>
      </c>
      <c r="M1024" s="156">
        <f t="shared" si="1689"/>
        <v>0</v>
      </c>
      <c r="N1024" s="156" t="s">
        <v>83</v>
      </c>
      <c r="O1024" s="157" cm="1">
        <f t="array" ref="O1024">TRUNC($H1024*(1+_xlfn.SWITCH($N1024,"BDI 1",$O$6,"BDI 2",$O$7,"BDI 3",$O$8)),2)</f>
        <v>328.75</v>
      </c>
      <c r="P1024" s="157" cm="1">
        <f t="array" ref="P1024">TRUNC($I1024*(1+_xlfn.SWITCH($N1024,"BDI 1",$P$6,"BDI 2",$P$7,"BDI 3",$P$8)),2)</f>
        <v>313.11</v>
      </c>
      <c r="Q1024" s="157">
        <v>0</v>
      </c>
      <c r="R1024" s="157">
        <f t="shared" si="1690"/>
        <v>0</v>
      </c>
      <c r="S1024" s="156">
        <f t="shared" si="1691"/>
        <v>0</v>
      </c>
      <c r="T1024" s="156">
        <f t="shared" si="1692"/>
        <v>0</v>
      </c>
      <c r="U1024" s="156">
        <f t="shared" si="1693"/>
        <v>0</v>
      </c>
      <c r="V1024" s="156">
        <f t="shared" si="1694"/>
        <v>0</v>
      </c>
      <c r="W1024" s="156">
        <f t="shared" si="1695"/>
        <v>0</v>
      </c>
      <c r="X1024" s="158">
        <f t="shared" ref="X1024" si="1705">$S1024/ORCAMENTO_VALOR_TOTAL_ND</f>
        <v>0</v>
      </c>
      <c r="Y1024" s="158">
        <f t="shared" ref="Y1024" si="1706">$T1024/ORCAMENTO_VALOR_TOTAL_DE</f>
        <v>0</v>
      </c>
      <c r="Z1024" s="158" cm="1">
        <f t="array" ref="Z1024">_xlfn.SWITCH($N1024,"BDI 1",$O$6,"BDI 2",$O$7,"BDI 3",$O$8)</f>
        <v>0.20699999999999999</v>
      </c>
      <c r="AA1024" s="158" cm="1">
        <f t="array" ref="AA1024">_xlfn.SWITCH($N1024,"BDI 1",$P$6,"BDI 2",$P$7,"BDI 3",$P$8)</f>
        <v>0.26739999999999997</v>
      </c>
      <c r="AB1024" s="158">
        <f t="shared" ca="1" si="1698"/>
        <v>0</v>
      </c>
      <c r="AC1024" s="158">
        <f t="shared" ca="1" si="1699"/>
        <v>0</v>
      </c>
      <c r="AD1024" s="164"/>
      <c r="AE1024" s="148">
        <f t="shared" si="1534"/>
        <v>0</v>
      </c>
      <c r="AF1024" s="149"/>
      <c r="AG1024" s="150"/>
      <c r="AH1024" s="159" t="e">
        <f t="shared" si="1700"/>
        <v>#DIV/0!</v>
      </c>
      <c r="AI1024" s="160"/>
      <c r="AJ1024" s="219"/>
      <c r="AK1024" s="219"/>
      <c r="AM1024" s="219"/>
      <c r="AN1024" s="219"/>
      <c r="AO1024" s="219"/>
      <c r="AP1024" s="219"/>
      <c r="AQ1024" s="219"/>
      <c r="AR1024" s="219"/>
    </row>
    <row r="1025" spans="1:44" s="220" customFormat="1" ht="40.15" hidden="1" customHeight="1">
      <c r="A1025" s="152">
        <f t="shared" ca="1" si="1535"/>
        <v>0</v>
      </c>
      <c r="B1025" s="153">
        <v>96536</v>
      </c>
      <c r="C1025" s="154" t="str">
        <f t="shared" si="1687"/>
        <v>96536</v>
      </c>
      <c r="D1025" s="154" t="s">
        <v>1416</v>
      </c>
      <c r="E1025" s="155" t="s">
        <v>3955</v>
      </c>
      <c r="F1025" s="154"/>
      <c r="G1025" s="154" t="s">
        <v>1418</v>
      </c>
      <c r="H1025" s="152">
        <v>61.52</v>
      </c>
      <c r="I1025" s="152">
        <v>57.93</v>
      </c>
      <c r="J1025" s="156"/>
      <c r="K1025" s="156"/>
      <c r="L1025" s="156">
        <f t="shared" si="1688"/>
        <v>0</v>
      </c>
      <c r="M1025" s="156">
        <f t="shared" si="1689"/>
        <v>0</v>
      </c>
      <c r="N1025" s="156" t="s">
        <v>83</v>
      </c>
      <c r="O1025" s="157" cm="1">
        <f t="array" ref="O1025">TRUNC($H1025*(1+_xlfn.SWITCH($N1025,"BDI 1",$O$6,"BDI 2",$O$7,"BDI 3",$O$8)),2)</f>
        <v>74.25</v>
      </c>
      <c r="P1025" s="157" cm="1">
        <f t="array" ref="P1025">TRUNC($I1025*(1+_xlfn.SWITCH($N1025,"BDI 1",$P$6,"BDI 2",$P$7,"BDI 3",$P$8)),2)</f>
        <v>73.42</v>
      </c>
      <c r="Q1025" s="157">
        <v>0</v>
      </c>
      <c r="R1025" s="157">
        <f t="shared" si="1690"/>
        <v>0</v>
      </c>
      <c r="S1025" s="156">
        <f t="shared" si="1691"/>
        <v>0</v>
      </c>
      <c r="T1025" s="156">
        <f t="shared" si="1692"/>
        <v>0</v>
      </c>
      <c r="U1025" s="156">
        <f t="shared" si="1693"/>
        <v>0</v>
      </c>
      <c r="V1025" s="156">
        <f t="shared" si="1694"/>
        <v>0</v>
      </c>
      <c r="W1025" s="156">
        <f t="shared" si="1695"/>
        <v>0</v>
      </c>
      <c r="X1025" s="158">
        <f t="shared" ref="X1025" si="1707">$S1025/ORCAMENTO_VALOR_TOTAL_ND</f>
        <v>0</v>
      </c>
      <c r="Y1025" s="158">
        <f t="shared" ref="Y1025" si="1708">$T1025/ORCAMENTO_VALOR_TOTAL_DE</f>
        <v>0</v>
      </c>
      <c r="Z1025" s="158" cm="1">
        <f t="array" ref="Z1025">_xlfn.SWITCH($N1025,"BDI 1",$O$6,"BDI 2",$O$7,"BDI 3",$O$8)</f>
        <v>0.20699999999999999</v>
      </c>
      <c r="AA1025" s="158" cm="1">
        <f t="array" ref="AA1025">_xlfn.SWITCH($N1025,"BDI 1",$P$6,"BDI 2",$P$7,"BDI 3",$P$8)</f>
        <v>0.26739999999999997</v>
      </c>
      <c r="AB1025" s="158">
        <f t="shared" ca="1" si="1698"/>
        <v>0</v>
      </c>
      <c r="AC1025" s="158">
        <f t="shared" ca="1" si="1699"/>
        <v>0</v>
      </c>
      <c r="AD1025" s="164"/>
      <c r="AE1025" s="148">
        <f t="shared" ref="AE1025:AE1088" si="1709">IF(S1025&gt;0,IFERROR(TRUNC(A1025,0),0),0)</f>
        <v>0</v>
      </c>
      <c r="AF1025" s="149"/>
      <c r="AG1025" s="150"/>
      <c r="AH1025" s="159" t="e">
        <f t="shared" si="1700"/>
        <v>#DIV/0!</v>
      </c>
      <c r="AI1025" s="160"/>
      <c r="AJ1025" s="219"/>
      <c r="AK1025" s="219"/>
      <c r="AM1025" s="219"/>
      <c r="AN1025" s="219"/>
      <c r="AO1025" s="219"/>
      <c r="AP1025" s="219"/>
      <c r="AQ1025" s="219"/>
      <c r="AR1025" s="219"/>
    </row>
    <row r="1026" spans="1:44" s="220" customFormat="1" ht="40.15" hidden="1" customHeight="1">
      <c r="A1026" s="152">
        <f t="shared" ref="A1026:A1089" ca="1" si="1710">+IF(K1026&gt;0,A1023+0.01,A1023)</f>
        <v>0</v>
      </c>
      <c r="B1026" s="153">
        <v>92770</v>
      </c>
      <c r="C1026" s="154" t="str">
        <f t="shared" si="1687"/>
        <v>92770</v>
      </c>
      <c r="D1026" s="154" t="s">
        <v>1416</v>
      </c>
      <c r="E1026" s="155" t="s">
        <v>3956</v>
      </c>
      <c r="F1026" s="154"/>
      <c r="G1026" s="154" t="s">
        <v>3802</v>
      </c>
      <c r="H1026" s="152">
        <v>12.49</v>
      </c>
      <c r="I1026" s="152">
        <v>12.25</v>
      </c>
      <c r="J1026" s="156"/>
      <c r="K1026" s="156"/>
      <c r="L1026" s="156">
        <f t="shared" si="1688"/>
        <v>0</v>
      </c>
      <c r="M1026" s="156">
        <f t="shared" si="1689"/>
        <v>0</v>
      </c>
      <c r="N1026" s="156" t="s">
        <v>83</v>
      </c>
      <c r="O1026" s="157" cm="1">
        <f t="array" ref="O1026">TRUNC($H1026*(1+_xlfn.SWITCH($N1026,"BDI 1",$O$6,"BDI 2",$O$7,"BDI 3",$O$8)),2)</f>
        <v>15.07</v>
      </c>
      <c r="P1026" s="157" cm="1">
        <f t="array" ref="P1026">TRUNC($I1026*(1+_xlfn.SWITCH($N1026,"BDI 1",$P$6,"BDI 2",$P$7,"BDI 3",$P$8)),2)</f>
        <v>15.52</v>
      </c>
      <c r="Q1026" s="157">
        <v>0</v>
      </c>
      <c r="R1026" s="157">
        <f t="shared" si="1690"/>
        <v>0</v>
      </c>
      <c r="S1026" s="156">
        <f t="shared" si="1691"/>
        <v>0</v>
      </c>
      <c r="T1026" s="156">
        <f t="shared" si="1692"/>
        <v>0</v>
      </c>
      <c r="U1026" s="156">
        <f t="shared" si="1693"/>
        <v>0</v>
      </c>
      <c r="V1026" s="156">
        <f t="shared" si="1694"/>
        <v>0</v>
      </c>
      <c r="W1026" s="156">
        <f t="shared" si="1695"/>
        <v>0</v>
      </c>
      <c r="X1026" s="158">
        <f t="shared" ref="X1026" si="1711">$S1026/ORCAMENTO_VALOR_TOTAL_ND</f>
        <v>0</v>
      </c>
      <c r="Y1026" s="158">
        <f t="shared" ref="Y1026" si="1712">$T1026/ORCAMENTO_VALOR_TOTAL_DE</f>
        <v>0</v>
      </c>
      <c r="Z1026" s="158" cm="1">
        <f t="array" ref="Z1026">_xlfn.SWITCH($N1026,"BDI 1",$O$6,"BDI 2",$O$7,"BDI 3",$O$8)</f>
        <v>0.20699999999999999</v>
      </c>
      <c r="AA1026" s="158" cm="1">
        <f t="array" ref="AA1026">_xlfn.SWITCH($N1026,"BDI 1",$P$6,"BDI 2",$P$7,"BDI 3",$P$8)</f>
        <v>0.26739999999999997</v>
      </c>
      <c r="AB1026" s="158">
        <f t="shared" ca="1" si="1698"/>
        <v>0</v>
      </c>
      <c r="AC1026" s="158">
        <f t="shared" ca="1" si="1699"/>
        <v>0</v>
      </c>
      <c r="AD1026" s="164"/>
      <c r="AE1026" s="148">
        <f t="shared" si="1709"/>
        <v>0</v>
      </c>
      <c r="AF1026" s="149"/>
      <c r="AG1026" s="150"/>
      <c r="AH1026" s="159" t="e">
        <f t="shared" si="1700"/>
        <v>#DIV/0!</v>
      </c>
      <c r="AI1026" s="165" t="s">
        <v>101</v>
      </c>
      <c r="AJ1026" s="219"/>
      <c r="AK1026" s="219"/>
      <c r="AM1026" s="219"/>
      <c r="AN1026" s="219"/>
      <c r="AO1026" s="219"/>
      <c r="AP1026" s="219"/>
      <c r="AQ1026" s="219"/>
      <c r="AR1026" s="219"/>
    </row>
    <row r="1027" spans="1:44" s="220" customFormat="1" ht="49.9" hidden="1" customHeight="1">
      <c r="A1027" s="152">
        <f t="shared" ca="1" si="1710"/>
        <v>0</v>
      </c>
      <c r="B1027" s="153">
        <v>101230</v>
      </c>
      <c r="C1027" s="154" t="str">
        <f t="shared" si="1687"/>
        <v>101230</v>
      </c>
      <c r="D1027" s="154" t="s">
        <v>1416</v>
      </c>
      <c r="E1027" s="155" t="s">
        <v>3677</v>
      </c>
      <c r="F1027" s="154"/>
      <c r="G1027" s="154" t="s">
        <v>464</v>
      </c>
      <c r="H1027" s="152">
        <v>10.7</v>
      </c>
      <c r="I1027" s="152">
        <v>10.73</v>
      </c>
      <c r="J1027" s="156"/>
      <c r="K1027" s="156"/>
      <c r="L1027" s="156">
        <f t="shared" si="1688"/>
        <v>0</v>
      </c>
      <c r="M1027" s="156">
        <f t="shared" si="1689"/>
        <v>0</v>
      </c>
      <c r="N1027" s="156" t="s">
        <v>83</v>
      </c>
      <c r="O1027" s="157" cm="1">
        <f t="array" ref="O1027">TRUNC($H1027*(1+_xlfn.SWITCH($N1027,"BDI 1",$O$6,"BDI 2",$O$7,"BDI 3",$O$8)),2)</f>
        <v>12.91</v>
      </c>
      <c r="P1027" s="157" cm="1">
        <f t="array" ref="P1027">TRUNC($I1027*(1+_xlfn.SWITCH($N1027,"BDI 1",$P$6,"BDI 2",$P$7,"BDI 3",$P$8)),2)</f>
        <v>13.59</v>
      </c>
      <c r="Q1027" s="157">
        <v>0</v>
      </c>
      <c r="R1027" s="157">
        <f t="shared" si="1690"/>
        <v>0</v>
      </c>
      <c r="S1027" s="156">
        <f t="shared" si="1691"/>
        <v>0</v>
      </c>
      <c r="T1027" s="156">
        <f t="shared" si="1692"/>
        <v>0</v>
      </c>
      <c r="U1027" s="156">
        <f t="shared" si="1693"/>
        <v>0</v>
      </c>
      <c r="V1027" s="156">
        <f t="shared" si="1694"/>
        <v>0</v>
      </c>
      <c r="W1027" s="156">
        <f t="shared" si="1695"/>
        <v>0</v>
      </c>
      <c r="X1027" s="158">
        <f t="shared" ref="X1027" si="1713">$S1027/ORCAMENTO_VALOR_TOTAL_ND</f>
        <v>0</v>
      </c>
      <c r="Y1027" s="158">
        <f t="shared" ref="Y1027" si="1714">$T1027/ORCAMENTO_VALOR_TOTAL_DE</f>
        <v>0</v>
      </c>
      <c r="Z1027" s="158" cm="1">
        <f t="array" ref="Z1027">_xlfn.SWITCH($N1027,"BDI 1",$O$6,"BDI 2",$O$7,"BDI 3",$O$8)</f>
        <v>0.20699999999999999</v>
      </c>
      <c r="AA1027" s="158" cm="1">
        <f t="array" ref="AA1027">_xlfn.SWITCH($N1027,"BDI 1",$P$6,"BDI 2",$P$7,"BDI 3",$P$8)</f>
        <v>0.26739999999999997</v>
      </c>
      <c r="AB1027" s="158">
        <f t="shared" ca="1" si="1698"/>
        <v>0</v>
      </c>
      <c r="AC1027" s="158">
        <f t="shared" ca="1" si="1699"/>
        <v>0</v>
      </c>
      <c r="AD1027" s="164"/>
      <c r="AE1027" s="148">
        <f t="shared" si="1709"/>
        <v>0</v>
      </c>
      <c r="AF1027" s="149"/>
      <c r="AG1027" s="150"/>
      <c r="AH1027" s="159" t="e">
        <f t="shared" si="1700"/>
        <v>#DIV/0!</v>
      </c>
      <c r="AI1027" s="165" t="s">
        <v>101</v>
      </c>
      <c r="AJ1027" s="219"/>
      <c r="AK1027" s="219"/>
      <c r="AM1027" s="219"/>
      <c r="AN1027" s="219"/>
      <c r="AO1027" s="219"/>
      <c r="AP1027" s="219"/>
      <c r="AQ1027" s="219"/>
      <c r="AR1027" s="219"/>
    </row>
    <row r="1028" spans="1:44" s="220" customFormat="1" ht="40.15" hidden="1" customHeight="1">
      <c r="A1028" s="152">
        <f t="shared" ca="1" si="1710"/>
        <v>0</v>
      </c>
      <c r="B1028" s="153">
        <v>95876</v>
      </c>
      <c r="C1028" s="154" t="str">
        <f t="shared" si="1687"/>
        <v>95876</v>
      </c>
      <c r="D1028" s="154" t="s">
        <v>1416</v>
      </c>
      <c r="E1028" s="155" t="s">
        <v>3537</v>
      </c>
      <c r="F1028" s="154">
        <f>Dados_DMT!B14</f>
        <v>3.5</v>
      </c>
      <c r="G1028" s="154" t="s">
        <v>3538</v>
      </c>
      <c r="H1028" s="152">
        <v>2.09</v>
      </c>
      <c r="I1028" s="152">
        <v>2.1</v>
      </c>
      <c r="J1028" s="156"/>
      <c r="K1028" s="156">
        <f>ROUND(K1027*1.25*F1028,2)</f>
        <v>0</v>
      </c>
      <c r="L1028" s="156">
        <f t="shared" si="1688"/>
        <v>0</v>
      </c>
      <c r="M1028" s="156">
        <f t="shared" si="1689"/>
        <v>0</v>
      </c>
      <c r="N1028" s="156" t="s">
        <v>83</v>
      </c>
      <c r="O1028" s="157" cm="1">
        <f t="array" ref="O1028">TRUNC($H1028*(1+_xlfn.SWITCH($N1028,"BDI 1",$O$6,"BDI 2",$O$7,"BDI 3",$O$8)),2)</f>
        <v>2.52</v>
      </c>
      <c r="P1028" s="157" cm="1">
        <f t="array" ref="P1028">TRUNC($I1028*(1+_xlfn.SWITCH($N1028,"BDI 1",$P$6,"BDI 2",$P$7,"BDI 3",$P$8)),2)</f>
        <v>2.66</v>
      </c>
      <c r="Q1028" s="157">
        <v>0</v>
      </c>
      <c r="R1028" s="157">
        <f t="shared" si="1690"/>
        <v>0</v>
      </c>
      <c r="S1028" s="156">
        <f t="shared" si="1691"/>
        <v>0</v>
      </c>
      <c r="T1028" s="156">
        <f t="shared" si="1692"/>
        <v>0</v>
      </c>
      <c r="U1028" s="156">
        <f t="shared" si="1693"/>
        <v>0</v>
      </c>
      <c r="V1028" s="156">
        <f t="shared" si="1694"/>
        <v>0</v>
      </c>
      <c r="W1028" s="156">
        <f t="shared" si="1695"/>
        <v>0</v>
      </c>
      <c r="X1028" s="158">
        <f t="shared" ref="X1028" si="1715">$S1028/ORCAMENTO_VALOR_TOTAL_ND</f>
        <v>0</v>
      </c>
      <c r="Y1028" s="158">
        <f t="shared" ref="Y1028" si="1716">$T1028/ORCAMENTO_VALOR_TOTAL_DE</f>
        <v>0</v>
      </c>
      <c r="Z1028" s="158" cm="1">
        <f t="array" ref="Z1028">_xlfn.SWITCH($N1028,"BDI 1",$O$6,"BDI 2",$O$7,"BDI 3",$O$8)</f>
        <v>0.20699999999999999</v>
      </c>
      <c r="AA1028" s="158" cm="1">
        <f t="array" ref="AA1028">_xlfn.SWITCH($N1028,"BDI 1",$P$6,"BDI 2",$P$7,"BDI 3",$P$8)</f>
        <v>0.26739999999999997</v>
      </c>
      <c r="AB1028" s="158">
        <f t="shared" ca="1" si="1698"/>
        <v>0</v>
      </c>
      <c r="AC1028" s="158">
        <f t="shared" ca="1" si="1699"/>
        <v>0</v>
      </c>
      <c r="AD1028" s="164"/>
      <c r="AE1028" s="148">
        <f t="shared" si="1709"/>
        <v>0</v>
      </c>
      <c r="AF1028" s="149"/>
      <c r="AG1028" s="150"/>
      <c r="AH1028" s="159" t="e">
        <f t="shared" si="1700"/>
        <v>#DIV/0!</v>
      </c>
      <c r="AI1028" s="165" t="s">
        <v>243</v>
      </c>
      <c r="AJ1028" s="219"/>
      <c r="AK1028" s="219"/>
      <c r="AM1028" s="219"/>
      <c r="AN1028" s="219"/>
      <c r="AO1028" s="219"/>
      <c r="AP1028" s="219"/>
      <c r="AQ1028" s="219"/>
      <c r="AR1028" s="219"/>
    </row>
    <row r="1029" spans="1:44" s="49" customFormat="1" ht="40.15" hidden="1" customHeight="1">
      <c r="A1029" s="152">
        <f t="shared" ca="1" si="1710"/>
        <v>0</v>
      </c>
      <c r="B1029" s="153"/>
      <c r="C1029" s="154"/>
      <c r="D1029" s="154"/>
      <c r="E1029" s="161" t="s">
        <v>357</v>
      </c>
      <c r="F1029" s="154"/>
      <c r="G1029" s="154"/>
      <c r="H1029" s="152"/>
      <c r="I1029" s="152"/>
      <c r="J1029" s="154"/>
      <c r="K1029" s="154"/>
      <c r="L1029" s="154"/>
      <c r="M1029" s="154"/>
      <c r="N1029" s="154"/>
      <c r="O1029" s="162"/>
      <c r="P1029" s="162"/>
      <c r="Q1029" s="162"/>
      <c r="R1029" s="162"/>
      <c r="S1029" s="162"/>
      <c r="T1029" s="162"/>
      <c r="U1029" s="162"/>
      <c r="V1029" s="162"/>
      <c r="W1029" s="162"/>
      <c r="X1029" s="163"/>
      <c r="Y1029" s="163"/>
      <c r="Z1029" s="163"/>
      <c r="AA1029" s="163"/>
      <c r="AB1029" s="163"/>
      <c r="AC1029" s="163"/>
      <c r="AD1029" s="164"/>
      <c r="AE1029" s="148">
        <f t="shared" si="1709"/>
        <v>0</v>
      </c>
      <c r="AF1029" s="149"/>
      <c r="AG1029" s="150"/>
      <c r="AH1029" s="159"/>
      <c r="AI1029" s="160"/>
      <c r="AJ1029" s="105"/>
      <c r="AK1029" s="105"/>
      <c r="AM1029" s="105"/>
      <c r="AN1029" s="105"/>
      <c r="AO1029" s="105"/>
      <c r="AP1029" s="105"/>
      <c r="AQ1029" s="105"/>
      <c r="AR1029" s="105"/>
    </row>
    <row r="1030" spans="1:44" s="220" customFormat="1" ht="40.15" hidden="1" customHeight="1">
      <c r="A1030" s="152">
        <f t="shared" ca="1" si="1710"/>
        <v>0</v>
      </c>
      <c r="B1030" s="153">
        <v>92924</v>
      </c>
      <c r="C1030" s="154" t="str">
        <f>TEXT(B1030,"0")</f>
        <v>92924</v>
      </c>
      <c r="D1030" s="154" t="s">
        <v>1416</v>
      </c>
      <c r="E1030" s="155" t="s">
        <v>3829</v>
      </c>
      <c r="F1030" s="154"/>
      <c r="G1030" s="154" t="s">
        <v>3802</v>
      </c>
      <c r="H1030" s="152">
        <v>11.04</v>
      </c>
      <c r="I1030" s="152">
        <v>10.91</v>
      </c>
      <c r="J1030" s="156"/>
      <c r="K1030" s="156"/>
      <c r="L1030" s="156">
        <f>IF($K1030&gt;$J1030,$K1030-$J1030,0)</f>
        <v>0</v>
      </c>
      <c r="M1030" s="156">
        <f>IF($K1030&lt;$J1030,$J1030-$K1030,0)</f>
        <v>0</v>
      </c>
      <c r="N1030" s="156" t="s">
        <v>83</v>
      </c>
      <c r="O1030" s="157" cm="1">
        <f t="array" ref="O1030">TRUNC($H1030*(1+_xlfn.SWITCH($N1030,"BDI 1",$O$6,"BDI 2",$O$7,"BDI 3",$O$8)),2)</f>
        <v>13.32</v>
      </c>
      <c r="P1030" s="157" cm="1">
        <f t="array" ref="P1030">TRUNC($I1030*(1+_xlfn.SWITCH($N1030,"BDI 1",$P$6,"BDI 2",$P$7,"BDI 3",$P$8)),2)</f>
        <v>13.82</v>
      </c>
      <c r="Q1030" s="157">
        <v>0</v>
      </c>
      <c r="R1030" s="157">
        <f>$Q1030-($Q1030*LICITACAO_DESCONTO)</f>
        <v>0</v>
      </c>
      <c r="S1030" s="156">
        <f>TRUNC($K1030*$O1030,2)</f>
        <v>0</v>
      </c>
      <c r="T1030" s="156">
        <f>TRUNC($K1030*$P1030,2)</f>
        <v>0</v>
      </c>
      <c r="U1030" s="156">
        <f>TRUNC($J1030*$R1030,2)</f>
        <v>0</v>
      </c>
      <c r="V1030" s="156">
        <f>TRUNC($K1030*$Q1030,2)</f>
        <v>0</v>
      </c>
      <c r="W1030" s="156">
        <f>TRUNC(V1030-U1030,2)</f>
        <v>0</v>
      </c>
      <c r="X1030" s="158">
        <f>$S1030/ORCAMENTO_VALOR_TOTAL_ND</f>
        <v>0</v>
      </c>
      <c r="Y1030" s="158">
        <f>$T1030/ORCAMENTO_VALOR_TOTAL_DE</f>
        <v>0</v>
      </c>
      <c r="Z1030" s="158" cm="1">
        <f t="array" ref="Z1030">_xlfn.SWITCH($N1030,"BDI 1",$O$6,"BDI 2",$O$7,"BDI 3",$O$8)</f>
        <v>0.20699999999999999</v>
      </c>
      <c r="AA1030" s="158" cm="1">
        <f t="array" ref="AA1030">_xlfn.SWITCH($N1030,"BDI 1",$P$6,"BDI 2",$P$7,"BDI 3",$P$8)</f>
        <v>0.26739999999999997</v>
      </c>
      <c r="AB1030" s="158">
        <f ca="1">IFERROR($S1030/_xlfn.XLOOKUP($AE1030,$B$16:$B$38,$S$16:$S$38),0)</f>
        <v>0</v>
      </c>
      <c r="AC1030" s="158">
        <f ca="1">IFERROR($T1030/_xlfn.XLOOKUP($AE1030,$B$16:$B$38,$T$16:$T$38),0)</f>
        <v>0</v>
      </c>
      <c r="AD1030" s="164"/>
      <c r="AE1030" s="148">
        <f t="shared" si="1709"/>
        <v>0</v>
      </c>
      <c r="AF1030" s="149"/>
      <c r="AG1030" s="150"/>
      <c r="AH1030" s="159" t="e">
        <f>+S1030/$S$961</f>
        <v>#DIV/0!</v>
      </c>
      <c r="AI1030" s="160"/>
      <c r="AJ1030" s="219"/>
      <c r="AK1030" s="219"/>
      <c r="AM1030" s="219"/>
      <c r="AN1030" s="219"/>
      <c r="AO1030" s="219"/>
      <c r="AP1030" s="219"/>
      <c r="AQ1030" s="219"/>
      <c r="AR1030" s="219"/>
    </row>
    <row r="1031" spans="1:44" s="220" customFormat="1" ht="40.15" hidden="1" customHeight="1">
      <c r="A1031" s="152">
        <f t="shared" ca="1" si="1710"/>
        <v>0</v>
      </c>
      <c r="B1031" s="153">
        <v>37460</v>
      </c>
      <c r="C1031" s="154" t="str">
        <f>TEXT(B1031,"0")</f>
        <v>37460</v>
      </c>
      <c r="D1031" s="154" t="s">
        <v>3579</v>
      </c>
      <c r="E1031" s="155" t="s">
        <v>3957</v>
      </c>
      <c r="F1031" s="154"/>
      <c r="G1031" s="154" t="s">
        <v>58</v>
      </c>
      <c r="H1031" s="152">
        <v>17.09</v>
      </c>
      <c r="I1031" s="152">
        <v>17.09</v>
      </c>
      <c r="J1031" s="156"/>
      <c r="K1031" s="156"/>
      <c r="L1031" s="156">
        <f>IF($K1031&gt;$J1031,$K1031-$J1031,0)</f>
        <v>0</v>
      </c>
      <c r="M1031" s="156">
        <f>IF($K1031&lt;$J1031,$J1031-$K1031,0)</f>
        <v>0</v>
      </c>
      <c r="N1031" s="156" t="s">
        <v>92</v>
      </c>
      <c r="O1031" s="157" cm="1">
        <f t="array" ref="O1031">TRUNC($H1031*(1+_xlfn.SWITCH($N1031,"BDI 1",$O$6,"BDI 2",$O$7,"BDI 3",$O$8)),2)</f>
        <v>19.690000000000001</v>
      </c>
      <c r="P1031" s="157" cm="1">
        <f t="array" ref="P1031">TRUNC($I1031*(1+_xlfn.SWITCH($N1031,"BDI 1",$P$6,"BDI 2",$P$7,"BDI 3",$P$8)),2)</f>
        <v>19.690000000000001</v>
      </c>
      <c r="Q1031" s="157">
        <v>0</v>
      </c>
      <c r="R1031" s="157">
        <f>$Q1031-($Q1031*LICITACAO_DESCONTO)</f>
        <v>0</v>
      </c>
      <c r="S1031" s="156">
        <f>TRUNC($K1031*$O1031,2)</f>
        <v>0</v>
      </c>
      <c r="T1031" s="156">
        <f>TRUNC($K1031*$P1031,2)</f>
        <v>0</v>
      </c>
      <c r="U1031" s="156">
        <f>TRUNC($J1031*$R1031,2)</f>
        <v>0</v>
      </c>
      <c r="V1031" s="156">
        <f>TRUNC($K1031*$Q1031,2)</f>
        <v>0</v>
      </c>
      <c r="W1031" s="156">
        <f>TRUNC(V1031-U1031,2)</f>
        <v>0</v>
      </c>
      <c r="X1031" s="158">
        <f>$S1031/ORCAMENTO_VALOR_TOTAL_ND</f>
        <v>0</v>
      </c>
      <c r="Y1031" s="158">
        <f>$T1031/ORCAMENTO_VALOR_TOTAL_DE</f>
        <v>0</v>
      </c>
      <c r="Z1031" s="158" cm="1">
        <f t="array" ref="Z1031">_xlfn.SWITCH($N1031,"BDI 1",$O$6,"BDI 2",$O$7,"BDI 3",$O$8)</f>
        <v>0.1527</v>
      </c>
      <c r="AA1031" s="158" cm="1">
        <f t="array" ref="AA1031">_xlfn.SWITCH($N1031,"BDI 1",$P$6,"BDI 2",$P$7,"BDI 3",$P$8)</f>
        <v>0.1527</v>
      </c>
      <c r="AB1031" s="158">
        <f ca="1">IFERROR($S1031/_xlfn.XLOOKUP($AE1031,$B$16:$B$38,$S$16:$S$38),0)</f>
        <v>0</v>
      </c>
      <c r="AC1031" s="158">
        <f ca="1">IFERROR($T1031/_xlfn.XLOOKUP($AE1031,$B$16:$B$38,$T$16:$T$38),0)</f>
        <v>0</v>
      </c>
      <c r="AD1031" s="164"/>
      <c r="AE1031" s="148">
        <f t="shared" si="1709"/>
        <v>0</v>
      </c>
      <c r="AF1031" s="149"/>
      <c r="AG1031" s="150"/>
      <c r="AH1031" s="159" t="e">
        <f>+S1031/$S$961</f>
        <v>#DIV/0!</v>
      </c>
      <c r="AI1031" s="160"/>
      <c r="AJ1031" s="219"/>
      <c r="AK1031" s="219"/>
      <c r="AM1031" s="219"/>
      <c r="AN1031" s="219"/>
      <c r="AO1031" s="219"/>
      <c r="AP1031" s="219"/>
      <c r="AQ1031" s="219"/>
      <c r="AR1031" s="219"/>
    </row>
    <row r="1032" spans="1:44" s="220" customFormat="1" ht="40.15" hidden="1" customHeight="1">
      <c r="A1032" s="152">
        <f t="shared" ca="1" si="1710"/>
        <v>0</v>
      </c>
      <c r="B1032" s="153">
        <v>39140</v>
      </c>
      <c r="C1032" s="154" t="str">
        <f>TEXT(B1032,"0")</f>
        <v>39140</v>
      </c>
      <c r="D1032" s="154" t="s">
        <v>3579</v>
      </c>
      <c r="E1032" s="155" t="s">
        <v>3958</v>
      </c>
      <c r="F1032" s="154"/>
      <c r="G1032" s="154" t="s">
        <v>1412</v>
      </c>
      <c r="H1032" s="152">
        <v>2.2200000000000002</v>
      </c>
      <c r="I1032" s="152">
        <v>2.2200000000000002</v>
      </c>
      <c r="J1032" s="156"/>
      <c r="K1032" s="156"/>
      <c r="L1032" s="156">
        <f>IF($K1032&gt;$J1032,$K1032-$J1032,0)</f>
        <v>0</v>
      </c>
      <c r="M1032" s="156">
        <f>IF($K1032&lt;$J1032,$J1032-$K1032,0)</f>
        <v>0</v>
      </c>
      <c r="N1032" s="156" t="s">
        <v>92</v>
      </c>
      <c r="O1032" s="157" cm="1">
        <f t="array" ref="O1032">TRUNC($H1032*(1+_xlfn.SWITCH($N1032,"BDI 1",$O$6,"BDI 2",$O$7,"BDI 3",$O$8)),2)</f>
        <v>2.5499999999999998</v>
      </c>
      <c r="P1032" s="157" cm="1">
        <f t="array" ref="P1032">TRUNC($I1032*(1+_xlfn.SWITCH($N1032,"BDI 1",$P$6,"BDI 2",$P$7,"BDI 3",$P$8)),2)</f>
        <v>2.5499999999999998</v>
      </c>
      <c r="Q1032" s="157">
        <v>0</v>
      </c>
      <c r="R1032" s="157">
        <f>$Q1032-($Q1032*LICITACAO_DESCONTO)</f>
        <v>0</v>
      </c>
      <c r="S1032" s="156">
        <f>TRUNC($K1032*$O1032,2)</f>
        <v>0</v>
      </c>
      <c r="T1032" s="156">
        <f>TRUNC($K1032*$P1032,2)</f>
        <v>0</v>
      </c>
      <c r="U1032" s="156">
        <f>TRUNC($J1032*$R1032,2)</f>
        <v>0</v>
      </c>
      <c r="V1032" s="156">
        <f>TRUNC($K1032*$Q1032,2)</f>
        <v>0</v>
      </c>
      <c r="W1032" s="156">
        <f>TRUNC(V1032-U1032,2)</f>
        <v>0</v>
      </c>
      <c r="X1032" s="158">
        <f>$S1032/ORCAMENTO_VALOR_TOTAL_ND</f>
        <v>0</v>
      </c>
      <c r="Y1032" s="158">
        <f>$T1032/ORCAMENTO_VALOR_TOTAL_DE</f>
        <v>0</v>
      </c>
      <c r="Z1032" s="158" cm="1">
        <f t="array" ref="Z1032">_xlfn.SWITCH($N1032,"BDI 1",$O$6,"BDI 2",$O$7,"BDI 3",$O$8)</f>
        <v>0.1527</v>
      </c>
      <c r="AA1032" s="158" cm="1">
        <f t="array" ref="AA1032">_xlfn.SWITCH($N1032,"BDI 1",$P$6,"BDI 2",$P$7,"BDI 3",$P$8)</f>
        <v>0.1527</v>
      </c>
      <c r="AB1032" s="158">
        <f ca="1">IFERROR($S1032/_xlfn.XLOOKUP($AE1032,$B$16:$B$38,$S$16:$S$38),0)</f>
        <v>0</v>
      </c>
      <c r="AC1032" s="158">
        <f ca="1">IFERROR($T1032/_xlfn.XLOOKUP($AE1032,$B$16:$B$38,$T$16:$T$38),0)</f>
        <v>0</v>
      </c>
      <c r="AD1032" s="164"/>
      <c r="AE1032" s="148">
        <f t="shared" si="1709"/>
        <v>0</v>
      </c>
      <c r="AF1032" s="149"/>
      <c r="AG1032" s="150"/>
      <c r="AH1032" s="159" t="e">
        <f>+S1032/$S$961</f>
        <v>#DIV/0!</v>
      </c>
      <c r="AI1032" s="165" t="s">
        <v>101</v>
      </c>
      <c r="AJ1032" s="219"/>
      <c r="AK1032" s="219"/>
      <c r="AM1032" s="219"/>
      <c r="AN1032" s="219"/>
      <c r="AO1032" s="219"/>
      <c r="AP1032" s="219"/>
      <c r="AQ1032" s="219"/>
      <c r="AR1032" s="219"/>
    </row>
    <row r="1033" spans="1:44" s="220" customFormat="1" ht="40.15" hidden="1" customHeight="1">
      <c r="A1033" s="152">
        <f t="shared" ca="1" si="1710"/>
        <v>0</v>
      </c>
      <c r="B1033" s="153">
        <v>97115</v>
      </c>
      <c r="C1033" s="154" t="str">
        <f>TEXT(B1033,"0")</f>
        <v>97115</v>
      </c>
      <c r="D1033" s="154" t="s">
        <v>1416</v>
      </c>
      <c r="E1033" s="155" t="s">
        <v>3959</v>
      </c>
      <c r="F1033" s="154"/>
      <c r="G1033" s="154" t="s">
        <v>3802</v>
      </c>
      <c r="H1033" s="152">
        <v>56.64</v>
      </c>
      <c r="I1033" s="152">
        <v>56.06</v>
      </c>
      <c r="J1033" s="156"/>
      <c r="K1033" s="156"/>
      <c r="L1033" s="156">
        <f>IF($K1033&gt;$J1033,$K1033-$J1033,0)</f>
        <v>0</v>
      </c>
      <c r="M1033" s="156">
        <f>IF($K1033&lt;$J1033,$J1033-$K1033,0)</f>
        <v>0</v>
      </c>
      <c r="N1033" s="156" t="s">
        <v>83</v>
      </c>
      <c r="O1033" s="157" cm="1">
        <f t="array" ref="O1033">TRUNC($H1033*(1+_xlfn.SWITCH($N1033,"BDI 1",$O$6,"BDI 2",$O$7,"BDI 3",$O$8)),2)</f>
        <v>68.36</v>
      </c>
      <c r="P1033" s="157" cm="1">
        <f t="array" ref="P1033">TRUNC($I1033*(1+_xlfn.SWITCH($N1033,"BDI 1",$P$6,"BDI 2",$P$7,"BDI 3",$P$8)),2)</f>
        <v>71.05</v>
      </c>
      <c r="Q1033" s="157">
        <v>0</v>
      </c>
      <c r="R1033" s="157">
        <f>$Q1033-($Q1033*LICITACAO_DESCONTO)</f>
        <v>0</v>
      </c>
      <c r="S1033" s="156">
        <f>TRUNC($K1033*$O1033,2)</f>
        <v>0</v>
      </c>
      <c r="T1033" s="156">
        <f>TRUNC($K1033*$P1033,2)</f>
        <v>0</v>
      </c>
      <c r="U1033" s="156">
        <f>TRUNC($J1033*$R1033,2)</f>
        <v>0</v>
      </c>
      <c r="V1033" s="156">
        <f>TRUNC($K1033*$Q1033,2)</f>
        <v>0</v>
      </c>
      <c r="W1033" s="156">
        <f>TRUNC(V1033-U1033,2)</f>
        <v>0</v>
      </c>
      <c r="X1033" s="158">
        <f>$S1033/ORCAMENTO_VALOR_TOTAL_ND</f>
        <v>0</v>
      </c>
      <c r="Y1033" s="158">
        <f>$T1033/ORCAMENTO_VALOR_TOTAL_DE</f>
        <v>0</v>
      </c>
      <c r="Z1033" s="158" cm="1">
        <f t="array" ref="Z1033">_xlfn.SWITCH($N1033,"BDI 1",$O$6,"BDI 2",$O$7,"BDI 3",$O$8)</f>
        <v>0.20699999999999999</v>
      </c>
      <c r="AA1033" s="158" cm="1">
        <f t="array" ref="AA1033">_xlfn.SWITCH($N1033,"BDI 1",$P$6,"BDI 2",$P$7,"BDI 3",$P$8)</f>
        <v>0.26739999999999997</v>
      </c>
      <c r="AB1033" s="158">
        <f ca="1">IFERROR($S1033/_xlfn.XLOOKUP($AE1033,$B$16:$B$38,$S$16:$S$38),0)</f>
        <v>0</v>
      </c>
      <c r="AC1033" s="158">
        <f ca="1">IFERROR($T1033/_xlfn.XLOOKUP($AE1033,$B$16:$B$38,$T$16:$T$38),0)</f>
        <v>0</v>
      </c>
      <c r="AD1033" s="164"/>
      <c r="AE1033" s="148">
        <f t="shared" si="1709"/>
        <v>0</v>
      </c>
      <c r="AF1033" s="149"/>
      <c r="AG1033" s="150"/>
      <c r="AH1033" s="159" t="e">
        <f>+S1033/$S$961</f>
        <v>#DIV/0!</v>
      </c>
      <c r="AI1033" s="160"/>
      <c r="AJ1033" s="219"/>
      <c r="AK1033" s="219"/>
      <c r="AM1033" s="219"/>
      <c r="AN1033" s="219"/>
      <c r="AO1033" s="219"/>
      <c r="AP1033" s="219"/>
      <c r="AQ1033" s="219"/>
      <c r="AR1033" s="219"/>
    </row>
    <row r="1034" spans="1:44" s="49" customFormat="1" ht="40.15" hidden="1" customHeight="1">
      <c r="A1034" s="152">
        <f t="shared" ca="1" si="1710"/>
        <v>0</v>
      </c>
      <c r="B1034" s="153"/>
      <c r="C1034" s="154"/>
      <c r="D1034" s="154"/>
      <c r="E1034" s="161" t="s">
        <v>358</v>
      </c>
      <c r="F1034" s="154"/>
      <c r="G1034" s="154"/>
      <c r="H1034" s="152"/>
      <c r="I1034" s="152"/>
      <c r="J1034" s="154"/>
      <c r="K1034" s="154"/>
      <c r="L1034" s="154"/>
      <c r="M1034" s="154"/>
      <c r="N1034" s="154"/>
      <c r="O1034" s="162"/>
      <c r="P1034" s="162"/>
      <c r="Q1034" s="162"/>
      <c r="R1034" s="162"/>
      <c r="S1034" s="162"/>
      <c r="T1034" s="162"/>
      <c r="U1034" s="162"/>
      <c r="V1034" s="162"/>
      <c r="W1034" s="162"/>
      <c r="X1034" s="163"/>
      <c r="Y1034" s="163"/>
      <c r="Z1034" s="163"/>
      <c r="AA1034" s="163"/>
      <c r="AB1034" s="163"/>
      <c r="AC1034" s="163"/>
      <c r="AD1034" s="164"/>
      <c r="AE1034" s="148">
        <f t="shared" si="1709"/>
        <v>0</v>
      </c>
      <c r="AF1034" s="149"/>
      <c r="AG1034" s="150"/>
      <c r="AH1034" s="159"/>
      <c r="AI1034" s="160"/>
      <c r="AJ1034" s="105"/>
      <c r="AK1034" s="105"/>
      <c r="AM1034" s="105"/>
      <c r="AN1034" s="105"/>
      <c r="AO1034" s="105"/>
      <c r="AP1034" s="105"/>
      <c r="AQ1034" s="105"/>
      <c r="AR1034" s="105"/>
    </row>
    <row r="1035" spans="1:44" s="49" customFormat="1" ht="40.15" hidden="1" customHeight="1">
      <c r="A1035" s="152">
        <f t="shared" ca="1" si="1710"/>
        <v>0</v>
      </c>
      <c r="B1035" s="153"/>
      <c r="C1035" s="154"/>
      <c r="D1035" s="154"/>
      <c r="E1035" s="161" t="s">
        <v>359</v>
      </c>
      <c r="F1035" s="154"/>
      <c r="G1035" s="154"/>
      <c r="H1035" s="152"/>
      <c r="I1035" s="152"/>
      <c r="J1035" s="154"/>
      <c r="K1035" s="154"/>
      <c r="L1035" s="154"/>
      <c r="M1035" s="154"/>
      <c r="N1035" s="154"/>
      <c r="O1035" s="162"/>
      <c r="P1035" s="162"/>
      <c r="Q1035" s="162"/>
      <c r="R1035" s="162"/>
      <c r="S1035" s="162"/>
      <c r="T1035" s="162"/>
      <c r="U1035" s="162"/>
      <c r="V1035" s="162"/>
      <c r="W1035" s="162"/>
      <c r="X1035" s="163"/>
      <c r="Y1035" s="163"/>
      <c r="Z1035" s="163"/>
      <c r="AA1035" s="163"/>
      <c r="AB1035" s="163"/>
      <c r="AC1035" s="163"/>
      <c r="AD1035" s="164"/>
      <c r="AE1035" s="148">
        <f t="shared" si="1709"/>
        <v>0</v>
      </c>
      <c r="AF1035" s="149"/>
      <c r="AG1035" s="150"/>
      <c r="AH1035" s="159"/>
      <c r="AI1035" s="160"/>
      <c r="AJ1035" s="105"/>
      <c r="AK1035" s="105"/>
      <c r="AM1035" s="105"/>
      <c r="AN1035" s="105"/>
      <c r="AO1035" s="105"/>
      <c r="AP1035" s="105"/>
      <c r="AQ1035" s="105"/>
      <c r="AR1035" s="105"/>
    </row>
    <row r="1036" spans="1:44" s="220" customFormat="1" ht="40.15" hidden="1" customHeight="1">
      <c r="A1036" s="152">
        <f t="shared" ca="1" si="1710"/>
        <v>0</v>
      </c>
      <c r="B1036" s="153" t="s">
        <v>346</v>
      </c>
      <c r="C1036" s="154" t="str">
        <f t="shared" ref="C1036:C1042" si="1717">TEXT(B1036,"0")</f>
        <v>SEL-307</v>
      </c>
      <c r="D1036" s="154">
        <v>0</v>
      </c>
      <c r="E1036" s="155" t="s">
        <v>3766</v>
      </c>
      <c r="F1036" s="154"/>
      <c r="G1036" s="154">
        <v>0</v>
      </c>
      <c r="H1036" s="152">
        <v>0</v>
      </c>
      <c r="I1036" s="152">
        <v>0</v>
      </c>
      <c r="J1036" s="156"/>
      <c r="K1036" s="156"/>
      <c r="L1036" s="156">
        <f t="shared" ref="L1036:L1042" si="1718">IF($K1036&gt;$J1036,$K1036-$J1036,0)</f>
        <v>0</v>
      </c>
      <c r="M1036" s="156">
        <f t="shared" ref="M1036:M1042" si="1719">IF($K1036&lt;$J1036,$J1036-$K1036,0)</f>
        <v>0</v>
      </c>
      <c r="N1036" s="156" t="s">
        <v>83</v>
      </c>
      <c r="O1036" s="157" cm="1">
        <f t="array" ref="O1036">TRUNC($H1036*(1+_xlfn.SWITCH($N1036,"BDI 1",$O$6,"BDI 2",$O$7,"BDI 3",$O$8)),2)</f>
        <v>0</v>
      </c>
      <c r="P1036" s="157" cm="1">
        <f t="array" ref="P1036">TRUNC($I1036*(1+_xlfn.SWITCH($N1036,"BDI 1",$P$6,"BDI 2",$P$7,"BDI 3",$P$8)),2)</f>
        <v>0</v>
      </c>
      <c r="Q1036" s="157">
        <v>0</v>
      </c>
      <c r="R1036" s="157">
        <f t="shared" ref="R1036:R1042" si="1720">$Q1036-($Q1036*LICITACAO_DESCONTO)</f>
        <v>0</v>
      </c>
      <c r="S1036" s="156">
        <f t="shared" ref="S1036:S1042" si="1721">TRUNC($K1036*$O1036,2)</f>
        <v>0</v>
      </c>
      <c r="T1036" s="156">
        <f t="shared" ref="T1036:T1042" si="1722">TRUNC($K1036*$P1036,2)</f>
        <v>0</v>
      </c>
      <c r="U1036" s="156">
        <f t="shared" ref="U1036:U1042" si="1723">TRUNC($J1036*$R1036,2)</f>
        <v>0</v>
      </c>
      <c r="V1036" s="156">
        <f t="shared" ref="V1036:V1042" si="1724">TRUNC($K1036*$Q1036,2)</f>
        <v>0</v>
      </c>
      <c r="W1036" s="156">
        <f t="shared" ref="W1036:W1042" si="1725">TRUNC(V1036-U1036,2)</f>
        <v>0</v>
      </c>
      <c r="X1036" s="158">
        <f t="shared" ref="X1036" si="1726">$S1036/ORCAMENTO_VALOR_TOTAL_ND</f>
        <v>0</v>
      </c>
      <c r="Y1036" s="158">
        <f t="shared" ref="Y1036" si="1727">$T1036/ORCAMENTO_VALOR_TOTAL_DE</f>
        <v>0</v>
      </c>
      <c r="Z1036" s="158" cm="1">
        <f t="array" ref="Z1036">_xlfn.SWITCH($N1036,"BDI 1",$O$6,"BDI 2",$O$7,"BDI 3",$O$8)</f>
        <v>0.20699999999999999</v>
      </c>
      <c r="AA1036" s="158" cm="1">
        <f t="array" ref="AA1036">_xlfn.SWITCH($N1036,"BDI 1",$P$6,"BDI 2",$P$7,"BDI 3",$P$8)</f>
        <v>0.26739999999999997</v>
      </c>
      <c r="AB1036" s="158">
        <f t="shared" ref="AB1036:AB1042" ca="1" si="1728">IFERROR($S1036/_xlfn.XLOOKUP($AE1036,$B$16:$B$38,$S$16:$S$38),0)</f>
        <v>0</v>
      </c>
      <c r="AC1036" s="158">
        <f t="shared" ref="AC1036:AC1042" ca="1" si="1729">IFERROR($T1036/_xlfn.XLOOKUP($AE1036,$B$16:$B$38,$T$16:$T$38),0)</f>
        <v>0</v>
      </c>
      <c r="AD1036" s="164"/>
      <c r="AE1036" s="148">
        <f t="shared" si="1709"/>
        <v>0</v>
      </c>
      <c r="AF1036" s="149"/>
      <c r="AG1036" s="150"/>
      <c r="AH1036" s="159" t="e">
        <f t="shared" ref="AH1036:AH1042" si="1730">+S1036/$S$961</f>
        <v>#DIV/0!</v>
      </c>
      <c r="AI1036" s="160"/>
      <c r="AJ1036" s="184" t="e">
        <v>#N/A</v>
      </c>
      <c r="AK1036" s="183" t="e">
        <f>+K1036/AJ1036</f>
        <v>#N/A</v>
      </c>
      <c r="AM1036" s="219"/>
      <c r="AN1036" s="219"/>
      <c r="AO1036" s="219"/>
      <c r="AP1036" s="219"/>
      <c r="AQ1036" s="219">
        <f>K1036+K1051+K1065+K1073+K1080+K1093+K1109+K1114+K1125+K1151+K1162</f>
        <v>0</v>
      </c>
      <c r="AR1036" s="219"/>
    </row>
    <row r="1037" spans="1:44" s="220" customFormat="1" ht="40.15" hidden="1" customHeight="1">
      <c r="A1037" s="152">
        <f t="shared" ca="1" si="1710"/>
        <v>0</v>
      </c>
      <c r="B1037" s="153">
        <v>103673</v>
      </c>
      <c r="C1037" s="154" t="str">
        <f t="shared" si="1717"/>
        <v>103673</v>
      </c>
      <c r="D1037" s="154" t="s">
        <v>1416</v>
      </c>
      <c r="E1037" s="155" t="s">
        <v>3795</v>
      </c>
      <c r="F1037" s="154"/>
      <c r="G1037" s="154" t="s">
        <v>464</v>
      </c>
      <c r="H1037" s="152">
        <v>38.33</v>
      </c>
      <c r="I1037" s="152">
        <v>34.799999999999997</v>
      </c>
      <c r="J1037" s="156"/>
      <c r="K1037" s="156">
        <f>K1036</f>
        <v>0</v>
      </c>
      <c r="L1037" s="156">
        <f t="shared" si="1718"/>
        <v>0</v>
      </c>
      <c r="M1037" s="156">
        <f t="shared" si="1719"/>
        <v>0</v>
      </c>
      <c r="N1037" s="156" t="s">
        <v>83</v>
      </c>
      <c r="O1037" s="157" cm="1">
        <f t="array" ref="O1037">TRUNC($H1037*(1+_xlfn.SWITCH($N1037,"BDI 1",$O$6,"BDI 2",$O$7,"BDI 3",$O$8)),2)</f>
        <v>46.26</v>
      </c>
      <c r="P1037" s="157" cm="1">
        <f t="array" ref="P1037">TRUNC($I1037*(1+_xlfn.SWITCH($N1037,"BDI 1",$P$6,"BDI 2",$P$7,"BDI 3",$P$8)),2)</f>
        <v>44.1</v>
      </c>
      <c r="Q1037" s="157">
        <v>0</v>
      </c>
      <c r="R1037" s="157">
        <f t="shared" si="1720"/>
        <v>0</v>
      </c>
      <c r="S1037" s="156">
        <f t="shared" si="1721"/>
        <v>0</v>
      </c>
      <c r="T1037" s="156">
        <f t="shared" si="1722"/>
        <v>0</v>
      </c>
      <c r="U1037" s="156">
        <f t="shared" si="1723"/>
        <v>0</v>
      </c>
      <c r="V1037" s="156">
        <f t="shared" si="1724"/>
        <v>0</v>
      </c>
      <c r="W1037" s="156">
        <f t="shared" si="1725"/>
        <v>0</v>
      </c>
      <c r="X1037" s="158">
        <f t="shared" ref="X1037" si="1731">$S1037/ORCAMENTO_VALOR_TOTAL_ND</f>
        <v>0</v>
      </c>
      <c r="Y1037" s="158">
        <f t="shared" ref="Y1037" si="1732">$T1037/ORCAMENTO_VALOR_TOTAL_DE</f>
        <v>0</v>
      </c>
      <c r="Z1037" s="158" cm="1">
        <f t="array" ref="Z1037">_xlfn.SWITCH($N1037,"BDI 1",$O$6,"BDI 2",$O$7,"BDI 3",$O$8)</f>
        <v>0.20699999999999999</v>
      </c>
      <c r="AA1037" s="158" cm="1">
        <f t="array" ref="AA1037">_xlfn.SWITCH($N1037,"BDI 1",$P$6,"BDI 2",$P$7,"BDI 3",$P$8)</f>
        <v>0.26739999999999997</v>
      </c>
      <c r="AB1037" s="158">
        <f t="shared" ca="1" si="1728"/>
        <v>0</v>
      </c>
      <c r="AC1037" s="158">
        <f t="shared" ca="1" si="1729"/>
        <v>0</v>
      </c>
      <c r="AD1037" s="164"/>
      <c r="AE1037" s="148">
        <f t="shared" si="1709"/>
        <v>0</v>
      </c>
      <c r="AF1037" s="149"/>
      <c r="AG1037" s="150"/>
      <c r="AH1037" s="159" t="e">
        <f t="shared" si="1730"/>
        <v>#DIV/0!</v>
      </c>
      <c r="AI1037" s="165" t="s">
        <v>101</v>
      </c>
      <c r="AJ1037" s="219"/>
      <c r="AK1037" s="219"/>
      <c r="AM1037" s="219"/>
      <c r="AN1037" s="219"/>
      <c r="AO1037" s="219"/>
      <c r="AP1037" s="219"/>
      <c r="AQ1037" s="219"/>
      <c r="AR1037" s="219"/>
    </row>
    <row r="1038" spans="1:44" s="220" customFormat="1" ht="40.15" hidden="1" customHeight="1">
      <c r="A1038" s="152">
        <f t="shared" ca="1" si="1710"/>
        <v>0</v>
      </c>
      <c r="B1038" s="153">
        <v>96542</v>
      </c>
      <c r="C1038" s="154" t="str">
        <f t="shared" si="1717"/>
        <v>96542</v>
      </c>
      <c r="D1038" s="154" t="s">
        <v>1416</v>
      </c>
      <c r="E1038" s="155" t="s">
        <v>3953</v>
      </c>
      <c r="F1038" s="154"/>
      <c r="G1038" s="154" t="s">
        <v>1418</v>
      </c>
      <c r="H1038" s="152">
        <v>90.23</v>
      </c>
      <c r="I1038" s="152">
        <v>84.55</v>
      </c>
      <c r="J1038" s="156"/>
      <c r="K1038" s="156"/>
      <c r="L1038" s="156">
        <f t="shared" si="1718"/>
        <v>0</v>
      </c>
      <c r="M1038" s="156">
        <f t="shared" si="1719"/>
        <v>0</v>
      </c>
      <c r="N1038" s="156" t="s">
        <v>83</v>
      </c>
      <c r="O1038" s="157" cm="1">
        <f t="array" ref="O1038">TRUNC($H1038*(1+_xlfn.SWITCH($N1038,"BDI 1",$O$6,"BDI 2",$O$7,"BDI 3",$O$8)),2)</f>
        <v>108.9</v>
      </c>
      <c r="P1038" s="157" cm="1">
        <f t="array" ref="P1038">TRUNC($I1038*(1+_xlfn.SWITCH($N1038,"BDI 1",$P$6,"BDI 2",$P$7,"BDI 3",$P$8)),2)</f>
        <v>107.15</v>
      </c>
      <c r="Q1038" s="157">
        <v>0</v>
      </c>
      <c r="R1038" s="157">
        <f t="shared" si="1720"/>
        <v>0</v>
      </c>
      <c r="S1038" s="156">
        <f t="shared" si="1721"/>
        <v>0</v>
      </c>
      <c r="T1038" s="156">
        <f t="shared" si="1722"/>
        <v>0</v>
      </c>
      <c r="U1038" s="156">
        <f t="shared" si="1723"/>
        <v>0</v>
      </c>
      <c r="V1038" s="156">
        <f t="shared" si="1724"/>
        <v>0</v>
      </c>
      <c r="W1038" s="156">
        <f t="shared" si="1725"/>
        <v>0</v>
      </c>
      <c r="X1038" s="158">
        <f t="shared" ref="X1038" si="1733">$S1038/ORCAMENTO_VALOR_TOTAL_ND</f>
        <v>0</v>
      </c>
      <c r="Y1038" s="158">
        <f t="shared" ref="Y1038" si="1734">$T1038/ORCAMENTO_VALOR_TOTAL_DE</f>
        <v>0</v>
      </c>
      <c r="Z1038" s="158" cm="1">
        <f t="array" ref="Z1038">_xlfn.SWITCH($N1038,"BDI 1",$O$6,"BDI 2",$O$7,"BDI 3",$O$8)</f>
        <v>0.20699999999999999</v>
      </c>
      <c r="AA1038" s="158" cm="1">
        <f t="array" ref="AA1038">_xlfn.SWITCH($N1038,"BDI 1",$P$6,"BDI 2",$P$7,"BDI 3",$P$8)</f>
        <v>0.26739999999999997</v>
      </c>
      <c r="AB1038" s="158">
        <f t="shared" ca="1" si="1728"/>
        <v>0</v>
      </c>
      <c r="AC1038" s="158">
        <f t="shared" ca="1" si="1729"/>
        <v>0</v>
      </c>
      <c r="AD1038" s="164"/>
      <c r="AE1038" s="148">
        <f t="shared" si="1709"/>
        <v>0</v>
      </c>
      <c r="AF1038" s="149"/>
      <c r="AG1038" s="150"/>
      <c r="AH1038" s="159" t="e">
        <f t="shared" si="1730"/>
        <v>#DIV/0!</v>
      </c>
      <c r="AI1038" s="160"/>
      <c r="AJ1038" s="219"/>
      <c r="AK1038" s="219"/>
      <c r="AM1038" s="219"/>
      <c r="AN1038" s="219"/>
      <c r="AO1038" s="219"/>
      <c r="AP1038" s="219"/>
      <c r="AQ1038" s="219"/>
      <c r="AR1038" s="219"/>
    </row>
    <row r="1039" spans="1:44" s="220" customFormat="1" ht="40.15" hidden="1" customHeight="1">
      <c r="A1039" s="152">
        <f t="shared" ca="1" si="1710"/>
        <v>0</v>
      </c>
      <c r="B1039" s="153">
        <v>92769</v>
      </c>
      <c r="C1039" s="154" t="str">
        <f t="shared" si="1717"/>
        <v>92769</v>
      </c>
      <c r="D1039" s="154" t="s">
        <v>1416</v>
      </c>
      <c r="E1039" s="155" t="s">
        <v>3960</v>
      </c>
      <c r="F1039" s="154"/>
      <c r="G1039" s="154" t="s">
        <v>3802</v>
      </c>
      <c r="H1039" s="152">
        <v>13.15</v>
      </c>
      <c r="I1039" s="152">
        <v>12.82</v>
      </c>
      <c r="J1039" s="156"/>
      <c r="K1039" s="156"/>
      <c r="L1039" s="156">
        <f t="shared" si="1718"/>
        <v>0</v>
      </c>
      <c r="M1039" s="156">
        <f t="shared" si="1719"/>
        <v>0</v>
      </c>
      <c r="N1039" s="156" t="s">
        <v>83</v>
      </c>
      <c r="O1039" s="157" cm="1">
        <f t="array" ref="O1039">TRUNC($H1039*(1+_xlfn.SWITCH($N1039,"BDI 1",$O$6,"BDI 2",$O$7,"BDI 3",$O$8)),2)</f>
        <v>15.87</v>
      </c>
      <c r="P1039" s="157" cm="1">
        <f t="array" ref="P1039">TRUNC($I1039*(1+_xlfn.SWITCH($N1039,"BDI 1",$P$6,"BDI 2",$P$7,"BDI 3",$P$8)),2)</f>
        <v>16.239999999999998</v>
      </c>
      <c r="Q1039" s="157">
        <v>0</v>
      </c>
      <c r="R1039" s="157">
        <f t="shared" si="1720"/>
        <v>0</v>
      </c>
      <c r="S1039" s="156">
        <f t="shared" si="1721"/>
        <v>0</v>
      </c>
      <c r="T1039" s="156">
        <f t="shared" si="1722"/>
        <v>0</v>
      </c>
      <c r="U1039" s="156">
        <f t="shared" si="1723"/>
        <v>0</v>
      </c>
      <c r="V1039" s="156">
        <f t="shared" si="1724"/>
        <v>0</v>
      </c>
      <c r="W1039" s="156">
        <f t="shared" si="1725"/>
        <v>0</v>
      </c>
      <c r="X1039" s="158">
        <f t="shared" ref="X1039" si="1735">$S1039/ORCAMENTO_VALOR_TOTAL_ND</f>
        <v>0</v>
      </c>
      <c r="Y1039" s="158">
        <f t="shared" ref="Y1039" si="1736">$T1039/ORCAMENTO_VALOR_TOTAL_DE</f>
        <v>0</v>
      </c>
      <c r="Z1039" s="158" cm="1">
        <f t="array" ref="Z1039">_xlfn.SWITCH($N1039,"BDI 1",$O$6,"BDI 2",$O$7,"BDI 3",$O$8)</f>
        <v>0.20699999999999999</v>
      </c>
      <c r="AA1039" s="158" cm="1">
        <f t="array" ref="AA1039">_xlfn.SWITCH($N1039,"BDI 1",$P$6,"BDI 2",$P$7,"BDI 3",$P$8)</f>
        <v>0.26739999999999997</v>
      </c>
      <c r="AB1039" s="158">
        <f t="shared" ca="1" si="1728"/>
        <v>0</v>
      </c>
      <c r="AC1039" s="158">
        <f t="shared" ca="1" si="1729"/>
        <v>0</v>
      </c>
      <c r="AD1039" s="164"/>
      <c r="AE1039" s="148">
        <f t="shared" si="1709"/>
        <v>0</v>
      </c>
      <c r="AF1039" s="149"/>
      <c r="AG1039" s="150"/>
      <c r="AH1039" s="159" t="e">
        <f t="shared" si="1730"/>
        <v>#DIV/0!</v>
      </c>
      <c r="AI1039" s="160"/>
      <c r="AJ1039" s="219"/>
      <c r="AK1039" s="219"/>
      <c r="AM1039" s="219"/>
      <c r="AN1039" s="219"/>
      <c r="AO1039" s="219"/>
      <c r="AP1039" s="219"/>
      <c r="AQ1039" s="219"/>
      <c r="AR1039" s="219"/>
    </row>
    <row r="1040" spans="1:44" s="220" customFormat="1" ht="40.15" hidden="1" customHeight="1">
      <c r="A1040" s="152">
        <f t="shared" ca="1" si="1710"/>
        <v>0</v>
      </c>
      <c r="B1040" s="153">
        <v>92770</v>
      </c>
      <c r="C1040" s="154" t="str">
        <f t="shared" si="1717"/>
        <v>92770</v>
      </c>
      <c r="D1040" s="154" t="s">
        <v>1416</v>
      </c>
      <c r="E1040" s="155" t="s">
        <v>3956</v>
      </c>
      <c r="F1040" s="154"/>
      <c r="G1040" s="154" t="s">
        <v>3802</v>
      </c>
      <c r="H1040" s="152">
        <v>12.49</v>
      </c>
      <c r="I1040" s="152">
        <v>12.25</v>
      </c>
      <c r="J1040" s="156"/>
      <c r="K1040" s="156"/>
      <c r="L1040" s="156">
        <f t="shared" si="1718"/>
        <v>0</v>
      </c>
      <c r="M1040" s="156">
        <f t="shared" si="1719"/>
        <v>0</v>
      </c>
      <c r="N1040" s="156" t="s">
        <v>83</v>
      </c>
      <c r="O1040" s="157" cm="1">
        <f t="array" ref="O1040">TRUNC($H1040*(1+_xlfn.SWITCH($N1040,"BDI 1",$O$6,"BDI 2",$O$7,"BDI 3",$O$8)),2)</f>
        <v>15.07</v>
      </c>
      <c r="P1040" s="157" cm="1">
        <f t="array" ref="P1040">TRUNC($I1040*(1+_xlfn.SWITCH($N1040,"BDI 1",$P$6,"BDI 2",$P$7,"BDI 3",$P$8)),2)</f>
        <v>15.52</v>
      </c>
      <c r="Q1040" s="157">
        <v>0</v>
      </c>
      <c r="R1040" s="157">
        <f t="shared" si="1720"/>
        <v>0</v>
      </c>
      <c r="S1040" s="156">
        <f t="shared" si="1721"/>
        <v>0</v>
      </c>
      <c r="T1040" s="156">
        <f t="shared" si="1722"/>
        <v>0</v>
      </c>
      <c r="U1040" s="156">
        <f t="shared" si="1723"/>
        <v>0</v>
      </c>
      <c r="V1040" s="156">
        <f t="shared" si="1724"/>
        <v>0</v>
      </c>
      <c r="W1040" s="156">
        <f t="shared" si="1725"/>
        <v>0</v>
      </c>
      <c r="X1040" s="158">
        <f t="shared" ref="X1040" si="1737">$S1040/ORCAMENTO_VALOR_TOTAL_ND</f>
        <v>0</v>
      </c>
      <c r="Y1040" s="158">
        <f t="shared" ref="Y1040" si="1738">$T1040/ORCAMENTO_VALOR_TOTAL_DE</f>
        <v>0</v>
      </c>
      <c r="Z1040" s="158" cm="1">
        <f t="array" ref="Z1040">_xlfn.SWITCH($N1040,"BDI 1",$O$6,"BDI 2",$O$7,"BDI 3",$O$8)</f>
        <v>0.20699999999999999</v>
      </c>
      <c r="AA1040" s="158" cm="1">
        <f t="array" ref="AA1040">_xlfn.SWITCH($N1040,"BDI 1",$P$6,"BDI 2",$P$7,"BDI 3",$P$8)</f>
        <v>0.26739999999999997</v>
      </c>
      <c r="AB1040" s="158">
        <f t="shared" ca="1" si="1728"/>
        <v>0</v>
      </c>
      <c r="AC1040" s="158">
        <f t="shared" ca="1" si="1729"/>
        <v>0</v>
      </c>
      <c r="AD1040" s="164"/>
      <c r="AE1040" s="148">
        <f t="shared" si="1709"/>
        <v>0</v>
      </c>
      <c r="AF1040" s="149"/>
      <c r="AG1040" s="150"/>
      <c r="AH1040" s="159" t="e">
        <f t="shared" si="1730"/>
        <v>#DIV/0!</v>
      </c>
      <c r="AI1040" s="165" t="s">
        <v>101</v>
      </c>
      <c r="AJ1040" s="219"/>
      <c r="AK1040" s="219"/>
      <c r="AM1040" s="219"/>
      <c r="AN1040" s="219"/>
      <c r="AO1040" s="219"/>
      <c r="AP1040" s="219"/>
      <c r="AQ1040" s="219"/>
      <c r="AR1040" s="219"/>
    </row>
    <row r="1041" spans="1:44" s="220" customFormat="1" ht="40.15" hidden="1" customHeight="1">
      <c r="A1041" s="152">
        <f t="shared" ca="1" si="1710"/>
        <v>0</v>
      </c>
      <c r="B1041" s="153" t="s">
        <v>287</v>
      </c>
      <c r="C1041" s="154" t="str">
        <f t="shared" si="1717"/>
        <v>PA/0023</v>
      </c>
      <c r="D1041" s="154" t="s">
        <v>3549</v>
      </c>
      <c r="E1041" s="155" t="s">
        <v>3539</v>
      </c>
      <c r="F1041" s="154"/>
      <c r="G1041" s="154" t="s">
        <v>1418</v>
      </c>
      <c r="H1041" s="152">
        <v>2.37</v>
      </c>
      <c r="I1041" s="152">
        <v>2.33</v>
      </c>
      <c r="J1041" s="156"/>
      <c r="K1041" s="156"/>
      <c r="L1041" s="156">
        <f t="shared" si="1718"/>
        <v>0</v>
      </c>
      <c r="M1041" s="156">
        <f t="shared" si="1719"/>
        <v>0</v>
      </c>
      <c r="N1041" s="156" t="s">
        <v>83</v>
      </c>
      <c r="O1041" s="157" cm="1">
        <f t="array" ref="O1041">TRUNC($H1041*(1+_xlfn.SWITCH($N1041,"BDI 1",$O$6,"BDI 2",$O$7,"BDI 3",$O$8)),2)</f>
        <v>2.86</v>
      </c>
      <c r="P1041" s="157" cm="1">
        <f t="array" ref="P1041">TRUNC($I1041*(1+_xlfn.SWITCH($N1041,"BDI 1",$P$6,"BDI 2",$P$7,"BDI 3",$P$8)),2)</f>
        <v>2.95</v>
      </c>
      <c r="Q1041" s="157">
        <v>0</v>
      </c>
      <c r="R1041" s="157">
        <f t="shared" si="1720"/>
        <v>0</v>
      </c>
      <c r="S1041" s="156">
        <f t="shared" si="1721"/>
        <v>0</v>
      </c>
      <c r="T1041" s="156">
        <f t="shared" si="1722"/>
        <v>0</v>
      </c>
      <c r="U1041" s="156">
        <f t="shared" si="1723"/>
        <v>0</v>
      </c>
      <c r="V1041" s="156">
        <f t="shared" si="1724"/>
        <v>0</v>
      </c>
      <c r="W1041" s="156">
        <f t="shared" si="1725"/>
        <v>0</v>
      </c>
      <c r="X1041" s="158">
        <f t="shared" ref="X1041" si="1739">$S1041/ORCAMENTO_VALOR_TOTAL_ND</f>
        <v>0</v>
      </c>
      <c r="Y1041" s="158">
        <f t="shared" ref="Y1041" si="1740">$T1041/ORCAMENTO_VALOR_TOTAL_DE</f>
        <v>0</v>
      </c>
      <c r="Z1041" s="158" cm="1">
        <f t="array" ref="Z1041">_xlfn.SWITCH($N1041,"BDI 1",$O$6,"BDI 2",$O$7,"BDI 3",$O$8)</f>
        <v>0.20699999999999999</v>
      </c>
      <c r="AA1041" s="158" cm="1">
        <f t="array" ref="AA1041">_xlfn.SWITCH($N1041,"BDI 1",$P$6,"BDI 2",$P$7,"BDI 3",$P$8)</f>
        <v>0.26739999999999997</v>
      </c>
      <c r="AB1041" s="158">
        <f t="shared" ca="1" si="1728"/>
        <v>0</v>
      </c>
      <c r="AC1041" s="158">
        <f t="shared" ca="1" si="1729"/>
        <v>0</v>
      </c>
      <c r="AD1041" s="164"/>
      <c r="AE1041" s="148">
        <f t="shared" si="1709"/>
        <v>0</v>
      </c>
      <c r="AF1041" s="149"/>
      <c r="AG1041" s="150"/>
      <c r="AH1041" s="159" t="e">
        <f t="shared" si="1730"/>
        <v>#DIV/0!</v>
      </c>
      <c r="AI1041" s="160"/>
      <c r="AJ1041" s="219"/>
      <c r="AK1041" s="219"/>
      <c r="AM1041" s="219"/>
      <c r="AN1041" s="219"/>
      <c r="AO1041" s="219"/>
      <c r="AP1041" s="219"/>
      <c r="AQ1041" s="219"/>
      <c r="AR1041" s="219"/>
    </row>
    <row r="1042" spans="1:44" s="220" customFormat="1" ht="49.9" hidden="1" customHeight="1">
      <c r="A1042" s="152">
        <f t="shared" ca="1" si="1710"/>
        <v>0</v>
      </c>
      <c r="B1042" s="153" t="s">
        <v>252</v>
      </c>
      <c r="C1042" s="154" t="str">
        <f t="shared" si="1717"/>
        <v>PA/0040</v>
      </c>
      <c r="D1042" s="154" t="s">
        <v>3549</v>
      </c>
      <c r="E1042" s="155" t="s">
        <v>3875</v>
      </c>
      <c r="F1042" s="154"/>
      <c r="G1042" s="154" t="s">
        <v>464</v>
      </c>
      <c r="H1042" s="152">
        <v>1628.68</v>
      </c>
      <c r="I1042" s="152">
        <v>1625.69</v>
      </c>
      <c r="J1042" s="156"/>
      <c r="K1042" s="156"/>
      <c r="L1042" s="156">
        <f t="shared" si="1718"/>
        <v>0</v>
      </c>
      <c r="M1042" s="156">
        <f t="shared" si="1719"/>
        <v>0</v>
      </c>
      <c r="N1042" s="156" t="s">
        <v>83</v>
      </c>
      <c r="O1042" s="157" cm="1">
        <f t="array" ref="O1042">TRUNC($H1042*(1+_xlfn.SWITCH($N1042,"BDI 1",$O$6,"BDI 2",$O$7,"BDI 3",$O$8)),2)</f>
        <v>1965.81</v>
      </c>
      <c r="P1042" s="157" cm="1">
        <f t="array" ref="P1042">TRUNC($I1042*(1+_xlfn.SWITCH($N1042,"BDI 1",$P$6,"BDI 2",$P$7,"BDI 3",$P$8)),2)</f>
        <v>2060.39</v>
      </c>
      <c r="Q1042" s="157">
        <v>0</v>
      </c>
      <c r="R1042" s="157">
        <f t="shared" si="1720"/>
        <v>0</v>
      </c>
      <c r="S1042" s="156">
        <f t="shared" si="1721"/>
        <v>0</v>
      </c>
      <c r="T1042" s="156">
        <f t="shared" si="1722"/>
        <v>0</v>
      </c>
      <c r="U1042" s="156">
        <f t="shared" si="1723"/>
        <v>0</v>
      </c>
      <c r="V1042" s="156">
        <f t="shared" si="1724"/>
        <v>0</v>
      </c>
      <c r="W1042" s="156">
        <f t="shared" si="1725"/>
        <v>0</v>
      </c>
      <c r="X1042" s="158">
        <f t="shared" ref="X1042" si="1741">$S1042/ORCAMENTO_VALOR_TOTAL_ND</f>
        <v>0</v>
      </c>
      <c r="Y1042" s="158">
        <f t="shared" ref="Y1042" si="1742">$T1042/ORCAMENTO_VALOR_TOTAL_DE</f>
        <v>0</v>
      </c>
      <c r="Z1042" s="158" cm="1">
        <f t="array" ref="Z1042">_xlfn.SWITCH($N1042,"BDI 1",$O$6,"BDI 2",$O$7,"BDI 3",$O$8)</f>
        <v>0.20699999999999999</v>
      </c>
      <c r="AA1042" s="158" cm="1">
        <f t="array" ref="AA1042">_xlfn.SWITCH($N1042,"BDI 1",$P$6,"BDI 2",$P$7,"BDI 3",$P$8)</f>
        <v>0.26739999999999997</v>
      </c>
      <c r="AB1042" s="158">
        <f t="shared" ca="1" si="1728"/>
        <v>0</v>
      </c>
      <c r="AC1042" s="158">
        <f t="shared" ca="1" si="1729"/>
        <v>0</v>
      </c>
      <c r="AD1042" s="164"/>
      <c r="AE1042" s="148">
        <f t="shared" si="1709"/>
        <v>0</v>
      </c>
      <c r="AF1042" s="149"/>
      <c r="AG1042" s="150"/>
      <c r="AH1042" s="159" t="e">
        <f t="shared" si="1730"/>
        <v>#DIV/0!</v>
      </c>
      <c r="AI1042" s="165" t="s">
        <v>101</v>
      </c>
      <c r="AJ1042" s="219"/>
      <c r="AK1042" s="219"/>
      <c r="AM1042" s="219"/>
      <c r="AN1042" s="219"/>
      <c r="AO1042" s="219"/>
      <c r="AP1042" s="219"/>
      <c r="AQ1042" s="219"/>
      <c r="AR1042" s="219"/>
    </row>
    <row r="1043" spans="1:44" s="49" customFormat="1" ht="40.15" hidden="1" customHeight="1">
      <c r="A1043" s="152">
        <f t="shared" ca="1" si="1710"/>
        <v>0</v>
      </c>
      <c r="B1043" s="153"/>
      <c r="C1043" s="154"/>
      <c r="D1043" s="154"/>
      <c r="E1043" s="161" t="s">
        <v>360</v>
      </c>
      <c r="F1043" s="154"/>
      <c r="G1043" s="154"/>
      <c r="H1043" s="152"/>
      <c r="I1043" s="152"/>
      <c r="J1043" s="154"/>
      <c r="K1043" s="154"/>
      <c r="L1043" s="154"/>
      <c r="M1043" s="154"/>
      <c r="N1043" s="154"/>
      <c r="O1043" s="162"/>
      <c r="P1043" s="162"/>
      <c r="Q1043" s="162"/>
      <c r="R1043" s="162"/>
      <c r="S1043" s="162"/>
      <c r="T1043" s="162"/>
      <c r="U1043" s="162"/>
      <c r="V1043" s="162"/>
      <c r="W1043" s="162"/>
      <c r="X1043" s="163"/>
      <c r="Y1043" s="163"/>
      <c r="Z1043" s="163"/>
      <c r="AA1043" s="163"/>
      <c r="AB1043" s="163"/>
      <c r="AC1043" s="163"/>
      <c r="AD1043" s="164"/>
      <c r="AE1043" s="148">
        <f t="shared" si="1709"/>
        <v>0</v>
      </c>
      <c r="AF1043" s="149"/>
      <c r="AG1043" s="150"/>
      <c r="AH1043" s="159"/>
      <c r="AI1043" s="160"/>
      <c r="AJ1043" s="105"/>
      <c r="AK1043" s="105"/>
      <c r="AM1043" s="105"/>
      <c r="AN1043" s="105"/>
      <c r="AO1043" s="105"/>
      <c r="AP1043" s="105"/>
      <c r="AQ1043" s="105"/>
      <c r="AR1043" s="105"/>
    </row>
    <row r="1044" spans="1:44" s="220" customFormat="1" ht="40.15" hidden="1" customHeight="1">
      <c r="A1044" s="152">
        <f t="shared" ca="1" si="1710"/>
        <v>0</v>
      </c>
      <c r="B1044" s="153">
        <v>94972</v>
      </c>
      <c r="C1044" s="154" t="str">
        <f t="shared" ref="C1044:C1051" si="1743">TEXT(B1044,"0")</f>
        <v>94972</v>
      </c>
      <c r="D1044" s="154" t="s">
        <v>1416</v>
      </c>
      <c r="E1044" s="155" t="s">
        <v>3952</v>
      </c>
      <c r="F1044" s="154"/>
      <c r="G1044" s="154" t="s">
        <v>464</v>
      </c>
      <c r="H1044" s="152">
        <v>500.26</v>
      </c>
      <c r="I1044" s="152">
        <v>499.21</v>
      </c>
      <c r="J1044" s="156"/>
      <c r="K1044" s="156"/>
      <c r="L1044" s="156">
        <f t="shared" ref="L1044:L1051" si="1744">IF($K1044&gt;$J1044,$K1044-$J1044,0)</f>
        <v>0</v>
      </c>
      <c r="M1044" s="156">
        <f t="shared" ref="M1044:M1051" si="1745">IF($K1044&lt;$J1044,$J1044-$K1044,0)</f>
        <v>0</v>
      </c>
      <c r="N1044" s="156" t="s">
        <v>83</v>
      </c>
      <c r="O1044" s="157" cm="1">
        <f t="array" ref="O1044">TRUNC($H1044*(1+_xlfn.SWITCH($N1044,"BDI 1",$O$6,"BDI 2",$O$7,"BDI 3",$O$8)),2)</f>
        <v>603.80999999999995</v>
      </c>
      <c r="P1044" s="157" cm="1">
        <f t="array" ref="P1044">TRUNC($I1044*(1+_xlfn.SWITCH($N1044,"BDI 1",$P$6,"BDI 2",$P$7,"BDI 3",$P$8)),2)</f>
        <v>632.69000000000005</v>
      </c>
      <c r="Q1044" s="157">
        <v>0</v>
      </c>
      <c r="R1044" s="157">
        <f t="shared" ref="R1044:R1051" si="1746">$Q1044-($Q1044*LICITACAO_DESCONTO)</f>
        <v>0</v>
      </c>
      <c r="S1044" s="156">
        <f t="shared" ref="S1044:S1051" si="1747">TRUNC($K1044*$O1044,2)</f>
        <v>0</v>
      </c>
      <c r="T1044" s="156">
        <f t="shared" ref="T1044:T1051" si="1748">TRUNC($K1044*$P1044,2)</f>
        <v>0</v>
      </c>
      <c r="U1044" s="156">
        <f t="shared" ref="U1044:U1051" si="1749">TRUNC($J1044*$R1044,2)</f>
        <v>0</v>
      </c>
      <c r="V1044" s="156">
        <f t="shared" ref="V1044:V1051" si="1750">TRUNC($K1044*$Q1044,2)</f>
        <v>0</v>
      </c>
      <c r="W1044" s="156">
        <f t="shared" ref="W1044:W1051" si="1751">TRUNC(V1044-U1044,2)</f>
        <v>0</v>
      </c>
      <c r="X1044" s="158">
        <f t="shared" ref="X1044" si="1752">$S1044/ORCAMENTO_VALOR_TOTAL_ND</f>
        <v>0</v>
      </c>
      <c r="Y1044" s="158">
        <f t="shared" ref="Y1044" si="1753">$T1044/ORCAMENTO_VALOR_TOTAL_DE</f>
        <v>0</v>
      </c>
      <c r="Z1044" s="158" cm="1">
        <f t="array" ref="Z1044">_xlfn.SWITCH($N1044,"BDI 1",$O$6,"BDI 2",$O$7,"BDI 3",$O$8)</f>
        <v>0.20699999999999999</v>
      </c>
      <c r="AA1044" s="158" cm="1">
        <f t="array" ref="AA1044">_xlfn.SWITCH($N1044,"BDI 1",$P$6,"BDI 2",$P$7,"BDI 3",$P$8)</f>
        <v>0.26739999999999997</v>
      </c>
      <c r="AB1044" s="158">
        <f t="shared" ref="AB1044:AB1051" ca="1" si="1754">IFERROR($S1044/_xlfn.XLOOKUP($AE1044,$B$16:$B$38,$S$16:$S$38),0)</f>
        <v>0</v>
      </c>
      <c r="AC1044" s="158">
        <f t="shared" ref="AC1044:AC1051" ca="1" si="1755">IFERROR($T1044/_xlfn.XLOOKUP($AE1044,$B$16:$B$38,$T$16:$T$38),0)</f>
        <v>0</v>
      </c>
      <c r="AD1044" s="164"/>
      <c r="AE1044" s="148">
        <f t="shared" si="1709"/>
        <v>0</v>
      </c>
      <c r="AF1044" s="149"/>
      <c r="AG1044" s="150"/>
      <c r="AH1044" s="159" t="e">
        <f t="shared" ref="AH1044:AH1051" si="1756">+S1044/$S$961</f>
        <v>#DIV/0!</v>
      </c>
      <c r="AI1044" s="160"/>
      <c r="AJ1044" s="219"/>
      <c r="AK1044" s="219"/>
      <c r="AM1044" s="219"/>
      <c r="AN1044" s="219"/>
      <c r="AO1044" s="219"/>
      <c r="AP1044" s="219"/>
      <c r="AQ1044" s="219"/>
      <c r="AR1044" s="219"/>
    </row>
    <row r="1045" spans="1:44" s="220" customFormat="1" ht="40.15" hidden="1" customHeight="1">
      <c r="A1045" s="152">
        <f t="shared" ca="1" si="1710"/>
        <v>0</v>
      </c>
      <c r="B1045" s="153">
        <v>103670</v>
      </c>
      <c r="C1045" s="154" t="str">
        <f t="shared" si="1743"/>
        <v>103670</v>
      </c>
      <c r="D1045" s="154" t="s">
        <v>1416</v>
      </c>
      <c r="E1045" s="155" t="s">
        <v>3792</v>
      </c>
      <c r="F1045" s="154"/>
      <c r="G1045" s="154" t="s">
        <v>464</v>
      </c>
      <c r="H1045" s="152">
        <v>272.37</v>
      </c>
      <c r="I1045" s="152">
        <v>247.05</v>
      </c>
      <c r="J1045" s="156"/>
      <c r="K1045" s="156">
        <f>K1044</f>
        <v>0</v>
      </c>
      <c r="L1045" s="156">
        <f t="shared" si="1744"/>
        <v>0</v>
      </c>
      <c r="M1045" s="156">
        <f t="shared" si="1745"/>
        <v>0</v>
      </c>
      <c r="N1045" s="156" t="s">
        <v>83</v>
      </c>
      <c r="O1045" s="157" cm="1">
        <f t="array" ref="O1045">TRUNC($H1045*(1+_xlfn.SWITCH($N1045,"BDI 1",$O$6,"BDI 2",$O$7,"BDI 3",$O$8)),2)</f>
        <v>328.75</v>
      </c>
      <c r="P1045" s="157" cm="1">
        <f t="array" ref="P1045">TRUNC($I1045*(1+_xlfn.SWITCH($N1045,"BDI 1",$P$6,"BDI 2",$P$7,"BDI 3",$P$8)),2)</f>
        <v>313.11</v>
      </c>
      <c r="Q1045" s="157">
        <v>0</v>
      </c>
      <c r="R1045" s="157">
        <f t="shared" si="1746"/>
        <v>0</v>
      </c>
      <c r="S1045" s="156">
        <f t="shared" si="1747"/>
        <v>0</v>
      </c>
      <c r="T1045" s="156">
        <f t="shared" si="1748"/>
        <v>0</v>
      </c>
      <c r="U1045" s="156">
        <f t="shared" si="1749"/>
        <v>0</v>
      </c>
      <c r="V1045" s="156">
        <f t="shared" si="1750"/>
        <v>0</v>
      </c>
      <c r="W1045" s="156">
        <f t="shared" si="1751"/>
        <v>0</v>
      </c>
      <c r="X1045" s="158">
        <f t="shared" ref="X1045" si="1757">$S1045/ORCAMENTO_VALOR_TOTAL_ND</f>
        <v>0</v>
      </c>
      <c r="Y1045" s="158">
        <f t="shared" ref="Y1045" si="1758">$T1045/ORCAMENTO_VALOR_TOTAL_DE</f>
        <v>0</v>
      </c>
      <c r="Z1045" s="158" cm="1">
        <f t="array" ref="Z1045">_xlfn.SWITCH($N1045,"BDI 1",$O$6,"BDI 2",$O$7,"BDI 3",$O$8)</f>
        <v>0.20699999999999999</v>
      </c>
      <c r="AA1045" s="158" cm="1">
        <f t="array" ref="AA1045">_xlfn.SWITCH($N1045,"BDI 1",$P$6,"BDI 2",$P$7,"BDI 3",$P$8)</f>
        <v>0.26739999999999997</v>
      </c>
      <c r="AB1045" s="158">
        <f t="shared" ca="1" si="1754"/>
        <v>0</v>
      </c>
      <c r="AC1045" s="158">
        <f t="shared" ca="1" si="1755"/>
        <v>0</v>
      </c>
      <c r="AD1045" s="164"/>
      <c r="AE1045" s="148">
        <f t="shared" si="1709"/>
        <v>0</v>
      </c>
      <c r="AF1045" s="149"/>
      <c r="AG1045" s="150"/>
      <c r="AH1045" s="159" t="e">
        <f t="shared" si="1756"/>
        <v>#DIV/0!</v>
      </c>
      <c r="AI1045" s="160"/>
      <c r="AJ1045" s="219"/>
      <c r="AK1045" s="219"/>
      <c r="AM1045" s="219"/>
      <c r="AN1045" s="219"/>
      <c r="AO1045" s="219"/>
      <c r="AP1045" s="219"/>
      <c r="AQ1045" s="219"/>
      <c r="AR1045" s="219"/>
    </row>
    <row r="1046" spans="1:44" s="220" customFormat="1" ht="40.15" hidden="1" customHeight="1">
      <c r="A1046" s="152">
        <f t="shared" ca="1" si="1710"/>
        <v>0</v>
      </c>
      <c r="B1046" s="153">
        <v>96536</v>
      </c>
      <c r="C1046" s="154" t="str">
        <f t="shared" si="1743"/>
        <v>96536</v>
      </c>
      <c r="D1046" s="154" t="s">
        <v>1416</v>
      </c>
      <c r="E1046" s="155" t="s">
        <v>3955</v>
      </c>
      <c r="F1046" s="154"/>
      <c r="G1046" s="154" t="s">
        <v>1418</v>
      </c>
      <c r="H1046" s="152">
        <v>61.52</v>
      </c>
      <c r="I1046" s="152">
        <v>57.93</v>
      </c>
      <c r="J1046" s="156"/>
      <c r="K1046" s="156"/>
      <c r="L1046" s="156">
        <f t="shared" si="1744"/>
        <v>0</v>
      </c>
      <c r="M1046" s="156">
        <f t="shared" si="1745"/>
        <v>0</v>
      </c>
      <c r="N1046" s="156" t="s">
        <v>83</v>
      </c>
      <c r="O1046" s="157" cm="1">
        <f t="array" ref="O1046">TRUNC($H1046*(1+_xlfn.SWITCH($N1046,"BDI 1",$O$6,"BDI 2",$O$7,"BDI 3",$O$8)),2)</f>
        <v>74.25</v>
      </c>
      <c r="P1046" s="157" cm="1">
        <f t="array" ref="P1046">TRUNC($I1046*(1+_xlfn.SWITCH($N1046,"BDI 1",$P$6,"BDI 2",$P$7,"BDI 3",$P$8)),2)</f>
        <v>73.42</v>
      </c>
      <c r="Q1046" s="157">
        <v>0</v>
      </c>
      <c r="R1046" s="157">
        <f t="shared" si="1746"/>
        <v>0</v>
      </c>
      <c r="S1046" s="156">
        <f t="shared" si="1747"/>
        <v>0</v>
      </c>
      <c r="T1046" s="156">
        <f t="shared" si="1748"/>
        <v>0</v>
      </c>
      <c r="U1046" s="156">
        <f t="shared" si="1749"/>
        <v>0</v>
      </c>
      <c r="V1046" s="156">
        <f t="shared" si="1750"/>
        <v>0</v>
      </c>
      <c r="W1046" s="156">
        <f t="shared" si="1751"/>
        <v>0</v>
      </c>
      <c r="X1046" s="158">
        <f t="shared" ref="X1046" si="1759">$S1046/ORCAMENTO_VALOR_TOTAL_ND</f>
        <v>0</v>
      </c>
      <c r="Y1046" s="158">
        <f t="shared" ref="Y1046" si="1760">$T1046/ORCAMENTO_VALOR_TOTAL_DE</f>
        <v>0</v>
      </c>
      <c r="Z1046" s="158" cm="1">
        <f t="array" ref="Z1046">_xlfn.SWITCH($N1046,"BDI 1",$O$6,"BDI 2",$O$7,"BDI 3",$O$8)</f>
        <v>0.20699999999999999</v>
      </c>
      <c r="AA1046" s="158" cm="1">
        <f t="array" ref="AA1046">_xlfn.SWITCH($N1046,"BDI 1",$P$6,"BDI 2",$P$7,"BDI 3",$P$8)</f>
        <v>0.26739999999999997</v>
      </c>
      <c r="AB1046" s="158">
        <f t="shared" ca="1" si="1754"/>
        <v>0</v>
      </c>
      <c r="AC1046" s="158">
        <f t="shared" ca="1" si="1755"/>
        <v>0</v>
      </c>
      <c r="AD1046" s="164"/>
      <c r="AE1046" s="148">
        <f t="shared" si="1709"/>
        <v>0</v>
      </c>
      <c r="AF1046" s="149"/>
      <c r="AG1046" s="150"/>
      <c r="AH1046" s="159" t="e">
        <f t="shared" si="1756"/>
        <v>#DIV/0!</v>
      </c>
      <c r="AI1046" s="165" t="s">
        <v>101</v>
      </c>
      <c r="AJ1046" s="219"/>
      <c r="AK1046" s="219"/>
      <c r="AM1046" s="219"/>
      <c r="AN1046" s="219"/>
      <c r="AO1046" s="219"/>
      <c r="AP1046" s="219"/>
      <c r="AQ1046" s="219"/>
      <c r="AR1046" s="219"/>
    </row>
    <row r="1047" spans="1:44" s="220" customFormat="1" ht="40.15" hidden="1" customHeight="1">
      <c r="A1047" s="152">
        <f t="shared" ca="1" si="1710"/>
        <v>0</v>
      </c>
      <c r="B1047" s="153">
        <v>92760</v>
      </c>
      <c r="C1047" s="154" t="str">
        <f t="shared" si="1743"/>
        <v>92760</v>
      </c>
      <c r="D1047" s="154" t="s">
        <v>1416</v>
      </c>
      <c r="E1047" s="155" t="s">
        <v>3948</v>
      </c>
      <c r="F1047" s="154"/>
      <c r="G1047" s="154" t="s">
        <v>3802</v>
      </c>
      <c r="H1047" s="152">
        <v>13.61</v>
      </c>
      <c r="I1047" s="152">
        <v>13.23</v>
      </c>
      <c r="J1047" s="156"/>
      <c r="K1047" s="156"/>
      <c r="L1047" s="156">
        <f t="shared" si="1744"/>
        <v>0</v>
      </c>
      <c r="M1047" s="156">
        <f t="shared" si="1745"/>
        <v>0</v>
      </c>
      <c r="N1047" s="156" t="s">
        <v>83</v>
      </c>
      <c r="O1047" s="157" cm="1">
        <f t="array" ref="O1047">TRUNC($H1047*(1+_xlfn.SWITCH($N1047,"BDI 1",$O$6,"BDI 2",$O$7,"BDI 3",$O$8)),2)</f>
        <v>16.420000000000002</v>
      </c>
      <c r="P1047" s="157" cm="1">
        <f t="array" ref="P1047">TRUNC($I1047*(1+_xlfn.SWITCH($N1047,"BDI 1",$P$6,"BDI 2",$P$7,"BDI 3",$P$8)),2)</f>
        <v>16.760000000000002</v>
      </c>
      <c r="Q1047" s="157">
        <v>0</v>
      </c>
      <c r="R1047" s="157">
        <f t="shared" si="1746"/>
        <v>0</v>
      </c>
      <c r="S1047" s="156">
        <f t="shared" si="1747"/>
        <v>0</v>
      </c>
      <c r="T1047" s="156">
        <f t="shared" si="1748"/>
        <v>0</v>
      </c>
      <c r="U1047" s="156">
        <f t="shared" si="1749"/>
        <v>0</v>
      </c>
      <c r="V1047" s="156">
        <f t="shared" si="1750"/>
        <v>0</v>
      </c>
      <c r="W1047" s="156">
        <f t="shared" si="1751"/>
        <v>0</v>
      </c>
      <c r="X1047" s="158">
        <f t="shared" ref="X1047" si="1761">$S1047/ORCAMENTO_VALOR_TOTAL_ND</f>
        <v>0</v>
      </c>
      <c r="Y1047" s="158">
        <f t="shared" ref="Y1047" si="1762">$T1047/ORCAMENTO_VALOR_TOTAL_DE</f>
        <v>0</v>
      </c>
      <c r="Z1047" s="158" cm="1">
        <f t="array" ref="Z1047">_xlfn.SWITCH($N1047,"BDI 1",$O$6,"BDI 2",$O$7,"BDI 3",$O$8)</f>
        <v>0.20699999999999999</v>
      </c>
      <c r="AA1047" s="158" cm="1">
        <f t="array" ref="AA1047">_xlfn.SWITCH($N1047,"BDI 1",$P$6,"BDI 2",$P$7,"BDI 3",$P$8)</f>
        <v>0.26739999999999997</v>
      </c>
      <c r="AB1047" s="158">
        <f t="shared" ca="1" si="1754"/>
        <v>0</v>
      </c>
      <c r="AC1047" s="158">
        <f t="shared" ca="1" si="1755"/>
        <v>0</v>
      </c>
      <c r="AD1047" s="164"/>
      <c r="AE1047" s="148">
        <f t="shared" si="1709"/>
        <v>0</v>
      </c>
      <c r="AF1047" s="149"/>
      <c r="AG1047" s="150"/>
      <c r="AH1047" s="159" t="e">
        <f t="shared" si="1756"/>
        <v>#DIV/0!</v>
      </c>
      <c r="AI1047" s="165" t="s">
        <v>101</v>
      </c>
      <c r="AJ1047" s="219"/>
      <c r="AK1047" s="219"/>
      <c r="AM1047" s="219"/>
      <c r="AN1047" s="219"/>
      <c r="AO1047" s="219"/>
      <c r="AP1047" s="219"/>
      <c r="AQ1047" s="219"/>
      <c r="AR1047" s="219"/>
    </row>
    <row r="1048" spans="1:44" s="220" customFormat="1" ht="40.15" hidden="1" customHeight="1">
      <c r="A1048" s="152">
        <f t="shared" ca="1" si="1710"/>
        <v>0</v>
      </c>
      <c r="B1048" s="153">
        <v>92761</v>
      </c>
      <c r="C1048" s="154" t="str">
        <f t="shared" si="1743"/>
        <v>92761</v>
      </c>
      <c r="D1048" s="154" t="s">
        <v>1416</v>
      </c>
      <c r="E1048" s="155" t="s">
        <v>3954</v>
      </c>
      <c r="F1048" s="154"/>
      <c r="G1048" s="154" t="s">
        <v>3802</v>
      </c>
      <c r="H1048" s="152">
        <v>12.93</v>
      </c>
      <c r="I1048" s="152">
        <v>12.66</v>
      </c>
      <c r="J1048" s="156"/>
      <c r="K1048" s="156"/>
      <c r="L1048" s="156">
        <f t="shared" si="1744"/>
        <v>0</v>
      </c>
      <c r="M1048" s="156">
        <f t="shared" si="1745"/>
        <v>0</v>
      </c>
      <c r="N1048" s="156" t="s">
        <v>83</v>
      </c>
      <c r="O1048" s="157" cm="1">
        <f t="array" ref="O1048">TRUNC($H1048*(1+_xlfn.SWITCH($N1048,"BDI 1",$O$6,"BDI 2",$O$7,"BDI 3",$O$8)),2)</f>
        <v>15.6</v>
      </c>
      <c r="P1048" s="157" cm="1">
        <f t="array" ref="P1048">TRUNC($I1048*(1+_xlfn.SWITCH($N1048,"BDI 1",$P$6,"BDI 2",$P$7,"BDI 3",$P$8)),2)</f>
        <v>16.04</v>
      </c>
      <c r="Q1048" s="157">
        <v>0</v>
      </c>
      <c r="R1048" s="157">
        <f t="shared" si="1746"/>
        <v>0</v>
      </c>
      <c r="S1048" s="156">
        <f t="shared" si="1747"/>
        <v>0</v>
      </c>
      <c r="T1048" s="156">
        <f t="shared" si="1748"/>
        <v>0</v>
      </c>
      <c r="U1048" s="156">
        <f t="shared" si="1749"/>
        <v>0</v>
      </c>
      <c r="V1048" s="156">
        <f t="shared" si="1750"/>
        <v>0</v>
      </c>
      <c r="W1048" s="156">
        <f t="shared" si="1751"/>
        <v>0</v>
      </c>
      <c r="X1048" s="158">
        <f t="shared" ref="X1048" si="1763">$S1048/ORCAMENTO_VALOR_TOTAL_ND</f>
        <v>0</v>
      </c>
      <c r="Y1048" s="158">
        <f t="shared" ref="Y1048" si="1764">$T1048/ORCAMENTO_VALOR_TOTAL_DE</f>
        <v>0</v>
      </c>
      <c r="Z1048" s="158" cm="1">
        <f t="array" ref="Z1048">_xlfn.SWITCH($N1048,"BDI 1",$O$6,"BDI 2",$O$7,"BDI 3",$O$8)</f>
        <v>0.20699999999999999</v>
      </c>
      <c r="AA1048" s="158" cm="1">
        <f t="array" ref="AA1048">_xlfn.SWITCH($N1048,"BDI 1",$P$6,"BDI 2",$P$7,"BDI 3",$P$8)</f>
        <v>0.26739999999999997</v>
      </c>
      <c r="AB1048" s="158">
        <f t="shared" ca="1" si="1754"/>
        <v>0</v>
      </c>
      <c r="AC1048" s="158">
        <f t="shared" ca="1" si="1755"/>
        <v>0</v>
      </c>
      <c r="AD1048" s="164"/>
      <c r="AE1048" s="148">
        <f t="shared" si="1709"/>
        <v>0</v>
      </c>
      <c r="AF1048" s="149"/>
      <c r="AG1048" s="150"/>
      <c r="AH1048" s="159" t="e">
        <f t="shared" si="1756"/>
        <v>#DIV/0!</v>
      </c>
      <c r="AI1048" s="165" t="s">
        <v>243</v>
      </c>
      <c r="AJ1048" s="219"/>
      <c r="AK1048" s="219"/>
      <c r="AM1048" s="219"/>
      <c r="AN1048" s="219"/>
      <c r="AO1048" s="219"/>
      <c r="AP1048" s="219"/>
      <c r="AQ1048" s="219"/>
      <c r="AR1048" s="219"/>
    </row>
    <row r="1049" spans="1:44" s="220" customFormat="1" ht="40.15" hidden="1" customHeight="1">
      <c r="A1049" s="152">
        <f t="shared" ca="1" si="1710"/>
        <v>0</v>
      </c>
      <c r="B1049" s="153">
        <v>92762</v>
      </c>
      <c r="C1049" s="154" t="str">
        <f t="shared" si="1743"/>
        <v>92762</v>
      </c>
      <c r="D1049" s="154" t="s">
        <v>1416</v>
      </c>
      <c r="E1049" s="155" t="s">
        <v>3961</v>
      </c>
      <c r="F1049" s="154"/>
      <c r="G1049" s="154" t="s">
        <v>3802</v>
      </c>
      <c r="H1049" s="152">
        <v>11.59</v>
      </c>
      <c r="I1049" s="152">
        <v>11.4</v>
      </c>
      <c r="J1049" s="156"/>
      <c r="K1049" s="156"/>
      <c r="L1049" s="156">
        <f t="shared" si="1744"/>
        <v>0</v>
      </c>
      <c r="M1049" s="156">
        <f t="shared" si="1745"/>
        <v>0</v>
      </c>
      <c r="N1049" s="156" t="s">
        <v>83</v>
      </c>
      <c r="O1049" s="157" cm="1">
        <f t="array" ref="O1049">TRUNC($H1049*(1+_xlfn.SWITCH($N1049,"BDI 1",$O$6,"BDI 2",$O$7,"BDI 3",$O$8)),2)</f>
        <v>13.98</v>
      </c>
      <c r="P1049" s="157" cm="1">
        <f t="array" ref="P1049">TRUNC($I1049*(1+_xlfn.SWITCH($N1049,"BDI 1",$P$6,"BDI 2",$P$7,"BDI 3",$P$8)),2)</f>
        <v>14.44</v>
      </c>
      <c r="Q1049" s="157">
        <v>0</v>
      </c>
      <c r="R1049" s="157">
        <f t="shared" si="1746"/>
        <v>0</v>
      </c>
      <c r="S1049" s="156">
        <f t="shared" si="1747"/>
        <v>0</v>
      </c>
      <c r="T1049" s="156">
        <f t="shared" si="1748"/>
        <v>0</v>
      </c>
      <c r="U1049" s="156">
        <f t="shared" si="1749"/>
        <v>0</v>
      </c>
      <c r="V1049" s="156">
        <f t="shared" si="1750"/>
        <v>0</v>
      </c>
      <c r="W1049" s="156">
        <f t="shared" si="1751"/>
        <v>0</v>
      </c>
      <c r="X1049" s="158">
        <f t="shared" ref="X1049" si="1765">$S1049/ORCAMENTO_VALOR_TOTAL_ND</f>
        <v>0</v>
      </c>
      <c r="Y1049" s="158">
        <f t="shared" ref="Y1049" si="1766">$T1049/ORCAMENTO_VALOR_TOTAL_DE</f>
        <v>0</v>
      </c>
      <c r="Z1049" s="158" cm="1">
        <f t="array" ref="Z1049">_xlfn.SWITCH($N1049,"BDI 1",$O$6,"BDI 2",$O$7,"BDI 3",$O$8)</f>
        <v>0.20699999999999999</v>
      </c>
      <c r="AA1049" s="158" cm="1">
        <f t="array" ref="AA1049">_xlfn.SWITCH($N1049,"BDI 1",$P$6,"BDI 2",$P$7,"BDI 3",$P$8)</f>
        <v>0.26739999999999997</v>
      </c>
      <c r="AB1049" s="158">
        <f t="shared" ca="1" si="1754"/>
        <v>0</v>
      </c>
      <c r="AC1049" s="158">
        <f t="shared" ca="1" si="1755"/>
        <v>0</v>
      </c>
      <c r="AD1049" s="164"/>
      <c r="AE1049" s="148">
        <f t="shared" si="1709"/>
        <v>0</v>
      </c>
      <c r="AF1049" s="149"/>
      <c r="AG1049" s="150"/>
      <c r="AH1049" s="159" t="e">
        <f t="shared" si="1756"/>
        <v>#DIV/0!</v>
      </c>
      <c r="AI1049" s="160"/>
      <c r="AJ1049" s="219"/>
      <c r="AK1049" s="219"/>
      <c r="AM1049" s="219"/>
      <c r="AN1049" s="219"/>
      <c r="AO1049" s="219"/>
      <c r="AP1049" s="219"/>
      <c r="AQ1049" s="219"/>
      <c r="AR1049" s="219"/>
    </row>
    <row r="1050" spans="1:44" s="220" customFormat="1" ht="40.15" hidden="1" customHeight="1">
      <c r="A1050" s="152">
        <f t="shared" ca="1" si="1710"/>
        <v>0</v>
      </c>
      <c r="B1050" s="153">
        <v>92763</v>
      </c>
      <c r="C1050" s="154" t="str">
        <f t="shared" si="1743"/>
        <v>92763</v>
      </c>
      <c r="D1050" s="154" t="s">
        <v>1416</v>
      </c>
      <c r="E1050" s="155" t="s">
        <v>3951</v>
      </c>
      <c r="F1050" s="154"/>
      <c r="G1050" s="154" t="s">
        <v>3802</v>
      </c>
      <c r="H1050" s="152">
        <v>9.7899999999999991</v>
      </c>
      <c r="I1050" s="152">
        <v>9.6300000000000008</v>
      </c>
      <c r="J1050" s="156"/>
      <c r="K1050" s="156"/>
      <c r="L1050" s="156">
        <f t="shared" si="1744"/>
        <v>0</v>
      </c>
      <c r="M1050" s="156">
        <f t="shared" si="1745"/>
        <v>0</v>
      </c>
      <c r="N1050" s="156" t="s">
        <v>83</v>
      </c>
      <c r="O1050" s="157" cm="1">
        <f t="array" ref="O1050">TRUNC($H1050*(1+_xlfn.SWITCH($N1050,"BDI 1",$O$6,"BDI 2",$O$7,"BDI 3",$O$8)),2)</f>
        <v>11.81</v>
      </c>
      <c r="P1050" s="157" cm="1">
        <f t="array" ref="P1050">TRUNC($I1050*(1+_xlfn.SWITCH($N1050,"BDI 1",$P$6,"BDI 2",$P$7,"BDI 3",$P$8)),2)</f>
        <v>12.2</v>
      </c>
      <c r="Q1050" s="157">
        <v>0</v>
      </c>
      <c r="R1050" s="157">
        <f t="shared" si="1746"/>
        <v>0</v>
      </c>
      <c r="S1050" s="156">
        <f t="shared" si="1747"/>
        <v>0</v>
      </c>
      <c r="T1050" s="156">
        <f t="shared" si="1748"/>
        <v>0</v>
      </c>
      <c r="U1050" s="156">
        <f t="shared" si="1749"/>
        <v>0</v>
      </c>
      <c r="V1050" s="156">
        <f t="shared" si="1750"/>
        <v>0</v>
      </c>
      <c r="W1050" s="156">
        <f t="shared" si="1751"/>
        <v>0</v>
      </c>
      <c r="X1050" s="158">
        <f t="shared" ref="X1050" si="1767">$S1050/ORCAMENTO_VALOR_TOTAL_ND</f>
        <v>0</v>
      </c>
      <c r="Y1050" s="158">
        <f t="shared" ref="Y1050" si="1768">$T1050/ORCAMENTO_VALOR_TOTAL_DE</f>
        <v>0</v>
      </c>
      <c r="Z1050" s="158" cm="1">
        <f t="array" ref="Z1050">_xlfn.SWITCH($N1050,"BDI 1",$O$6,"BDI 2",$O$7,"BDI 3",$O$8)</f>
        <v>0.20699999999999999</v>
      </c>
      <c r="AA1050" s="158" cm="1">
        <f t="array" ref="AA1050">_xlfn.SWITCH($N1050,"BDI 1",$P$6,"BDI 2",$P$7,"BDI 3",$P$8)</f>
        <v>0.26739999999999997</v>
      </c>
      <c r="AB1050" s="158">
        <f t="shared" ca="1" si="1754"/>
        <v>0</v>
      </c>
      <c r="AC1050" s="158">
        <f t="shared" ca="1" si="1755"/>
        <v>0</v>
      </c>
      <c r="AD1050" s="164"/>
      <c r="AE1050" s="148">
        <f t="shared" si="1709"/>
        <v>0</v>
      </c>
      <c r="AF1050" s="149"/>
      <c r="AG1050" s="150"/>
      <c r="AH1050" s="159" t="e">
        <f t="shared" si="1756"/>
        <v>#DIV/0!</v>
      </c>
      <c r="AI1050" s="160"/>
      <c r="AJ1050" s="219"/>
      <c r="AK1050" s="219"/>
      <c r="AM1050" s="219"/>
      <c r="AN1050" s="219"/>
      <c r="AO1050" s="219"/>
      <c r="AP1050" s="219"/>
      <c r="AQ1050" s="219"/>
      <c r="AR1050" s="219"/>
    </row>
    <row r="1051" spans="1:44" s="220" customFormat="1" ht="40.15" hidden="1" customHeight="1">
      <c r="A1051" s="152">
        <f t="shared" ca="1" si="1710"/>
        <v>0</v>
      </c>
      <c r="B1051" s="153">
        <v>92765</v>
      </c>
      <c r="C1051" s="154" t="str">
        <f t="shared" si="1743"/>
        <v>92765</v>
      </c>
      <c r="D1051" s="154" t="s">
        <v>1416</v>
      </c>
      <c r="E1051" s="155" t="s">
        <v>3962</v>
      </c>
      <c r="F1051" s="154"/>
      <c r="G1051" s="154" t="s">
        <v>3802</v>
      </c>
      <c r="H1051" s="152">
        <v>10.88</v>
      </c>
      <c r="I1051" s="152">
        <v>10.75</v>
      </c>
      <c r="J1051" s="156"/>
      <c r="K1051" s="156"/>
      <c r="L1051" s="156">
        <f t="shared" si="1744"/>
        <v>0</v>
      </c>
      <c r="M1051" s="156">
        <f t="shared" si="1745"/>
        <v>0</v>
      </c>
      <c r="N1051" s="156" t="s">
        <v>83</v>
      </c>
      <c r="O1051" s="157" cm="1">
        <f t="array" ref="O1051">TRUNC($H1051*(1+_xlfn.SWITCH($N1051,"BDI 1",$O$6,"BDI 2",$O$7,"BDI 3",$O$8)),2)</f>
        <v>13.13</v>
      </c>
      <c r="P1051" s="157" cm="1">
        <f t="array" ref="P1051">TRUNC($I1051*(1+_xlfn.SWITCH($N1051,"BDI 1",$P$6,"BDI 2",$P$7,"BDI 3",$P$8)),2)</f>
        <v>13.62</v>
      </c>
      <c r="Q1051" s="157">
        <v>0</v>
      </c>
      <c r="R1051" s="157">
        <f t="shared" si="1746"/>
        <v>0</v>
      </c>
      <c r="S1051" s="156">
        <f t="shared" si="1747"/>
        <v>0</v>
      </c>
      <c r="T1051" s="156">
        <f t="shared" si="1748"/>
        <v>0</v>
      </c>
      <c r="U1051" s="156">
        <f t="shared" si="1749"/>
        <v>0</v>
      </c>
      <c r="V1051" s="156">
        <f t="shared" si="1750"/>
        <v>0</v>
      </c>
      <c r="W1051" s="156">
        <f t="shared" si="1751"/>
        <v>0</v>
      </c>
      <c r="X1051" s="158">
        <f t="shared" ref="X1051" si="1769">$S1051/ORCAMENTO_VALOR_TOTAL_ND</f>
        <v>0</v>
      </c>
      <c r="Y1051" s="158">
        <f t="shared" ref="Y1051" si="1770">$T1051/ORCAMENTO_VALOR_TOTAL_DE</f>
        <v>0</v>
      </c>
      <c r="Z1051" s="158" cm="1">
        <f t="array" ref="Z1051">_xlfn.SWITCH($N1051,"BDI 1",$O$6,"BDI 2",$O$7,"BDI 3",$O$8)</f>
        <v>0.20699999999999999</v>
      </c>
      <c r="AA1051" s="158" cm="1">
        <f t="array" ref="AA1051">_xlfn.SWITCH($N1051,"BDI 1",$P$6,"BDI 2",$P$7,"BDI 3",$P$8)</f>
        <v>0.26739999999999997</v>
      </c>
      <c r="AB1051" s="158">
        <f t="shared" ca="1" si="1754"/>
        <v>0</v>
      </c>
      <c r="AC1051" s="158">
        <f t="shared" ca="1" si="1755"/>
        <v>0</v>
      </c>
      <c r="AD1051" s="164"/>
      <c r="AE1051" s="148">
        <f t="shared" si="1709"/>
        <v>0</v>
      </c>
      <c r="AF1051" s="149"/>
      <c r="AG1051" s="150"/>
      <c r="AH1051" s="159" t="e">
        <f t="shared" si="1756"/>
        <v>#DIV/0!</v>
      </c>
      <c r="AI1051" s="165" t="s">
        <v>101</v>
      </c>
      <c r="AJ1051" s="219"/>
      <c r="AK1051" s="219"/>
      <c r="AM1051" s="219"/>
      <c r="AN1051" s="219"/>
      <c r="AO1051" s="219"/>
      <c r="AP1051" s="219"/>
      <c r="AQ1051" s="219"/>
      <c r="AR1051" s="219"/>
    </row>
    <row r="1052" spans="1:44" s="49" customFormat="1" ht="40.15" hidden="1" customHeight="1">
      <c r="A1052" s="152">
        <f t="shared" ca="1" si="1710"/>
        <v>0</v>
      </c>
      <c r="B1052" s="153"/>
      <c r="C1052" s="154"/>
      <c r="D1052" s="154"/>
      <c r="E1052" s="161" t="s">
        <v>361</v>
      </c>
      <c r="F1052" s="154"/>
      <c r="G1052" s="154"/>
      <c r="H1052" s="152"/>
      <c r="I1052" s="152"/>
      <c r="J1052" s="154"/>
      <c r="K1052" s="154"/>
      <c r="L1052" s="154"/>
      <c r="M1052" s="154"/>
      <c r="N1052" s="154"/>
      <c r="O1052" s="162"/>
      <c r="P1052" s="162"/>
      <c r="Q1052" s="162"/>
      <c r="R1052" s="162"/>
      <c r="S1052" s="162"/>
      <c r="T1052" s="162"/>
      <c r="U1052" s="162"/>
      <c r="V1052" s="162"/>
      <c r="W1052" s="162"/>
      <c r="X1052" s="163"/>
      <c r="Y1052" s="163"/>
      <c r="Z1052" s="163"/>
      <c r="AA1052" s="163"/>
      <c r="AB1052" s="163"/>
      <c r="AC1052" s="163"/>
      <c r="AD1052" s="164"/>
      <c r="AE1052" s="148">
        <f t="shared" si="1709"/>
        <v>0</v>
      </c>
      <c r="AF1052" s="149"/>
      <c r="AG1052" s="150"/>
      <c r="AH1052" s="159"/>
      <c r="AI1052" s="160"/>
      <c r="AJ1052" s="105"/>
      <c r="AK1052" s="105"/>
      <c r="AM1052" s="105"/>
      <c r="AN1052" s="105"/>
      <c r="AO1052" s="105"/>
      <c r="AP1052" s="105"/>
      <c r="AQ1052" s="105"/>
      <c r="AR1052" s="105"/>
    </row>
    <row r="1053" spans="1:44" s="220" customFormat="1" ht="40.15" hidden="1" customHeight="1">
      <c r="A1053" s="152">
        <f t="shared" ca="1" si="1710"/>
        <v>0</v>
      </c>
      <c r="B1053" s="153">
        <v>94972</v>
      </c>
      <c r="C1053" s="154" t="str">
        <f t="shared" ref="C1053:C1059" si="1771">TEXT(B1053,"0")</f>
        <v>94972</v>
      </c>
      <c r="D1053" s="154" t="s">
        <v>1416</v>
      </c>
      <c r="E1053" s="155" t="s">
        <v>3952</v>
      </c>
      <c r="F1053" s="154"/>
      <c r="G1053" s="154" t="s">
        <v>464</v>
      </c>
      <c r="H1053" s="152">
        <v>500.26</v>
      </c>
      <c r="I1053" s="152">
        <v>499.21</v>
      </c>
      <c r="J1053" s="156"/>
      <c r="K1053" s="156"/>
      <c r="L1053" s="156">
        <f t="shared" ref="L1053:L1059" si="1772">IF($K1053&gt;$J1053,$K1053-$J1053,0)</f>
        <v>0</v>
      </c>
      <c r="M1053" s="156">
        <f t="shared" ref="M1053:M1059" si="1773">IF($K1053&lt;$J1053,$J1053-$K1053,0)</f>
        <v>0</v>
      </c>
      <c r="N1053" s="156" t="s">
        <v>83</v>
      </c>
      <c r="O1053" s="157" cm="1">
        <f t="array" ref="O1053">TRUNC($H1053*(1+_xlfn.SWITCH($N1053,"BDI 1",$O$6,"BDI 2",$O$7,"BDI 3",$O$8)),2)</f>
        <v>603.80999999999995</v>
      </c>
      <c r="P1053" s="157" cm="1">
        <f t="array" ref="P1053">TRUNC($I1053*(1+_xlfn.SWITCH($N1053,"BDI 1",$P$6,"BDI 2",$P$7,"BDI 3",$P$8)),2)</f>
        <v>632.69000000000005</v>
      </c>
      <c r="Q1053" s="157">
        <v>0</v>
      </c>
      <c r="R1053" s="157">
        <f t="shared" ref="R1053:R1059" si="1774">$Q1053-($Q1053*LICITACAO_DESCONTO)</f>
        <v>0</v>
      </c>
      <c r="S1053" s="156">
        <f t="shared" ref="S1053:S1059" si="1775">TRUNC($K1053*$O1053,2)</f>
        <v>0</v>
      </c>
      <c r="T1053" s="156">
        <f t="shared" ref="T1053:T1059" si="1776">TRUNC($K1053*$P1053,2)</f>
        <v>0</v>
      </c>
      <c r="U1053" s="156">
        <f t="shared" ref="U1053:U1059" si="1777">TRUNC($J1053*$R1053,2)</f>
        <v>0</v>
      </c>
      <c r="V1053" s="156">
        <f t="shared" ref="V1053:V1059" si="1778">TRUNC($K1053*$Q1053,2)</f>
        <v>0</v>
      </c>
      <c r="W1053" s="156">
        <f t="shared" ref="W1053:W1059" si="1779">TRUNC(V1053-U1053,2)</f>
        <v>0</v>
      </c>
      <c r="X1053" s="158">
        <f t="shared" ref="X1053" si="1780">$S1053/ORCAMENTO_VALOR_TOTAL_ND</f>
        <v>0</v>
      </c>
      <c r="Y1053" s="158">
        <f t="shared" ref="Y1053" si="1781">$T1053/ORCAMENTO_VALOR_TOTAL_DE</f>
        <v>0</v>
      </c>
      <c r="Z1053" s="158" cm="1">
        <f t="array" ref="Z1053">_xlfn.SWITCH($N1053,"BDI 1",$O$6,"BDI 2",$O$7,"BDI 3",$O$8)</f>
        <v>0.20699999999999999</v>
      </c>
      <c r="AA1053" s="158" cm="1">
        <f t="array" ref="AA1053">_xlfn.SWITCH($N1053,"BDI 1",$P$6,"BDI 2",$P$7,"BDI 3",$P$8)</f>
        <v>0.26739999999999997</v>
      </c>
      <c r="AB1053" s="158">
        <f t="shared" ref="AB1053:AB1059" ca="1" si="1782">IFERROR($S1053/_xlfn.XLOOKUP($AE1053,$B$16:$B$38,$S$16:$S$38),0)</f>
        <v>0</v>
      </c>
      <c r="AC1053" s="158">
        <f t="shared" ref="AC1053:AC1059" ca="1" si="1783">IFERROR($T1053/_xlfn.XLOOKUP($AE1053,$B$16:$B$38,$T$16:$T$38),0)</f>
        <v>0</v>
      </c>
      <c r="AD1053" s="164"/>
      <c r="AE1053" s="148">
        <f t="shared" si="1709"/>
        <v>0</v>
      </c>
      <c r="AF1053" s="149"/>
      <c r="AG1053" s="150"/>
      <c r="AH1053" s="159" t="e">
        <f t="shared" ref="AH1053:AH1059" si="1784">+S1053/$S$961</f>
        <v>#DIV/0!</v>
      </c>
      <c r="AI1053" s="160"/>
      <c r="AJ1053" s="219"/>
      <c r="AK1053" s="219"/>
      <c r="AM1053" s="219"/>
      <c r="AN1053" s="219"/>
      <c r="AO1053" s="219"/>
      <c r="AP1053" s="219"/>
      <c r="AQ1053" s="219"/>
      <c r="AR1053" s="219"/>
    </row>
    <row r="1054" spans="1:44" s="220" customFormat="1" ht="40.15" hidden="1" customHeight="1">
      <c r="A1054" s="152">
        <f t="shared" ca="1" si="1710"/>
        <v>0</v>
      </c>
      <c r="B1054" s="153">
        <v>103670</v>
      </c>
      <c r="C1054" s="154" t="str">
        <f t="shared" si="1771"/>
        <v>103670</v>
      </c>
      <c r="D1054" s="154" t="s">
        <v>1416</v>
      </c>
      <c r="E1054" s="155" t="s">
        <v>3792</v>
      </c>
      <c r="F1054" s="154"/>
      <c r="G1054" s="154" t="s">
        <v>464</v>
      </c>
      <c r="H1054" s="152">
        <v>272.37</v>
      </c>
      <c r="I1054" s="152">
        <v>247.05</v>
      </c>
      <c r="J1054" s="156"/>
      <c r="K1054" s="156">
        <f>K1053</f>
        <v>0</v>
      </c>
      <c r="L1054" s="156">
        <f t="shared" si="1772"/>
        <v>0</v>
      </c>
      <c r="M1054" s="156">
        <f t="shared" si="1773"/>
        <v>0</v>
      </c>
      <c r="N1054" s="156" t="s">
        <v>83</v>
      </c>
      <c r="O1054" s="157" cm="1">
        <f t="array" ref="O1054">TRUNC($H1054*(1+_xlfn.SWITCH($N1054,"BDI 1",$O$6,"BDI 2",$O$7,"BDI 3",$O$8)),2)</f>
        <v>328.75</v>
      </c>
      <c r="P1054" s="157" cm="1">
        <f t="array" ref="P1054">TRUNC($I1054*(1+_xlfn.SWITCH($N1054,"BDI 1",$P$6,"BDI 2",$P$7,"BDI 3",$P$8)),2)</f>
        <v>313.11</v>
      </c>
      <c r="Q1054" s="157">
        <v>0</v>
      </c>
      <c r="R1054" s="157">
        <f t="shared" si="1774"/>
        <v>0</v>
      </c>
      <c r="S1054" s="156">
        <f t="shared" si="1775"/>
        <v>0</v>
      </c>
      <c r="T1054" s="156">
        <f t="shared" si="1776"/>
        <v>0</v>
      </c>
      <c r="U1054" s="156">
        <f t="shared" si="1777"/>
        <v>0</v>
      </c>
      <c r="V1054" s="156">
        <f t="shared" si="1778"/>
        <v>0</v>
      </c>
      <c r="W1054" s="156">
        <f t="shared" si="1779"/>
        <v>0</v>
      </c>
      <c r="X1054" s="158">
        <f t="shared" ref="X1054" si="1785">$S1054/ORCAMENTO_VALOR_TOTAL_ND</f>
        <v>0</v>
      </c>
      <c r="Y1054" s="158">
        <f t="shared" ref="Y1054" si="1786">$T1054/ORCAMENTO_VALOR_TOTAL_DE</f>
        <v>0</v>
      </c>
      <c r="Z1054" s="158" cm="1">
        <f t="array" ref="Z1054">_xlfn.SWITCH($N1054,"BDI 1",$O$6,"BDI 2",$O$7,"BDI 3",$O$8)</f>
        <v>0.20699999999999999</v>
      </c>
      <c r="AA1054" s="158" cm="1">
        <f t="array" ref="AA1054">_xlfn.SWITCH($N1054,"BDI 1",$P$6,"BDI 2",$P$7,"BDI 3",$P$8)</f>
        <v>0.26739999999999997</v>
      </c>
      <c r="AB1054" s="158">
        <f t="shared" ca="1" si="1782"/>
        <v>0</v>
      </c>
      <c r="AC1054" s="158">
        <f t="shared" ca="1" si="1783"/>
        <v>0</v>
      </c>
      <c r="AD1054" s="164"/>
      <c r="AE1054" s="148">
        <f t="shared" si="1709"/>
        <v>0</v>
      </c>
      <c r="AF1054" s="149"/>
      <c r="AG1054" s="150"/>
      <c r="AH1054" s="159" t="e">
        <f t="shared" si="1784"/>
        <v>#DIV/0!</v>
      </c>
      <c r="AI1054" s="160"/>
      <c r="AJ1054" s="219"/>
      <c r="AK1054" s="219"/>
      <c r="AM1054" s="219"/>
      <c r="AN1054" s="219"/>
      <c r="AO1054" s="219"/>
      <c r="AP1054" s="219"/>
      <c r="AQ1054" s="219"/>
      <c r="AR1054" s="219"/>
    </row>
    <row r="1055" spans="1:44" s="220" customFormat="1" ht="40.15" hidden="1" customHeight="1">
      <c r="A1055" s="152">
        <f t="shared" ca="1" si="1710"/>
        <v>0</v>
      </c>
      <c r="B1055" s="153">
        <v>96536</v>
      </c>
      <c r="C1055" s="154" t="str">
        <f t="shared" si="1771"/>
        <v>96536</v>
      </c>
      <c r="D1055" s="154" t="s">
        <v>1416</v>
      </c>
      <c r="E1055" s="155" t="s">
        <v>3955</v>
      </c>
      <c r="F1055" s="154"/>
      <c r="G1055" s="154" t="s">
        <v>1418</v>
      </c>
      <c r="H1055" s="152">
        <v>61.52</v>
      </c>
      <c r="I1055" s="152">
        <v>57.93</v>
      </c>
      <c r="J1055" s="156"/>
      <c r="K1055" s="156"/>
      <c r="L1055" s="156">
        <f t="shared" si="1772"/>
        <v>0</v>
      </c>
      <c r="M1055" s="156">
        <f t="shared" si="1773"/>
        <v>0</v>
      </c>
      <c r="N1055" s="156" t="s">
        <v>83</v>
      </c>
      <c r="O1055" s="157" cm="1">
        <f t="array" ref="O1055">TRUNC($H1055*(1+_xlfn.SWITCH($N1055,"BDI 1",$O$6,"BDI 2",$O$7,"BDI 3",$O$8)),2)</f>
        <v>74.25</v>
      </c>
      <c r="P1055" s="157" cm="1">
        <f t="array" ref="P1055">TRUNC($I1055*(1+_xlfn.SWITCH($N1055,"BDI 1",$P$6,"BDI 2",$P$7,"BDI 3",$P$8)),2)</f>
        <v>73.42</v>
      </c>
      <c r="Q1055" s="157">
        <v>0</v>
      </c>
      <c r="R1055" s="157">
        <f t="shared" si="1774"/>
        <v>0</v>
      </c>
      <c r="S1055" s="156">
        <f t="shared" si="1775"/>
        <v>0</v>
      </c>
      <c r="T1055" s="156">
        <f t="shared" si="1776"/>
        <v>0</v>
      </c>
      <c r="U1055" s="156">
        <f t="shared" si="1777"/>
        <v>0</v>
      </c>
      <c r="V1055" s="156">
        <f t="shared" si="1778"/>
        <v>0</v>
      </c>
      <c r="W1055" s="156">
        <f t="shared" si="1779"/>
        <v>0</v>
      </c>
      <c r="X1055" s="158">
        <f t="shared" ref="X1055" si="1787">$S1055/ORCAMENTO_VALOR_TOTAL_ND</f>
        <v>0</v>
      </c>
      <c r="Y1055" s="158">
        <f t="shared" ref="Y1055" si="1788">$T1055/ORCAMENTO_VALOR_TOTAL_DE</f>
        <v>0</v>
      </c>
      <c r="Z1055" s="158" cm="1">
        <f t="array" ref="Z1055">_xlfn.SWITCH($N1055,"BDI 1",$O$6,"BDI 2",$O$7,"BDI 3",$O$8)</f>
        <v>0.20699999999999999</v>
      </c>
      <c r="AA1055" s="158" cm="1">
        <f t="array" ref="AA1055">_xlfn.SWITCH($N1055,"BDI 1",$P$6,"BDI 2",$P$7,"BDI 3",$P$8)</f>
        <v>0.26739999999999997</v>
      </c>
      <c r="AB1055" s="158">
        <f t="shared" ca="1" si="1782"/>
        <v>0</v>
      </c>
      <c r="AC1055" s="158">
        <f t="shared" ca="1" si="1783"/>
        <v>0</v>
      </c>
      <c r="AD1055" s="164"/>
      <c r="AE1055" s="148">
        <f t="shared" si="1709"/>
        <v>0</v>
      </c>
      <c r="AF1055" s="149"/>
      <c r="AG1055" s="150"/>
      <c r="AH1055" s="159" t="e">
        <f t="shared" si="1784"/>
        <v>#DIV/0!</v>
      </c>
      <c r="AI1055" s="165" t="s">
        <v>101</v>
      </c>
      <c r="AJ1055" s="219"/>
      <c r="AK1055" s="219"/>
      <c r="AM1055" s="219"/>
      <c r="AN1055" s="219"/>
      <c r="AO1055" s="219"/>
      <c r="AP1055" s="219"/>
      <c r="AQ1055" s="219"/>
      <c r="AR1055" s="219"/>
    </row>
    <row r="1056" spans="1:44" s="220" customFormat="1" ht="40.15" hidden="1" customHeight="1">
      <c r="A1056" s="152">
        <f t="shared" ca="1" si="1710"/>
        <v>0</v>
      </c>
      <c r="B1056" s="153">
        <v>92760</v>
      </c>
      <c r="C1056" s="154" t="str">
        <f t="shared" si="1771"/>
        <v>92760</v>
      </c>
      <c r="D1056" s="154" t="s">
        <v>1416</v>
      </c>
      <c r="E1056" s="155" t="s">
        <v>3948</v>
      </c>
      <c r="F1056" s="154"/>
      <c r="G1056" s="154" t="s">
        <v>3802</v>
      </c>
      <c r="H1056" s="152">
        <v>13.61</v>
      </c>
      <c r="I1056" s="152">
        <v>13.23</v>
      </c>
      <c r="J1056" s="156"/>
      <c r="K1056" s="156"/>
      <c r="L1056" s="156">
        <f t="shared" si="1772"/>
        <v>0</v>
      </c>
      <c r="M1056" s="156">
        <f t="shared" si="1773"/>
        <v>0</v>
      </c>
      <c r="N1056" s="156" t="s">
        <v>83</v>
      </c>
      <c r="O1056" s="157" cm="1">
        <f t="array" ref="O1056">TRUNC($H1056*(1+_xlfn.SWITCH($N1056,"BDI 1",$O$6,"BDI 2",$O$7,"BDI 3",$O$8)),2)</f>
        <v>16.420000000000002</v>
      </c>
      <c r="P1056" s="157" cm="1">
        <f t="array" ref="P1056">TRUNC($I1056*(1+_xlfn.SWITCH($N1056,"BDI 1",$P$6,"BDI 2",$P$7,"BDI 3",$P$8)),2)</f>
        <v>16.760000000000002</v>
      </c>
      <c r="Q1056" s="157">
        <v>0</v>
      </c>
      <c r="R1056" s="157">
        <f t="shared" si="1774"/>
        <v>0</v>
      </c>
      <c r="S1056" s="156">
        <f t="shared" si="1775"/>
        <v>0</v>
      </c>
      <c r="T1056" s="156">
        <f t="shared" si="1776"/>
        <v>0</v>
      </c>
      <c r="U1056" s="156">
        <f t="shared" si="1777"/>
        <v>0</v>
      </c>
      <c r="V1056" s="156">
        <f t="shared" si="1778"/>
        <v>0</v>
      </c>
      <c r="W1056" s="156">
        <f t="shared" si="1779"/>
        <v>0</v>
      </c>
      <c r="X1056" s="158">
        <f t="shared" ref="X1056" si="1789">$S1056/ORCAMENTO_VALOR_TOTAL_ND</f>
        <v>0</v>
      </c>
      <c r="Y1056" s="158">
        <f t="shared" ref="Y1056" si="1790">$T1056/ORCAMENTO_VALOR_TOTAL_DE</f>
        <v>0</v>
      </c>
      <c r="Z1056" s="158" cm="1">
        <f t="array" ref="Z1056">_xlfn.SWITCH($N1056,"BDI 1",$O$6,"BDI 2",$O$7,"BDI 3",$O$8)</f>
        <v>0.20699999999999999</v>
      </c>
      <c r="AA1056" s="158" cm="1">
        <f t="array" ref="AA1056">_xlfn.SWITCH($N1056,"BDI 1",$P$6,"BDI 2",$P$7,"BDI 3",$P$8)</f>
        <v>0.26739999999999997</v>
      </c>
      <c r="AB1056" s="158">
        <f t="shared" ca="1" si="1782"/>
        <v>0</v>
      </c>
      <c r="AC1056" s="158">
        <f t="shared" ca="1" si="1783"/>
        <v>0</v>
      </c>
      <c r="AD1056" s="164"/>
      <c r="AE1056" s="148">
        <f t="shared" si="1709"/>
        <v>0</v>
      </c>
      <c r="AF1056" s="149"/>
      <c r="AG1056" s="150"/>
      <c r="AH1056" s="159" t="e">
        <f t="shared" si="1784"/>
        <v>#DIV/0!</v>
      </c>
      <c r="AI1056" s="165" t="s">
        <v>101</v>
      </c>
      <c r="AJ1056" s="219"/>
      <c r="AK1056" s="219"/>
      <c r="AM1056" s="219"/>
      <c r="AN1056" s="219"/>
      <c r="AO1056" s="219"/>
      <c r="AP1056" s="219"/>
      <c r="AQ1056" s="219"/>
      <c r="AR1056" s="219"/>
    </row>
    <row r="1057" spans="1:44" s="220" customFormat="1" ht="40.15" hidden="1" customHeight="1">
      <c r="A1057" s="152">
        <f t="shared" ca="1" si="1710"/>
        <v>0</v>
      </c>
      <c r="B1057" s="153">
        <v>92761</v>
      </c>
      <c r="C1057" s="154" t="str">
        <f t="shared" si="1771"/>
        <v>92761</v>
      </c>
      <c r="D1057" s="154" t="s">
        <v>1416</v>
      </c>
      <c r="E1057" s="155" t="s">
        <v>3954</v>
      </c>
      <c r="F1057" s="154"/>
      <c r="G1057" s="154" t="s">
        <v>3802</v>
      </c>
      <c r="H1057" s="152">
        <v>12.93</v>
      </c>
      <c r="I1057" s="152">
        <v>12.66</v>
      </c>
      <c r="J1057" s="156"/>
      <c r="K1057" s="156"/>
      <c r="L1057" s="156">
        <f t="shared" si="1772"/>
        <v>0</v>
      </c>
      <c r="M1057" s="156">
        <f t="shared" si="1773"/>
        <v>0</v>
      </c>
      <c r="N1057" s="156" t="s">
        <v>83</v>
      </c>
      <c r="O1057" s="157" cm="1">
        <f t="array" ref="O1057">TRUNC($H1057*(1+_xlfn.SWITCH($N1057,"BDI 1",$O$6,"BDI 2",$O$7,"BDI 3",$O$8)),2)</f>
        <v>15.6</v>
      </c>
      <c r="P1057" s="157" cm="1">
        <f t="array" ref="P1057">TRUNC($I1057*(1+_xlfn.SWITCH($N1057,"BDI 1",$P$6,"BDI 2",$P$7,"BDI 3",$P$8)),2)</f>
        <v>16.04</v>
      </c>
      <c r="Q1057" s="157">
        <v>0</v>
      </c>
      <c r="R1057" s="157">
        <f t="shared" si="1774"/>
        <v>0</v>
      </c>
      <c r="S1057" s="156">
        <f t="shared" si="1775"/>
        <v>0</v>
      </c>
      <c r="T1057" s="156">
        <f t="shared" si="1776"/>
        <v>0</v>
      </c>
      <c r="U1057" s="156">
        <f t="shared" si="1777"/>
        <v>0</v>
      </c>
      <c r="V1057" s="156">
        <f t="shared" si="1778"/>
        <v>0</v>
      </c>
      <c r="W1057" s="156">
        <f t="shared" si="1779"/>
        <v>0</v>
      </c>
      <c r="X1057" s="158">
        <f t="shared" ref="X1057" si="1791">$S1057/ORCAMENTO_VALOR_TOTAL_ND</f>
        <v>0</v>
      </c>
      <c r="Y1057" s="158">
        <f t="shared" ref="Y1057" si="1792">$T1057/ORCAMENTO_VALOR_TOTAL_DE</f>
        <v>0</v>
      </c>
      <c r="Z1057" s="158" cm="1">
        <f t="array" ref="Z1057">_xlfn.SWITCH($N1057,"BDI 1",$O$6,"BDI 2",$O$7,"BDI 3",$O$8)</f>
        <v>0.20699999999999999</v>
      </c>
      <c r="AA1057" s="158" cm="1">
        <f t="array" ref="AA1057">_xlfn.SWITCH($N1057,"BDI 1",$P$6,"BDI 2",$P$7,"BDI 3",$P$8)</f>
        <v>0.26739999999999997</v>
      </c>
      <c r="AB1057" s="158">
        <f t="shared" ca="1" si="1782"/>
        <v>0</v>
      </c>
      <c r="AC1057" s="158">
        <f t="shared" ca="1" si="1783"/>
        <v>0</v>
      </c>
      <c r="AD1057" s="164"/>
      <c r="AE1057" s="148">
        <f t="shared" si="1709"/>
        <v>0</v>
      </c>
      <c r="AF1057" s="149"/>
      <c r="AG1057" s="150"/>
      <c r="AH1057" s="159" t="e">
        <f t="shared" si="1784"/>
        <v>#DIV/0!</v>
      </c>
      <c r="AI1057" s="165" t="s">
        <v>243</v>
      </c>
      <c r="AJ1057" s="219"/>
      <c r="AK1057" s="219"/>
      <c r="AM1057" s="219"/>
      <c r="AN1057" s="219"/>
      <c r="AO1057" s="219"/>
      <c r="AP1057" s="219"/>
      <c r="AQ1057" s="219"/>
      <c r="AR1057" s="219"/>
    </row>
    <row r="1058" spans="1:44" s="220" customFormat="1" ht="40.15" hidden="1" customHeight="1">
      <c r="A1058" s="152">
        <f t="shared" ca="1" si="1710"/>
        <v>0</v>
      </c>
      <c r="B1058" s="153">
        <v>92762</v>
      </c>
      <c r="C1058" s="154" t="str">
        <f t="shared" si="1771"/>
        <v>92762</v>
      </c>
      <c r="D1058" s="154" t="s">
        <v>1416</v>
      </c>
      <c r="E1058" s="155" t="s">
        <v>3961</v>
      </c>
      <c r="F1058" s="154"/>
      <c r="G1058" s="154" t="s">
        <v>3802</v>
      </c>
      <c r="H1058" s="152">
        <v>11.59</v>
      </c>
      <c r="I1058" s="152">
        <v>11.4</v>
      </c>
      <c r="J1058" s="156"/>
      <c r="K1058" s="156"/>
      <c r="L1058" s="156">
        <f t="shared" si="1772"/>
        <v>0</v>
      </c>
      <c r="M1058" s="156">
        <f t="shared" si="1773"/>
        <v>0</v>
      </c>
      <c r="N1058" s="156" t="s">
        <v>83</v>
      </c>
      <c r="O1058" s="157" cm="1">
        <f t="array" ref="O1058">TRUNC($H1058*(1+_xlfn.SWITCH($N1058,"BDI 1",$O$6,"BDI 2",$O$7,"BDI 3",$O$8)),2)</f>
        <v>13.98</v>
      </c>
      <c r="P1058" s="157" cm="1">
        <f t="array" ref="P1058">TRUNC($I1058*(1+_xlfn.SWITCH($N1058,"BDI 1",$P$6,"BDI 2",$P$7,"BDI 3",$P$8)),2)</f>
        <v>14.44</v>
      </c>
      <c r="Q1058" s="157">
        <v>0</v>
      </c>
      <c r="R1058" s="157">
        <f t="shared" si="1774"/>
        <v>0</v>
      </c>
      <c r="S1058" s="156">
        <f t="shared" si="1775"/>
        <v>0</v>
      </c>
      <c r="T1058" s="156">
        <f t="shared" si="1776"/>
        <v>0</v>
      </c>
      <c r="U1058" s="156">
        <f t="shared" si="1777"/>
        <v>0</v>
      </c>
      <c r="V1058" s="156">
        <f t="shared" si="1778"/>
        <v>0</v>
      </c>
      <c r="W1058" s="156">
        <f t="shared" si="1779"/>
        <v>0</v>
      </c>
      <c r="X1058" s="158">
        <f t="shared" ref="X1058" si="1793">$S1058/ORCAMENTO_VALOR_TOTAL_ND</f>
        <v>0</v>
      </c>
      <c r="Y1058" s="158">
        <f t="shared" ref="Y1058" si="1794">$T1058/ORCAMENTO_VALOR_TOTAL_DE</f>
        <v>0</v>
      </c>
      <c r="Z1058" s="158" cm="1">
        <f t="array" ref="Z1058">_xlfn.SWITCH($N1058,"BDI 1",$O$6,"BDI 2",$O$7,"BDI 3",$O$8)</f>
        <v>0.20699999999999999</v>
      </c>
      <c r="AA1058" s="158" cm="1">
        <f t="array" ref="AA1058">_xlfn.SWITCH($N1058,"BDI 1",$P$6,"BDI 2",$P$7,"BDI 3",$P$8)</f>
        <v>0.26739999999999997</v>
      </c>
      <c r="AB1058" s="158">
        <f t="shared" ca="1" si="1782"/>
        <v>0</v>
      </c>
      <c r="AC1058" s="158">
        <f t="shared" ca="1" si="1783"/>
        <v>0</v>
      </c>
      <c r="AD1058" s="164"/>
      <c r="AE1058" s="148">
        <f t="shared" si="1709"/>
        <v>0</v>
      </c>
      <c r="AF1058" s="149"/>
      <c r="AG1058" s="150"/>
      <c r="AH1058" s="159" t="e">
        <f t="shared" si="1784"/>
        <v>#DIV/0!</v>
      </c>
      <c r="AI1058" s="160"/>
      <c r="AJ1058" s="219"/>
      <c r="AK1058" s="219"/>
      <c r="AM1058" s="219"/>
      <c r="AN1058" s="219"/>
      <c r="AO1058" s="219"/>
      <c r="AP1058" s="219"/>
      <c r="AQ1058" s="219"/>
      <c r="AR1058" s="219"/>
    </row>
    <row r="1059" spans="1:44" s="220" customFormat="1" ht="40.15" hidden="1" customHeight="1">
      <c r="A1059" s="152">
        <f t="shared" ca="1" si="1710"/>
        <v>0</v>
      </c>
      <c r="B1059" s="153">
        <v>92765</v>
      </c>
      <c r="C1059" s="154" t="str">
        <f t="shared" si="1771"/>
        <v>92765</v>
      </c>
      <c r="D1059" s="154" t="s">
        <v>1416</v>
      </c>
      <c r="E1059" s="155" t="s">
        <v>3962</v>
      </c>
      <c r="F1059" s="154"/>
      <c r="G1059" s="154" t="s">
        <v>3802</v>
      </c>
      <c r="H1059" s="152">
        <v>10.88</v>
      </c>
      <c r="I1059" s="152">
        <v>10.75</v>
      </c>
      <c r="J1059" s="156"/>
      <c r="K1059" s="156"/>
      <c r="L1059" s="156">
        <f t="shared" si="1772"/>
        <v>0</v>
      </c>
      <c r="M1059" s="156">
        <f t="shared" si="1773"/>
        <v>0</v>
      </c>
      <c r="N1059" s="156" t="s">
        <v>83</v>
      </c>
      <c r="O1059" s="157" cm="1">
        <f t="array" ref="O1059">TRUNC($H1059*(1+_xlfn.SWITCH($N1059,"BDI 1",$O$6,"BDI 2",$O$7,"BDI 3",$O$8)),2)</f>
        <v>13.13</v>
      </c>
      <c r="P1059" s="157" cm="1">
        <f t="array" ref="P1059">TRUNC($I1059*(1+_xlfn.SWITCH($N1059,"BDI 1",$P$6,"BDI 2",$P$7,"BDI 3",$P$8)),2)</f>
        <v>13.62</v>
      </c>
      <c r="Q1059" s="157">
        <v>0</v>
      </c>
      <c r="R1059" s="157">
        <f t="shared" si="1774"/>
        <v>0</v>
      </c>
      <c r="S1059" s="156">
        <f t="shared" si="1775"/>
        <v>0</v>
      </c>
      <c r="T1059" s="156">
        <f t="shared" si="1776"/>
        <v>0</v>
      </c>
      <c r="U1059" s="156">
        <f t="shared" si="1777"/>
        <v>0</v>
      </c>
      <c r="V1059" s="156">
        <f t="shared" si="1778"/>
        <v>0</v>
      </c>
      <c r="W1059" s="156">
        <f t="shared" si="1779"/>
        <v>0</v>
      </c>
      <c r="X1059" s="158">
        <f t="shared" ref="X1059" si="1795">$S1059/ORCAMENTO_VALOR_TOTAL_ND</f>
        <v>0</v>
      </c>
      <c r="Y1059" s="158">
        <f t="shared" ref="Y1059" si="1796">$T1059/ORCAMENTO_VALOR_TOTAL_DE</f>
        <v>0</v>
      </c>
      <c r="Z1059" s="158" cm="1">
        <f t="array" ref="Z1059">_xlfn.SWITCH($N1059,"BDI 1",$O$6,"BDI 2",$O$7,"BDI 3",$O$8)</f>
        <v>0.20699999999999999</v>
      </c>
      <c r="AA1059" s="158" cm="1">
        <f t="array" ref="AA1059">_xlfn.SWITCH($N1059,"BDI 1",$P$6,"BDI 2",$P$7,"BDI 3",$P$8)</f>
        <v>0.26739999999999997</v>
      </c>
      <c r="AB1059" s="158">
        <f t="shared" ca="1" si="1782"/>
        <v>0</v>
      </c>
      <c r="AC1059" s="158">
        <f t="shared" ca="1" si="1783"/>
        <v>0</v>
      </c>
      <c r="AD1059" s="164"/>
      <c r="AE1059" s="148">
        <f t="shared" si="1709"/>
        <v>0</v>
      </c>
      <c r="AF1059" s="149"/>
      <c r="AG1059" s="150"/>
      <c r="AH1059" s="159" t="e">
        <f t="shared" si="1784"/>
        <v>#DIV/0!</v>
      </c>
      <c r="AI1059" s="165" t="s">
        <v>101</v>
      </c>
      <c r="AJ1059" s="219"/>
      <c r="AK1059" s="219"/>
      <c r="AM1059" s="219"/>
      <c r="AN1059" s="219"/>
      <c r="AO1059" s="219"/>
      <c r="AP1059" s="219"/>
      <c r="AQ1059" s="219"/>
      <c r="AR1059" s="219"/>
    </row>
    <row r="1060" spans="1:44" s="49" customFormat="1" ht="40.15" hidden="1" customHeight="1">
      <c r="A1060" s="152">
        <f t="shared" ca="1" si="1710"/>
        <v>0</v>
      </c>
      <c r="B1060" s="153"/>
      <c r="C1060" s="154"/>
      <c r="D1060" s="154"/>
      <c r="E1060" s="161" t="s">
        <v>362</v>
      </c>
      <c r="F1060" s="154"/>
      <c r="G1060" s="154"/>
      <c r="H1060" s="152"/>
      <c r="I1060" s="152"/>
      <c r="J1060" s="154"/>
      <c r="K1060" s="154"/>
      <c r="L1060" s="154"/>
      <c r="M1060" s="154"/>
      <c r="N1060" s="154"/>
      <c r="O1060" s="162"/>
      <c r="P1060" s="162"/>
      <c r="Q1060" s="162"/>
      <c r="R1060" s="162"/>
      <c r="S1060" s="162"/>
      <c r="T1060" s="162"/>
      <c r="U1060" s="162"/>
      <c r="V1060" s="162"/>
      <c r="W1060" s="162"/>
      <c r="X1060" s="163"/>
      <c r="Y1060" s="163"/>
      <c r="Z1060" s="163"/>
      <c r="AA1060" s="163"/>
      <c r="AB1060" s="163"/>
      <c r="AC1060" s="163"/>
      <c r="AD1060" s="164"/>
      <c r="AE1060" s="148">
        <f t="shared" si="1709"/>
        <v>0</v>
      </c>
      <c r="AF1060" s="149"/>
      <c r="AG1060" s="150"/>
      <c r="AH1060" s="159"/>
      <c r="AI1060" s="160"/>
      <c r="AJ1060" s="105"/>
      <c r="AK1060" s="105"/>
      <c r="AM1060" s="105"/>
      <c r="AN1060" s="105"/>
      <c r="AO1060" s="105"/>
      <c r="AP1060" s="105"/>
      <c r="AQ1060" s="105"/>
      <c r="AR1060" s="105"/>
    </row>
    <row r="1061" spans="1:44" s="220" customFormat="1" ht="40.15" hidden="1" customHeight="1">
      <c r="A1061" s="152">
        <f t="shared" ca="1" si="1710"/>
        <v>0</v>
      </c>
      <c r="B1061" s="153">
        <v>94972</v>
      </c>
      <c r="C1061" s="154" t="str">
        <f>TEXT(B1061,"0")</f>
        <v>94972</v>
      </c>
      <c r="D1061" s="154" t="s">
        <v>1416</v>
      </c>
      <c r="E1061" s="155" t="s">
        <v>3952</v>
      </c>
      <c r="F1061" s="154"/>
      <c r="G1061" s="154" t="s">
        <v>464</v>
      </c>
      <c r="H1061" s="152">
        <v>500.26</v>
      </c>
      <c r="I1061" s="152">
        <v>499.21</v>
      </c>
      <c r="J1061" s="156"/>
      <c r="K1061" s="156"/>
      <c r="L1061" s="156">
        <f>IF($K1061&gt;$J1061,$K1061-$J1061,0)</f>
        <v>0</v>
      </c>
      <c r="M1061" s="156">
        <f>IF($K1061&lt;$J1061,$J1061-$K1061,0)</f>
        <v>0</v>
      </c>
      <c r="N1061" s="156" t="s">
        <v>83</v>
      </c>
      <c r="O1061" s="157" cm="1">
        <f t="array" ref="O1061">TRUNC($H1061*(1+_xlfn.SWITCH($N1061,"BDI 1",$O$6,"BDI 2",$O$7,"BDI 3",$O$8)),2)</f>
        <v>603.80999999999995</v>
      </c>
      <c r="P1061" s="157" cm="1">
        <f t="array" ref="P1061">TRUNC($I1061*(1+_xlfn.SWITCH($N1061,"BDI 1",$P$6,"BDI 2",$P$7,"BDI 3",$P$8)),2)</f>
        <v>632.69000000000005</v>
      </c>
      <c r="Q1061" s="157">
        <v>0</v>
      </c>
      <c r="R1061" s="157">
        <f>$Q1061-($Q1061*LICITACAO_DESCONTO)</f>
        <v>0</v>
      </c>
      <c r="S1061" s="156">
        <f>TRUNC($K1061*$O1061,2)</f>
        <v>0</v>
      </c>
      <c r="T1061" s="156">
        <f>TRUNC($K1061*$P1061,2)</f>
        <v>0</v>
      </c>
      <c r="U1061" s="156">
        <f>TRUNC($J1061*$R1061,2)</f>
        <v>0</v>
      </c>
      <c r="V1061" s="156">
        <f>TRUNC($K1061*$Q1061,2)</f>
        <v>0</v>
      </c>
      <c r="W1061" s="156">
        <f>TRUNC(V1061-U1061,2)</f>
        <v>0</v>
      </c>
      <c r="X1061" s="158">
        <f>$S1061/ORCAMENTO_VALOR_TOTAL_ND</f>
        <v>0</v>
      </c>
      <c r="Y1061" s="158">
        <f>$T1061/ORCAMENTO_VALOR_TOTAL_DE</f>
        <v>0</v>
      </c>
      <c r="Z1061" s="158" cm="1">
        <f t="array" ref="Z1061">_xlfn.SWITCH($N1061,"BDI 1",$O$6,"BDI 2",$O$7,"BDI 3",$O$8)</f>
        <v>0.20699999999999999</v>
      </c>
      <c r="AA1061" s="158" cm="1">
        <f t="array" ref="AA1061">_xlfn.SWITCH($N1061,"BDI 1",$P$6,"BDI 2",$P$7,"BDI 3",$P$8)</f>
        <v>0.26739999999999997</v>
      </c>
      <c r="AB1061" s="158">
        <f ca="1">IFERROR($S1061/_xlfn.XLOOKUP($AE1061,$B$16:$B$38,$S$16:$S$38),0)</f>
        <v>0</v>
      </c>
      <c r="AC1061" s="158">
        <f ca="1">IFERROR($T1061/_xlfn.XLOOKUP($AE1061,$B$16:$B$38,$T$16:$T$38),0)</f>
        <v>0</v>
      </c>
      <c r="AD1061" s="164"/>
      <c r="AE1061" s="148">
        <f t="shared" si="1709"/>
        <v>0</v>
      </c>
      <c r="AF1061" s="149"/>
      <c r="AG1061" s="150"/>
      <c r="AH1061" s="159" t="e">
        <f>+S1061/$S$961</f>
        <v>#DIV/0!</v>
      </c>
      <c r="AI1061" s="160"/>
      <c r="AJ1061" s="219"/>
      <c r="AK1061" s="219"/>
      <c r="AM1061" s="219"/>
      <c r="AN1061" s="219"/>
      <c r="AO1061" s="219"/>
      <c r="AP1061" s="219"/>
      <c r="AQ1061" s="219"/>
      <c r="AR1061" s="219"/>
    </row>
    <row r="1062" spans="1:44" s="220" customFormat="1" ht="40.15" hidden="1" customHeight="1">
      <c r="A1062" s="152">
        <f t="shared" ca="1" si="1710"/>
        <v>0</v>
      </c>
      <c r="B1062" s="153">
        <v>103670</v>
      </c>
      <c r="C1062" s="154" t="str">
        <f>TEXT(B1062,"0")</f>
        <v>103670</v>
      </c>
      <c r="D1062" s="154" t="s">
        <v>1416</v>
      </c>
      <c r="E1062" s="155" t="s">
        <v>3792</v>
      </c>
      <c r="F1062" s="154"/>
      <c r="G1062" s="154" t="s">
        <v>464</v>
      </c>
      <c r="H1062" s="152">
        <v>272.37</v>
      </c>
      <c r="I1062" s="152">
        <v>247.05</v>
      </c>
      <c r="J1062" s="156"/>
      <c r="K1062" s="156"/>
      <c r="L1062" s="156">
        <f>IF($K1062&gt;$J1062,$K1062-$J1062,0)</f>
        <v>0</v>
      </c>
      <c r="M1062" s="156">
        <f>IF($K1062&lt;$J1062,$J1062-$K1062,0)</f>
        <v>0</v>
      </c>
      <c r="N1062" s="156" t="s">
        <v>83</v>
      </c>
      <c r="O1062" s="157" cm="1">
        <f t="array" ref="O1062">TRUNC($H1062*(1+_xlfn.SWITCH($N1062,"BDI 1",$O$6,"BDI 2",$O$7,"BDI 3",$O$8)),2)</f>
        <v>328.75</v>
      </c>
      <c r="P1062" s="157" cm="1">
        <f t="array" ref="P1062">TRUNC($I1062*(1+_xlfn.SWITCH($N1062,"BDI 1",$P$6,"BDI 2",$P$7,"BDI 3",$P$8)),2)</f>
        <v>313.11</v>
      </c>
      <c r="Q1062" s="157">
        <v>0</v>
      </c>
      <c r="R1062" s="157">
        <f>$Q1062-($Q1062*LICITACAO_DESCONTO)</f>
        <v>0</v>
      </c>
      <c r="S1062" s="156">
        <f>TRUNC($K1062*$O1062,2)</f>
        <v>0</v>
      </c>
      <c r="T1062" s="156">
        <f>TRUNC($K1062*$P1062,2)</f>
        <v>0</v>
      </c>
      <c r="U1062" s="156">
        <f>TRUNC($J1062*$R1062,2)</f>
        <v>0</v>
      </c>
      <c r="V1062" s="156">
        <f>TRUNC($K1062*$Q1062,2)</f>
        <v>0</v>
      </c>
      <c r="W1062" s="156">
        <f>TRUNC(V1062-U1062,2)</f>
        <v>0</v>
      </c>
      <c r="X1062" s="158">
        <f>$S1062/ORCAMENTO_VALOR_TOTAL_ND</f>
        <v>0</v>
      </c>
      <c r="Y1062" s="158">
        <f>$T1062/ORCAMENTO_VALOR_TOTAL_DE</f>
        <v>0</v>
      </c>
      <c r="Z1062" s="158" cm="1">
        <f t="array" ref="Z1062">_xlfn.SWITCH($N1062,"BDI 1",$O$6,"BDI 2",$O$7,"BDI 3",$O$8)</f>
        <v>0.20699999999999999</v>
      </c>
      <c r="AA1062" s="158" cm="1">
        <f t="array" ref="AA1062">_xlfn.SWITCH($N1062,"BDI 1",$P$6,"BDI 2",$P$7,"BDI 3",$P$8)</f>
        <v>0.26739999999999997</v>
      </c>
      <c r="AB1062" s="158">
        <f ca="1">IFERROR($S1062/_xlfn.XLOOKUP($AE1062,$B$16:$B$38,$S$16:$S$38),0)</f>
        <v>0</v>
      </c>
      <c r="AC1062" s="158">
        <f ca="1">IFERROR($T1062/_xlfn.XLOOKUP($AE1062,$B$16:$B$38,$T$16:$T$38),0)</f>
        <v>0</v>
      </c>
      <c r="AD1062" s="164"/>
      <c r="AE1062" s="148">
        <f t="shared" si="1709"/>
        <v>0</v>
      </c>
      <c r="AF1062" s="149"/>
      <c r="AG1062" s="150"/>
      <c r="AH1062" s="159" t="e">
        <f>+S1062/$S$961</f>
        <v>#DIV/0!</v>
      </c>
      <c r="AI1062" s="160"/>
      <c r="AJ1062" s="219"/>
      <c r="AK1062" s="219"/>
      <c r="AM1062" s="219"/>
      <c r="AN1062" s="219"/>
      <c r="AO1062" s="219"/>
      <c r="AP1062" s="219"/>
      <c r="AQ1062" s="219"/>
      <c r="AR1062" s="219"/>
    </row>
    <row r="1063" spans="1:44" s="220" customFormat="1" ht="40.15" hidden="1" customHeight="1">
      <c r="A1063" s="152">
        <f t="shared" ca="1" si="1710"/>
        <v>0</v>
      </c>
      <c r="B1063" s="153">
        <v>96542</v>
      </c>
      <c r="C1063" s="154" t="str">
        <f>TEXT(B1063,"0")</f>
        <v>96542</v>
      </c>
      <c r="D1063" s="154" t="s">
        <v>1416</v>
      </c>
      <c r="E1063" s="155" t="s">
        <v>3953</v>
      </c>
      <c r="F1063" s="154"/>
      <c r="G1063" s="154" t="s">
        <v>1418</v>
      </c>
      <c r="H1063" s="152">
        <v>90.23</v>
      </c>
      <c r="I1063" s="152">
        <v>84.55</v>
      </c>
      <c r="J1063" s="156"/>
      <c r="K1063" s="156"/>
      <c r="L1063" s="156">
        <f>IF($K1063&gt;$J1063,$K1063-$J1063,0)</f>
        <v>0</v>
      </c>
      <c r="M1063" s="156">
        <f>IF($K1063&lt;$J1063,$J1063-$K1063,0)</f>
        <v>0</v>
      </c>
      <c r="N1063" s="156" t="s">
        <v>83</v>
      </c>
      <c r="O1063" s="157" cm="1">
        <f t="array" ref="O1063">TRUNC($H1063*(1+_xlfn.SWITCH($N1063,"BDI 1",$O$6,"BDI 2",$O$7,"BDI 3",$O$8)),2)</f>
        <v>108.9</v>
      </c>
      <c r="P1063" s="157" cm="1">
        <f t="array" ref="P1063">TRUNC($I1063*(1+_xlfn.SWITCH($N1063,"BDI 1",$P$6,"BDI 2",$P$7,"BDI 3",$P$8)),2)</f>
        <v>107.15</v>
      </c>
      <c r="Q1063" s="157">
        <v>0</v>
      </c>
      <c r="R1063" s="157">
        <f>$Q1063-($Q1063*LICITACAO_DESCONTO)</f>
        <v>0</v>
      </c>
      <c r="S1063" s="156">
        <f>TRUNC($K1063*$O1063,2)</f>
        <v>0</v>
      </c>
      <c r="T1063" s="156">
        <f>TRUNC($K1063*$P1063,2)</f>
        <v>0</v>
      </c>
      <c r="U1063" s="156">
        <f>TRUNC($J1063*$R1063,2)</f>
        <v>0</v>
      </c>
      <c r="V1063" s="156">
        <f>TRUNC($K1063*$Q1063,2)</f>
        <v>0</v>
      </c>
      <c r="W1063" s="156">
        <f>TRUNC(V1063-U1063,2)</f>
        <v>0</v>
      </c>
      <c r="X1063" s="158">
        <f>$S1063/ORCAMENTO_VALOR_TOTAL_ND</f>
        <v>0</v>
      </c>
      <c r="Y1063" s="158">
        <f>$T1063/ORCAMENTO_VALOR_TOTAL_DE</f>
        <v>0</v>
      </c>
      <c r="Z1063" s="158" cm="1">
        <f t="array" ref="Z1063">_xlfn.SWITCH($N1063,"BDI 1",$O$6,"BDI 2",$O$7,"BDI 3",$O$8)</f>
        <v>0.20699999999999999</v>
      </c>
      <c r="AA1063" s="158" cm="1">
        <f t="array" ref="AA1063">_xlfn.SWITCH($N1063,"BDI 1",$P$6,"BDI 2",$P$7,"BDI 3",$P$8)</f>
        <v>0.26739999999999997</v>
      </c>
      <c r="AB1063" s="158">
        <f ca="1">IFERROR($S1063/_xlfn.XLOOKUP($AE1063,$B$16:$B$38,$S$16:$S$38),0)</f>
        <v>0</v>
      </c>
      <c r="AC1063" s="158">
        <f ca="1">IFERROR($T1063/_xlfn.XLOOKUP($AE1063,$B$16:$B$38,$T$16:$T$38),0)</f>
        <v>0</v>
      </c>
      <c r="AD1063" s="164"/>
      <c r="AE1063" s="148">
        <f t="shared" si="1709"/>
        <v>0</v>
      </c>
      <c r="AF1063" s="149"/>
      <c r="AG1063" s="150"/>
      <c r="AH1063" s="159" t="e">
        <f>+S1063/$S$961</f>
        <v>#DIV/0!</v>
      </c>
      <c r="AI1063" s="165" t="s">
        <v>101</v>
      </c>
      <c r="AJ1063" s="219"/>
      <c r="AK1063" s="219"/>
      <c r="AM1063" s="219"/>
      <c r="AN1063" s="219"/>
      <c r="AO1063" s="219"/>
      <c r="AP1063" s="219"/>
      <c r="AQ1063" s="219"/>
      <c r="AR1063" s="219"/>
    </row>
    <row r="1064" spans="1:44" s="220" customFormat="1" ht="40.15" hidden="1" customHeight="1">
      <c r="A1064" s="152">
        <f t="shared" ca="1" si="1710"/>
        <v>0</v>
      </c>
      <c r="B1064" s="153">
        <v>92760</v>
      </c>
      <c r="C1064" s="154" t="str">
        <f>TEXT(B1064,"0")</f>
        <v>92760</v>
      </c>
      <c r="D1064" s="154" t="s">
        <v>1416</v>
      </c>
      <c r="E1064" s="155" t="s">
        <v>3948</v>
      </c>
      <c r="F1064" s="154"/>
      <c r="G1064" s="154" t="s">
        <v>3802</v>
      </c>
      <c r="H1064" s="152">
        <v>13.61</v>
      </c>
      <c r="I1064" s="152">
        <v>13.23</v>
      </c>
      <c r="J1064" s="156"/>
      <c r="K1064" s="156"/>
      <c r="L1064" s="156">
        <f>IF($K1064&gt;$J1064,$K1064-$J1064,0)</f>
        <v>0</v>
      </c>
      <c r="M1064" s="156">
        <f>IF($K1064&lt;$J1064,$J1064-$K1064,0)</f>
        <v>0</v>
      </c>
      <c r="N1064" s="156" t="s">
        <v>83</v>
      </c>
      <c r="O1064" s="157" cm="1">
        <f t="array" ref="O1064">TRUNC($H1064*(1+_xlfn.SWITCH($N1064,"BDI 1",$O$6,"BDI 2",$O$7,"BDI 3",$O$8)),2)</f>
        <v>16.420000000000002</v>
      </c>
      <c r="P1064" s="157" cm="1">
        <f t="array" ref="P1064">TRUNC($I1064*(1+_xlfn.SWITCH($N1064,"BDI 1",$P$6,"BDI 2",$P$7,"BDI 3",$P$8)),2)</f>
        <v>16.760000000000002</v>
      </c>
      <c r="Q1064" s="157">
        <v>0</v>
      </c>
      <c r="R1064" s="157">
        <f>$Q1064-($Q1064*LICITACAO_DESCONTO)</f>
        <v>0</v>
      </c>
      <c r="S1064" s="156">
        <f>TRUNC($K1064*$O1064,2)</f>
        <v>0</v>
      </c>
      <c r="T1064" s="156">
        <f>TRUNC($K1064*$P1064,2)</f>
        <v>0</v>
      </c>
      <c r="U1064" s="156">
        <f>TRUNC($J1064*$R1064,2)</f>
        <v>0</v>
      </c>
      <c r="V1064" s="156">
        <f>TRUNC($K1064*$Q1064,2)</f>
        <v>0</v>
      </c>
      <c r="W1064" s="156">
        <f>TRUNC(V1064-U1064,2)</f>
        <v>0</v>
      </c>
      <c r="X1064" s="158">
        <f>$S1064/ORCAMENTO_VALOR_TOTAL_ND</f>
        <v>0</v>
      </c>
      <c r="Y1064" s="158">
        <f>$T1064/ORCAMENTO_VALOR_TOTAL_DE</f>
        <v>0</v>
      </c>
      <c r="Z1064" s="158" cm="1">
        <f t="array" ref="Z1064">_xlfn.SWITCH($N1064,"BDI 1",$O$6,"BDI 2",$O$7,"BDI 3",$O$8)</f>
        <v>0.20699999999999999</v>
      </c>
      <c r="AA1064" s="158" cm="1">
        <f t="array" ref="AA1064">_xlfn.SWITCH($N1064,"BDI 1",$P$6,"BDI 2",$P$7,"BDI 3",$P$8)</f>
        <v>0.26739999999999997</v>
      </c>
      <c r="AB1064" s="158">
        <f ca="1">IFERROR($S1064/_xlfn.XLOOKUP($AE1064,$B$16:$B$38,$S$16:$S$38),0)</f>
        <v>0</v>
      </c>
      <c r="AC1064" s="158">
        <f ca="1">IFERROR($T1064/_xlfn.XLOOKUP($AE1064,$B$16:$B$38,$T$16:$T$38),0)</f>
        <v>0</v>
      </c>
      <c r="AD1064" s="164"/>
      <c r="AE1064" s="148">
        <f t="shared" si="1709"/>
        <v>0</v>
      </c>
      <c r="AF1064" s="149"/>
      <c r="AG1064" s="150"/>
      <c r="AH1064" s="159" t="e">
        <f>+S1064/$S$961</f>
        <v>#DIV/0!</v>
      </c>
      <c r="AI1064" s="165" t="s">
        <v>101</v>
      </c>
      <c r="AJ1064" s="219"/>
      <c r="AK1064" s="219"/>
      <c r="AM1064" s="219"/>
      <c r="AN1064" s="219"/>
      <c r="AO1064" s="219"/>
      <c r="AP1064" s="219"/>
      <c r="AQ1064" s="219"/>
      <c r="AR1064" s="219"/>
    </row>
    <row r="1065" spans="1:44" s="220" customFormat="1" ht="40.15" hidden="1" customHeight="1">
      <c r="A1065" s="152">
        <f t="shared" ca="1" si="1710"/>
        <v>0</v>
      </c>
      <c r="B1065" s="153">
        <v>92761</v>
      </c>
      <c r="C1065" s="154" t="str">
        <f>TEXT(B1065,"0")</f>
        <v>92761</v>
      </c>
      <c r="D1065" s="154" t="s">
        <v>1416</v>
      </c>
      <c r="E1065" s="155" t="s">
        <v>3954</v>
      </c>
      <c r="F1065" s="154"/>
      <c r="G1065" s="154" t="s">
        <v>3802</v>
      </c>
      <c r="H1065" s="152">
        <v>12.93</v>
      </c>
      <c r="I1065" s="152">
        <v>12.66</v>
      </c>
      <c r="J1065" s="156"/>
      <c r="K1065" s="156"/>
      <c r="L1065" s="156">
        <f>IF($K1065&gt;$J1065,$K1065-$J1065,0)</f>
        <v>0</v>
      </c>
      <c r="M1065" s="156">
        <f>IF($K1065&lt;$J1065,$J1065-$K1065,0)</f>
        <v>0</v>
      </c>
      <c r="N1065" s="156" t="s">
        <v>83</v>
      </c>
      <c r="O1065" s="157" cm="1">
        <f t="array" ref="O1065">TRUNC($H1065*(1+_xlfn.SWITCH($N1065,"BDI 1",$O$6,"BDI 2",$O$7,"BDI 3",$O$8)),2)</f>
        <v>15.6</v>
      </c>
      <c r="P1065" s="157" cm="1">
        <f t="array" ref="P1065">TRUNC($I1065*(1+_xlfn.SWITCH($N1065,"BDI 1",$P$6,"BDI 2",$P$7,"BDI 3",$P$8)),2)</f>
        <v>16.04</v>
      </c>
      <c r="Q1065" s="157">
        <v>0</v>
      </c>
      <c r="R1065" s="157">
        <f>$Q1065-($Q1065*LICITACAO_DESCONTO)</f>
        <v>0</v>
      </c>
      <c r="S1065" s="156">
        <f>TRUNC($K1065*$O1065,2)</f>
        <v>0</v>
      </c>
      <c r="T1065" s="156">
        <f>TRUNC($K1065*$P1065,2)</f>
        <v>0</v>
      </c>
      <c r="U1065" s="156">
        <f>TRUNC($J1065*$R1065,2)</f>
        <v>0</v>
      </c>
      <c r="V1065" s="156">
        <f>TRUNC($K1065*$Q1065,2)</f>
        <v>0</v>
      </c>
      <c r="W1065" s="156">
        <f>TRUNC(V1065-U1065,2)</f>
        <v>0</v>
      </c>
      <c r="X1065" s="158">
        <f>$S1065/ORCAMENTO_VALOR_TOTAL_ND</f>
        <v>0</v>
      </c>
      <c r="Y1065" s="158">
        <f>$T1065/ORCAMENTO_VALOR_TOTAL_DE</f>
        <v>0</v>
      </c>
      <c r="Z1065" s="158" cm="1">
        <f t="array" ref="Z1065">_xlfn.SWITCH($N1065,"BDI 1",$O$6,"BDI 2",$O$7,"BDI 3",$O$8)</f>
        <v>0.20699999999999999</v>
      </c>
      <c r="AA1065" s="158" cm="1">
        <f t="array" ref="AA1065">_xlfn.SWITCH($N1065,"BDI 1",$P$6,"BDI 2",$P$7,"BDI 3",$P$8)</f>
        <v>0.26739999999999997</v>
      </c>
      <c r="AB1065" s="158">
        <f ca="1">IFERROR($S1065/_xlfn.XLOOKUP($AE1065,$B$16:$B$38,$S$16:$S$38),0)</f>
        <v>0</v>
      </c>
      <c r="AC1065" s="158">
        <f ca="1">IFERROR($T1065/_xlfn.XLOOKUP($AE1065,$B$16:$B$38,$T$16:$T$38),0)</f>
        <v>0</v>
      </c>
      <c r="AD1065" s="164"/>
      <c r="AE1065" s="148">
        <f t="shared" si="1709"/>
        <v>0</v>
      </c>
      <c r="AF1065" s="149"/>
      <c r="AG1065" s="150"/>
      <c r="AH1065" s="159" t="e">
        <f>+S1065/$S$961</f>
        <v>#DIV/0!</v>
      </c>
      <c r="AI1065" s="165" t="s">
        <v>243</v>
      </c>
      <c r="AJ1065" s="219"/>
      <c r="AK1065" s="219"/>
      <c r="AM1065" s="219"/>
      <c r="AN1065" s="219"/>
      <c r="AO1065" s="219"/>
      <c r="AP1065" s="219"/>
      <c r="AQ1065" s="219"/>
      <c r="AR1065" s="219"/>
    </row>
    <row r="1066" spans="1:44" s="49" customFormat="1" ht="40.15" hidden="1" customHeight="1">
      <c r="A1066" s="152">
        <f t="shared" ca="1" si="1710"/>
        <v>0</v>
      </c>
      <c r="B1066" s="153"/>
      <c r="C1066" s="154"/>
      <c r="D1066" s="154"/>
      <c r="E1066" s="161" t="s">
        <v>363</v>
      </c>
      <c r="F1066" s="154"/>
      <c r="G1066" s="154"/>
      <c r="H1066" s="152"/>
      <c r="I1066" s="152"/>
      <c r="J1066" s="154"/>
      <c r="K1066" s="154"/>
      <c r="L1066" s="154"/>
      <c r="M1066" s="154"/>
      <c r="N1066" s="154"/>
      <c r="O1066" s="162"/>
      <c r="P1066" s="162"/>
      <c r="Q1066" s="162"/>
      <c r="R1066" s="162"/>
      <c r="S1066" s="162"/>
      <c r="T1066" s="162"/>
      <c r="U1066" s="162"/>
      <c r="V1066" s="162"/>
      <c r="W1066" s="162"/>
      <c r="X1066" s="163"/>
      <c r="Y1066" s="163"/>
      <c r="Z1066" s="163"/>
      <c r="AA1066" s="163"/>
      <c r="AB1066" s="163"/>
      <c r="AC1066" s="163"/>
      <c r="AD1066" s="164"/>
      <c r="AE1066" s="148">
        <f t="shared" si="1709"/>
        <v>0</v>
      </c>
      <c r="AF1066" s="149"/>
      <c r="AG1066" s="150"/>
      <c r="AH1066" s="159"/>
      <c r="AI1066" s="160"/>
      <c r="AJ1066" s="105"/>
      <c r="AK1066" s="105"/>
      <c r="AM1066" s="105"/>
      <c r="AN1066" s="105"/>
      <c r="AO1066" s="105"/>
      <c r="AP1066" s="105"/>
      <c r="AQ1066" s="105"/>
      <c r="AR1066" s="105"/>
    </row>
    <row r="1067" spans="1:44" s="220" customFormat="1" ht="40.15" hidden="1" customHeight="1">
      <c r="A1067" s="152">
        <f t="shared" ca="1" si="1710"/>
        <v>0</v>
      </c>
      <c r="B1067" s="153" t="s">
        <v>364</v>
      </c>
      <c r="C1067" s="154" t="str">
        <f t="shared" ref="C1067:C1077" si="1797">TEXT(B1067,"0")</f>
        <v>SEL-304</v>
      </c>
      <c r="D1067" s="154">
        <v>0</v>
      </c>
      <c r="E1067" s="155" t="s">
        <v>3766</v>
      </c>
      <c r="F1067" s="154"/>
      <c r="G1067" s="154">
        <v>0</v>
      </c>
      <c r="H1067" s="152">
        <v>0</v>
      </c>
      <c r="I1067" s="152">
        <v>0</v>
      </c>
      <c r="J1067" s="156"/>
      <c r="K1067" s="156"/>
      <c r="L1067" s="156">
        <f t="shared" ref="L1067:L1077" si="1798">IF($K1067&gt;$J1067,$K1067-$J1067,0)</f>
        <v>0</v>
      </c>
      <c r="M1067" s="156">
        <f t="shared" ref="M1067:M1077" si="1799">IF($K1067&lt;$J1067,$J1067-$K1067,0)</f>
        <v>0</v>
      </c>
      <c r="N1067" s="156" t="s">
        <v>83</v>
      </c>
      <c r="O1067" s="157" cm="1">
        <f t="array" ref="O1067">TRUNC($H1067*(1+_xlfn.SWITCH($N1067,"BDI 1",$O$6,"BDI 2",$O$7,"BDI 3",$O$8)),2)</f>
        <v>0</v>
      </c>
      <c r="P1067" s="157" cm="1">
        <f t="array" ref="P1067">TRUNC($I1067*(1+_xlfn.SWITCH($N1067,"BDI 1",$P$6,"BDI 2",$P$7,"BDI 3",$P$8)),2)</f>
        <v>0</v>
      </c>
      <c r="Q1067" s="157">
        <v>0</v>
      </c>
      <c r="R1067" s="157">
        <f t="shared" ref="R1067:R1077" si="1800">$Q1067-($Q1067*LICITACAO_DESCONTO)</f>
        <v>0</v>
      </c>
      <c r="S1067" s="156">
        <f t="shared" ref="S1067:S1077" si="1801">TRUNC($K1067*$O1067,2)</f>
        <v>0</v>
      </c>
      <c r="T1067" s="156">
        <f t="shared" ref="T1067:T1077" si="1802">TRUNC($K1067*$P1067,2)</f>
        <v>0</v>
      </c>
      <c r="U1067" s="156">
        <f t="shared" ref="U1067:U1077" si="1803">TRUNC($J1067*$R1067,2)</f>
        <v>0</v>
      </c>
      <c r="V1067" s="156">
        <f t="shared" ref="V1067:V1077" si="1804">TRUNC($K1067*$Q1067,2)</f>
        <v>0</v>
      </c>
      <c r="W1067" s="156">
        <f t="shared" ref="W1067:W1077" si="1805">TRUNC(V1067-U1067,2)</f>
        <v>0</v>
      </c>
      <c r="X1067" s="158">
        <f t="shared" ref="X1067" si="1806">$S1067/ORCAMENTO_VALOR_TOTAL_ND</f>
        <v>0</v>
      </c>
      <c r="Y1067" s="158">
        <f t="shared" ref="Y1067" si="1807">$T1067/ORCAMENTO_VALOR_TOTAL_DE</f>
        <v>0</v>
      </c>
      <c r="Z1067" s="158" cm="1">
        <f t="array" ref="Z1067">_xlfn.SWITCH($N1067,"BDI 1",$O$6,"BDI 2",$O$7,"BDI 3",$O$8)</f>
        <v>0.20699999999999999</v>
      </c>
      <c r="AA1067" s="158" cm="1">
        <f t="array" ref="AA1067">_xlfn.SWITCH($N1067,"BDI 1",$P$6,"BDI 2",$P$7,"BDI 3",$P$8)</f>
        <v>0.26739999999999997</v>
      </c>
      <c r="AB1067" s="158">
        <f t="shared" ref="AB1067:AB1077" ca="1" si="1808">IFERROR($S1067/_xlfn.XLOOKUP($AE1067,$B$16:$B$38,$S$16:$S$38),0)</f>
        <v>0</v>
      </c>
      <c r="AC1067" s="158">
        <f t="shared" ref="AC1067:AC1077" ca="1" si="1809">IFERROR($T1067/_xlfn.XLOOKUP($AE1067,$B$16:$B$38,$T$16:$T$38),0)</f>
        <v>0</v>
      </c>
      <c r="AD1067" s="164"/>
      <c r="AE1067" s="148">
        <f t="shared" si="1709"/>
        <v>0</v>
      </c>
      <c r="AF1067" s="149"/>
      <c r="AG1067" s="150"/>
      <c r="AH1067" s="159" t="e">
        <f t="shared" ref="AH1067:AH1077" si="1810">+S1067/$S$961</f>
        <v>#DIV/0!</v>
      </c>
      <c r="AI1067" s="160"/>
      <c r="AJ1067" s="184" t="e">
        <v>#N/A</v>
      </c>
      <c r="AK1067" s="183" t="e">
        <f>+K1067/AJ1067</f>
        <v>#N/A</v>
      </c>
      <c r="AM1067" s="219"/>
      <c r="AN1067" s="219"/>
      <c r="AO1067" s="219"/>
      <c r="AP1067" s="219"/>
      <c r="AQ1067" s="219" t="e">
        <f>K1067+K1082+K1096+K1108+#REF!+K1126+K1140+K1149+K1162+K1199+K1206</f>
        <v>#REF!</v>
      </c>
      <c r="AR1067" s="219"/>
    </row>
    <row r="1068" spans="1:44" s="220" customFormat="1" ht="40.15" hidden="1" customHeight="1">
      <c r="A1068" s="152">
        <f t="shared" ca="1" si="1710"/>
        <v>0</v>
      </c>
      <c r="B1068" s="153" t="s">
        <v>365</v>
      </c>
      <c r="C1068" s="154" t="str">
        <f t="shared" si="1797"/>
        <v>SEL-305</v>
      </c>
      <c r="D1068" s="154">
        <v>0</v>
      </c>
      <c r="E1068" s="155" t="s">
        <v>3766</v>
      </c>
      <c r="F1068" s="154"/>
      <c r="G1068" s="154">
        <v>0</v>
      </c>
      <c r="H1068" s="152">
        <v>0</v>
      </c>
      <c r="I1068" s="152">
        <v>0</v>
      </c>
      <c r="J1068" s="156"/>
      <c r="K1068" s="156"/>
      <c r="L1068" s="156">
        <f t="shared" si="1798"/>
        <v>0</v>
      </c>
      <c r="M1068" s="156">
        <f t="shared" si="1799"/>
        <v>0</v>
      </c>
      <c r="N1068" s="156" t="s">
        <v>83</v>
      </c>
      <c r="O1068" s="157" cm="1">
        <f t="array" ref="O1068">TRUNC($H1068*(1+_xlfn.SWITCH($N1068,"BDI 1",$O$6,"BDI 2",$O$7,"BDI 3",$O$8)),2)</f>
        <v>0</v>
      </c>
      <c r="P1068" s="157" cm="1">
        <f t="array" ref="P1068">TRUNC($I1068*(1+_xlfn.SWITCH($N1068,"BDI 1",$P$6,"BDI 2",$P$7,"BDI 3",$P$8)),2)</f>
        <v>0</v>
      </c>
      <c r="Q1068" s="157">
        <v>0</v>
      </c>
      <c r="R1068" s="157">
        <f t="shared" si="1800"/>
        <v>0</v>
      </c>
      <c r="S1068" s="156">
        <f t="shared" si="1801"/>
        <v>0</v>
      </c>
      <c r="T1068" s="156">
        <f t="shared" si="1802"/>
        <v>0</v>
      </c>
      <c r="U1068" s="156">
        <f t="shared" si="1803"/>
        <v>0</v>
      </c>
      <c r="V1068" s="156">
        <f t="shared" si="1804"/>
        <v>0</v>
      </c>
      <c r="W1068" s="156">
        <f t="shared" si="1805"/>
        <v>0</v>
      </c>
      <c r="X1068" s="158">
        <f t="shared" ref="X1068" si="1811">$S1068/ORCAMENTO_VALOR_TOTAL_ND</f>
        <v>0</v>
      </c>
      <c r="Y1068" s="158">
        <f t="shared" ref="Y1068" si="1812">$T1068/ORCAMENTO_VALOR_TOTAL_DE</f>
        <v>0</v>
      </c>
      <c r="Z1068" s="158" cm="1">
        <f t="array" ref="Z1068">_xlfn.SWITCH($N1068,"BDI 1",$O$6,"BDI 2",$O$7,"BDI 3",$O$8)</f>
        <v>0.20699999999999999</v>
      </c>
      <c r="AA1068" s="158" cm="1">
        <f t="array" ref="AA1068">_xlfn.SWITCH($N1068,"BDI 1",$P$6,"BDI 2",$P$7,"BDI 3",$P$8)</f>
        <v>0.26739999999999997</v>
      </c>
      <c r="AB1068" s="158">
        <f t="shared" ca="1" si="1808"/>
        <v>0</v>
      </c>
      <c r="AC1068" s="158">
        <f t="shared" ca="1" si="1809"/>
        <v>0</v>
      </c>
      <c r="AD1068" s="164"/>
      <c r="AE1068" s="148">
        <f t="shared" si="1709"/>
        <v>0</v>
      </c>
      <c r="AF1068" s="149"/>
      <c r="AG1068" s="150"/>
      <c r="AH1068" s="159" t="e">
        <f t="shared" si="1810"/>
        <v>#DIV/0!</v>
      </c>
      <c r="AI1068" s="165" t="s">
        <v>101</v>
      </c>
      <c r="AJ1068" s="219"/>
      <c r="AK1068" s="219"/>
      <c r="AM1068" s="219"/>
      <c r="AN1068" s="219"/>
      <c r="AO1068" s="219"/>
      <c r="AP1068" s="219"/>
      <c r="AQ1068" s="219"/>
      <c r="AR1068" s="219"/>
    </row>
    <row r="1069" spans="1:44" s="220" customFormat="1" ht="40.15" hidden="1" customHeight="1">
      <c r="A1069" s="152">
        <f t="shared" ca="1" si="1710"/>
        <v>0</v>
      </c>
      <c r="B1069" s="153" t="s">
        <v>366</v>
      </c>
      <c r="C1069" s="154" t="str">
        <f t="shared" si="1797"/>
        <v>SEL-306</v>
      </c>
      <c r="D1069" s="154">
        <v>0</v>
      </c>
      <c r="E1069" s="155" t="s">
        <v>3766</v>
      </c>
      <c r="F1069" s="154"/>
      <c r="G1069" s="154">
        <v>0</v>
      </c>
      <c r="H1069" s="152">
        <v>0</v>
      </c>
      <c r="I1069" s="152">
        <v>0</v>
      </c>
      <c r="J1069" s="156"/>
      <c r="K1069" s="156"/>
      <c r="L1069" s="156">
        <f t="shared" si="1798"/>
        <v>0</v>
      </c>
      <c r="M1069" s="156">
        <f t="shared" si="1799"/>
        <v>0</v>
      </c>
      <c r="N1069" s="156" t="s">
        <v>83</v>
      </c>
      <c r="O1069" s="157" cm="1">
        <f t="array" ref="O1069">TRUNC($H1069*(1+_xlfn.SWITCH($N1069,"BDI 1",$O$6,"BDI 2",$O$7,"BDI 3",$O$8)),2)</f>
        <v>0</v>
      </c>
      <c r="P1069" s="157" cm="1">
        <f t="array" ref="P1069">TRUNC($I1069*(1+_xlfn.SWITCH($N1069,"BDI 1",$P$6,"BDI 2",$P$7,"BDI 3",$P$8)),2)</f>
        <v>0</v>
      </c>
      <c r="Q1069" s="157">
        <v>0</v>
      </c>
      <c r="R1069" s="157">
        <f t="shared" si="1800"/>
        <v>0</v>
      </c>
      <c r="S1069" s="156">
        <f t="shared" si="1801"/>
        <v>0</v>
      </c>
      <c r="T1069" s="156">
        <f t="shared" si="1802"/>
        <v>0</v>
      </c>
      <c r="U1069" s="156">
        <f t="shared" si="1803"/>
        <v>0</v>
      </c>
      <c r="V1069" s="156">
        <f t="shared" si="1804"/>
        <v>0</v>
      </c>
      <c r="W1069" s="156">
        <f t="shared" si="1805"/>
        <v>0</v>
      </c>
      <c r="X1069" s="158">
        <f t="shared" ref="X1069" si="1813">$S1069/ORCAMENTO_VALOR_TOTAL_ND</f>
        <v>0</v>
      </c>
      <c r="Y1069" s="158">
        <f t="shared" ref="Y1069" si="1814">$T1069/ORCAMENTO_VALOR_TOTAL_DE</f>
        <v>0</v>
      </c>
      <c r="Z1069" s="158" cm="1">
        <f t="array" ref="Z1069">_xlfn.SWITCH($N1069,"BDI 1",$O$6,"BDI 2",$O$7,"BDI 3",$O$8)</f>
        <v>0.20699999999999999</v>
      </c>
      <c r="AA1069" s="158" cm="1">
        <f t="array" ref="AA1069">_xlfn.SWITCH($N1069,"BDI 1",$P$6,"BDI 2",$P$7,"BDI 3",$P$8)</f>
        <v>0.26739999999999997</v>
      </c>
      <c r="AB1069" s="158">
        <f t="shared" ca="1" si="1808"/>
        <v>0</v>
      </c>
      <c r="AC1069" s="158">
        <f t="shared" ca="1" si="1809"/>
        <v>0</v>
      </c>
      <c r="AD1069" s="164"/>
      <c r="AE1069" s="148">
        <f t="shared" si="1709"/>
        <v>0</v>
      </c>
      <c r="AF1069" s="149"/>
      <c r="AG1069" s="150"/>
      <c r="AH1069" s="159" t="e">
        <f t="shared" si="1810"/>
        <v>#DIV/0!</v>
      </c>
      <c r="AI1069" s="165" t="s">
        <v>243</v>
      </c>
      <c r="AJ1069" s="219"/>
      <c r="AK1069" s="219"/>
      <c r="AM1069" s="219"/>
      <c r="AN1069" s="219"/>
      <c r="AO1069" s="219"/>
      <c r="AP1069" s="219"/>
      <c r="AQ1069" s="219">
        <f>68.88*16</f>
        <v>1102.08</v>
      </c>
      <c r="AR1069" s="219"/>
    </row>
    <row r="1070" spans="1:44" s="220" customFormat="1" ht="40.15" hidden="1" customHeight="1">
      <c r="A1070" s="152">
        <f t="shared" ca="1" si="1710"/>
        <v>0</v>
      </c>
      <c r="B1070" s="153">
        <v>92760</v>
      </c>
      <c r="C1070" s="154" t="str">
        <f t="shared" si="1797"/>
        <v>92760</v>
      </c>
      <c r="D1070" s="154" t="s">
        <v>1416</v>
      </c>
      <c r="E1070" s="155" t="s">
        <v>3948</v>
      </c>
      <c r="F1070" s="154"/>
      <c r="G1070" s="154" t="s">
        <v>3802</v>
      </c>
      <c r="H1070" s="152">
        <v>13.61</v>
      </c>
      <c r="I1070" s="152">
        <v>13.23</v>
      </c>
      <c r="J1070" s="156"/>
      <c r="K1070" s="156"/>
      <c r="L1070" s="156">
        <f t="shared" si="1798"/>
        <v>0</v>
      </c>
      <c r="M1070" s="156">
        <f t="shared" si="1799"/>
        <v>0</v>
      </c>
      <c r="N1070" s="156" t="s">
        <v>83</v>
      </c>
      <c r="O1070" s="157" cm="1">
        <f t="array" ref="O1070">TRUNC($H1070*(1+_xlfn.SWITCH($N1070,"BDI 1",$O$6,"BDI 2",$O$7,"BDI 3",$O$8)),2)</f>
        <v>16.420000000000002</v>
      </c>
      <c r="P1070" s="157" cm="1">
        <f t="array" ref="P1070">TRUNC($I1070*(1+_xlfn.SWITCH($N1070,"BDI 1",$P$6,"BDI 2",$P$7,"BDI 3",$P$8)),2)</f>
        <v>16.760000000000002</v>
      </c>
      <c r="Q1070" s="157">
        <v>0</v>
      </c>
      <c r="R1070" s="157">
        <f t="shared" si="1800"/>
        <v>0</v>
      </c>
      <c r="S1070" s="156">
        <f t="shared" si="1801"/>
        <v>0</v>
      </c>
      <c r="T1070" s="156">
        <f t="shared" si="1802"/>
        <v>0</v>
      </c>
      <c r="U1070" s="156">
        <f t="shared" si="1803"/>
        <v>0</v>
      </c>
      <c r="V1070" s="156">
        <f t="shared" si="1804"/>
        <v>0</v>
      </c>
      <c r="W1070" s="156">
        <f t="shared" si="1805"/>
        <v>0</v>
      </c>
      <c r="X1070" s="158">
        <f t="shared" ref="X1070" si="1815">$S1070/ORCAMENTO_VALOR_TOTAL_ND</f>
        <v>0</v>
      </c>
      <c r="Y1070" s="158">
        <f t="shared" ref="Y1070" si="1816">$T1070/ORCAMENTO_VALOR_TOTAL_DE</f>
        <v>0</v>
      </c>
      <c r="Z1070" s="158" cm="1">
        <f t="array" ref="Z1070">_xlfn.SWITCH($N1070,"BDI 1",$O$6,"BDI 2",$O$7,"BDI 3",$O$8)</f>
        <v>0.20699999999999999</v>
      </c>
      <c r="AA1070" s="158" cm="1">
        <f t="array" ref="AA1070">_xlfn.SWITCH($N1070,"BDI 1",$P$6,"BDI 2",$P$7,"BDI 3",$P$8)</f>
        <v>0.26739999999999997</v>
      </c>
      <c r="AB1070" s="158">
        <f t="shared" ca="1" si="1808"/>
        <v>0</v>
      </c>
      <c r="AC1070" s="158">
        <f t="shared" ca="1" si="1809"/>
        <v>0</v>
      </c>
      <c r="AD1070" s="164"/>
      <c r="AE1070" s="148">
        <f t="shared" si="1709"/>
        <v>0</v>
      </c>
      <c r="AF1070" s="149"/>
      <c r="AG1070" s="150"/>
      <c r="AH1070" s="159" t="e">
        <f t="shared" si="1810"/>
        <v>#DIV/0!</v>
      </c>
      <c r="AI1070" s="165" t="s">
        <v>101</v>
      </c>
      <c r="AJ1070" s="219"/>
      <c r="AK1070" s="219"/>
      <c r="AM1070" s="219"/>
      <c r="AN1070" s="219"/>
      <c r="AO1070" s="219"/>
      <c r="AP1070" s="219"/>
      <c r="AQ1070" s="219"/>
      <c r="AR1070" s="219"/>
    </row>
    <row r="1071" spans="1:44" s="220" customFormat="1" ht="40.15" hidden="1" customHeight="1">
      <c r="A1071" s="152">
        <f t="shared" ca="1" si="1710"/>
        <v>0</v>
      </c>
      <c r="B1071" s="153">
        <v>92761</v>
      </c>
      <c r="C1071" s="154" t="str">
        <f t="shared" si="1797"/>
        <v>92761</v>
      </c>
      <c r="D1071" s="154" t="s">
        <v>1416</v>
      </c>
      <c r="E1071" s="155" t="s">
        <v>3954</v>
      </c>
      <c r="F1071" s="154"/>
      <c r="G1071" s="154" t="s">
        <v>3802</v>
      </c>
      <c r="H1071" s="152">
        <v>12.93</v>
      </c>
      <c r="I1071" s="152">
        <v>12.66</v>
      </c>
      <c r="J1071" s="156"/>
      <c r="K1071" s="156"/>
      <c r="L1071" s="156">
        <f t="shared" si="1798"/>
        <v>0</v>
      </c>
      <c r="M1071" s="156">
        <f t="shared" si="1799"/>
        <v>0</v>
      </c>
      <c r="N1071" s="156" t="s">
        <v>83</v>
      </c>
      <c r="O1071" s="157" cm="1">
        <f t="array" ref="O1071">TRUNC($H1071*(1+_xlfn.SWITCH($N1071,"BDI 1",$O$6,"BDI 2",$O$7,"BDI 3",$O$8)),2)</f>
        <v>15.6</v>
      </c>
      <c r="P1071" s="157" cm="1">
        <f t="array" ref="P1071">TRUNC($I1071*(1+_xlfn.SWITCH($N1071,"BDI 1",$P$6,"BDI 2",$P$7,"BDI 3",$P$8)),2)</f>
        <v>16.04</v>
      </c>
      <c r="Q1071" s="157">
        <v>0</v>
      </c>
      <c r="R1071" s="157">
        <f t="shared" si="1800"/>
        <v>0</v>
      </c>
      <c r="S1071" s="156">
        <f t="shared" si="1801"/>
        <v>0</v>
      </c>
      <c r="T1071" s="156">
        <f t="shared" si="1802"/>
        <v>0</v>
      </c>
      <c r="U1071" s="156">
        <f t="shared" si="1803"/>
        <v>0</v>
      </c>
      <c r="V1071" s="156">
        <f t="shared" si="1804"/>
        <v>0</v>
      </c>
      <c r="W1071" s="156">
        <f t="shared" si="1805"/>
        <v>0</v>
      </c>
      <c r="X1071" s="158">
        <f t="shared" ref="X1071" si="1817">$S1071/ORCAMENTO_VALOR_TOTAL_ND</f>
        <v>0</v>
      </c>
      <c r="Y1071" s="158">
        <f t="shared" ref="Y1071" si="1818">$T1071/ORCAMENTO_VALOR_TOTAL_DE</f>
        <v>0</v>
      </c>
      <c r="Z1071" s="158" cm="1">
        <f t="array" ref="Z1071">_xlfn.SWITCH($N1071,"BDI 1",$O$6,"BDI 2",$O$7,"BDI 3",$O$8)</f>
        <v>0.20699999999999999</v>
      </c>
      <c r="AA1071" s="158" cm="1">
        <f t="array" ref="AA1071">_xlfn.SWITCH($N1071,"BDI 1",$P$6,"BDI 2",$P$7,"BDI 3",$P$8)</f>
        <v>0.26739999999999997</v>
      </c>
      <c r="AB1071" s="158">
        <f t="shared" ca="1" si="1808"/>
        <v>0</v>
      </c>
      <c r="AC1071" s="158">
        <f t="shared" ca="1" si="1809"/>
        <v>0</v>
      </c>
      <c r="AD1071" s="164"/>
      <c r="AE1071" s="148">
        <f t="shared" si="1709"/>
        <v>0</v>
      </c>
      <c r="AF1071" s="149"/>
      <c r="AG1071" s="150"/>
      <c r="AH1071" s="159" t="e">
        <f t="shared" si="1810"/>
        <v>#DIV/0!</v>
      </c>
      <c r="AI1071" s="165" t="s">
        <v>243</v>
      </c>
      <c r="AJ1071" s="219"/>
      <c r="AK1071" s="219"/>
      <c r="AM1071" s="219"/>
      <c r="AN1071" s="219"/>
      <c r="AO1071" s="219"/>
      <c r="AP1071" s="219"/>
      <c r="AQ1071" s="219"/>
      <c r="AR1071" s="219"/>
    </row>
    <row r="1072" spans="1:44" s="220" customFormat="1" ht="40.15" hidden="1" customHeight="1">
      <c r="A1072" s="152">
        <f t="shared" ca="1" si="1710"/>
        <v>0</v>
      </c>
      <c r="B1072" s="153">
        <v>92762</v>
      </c>
      <c r="C1072" s="154" t="str">
        <f t="shared" si="1797"/>
        <v>92762</v>
      </c>
      <c r="D1072" s="154" t="s">
        <v>1416</v>
      </c>
      <c r="E1072" s="155" t="s">
        <v>3961</v>
      </c>
      <c r="F1072" s="154"/>
      <c r="G1072" s="154" t="s">
        <v>3802</v>
      </c>
      <c r="H1072" s="152">
        <v>11.59</v>
      </c>
      <c r="I1072" s="152">
        <v>11.4</v>
      </c>
      <c r="J1072" s="156"/>
      <c r="K1072" s="156"/>
      <c r="L1072" s="156">
        <f t="shared" si="1798"/>
        <v>0</v>
      </c>
      <c r="M1072" s="156">
        <f t="shared" si="1799"/>
        <v>0</v>
      </c>
      <c r="N1072" s="156" t="s">
        <v>83</v>
      </c>
      <c r="O1072" s="157" cm="1">
        <f t="array" ref="O1072">TRUNC($H1072*(1+_xlfn.SWITCH($N1072,"BDI 1",$O$6,"BDI 2",$O$7,"BDI 3",$O$8)),2)</f>
        <v>13.98</v>
      </c>
      <c r="P1072" s="157" cm="1">
        <f t="array" ref="P1072">TRUNC($I1072*(1+_xlfn.SWITCH($N1072,"BDI 1",$P$6,"BDI 2",$P$7,"BDI 3",$P$8)),2)</f>
        <v>14.44</v>
      </c>
      <c r="Q1072" s="157">
        <v>0</v>
      </c>
      <c r="R1072" s="157">
        <f t="shared" si="1800"/>
        <v>0</v>
      </c>
      <c r="S1072" s="156">
        <f t="shared" si="1801"/>
        <v>0</v>
      </c>
      <c r="T1072" s="156">
        <f t="shared" si="1802"/>
        <v>0</v>
      </c>
      <c r="U1072" s="156">
        <f t="shared" si="1803"/>
        <v>0</v>
      </c>
      <c r="V1072" s="156">
        <f t="shared" si="1804"/>
        <v>0</v>
      </c>
      <c r="W1072" s="156">
        <f t="shared" si="1805"/>
        <v>0</v>
      </c>
      <c r="X1072" s="158">
        <f t="shared" ref="X1072" si="1819">$S1072/ORCAMENTO_VALOR_TOTAL_ND</f>
        <v>0</v>
      </c>
      <c r="Y1072" s="158">
        <f t="shared" ref="Y1072" si="1820">$T1072/ORCAMENTO_VALOR_TOTAL_DE</f>
        <v>0</v>
      </c>
      <c r="Z1072" s="158" cm="1">
        <f t="array" ref="Z1072">_xlfn.SWITCH($N1072,"BDI 1",$O$6,"BDI 2",$O$7,"BDI 3",$O$8)</f>
        <v>0.20699999999999999</v>
      </c>
      <c r="AA1072" s="158" cm="1">
        <f t="array" ref="AA1072">_xlfn.SWITCH($N1072,"BDI 1",$P$6,"BDI 2",$P$7,"BDI 3",$P$8)</f>
        <v>0.26739999999999997</v>
      </c>
      <c r="AB1072" s="158">
        <f t="shared" ca="1" si="1808"/>
        <v>0</v>
      </c>
      <c r="AC1072" s="158">
        <f t="shared" ca="1" si="1809"/>
        <v>0</v>
      </c>
      <c r="AD1072" s="164"/>
      <c r="AE1072" s="148">
        <f t="shared" si="1709"/>
        <v>0</v>
      </c>
      <c r="AF1072" s="149"/>
      <c r="AG1072" s="150"/>
      <c r="AH1072" s="159" t="e">
        <f t="shared" si="1810"/>
        <v>#DIV/0!</v>
      </c>
      <c r="AI1072" s="165" t="s">
        <v>101</v>
      </c>
      <c r="AJ1072" s="219"/>
      <c r="AK1072" s="219"/>
      <c r="AM1072" s="219"/>
      <c r="AN1072" s="219"/>
      <c r="AO1072" s="219"/>
      <c r="AP1072" s="219"/>
      <c r="AQ1072" s="219"/>
      <c r="AR1072" s="219"/>
    </row>
    <row r="1073" spans="1:44" s="220" customFormat="1" ht="40.15" hidden="1" customHeight="1">
      <c r="A1073" s="152">
        <f t="shared" ca="1" si="1710"/>
        <v>0</v>
      </c>
      <c r="B1073" s="153">
        <v>92766</v>
      </c>
      <c r="C1073" s="154" t="str">
        <f t="shared" si="1797"/>
        <v>92766</v>
      </c>
      <c r="D1073" s="154" t="s">
        <v>1416</v>
      </c>
      <c r="E1073" s="155" t="s">
        <v>3949</v>
      </c>
      <c r="F1073" s="154"/>
      <c r="G1073" s="154" t="s">
        <v>3802</v>
      </c>
      <c r="H1073" s="152">
        <v>10.77</v>
      </c>
      <c r="I1073" s="152">
        <v>10.66</v>
      </c>
      <c r="J1073" s="156"/>
      <c r="K1073" s="156"/>
      <c r="L1073" s="156">
        <f t="shared" si="1798"/>
        <v>0</v>
      </c>
      <c r="M1073" s="156">
        <f t="shared" si="1799"/>
        <v>0</v>
      </c>
      <c r="N1073" s="156" t="s">
        <v>83</v>
      </c>
      <c r="O1073" s="157" cm="1">
        <f t="array" ref="O1073">TRUNC($H1073*(1+_xlfn.SWITCH($N1073,"BDI 1",$O$6,"BDI 2",$O$7,"BDI 3",$O$8)),2)</f>
        <v>12.99</v>
      </c>
      <c r="P1073" s="157" cm="1">
        <f t="array" ref="P1073">TRUNC($I1073*(1+_xlfn.SWITCH($N1073,"BDI 1",$P$6,"BDI 2",$P$7,"BDI 3",$P$8)),2)</f>
        <v>13.51</v>
      </c>
      <c r="Q1073" s="157">
        <v>0</v>
      </c>
      <c r="R1073" s="157">
        <f t="shared" si="1800"/>
        <v>0</v>
      </c>
      <c r="S1073" s="156">
        <f t="shared" si="1801"/>
        <v>0</v>
      </c>
      <c r="T1073" s="156">
        <f t="shared" si="1802"/>
        <v>0</v>
      </c>
      <c r="U1073" s="156">
        <f t="shared" si="1803"/>
        <v>0</v>
      </c>
      <c r="V1073" s="156">
        <f t="shared" si="1804"/>
        <v>0</v>
      </c>
      <c r="W1073" s="156">
        <f t="shared" si="1805"/>
        <v>0</v>
      </c>
      <c r="X1073" s="158">
        <f t="shared" ref="X1073" si="1821">$S1073/ORCAMENTO_VALOR_TOTAL_ND</f>
        <v>0</v>
      </c>
      <c r="Y1073" s="158">
        <f t="shared" ref="Y1073" si="1822">$T1073/ORCAMENTO_VALOR_TOTAL_DE</f>
        <v>0</v>
      </c>
      <c r="Z1073" s="158" cm="1">
        <f t="array" ref="Z1073">_xlfn.SWITCH($N1073,"BDI 1",$O$6,"BDI 2",$O$7,"BDI 3",$O$8)</f>
        <v>0.20699999999999999</v>
      </c>
      <c r="AA1073" s="158" cm="1">
        <f t="array" ref="AA1073">_xlfn.SWITCH($N1073,"BDI 1",$P$6,"BDI 2",$P$7,"BDI 3",$P$8)</f>
        <v>0.26739999999999997</v>
      </c>
      <c r="AB1073" s="158">
        <f t="shared" ca="1" si="1808"/>
        <v>0</v>
      </c>
      <c r="AC1073" s="158">
        <f t="shared" ca="1" si="1809"/>
        <v>0</v>
      </c>
      <c r="AD1073" s="164"/>
      <c r="AE1073" s="148">
        <f t="shared" si="1709"/>
        <v>0</v>
      </c>
      <c r="AF1073" s="149"/>
      <c r="AG1073" s="150"/>
      <c r="AH1073" s="159" t="e">
        <f t="shared" si="1810"/>
        <v>#DIV/0!</v>
      </c>
      <c r="AI1073" s="165" t="s">
        <v>243</v>
      </c>
      <c r="AJ1073" s="219"/>
      <c r="AK1073" s="219"/>
      <c r="AM1073" s="219"/>
      <c r="AN1073" s="219"/>
      <c r="AO1073" s="219"/>
      <c r="AP1073" s="219"/>
      <c r="AQ1073" s="219"/>
      <c r="AR1073" s="219"/>
    </row>
    <row r="1074" spans="1:44" s="220" customFormat="1" ht="40.15" hidden="1" customHeight="1">
      <c r="A1074" s="152">
        <f t="shared" ca="1" si="1710"/>
        <v>0</v>
      </c>
      <c r="B1074" s="153" t="s">
        <v>367</v>
      </c>
      <c r="C1074" s="154" t="str">
        <f t="shared" si="1797"/>
        <v>EC/0180</v>
      </c>
      <c r="D1074" s="154" t="s">
        <v>3549</v>
      </c>
      <c r="E1074" s="155" t="s">
        <v>3963</v>
      </c>
      <c r="F1074" s="154"/>
      <c r="G1074" s="154" t="s">
        <v>3802</v>
      </c>
      <c r="H1074" s="152">
        <v>11.71</v>
      </c>
      <c r="I1074" s="152">
        <v>11.69</v>
      </c>
      <c r="J1074" s="156"/>
      <c r="K1074" s="156"/>
      <c r="L1074" s="156">
        <f t="shared" si="1798"/>
        <v>0</v>
      </c>
      <c r="M1074" s="156">
        <f t="shared" si="1799"/>
        <v>0</v>
      </c>
      <c r="N1074" s="156" t="s">
        <v>83</v>
      </c>
      <c r="O1074" s="157" cm="1">
        <f t="array" ref="O1074">TRUNC($H1074*(1+_xlfn.SWITCH($N1074,"BDI 1",$O$6,"BDI 2",$O$7,"BDI 3",$O$8)),2)</f>
        <v>14.13</v>
      </c>
      <c r="P1074" s="157" cm="1">
        <f t="array" ref="P1074">TRUNC($I1074*(1+_xlfn.SWITCH($N1074,"BDI 1",$P$6,"BDI 2",$P$7,"BDI 3",$P$8)),2)</f>
        <v>14.81</v>
      </c>
      <c r="Q1074" s="157">
        <v>0</v>
      </c>
      <c r="R1074" s="157">
        <f t="shared" si="1800"/>
        <v>0</v>
      </c>
      <c r="S1074" s="156">
        <f t="shared" si="1801"/>
        <v>0</v>
      </c>
      <c r="T1074" s="156">
        <f t="shared" si="1802"/>
        <v>0</v>
      </c>
      <c r="U1074" s="156">
        <f t="shared" si="1803"/>
        <v>0</v>
      </c>
      <c r="V1074" s="156">
        <f t="shared" si="1804"/>
        <v>0</v>
      </c>
      <c r="W1074" s="156">
        <f t="shared" si="1805"/>
        <v>0</v>
      </c>
      <c r="X1074" s="158">
        <f t="shared" ref="X1074" si="1823">$S1074/ORCAMENTO_VALOR_TOTAL_ND</f>
        <v>0</v>
      </c>
      <c r="Y1074" s="158">
        <f t="shared" ref="Y1074" si="1824">$T1074/ORCAMENTO_VALOR_TOTAL_DE</f>
        <v>0</v>
      </c>
      <c r="Z1074" s="158" cm="1">
        <f t="array" ref="Z1074">_xlfn.SWITCH($N1074,"BDI 1",$O$6,"BDI 2",$O$7,"BDI 3",$O$8)</f>
        <v>0.20699999999999999</v>
      </c>
      <c r="AA1074" s="158" cm="1">
        <f t="array" ref="AA1074">_xlfn.SWITCH($N1074,"BDI 1",$P$6,"BDI 2",$P$7,"BDI 3",$P$8)</f>
        <v>0.26739999999999997</v>
      </c>
      <c r="AB1074" s="158">
        <f t="shared" ca="1" si="1808"/>
        <v>0</v>
      </c>
      <c r="AC1074" s="158">
        <f t="shared" ca="1" si="1809"/>
        <v>0</v>
      </c>
      <c r="AD1074" s="164"/>
      <c r="AE1074" s="148">
        <f t="shared" si="1709"/>
        <v>0</v>
      </c>
      <c r="AF1074" s="149"/>
      <c r="AG1074" s="150"/>
      <c r="AH1074" s="159" t="e">
        <f t="shared" si="1810"/>
        <v>#DIV/0!</v>
      </c>
      <c r="AI1074" s="165" t="s">
        <v>101</v>
      </c>
      <c r="AJ1074" s="219"/>
      <c r="AK1074" s="219"/>
      <c r="AM1074" s="219"/>
      <c r="AN1074" s="219"/>
      <c r="AO1074" s="219"/>
      <c r="AP1074" s="219"/>
      <c r="AQ1074" s="219"/>
      <c r="AR1074" s="219"/>
    </row>
    <row r="1075" spans="1:44" s="220" customFormat="1" ht="40.15" hidden="1" customHeight="1">
      <c r="A1075" s="152">
        <f t="shared" ca="1" si="1710"/>
        <v>0</v>
      </c>
      <c r="B1075" s="153" t="s">
        <v>368</v>
      </c>
      <c r="C1075" s="154" t="str">
        <f t="shared" si="1797"/>
        <v>EC/0220</v>
      </c>
      <c r="D1075" s="154" t="s">
        <v>3549</v>
      </c>
      <c r="E1075" s="155" t="s">
        <v>3964</v>
      </c>
      <c r="F1075" s="154"/>
      <c r="G1075" s="154" t="s">
        <v>58</v>
      </c>
      <c r="H1075" s="152">
        <v>56.62</v>
      </c>
      <c r="I1075" s="152">
        <v>55.68</v>
      </c>
      <c r="J1075" s="156"/>
      <c r="K1075" s="156"/>
      <c r="L1075" s="156">
        <f t="shared" si="1798"/>
        <v>0</v>
      </c>
      <c r="M1075" s="156">
        <f t="shared" si="1799"/>
        <v>0</v>
      </c>
      <c r="N1075" s="156" t="s">
        <v>83</v>
      </c>
      <c r="O1075" s="157" cm="1">
        <f t="array" ref="O1075">TRUNC($H1075*(1+_xlfn.SWITCH($N1075,"BDI 1",$O$6,"BDI 2",$O$7,"BDI 3",$O$8)),2)</f>
        <v>68.34</v>
      </c>
      <c r="P1075" s="157" cm="1">
        <f t="array" ref="P1075">TRUNC($I1075*(1+_xlfn.SWITCH($N1075,"BDI 1",$P$6,"BDI 2",$P$7,"BDI 3",$P$8)),2)</f>
        <v>70.56</v>
      </c>
      <c r="Q1075" s="157">
        <v>0</v>
      </c>
      <c r="R1075" s="157">
        <f t="shared" si="1800"/>
        <v>0</v>
      </c>
      <c r="S1075" s="156">
        <f t="shared" si="1801"/>
        <v>0</v>
      </c>
      <c r="T1075" s="156">
        <f t="shared" si="1802"/>
        <v>0</v>
      </c>
      <c r="U1075" s="156">
        <f t="shared" si="1803"/>
        <v>0</v>
      </c>
      <c r="V1075" s="156">
        <f t="shared" si="1804"/>
        <v>0</v>
      </c>
      <c r="W1075" s="156">
        <f t="shared" si="1805"/>
        <v>0</v>
      </c>
      <c r="X1075" s="158">
        <f t="shared" ref="X1075" si="1825">$S1075/ORCAMENTO_VALOR_TOTAL_ND</f>
        <v>0</v>
      </c>
      <c r="Y1075" s="158">
        <f t="shared" ref="Y1075" si="1826">$T1075/ORCAMENTO_VALOR_TOTAL_DE</f>
        <v>0</v>
      </c>
      <c r="Z1075" s="158" cm="1">
        <f t="array" ref="Z1075">_xlfn.SWITCH($N1075,"BDI 1",$O$6,"BDI 2",$O$7,"BDI 3",$O$8)</f>
        <v>0.20699999999999999</v>
      </c>
      <c r="AA1075" s="158" cm="1">
        <f t="array" ref="AA1075">_xlfn.SWITCH($N1075,"BDI 1",$P$6,"BDI 2",$P$7,"BDI 3",$P$8)</f>
        <v>0.26739999999999997</v>
      </c>
      <c r="AB1075" s="158">
        <f t="shared" ca="1" si="1808"/>
        <v>0</v>
      </c>
      <c r="AC1075" s="158">
        <f t="shared" ca="1" si="1809"/>
        <v>0</v>
      </c>
      <c r="AD1075" s="164"/>
      <c r="AE1075" s="148">
        <f t="shared" si="1709"/>
        <v>0</v>
      </c>
      <c r="AF1075" s="149"/>
      <c r="AG1075" s="150"/>
      <c r="AH1075" s="159" t="e">
        <f t="shared" si="1810"/>
        <v>#DIV/0!</v>
      </c>
      <c r="AI1075" s="165" t="s">
        <v>243</v>
      </c>
      <c r="AJ1075" s="219"/>
      <c r="AK1075" s="219"/>
      <c r="AM1075" s="219"/>
      <c r="AN1075" s="219"/>
      <c r="AO1075" s="219"/>
      <c r="AP1075" s="219"/>
      <c r="AQ1075" s="219"/>
      <c r="AR1075" s="219"/>
    </row>
    <row r="1076" spans="1:44" s="220" customFormat="1" ht="40.15" hidden="1" customHeight="1">
      <c r="A1076" s="152">
        <f t="shared" ca="1" si="1710"/>
        <v>0</v>
      </c>
      <c r="B1076" s="153" t="s">
        <v>369</v>
      </c>
      <c r="C1076" s="154" t="str">
        <f t="shared" si="1797"/>
        <v>EC/0200</v>
      </c>
      <c r="D1076" s="154" t="s">
        <v>3549</v>
      </c>
      <c r="E1076" s="155" t="s">
        <v>3965</v>
      </c>
      <c r="F1076" s="154"/>
      <c r="G1076" s="154" t="s">
        <v>1412</v>
      </c>
      <c r="H1076" s="152">
        <v>1424.53</v>
      </c>
      <c r="I1076" s="152">
        <v>1420.25</v>
      </c>
      <c r="J1076" s="156"/>
      <c r="K1076" s="156"/>
      <c r="L1076" s="156">
        <f t="shared" si="1798"/>
        <v>0</v>
      </c>
      <c r="M1076" s="156">
        <f t="shared" si="1799"/>
        <v>0</v>
      </c>
      <c r="N1076" s="156" t="s">
        <v>83</v>
      </c>
      <c r="O1076" s="157" cm="1">
        <f t="array" ref="O1076">TRUNC($H1076*(1+_xlfn.SWITCH($N1076,"BDI 1",$O$6,"BDI 2",$O$7,"BDI 3",$O$8)),2)</f>
        <v>1719.4</v>
      </c>
      <c r="P1076" s="157" cm="1">
        <f t="array" ref="P1076">TRUNC($I1076*(1+_xlfn.SWITCH($N1076,"BDI 1",$P$6,"BDI 2",$P$7,"BDI 3",$P$8)),2)</f>
        <v>1800.02</v>
      </c>
      <c r="Q1076" s="157">
        <v>0</v>
      </c>
      <c r="R1076" s="157">
        <f t="shared" si="1800"/>
        <v>0</v>
      </c>
      <c r="S1076" s="156">
        <f t="shared" si="1801"/>
        <v>0</v>
      </c>
      <c r="T1076" s="156">
        <f t="shared" si="1802"/>
        <v>0</v>
      </c>
      <c r="U1076" s="156">
        <f t="shared" si="1803"/>
        <v>0</v>
      </c>
      <c r="V1076" s="156">
        <f t="shared" si="1804"/>
        <v>0</v>
      </c>
      <c r="W1076" s="156">
        <f t="shared" si="1805"/>
        <v>0</v>
      </c>
      <c r="X1076" s="158">
        <f t="shared" ref="X1076" si="1827">$S1076/ORCAMENTO_VALOR_TOTAL_ND</f>
        <v>0</v>
      </c>
      <c r="Y1076" s="158">
        <f t="shared" ref="Y1076" si="1828">$T1076/ORCAMENTO_VALOR_TOTAL_DE</f>
        <v>0</v>
      </c>
      <c r="Z1076" s="158" cm="1">
        <f t="array" ref="Z1076">_xlfn.SWITCH($N1076,"BDI 1",$O$6,"BDI 2",$O$7,"BDI 3",$O$8)</f>
        <v>0.20699999999999999</v>
      </c>
      <c r="AA1076" s="158" cm="1">
        <f t="array" ref="AA1076">_xlfn.SWITCH($N1076,"BDI 1",$P$6,"BDI 2",$P$7,"BDI 3",$P$8)</f>
        <v>0.26739999999999997</v>
      </c>
      <c r="AB1076" s="158">
        <f t="shared" ca="1" si="1808"/>
        <v>0</v>
      </c>
      <c r="AC1076" s="158">
        <f t="shared" ca="1" si="1809"/>
        <v>0</v>
      </c>
      <c r="AD1076" s="164"/>
      <c r="AE1076" s="148">
        <f t="shared" si="1709"/>
        <v>0</v>
      </c>
      <c r="AF1076" s="149"/>
      <c r="AG1076" s="150"/>
      <c r="AH1076" s="159" t="e">
        <f t="shared" si="1810"/>
        <v>#DIV/0!</v>
      </c>
      <c r="AI1076" s="165" t="s">
        <v>101</v>
      </c>
      <c r="AJ1076" s="219"/>
      <c r="AK1076" s="219"/>
      <c r="AM1076" s="219"/>
      <c r="AN1076" s="219"/>
      <c r="AO1076" s="219"/>
      <c r="AP1076" s="219"/>
      <c r="AQ1076" s="219"/>
      <c r="AR1076" s="219"/>
    </row>
    <row r="1077" spans="1:44" s="220" customFormat="1" ht="40.15" hidden="1" customHeight="1">
      <c r="A1077" s="152">
        <f t="shared" ca="1" si="1710"/>
        <v>0</v>
      </c>
      <c r="B1077" s="153" t="s">
        <v>370</v>
      </c>
      <c r="C1077" s="154" t="str">
        <f t="shared" si="1797"/>
        <v>EC/0190</v>
      </c>
      <c r="D1077" s="154" t="s">
        <v>3549</v>
      </c>
      <c r="E1077" s="155" t="s">
        <v>3966</v>
      </c>
      <c r="F1077" s="154"/>
      <c r="G1077" s="154" t="s">
        <v>1412</v>
      </c>
      <c r="H1077" s="152">
        <v>3629.4</v>
      </c>
      <c r="I1077" s="152">
        <v>3600.25</v>
      </c>
      <c r="J1077" s="156"/>
      <c r="K1077" s="156"/>
      <c r="L1077" s="156">
        <f t="shared" si="1798"/>
        <v>0</v>
      </c>
      <c r="M1077" s="156">
        <f t="shared" si="1799"/>
        <v>0</v>
      </c>
      <c r="N1077" s="156" t="s">
        <v>83</v>
      </c>
      <c r="O1077" s="157" cm="1">
        <f t="array" ref="O1077">TRUNC($H1077*(1+_xlfn.SWITCH($N1077,"BDI 1",$O$6,"BDI 2",$O$7,"BDI 3",$O$8)),2)</f>
        <v>4380.68</v>
      </c>
      <c r="P1077" s="157" cm="1">
        <f t="array" ref="P1077">TRUNC($I1077*(1+_xlfn.SWITCH($N1077,"BDI 1",$P$6,"BDI 2",$P$7,"BDI 3",$P$8)),2)</f>
        <v>4562.95</v>
      </c>
      <c r="Q1077" s="157">
        <v>0</v>
      </c>
      <c r="R1077" s="157">
        <f t="shared" si="1800"/>
        <v>0</v>
      </c>
      <c r="S1077" s="156">
        <f t="shared" si="1801"/>
        <v>0</v>
      </c>
      <c r="T1077" s="156">
        <f t="shared" si="1802"/>
        <v>0</v>
      </c>
      <c r="U1077" s="156">
        <f t="shared" si="1803"/>
        <v>0</v>
      </c>
      <c r="V1077" s="156">
        <f t="shared" si="1804"/>
        <v>0</v>
      </c>
      <c r="W1077" s="156">
        <f t="shared" si="1805"/>
        <v>0</v>
      </c>
      <c r="X1077" s="158">
        <f t="shared" ref="X1077" si="1829">$S1077/ORCAMENTO_VALOR_TOTAL_ND</f>
        <v>0</v>
      </c>
      <c r="Y1077" s="158">
        <f t="shared" ref="Y1077" si="1830">$T1077/ORCAMENTO_VALOR_TOTAL_DE</f>
        <v>0</v>
      </c>
      <c r="Z1077" s="158" cm="1">
        <f t="array" ref="Z1077">_xlfn.SWITCH($N1077,"BDI 1",$O$6,"BDI 2",$O$7,"BDI 3",$O$8)</f>
        <v>0.20699999999999999</v>
      </c>
      <c r="AA1077" s="158" cm="1">
        <f t="array" ref="AA1077">_xlfn.SWITCH($N1077,"BDI 1",$P$6,"BDI 2",$P$7,"BDI 3",$P$8)</f>
        <v>0.26739999999999997</v>
      </c>
      <c r="AB1077" s="158">
        <f t="shared" ca="1" si="1808"/>
        <v>0</v>
      </c>
      <c r="AC1077" s="158">
        <f t="shared" ca="1" si="1809"/>
        <v>0</v>
      </c>
      <c r="AD1077" s="164"/>
      <c r="AE1077" s="148">
        <f t="shared" si="1709"/>
        <v>0</v>
      </c>
      <c r="AF1077" s="149"/>
      <c r="AG1077" s="150"/>
      <c r="AH1077" s="159" t="e">
        <f t="shared" si="1810"/>
        <v>#DIV/0!</v>
      </c>
      <c r="AI1077" s="165" t="s">
        <v>243</v>
      </c>
      <c r="AJ1077" s="219"/>
      <c r="AK1077" s="219"/>
      <c r="AM1077" s="219"/>
      <c r="AN1077" s="219"/>
      <c r="AO1077" s="219"/>
      <c r="AP1077" s="219"/>
      <c r="AQ1077" s="219"/>
      <c r="AR1077" s="219"/>
    </row>
    <row r="1078" spans="1:44" s="49" customFormat="1" ht="40.15" hidden="1" customHeight="1">
      <c r="A1078" s="152">
        <f t="shared" ca="1" si="1710"/>
        <v>0</v>
      </c>
      <c r="B1078" s="153"/>
      <c r="C1078" s="154"/>
      <c r="D1078" s="154"/>
      <c r="E1078" s="161" t="s">
        <v>371</v>
      </c>
      <c r="F1078" s="154"/>
      <c r="G1078" s="154"/>
      <c r="H1078" s="152"/>
      <c r="I1078" s="152"/>
      <c r="J1078" s="154"/>
      <c r="K1078" s="154"/>
      <c r="L1078" s="154"/>
      <c r="M1078" s="154"/>
      <c r="N1078" s="154"/>
      <c r="O1078" s="162"/>
      <c r="P1078" s="162"/>
      <c r="Q1078" s="162"/>
      <c r="R1078" s="162"/>
      <c r="S1078" s="162"/>
      <c r="T1078" s="162"/>
      <c r="U1078" s="162"/>
      <c r="V1078" s="162"/>
      <c r="W1078" s="162"/>
      <c r="X1078" s="163"/>
      <c r="Y1078" s="163"/>
      <c r="Z1078" s="163"/>
      <c r="AA1078" s="163"/>
      <c r="AB1078" s="163"/>
      <c r="AC1078" s="163"/>
      <c r="AD1078" s="164"/>
      <c r="AE1078" s="148">
        <f t="shared" si="1709"/>
        <v>0</v>
      </c>
      <c r="AF1078" s="149"/>
      <c r="AG1078" s="150"/>
      <c r="AH1078" s="159"/>
      <c r="AI1078" s="160"/>
      <c r="AJ1078" s="105"/>
      <c r="AK1078" s="105"/>
      <c r="AM1078" s="105"/>
      <c r="AN1078" s="105"/>
      <c r="AO1078" s="105"/>
      <c r="AP1078" s="105"/>
      <c r="AQ1078" s="105"/>
      <c r="AR1078" s="105"/>
    </row>
    <row r="1079" spans="1:44" s="220" customFormat="1" ht="40.15" hidden="1" customHeight="1">
      <c r="A1079" s="152">
        <f t="shared" ca="1" si="1710"/>
        <v>0</v>
      </c>
      <c r="B1079" s="153">
        <v>94972</v>
      </c>
      <c r="C1079" s="154" t="str">
        <f t="shared" ref="C1079:C1084" si="1831">TEXT(B1079,"0")</f>
        <v>94972</v>
      </c>
      <c r="D1079" s="154" t="s">
        <v>1416</v>
      </c>
      <c r="E1079" s="155" t="s">
        <v>3952</v>
      </c>
      <c r="F1079" s="154"/>
      <c r="G1079" s="154" t="s">
        <v>464</v>
      </c>
      <c r="H1079" s="152">
        <v>500.26</v>
      </c>
      <c r="I1079" s="152">
        <v>499.21</v>
      </c>
      <c r="J1079" s="156"/>
      <c r="K1079" s="156"/>
      <c r="L1079" s="156">
        <f t="shared" ref="L1079:L1084" si="1832">IF($K1079&gt;$J1079,$K1079-$J1079,0)</f>
        <v>0</v>
      </c>
      <c r="M1079" s="156">
        <f t="shared" ref="M1079:M1084" si="1833">IF($K1079&lt;$J1079,$J1079-$K1079,0)</f>
        <v>0</v>
      </c>
      <c r="N1079" s="156" t="s">
        <v>83</v>
      </c>
      <c r="O1079" s="157" cm="1">
        <f t="array" ref="O1079">TRUNC($H1079*(1+_xlfn.SWITCH($N1079,"BDI 1",$O$6,"BDI 2",$O$7,"BDI 3",$O$8)),2)</f>
        <v>603.80999999999995</v>
      </c>
      <c r="P1079" s="157" cm="1">
        <f t="array" ref="P1079">TRUNC($I1079*(1+_xlfn.SWITCH($N1079,"BDI 1",$P$6,"BDI 2",$P$7,"BDI 3",$P$8)),2)</f>
        <v>632.69000000000005</v>
      </c>
      <c r="Q1079" s="157">
        <v>0</v>
      </c>
      <c r="R1079" s="157">
        <f t="shared" ref="R1079:R1084" si="1834">$Q1079-($Q1079*LICITACAO_DESCONTO)</f>
        <v>0</v>
      </c>
      <c r="S1079" s="156">
        <f t="shared" ref="S1079:S1084" si="1835">TRUNC($K1079*$O1079,2)</f>
        <v>0</v>
      </c>
      <c r="T1079" s="156">
        <f t="shared" ref="T1079:T1084" si="1836">TRUNC($K1079*$P1079,2)</f>
        <v>0</v>
      </c>
      <c r="U1079" s="156">
        <f t="shared" ref="U1079:U1084" si="1837">TRUNC($J1079*$R1079,2)</f>
        <v>0</v>
      </c>
      <c r="V1079" s="156">
        <f t="shared" ref="V1079:V1084" si="1838">TRUNC($K1079*$Q1079,2)</f>
        <v>0</v>
      </c>
      <c r="W1079" s="156">
        <f t="shared" ref="W1079:W1084" si="1839">TRUNC(V1079-U1079,2)</f>
        <v>0</v>
      </c>
      <c r="X1079" s="158">
        <f t="shared" ref="X1079" si="1840">$S1079/ORCAMENTO_VALOR_TOTAL_ND</f>
        <v>0</v>
      </c>
      <c r="Y1079" s="158">
        <f t="shared" ref="Y1079" si="1841">$T1079/ORCAMENTO_VALOR_TOTAL_DE</f>
        <v>0</v>
      </c>
      <c r="Z1079" s="158" cm="1">
        <f t="array" ref="Z1079">_xlfn.SWITCH($N1079,"BDI 1",$O$6,"BDI 2",$O$7,"BDI 3",$O$8)</f>
        <v>0.20699999999999999</v>
      </c>
      <c r="AA1079" s="158" cm="1">
        <f t="array" ref="AA1079">_xlfn.SWITCH($N1079,"BDI 1",$P$6,"BDI 2",$P$7,"BDI 3",$P$8)</f>
        <v>0.26739999999999997</v>
      </c>
      <c r="AB1079" s="158">
        <f t="shared" ref="AB1079:AB1084" ca="1" si="1842">IFERROR($S1079/_xlfn.XLOOKUP($AE1079,$B$16:$B$38,$S$16:$S$38),0)</f>
        <v>0</v>
      </c>
      <c r="AC1079" s="158">
        <f t="shared" ref="AC1079:AC1084" ca="1" si="1843">IFERROR($T1079/_xlfn.XLOOKUP($AE1079,$B$16:$B$38,$T$16:$T$38),0)</f>
        <v>0</v>
      </c>
      <c r="AD1079" s="164"/>
      <c r="AE1079" s="148">
        <f t="shared" si="1709"/>
        <v>0</v>
      </c>
      <c r="AF1079" s="149"/>
      <c r="AG1079" s="150"/>
      <c r="AH1079" s="159" t="e">
        <f t="shared" ref="AH1079:AH1084" si="1844">+S1079/$S$961</f>
        <v>#DIV/0!</v>
      </c>
      <c r="AI1079" s="160"/>
      <c r="AJ1079" s="219"/>
      <c r="AK1079" s="219"/>
      <c r="AM1079" s="219"/>
      <c r="AN1079" s="219"/>
      <c r="AO1079" s="219"/>
      <c r="AP1079" s="219"/>
      <c r="AQ1079" s="219"/>
      <c r="AR1079" s="219"/>
    </row>
    <row r="1080" spans="1:44" s="220" customFormat="1" ht="40.15" hidden="1" customHeight="1">
      <c r="A1080" s="152">
        <f t="shared" ca="1" si="1710"/>
        <v>0</v>
      </c>
      <c r="B1080" s="153">
        <v>103670</v>
      </c>
      <c r="C1080" s="154" t="str">
        <f t="shared" si="1831"/>
        <v>103670</v>
      </c>
      <c r="D1080" s="154" t="s">
        <v>1416</v>
      </c>
      <c r="E1080" s="155" t="s">
        <v>3792</v>
      </c>
      <c r="F1080" s="154"/>
      <c r="G1080" s="154" t="s">
        <v>464</v>
      </c>
      <c r="H1080" s="152">
        <v>272.37</v>
      </c>
      <c r="I1080" s="152">
        <v>247.05</v>
      </c>
      <c r="J1080" s="156"/>
      <c r="K1080" s="156">
        <f>K1079</f>
        <v>0</v>
      </c>
      <c r="L1080" s="156">
        <f t="shared" si="1832"/>
        <v>0</v>
      </c>
      <c r="M1080" s="156">
        <f t="shared" si="1833"/>
        <v>0</v>
      </c>
      <c r="N1080" s="156" t="s">
        <v>83</v>
      </c>
      <c r="O1080" s="157" cm="1">
        <f t="array" ref="O1080">TRUNC($H1080*(1+_xlfn.SWITCH($N1080,"BDI 1",$O$6,"BDI 2",$O$7,"BDI 3",$O$8)),2)</f>
        <v>328.75</v>
      </c>
      <c r="P1080" s="157" cm="1">
        <f t="array" ref="P1080">TRUNC($I1080*(1+_xlfn.SWITCH($N1080,"BDI 1",$P$6,"BDI 2",$P$7,"BDI 3",$P$8)),2)</f>
        <v>313.11</v>
      </c>
      <c r="Q1080" s="157">
        <v>0</v>
      </c>
      <c r="R1080" s="157">
        <f t="shared" si="1834"/>
        <v>0</v>
      </c>
      <c r="S1080" s="156">
        <f t="shared" si="1835"/>
        <v>0</v>
      </c>
      <c r="T1080" s="156">
        <f t="shared" si="1836"/>
        <v>0</v>
      </c>
      <c r="U1080" s="156">
        <f t="shared" si="1837"/>
        <v>0</v>
      </c>
      <c r="V1080" s="156">
        <f t="shared" si="1838"/>
        <v>0</v>
      </c>
      <c r="W1080" s="156">
        <f t="shared" si="1839"/>
        <v>0</v>
      </c>
      <c r="X1080" s="158">
        <f t="shared" ref="X1080" si="1845">$S1080/ORCAMENTO_VALOR_TOTAL_ND</f>
        <v>0</v>
      </c>
      <c r="Y1080" s="158">
        <f t="shared" ref="Y1080" si="1846">$T1080/ORCAMENTO_VALOR_TOTAL_DE</f>
        <v>0</v>
      </c>
      <c r="Z1080" s="158" cm="1">
        <f t="array" ref="Z1080">_xlfn.SWITCH($N1080,"BDI 1",$O$6,"BDI 2",$O$7,"BDI 3",$O$8)</f>
        <v>0.20699999999999999</v>
      </c>
      <c r="AA1080" s="158" cm="1">
        <f t="array" ref="AA1080">_xlfn.SWITCH($N1080,"BDI 1",$P$6,"BDI 2",$P$7,"BDI 3",$P$8)</f>
        <v>0.26739999999999997</v>
      </c>
      <c r="AB1080" s="158">
        <f t="shared" ca="1" si="1842"/>
        <v>0</v>
      </c>
      <c r="AC1080" s="158">
        <f t="shared" ca="1" si="1843"/>
        <v>0</v>
      </c>
      <c r="AD1080" s="164"/>
      <c r="AE1080" s="148">
        <f t="shared" si="1709"/>
        <v>0</v>
      </c>
      <c r="AF1080" s="149"/>
      <c r="AG1080" s="150"/>
      <c r="AH1080" s="159" t="e">
        <f t="shared" si="1844"/>
        <v>#DIV/0!</v>
      </c>
      <c r="AI1080" s="160"/>
      <c r="AJ1080" s="219"/>
      <c r="AK1080" s="219"/>
      <c r="AM1080" s="219"/>
      <c r="AN1080" s="219"/>
      <c r="AO1080" s="219"/>
      <c r="AP1080" s="219"/>
      <c r="AQ1080" s="219"/>
      <c r="AR1080" s="219"/>
    </row>
    <row r="1081" spans="1:44" s="220" customFormat="1" ht="40.15" hidden="1" customHeight="1">
      <c r="A1081" s="152">
        <f t="shared" ca="1" si="1710"/>
        <v>0</v>
      </c>
      <c r="B1081" s="153">
        <v>92419</v>
      </c>
      <c r="C1081" s="154" t="str">
        <f t="shared" si="1831"/>
        <v>92419</v>
      </c>
      <c r="D1081" s="154" t="s">
        <v>1416</v>
      </c>
      <c r="E1081" s="155" t="s">
        <v>3967</v>
      </c>
      <c r="F1081" s="154"/>
      <c r="G1081" s="154" t="s">
        <v>1418</v>
      </c>
      <c r="H1081" s="152">
        <v>96.17</v>
      </c>
      <c r="I1081" s="152">
        <v>83.7</v>
      </c>
      <c r="J1081" s="156"/>
      <c r="K1081" s="156"/>
      <c r="L1081" s="156">
        <f t="shared" si="1832"/>
        <v>0</v>
      </c>
      <c r="M1081" s="156">
        <f t="shared" si="1833"/>
        <v>0</v>
      </c>
      <c r="N1081" s="156" t="s">
        <v>83</v>
      </c>
      <c r="O1081" s="157" cm="1">
        <f t="array" ref="O1081">TRUNC($H1081*(1+_xlfn.SWITCH($N1081,"BDI 1",$O$6,"BDI 2",$O$7,"BDI 3",$O$8)),2)</f>
        <v>116.07</v>
      </c>
      <c r="P1081" s="157" cm="1">
        <f t="array" ref="P1081">TRUNC($I1081*(1+_xlfn.SWITCH($N1081,"BDI 1",$P$6,"BDI 2",$P$7,"BDI 3",$P$8)),2)</f>
        <v>106.08</v>
      </c>
      <c r="Q1081" s="157">
        <v>0</v>
      </c>
      <c r="R1081" s="157">
        <f t="shared" si="1834"/>
        <v>0</v>
      </c>
      <c r="S1081" s="156">
        <f t="shared" si="1835"/>
        <v>0</v>
      </c>
      <c r="T1081" s="156">
        <f t="shared" si="1836"/>
        <v>0</v>
      </c>
      <c r="U1081" s="156">
        <f t="shared" si="1837"/>
        <v>0</v>
      </c>
      <c r="V1081" s="156">
        <f t="shared" si="1838"/>
        <v>0</v>
      </c>
      <c r="W1081" s="156">
        <f t="shared" si="1839"/>
        <v>0</v>
      </c>
      <c r="X1081" s="158">
        <f t="shared" ref="X1081" si="1847">$S1081/ORCAMENTO_VALOR_TOTAL_ND</f>
        <v>0</v>
      </c>
      <c r="Y1081" s="158">
        <f t="shared" ref="Y1081" si="1848">$T1081/ORCAMENTO_VALOR_TOTAL_DE</f>
        <v>0</v>
      </c>
      <c r="Z1081" s="158" cm="1">
        <f t="array" ref="Z1081">_xlfn.SWITCH($N1081,"BDI 1",$O$6,"BDI 2",$O$7,"BDI 3",$O$8)</f>
        <v>0.20699999999999999</v>
      </c>
      <c r="AA1081" s="158" cm="1">
        <f t="array" ref="AA1081">_xlfn.SWITCH($N1081,"BDI 1",$P$6,"BDI 2",$P$7,"BDI 3",$P$8)</f>
        <v>0.26739999999999997</v>
      </c>
      <c r="AB1081" s="158">
        <f t="shared" ca="1" si="1842"/>
        <v>0</v>
      </c>
      <c r="AC1081" s="158">
        <f t="shared" ca="1" si="1843"/>
        <v>0</v>
      </c>
      <c r="AD1081" s="164"/>
      <c r="AE1081" s="148">
        <f t="shared" si="1709"/>
        <v>0</v>
      </c>
      <c r="AF1081" s="149"/>
      <c r="AG1081" s="150"/>
      <c r="AH1081" s="159" t="e">
        <f t="shared" si="1844"/>
        <v>#DIV/0!</v>
      </c>
      <c r="AI1081" s="165" t="s">
        <v>101</v>
      </c>
      <c r="AJ1081" s="219"/>
      <c r="AK1081" s="219"/>
      <c r="AM1081" s="219"/>
      <c r="AN1081" s="219"/>
      <c r="AO1081" s="219"/>
      <c r="AP1081" s="219"/>
      <c r="AQ1081" s="219"/>
      <c r="AR1081" s="219"/>
    </row>
    <row r="1082" spans="1:44" s="220" customFormat="1" ht="40.15" hidden="1" customHeight="1">
      <c r="A1082" s="152">
        <f t="shared" ca="1" si="1710"/>
        <v>0</v>
      </c>
      <c r="B1082" s="153">
        <v>92761</v>
      </c>
      <c r="C1082" s="154" t="str">
        <f t="shared" si="1831"/>
        <v>92761</v>
      </c>
      <c r="D1082" s="154" t="s">
        <v>1416</v>
      </c>
      <c r="E1082" s="155" t="s">
        <v>3954</v>
      </c>
      <c r="F1082" s="154"/>
      <c r="G1082" s="154" t="s">
        <v>3802</v>
      </c>
      <c r="H1082" s="152">
        <v>12.93</v>
      </c>
      <c r="I1082" s="152">
        <v>12.66</v>
      </c>
      <c r="J1082" s="156"/>
      <c r="K1082" s="156"/>
      <c r="L1082" s="156">
        <f t="shared" si="1832"/>
        <v>0</v>
      </c>
      <c r="M1082" s="156">
        <f t="shared" si="1833"/>
        <v>0</v>
      </c>
      <c r="N1082" s="156" t="s">
        <v>83</v>
      </c>
      <c r="O1082" s="157" cm="1">
        <f t="array" ref="O1082">TRUNC($H1082*(1+_xlfn.SWITCH($N1082,"BDI 1",$O$6,"BDI 2",$O$7,"BDI 3",$O$8)),2)</f>
        <v>15.6</v>
      </c>
      <c r="P1082" s="157" cm="1">
        <f t="array" ref="P1082">TRUNC($I1082*(1+_xlfn.SWITCH($N1082,"BDI 1",$P$6,"BDI 2",$P$7,"BDI 3",$P$8)),2)</f>
        <v>16.04</v>
      </c>
      <c r="Q1082" s="157">
        <v>0</v>
      </c>
      <c r="R1082" s="157">
        <f t="shared" si="1834"/>
        <v>0</v>
      </c>
      <c r="S1082" s="156">
        <f t="shared" si="1835"/>
        <v>0</v>
      </c>
      <c r="T1082" s="156">
        <f t="shared" si="1836"/>
        <v>0</v>
      </c>
      <c r="U1082" s="156">
        <f t="shared" si="1837"/>
        <v>0</v>
      </c>
      <c r="V1082" s="156">
        <f t="shared" si="1838"/>
        <v>0</v>
      </c>
      <c r="W1082" s="156">
        <f t="shared" si="1839"/>
        <v>0</v>
      </c>
      <c r="X1082" s="158">
        <f t="shared" ref="X1082" si="1849">$S1082/ORCAMENTO_VALOR_TOTAL_ND</f>
        <v>0</v>
      </c>
      <c r="Y1082" s="158">
        <f t="shared" ref="Y1082" si="1850">$T1082/ORCAMENTO_VALOR_TOTAL_DE</f>
        <v>0</v>
      </c>
      <c r="Z1082" s="158" cm="1">
        <f t="array" ref="Z1082">_xlfn.SWITCH($N1082,"BDI 1",$O$6,"BDI 2",$O$7,"BDI 3",$O$8)</f>
        <v>0.20699999999999999</v>
      </c>
      <c r="AA1082" s="158" cm="1">
        <f t="array" ref="AA1082">_xlfn.SWITCH($N1082,"BDI 1",$P$6,"BDI 2",$P$7,"BDI 3",$P$8)</f>
        <v>0.26739999999999997</v>
      </c>
      <c r="AB1082" s="158">
        <f t="shared" ca="1" si="1842"/>
        <v>0</v>
      </c>
      <c r="AC1082" s="158">
        <f t="shared" ca="1" si="1843"/>
        <v>0</v>
      </c>
      <c r="AD1082" s="164"/>
      <c r="AE1082" s="148">
        <f t="shared" si="1709"/>
        <v>0</v>
      </c>
      <c r="AF1082" s="149"/>
      <c r="AG1082" s="150"/>
      <c r="AH1082" s="159" t="e">
        <f t="shared" si="1844"/>
        <v>#DIV/0!</v>
      </c>
      <c r="AI1082" s="165" t="s">
        <v>101</v>
      </c>
      <c r="AJ1082" s="219"/>
      <c r="AK1082" s="219"/>
      <c r="AM1082" s="219"/>
      <c r="AN1082" s="219"/>
      <c r="AO1082" s="219"/>
      <c r="AP1082" s="219"/>
      <c r="AQ1082" s="219"/>
      <c r="AR1082" s="219"/>
    </row>
    <row r="1083" spans="1:44" s="220" customFormat="1" ht="40.15" hidden="1" customHeight="1">
      <c r="A1083" s="152">
        <f t="shared" ca="1" si="1710"/>
        <v>0</v>
      </c>
      <c r="B1083" s="153">
        <v>92759</v>
      </c>
      <c r="C1083" s="154" t="str">
        <f t="shared" si="1831"/>
        <v>92759</v>
      </c>
      <c r="D1083" s="154" t="s">
        <v>1416</v>
      </c>
      <c r="E1083" s="155" t="s">
        <v>3968</v>
      </c>
      <c r="F1083" s="154"/>
      <c r="G1083" s="154" t="s">
        <v>3802</v>
      </c>
      <c r="H1083" s="152">
        <v>14.2</v>
      </c>
      <c r="I1083" s="152">
        <v>13.66</v>
      </c>
      <c r="J1083" s="156"/>
      <c r="K1083" s="156"/>
      <c r="L1083" s="156">
        <f t="shared" si="1832"/>
        <v>0</v>
      </c>
      <c r="M1083" s="156">
        <f t="shared" si="1833"/>
        <v>0</v>
      </c>
      <c r="N1083" s="156" t="s">
        <v>83</v>
      </c>
      <c r="O1083" s="157" cm="1">
        <f t="array" ref="O1083">TRUNC($H1083*(1+_xlfn.SWITCH($N1083,"BDI 1",$O$6,"BDI 2",$O$7,"BDI 3",$O$8)),2)</f>
        <v>17.13</v>
      </c>
      <c r="P1083" s="157" cm="1">
        <f t="array" ref="P1083">TRUNC($I1083*(1+_xlfn.SWITCH($N1083,"BDI 1",$P$6,"BDI 2",$P$7,"BDI 3",$P$8)),2)</f>
        <v>17.309999999999999</v>
      </c>
      <c r="Q1083" s="157">
        <v>0</v>
      </c>
      <c r="R1083" s="157">
        <f t="shared" si="1834"/>
        <v>0</v>
      </c>
      <c r="S1083" s="156">
        <f t="shared" si="1835"/>
        <v>0</v>
      </c>
      <c r="T1083" s="156">
        <f t="shared" si="1836"/>
        <v>0</v>
      </c>
      <c r="U1083" s="156">
        <f t="shared" si="1837"/>
        <v>0</v>
      </c>
      <c r="V1083" s="156">
        <f t="shared" si="1838"/>
        <v>0</v>
      </c>
      <c r="W1083" s="156">
        <f t="shared" si="1839"/>
        <v>0</v>
      </c>
      <c r="X1083" s="158">
        <f t="shared" ref="X1083" si="1851">$S1083/ORCAMENTO_VALOR_TOTAL_ND</f>
        <v>0</v>
      </c>
      <c r="Y1083" s="158">
        <f t="shared" ref="Y1083" si="1852">$T1083/ORCAMENTO_VALOR_TOTAL_DE</f>
        <v>0</v>
      </c>
      <c r="Z1083" s="158" cm="1">
        <f t="array" ref="Z1083">_xlfn.SWITCH($N1083,"BDI 1",$O$6,"BDI 2",$O$7,"BDI 3",$O$8)</f>
        <v>0.20699999999999999</v>
      </c>
      <c r="AA1083" s="158" cm="1">
        <f t="array" ref="AA1083">_xlfn.SWITCH($N1083,"BDI 1",$P$6,"BDI 2",$P$7,"BDI 3",$P$8)</f>
        <v>0.26739999999999997</v>
      </c>
      <c r="AB1083" s="158">
        <f t="shared" ca="1" si="1842"/>
        <v>0</v>
      </c>
      <c r="AC1083" s="158">
        <f t="shared" ca="1" si="1843"/>
        <v>0</v>
      </c>
      <c r="AD1083" s="164"/>
      <c r="AE1083" s="148">
        <f t="shared" si="1709"/>
        <v>0</v>
      </c>
      <c r="AF1083" s="149"/>
      <c r="AG1083" s="150"/>
      <c r="AH1083" s="159" t="e">
        <f t="shared" si="1844"/>
        <v>#DIV/0!</v>
      </c>
      <c r="AI1083" s="165" t="s">
        <v>243</v>
      </c>
      <c r="AJ1083" s="219"/>
      <c r="AK1083" s="219"/>
      <c r="AM1083" s="219"/>
      <c r="AN1083" s="219"/>
      <c r="AO1083" s="219"/>
      <c r="AP1083" s="219"/>
      <c r="AQ1083" s="219"/>
      <c r="AR1083" s="219"/>
    </row>
    <row r="1084" spans="1:44" s="220" customFormat="1" ht="40.15" hidden="1" customHeight="1">
      <c r="A1084" s="152">
        <f t="shared" ca="1" si="1710"/>
        <v>0</v>
      </c>
      <c r="B1084" s="153">
        <v>92367</v>
      </c>
      <c r="C1084" s="154" t="str">
        <f t="shared" si="1831"/>
        <v>92367</v>
      </c>
      <c r="D1084" s="154" t="s">
        <v>1416</v>
      </c>
      <c r="E1084" s="155" t="s">
        <v>3969</v>
      </c>
      <c r="F1084" s="154"/>
      <c r="G1084" s="154" t="s">
        <v>58</v>
      </c>
      <c r="H1084" s="152">
        <v>110.76</v>
      </c>
      <c r="I1084" s="152">
        <v>112.43</v>
      </c>
      <c r="J1084" s="156"/>
      <c r="K1084" s="156"/>
      <c r="L1084" s="156">
        <f t="shared" si="1832"/>
        <v>0</v>
      </c>
      <c r="M1084" s="156">
        <f t="shared" si="1833"/>
        <v>0</v>
      </c>
      <c r="N1084" s="156" t="s">
        <v>83</v>
      </c>
      <c r="O1084" s="157" cm="1">
        <f t="array" ref="O1084">TRUNC($H1084*(1+_xlfn.SWITCH($N1084,"BDI 1",$O$6,"BDI 2",$O$7,"BDI 3",$O$8)),2)</f>
        <v>133.68</v>
      </c>
      <c r="P1084" s="157" cm="1">
        <f t="array" ref="P1084">TRUNC($I1084*(1+_xlfn.SWITCH($N1084,"BDI 1",$P$6,"BDI 2",$P$7,"BDI 3",$P$8)),2)</f>
        <v>142.49</v>
      </c>
      <c r="Q1084" s="157">
        <v>0</v>
      </c>
      <c r="R1084" s="157">
        <f t="shared" si="1834"/>
        <v>0</v>
      </c>
      <c r="S1084" s="156">
        <f t="shared" si="1835"/>
        <v>0</v>
      </c>
      <c r="T1084" s="156">
        <f t="shared" si="1836"/>
        <v>0</v>
      </c>
      <c r="U1084" s="156">
        <f t="shared" si="1837"/>
        <v>0</v>
      </c>
      <c r="V1084" s="156">
        <f t="shared" si="1838"/>
        <v>0</v>
      </c>
      <c r="W1084" s="156">
        <f t="shared" si="1839"/>
        <v>0</v>
      </c>
      <c r="X1084" s="158">
        <f t="shared" ref="X1084" si="1853">$S1084/ORCAMENTO_VALOR_TOTAL_ND</f>
        <v>0</v>
      </c>
      <c r="Y1084" s="158">
        <f t="shared" ref="Y1084" si="1854">$T1084/ORCAMENTO_VALOR_TOTAL_DE</f>
        <v>0</v>
      </c>
      <c r="Z1084" s="158" cm="1">
        <f t="array" ref="Z1084">_xlfn.SWITCH($N1084,"BDI 1",$O$6,"BDI 2",$O$7,"BDI 3",$O$8)</f>
        <v>0.20699999999999999</v>
      </c>
      <c r="AA1084" s="158" cm="1">
        <f t="array" ref="AA1084">_xlfn.SWITCH($N1084,"BDI 1",$P$6,"BDI 2",$P$7,"BDI 3",$P$8)</f>
        <v>0.26739999999999997</v>
      </c>
      <c r="AB1084" s="158">
        <f t="shared" ca="1" si="1842"/>
        <v>0</v>
      </c>
      <c r="AC1084" s="158">
        <f t="shared" ca="1" si="1843"/>
        <v>0</v>
      </c>
      <c r="AD1084" s="164"/>
      <c r="AE1084" s="148">
        <f t="shared" si="1709"/>
        <v>0</v>
      </c>
      <c r="AF1084" s="149"/>
      <c r="AG1084" s="150"/>
      <c r="AH1084" s="159" t="e">
        <f t="shared" si="1844"/>
        <v>#DIV/0!</v>
      </c>
      <c r="AI1084" s="165" t="s">
        <v>243</v>
      </c>
      <c r="AJ1084" s="219"/>
      <c r="AK1084" s="219"/>
      <c r="AM1084" s="219"/>
      <c r="AN1084" s="219"/>
      <c r="AO1084" s="219"/>
      <c r="AP1084" s="219"/>
      <c r="AQ1084" s="219"/>
      <c r="AR1084" s="219"/>
    </row>
    <row r="1085" spans="1:44" s="49" customFormat="1" ht="40.15" hidden="1" customHeight="1">
      <c r="A1085" s="152">
        <f t="shared" ca="1" si="1710"/>
        <v>0</v>
      </c>
      <c r="B1085" s="153"/>
      <c r="C1085" s="154"/>
      <c r="D1085" s="154"/>
      <c r="E1085" s="161" t="s">
        <v>372</v>
      </c>
      <c r="F1085" s="154"/>
      <c r="G1085" s="154"/>
      <c r="H1085" s="152"/>
      <c r="I1085" s="152"/>
      <c r="J1085" s="154"/>
      <c r="K1085" s="154"/>
      <c r="L1085" s="154"/>
      <c r="M1085" s="154"/>
      <c r="N1085" s="154"/>
      <c r="O1085" s="162"/>
      <c r="P1085" s="162"/>
      <c r="Q1085" s="162"/>
      <c r="R1085" s="162"/>
      <c r="S1085" s="162"/>
      <c r="T1085" s="162"/>
      <c r="U1085" s="162"/>
      <c r="V1085" s="162"/>
      <c r="W1085" s="162"/>
      <c r="X1085" s="163"/>
      <c r="Y1085" s="163"/>
      <c r="Z1085" s="163"/>
      <c r="AA1085" s="163"/>
      <c r="AB1085" s="163"/>
      <c r="AC1085" s="163"/>
      <c r="AD1085" s="164"/>
      <c r="AE1085" s="148">
        <f t="shared" si="1709"/>
        <v>0</v>
      </c>
      <c r="AF1085" s="149"/>
      <c r="AG1085" s="150"/>
      <c r="AH1085" s="159"/>
      <c r="AI1085" s="160"/>
      <c r="AJ1085" s="105"/>
      <c r="AK1085" s="105"/>
      <c r="AM1085" s="105"/>
      <c r="AN1085" s="105"/>
      <c r="AO1085" s="105"/>
      <c r="AP1085" s="105"/>
      <c r="AQ1085" s="105"/>
      <c r="AR1085" s="105"/>
    </row>
    <row r="1086" spans="1:44" s="220" customFormat="1" ht="40.15" hidden="1" customHeight="1">
      <c r="A1086" s="152">
        <f t="shared" ca="1" si="1710"/>
        <v>0</v>
      </c>
      <c r="B1086" s="153">
        <v>94972</v>
      </c>
      <c r="C1086" s="154" t="str">
        <f t="shared" ref="C1086:C1093" si="1855">TEXT(B1086,"0")</f>
        <v>94972</v>
      </c>
      <c r="D1086" s="154" t="s">
        <v>1416</v>
      </c>
      <c r="E1086" s="155" t="s">
        <v>3952</v>
      </c>
      <c r="F1086" s="154"/>
      <c r="G1086" s="154" t="s">
        <v>464</v>
      </c>
      <c r="H1086" s="152">
        <v>500.26</v>
      </c>
      <c r="I1086" s="152">
        <v>499.21</v>
      </c>
      <c r="J1086" s="156"/>
      <c r="K1086" s="156"/>
      <c r="L1086" s="156">
        <f t="shared" ref="L1086:L1093" si="1856">IF($K1086&gt;$J1086,$K1086-$J1086,0)</f>
        <v>0</v>
      </c>
      <c r="M1086" s="156">
        <f t="shared" ref="M1086:M1093" si="1857">IF($K1086&lt;$J1086,$J1086-$K1086,0)</f>
        <v>0</v>
      </c>
      <c r="N1086" s="156" t="s">
        <v>83</v>
      </c>
      <c r="O1086" s="157" cm="1">
        <f t="array" ref="O1086">TRUNC($H1086*(1+_xlfn.SWITCH($N1086,"BDI 1",$O$6,"BDI 2",$O$7,"BDI 3",$O$8)),2)</f>
        <v>603.80999999999995</v>
      </c>
      <c r="P1086" s="157" cm="1">
        <f t="array" ref="P1086">TRUNC($I1086*(1+_xlfn.SWITCH($N1086,"BDI 1",$P$6,"BDI 2",$P$7,"BDI 3",$P$8)),2)</f>
        <v>632.69000000000005</v>
      </c>
      <c r="Q1086" s="157">
        <v>0</v>
      </c>
      <c r="R1086" s="157">
        <f t="shared" ref="R1086:R1093" si="1858">$Q1086-($Q1086*LICITACAO_DESCONTO)</f>
        <v>0</v>
      </c>
      <c r="S1086" s="156">
        <f t="shared" ref="S1086:S1093" si="1859">TRUNC($K1086*$O1086,2)</f>
        <v>0</v>
      </c>
      <c r="T1086" s="156">
        <f t="shared" ref="T1086:T1093" si="1860">TRUNC($K1086*$P1086,2)</f>
        <v>0</v>
      </c>
      <c r="U1086" s="156">
        <f t="shared" ref="U1086:U1093" si="1861">TRUNC($J1086*$R1086,2)</f>
        <v>0</v>
      </c>
      <c r="V1086" s="156">
        <f t="shared" ref="V1086:V1093" si="1862">TRUNC($K1086*$Q1086,2)</f>
        <v>0</v>
      </c>
      <c r="W1086" s="156">
        <f t="shared" ref="W1086:W1093" si="1863">TRUNC(V1086-U1086,2)</f>
        <v>0</v>
      </c>
      <c r="X1086" s="158">
        <f t="shared" ref="X1086" si="1864">$S1086/ORCAMENTO_VALOR_TOTAL_ND</f>
        <v>0</v>
      </c>
      <c r="Y1086" s="158">
        <f t="shared" ref="Y1086" si="1865">$T1086/ORCAMENTO_VALOR_TOTAL_DE</f>
        <v>0</v>
      </c>
      <c r="Z1086" s="158" cm="1">
        <f t="array" ref="Z1086">_xlfn.SWITCH($N1086,"BDI 1",$O$6,"BDI 2",$O$7,"BDI 3",$O$8)</f>
        <v>0.20699999999999999</v>
      </c>
      <c r="AA1086" s="158" cm="1">
        <f t="array" ref="AA1086">_xlfn.SWITCH($N1086,"BDI 1",$P$6,"BDI 2",$P$7,"BDI 3",$P$8)</f>
        <v>0.26739999999999997</v>
      </c>
      <c r="AB1086" s="158">
        <f t="shared" ref="AB1086:AB1093" ca="1" si="1866">IFERROR($S1086/_xlfn.XLOOKUP($AE1086,$B$16:$B$38,$S$16:$S$38),0)</f>
        <v>0</v>
      </c>
      <c r="AC1086" s="158">
        <f t="shared" ref="AC1086:AC1093" ca="1" si="1867">IFERROR($T1086/_xlfn.XLOOKUP($AE1086,$B$16:$B$38,$T$16:$T$38),0)</f>
        <v>0</v>
      </c>
      <c r="AD1086" s="164"/>
      <c r="AE1086" s="148">
        <f t="shared" si="1709"/>
        <v>0</v>
      </c>
      <c r="AF1086" s="149"/>
      <c r="AG1086" s="150"/>
      <c r="AH1086" s="159" t="e">
        <f t="shared" ref="AH1086:AH1093" si="1868">+S1086/$S$961</f>
        <v>#DIV/0!</v>
      </c>
      <c r="AI1086" s="160"/>
      <c r="AJ1086" s="219"/>
      <c r="AK1086" s="219"/>
      <c r="AM1086" s="219"/>
      <c r="AN1086" s="219"/>
      <c r="AO1086" s="219"/>
      <c r="AP1086" s="219"/>
      <c r="AQ1086" s="219"/>
      <c r="AR1086" s="219"/>
    </row>
    <row r="1087" spans="1:44" s="220" customFormat="1" ht="40.15" hidden="1" customHeight="1">
      <c r="A1087" s="152">
        <f t="shared" ca="1" si="1710"/>
        <v>0</v>
      </c>
      <c r="B1087" s="153">
        <v>103670</v>
      </c>
      <c r="C1087" s="154" t="str">
        <f t="shared" si="1855"/>
        <v>103670</v>
      </c>
      <c r="D1087" s="154" t="s">
        <v>1416</v>
      </c>
      <c r="E1087" s="155" t="s">
        <v>3792</v>
      </c>
      <c r="F1087" s="154"/>
      <c r="G1087" s="154" t="s">
        <v>464</v>
      </c>
      <c r="H1087" s="152">
        <v>272.37</v>
      </c>
      <c r="I1087" s="152">
        <v>247.05</v>
      </c>
      <c r="J1087" s="156"/>
      <c r="K1087" s="156">
        <f>K1086</f>
        <v>0</v>
      </c>
      <c r="L1087" s="156">
        <f t="shared" si="1856"/>
        <v>0</v>
      </c>
      <c r="M1087" s="156">
        <f t="shared" si="1857"/>
        <v>0</v>
      </c>
      <c r="N1087" s="156" t="s">
        <v>83</v>
      </c>
      <c r="O1087" s="157" cm="1">
        <f t="array" ref="O1087">TRUNC($H1087*(1+_xlfn.SWITCH($N1087,"BDI 1",$O$6,"BDI 2",$O$7,"BDI 3",$O$8)),2)</f>
        <v>328.75</v>
      </c>
      <c r="P1087" s="157" cm="1">
        <f t="array" ref="P1087">TRUNC($I1087*(1+_xlfn.SWITCH($N1087,"BDI 1",$P$6,"BDI 2",$P$7,"BDI 3",$P$8)),2)</f>
        <v>313.11</v>
      </c>
      <c r="Q1087" s="157">
        <v>0</v>
      </c>
      <c r="R1087" s="157">
        <f t="shared" si="1858"/>
        <v>0</v>
      </c>
      <c r="S1087" s="156">
        <f t="shared" si="1859"/>
        <v>0</v>
      </c>
      <c r="T1087" s="156">
        <f t="shared" si="1860"/>
        <v>0</v>
      </c>
      <c r="U1087" s="156">
        <f t="shared" si="1861"/>
        <v>0</v>
      </c>
      <c r="V1087" s="156">
        <f t="shared" si="1862"/>
        <v>0</v>
      </c>
      <c r="W1087" s="156">
        <f t="shared" si="1863"/>
        <v>0</v>
      </c>
      <c r="X1087" s="158">
        <f t="shared" ref="X1087" si="1869">$S1087/ORCAMENTO_VALOR_TOTAL_ND</f>
        <v>0</v>
      </c>
      <c r="Y1087" s="158">
        <f t="shared" ref="Y1087" si="1870">$T1087/ORCAMENTO_VALOR_TOTAL_DE</f>
        <v>0</v>
      </c>
      <c r="Z1087" s="158" cm="1">
        <f t="array" ref="Z1087">_xlfn.SWITCH($N1087,"BDI 1",$O$6,"BDI 2",$O$7,"BDI 3",$O$8)</f>
        <v>0.20699999999999999</v>
      </c>
      <c r="AA1087" s="158" cm="1">
        <f t="array" ref="AA1087">_xlfn.SWITCH($N1087,"BDI 1",$P$6,"BDI 2",$P$7,"BDI 3",$P$8)</f>
        <v>0.26739999999999997</v>
      </c>
      <c r="AB1087" s="158">
        <f t="shared" ca="1" si="1866"/>
        <v>0</v>
      </c>
      <c r="AC1087" s="158">
        <f t="shared" ca="1" si="1867"/>
        <v>0</v>
      </c>
      <c r="AD1087" s="164"/>
      <c r="AE1087" s="148">
        <f t="shared" si="1709"/>
        <v>0</v>
      </c>
      <c r="AF1087" s="149"/>
      <c r="AG1087" s="150"/>
      <c r="AH1087" s="159" t="e">
        <f t="shared" si="1868"/>
        <v>#DIV/0!</v>
      </c>
      <c r="AI1087" s="160"/>
      <c r="AJ1087" s="219"/>
      <c r="AK1087" s="219"/>
      <c r="AM1087" s="219"/>
      <c r="AN1087" s="219"/>
      <c r="AO1087" s="219"/>
      <c r="AP1087" s="219"/>
      <c r="AQ1087" s="219"/>
      <c r="AR1087" s="219"/>
    </row>
    <row r="1088" spans="1:44" s="220" customFormat="1" ht="40.15" hidden="1" customHeight="1">
      <c r="A1088" s="152">
        <f t="shared" ca="1" si="1710"/>
        <v>0</v>
      </c>
      <c r="B1088" s="153">
        <v>94969</v>
      </c>
      <c r="C1088" s="154" t="str">
        <f t="shared" si="1855"/>
        <v>94969</v>
      </c>
      <c r="D1088" s="154" t="s">
        <v>1416</v>
      </c>
      <c r="E1088" s="155" t="s">
        <v>3936</v>
      </c>
      <c r="F1088" s="154"/>
      <c r="G1088" s="154" t="s">
        <v>464</v>
      </c>
      <c r="H1088" s="152">
        <v>422.25</v>
      </c>
      <c r="I1088" s="152">
        <v>421.36</v>
      </c>
      <c r="J1088" s="156"/>
      <c r="K1088" s="156"/>
      <c r="L1088" s="156">
        <f t="shared" si="1856"/>
        <v>0</v>
      </c>
      <c r="M1088" s="156">
        <f t="shared" si="1857"/>
        <v>0</v>
      </c>
      <c r="N1088" s="156" t="s">
        <v>83</v>
      </c>
      <c r="O1088" s="157" cm="1">
        <f t="array" ref="O1088">TRUNC($H1088*(1+_xlfn.SWITCH($N1088,"BDI 1",$O$6,"BDI 2",$O$7,"BDI 3",$O$8)),2)</f>
        <v>509.65</v>
      </c>
      <c r="P1088" s="157" cm="1">
        <f t="array" ref="P1088">TRUNC($I1088*(1+_xlfn.SWITCH($N1088,"BDI 1",$P$6,"BDI 2",$P$7,"BDI 3",$P$8)),2)</f>
        <v>534.03</v>
      </c>
      <c r="Q1088" s="157">
        <v>0</v>
      </c>
      <c r="R1088" s="157">
        <f t="shared" si="1858"/>
        <v>0</v>
      </c>
      <c r="S1088" s="156">
        <f t="shared" si="1859"/>
        <v>0</v>
      </c>
      <c r="T1088" s="156">
        <f t="shared" si="1860"/>
        <v>0</v>
      </c>
      <c r="U1088" s="156">
        <f t="shared" si="1861"/>
        <v>0</v>
      </c>
      <c r="V1088" s="156">
        <f t="shared" si="1862"/>
        <v>0</v>
      </c>
      <c r="W1088" s="156">
        <f t="shared" si="1863"/>
        <v>0</v>
      </c>
      <c r="X1088" s="158">
        <f t="shared" ref="X1088" si="1871">$S1088/ORCAMENTO_VALOR_TOTAL_ND</f>
        <v>0</v>
      </c>
      <c r="Y1088" s="158">
        <f t="shared" ref="Y1088" si="1872">$T1088/ORCAMENTO_VALOR_TOTAL_DE</f>
        <v>0</v>
      </c>
      <c r="Z1088" s="158" cm="1">
        <f t="array" ref="Z1088">_xlfn.SWITCH($N1088,"BDI 1",$O$6,"BDI 2",$O$7,"BDI 3",$O$8)</f>
        <v>0.20699999999999999</v>
      </c>
      <c r="AA1088" s="158" cm="1">
        <f t="array" ref="AA1088">_xlfn.SWITCH($N1088,"BDI 1",$P$6,"BDI 2",$P$7,"BDI 3",$P$8)</f>
        <v>0.26739999999999997</v>
      </c>
      <c r="AB1088" s="158">
        <f t="shared" ca="1" si="1866"/>
        <v>0</v>
      </c>
      <c r="AC1088" s="158">
        <f t="shared" ca="1" si="1867"/>
        <v>0</v>
      </c>
      <c r="AD1088" s="164"/>
      <c r="AE1088" s="148">
        <f t="shared" si="1709"/>
        <v>0</v>
      </c>
      <c r="AF1088" s="149"/>
      <c r="AG1088" s="150"/>
      <c r="AH1088" s="159" t="e">
        <f t="shared" si="1868"/>
        <v>#DIV/0!</v>
      </c>
      <c r="AI1088" s="165" t="s">
        <v>101</v>
      </c>
      <c r="AJ1088" s="219"/>
      <c r="AK1088" s="219"/>
      <c r="AM1088" s="219"/>
      <c r="AN1088" s="219"/>
      <c r="AO1088" s="219"/>
      <c r="AP1088" s="219"/>
      <c r="AQ1088" s="219"/>
      <c r="AR1088" s="219"/>
    </row>
    <row r="1089" spans="1:44" s="220" customFormat="1" ht="40.15" hidden="1" customHeight="1">
      <c r="A1089" s="152">
        <f t="shared" ca="1" si="1710"/>
        <v>0</v>
      </c>
      <c r="B1089" s="153">
        <v>103670</v>
      </c>
      <c r="C1089" s="154" t="str">
        <f t="shared" si="1855"/>
        <v>103670</v>
      </c>
      <c r="D1089" s="154" t="s">
        <v>1416</v>
      </c>
      <c r="E1089" s="155" t="s">
        <v>3792</v>
      </c>
      <c r="F1089" s="154"/>
      <c r="G1089" s="154" t="s">
        <v>464</v>
      </c>
      <c r="H1089" s="152">
        <v>272.37</v>
      </c>
      <c r="I1089" s="152">
        <v>247.05</v>
      </c>
      <c r="J1089" s="156"/>
      <c r="K1089" s="156"/>
      <c r="L1089" s="156">
        <f t="shared" si="1856"/>
        <v>0</v>
      </c>
      <c r="M1089" s="156">
        <f t="shared" si="1857"/>
        <v>0</v>
      </c>
      <c r="N1089" s="156" t="s">
        <v>83</v>
      </c>
      <c r="O1089" s="157" cm="1">
        <f t="array" ref="O1089">TRUNC($H1089*(1+_xlfn.SWITCH($N1089,"BDI 1",$O$6,"BDI 2",$O$7,"BDI 3",$O$8)),2)</f>
        <v>328.75</v>
      </c>
      <c r="P1089" s="157" cm="1">
        <f t="array" ref="P1089">TRUNC($I1089*(1+_xlfn.SWITCH($N1089,"BDI 1",$P$6,"BDI 2",$P$7,"BDI 3",$P$8)),2)</f>
        <v>313.11</v>
      </c>
      <c r="Q1089" s="157">
        <v>0</v>
      </c>
      <c r="R1089" s="157">
        <f t="shared" si="1858"/>
        <v>0</v>
      </c>
      <c r="S1089" s="156">
        <f t="shared" si="1859"/>
        <v>0</v>
      </c>
      <c r="T1089" s="156">
        <f t="shared" si="1860"/>
        <v>0</v>
      </c>
      <c r="U1089" s="156">
        <f t="shared" si="1861"/>
        <v>0</v>
      </c>
      <c r="V1089" s="156">
        <f t="shared" si="1862"/>
        <v>0</v>
      </c>
      <c r="W1089" s="156">
        <f t="shared" si="1863"/>
        <v>0</v>
      </c>
      <c r="X1089" s="158">
        <f t="shared" ref="X1089" si="1873">$S1089/ORCAMENTO_VALOR_TOTAL_ND</f>
        <v>0</v>
      </c>
      <c r="Y1089" s="158">
        <f t="shared" ref="Y1089" si="1874">$T1089/ORCAMENTO_VALOR_TOTAL_DE</f>
        <v>0</v>
      </c>
      <c r="Z1089" s="158" cm="1">
        <f t="array" ref="Z1089">_xlfn.SWITCH($N1089,"BDI 1",$O$6,"BDI 2",$O$7,"BDI 3",$O$8)</f>
        <v>0.20699999999999999</v>
      </c>
      <c r="AA1089" s="158" cm="1">
        <f t="array" ref="AA1089">_xlfn.SWITCH($N1089,"BDI 1",$P$6,"BDI 2",$P$7,"BDI 3",$P$8)</f>
        <v>0.26739999999999997</v>
      </c>
      <c r="AB1089" s="158">
        <f t="shared" ca="1" si="1866"/>
        <v>0</v>
      </c>
      <c r="AC1089" s="158">
        <f t="shared" ca="1" si="1867"/>
        <v>0</v>
      </c>
      <c r="AD1089" s="164"/>
      <c r="AE1089" s="148">
        <f t="shared" ref="AE1089:AE1098" si="1875">IF(S1089&gt;0,IFERROR(TRUNC(A1089,0),0),0)</f>
        <v>0</v>
      </c>
      <c r="AF1089" s="149"/>
      <c r="AG1089" s="150"/>
      <c r="AH1089" s="159" t="e">
        <f t="shared" si="1868"/>
        <v>#DIV/0!</v>
      </c>
      <c r="AI1089" s="165" t="s">
        <v>101</v>
      </c>
      <c r="AJ1089" s="219"/>
      <c r="AK1089" s="219"/>
      <c r="AM1089" s="219"/>
      <c r="AN1089" s="219"/>
      <c r="AO1089" s="219"/>
      <c r="AP1089" s="219"/>
      <c r="AQ1089" s="219"/>
      <c r="AR1089" s="219"/>
    </row>
    <row r="1090" spans="1:44" s="220" customFormat="1" ht="40.15" hidden="1" customHeight="1">
      <c r="A1090" s="152">
        <f t="shared" ref="A1090:A1117" ca="1" si="1876">+IF(K1090&gt;0,A1087+0.01,A1087)</f>
        <v>0</v>
      </c>
      <c r="B1090" s="153">
        <v>96542</v>
      </c>
      <c r="C1090" s="154" t="str">
        <f t="shared" si="1855"/>
        <v>96542</v>
      </c>
      <c r="D1090" s="154" t="s">
        <v>1416</v>
      </c>
      <c r="E1090" s="155" t="s">
        <v>3953</v>
      </c>
      <c r="F1090" s="154"/>
      <c r="G1090" s="154" t="s">
        <v>1418</v>
      </c>
      <c r="H1090" s="152">
        <v>90.23</v>
      </c>
      <c r="I1090" s="152">
        <v>84.55</v>
      </c>
      <c r="J1090" s="156"/>
      <c r="K1090" s="156"/>
      <c r="L1090" s="156">
        <f t="shared" si="1856"/>
        <v>0</v>
      </c>
      <c r="M1090" s="156">
        <f t="shared" si="1857"/>
        <v>0</v>
      </c>
      <c r="N1090" s="156" t="s">
        <v>83</v>
      </c>
      <c r="O1090" s="157" cm="1">
        <f t="array" ref="O1090">TRUNC($H1090*(1+_xlfn.SWITCH($N1090,"BDI 1",$O$6,"BDI 2",$O$7,"BDI 3",$O$8)),2)</f>
        <v>108.9</v>
      </c>
      <c r="P1090" s="157" cm="1">
        <f t="array" ref="P1090">TRUNC($I1090*(1+_xlfn.SWITCH($N1090,"BDI 1",$P$6,"BDI 2",$P$7,"BDI 3",$P$8)),2)</f>
        <v>107.15</v>
      </c>
      <c r="Q1090" s="157">
        <v>0</v>
      </c>
      <c r="R1090" s="157">
        <f t="shared" si="1858"/>
        <v>0</v>
      </c>
      <c r="S1090" s="156">
        <f t="shared" si="1859"/>
        <v>0</v>
      </c>
      <c r="T1090" s="156">
        <f t="shared" si="1860"/>
        <v>0</v>
      </c>
      <c r="U1090" s="156">
        <f t="shared" si="1861"/>
        <v>0</v>
      </c>
      <c r="V1090" s="156">
        <f t="shared" si="1862"/>
        <v>0</v>
      </c>
      <c r="W1090" s="156">
        <f t="shared" si="1863"/>
        <v>0</v>
      </c>
      <c r="X1090" s="158">
        <f t="shared" ref="X1090" si="1877">$S1090/ORCAMENTO_VALOR_TOTAL_ND</f>
        <v>0</v>
      </c>
      <c r="Y1090" s="158">
        <f t="shared" ref="Y1090" si="1878">$T1090/ORCAMENTO_VALOR_TOTAL_DE</f>
        <v>0</v>
      </c>
      <c r="Z1090" s="158" cm="1">
        <f t="array" ref="Z1090">_xlfn.SWITCH($N1090,"BDI 1",$O$6,"BDI 2",$O$7,"BDI 3",$O$8)</f>
        <v>0.20699999999999999</v>
      </c>
      <c r="AA1090" s="158" cm="1">
        <f t="array" ref="AA1090">_xlfn.SWITCH($N1090,"BDI 1",$P$6,"BDI 2",$P$7,"BDI 3",$P$8)</f>
        <v>0.26739999999999997</v>
      </c>
      <c r="AB1090" s="158">
        <f t="shared" ca="1" si="1866"/>
        <v>0</v>
      </c>
      <c r="AC1090" s="158">
        <f t="shared" ca="1" si="1867"/>
        <v>0</v>
      </c>
      <c r="AD1090" s="164"/>
      <c r="AE1090" s="148">
        <f t="shared" si="1875"/>
        <v>0</v>
      </c>
      <c r="AF1090" s="149"/>
      <c r="AG1090" s="150"/>
      <c r="AH1090" s="159" t="e">
        <f t="shared" si="1868"/>
        <v>#DIV/0!</v>
      </c>
      <c r="AI1090" s="165" t="s">
        <v>243</v>
      </c>
      <c r="AJ1090" s="219"/>
      <c r="AK1090" s="219"/>
      <c r="AM1090" s="219"/>
      <c r="AN1090" s="219"/>
      <c r="AO1090" s="219"/>
      <c r="AP1090" s="219"/>
      <c r="AQ1090" s="219"/>
      <c r="AR1090" s="219"/>
    </row>
    <row r="1091" spans="1:44" s="220" customFormat="1" ht="40.15" hidden="1" customHeight="1">
      <c r="A1091" s="152">
        <f t="shared" ca="1" si="1876"/>
        <v>0</v>
      </c>
      <c r="B1091" s="153">
        <v>92762</v>
      </c>
      <c r="C1091" s="154" t="str">
        <f t="shared" si="1855"/>
        <v>92762</v>
      </c>
      <c r="D1091" s="154" t="s">
        <v>1416</v>
      </c>
      <c r="E1091" s="155" t="s">
        <v>3961</v>
      </c>
      <c r="F1091" s="154"/>
      <c r="G1091" s="154" t="s">
        <v>3802</v>
      </c>
      <c r="H1091" s="152">
        <v>11.59</v>
      </c>
      <c r="I1091" s="152">
        <v>11.4</v>
      </c>
      <c r="J1091" s="156"/>
      <c r="K1091" s="156"/>
      <c r="L1091" s="156">
        <f t="shared" si="1856"/>
        <v>0</v>
      </c>
      <c r="M1091" s="156">
        <f t="shared" si="1857"/>
        <v>0</v>
      </c>
      <c r="N1091" s="156" t="s">
        <v>83</v>
      </c>
      <c r="O1091" s="157" cm="1">
        <f t="array" ref="O1091">TRUNC($H1091*(1+_xlfn.SWITCH($N1091,"BDI 1",$O$6,"BDI 2",$O$7,"BDI 3",$O$8)),2)</f>
        <v>13.98</v>
      </c>
      <c r="P1091" s="157" cm="1">
        <f t="array" ref="P1091">TRUNC($I1091*(1+_xlfn.SWITCH($N1091,"BDI 1",$P$6,"BDI 2",$P$7,"BDI 3",$P$8)),2)</f>
        <v>14.44</v>
      </c>
      <c r="Q1091" s="157">
        <v>0</v>
      </c>
      <c r="R1091" s="157">
        <f t="shared" si="1858"/>
        <v>0</v>
      </c>
      <c r="S1091" s="156">
        <f t="shared" si="1859"/>
        <v>0</v>
      </c>
      <c r="T1091" s="156">
        <f t="shared" si="1860"/>
        <v>0</v>
      </c>
      <c r="U1091" s="156">
        <f t="shared" si="1861"/>
        <v>0</v>
      </c>
      <c r="V1091" s="156">
        <f t="shared" si="1862"/>
        <v>0</v>
      </c>
      <c r="W1091" s="156">
        <f t="shared" si="1863"/>
        <v>0</v>
      </c>
      <c r="X1091" s="158">
        <f t="shared" ref="X1091" si="1879">$S1091/ORCAMENTO_VALOR_TOTAL_ND</f>
        <v>0</v>
      </c>
      <c r="Y1091" s="158">
        <f t="shared" ref="Y1091" si="1880">$T1091/ORCAMENTO_VALOR_TOTAL_DE</f>
        <v>0</v>
      </c>
      <c r="Z1091" s="158" cm="1">
        <f t="array" ref="Z1091">_xlfn.SWITCH($N1091,"BDI 1",$O$6,"BDI 2",$O$7,"BDI 3",$O$8)</f>
        <v>0.20699999999999999</v>
      </c>
      <c r="AA1091" s="158" cm="1">
        <f t="array" ref="AA1091">_xlfn.SWITCH($N1091,"BDI 1",$P$6,"BDI 2",$P$7,"BDI 3",$P$8)</f>
        <v>0.26739999999999997</v>
      </c>
      <c r="AB1091" s="158">
        <f t="shared" ca="1" si="1866"/>
        <v>0</v>
      </c>
      <c r="AC1091" s="158">
        <f t="shared" ca="1" si="1867"/>
        <v>0</v>
      </c>
      <c r="AD1091" s="164"/>
      <c r="AE1091" s="148">
        <f t="shared" si="1875"/>
        <v>0</v>
      </c>
      <c r="AF1091" s="149"/>
      <c r="AG1091" s="150"/>
      <c r="AH1091" s="159" t="e">
        <f t="shared" si="1868"/>
        <v>#DIV/0!</v>
      </c>
      <c r="AI1091" s="165" t="s">
        <v>243</v>
      </c>
      <c r="AJ1091" s="219"/>
      <c r="AK1091" s="219"/>
      <c r="AM1091" s="219"/>
      <c r="AN1091" s="219"/>
      <c r="AO1091" s="219"/>
      <c r="AP1091" s="219"/>
      <c r="AQ1091" s="219"/>
      <c r="AR1091" s="219"/>
    </row>
    <row r="1092" spans="1:44" s="220" customFormat="1" ht="40.15" hidden="1" customHeight="1">
      <c r="A1092" s="152">
        <f t="shared" ca="1" si="1876"/>
        <v>0</v>
      </c>
      <c r="B1092" s="153">
        <v>92763</v>
      </c>
      <c r="C1092" s="154" t="str">
        <f t="shared" si="1855"/>
        <v>92763</v>
      </c>
      <c r="D1092" s="154" t="s">
        <v>1416</v>
      </c>
      <c r="E1092" s="155" t="s">
        <v>3951</v>
      </c>
      <c r="F1092" s="154"/>
      <c r="G1092" s="154" t="s">
        <v>3802</v>
      </c>
      <c r="H1092" s="152">
        <v>9.7899999999999991</v>
      </c>
      <c r="I1092" s="152">
        <v>9.6300000000000008</v>
      </c>
      <c r="J1092" s="156"/>
      <c r="K1092" s="156"/>
      <c r="L1092" s="156">
        <f t="shared" si="1856"/>
        <v>0</v>
      </c>
      <c r="M1092" s="156">
        <f t="shared" si="1857"/>
        <v>0</v>
      </c>
      <c r="N1092" s="156" t="s">
        <v>83</v>
      </c>
      <c r="O1092" s="157" cm="1">
        <f t="array" ref="O1092">TRUNC($H1092*(1+_xlfn.SWITCH($N1092,"BDI 1",$O$6,"BDI 2",$O$7,"BDI 3",$O$8)),2)</f>
        <v>11.81</v>
      </c>
      <c r="P1092" s="157" cm="1">
        <f t="array" ref="P1092">TRUNC($I1092*(1+_xlfn.SWITCH($N1092,"BDI 1",$P$6,"BDI 2",$P$7,"BDI 3",$P$8)),2)</f>
        <v>12.2</v>
      </c>
      <c r="Q1092" s="157">
        <v>0</v>
      </c>
      <c r="R1092" s="157">
        <f t="shared" si="1858"/>
        <v>0</v>
      </c>
      <c r="S1092" s="156">
        <f t="shared" si="1859"/>
        <v>0</v>
      </c>
      <c r="T1092" s="156">
        <f t="shared" si="1860"/>
        <v>0</v>
      </c>
      <c r="U1092" s="156">
        <f t="shared" si="1861"/>
        <v>0</v>
      </c>
      <c r="V1092" s="156">
        <f t="shared" si="1862"/>
        <v>0</v>
      </c>
      <c r="W1092" s="156">
        <f t="shared" si="1863"/>
        <v>0</v>
      </c>
      <c r="X1092" s="158">
        <f t="shared" ref="X1092" si="1881">$S1092/ORCAMENTO_VALOR_TOTAL_ND</f>
        <v>0</v>
      </c>
      <c r="Y1092" s="158">
        <f t="shared" ref="Y1092" si="1882">$T1092/ORCAMENTO_VALOR_TOTAL_DE</f>
        <v>0</v>
      </c>
      <c r="Z1092" s="158" cm="1">
        <f t="array" ref="Z1092">_xlfn.SWITCH($N1092,"BDI 1",$O$6,"BDI 2",$O$7,"BDI 3",$O$8)</f>
        <v>0.20699999999999999</v>
      </c>
      <c r="AA1092" s="158" cm="1">
        <f t="array" ref="AA1092">_xlfn.SWITCH($N1092,"BDI 1",$P$6,"BDI 2",$P$7,"BDI 3",$P$8)</f>
        <v>0.26739999999999997</v>
      </c>
      <c r="AB1092" s="158">
        <f t="shared" ca="1" si="1866"/>
        <v>0</v>
      </c>
      <c r="AC1092" s="158">
        <f t="shared" ca="1" si="1867"/>
        <v>0</v>
      </c>
      <c r="AD1092" s="164"/>
      <c r="AE1092" s="148">
        <f t="shared" si="1875"/>
        <v>0</v>
      </c>
      <c r="AF1092" s="149"/>
      <c r="AG1092" s="150"/>
      <c r="AH1092" s="159" t="e">
        <f t="shared" si="1868"/>
        <v>#DIV/0!</v>
      </c>
      <c r="AI1092" s="165" t="s">
        <v>243</v>
      </c>
      <c r="AJ1092" s="219"/>
      <c r="AK1092" s="219"/>
      <c r="AM1092" s="219"/>
      <c r="AN1092" s="219"/>
      <c r="AO1092" s="219"/>
      <c r="AP1092" s="219"/>
      <c r="AQ1092" s="219"/>
      <c r="AR1092" s="219"/>
    </row>
    <row r="1093" spans="1:44" s="220" customFormat="1" ht="40.15" hidden="1" customHeight="1">
      <c r="A1093" s="152">
        <f t="shared" ca="1" si="1876"/>
        <v>0</v>
      </c>
      <c r="B1093" s="153">
        <v>92766</v>
      </c>
      <c r="C1093" s="154" t="str">
        <f t="shared" si="1855"/>
        <v>92766</v>
      </c>
      <c r="D1093" s="154" t="s">
        <v>1416</v>
      </c>
      <c r="E1093" s="155" t="s">
        <v>3949</v>
      </c>
      <c r="F1093" s="154"/>
      <c r="G1093" s="154" t="s">
        <v>3802</v>
      </c>
      <c r="H1093" s="152">
        <v>10.77</v>
      </c>
      <c r="I1093" s="152">
        <v>10.66</v>
      </c>
      <c r="J1093" s="156"/>
      <c r="K1093" s="156"/>
      <c r="L1093" s="156">
        <f t="shared" si="1856"/>
        <v>0</v>
      </c>
      <c r="M1093" s="156">
        <f t="shared" si="1857"/>
        <v>0</v>
      </c>
      <c r="N1093" s="156" t="s">
        <v>83</v>
      </c>
      <c r="O1093" s="157" cm="1">
        <f t="array" ref="O1093">TRUNC($H1093*(1+_xlfn.SWITCH($N1093,"BDI 1",$O$6,"BDI 2",$O$7,"BDI 3",$O$8)),2)</f>
        <v>12.99</v>
      </c>
      <c r="P1093" s="157" cm="1">
        <f t="array" ref="P1093">TRUNC($I1093*(1+_xlfn.SWITCH($N1093,"BDI 1",$P$6,"BDI 2",$P$7,"BDI 3",$P$8)),2)</f>
        <v>13.51</v>
      </c>
      <c r="Q1093" s="157">
        <v>0</v>
      </c>
      <c r="R1093" s="157">
        <f t="shared" si="1858"/>
        <v>0</v>
      </c>
      <c r="S1093" s="156">
        <f t="shared" si="1859"/>
        <v>0</v>
      </c>
      <c r="T1093" s="156">
        <f t="shared" si="1860"/>
        <v>0</v>
      </c>
      <c r="U1093" s="156">
        <f t="shared" si="1861"/>
        <v>0</v>
      </c>
      <c r="V1093" s="156">
        <f t="shared" si="1862"/>
        <v>0</v>
      </c>
      <c r="W1093" s="156">
        <f t="shared" si="1863"/>
        <v>0</v>
      </c>
      <c r="X1093" s="158">
        <f t="shared" ref="X1093" si="1883">$S1093/ORCAMENTO_VALOR_TOTAL_ND</f>
        <v>0</v>
      </c>
      <c r="Y1093" s="158">
        <f t="shared" ref="Y1093" si="1884">$T1093/ORCAMENTO_VALOR_TOTAL_DE</f>
        <v>0</v>
      </c>
      <c r="Z1093" s="158" cm="1">
        <f t="array" ref="Z1093">_xlfn.SWITCH($N1093,"BDI 1",$O$6,"BDI 2",$O$7,"BDI 3",$O$8)</f>
        <v>0.20699999999999999</v>
      </c>
      <c r="AA1093" s="158" cm="1">
        <f t="array" ref="AA1093">_xlfn.SWITCH($N1093,"BDI 1",$P$6,"BDI 2",$P$7,"BDI 3",$P$8)</f>
        <v>0.26739999999999997</v>
      </c>
      <c r="AB1093" s="158">
        <f t="shared" ca="1" si="1866"/>
        <v>0</v>
      </c>
      <c r="AC1093" s="158">
        <f t="shared" ca="1" si="1867"/>
        <v>0</v>
      </c>
      <c r="AD1093" s="164"/>
      <c r="AE1093" s="148">
        <f t="shared" si="1875"/>
        <v>0</v>
      </c>
      <c r="AF1093" s="149"/>
      <c r="AG1093" s="150"/>
      <c r="AH1093" s="159" t="e">
        <f t="shared" si="1868"/>
        <v>#DIV/0!</v>
      </c>
      <c r="AI1093" s="165" t="s">
        <v>243</v>
      </c>
      <c r="AJ1093" s="219"/>
      <c r="AK1093" s="219"/>
      <c r="AM1093" s="219"/>
      <c r="AN1093" s="219"/>
      <c r="AO1093" s="219"/>
      <c r="AP1093" s="219"/>
      <c r="AQ1093" s="219"/>
      <c r="AR1093" s="219"/>
    </row>
    <row r="1094" spans="1:44" s="49" customFormat="1" ht="40.15" hidden="1" customHeight="1">
      <c r="A1094" s="152">
        <f t="shared" ca="1" si="1876"/>
        <v>0</v>
      </c>
      <c r="B1094" s="153"/>
      <c r="C1094" s="154"/>
      <c r="D1094" s="154"/>
      <c r="E1094" s="161" t="s">
        <v>373</v>
      </c>
      <c r="F1094" s="154"/>
      <c r="G1094" s="154"/>
      <c r="H1094" s="152"/>
      <c r="I1094" s="152"/>
      <c r="J1094" s="154"/>
      <c r="K1094" s="154"/>
      <c r="L1094" s="154"/>
      <c r="M1094" s="154"/>
      <c r="N1094" s="154"/>
      <c r="O1094" s="162"/>
      <c r="P1094" s="162"/>
      <c r="Q1094" s="162"/>
      <c r="R1094" s="162"/>
      <c r="S1094" s="162"/>
      <c r="T1094" s="162"/>
      <c r="U1094" s="162"/>
      <c r="V1094" s="162"/>
      <c r="W1094" s="162"/>
      <c r="X1094" s="163"/>
      <c r="Y1094" s="163"/>
      <c r="Z1094" s="163"/>
      <c r="AA1094" s="163"/>
      <c r="AB1094" s="163"/>
      <c r="AC1094" s="163"/>
      <c r="AD1094" s="164"/>
      <c r="AE1094" s="148">
        <f t="shared" si="1875"/>
        <v>0</v>
      </c>
      <c r="AF1094" s="149"/>
      <c r="AG1094" s="150"/>
      <c r="AH1094" s="159"/>
      <c r="AI1094" s="160"/>
      <c r="AJ1094" s="105"/>
      <c r="AK1094" s="105"/>
      <c r="AM1094" s="105"/>
      <c r="AN1094" s="105"/>
      <c r="AO1094" s="105"/>
      <c r="AP1094" s="105"/>
      <c r="AQ1094" s="105"/>
      <c r="AR1094" s="105"/>
    </row>
    <row r="1095" spans="1:44" s="220" customFormat="1" ht="40.15" hidden="1" customHeight="1">
      <c r="A1095" s="152">
        <f t="shared" ca="1" si="1876"/>
        <v>0</v>
      </c>
      <c r="B1095" s="153" t="s">
        <v>374</v>
      </c>
      <c r="C1095" s="154" t="str">
        <f>TEXT(B1095,"0")</f>
        <v>EC/0230</v>
      </c>
      <c r="D1095" s="154">
        <v>0</v>
      </c>
      <c r="E1095" s="155" t="s">
        <v>3766</v>
      </c>
      <c r="F1095" s="154"/>
      <c r="G1095" s="154">
        <v>0</v>
      </c>
      <c r="H1095" s="152">
        <v>0</v>
      </c>
      <c r="I1095" s="152">
        <v>0</v>
      </c>
      <c r="J1095" s="156"/>
      <c r="K1095" s="156"/>
      <c r="L1095" s="156">
        <f>IF($K1095&gt;$J1095,$K1095-$J1095,0)</f>
        <v>0</v>
      </c>
      <c r="M1095" s="156">
        <f>IF($K1095&lt;$J1095,$J1095-$K1095,0)</f>
        <v>0</v>
      </c>
      <c r="N1095" s="156" t="s">
        <v>83</v>
      </c>
      <c r="O1095" s="157" cm="1">
        <f t="array" ref="O1095">TRUNC($H1095*(1+_xlfn.SWITCH($N1095,"BDI 1",$O$6,"BDI 2",$O$7,"BDI 3",$O$8)),2)</f>
        <v>0</v>
      </c>
      <c r="P1095" s="157" cm="1">
        <f t="array" ref="P1095">TRUNC($I1095*(1+_xlfn.SWITCH($N1095,"BDI 1",$P$6,"BDI 2",$P$7,"BDI 3",$P$8)),2)</f>
        <v>0</v>
      </c>
      <c r="Q1095" s="157">
        <v>0</v>
      </c>
      <c r="R1095" s="157">
        <f>$Q1095-($Q1095*LICITACAO_DESCONTO)</f>
        <v>0</v>
      </c>
      <c r="S1095" s="156">
        <f>TRUNC($K1095*$O1095,2)</f>
        <v>0</v>
      </c>
      <c r="T1095" s="156">
        <f>TRUNC($K1095*$P1095,2)</f>
        <v>0</v>
      </c>
      <c r="U1095" s="156">
        <f>TRUNC($J1095*$R1095,2)</f>
        <v>0</v>
      </c>
      <c r="V1095" s="156">
        <f>TRUNC($K1095*$Q1095,2)</f>
        <v>0</v>
      </c>
      <c r="W1095" s="156">
        <f>TRUNC(V1095-U1095,2)</f>
        <v>0</v>
      </c>
      <c r="X1095" s="158">
        <f>$S1095/ORCAMENTO_VALOR_TOTAL_ND</f>
        <v>0</v>
      </c>
      <c r="Y1095" s="158">
        <f>$T1095/ORCAMENTO_VALOR_TOTAL_DE</f>
        <v>0</v>
      </c>
      <c r="Z1095" s="158" cm="1">
        <f t="array" ref="Z1095">_xlfn.SWITCH($N1095,"BDI 1",$O$6,"BDI 2",$O$7,"BDI 3",$O$8)</f>
        <v>0.20699999999999999</v>
      </c>
      <c r="AA1095" s="158" cm="1">
        <f t="array" ref="AA1095">_xlfn.SWITCH($N1095,"BDI 1",$P$6,"BDI 2",$P$7,"BDI 3",$P$8)</f>
        <v>0.26739999999999997</v>
      </c>
      <c r="AB1095" s="158">
        <f ca="1">IFERROR($S1095/_xlfn.XLOOKUP($AE1095,$B$16:$B$38,$S$16:$S$38),0)</f>
        <v>0</v>
      </c>
      <c r="AC1095" s="158">
        <f ca="1">IFERROR($T1095/_xlfn.XLOOKUP($AE1095,$B$16:$B$38,$T$16:$T$38),0)</f>
        <v>0</v>
      </c>
      <c r="AD1095" s="164"/>
      <c r="AE1095" s="148">
        <f t="shared" si="1875"/>
        <v>0</v>
      </c>
      <c r="AF1095" s="149"/>
      <c r="AG1095" s="150"/>
      <c r="AH1095" s="159" t="e">
        <f>+S1095/$S$961</f>
        <v>#DIV/0!</v>
      </c>
      <c r="AI1095" s="160"/>
      <c r="AJ1095" s="182" t="e">
        <v>#N/A</v>
      </c>
      <c r="AK1095" s="183" t="e">
        <f>+K1095/AJ1095</f>
        <v>#N/A</v>
      </c>
      <c r="AM1095" s="219"/>
      <c r="AN1095" s="219"/>
      <c r="AO1095" s="219"/>
      <c r="AP1095" s="219"/>
      <c r="AQ1095" s="219"/>
      <c r="AR1095" s="219"/>
    </row>
    <row r="1096" spans="1:44" s="220" customFormat="1" ht="40.15" hidden="1" customHeight="1">
      <c r="A1096" s="152">
        <f t="shared" ca="1" si="1876"/>
        <v>0</v>
      </c>
      <c r="B1096" s="153" t="s">
        <v>375</v>
      </c>
      <c r="C1096" s="154" t="str">
        <f>TEXT(B1096,"0")</f>
        <v>EC/0240</v>
      </c>
      <c r="D1096" s="154" t="s">
        <v>3549</v>
      </c>
      <c r="E1096" s="155" t="s">
        <v>3970</v>
      </c>
      <c r="F1096" s="154"/>
      <c r="G1096" s="154" t="s">
        <v>58</v>
      </c>
      <c r="H1096" s="152">
        <v>48.36</v>
      </c>
      <c r="I1096" s="152">
        <v>47.14</v>
      </c>
      <c r="J1096" s="156"/>
      <c r="K1096" s="156">
        <f>K1095*2</f>
        <v>0</v>
      </c>
      <c r="L1096" s="156">
        <f>IF($K1096&gt;$J1096,$K1096-$J1096,0)</f>
        <v>0</v>
      </c>
      <c r="M1096" s="156">
        <f>IF($K1096&lt;$J1096,$J1096-$K1096,0)</f>
        <v>0</v>
      </c>
      <c r="N1096" s="156" t="s">
        <v>83</v>
      </c>
      <c r="O1096" s="157" cm="1">
        <f t="array" ref="O1096">TRUNC($H1096*(1+_xlfn.SWITCH($N1096,"BDI 1",$O$6,"BDI 2",$O$7,"BDI 3",$O$8)),2)</f>
        <v>58.37</v>
      </c>
      <c r="P1096" s="157" cm="1">
        <f t="array" ref="P1096">TRUNC($I1096*(1+_xlfn.SWITCH($N1096,"BDI 1",$P$6,"BDI 2",$P$7,"BDI 3",$P$8)),2)</f>
        <v>59.74</v>
      </c>
      <c r="Q1096" s="157">
        <v>0</v>
      </c>
      <c r="R1096" s="157">
        <f>$Q1096-($Q1096*LICITACAO_DESCONTO)</f>
        <v>0</v>
      </c>
      <c r="S1096" s="156">
        <f>TRUNC($K1096*$O1096,2)</f>
        <v>0</v>
      </c>
      <c r="T1096" s="156">
        <f>TRUNC($K1096*$P1096,2)</f>
        <v>0</v>
      </c>
      <c r="U1096" s="156">
        <f>TRUNC($J1096*$R1096,2)</f>
        <v>0</v>
      </c>
      <c r="V1096" s="156">
        <f>TRUNC($K1096*$Q1096,2)</f>
        <v>0</v>
      </c>
      <c r="W1096" s="156">
        <f>TRUNC(V1096-U1096,2)</f>
        <v>0</v>
      </c>
      <c r="X1096" s="158">
        <f>$S1096/ORCAMENTO_VALOR_TOTAL_ND</f>
        <v>0</v>
      </c>
      <c r="Y1096" s="158">
        <f>$T1096/ORCAMENTO_VALOR_TOTAL_DE</f>
        <v>0</v>
      </c>
      <c r="Z1096" s="158" cm="1">
        <f t="array" ref="Z1096">_xlfn.SWITCH($N1096,"BDI 1",$O$6,"BDI 2",$O$7,"BDI 3",$O$8)</f>
        <v>0.20699999999999999</v>
      </c>
      <c r="AA1096" s="158" cm="1">
        <f t="array" ref="AA1096">_xlfn.SWITCH($N1096,"BDI 1",$P$6,"BDI 2",$P$7,"BDI 3",$P$8)</f>
        <v>0.26739999999999997</v>
      </c>
      <c r="AB1096" s="158">
        <f ca="1">IFERROR($S1096/_xlfn.XLOOKUP($AE1096,$B$16:$B$38,$S$16:$S$38),0)</f>
        <v>0</v>
      </c>
      <c r="AC1096" s="158">
        <f ca="1">IFERROR($T1096/_xlfn.XLOOKUP($AE1096,$B$16:$B$38,$T$16:$T$38),0)</f>
        <v>0</v>
      </c>
      <c r="AD1096" s="164"/>
      <c r="AE1096" s="148">
        <f t="shared" si="1875"/>
        <v>0</v>
      </c>
      <c r="AF1096" s="149"/>
      <c r="AG1096" s="150"/>
      <c r="AH1096" s="159" t="e">
        <f>+S1096/$S$961</f>
        <v>#DIV/0!</v>
      </c>
      <c r="AI1096" s="160"/>
      <c r="AJ1096" s="182">
        <v>0</v>
      </c>
      <c r="AK1096" s="183" t="e">
        <f>+K1096/AJ1096</f>
        <v>#DIV/0!</v>
      </c>
      <c r="AM1096" s="219"/>
      <c r="AN1096" s="219"/>
      <c r="AO1096" s="219"/>
      <c r="AP1096" s="219"/>
      <c r="AQ1096" s="219"/>
      <c r="AR1096" s="219"/>
    </row>
    <row r="1097" spans="1:44" s="49" customFormat="1" ht="40.15" hidden="1" customHeight="1">
      <c r="A1097" s="152">
        <f t="shared" ca="1" si="1876"/>
        <v>0</v>
      </c>
      <c r="B1097" s="153"/>
      <c r="C1097" s="154"/>
      <c r="D1097" s="154"/>
      <c r="E1097" s="161" t="s">
        <v>15</v>
      </c>
      <c r="F1097" s="154"/>
      <c r="G1097" s="154"/>
      <c r="H1097" s="152"/>
      <c r="I1097" s="152"/>
      <c r="J1097" s="154"/>
      <c r="K1097" s="154"/>
      <c r="L1097" s="154"/>
      <c r="M1097" s="154"/>
      <c r="N1097" s="154"/>
      <c r="O1097" s="162"/>
      <c r="P1097" s="162"/>
      <c r="Q1097" s="162"/>
      <c r="R1097" s="162"/>
      <c r="S1097" s="162"/>
      <c r="T1097" s="162"/>
      <c r="U1097" s="162"/>
      <c r="V1097" s="162"/>
      <c r="W1097" s="162"/>
      <c r="X1097" s="163"/>
      <c r="Y1097" s="163"/>
      <c r="Z1097" s="163"/>
      <c r="AA1097" s="163"/>
      <c r="AB1097" s="163"/>
      <c r="AC1097" s="163"/>
      <c r="AD1097" s="164"/>
      <c r="AE1097" s="148">
        <f t="shared" si="1875"/>
        <v>0</v>
      </c>
      <c r="AF1097" s="149"/>
      <c r="AG1097" s="150"/>
      <c r="AH1097" s="159"/>
      <c r="AI1097" s="160"/>
      <c r="AJ1097" s="105"/>
      <c r="AK1097" s="105"/>
      <c r="AM1097" s="105"/>
      <c r="AN1097" s="105"/>
      <c r="AO1097" s="105"/>
      <c r="AP1097" s="105"/>
      <c r="AQ1097" s="105"/>
      <c r="AR1097" s="105"/>
    </row>
    <row r="1098" spans="1:44" s="220" customFormat="1" ht="40.15" hidden="1" customHeight="1">
      <c r="A1098" s="152">
        <f t="shared" ca="1" si="1876"/>
        <v>0</v>
      </c>
      <c r="B1098" s="153">
        <v>101927</v>
      </c>
      <c r="C1098" s="154" t="str">
        <f>TEXT(B1098,"0")</f>
        <v>101927</v>
      </c>
      <c r="D1098" s="154" t="s">
        <v>1416</v>
      </c>
      <c r="E1098" s="155" t="s">
        <v>3971</v>
      </c>
      <c r="F1098" s="154"/>
      <c r="G1098" s="154" t="s">
        <v>58</v>
      </c>
      <c r="H1098" s="152">
        <v>199.32</v>
      </c>
      <c r="I1098" s="152">
        <v>203.01</v>
      </c>
      <c r="J1098" s="156"/>
      <c r="K1098" s="156"/>
      <c r="L1098" s="156">
        <f>IF($K1098&gt;$J1098,$K1098-$J1098,0)</f>
        <v>0</v>
      </c>
      <c r="M1098" s="156">
        <f>IF($K1098&lt;$J1098,$J1098-$K1098,0)</f>
        <v>0</v>
      </c>
      <c r="N1098" s="156" t="s">
        <v>83</v>
      </c>
      <c r="O1098" s="157" cm="1">
        <f t="array" ref="O1098">TRUNC($H1098*(1+_xlfn.SWITCH($N1098,"BDI 1",$O$6,"BDI 2",$O$7,"BDI 3",$O$8)),2)</f>
        <v>240.57</v>
      </c>
      <c r="P1098" s="157" cm="1">
        <f t="array" ref="P1098">TRUNC($I1098*(1+_xlfn.SWITCH($N1098,"BDI 1",$P$6,"BDI 2",$P$7,"BDI 3",$P$8)),2)</f>
        <v>257.29000000000002</v>
      </c>
      <c r="Q1098" s="157">
        <v>0</v>
      </c>
      <c r="R1098" s="157">
        <f>$Q1098-($Q1098*LICITACAO_DESCONTO)</f>
        <v>0</v>
      </c>
      <c r="S1098" s="156">
        <f>TRUNC($K1098*$O1098,2)</f>
        <v>0</v>
      </c>
      <c r="T1098" s="156">
        <f>TRUNC($K1098*$P1098,2)</f>
        <v>0</v>
      </c>
      <c r="U1098" s="156">
        <f>TRUNC($J1098*$R1098,2)</f>
        <v>0</v>
      </c>
      <c r="V1098" s="156">
        <f>TRUNC($K1098*$Q1098,2)</f>
        <v>0</v>
      </c>
      <c r="W1098" s="156">
        <f>TRUNC(V1098-U1098,2)</f>
        <v>0</v>
      </c>
      <c r="X1098" s="158">
        <f>$S1098/ORCAMENTO_VALOR_TOTAL_ND</f>
        <v>0</v>
      </c>
      <c r="Y1098" s="158">
        <f>$T1098/ORCAMENTO_VALOR_TOTAL_DE</f>
        <v>0</v>
      </c>
      <c r="Z1098" s="158" cm="1">
        <f t="array" ref="Z1098">_xlfn.SWITCH($N1098,"BDI 1",$O$6,"BDI 2",$O$7,"BDI 3",$O$8)</f>
        <v>0.20699999999999999</v>
      </c>
      <c r="AA1098" s="158" cm="1">
        <f t="array" ref="AA1098">_xlfn.SWITCH($N1098,"BDI 1",$P$6,"BDI 2",$P$7,"BDI 3",$P$8)</f>
        <v>0.26739999999999997</v>
      </c>
      <c r="AB1098" s="158">
        <f ca="1">IFERROR($S1098/_xlfn.XLOOKUP($AE1098,$B$16:$B$38,$S$16:$S$38),0)</f>
        <v>0</v>
      </c>
      <c r="AC1098" s="158">
        <f ca="1">IFERROR($T1098/_xlfn.XLOOKUP($AE1098,$B$16:$B$38,$T$16:$T$38),0)</f>
        <v>0</v>
      </c>
      <c r="AD1098" s="164"/>
      <c r="AE1098" s="148">
        <f t="shared" si="1875"/>
        <v>0</v>
      </c>
      <c r="AF1098" s="149"/>
      <c r="AG1098" s="150"/>
      <c r="AH1098" s="159" t="e">
        <f>+S1098/$S$961</f>
        <v>#DIV/0!</v>
      </c>
      <c r="AI1098" s="160"/>
      <c r="AJ1098" s="219"/>
      <c r="AK1098" s="219"/>
      <c r="AM1098" s="219"/>
      <c r="AN1098" s="219"/>
      <c r="AO1098" s="219"/>
      <c r="AP1098" s="219"/>
      <c r="AQ1098" s="219"/>
      <c r="AR1098" s="219"/>
    </row>
    <row r="1099" spans="1:44" s="49" customFormat="1" ht="40.15" hidden="1" customHeight="1">
      <c r="A1099" s="10">
        <f t="shared" ca="1" si="1876"/>
        <v>0</v>
      </c>
      <c r="B1099" s="153"/>
      <c r="C1099" s="154"/>
      <c r="D1099" s="154"/>
      <c r="E1099" s="161" t="s">
        <v>270</v>
      </c>
      <c r="F1099" s="154"/>
      <c r="G1099" s="154"/>
      <c r="H1099" s="152"/>
      <c r="I1099" s="152"/>
      <c r="J1099" s="154"/>
      <c r="K1099" s="154"/>
      <c r="L1099" s="154"/>
      <c r="M1099" s="154"/>
      <c r="N1099" s="154"/>
      <c r="O1099" s="154"/>
      <c r="P1099" s="154"/>
      <c r="Q1099" s="154"/>
      <c r="R1099" s="154"/>
      <c r="S1099" s="162"/>
      <c r="T1099" s="162"/>
      <c r="U1099" s="162"/>
      <c r="V1099" s="162"/>
      <c r="W1099" s="162"/>
      <c r="X1099" s="163"/>
      <c r="Y1099" s="163"/>
      <c r="Z1099" s="163"/>
      <c r="AA1099" s="163"/>
      <c r="AB1099" s="163"/>
      <c r="AC1099" s="163"/>
      <c r="AD1099" s="164"/>
      <c r="AE1099" s="148">
        <f>IF(SUM(S1100:S1101)&gt;0,IFERROR(TRUNC(A1099,0),0),0)</f>
        <v>0</v>
      </c>
      <c r="AF1099" s="149"/>
      <c r="AG1099" s="150"/>
      <c r="AH1099" s="159"/>
      <c r="AI1099" s="160"/>
      <c r="AJ1099" s="105"/>
      <c r="AK1099" s="105"/>
      <c r="AM1099" s="105"/>
      <c r="AN1099" s="105"/>
      <c r="AO1099" s="105"/>
      <c r="AP1099" s="105"/>
      <c r="AQ1099" s="105"/>
      <c r="AR1099" s="105"/>
    </row>
    <row r="1100" spans="1:44" s="49" customFormat="1" ht="40.15" hidden="1" customHeight="1">
      <c r="A1100" s="152">
        <f t="shared" ca="1" si="1876"/>
        <v>0</v>
      </c>
      <c r="B1100" s="153">
        <v>95879</v>
      </c>
      <c r="C1100" s="154" t="str">
        <f>TEXT(B1100,"0")</f>
        <v>95879</v>
      </c>
      <c r="D1100" s="154" t="s">
        <v>1416</v>
      </c>
      <c r="E1100" s="155" t="s">
        <v>3535</v>
      </c>
      <c r="F1100" s="154" t="b">
        <f>IF(Dados_DMT!$B$30&lt;30,Dados_DMT!$B$30)</f>
        <v>0</v>
      </c>
      <c r="G1100" s="154" t="s">
        <v>3534</v>
      </c>
      <c r="H1100" s="152">
        <v>1.41</v>
      </c>
      <c r="I1100" s="152">
        <v>1.42</v>
      </c>
      <c r="J1100" s="156"/>
      <c r="K1100" s="156"/>
      <c r="L1100" s="156">
        <f>IF($K1100&gt;$J1100,$K1100-$J1100,0)</f>
        <v>0</v>
      </c>
      <c r="M1100" s="156">
        <f>IF($K1100&lt;$J1100,$J1100-$K1100,0)</f>
        <v>0</v>
      </c>
      <c r="N1100" s="156" t="s">
        <v>83</v>
      </c>
      <c r="O1100" s="157" cm="1">
        <f t="array" ref="O1100">TRUNC($H1100*(1+_xlfn.SWITCH($N1100,"BDI 1",$O$6,"BDI 2",$O$7,"BDI 3",$O$8)),2)</f>
        <v>1.7</v>
      </c>
      <c r="P1100" s="157" cm="1">
        <f t="array" ref="P1100">TRUNC($I1100*(1+_xlfn.SWITCH($N1100,"BDI 1",$P$6,"BDI 2",$P$7,"BDI 3",$P$8)),2)</f>
        <v>1.79</v>
      </c>
      <c r="Q1100" s="157">
        <v>0</v>
      </c>
      <c r="R1100" s="157">
        <f>$Q1100-($Q1100*LICITACAO_DESCONTO)</f>
        <v>0</v>
      </c>
      <c r="S1100" s="156">
        <f>TRUNC($K1100*$O1100,2)</f>
        <v>0</v>
      </c>
      <c r="T1100" s="156">
        <f>TRUNC($K1100*$P1100,2)</f>
        <v>0</v>
      </c>
      <c r="U1100" s="156">
        <f>TRUNC($J1100*$R1100,2)</f>
        <v>0</v>
      </c>
      <c r="V1100" s="156">
        <f>TRUNC($K1100*$Q1100,2)</f>
        <v>0</v>
      </c>
      <c r="W1100" s="156">
        <f>TRUNC(V1100-U1100,2)</f>
        <v>0</v>
      </c>
      <c r="X1100" s="158">
        <f>$S1100/ORCAMENTO_VALOR_TOTAL_ND</f>
        <v>0</v>
      </c>
      <c r="Y1100" s="158">
        <f>$T1100/ORCAMENTO_VALOR_TOTAL_DE</f>
        <v>0</v>
      </c>
      <c r="Z1100" s="158" cm="1">
        <f t="array" ref="Z1100">_xlfn.SWITCH($N1100,"BDI 1",$O$6,"BDI 2",$O$7,"BDI 3",$O$8)</f>
        <v>0.20699999999999999</v>
      </c>
      <c r="AA1100" s="158" cm="1">
        <f t="array" ref="AA1100">_xlfn.SWITCH($N1100,"BDI 1",$P$6,"BDI 2",$P$7,"BDI 3",$P$8)</f>
        <v>0.26739999999999997</v>
      </c>
      <c r="AB1100" s="158">
        <f ca="1">IFERROR($S1100/_xlfn.XLOOKUP($AE1100,$B$16:$B$38,$S$16:$S$38),0)</f>
        <v>0</v>
      </c>
      <c r="AC1100" s="158">
        <f ca="1">IFERROR($T1100/_xlfn.XLOOKUP($AE1100,$B$16:$B$38,$T$16:$T$38),0)</f>
        <v>0</v>
      </c>
      <c r="AD1100" s="164"/>
      <c r="AE1100" s="148">
        <f t="shared" ref="AE1100:AE1101" si="1885">IF(S1100&gt;0,IFERROR(TRUNC(A1100,0),0),0)</f>
        <v>0</v>
      </c>
      <c r="AF1100" s="149"/>
      <c r="AG1100" s="150"/>
      <c r="AH1100" s="159" t="e">
        <f>+S1100/$S$1118</f>
        <v>#DIV/0!</v>
      </c>
      <c r="AI1100" s="209">
        <f>IF(K1100=0,0,K1100/F1100)</f>
        <v>0</v>
      </c>
      <c r="AJ1100" s="105"/>
      <c r="AK1100" s="105"/>
      <c r="AM1100" s="105"/>
      <c r="AN1100" s="105"/>
      <c r="AO1100" s="105"/>
      <c r="AP1100" s="105"/>
      <c r="AQ1100" s="105"/>
      <c r="AR1100" s="105"/>
    </row>
    <row r="1101" spans="1:44" s="49" customFormat="1" ht="40.15" hidden="1" customHeight="1">
      <c r="A1101" s="152">
        <f t="shared" ca="1" si="1876"/>
        <v>0</v>
      </c>
      <c r="B1101" s="153">
        <v>93599</v>
      </c>
      <c r="C1101" s="154" t="str">
        <f>TEXT(B1101,"0")</f>
        <v>93599</v>
      </c>
      <c r="D1101" s="154" t="s">
        <v>1416</v>
      </c>
      <c r="E1101" s="155" t="s">
        <v>3533</v>
      </c>
      <c r="F1101" s="154">
        <f>+Dados_DMT!$B$30-F1100</f>
        <v>110</v>
      </c>
      <c r="G1101" s="154" t="s">
        <v>3534</v>
      </c>
      <c r="H1101" s="152">
        <v>0.56000000000000005</v>
      </c>
      <c r="I1101" s="152">
        <v>0.56000000000000005</v>
      </c>
      <c r="J1101" s="156"/>
      <c r="K1101" s="156"/>
      <c r="L1101" s="156">
        <f>IF($K1101&gt;$J1101,$K1101-$J1101,0)</f>
        <v>0</v>
      </c>
      <c r="M1101" s="156">
        <f>IF($K1101&lt;$J1101,$J1101-$K1101,0)</f>
        <v>0</v>
      </c>
      <c r="N1101" s="156" t="s">
        <v>83</v>
      </c>
      <c r="O1101" s="157" cm="1">
        <f t="array" ref="O1101">TRUNC($H1101*(1+_xlfn.SWITCH($N1101,"BDI 1",$O$6,"BDI 2",$O$7,"BDI 3",$O$8)),2)</f>
        <v>0.67</v>
      </c>
      <c r="P1101" s="157" cm="1">
        <f t="array" ref="P1101">TRUNC($I1101*(1+_xlfn.SWITCH($N1101,"BDI 1",$P$6,"BDI 2",$P$7,"BDI 3",$P$8)),2)</f>
        <v>0.7</v>
      </c>
      <c r="Q1101" s="157">
        <v>0</v>
      </c>
      <c r="R1101" s="157">
        <f>$Q1101-($Q1101*LICITACAO_DESCONTO)</f>
        <v>0</v>
      </c>
      <c r="S1101" s="156">
        <f>TRUNC($K1101*$O1101,2)</f>
        <v>0</v>
      </c>
      <c r="T1101" s="156">
        <f>TRUNC($K1101*$P1101,2)</f>
        <v>0</v>
      </c>
      <c r="U1101" s="156">
        <f>TRUNC($J1101*$R1101,2)</f>
        <v>0</v>
      </c>
      <c r="V1101" s="156">
        <f>TRUNC($K1101*$Q1101,2)</f>
        <v>0</v>
      </c>
      <c r="W1101" s="156">
        <f>TRUNC(V1101-U1101,2)</f>
        <v>0</v>
      </c>
      <c r="X1101" s="158">
        <f>$S1101/ORCAMENTO_VALOR_TOTAL_ND</f>
        <v>0</v>
      </c>
      <c r="Y1101" s="158">
        <f>$T1101/ORCAMENTO_VALOR_TOTAL_DE</f>
        <v>0</v>
      </c>
      <c r="Z1101" s="158" cm="1">
        <f t="array" ref="Z1101">_xlfn.SWITCH($N1101,"BDI 1",$O$6,"BDI 2",$O$7,"BDI 3",$O$8)</f>
        <v>0.20699999999999999</v>
      </c>
      <c r="AA1101" s="158" cm="1">
        <f t="array" ref="AA1101">_xlfn.SWITCH($N1101,"BDI 1",$P$6,"BDI 2",$P$7,"BDI 3",$P$8)</f>
        <v>0.26739999999999997</v>
      </c>
      <c r="AB1101" s="158">
        <f ca="1">IFERROR($S1101/_xlfn.XLOOKUP($AE1101,$B$16:$B$38,$S$16:$S$38),0)</f>
        <v>0</v>
      </c>
      <c r="AC1101" s="158">
        <f ca="1">IFERROR($T1101/_xlfn.XLOOKUP($AE1101,$B$16:$B$38,$T$16:$T$38),0)</f>
        <v>0</v>
      </c>
      <c r="AD1101" s="164"/>
      <c r="AE1101" s="148">
        <f t="shared" si="1885"/>
        <v>0</v>
      </c>
      <c r="AF1101" s="149"/>
      <c r="AG1101" s="150"/>
      <c r="AH1101" s="159" t="e">
        <f>+S1101/$S$1118</f>
        <v>#DIV/0!</v>
      </c>
      <c r="AI1101" s="209">
        <f>IF(K1101=0,0,K1101/F1101)</f>
        <v>0</v>
      </c>
      <c r="AJ1101" s="105"/>
      <c r="AK1101" s="105"/>
      <c r="AM1101" s="105"/>
      <c r="AN1101" s="105"/>
      <c r="AO1101" s="105"/>
      <c r="AP1101" s="105"/>
      <c r="AQ1101" s="105"/>
      <c r="AR1101" s="105"/>
    </row>
    <row r="1102" spans="1:44" s="49" customFormat="1" ht="40.15" hidden="1" customHeight="1">
      <c r="A1102" s="10">
        <f t="shared" ca="1" si="1876"/>
        <v>0</v>
      </c>
      <c r="B1102" s="153"/>
      <c r="C1102" s="154"/>
      <c r="D1102" s="154"/>
      <c r="E1102" s="161" t="s">
        <v>272</v>
      </c>
      <c r="F1102" s="154"/>
      <c r="G1102" s="154"/>
      <c r="H1102" s="152"/>
      <c r="I1102" s="152"/>
      <c r="J1102" s="154"/>
      <c r="K1102" s="154"/>
      <c r="L1102" s="154"/>
      <c r="M1102" s="154"/>
      <c r="N1102" s="154"/>
      <c r="O1102" s="154"/>
      <c r="P1102" s="154"/>
      <c r="Q1102" s="154"/>
      <c r="R1102" s="154"/>
      <c r="S1102" s="162"/>
      <c r="T1102" s="162"/>
      <c r="U1102" s="162"/>
      <c r="V1102" s="162"/>
      <c r="W1102" s="162"/>
      <c r="X1102" s="154"/>
      <c r="Y1102" s="154"/>
      <c r="Z1102" s="154"/>
      <c r="AA1102" s="154"/>
      <c r="AB1102" s="154"/>
      <c r="AC1102" s="154"/>
      <c r="AD1102" s="106"/>
      <c r="AE1102" s="148">
        <f>IF(SUM(S1103:S1104)&gt;0,IFERROR(TRUNC(A1102,0),0),0)</f>
        <v>0</v>
      </c>
      <c r="AF1102" s="149"/>
      <c r="AG1102" s="150"/>
      <c r="AH1102" s="159"/>
      <c r="AI1102" s="160"/>
      <c r="AJ1102" s="105"/>
      <c r="AK1102" s="105"/>
      <c r="AM1102" s="105"/>
      <c r="AN1102" s="105"/>
      <c r="AO1102" s="105"/>
      <c r="AP1102" s="105"/>
      <c r="AQ1102" s="105"/>
      <c r="AR1102" s="105"/>
    </row>
    <row r="1103" spans="1:44" s="49" customFormat="1" ht="40.15" hidden="1" customHeight="1">
      <c r="A1103" s="152">
        <f t="shared" ca="1" si="1876"/>
        <v>0</v>
      </c>
      <c r="B1103" s="153">
        <v>102332</v>
      </c>
      <c r="C1103" s="154" t="str">
        <f>TEXT(B1103,"0")</f>
        <v>102332</v>
      </c>
      <c r="D1103" s="154" t="s">
        <v>1416</v>
      </c>
      <c r="E1103" s="155" t="s">
        <v>3547</v>
      </c>
      <c r="F1103" s="154">
        <f>IF(Dados_DMT!$B$25&lt;30,Dados_DMT!$B$25,30)</f>
        <v>30</v>
      </c>
      <c r="G1103" s="154" t="s">
        <v>3534</v>
      </c>
      <c r="H1103" s="152">
        <v>1.79</v>
      </c>
      <c r="I1103" s="152">
        <v>1.81</v>
      </c>
      <c r="J1103" s="156"/>
      <c r="K1103" s="156"/>
      <c r="L1103" s="156">
        <f>IF($K1103&gt;$J1103,$K1103-$J1103,0)</f>
        <v>0</v>
      </c>
      <c r="M1103" s="156">
        <f>IF($K1103&lt;$J1103,$J1103-$K1103,0)</f>
        <v>0</v>
      </c>
      <c r="N1103" s="156" t="s">
        <v>83</v>
      </c>
      <c r="O1103" s="157" cm="1">
        <f t="array" ref="O1103">TRUNC($H1103*(1+_xlfn.SWITCH($N1103,"BDI 1",$O$6,"BDI 2",$O$7,"BDI 3",$O$8)),2)</f>
        <v>2.16</v>
      </c>
      <c r="P1103" s="157" cm="1">
        <f t="array" ref="P1103">TRUNC($I1103*(1+_xlfn.SWITCH($N1103,"BDI 1",$P$6,"BDI 2",$P$7,"BDI 3",$P$8)),2)</f>
        <v>2.29</v>
      </c>
      <c r="Q1103" s="157">
        <v>0</v>
      </c>
      <c r="R1103" s="157">
        <f>$Q1103-($Q1103*LICITACAO_DESCONTO)</f>
        <v>0</v>
      </c>
      <c r="S1103" s="156">
        <f>TRUNC($K1103*$O1103,2)</f>
        <v>0</v>
      </c>
      <c r="T1103" s="156">
        <f>TRUNC($K1103*$P1103,2)</f>
        <v>0</v>
      </c>
      <c r="U1103" s="156">
        <f>TRUNC($J1103*$R1103,2)</f>
        <v>0</v>
      </c>
      <c r="V1103" s="156">
        <f>TRUNC($K1103*$Q1103,2)</f>
        <v>0</v>
      </c>
      <c r="W1103" s="156">
        <f>TRUNC(V1103-U1103,2)</f>
        <v>0</v>
      </c>
      <c r="X1103" s="158">
        <f>$S1103/ORCAMENTO_VALOR_TOTAL_ND</f>
        <v>0</v>
      </c>
      <c r="Y1103" s="158">
        <f>$T1103/ORCAMENTO_VALOR_TOTAL_DE</f>
        <v>0</v>
      </c>
      <c r="Z1103" s="158" cm="1">
        <f t="array" ref="Z1103">_xlfn.SWITCH($N1103,"BDI 1",$O$6,"BDI 2",$O$7,"BDI 3",$O$8)</f>
        <v>0.20699999999999999</v>
      </c>
      <c r="AA1103" s="158" cm="1">
        <f t="array" ref="AA1103">_xlfn.SWITCH($N1103,"BDI 1",$P$6,"BDI 2",$P$7,"BDI 3",$P$8)</f>
        <v>0.26739999999999997</v>
      </c>
      <c r="AB1103" s="158">
        <f ca="1">IFERROR($S1103/_xlfn.XLOOKUP($AE1103,$B$16:$B$38,$S$16:$S$38),0)</f>
        <v>0</v>
      </c>
      <c r="AC1103" s="158">
        <f ca="1">IFERROR($T1103/_xlfn.XLOOKUP($AE1103,$B$16:$B$38,$T$16:$T$38),0)</f>
        <v>0</v>
      </c>
      <c r="AD1103" s="164"/>
      <c r="AE1103" s="148">
        <f t="shared" ref="AE1103:AE1104" si="1886">IF(S1103&gt;0,IFERROR(TRUNC(A1103,0),0),0)</f>
        <v>0</v>
      </c>
      <c r="AF1103" s="149"/>
      <c r="AG1103" s="150"/>
      <c r="AH1103" s="159" t="e">
        <f>+S1103/$S$1118</f>
        <v>#DIV/0!</v>
      </c>
      <c r="AI1103" s="209">
        <f>IF(K1103=0,0,K1103/F1103)</f>
        <v>0</v>
      </c>
      <c r="AJ1103" s="105"/>
      <c r="AK1103" s="105"/>
      <c r="AM1103" s="105"/>
      <c r="AN1103" s="105"/>
      <c r="AO1103" s="105"/>
      <c r="AP1103" s="105"/>
      <c r="AQ1103" s="105"/>
      <c r="AR1103" s="105"/>
    </row>
    <row r="1104" spans="1:44" s="49" customFormat="1" ht="40.15" hidden="1" customHeight="1">
      <c r="A1104" s="152">
        <f t="shared" ca="1" si="1876"/>
        <v>0</v>
      </c>
      <c r="B1104" s="153">
        <v>102333</v>
      </c>
      <c r="C1104" s="154" t="str">
        <f>TEXT(B1104,"0")</f>
        <v>102333</v>
      </c>
      <c r="D1104" s="154" t="s">
        <v>1416</v>
      </c>
      <c r="E1104" s="155" t="s">
        <v>3546</v>
      </c>
      <c r="F1104" s="154">
        <f>+Dados_DMT!$B$25-F1103</f>
        <v>80</v>
      </c>
      <c r="G1104" s="154" t="s">
        <v>3534</v>
      </c>
      <c r="H1104" s="152">
        <v>0.72</v>
      </c>
      <c r="I1104" s="152">
        <v>0.73</v>
      </c>
      <c r="J1104" s="156"/>
      <c r="K1104" s="156"/>
      <c r="L1104" s="156">
        <f>IF($K1104&gt;$J1104,$K1104-$J1104,0)</f>
        <v>0</v>
      </c>
      <c r="M1104" s="156">
        <f>IF($K1104&lt;$J1104,$J1104-$K1104,0)</f>
        <v>0</v>
      </c>
      <c r="N1104" s="156" t="s">
        <v>83</v>
      </c>
      <c r="O1104" s="157" cm="1">
        <f t="array" ref="O1104">TRUNC($H1104*(1+_xlfn.SWITCH($N1104,"BDI 1",$O$6,"BDI 2",$O$7,"BDI 3",$O$8)),2)</f>
        <v>0.86</v>
      </c>
      <c r="P1104" s="157" cm="1">
        <f t="array" ref="P1104">TRUNC($I1104*(1+_xlfn.SWITCH($N1104,"BDI 1",$P$6,"BDI 2",$P$7,"BDI 3",$P$8)),2)</f>
        <v>0.92</v>
      </c>
      <c r="Q1104" s="157">
        <v>0</v>
      </c>
      <c r="R1104" s="157">
        <f>$Q1104-($Q1104*LICITACAO_DESCONTO)</f>
        <v>0</v>
      </c>
      <c r="S1104" s="156">
        <f>TRUNC($K1104*$O1104,2)</f>
        <v>0</v>
      </c>
      <c r="T1104" s="156">
        <f>TRUNC($K1104*$P1104,2)</f>
        <v>0</v>
      </c>
      <c r="U1104" s="156">
        <f>TRUNC($J1104*$R1104,2)</f>
        <v>0</v>
      </c>
      <c r="V1104" s="156">
        <f>TRUNC($K1104*$Q1104,2)</f>
        <v>0</v>
      </c>
      <c r="W1104" s="156">
        <f>TRUNC(V1104-U1104,2)</f>
        <v>0</v>
      </c>
      <c r="X1104" s="158">
        <f>$S1104/ORCAMENTO_VALOR_TOTAL_ND</f>
        <v>0</v>
      </c>
      <c r="Y1104" s="158">
        <f>$T1104/ORCAMENTO_VALOR_TOTAL_DE</f>
        <v>0</v>
      </c>
      <c r="Z1104" s="158" cm="1">
        <f t="array" ref="Z1104">_xlfn.SWITCH($N1104,"BDI 1",$O$6,"BDI 2",$O$7,"BDI 3",$O$8)</f>
        <v>0.20699999999999999</v>
      </c>
      <c r="AA1104" s="158" cm="1">
        <f t="array" ref="AA1104">_xlfn.SWITCH($N1104,"BDI 1",$P$6,"BDI 2",$P$7,"BDI 3",$P$8)</f>
        <v>0.26739999999999997</v>
      </c>
      <c r="AB1104" s="158">
        <f ca="1">IFERROR($S1104/_xlfn.XLOOKUP($AE1104,$B$16:$B$38,$S$16:$S$38),0)</f>
        <v>0</v>
      </c>
      <c r="AC1104" s="158">
        <f ca="1">IFERROR($T1104/_xlfn.XLOOKUP($AE1104,$B$16:$B$38,$T$16:$T$38),0)</f>
        <v>0</v>
      </c>
      <c r="AD1104" s="164"/>
      <c r="AE1104" s="148">
        <f t="shared" si="1886"/>
        <v>0</v>
      </c>
      <c r="AF1104" s="149"/>
      <c r="AG1104" s="150"/>
      <c r="AH1104" s="159" t="e">
        <f>+S1104/$S$1118</f>
        <v>#DIV/0!</v>
      </c>
      <c r="AI1104" s="209">
        <f>IF(K1104=0,0,K1104/F1104)</f>
        <v>0</v>
      </c>
      <c r="AJ1104" s="105"/>
      <c r="AK1104" s="105"/>
      <c r="AM1104" s="105"/>
      <c r="AN1104" s="105"/>
      <c r="AO1104" s="105"/>
      <c r="AP1104" s="105"/>
      <c r="AQ1104" s="105"/>
      <c r="AR1104" s="105"/>
    </row>
    <row r="1105" spans="1:44" s="220" customFormat="1" ht="40.15" hidden="1" customHeight="1">
      <c r="A1105" s="10">
        <f t="shared" ca="1" si="1876"/>
        <v>0</v>
      </c>
      <c r="B1105" s="153"/>
      <c r="C1105" s="154"/>
      <c r="D1105" s="154"/>
      <c r="E1105" s="161" t="s">
        <v>376</v>
      </c>
      <c r="F1105" s="154"/>
      <c r="G1105" s="154"/>
      <c r="H1105" s="152"/>
      <c r="I1105" s="152"/>
      <c r="J1105" s="216"/>
      <c r="K1105" s="216"/>
      <c r="L1105" s="216"/>
      <c r="M1105" s="216"/>
      <c r="N1105" s="154"/>
      <c r="O1105" s="154"/>
      <c r="P1105" s="154"/>
      <c r="Q1105" s="154"/>
      <c r="R1105" s="154"/>
      <c r="S1105" s="162"/>
      <c r="T1105" s="162"/>
      <c r="U1105" s="162"/>
      <c r="V1105" s="162"/>
      <c r="W1105" s="162"/>
      <c r="X1105" s="154"/>
      <c r="Y1105" s="154"/>
      <c r="Z1105" s="154"/>
      <c r="AA1105" s="154"/>
      <c r="AB1105" s="154"/>
      <c r="AC1105" s="154"/>
      <c r="AD1105" s="106"/>
      <c r="AE1105" s="148">
        <f>IF(SUM(S1106:S1107)&gt;0,IFERROR(TRUNC(A1105,0),0),0)</f>
        <v>0</v>
      </c>
      <c r="AF1105" s="149"/>
      <c r="AG1105" s="150"/>
      <c r="AH1105" s="159"/>
      <c r="AI1105" s="160" t="s">
        <v>123</v>
      </c>
      <c r="AJ1105" s="219"/>
      <c r="AK1105" s="219"/>
      <c r="AM1105" s="219"/>
      <c r="AN1105" s="219"/>
      <c r="AO1105" s="219"/>
      <c r="AP1105" s="219"/>
      <c r="AQ1105" s="219"/>
      <c r="AR1105" s="219"/>
    </row>
    <row r="1106" spans="1:44" s="220" customFormat="1" ht="40.15" hidden="1" customHeight="1">
      <c r="A1106" s="152">
        <f t="shared" ca="1" si="1876"/>
        <v>0</v>
      </c>
      <c r="B1106" s="153">
        <v>100947</v>
      </c>
      <c r="C1106" s="154" t="str">
        <f>TEXT(B1106,"0")</f>
        <v>100947</v>
      </c>
      <c r="D1106" s="154" t="s">
        <v>1416</v>
      </c>
      <c r="E1106" s="155" t="s">
        <v>385</v>
      </c>
      <c r="F1106" s="154">
        <f>IF(Dados_DMT!B36&lt;30,Dados_DMT!B36,30)</f>
        <v>0</v>
      </c>
      <c r="G1106" s="154" t="s">
        <v>3534</v>
      </c>
      <c r="H1106" s="152">
        <v>2.15</v>
      </c>
      <c r="I1106" s="152">
        <v>2.13</v>
      </c>
      <c r="J1106" s="156"/>
      <c r="K1106" s="156">
        <f>ROUND((K972+K973+K986+K995+K996+K997+K998+K1004+K1005+K1011+K1012+K1018+K1019+K1026+K1039+K1040+K1047+K1048+K1049+K1050+K1051+K1056+K1057+K1058+K1059+K1064+K1065+K1070+K1071+K1072+K1073+K1074+K1082+K1083+K1091+K1092+K1093+K1030)/1000*F1106,2)</f>
        <v>0</v>
      </c>
      <c r="L1106" s="156">
        <f>IF($K1106&gt;$J1106,$K1106-$J1106,0)</f>
        <v>0</v>
      </c>
      <c r="M1106" s="156">
        <f>IF($K1106&lt;$J1106,$J1106-$K1106,0)</f>
        <v>0</v>
      </c>
      <c r="N1106" s="156" t="s">
        <v>83</v>
      </c>
      <c r="O1106" s="157" cm="1">
        <f t="array" ref="O1106">TRUNC($H1106*(1+_xlfn.SWITCH($N1106,"BDI 1",$O$6,"BDI 2",$O$7,"BDI 3",$O$8)),2)</f>
        <v>2.59</v>
      </c>
      <c r="P1106" s="157" cm="1">
        <f t="array" ref="P1106">TRUNC($I1106*(1+_xlfn.SWITCH($N1106,"BDI 1",$P$6,"BDI 2",$P$7,"BDI 3",$P$8)),2)</f>
        <v>2.69</v>
      </c>
      <c r="Q1106" s="157">
        <v>0</v>
      </c>
      <c r="R1106" s="157">
        <f>$Q1106-($Q1106*LICITACAO_DESCONTO)</f>
        <v>0</v>
      </c>
      <c r="S1106" s="156">
        <f>TRUNC($K1106*$O1106,2)</f>
        <v>0</v>
      </c>
      <c r="T1106" s="156">
        <f>TRUNC($K1106*$P1106,2)</f>
        <v>0</v>
      </c>
      <c r="U1106" s="156">
        <f>TRUNC($J1106*$R1106,2)</f>
        <v>0</v>
      </c>
      <c r="V1106" s="156">
        <f>TRUNC($K1106*$Q1106,2)</f>
        <v>0</v>
      </c>
      <c r="W1106" s="156">
        <f>TRUNC(V1106-U1106,2)</f>
        <v>0</v>
      </c>
      <c r="X1106" s="158">
        <f>$S1106/ORCAMENTO_VALOR_TOTAL_ND</f>
        <v>0</v>
      </c>
      <c r="Y1106" s="158">
        <f>$T1106/ORCAMENTO_VALOR_TOTAL_DE</f>
        <v>0</v>
      </c>
      <c r="Z1106" s="158" cm="1">
        <f t="array" ref="Z1106">_xlfn.SWITCH($N1106,"BDI 1",$O$6,"BDI 2",$O$7,"BDI 3",$O$8)</f>
        <v>0.20699999999999999</v>
      </c>
      <c r="AA1106" s="158" cm="1">
        <f t="array" ref="AA1106">_xlfn.SWITCH($N1106,"BDI 1",$P$6,"BDI 2",$P$7,"BDI 3",$P$8)</f>
        <v>0.26739999999999997</v>
      </c>
      <c r="AB1106" s="158">
        <f ca="1">IFERROR($S1106/_xlfn.XLOOKUP($AE1106,$B$16:$B$38,$S$16:$S$38),0)</f>
        <v>0</v>
      </c>
      <c r="AC1106" s="158">
        <f ca="1">IFERROR($T1106/_xlfn.XLOOKUP($AE1106,$B$16:$B$38,$T$16:$T$38),0)</f>
        <v>0</v>
      </c>
      <c r="AD1106" s="164"/>
      <c r="AE1106" s="148">
        <f t="shared" ref="AE1106:AE1107" si="1887">IF(S1106&gt;0,IFERROR(TRUNC(A1106,0),0),0)</f>
        <v>0</v>
      </c>
      <c r="AF1106" s="149"/>
      <c r="AG1106" s="150"/>
      <c r="AH1106" s="159" t="e">
        <f>+S1106/$S$961</f>
        <v>#DIV/0!</v>
      </c>
      <c r="AI1106" s="166">
        <f>IF(K1106=0,0,K1106/F1106)</f>
        <v>0</v>
      </c>
      <c r="AJ1106" s="219"/>
      <c r="AK1106" s="219"/>
      <c r="AM1106" s="219"/>
      <c r="AN1106" s="219"/>
      <c r="AO1106" s="219"/>
      <c r="AP1106" s="219"/>
      <c r="AQ1106" s="219"/>
      <c r="AR1106" s="219"/>
    </row>
    <row r="1107" spans="1:44" s="220" customFormat="1" ht="40.15" hidden="1" customHeight="1">
      <c r="A1107" s="152">
        <f t="shared" ca="1" si="1876"/>
        <v>0</v>
      </c>
      <c r="B1107" s="153">
        <v>100948</v>
      </c>
      <c r="C1107" s="154" t="str">
        <f>TEXT(B1107,"0")</f>
        <v>100948</v>
      </c>
      <c r="D1107" s="154" t="s">
        <v>1416</v>
      </c>
      <c r="E1107" s="155" t="s">
        <v>3615</v>
      </c>
      <c r="F1107" s="154">
        <f>Dados_DMT!B36-'Orcamento ND'!F1106</f>
        <v>0</v>
      </c>
      <c r="G1107" s="154" t="s">
        <v>3534</v>
      </c>
      <c r="H1107" s="152">
        <v>0.85</v>
      </c>
      <c r="I1107" s="152">
        <v>0.84</v>
      </c>
      <c r="J1107" s="156"/>
      <c r="K1107" s="156">
        <f>ROUND((K972+K973+K986+K995+K996+K997+K998+K1004+K1005+K1011+K1012+K1018+K1019+K1026+K1039+K1040+K1047+K1048+K1049+K1050+K1051+K1056+K1057+K1058+K1059+K1064+K1065+K1070+K1071+K1072+K1073+K1074+K1082+K1083+K1091+K1092+K1093+K1030)/1000*F1107,2)</f>
        <v>0</v>
      </c>
      <c r="L1107" s="156">
        <f>IF($K1107&gt;$J1107,$K1107-$J1107,0)</f>
        <v>0</v>
      </c>
      <c r="M1107" s="156">
        <f>IF($K1107&lt;$J1107,$J1107-$K1107,0)</f>
        <v>0</v>
      </c>
      <c r="N1107" s="156" t="s">
        <v>83</v>
      </c>
      <c r="O1107" s="157" cm="1">
        <f t="array" ref="O1107">TRUNC($H1107*(1+_xlfn.SWITCH($N1107,"BDI 1",$O$6,"BDI 2",$O$7,"BDI 3",$O$8)),2)</f>
        <v>1.02</v>
      </c>
      <c r="P1107" s="157" cm="1">
        <f t="array" ref="P1107">TRUNC($I1107*(1+_xlfn.SWITCH($N1107,"BDI 1",$P$6,"BDI 2",$P$7,"BDI 3",$P$8)),2)</f>
        <v>1.06</v>
      </c>
      <c r="Q1107" s="157">
        <v>0</v>
      </c>
      <c r="R1107" s="157">
        <f>$Q1107-($Q1107*LICITACAO_DESCONTO)</f>
        <v>0</v>
      </c>
      <c r="S1107" s="156">
        <f>TRUNC($K1107*$O1107,2)</f>
        <v>0</v>
      </c>
      <c r="T1107" s="156">
        <f>TRUNC($K1107*$P1107,2)</f>
        <v>0</v>
      </c>
      <c r="U1107" s="156">
        <f>TRUNC($J1107*$R1107,2)</f>
        <v>0</v>
      </c>
      <c r="V1107" s="156">
        <f>TRUNC($K1107*$Q1107,2)</f>
        <v>0</v>
      </c>
      <c r="W1107" s="156">
        <f>TRUNC(V1107-U1107,2)</f>
        <v>0</v>
      </c>
      <c r="X1107" s="158">
        <f>$S1107/ORCAMENTO_VALOR_TOTAL_ND</f>
        <v>0</v>
      </c>
      <c r="Y1107" s="158">
        <f>$T1107/ORCAMENTO_VALOR_TOTAL_DE</f>
        <v>0</v>
      </c>
      <c r="Z1107" s="158" cm="1">
        <f t="array" ref="Z1107">_xlfn.SWITCH($N1107,"BDI 1",$O$6,"BDI 2",$O$7,"BDI 3",$O$8)</f>
        <v>0.20699999999999999</v>
      </c>
      <c r="AA1107" s="158" cm="1">
        <f t="array" ref="AA1107">_xlfn.SWITCH($N1107,"BDI 1",$P$6,"BDI 2",$P$7,"BDI 3",$P$8)</f>
        <v>0.26739999999999997</v>
      </c>
      <c r="AB1107" s="158">
        <f ca="1">IFERROR($S1107/_xlfn.XLOOKUP($AE1107,$B$16:$B$38,$S$16:$S$38),0)</f>
        <v>0</v>
      </c>
      <c r="AC1107" s="158">
        <f ca="1">IFERROR($T1107/_xlfn.XLOOKUP($AE1107,$B$16:$B$38,$T$16:$T$38),0)</f>
        <v>0</v>
      </c>
      <c r="AD1107" s="164"/>
      <c r="AE1107" s="148">
        <f t="shared" si="1887"/>
        <v>0</v>
      </c>
      <c r="AF1107" s="149"/>
      <c r="AG1107" s="150"/>
      <c r="AH1107" s="159" t="e">
        <f>+S1107/$S$961</f>
        <v>#DIV/0!</v>
      </c>
      <c r="AI1107" s="166">
        <f>IF(K1107=0,0,K1107/F1107)</f>
        <v>0</v>
      </c>
      <c r="AJ1107" s="219"/>
      <c r="AK1107" s="219"/>
      <c r="AM1107" s="219"/>
      <c r="AN1107" s="219"/>
      <c r="AO1107" s="219"/>
      <c r="AP1107" s="219"/>
      <c r="AQ1107" s="219"/>
      <c r="AR1107" s="219"/>
    </row>
    <row r="1108" spans="1:44" s="220" customFormat="1" ht="40.15" hidden="1" customHeight="1">
      <c r="A1108" s="10">
        <f t="shared" ca="1" si="1876"/>
        <v>0</v>
      </c>
      <c r="B1108" s="153"/>
      <c r="C1108" s="154"/>
      <c r="D1108" s="154"/>
      <c r="E1108" s="161" t="s">
        <v>377</v>
      </c>
      <c r="F1108" s="154"/>
      <c r="G1108" s="154"/>
      <c r="H1108" s="152"/>
      <c r="I1108" s="152"/>
      <c r="J1108" s="216"/>
      <c r="K1108" s="216"/>
      <c r="L1108" s="216"/>
      <c r="M1108" s="216"/>
      <c r="N1108" s="154"/>
      <c r="O1108" s="154"/>
      <c r="P1108" s="154"/>
      <c r="Q1108" s="154"/>
      <c r="R1108" s="154"/>
      <c r="S1108" s="162"/>
      <c r="T1108" s="162"/>
      <c r="U1108" s="162"/>
      <c r="V1108" s="162"/>
      <c r="W1108" s="162"/>
      <c r="X1108" s="154"/>
      <c r="Y1108" s="154"/>
      <c r="Z1108" s="154"/>
      <c r="AA1108" s="154"/>
      <c r="AB1108" s="154"/>
      <c r="AC1108" s="154"/>
      <c r="AD1108" s="106"/>
      <c r="AE1108" s="148">
        <f>IF(SUM(S1109:S1110)&gt;0,IFERROR(TRUNC(A1108,0),0),0)</f>
        <v>0</v>
      </c>
      <c r="AF1108" s="149"/>
      <c r="AG1108" s="150"/>
      <c r="AH1108" s="159"/>
      <c r="AI1108" s="160"/>
      <c r="AJ1108" s="219"/>
      <c r="AK1108" s="219"/>
      <c r="AM1108" s="219"/>
      <c r="AN1108" s="219"/>
      <c r="AO1108" s="219"/>
      <c r="AP1108" s="219"/>
      <c r="AQ1108" s="219"/>
      <c r="AR1108" s="219"/>
    </row>
    <row r="1109" spans="1:44" s="220" customFormat="1" ht="40.15" hidden="1" customHeight="1">
      <c r="A1109" s="152">
        <f t="shared" ca="1" si="1876"/>
        <v>0</v>
      </c>
      <c r="B1109" s="153">
        <v>95876</v>
      </c>
      <c r="C1109" s="154" t="str">
        <f>TEXT(B1109,"0")</f>
        <v>95876</v>
      </c>
      <c r="D1109" s="154" t="s">
        <v>1416</v>
      </c>
      <c r="E1109" s="155" t="s">
        <v>3537</v>
      </c>
      <c r="F1109" s="154">
        <f>IF(Dados_DMT!$B$14&lt;30,Dados_DMT!$B$14,30)</f>
        <v>3.5</v>
      </c>
      <c r="G1109" s="154" t="s">
        <v>3538</v>
      </c>
      <c r="H1109" s="152">
        <v>2.09</v>
      </c>
      <c r="I1109" s="152">
        <v>2.1</v>
      </c>
      <c r="J1109" s="156"/>
      <c r="K1109" s="156">
        <f>ROUND(((K969+K983+K1023+K1088)*0.8076+(K1053+K1021+K1044+K1079+K1086+K1015+K1061)*0.7119)*F1109,2)</f>
        <v>0</v>
      </c>
      <c r="L1109" s="156">
        <f>IF($K1109&gt;$J1109,$K1109-$J1109,0)</f>
        <v>0</v>
      </c>
      <c r="M1109" s="156">
        <f>IF($K1109&lt;$J1109,$J1109-$K1109,0)</f>
        <v>0</v>
      </c>
      <c r="N1109" s="156" t="s">
        <v>83</v>
      </c>
      <c r="O1109" s="157" cm="1">
        <f t="array" ref="O1109">TRUNC($H1109*(1+_xlfn.SWITCH($N1109,"BDI 1",$O$6,"BDI 2",$O$7,"BDI 3",$O$8)),2)</f>
        <v>2.52</v>
      </c>
      <c r="P1109" s="157" cm="1">
        <f t="array" ref="P1109">TRUNC($I1109*(1+_xlfn.SWITCH($N1109,"BDI 1",$P$6,"BDI 2",$P$7,"BDI 3",$P$8)),2)</f>
        <v>2.66</v>
      </c>
      <c r="Q1109" s="157">
        <v>0</v>
      </c>
      <c r="R1109" s="157">
        <f>$Q1109-($Q1109*LICITACAO_DESCONTO)</f>
        <v>0</v>
      </c>
      <c r="S1109" s="156">
        <f>TRUNC($K1109*$O1109,2)</f>
        <v>0</v>
      </c>
      <c r="T1109" s="156">
        <f>TRUNC($K1109*$P1109,2)</f>
        <v>0</v>
      </c>
      <c r="U1109" s="156">
        <f>TRUNC($J1109*$R1109,2)</f>
        <v>0</v>
      </c>
      <c r="V1109" s="156">
        <f>TRUNC($K1109*$Q1109,2)</f>
        <v>0</v>
      </c>
      <c r="W1109" s="156">
        <f>TRUNC(V1109-U1109,2)</f>
        <v>0</v>
      </c>
      <c r="X1109" s="158">
        <f>$S1109/ORCAMENTO_VALOR_TOTAL_ND</f>
        <v>0</v>
      </c>
      <c r="Y1109" s="158">
        <f>$T1109/ORCAMENTO_VALOR_TOTAL_DE</f>
        <v>0</v>
      </c>
      <c r="Z1109" s="158" cm="1">
        <f t="array" ref="Z1109">_xlfn.SWITCH($N1109,"BDI 1",$O$6,"BDI 2",$O$7,"BDI 3",$O$8)</f>
        <v>0.20699999999999999</v>
      </c>
      <c r="AA1109" s="158" cm="1">
        <f t="array" ref="AA1109">_xlfn.SWITCH($N1109,"BDI 1",$P$6,"BDI 2",$P$7,"BDI 3",$P$8)</f>
        <v>0.26739999999999997</v>
      </c>
      <c r="AB1109" s="158">
        <f ca="1">IFERROR($S1109/_xlfn.XLOOKUP($AE1109,$B$16:$B$38,$S$16:$S$38),0)</f>
        <v>0</v>
      </c>
      <c r="AC1109" s="158">
        <f ca="1">IFERROR($T1109/_xlfn.XLOOKUP($AE1109,$B$16:$B$38,$T$16:$T$38),0)</f>
        <v>0</v>
      </c>
      <c r="AD1109" s="164"/>
      <c r="AE1109" s="148">
        <f t="shared" ref="AE1109:AE1110" si="1888">IF(S1109&gt;0,IFERROR(TRUNC(A1109,0),0),0)</f>
        <v>0</v>
      </c>
      <c r="AF1109" s="149"/>
      <c r="AG1109" s="150"/>
      <c r="AH1109" s="159" t="e">
        <f>+S1109/$S$961</f>
        <v>#DIV/0!</v>
      </c>
      <c r="AI1109" s="160"/>
      <c r="AJ1109" s="219"/>
      <c r="AK1109" s="219"/>
      <c r="AM1109" s="219"/>
      <c r="AN1109" s="219"/>
      <c r="AO1109" s="219"/>
      <c r="AP1109" s="219"/>
      <c r="AQ1109" s="219"/>
      <c r="AR1109" s="219"/>
    </row>
    <row r="1110" spans="1:44" s="220" customFormat="1" ht="40.15" hidden="1" customHeight="1">
      <c r="A1110" s="152">
        <f t="shared" ca="1" si="1876"/>
        <v>0</v>
      </c>
      <c r="B1110" s="153">
        <v>93593</v>
      </c>
      <c r="C1110" s="154" t="str">
        <f>TEXT(B1110,"0")</f>
        <v>93593</v>
      </c>
      <c r="D1110" s="154" t="s">
        <v>1416</v>
      </c>
      <c r="E1110" s="155" t="s">
        <v>3545</v>
      </c>
      <c r="F1110" s="154">
        <f>+Dados_DMT!$B$14-F1109</f>
        <v>0</v>
      </c>
      <c r="G1110" s="154" t="s">
        <v>3538</v>
      </c>
      <c r="H1110" s="152">
        <v>0.84</v>
      </c>
      <c r="I1110" s="152">
        <v>0.85</v>
      </c>
      <c r="J1110" s="156"/>
      <c r="K1110" s="156">
        <f>ROUND(((K969+K983+K1023+K1088)*0.8076+(K1053+K1021+K1044+K1079+K1086+K1015+K1061)*0.7119)*F1110,2)</f>
        <v>0</v>
      </c>
      <c r="L1110" s="156">
        <f>IF($K1110&gt;$J1110,$K1110-$J1110,0)</f>
        <v>0</v>
      </c>
      <c r="M1110" s="156">
        <f>IF($K1110&lt;$J1110,$J1110-$K1110,0)</f>
        <v>0</v>
      </c>
      <c r="N1110" s="156" t="s">
        <v>83</v>
      </c>
      <c r="O1110" s="157" cm="1">
        <f t="array" ref="O1110">TRUNC($H1110*(1+_xlfn.SWITCH($N1110,"BDI 1",$O$6,"BDI 2",$O$7,"BDI 3",$O$8)),2)</f>
        <v>1.01</v>
      </c>
      <c r="P1110" s="157" cm="1">
        <f t="array" ref="P1110">TRUNC($I1110*(1+_xlfn.SWITCH($N1110,"BDI 1",$P$6,"BDI 2",$P$7,"BDI 3",$P$8)),2)</f>
        <v>1.07</v>
      </c>
      <c r="Q1110" s="157">
        <v>0</v>
      </c>
      <c r="R1110" s="157">
        <f>$Q1110-($Q1110*LICITACAO_DESCONTO)</f>
        <v>0</v>
      </c>
      <c r="S1110" s="156">
        <f>TRUNC($K1110*$O1110,2)</f>
        <v>0</v>
      </c>
      <c r="T1110" s="156">
        <f>TRUNC($K1110*$P1110,2)</f>
        <v>0</v>
      </c>
      <c r="U1110" s="156">
        <f>TRUNC($J1110*$R1110,2)</f>
        <v>0</v>
      </c>
      <c r="V1110" s="156">
        <f>TRUNC($K1110*$Q1110,2)</f>
        <v>0</v>
      </c>
      <c r="W1110" s="156">
        <f>TRUNC(V1110-U1110,2)</f>
        <v>0</v>
      </c>
      <c r="X1110" s="158">
        <f>$S1110/ORCAMENTO_VALOR_TOTAL_ND</f>
        <v>0</v>
      </c>
      <c r="Y1110" s="158">
        <f>$T1110/ORCAMENTO_VALOR_TOTAL_DE</f>
        <v>0</v>
      </c>
      <c r="Z1110" s="158" cm="1">
        <f t="array" ref="Z1110">_xlfn.SWITCH($N1110,"BDI 1",$O$6,"BDI 2",$O$7,"BDI 3",$O$8)</f>
        <v>0.20699999999999999</v>
      </c>
      <c r="AA1110" s="158" cm="1">
        <f t="array" ref="AA1110">_xlfn.SWITCH($N1110,"BDI 1",$P$6,"BDI 2",$P$7,"BDI 3",$P$8)</f>
        <v>0.26739999999999997</v>
      </c>
      <c r="AB1110" s="158">
        <f ca="1">IFERROR($S1110/_xlfn.XLOOKUP($AE1110,$B$16:$B$38,$S$16:$S$38),0)</f>
        <v>0</v>
      </c>
      <c r="AC1110" s="158">
        <f ca="1">IFERROR($T1110/_xlfn.XLOOKUP($AE1110,$B$16:$B$38,$T$16:$T$38),0)</f>
        <v>0</v>
      </c>
      <c r="AD1110" s="164"/>
      <c r="AE1110" s="148">
        <f t="shared" si="1888"/>
        <v>0</v>
      </c>
      <c r="AF1110" s="149"/>
      <c r="AG1110" s="150"/>
      <c r="AH1110" s="159" t="e">
        <f>+S1110/$S$961</f>
        <v>#DIV/0!</v>
      </c>
      <c r="AI1110" s="160"/>
      <c r="AJ1110" s="219"/>
      <c r="AK1110" s="219"/>
      <c r="AM1110" s="219"/>
      <c r="AN1110" s="219"/>
      <c r="AO1110" s="219"/>
      <c r="AP1110" s="219"/>
      <c r="AQ1110" s="219"/>
      <c r="AR1110" s="219"/>
    </row>
    <row r="1111" spans="1:44" s="220" customFormat="1" ht="40.15" hidden="1" customHeight="1">
      <c r="A1111" s="10">
        <f t="shared" ca="1" si="1876"/>
        <v>0</v>
      </c>
      <c r="B1111" s="153"/>
      <c r="C1111" s="154"/>
      <c r="D1111" s="154"/>
      <c r="E1111" s="161" t="s">
        <v>378</v>
      </c>
      <c r="F1111" s="154"/>
      <c r="G1111" s="154"/>
      <c r="H1111" s="152"/>
      <c r="I1111" s="152"/>
      <c r="J1111" s="216"/>
      <c r="K1111" s="216"/>
      <c r="L1111" s="216"/>
      <c r="M1111" s="216"/>
      <c r="N1111" s="154"/>
      <c r="O1111" s="154"/>
      <c r="P1111" s="154"/>
      <c r="Q1111" s="154"/>
      <c r="R1111" s="154"/>
      <c r="S1111" s="162"/>
      <c r="T1111" s="162"/>
      <c r="U1111" s="162"/>
      <c r="V1111" s="162"/>
      <c r="W1111" s="162"/>
      <c r="X1111" s="154"/>
      <c r="Y1111" s="154"/>
      <c r="Z1111" s="154"/>
      <c r="AA1111" s="154"/>
      <c r="AB1111" s="154"/>
      <c r="AC1111" s="154"/>
      <c r="AD1111" s="106"/>
      <c r="AE1111" s="148">
        <f>IF(SUM(S1112:S1113)&gt;0,IFERROR(TRUNC(A1111,0),0),0)</f>
        <v>0</v>
      </c>
      <c r="AF1111" s="149"/>
      <c r="AG1111" s="150"/>
      <c r="AH1111" s="159"/>
      <c r="AI1111" s="160"/>
      <c r="AJ1111" s="219"/>
      <c r="AK1111" s="219"/>
      <c r="AM1111" s="219"/>
      <c r="AN1111" s="219"/>
      <c r="AO1111" s="219"/>
      <c r="AP1111" s="219"/>
      <c r="AQ1111" s="219"/>
      <c r="AR1111" s="219"/>
    </row>
    <row r="1112" spans="1:44" s="220" customFormat="1" ht="40.15" hidden="1" customHeight="1">
      <c r="A1112" s="152">
        <f t="shared" ca="1" si="1876"/>
        <v>0</v>
      </c>
      <c r="B1112" s="153">
        <v>95876</v>
      </c>
      <c r="C1112" s="154" t="str">
        <f>TEXT(B1112,"0")</f>
        <v>95876</v>
      </c>
      <c r="D1112" s="154" t="s">
        <v>1416</v>
      </c>
      <c r="E1112" s="155" t="s">
        <v>3537</v>
      </c>
      <c r="F1112" s="154">
        <f>IF(Dados_DMT!$B$34&lt;30,Dados_DMT!$B$34,30)</f>
        <v>30</v>
      </c>
      <c r="G1112" s="154" t="s">
        <v>3538</v>
      </c>
      <c r="H1112" s="152">
        <v>2.09</v>
      </c>
      <c r="I1112" s="152">
        <v>2.1</v>
      </c>
      <c r="J1112" s="156"/>
      <c r="K1112" s="156">
        <f>ROUND(((K969+K983+K1023+K1088)*0.5813+(K1053+K1021+K1044+K1079+K1086+K1015+K1061)*0.5927)*F1112,2)</f>
        <v>0</v>
      </c>
      <c r="L1112" s="156">
        <f>IF($K1112&gt;$J1112,$K1112-$J1112,0)</f>
        <v>0</v>
      </c>
      <c r="M1112" s="156">
        <f>IF($K1112&lt;$J1112,$J1112-$K1112,0)</f>
        <v>0</v>
      </c>
      <c r="N1112" s="156" t="s">
        <v>83</v>
      </c>
      <c r="O1112" s="157" cm="1">
        <f t="array" ref="O1112">TRUNC($H1112*(1+_xlfn.SWITCH($N1112,"BDI 1",$O$6,"BDI 2",$O$7,"BDI 3",$O$8)),2)</f>
        <v>2.52</v>
      </c>
      <c r="P1112" s="157" cm="1">
        <f t="array" ref="P1112">TRUNC($I1112*(1+_xlfn.SWITCH($N1112,"BDI 1",$P$6,"BDI 2",$P$7,"BDI 3",$P$8)),2)</f>
        <v>2.66</v>
      </c>
      <c r="Q1112" s="157">
        <v>0</v>
      </c>
      <c r="R1112" s="157">
        <f>$Q1112-($Q1112*LICITACAO_DESCONTO)</f>
        <v>0</v>
      </c>
      <c r="S1112" s="156">
        <f>TRUNC($K1112*$O1112,2)</f>
        <v>0</v>
      </c>
      <c r="T1112" s="156">
        <f>TRUNC($K1112*$P1112,2)</f>
        <v>0</v>
      </c>
      <c r="U1112" s="156">
        <f>TRUNC($J1112*$R1112,2)</f>
        <v>0</v>
      </c>
      <c r="V1112" s="156">
        <f>TRUNC($K1112*$Q1112,2)</f>
        <v>0</v>
      </c>
      <c r="W1112" s="156">
        <f>TRUNC(V1112-U1112,2)</f>
        <v>0</v>
      </c>
      <c r="X1112" s="158">
        <f>$S1112/ORCAMENTO_VALOR_TOTAL_ND</f>
        <v>0</v>
      </c>
      <c r="Y1112" s="158">
        <f>$T1112/ORCAMENTO_VALOR_TOTAL_DE</f>
        <v>0</v>
      </c>
      <c r="Z1112" s="158" cm="1">
        <f t="array" ref="Z1112">_xlfn.SWITCH($N1112,"BDI 1",$O$6,"BDI 2",$O$7,"BDI 3",$O$8)</f>
        <v>0.20699999999999999</v>
      </c>
      <c r="AA1112" s="158" cm="1">
        <f t="array" ref="AA1112">_xlfn.SWITCH($N1112,"BDI 1",$P$6,"BDI 2",$P$7,"BDI 3",$P$8)</f>
        <v>0.26739999999999997</v>
      </c>
      <c r="AB1112" s="158">
        <f ca="1">IFERROR($S1112/_xlfn.XLOOKUP($AE1112,$B$16:$B$38,$S$16:$S$38),0)</f>
        <v>0</v>
      </c>
      <c r="AC1112" s="158">
        <f ca="1">IFERROR($T1112/_xlfn.XLOOKUP($AE1112,$B$16:$B$38,$T$16:$T$38),0)</f>
        <v>0</v>
      </c>
      <c r="AD1112" s="164"/>
      <c r="AE1112" s="148">
        <f t="shared" ref="AE1112:AE1113" si="1889">IF(S1112&gt;0,IFERROR(TRUNC(A1112,0),0),0)</f>
        <v>0</v>
      </c>
      <c r="AF1112" s="149"/>
      <c r="AG1112" s="150"/>
      <c r="AH1112" s="159" t="e">
        <f>+S1112/$S$961</f>
        <v>#DIV/0!</v>
      </c>
      <c r="AI1112" s="166">
        <f>IF(K1112=0,0,K1112/F1112)</f>
        <v>0</v>
      </c>
      <c r="AJ1112" s="219"/>
      <c r="AK1112" s="219"/>
      <c r="AM1112" s="219"/>
      <c r="AN1112" s="219"/>
      <c r="AO1112" s="219"/>
      <c r="AP1112" s="219"/>
      <c r="AQ1112" s="219"/>
      <c r="AR1112" s="219"/>
    </row>
    <row r="1113" spans="1:44" s="220" customFormat="1" ht="40.15" hidden="1" customHeight="1">
      <c r="A1113" s="152">
        <f t="shared" ca="1" si="1876"/>
        <v>0</v>
      </c>
      <c r="B1113" s="153">
        <v>93593</v>
      </c>
      <c r="C1113" s="154" t="str">
        <f>TEXT(B1113,"0")</f>
        <v>93593</v>
      </c>
      <c r="D1113" s="154" t="s">
        <v>1416</v>
      </c>
      <c r="E1113" s="155" t="s">
        <v>3545</v>
      </c>
      <c r="F1113" s="154">
        <f>+Dados_DMT!$B$34-F1112</f>
        <v>80</v>
      </c>
      <c r="G1113" s="154" t="s">
        <v>3538</v>
      </c>
      <c r="H1113" s="152">
        <v>0.84</v>
      </c>
      <c r="I1113" s="152">
        <v>0.85</v>
      </c>
      <c r="J1113" s="156"/>
      <c r="K1113" s="156">
        <f>ROUND(((K969+K983+K1023+K1088)*0.5813+(K1053+K1021+K1044+K1079+K1086+K1015+K1061)*0.5927)*F1113,2)</f>
        <v>0</v>
      </c>
      <c r="L1113" s="156">
        <f>IF($K1113&gt;$J1113,$K1113-$J1113,0)</f>
        <v>0</v>
      </c>
      <c r="M1113" s="156">
        <f>IF($K1113&lt;$J1113,$J1113-$K1113,0)</f>
        <v>0</v>
      </c>
      <c r="N1113" s="156" t="s">
        <v>83</v>
      </c>
      <c r="O1113" s="157" cm="1">
        <f t="array" ref="O1113">TRUNC($H1113*(1+_xlfn.SWITCH($N1113,"BDI 1",$O$6,"BDI 2",$O$7,"BDI 3",$O$8)),2)</f>
        <v>1.01</v>
      </c>
      <c r="P1113" s="157" cm="1">
        <f t="array" ref="P1113">TRUNC($I1113*(1+_xlfn.SWITCH($N1113,"BDI 1",$P$6,"BDI 2",$P$7,"BDI 3",$P$8)),2)</f>
        <v>1.07</v>
      </c>
      <c r="Q1113" s="157">
        <v>0</v>
      </c>
      <c r="R1113" s="157">
        <f>$Q1113-($Q1113*LICITACAO_DESCONTO)</f>
        <v>0</v>
      </c>
      <c r="S1113" s="156">
        <f>TRUNC($K1113*$O1113,2)</f>
        <v>0</v>
      </c>
      <c r="T1113" s="156">
        <f>TRUNC($K1113*$P1113,2)</f>
        <v>0</v>
      </c>
      <c r="U1113" s="156">
        <f>TRUNC($J1113*$R1113,2)</f>
        <v>0</v>
      </c>
      <c r="V1113" s="156">
        <f>TRUNC($K1113*$Q1113,2)</f>
        <v>0</v>
      </c>
      <c r="W1113" s="156">
        <f>TRUNC(V1113-U1113,2)</f>
        <v>0</v>
      </c>
      <c r="X1113" s="158">
        <f>$S1113/ORCAMENTO_VALOR_TOTAL_ND</f>
        <v>0</v>
      </c>
      <c r="Y1113" s="158">
        <f>$T1113/ORCAMENTO_VALOR_TOTAL_DE</f>
        <v>0</v>
      </c>
      <c r="Z1113" s="158" cm="1">
        <f t="array" ref="Z1113">_xlfn.SWITCH($N1113,"BDI 1",$O$6,"BDI 2",$O$7,"BDI 3",$O$8)</f>
        <v>0.20699999999999999</v>
      </c>
      <c r="AA1113" s="158" cm="1">
        <f t="array" ref="AA1113">_xlfn.SWITCH($N1113,"BDI 1",$P$6,"BDI 2",$P$7,"BDI 3",$P$8)</f>
        <v>0.26739999999999997</v>
      </c>
      <c r="AB1113" s="158">
        <f ca="1">IFERROR($S1113/_xlfn.XLOOKUP($AE1113,$B$16:$B$38,$S$16:$S$38),0)</f>
        <v>0</v>
      </c>
      <c r="AC1113" s="158">
        <f ca="1">IFERROR($T1113/_xlfn.XLOOKUP($AE1113,$B$16:$B$38,$T$16:$T$38),0)</f>
        <v>0</v>
      </c>
      <c r="AD1113" s="164"/>
      <c r="AE1113" s="148">
        <f t="shared" si="1889"/>
        <v>0</v>
      </c>
      <c r="AF1113" s="149"/>
      <c r="AG1113" s="150"/>
      <c r="AH1113" s="159" t="e">
        <f>+S1113/$S$961</f>
        <v>#DIV/0!</v>
      </c>
      <c r="AI1113" s="166">
        <f>IF(K1113=0,0,K1113/F1113)</f>
        <v>0</v>
      </c>
      <c r="AJ1113" s="219"/>
      <c r="AK1113" s="219"/>
      <c r="AM1113" s="219"/>
      <c r="AN1113" s="219"/>
      <c r="AO1113" s="219"/>
      <c r="AP1113" s="219"/>
      <c r="AQ1113" s="219"/>
      <c r="AR1113" s="219"/>
    </row>
    <row r="1114" spans="1:44" s="220" customFormat="1" ht="40.15" hidden="1" customHeight="1">
      <c r="A1114" s="10">
        <f t="shared" ca="1" si="1876"/>
        <v>0</v>
      </c>
      <c r="B1114" s="153"/>
      <c r="C1114" s="154"/>
      <c r="D1114" s="154"/>
      <c r="E1114" s="161" t="s">
        <v>379</v>
      </c>
      <c r="F1114" s="154"/>
      <c r="G1114" s="154"/>
      <c r="H1114" s="152"/>
      <c r="I1114" s="152"/>
      <c r="J1114" s="216"/>
      <c r="K1114" s="216"/>
      <c r="L1114" s="216"/>
      <c r="M1114" s="216"/>
      <c r="N1114" s="154"/>
      <c r="O1114" s="154"/>
      <c r="P1114" s="154"/>
      <c r="Q1114" s="154"/>
      <c r="R1114" s="154"/>
      <c r="S1114" s="162"/>
      <c r="T1114" s="162"/>
      <c r="U1114" s="162"/>
      <c r="V1114" s="162"/>
      <c r="W1114" s="162"/>
      <c r="X1114" s="154"/>
      <c r="Y1114" s="154"/>
      <c r="Z1114" s="154"/>
      <c r="AA1114" s="154"/>
      <c r="AB1114" s="154"/>
      <c r="AC1114" s="154"/>
      <c r="AD1114" s="106"/>
      <c r="AE1114" s="148">
        <f>IF(SUM(S1115:S1116)&gt;0,IFERROR(TRUNC(A1114,0),0),0)</f>
        <v>0</v>
      </c>
      <c r="AF1114" s="149"/>
      <c r="AG1114" s="150"/>
      <c r="AH1114" s="159"/>
      <c r="AI1114" s="160"/>
      <c r="AJ1114" s="219"/>
      <c r="AK1114" s="219"/>
      <c r="AM1114" s="219"/>
      <c r="AN1114" s="219"/>
      <c r="AO1114" s="219"/>
      <c r="AP1114" s="219"/>
      <c r="AQ1114" s="219"/>
      <c r="AR1114" s="219"/>
    </row>
    <row r="1115" spans="1:44" s="220" customFormat="1" ht="40.15" hidden="1" customHeight="1">
      <c r="A1115" s="152">
        <f t="shared" ca="1" si="1876"/>
        <v>0</v>
      </c>
      <c r="B1115" s="153">
        <v>100947</v>
      </c>
      <c r="C1115" s="154" t="str">
        <f>TEXT(B1115,"0")</f>
        <v>100947</v>
      </c>
      <c r="D1115" s="154" t="s">
        <v>1416</v>
      </c>
      <c r="E1115" s="155" t="s">
        <v>385</v>
      </c>
      <c r="F1115" s="154">
        <f>IF(Dados_DMT!$B$35&lt;30,Dados_DMT!$B$35,30)</f>
        <v>0</v>
      </c>
      <c r="G1115" s="154" t="s">
        <v>3534</v>
      </c>
      <c r="H1115" s="152">
        <v>2.15</v>
      </c>
      <c r="I1115" s="152">
        <v>2.13</v>
      </c>
      <c r="J1115" s="156"/>
      <c r="K1115" s="156">
        <f>ROUND(((K969+K983+K1023+K1088)*274.0635+(K1053+K1021+K1044+K1079+K1086+K1015+K1061)*391.1663)/1000*F1115,2)</f>
        <v>0</v>
      </c>
      <c r="L1115" s="156">
        <f>IF($K1115&gt;$J1115,$K1115-$J1115,0)</f>
        <v>0</v>
      </c>
      <c r="M1115" s="156">
        <f>IF($K1115&lt;$J1115,$J1115-$K1115,0)</f>
        <v>0</v>
      </c>
      <c r="N1115" s="156" t="s">
        <v>83</v>
      </c>
      <c r="O1115" s="157" cm="1">
        <f t="array" ref="O1115">TRUNC($H1115*(1+_xlfn.SWITCH($N1115,"BDI 1",$O$6,"BDI 2",$O$7,"BDI 3",$O$8)),2)</f>
        <v>2.59</v>
      </c>
      <c r="P1115" s="157" cm="1">
        <f t="array" ref="P1115">TRUNC($I1115*(1+_xlfn.SWITCH($N1115,"BDI 1",$P$6,"BDI 2",$P$7,"BDI 3",$P$8)),2)</f>
        <v>2.69</v>
      </c>
      <c r="Q1115" s="157">
        <v>0</v>
      </c>
      <c r="R1115" s="157">
        <f>$Q1115-($Q1115*LICITACAO_DESCONTO)</f>
        <v>0</v>
      </c>
      <c r="S1115" s="156">
        <f>TRUNC($K1115*$O1115,2)</f>
        <v>0</v>
      </c>
      <c r="T1115" s="156">
        <f>TRUNC($K1115*$P1115,2)</f>
        <v>0</v>
      </c>
      <c r="U1115" s="156">
        <f>TRUNC($J1115*$R1115,2)</f>
        <v>0</v>
      </c>
      <c r="V1115" s="156">
        <f>TRUNC($K1115*$Q1115,2)</f>
        <v>0</v>
      </c>
      <c r="W1115" s="156">
        <f>TRUNC(V1115-U1115,2)</f>
        <v>0</v>
      </c>
      <c r="X1115" s="158">
        <f>$S1115/ORCAMENTO_VALOR_TOTAL_ND</f>
        <v>0</v>
      </c>
      <c r="Y1115" s="158">
        <f>$T1115/ORCAMENTO_VALOR_TOTAL_DE</f>
        <v>0</v>
      </c>
      <c r="Z1115" s="158" cm="1">
        <f t="array" ref="Z1115">_xlfn.SWITCH($N1115,"BDI 1",$O$6,"BDI 2",$O$7,"BDI 3",$O$8)</f>
        <v>0.20699999999999999</v>
      </c>
      <c r="AA1115" s="158" cm="1">
        <f t="array" ref="AA1115">_xlfn.SWITCH($N1115,"BDI 1",$P$6,"BDI 2",$P$7,"BDI 3",$P$8)</f>
        <v>0.26739999999999997</v>
      </c>
      <c r="AB1115" s="158">
        <f ca="1">IFERROR($S1115/_xlfn.XLOOKUP($AE1115,$B$16:$B$38,$S$16:$S$38),0)</f>
        <v>0</v>
      </c>
      <c r="AC1115" s="158">
        <f ca="1">IFERROR($T1115/_xlfn.XLOOKUP($AE1115,$B$16:$B$38,$T$16:$T$38),0)</f>
        <v>0</v>
      </c>
      <c r="AD1115" s="164"/>
      <c r="AE1115" s="148">
        <f t="shared" ref="AE1115:AE1116" si="1890">IF(S1115&gt;0,IFERROR(TRUNC(A1115,0),0),0)</f>
        <v>0</v>
      </c>
      <c r="AF1115" s="149"/>
      <c r="AG1115" s="150"/>
      <c r="AH1115" s="159" t="e">
        <f>+S1115/$S$961</f>
        <v>#DIV/0!</v>
      </c>
      <c r="AI1115" s="160"/>
      <c r="AJ1115" s="219"/>
      <c r="AK1115" s="219"/>
      <c r="AM1115" s="219"/>
      <c r="AN1115" s="219"/>
      <c r="AO1115" s="219"/>
      <c r="AP1115" s="219"/>
      <c r="AQ1115" s="219"/>
      <c r="AR1115" s="219"/>
    </row>
    <row r="1116" spans="1:44" s="220" customFormat="1" ht="40.15" hidden="1" customHeight="1">
      <c r="A1116" s="152">
        <f t="shared" ca="1" si="1876"/>
        <v>0</v>
      </c>
      <c r="B1116" s="153">
        <v>100948</v>
      </c>
      <c r="C1116" s="154" t="str">
        <f>TEXT(B1116,"0")</f>
        <v>100948</v>
      </c>
      <c r="D1116" s="154" t="s">
        <v>1416</v>
      </c>
      <c r="E1116" s="155" t="s">
        <v>3615</v>
      </c>
      <c r="F1116" s="154">
        <f>+Dados_DMT!$B$35-F1115</f>
        <v>0</v>
      </c>
      <c r="G1116" s="154" t="s">
        <v>3534</v>
      </c>
      <c r="H1116" s="152">
        <v>0.85</v>
      </c>
      <c r="I1116" s="152">
        <v>0.84</v>
      </c>
      <c r="J1116" s="156"/>
      <c r="K1116" s="156">
        <f>ROUND(((K969+K983+K1023+K1088)*274.0635+(K1053+K1021+K1044+K1079+K1086+K1015+K1061)*391.1663)/1000*F1116,2)</f>
        <v>0</v>
      </c>
      <c r="L1116" s="156">
        <f>IF($K1116&gt;$J1116,$K1116-$J1116,0)</f>
        <v>0</v>
      </c>
      <c r="M1116" s="156">
        <f>IF($K1116&lt;$J1116,$J1116-$K1116,0)</f>
        <v>0</v>
      </c>
      <c r="N1116" s="156" t="s">
        <v>83</v>
      </c>
      <c r="O1116" s="157" cm="1">
        <f t="array" ref="O1116">TRUNC($H1116*(1+_xlfn.SWITCH($N1116,"BDI 1",$O$6,"BDI 2",$O$7,"BDI 3",$O$8)),2)</f>
        <v>1.02</v>
      </c>
      <c r="P1116" s="157" cm="1">
        <f t="array" ref="P1116">TRUNC($I1116*(1+_xlfn.SWITCH($N1116,"BDI 1",$P$6,"BDI 2",$P$7,"BDI 3",$P$8)),2)</f>
        <v>1.06</v>
      </c>
      <c r="Q1116" s="157">
        <v>0</v>
      </c>
      <c r="R1116" s="157">
        <f>$Q1116-($Q1116*LICITACAO_DESCONTO)</f>
        <v>0</v>
      </c>
      <c r="S1116" s="156">
        <f>TRUNC($K1116*$O1116,2)</f>
        <v>0</v>
      </c>
      <c r="T1116" s="156">
        <f>TRUNC($K1116*$P1116,2)</f>
        <v>0</v>
      </c>
      <c r="U1116" s="156">
        <f>TRUNC($J1116*$R1116,2)</f>
        <v>0</v>
      </c>
      <c r="V1116" s="156">
        <f>TRUNC($K1116*$Q1116,2)</f>
        <v>0</v>
      </c>
      <c r="W1116" s="156">
        <f>TRUNC(V1116-U1116,2)</f>
        <v>0</v>
      </c>
      <c r="X1116" s="158">
        <f>$S1116/ORCAMENTO_VALOR_TOTAL_ND</f>
        <v>0</v>
      </c>
      <c r="Y1116" s="158">
        <f>$T1116/ORCAMENTO_VALOR_TOTAL_DE</f>
        <v>0</v>
      </c>
      <c r="Z1116" s="158" cm="1">
        <f t="array" ref="Z1116">_xlfn.SWITCH($N1116,"BDI 1",$O$6,"BDI 2",$O$7,"BDI 3",$O$8)</f>
        <v>0.20699999999999999</v>
      </c>
      <c r="AA1116" s="158" cm="1">
        <f t="array" ref="AA1116">_xlfn.SWITCH($N1116,"BDI 1",$P$6,"BDI 2",$P$7,"BDI 3",$P$8)</f>
        <v>0.26739999999999997</v>
      </c>
      <c r="AB1116" s="158">
        <f ca="1">IFERROR($S1116/_xlfn.XLOOKUP($AE1116,$B$16:$B$38,$S$16:$S$38),0)</f>
        <v>0</v>
      </c>
      <c r="AC1116" s="158">
        <f ca="1">IFERROR($T1116/_xlfn.XLOOKUP($AE1116,$B$16:$B$38,$T$16:$T$38),0)</f>
        <v>0</v>
      </c>
      <c r="AD1116" s="164"/>
      <c r="AE1116" s="148">
        <f t="shared" si="1890"/>
        <v>0</v>
      </c>
      <c r="AF1116" s="149"/>
      <c r="AG1116" s="150"/>
      <c r="AH1116" s="159" t="e">
        <f>+S1116/$S$961</f>
        <v>#DIV/0!</v>
      </c>
      <c r="AI1116" s="160"/>
      <c r="AJ1116" s="219"/>
      <c r="AK1116" s="219"/>
      <c r="AM1116" s="219"/>
      <c r="AN1116" s="219"/>
      <c r="AO1116" s="219"/>
      <c r="AP1116" s="219"/>
      <c r="AQ1116" s="219"/>
      <c r="AR1116" s="219"/>
    </row>
    <row r="1117" spans="1:44" s="220" customFormat="1" ht="40.15" hidden="1" customHeight="1">
      <c r="A1117" s="10">
        <f t="shared" ca="1" si="1876"/>
        <v>0</v>
      </c>
      <c r="B1117" s="221"/>
      <c r="C1117" s="222"/>
      <c r="D1117" s="154"/>
      <c r="E1117" s="155"/>
      <c r="F1117" s="154"/>
      <c r="G1117" s="154"/>
      <c r="H1117" s="154"/>
      <c r="I1117" s="154"/>
      <c r="J1117" s="223"/>
      <c r="K1117" s="223"/>
      <c r="L1117" s="223"/>
      <c r="M1117" s="223"/>
      <c r="N1117" s="223"/>
      <c r="O1117" s="154"/>
      <c r="P1117" s="154"/>
      <c r="Q1117" s="154"/>
      <c r="R1117" s="154"/>
      <c r="S1117" s="162"/>
      <c r="T1117" s="162"/>
      <c r="U1117" s="162"/>
      <c r="V1117" s="162"/>
      <c r="W1117" s="162"/>
      <c r="X1117" s="163"/>
      <c r="Y1117" s="163"/>
      <c r="Z1117" s="163"/>
      <c r="AA1117" s="163"/>
      <c r="AB1117" s="163"/>
      <c r="AC1117" s="163"/>
      <c r="AD1117" s="164"/>
      <c r="AE1117" s="148">
        <f>IF(S1118&gt;0,IFERROR(TRUNC(A1118,0),0),0)</f>
        <v>0</v>
      </c>
      <c r="AF1117" s="149"/>
      <c r="AG1117" s="150"/>
      <c r="AH1117" s="159"/>
      <c r="AI1117" s="160"/>
      <c r="AJ1117" s="219"/>
      <c r="AK1117" s="219"/>
      <c r="AM1117" s="219"/>
      <c r="AN1117" s="219"/>
      <c r="AO1117" s="219"/>
      <c r="AP1117" s="219"/>
      <c r="AQ1117" s="219"/>
      <c r="AR1117" s="219"/>
    </row>
    <row r="1118" spans="1:44" s="105" customFormat="1" ht="40.15" hidden="1" customHeight="1">
      <c r="A1118" s="169">
        <f ca="1">$B$34</f>
        <v>0</v>
      </c>
      <c r="B1118" s="170"/>
      <c r="C1118" s="171"/>
      <c r="D1118" s="172"/>
      <c r="E1118" s="173" t="str">
        <f>$D$34</f>
        <v>IMPLANTAÇÃO / ADEQUAÇÃO GEOMÉTRICA DE CICLOVIA</v>
      </c>
      <c r="F1118" s="174">
        <v>0</v>
      </c>
      <c r="G1118" s="175"/>
      <c r="H1118" s="176" t="s">
        <v>380</v>
      </c>
      <c r="I1118" s="176" t="s">
        <v>380</v>
      </c>
      <c r="J1118" s="177"/>
      <c r="K1118" s="177"/>
      <c r="L1118" s="177"/>
      <c r="M1118" s="177"/>
      <c r="N1118" s="177"/>
      <c r="O1118" s="178" t="str">
        <f ca="1">CONCATENATE("SUB-TOTAL ",$A1118)</f>
        <v>SUB-TOTAL 0</v>
      </c>
      <c r="P1118" s="178" t="e" cm="1">
        <f t="array" ref="P1118">TRUNC($I1118*(1+_xlfn.SWITCH($N1118,"BDI 1",$P$6,"BDI 2",$P$7,"BDI 3",$P$8)),2)</f>
        <v>#VALUE!</v>
      </c>
      <c r="Q1118" s="178" t="str">
        <f ca="1">CONCATENATE("SUB-TOTAL ",$A1118)</f>
        <v>SUB-TOTAL 0</v>
      </c>
      <c r="R1118" s="178"/>
      <c r="S1118" s="179">
        <f>SUM(S1119:S1194)</f>
        <v>0</v>
      </c>
      <c r="T1118" s="179">
        <f>SUM(T1119:T1194)</f>
        <v>0</v>
      </c>
      <c r="U1118" s="179">
        <f>SUM(U1119:U1194)</f>
        <v>0</v>
      </c>
      <c r="V1118" s="179">
        <f>SUM(V1119:V1194)</f>
        <v>0</v>
      </c>
      <c r="W1118" s="179">
        <f t="shared" ref="W1118:W1149" si="1891">TRUNC(V1118-U1118,2)</f>
        <v>0</v>
      </c>
      <c r="X1118" s="180">
        <f>+$S1118/ORCAMENTO_VALOR_TOTAL_ND</f>
        <v>0</v>
      </c>
      <c r="Y1118" s="180">
        <f>+$T1118/ORCAMENTO_VALOR_TOTAL_DE</f>
        <v>0</v>
      </c>
      <c r="Z1118" s="180"/>
      <c r="AA1118" s="180"/>
      <c r="AB1118" s="180">
        <f>IFERROR($S1118/$S1118,0)</f>
        <v>0</v>
      </c>
      <c r="AC1118" s="180">
        <f>IFERROR($T1118/$T1118,0)</f>
        <v>0</v>
      </c>
      <c r="AD1118" s="147"/>
      <c r="AE1118" s="148">
        <f t="shared" ref="AE1118:AE1149" si="1892">IF(S1118&gt;0,IFERROR(TRUNC(A1118,0),0),0)</f>
        <v>0</v>
      </c>
      <c r="AF1118" s="149"/>
      <c r="AG1118" s="150"/>
      <c r="AH1118" s="151" t="e">
        <f t="shared" ref="AH1118:AH1149" si="1893">+S1118/$S$1118</f>
        <v>#DIV/0!</v>
      </c>
    </row>
    <row r="1119" spans="1:44" s="49" customFormat="1" ht="40.15" hidden="1" customHeight="1">
      <c r="A1119" s="152">
        <f t="shared" ref="A1119:A1182" ca="1" si="1894">+IF(K1119&gt;0,A1118+0.01,A1118)</f>
        <v>0</v>
      </c>
      <c r="B1119" s="153">
        <v>98525</v>
      </c>
      <c r="C1119" s="154" t="str">
        <f t="shared" ref="C1119:C1149" si="1895">TEXT(B1119,"0")</f>
        <v>98525</v>
      </c>
      <c r="D1119" s="154" t="s">
        <v>1416</v>
      </c>
      <c r="E1119" s="155" t="s">
        <v>1417</v>
      </c>
      <c r="F1119" s="154"/>
      <c r="G1119" s="154" t="s">
        <v>1418</v>
      </c>
      <c r="H1119" s="152">
        <v>0.63</v>
      </c>
      <c r="I1119" s="152">
        <v>0.37</v>
      </c>
      <c r="J1119" s="156"/>
      <c r="K1119" s="156">
        <f>+Ciclovia!J13</f>
        <v>0</v>
      </c>
      <c r="L1119" s="156">
        <f t="shared" ref="L1119:L1149" si="1896">IF($K1119&gt;$J1119,$K1119-$J1119,0)</f>
        <v>0</v>
      </c>
      <c r="M1119" s="156">
        <f t="shared" ref="M1119:M1149" si="1897">IF($K1119&lt;$J1119,$J1119-$K1119,0)</f>
        <v>0</v>
      </c>
      <c r="N1119" s="156" t="s">
        <v>83</v>
      </c>
      <c r="O1119" s="157" cm="1">
        <f t="array" ref="O1119">TRUNC($H1119*(1+_xlfn.SWITCH($N1119,"BDI 1",$O$6,"BDI 2",$O$7,"BDI 3",$O$8)),2)</f>
        <v>0.76</v>
      </c>
      <c r="P1119" s="157" cm="1">
        <f t="array" ref="P1119">TRUNC($I1119*(1+_xlfn.SWITCH($N1119,"BDI 1",$P$6,"BDI 2",$P$7,"BDI 3",$P$8)),2)</f>
        <v>0.46</v>
      </c>
      <c r="Q1119" s="157">
        <v>0</v>
      </c>
      <c r="R1119" s="157">
        <f t="shared" ref="R1119:R1149" si="1898">$Q1119-($Q1119*LICITACAO_DESCONTO)</f>
        <v>0</v>
      </c>
      <c r="S1119" s="156">
        <f t="shared" ref="S1119:S1149" si="1899">TRUNC($K1119*$O1119,2)</f>
        <v>0</v>
      </c>
      <c r="T1119" s="156">
        <f t="shared" ref="T1119:T1149" si="1900">TRUNC($K1119*$P1119,2)</f>
        <v>0</v>
      </c>
      <c r="U1119" s="156">
        <f t="shared" ref="U1119:U1149" si="1901">TRUNC($J1119*$R1119,2)</f>
        <v>0</v>
      </c>
      <c r="V1119" s="156">
        <f t="shared" ref="V1119:V1149" si="1902">TRUNC($K1119*$Q1119,2)</f>
        <v>0</v>
      </c>
      <c r="W1119" s="156">
        <f t="shared" si="1891"/>
        <v>0</v>
      </c>
      <c r="X1119" s="158">
        <f t="shared" ref="X1119" si="1903">$S1119/ORCAMENTO_VALOR_TOTAL_ND</f>
        <v>0</v>
      </c>
      <c r="Y1119" s="158">
        <f t="shared" ref="Y1119" si="1904">$T1119/ORCAMENTO_VALOR_TOTAL_DE</f>
        <v>0</v>
      </c>
      <c r="Z1119" s="158" cm="1">
        <f t="array" ref="Z1119">_xlfn.SWITCH($N1119,"BDI 1",$O$6,"BDI 2",$O$7,"BDI 3",$O$8)</f>
        <v>0.20699999999999999</v>
      </c>
      <c r="AA1119" s="158" cm="1">
        <f t="array" ref="AA1119">_xlfn.SWITCH($N1119,"BDI 1",$P$6,"BDI 2",$P$7,"BDI 3",$P$8)</f>
        <v>0.26739999999999997</v>
      </c>
      <c r="AB1119" s="158">
        <f t="shared" ref="AB1119:AB1149" ca="1" si="1905">IFERROR($S1119/_xlfn.XLOOKUP($AE1119,$B$16:$B$38,$S$16:$S$38),0)</f>
        <v>0</v>
      </c>
      <c r="AC1119" s="158">
        <f t="shared" ref="AC1119:AC1149" ca="1" si="1906">IFERROR($T1119/_xlfn.XLOOKUP($AE1119,$B$16:$B$38,$T$16:$T$38),0)</f>
        <v>0</v>
      </c>
      <c r="AD1119" s="164"/>
      <c r="AE1119" s="148">
        <f t="shared" si="1892"/>
        <v>0</v>
      </c>
      <c r="AF1119" s="149"/>
      <c r="AG1119" s="150"/>
      <c r="AH1119" s="159" t="e">
        <f t="shared" si="1893"/>
        <v>#DIV/0!</v>
      </c>
      <c r="AI1119" s="160"/>
      <c r="AJ1119" s="181" t="s">
        <v>105</v>
      </c>
      <c r="AK1119" s="181" t="s">
        <v>106</v>
      </c>
      <c r="AM1119" s="105"/>
      <c r="AN1119" s="105"/>
      <c r="AO1119" s="105"/>
      <c r="AP1119" s="105"/>
      <c r="AQ1119" s="105"/>
      <c r="AR1119" s="105"/>
    </row>
    <row r="1120" spans="1:44" s="49" customFormat="1" ht="49.9" hidden="1" customHeight="1">
      <c r="A1120" s="152">
        <f t="shared" ca="1" si="1894"/>
        <v>0</v>
      </c>
      <c r="B1120" s="153">
        <v>101230</v>
      </c>
      <c r="C1120" s="154" t="str">
        <f t="shared" si="1895"/>
        <v>101230</v>
      </c>
      <c r="D1120" s="154" t="s">
        <v>1416</v>
      </c>
      <c r="E1120" s="155" t="s">
        <v>3677</v>
      </c>
      <c r="F1120" s="154"/>
      <c r="G1120" s="154" t="s">
        <v>464</v>
      </c>
      <c r="H1120" s="152">
        <v>10.7</v>
      </c>
      <c r="I1120" s="152">
        <v>10.73</v>
      </c>
      <c r="J1120" s="156"/>
      <c r="K1120" s="156">
        <f>+Ciclovia!J37</f>
        <v>0</v>
      </c>
      <c r="L1120" s="156">
        <f t="shared" si="1896"/>
        <v>0</v>
      </c>
      <c r="M1120" s="156">
        <f t="shared" si="1897"/>
        <v>0</v>
      </c>
      <c r="N1120" s="156" t="s">
        <v>83</v>
      </c>
      <c r="O1120" s="157" cm="1">
        <f t="array" ref="O1120">TRUNC($H1120*(1+_xlfn.SWITCH($N1120,"BDI 1",$O$6,"BDI 2",$O$7,"BDI 3",$O$8)),2)</f>
        <v>12.91</v>
      </c>
      <c r="P1120" s="157" cm="1">
        <f t="array" ref="P1120">TRUNC($I1120*(1+_xlfn.SWITCH($N1120,"BDI 1",$P$6,"BDI 2",$P$7,"BDI 3",$P$8)),2)</f>
        <v>13.59</v>
      </c>
      <c r="Q1120" s="157">
        <v>0</v>
      </c>
      <c r="R1120" s="157">
        <f t="shared" si="1898"/>
        <v>0</v>
      </c>
      <c r="S1120" s="156">
        <f t="shared" si="1899"/>
        <v>0</v>
      </c>
      <c r="T1120" s="156">
        <f t="shared" si="1900"/>
        <v>0</v>
      </c>
      <c r="U1120" s="156">
        <f t="shared" si="1901"/>
        <v>0</v>
      </c>
      <c r="V1120" s="156">
        <f t="shared" si="1902"/>
        <v>0</v>
      </c>
      <c r="W1120" s="156">
        <f t="shared" si="1891"/>
        <v>0</v>
      </c>
      <c r="X1120" s="158">
        <f t="shared" ref="X1120" si="1907">$S1120/ORCAMENTO_VALOR_TOTAL_ND</f>
        <v>0</v>
      </c>
      <c r="Y1120" s="158">
        <f t="shared" ref="Y1120" si="1908">$T1120/ORCAMENTO_VALOR_TOTAL_DE</f>
        <v>0</v>
      </c>
      <c r="Z1120" s="158" cm="1">
        <f t="array" ref="Z1120">_xlfn.SWITCH($N1120,"BDI 1",$O$6,"BDI 2",$O$7,"BDI 3",$O$8)</f>
        <v>0.20699999999999999</v>
      </c>
      <c r="AA1120" s="158" cm="1">
        <f t="array" ref="AA1120">_xlfn.SWITCH($N1120,"BDI 1",$P$6,"BDI 2",$P$7,"BDI 3",$P$8)</f>
        <v>0.26739999999999997</v>
      </c>
      <c r="AB1120" s="158">
        <f t="shared" ca="1" si="1905"/>
        <v>0</v>
      </c>
      <c r="AC1120" s="158">
        <f t="shared" ca="1" si="1906"/>
        <v>0</v>
      </c>
      <c r="AD1120" s="164"/>
      <c r="AE1120" s="148">
        <f t="shared" si="1892"/>
        <v>0</v>
      </c>
      <c r="AF1120" s="149"/>
      <c r="AG1120" s="150"/>
      <c r="AH1120" s="159" t="e">
        <f t="shared" si="1893"/>
        <v>#DIV/0!</v>
      </c>
      <c r="AI1120" s="160"/>
      <c r="AJ1120" s="182">
        <v>52.08</v>
      </c>
      <c r="AK1120" s="183">
        <f>+K1120/AJ1120</f>
        <v>0</v>
      </c>
      <c r="AM1120" s="105"/>
      <c r="AN1120" s="105"/>
      <c r="AO1120" s="105"/>
      <c r="AP1120" s="105"/>
      <c r="AQ1120" s="105"/>
      <c r="AR1120" s="105"/>
    </row>
    <row r="1121" spans="1:44" s="49" customFormat="1" ht="40.15" hidden="1" customHeight="1">
      <c r="A1121" s="152">
        <f t="shared" ca="1" si="1894"/>
        <v>0</v>
      </c>
      <c r="B1121" s="153" t="s">
        <v>279</v>
      </c>
      <c r="C1121" s="154" t="str">
        <f t="shared" si="1895"/>
        <v>PA/0010</v>
      </c>
      <c r="D1121" s="154" t="s">
        <v>3549</v>
      </c>
      <c r="E1121" s="155" t="s">
        <v>3878</v>
      </c>
      <c r="F1121" s="154"/>
      <c r="G1121" s="154" t="s">
        <v>464</v>
      </c>
      <c r="H1121" s="152">
        <v>136.76</v>
      </c>
      <c r="I1121" s="152">
        <v>136.53</v>
      </c>
      <c r="J1121" s="156"/>
      <c r="K1121" s="156">
        <f>+Ciclovia!J30</f>
        <v>0</v>
      </c>
      <c r="L1121" s="156">
        <f t="shared" si="1896"/>
        <v>0</v>
      </c>
      <c r="M1121" s="156">
        <f t="shared" si="1897"/>
        <v>0</v>
      </c>
      <c r="N1121" s="156" t="s">
        <v>83</v>
      </c>
      <c r="O1121" s="157" cm="1">
        <f t="array" ref="O1121">TRUNC($H1121*(1+_xlfn.SWITCH($N1121,"BDI 1",$O$6,"BDI 2",$O$7,"BDI 3",$O$8)),2)</f>
        <v>165.06</v>
      </c>
      <c r="P1121" s="157" cm="1">
        <f t="array" ref="P1121">TRUNC($I1121*(1+_xlfn.SWITCH($N1121,"BDI 1",$P$6,"BDI 2",$P$7,"BDI 3",$P$8)),2)</f>
        <v>173.03</v>
      </c>
      <c r="Q1121" s="157">
        <v>0</v>
      </c>
      <c r="R1121" s="157">
        <f t="shared" si="1898"/>
        <v>0</v>
      </c>
      <c r="S1121" s="156">
        <f t="shared" si="1899"/>
        <v>0</v>
      </c>
      <c r="T1121" s="156">
        <f t="shared" si="1900"/>
        <v>0</v>
      </c>
      <c r="U1121" s="156">
        <f t="shared" si="1901"/>
        <v>0</v>
      </c>
      <c r="V1121" s="156">
        <f t="shared" si="1902"/>
        <v>0</v>
      </c>
      <c r="W1121" s="156">
        <f t="shared" si="1891"/>
        <v>0</v>
      </c>
      <c r="X1121" s="158">
        <f t="shared" ref="X1121" si="1909">$S1121/ORCAMENTO_VALOR_TOTAL_ND</f>
        <v>0</v>
      </c>
      <c r="Y1121" s="158">
        <f t="shared" ref="Y1121" si="1910">$T1121/ORCAMENTO_VALOR_TOTAL_DE</f>
        <v>0</v>
      </c>
      <c r="Z1121" s="158" cm="1">
        <f t="array" ref="Z1121">_xlfn.SWITCH($N1121,"BDI 1",$O$6,"BDI 2",$O$7,"BDI 3",$O$8)</f>
        <v>0.20699999999999999</v>
      </c>
      <c r="AA1121" s="158" cm="1">
        <f t="array" ref="AA1121">_xlfn.SWITCH($N1121,"BDI 1",$P$6,"BDI 2",$P$7,"BDI 3",$P$8)</f>
        <v>0.26739999999999997</v>
      </c>
      <c r="AB1121" s="158">
        <f t="shared" ca="1" si="1905"/>
        <v>0</v>
      </c>
      <c r="AC1121" s="158">
        <f t="shared" ca="1" si="1906"/>
        <v>0</v>
      </c>
      <c r="AD1121" s="164"/>
      <c r="AE1121" s="148">
        <f t="shared" si="1892"/>
        <v>0</v>
      </c>
      <c r="AF1121" s="149"/>
      <c r="AG1121" s="150"/>
      <c r="AH1121" s="159" t="e">
        <f t="shared" si="1893"/>
        <v>#DIV/0!</v>
      </c>
      <c r="AI1121" s="160"/>
      <c r="AJ1121" s="182">
        <v>34.479999999999997</v>
      </c>
      <c r="AK1121" s="183">
        <f>+K1121/AJ1121</f>
        <v>0</v>
      </c>
      <c r="AM1121" s="105"/>
      <c r="AN1121" s="105"/>
      <c r="AO1121" s="105"/>
      <c r="AP1121" s="105"/>
      <c r="AQ1121" s="105"/>
      <c r="AR1121" s="105"/>
    </row>
    <row r="1122" spans="1:44" s="49" customFormat="1" ht="40.15" hidden="1" customHeight="1">
      <c r="A1122" s="152">
        <f t="shared" ca="1" si="1894"/>
        <v>0</v>
      </c>
      <c r="B1122" s="153" t="s">
        <v>309</v>
      </c>
      <c r="C1122" s="154" t="str">
        <f t="shared" si="1895"/>
        <v>PA/0001</v>
      </c>
      <c r="D1122" s="154" t="s">
        <v>3549</v>
      </c>
      <c r="E1122" s="155" t="s">
        <v>3898</v>
      </c>
      <c r="F1122" s="154"/>
      <c r="G1122" s="154" t="s">
        <v>464</v>
      </c>
      <c r="H1122" s="152">
        <v>4.2300000000000004</v>
      </c>
      <c r="I1122" s="152">
        <v>4.18</v>
      </c>
      <c r="J1122" s="156"/>
      <c r="K1122" s="156">
        <f>+Ciclovia!J43</f>
        <v>0</v>
      </c>
      <c r="L1122" s="156">
        <f t="shared" si="1896"/>
        <v>0</v>
      </c>
      <c r="M1122" s="156">
        <f t="shared" si="1897"/>
        <v>0</v>
      </c>
      <c r="N1122" s="156" t="s">
        <v>83</v>
      </c>
      <c r="O1122" s="157" cm="1">
        <f t="array" ref="O1122">TRUNC($H1122*(1+_xlfn.SWITCH($N1122,"BDI 1",$O$6,"BDI 2",$O$7,"BDI 3",$O$8)),2)</f>
        <v>5.0999999999999996</v>
      </c>
      <c r="P1122" s="157" cm="1">
        <f t="array" ref="P1122">TRUNC($I1122*(1+_xlfn.SWITCH($N1122,"BDI 1",$P$6,"BDI 2",$P$7,"BDI 3",$P$8)),2)</f>
        <v>5.29</v>
      </c>
      <c r="Q1122" s="157">
        <v>0</v>
      </c>
      <c r="R1122" s="157">
        <f t="shared" si="1898"/>
        <v>0</v>
      </c>
      <c r="S1122" s="156">
        <f t="shared" si="1899"/>
        <v>0</v>
      </c>
      <c r="T1122" s="156">
        <f t="shared" si="1900"/>
        <v>0</v>
      </c>
      <c r="U1122" s="156">
        <f t="shared" si="1901"/>
        <v>0</v>
      </c>
      <c r="V1122" s="156">
        <f t="shared" si="1902"/>
        <v>0</v>
      </c>
      <c r="W1122" s="156">
        <f t="shared" si="1891"/>
        <v>0</v>
      </c>
      <c r="X1122" s="158">
        <f t="shared" ref="X1122" si="1911">$S1122/ORCAMENTO_VALOR_TOTAL_ND</f>
        <v>0</v>
      </c>
      <c r="Y1122" s="158">
        <f t="shared" ref="Y1122" si="1912">$T1122/ORCAMENTO_VALOR_TOTAL_DE</f>
        <v>0</v>
      </c>
      <c r="Z1122" s="158" cm="1">
        <f t="array" ref="Z1122">_xlfn.SWITCH($N1122,"BDI 1",$O$6,"BDI 2",$O$7,"BDI 3",$O$8)</f>
        <v>0.20699999999999999</v>
      </c>
      <c r="AA1122" s="158" cm="1">
        <f t="array" ref="AA1122">_xlfn.SWITCH($N1122,"BDI 1",$P$6,"BDI 2",$P$7,"BDI 3",$P$8)</f>
        <v>0.26739999999999997</v>
      </c>
      <c r="AB1122" s="158">
        <f t="shared" ca="1" si="1905"/>
        <v>0</v>
      </c>
      <c r="AC1122" s="158">
        <f t="shared" ca="1" si="1906"/>
        <v>0</v>
      </c>
      <c r="AD1122" s="164"/>
      <c r="AE1122" s="148">
        <f t="shared" si="1892"/>
        <v>0</v>
      </c>
      <c r="AF1122" s="149"/>
      <c r="AG1122" s="150"/>
      <c r="AH1122" s="159" t="e">
        <f t="shared" si="1893"/>
        <v>#DIV/0!</v>
      </c>
      <c r="AI1122" s="160"/>
      <c r="AJ1122" s="182">
        <v>0</v>
      </c>
      <c r="AK1122" s="183" t="e">
        <f>+K1122/AJ1122</f>
        <v>#DIV/0!</v>
      </c>
      <c r="AM1122" s="105"/>
      <c r="AN1122" s="105"/>
      <c r="AO1122" s="105"/>
      <c r="AP1122" s="105"/>
      <c r="AQ1122" s="105"/>
      <c r="AR1122" s="105"/>
    </row>
    <row r="1123" spans="1:44" s="49" customFormat="1" ht="49.9" hidden="1" customHeight="1">
      <c r="A1123" s="152">
        <f t="shared" ca="1" si="1894"/>
        <v>0</v>
      </c>
      <c r="B1123" s="153">
        <v>100975</v>
      </c>
      <c r="C1123" s="154" t="str">
        <f t="shared" si="1895"/>
        <v>100975</v>
      </c>
      <c r="D1123" s="154" t="s">
        <v>1416</v>
      </c>
      <c r="E1123" s="155" t="s">
        <v>3899</v>
      </c>
      <c r="F1123" s="154"/>
      <c r="G1123" s="154" t="s">
        <v>464</v>
      </c>
      <c r="H1123" s="152">
        <v>8.3800000000000008</v>
      </c>
      <c r="I1123" s="152">
        <v>8.35</v>
      </c>
      <c r="J1123" s="156"/>
      <c r="K1123" s="156">
        <f>ROUND(K1122*1.25,2)</f>
        <v>0</v>
      </c>
      <c r="L1123" s="156">
        <f t="shared" si="1896"/>
        <v>0</v>
      </c>
      <c r="M1123" s="156">
        <f t="shared" si="1897"/>
        <v>0</v>
      </c>
      <c r="N1123" s="156" t="s">
        <v>83</v>
      </c>
      <c r="O1123" s="157" cm="1">
        <f t="array" ref="O1123">TRUNC($H1123*(1+_xlfn.SWITCH($N1123,"BDI 1",$O$6,"BDI 2",$O$7,"BDI 3",$O$8)),2)</f>
        <v>10.11</v>
      </c>
      <c r="P1123" s="157" cm="1">
        <f t="array" ref="P1123">TRUNC($I1123*(1+_xlfn.SWITCH($N1123,"BDI 1",$P$6,"BDI 2",$P$7,"BDI 3",$P$8)),2)</f>
        <v>10.58</v>
      </c>
      <c r="Q1123" s="157">
        <v>0</v>
      </c>
      <c r="R1123" s="157">
        <f t="shared" si="1898"/>
        <v>0</v>
      </c>
      <c r="S1123" s="156">
        <f t="shared" si="1899"/>
        <v>0</v>
      </c>
      <c r="T1123" s="156">
        <f t="shared" si="1900"/>
        <v>0</v>
      </c>
      <c r="U1123" s="156">
        <f t="shared" si="1901"/>
        <v>0</v>
      </c>
      <c r="V1123" s="156">
        <f t="shared" si="1902"/>
        <v>0</v>
      </c>
      <c r="W1123" s="156">
        <f t="shared" si="1891"/>
        <v>0</v>
      </c>
      <c r="X1123" s="158">
        <f t="shared" ref="X1123" si="1913">$S1123/ORCAMENTO_VALOR_TOTAL_ND</f>
        <v>0</v>
      </c>
      <c r="Y1123" s="158">
        <f t="shared" ref="Y1123" si="1914">$T1123/ORCAMENTO_VALOR_TOTAL_DE</f>
        <v>0</v>
      </c>
      <c r="Z1123" s="158" cm="1">
        <f t="array" ref="Z1123">_xlfn.SWITCH($N1123,"BDI 1",$O$6,"BDI 2",$O$7,"BDI 3",$O$8)</f>
        <v>0.20699999999999999</v>
      </c>
      <c r="AA1123" s="158" cm="1">
        <f t="array" ref="AA1123">_xlfn.SWITCH($N1123,"BDI 1",$P$6,"BDI 2",$P$7,"BDI 3",$P$8)</f>
        <v>0.26739999999999997</v>
      </c>
      <c r="AB1123" s="158">
        <f t="shared" ca="1" si="1905"/>
        <v>0</v>
      </c>
      <c r="AC1123" s="158">
        <f t="shared" ca="1" si="1906"/>
        <v>0</v>
      </c>
      <c r="AD1123" s="164"/>
      <c r="AE1123" s="148">
        <f t="shared" si="1892"/>
        <v>0</v>
      </c>
      <c r="AF1123" s="149"/>
      <c r="AG1123" s="150"/>
      <c r="AH1123" s="159" t="e">
        <f t="shared" si="1893"/>
        <v>#DIV/0!</v>
      </c>
      <c r="AI1123" s="160"/>
      <c r="AJ1123" s="182">
        <v>0</v>
      </c>
      <c r="AK1123" s="183" t="e">
        <f>+K1123/AJ1123</f>
        <v>#DIV/0!</v>
      </c>
      <c r="AM1123" s="105"/>
      <c r="AN1123" s="105"/>
      <c r="AO1123" s="105"/>
      <c r="AP1123" s="105"/>
      <c r="AQ1123" s="105"/>
      <c r="AR1123" s="105"/>
    </row>
    <row r="1124" spans="1:44" s="49" customFormat="1" ht="49.9" hidden="1" customHeight="1">
      <c r="A1124" s="152">
        <f t="shared" ca="1" si="1894"/>
        <v>0</v>
      </c>
      <c r="B1124" s="153">
        <v>101230</v>
      </c>
      <c r="C1124" s="154" t="str">
        <f t="shared" si="1895"/>
        <v>101230</v>
      </c>
      <c r="D1124" s="154" t="s">
        <v>1416</v>
      </c>
      <c r="E1124" s="155" t="s">
        <v>3677</v>
      </c>
      <c r="F1124" s="154"/>
      <c r="G1124" s="154" t="s">
        <v>464</v>
      </c>
      <c r="H1124" s="152">
        <v>10.7</v>
      </c>
      <c r="I1124" s="152">
        <v>10.73</v>
      </c>
      <c r="J1124" s="156"/>
      <c r="K1124" s="156">
        <f>IF(K1144=0,Ciclovia!J51+Ciclovia!J71,0)+IF(K1146=0,Ciclovia!J73,0)</f>
        <v>0</v>
      </c>
      <c r="L1124" s="156">
        <f t="shared" si="1896"/>
        <v>0</v>
      </c>
      <c r="M1124" s="156">
        <f t="shared" si="1897"/>
        <v>0</v>
      </c>
      <c r="N1124" s="156" t="s">
        <v>83</v>
      </c>
      <c r="O1124" s="157" cm="1">
        <f t="array" ref="O1124">TRUNC($H1124*(1+_xlfn.SWITCH($N1124,"BDI 1",$O$6,"BDI 2",$O$7,"BDI 3",$O$8)),2)</f>
        <v>12.91</v>
      </c>
      <c r="P1124" s="157" cm="1">
        <f t="array" ref="P1124">TRUNC($I1124*(1+_xlfn.SWITCH($N1124,"BDI 1",$P$6,"BDI 2",$P$7,"BDI 3",$P$8)),2)</f>
        <v>13.59</v>
      </c>
      <c r="Q1124" s="157">
        <v>0</v>
      </c>
      <c r="R1124" s="157">
        <f t="shared" si="1898"/>
        <v>0</v>
      </c>
      <c r="S1124" s="156">
        <f t="shared" si="1899"/>
        <v>0</v>
      </c>
      <c r="T1124" s="156">
        <f t="shared" si="1900"/>
        <v>0</v>
      </c>
      <c r="U1124" s="156">
        <f t="shared" si="1901"/>
        <v>0</v>
      </c>
      <c r="V1124" s="156">
        <f t="shared" si="1902"/>
        <v>0</v>
      </c>
      <c r="W1124" s="156">
        <f t="shared" si="1891"/>
        <v>0</v>
      </c>
      <c r="X1124" s="158">
        <f t="shared" ref="X1124" si="1915">$S1124/ORCAMENTO_VALOR_TOTAL_ND</f>
        <v>0</v>
      </c>
      <c r="Y1124" s="158">
        <f t="shared" ref="Y1124" si="1916">$T1124/ORCAMENTO_VALOR_TOTAL_DE</f>
        <v>0</v>
      </c>
      <c r="Z1124" s="158" cm="1">
        <f t="array" ref="Z1124">_xlfn.SWITCH($N1124,"BDI 1",$O$6,"BDI 2",$O$7,"BDI 3",$O$8)</f>
        <v>0.20699999999999999</v>
      </c>
      <c r="AA1124" s="158" cm="1">
        <f t="array" ref="AA1124">_xlfn.SWITCH($N1124,"BDI 1",$P$6,"BDI 2",$P$7,"BDI 3",$P$8)</f>
        <v>0.26739999999999997</v>
      </c>
      <c r="AB1124" s="158">
        <f t="shared" ca="1" si="1905"/>
        <v>0</v>
      </c>
      <c r="AC1124" s="158">
        <f t="shared" ca="1" si="1906"/>
        <v>0</v>
      </c>
      <c r="AD1124" s="164"/>
      <c r="AE1124" s="148">
        <f t="shared" si="1892"/>
        <v>0</v>
      </c>
      <c r="AF1124" s="149"/>
      <c r="AG1124" s="150"/>
      <c r="AH1124" s="159" t="e">
        <f t="shared" si="1893"/>
        <v>#DIV/0!</v>
      </c>
      <c r="AI1124" s="160"/>
      <c r="AJ1124" s="182"/>
      <c r="AK1124" s="183"/>
      <c r="AM1124" s="105"/>
      <c r="AN1124" s="105"/>
      <c r="AO1124" s="105"/>
      <c r="AP1124" s="105"/>
      <c r="AQ1124" s="105"/>
      <c r="AR1124" s="105"/>
    </row>
    <row r="1125" spans="1:44" s="49" customFormat="1" ht="40.15" hidden="1" customHeight="1">
      <c r="A1125" s="152">
        <f t="shared" ca="1" si="1894"/>
        <v>0</v>
      </c>
      <c r="B1125" s="153">
        <v>96385</v>
      </c>
      <c r="C1125" s="154" t="str">
        <f t="shared" si="1895"/>
        <v>96385</v>
      </c>
      <c r="D1125" s="154" t="s">
        <v>1416</v>
      </c>
      <c r="E1125" s="155" t="s">
        <v>3813</v>
      </c>
      <c r="F1125" s="154"/>
      <c r="G1125" s="154" t="s">
        <v>464</v>
      </c>
      <c r="H1125" s="152">
        <v>11.28</v>
      </c>
      <c r="I1125" s="152">
        <v>11.08</v>
      </c>
      <c r="J1125" s="156"/>
      <c r="K1125" s="156">
        <f>+Ciclovia!J50</f>
        <v>0</v>
      </c>
      <c r="L1125" s="156">
        <f t="shared" si="1896"/>
        <v>0</v>
      </c>
      <c r="M1125" s="156">
        <f t="shared" si="1897"/>
        <v>0</v>
      </c>
      <c r="N1125" s="156" t="s">
        <v>83</v>
      </c>
      <c r="O1125" s="157" cm="1">
        <f t="array" ref="O1125">TRUNC($H1125*(1+_xlfn.SWITCH($N1125,"BDI 1",$O$6,"BDI 2",$O$7,"BDI 3",$O$8)),2)</f>
        <v>13.61</v>
      </c>
      <c r="P1125" s="157" cm="1">
        <f t="array" ref="P1125">TRUNC($I1125*(1+_xlfn.SWITCH($N1125,"BDI 1",$P$6,"BDI 2",$P$7,"BDI 3",$P$8)),2)</f>
        <v>14.04</v>
      </c>
      <c r="Q1125" s="157">
        <v>0</v>
      </c>
      <c r="R1125" s="157">
        <f t="shared" si="1898"/>
        <v>0</v>
      </c>
      <c r="S1125" s="156">
        <f t="shared" si="1899"/>
        <v>0</v>
      </c>
      <c r="T1125" s="156">
        <f t="shared" si="1900"/>
        <v>0</v>
      </c>
      <c r="U1125" s="156">
        <f t="shared" si="1901"/>
        <v>0</v>
      </c>
      <c r="V1125" s="156">
        <f t="shared" si="1902"/>
        <v>0</v>
      </c>
      <c r="W1125" s="156">
        <f t="shared" si="1891"/>
        <v>0</v>
      </c>
      <c r="X1125" s="158">
        <f t="shared" ref="X1125" si="1917">$S1125/ORCAMENTO_VALOR_TOTAL_ND</f>
        <v>0</v>
      </c>
      <c r="Y1125" s="158">
        <f t="shared" ref="Y1125" si="1918">$T1125/ORCAMENTO_VALOR_TOTAL_DE</f>
        <v>0</v>
      </c>
      <c r="Z1125" s="158" cm="1">
        <f t="array" ref="Z1125">_xlfn.SWITCH($N1125,"BDI 1",$O$6,"BDI 2",$O$7,"BDI 3",$O$8)</f>
        <v>0.20699999999999999</v>
      </c>
      <c r="AA1125" s="158" cm="1">
        <f t="array" ref="AA1125">_xlfn.SWITCH($N1125,"BDI 1",$P$6,"BDI 2",$P$7,"BDI 3",$P$8)</f>
        <v>0.26739999999999997</v>
      </c>
      <c r="AB1125" s="158">
        <f t="shared" ca="1" si="1905"/>
        <v>0</v>
      </c>
      <c r="AC1125" s="158">
        <f t="shared" ca="1" si="1906"/>
        <v>0</v>
      </c>
      <c r="AD1125" s="164"/>
      <c r="AE1125" s="148">
        <f t="shared" si="1892"/>
        <v>0</v>
      </c>
      <c r="AF1125" s="149"/>
      <c r="AG1125" s="150"/>
      <c r="AH1125" s="159" t="e">
        <f t="shared" si="1893"/>
        <v>#DIV/0!</v>
      </c>
      <c r="AI1125" s="160"/>
      <c r="AJ1125" s="182"/>
      <c r="AK1125" s="183"/>
      <c r="AM1125" s="105"/>
      <c r="AN1125" s="105"/>
      <c r="AO1125" s="105"/>
      <c r="AP1125" s="105"/>
      <c r="AQ1125" s="105"/>
      <c r="AR1125" s="105"/>
    </row>
    <row r="1126" spans="1:44" s="49" customFormat="1" ht="40.15" hidden="1" customHeight="1">
      <c r="A1126" s="152">
        <f t="shared" ca="1" si="1894"/>
        <v>0</v>
      </c>
      <c r="B1126" s="153">
        <v>100576</v>
      </c>
      <c r="C1126" s="154" t="str">
        <f t="shared" si="1895"/>
        <v>100576</v>
      </c>
      <c r="D1126" s="154" t="s">
        <v>1416</v>
      </c>
      <c r="E1126" s="155" t="s">
        <v>3901</v>
      </c>
      <c r="F1126" s="154"/>
      <c r="G1126" s="154" t="s">
        <v>1418</v>
      </c>
      <c r="H1126" s="152">
        <v>2.46</v>
      </c>
      <c r="I1126" s="152">
        <v>2.39</v>
      </c>
      <c r="J1126" s="156"/>
      <c r="K1126" s="156">
        <f>+Ciclovia!J52</f>
        <v>0</v>
      </c>
      <c r="L1126" s="156">
        <f t="shared" si="1896"/>
        <v>0</v>
      </c>
      <c r="M1126" s="156">
        <f t="shared" si="1897"/>
        <v>0</v>
      </c>
      <c r="N1126" s="156" t="s">
        <v>83</v>
      </c>
      <c r="O1126" s="157" cm="1">
        <f t="array" ref="O1126">TRUNC($H1126*(1+_xlfn.SWITCH($N1126,"BDI 1",$O$6,"BDI 2",$O$7,"BDI 3",$O$8)),2)</f>
        <v>2.96</v>
      </c>
      <c r="P1126" s="157" cm="1">
        <f t="array" ref="P1126">TRUNC($I1126*(1+_xlfn.SWITCH($N1126,"BDI 1",$P$6,"BDI 2",$P$7,"BDI 3",$P$8)),2)</f>
        <v>3.02</v>
      </c>
      <c r="Q1126" s="157">
        <v>0</v>
      </c>
      <c r="R1126" s="157">
        <f t="shared" si="1898"/>
        <v>0</v>
      </c>
      <c r="S1126" s="156">
        <f t="shared" si="1899"/>
        <v>0</v>
      </c>
      <c r="T1126" s="156">
        <f t="shared" si="1900"/>
        <v>0</v>
      </c>
      <c r="U1126" s="156">
        <f t="shared" si="1901"/>
        <v>0</v>
      </c>
      <c r="V1126" s="156">
        <f t="shared" si="1902"/>
        <v>0</v>
      </c>
      <c r="W1126" s="156">
        <f t="shared" si="1891"/>
        <v>0</v>
      </c>
      <c r="X1126" s="158">
        <f t="shared" ref="X1126" si="1919">$S1126/ORCAMENTO_VALOR_TOTAL_ND</f>
        <v>0</v>
      </c>
      <c r="Y1126" s="158">
        <f t="shared" ref="Y1126" si="1920">$T1126/ORCAMENTO_VALOR_TOTAL_DE</f>
        <v>0</v>
      </c>
      <c r="Z1126" s="158" cm="1">
        <f t="array" ref="Z1126">_xlfn.SWITCH($N1126,"BDI 1",$O$6,"BDI 2",$O$7,"BDI 3",$O$8)</f>
        <v>0.20699999999999999</v>
      </c>
      <c r="AA1126" s="158" cm="1">
        <f t="array" ref="AA1126">_xlfn.SWITCH($N1126,"BDI 1",$P$6,"BDI 2",$P$7,"BDI 3",$P$8)</f>
        <v>0.26739999999999997</v>
      </c>
      <c r="AB1126" s="158">
        <f t="shared" ca="1" si="1905"/>
        <v>0</v>
      </c>
      <c r="AC1126" s="158">
        <f t="shared" ca="1" si="1906"/>
        <v>0</v>
      </c>
      <c r="AD1126" s="164"/>
      <c r="AE1126" s="148">
        <f t="shared" si="1892"/>
        <v>0</v>
      </c>
      <c r="AF1126" s="149"/>
      <c r="AG1126" s="150"/>
      <c r="AH1126" s="159" t="e">
        <f t="shared" si="1893"/>
        <v>#DIV/0!</v>
      </c>
      <c r="AI1126" s="165" t="s">
        <v>310</v>
      </c>
      <c r="AJ1126" s="184">
        <v>0</v>
      </c>
      <c r="AK1126" s="183" t="e">
        <f t="shared" ref="AK1126:AK1133" si="1921">+K1126/AJ1126</f>
        <v>#DIV/0!</v>
      </c>
      <c r="AM1126" s="105"/>
      <c r="AN1126" s="105"/>
      <c r="AO1126" s="105"/>
      <c r="AP1126" s="105"/>
      <c r="AQ1126" s="105"/>
      <c r="AR1126" s="105"/>
    </row>
    <row r="1127" spans="1:44" s="49" customFormat="1" ht="49.9" hidden="1" customHeight="1">
      <c r="A1127" s="152">
        <f t="shared" ca="1" si="1894"/>
        <v>0</v>
      </c>
      <c r="B1127" s="153">
        <v>101767</v>
      </c>
      <c r="C1127" s="154" t="str">
        <f t="shared" si="1895"/>
        <v>101767</v>
      </c>
      <c r="D1127" s="154" t="s">
        <v>1416</v>
      </c>
      <c r="E1127" s="155" t="s">
        <v>3870</v>
      </c>
      <c r="F1127" s="154"/>
      <c r="G1127" s="154" t="s">
        <v>464</v>
      </c>
      <c r="H1127" s="152">
        <v>27.3</v>
      </c>
      <c r="I1127" s="152">
        <v>26.65</v>
      </c>
      <c r="J1127" s="156"/>
      <c r="K1127" s="156">
        <f>+Ciclovia!J67</f>
        <v>0</v>
      </c>
      <c r="L1127" s="156">
        <f t="shared" si="1896"/>
        <v>0</v>
      </c>
      <c r="M1127" s="156">
        <f t="shared" si="1897"/>
        <v>0</v>
      </c>
      <c r="N1127" s="156" t="s">
        <v>83</v>
      </c>
      <c r="O1127" s="157" cm="1">
        <f t="array" ref="O1127">TRUNC($H1127*(1+_xlfn.SWITCH($N1127,"BDI 1",$O$6,"BDI 2",$O$7,"BDI 3",$O$8)),2)</f>
        <v>32.950000000000003</v>
      </c>
      <c r="P1127" s="157" cm="1">
        <f t="array" ref="P1127">TRUNC($I1127*(1+_xlfn.SWITCH($N1127,"BDI 1",$P$6,"BDI 2",$P$7,"BDI 3",$P$8)),2)</f>
        <v>33.770000000000003</v>
      </c>
      <c r="Q1127" s="157">
        <v>0</v>
      </c>
      <c r="R1127" s="157">
        <f t="shared" si="1898"/>
        <v>0</v>
      </c>
      <c r="S1127" s="156">
        <f t="shared" si="1899"/>
        <v>0</v>
      </c>
      <c r="T1127" s="156">
        <f t="shared" si="1900"/>
        <v>0</v>
      </c>
      <c r="U1127" s="156">
        <f t="shared" si="1901"/>
        <v>0</v>
      </c>
      <c r="V1127" s="156">
        <f t="shared" si="1902"/>
        <v>0</v>
      </c>
      <c r="W1127" s="156">
        <f t="shared" si="1891"/>
        <v>0</v>
      </c>
      <c r="X1127" s="158">
        <f t="shared" ref="X1127" si="1922">$S1127/ORCAMENTO_VALOR_TOTAL_ND</f>
        <v>0</v>
      </c>
      <c r="Y1127" s="158">
        <f t="shared" ref="Y1127" si="1923">$T1127/ORCAMENTO_VALOR_TOTAL_DE</f>
        <v>0</v>
      </c>
      <c r="Z1127" s="158" cm="1">
        <f t="array" ref="Z1127">_xlfn.SWITCH($N1127,"BDI 1",$O$6,"BDI 2",$O$7,"BDI 3",$O$8)</f>
        <v>0.20699999999999999</v>
      </c>
      <c r="AA1127" s="158" cm="1">
        <f t="array" ref="AA1127">_xlfn.SWITCH($N1127,"BDI 1",$P$6,"BDI 2",$P$7,"BDI 3",$P$8)</f>
        <v>0.26739999999999997</v>
      </c>
      <c r="AB1127" s="158">
        <f t="shared" ca="1" si="1905"/>
        <v>0</v>
      </c>
      <c r="AC1127" s="158">
        <f t="shared" ca="1" si="1906"/>
        <v>0</v>
      </c>
      <c r="AD1127" s="164"/>
      <c r="AE1127" s="148">
        <f t="shared" si="1892"/>
        <v>0</v>
      </c>
      <c r="AF1127" s="149"/>
      <c r="AG1127" s="150"/>
      <c r="AH1127" s="159" t="e">
        <f t="shared" si="1893"/>
        <v>#DIV/0!</v>
      </c>
      <c r="AI1127" s="160"/>
      <c r="AJ1127" s="182">
        <v>20</v>
      </c>
      <c r="AK1127" s="183">
        <f t="shared" si="1921"/>
        <v>0</v>
      </c>
      <c r="AM1127" s="105"/>
      <c r="AN1127" s="105"/>
      <c r="AO1127" s="105"/>
      <c r="AP1127" s="105"/>
      <c r="AQ1127" s="105"/>
      <c r="AR1127" s="105"/>
    </row>
    <row r="1128" spans="1:44" s="49" customFormat="1" ht="49.9" hidden="1" customHeight="1">
      <c r="A1128" s="152">
        <f t="shared" ca="1" si="1894"/>
        <v>0</v>
      </c>
      <c r="B1128" s="153">
        <v>101768</v>
      </c>
      <c r="C1128" s="154" t="str">
        <f t="shared" si="1895"/>
        <v>101768</v>
      </c>
      <c r="D1128" s="154" t="s">
        <v>1416</v>
      </c>
      <c r="E1128" s="155" t="s">
        <v>3871</v>
      </c>
      <c r="F1128" s="154"/>
      <c r="G1128" s="154" t="s">
        <v>464</v>
      </c>
      <c r="H1128" s="152">
        <v>23.65</v>
      </c>
      <c r="I1128" s="152">
        <v>23.25</v>
      </c>
      <c r="J1128" s="156"/>
      <c r="K1128" s="156">
        <f>+Ciclovia!J68</f>
        <v>0</v>
      </c>
      <c r="L1128" s="156">
        <f t="shared" si="1896"/>
        <v>0</v>
      </c>
      <c r="M1128" s="156">
        <f t="shared" si="1897"/>
        <v>0</v>
      </c>
      <c r="N1128" s="156" t="s">
        <v>83</v>
      </c>
      <c r="O1128" s="157" cm="1">
        <f t="array" ref="O1128">TRUNC($H1128*(1+_xlfn.SWITCH($N1128,"BDI 1",$O$6,"BDI 2",$O$7,"BDI 3",$O$8)),2)</f>
        <v>28.54</v>
      </c>
      <c r="P1128" s="157" cm="1">
        <f t="array" ref="P1128">TRUNC($I1128*(1+_xlfn.SWITCH($N1128,"BDI 1",$P$6,"BDI 2",$P$7,"BDI 3",$P$8)),2)</f>
        <v>29.46</v>
      </c>
      <c r="Q1128" s="157">
        <v>0</v>
      </c>
      <c r="R1128" s="157">
        <f t="shared" si="1898"/>
        <v>0</v>
      </c>
      <c r="S1128" s="156">
        <f t="shared" si="1899"/>
        <v>0</v>
      </c>
      <c r="T1128" s="156">
        <f t="shared" si="1900"/>
        <v>0</v>
      </c>
      <c r="U1128" s="156">
        <f t="shared" si="1901"/>
        <v>0</v>
      </c>
      <c r="V1128" s="156">
        <f t="shared" si="1902"/>
        <v>0</v>
      </c>
      <c r="W1128" s="156">
        <f t="shared" si="1891"/>
        <v>0</v>
      </c>
      <c r="X1128" s="158">
        <f t="shared" ref="X1128" si="1924">$S1128/ORCAMENTO_VALOR_TOTAL_ND</f>
        <v>0</v>
      </c>
      <c r="Y1128" s="158">
        <f t="shared" ref="Y1128" si="1925">$T1128/ORCAMENTO_VALOR_TOTAL_DE</f>
        <v>0</v>
      </c>
      <c r="Z1128" s="158" cm="1">
        <f t="array" ref="Z1128">_xlfn.SWITCH($N1128,"BDI 1",$O$6,"BDI 2",$O$7,"BDI 3",$O$8)</f>
        <v>0.20699999999999999</v>
      </c>
      <c r="AA1128" s="158" cm="1">
        <f t="array" ref="AA1128">_xlfn.SWITCH($N1128,"BDI 1",$P$6,"BDI 2",$P$7,"BDI 3",$P$8)</f>
        <v>0.26739999999999997</v>
      </c>
      <c r="AB1128" s="158">
        <f t="shared" ca="1" si="1905"/>
        <v>0</v>
      </c>
      <c r="AC1128" s="158">
        <f t="shared" ca="1" si="1906"/>
        <v>0</v>
      </c>
      <c r="AD1128" s="164"/>
      <c r="AE1128" s="148">
        <f t="shared" si="1892"/>
        <v>0</v>
      </c>
      <c r="AF1128" s="149"/>
      <c r="AG1128" s="150"/>
      <c r="AH1128" s="159" t="e">
        <f t="shared" si="1893"/>
        <v>#DIV/0!</v>
      </c>
      <c r="AI1128" s="160"/>
      <c r="AJ1128" s="182">
        <v>0</v>
      </c>
      <c r="AK1128" s="183" t="e">
        <f t="shared" si="1921"/>
        <v>#DIV/0!</v>
      </c>
      <c r="AM1128" s="105"/>
      <c r="AN1128" s="105"/>
      <c r="AO1128" s="105"/>
      <c r="AP1128" s="105"/>
      <c r="AQ1128" s="105"/>
      <c r="AR1128" s="105"/>
    </row>
    <row r="1129" spans="1:44" s="49" customFormat="1" ht="49.9" hidden="1" customHeight="1">
      <c r="A1129" s="152">
        <f t="shared" ca="1" si="1894"/>
        <v>0</v>
      </c>
      <c r="B1129" s="153">
        <v>101768</v>
      </c>
      <c r="C1129" s="154" t="str">
        <f t="shared" si="1895"/>
        <v>101768</v>
      </c>
      <c r="D1129" s="154" t="s">
        <v>1416</v>
      </c>
      <c r="E1129" s="155" t="s">
        <v>3871</v>
      </c>
      <c r="F1129" s="154"/>
      <c r="G1129" s="154" t="s">
        <v>464</v>
      </c>
      <c r="H1129" s="152">
        <v>23.65</v>
      </c>
      <c r="I1129" s="152">
        <v>23.25</v>
      </c>
      <c r="J1129" s="156"/>
      <c r="K1129" s="156">
        <f>+Ciclovia!J69</f>
        <v>0</v>
      </c>
      <c r="L1129" s="156">
        <f t="shared" si="1896"/>
        <v>0</v>
      </c>
      <c r="M1129" s="156">
        <f t="shared" si="1897"/>
        <v>0</v>
      </c>
      <c r="N1129" s="156" t="s">
        <v>83</v>
      </c>
      <c r="O1129" s="157" cm="1">
        <f t="array" ref="O1129">TRUNC($H1129*(1+_xlfn.SWITCH($N1129,"BDI 1",$O$6,"BDI 2",$O$7,"BDI 3",$O$8)),2)</f>
        <v>28.54</v>
      </c>
      <c r="P1129" s="157" cm="1">
        <f t="array" ref="P1129">TRUNC($I1129*(1+_xlfn.SWITCH($N1129,"BDI 1",$P$6,"BDI 2",$P$7,"BDI 3",$P$8)),2)</f>
        <v>29.46</v>
      </c>
      <c r="Q1129" s="157">
        <v>0</v>
      </c>
      <c r="R1129" s="157">
        <f t="shared" si="1898"/>
        <v>0</v>
      </c>
      <c r="S1129" s="156">
        <f t="shared" si="1899"/>
        <v>0</v>
      </c>
      <c r="T1129" s="156">
        <f t="shared" si="1900"/>
        <v>0</v>
      </c>
      <c r="U1129" s="156">
        <f t="shared" si="1901"/>
        <v>0</v>
      </c>
      <c r="V1129" s="156">
        <f t="shared" si="1902"/>
        <v>0</v>
      </c>
      <c r="W1129" s="156">
        <f t="shared" si="1891"/>
        <v>0</v>
      </c>
      <c r="X1129" s="158">
        <f t="shared" ref="X1129" si="1926">$S1129/ORCAMENTO_VALOR_TOTAL_ND</f>
        <v>0</v>
      </c>
      <c r="Y1129" s="158">
        <f t="shared" ref="Y1129" si="1927">$T1129/ORCAMENTO_VALOR_TOTAL_DE</f>
        <v>0</v>
      </c>
      <c r="Z1129" s="158" cm="1">
        <f t="array" ref="Z1129">_xlfn.SWITCH($N1129,"BDI 1",$O$6,"BDI 2",$O$7,"BDI 3",$O$8)</f>
        <v>0.20699999999999999</v>
      </c>
      <c r="AA1129" s="158" cm="1">
        <f t="array" ref="AA1129">_xlfn.SWITCH($N1129,"BDI 1",$P$6,"BDI 2",$P$7,"BDI 3",$P$8)</f>
        <v>0.26739999999999997</v>
      </c>
      <c r="AB1129" s="158">
        <f t="shared" ca="1" si="1905"/>
        <v>0</v>
      </c>
      <c r="AC1129" s="158">
        <f t="shared" ca="1" si="1906"/>
        <v>0</v>
      </c>
      <c r="AD1129" s="164"/>
      <c r="AE1129" s="148">
        <f t="shared" si="1892"/>
        <v>0</v>
      </c>
      <c r="AF1129" s="149"/>
      <c r="AG1129" s="150"/>
      <c r="AH1129" s="159" t="e">
        <f t="shared" si="1893"/>
        <v>#DIV/0!</v>
      </c>
      <c r="AI1129" s="160"/>
      <c r="AJ1129" s="182">
        <v>0</v>
      </c>
      <c r="AK1129" s="183" t="e">
        <f t="shared" si="1921"/>
        <v>#DIV/0!</v>
      </c>
      <c r="AM1129" s="105"/>
      <c r="AN1129" s="105"/>
      <c r="AO1129" s="105"/>
      <c r="AP1129" s="105"/>
      <c r="AQ1129" s="105"/>
      <c r="AR1129" s="105"/>
    </row>
    <row r="1130" spans="1:44" s="49" customFormat="1" ht="49.9" hidden="1" customHeight="1">
      <c r="A1130" s="152">
        <f t="shared" ca="1" si="1894"/>
        <v>0</v>
      </c>
      <c r="B1130" s="153">
        <v>96389</v>
      </c>
      <c r="C1130" s="154" t="str">
        <f t="shared" si="1895"/>
        <v>96389</v>
      </c>
      <c r="D1130" s="154" t="s">
        <v>1416</v>
      </c>
      <c r="E1130" s="155" t="s">
        <v>3902</v>
      </c>
      <c r="F1130" s="154"/>
      <c r="G1130" s="154" t="s">
        <v>464</v>
      </c>
      <c r="H1130" s="152">
        <v>53.2</v>
      </c>
      <c r="I1130" s="152">
        <v>52.93</v>
      </c>
      <c r="J1130" s="156"/>
      <c r="K1130" s="156">
        <f>+Ciclovia!J63</f>
        <v>0</v>
      </c>
      <c r="L1130" s="156">
        <f t="shared" si="1896"/>
        <v>0</v>
      </c>
      <c r="M1130" s="156">
        <f t="shared" si="1897"/>
        <v>0</v>
      </c>
      <c r="N1130" s="156" t="s">
        <v>83</v>
      </c>
      <c r="O1130" s="157" cm="1">
        <f t="array" ref="O1130">TRUNC($H1130*(1+_xlfn.SWITCH($N1130,"BDI 1",$O$6,"BDI 2",$O$7,"BDI 3",$O$8)),2)</f>
        <v>64.209999999999994</v>
      </c>
      <c r="P1130" s="157" cm="1">
        <f t="array" ref="P1130">TRUNC($I1130*(1+_xlfn.SWITCH($N1130,"BDI 1",$P$6,"BDI 2",$P$7,"BDI 3",$P$8)),2)</f>
        <v>67.08</v>
      </c>
      <c r="Q1130" s="157">
        <v>0</v>
      </c>
      <c r="R1130" s="157">
        <f t="shared" si="1898"/>
        <v>0</v>
      </c>
      <c r="S1130" s="156">
        <f t="shared" si="1899"/>
        <v>0</v>
      </c>
      <c r="T1130" s="156">
        <f t="shared" si="1900"/>
        <v>0</v>
      </c>
      <c r="U1130" s="156">
        <f t="shared" si="1901"/>
        <v>0</v>
      </c>
      <c r="V1130" s="156">
        <f t="shared" si="1902"/>
        <v>0</v>
      </c>
      <c r="W1130" s="156">
        <f t="shared" si="1891"/>
        <v>0</v>
      </c>
      <c r="X1130" s="158">
        <f t="shared" ref="X1130" si="1928">$S1130/ORCAMENTO_VALOR_TOTAL_ND</f>
        <v>0</v>
      </c>
      <c r="Y1130" s="158">
        <f t="shared" ref="Y1130" si="1929">$T1130/ORCAMENTO_VALOR_TOTAL_DE</f>
        <v>0</v>
      </c>
      <c r="Z1130" s="158" cm="1">
        <f t="array" ref="Z1130">_xlfn.SWITCH($N1130,"BDI 1",$O$6,"BDI 2",$O$7,"BDI 3",$O$8)</f>
        <v>0.20699999999999999</v>
      </c>
      <c r="AA1130" s="158" cm="1">
        <f t="array" ref="AA1130">_xlfn.SWITCH($N1130,"BDI 1",$P$6,"BDI 2",$P$7,"BDI 3",$P$8)</f>
        <v>0.26739999999999997</v>
      </c>
      <c r="AB1130" s="158">
        <f t="shared" ca="1" si="1905"/>
        <v>0</v>
      </c>
      <c r="AC1130" s="158">
        <f t="shared" ca="1" si="1906"/>
        <v>0</v>
      </c>
      <c r="AD1130" s="164"/>
      <c r="AE1130" s="148">
        <f t="shared" si="1892"/>
        <v>0</v>
      </c>
      <c r="AF1130" s="149"/>
      <c r="AG1130" s="150"/>
      <c r="AH1130" s="159" t="e">
        <f t="shared" si="1893"/>
        <v>#DIV/0!</v>
      </c>
      <c r="AI1130" s="160"/>
      <c r="AJ1130" s="182">
        <v>0</v>
      </c>
      <c r="AK1130" s="183" t="e">
        <f t="shared" si="1921"/>
        <v>#DIV/0!</v>
      </c>
      <c r="AM1130" s="105"/>
      <c r="AN1130" s="105"/>
      <c r="AO1130" s="105"/>
      <c r="AP1130" s="105"/>
      <c r="AQ1130" s="105"/>
      <c r="AR1130" s="105"/>
    </row>
    <row r="1131" spans="1:44" s="49" customFormat="1" ht="49.9" hidden="1" customHeight="1">
      <c r="A1131" s="152">
        <f t="shared" ca="1" si="1894"/>
        <v>0</v>
      </c>
      <c r="B1131" s="153">
        <v>96390</v>
      </c>
      <c r="C1131" s="154" t="str">
        <f t="shared" si="1895"/>
        <v>96390</v>
      </c>
      <c r="D1131" s="154" t="s">
        <v>1416</v>
      </c>
      <c r="E1131" s="155" t="s">
        <v>3903</v>
      </c>
      <c r="F1131" s="154"/>
      <c r="G1131" s="154" t="s">
        <v>464</v>
      </c>
      <c r="H1131" s="152">
        <v>85.56</v>
      </c>
      <c r="I1131" s="152">
        <v>85.29</v>
      </c>
      <c r="J1131" s="156"/>
      <c r="K1131" s="156">
        <f>+Ciclovia!J64</f>
        <v>0</v>
      </c>
      <c r="L1131" s="156">
        <f t="shared" si="1896"/>
        <v>0</v>
      </c>
      <c r="M1131" s="156">
        <f t="shared" si="1897"/>
        <v>0</v>
      </c>
      <c r="N1131" s="156" t="s">
        <v>83</v>
      </c>
      <c r="O1131" s="157" cm="1">
        <f t="array" ref="O1131">TRUNC($H1131*(1+_xlfn.SWITCH($N1131,"BDI 1",$O$6,"BDI 2",$O$7,"BDI 3",$O$8)),2)</f>
        <v>103.27</v>
      </c>
      <c r="P1131" s="157" cm="1">
        <f t="array" ref="P1131">TRUNC($I1131*(1+_xlfn.SWITCH($N1131,"BDI 1",$P$6,"BDI 2",$P$7,"BDI 3",$P$8)),2)</f>
        <v>108.09</v>
      </c>
      <c r="Q1131" s="157">
        <v>0</v>
      </c>
      <c r="R1131" s="157">
        <f t="shared" si="1898"/>
        <v>0</v>
      </c>
      <c r="S1131" s="156">
        <f t="shared" si="1899"/>
        <v>0</v>
      </c>
      <c r="T1131" s="156">
        <f t="shared" si="1900"/>
        <v>0</v>
      </c>
      <c r="U1131" s="156">
        <f t="shared" si="1901"/>
        <v>0</v>
      </c>
      <c r="V1131" s="156">
        <f t="shared" si="1902"/>
        <v>0</v>
      </c>
      <c r="W1131" s="156">
        <f t="shared" si="1891"/>
        <v>0</v>
      </c>
      <c r="X1131" s="158">
        <f t="shared" ref="X1131" si="1930">$S1131/ORCAMENTO_VALOR_TOTAL_ND</f>
        <v>0</v>
      </c>
      <c r="Y1131" s="158">
        <f t="shared" ref="Y1131" si="1931">$T1131/ORCAMENTO_VALOR_TOTAL_DE</f>
        <v>0</v>
      </c>
      <c r="Z1131" s="158" cm="1">
        <f t="array" ref="Z1131">_xlfn.SWITCH($N1131,"BDI 1",$O$6,"BDI 2",$O$7,"BDI 3",$O$8)</f>
        <v>0.20699999999999999</v>
      </c>
      <c r="AA1131" s="158" cm="1">
        <f t="array" ref="AA1131">_xlfn.SWITCH($N1131,"BDI 1",$P$6,"BDI 2",$P$7,"BDI 3",$P$8)</f>
        <v>0.26739999999999997</v>
      </c>
      <c r="AB1131" s="158">
        <f t="shared" ca="1" si="1905"/>
        <v>0</v>
      </c>
      <c r="AC1131" s="158">
        <f t="shared" ca="1" si="1906"/>
        <v>0</v>
      </c>
      <c r="AD1131" s="164"/>
      <c r="AE1131" s="148">
        <f t="shared" si="1892"/>
        <v>0</v>
      </c>
      <c r="AF1131" s="149"/>
      <c r="AG1131" s="150"/>
      <c r="AH1131" s="159" t="e">
        <f t="shared" si="1893"/>
        <v>#DIV/0!</v>
      </c>
      <c r="AI1131" s="160"/>
      <c r="AJ1131" s="182">
        <v>0</v>
      </c>
      <c r="AK1131" s="183" t="e">
        <f t="shared" si="1921"/>
        <v>#DIV/0!</v>
      </c>
      <c r="AM1131" s="105"/>
      <c r="AN1131" s="105"/>
      <c r="AO1131" s="105"/>
      <c r="AP1131" s="105"/>
      <c r="AQ1131" s="105"/>
      <c r="AR1131" s="105"/>
    </row>
    <row r="1132" spans="1:44" s="49" customFormat="1" ht="49.9" hidden="1" customHeight="1">
      <c r="A1132" s="152">
        <f t="shared" ca="1" si="1894"/>
        <v>0</v>
      </c>
      <c r="B1132" s="153">
        <v>96391</v>
      </c>
      <c r="C1132" s="154" t="str">
        <f t="shared" si="1895"/>
        <v>96391</v>
      </c>
      <c r="D1132" s="154" t="s">
        <v>1416</v>
      </c>
      <c r="E1132" s="155" t="s">
        <v>3904</v>
      </c>
      <c r="F1132" s="154"/>
      <c r="G1132" s="154" t="s">
        <v>464</v>
      </c>
      <c r="H1132" s="152">
        <v>119.51</v>
      </c>
      <c r="I1132" s="152">
        <v>119.2</v>
      </c>
      <c r="J1132" s="156"/>
      <c r="K1132" s="156">
        <f>+Ciclovia!J65</f>
        <v>0</v>
      </c>
      <c r="L1132" s="156">
        <f t="shared" si="1896"/>
        <v>0</v>
      </c>
      <c r="M1132" s="156">
        <f t="shared" si="1897"/>
        <v>0</v>
      </c>
      <c r="N1132" s="156" t="s">
        <v>83</v>
      </c>
      <c r="O1132" s="157" cm="1">
        <f t="array" ref="O1132">TRUNC($H1132*(1+_xlfn.SWITCH($N1132,"BDI 1",$O$6,"BDI 2",$O$7,"BDI 3",$O$8)),2)</f>
        <v>144.24</v>
      </c>
      <c r="P1132" s="157" cm="1">
        <f t="array" ref="P1132">TRUNC($I1132*(1+_xlfn.SWITCH($N1132,"BDI 1",$P$6,"BDI 2",$P$7,"BDI 3",$P$8)),2)</f>
        <v>151.07</v>
      </c>
      <c r="Q1132" s="157">
        <v>0</v>
      </c>
      <c r="R1132" s="157">
        <f t="shared" si="1898"/>
        <v>0</v>
      </c>
      <c r="S1132" s="156">
        <f t="shared" si="1899"/>
        <v>0</v>
      </c>
      <c r="T1132" s="156">
        <f t="shared" si="1900"/>
        <v>0</v>
      </c>
      <c r="U1132" s="156">
        <f t="shared" si="1901"/>
        <v>0</v>
      </c>
      <c r="V1132" s="156">
        <f t="shared" si="1902"/>
        <v>0</v>
      </c>
      <c r="W1132" s="156">
        <f t="shared" si="1891"/>
        <v>0</v>
      </c>
      <c r="X1132" s="158">
        <f t="shared" ref="X1132" si="1932">$S1132/ORCAMENTO_VALOR_TOTAL_ND</f>
        <v>0</v>
      </c>
      <c r="Y1132" s="158">
        <f t="shared" ref="Y1132" si="1933">$T1132/ORCAMENTO_VALOR_TOTAL_DE</f>
        <v>0</v>
      </c>
      <c r="Z1132" s="158" cm="1">
        <f t="array" ref="Z1132">_xlfn.SWITCH($N1132,"BDI 1",$O$6,"BDI 2",$O$7,"BDI 3",$O$8)</f>
        <v>0.20699999999999999</v>
      </c>
      <c r="AA1132" s="158" cm="1">
        <f t="array" ref="AA1132">_xlfn.SWITCH($N1132,"BDI 1",$P$6,"BDI 2",$P$7,"BDI 3",$P$8)</f>
        <v>0.26739999999999997</v>
      </c>
      <c r="AB1132" s="158">
        <f t="shared" ca="1" si="1905"/>
        <v>0</v>
      </c>
      <c r="AC1132" s="158">
        <f t="shared" ca="1" si="1906"/>
        <v>0</v>
      </c>
      <c r="AD1132" s="164"/>
      <c r="AE1132" s="148">
        <f t="shared" si="1892"/>
        <v>0</v>
      </c>
      <c r="AF1132" s="149"/>
      <c r="AG1132" s="150"/>
      <c r="AH1132" s="159" t="e">
        <f t="shared" si="1893"/>
        <v>#DIV/0!</v>
      </c>
      <c r="AI1132" s="160"/>
      <c r="AJ1132" s="182">
        <v>0</v>
      </c>
      <c r="AK1132" s="183" t="e">
        <f t="shared" si="1921"/>
        <v>#DIV/0!</v>
      </c>
      <c r="AM1132" s="105"/>
      <c r="AN1132" s="105"/>
      <c r="AO1132" s="105"/>
      <c r="AP1132" s="105"/>
      <c r="AQ1132" s="105"/>
      <c r="AR1132" s="105"/>
    </row>
    <row r="1133" spans="1:44" s="49" customFormat="1" ht="49.9" hidden="1" customHeight="1">
      <c r="A1133" s="152">
        <f t="shared" ca="1" si="1894"/>
        <v>0</v>
      </c>
      <c r="B1133" s="153">
        <v>96392</v>
      </c>
      <c r="C1133" s="154" t="str">
        <f t="shared" si="1895"/>
        <v>96392</v>
      </c>
      <c r="D1133" s="154" t="s">
        <v>1416</v>
      </c>
      <c r="E1133" s="155" t="s">
        <v>3905</v>
      </c>
      <c r="F1133" s="154"/>
      <c r="G1133" s="154" t="s">
        <v>464</v>
      </c>
      <c r="H1133" s="152">
        <v>152.24</v>
      </c>
      <c r="I1133" s="152">
        <v>151.93</v>
      </c>
      <c r="J1133" s="156"/>
      <c r="K1133" s="156">
        <f>+Ciclovia!J66</f>
        <v>0</v>
      </c>
      <c r="L1133" s="156">
        <f t="shared" si="1896"/>
        <v>0</v>
      </c>
      <c r="M1133" s="156">
        <f t="shared" si="1897"/>
        <v>0</v>
      </c>
      <c r="N1133" s="156" t="s">
        <v>83</v>
      </c>
      <c r="O1133" s="157" cm="1">
        <f t="array" ref="O1133">TRUNC($H1133*(1+_xlfn.SWITCH($N1133,"BDI 1",$O$6,"BDI 2",$O$7,"BDI 3",$O$8)),2)</f>
        <v>183.75</v>
      </c>
      <c r="P1133" s="157" cm="1">
        <f t="array" ref="P1133">TRUNC($I1133*(1+_xlfn.SWITCH($N1133,"BDI 1",$P$6,"BDI 2",$P$7,"BDI 3",$P$8)),2)</f>
        <v>192.55</v>
      </c>
      <c r="Q1133" s="157">
        <v>0</v>
      </c>
      <c r="R1133" s="157">
        <f t="shared" si="1898"/>
        <v>0</v>
      </c>
      <c r="S1133" s="156">
        <f t="shared" si="1899"/>
        <v>0</v>
      </c>
      <c r="T1133" s="156">
        <f t="shared" si="1900"/>
        <v>0</v>
      </c>
      <c r="U1133" s="156">
        <f t="shared" si="1901"/>
        <v>0</v>
      </c>
      <c r="V1133" s="156">
        <f t="shared" si="1902"/>
        <v>0</v>
      </c>
      <c r="W1133" s="156">
        <f t="shared" si="1891"/>
        <v>0</v>
      </c>
      <c r="X1133" s="158">
        <f t="shared" ref="X1133" si="1934">$S1133/ORCAMENTO_VALOR_TOTAL_ND</f>
        <v>0</v>
      </c>
      <c r="Y1133" s="158">
        <f t="shared" ref="Y1133" si="1935">$T1133/ORCAMENTO_VALOR_TOTAL_DE</f>
        <v>0</v>
      </c>
      <c r="Z1133" s="158" cm="1">
        <f t="array" ref="Z1133">_xlfn.SWITCH($N1133,"BDI 1",$O$6,"BDI 2",$O$7,"BDI 3",$O$8)</f>
        <v>0.20699999999999999</v>
      </c>
      <c r="AA1133" s="158" cm="1">
        <f t="array" ref="AA1133">_xlfn.SWITCH($N1133,"BDI 1",$P$6,"BDI 2",$P$7,"BDI 3",$P$8)</f>
        <v>0.26739999999999997</v>
      </c>
      <c r="AB1133" s="158">
        <f t="shared" ca="1" si="1905"/>
        <v>0</v>
      </c>
      <c r="AC1133" s="158">
        <f t="shared" ca="1" si="1906"/>
        <v>0</v>
      </c>
      <c r="AD1133" s="164"/>
      <c r="AE1133" s="148">
        <f t="shared" si="1892"/>
        <v>0</v>
      </c>
      <c r="AF1133" s="149"/>
      <c r="AG1133" s="150"/>
      <c r="AH1133" s="159" t="e">
        <f t="shared" si="1893"/>
        <v>#DIV/0!</v>
      </c>
      <c r="AI1133" s="160"/>
      <c r="AJ1133" s="182">
        <v>0</v>
      </c>
      <c r="AK1133" s="183" t="e">
        <f t="shared" si="1921"/>
        <v>#DIV/0!</v>
      </c>
      <c r="AM1133" s="105"/>
      <c r="AN1133" s="105"/>
      <c r="AO1133" s="105"/>
      <c r="AP1133" s="105"/>
      <c r="AQ1133" s="105"/>
      <c r="AR1133" s="105"/>
    </row>
    <row r="1134" spans="1:44" s="49" customFormat="1" ht="40.15" hidden="1" customHeight="1">
      <c r="A1134" s="152">
        <f t="shared" ca="1" si="1894"/>
        <v>0</v>
      </c>
      <c r="B1134" s="153" t="s">
        <v>249</v>
      </c>
      <c r="C1134" s="154" t="str">
        <f t="shared" si="1895"/>
        <v>PA/0025</v>
      </c>
      <c r="D1134" s="154" t="s">
        <v>3549</v>
      </c>
      <c r="E1134" s="155" t="s">
        <v>3532</v>
      </c>
      <c r="F1134" s="154"/>
      <c r="G1134" s="154" t="s">
        <v>1418</v>
      </c>
      <c r="H1134" s="152">
        <v>5.28</v>
      </c>
      <c r="I1134" s="152">
        <v>5.24</v>
      </c>
      <c r="J1134" s="156"/>
      <c r="K1134" s="156">
        <f>+Ciclovia!J77</f>
        <v>0</v>
      </c>
      <c r="L1134" s="156">
        <f t="shared" si="1896"/>
        <v>0</v>
      </c>
      <c r="M1134" s="156">
        <f t="shared" si="1897"/>
        <v>0</v>
      </c>
      <c r="N1134" s="156" t="s">
        <v>83</v>
      </c>
      <c r="O1134" s="157" cm="1">
        <f t="array" ref="O1134">TRUNC($H1134*(1+_xlfn.SWITCH($N1134,"BDI 1",$O$6,"BDI 2",$O$7,"BDI 3",$O$8)),2)</f>
        <v>6.37</v>
      </c>
      <c r="P1134" s="157" cm="1">
        <f t="array" ref="P1134">TRUNC($I1134*(1+_xlfn.SWITCH($N1134,"BDI 1",$P$6,"BDI 2",$P$7,"BDI 3",$P$8)),2)</f>
        <v>6.64</v>
      </c>
      <c r="Q1134" s="157">
        <v>0</v>
      </c>
      <c r="R1134" s="157">
        <f t="shared" si="1898"/>
        <v>0</v>
      </c>
      <c r="S1134" s="156">
        <f t="shared" si="1899"/>
        <v>0</v>
      </c>
      <c r="T1134" s="156">
        <f t="shared" si="1900"/>
        <v>0</v>
      </c>
      <c r="U1134" s="156">
        <f t="shared" si="1901"/>
        <v>0</v>
      </c>
      <c r="V1134" s="156">
        <f t="shared" si="1902"/>
        <v>0</v>
      </c>
      <c r="W1134" s="156">
        <f t="shared" si="1891"/>
        <v>0</v>
      </c>
      <c r="X1134" s="158">
        <f t="shared" ref="X1134" si="1936">$S1134/ORCAMENTO_VALOR_TOTAL_ND</f>
        <v>0</v>
      </c>
      <c r="Y1134" s="158">
        <f t="shared" ref="Y1134" si="1937">$T1134/ORCAMENTO_VALOR_TOTAL_DE</f>
        <v>0</v>
      </c>
      <c r="Z1134" s="158" cm="1">
        <f t="array" ref="Z1134">_xlfn.SWITCH($N1134,"BDI 1",$O$6,"BDI 2",$O$7,"BDI 3",$O$8)</f>
        <v>0.20699999999999999</v>
      </c>
      <c r="AA1134" s="158" cm="1">
        <f t="array" ref="AA1134">_xlfn.SWITCH($N1134,"BDI 1",$P$6,"BDI 2",$P$7,"BDI 3",$P$8)</f>
        <v>0.26739999999999997</v>
      </c>
      <c r="AB1134" s="158">
        <f t="shared" ca="1" si="1905"/>
        <v>0</v>
      </c>
      <c r="AC1134" s="158">
        <f t="shared" ca="1" si="1906"/>
        <v>0</v>
      </c>
      <c r="AD1134" s="164"/>
      <c r="AE1134" s="148">
        <f t="shared" si="1892"/>
        <v>0</v>
      </c>
      <c r="AF1134" s="149"/>
      <c r="AG1134" s="150"/>
      <c r="AH1134" s="159" t="e">
        <f t="shared" si="1893"/>
        <v>#DIV/0!</v>
      </c>
      <c r="AI1134" s="165" t="s">
        <v>250</v>
      </c>
      <c r="AJ1134" s="182"/>
      <c r="AK1134" s="183"/>
      <c r="AM1134" s="105"/>
      <c r="AN1134" s="105"/>
      <c r="AO1134" s="105"/>
      <c r="AP1134" s="105"/>
      <c r="AQ1134" s="105"/>
      <c r="AR1134" s="105"/>
    </row>
    <row r="1135" spans="1:44" s="49" customFormat="1" ht="40.15" hidden="1" customHeight="1">
      <c r="A1135" s="152">
        <f t="shared" ca="1" si="1894"/>
        <v>0</v>
      </c>
      <c r="B1135" s="153" t="s">
        <v>287</v>
      </c>
      <c r="C1135" s="154" t="str">
        <f t="shared" si="1895"/>
        <v>PA/0023</v>
      </c>
      <c r="D1135" s="154" t="s">
        <v>3549</v>
      </c>
      <c r="E1135" s="155" t="s">
        <v>3539</v>
      </c>
      <c r="F1135" s="154"/>
      <c r="G1135" s="154" t="s">
        <v>1418</v>
      </c>
      <c r="H1135" s="152">
        <v>2.37</v>
      </c>
      <c r="I1135" s="152">
        <v>2.33</v>
      </c>
      <c r="J1135" s="156"/>
      <c r="K1135" s="156">
        <f>+Ciclovia!J81</f>
        <v>0</v>
      </c>
      <c r="L1135" s="156">
        <f t="shared" si="1896"/>
        <v>0</v>
      </c>
      <c r="M1135" s="156">
        <f t="shared" si="1897"/>
        <v>0</v>
      </c>
      <c r="N1135" s="156" t="s">
        <v>83</v>
      </c>
      <c r="O1135" s="157" cm="1">
        <f t="array" ref="O1135">TRUNC($H1135*(1+_xlfn.SWITCH($N1135,"BDI 1",$O$6,"BDI 2",$O$7,"BDI 3",$O$8)),2)</f>
        <v>2.86</v>
      </c>
      <c r="P1135" s="157" cm="1">
        <f t="array" ref="P1135">TRUNC($I1135*(1+_xlfn.SWITCH($N1135,"BDI 1",$P$6,"BDI 2",$P$7,"BDI 3",$P$8)),2)</f>
        <v>2.95</v>
      </c>
      <c r="Q1135" s="157">
        <v>0</v>
      </c>
      <c r="R1135" s="157">
        <f t="shared" si="1898"/>
        <v>0</v>
      </c>
      <c r="S1135" s="156">
        <f t="shared" si="1899"/>
        <v>0</v>
      </c>
      <c r="T1135" s="156">
        <f t="shared" si="1900"/>
        <v>0</v>
      </c>
      <c r="U1135" s="156">
        <f t="shared" si="1901"/>
        <v>0</v>
      </c>
      <c r="V1135" s="156">
        <f t="shared" si="1902"/>
        <v>0</v>
      </c>
      <c r="W1135" s="156">
        <f t="shared" si="1891"/>
        <v>0</v>
      </c>
      <c r="X1135" s="158">
        <f t="shared" ref="X1135" si="1938">$S1135/ORCAMENTO_VALOR_TOTAL_ND</f>
        <v>0</v>
      </c>
      <c r="Y1135" s="158">
        <f t="shared" ref="Y1135" si="1939">$T1135/ORCAMENTO_VALOR_TOTAL_DE</f>
        <v>0</v>
      </c>
      <c r="Z1135" s="158" cm="1">
        <f t="array" ref="Z1135">_xlfn.SWITCH($N1135,"BDI 1",$O$6,"BDI 2",$O$7,"BDI 3",$O$8)</f>
        <v>0.20699999999999999</v>
      </c>
      <c r="AA1135" s="158" cm="1">
        <f t="array" ref="AA1135">_xlfn.SWITCH($N1135,"BDI 1",$P$6,"BDI 2",$P$7,"BDI 3",$P$8)</f>
        <v>0.26739999999999997</v>
      </c>
      <c r="AB1135" s="158">
        <f t="shared" ca="1" si="1905"/>
        <v>0</v>
      </c>
      <c r="AC1135" s="158">
        <f t="shared" ca="1" si="1906"/>
        <v>0</v>
      </c>
      <c r="AD1135" s="164"/>
      <c r="AE1135" s="148">
        <f t="shared" si="1892"/>
        <v>0</v>
      </c>
      <c r="AF1135" s="149"/>
      <c r="AG1135" s="150"/>
      <c r="AH1135" s="159" t="e">
        <f t="shared" si="1893"/>
        <v>#DIV/0!</v>
      </c>
      <c r="AI1135" s="160">
        <v>0</v>
      </c>
      <c r="AJ1135" s="182"/>
      <c r="AK1135" s="183"/>
      <c r="AM1135" s="105"/>
      <c r="AN1135" s="105"/>
      <c r="AO1135" s="105"/>
      <c r="AP1135" s="105"/>
      <c r="AQ1135" s="105"/>
      <c r="AR1135" s="105"/>
    </row>
    <row r="1136" spans="1:44" s="49" customFormat="1" ht="49.9" hidden="1" customHeight="1">
      <c r="A1136" s="152">
        <f t="shared" ca="1" si="1894"/>
        <v>0</v>
      </c>
      <c r="B1136" s="153" t="s">
        <v>252</v>
      </c>
      <c r="C1136" s="154" t="str">
        <f t="shared" si="1895"/>
        <v>PA/0040</v>
      </c>
      <c r="D1136" s="154" t="s">
        <v>3549</v>
      </c>
      <c r="E1136" s="155" t="s">
        <v>3875</v>
      </c>
      <c r="F1136" s="154"/>
      <c r="G1136" s="154" t="s">
        <v>464</v>
      </c>
      <c r="H1136" s="152">
        <v>1628.68</v>
      </c>
      <c r="I1136" s="152">
        <v>1625.69</v>
      </c>
      <c r="J1136" s="156"/>
      <c r="K1136" s="156">
        <f>+Ciclovia!J85</f>
        <v>0</v>
      </c>
      <c r="L1136" s="156">
        <f t="shared" si="1896"/>
        <v>0</v>
      </c>
      <c r="M1136" s="156">
        <f t="shared" si="1897"/>
        <v>0</v>
      </c>
      <c r="N1136" s="156" t="s">
        <v>83</v>
      </c>
      <c r="O1136" s="157" cm="1">
        <f t="array" ref="O1136">TRUNC($H1136*(1+_xlfn.SWITCH($N1136,"BDI 1",$O$6,"BDI 2",$O$7,"BDI 3",$O$8)),2)</f>
        <v>1965.81</v>
      </c>
      <c r="P1136" s="157" cm="1">
        <f t="array" ref="P1136">TRUNC($I1136*(1+_xlfn.SWITCH($N1136,"BDI 1",$P$6,"BDI 2",$P$7,"BDI 3",$P$8)),2)</f>
        <v>2060.39</v>
      </c>
      <c r="Q1136" s="157">
        <v>0</v>
      </c>
      <c r="R1136" s="157">
        <f t="shared" si="1898"/>
        <v>0</v>
      </c>
      <c r="S1136" s="156">
        <f t="shared" si="1899"/>
        <v>0</v>
      </c>
      <c r="T1136" s="156">
        <f t="shared" si="1900"/>
        <v>0</v>
      </c>
      <c r="U1136" s="156">
        <f t="shared" si="1901"/>
        <v>0</v>
      </c>
      <c r="V1136" s="156">
        <f t="shared" si="1902"/>
        <v>0</v>
      </c>
      <c r="W1136" s="156">
        <f t="shared" si="1891"/>
        <v>0</v>
      </c>
      <c r="X1136" s="158">
        <f t="shared" ref="X1136" si="1940">$S1136/ORCAMENTO_VALOR_TOTAL_ND</f>
        <v>0</v>
      </c>
      <c r="Y1136" s="158">
        <f t="shared" ref="Y1136" si="1941">$T1136/ORCAMENTO_VALOR_TOTAL_DE</f>
        <v>0</v>
      </c>
      <c r="Z1136" s="158" cm="1">
        <f t="array" ref="Z1136">_xlfn.SWITCH($N1136,"BDI 1",$O$6,"BDI 2",$O$7,"BDI 3",$O$8)</f>
        <v>0.20699999999999999</v>
      </c>
      <c r="AA1136" s="158" cm="1">
        <f t="array" ref="AA1136">_xlfn.SWITCH($N1136,"BDI 1",$P$6,"BDI 2",$P$7,"BDI 3",$P$8)</f>
        <v>0.26739999999999997</v>
      </c>
      <c r="AB1136" s="158">
        <f t="shared" ca="1" si="1905"/>
        <v>0</v>
      </c>
      <c r="AC1136" s="158">
        <f t="shared" ca="1" si="1906"/>
        <v>0</v>
      </c>
      <c r="AD1136" s="164"/>
      <c r="AE1136" s="148">
        <f t="shared" si="1892"/>
        <v>0</v>
      </c>
      <c r="AF1136" s="149"/>
      <c r="AG1136" s="150"/>
      <c r="AH1136" s="159" t="e">
        <f t="shared" si="1893"/>
        <v>#DIV/0!</v>
      </c>
      <c r="AI1136" s="165" t="s">
        <v>289</v>
      </c>
      <c r="AJ1136" s="182"/>
      <c r="AK1136" s="183"/>
      <c r="AM1136" s="105"/>
      <c r="AN1136" s="105"/>
      <c r="AO1136" s="105"/>
      <c r="AP1136" s="105"/>
      <c r="AQ1136" s="105"/>
      <c r="AR1136" s="105"/>
    </row>
    <row r="1137" spans="1:44" s="49" customFormat="1" ht="40.15" hidden="1" customHeight="1">
      <c r="A1137" s="152">
        <f t="shared" ca="1" si="1894"/>
        <v>0</v>
      </c>
      <c r="B1137" s="153">
        <v>94991</v>
      </c>
      <c r="C1137" s="154" t="str">
        <f t="shared" si="1895"/>
        <v>94991</v>
      </c>
      <c r="D1137" s="154" t="s">
        <v>1416</v>
      </c>
      <c r="E1137" s="155" t="s">
        <v>3850</v>
      </c>
      <c r="F1137" s="154"/>
      <c r="G1137" s="154" t="s">
        <v>464</v>
      </c>
      <c r="H1137" s="152">
        <v>801</v>
      </c>
      <c r="I1137" s="152">
        <v>784.57</v>
      </c>
      <c r="J1137" s="156"/>
      <c r="K1137" s="156">
        <f>+Ciclovia!J94</f>
        <v>0</v>
      </c>
      <c r="L1137" s="156">
        <f t="shared" si="1896"/>
        <v>0</v>
      </c>
      <c r="M1137" s="156">
        <f t="shared" si="1897"/>
        <v>0</v>
      </c>
      <c r="N1137" s="156" t="s">
        <v>83</v>
      </c>
      <c r="O1137" s="157" cm="1">
        <f t="array" ref="O1137">TRUNC($H1137*(1+_xlfn.SWITCH($N1137,"BDI 1",$O$6,"BDI 2",$O$7,"BDI 3",$O$8)),2)</f>
        <v>966.8</v>
      </c>
      <c r="P1137" s="157" cm="1">
        <f t="array" ref="P1137">TRUNC($I1137*(1+_xlfn.SWITCH($N1137,"BDI 1",$P$6,"BDI 2",$P$7,"BDI 3",$P$8)),2)</f>
        <v>994.36</v>
      </c>
      <c r="Q1137" s="157">
        <v>0</v>
      </c>
      <c r="R1137" s="157">
        <f t="shared" si="1898"/>
        <v>0</v>
      </c>
      <c r="S1137" s="156">
        <f t="shared" si="1899"/>
        <v>0</v>
      </c>
      <c r="T1137" s="156">
        <f t="shared" si="1900"/>
        <v>0</v>
      </c>
      <c r="U1137" s="156">
        <f t="shared" si="1901"/>
        <v>0</v>
      </c>
      <c r="V1137" s="156">
        <f t="shared" si="1902"/>
        <v>0</v>
      </c>
      <c r="W1137" s="156">
        <f t="shared" si="1891"/>
        <v>0</v>
      </c>
      <c r="X1137" s="158">
        <f t="shared" ref="X1137" si="1942">$S1137/ORCAMENTO_VALOR_TOTAL_ND</f>
        <v>0</v>
      </c>
      <c r="Y1137" s="158">
        <f t="shared" ref="Y1137" si="1943">$T1137/ORCAMENTO_VALOR_TOTAL_DE</f>
        <v>0</v>
      </c>
      <c r="Z1137" s="158" cm="1">
        <f t="array" ref="Z1137">_xlfn.SWITCH($N1137,"BDI 1",$O$6,"BDI 2",$O$7,"BDI 3",$O$8)</f>
        <v>0.20699999999999999</v>
      </c>
      <c r="AA1137" s="158" cm="1">
        <f t="array" ref="AA1137">_xlfn.SWITCH($N1137,"BDI 1",$P$6,"BDI 2",$P$7,"BDI 3",$P$8)</f>
        <v>0.26739999999999997</v>
      </c>
      <c r="AB1137" s="158">
        <f t="shared" ca="1" si="1905"/>
        <v>0</v>
      </c>
      <c r="AC1137" s="158">
        <f t="shared" ca="1" si="1906"/>
        <v>0</v>
      </c>
      <c r="AD1137" s="164"/>
      <c r="AE1137" s="148">
        <f t="shared" si="1892"/>
        <v>0</v>
      </c>
      <c r="AF1137" s="149"/>
      <c r="AG1137" s="150"/>
      <c r="AH1137" s="159" t="e">
        <f t="shared" si="1893"/>
        <v>#DIV/0!</v>
      </c>
      <c r="AI1137" s="165" t="s">
        <v>216</v>
      </c>
      <c r="AJ1137" s="182"/>
      <c r="AK1137" s="183"/>
      <c r="AM1137" s="105"/>
      <c r="AN1137" s="105"/>
      <c r="AO1137" s="105"/>
      <c r="AP1137" s="105"/>
      <c r="AQ1137" s="105"/>
      <c r="AR1137" s="105"/>
    </row>
    <row r="1138" spans="1:44" s="49" customFormat="1" ht="40.15" hidden="1" customHeight="1">
      <c r="A1138" s="152">
        <f t="shared" ca="1" si="1894"/>
        <v>0</v>
      </c>
      <c r="B1138" s="153">
        <v>92397</v>
      </c>
      <c r="C1138" s="154" t="str">
        <f t="shared" si="1895"/>
        <v>92397</v>
      </c>
      <c r="D1138" s="154" t="s">
        <v>1416</v>
      </c>
      <c r="E1138" s="155" t="s">
        <v>3972</v>
      </c>
      <c r="F1138" s="154"/>
      <c r="G1138" s="154" t="s">
        <v>1418</v>
      </c>
      <c r="H1138" s="152">
        <v>74.11</v>
      </c>
      <c r="I1138" s="152">
        <v>66.62</v>
      </c>
      <c r="J1138" s="156"/>
      <c r="K1138" s="156">
        <f>+Ciclovia!J98</f>
        <v>0</v>
      </c>
      <c r="L1138" s="156">
        <f t="shared" si="1896"/>
        <v>0</v>
      </c>
      <c r="M1138" s="156">
        <f t="shared" si="1897"/>
        <v>0</v>
      </c>
      <c r="N1138" s="156" t="s">
        <v>83</v>
      </c>
      <c r="O1138" s="157" cm="1">
        <f t="array" ref="O1138">TRUNC($H1138*(1+_xlfn.SWITCH($N1138,"BDI 1",$O$6,"BDI 2",$O$7,"BDI 3",$O$8)),2)</f>
        <v>89.45</v>
      </c>
      <c r="P1138" s="157" cm="1">
        <f t="array" ref="P1138">TRUNC($I1138*(1+_xlfn.SWITCH($N1138,"BDI 1",$P$6,"BDI 2",$P$7,"BDI 3",$P$8)),2)</f>
        <v>84.43</v>
      </c>
      <c r="Q1138" s="157">
        <v>0</v>
      </c>
      <c r="R1138" s="157">
        <f t="shared" si="1898"/>
        <v>0</v>
      </c>
      <c r="S1138" s="156">
        <f t="shared" si="1899"/>
        <v>0</v>
      </c>
      <c r="T1138" s="156">
        <f t="shared" si="1900"/>
        <v>0</v>
      </c>
      <c r="U1138" s="156">
        <f t="shared" si="1901"/>
        <v>0</v>
      </c>
      <c r="V1138" s="156">
        <f t="shared" si="1902"/>
        <v>0</v>
      </c>
      <c r="W1138" s="156">
        <f t="shared" si="1891"/>
        <v>0</v>
      </c>
      <c r="X1138" s="158">
        <f t="shared" ref="X1138" si="1944">$S1138/ORCAMENTO_VALOR_TOTAL_ND</f>
        <v>0</v>
      </c>
      <c r="Y1138" s="158">
        <f t="shared" ref="Y1138" si="1945">$T1138/ORCAMENTO_VALOR_TOTAL_DE</f>
        <v>0</v>
      </c>
      <c r="Z1138" s="158" cm="1">
        <f t="array" ref="Z1138">_xlfn.SWITCH($N1138,"BDI 1",$O$6,"BDI 2",$O$7,"BDI 3",$O$8)</f>
        <v>0.20699999999999999</v>
      </c>
      <c r="AA1138" s="158" cm="1">
        <f t="array" ref="AA1138">_xlfn.SWITCH($N1138,"BDI 1",$P$6,"BDI 2",$P$7,"BDI 3",$P$8)</f>
        <v>0.26739999999999997</v>
      </c>
      <c r="AB1138" s="158">
        <f t="shared" ca="1" si="1905"/>
        <v>0</v>
      </c>
      <c r="AC1138" s="158">
        <f t="shared" ca="1" si="1906"/>
        <v>0</v>
      </c>
      <c r="AD1138" s="164"/>
      <c r="AE1138" s="148">
        <f t="shared" si="1892"/>
        <v>0</v>
      </c>
      <c r="AF1138" s="149"/>
      <c r="AG1138" s="150"/>
      <c r="AH1138" s="159" t="e">
        <f t="shared" si="1893"/>
        <v>#DIV/0!</v>
      </c>
      <c r="AI1138" s="160"/>
      <c r="AJ1138" s="182"/>
      <c r="AK1138" s="183"/>
      <c r="AM1138" s="105"/>
      <c r="AN1138" s="105"/>
      <c r="AO1138" s="105"/>
      <c r="AP1138" s="105"/>
      <c r="AQ1138" s="105"/>
      <c r="AR1138" s="105"/>
    </row>
    <row r="1139" spans="1:44" s="49" customFormat="1" ht="40.15" hidden="1" customHeight="1">
      <c r="A1139" s="152">
        <f t="shared" ca="1" si="1894"/>
        <v>0</v>
      </c>
      <c r="B1139" s="153" t="s">
        <v>321</v>
      </c>
      <c r="C1139" s="154" t="str">
        <f t="shared" si="1895"/>
        <v>SC/0065</v>
      </c>
      <c r="D1139" s="154" t="s">
        <v>3549</v>
      </c>
      <c r="E1139" s="155" t="s">
        <v>3910</v>
      </c>
      <c r="F1139" s="154"/>
      <c r="G1139" s="154" t="s">
        <v>58</v>
      </c>
      <c r="H1139" s="152">
        <v>16.91</v>
      </c>
      <c r="I1139" s="152">
        <v>16.23</v>
      </c>
      <c r="J1139" s="156"/>
      <c r="K1139" s="156">
        <f>+Ciclovia!J100</f>
        <v>0</v>
      </c>
      <c r="L1139" s="156">
        <f t="shared" si="1896"/>
        <v>0</v>
      </c>
      <c r="M1139" s="156">
        <f t="shared" si="1897"/>
        <v>0</v>
      </c>
      <c r="N1139" s="156" t="s">
        <v>83</v>
      </c>
      <c r="O1139" s="157" cm="1">
        <f t="array" ref="O1139">TRUNC($H1139*(1+_xlfn.SWITCH($N1139,"BDI 1",$O$6,"BDI 2",$O$7,"BDI 3",$O$8)),2)</f>
        <v>20.41</v>
      </c>
      <c r="P1139" s="157" cm="1">
        <f t="array" ref="P1139">TRUNC($I1139*(1+_xlfn.SWITCH($N1139,"BDI 1",$P$6,"BDI 2",$P$7,"BDI 3",$P$8)),2)</f>
        <v>20.56</v>
      </c>
      <c r="Q1139" s="157">
        <v>0</v>
      </c>
      <c r="R1139" s="157">
        <f t="shared" si="1898"/>
        <v>0</v>
      </c>
      <c r="S1139" s="156">
        <f t="shared" si="1899"/>
        <v>0</v>
      </c>
      <c r="T1139" s="156">
        <f t="shared" si="1900"/>
        <v>0</v>
      </c>
      <c r="U1139" s="156">
        <f t="shared" si="1901"/>
        <v>0</v>
      </c>
      <c r="V1139" s="156">
        <f t="shared" si="1902"/>
        <v>0</v>
      </c>
      <c r="W1139" s="156">
        <f t="shared" si="1891"/>
        <v>0</v>
      </c>
      <c r="X1139" s="158">
        <f t="shared" ref="X1139" si="1946">$S1139/ORCAMENTO_VALOR_TOTAL_ND</f>
        <v>0</v>
      </c>
      <c r="Y1139" s="158">
        <f t="shared" ref="Y1139" si="1947">$T1139/ORCAMENTO_VALOR_TOTAL_DE</f>
        <v>0</v>
      </c>
      <c r="Z1139" s="158" cm="1">
        <f t="array" ref="Z1139">_xlfn.SWITCH($N1139,"BDI 1",$O$6,"BDI 2",$O$7,"BDI 3",$O$8)</f>
        <v>0.20699999999999999</v>
      </c>
      <c r="AA1139" s="158" cm="1">
        <f t="array" ref="AA1139">_xlfn.SWITCH($N1139,"BDI 1",$P$6,"BDI 2",$P$7,"BDI 3",$P$8)</f>
        <v>0.26739999999999997</v>
      </c>
      <c r="AB1139" s="158">
        <f t="shared" ca="1" si="1905"/>
        <v>0</v>
      </c>
      <c r="AC1139" s="158">
        <f t="shared" ca="1" si="1906"/>
        <v>0</v>
      </c>
      <c r="AD1139" s="164"/>
      <c r="AE1139" s="148">
        <f t="shared" si="1892"/>
        <v>0</v>
      </c>
      <c r="AF1139" s="149"/>
      <c r="AG1139" s="150"/>
      <c r="AH1139" s="159" t="e">
        <f t="shared" si="1893"/>
        <v>#DIV/0!</v>
      </c>
      <c r="AI1139" s="165" t="s">
        <v>319</v>
      </c>
      <c r="AJ1139" s="182">
        <v>26.88</v>
      </c>
      <c r="AK1139" s="183">
        <f>+K1139/AJ1139</f>
        <v>0</v>
      </c>
      <c r="AM1139" s="105"/>
      <c r="AN1139" s="105"/>
      <c r="AO1139" s="105"/>
      <c r="AP1139" s="105"/>
      <c r="AQ1139" s="105"/>
      <c r="AR1139" s="105"/>
    </row>
    <row r="1140" spans="1:44" s="49" customFormat="1" ht="40.15" hidden="1" customHeight="1">
      <c r="A1140" s="152">
        <f t="shared" ca="1" si="1894"/>
        <v>0</v>
      </c>
      <c r="B1140" s="153" t="s">
        <v>323</v>
      </c>
      <c r="C1140" s="154" t="str">
        <f t="shared" si="1895"/>
        <v>SC/0030</v>
      </c>
      <c r="D1140" s="154" t="s">
        <v>3549</v>
      </c>
      <c r="E1140" s="155" t="s">
        <v>3912</v>
      </c>
      <c r="F1140" s="154"/>
      <c r="G1140" s="154" t="s">
        <v>58</v>
      </c>
      <c r="H1140" s="152">
        <v>29.92</v>
      </c>
      <c r="I1140" s="152">
        <v>28.71</v>
      </c>
      <c r="J1140" s="156"/>
      <c r="K1140" s="156">
        <f>+Ciclovia!J101</f>
        <v>0</v>
      </c>
      <c r="L1140" s="156">
        <f t="shared" si="1896"/>
        <v>0</v>
      </c>
      <c r="M1140" s="156">
        <f t="shared" si="1897"/>
        <v>0</v>
      </c>
      <c r="N1140" s="156" t="s">
        <v>83</v>
      </c>
      <c r="O1140" s="157" cm="1">
        <f t="array" ref="O1140">TRUNC($H1140*(1+_xlfn.SWITCH($N1140,"BDI 1",$O$6,"BDI 2",$O$7,"BDI 3",$O$8)),2)</f>
        <v>36.11</v>
      </c>
      <c r="P1140" s="157" cm="1">
        <f t="array" ref="P1140">TRUNC($I1140*(1+_xlfn.SWITCH($N1140,"BDI 1",$P$6,"BDI 2",$P$7,"BDI 3",$P$8)),2)</f>
        <v>36.380000000000003</v>
      </c>
      <c r="Q1140" s="157">
        <v>0</v>
      </c>
      <c r="R1140" s="157">
        <f t="shared" si="1898"/>
        <v>0</v>
      </c>
      <c r="S1140" s="156">
        <f t="shared" si="1899"/>
        <v>0</v>
      </c>
      <c r="T1140" s="156">
        <f t="shared" si="1900"/>
        <v>0</v>
      </c>
      <c r="U1140" s="156">
        <f t="shared" si="1901"/>
        <v>0</v>
      </c>
      <c r="V1140" s="156">
        <f t="shared" si="1902"/>
        <v>0</v>
      </c>
      <c r="W1140" s="156">
        <f t="shared" si="1891"/>
        <v>0</v>
      </c>
      <c r="X1140" s="158">
        <f t="shared" ref="X1140" si="1948">$S1140/ORCAMENTO_VALOR_TOTAL_ND</f>
        <v>0</v>
      </c>
      <c r="Y1140" s="158">
        <f t="shared" ref="Y1140" si="1949">$T1140/ORCAMENTO_VALOR_TOTAL_DE</f>
        <v>0</v>
      </c>
      <c r="Z1140" s="158" cm="1">
        <f t="array" ref="Z1140">_xlfn.SWITCH($N1140,"BDI 1",$O$6,"BDI 2",$O$7,"BDI 3",$O$8)</f>
        <v>0.20699999999999999</v>
      </c>
      <c r="AA1140" s="158" cm="1">
        <f t="array" ref="AA1140">_xlfn.SWITCH($N1140,"BDI 1",$P$6,"BDI 2",$P$7,"BDI 3",$P$8)</f>
        <v>0.26739999999999997</v>
      </c>
      <c r="AB1140" s="158">
        <f t="shared" ca="1" si="1905"/>
        <v>0</v>
      </c>
      <c r="AC1140" s="158">
        <f t="shared" ca="1" si="1906"/>
        <v>0</v>
      </c>
      <c r="AD1140" s="164"/>
      <c r="AE1140" s="148">
        <f t="shared" si="1892"/>
        <v>0</v>
      </c>
      <c r="AF1140" s="149"/>
      <c r="AG1140" s="150"/>
      <c r="AH1140" s="159" t="e">
        <f t="shared" si="1893"/>
        <v>#DIV/0!</v>
      </c>
      <c r="AI1140" s="160"/>
      <c r="AJ1140" s="182">
        <v>20.61</v>
      </c>
      <c r="AK1140" s="183">
        <f>+K1140/AJ1140</f>
        <v>0</v>
      </c>
      <c r="AM1140" s="105"/>
      <c r="AN1140" s="105"/>
      <c r="AO1140" s="105"/>
      <c r="AP1140" s="105"/>
      <c r="AQ1140" s="105"/>
      <c r="AR1140" s="105"/>
    </row>
    <row r="1141" spans="1:44" s="49" customFormat="1" ht="49.9" hidden="1" customHeight="1">
      <c r="A1141" s="152">
        <f t="shared" ca="1" si="1894"/>
        <v>0</v>
      </c>
      <c r="B1141" s="153" t="s">
        <v>318</v>
      </c>
      <c r="C1141" s="154" t="str">
        <f t="shared" si="1895"/>
        <v>SC/0005</v>
      </c>
      <c r="D1141" s="154" t="s">
        <v>3549</v>
      </c>
      <c r="E1141" s="155" t="s">
        <v>3908</v>
      </c>
      <c r="F1141" s="154"/>
      <c r="G1141" s="154" t="s">
        <v>58</v>
      </c>
      <c r="H1141" s="152">
        <v>82.15</v>
      </c>
      <c r="I1141" s="152">
        <v>78.459999999999994</v>
      </c>
      <c r="J1141" s="156"/>
      <c r="K1141" s="156">
        <f>+Ciclovia!J102</f>
        <v>0</v>
      </c>
      <c r="L1141" s="156">
        <f t="shared" si="1896"/>
        <v>0</v>
      </c>
      <c r="M1141" s="156">
        <f t="shared" si="1897"/>
        <v>0</v>
      </c>
      <c r="N1141" s="156" t="s">
        <v>83</v>
      </c>
      <c r="O1141" s="157" cm="1">
        <f t="array" ref="O1141">TRUNC($H1141*(1+_xlfn.SWITCH($N1141,"BDI 1",$O$6,"BDI 2",$O$7,"BDI 3",$O$8)),2)</f>
        <v>99.15</v>
      </c>
      <c r="P1141" s="157" cm="1">
        <f t="array" ref="P1141">TRUNC($I1141*(1+_xlfn.SWITCH($N1141,"BDI 1",$P$6,"BDI 2",$P$7,"BDI 3",$P$8)),2)</f>
        <v>99.44</v>
      </c>
      <c r="Q1141" s="157">
        <v>0</v>
      </c>
      <c r="R1141" s="157">
        <f t="shared" si="1898"/>
        <v>0</v>
      </c>
      <c r="S1141" s="156">
        <f t="shared" si="1899"/>
        <v>0</v>
      </c>
      <c r="T1141" s="156">
        <f t="shared" si="1900"/>
        <v>0</v>
      </c>
      <c r="U1141" s="156">
        <f t="shared" si="1901"/>
        <v>0</v>
      </c>
      <c r="V1141" s="156">
        <f t="shared" si="1902"/>
        <v>0</v>
      </c>
      <c r="W1141" s="156">
        <f t="shared" si="1891"/>
        <v>0</v>
      </c>
      <c r="X1141" s="158">
        <f t="shared" ref="X1141" si="1950">$S1141/ORCAMENTO_VALOR_TOTAL_ND</f>
        <v>0</v>
      </c>
      <c r="Y1141" s="158">
        <f t="shared" ref="Y1141" si="1951">$T1141/ORCAMENTO_VALOR_TOTAL_DE</f>
        <v>0</v>
      </c>
      <c r="Z1141" s="158" cm="1">
        <f t="array" ref="Z1141">_xlfn.SWITCH($N1141,"BDI 1",$O$6,"BDI 2",$O$7,"BDI 3",$O$8)</f>
        <v>0.20699999999999999</v>
      </c>
      <c r="AA1141" s="158" cm="1">
        <f t="array" ref="AA1141">_xlfn.SWITCH($N1141,"BDI 1",$P$6,"BDI 2",$P$7,"BDI 3",$P$8)</f>
        <v>0.26739999999999997</v>
      </c>
      <c r="AB1141" s="158">
        <f t="shared" ca="1" si="1905"/>
        <v>0</v>
      </c>
      <c r="AC1141" s="158">
        <f t="shared" ca="1" si="1906"/>
        <v>0</v>
      </c>
      <c r="AD1141" s="164"/>
      <c r="AE1141" s="148">
        <f t="shared" si="1892"/>
        <v>0</v>
      </c>
      <c r="AF1141" s="149"/>
      <c r="AG1141" s="150"/>
      <c r="AH1141" s="159" t="e">
        <f t="shared" si="1893"/>
        <v>#DIV/0!</v>
      </c>
      <c r="AI1141" s="165" t="s">
        <v>381</v>
      </c>
      <c r="AJ1141" s="182">
        <v>11.06</v>
      </c>
      <c r="AK1141" s="183">
        <f>+K1141/AJ1141</f>
        <v>0</v>
      </c>
      <c r="AM1141" s="105"/>
      <c r="AN1141" s="105"/>
      <c r="AO1141" s="105"/>
      <c r="AP1141" s="105"/>
      <c r="AQ1141" s="105"/>
      <c r="AR1141" s="105"/>
    </row>
    <row r="1142" spans="1:44" s="49" customFormat="1" ht="40.15" hidden="1" customHeight="1">
      <c r="A1142" s="152">
        <f t="shared" ca="1" si="1894"/>
        <v>0</v>
      </c>
      <c r="B1142" s="153" t="s">
        <v>382</v>
      </c>
      <c r="C1142" s="154" t="str">
        <f t="shared" si="1895"/>
        <v>SC/0055</v>
      </c>
      <c r="D1142" s="154" t="s">
        <v>3549</v>
      </c>
      <c r="E1142" s="155" t="s">
        <v>3973</v>
      </c>
      <c r="F1142" s="154"/>
      <c r="G1142" s="154" t="s">
        <v>58</v>
      </c>
      <c r="H1142" s="152">
        <v>38.270000000000003</v>
      </c>
      <c r="I1142" s="152">
        <v>36.72</v>
      </c>
      <c r="J1142" s="156"/>
      <c r="K1142" s="156">
        <f>+Ciclovia!J103</f>
        <v>0</v>
      </c>
      <c r="L1142" s="156">
        <f t="shared" si="1896"/>
        <v>0</v>
      </c>
      <c r="M1142" s="156">
        <f t="shared" si="1897"/>
        <v>0</v>
      </c>
      <c r="N1142" s="156" t="s">
        <v>83</v>
      </c>
      <c r="O1142" s="157" cm="1">
        <f t="array" ref="O1142">TRUNC($H1142*(1+_xlfn.SWITCH($N1142,"BDI 1",$O$6,"BDI 2",$O$7,"BDI 3",$O$8)),2)</f>
        <v>46.19</v>
      </c>
      <c r="P1142" s="157" cm="1">
        <f t="array" ref="P1142">TRUNC($I1142*(1+_xlfn.SWITCH($N1142,"BDI 1",$P$6,"BDI 2",$P$7,"BDI 3",$P$8)),2)</f>
        <v>46.53</v>
      </c>
      <c r="Q1142" s="157">
        <v>0</v>
      </c>
      <c r="R1142" s="157">
        <f t="shared" si="1898"/>
        <v>0</v>
      </c>
      <c r="S1142" s="156">
        <f t="shared" si="1899"/>
        <v>0</v>
      </c>
      <c r="T1142" s="156">
        <f t="shared" si="1900"/>
        <v>0</v>
      </c>
      <c r="U1142" s="156">
        <f t="shared" si="1901"/>
        <v>0</v>
      </c>
      <c r="V1142" s="156">
        <f t="shared" si="1902"/>
        <v>0</v>
      </c>
      <c r="W1142" s="156">
        <f t="shared" si="1891"/>
        <v>0</v>
      </c>
      <c r="X1142" s="158">
        <f t="shared" ref="X1142" si="1952">$S1142/ORCAMENTO_VALOR_TOTAL_ND</f>
        <v>0</v>
      </c>
      <c r="Y1142" s="158">
        <f t="shared" ref="Y1142" si="1953">$T1142/ORCAMENTO_VALOR_TOTAL_DE</f>
        <v>0</v>
      </c>
      <c r="Z1142" s="158" cm="1">
        <f t="array" ref="Z1142">_xlfn.SWITCH($N1142,"BDI 1",$O$6,"BDI 2",$O$7,"BDI 3",$O$8)</f>
        <v>0.20699999999999999</v>
      </c>
      <c r="AA1142" s="158" cm="1">
        <f t="array" ref="AA1142">_xlfn.SWITCH($N1142,"BDI 1",$P$6,"BDI 2",$P$7,"BDI 3",$P$8)</f>
        <v>0.26739999999999997</v>
      </c>
      <c r="AB1142" s="158">
        <f t="shared" ca="1" si="1905"/>
        <v>0</v>
      </c>
      <c r="AC1142" s="158">
        <f t="shared" ca="1" si="1906"/>
        <v>0</v>
      </c>
      <c r="AD1142" s="164"/>
      <c r="AE1142" s="148">
        <f t="shared" si="1892"/>
        <v>0</v>
      </c>
      <c r="AF1142" s="149"/>
      <c r="AG1142" s="150"/>
      <c r="AH1142" s="159" t="e">
        <f t="shared" si="1893"/>
        <v>#DIV/0!</v>
      </c>
      <c r="AI1142" s="165" t="s">
        <v>319</v>
      </c>
      <c r="AJ1142" s="182">
        <v>11.9</v>
      </c>
      <c r="AK1142" s="183">
        <f>+K1142/AJ1142</f>
        <v>0</v>
      </c>
      <c r="AM1142" s="105"/>
      <c r="AN1142" s="105"/>
      <c r="AO1142" s="105"/>
      <c r="AP1142" s="105"/>
      <c r="AQ1142" s="105"/>
      <c r="AR1142" s="105"/>
    </row>
    <row r="1143" spans="1:44" s="49" customFormat="1" ht="40.15" hidden="1" customHeight="1">
      <c r="A1143" s="152">
        <f t="shared" ca="1" si="1894"/>
        <v>0</v>
      </c>
      <c r="B1143" s="153" t="s">
        <v>324</v>
      </c>
      <c r="C1143" s="154" t="str">
        <f t="shared" si="1895"/>
        <v>SC/0035</v>
      </c>
      <c r="D1143" s="154" t="s">
        <v>3549</v>
      </c>
      <c r="E1143" s="155" t="s">
        <v>3913</v>
      </c>
      <c r="F1143" s="154"/>
      <c r="G1143" s="154" t="s">
        <v>58</v>
      </c>
      <c r="H1143" s="152">
        <v>32.25</v>
      </c>
      <c r="I1143" s="152">
        <v>30.97</v>
      </c>
      <c r="J1143" s="156"/>
      <c r="K1143" s="156">
        <f>+Ciclovia!J104</f>
        <v>0</v>
      </c>
      <c r="L1143" s="156">
        <f t="shared" si="1896"/>
        <v>0</v>
      </c>
      <c r="M1143" s="156">
        <f t="shared" si="1897"/>
        <v>0</v>
      </c>
      <c r="N1143" s="156" t="s">
        <v>83</v>
      </c>
      <c r="O1143" s="157" cm="1">
        <f t="array" ref="O1143">TRUNC($H1143*(1+_xlfn.SWITCH($N1143,"BDI 1",$O$6,"BDI 2",$O$7,"BDI 3",$O$8)),2)</f>
        <v>38.92</v>
      </c>
      <c r="P1143" s="157" cm="1">
        <f t="array" ref="P1143">TRUNC($I1143*(1+_xlfn.SWITCH($N1143,"BDI 1",$P$6,"BDI 2",$P$7,"BDI 3",$P$8)),2)</f>
        <v>39.25</v>
      </c>
      <c r="Q1143" s="157">
        <v>0</v>
      </c>
      <c r="R1143" s="157">
        <f t="shared" si="1898"/>
        <v>0</v>
      </c>
      <c r="S1143" s="156">
        <f t="shared" si="1899"/>
        <v>0</v>
      </c>
      <c r="T1143" s="156">
        <f t="shared" si="1900"/>
        <v>0</v>
      </c>
      <c r="U1143" s="156">
        <f t="shared" si="1901"/>
        <v>0</v>
      </c>
      <c r="V1143" s="156">
        <f t="shared" si="1902"/>
        <v>0</v>
      </c>
      <c r="W1143" s="156">
        <f t="shared" si="1891"/>
        <v>0</v>
      </c>
      <c r="X1143" s="158">
        <f t="shared" ref="X1143" si="1954">$S1143/ORCAMENTO_VALOR_TOTAL_ND</f>
        <v>0</v>
      </c>
      <c r="Y1143" s="158">
        <f t="shared" ref="Y1143" si="1955">$T1143/ORCAMENTO_VALOR_TOTAL_DE</f>
        <v>0</v>
      </c>
      <c r="Z1143" s="158" cm="1">
        <f t="array" ref="Z1143">_xlfn.SWITCH($N1143,"BDI 1",$O$6,"BDI 2",$O$7,"BDI 3",$O$8)</f>
        <v>0.20699999999999999</v>
      </c>
      <c r="AA1143" s="158" cm="1">
        <f t="array" ref="AA1143">_xlfn.SWITCH($N1143,"BDI 1",$P$6,"BDI 2",$P$7,"BDI 3",$P$8)</f>
        <v>0.26739999999999997</v>
      </c>
      <c r="AB1143" s="158">
        <f t="shared" ca="1" si="1905"/>
        <v>0</v>
      </c>
      <c r="AC1143" s="158">
        <f t="shared" ca="1" si="1906"/>
        <v>0</v>
      </c>
      <c r="AD1143" s="164"/>
      <c r="AE1143" s="148">
        <f t="shared" si="1892"/>
        <v>0</v>
      </c>
      <c r="AF1143" s="149"/>
      <c r="AG1143" s="150"/>
      <c r="AH1143" s="159" t="e">
        <f t="shared" si="1893"/>
        <v>#DIV/0!</v>
      </c>
      <c r="AI1143" s="160"/>
      <c r="AJ1143" s="182">
        <v>20.61</v>
      </c>
      <c r="AK1143" s="183">
        <f>+K1143/AJ1143</f>
        <v>0</v>
      </c>
      <c r="AM1143" s="105"/>
      <c r="AN1143" s="105"/>
      <c r="AO1143" s="105"/>
      <c r="AP1143" s="105"/>
      <c r="AQ1143" s="105"/>
      <c r="AR1143" s="105"/>
    </row>
    <row r="1144" spans="1:44" s="49" customFormat="1" ht="40.15" hidden="1" customHeight="1">
      <c r="A1144" s="152">
        <f t="shared" ca="1" si="1894"/>
        <v>0</v>
      </c>
      <c r="B1144" s="153">
        <v>6079</v>
      </c>
      <c r="C1144" s="154" t="str">
        <f t="shared" si="1895"/>
        <v>6079</v>
      </c>
      <c r="D1144" s="154" t="s">
        <v>3579</v>
      </c>
      <c r="E1144" s="155" t="s">
        <v>3679</v>
      </c>
      <c r="F1144" s="154"/>
      <c r="G1144" s="154" t="s">
        <v>464</v>
      </c>
      <c r="H1144" s="152">
        <v>37.35</v>
      </c>
      <c r="I1144" s="152">
        <v>37.35</v>
      </c>
      <c r="J1144" s="156"/>
      <c r="K1144" s="156">
        <f>IF(AI1144="COMERCIAL",Ciclovia!J51+Ciclovia!J71,0)</f>
        <v>0</v>
      </c>
      <c r="L1144" s="156">
        <f t="shared" si="1896"/>
        <v>0</v>
      </c>
      <c r="M1144" s="156">
        <f t="shared" si="1897"/>
        <v>0</v>
      </c>
      <c r="N1144" s="156" t="s">
        <v>92</v>
      </c>
      <c r="O1144" s="157" cm="1">
        <f t="array" ref="O1144">TRUNC($H1144*(1+_xlfn.SWITCH($N1144,"BDI 1",$O$6,"BDI 2",$O$7,"BDI 3",$O$8)),2)</f>
        <v>43.05</v>
      </c>
      <c r="P1144" s="157" cm="1">
        <f t="array" ref="P1144">TRUNC($I1144*(1+_xlfn.SWITCH($N1144,"BDI 1",$P$6,"BDI 2",$P$7,"BDI 3",$P$8)),2)</f>
        <v>43.05</v>
      </c>
      <c r="Q1144" s="157">
        <v>0</v>
      </c>
      <c r="R1144" s="157">
        <f t="shared" si="1898"/>
        <v>0</v>
      </c>
      <c r="S1144" s="156">
        <f t="shared" si="1899"/>
        <v>0</v>
      </c>
      <c r="T1144" s="156">
        <f t="shared" si="1900"/>
        <v>0</v>
      </c>
      <c r="U1144" s="156">
        <f t="shared" si="1901"/>
        <v>0</v>
      </c>
      <c r="V1144" s="156">
        <f t="shared" si="1902"/>
        <v>0</v>
      </c>
      <c r="W1144" s="156">
        <f t="shared" si="1891"/>
        <v>0</v>
      </c>
      <c r="X1144" s="158">
        <f t="shared" ref="X1144" si="1956">$S1144/ORCAMENTO_VALOR_TOTAL_ND</f>
        <v>0</v>
      </c>
      <c r="Y1144" s="158">
        <f t="shared" ref="Y1144" si="1957">$T1144/ORCAMENTO_VALOR_TOTAL_DE</f>
        <v>0</v>
      </c>
      <c r="Z1144" s="158" cm="1">
        <f t="array" ref="Z1144">_xlfn.SWITCH($N1144,"BDI 1",$O$6,"BDI 2",$O$7,"BDI 3",$O$8)</f>
        <v>0.1527</v>
      </c>
      <c r="AA1144" s="158" cm="1">
        <f t="array" ref="AA1144">_xlfn.SWITCH($N1144,"BDI 1",$P$6,"BDI 2",$P$7,"BDI 3",$P$8)</f>
        <v>0.1527</v>
      </c>
      <c r="AB1144" s="158">
        <f t="shared" ca="1" si="1905"/>
        <v>0</v>
      </c>
      <c r="AC1144" s="158">
        <f t="shared" ca="1" si="1906"/>
        <v>0</v>
      </c>
      <c r="AD1144" s="164"/>
      <c r="AE1144" s="148">
        <f t="shared" si="1892"/>
        <v>0</v>
      </c>
      <c r="AF1144" s="149"/>
      <c r="AG1144" s="150"/>
      <c r="AH1144" s="159" t="e">
        <f t="shared" si="1893"/>
        <v>#DIV/0!</v>
      </c>
      <c r="AI1144" s="165" t="s">
        <v>383</v>
      </c>
      <c r="AJ1144" s="105"/>
      <c r="AK1144" s="105"/>
      <c r="AM1144" s="105"/>
      <c r="AN1144" s="105"/>
      <c r="AO1144" s="105"/>
      <c r="AP1144" s="105"/>
      <c r="AQ1144" s="105"/>
      <c r="AR1144" s="105"/>
    </row>
    <row r="1145" spans="1:44" s="49" customFormat="1" ht="40.15" hidden="1" customHeight="1">
      <c r="A1145" s="152">
        <f t="shared" ca="1" si="1894"/>
        <v>0</v>
      </c>
      <c r="B1145" s="153">
        <v>4721</v>
      </c>
      <c r="C1145" s="154" t="str">
        <f t="shared" si="1895"/>
        <v>4721</v>
      </c>
      <c r="D1145" s="154" t="s">
        <v>3579</v>
      </c>
      <c r="E1145" s="155" t="s">
        <v>3866</v>
      </c>
      <c r="F1145" s="154"/>
      <c r="G1145" s="154" t="s">
        <v>464</v>
      </c>
      <c r="H1145" s="152">
        <v>95.96</v>
      </c>
      <c r="I1145" s="152">
        <v>95.96</v>
      </c>
      <c r="J1145" s="156"/>
      <c r="K1145" s="156">
        <f>IF(AI1145="COMERCIAL",Ciclovia!J72,0)</f>
        <v>0</v>
      </c>
      <c r="L1145" s="156">
        <f t="shared" si="1896"/>
        <v>0</v>
      </c>
      <c r="M1145" s="156">
        <f t="shared" si="1897"/>
        <v>0</v>
      </c>
      <c r="N1145" s="156" t="s">
        <v>92</v>
      </c>
      <c r="O1145" s="157" cm="1">
        <f t="array" ref="O1145">TRUNC($H1145*(1+_xlfn.SWITCH($N1145,"BDI 1",$O$6,"BDI 2",$O$7,"BDI 3",$O$8)),2)</f>
        <v>110.61</v>
      </c>
      <c r="P1145" s="157" cm="1">
        <f t="array" ref="P1145">TRUNC($I1145*(1+_xlfn.SWITCH($N1145,"BDI 1",$P$6,"BDI 2",$P$7,"BDI 3",$P$8)),2)</f>
        <v>110.61</v>
      </c>
      <c r="Q1145" s="157">
        <v>0</v>
      </c>
      <c r="R1145" s="157">
        <f t="shared" si="1898"/>
        <v>0</v>
      </c>
      <c r="S1145" s="156">
        <f t="shared" si="1899"/>
        <v>0</v>
      </c>
      <c r="T1145" s="156">
        <f t="shared" si="1900"/>
        <v>0</v>
      </c>
      <c r="U1145" s="156">
        <f t="shared" si="1901"/>
        <v>0</v>
      </c>
      <c r="V1145" s="156">
        <f t="shared" si="1902"/>
        <v>0</v>
      </c>
      <c r="W1145" s="156">
        <f t="shared" si="1891"/>
        <v>0</v>
      </c>
      <c r="X1145" s="158">
        <f t="shared" ref="X1145" si="1958">$S1145/ORCAMENTO_VALOR_TOTAL_ND</f>
        <v>0</v>
      </c>
      <c r="Y1145" s="158">
        <f t="shared" ref="Y1145" si="1959">$T1145/ORCAMENTO_VALOR_TOTAL_DE</f>
        <v>0</v>
      </c>
      <c r="Z1145" s="158" cm="1">
        <f t="array" ref="Z1145">_xlfn.SWITCH($N1145,"BDI 1",$O$6,"BDI 2",$O$7,"BDI 3",$O$8)</f>
        <v>0.1527</v>
      </c>
      <c r="AA1145" s="158" cm="1">
        <f t="array" ref="AA1145">_xlfn.SWITCH($N1145,"BDI 1",$P$6,"BDI 2",$P$7,"BDI 3",$P$8)</f>
        <v>0.1527</v>
      </c>
      <c r="AB1145" s="158">
        <f t="shared" ca="1" si="1905"/>
        <v>0</v>
      </c>
      <c r="AC1145" s="158">
        <f t="shared" ca="1" si="1906"/>
        <v>0</v>
      </c>
      <c r="AD1145" s="164"/>
      <c r="AE1145" s="148">
        <f t="shared" si="1892"/>
        <v>0</v>
      </c>
      <c r="AF1145" s="149"/>
      <c r="AG1145" s="150"/>
      <c r="AH1145" s="159" t="e">
        <f t="shared" si="1893"/>
        <v>#DIV/0!</v>
      </c>
      <c r="AI1145" s="165" t="s">
        <v>243</v>
      </c>
      <c r="AJ1145" s="105"/>
      <c r="AK1145" s="105"/>
      <c r="AM1145" s="105"/>
      <c r="AN1145" s="105"/>
      <c r="AO1145" s="105"/>
      <c r="AP1145" s="105"/>
      <c r="AQ1145" s="105"/>
      <c r="AR1145" s="105"/>
    </row>
    <row r="1146" spans="1:44" s="49" customFormat="1" ht="40.15" hidden="1" customHeight="1">
      <c r="A1146" s="152">
        <f t="shared" ca="1" si="1894"/>
        <v>0</v>
      </c>
      <c r="B1146" s="153">
        <v>4743</v>
      </c>
      <c r="C1146" s="154" t="str">
        <f t="shared" si="1895"/>
        <v>4743</v>
      </c>
      <c r="D1146" s="154" t="s">
        <v>3579</v>
      </c>
      <c r="E1146" s="155" t="s">
        <v>3867</v>
      </c>
      <c r="F1146" s="154"/>
      <c r="G1146" s="154" t="s">
        <v>464</v>
      </c>
      <c r="H1146" s="152">
        <v>55.95</v>
      </c>
      <c r="I1146" s="152">
        <v>55.95</v>
      </c>
      <c r="J1146" s="156"/>
      <c r="K1146" s="156">
        <f>IF(AI1146="COMERCIAL",Ciclovia!J73,0)</f>
        <v>0</v>
      </c>
      <c r="L1146" s="156">
        <f t="shared" si="1896"/>
        <v>0</v>
      </c>
      <c r="M1146" s="156">
        <f t="shared" si="1897"/>
        <v>0</v>
      </c>
      <c r="N1146" s="156" t="s">
        <v>92</v>
      </c>
      <c r="O1146" s="157" cm="1">
        <f t="array" ref="O1146">TRUNC($H1146*(1+_xlfn.SWITCH($N1146,"BDI 1",$O$6,"BDI 2",$O$7,"BDI 3",$O$8)),2)</f>
        <v>64.489999999999995</v>
      </c>
      <c r="P1146" s="157" cm="1">
        <f t="array" ref="P1146">TRUNC($I1146*(1+_xlfn.SWITCH($N1146,"BDI 1",$P$6,"BDI 2",$P$7,"BDI 3",$P$8)),2)</f>
        <v>64.489999999999995</v>
      </c>
      <c r="Q1146" s="157">
        <v>0</v>
      </c>
      <c r="R1146" s="157">
        <f t="shared" si="1898"/>
        <v>0</v>
      </c>
      <c r="S1146" s="156">
        <f t="shared" si="1899"/>
        <v>0</v>
      </c>
      <c r="T1146" s="156">
        <f t="shared" si="1900"/>
        <v>0</v>
      </c>
      <c r="U1146" s="156">
        <f t="shared" si="1901"/>
        <v>0</v>
      </c>
      <c r="V1146" s="156">
        <f t="shared" si="1902"/>
        <v>0</v>
      </c>
      <c r="W1146" s="156">
        <f t="shared" si="1891"/>
        <v>0</v>
      </c>
      <c r="X1146" s="158">
        <f t="shared" ref="X1146" si="1960">$S1146/ORCAMENTO_VALOR_TOTAL_ND</f>
        <v>0</v>
      </c>
      <c r="Y1146" s="158">
        <f t="shared" ref="Y1146" si="1961">$T1146/ORCAMENTO_VALOR_TOTAL_DE</f>
        <v>0</v>
      </c>
      <c r="Z1146" s="158" cm="1">
        <f t="array" ref="Z1146">_xlfn.SWITCH($N1146,"BDI 1",$O$6,"BDI 2",$O$7,"BDI 3",$O$8)</f>
        <v>0.1527</v>
      </c>
      <c r="AA1146" s="158" cm="1">
        <f t="array" ref="AA1146">_xlfn.SWITCH($N1146,"BDI 1",$P$6,"BDI 2",$P$7,"BDI 3",$P$8)</f>
        <v>0.1527</v>
      </c>
      <c r="AB1146" s="158">
        <f t="shared" ca="1" si="1905"/>
        <v>0</v>
      </c>
      <c r="AC1146" s="158">
        <f t="shared" ca="1" si="1906"/>
        <v>0</v>
      </c>
      <c r="AD1146" s="164"/>
      <c r="AE1146" s="148">
        <f t="shared" si="1892"/>
        <v>0</v>
      </c>
      <c r="AF1146" s="149"/>
      <c r="AG1146" s="150"/>
      <c r="AH1146" s="159" t="e">
        <f t="shared" si="1893"/>
        <v>#DIV/0!</v>
      </c>
      <c r="AI1146" s="165" t="s">
        <v>243</v>
      </c>
      <c r="AJ1146" s="105"/>
      <c r="AK1146" s="105"/>
      <c r="AM1146" s="105"/>
      <c r="AN1146" s="105"/>
      <c r="AO1146" s="105"/>
      <c r="AP1146" s="105"/>
      <c r="AQ1146" s="105"/>
      <c r="AR1146" s="105"/>
    </row>
    <row r="1147" spans="1:44" s="49" customFormat="1" ht="40.15" hidden="1" customHeight="1">
      <c r="A1147" s="152">
        <f t="shared" ca="1" si="1894"/>
        <v>0</v>
      </c>
      <c r="B1147" s="153">
        <v>4748</v>
      </c>
      <c r="C1147" s="154" t="str">
        <f t="shared" si="1895"/>
        <v>4748</v>
      </c>
      <c r="D1147" s="154" t="s">
        <v>3579</v>
      </c>
      <c r="E1147" s="155" t="s">
        <v>3868</v>
      </c>
      <c r="F1147" s="154"/>
      <c r="G1147" s="154" t="s">
        <v>464</v>
      </c>
      <c r="H1147" s="152">
        <v>88.63</v>
      </c>
      <c r="I1147" s="152">
        <v>88.63</v>
      </c>
      <c r="J1147" s="156"/>
      <c r="K1147" s="156">
        <f>+Ciclovia!J74</f>
        <v>0</v>
      </c>
      <c r="L1147" s="156">
        <f t="shared" si="1896"/>
        <v>0</v>
      </c>
      <c r="M1147" s="156">
        <f t="shared" si="1897"/>
        <v>0</v>
      </c>
      <c r="N1147" s="156" t="s">
        <v>92</v>
      </c>
      <c r="O1147" s="157" cm="1">
        <f t="array" ref="O1147">TRUNC($H1147*(1+_xlfn.SWITCH($N1147,"BDI 1",$O$6,"BDI 2",$O$7,"BDI 3",$O$8)),2)</f>
        <v>102.16</v>
      </c>
      <c r="P1147" s="157" cm="1">
        <f t="array" ref="P1147">TRUNC($I1147*(1+_xlfn.SWITCH($N1147,"BDI 1",$P$6,"BDI 2",$P$7,"BDI 3",$P$8)),2)</f>
        <v>102.16</v>
      </c>
      <c r="Q1147" s="157">
        <v>0</v>
      </c>
      <c r="R1147" s="157">
        <f t="shared" si="1898"/>
        <v>0</v>
      </c>
      <c r="S1147" s="156">
        <f t="shared" si="1899"/>
        <v>0</v>
      </c>
      <c r="T1147" s="156">
        <f t="shared" si="1900"/>
        <v>0</v>
      </c>
      <c r="U1147" s="156">
        <f t="shared" si="1901"/>
        <v>0</v>
      </c>
      <c r="V1147" s="156">
        <f t="shared" si="1902"/>
        <v>0</v>
      </c>
      <c r="W1147" s="156">
        <f t="shared" si="1891"/>
        <v>0</v>
      </c>
      <c r="X1147" s="158">
        <f t="shared" ref="X1147" si="1962">$S1147/ORCAMENTO_VALOR_TOTAL_ND</f>
        <v>0</v>
      </c>
      <c r="Y1147" s="158">
        <f t="shared" ref="Y1147" si="1963">$T1147/ORCAMENTO_VALOR_TOTAL_DE</f>
        <v>0</v>
      </c>
      <c r="Z1147" s="158" cm="1">
        <f t="array" ref="Z1147">_xlfn.SWITCH($N1147,"BDI 1",$O$6,"BDI 2",$O$7,"BDI 3",$O$8)</f>
        <v>0.1527</v>
      </c>
      <c r="AA1147" s="158" cm="1">
        <f t="array" ref="AA1147">_xlfn.SWITCH($N1147,"BDI 1",$P$6,"BDI 2",$P$7,"BDI 3",$P$8)</f>
        <v>0.1527</v>
      </c>
      <c r="AB1147" s="158">
        <f t="shared" ca="1" si="1905"/>
        <v>0</v>
      </c>
      <c r="AC1147" s="158">
        <f t="shared" ca="1" si="1906"/>
        <v>0</v>
      </c>
      <c r="AD1147" s="164"/>
      <c r="AE1147" s="148">
        <f t="shared" si="1892"/>
        <v>0</v>
      </c>
      <c r="AF1147" s="149"/>
      <c r="AG1147" s="150"/>
      <c r="AH1147" s="159" t="e">
        <f t="shared" si="1893"/>
        <v>#DIV/0!</v>
      </c>
      <c r="AI1147" s="160"/>
      <c r="AJ1147" s="105"/>
      <c r="AK1147" s="105"/>
      <c r="AM1147" s="105"/>
      <c r="AN1147" s="105"/>
      <c r="AO1147" s="105"/>
      <c r="AP1147" s="105"/>
      <c r="AQ1147" s="105"/>
      <c r="AR1147" s="105"/>
    </row>
    <row r="1148" spans="1:44" s="49" customFormat="1" ht="49.9" hidden="1" customHeight="1">
      <c r="A1148" s="152">
        <f t="shared" ca="1" si="1894"/>
        <v>0</v>
      </c>
      <c r="B1148" s="153">
        <v>100978</v>
      </c>
      <c r="C1148" s="154" t="str">
        <f t="shared" si="1895"/>
        <v>100978</v>
      </c>
      <c r="D1148" s="154" t="s">
        <v>1416</v>
      </c>
      <c r="E1148" s="155" t="s">
        <v>3810</v>
      </c>
      <c r="F1148" s="154"/>
      <c r="G1148" s="154" t="s">
        <v>464</v>
      </c>
      <c r="H1148" s="152">
        <v>6.64</v>
      </c>
      <c r="I1148" s="152">
        <v>6.55</v>
      </c>
      <c r="J1148" s="156"/>
      <c r="K1148" s="156">
        <f>+Ciclovia!J110+IF(Ciclovia!J111&lt;=50,Ciclovia!J111,0)</f>
        <v>0</v>
      </c>
      <c r="L1148" s="156">
        <f t="shared" si="1896"/>
        <v>0</v>
      </c>
      <c r="M1148" s="156">
        <f t="shared" si="1897"/>
        <v>0</v>
      </c>
      <c r="N1148" s="156" t="s">
        <v>83</v>
      </c>
      <c r="O1148" s="157" cm="1">
        <f t="array" ref="O1148">TRUNC($H1148*(1+_xlfn.SWITCH($N1148,"BDI 1",$O$6,"BDI 2",$O$7,"BDI 3",$O$8)),2)</f>
        <v>8.01</v>
      </c>
      <c r="P1148" s="157" cm="1">
        <f t="array" ref="P1148">TRUNC($I1148*(1+_xlfn.SWITCH($N1148,"BDI 1",$P$6,"BDI 2",$P$7,"BDI 3",$P$8)),2)</f>
        <v>8.3000000000000007</v>
      </c>
      <c r="Q1148" s="157">
        <v>0</v>
      </c>
      <c r="R1148" s="157">
        <f t="shared" si="1898"/>
        <v>0</v>
      </c>
      <c r="S1148" s="156">
        <f t="shared" si="1899"/>
        <v>0</v>
      </c>
      <c r="T1148" s="156">
        <f t="shared" si="1900"/>
        <v>0</v>
      </c>
      <c r="U1148" s="156">
        <f t="shared" si="1901"/>
        <v>0</v>
      </c>
      <c r="V1148" s="156">
        <f t="shared" si="1902"/>
        <v>0</v>
      </c>
      <c r="W1148" s="156">
        <f t="shared" si="1891"/>
        <v>0</v>
      </c>
      <c r="X1148" s="158">
        <f t="shared" ref="X1148" si="1964">$S1148/ORCAMENTO_VALOR_TOTAL_ND</f>
        <v>0</v>
      </c>
      <c r="Y1148" s="158">
        <f t="shared" ref="Y1148" si="1965">$T1148/ORCAMENTO_VALOR_TOTAL_DE</f>
        <v>0</v>
      </c>
      <c r="Z1148" s="158" cm="1">
        <f t="array" ref="Z1148">_xlfn.SWITCH($N1148,"BDI 1",$O$6,"BDI 2",$O$7,"BDI 3",$O$8)</f>
        <v>0.20699999999999999</v>
      </c>
      <c r="AA1148" s="158" cm="1">
        <f t="array" ref="AA1148">_xlfn.SWITCH($N1148,"BDI 1",$P$6,"BDI 2",$P$7,"BDI 3",$P$8)</f>
        <v>0.26739999999999997</v>
      </c>
      <c r="AB1148" s="158">
        <f t="shared" ca="1" si="1905"/>
        <v>0</v>
      </c>
      <c r="AC1148" s="158">
        <f t="shared" ca="1" si="1906"/>
        <v>0</v>
      </c>
      <c r="AD1148" s="164"/>
      <c r="AE1148" s="148">
        <f t="shared" si="1892"/>
        <v>0</v>
      </c>
      <c r="AF1148" s="149"/>
      <c r="AG1148" s="150"/>
      <c r="AH1148" s="159" t="e">
        <f t="shared" si="1893"/>
        <v>#DIV/0!</v>
      </c>
      <c r="AI1148" s="165" t="s">
        <v>101</v>
      </c>
      <c r="AJ1148" s="105"/>
      <c r="AK1148" s="105"/>
      <c r="AM1148" s="105"/>
      <c r="AN1148" s="105"/>
      <c r="AO1148" s="105"/>
      <c r="AP1148" s="105"/>
      <c r="AQ1148" s="105"/>
      <c r="AR1148" s="105"/>
    </row>
    <row r="1149" spans="1:44" s="49" customFormat="1" ht="49.9" hidden="1" customHeight="1">
      <c r="A1149" s="152">
        <f t="shared" ca="1" si="1894"/>
        <v>0</v>
      </c>
      <c r="B1149" s="153">
        <v>100979</v>
      </c>
      <c r="C1149" s="154" t="str">
        <f t="shared" si="1895"/>
        <v>100979</v>
      </c>
      <c r="D1149" s="154" t="s">
        <v>1416</v>
      </c>
      <c r="E1149" s="155" t="s">
        <v>1420</v>
      </c>
      <c r="F1149" s="154"/>
      <c r="G1149" s="154" t="s">
        <v>464</v>
      </c>
      <c r="H1149" s="152">
        <v>6.4</v>
      </c>
      <c r="I1149" s="152">
        <v>6.4</v>
      </c>
      <c r="J1149" s="156"/>
      <c r="K1149" s="156">
        <f>+IF(Ciclovia!J111&gt;50,Ciclovia!J111,0)</f>
        <v>0</v>
      </c>
      <c r="L1149" s="156">
        <f t="shared" si="1896"/>
        <v>0</v>
      </c>
      <c r="M1149" s="156">
        <f t="shared" si="1897"/>
        <v>0</v>
      </c>
      <c r="N1149" s="156" t="s">
        <v>83</v>
      </c>
      <c r="O1149" s="157" cm="1">
        <f t="array" ref="O1149">TRUNC($H1149*(1+_xlfn.SWITCH($N1149,"BDI 1",$O$6,"BDI 2",$O$7,"BDI 3",$O$8)),2)</f>
        <v>7.72</v>
      </c>
      <c r="P1149" s="157" cm="1">
        <f t="array" ref="P1149">TRUNC($I1149*(1+_xlfn.SWITCH($N1149,"BDI 1",$P$6,"BDI 2",$P$7,"BDI 3",$P$8)),2)</f>
        <v>8.11</v>
      </c>
      <c r="Q1149" s="157">
        <v>0</v>
      </c>
      <c r="R1149" s="157">
        <f t="shared" si="1898"/>
        <v>0</v>
      </c>
      <c r="S1149" s="156">
        <f t="shared" si="1899"/>
        <v>0</v>
      </c>
      <c r="T1149" s="156">
        <f t="shared" si="1900"/>
        <v>0</v>
      </c>
      <c r="U1149" s="156">
        <f t="shared" si="1901"/>
        <v>0</v>
      </c>
      <c r="V1149" s="156">
        <f t="shared" si="1902"/>
        <v>0</v>
      </c>
      <c r="W1149" s="156">
        <f t="shared" si="1891"/>
        <v>0</v>
      </c>
      <c r="X1149" s="158">
        <f t="shared" ref="X1149" si="1966">$S1149/ORCAMENTO_VALOR_TOTAL_ND</f>
        <v>0</v>
      </c>
      <c r="Y1149" s="158">
        <f t="shared" ref="Y1149" si="1967">$T1149/ORCAMENTO_VALOR_TOTAL_DE</f>
        <v>0</v>
      </c>
      <c r="Z1149" s="158" cm="1">
        <f t="array" ref="Z1149">_xlfn.SWITCH($N1149,"BDI 1",$O$6,"BDI 2",$O$7,"BDI 3",$O$8)</f>
        <v>0.20699999999999999</v>
      </c>
      <c r="AA1149" s="158" cm="1">
        <f t="array" ref="AA1149">_xlfn.SWITCH($N1149,"BDI 1",$P$6,"BDI 2",$P$7,"BDI 3",$P$8)</f>
        <v>0.26739999999999997</v>
      </c>
      <c r="AB1149" s="158">
        <f t="shared" ca="1" si="1905"/>
        <v>0</v>
      </c>
      <c r="AC1149" s="158">
        <f t="shared" ca="1" si="1906"/>
        <v>0</v>
      </c>
      <c r="AD1149" s="164"/>
      <c r="AE1149" s="148">
        <f t="shared" si="1892"/>
        <v>0</v>
      </c>
      <c r="AF1149" s="149"/>
      <c r="AG1149" s="150"/>
      <c r="AH1149" s="159" t="e">
        <f t="shared" si="1893"/>
        <v>#DIV/0!</v>
      </c>
      <c r="AI1149" s="165" t="s">
        <v>101</v>
      </c>
      <c r="AJ1149" s="105"/>
      <c r="AK1149" s="105"/>
      <c r="AM1149" s="105"/>
      <c r="AN1149" s="105"/>
      <c r="AO1149" s="105"/>
      <c r="AP1149" s="105"/>
      <c r="AQ1149" s="105"/>
      <c r="AR1149" s="105"/>
    </row>
    <row r="1150" spans="1:44" s="49" customFormat="1" ht="40.15" hidden="1" customHeight="1">
      <c r="A1150" s="10">
        <f t="shared" ca="1" si="1894"/>
        <v>0</v>
      </c>
      <c r="B1150" s="153"/>
      <c r="C1150" s="154"/>
      <c r="D1150" s="154"/>
      <c r="E1150" s="161" t="s">
        <v>137</v>
      </c>
      <c r="F1150" s="154"/>
      <c r="G1150" s="154"/>
      <c r="H1150" s="152"/>
      <c r="I1150" s="152"/>
      <c r="J1150" s="154"/>
      <c r="K1150" s="154"/>
      <c r="L1150" s="154"/>
      <c r="M1150" s="154"/>
      <c r="N1150" s="154"/>
      <c r="O1150" s="154"/>
      <c r="P1150" s="154"/>
      <c r="Q1150" s="154"/>
      <c r="R1150" s="154"/>
      <c r="S1150" s="162"/>
      <c r="T1150" s="162"/>
      <c r="U1150" s="162"/>
      <c r="V1150" s="162"/>
      <c r="W1150" s="162"/>
      <c r="X1150" s="163"/>
      <c r="Y1150" s="163"/>
      <c r="Z1150" s="163"/>
      <c r="AA1150" s="163"/>
      <c r="AB1150" s="163"/>
      <c r="AC1150" s="163"/>
      <c r="AD1150" s="164"/>
      <c r="AE1150" s="148">
        <f>IF(SUM(S1151:S1152)&gt;0,IFERROR(TRUNC(A1150,0),0),0)</f>
        <v>0</v>
      </c>
      <c r="AF1150" s="149"/>
      <c r="AG1150" s="150"/>
      <c r="AH1150" s="159"/>
      <c r="AI1150" s="160" t="s">
        <v>138</v>
      </c>
      <c r="AJ1150" s="105"/>
      <c r="AK1150" s="105"/>
      <c r="AM1150" s="105"/>
      <c r="AN1150" s="105"/>
      <c r="AO1150" s="105"/>
      <c r="AP1150" s="105"/>
      <c r="AQ1150" s="105"/>
      <c r="AR1150" s="105"/>
    </row>
    <row r="1151" spans="1:44" s="49" customFormat="1" ht="40.15" hidden="1" customHeight="1">
      <c r="A1151" s="152">
        <f t="shared" ca="1" si="1894"/>
        <v>0</v>
      </c>
      <c r="B1151" s="153">
        <v>95876</v>
      </c>
      <c r="C1151" s="154" t="str">
        <f>TEXT(B1151,"0")</f>
        <v>95876</v>
      </c>
      <c r="D1151" s="154" t="s">
        <v>1416</v>
      </c>
      <c r="E1151" s="155" t="s">
        <v>3537</v>
      </c>
      <c r="F1151" s="154">
        <f>IF(Dados_DMT!$B$17&lt;30,Dados_DMT!$B$17,30)</f>
        <v>3.5</v>
      </c>
      <c r="G1151" s="154" t="s">
        <v>3538</v>
      </c>
      <c r="H1151" s="152">
        <v>2.09</v>
      </c>
      <c r="I1151" s="152">
        <v>2.1</v>
      </c>
      <c r="J1151" s="156"/>
      <c r="K1151" s="156">
        <f>ROUND(Ciclovia!J114*F1151,2)</f>
        <v>0</v>
      </c>
      <c r="L1151" s="156">
        <f>IF($K1151&gt;$J1151,$K1151-$J1151,0)</f>
        <v>0</v>
      </c>
      <c r="M1151" s="156">
        <f>IF($K1151&lt;$J1151,$J1151-$K1151,0)</f>
        <v>0</v>
      </c>
      <c r="N1151" s="156" t="s">
        <v>83</v>
      </c>
      <c r="O1151" s="157" cm="1">
        <f t="array" ref="O1151">TRUNC($H1151*(1+_xlfn.SWITCH($N1151,"BDI 1",$O$6,"BDI 2",$O$7,"BDI 3",$O$8)),2)</f>
        <v>2.52</v>
      </c>
      <c r="P1151" s="157" cm="1">
        <f t="array" ref="P1151">TRUNC($I1151*(1+_xlfn.SWITCH($N1151,"BDI 1",$P$6,"BDI 2",$P$7,"BDI 3",$P$8)),2)</f>
        <v>2.66</v>
      </c>
      <c r="Q1151" s="157">
        <v>0</v>
      </c>
      <c r="R1151" s="157">
        <f>$Q1151-($Q1151*LICITACAO_DESCONTO)</f>
        <v>0</v>
      </c>
      <c r="S1151" s="156">
        <f>TRUNC($K1151*$O1151,2)</f>
        <v>0</v>
      </c>
      <c r="T1151" s="156">
        <f>TRUNC($K1151*$P1151,2)</f>
        <v>0</v>
      </c>
      <c r="U1151" s="156">
        <f>TRUNC($J1151*$R1151,2)</f>
        <v>0</v>
      </c>
      <c r="V1151" s="156">
        <f>TRUNC($K1151*$Q1151,2)</f>
        <v>0</v>
      </c>
      <c r="W1151" s="156">
        <f>TRUNC(V1151-U1151,2)</f>
        <v>0</v>
      </c>
      <c r="X1151" s="158">
        <f>$S1151/ORCAMENTO_VALOR_TOTAL_ND</f>
        <v>0</v>
      </c>
      <c r="Y1151" s="158">
        <f>$T1151/ORCAMENTO_VALOR_TOTAL_DE</f>
        <v>0</v>
      </c>
      <c r="Z1151" s="158" cm="1">
        <f t="array" ref="Z1151">_xlfn.SWITCH($N1151,"BDI 1",$O$6,"BDI 2",$O$7,"BDI 3",$O$8)</f>
        <v>0.20699999999999999</v>
      </c>
      <c r="AA1151" s="158" cm="1">
        <f t="array" ref="AA1151">_xlfn.SWITCH($N1151,"BDI 1",$P$6,"BDI 2",$P$7,"BDI 3",$P$8)</f>
        <v>0.26739999999999997</v>
      </c>
      <c r="AB1151" s="158">
        <f ca="1">IFERROR($S1151/_xlfn.XLOOKUP($AE1151,$B$16:$B$38,$S$16:$S$38),0)</f>
        <v>0</v>
      </c>
      <c r="AC1151" s="158">
        <f ca="1">IFERROR($T1151/_xlfn.XLOOKUP($AE1151,$B$16:$B$38,$T$16:$T$38),0)</f>
        <v>0</v>
      </c>
      <c r="AD1151" s="164"/>
      <c r="AE1151" s="148">
        <f t="shared" ref="AE1151:AE1152" si="1968">IF(S1151&gt;0,IFERROR(TRUNC(A1151,0),0),0)</f>
        <v>0</v>
      </c>
      <c r="AF1151" s="149"/>
      <c r="AG1151" s="150"/>
      <c r="AH1151" s="159" t="e">
        <f>+S1151/$S$1118</f>
        <v>#DIV/0!</v>
      </c>
      <c r="AI1151" s="166">
        <f>IF(K1151=0,0,K1151/F1151)</f>
        <v>0</v>
      </c>
      <c r="AJ1151" s="105"/>
      <c r="AK1151" s="105"/>
      <c r="AM1151" s="105"/>
      <c r="AN1151" s="105"/>
      <c r="AO1151" s="105"/>
      <c r="AP1151" s="105"/>
      <c r="AQ1151" s="105"/>
      <c r="AR1151" s="105"/>
    </row>
    <row r="1152" spans="1:44" s="49" customFormat="1" ht="40.15" hidden="1" customHeight="1">
      <c r="A1152" s="152">
        <f t="shared" ca="1" si="1894"/>
        <v>0</v>
      </c>
      <c r="B1152" s="153">
        <v>93593</v>
      </c>
      <c r="C1152" s="154" t="str">
        <f>TEXT(B1152,"0")</f>
        <v>93593</v>
      </c>
      <c r="D1152" s="154" t="s">
        <v>1416</v>
      </c>
      <c r="E1152" s="155" t="s">
        <v>3545</v>
      </c>
      <c r="F1152" s="154">
        <f>Dados_DMT!$B$17-F1151</f>
        <v>0</v>
      </c>
      <c r="G1152" s="154" t="s">
        <v>3538</v>
      </c>
      <c r="H1152" s="152">
        <v>0.84</v>
      </c>
      <c r="I1152" s="152">
        <v>0.85</v>
      </c>
      <c r="J1152" s="156"/>
      <c r="K1152" s="156">
        <f>ROUND(Ciclovia!J114*F1152,2)</f>
        <v>0</v>
      </c>
      <c r="L1152" s="156">
        <f>IF($K1152&gt;$J1152,$K1152-$J1152,0)</f>
        <v>0</v>
      </c>
      <c r="M1152" s="156">
        <f>IF($K1152&lt;$J1152,$J1152-$K1152,0)</f>
        <v>0</v>
      </c>
      <c r="N1152" s="156" t="s">
        <v>83</v>
      </c>
      <c r="O1152" s="157" cm="1">
        <f t="array" ref="O1152">TRUNC($H1152*(1+_xlfn.SWITCH($N1152,"BDI 1",$O$6,"BDI 2",$O$7,"BDI 3",$O$8)),2)</f>
        <v>1.01</v>
      </c>
      <c r="P1152" s="157" cm="1">
        <f t="array" ref="P1152">TRUNC($I1152*(1+_xlfn.SWITCH($N1152,"BDI 1",$P$6,"BDI 2",$P$7,"BDI 3",$P$8)),2)</f>
        <v>1.07</v>
      </c>
      <c r="Q1152" s="157">
        <v>0</v>
      </c>
      <c r="R1152" s="157">
        <f>$Q1152-($Q1152*LICITACAO_DESCONTO)</f>
        <v>0</v>
      </c>
      <c r="S1152" s="156">
        <f>TRUNC($K1152*$O1152,2)</f>
        <v>0</v>
      </c>
      <c r="T1152" s="156">
        <f>TRUNC($K1152*$P1152,2)</f>
        <v>0</v>
      </c>
      <c r="U1152" s="156">
        <f>TRUNC($J1152*$R1152,2)</f>
        <v>0</v>
      </c>
      <c r="V1152" s="156">
        <f>TRUNC($K1152*$Q1152,2)</f>
        <v>0</v>
      </c>
      <c r="W1152" s="156">
        <f>TRUNC(V1152-U1152,2)</f>
        <v>0</v>
      </c>
      <c r="X1152" s="158">
        <f>$S1152/ORCAMENTO_VALOR_TOTAL_ND</f>
        <v>0</v>
      </c>
      <c r="Y1152" s="158">
        <f>$T1152/ORCAMENTO_VALOR_TOTAL_DE</f>
        <v>0</v>
      </c>
      <c r="Z1152" s="158" cm="1">
        <f t="array" ref="Z1152">_xlfn.SWITCH($N1152,"BDI 1",$O$6,"BDI 2",$O$7,"BDI 3",$O$8)</f>
        <v>0.20699999999999999</v>
      </c>
      <c r="AA1152" s="158" cm="1">
        <f t="array" ref="AA1152">_xlfn.SWITCH($N1152,"BDI 1",$P$6,"BDI 2",$P$7,"BDI 3",$P$8)</f>
        <v>0.26739999999999997</v>
      </c>
      <c r="AB1152" s="158">
        <f ca="1">IFERROR($S1152/_xlfn.XLOOKUP($AE1152,$B$16:$B$38,$S$16:$S$38),0)</f>
        <v>0</v>
      </c>
      <c r="AC1152" s="158">
        <f ca="1">IFERROR($T1152/_xlfn.XLOOKUP($AE1152,$B$16:$B$38,$T$16:$T$38),0)</f>
        <v>0</v>
      </c>
      <c r="AD1152" s="164"/>
      <c r="AE1152" s="148">
        <f t="shared" si="1968"/>
        <v>0</v>
      </c>
      <c r="AF1152" s="149"/>
      <c r="AG1152" s="150"/>
      <c r="AH1152" s="159" t="e">
        <f>+S1152/$S$1118</f>
        <v>#DIV/0!</v>
      </c>
      <c r="AI1152" s="166">
        <f>IF(K1152=0,0,K1152/F1152)</f>
        <v>0</v>
      </c>
      <c r="AJ1152" s="105"/>
      <c r="AK1152" s="105"/>
      <c r="AM1152" s="105"/>
      <c r="AN1152" s="105"/>
      <c r="AO1152" s="105"/>
      <c r="AP1152" s="105"/>
      <c r="AQ1152" s="105"/>
      <c r="AR1152" s="105"/>
    </row>
    <row r="1153" spans="1:44" s="49" customFormat="1" ht="40.15" hidden="1" customHeight="1">
      <c r="A1153" s="10">
        <f t="shared" ca="1" si="1894"/>
        <v>0</v>
      </c>
      <c r="B1153" s="153"/>
      <c r="C1153" s="154"/>
      <c r="D1153" s="154"/>
      <c r="E1153" s="161" t="s">
        <v>257</v>
      </c>
      <c r="F1153" s="154"/>
      <c r="G1153" s="154"/>
      <c r="H1153" s="152"/>
      <c r="I1153" s="152"/>
      <c r="J1153" s="154"/>
      <c r="K1153" s="154"/>
      <c r="L1153" s="154"/>
      <c r="M1153" s="154"/>
      <c r="N1153" s="154"/>
      <c r="O1153" s="154"/>
      <c r="P1153" s="154"/>
      <c r="Q1153" s="154"/>
      <c r="R1153" s="154"/>
      <c r="S1153" s="162"/>
      <c r="T1153" s="162"/>
      <c r="U1153" s="162"/>
      <c r="V1153" s="162"/>
      <c r="W1153" s="162"/>
      <c r="X1153" s="163"/>
      <c r="Y1153" s="163"/>
      <c r="Z1153" s="163"/>
      <c r="AA1153" s="163"/>
      <c r="AB1153" s="163"/>
      <c r="AC1153" s="163"/>
      <c r="AD1153" s="164"/>
      <c r="AE1153" s="148">
        <f>IF(SUM(S1154:S1155)&gt;0,IFERROR(TRUNC(A1153,0),0),0)</f>
        <v>0</v>
      </c>
      <c r="AF1153" s="149"/>
      <c r="AG1153" s="150"/>
      <c r="AH1153" s="159"/>
      <c r="AJ1153" s="105"/>
      <c r="AK1153" s="105"/>
      <c r="AM1153" s="105"/>
      <c r="AN1153" s="105"/>
      <c r="AO1153" s="105"/>
      <c r="AP1153" s="105"/>
      <c r="AQ1153" s="105"/>
      <c r="AR1153" s="105"/>
    </row>
    <row r="1154" spans="1:44" s="49" customFormat="1" ht="40.15" hidden="1" customHeight="1">
      <c r="A1154" s="152">
        <f t="shared" ca="1" si="1894"/>
        <v>0</v>
      </c>
      <c r="B1154" s="153">
        <v>95876</v>
      </c>
      <c r="C1154" s="154" t="str">
        <f>TEXT(B1154,"0")</f>
        <v>95876</v>
      </c>
      <c r="D1154" s="154" t="s">
        <v>1416</v>
      </c>
      <c r="E1154" s="155" t="s">
        <v>3537</v>
      </c>
      <c r="F1154" s="154">
        <f>IF(Dados_DMT!$B$14&lt;30,Dados_DMT!$B$14,30)</f>
        <v>3.5</v>
      </c>
      <c r="G1154" s="154" t="s">
        <v>3538</v>
      </c>
      <c r="H1154" s="152">
        <v>2.09</v>
      </c>
      <c r="I1154" s="152">
        <v>2.1</v>
      </c>
      <c r="J1154" s="156"/>
      <c r="K1154" s="156">
        <f>ROUND(Ciclovia!J115*F1154,2)</f>
        <v>0</v>
      </c>
      <c r="L1154" s="156">
        <f>IF($K1154&gt;$J1154,$K1154-$J1154,0)</f>
        <v>0</v>
      </c>
      <c r="M1154" s="156">
        <f>IF($K1154&lt;$J1154,$J1154-$K1154,0)</f>
        <v>0</v>
      </c>
      <c r="N1154" s="156" t="s">
        <v>83</v>
      </c>
      <c r="O1154" s="157" cm="1">
        <f t="array" ref="O1154">TRUNC($H1154*(1+_xlfn.SWITCH($N1154,"BDI 1",$O$6,"BDI 2",$O$7,"BDI 3",$O$8)),2)</f>
        <v>2.52</v>
      </c>
      <c r="P1154" s="157" cm="1">
        <f t="array" ref="P1154">TRUNC($I1154*(1+_xlfn.SWITCH($N1154,"BDI 1",$P$6,"BDI 2",$P$7,"BDI 3",$P$8)),2)</f>
        <v>2.66</v>
      </c>
      <c r="Q1154" s="157">
        <v>0</v>
      </c>
      <c r="R1154" s="157">
        <f>$Q1154-($Q1154*LICITACAO_DESCONTO)</f>
        <v>0</v>
      </c>
      <c r="S1154" s="156">
        <f>TRUNC($K1154*$O1154,2)</f>
        <v>0</v>
      </c>
      <c r="T1154" s="156">
        <f>TRUNC($K1154*$P1154,2)</f>
        <v>0</v>
      </c>
      <c r="U1154" s="156">
        <f>TRUNC($J1154*$R1154,2)</f>
        <v>0</v>
      </c>
      <c r="V1154" s="156">
        <f>TRUNC($K1154*$Q1154,2)</f>
        <v>0</v>
      </c>
      <c r="W1154" s="156">
        <f>TRUNC(V1154-U1154,2)</f>
        <v>0</v>
      </c>
      <c r="X1154" s="158">
        <f>$S1154/ORCAMENTO_VALOR_TOTAL_ND</f>
        <v>0</v>
      </c>
      <c r="Y1154" s="158">
        <f>$T1154/ORCAMENTO_VALOR_TOTAL_DE</f>
        <v>0</v>
      </c>
      <c r="Z1154" s="158" cm="1">
        <f t="array" ref="Z1154">_xlfn.SWITCH($N1154,"BDI 1",$O$6,"BDI 2",$O$7,"BDI 3",$O$8)</f>
        <v>0.20699999999999999</v>
      </c>
      <c r="AA1154" s="158" cm="1">
        <f t="array" ref="AA1154">_xlfn.SWITCH($N1154,"BDI 1",$P$6,"BDI 2",$P$7,"BDI 3",$P$8)</f>
        <v>0.26739999999999997</v>
      </c>
      <c r="AB1154" s="158">
        <f ca="1">IFERROR($S1154/_xlfn.XLOOKUP($AE1154,$B$16:$B$38,$S$16:$S$38),0)</f>
        <v>0</v>
      </c>
      <c r="AC1154" s="158">
        <f ca="1">IFERROR($T1154/_xlfn.XLOOKUP($AE1154,$B$16:$B$38,$T$16:$T$38),0)</f>
        <v>0</v>
      </c>
      <c r="AD1154" s="164"/>
      <c r="AE1154" s="148">
        <f t="shared" ref="AE1154:AE1155" si="1969">IF(S1154&gt;0,IFERROR(TRUNC(A1154,0),0),0)</f>
        <v>0</v>
      </c>
      <c r="AF1154" s="149"/>
      <c r="AG1154" s="150"/>
      <c r="AH1154" s="159" t="e">
        <f>+S1154/$S$1118</f>
        <v>#DIV/0!</v>
      </c>
      <c r="AI1154" s="166">
        <f>IF(K1154=0,0,K1154/F1154)</f>
        <v>0</v>
      </c>
      <c r="AJ1154" s="105"/>
      <c r="AK1154" s="105"/>
      <c r="AM1154" s="105"/>
      <c r="AN1154" s="105"/>
      <c r="AO1154" s="105"/>
      <c r="AP1154" s="105"/>
      <c r="AQ1154" s="105"/>
      <c r="AR1154" s="105"/>
    </row>
    <row r="1155" spans="1:44" s="49" customFormat="1" ht="40.15" hidden="1" customHeight="1">
      <c r="A1155" s="152">
        <f t="shared" ca="1" si="1894"/>
        <v>0</v>
      </c>
      <c r="B1155" s="153">
        <v>93593</v>
      </c>
      <c r="C1155" s="154" t="str">
        <f>TEXT(B1155,"0")</f>
        <v>93593</v>
      </c>
      <c r="D1155" s="154" t="s">
        <v>1416</v>
      </c>
      <c r="E1155" s="155" t="s">
        <v>3545</v>
      </c>
      <c r="F1155" s="154">
        <f>+Dados_DMT!$B$14-F1154</f>
        <v>0</v>
      </c>
      <c r="G1155" s="154" t="s">
        <v>3538</v>
      </c>
      <c r="H1155" s="152">
        <v>0.84</v>
      </c>
      <c r="I1155" s="152">
        <v>0.85</v>
      </c>
      <c r="J1155" s="156"/>
      <c r="K1155" s="156">
        <f>ROUND(Ciclovia!J115*F1155,2)</f>
        <v>0</v>
      </c>
      <c r="L1155" s="156">
        <f>IF($K1155&gt;$J1155,$K1155-$J1155,0)</f>
        <v>0</v>
      </c>
      <c r="M1155" s="156">
        <f>IF($K1155&lt;$J1155,$J1155-$K1155,0)</f>
        <v>0</v>
      </c>
      <c r="N1155" s="156" t="s">
        <v>83</v>
      </c>
      <c r="O1155" s="157" cm="1">
        <f t="array" ref="O1155">TRUNC($H1155*(1+_xlfn.SWITCH($N1155,"BDI 1",$O$6,"BDI 2",$O$7,"BDI 3",$O$8)),2)</f>
        <v>1.01</v>
      </c>
      <c r="P1155" s="157" cm="1">
        <f t="array" ref="P1155">TRUNC($I1155*(1+_xlfn.SWITCH($N1155,"BDI 1",$P$6,"BDI 2",$P$7,"BDI 3",$P$8)),2)</f>
        <v>1.07</v>
      </c>
      <c r="Q1155" s="157">
        <v>0</v>
      </c>
      <c r="R1155" s="157">
        <f>$Q1155-($Q1155*LICITACAO_DESCONTO)</f>
        <v>0</v>
      </c>
      <c r="S1155" s="156">
        <f>TRUNC($K1155*$O1155,2)</f>
        <v>0</v>
      </c>
      <c r="T1155" s="156">
        <f>TRUNC($K1155*$P1155,2)</f>
        <v>0</v>
      </c>
      <c r="U1155" s="156">
        <f>TRUNC($J1155*$R1155,2)</f>
        <v>0</v>
      </c>
      <c r="V1155" s="156">
        <f>TRUNC($K1155*$Q1155,2)</f>
        <v>0</v>
      </c>
      <c r="W1155" s="156">
        <f>TRUNC(V1155-U1155,2)</f>
        <v>0</v>
      </c>
      <c r="X1155" s="158">
        <f>$S1155/ORCAMENTO_VALOR_TOTAL_ND</f>
        <v>0</v>
      </c>
      <c r="Y1155" s="158">
        <f>$T1155/ORCAMENTO_VALOR_TOTAL_DE</f>
        <v>0</v>
      </c>
      <c r="Z1155" s="158" cm="1">
        <f t="array" ref="Z1155">_xlfn.SWITCH($N1155,"BDI 1",$O$6,"BDI 2",$O$7,"BDI 3",$O$8)</f>
        <v>0.20699999999999999</v>
      </c>
      <c r="AA1155" s="158" cm="1">
        <f t="array" ref="AA1155">_xlfn.SWITCH($N1155,"BDI 1",$P$6,"BDI 2",$P$7,"BDI 3",$P$8)</f>
        <v>0.26739999999999997</v>
      </c>
      <c r="AB1155" s="158">
        <f ca="1">IFERROR($S1155/_xlfn.XLOOKUP($AE1155,$B$16:$B$38,$S$16:$S$38),0)</f>
        <v>0</v>
      </c>
      <c r="AC1155" s="158">
        <f ca="1">IFERROR($T1155/_xlfn.XLOOKUP($AE1155,$B$16:$B$38,$T$16:$T$38),0)</f>
        <v>0</v>
      </c>
      <c r="AD1155" s="164"/>
      <c r="AE1155" s="148">
        <f t="shared" si="1969"/>
        <v>0</v>
      </c>
      <c r="AF1155" s="149"/>
      <c r="AG1155" s="150"/>
      <c r="AH1155" s="159" t="e">
        <f>+S1155/$S$1118</f>
        <v>#DIV/0!</v>
      </c>
      <c r="AI1155" s="166">
        <f>IF(K1155=0,0,K1155/F1155)</f>
        <v>0</v>
      </c>
      <c r="AJ1155" s="105"/>
      <c r="AK1155" s="105"/>
      <c r="AM1155" s="105"/>
      <c r="AN1155" s="105"/>
      <c r="AO1155" s="105"/>
      <c r="AP1155" s="105"/>
      <c r="AQ1155" s="105"/>
      <c r="AR1155" s="105"/>
    </row>
    <row r="1156" spans="1:44" s="49" customFormat="1" ht="40.15" hidden="1" customHeight="1">
      <c r="A1156" s="10">
        <f t="shared" ca="1" si="1894"/>
        <v>0</v>
      </c>
      <c r="B1156" s="153"/>
      <c r="C1156" s="154"/>
      <c r="D1156" s="154"/>
      <c r="E1156" s="161" t="s">
        <v>258</v>
      </c>
      <c r="F1156" s="154"/>
      <c r="G1156" s="154"/>
      <c r="H1156" s="152"/>
      <c r="I1156" s="152"/>
      <c r="J1156" s="154"/>
      <c r="K1156" s="154"/>
      <c r="L1156" s="154"/>
      <c r="M1156" s="154"/>
      <c r="N1156" s="154"/>
      <c r="O1156" s="154"/>
      <c r="P1156" s="154"/>
      <c r="Q1156" s="154"/>
      <c r="R1156" s="154"/>
      <c r="S1156" s="162"/>
      <c r="T1156" s="162"/>
      <c r="U1156" s="162"/>
      <c r="V1156" s="162"/>
      <c r="W1156" s="162"/>
      <c r="X1156" s="163"/>
      <c r="Y1156" s="163"/>
      <c r="Z1156" s="163"/>
      <c r="AA1156" s="163"/>
      <c r="AB1156" s="163"/>
      <c r="AC1156" s="163"/>
      <c r="AD1156" s="164"/>
      <c r="AE1156" s="148">
        <f>IF(SUM(S1157:S1158)&gt;0,IFERROR(TRUNC(A1156,0),0),0)</f>
        <v>0</v>
      </c>
      <c r="AF1156" s="149"/>
      <c r="AG1156" s="150"/>
      <c r="AH1156" s="159"/>
      <c r="AI1156" s="160" t="s">
        <v>120</v>
      </c>
      <c r="AJ1156" s="105"/>
      <c r="AK1156" s="105"/>
      <c r="AM1156" s="105"/>
      <c r="AN1156" s="105"/>
      <c r="AO1156" s="105"/>
      <c r="AP1156" s="105"/>
      <c r="AQ1156" s="105"/>
      <c r="AR1156" s="105"/>
    </row>
    <row r="1157" spans="1:44" s="49" customFormat="1" ht="40.15" hidden="1" customHeight="1">
      <c r="A1157" s="152">
        <f t="shared" ca="1" si="1894"/>
        <v>0</v>
      </c>
      <c r="B1157" s="153">
        <v>95876</v>
      </c>
      <c r="C1157" s="154" t="str">
        <f>TEXT(B1157,"0")</f>
        <v>95876</v>
      </c>
      <c r="D1157" s="154" t="s">
        <v>1416</v>
      </c>
      <c r="E1157" s="155" t="s">
        <v>3537</v>
      </c>
      <c r="F1157" s="154">
        <f>IF(Dados_DMT!$B$15&lt;30,Dados_DMT!$B$15,30)</f>
        <v>1</v>
      </c>
      <c r="G1157" s="154" t="s">
        <v>3538</v>
      </c>
      <c r="H1157" s="152">
        <v>2.09</v>
      </c>
      <c r="I1157" s="152">
        <v>2.1</v>
      </c>
      <c r="J1157" s="156"/>
      <c r="K1157" s="156">
        <f>ROUND(Ciclovia!J126*F1157,2)</f>
        <v>0</v>
      </c>
      <c r="L1157" s="156">
        <f>IF($K1157&gt;$J1157,$K1157-$J1157,0)</f>
        <v>0</v>
      </c>
      <c r="M1157" s="156">
        <f>IF($K1157&lt;$J1157,$J1157-$K1157,0)</f>
        <v>0</v>
      </c>
      <c r="N1157" s="156" t="s">
        <v>83</v>
      </c>
      <c r="O1157" s="157" cm="1">
        <f t="array" ref="O1157">TRUNC($H1157*(1+_xlfn.SWITCH($N1157,"BDI 1",$O$6,"BDI 2",$O$7,"BDI 3",$O$8)),2)</f>
        <v>2.52</v>
      </c>
      <c r="P1157" s="157" cm="1">
        <f t="array" ref="P1157">TRUNC($I1157*(1+_xlfn.SWITCH($N1157,"BDI 1",$P$6,"BDI 2",$P$7,"BDI 3",$P$8)),2)</f>
        <v>2.66</v>
      </c>
      <c r="Q1157" s="157">
        <v>0</v>
      </c>
      <c r="R1157" s="157">
        <f>$Q1157-($Q1157*LICITACAO_DESCONTO)</f>
        <v>0</v>
      </c>
      <c r="S1157" s="156">
        <f>TRUNC($K1157*$O1157,2)</f>
        <v>0</v>
      </c>
      <c r="T1157" s="156">
        <f>TRUNC($K1157*$P1157,2)</f>
        <v>0</v>
      </c>
      <c r="U1157" s="156">
        <f>TRUNC($J1157*$R1157,2)</f>
        <v>0</v>
      </c>
      <c r="V1157" s="156">
        <f>TRUNC($K1157*$Q1157,2)</f>
        <v>0</v>
      </c>
      <c r="W1157" s="156">
        <f>TRUNC(V1157-U1157,2)</f>
        <v>0</v>
      </c>
      <c r="X1157" s="158">
        <f>$S1157/ORCAMENTO_VALOR_TOTAL_ND</f>
        <v>0</v>
      </c>
      <c r="Y1157" s="158">
        <f>$T1157/ORCAMENTO_VALOR_TOTAL_DE</f>
        <v>0</v>
      </c>
      <c r="Z1157" s="158" cm="1">
        <f t="array" ref="Z1157">_xlfn.SWITCH($N1157,"BDI 1",$O$6,"BDI 2",$O$7,"BDI 3",$O$8)</f>
        <v>0.20699999999999999</v>
      </c>
      <c r="AA1157" s="158" cm="1">
        <f t="array" ref="AA1157">_xlfn.SWITCH($N1157,"BDI 1",$P$6,"BDI 2",$P$7,"BDI 3",$P$8)</f>
        <v>0.26739999999999997</v>
      </c>
      <c r="AB1157" s="158">
        <f ca="1">IFERROR($S1157/_xlfn.XLOOKUP($AE1157,$B$16:$B$38,$S$16:$S$38),0)</f>
        <v>0</v>
      </c>
      <c r="AC1157" s="158">
        <f ca="1">IFERROR($T1157/_xlfn.XLOOKUP($AE1157,$B$16:$B$38,$T$16:$T$38),0)</f>
        <v>0</v>
      </c>
      <c r="AD1157" s="164"/>
      <c r="AE1157" s="148">
        <f t="shared" ref="AE1157:AE1158" si="1970">IF(S1157&gt;0,IFERROR(TRUNC(A1157,0),0),0)</f>
        <v>0</v>
      </c>
      <c r="AF1157" s="149"/>
      <c r="AG1157" s="150"/>
      <c r="AH1157" s="159" t="e">
        <f>+S1157/$S$1118</f>
        <v>#DIV/0!</v>
      </c>
      <c r="AI1157" s="160"/>
      <c r="AJ1157" s="105"/>
      <c r="AK1157" s="105"/>
      <c r="AM1157" s="105"/>
      <c r="AN1157" s="105"/>
      <c r="AO1157" s="105"/>
      <c r="AP1157" s="105"/>
      <c r="AQ1157" s="105"/>
      <c r="AR1157" s="105"/>
    </row>
    <row r="1158" spans="1:44" s="49" customFormat="1" ht="40.15" hidden="1" customHeight="1">
      <c r="A1158" s="152">
        <f t="shared" ca="1" si="1894"/>
        <v>0</v>
      </c>
      <c r="B1158" s="153">
        <v>93593</v>
      </c>
      <c r="C1158" s="154" t="str">
        <f>TEXT(B1158,"0")</f>
        <v>93593</v>
      </c>
      <c r="D1158" s="154" t="s">
        <v>1416</v>
      </c>
      <c r="E1158" s="155" t="s">
        <v>3545</v>
      </c>
      <c r="F1158" s="154">
        <f>+Dados_DMT!$B$15-F1157</f>
        <v>0</v>
      </c>
      <c r="G1158" s="154" t="s">
        <v>3538</v>
      </c>
      <c r="H1158" s="152">
        <v>0.84</v>
      </c>
      <c r="I1158" s="152">
        <v>0.85</v>
      </c>
      <c r="J1158" s="156"/>
      <c r="K1158" s="156">
        <f>ROUND(Ciclovia!J126*F1158,2)</f>
        <v>0</v>
      </c>
      <c r="L1158" s="156">
        <f>IF($K1158&gt;$J1158,$K1158-$J1158,0)</f>
        <v>0</v>
      </c>
      <c r="M1158" s="156">
        <f>IF($K1158&lt;$J1158,$J1158-$K1158,0)</f>
        <v>0</v>
      </c>
      <c r="N1158" s="156" t="s">
        <v>83</v>
      </c>
      <c r="O1158" s="157" cm="1">
        <f t="array" ref="O1158">TRUNC($H1158*(1+_xlfn.SWITCH($N1158,"BDI 1",$O$6,"BDI 2",$O$7,"BDI 3",$O$8)),2)</f>
        <v>1.01</v>
      </c>
      <c r="P1158" s="157" cm="1">
        <f t="array" ref="P1158">TRUNC($I1158*(1+_xlfn.SWITCH($N1158,"BDI 1",$P$6,"BDI 2",$P$7,"BDI 3",$P$8)),2)</f>
        <v>1.07</v>
      </c>
      <c r="Q1158" s="157">
        <v>0</v>
      </c>
      <c r="R1158" s="157">
        <f>$Q1158-($Q1158*LICITACAO_DESCONTO)</f>
        <v>0</v>
      </c>
      <c r="S1158" s="156">
        <f>TRUNC($K1158*$O1158,2)</f>
        <v>0</v>
      </c>
      <c r="T1158" s="156">
        <f>TRUNC($K1158*$P1158,2)</f>
        <v>0</v>
      </c>
      <c r="U1158" s="156">
        <f>TRUNC($J1158*$R1158,2)</f>
        <v>0</v>
      </c>
      <c r="V1158" s="156">
        <f>TRUNC($K1158*$Q1158,2)</f>
        <v>0</v>
      </c>
      <c r="W1158" s="156">
        <f>TRUNC(V1158-U1158,2)</f>
        <v>0</v>
      </c>
      <c r="X1158" s="158">
        <f>$S1158/ORCAMENTO_VALOR_TOTAL_ND</f>
        <v>0</v>
      </c>
      <c r="Y1158" s="158">
        <f>$T1158/ORCAMENTO_VALOR_TOTAL_DE</f>
        <v>0</v>
      </c>
      <c r="Z1158" s="158" cm="1">
        <f t="array" ref="Z1158">_xlfn.SWITCH($N1158,"BDI 1",$O$6,"BDI 2",$O$7,"BDI 3",$O$8)</f>
        <v>0.20699999999999999</v>
      </c>
      <c r="AA1158" s="158" cm="1">
        <f t="array" ref="AA1158">_xlfn.SWITCH($N1158,"BDI 1",$P$6,"BDI 2",$P$7,"BDI 3",$P$8)</f>
        <v>0.26739999999999997</v>
      </c>
      <c r="AB1158" s="158">
        <f ca="1">IFERROR($S1158/_xlfn.XLOOKUP($AE1158,$B$16:$B$38,$S$16:$S$38),0)</f>
        <v>0</v>
      </c>
      <c r="AC1158" s="158">
        <f ca="1">IFERROR($T1158/_xlfn.XLOOKUP($AE1158,$B$16:$B$38,$T$16:$T$38),0)</f>
        <v>0</v>
      </c>
      <c r="AD1158" s="164"/>
      <c r="AE1158" s="148">
        <f t="shared" si="1970"/>
        <v>0</v>
      </c>
      <c r="AF1158" s="149"/>
      <c r="AG1158" s="150"/>
      <c r="AH1158" s="159" t="e">
        <f>+S1158/$S$1118</f>
        <v>#DIV/0!</v>
      </c>
      <c r="AI1158" s="160"/>
      <c r="AJ1158" s="105"/>
      <c r="AK1158" s="105"/>
      <c r="AM1158" s="105"/>
      <c r="AN1158" s="105"/>
      <c r="AO1158" s="105"/>
      <c r="AP1158" s="105"/>
      <c r="AQ1158" s="105"/>
      <c r="AR1158" s="105"/>
    </row>
    <row r="1159" spans="1:44" s="49" customFormat="1" ht="40.15" hidden="1" customHeight="1">
      <c r="A1159" s="10">
        <f t="shared" ca="1" si="1894"/>
        <v>0</v>
      </c>
      <c r="B1159" s="153"/>
      <c r="C1159" s="154"/>
      <c r="D1159" s="154"/>
      <c r="E1159" s="161" t="s">
        <v>259</v>
      </c>
      <c r="F1159" s="154"/>
      <c r="G1159" s="154"/>
      <c r="H1159" s="152"/>
      <c r="I1159" s="152"/>
      <c r="J1159" s="154"/>
      <c r="K1159" s="154"/>
      <c r="L1159" s="154"/>
      <c r="M1159" s="154"/>
      <c r="N1159" s="154"/>
      <c r="O1159" s="154"/>
      <c r="P1159" s="154"/>
      <c r="Q1159" s="154"/>
      <c r="R1159" s="154"/>
      <c r="S1159" s="162"/>
      <c r="T1159" s="162"/>
      <c r="U1159" s="162"/>
      <c r="V1159" s="162"/>
      <c r="W1159" s="162"/>
      <c r="X1159" s="163"/>
      <c r="Y1159" s="163"/>
      <c r="Z1159" s="163"/>
      <c r="AA1159" s="163"/>
      <c r="AB1159" s="163"/>
      <c r="AC1159" s="163"/>
      <c r="AD1159" s="164"/>
      <c r="AE1159" s="148">
        <f>IF(SUM(S1160:S1161)&gt;0,IFERROR(TRUNC(A1159,0),0),0)</f>
        <v>0</v>
      </c>
      <c r="AF1159" s="149"/>
      <c r="AG1159" s="150"/>
      <c r="AH1159" s="159"/>
      <c r="AI1159" s="160"/>
      <c r="AJ1159" s="105"/>
      <c r="AK1159" s="105"/>
      <c r="AM1159" s="105"/>
      <c r="AN1159" s="105"/>
      <c r="AO1159" s="105"/>
      <c r="AP1159" s="105"/>
      <c r="AQ1159" s="105"/>
      <c r="AR1159" s="105"/>
    </row>
    <row r="1160" spans="1:44" s="49" customFormat="1" ht="40.15" hidden="1" customHeight="1">
      <c r="A1160" s="152">
        <f t="shared" ca="1" si="1894"/>
        <v>0</v>
      </c>
      <c r="B1160" s="153">
        <v>95876</v>
      </c>
      <c r="C1160" s="154" t="str">
        <f>TEXT(B1160,"0")</f>
        <v>95876</v>
      </c>
      <c r="D1160" s="154" t="s">
        <v>1416</v>
      </c>
      <c r="E1160" s="155" t="s">
        <v>3537</v>
      </c>
      <c r="F1160" s="154">
        <f>IF(Dados_DMT!$B$24&lt;30,Dados_DMT!$B$24,30)</f>
        <v>0</v>
      </c>
      <c r="G1160" s="154" t="s">
        <v>3538</v>
      </c>
      <c r="H1160" s="152">
        <v>2.09</v>
      </c>
      <c r="I1160" s="152">
        <v>2.1</v>
      </c>
      <c r="J1160" s="156"/>
      <c r="K1160" s="156">
        <f>ROUND(Ciclovia!J121*F1160,2)</f>
        <v>0</v>
      </c>
      <c r="L1160" s="156">
        <f>IF($K1160&gt;$J1160,$K1160-$J1160,0)</f>
        <v>0</v>
      </c>
      <c r="M1160" s="156">
        <f>IF($K1160&lt;$J1160,$J1160-$K1160,0)</f>
        <v>0</v>
      </c>
      <c r="N1160" s="156" t="s">
        <v>83</v>
      </c>
      <c r="O1160" s="157" cm="1">
        <f t="array" ref="O1160">TRUNC($H1160*(1+_xlfn.SWITCH($N1160,"BDI 1",$O$6,"BDI 2",$O$7,"BDI 3",$O$8)),2)</f>
        <v>2.52</v>
      </c>
      <c r="P1160" s="157" cm="1">
        <f t="array" ref="P1160">TRUNC($I1160*(1+_xlfn.SWITCH($N1160,"BDI 1",$P$6,"BDI 2",$P$7,"BDI 3",$P$8)),2)</f>
        <v>2.66</v>
      </c>
      <c r="Q1160" s="157">
        <v>0</v>
      </c>
      <c r="R1160" s="157">
        <f>$Q1160-($Q1160*LICITACAO_DESCONTO)</f>
        <v>0</v>
      </c>
      <c r="S1160" s="156">
        <f>TRUNC($K1160*$O1160,2)</f>
        <v>0</v>
      </c>
      <c r="T1160" s="156">
        <f>TRUNC($K1160*$P1160,2)</f>
        <v>0</v>
      </c>
      <c r="U1160" s="156">
        <f>TRUNC($J1160*$R1160,2)</f>
        <v>0</v>
      </c>
      <c r="V1160" s="156">
        <f>TRUNC($K1160*$Q1160,2)</f>
        <v>0</v>
      </c>
      <c r="W1160" s="156">
        <f>TRUNC(V1160-U1160,2)</f>
        <v>0</v>
      </c>
      <c r="X1160" s="158">
        <f>$S1160/ORCAMENTO_VALOR_TOTAL_ND</f>
        <v>0</v>
      </c>
      <c r="Y1160" s="158">
        <f>$T1160/ORCAMENTO_VALOR_TOTAL_DE</f>
        <v>0</v>
      </c>
      <c r="Z1160" s="158" cm="1">
        <f t="array" ref="Z1160">_xlfn.SWITCH($N1160,"BDI 1",$O$6,"BDI 2",$O$7,"BDI 3",$O$8)</f>
        <v>0.20699999999999999</v>
      </c>
      <c r="AA1160" s="158" cm="1">
        <f t="array" ref="AA1160">_xlfn.SWITCH($N1160,"BDI 1",$P$6,"BDI 2",$P$7,"BDI 3",$P$8)</f>
        <v>0.26739999999999997</v>
      </c>
      <c r="AB1160" s="158">
        <f ca="1">IFERROR($S1160/_xlfn.XLOOKUP($AE1160,$B$16:$B$38,$S$16:$S$38),0)</f>
        <v>0</v>
      </c>
      <c r="AC1160" s="158">
        <f ca="1">IFERROR($T1160/_xlfn.XLOOKUP($AE1160,$B$16:$B$38,$T$16:$T$38),0)</f>
        <v>0</v>
      </c>
      <c r="AD1160" s="164"/>
      <c r="AE1160" s="148">
        <f t="shared" ref="AE1160:AE1161" si="1971">IF(S1160&gt;0,IFERROR(TRUNC(A1160,0),0),0)</f>
        <v>0</v>
      </c>
      <c r="AF1160" s="149"/>
      <c r="AG1160" s="150"/>
      <c r="AH1160" s="159" t="e">
        <f>+S1160/$S$1118</f>
        <v>#DIV/0!</v>
      </c>
      <c r="AI1160" s="166">
        <f>IF(K1160=0,0,K1160/F1160)</f>
        <v>0</v>
      </c>
      <c r="AJ1160" s="105"/>
      <c r="AK1160" s="105"/>
      <c r="AM1160" s="105"/>
      <c r="AN1160" s="105"/>
      <c r="AO1160" s="105"/>
      <c r="AP1160" s="105"/>
      <c r="AQ1160" s="105"/>
      <c r="AR1160" s="105"/>
    </row>
    <row r="1161" spans="1:44" s="49" customFormat="1" ht="40.15" hidden="1" customHeight="1">
      <c r="A1161" s="152">
        <f t="shared" ca="1" si="1894"/>
        <v>0</v>
      </c>
      <c r="B1161" s="153">
        <v>93593</v>
      </c>
      <c r="C1161" s="154" t="str">
        <f>TEXT(B1161,"0")</f>
        <v>93593</v>
      </c>
      <c r="D1161" s="154" t="s">
        <v>1416</v>
      </c>
      <c r="E1161" s="155" t="s">
        <v>3545</v>
      </c>
      <c r="F1161" s="154">
        <f>+Dados_DMT!$B$24-F1160</f>
        <v>0</v>
      </c>
      <c r="G1161" s="154" t="s">
        <v>3538</v>
      </c>
      <c r="H1161" s="152">
        <v>0.84</v>
      </c>
      <c r="I1161" s="152">
        <v>0.85</v>
      </c>
      <c r="J1161" s="156"/>
      <c r="K1161" s="156">
        <f>ROUND(Ciclovia!J121*F1161,2)</f>
        <v>0</v>
      </c>
      <c r="L1161" s="156">
        <f>IF($K1161&gt;$J1161,$K1161-$J1161,0)</f>
        <v>0</v>
      </c>
      <c r="M1161" s="156">
        <f>IF($K1161&lt;$J1161,$J1161-$K1161,0)</f>
        <v>0</v>
      </c>
      <c r="N1161" s="156" t="s">
        <v>83</v>
      </c>
      <c r="O1161" s="157" cm="1">
        <f t="array" ref="O1161">TRUNC($H1161*(1+_xlfn.SWITCH($N1161,"BDI 1",$O$6,"BDI 2",$O$7,"BDI 3",$O$8)),2)</f>
        <v>1.01</v>
      </c>
      <c r="P1161" s="157" cm="1">
        <f t="array" ref="P1161">TRUNC($I1161*(1+_xlfn.SWITCH($N1161,"BDI 1",$P$6,"BDI 2",$P$7,"BDI 3",$P$8)),2)</f>
        <v>1.07</v>
      </c>
      <c r="Q1161" s="157">
        <v>0</v>
      </c>
      <c r="R1161" s="157">
        <f>$Q1161-($Q1161*LICITACAO_DESCONTO)</f>
        <v>0</v>
      </c>
      <c r="S1161" s="156">
        <f>TRUNC($K1161*$O1161,2)</f>
        <v>0</v>
      </c>
      <c r="T1161" s="156">
        <f>TRUNC($K1161*$P1161,2)</f>
        <v>0</v>
      </c>
      <c r="U1161" s="156">
        <f>TRUNC($J1161*$R1161,2)</f>
        <v>0</v>
      </c>
      <c r="V1161" s="156">
        <f>TRUNC($K1161*$Q1161,2)</f>
        <v>0</v>
      </c>
      <c r="W1161" s="156">
        <f>TRUNC(V1161-U1161,2)</f>
        <v>0</v>
      </c>
      <c r="X1161" s="158">
        <f>$S1161/ORCAMENTO_VALOR_TOTAL_ND</f>
        <v>0</v>
      </c>
      <c r="Y1161" s="158">
        <f>$T1161/ORCAMENTO_VALOR_TOTAL_DE</f>
        <v>0</v>
      </c>
      <c r="Z1161" s="158" cm="1">
        <f t="array" ref="Z1161">_xlfn.SWITCH($N1161,"BDI 1",$O$6,"BDI 2",$O$7,"BDI 3",$O$8)</f>
        <v>0.20699999999999999</v>
      </c>
      <c r="AA1161" s="158" cm="1">
        <f t="array" ref="AA1161">_xlfn.SWITCH($N1161,"BDI 1",$P$6,"BDI 2",$P$7,"BDI 3",$P$8)</f>
        <v>0.26739999999999997</v>
      </c>
      <c r="AB1161" s="158">
        <f ca="1">IFERROR($S1161/_xlfn.XLOOKUP($AE1161,$B$16:$B$38,$S$16:$S$38),0)</f>
        <v>0</v>
      </c>
      <c r="AC1161" s="158">
        <f ca="1">IFERROR($T1161/_xlfn.XLOOKUP($AE1161,$B$16:$B$38,$T$16:$T$38),0)</f>
        <v>0</v>
      </c>
      <c r="AD1161" s="164"/>
      <c r="AE1161" s="148">
        <f t="shared" si="1971"/>
        <v>0</v>
      </c>
      <c r="AF1161" s="149"/>
      <c r="AG1161" s="150"/>
      <c r="AH1161" s="159" t="e">
        <f>+S1161/$S$1118</f>
        <v>#DIV/0!</v>
      </c>
      <c r="AI1161" s="166">
        <f>IF(K1161=0,0,K1161/F1161)</f>
        <v>0</v>
      </c>
      <c r="AJ1161" s="105"/>
      <c r="AK1161" s="105"/>
      <c r="AM1161" s="105"/>
      <c r="AN1161" s="105"/>
      <c r="AO1161" s="105"/>
      <c r="AP1161" s="105"/>
      <c r="AQ1161" s="105"/>
      <c r="AR1161" s="105"/>
    </row>
    <row r="1162" spans="1:44" s="49" customFormat="1" ht="40.15" hidden="1" customHeight="1">
      <c r="A1162" s="10">
        <f t="shared" ca="1" si="1894"/>
        <v>0</v>
      </c>
      <c r="B1162" s="153"/>
      <c r="C1162" s="154"/>
      <c r="D1162" s="154"/>
      <c r="E1162" s="161" t="s">
        <v>260</v>
      </c>
      <c r="F1162" s="154"/>
      <c r="G1162" s="154"/>
      <c r="H1162" s="152"/>
      <c r="I1162" s="152"/>
      <c r="J1162" s="154"/>
      <c r="K1162" s="154"/>
      <c r="L1162" s="154"/>
      <c r="M1162" s="154"/>
      <c r="N1162" s="154"/>
      <c r="O1162" s="154"/>
      <c r="P1162" s="154"/>
      <c r="Q1162" s="154"/>
      <c r="R1162" s="154"/>
      <c r="S1162" s="162"/>
      <c r="T1162" s="162"/>
      <c r="U1162" s="162"/>
      <c r="V1162" s="162"/>
      <c r="W1162" s="162"/>
      <c r="X1162" s="163"/>
      <c r="Y1162" s="163"/>
      <c r="Z1162" s="163"/>
      <c r="AA1162" s="163"/>
      <c r="AB1162" s="163"/>
      <c r="AC1162" s="163"/>
      <c r="AD1162" s="164"/>
      <c r="AE1162" s="148">
        <f>IF(SUM(S1163:S1164)&gt;0,IFERROR(TRUNC(A1162,0),0),0)</f>
        <v>0</v>
      </c>
      <c r="AF1162" s="149"/>
      <c r="AG1162" s="150"/>
      <c r="AH1162" s="159"/>
      <c r="AI1162" s="160"/>
      <c r="AJ1162" s="105"/>
      <c r="AK1162" s="105"/>
      <c r="AM1162" s="105"/>
      <c r="AN1162" s="105"/>
      <c r="AO1162" s="105"/>
      <c r="AP1162" s="105"/>
      <c r="AQ1162" s="105"/>
      <c r="AR1162" s="105"/>
    </row>
    <row r="1163" spans="1:44" s="49" customFormat="1" ht="40.15" hidden="1" customHeight="1">
      <c r="A1163" s="152">
        <f t="shared" ca="1" si="1894"/>
        <v>0</v>
      </c>
      <c r="B1163" s="153">
        <v>95876</v>
      </c>
      <c r="C1163" s="154" t="str">
        <f>TEXT(B1163,"0")</f>
        <v>95876</v>
      </c>
      <c r="D1163" s="154" t="s">
        <v>1416</v>
      </c>
      <c r="E1163" s="155" t="s">
        <v>3537</v>
      </c>
      <c r="F1163" s="154" t="b">
        <f>IF(Dados_DMT!$B$34&lt;30,Dados_DMT!$B$34)</f>
        <v>0</v>
      </c>
      <c r="G1163" s="154" t="s">
        <v>3538</v>
      </c>
      <c r="H1163" s="152">
        <v>2.09</v>
      </c>
      <c r="I1163" s="152">
        <v>2.1</v>
      </c>
      <c r="J1163" s="156"/>
      <c r="K1163" s="156">
        <f>ROUND(Ciclovia!J122*F1163,2)</f>
        <v>0</v>
      </c>
      <c r="L1163" s="156">
        <f>IF($K1163&gt;$J1163,$K1163-$J1163,0)</f>
        <v>0</v>
      </c>
      <c r="M1163" s="156">
        <f>IF($K1163&lt;$J1163,$J1163-$K1163,0)</f>
        <v>0</v>
      </c>
      <c r="N1163" s="156" t="s">
        <v>83</v>
      </c>
      <c r="O1163" s="157" cm="1">
        <f t="array" ref="O1163">TRUNC($H1163*(1+_xlfn.SWITCH($N1163,"BDI 1",$O$6,"BDI 2",$O$7,"BDI 3",$O$8)),2)</f>
        <v>2.52</v>
      </c>
      <c r="P1163" s="157" cm="1">
        <f t="array" ref="P1163">TRUNC($I1163*(1+_xlfn.SWITCH($N1163,"BDI 1",$P$6,"BDI 2",$P$7,"BDI 3",$P$8)),2)</f>
        <v>2.66</v>
      </c>
      <c r="Q1163" s="157">
        <v>0</v>
      </c>
      <c r="R1163" s="157">
        <f>$Q1163-($Q1163*LICITACAO_DESCONTO)</f>
        <v>0</v>
      </c>
      <c r="S1163" s="156">
        <f>TRUNC($K1163*$O1163,2)</f>
        <v>0</v>
      </c>
      <c r="T1163" s="156">
        <f>TRUNC($K1163*$P1163,2)</f>
        <v>0</v>
      </c>
      <c r="U1163" s="156">
        <f>TRUNC($J1163*$R1163,2)</f>
        <v>0</v>
      </c>
      <c r="V1163" s="156">
        <f>TRUNC($K1163*$Q1163,2)</f>
        <v>0</v>
      </c>
      <c r="W1163" s="156">
        <f>TRUNC(V1163-U1163,2)</f>
        <v>0</v>
      </c>
      <c r="X1163" s="158">
        <f>$S1163/ORCAMENTO_VALOR_TOTAL_ND</f>
        <v>0</v>
      </c>
      <c r="Y1163" s="158">
        <f>$T1163/ORCAMENTO_VALOR_TOTAL_DE</f>
        <v>0</v>
      </c>
      <c r="Z1163" s="158" cm="1">
        <f t="array" ref="Z1163">_xlfn.SWITCH($N1163,"BDI 1",$O$6,"BDI 2",$O$7,"BDI 3",$O$8)</f>
        <v>0.20699999999999999</v>
      </c>
      <c r="AA1163" s="158" cm="1">
        <f t="array" ref="AA1163">_xlfn.SWITCH($N1163,"BDI 1",$P$6,"BDI 2",$P$7,"BDI 3",$P$8)</f>
        <v>0.26739999999999997</v>
      </c>
      <c r="AB1163" s="158">
        <f ca="1">IFERROR($S1163/_xlfn.XLOOKUP($AE1163,$B$16:$B$38,$S$16:$S$38),0)</f>
        <v>0</v>
      </c>
      <c r="AC1163" s="158">
        <f ca="1">IFERROR($T1163/_xlfn.XLOOKUP($AE1163,$B$16:$B$38,$T$16:$T$38),0)</f>
        <v>0</v>
      </c>
      <c r="AD1163" s="164"/>
      <c r="AE1163" s="148">
        <f t="shared" ref="AE1163:AE1164" si="1972">IF(S1163&gt;0,IFERROR(TRUNC(A1163,0),0),0)</f>
        <v>0</v>
      </c>
      <c r="AF1163" s="149"/>
      <c r="AG1163" s="150"/>
      <c r="AH1163" s="159" t="e">
        <f>+S1163/$S$1118</f>
        <v>#DIV/0!</v>
      </c>
      <c r="AI1163" s="166">
        <f>IF(K1163=0,0,K1163/F1163)</f>
        <v>0</v>
      </c>
      <c r="AJ1163" s="105"/>
      <c r="AK1163" s="105"/>
      <c r="AM1163" s="105"/>
      <c r="AN1163" s="105"/>
      <c r="AO1163" s="105"/>
      <c r="AP1163" s="105"/>
      <c r="AQ1163" s="105"/>
      <c r="AR1163" s="105"/>
    </row>
    <row r="1164" spans="1:44" s="49" customFormat="1" ht="40.15" hidden="1" customHeight="1">
      <c r="A1164" s="152">
        <f t="shared" ca="1" si="1894"/>
        <v>0</v>
      </c>
      <c r="B1164" s="153">
        <v>93593</v>
      </c>
      <c r="C1164" s="154" t="str">
        <f>TEXT(B1164,"0")</f>
        <v>93593</v>
      </c>
      <c r="D1164" s="154" t="s">
        <v>1416</v>
      </c>
      <c r="E1164" s="155" t="s">
        <v>3545</v>
      </c>
      <c r="F1164" s="154">
        <f>+Dados_DMT!$B$34-F1163</f>
        <v>110</v>
      </c>
      <c r="G1164" s="154" t="s">
        <v>3538</v>
      </c>
      <c r="H1164" s="152">
        <v>0.84</v>
      </c>
      <c r="I1164" s="152">
        <v>0.85</v>
      </c>
      <c r="J1164" s="156"/>
      <c r="K1164" s="156">
        <f>ROUND(Ciclovia!J122*F1164,2)</f>
        <v>0</v>
      </c>
      <c r="L1164" s="156">
        <f>IF($K1164&gt;$J1164,$K1164-$J1164,0)</f>
        <v>0</v>
      </c>
      <c r="M1164" s="156">
        <f>IF($K1164&lt;$J1164,$J1164-$K1164,0)</f>
        <v>0</v>
      </c>
      <c r="N1164" s="156" t="s">
        <v>83</v>
      </c>
      <c r="O1164" s="157" cm="1">
        <f t="array" ref="O1164">TRUNC($H1164*(1+_xlfn.SWITCH($N1164,"BDI 1",$O$6,"BDI 2",$O$7,"BDI 3",$O$8)),2)</f>
        <v>1.01</v>
      </c>
      <c r="P1164" s="157" cm="1">
        <f t="array" ref="P1164">TRUNC($I1164*(1+_xlfn.SWITCH($N1164,"BDI 1",$P$6,"BDI 2",$P$7,"BDI 3",$P$8)),2)</f>
        <v>1.07</v>
      </c>
      <c r="Q1164" s="157">
        <v>0</v>
      </c>
      <c r="R1164" s="157">
        <f>$Q1164-($Q1164*LICITACAO_DESCONTO)</f>
        <v>0</v>
      </c>
      <c r="S1164" s="156">
        <f>TRUNC($K1164*$O1164,2)</f>
        <v>0</v>
      </c>
      <c r="T1164" s="156">
        <f>TRUNC($K1164*$P1164,2)</f>
        <v>0</v>
      </c>
      <c r="U1164" s="156">
        <f>TRUNC($J1164*$R1164,2)</f>
        <v>0</v>
      </c>
      <c r="V1164" s="156">
        <f>TRUNC($K1164*$Q1164,2)</f>
        <v>0</v>
      </c>
      <c r="W1164" s="156">
        <f>TRUNC(V1164-U1164,2)</f>
        <v>0</v>
      </c>
      <c r="X1164" s="158">
        <f>$S1164/ORCAMENTO_VALOR_TOTAL_ND</f>
        <v>0</v>
      </c>
      <c r="Y1164" s="158">
        <f>$T1164/ORCAMENTO_VALOR_TOTAL_DE</f>
        <v>0</v>
      </c>
      <c r="Z1164" s="158" cm="1">
        <f t="array" ref="Z1164">_xlfn.SWITCH($N1164,"BDI 1",$O$6,"BDI 2",$O$7,"BDI 3",$O$8)</f>
        <v>0.20699999999999999</v>
      </c>
      <c r="AA1164" s="158" cm="1">
        <f t="array" ref="AA1164">_xlfn.SWITCH($N1164,"BDI 1",$P$6,"BDI 2",$P$7,"BDI 3",$P$8)</f>
        <v>0.26739999999999997</v>
      </c>
      <c r="AB1164" s="158">
        <f ca="1">IFERROR($S1164/_xlfn.XLOOKUP($AE1164,$B$16:$B$38,$S$16:$S$38),0)</f>
        <v>0</v>
      </c>
      <c r="AC1164" s="158">
        <f ca="1">IFERROR($T1164/_xlfn.XLOOKUP($AE1164,$B$16:$B$38,$T$16:$T$38),0)</f>
        <v>0</v>
      </c>
      <c r="AD1164" s="164"/>
      <c r="AE1164" s="148">
        <f t="shared" si="1972"/>
        <v>0</v>
      </c>
      <c r="AF1164" s="149"/>
      <c r="AG1164" s="150"/>
      <c r="AH1164" s="159" t="e">
        <f>+S1164/$S$1118</f>
        <v>#DIV/0!</v>
      </c>
      <c r="AI1164" s="166">
        <f>IF(K1164=0,0,K1164/F1164)</f>
        <v>0</v>
      </c>
      <c r="AJ1164" s="105"/>
      <c r="AK1164" s="105"/>
      <c r="AM1164" s="105"/>
      <c r="AN1164" s="105"/>
      <c r="AO1164" s="105"/>
      <c r="AP1164" s="105"/>
      <c r="AQ1164" s="105"/>
      <c r="AR1164" s="105"/>
    </row>
    <row r="1165" spans="1:44" s="49" customFormat="1" ht="40.15" hidden="1" customHeight="1">
      <c r="A1165" s="10">
        <f t="shared" ca="1" si="1894"/>
        <v>0</v>
      </c>
      <c r="B1165" s="153"/>
      <c r="C1165" s="154"/>
      <c r="D1165" s="154"/>
      <c r="E1165" s="161" t="s">
        <v>261</v>
      </c>
      <c r="F1165" s="154"/>
      <c r="G1165" s="154"/>
      <c r="H1165" s="152"/>
      <c r="I1165" s="152"/>
      <c r="J1165" s="154"/>
      <c r="K1165" s="154"/>
      <c r="L1165" s="154"/>
      <c r="M1165" s="154"/>
      <c r="N1165" s="154"/>
      <c r="O1165" s="154"/>
      <c r="P1165" s="154"/>
      <c r="Q1165" s="154"/>
      <c r="R1165" s="154"/>
      <c r="S1165" s="162"/>
      <c r="T1165" s="162"/>
      <c r="U1165" s="162"/>
      <c r="V1165" s="162"/>
      <c r="W1165" s="162"/>
      <c r="X1165" s="163"/>
      <c r="Y1165" s="163"/>
      <c r="Z1165" s="163"/>
      <c r="AA1165" s="163"/>
      <c r="AB1165" s="163"/>
      <c r="AC1165" s="163"/>
      <c r="AD1165" s="164"/>
      <c r="AE1165" s="148">
        <f>IF(SUM(S1166:S1167)&gt;0,IFERROR(TRUNC(A1165,0),0),0)</f>
        <v>0</v>
      </c>
      <c r="AF1165" s="149"/>
      <c r="AG1165" s="150"/>
      <c r="AH1165" s="159"/>
      <c r="AI1165" s="160"/>
      <c r="AJ1165" s="105"/>
      <c r="AK1165" s="105"/>
      <c r="AM1165" s="105"/>
      <c r="AN1165" s="105"/>
      <c r="AO1165" s="105"/>
      <c r="AP1165" s="105"/>
      <c r="AQ1165" s="105"/>
      <c r="AR1165" s="105"/>
    </row>
    <row r="1166" spans="1:44" s="49" customFormat="1" ht="40.15" hidden="1" customHeight="1">
      <c r="A1166" s="152">
        <f t="shared" ca="1" si="1894"/>
        <v>0</v>
      </c>
      <c r="B1166" s="153">
        <v>95876</v>
      </c>
      <c r="C1166" s="154" t="str">
        <f>TEXT(B1166,"0")</f>
        <v>95876</v>
      </c>
      <c r="D1166" s="154" t="s">
        <v>1416</v>
      </c>
      <c r="E1166" s="155" t="s">
        <v>3537</v>
      </c>
      <c r="F1166" s="154">
        <f>IF(Dados_DMT!$B$34&lt;30,Dados_DMT!$B$34,30)</f>
        <v>30</v>
      </c>
      <c r="G1166" s="154" t="s">
        <v>3538</v>
      </c>
      <c r="H1166" s="152">
        <v>2.09</v>
      </c>
      <c r="I1166" s="152">
        <v>2.1</v>
      </c>
      <c r="J1166" s="156"/>
      <c r="K1166" s="156">
        <f>ROUND(Ciclovia!J123*F1166,2)</f>
        <v>0</v>
      </c>
      <c r="L1166" s="156">
        <f>IF($K1166&gt;$J1166,$K1166-$J1166,0)</f>
        <v>0</v>
      </c>
      <c r="M1166" s="156">
        <f>IF($K1166&lt;$J1166,$J1166-$K1166,0)</f>
        <v>0</v>
      </c>
      <c r="N1166" s="156" t="s">
        <v>83</v>
      </c>
      <c r="O1166" s="157" cm="1">
        <f t="array" ref="O1166">TRUNC($H1166*(1+_xlfn.SWITCH($N1166,"BDI 1",$O$6,"BDI 2",$O$7,"BDI 3",$O$8)),2)</f>
        <v>2.52</v>
      </c>
      <c r="P1166" s="157" cm="1">
        <f t="array" ref="P1166">TRUNC($I1166*(1+_xlfn.SWITCH($N1166,"BDI 1",$P$6,"BDI 2",$P$7,"BDI 3",$P$8)),2)</f>
        <v>2.66</v>
      </c>
      <c r="Q1166" s="157">
        <v>0</v>
      </c>
      <c r="R1166" s="157">
        <f>$Q1166-($Q1166*LICITACAO_DESCONTO)</f>
        <v>0</v>
      </c>
      <c r="S1166" s="156">
        <f>TRUNC($K1166*$O1166,2)</f>
        <v>0</v>
      </c>
      <c r="T1166" s="156">
        <f>TRUNC($K1166*$P1166,2)</f>
        <v>0</v>
      </c>
      <c r="U1166" s="156">
        <f>TRUNC($J1166*$R1166,2)</f>
        <v>0</v>
      </c>
      <c r="V1166" s="156">
        <f>TRUNC($K1166*$Q1166,2)</f>
        <v>0</v>
      </c>
      <c r="W1166" s="156">
        <f>TRUNC(V1166-U1166,2)</f>
        <v>0</v>
      </c>
      <c r="X1166" s="158">
        <f>$S1166/ORCAMENTO_VALOR_TOTAL_ND</f>
        <v>0</v>
      </c>
      <c r="Y1166" s="158">
        <f>$T1166/ORCAMENTO_VALOR_TOTAL_DE</f>
        <v>0</v>
      </c>
      <c r="Z1166" s="158" cm="1">
        <f t="array" ref="Z1166">_xlfn.SWITCH($N1166,"BDI 1",$O$6,"BDI 2",$O$7,"BDI 3",$O$8)</f>
        <v>0.20699999999999999</v>
      </c>
      <c r="AA1166" s="158" cm="1">
        <f t="array" ref="AA1166">_xlfn.SWITCH($N1166,"BDI 1",$P$6,"BDI 2",$P$7,"BDI 3",$P$8)</f>
        <v>0.26739999999999997</v>
      </c>
      <c r="AB1166" s="158">
        <f ca="1">IFERROR($S1166/_xlfn.XLOOKUP($AE1166,$B$16:$B$38,$S$16:$S$38),0)</f>
        <v>0</v>
      </c>
      <c r="AC1166" s="158">
        <f ca="1">IFERROR($T1166/_xlfn.XLOOKUP($AE1166,$B$16:$B$38,$T$16:$T$38),0)</f>
        <v>0</v>
      </c>
      <c r="AD1166" s="164"/>
      <c r="AE1166" s="148">
        <f t="shared" ref="AE1166:AE1167" si="1973">IF(S1166&gt;0,IFERROR(TRUNC(A1166,0),0),0)</f>
        <v>0</v>
      </c>
      <c r="AF1166" s="149"/>
      <c r="AG1166" s="150"/>
      <c r="AH1166" s="159" t="e">
        <f>+S1166/$S$1118</f>
        <v>#DIV/0!</v>
      </c>
      <c r="AI1166" s="166">
        <f>IF(K1166=0,0,K1166/F1166)</f>
        <v>0</v>
      </c>
      <c r="AJ1166" s="105"/>
      <c r="AK1166" s="105"/>
      <c r="AM1166" s="105"/>
      <c r="AN1166" s="105"/>
      <c r="AO1166" s="105"/>
      <c r="AP1166" s="105"/>
      <c r="AQ1166" s="105"/>
      <c r="AR1166" s="105"/>
    </row>
    <row r="1167" spans="1:44" s="49" customFormat="1" ht="40.15" hidden="1" customHeight="1">
      <c r="A1167" s="152">
        <f t="shared" ca="1" si="1894"/>
        <v>0</v>
      </c>
      <c r="B1167" s="153">
        <v>93593</v>
      </c>
      <c r="C1167" s="154" t="str">
        <f>TEXT(B1167,"0")</f>
        <v>93593</v>
      </c>
      <c r="D1167" s="154" t="s">
        <v>1416</v>
      </c>
      <c r="E1167" s="155" t="s">
        <v>3545</v>
      </c>
      <c r="F1167" s="154">
        <f>+Dados_DMT!$B$34-F1166</f>
        <v>80</v>
      </c>
      <c r="G1167" s="154" t="s">
        <v>3538</v>
      </c>
      <c r="H1167" s="152">
        <v>0.84</v>
      </c>
      <c r="I1167" s="152">
        <v>0.85</v>
      </c>
      <c r="J1167" s="156"/>
      <c r="K1167" s="156">
        <f>ROUND(Ciclovia!J123*F1167,2)</f>
        <v>0</v>
      </c>
      <c r="L1167" s="156">
        <f>IF($K1167&gt;$J1167,$K1167-$J1167,0)</f>
        <v>0</v>
      </c>
      <c r="M1167" s="156">
        <f>IF($K1167&lt;$J1167,$J1167-$K1167,0)</f>
        <v>0</v>
      </c>
      <c r="N1167" s="156" t="s">
        <v>83</v>
      </c>
      <c r="O1167" s="157" cm="1">
        <f t="array" ref="O1167">TRUNC($H1167*(1+_xlfn.SWITCH($N1167,"BDI 1",$O$6,"BDI 2",$O$7,"BDI 3",$O$8)),2)</f>
        <v>1.01</v>
      </c>
      <c r="P1167" s="157" cm="1">
        <f t="array" ref="P1167">TRUNC($I1167*(1+_xlfn.SWITCH($N1167,"BDI 1",$P$6,"BDI 2",$P$7,"BDI 3",$P$8)),2)</f>
        <v>1.07</v>
      </c>
      <c r="Q1167" s="157">
        <v>0</v>
      </c>
      <c r="R1167" s="157">
        <f>$Q1167-($Q1167*LICITACAO_DESCONTO)</f>
        <v>0</v>
      </c>
      <c r="S1167" s="156">
        <f>TRUNC($K1167*$O1167,2)</f>
        <v>0</v>
      </c>
      <c r="T1167" s="156">
        <f>TRUNC($K1167*$P1167,2)</f>
        <v>0</v>
      </c>
      <c r="U1167" s="156">
        <f>TRUNC($J1167*$R1167,2)</f>
        <v>0</v>
      </c>
      <c r="V1167" s="156">
        <f>TRUNC($K1167*$Q1167,2)</f>
        <v>0</v>
      </c>
      <c r="W1167" s="156">
        <f>TRUNC(V1167-U1167,2)</f>
        <v>0</v>
      </c>
      <c r="X1167" s="158">
        <f>$S1167/ORCAMENTO_VALOR_TOTAL_ND</f>
        <v>0</v>
      </c>
      <c r="Y1167" s="158">
        <f>$T1167/ORCAMENTO_VALOR_TOTAL_DE</f>
        <v>0</v>
      </c>
      <c r="Z1167" s="158" cm="1">
        <f t="array" ref="Z1167">_xlfn.SWITCH($N1167,"BDI 1",$O$6,"BDI 2",$O$7,"BDI 3",$O$8)</f>
        <v>0.20699999999999999</v>
      </c>
      <c r="AA1167" s="158" cm="1">
        <f t="array" ref="AA1167">_xlfn.SWITCH($N1167,"BDI 1",$P$6,"BDI 2",$P$7,"BDI 3",$P$8)</f>
        <v>0.26739999999999997</v>
      </c>
      <c r="AB1167" s="158">
        <f ca="1">IFERROR($S1167/_xlfn.XLOOKUP($AE1167,$B$16:$B$38,$S$16:$S$38),0)</f>
        <v>0</v>
      </c>
      <c r="AC1167" s="158">
        <f ca="1">IFERROR($T1167/_xlfn.XLOOKUP($AE1167,$B$16:$B$38,$T$16:$T$38),0)</f>
        <v>0</v>
      </c>
      <c r="AD1167" s="164"/>
      <c r="AE1167" s="148">
        <f t="shared" si="1973"/>
        <v>0</v>
      </c>
      <c r="AF1167" s="149"/>
      <c r="AG1167" s="150"/>
      <c r="AH1167" s="159" t="e">
        <f>+S1167/$S$1118</f>
        <v>#DIV/0!</v>
      </c>
      <c r="AI1167" s="166">
        <f>IF(K1167=0,0,K1167/F1167)</f>
        <v>0</v>
      </c>
      <c r="AJ1167" s="105"/>
      <c r="AK1167" s="105"/>
      <c r="AM1167" s="105"/>
      <c r="AN1167" s="105"/>
      <c r="AO1167" s="105"/>
      <c r="AP1167" s="105"/>
      <c r="AQ1167" s="105"/>
      <c r="AR1167" s="105"/>
    </row>
    <row r="1168" spans="1:44" s="49" customFormat="1" ht="40.15" hidden="1" customHeight="1">
      <c r="A1168" s="10">
        <f t="shared" ca="1" si="1894"/>
        <v>0</v>
      </c>
      <c r="B1168" s="153"/>
      <c r="C1168" s="154"/>
      <c r="D1168" s="154"/>
      <c r="E1168" s="161" t="s">
        <v>265</v>
      </c>
      <c r="F1168" s="154"/>
      <c r="G1168" s="154"/>
      <c r="H1168" s="152"/>
      <c r="I1168" s="152"/>
      <c r="J1168" s="154"/>
      <c r="K1168" s="154"/>
      <c r="L1168" s="154"/>
      <c r="M1168" s="154"/>
      <c r="N1168" s="154"/>
      <c r="O1168" s="154"/>
      <c r="P1168" s="154"/>
      <c r="Q1168" s="154"/>
      <c r="R1168" s="154"/>
      <c r="S1168" s="162"/>
      <c r="T1168" s="162"/>
      <c r="U1168" s="162"/>
      <c r="V1168" s="162"/>
      <c r="W1168" s="162"/>
      <c r="X1168" s="163"/>
      <c r="Y1168" s="163"/>
      <c r="Z1168" s="163"/>
      <c r="AA1168" s="163"/>
      <c r="AB1168" s="163"/>
      <c r="AC1168" s="163"/>
      <c r="AD1168" s="164"/>
      <c r="AE1168" s="148">
        <f>IF(SUM(S1169:S1170)&gt;0,IFERROR(TRUNC(A1168,0),0),0)</f>
        <v>0</v>
      </c>
      <c r="AF1168" s="149"/>
      <c r="AG1168" s="150"/>
      <c r="AH1168" s="159"/>
      <c r="AI1168" s="160"/>
      <c r="AJ1168" s="105"/>
      <c r="AK1168" s="105"/>
      <c r="AM1168" s="105"/>
      <c r="AN1168" s="105"/>
      <c r="AO1168" s="105"/>
      <c r="AP1168" s="105"/>
      <c r="AQ1168" s="105"/>
      <c r="AR1168" s="105"/>
    </row>
    <row r="1169" spans="1:44" s="49" customFormat="1" ht="40.15" hidden="1" customHeight="1">
      <c r="A1169" s="152">
        <f t="shared" ca="1" si="1894"/>
        <v>0</v>
      </c>
      <c r="B1169" s="153">
        <v>95876</v>
      </c>
      <c r="C1169" s="154" t="str">
        <f>TEXT(B1169,"0")</f>
        <v>95876</v>
      </c>
      <c r="D1169" s="154" t="s">
        <v>1416</v>
      </c>
      <c r="E1169" s="155" t="s">
        <v>3537</v>
      </c>
      <c r="F1169" s="154">
        <f>IF(Dados_DMT!$B$32&lt;30,Dados_DMT!$B$32,30)</f>
        <v>0</v>
      </c>
      <c r="G1169" s="154" t="s">
        <v>3538</v>
      </c>
      <c r="H1169" s="152">
        <v>2.09</v>
      </c>
      <c r="I1169" s="152">
        <v>2.1</v>
      </c>
      <c r="J1169" s="156"/>
      <c r="K1169" s="156">
        <f>ROUND(Ciclovia!J125*F1169,2)</f>
        <v>0</v>
      </c>
      <c r="L1169" s="156">
        <f>IF($K1169&gt;$J1169,$K1169-$J1169,0)</f>
        <v>0</v>
      </c>
      <c r="M1169" s="156">
        <f>IF($K1169&lt;$J1169,$J1169-$K1169,0)</f>
        <v>0</v>
      </c>
      <c r="N1169" s="156" t="s">
        <v>83</v>
      </c>
      <c r="O1169" s="157" cm="1">
        <f t="array" ref="O1169">TRUNC($H1169*(1+_xlfn.SWITCH($N1169,"BDI 1",$O$6,"BDI 2",$O$7,"BDI 3",$O$8)),2)</f>
        <v>2.52</v>
      </c>
      <c r="P1169" s="157" cm="1">
        <f t="array" ref="P1169">TRUNC($I1169*(1+_xlfn.SWITCH($N1169,"BDI 1",$P$6,"BDI 2",$P$7,"BDI 3",$P$8)),2)</f>
        <v>2.66</v>
      </c>
      <c r="Q1169" s="157">
        <v>0</v>
      </c>
      <c r="R1169" s="157">
        <f>$Q1169-($Q1169*LICITACAO_DESCONTO)</f>
        <v>0</v>
      </c>
      <c r="S1169" s="156">
        <f>TRUNC($K1169*$O1169,2)</f>
        <v>0</v>
      </c>
      <c r="T1169" s="156">
        <f>TRUNC($K1169*$P1169,2)</f>
        <v>0</v>
      </c>
      <c r="U1169" s="156">
        <f>TRUNC($J1169*$R1169,2)</f>
        <v>0</v>
      </c>
      <c r="V1169" s="156">
        <f>TRUNC($K1169*$Q1169,2)</f>
        <v>0</v>
      </c>
      <c r="W1169" s="156">
        <f>TRUNC(V1169-U1169,2)</f>
        <v>0</v>
      </c>
      <c r="X1169" s="158">
        <f>$S1169/ORCAMENTO_VALOR_TOTAL_ND</f>
        <v>0</v>
      </c>
      <c r="Y1169" s="158">
        <f>$T1169/ORCAMENTO_VALOR_TOTAL_DE</f>
        <v>0</v>
      </c>
      <c r="Z1169" s="158" cm="1">
        <f t="array" ref="Z1169">_xlfn.SWITCH($N1169,"BDI 1",$O$6,"BDI 2",$O$7,"BDI 3",$O$8)</f>
        <v>0.20699999999999999</v>
      </c>
      <c r="AA1169" s="158" cm="1">
        <f t="array" ref="AA1169">_xlfn.SWITCH($N1169,"BDI 1",$P$6,"BDI 2",$P$7,"BDI 3",$P$8)</f>
        <v>0.26739999999999997</v>
      </c>
      <c r="AB1169" s="158">
        <f ca="1">IFERROR($S1169/_xlfn.XLOOKUP($AE1169,$B$16:$B$38,$S$16:$S$38),0)</f>
        <v>0</v>
      </c>
      <c r="AC1169" s="158">
        <f ca="1">IFERROR($T1169/_xlfn.XLOOKUP($AE1169,$B$16:$B$38,$T$16:$T$38),0)</f>
        <v>0</v>
      </c>
      <c r="AD1169" s="164"/>
      <c r="AE1169" s="148">
        <f t="shared" ref="AE1169:AE1170" si="1974">IF(S1169&gt;0,IFERROR(TRUNC(A1169,0),0),0)</f>
        <v>0</v>
      </c>
      <c r="AF1169" s="149"/>
      <c r="AG1169" s="150"/>
      <c r="AH1169" s="159" t="e">
        <f>+S1169/$S$1118</f>
        <v>#DIV/0!</v>
      </c>
      <c r="AI1169" s="166">
        <f>IF(K1169=0,0,K1169/F1169)</f>
        <v>0</v>
      </c>
      <c r="AJ1169" s="105"/>
      <c r="AK1169" s="105"/>
      <c r="AM1169" s="105"/>
      <c r="AN1169" s="105"/>
      <c r="AO1169" s="105"/>
      <c r="AP1169" s="105"/>
      <c r="AQ1169" s="105"/>
      <c r="AR1169" s="105"/>
    </row>
    <row r="1170" spans="1:44" s="49" customFormat="1" ht="40.15" hidden="1" customHeight="1">
      <c r="A1170" s="152">
        <f t="shared" ca="1" si="1894"/>
        <v>0</v>
      </c>
      <c r="B1170" s="153">
        <v>93593</v>
      </c>
      <c r="C1170" s="154" t="str">
        <f>TEXT(B1170,"0")</f>
        <v>93593</v>
      </c>
      <c r="D1170" s="154" t="s">
        <v>1416</v>
      </c>
      <c r="E1170" s="155" t="s">
        <v>3545</v>
      </c>
      <c r="F1170" s="154">
        <f>+Dados_DMT!$B$32-F1169</f>
        <v>0</v>
      </c>
      <c r="G1170" s="154" t="s">
        <v>3538</v>
      </c>
      <c r="H1170" s="152">
        <v>0.84</v>
      </c>
      <c r="I1170" s="152">
        <v>0.85</v>
      </c>
      <c r="J1170" s="156"/>
      <c r="K1170" s="156">
        <f>ROUND(Ciclovia!J125*F1170,2)</f>
        <v>0</v>
      </c>
      <c r="L1170" s="156">
        <f>IF($K1170&gt;$J1170,$K1170-$J1170,0)</f>
        <v>0</v>
      </c>
      <c r="M1170" s="156">
        <f>IF($K1170&lt;$J1170,$J1170-$K1170,0)</f>
        <v>0</v>
      </c>
      <c r="N1170" s="156" t="s">
        <v>83</v>
      </c>
      <c r="O1170" s="157" cm="1">
        <f t="array" ref="O1170">TRUNC($H1170*(1+_xlfn.SWITCH($N1170,"BDI 1",$O$6,"BDI 2",$O$7,"BDI 3",$O$8)),2)</f>
        <v>1.01</v>
      </c>
      <c r="P1170" s="157" cm="1">
        <f t="array" ref="P1170">TRUNC($I1170*(1+_xlfn.SWITCH($N1170,"BDI 1",$P$6,"BDI 2",$P$7,"BDI 3",$P$8)),2)</f>
        <v>1.07</v>
      </c>
      <c r="Q1170" s="157">
        <v>0</v>
      </c>
      <c r="R1170" s="157">
        <f>$Q1170-($Q1170*LICITACAO_DESCONTO)</f>
        <v>0</v>
      </c>
      <c r="S1170" s="156">
        <f>TRUNC($K1170*$O1170,2)</f>
        <v>0</v>
      </c>
      <c r="T1170" s="156">
        <f>TRUNC($K1170*$P1170,2)</f>
        <v>0</v>
      </c>
      <c r="U1170" s="156">
        <f>TRUNC($J1170*$R1170,2)</f>
        <v>0</v>
      </c>
      <c r="V1170" s="156">
        <f>TRUNC($K1170*$Q1170,2)</f>
        <v>0</v>
      </c>
      <c r="W1170" s="156">
        <f>TRUNC(V1170-U1170,2)</f>
        <v>0</v>
      </c>
      <c r="X1170" s="158">
        <f>$S1170/ORCAMENTO_VALOR_TOTAL_ND</f>
        <v>0</v>
      </c>
      <c r="Y1170" s="158">
        <f>$T1170/ORCAMENTO_VALOR_TOTAL_DE</f>
        <v>0</v>
      </c>
      <c r="Z1170" s="158" cm="1">
        <f t="array" ref="Z1170">_xlfn.SWITCH($N1170,"BDI 1",$O$6,"BDI 2",$O$7,"BDI 3",$O$8)</f>
        <v>0.20699999999999999</v>
      </c>
      <c r="AA1170" s="158" cm="1">
        <f t="array" ref="AA1170">_xlfn.SWITCH($N1170,"BDI 1",$P$6,"BDI 2",$P$7,"BDI 3",$P$8)</f>
        <v>0.26739999999999997</v>
      </c>
      <c r="AB1170" s="158">
        <f ca="1">IFERROR($S1170/_xlfn.XLOOKUP($AE1170,$B$16:$B$38,$S$16:$S$38),0)</f>
        <v>0</v>
      </c>
      <c r="AC1170" s="158">
        <f ca="1">IFERROR($T1170/_xlfn.XLOOKUP($AE1170,$B$16:$B$38,$T$16:$T$38),0)</f>
        <v>0</v>
      </c>
      <c r="AD1170" s="164"/>
      <c r="AE1170" s="148">
        <f t="shared" si="1974"/>
        <v>0</v>
      </c>
      <c r="AF1170" s="149"/>
      <c r="AG1170" s="150"/>
      <c r="AH1170" s="159" t="e">
        <f>+S1170/$S$1118</f>
        <v>#DIV/0!</v>
      </c>
      <c r="AI1170" s="166">
        <f>IF(K1170=0,0,K1170/F1170)</f>
        <v>0</v>
      </c>
      <c r="AJ1170" s="105"/>
      <c r="AK1170" s="105"/>
      <c r="AM1170" s="105"/>
      <c r="AN1170" s="105"/>
      <c r="AO1170" s="105"/>
      <c r="AP1170" s="105"/>
      <c r="AQ1170" s="105"/>
      <c r="AR1170" s="105"/>
    </row>
    <row r="1171" spans="1:44" s="49" customFormat="1" ht="40.15" hidden="1" customHeight="1">
      <c r="A1171" s="10">
        <f t="shared" ca="1" si="1894"/>
        <v>0</v>
      </c>
      <c r="B1171" s="153"/>
      <c r="C1171" s="154"/>
      <c r="D1171" s="154"/>
      <c r="E1171" s="161" t="s">
        <v>384</v>
      </c>
      <c r="F1171" s="154"/>
      <c r="G1171" s="154"/>
      <c r="H1171" s="152"/>
      <c r="I1171" s="152"/>
      <c r="J1171" s="154"/>
      <c r="K1171" s="154"/>
      <c r="L1171" s="154"/>
      <c r="M1171" s="154"/>
      <c r="N1171" s="154"/>
      <c r="O1171" s="154"/>
      <c r="P1171" s="154"/>
      <c r="Q1171" s="154"/>
      <c r="R1171" s="154"/>
      <c r="S1171" s="162"/>
      <c r="T1171" s="162"/>
      <c r="U1171" s="162"/>
      <c r="V1171" s="162"/>
      <c r="W1171" s="162"/>
      <c r="X1171" s="163"/>
      <c r="Y1171" s="163"/>
      <c r="Z1171" s="163"/>
      <c r="AA1171" s="163"/>
      <c r="AB1171" s="163"/>
      <c r="AC1171" s="163"/>
      <c r="AD1171" s="164"/>
      <c r="AE1171" s="148">
        <f>IF(SUM(S1172:S1173)&gt;0,IFERROR(TRUNC(A1171,0),0),0)</f>
        <v>0</v>
      </c>
      <c r="AF1171" s="149"/>
      <c r="AG1171" s="150"/>
      <c r="AH1171" s="159"/>
      <c r="AI1171" s="160"/>
      <c r="AJ1171" s="105"/>
      <c r="AK1171" s="105"/>
      <c r="AM1171" s="105"/>
      <c r="AN1171" s="105"/>
      <c r="AO1171" s="105"/>
      <c r="AP1171" s="105"/>
      <c r="AQ1171" s="105"/>
      <c r="AR1171" s="105"/>
    </row>
    <row r="1172" spans="1:44" s="49" customFormat="1" ht="40.15" hidden="1" customHeight="1">
      <c r="A1172" s="152">
        <f t="shared" ca="1" si="1894"/>
        <v>0</v>
      </c>
      <c r="B1172" s="153">
        <v>95876</v>
      </c>
      <c r="C1172" s="154" t="str">
        <f>TEXT(B1172,"0")</f>
        <v>95876</v>
      </c>
      <c r="D1172" s="154" t="s">
        <v>1416</v>
      </c>
      <c r="E1172" s="155" t="s">
        <v>3537</v>
      </c>
      <c r="F1172" s="154">
        <f>IF(Dados_DMT!$B$33&lt;30,Dados_DMT!$B$33,30)</f>
        <v>0</v>
      </c>
      <c r="G1172" s="154" t="s">
        <v>3538</v>
      </c>
      <c r="H1172" s="152">
        <v>2.09</v>
      </c>
      <c r="I1172" s="152">
        <v>2.1</v>
      </c>
      <c r="J1172" s="156"/>
      <c r="K1172" s="156">
        <f>ROUND(Ciclovia!J119*F1172,2)</f>
        <v>0</v>
      </c>
      <c r="L1172" s="156">
        <f>IF($K1172&gt;$J1172,$K1172-$J1172,0)</f>
        <v>0</v>
      </c>
      <c r="M1172" s="156">
        <f>IF($K1172&lt;$J1172,$J1172-$K1172,0)</f>
        <v>0</v>
      </c>
      <c r="N1172" s="156" t="s">
        <v>83</v>
      </c>
      <c r="O1172" s="157" cm="1">
        <f t="array" ref="O1172">TRUNC($H1172*(1+_xlfn.SWITCH($N1172,"BDI 1",$O$6,"BDI 2",$O$7,"BDI 3",$O$8)),2)</f>
        <v>2.52</v>
      </c>
      <c r="P1172" s="157" cm="1">
        <f t="array" ref="P1172">TRUNC($I1172*(1+_xlfn.SWITCH($N1172,"BDI 1",$P$6,"BDI 2",$P$7,"BDI 3",$P$8)),2)</f>
        <v>2.66</v>
      </c>
      <c r="Q1172" s="157">
        <v>0</v>
      </c>
      <c r="R1172" s="157">
        <f>$Q1172-($Q1172*LICITACAO_DESCONTO)</f>
        <v>0</v>
      </c>
      <c r="S1172" s="156">
        <f>TRUNC($K1172*$O1172,2)</f>
        <v>0</v>
      </c>
      <c r="T1172" s="156">
        <f>TRUNC($K1172*$P1172,2)</f>
        <v>0</v>
      </c>
      <c r="U1172" s="156">
        <f>TRUNC($J1172*$R1172,2)</f>
        <v>0</v>
      </c>
      <c r="V1172" s="156">
        <f>TRUNC($K1172*$Q1172,2)</f>
        <v>0</v>
      </c>
      <c r="W1172" s="156">
        <f>TRUNC(V1172-U1172,2)</f>
        <v>0</v>
      </c>
      <c r="X1172" s="158">
        <f>$S1172/ORCAMENTO_VALOR_TOTAL_ND</f>
        <v>0</v>
      </c>
      <c r="Y1172" s="158">
        <f>$T1172/ORCAMENTO_VALOR_TOTAL_DE</f>
        <v>0</v>
      </c>
      <c r="Z1172" s="158" cm="1">
        <f t="array" ref="Z1172">_xlfn.SWITCH($N1172,"BDI 1",$O$6,"BDI 2",$O$7,"BDI 3",$O$8)</f>
        <v>0.20699999999999999</v>
      </c>
      <c r="AA1172" s="158" cm="1">
        <f t="array" ref="AA1172">_xlfn.SWITCH($N1172,"BDI 1",$P$6,"BDI 2",$P$7,"BDI 3",$P$8)</f>
        <v>0.26739999999999997</v>
      </c>
      <c r="AB1172" s="158">
        <f ca="1">IFERROR($S1172/_xlfn.XLOOKUP($AE1172,$B$16:$B$38,$S$16:$S$38),0)</f>
        <v>0</v>
      </c>
      <c r="AC1172" s="158">
        <f ca="1">IFERROR($T1172/_xlfn.XLOOKUP($AE1172,$B$16:$B$38,$T$16:$T$38),0)</f>
        <v>0</v>
      </c>
      <c r="AD1172" s="164"/>
      <c r="AE1172" s="148">
        <f t="shared" ref="AE1172:AE1173" si="1975">IF(S1172&gt;0,IFERROR(TRUNC(A1172,0),0),0)</f>
        <v>0</v>
      </c>
      <c r="AF1172" s="149"/>
      <c r="AG1172" s="150"/>
      <c r="AH1172" s="159" t="e">
        <f>+S1172/$S$1118</f>
        <v>#DIV/0!</v>
      </c>
      <c r="AI1172" s="166">
        <f>IF(K1172=0,0,K1172/F1172)</f>
        <v>0</v>
      </c>
      <c r="AJ1172" s="105"/>
      <c r="AK1172" s="105"/>
      <c r="AM1172" s="105"/>
      <c r="AN1172" s="105"/>
      <c r="AO1172" s="105"/>
      <c r="AP1172" s="105"/>
      <c r="AQ1172" s="105"/>
      <c r="AR1172" s="105"/>
    </row>
    <row r="1173" spans="1:44" s="49" customFormat="1" ht="40.15" hidden="1" customHeight="1">
      <c r="A1173" s="152">
        <f t="shared" ca="1" si="1894"/>
        <v>0</v>
      </c>
      <c r="B1173" s="153">
        <v>93593</v>
      </c>
      <c r="C1173" s="154" t="str">
        <f>TEXT(B1173,"0")</f>
        <v>93593</v>
      </c>
      <c r="D1173" s="154" t="s">
        <v>1416</v>
      </c>
      <c r="E1173" s="155" t="s">
        <v>3545</v>
      </c>
      <c r="F1173" s="154">
        <f>+Dados_DMT!$B$33-F1172</f>
        <v>0</v>
      </c>
      <c r="G1173" s="154" t="s">
        <v>3538</v>
      </c>
      <c r="H1173" s="152">
        <v>0.84</v>
      </c>
      <c r="I1173" s="152">
        <v>0.85</v>
      </c>
      <c r="J1173" s="156"/>
      <c r="K1173" s="156">
        <f>ROUND(Ciclovia!J119*F1173,2)</f>
        <v>0</v>
      </c>
      <c r="L1173" s="156">
        <f>IF($K1173&gt;$J1173,$K1173-$J1173,0)</f>
        <v>0</v>
      </c>
      <c r="M1173" s="156">
        <f>IF($K1173&lt;$J1173,$J1173-$K1173,0)</f>
        <v>0</v>
      </c>
      <c r="N1173" s="156" t="s">
        <v>83</v>
      </c>
      <c r="O1173" s="157" cm="1">
        <f t="array" ref="O1173">TRUNC($H1173*(1+_xlfn.SWITCH($N1173,"BDI 1",$O$6,"BDI 2",$O$7,"BDI 3",$O$8)),2)</f>
        <v>1.01</v>
      </c>
      <c r="P1173" s="157" cm="1">
        <f t="array" ref="P1173">TRUNC($I1173*(1+_xlfn.SWITCH($N1173,"BDI 1",$P$6,"BDI 2",$P$7,"BDI 3",$P$8)),2)</f>
        <v>1.07</v>
      </c>
      <c r="Q1173" s="157">
        <v>0</v>
      </c>
      <c r="R1173" s="157">
        <f>$Q1173-($Q1173*LICITACAO_DESCONTO)</f>
        <v>0</v>
      </c>
      <c r="S1173" s="156">
        <f>TRUNC($K1173*$O1173,2)</f>
        <v>0</v>
      </c>
      <c r="T1173" s="156">
        <f>TRUNC($K1173*$P1173,2)</f>
        <v>0</v>
      </c>
      <c r="U1173" s="156">
        <f>TRUNC($J1173*$R1173,2)</f>
        <v>0</v>
      </c>
      <c r="V1173" s="156">
        <f>TRUNC($K1173*$Q1173,2)</f>
        <v>0</v>
      </c>
      <c r="W1173" s="156">
        <f>TRUNC(V1173-U1173,2)</f>
        <v>0</v>
      </c>
      <c r="X1173" s="158">
        <f>$S1173/ORCAMENTO_VALOR_TOTAL_ND</f>
        <v>0</v>
      </c>
      <c r="Y1173" s="158">
        <f>$T1173/ORCAMENTO_VALOR_TOTAL_DE</f>
        <v>0</v>
      </c>
      <c r="Z1173" s="158" cm="1">
        <f t="array" ref="Z1173">_xlfn.SWITCH($N1173,"BDI 1",$O$6,"BDI 2",$O$7,"BDI 3",$O$8)</f>
        <v>0.20699999999999999</v>
      </c>
      <c r="AA1173" s="158" cm="1">
        <f t="array" ref="AA1173">_xlfn.SWITCH($N1173,"BDI 1",$P$6,"BDI 2",$P$7,"BDI 3",$P$8)</f>
        <v>0.26739999999999997</v>
      </c>
      <c r="AB1173" s="158">
        <f ca="1">IFERROR($S1173/_xlfn.XLOOKUP($AE1173,$B$16:$B$38,$S$16:$S$38),0)</f>
        <v>0</v>
      </c>
      <c r="AC1173" s="158">
        <f ca="1">IFERROR($T1173/_xlfn.XLOOKUP($AE1173,$B$16:$B$38,$T$16:$T$38),0)</f>
        <v>0</v>
      </c>
      <c r="AD1173" s="164"/>
      <c r="AE1173" s="148">
        <f t="shared" si="1975"/>
        <v>0</v>
      </c>
      <c r="AF1173" s="149"/>
      <c r="AG1173" s="150"/>
      <c r="AH1173" s="159" t="e">
        <f>+S1173/$S$1118</f>
        <v>#DIV/0!</v>
      </c>
      <c r="AI1173" s="166">
        <f>IF(K1173=0,0,K1173/F1173)</f>
        <v>0</v>
      </c>
      <c r="AJ1173" s="105"/>
      <c r="AK1173" s="105"/>
      <c r="AM1173" s="105"/>
      <c r="AN1173" s="105"/>
      <c r="AO1173" s="105"/>
      <c r="AP1173" s="105"/>
      <c r="AQ1173" s="105"/>
      <c r="AR1173" s="105"/>
    </row>
    <row r="1174" spans="1:44" s="49" customFormat="1" ht="40.15" hidden="1" customHeight="1">
      <c r="A1174" s="10">
        <f t="shared" ca="1" si="1894"/>
        <v>0</v>
      </c>
      <c r="B1174" s="153"/>
      <c r="C1174" s="154"/>
      <c r="D1174" s="154"/>
      <c r="E1174" s="161" t="s">
        <v>315</v>
      </c>
      <c r="F1174" s="154"/>
      <c r="G1174" s="154"/>
      <c r="H1174" s="152"/>
      <c r="I1174" s="152"/>
      <c r="J1174" s="154"/>
      <c r="K1174" s="154"/>
      <c r="L1174" s="154"/>
      <c r="M1174" s="154"/>
      <c r="N1174" s="154"/>
      <c r="O1174" s="154"/>
      <c r="P1174" s="154"/>
      <c r="Q1174" s="154"/>
      <c r="R1174" s="154"/>
      <c r="S1174" s="162"/>
      <c r="T1174" s="162"/>
      <c r="U1174" s="162"/>
      <c r="V1174" s="162"/>
      <c r="W1174" s="162"/>
      <c r="X1174" s="163"/>
      <c r="Y1174" s="163"/>
      <c r="Z1174" s="163"/>
      <c r="AA1174" s="163"/>
      <c r="AB1174" s="163"/>
      <c r="AC1174" s="163"/>
      <c r="AD1174" s="164"/>
      <c r="AE1174" s="148">
        <f>IF(SUM(S1175:S1176)&gt;0,IFERROR(TRUNC(A1174,0),0),0)</f>
        <v>0</v>
      </c>
      <c r="AF1174" s="149"/>
      <c r="AG1174" s="150"/>
      <c r="AH1174" s="159"/>
      <c r="AI1174" s="160"/>
      <c r="AJ1174" s="105"/>
      <c r="AK1174" s="105"/>
      <c r="AM1174" s="105"/>
      <c r="AN1174" s="105"/>
      <c r="AO1174" s="105"/>
      <c r="AP1174" s="105"/>
      <c r="AQ1174" s="105"/>
      <c r="AR1174" s="105"/>
    </row>
    <row r="1175" spans="1:44" s="49" customFormat="1" ht="40.15" hidden="1" customHeight="1">
      <c r="A1175" s="152">
        <f t="shared" ca="1" si="1894"/>
        <v>0</v>
      </c>
      <c r="B1175" s="153">
        <v>95876</v>
      </c>
      <c r="C1175" s="154" t="str">
        <f>TEXT(B1175,"0")</f>
        <v>95876</v>
      </c>
      <c r="D1175" s="154" t="s">
        <v>1416</v>
      </c>
      <c r="E1175" s="155" t="s">
        <v>3537</v>
      </c>
      <c r="F1175" s="154">
        <f>IF(Dados_DMT!$B$21&lt;30,Dados_DMT!$B$21,30)</f>
        <v>0</v>
      </c>
      <c r="G1175" s="154" t="s">
        <v>3538</v>
      </c>
      <c r="H1175" s="152">
        <v>2.09</v>
      </c>
      <c r="I1175" s="152">
        <v>2.1</v>
      </c>
      <c r="J1175" s="156"/>
      <c r="K1175" s="156">
        <f>ROUND(Ciclovia!J117*F1175,2)</f>
        <v>0</v>
      </c>
      <c r="L1175" s="156">
        <f>IF($K1175&gt;$J1175,$K1175-$J1175,0)</f>
        <v>0</v>
      </c>
      <c r="M1175" s="156">
        <f>IF($K1175&lt;$J1175,$J1175-$K1175,0)</f>
        <v>0</v>
      </c>
      <c r="N1175" s="156" t="s">
        <v>83</v>
      </c>
      <c r="O1175" s="157" cm="1">
        <f t="array" ref="O1175">TRUNC($H1175*(1+_xlfn.SWITCH($N1175,"BDI 1",$O$6,"BDI 2",$O$7,"BDI 3",$O$8)),2)</f>
        <v>2.52</v>
      </c>
      <c r="P1175" s="157" cm="1">
        <f t="array" ref="P1175">TRUNC($I1175*(1+_xlfn.SWITCH($N1175,"BDI 1",$P$6,"BDI 2",$P$7,"BDI 3",$P$8)),2)</f>
        <v>2.66</v>
      </c>
      <c r="Q1175" s="157">
        <v>0</v>
      </c>
      <c r="R1175" s="157">
        <f>$Q1175-($Q1175*LICITACAO_DESCONTO)</f>
        <v>0</v>
      </c>
      <c r="S1175" s="156">
        <f>TRUNC($K1175*$O1175,2)</f>
        <v>0</v>
      </c>
      <c r="T1175" s="156">
        <f>TRUNC($K1175*$P1175,2)</f>
        <v>0</v>
      </c>
      <c r="U1175" s="156">
        <f>TRUNC($J1175*$R1175,2)</f>
        <v>0</v>
      </c>
      <c r="V1175" s="156">
        <f>TRUNC($K1175*$Q1175,2)</f>
        <v>0</v>
      </c>
      <c r="W1175" s="156">
        <f>TRUNC(V1175-U1175,2)</f>
        <v>0</v>
      </c>
      <c r="X1175" s="158">
        <f>$S1175/ORCAMENTO_VALOR_TOTAL_ND</f>
        <v>0</v>
      </c>
      <c r="Y1175" s="158">
        <f>$T1175/ORCAMENTO_VALOR_TOTAL_DE</f>
        <v>0</v>
      </c>
      <c r="Z1175" s="158" cm="1">
        <f t="array" ref="Z1175">_xlfn.SWITCH($N1175,"BDI 1",$O$6,"BDI 2",$O$7,"BDI 3",$O$8)</f>
        <v>0.20699999999999999</v>
      </c>
      <c r="AA1175" s="158" cm="1">
        <f t="array" ref="AA1175">_xlfn.SWITCH($N1175,"BDI 1",$P$6,"BDI 2",$P$7,"BDI 3",$P$8)</f>
        <v>0.26739999999999997</v>
      </c>
      <c r="AB1175" s="158">
        <f ca="1">IFERROR($S1175/_xlfn.XLOOKUP($AE1175,$B$16:$B$38,$S$16:$S$38),0)</f>
        <v>0</v>
      </c>
      <c r="AC1175" s="158">
        <f ca="1">IFERROR($T1175/_xlfn.XLOOKUP($AE1175,$B$16:$B$38,$T$16:$T$38),0)</f>
        <v>0</v>
      </c>
      <c r="AD1175" s="164"/>
      <c r="AE1175" s="148">
        <f t="shared" ref="AE1175:AE1176" si="1976">IF(S1175&gt;0,IFERROR(TRUNC(A1175,0),0),0)</f>
        <v>0</v>
      </c>
      <c r="AF1175" s="149"/>
      <c r="AG1175" s="150"/>
      <c r="AH1175" s="159" t="e">
        <f>+S1175/$S$1118</f>
        <v>#DIV/0!</v>
      </c>
      <c r="AI1175" s="166">
        <f>IF(K1175=0,0,K1175/F1175)</f>
        <v>0</v>
      </c>
      <c r="AJ1175" s="105"/>
      <c r="AK1175" s="105"/>
      <c r="AM1175" s="105"/>
      <c r="AN1175" s="105"/>
      <c r="AO1175" s="105"/>
      <c r="AP1175" s="105"/>
      <c r="AQ1175" s="105"/>
      <c r="AR1175" s="105"/>
    </row>
    <row r="1176" spans="1:44" s="49" customFormat="1" ht="40.15" hidden="1" customHeight="1">
      <c r="A1176" s="152">
        <f t="shared" ca="1" si="1894"/>
        <v>0</v>
      </c>
      <c r="B1176" s="153">
        <v>93593</v>
      </c>
      <c r="C1176" s="154" t="str">
        <f>TEXT(B1176,"0")</f>
        <v>93593</v>
      </c>
      <c r="D1176" s="154" t="s">
        <v>1416</v>
      </c>
      <c r="E1176" s="155" t="s">
        <v>3545</v>
      </c>
      <c r="F1176" s="154">
        <f>+Dados_DMT!$B$21-F1175</f>
        <v>0</v>
      </c>
      <c r="G1176" s="154" t="s">
        <v>3538</v>
      </c>
      <c r="H1176" s="152">
        <v>0.84</v>
      </c>
      <c r="I1176" s="152">
        <v>0.85</v>
      </c>
      <c r="J1176" s="156"/>
      <c r="K1176" s="156">
        <f>ROUND(Ciclovia!J118*F1176,2)</f>
        <v>0</v>
      </c>
      <c r="L1176" s="156">
        <f>IF($K1176&gt;$J1176,$K1176-$J1176,0)</f>
        <v>0</v>
      </c>
      <c r="M1176" s="156">
        <f>IF($K1176&lt;$J1176,$J1176-$K1176,0)</f>
        <v>0</v>
      </c>
      <c r="N1176" s="156" t="s">
        <v>83</v>
      </c>
      <c r="O1176" s="157" cm="1">
        <f t="array" ref="O1176">TRUNC($H1176*(1+_xlfn.SWITCH($N1176,"BDI 1",$O$6,"BDI 2",$O$7,"BDI 3",$O$8)),2)</f>
        <v>1.01</v>
      </c>
      <c r="P1176" s="157" cm="1">
        <f t="array" ref="P1176">TRUNC($I1176*(1+_xlfn.SWITCH($N1176,"BDI 1",$P$6,"BDI 2",$P$7,"BDI 3",$P$8)),2)</f>
        <v>1.07</v>
      </c>
      <c r="Q1176" s="157">
        <v>0</v>
      </c>
      <c r="R1176" s="157">
        <f>$Q1176-($Q1176*LICITACAO_DESCONTO)</f>
        <v>0</v>
      </c>
      <c r="S1176" s="156">
        <f>TRUNC($K1176*$O1176,2)</f>
        <v>0</v>
      </c>
      <c r="T1176" s="156">
        <f>TRUNC($K1176*$P1176,2)</f>
        <v>0</v>
      </c>
      <c r="U1176" s="156">
        <f>TRUNC($J1176*$R1176,2)</f>
        <v>0</v>
      </c>
      <c r="V1176" s="156">
        <f>TRUNC($K1176*$Q1176,2)</f>
        <v>0</v>
      </c>
      <c r="W1176" s="156">
        <f>TRUNC(V1176-U1176,2)</f>
        <v>0</v>
      </c>
      <c r="X1176" s="158">
        <f>$S1176/ORCAMENTO_VALOR_TOTAL_ND</f>
        <v>0</v>
      </c>
      <c r="Y1176" s="158">
        <f>$T1176/ORCAMENTO_VALOR_TOTAL_DE</f>
        <v>0</v>
      </c>
      <c r="Z1176" s="158" cm="1">
        <f t="array" ref="Z1176">_xlfn.SWITCH($N1176,"BDI 1",$O$6,"BDI 2",$O$7,"BDI 3",$O$8)</f>
        <v>0.20699999999999999</v>
      </c>
      <c r="AA1176" s="158" cm="1">
        <f t="array" ref="AA1176">_xlfn.SWITCH($N1176,"BDI 1",$P$6,"BDI 2",$P$7,"BDI 3",$P$8)</f>
        <v>0.26739999999999997</v>
      </c>
      <c r="AB1176" s="158">
        <f ca="1">IFERROR($S1176/_xlfn.XLOOKUP($AE1176,$B$16:$B$38,$S$16:$S$38),0)</f>
        <v>0</v>
      </c>
      <c r="AC1176" s="158">
        <f ca="1">IFERROR($T1176/_xlfn.XLOOKUP($AE1176,$B$16:$B$38,$T$16:$T$38),0)</f>
        <v>0</v>
      </c>
      <c r="AD1176" s="164"/>
      <c r="AE1176" s="148">
        <f t="shared" si="1976"/>
        <v>0</v>
      </c>
      <c r="AF1176" s="149"/>
      <c r="AG1176" s="150"/>
      <c r="AH1176" s="159" t="e">
        <f>+S1176/$S$1118</f>
        <v>#DIV/0!</v>
      </c>
      <c r="AI1176" s="166">
        <f>IF(K1176=0,0,K1176/F1176)</f>
        <v>0</v>
      </c>
      <c r="AJ1176" s="105"/>
      <c r="AK1176" s="105"/>
      <c r="AM1176" s="105"/>
      <c r="AN1176" s="105"/>
      <c r="AO1176" s="105"/>
      <c r="AP1176" s="105"/>
      <c r="AQ1176" s="105"/>
      <c r="AR1176" s="105"/>
    </row>
    <row r="1177" spans="1:44" s="49" customFormat="1" ht="40.15" hidden="1" customHeight="1">
      <c r="A1177" s="10">
        <f t="shared" ca="1" si="1894"/>
        <v>0</v>
      </c>
      <c r="B1177" s="153"/>
      <c r="C1177" s="154"/>
      <c r="D1177" s="154"/>
      <c r="E1177" s="161" t="s">
        <v>270</v>
      </c>
      <c r="F1177" s="154"/>
      <c r="G1177" s="154"/>
      <c r="H1177" s="152"/>
      <c r="I1177" s="152"/>
      <c r="J1177" s="154"/>
      <c r="K1177" s="154"/>
      <c r="L1177" s="154"/>
      <c r="M1177" s="154"/>
      <c r="N1177" s="154"/>
      <c r="O1177" s="154"/>
      <c r="P1177" s="154"/>
      <c r="Q1177" s="154"/>
      <c r="R1177" s="154"/>
      <c r="S1177" s="162"/>
      <c r="T1177" s="162"/>
      <c r="U1177" s="162"/>
      <c r="V1177" s="162"/>
      <c r="W1177" s="162"/>
      <c r="X1177" s="163"/>
      <c r="Y1177" s="163"/>
      <c r="Z1177" s="163"/>
      <c r="AA1177" s="163"/>
      <c r="AB1177" s="163"/>
      <c r="AC1177" s="163"/>
      <c r="AD1177" s="164"/>
      <c r="AE1177" s="148">
        <f>IF(SUM(S1178:S1179)&gt;0,IFERROR(TRUNC(A1177,0),0),0)</f>
        <v>0</v>
      </c>
      <c r="AF1177" s="149"/>
      <c r="AG1177" s="150"/>
      <c r="AH1177" s="159"/>
      <c r="AI1177" s="160"/>
      <c r="AJ1177" s="105"/>
      <c r="AK1177" s="105"/>
      <c r="AM1177" s="105"/>
      <c r="AN1177" s="105"/>
      <c r="AO1177" s="105"/>
      <c r="AP1177" s="105"/>
      <c r="AQ1177" s="105"/>
      <c r="AR1177" s="105"/>
    </row>
    <row r="1178" spans="1:44" s="49" customFormat="1" ht="40.15" hidden="1" customHeight="1">
      <c r="A1178" s="152">
        <f t="shared" ca="1" si="1894"/>
        <v>0</v>
      </c>
      <c r="B1178" s="153">
        <v>95879</v>
      </c>
      <c r="C1178" s="154" t="str">
        <f>TEXT(B1178,"0")</f>
        <v>95879</v>
      </c>
      <c r="D1178" s="154" t="s">
        <v>1416</v>
      </c>
      <c r="E1178" s="155" t="s">
        <v>3535</v>
      </c>
      <c r="F1178" s="154" t="b">
        <f>IF(Dados_DMT!$B$30&lt;30,Dados_DMT!$B$30)</f>
        <v>0</v>
      </c>
      <c r="G1178" s="154" t="s">
        <v>3534</v>
      </c>
      <c r="H1178" s="152">
        <v>1.41</v>
      </c>
      <c r="I1178" s="152">
        <v>1.42</v>
      </c>
      <c r="J1178" s="156"/>
      <c r="K1178" s="156">
        <f>ROUND(Ciclovia!J130*F1178,2)</f>
        <v>0</v>
      </c>
      <c r="L1178" s="156">
        <f>IF($K1178&gt;$J1178,$K1178-$J1178,0)</f>
        <v>0</v>
      </c>
      <c r="M1178" s="156">
        <f>IF($K1178&lt;$J1178,$J1178-$K1178,0)</f>
        <v>0</v>
      </c>
      <c r="N1178" s="156" t="s">
        <v>83</v>
      </c>
      <c r="O1178" s="157" cm="1">
        <f t="array" ref="O1178">TRUNC($H1178*(1+_xlfn.SWITCH($N1178,"BDI 1",$O$6,"BDI 2",$O$7,"BDI 3",$O$8)),2)</f>
        <v>1.7</v>
      </c>
      <c r="P1178" s="157" cm="1">
        <f t="array" ref="P1178">TRUNC($I1178*(1+_xlfn.SWITCH($N1178,"BDI 1",$P$6,"BDI 2",$P$7,"BDI 3",$P$8)),2)</f>
        <v>1.79</v>
      </c>
      <c r="Q1178" s="157">
        <v>0</v>
      </c>
      <c r="R1178" s="157">
        <f>$Q1178-($Q1178*LICITACAO_DESCONTO)</f>
        <v>0</v>
      </c>
      <c r="S1178" s="156">
        <f>TRUNC($K1178*$O1178,2)</f>
        <v>0</v>
      </c>
      <c r="T1178" s="156">
        <f>TRUNC($K1178*$P1178,2)</f>
        <v>0</v>
      </c>
      <c r="U1178" s="156">
        <f>TRUNC($J1178*$R1178,2)</f>
        <v>0</v>
      </c>
      <c r="V1178" s="156">
        <f>TRUNC($K1178*$Q1178,2)</f>
        <v>0</v>
      </c>
      <c r="W1178" s="156">
        <f>TRUNC(V1178-U1178,2)</f>
        <v>0</v>
      </c>
      <c r="X1178" s="158">
        <f>$S1178/ORCAMENTO_VALOR_TOTAL_ND</f>
        <v>0</v>
      </c>
      <c r="Y1178" s="158">
        <f>$T1178/ORCAMENTO_VALOR_TOTAL_DE</f>
        <v>0</v>
      </c>
      <c r="Z1178" s="158" cm="1">
        <f t="array" ref="Z1178">_xlfn.SWITCH($N1178,"BDI 1",$O$6,"BDI 2",$O$7,"BDI 3",$O$8)</f>
        <v>0.20699999999999999</v>
      </c>
      <c r="AA1178" s="158" cm="1">
        <f t="array" ref="AA1178">_xlfn.SWITCH($N1178,"BDI 1",$P$6,"BDI 2",$P$7,"BDI 3",$P$8)</f>
        <v>0.26739999999999997</v>
      </c>
      <c r="AB1178" s="158">
        <f ca="1">IFERROR($S1178/_xlfn.XLOOKUP($AE1178,$B$16:$B$38,$S$16:$S$38),0)</f>
        <v>0</v>
      </c>
      <c r="AC1178" s="158">
        <f ca="1">IFERROR($T1178/_xlfn.XLOOKUP($AE1178,$B$16:$B$38,$T$16:$T$38),0)</f>
        <v>0</v>
      </c>
      <c r="AD1178" s="164"/>
      <c r="AE1178" s="148">
        <f t="shared" ref="AE1178:AE1179" si="1977">IF(S1178&gt;0,IFERROR(TRUNC(A1178,0),0),0)</f>
        <v>0</v>
      </c>
      <c r="AF1178" s="149"/>
      <c r="AG1178" s="150"/>
      <c r="AH1178" s="159" t="e">
        <f>+S1178/$S$1118</f>
        <v>#DIV/0!</v>
      </c>
      <c r="AI1178" s="209">
        <f>IF(K1178=0,0,K1178/F1178)</f>
        <v>0</v>
      </c>
      <c r="AJ1178" s="105"/>
      <c r="AK1178" s="105"/>
      <c r="AM1178" s="105"/>
      <c r="AN1178" s="105"/>
      <c r="AO1178" s="105"/>
      <c r="AP1178" s="105"/>
      <c r="AQ1178" s="105"/>
      <c r="AR1178" s="105"/>
    </row>
    <row r="1179" spans="1:44" s="49" customFormat="1" ht="40.15" hidden="1" customHeight="1">
      <c r="A1179" s="152">
        <f t="shared" ca="1" si="1894"/>
        <v>0</v>
      </c>
      <c r="B1179" s="153">
        <v>93599</v>
      </c>
      <c r="C1179" s="154" t="str">
        <f>TEXT(B1179,"0")</f>
        <v>93599</v>
      </c>
      <c r="D1179" s="154" t="s">
        <v>1416</v>
      </c>
      <c r="E1179" s="155" t="s">
        <v>3533</v>
      </c>
      <c r="F1179" s="154">
        <f>+Dados_DMT!$B$30-F1178</f>
        <v>110</v>
      </c>
      <c r="G1179" s="154" t="s">
        <v>3534</v>
      </c>
      <c r="H1179" s="152">
        <v>0.56000000000000005</v>
      </c>
      <c r="I1179" s="152">
        <v>0.56000000000000005</v>
      </c>
      <c r="J1179" s="156"/>
      <c r="K1179" s="156">
        <f>ROUND(Ciclovia!J130*F1179,2)</f>
        <v>0</v>
      </c>
      <c r="L1179" s="156">
        <f>IF($K1179&gt;$J1179,$K1179-$J1179,0)</f>
        <v>0</v>
      </c>
      <c r="M1179" s="156">
        <f>IF($K1179&lt;$J1179,$J1179-$K1179,0)</f>
        <v>0</v>
      </c>
      <c r="N1179" s="156" t="s">
        <v>83</v>
      </c>
      <c r="O1179" s="157" cm="1">
        <f t="array" ref="O1179">TRUNC($H1179*(1+_xlfn.SWITCH($N1179,"BDI 1",$O$6,"BDI 2",$O$7,"BDI 3",$O$8)),2)</f>
        <v>0.67</v>
      </c>
      <c r="P1179" s="157" cm="1">
        <f t="array" ref="P1179">TRUNC($I1179*(1+_xlfn.SWITCH($N1179,"BDI 1",$P$6,"BDI 2",$P$7,"BDI 3",$P$8)),2)</f>
        <v>0.7</v>
      </c>
      <c r="Q1179" s="157">
        <v>0</v>
      </c>
      <c r="R1179" s="157">
        <f>$Q1179-($Q1179*LICITACAO_DESCONTO)</f>
        <v>0</v>
      </c>
      <c r="S1179" s="156">
        <f>TRUNC($K1179*$O1179,2)</f>
        <v>0</v>
      </c>
      <c r="T1179" s="156">
        <f>TRUNC($K1179*$P1179,2)</f>
        <v>0</v>
      </c>
      <c r="U1179" s="156">
        <f>TRUNC($J1179*$R1179,2)</f>
        <v>0</v>
      </c>
      <c r="V1179" s="156">
        <f>TRUNC($K1179*$Q1179,2)</f>
        <v>0</v>
      </c>
      <c r="W1179" s="156">
        <f>TRUNC(V1179-U1179,2)</f>
        <v>0</v>
      </c>
      <c r="X1179" s="158">
        <f>$S1179/ORCAMENTO_VALOR_TOTAL_ND</f>
        <v>0</v>
      </c>
      <c r="Y1179" s="158">
        <f>$T1179/ORCAMENTO_VALOR_TOTAL_DE</f>
        <v>0</v>
      </c>
      <c r="Z1179" s="158" cm="1">
        <f t="array" ref="Z1179">_xlfn.SWITCH($N1179,"BDI 1",$O$6,"BDI 2",$O$7,"BDI 3",$O$8)</f>
        <v>0.20699999999999999</v>
      </c>
      <c r="AA1179" s="158" cm="1">
        <f t="array" ref="AA1179">_xlfn.SWITCH($N1179,"BDI 1",$P$6,"BDI 2",$P$7,"BDI 3",$P$8)</f>
        <v>0.26739999999999997</v>
      </c>
      <c r="AB1179" s="158">
        <f ca="1">IFERROR($S1179/_xlfn.XLOOKUP($AE1179,$B$16:$B$38,$S$16:$S$38),0)</f>
        <v>0</v>
      </c>
      <c r="AC1179" s="158">
        <f ca="1">IFERROR($T1179/_xlfn.XLOOKUP($AE1179,$B$16:$B$38,$T$16:$T$38),0)</f>
        <v>0</v>
      </c>
      <c r="AD1179" s="164"/>
      <c r="AE1179" s="148">
        <f t="shared" si="1977"/>
        <v>0</v>
      </c>
      <c r="AF1179" s="149"/>
      <c r="AG1179" s="150"/>
      <c r="AH1179" s="159" t="e">
        <f>+S1179/$S$1118</f>
        <v>#DIV/0!</v>
      </c>
      <c r="AI1179" s="209">
        <f>IF(K1179=0,0,K1179/F1179)</f>
        <v>0</v>
      </c>
      <c r="AJ1179" s="105"/>
      <c r="AK1179" s="105"/>
      <c r="AM1179" s="105"/>
      <c r="AN1179" s="105"/>
      <c r="AO1179" s="105"/>
      <c r="AP1179" s="105"/>
      <c r="AQ1179" s="105"/>
      <c r="AR1179" s="105"/>
    </row>
    <row r="1180" spans="1:44" s="49" customFormat="1" ht="40.15" hidden="1" customHeight="1">
      <c r="A1180" s="10">
        <f t="shared" ca="1" si="1894"/>
        <v>0</v>
      </c>
      <c r="B1180" s="153"/>
      <c r="C1180" s="154"/>
      <c r="D1180" s="154"/>
      <c r="E1180" s="161" t="s">
        <v>271</v>
      </c>
      <c r="F1180" s="154"/>
      <c r="G1180" s="154"/>
      <c r="H1180" s="152"/>
      <c r="I1180" s="152"/>
      <c r="J1180" s="154"/>
      <c r="K1180" s="154"/>
      <c r="L1180" s="154"/>
      <c r="M1180" s="154"/>
      <c r="N1180" s="154"/>
      <c r="O1180" s="154"/>
      <c r="P1180" s="154"/>
      <c r="Q1180" s="154"/>
      <c r="R1180" s="154"/>
      <c r="S1180" s="162"/>
      <c r="T1180" s="162"/>
      <c r="U1180" s="162"/>
      <c r="V1180" s="162"/>
      <c r="W1180" s="162"/>
      <c r="X1180" s="163"/>
      <c r="Y1180" s="163"/>
      <c r="Z1180" s="163"/>
      <c r="AA1180" s="163"/>
      <c r="AB1180" s="163"/>
      <c r="AC1180" s="163"/>
      <c r="AD1180" s="164"/>
      <c r="AE1180" s="148">
        <f>IF(SUM(S1181:S1182)&gt;0,IFERROR(TRUNC(A1180,0),0),0)</f>
        <v>0</v>
      </c>
      <c r="AF1180" s="149"/>
      <c r="AG1180" s="150"/>
      <c r="AH1180" s="159"/>
      <c r="AI1180" s="160"/>
      <c r="AJ1180" s="105"/>
      <c r="AK1180" s="105"/>
      <c r="AM1180" s="105"/>
      <c r="AN1180" s="105"/>
      <c r="AO1180" s="105"/>
      <c r="AP1180" s="105"/>
      <c r="AQ1180" s="105"/>
      <c r="AR1180" s="105"/>
    </row>
    <row r="1181" spans="1:44" s="49" customFormat="1" ht="40.15" hidden="1" customHeight="1">
      <c r="A1181" s="152">
        <f t="shared" ca="1" si="1894"/>
        <v>0</v>
      </c>
      <c r="B1181" s="153">
        <v>102332</v>
      </c>
      <c r="C1181" s="154" t="str">
        <f>TEXT(B1181,"0")</f>
        <v>102332</v>
      </c>
      <c r="D1181" s="154" t="s">
        <v>1416</v>
      </c>
      <c r="E1181" s="155" t="s">
        <v>3547</v>
      </c>
      <c r="F1181" s="154">
        <f>IF(Dados_DMT!$B$25&lt;30,Dados_DMT!$B$25,30)</f>
        <v>30</v>
      </c>
      <c r="G1181" s="154" t="s">
        <v>3534</v>
      </c>
      <c r="H1181" s="152">
        <v>1.79</v>
      </c>
      <c r="I1181" s="152">
        <v>1.81</v>
      </c>
      <c r="J1181" s="156"/>
      <c r="K1181" s="156">
        <f>IF(B1134="PA/0025",0,ROUND(Ciclovia!J128*F1181,2))</f>
        <v>0</v>
      </c>
      <c r="L1181" s="156">
        <f>IF($K1181&gt;$J1181,$K1181-$J1181,0)</f>
        <v>0</v>
      </c>
      <c r="M1181" s="156">
        <f>IF($K1181&lt;$J1181,$J1181-$K1181,0)</f>
        <v>0</v>
      </c>
      <c r="N1181" s="156" t="s">
        <v>83</v>
      </c>
      <c r="O1181" s="157" cm="1">
        <f t="array" ref="O1181">TRUNC($H1181*(1+_xlfn.SWITCH($N1181,"BDI 1",$O$6,"BDI 2",$O$7,"BDI 3",$O$8)),2)</f>
        <v>2.16</v>
      </c>
      <c r="P1181" s="157" cm="1">
        <f t="array" ref="P1181">TRUNC($I1181*(1+_xlfn.SWITCH($N1181,"BDI 1",$P$6,"BDI 2",$P$7,"BDI 3",$P$8)),2)</f>
        <v>2.29</v>
      </c>
      <c r="Q1181" s="157">
        <v>0</v>
      </c>
      <c r="R1181" s="157">
        <f>$Q1181-($Q1181*LICITACAO_DESCONTO)</f>
        <v>0</v>
      </c>
      <c r="S1181" s="156">
        <f>TRUNC($K1181*$O1181,2)</f>
        <v>0</v>
      </c>
      <c r="T1181" s="156">
        <f>TRUNC($K1181*$P1181,2)</f>
        <v>0</v>
      </c>
      <c r="U1181" s="156">
        <f>TRUNC($J1181*$R1181,2)</f>
        <v>0</v>
      </c>
      <c r="V1181" s="156">
        <f>TRUNC($K1181*$Q1181,2)</f>
        <v>0</v>
      </c>
      <c r="W1181" s="156">
        <f>TRUNC(V1181-U1181,2)</f>
        <v>0</v>
      </c>
      <c r="X1181" s="158">
        <f>$S1181/ORCAMENTO_VALOR_TOTAL_ND</f>
        <v>0</v>
      </c>
      <c r="Y1181" s="158">
        <f>$T1181/ORCAMENTO_VALOR_TOTAL_DE</f>
        <v>0</v>
      </c>
      <c r="Z1181" s="158" cm="1">
        <f t="array" ref="Z1181">_xlfn.SWITCH($N1181,"BDI 1",$O$6,"BDI 2",$O$7,"BDI 3",$O$8)</f>
        <v>0.20699999999999999</v>
      </c>
      <c r="AA1181" s="158" cm="1">
        <f t="array" ref="AA1181">_xlfn.SWITCH($N1181,"BDI 1",$P$6,"BDI 2",$P$7,"BDI 3",$P$8)</f>
        <v>0.26739999999999997</v>
      </c>
      <c r="AB1181" s="158">
        <f ca="1">IFERROR($S1181/_xlfn.XLOOKUP($AE1181,$B$16:$B$38,$S$16:$S$38),0)</f>
        <v>0</v>
      </c>
      <c r="AC1181" s="158">
        <f ca="1">IFERROR($T1181/_xlfn.XLOOKUP($AE1181,$B$16:$B$38,$T$16:$T$38),0)</f>
        <v>0</v>
      </c>
      <c r="AD1181" s="164"/>
      <c r="AE1181" s="148">
        <f t="shared" ref="AE1181:AE1182" si="1978">IF(S1181&gt;0,IFERROR(TRUNC(A1181,0),0),0)</f>
        <v>0</v>
      </c>
      <c r="AF1181" s="149"/>
      <c r="AG1181" s="150"/>
      <c r="AH1181" s="159" t="e">
        <f>+S1181/$S$1118</f>
        <v>#DIV/0!</v>
      </c>
      <c r="AI1181" s="209">
        <f>IF(K1181=0,0,K1181/F1181)</f>
        <v>0</v>
      </c>
      <c r="AJ1181" s="105"/>
      <c r="AK1181" s="105"/>
      <c r="AM1181" s="105"/>
      <c r="AN1181" s="105"/>
      <c r="AO1181" s="105"/>
      <c r="AP1181" s="105"/>
      <c r="AQ1181" s="105"/>
      <c r="AR1181" s="105"/>
    </row>
    <row r="1182" spans="1:44" s="49" customFormat="1" ht="40.15" hidden="1" customHeight="1">
      <c r="A1182" s="152">
        <f t="shared" ca="1" si="1894"/>
        <v>0</v>
      </c>
      <c r="B1182" s="153">
        <v>102333</v>
      </c>
      <c r="C1182" s="154" t="str">
        <f>TEXT(B1182,"0")</f>
        <v>102333</v>
      </c>
      <c r="D1182" s="154" t="s">
        <v>1416</v>
      </c>
      <c r="E1182" s="155" t="s">
        <v>3546</v>
      </c>
      <c r="F1182" s="154">
        <f>+Dados_DMT!$B$25-F1181</f>
        <v>80</v>
      </c>
      <c r="G1182" s="154" t="s">
        <v>3534</v>
      </c>
      <c r="H1182" s="152">
        <v>0.72</v>
      </c>
      <c r="I1182" s="152">
        <v>0.73</v>
      </c>
      <c r="J1182" s="156"/>
      <c r="K1182" s="156">
        <f>IF(B1135="PA/0025",0,ROUND(Ciclovia!J128*F1182,2))</f>
        <v>0</v>
      </c>
      <c r="L1182" s="156">
        <f>IF($K1182&gt;$J1182,$K1182-$J1182,0)</f>
        <v>0</v>
      </c>
      <c r="M1182" s="156">
        <f>IF($K1182&lt;$J1182,$J1182-$K1182,0)</f>
        <v>0</v>
      </c>
      <c r="N1182" s="156" t="s">
        <v>83</v>
      </c>
      <c r="O1182" s="157" cm="1">
        <f t="array" ref="O1182">TRUNC($H1182*(1+_xlfn.SWITCH($N1182,"BDI 1",$O$6,"BDI 2",$O$7,"BDI 3",$O$8)),2)</f>
        <v>0.86</v>
      </c>
      <c r="P1182" s="157" cm="1">
        <f t="array" ref="P1182">TRUNC($I1182*(1+_xlfn.SWITCH($N1182,"BDI 1",$P$6,"BDI 2",$P$7,"BDI 3",$P$8)),2)</f>
        <v>0.92</v>
      </c>
      <c r="Q1182" s="157">
        <v>0</v>
      </c>
      <c r="R1182" s="157">
        <f>$Q1182-($Q1182*LICITACAO_DESCONTO)</f>
        <v>0</v>
      </c>
      <c r="S1182" s="156">
        <f>TRUNC($K1182*$O1182,2)</f>
        <v>0</v>
      </c>
      <c r="T1182" s="156">
        <f>TRUNC($K1182*$P1182,2)</f>
        <v>0</v>
      </c>
      <c r="U1182" s="156">
        <f>TRUNC($J1182*$R1182,2)</f>
        <v>0</v>
      </c>
      <c r="V1182" s="156">
        <f>TRUNC($K1182*$Q1182,2)</f>
        <v>0</v>
      </c>
      <c r="W1182" s="156">
        <f>TRUNC(V1182-U1182,2)</f>
        <v>0</v>
      </c>
      <c r="X1182" s="158">
        <f>$S1182/ORCAMENTO_VALOR_TOTAL_ND</f>
        <v>0</v>
      </c>
      <c r="Y1182" s="158">
        <f>$T1182/ORCAMENTO_VALOR_TOTAL_DE</f>
        <v>0</v>
      </c>
      <c r="Z1182" s="158" cm="1">
        <f t="array" ref="Z1182">_xlfn.SWITCH($N1182,"BDI 1",$O$6,"BDI 2",$O$7,"BDI 3",$O$8)</f>
        <v>0.20699999999999999</v>
      </c>
      <c r="AA1182" s="158" cm="1">
        <f t="array" ref="AA1182">_xlfn.SWITCH($N1182,"BDI 1",$P$6,"BDI 2",$P$7,"BDI 3",$P$8)</f>
        <v>0.26739999999999997</v>
      </c>
      <c r="AB1182" s="158">
        <f ca="1">IFERROR($S1182/_xlfn.XLOOKUP($AE1182,$B$16:$B$38,$S$16:$S$38),0)</f>
        <v>0</v>
      </c>
      <c r="AC1182" s="158">
        <f ca="1">IFERROR($T1182/_xlfn.XLOOKUP($AE1182,$B$16:$B$38,$T$16:$T$38),0)</f>
        <v>0</v>
      </c>
      <c r="AD1182" s="164"/>
      <c r="AE1182" s="148">
        <f t="shared" si="1978"/>
        <v>0</v>
      </c>
      <c r="AF1182" s="149"/>
      <c r="AG1182" s="150"/>
      <c r="AH1182" s="159" t="e">
        <f>+S1182/$S$1118</f>
        <v>#DIV/0!</v>
      </c>
      <c r="AI1182" s="209">
        <f>IF(K1182=0,0,K1182/F1182)</f>
        <v>0</v>
      </c>
      <c r="AJ1182" s="105"/>
      <c r="AK1182" s="105"/>
      <c r="AM1182" s="105"/>
      <c r="AN1182" s="105"/>
      <c r="AO1182" s="105"/>
      <c r="AP1182" s="105"/>
      <c r="AQ1182" s="105"/>
      <c r="AR1182" s="105"/>
    </row>
    <row r="1183" spans="1:44" s="49" customFormat="1" ht="40.15" hidden="1" customHeight="1">
      <c r="A1183" s="10">
        <f t="shared" ref="A1183:A1195" ca="1" si="1979">+IF(K1183&gt;0,A1182+0.01,A1182)</f>
        <v>0</v>
      </c>
      <c r="B1183" s="153"/>
      <c r="C1183" s="154"/>
      <c r="D1183" s="154"/>
      <c r="E1183" s="161" t="s">
        <v>272</v>
      </c>
      <c r="F1183" s="154"/>
      <c r="G1183" s="154"/>
      <c r="H1183" s="152"/>
      <c r="I1183" s="152"/>
      <c r="J1183" s="154"/>
      <c r="K1183" s="154"/>
      <c r="L1183" s="154"/>
      <c r="M1183" s="154"/>
      <c r="N1183" s="154"/>
      <c r="O1183" s="154"/>
      <c r="P1183" s="154"/>
      <c r="Q1183" s="154"/>
      <c r="R1183" s="154"/>
      <c r="S1183" s="162"/>
      <c r="T1183" s="162"/>
      <c r="U1183" s="162"/>
      <c r="V1183" s="162"/>
      <c r="W1183" s="162"/>
      <c r="X1183" s="163"/>
      <c r="Y1183" s="163"/>
      <c r="Z1183" s="163"/>
      <c r="AA1183" s="163"/>
      <c r="AB1183" s="163"/>
      <c r="AC1183" s="163"/>
      <c r="AD1183" s="164"/>
      <c r="AE1183" s="148">
        <f>IF(SUM(S1184:S1185)&gt;0,IFERROR(TRUNC(A1183,0),0),0)</f>
        <v>0</v>
      </c>
      <c r="AF1183" s="149"/>
      <c r="AG1183" s="150"/>
      <c r="AH1183" s="159"/>
      <c r="AI1183" s="160"/>
      <c r="AJ1183" s="105"/>
      <c r="AK1183" s="105"/>
      <c r="AM1183" s="105"/>
      <c r="AN1183" s="105"/>
      <c r="AO1183" s="105"/>
      <c r="AP1183" s="105"/>
      <c r="AQ1183" s="105"/>
      <c r="AR1183" s="105"/>
    </row>
    <row r="1184" spans="1:44" s="49" customFormat="1" ht="40.15" hidden="1" customHeight="1">
      <c r="A1184" s="152">
        <f t="shared" ca="1" si="1979"/>
        <v>0</v>
      </c>
      <c r="B1184" s="153">
        <v>102332</v>
      </c>
      <c r="C1184" s="154" t="str">
        <f>TEXT(B1184,"0")</f>
        <v>102332</v>
      </c>
      <c r="D1184" s="154" t="s">
        <v>1416</v>
      </c>
      <c r="E1184" s="155" t="s">
        <v>3547</v>
      </c>
      <c r="F1184" s="154">
        <f>IF(Dados_DMT!$B$25&lt;30,Dados_DMT!$B$25,30)</f>
        <v>30</v>
      </c>
      <c r="G1184" s="154" t="s">
        <v>3534</v>
      </c>
      <c r="H1184" s="152">
        <v>1.79</v>
      </c>
      <c r="I1184" s="152">
        <v>1.81</v>
      </c>
      <c r="J1184" s="156"/>
      <c r="K1184" s="156">
        <f>IF(B1134="PA/0025",ROUND(Ciclovia!J128*F1184,2),0)+ROUND(Ciclovia!J129*F1184,2)</f>
        <v>0</v>
      </c>
      <c r="L1184" s="156">
        <f>IF($K1184&gt;$J1184,$K1184-$J1184,0)</f>
        <v>0</v>
      </c>
      <c r="M1184" s="156">
        <f>IF($K1184&lt;$J1184,$J1184-$K1184,0)</f>
        <v>0</v>
      </c>
      <c r="N1184" s="156" t="s">
        <v>83</v>
      </c>
      <c r="O1184" s="157" cm="1">
        <f t="array" ref="O1184">TRUNC($H1184*(1+_xlfn.SWITCH($N1184,"BDI 1",$O$6,"BDI 2",$O$7,"BDI 3",$O$8)),2)</f>
        <v>2.16</v>
      </c>
      <c r="P1184" s="157" cm="1">
        <f t="array" ref="P1184">TRUNC($I1184*(1+_xlfn.SWITCH($N1184,"BDI 1",$P$6,"BDI 2",$P$7,"BDI 3",$P$8)),2)</f>
        <v>2.29</v>
      </c>
      <c r="Q1184" s="157">
        <v>0</v>
      </c>
      <c r="R1184" s="157">
        <f>$Q1184-($Q1184*LICITACAO_DESCONTO)</f>
        <v>0</v>
      </c>
      <c r="S1184" s="156">
        <f>TRUNC($K1184*$O1184,2)</f>
        <v>0</v>
      </c>
      <c r="T1184" s="156">
        <f>TRUNC($K1184*$P1184,2)</f>
        <v>0</v>
      </c>
      <c r="U1184" s="156">
        <f>TRUNC($J1184*$R1184,2)</f>
        <v>0</v>
      </c>
      <c r="V1184" s="156">
        <f>TRUNC($K1184*$Q1184,2)</f>
        <v>0</v>
      </c>
      <c r="W1184" s="156">
        <f>TRUNC(V1184-U1184,2)</f>
        <v>0</v>
      </c>
      <c r="X1184" s="158">
        <f>$S1184/ORCAMENTO_VALOR_TOTAL_ND</f>
        <v>0</v>
      </c>
      <c r="Y1184" s="158">
        <f>$T1184/ORCAMENTO_VALOR_TOTAL_DE</f>
        <v>0</v>
      </c>
      <c r="Z1184" s="158" cm="1">
        <f t="array" ref="Z1184">_xlfn.SWITCH($N1184,"BDI 1",$O$6,"BDI 2",$O$7,"BDI 3",$O$8)</f>
        <v>0.20699999999999999</v>
      </c>
      <c r="AA1184" s="158" cm="1">
        <f t="array" ref="AA1184">_xlfn.SWITCH($N1184,"BDI 1",$P$6,"BDI 2",$P$7,"BDI 3",$P$8)</f>
        <v>0.26739999999999997</v>
      </c>
      <c r="AB1184" s="158">
        <f ca="1">IFERROR($S1184/_xlfn.XLOOKUP($AE1184,$B$16:$B$38,$S$16:$S$38),0)</f>
        <v>0</v>
      </c>
      <c r="AC1184" s="158">
        <f ca="1">IFERROR($T1184/_xlfn.XLOOKUP($AE1184,$B$16:$B$38,$T$16:$T$38),0)</f>
        <v>0</v>
      </c>
      <c r="AD1184" s="164"/>
      <c r="AE1184" s="148">
        <f t="shared" ref="AE1184:AE1185" si="1980">IF(S1184&gt;0,IFERROR(TRUNC(A1184,0),0),0)</f>
        <v>0</v>
      </c>
      <c r="AF1184" s="149"/>
      <c r="AG1184" s="150"/>
      <c r="AH1184" s="159" t="e">
        <f>+S1184/$S$1118</f>
        <v>#DIV/0!</v>
      </c>
      <c r="AI1184" s="209">
        <f>IF(K1184=0,0,K1184/F1184)</f>
        <v>0</v>
      </c>
      <c r="AJ1184" s="105"/>
      <c r="AK1184" s="105"/>
      <c r="AM1184" s="105"/>
      <c r="AN1184" s="105"/>
      <c r="AO1184" s="105"/>
      <c r="AP1184" s="105"/>
      <c r="AQ1184" s="105"/>
      <c r="AR1184" s="105"/>
    </row>
    <row r="1185" spans="1:44" s="49" customFormat="1" ht="40.15" hidden="1" customHeight="1">
      <c r="A1185" s="152">
        <f t="shared" ca="1" si="1979"/>
        <v>0</v>
      </c>
      <c r="B1185" s="153">
        <v>102333</v>
      </c>
      <c r="C1185" s="154" t="str">
        <f>TEXT(B1185,"0")</f>
        <v>102333</v>
      </c>
      <c r="D1185" s="154" t="s">
        <v>1416</v>
      </c>
      <c r="E1185" s="155" t="s">
        <v>3546</v>
      </c>
      <c r="F1185" s="154">
        <f>+Dados_DMT!$B$25-F1184</f>
        <v>80</v>
      </c>
      <c r="G1185" s="154" t="s">
        <v>3534</v>
      </c>
      <c r="H1185" s="152">
        <v>0.72</v>
      </c>
      <c r="I1185" s="152">
        <v>0.73</v>
      </c>
      <c r="J1185" s="156"/>
      <c r="K1185" s="156">
        <f>IF(B1135="PA/0025",ROUND(Ciclovia!J128*F1185,2),0)+ROUND(Ciclovia!J129*F1185,2)</f>
        <v>0</v>
      </c>
      <c r="L1185" s="156">
        <f>IF($K1185&gt;$J1185,$K1185-$J1185,0)</f>
        <v>0</v>
      </c>
      <c r="M1185" s="156">
        <f>IF($K1185&lt;$J1185,$J1185-$K1185,0)</f>
        <v>0</v>
      </c>
      <c r="N1185" s="156" t="s">
        <v>83</v>
      </c>
      <c r="O1185" s="157" cm="1">
        <f t="array" ref="O1185">TRUNC($H1185*(1+_xlfn.SWITCH($N1185,"BDI 1",$O$6,"BDI 2",$O$7,"BDI 3",$O$8)),2)</f>
        <v>0.86</v>
      </c>
      <c r="P1185" s="157" cm="1">
        <f t="array" ref="P1185">TRUNC($I1185*(1+_xlfn.SWITCH($N1185,"BDI 1",$P$6,"BDI 2",$P$7,"BDI 3",$P$8)),2)</f>
        <v>0.92</v>
      </c>
      <c r="Q1185" s="157">
        <v>0</v>
      </c>
      <c r="R1185" s="157">
        <f>$Q1185-($Q1185*LICITACAO_DESCONTO)</f>
        <v>0</v>
      </c>
      <c r="S1185" s="156">
        <f>TRUNC($K1185*$O1185,2)</f>
        <v>0</v>
      </c>
      <c r="T1185" s="156">
        <f>TRUNC($K1185*$P1185,2)</f>
        <v>0</v>
      </c>
      <c r="U1185" s="156">
        <f>TRUNC($J1185*$R1185,2)</f>
        <v>0</v>
      </c>
      <c r="V1185" s="156">
        <f>TRUNC($K1185*$Q1185,2)</f>
        <v>0</v>
      </c>
      <c r="W1185" s="156">
        <f>TRUNC(V1185-U1185,2)</f>
        <v>0</v>
      </c>
      <c r="X1185" s="158">
        <f>$S1185/ORCAMENTO_VALOR_TOTAL_ND</f>
        <v>0</v>
      </c>
      <c r="Y1185" s="158">
        <f>$T1185/ORCAMENTO_VALOR_TOTAL_DE</f>
        <v>0</v>
      </c>
      <c r="Z1185" s="158" cm="1">
        <f t="array" ref="Z1185">_xlfn.SWITCH($N1185,"BDI 1",$O$6,"BDI 2",$O$7,"BDI 3",$O$8)</f>
        <v>0.20699999999999999</v>
      </c>
      <c r="AA1185" s="158" cm="1">
        <f t="array" ref="AA1185">_xlfn.SWITCH($N1185,"BDI 1",$P$6,"BDI 2",$P$7,"BDI 3",$P$8)</f>
        <v>0.26739999999999997</v>
      </c>
      <c r="AB1185" s="158">
        <f ca="1">IFERROR($S1185/_xlfn.XLOOKUP($AE1185,$B$16:$B$38,$S$16:$S$38),0)</f>
        <v>0</v>
      </c>
      <c r="AC1185" s="158">
        <f ca="1">IFERROR($T1185/_xlfn.XLOOKUP($AE1185,$B$16:$B$38,$T$16:$T$38),0)</f>
        <v>0</v>
      </c>
      <c r="AD1185" s="164"/>
      <c r="AE1185" s="148">
        <f t="shared" si="1980"/>
        <v>0</v>
      </c>
      <c r="AF1185" s="149"/>
      <c r="AG1185" s="150"/>
      <c r="AH1185" s="159" t="e">
        <f>+S1185/$S$1118</f>
        <v>#DIV/0!</v>
      </c>
      <c r="AI1185" s="209">
        <f>IF(K1185=0,0,K1185/F1185)</f>
        <v>0</v>
      </c>
      <c r="AJ1185" s="105"/>
      <c r="AK1185" s="105"/>
      <c r="AM1185" s="105"/>
      <c r="AN1185" s="105"/>
      <c r="AO1185" s="105"/>
      <c r="AP1185" s="105"/>
      <c r="AQ1185" s="105"/>
      <c r="AR1185" s="105"/>
    </row>
    <row r="1186" spans="1:44" s="49" customFormat="1" ht="40.15" hidden="1" customHeight="1">
      <c r="A1186" s="10">
        <f t="shared" ca="1" si="1979"/>
        <v>0</v>
      </c>
      <c r="B1186" s="153"/>
      <c r="C1186" s="154"/>
      <c r="D1186" s="154"/>
      <c r="E1186" s="161" t="s">
        <v>274</v>
      </c>
      <c r="F1186" s="154"/>
      <c r="G1186" s="154"/>
      <c r="H1186" s="152"/>
      <c r="I1186" s="152"/>
      <c r="J1186" s="154"/>
      <c r="K1186" s="154"/>
      <c r="L1186" s="154"/>
      <c r="M1186" s="154"/>
      <c r="N1186" s="154"/>
      <c r="O1186" s="154"/>
      <c r="P1186" s="154"/>
      <c r="Q1186" s="154"/>
      <c r="R1186" s="154"/>
      <c r="S1186" s="162"/>
      <c r="T1186" s="162"/>
      <c r="U1186" s="162"/>
      <c r="V1186" s="162"/>
      <c r="W1186" s="162"/>
      <c r="X1186" s="163"/>
      <c r="Y1186" s="163"/>
      <c r="Z1186" s="163"/>
      <c r="AA1186" s="163"/>
      <c r="AB1186" s="163"/>
      <c r="AC1186" s="163"/>
      <c r="AD1186" s="164"/>
      <c r="AE1186" s="148">
        <f>IF(SUM(S1187:S1188)&gt;0,IFERROR(TRUNC(A1186,0),0),0)</f>
        <v>0</v>
      </c>
      <c r="AF1186" s="149"/>
      <c r="AG1186" s="150"/>
      <c r="AH1186" s="159"/>
      <c r="AI1186" s="160"/>
      <c r="AJ1186" s="105"/>
      <c r="AK1186" s="105"/>
      <c r="AM1186" s="105"/>
      <c r="AN1186" s="105"/>
      <c r="AO1186" s="105"/>
      <c r="AP1186" s="105"/>
      <c r="AQ1186" s="105"/>
      <c r="AR1186" s="105"/>
    </row>
    <row r="1187" spans="1:44" s="49" customFormat="1" ht="40.15" hidden="1" customHeight="1">
      <c r="A1187" s="152">
        <f t="shared" ca="1" si="1979"/>
        <v>0</v>
      </c>
      <c r="B1187" s="153">
        <v>102332</v>
      </c>
      <c r="C1187" s="154" t="str">
        <f>TEXT(B1187,"0")</f>
        <v>102332</v>
      </c>
      <c r="D1187" s="154" t="s">
        <v>1416</v>
      </c>
      <c r="E1187" s="155" t="s">
        <v>3547</v>
      </c>
      <c r="F1187" s="154">
        <f>IF(Dados_DMT!$B$27&lt;30,Dados_DMT!$B$27,30)</f>
        <v>0</v>
      </c>
      <c r="G1187" s="154" t="s">
        <v>3534</v>
      </c>
      <c r="H1187" s="152">
        <v>1.79</v>
      </c>
      <c r="I1187" s="152">
        <v>1.81</v>
      </c>
      <c r="J1187" s="156"/>
      <c r="K1187" s="156">
        <f>ROUND(Ciclovia!J127*F1187,2)</f>
        <v>0</v>
      </c>
      <c r="L1187" s="156">
        <f>IF($K1187&gt;$J1187,$K1187-$J1187,0)</f>
        <v>0</v>
      </c>
      <c r="M1187" s="156">
        <f>IF($K1187&lt;$J1187,$J1187-$K1187,0)</f>
        <v>0</v>
      </c>
      <c r="N1187" s="156" t="s">
        <v>83</v>
      </c>
      <c r="O1187" s="157" cm="1">
        <f t="array" ref="O1187">TRUNC($H1187*(1+_xlfn.SWITCH($N1187,"BDI 1",$O$6,"BDI 2",$O$7,"BDI 3",$O$8)),2)</f>
        <v>2.16</v>
      </c>
      <c r="P1187" s="157" cm="1">
        <f t="array" ref="P1187">TRUNC($I1187*(1+_xlfn.SWITCH($N1187,"BDI 1",$P$6,"BDI 2",$P$7,"BDI 3",$P$8)),2)</f>
        <v>2.29</v>
      </c>
      <c r="Q1187" s="157">
        <v>0</v>
      </c>
      <c r="R1187" s="157">
        <f>$Q1187-($Q1187*LICITACAO_DESCONTO)</f>
        <v>0</v>
      </c>
      <c r="S1187" s="156">
        <f>TRUNC($K1187*$O1187,2)</f>
        <v>0</v>
      </c>
      <c r="T1187" s="156">
        <f>TRUNC($K1187*$P1187,2)</f>
        <v>0</v>
      </c>
      <c r="U1187" s="156">
        <f>TRUNC($J1187*$R1187,2)</f>
        <v>0</v>
      </c>
      <c r="V1187" s="156">
        <f>TRUNC($K1187*$Q1187,2)</f>
        <v>0</v>
      </c>
      <c r="W1187" s="156">
        <f>TRUNC(V1187-U1187,2)</f>
        <v>0</v>
      </c>
      <c r="X1187" s="158">
        <f>$S1187/ORCAMENTO_VALOR_TOTAL_ND</f>
        <v>0</v>
      </c>
      <c r="Y1187" s="158">
        <f>$T1187/ORCAMENTO_VALOR_TOTAL_DE</f>
        <v>0</v>
      </c>
      <c r="Z1187" s="158" cm="1">
        <f t="array" ref="Z1187">_xlfn.SWITCH($N1187,"BDI 1",$O$6,"BDI 2",$O$7,"BDI 3",$O$8)</f>
        <v>0.20699999999999999</v>
      </c>
      <c r="AA1187" s="158" cm="1">
        <f t="array" ref="AA1187">_xlfn.SWITCH($N1187,"BDI 1",$P$6,"BDI 2",$P$7,"BDI 3",$P$8)</f>
        <v>0.26739999999999997</v>
      </c>
      <c r="AB1187" s="158">
        <f ca="1">IFERROR($S1187/_xlfn.XLOOKUP($AE1187,$B$16:$B$38,$S$16:$S$38),0)</f>
        <v>0</v>
      </c>
      <c r="AC1187" s="158">
        <f ca="1">IFERROR($T1187/_xlfn.XLOOKUP($AE1187,$B$16:$B$38,$T$16:$T$38),0)</f>
        <v>0</v>
      </c>
      <c r="AD1187" s="164"/>
      <c r="AE1187" s="148">
        <f t="shared" ref="AE1187:AE1188" si="1981">IF(S1187&gt;0,IFERROR(TRUNC(A1187,0),0),0)</f>
        <v>0</v>
      </c>
      <c r="AF1187" s="149"/>
      <c r="AG1187" s="150"/>
      <c r="AH1187" s="159" t="e">
        <f>+S1187/$S$1118</f>
        <v>#DIV/0!</v>
      </c>
      <c r="AI1187" s="209">
        <f>IF(K1187=0,0,K1187/F1187)</f>
        <v>0</v>
      </c>
      <c r="AJ1187" s="105"/>
      <c r="AK1187" s="105"/>
      <c r="AM1187" s="105"/>
      <c r="AN1187" s="105"/>
      <c r="AO1187" s="105"/>
      <c r="AP1187" s="105"/>
      <c r="AQ1187" s="105"/>
      <c r="AR1187" s="105"/>
    </row>
    <row r="1188" spans="1:44" s="49" customFormat="1" ht="40.15" hidden="1" customHeight="1">
      <c r="A1188" s="152">
        <f t="shared" ca="1" si="1979"/>
        <v>0</v>
      </c>
      <c r="B1188" s="153">
        <v>102333</v>
      </c>
      <c r="C1188" s="154" t="str">
        <f>TEXT(B1188,"0")</f>
        <v>102333</v>
      </c>
      <c r="D1188" s="154" t="s">
        <v>1416</v>
      </c>
      <c r="E1188" s="155" t="s">
        <v>3546</v>
      </c>
      <c r="F1188" s="154">
        <f>+Dados_DMT!$B$27-F1187</f>
        <v>0</v>
      </c>
      <c r="G1188" s="154" t="s">
        <v>3534</v>
      </c>
      <c r="H1188" s="152">
        <v>0.72</v>
      </c>
      <c r="I1188" s="152">
        <v>0.73</v>
      </c>
      <c r="J1188" s="156"/>
      <c r="K1188" s="156">
        <f>ROUND(Ciclovia!J127*F1188,2)</f>
        <v>0</v>
      </c>
      <c r="L1188" s="156">
        <f>IF($K1188&gt;$J1188,$K1188-$J1188,0)</f>
        <v>0</v>
      </c>
      <c r="M1188" s="156">
        <f>IF($K1188&lt;$J1188,$J1188-$K1188,0)</f>
        <v>0</v>
      </c>
      <c r="N1188" s="156" t="s">
        <v>83</v>
      </c>
      <c r="O1188" s="157" cm="1">
        <f t="array" ref="O1188">TRUNC($H1188*(1+_xlfn.SWITCH($N1188,"BDI 1",$O$6,"BDI 2",$O$7,"BDI 3",$O$8)),2)</f>
        <v>0.86</v>
      </c>
      <c r="P1188" s="157" cm="1">
        <f t="array" ref="P1188">TRUNC($I1188*(1+_xlfn.SWITCH($N1188,"BDI 1",$P$6,"BDI 2",$P$7,"BDI 3",$P$8)),2)</f>
        <v>0.92</v>
      </c>
      <c r="Q1188" s="157">
        <v>0</v>
      </c>
      <c r="R1188" s="157">
        <f>$Q1188-($Q1188*LICITACAO_DESCONTO)</f>
        <v>0</v>
      </c>
      <c r="S1188" s="156">
        <f>TRUNC($K1188*$O1188,2)</f>
        <v>0</v>
      </c>
      <c r="T1188" s="156">
        <f>TRUNC($K1188*$P1188,2)</f>
        <v>0</v>
      </c>
      <c r="U1188" s="156">
        <f>TRUNC($J1188*$R1188,2)</f>
        <v>0</v>
      </c>
      <c r="V1188" s="156">
        <f>TRUNC($K1188*$Q1188,2)</f>
        <v>0</v>
      </c>
      <c r="W1188" s="156">
        <f>TRUNC(V1188-U1188,2)</f>
        <v>0</v>
      </c>
      <c r="X1188" s="158">
        <f>$S1188/ORCAMENTO_VALOR_TOTAL_ND</f>
        <v>0</v>
      </c>
      <c r="Y1188" s="158">
        <f>$T1188/ORCAMENTO_VALOR_TOTAL_DE</f>
        <v>0</v>
      </c>
      <c r="Z1188" s="158" cm="1">
        <f t="array" ref="Z1188">_xlfn.SWITCH($N1188,"BDI 1",$O$6,"BDI 2",$O$7,"BDI 3",$O$8)</f>
        <v>0.20699999999999999</v>
      </c>
      <c r="AA1188" s="158" cm="1">
        <f t="array" ref="AA1188">_xlfn.SWITCH($N1188,"BDI 1",$P$6,"BDI 2",$P$7,"BDI 3",$P$8)</f>
        <v>0.26739999999999997</v>
      </c>
      <c r="AB1188" s="158">
        <f ca="1">IFERROR($S1188/_xlfn.XLOOKUP($AE1188,$B$16:$B$38,$S$16:$S$38),0)</f>
        <v>0</v>
      </c>
      <c r="AC1188" s="158">
        <f ca="1">IFERROR($T1188/_xlfn.XLOOKUP($AE1188,$B$16:$B$38,$T$16:$T$38),0)</f>
        <v>0</v>
      </c>
      <c r="AD1188" s="164"/>
      <c r="AE1188" s="148">
        <f t="shared" si="1981"/>
        <v>0</v>
      </c>
      <c r="AF1188" s="149"/>
      <c r="AG1188" s="150"/>
      <c r="AH1188" s="159" t="e">
        <f>+S1188/$S$1118</f>
        <v>#DIV/0!</v>
      </c>
      <c r="AI1188" s="209">
        <f>IF(K1188=0,0,K1188/F1188)</f>
        <v>0</v>
      </c>
      <c r="AJ1188" s="105"/>
      <c r="AK1188" s="105"/>
      <c r="AM1188" s="105"/>
      <c r="AN1188" s="105"/>
      <c r="AO1188" s="105"/>
      <c r="AP1188" s="105"/>
      <c r="AQ1188" s="105"/>
      <c r="AR1188" s="105"/>
    </row>
    <row r="1189" spans="1:44" s="49" customFormat="1" ht="40.15" hidden="1" customHeight="1">
      <c r="A1189" s="10">
        <f t="shared" ca="1" si="1979"/>
        <v>0</v>
      </c>
      <c r="B1189" s="153"/>
      <c r="C1189" s="154"/>
      <c r="D1189" s="154"/>
      <c r="E1189" s="161" t="s">
        <v>316</v>
      </c>
      <c r="F1189" s="154"/>
      <c r="G1189" s="154"/>
      <c r="H1189" s="152"/>
      <c r="I1189" s="152"/>
      <c r="J1189" s="154"/>
      <c r="K1189" s="154"/>
      <c r="L1189" s="154"/>
      <c r="M1189" s="154"/>
      <c r="N1189" s="154"/>
      <c r="O1189" s="154"/>
      <c r="P1189" s="154"/>
      <c r="Q1189" s="154"/>
      <c r="R1189" s="154"/>
      <c r="S1189" s="162"/>
      <c r="T1189" s="162"/>
      <c r="U1189" s="162"/>
      <c r="V1189" s="162"/>
      <c r="W1189" s="162"/>
      <c r="X1189" s="163"/>
      <c r="Y1189" s="163"/>
      <c r="Z1189" s="163"/>
      <c r="AA1189" s="163"/>
      <c r="AB1189" s="163"/>
      <c r="AC1189" s="163"/>
      <c r="AD1189" s="164"/>
      <c r="AE1189" s="148">
        <f>IF(SUM(S1190:S1191)&gt;0,IFERROR(TRUNC(A1189,0),0),0)</f>
        <v>0</v>
      </c>
      <c r="AF1189" s="149"/>
      <c r="AG1189" s="150"/>
      <c r="AH1189" s="159"/>
      <c r="AI1189" s="160"/>
      <c r="AJ1189" s="105"/>
      <c r="AK1189" s="105"/>
      <c r="AM1189" s="105"/>
      <c r="AN1189" s="105"/>
      <c r="AO1189" s="105"/>
      <c r="AP1189" s="105"/>
      <c r="AQ1189" s="105"/>
      <c r="AR1189" s="105"/>
    </row>
    <row r="1190" spans="1:44" s="49" customFormat="1" ht="40.15" hidden="1" customHeight="1">
      <c r="A1190" s="152">
        <f t="shared" ca="1" si="1979"/>
        <v>0</v>
      </c>
      <c r="B1190" s="153">
        <v>100947</v>
      </c>
      <c r="C1190" s="154" t="str">
        <f>TEXT(B1190,"0")</f>
        <v>100947</v>
      </c>
      <c r="D1190" s="154" t="s">
        <v>1416</v>
      </c>
      <c r="E1190" s="155" t="s">
        <v>385</v>
      </c>
      <c r="F1190" s="154">
        <f>IF(Dados_DMT!$B$35&lt;30,Dados_DMT!$B$35,30)</f>
        <v>0</v>
      </c>
      <c r="G1190" s="154" t="s">
        <v>3534</v>
      </c>
      <c r="H1190" s="152">
        <v>2.15</v>
      </c>
      <c r="I1190" s="152">
        <v>2.13</v>
      </c>
      <c r="J1190" s="156"/>
      <c r="K1190" s="156">
        <f>ROUND(Ciclovia!J116*F1190,2)</f>
        <v>0</v>
      </c>
      <c r="L1190" s="156">
        <f>IF($K1190&gt;$J1190,$K1190-$J1190,0)</f>
        <v>0</v>
      </c>
      <c r="M1190" s="156">
        <f>IF($K1190&lt;$J1190,$J1190-$K1190,0)</f>
        <v>0</v>
      </c>
      <c r="N1190" s="156" t="s">
        <v>83</v>
      </c>
      <c r="O1190" s="157" cm="1">
        <f t="array" ref="O1190">TRUNC($H1190*(1+_xlfn.SWITCH($N1190,"BDI 1",$O$6,"BDI 2",$O$7,"BDI 3",$O$8)),2)</f>
        <v>2.59</v>
      </c>
      <c r="P1190" s="157" cm="1">
        <f t="array" ref="P1190">TRUNC($I1190*(1+_xlfn.SWITCH($N1190,"BDI 1",$P$6,"BDI 2",$P$7,"BDI 3",$P$8)),2)</f>
        <v>2.69</v>
      </c>
      <c r="Q1190" s="157">
        <v>0</v>
      </c>
      <c r="R1190" s="157">
        <f>$Q1190-($Q1190*LICITACAO_DESCONTO)</f>
        <v>0</v>
      </c>
      <c r="S1190" s="156">
        <f>TRUNC($K1190*$O1190,2)</f>
        <v>0</v>
      </c>
      <c r="T1190" s="156">
        <f>TRUNC($K1190*$P1190,2)</f>
        <v>0</v>
      </c>
      <c r="U1190" s="156">
        <f>TRUNC($J1190*$R1190,2)</f>
        <v>0</v>
      </c>
      <c r="V1190" s="156">
        <f>TRUNC($K1190*$Q1190,2)</f>
        <v>0</v>
      </c>
      <c r="W1190" s="156">
        <f>TRUNC(V1190-U1190,2)</f>
        <v>0</v>
      </c>
      <c r="X1190" s="158">
        <f>$S1190/ORCAMENTO_VALOR_TOTAL_ND</f>
        <v>0</v>
      </c>
      <c r="Y1190" s="158">
        <f>$T1190/ORCAMENTO_VALOR_TOTAL_DE</f>
        <v>0</v>
      </c>
      <c r="Z1190" s="158" cm="1">
        <f t="array" ref="Z1190">_xlfn.SWITCH($N1190,"BDI 1",$O$6,"BDI 2",$O$7,"BDI 3",$O$8)</f>
        <v>0.20699999999999999</v>
      </c>
      <c r="AA1190" s="158" cm="1">
        <f t="array" ref="AA1190">_xlfn.SWITCH($N1190,"BDI 1",$P$6,"BDI 2",$P$7,"BDI 3",$P$8)</f>
        <v>0.26739999999999997</v>
      </c>
      <c r="AB1190" s="158">
        <f ca="1">IFERROR($S1190/_xlfn.XLOOKUP($AE1190,$B$16:$B$38,$S$16:$S$38),0)</f>
        <v>0</v>
      </c>
      <c r="AC1190" s="158">
        <f ca="1">IFERROR($T1190/_xlfn.XLOOKUP($AE1190,$B$16:$B$38,$T$16:$T$38),0)</f>
        <v>0</v>
      </c>
      <c r="AD1190" s="164"/>
      <c r="AE1190" s="148">
        <f t="shared" ref="AE1190:AE1191" si="1982">IF(S1190&gt;0,IFERROR(TRUNC(A1190,0),0),0)</f>
        <v>0</v>
      </c>
      <c r="AF1190" s="149"/>
      <c r="AG1190" s="150"/>
      <c r="AH1190" s="159" t="e">
        <f>+S1190/$S$1118</f>
        <v>#DIV/0!</v>
      </c>
      <c r="AI1190" s="160"/>
      <c r="AJ1190" s="105"/>
      <c r="AK1190" s="105"/>
      <c r="AM1190" s="105"/>
      <c r="AN1190" s="105"/>
      <c r="AO1190" s="105"/>
      <c r="AP1190" s="105"/>
      <c r="AQ1190" s="105"/>
      <c r="AR1190" s="105"/>
    </row>
    <row r="1191" spans="1:44" s="49" customFormat="1" ht="40.15" hidden="1" customHeight="1">
      <c r="A1191" s="152">
        <f t="shared" ca="1" si="1979"/>
        <v>0</v>
      </c>
      <c r="B1191" s="153">
        <v>100948</v>
      </c>
      <c r="C1191" s="154" t="str">
        <f>TEXT(B1191,"0")</f>
        <v>100948</v>
      </c>
      <c r="D1191" s="154" t="s">
        <v>1416</v>
      </c>
      <c r="E1191" s="155" t="s">
        <v>3615</v>
      </c>
      <c r="F1191" s="154">
        <f>+Dados_DMT!$B$35-F1190</f>
        <v>0</v>
      </c>
      <c r="G1191" s="154" t="s">
        <v>3534</v>
      </c>
      <c r="H1191" s="152">
        <v>0.85</v>
      </c>
      <c r="I1191" s="152">
        <v>0.84</v>
      </c>
      <c r="J1191" s="156"/>
      <c r="K1191" s="156">
        <f>ROUND(Ciclovia!J116*F1191,2)</f>
        <v>0</v>
      </c>
      <c r="L1191" s="156">
        <f>IF($K1191&gt;$J1191,$K1191-$J1191,0)</f>
        <v>0</v>
      </c>
      <c r="M1191" s="156">
        <f>IF($K1191&lt;$J1191,$J1191-$K1191,0)</f>
        <v>0</v>
      </c>
      <c r="N1191" s="156" t="s">
        <v>83</v>
      </c>
      <c r="O1191" s="157" cm="1">
        <f t="array" ref="O1191">TRUNC($H1191*(1+_xlfn.SWITCH($N1191,"BDI 1",$O$6,"BDI 2",$O$7,"BDI 3",$O$8)),2)</f>
        <v>1.02</v>
      </c>
      <c r="P1191" s="157" cm="1">
        <f t="array" ref="P1191">TRUNC($I1191*(1+_xlfn.SWITCH($N1191,"BDI 1",$P$6,"BDI 2",$P$7,"BDI 3",$P$8)),2)</f>
        <v>1.06</v>
      </c>
      <c r="Q1191" s="157">
        <v>0</v>
      </c>
      <c r="R1191" s="157">
        <f>$Q1191-($Q1191*LICITACAO_DESCONTO)</f>
        <v>0</v>
      </c>
      <c r="S1191" s="156">
        <f>TRUNC($K1191*$O1191,2)</f>
        <v>0</v>
      </c>
      <c r="T1191" s="156">
        <f>TRUNC($K1191*$P1191,2)</f>
        <v>0</v>
      </c>
      <c r="U1191" s="156">
        <f>TRUNC($J1191*$R1191,2)</f>
        <v>0</v>
      </c>
      <c r="V1191" s="156">
        <f>TRUNC($K1191*$Q1191,2)</f>
        <v>0</v>
      </c>
      <c r="W1191" s="156">
        <f>TRUNC(V1191-U1191,2)</f>
        <v>0</v>
      </c>
      <c r="X1191" s="158">
        <f>$S1191/ORCAMENTO_VALOR_TOTAL_ND</f>
        <v>0</v>
      </c>
      <c r="Y1191" s="158">
        <f>$T1191/ORCAMENTO_VALOR_TOTAL_DE</f>
        <v>0</v>
      </c>
      <c r="Z1191" s="158" cm="1">
        <f t="array" ref="Z1191">_xlfn.SWITCH($N1191,"BDI 1",$O$6,"BDI 2",$O$7,"BDI 3",$O$8)</f>
        <v>0.20699999999999999</v>
      </c>
      <c r="AA1191" s="158" cm="1">
        <f t="array" ref="AA1191">_xlfn.SWITCH($N1191,"BDI 1",$P$6,"BDI 2",$P$7,"BDI 3",$P$8)</f>
        <v>0.26739999999999997</v>
      </c>
      <c r="AB1191" s="158">
        <f ca="1">IFERROR($S1191/_xlfn.XLOOKUP($AE1191,$B$16:$B$38,$S$16:$S$38),0)</f>
        <v>0</v>
      </c>
      <c r="AC1191" s="158">
        <f ca="1">IFERROR($T1191/_xlfn.XLOOKUP($AE1191,$B$16:$B$38,$T$16:$T$38),0)</f>
        <v>0</v>
      </c>
      <c r="AD1191" s="164"/>
      <c r="AE1191" s="148">
        <f t="shared" si="1982"/>
        <v>0</v>
      </c>
      <c r="AF1191" s="149"/>
      <c r="AG1191" s="150"/>
      <c r="AH1191" s="159" t="e">
        <f>+S1191/$S$1118</f>
        <v>#DIV/0!</v>
      </c>
      <c r="AI1191" s="160"/>
      <c r="AJ1191" s="105"/>
      <c r="AK1191" s="105"/>
      <c r="AM1191" s="105"/>
      <c r="AN1191" s="105"/>
      <c r="AO1191" s="105"/>
      <c r="AP1191" s="105"/>
      <c r="AQ1191" s="105"/>
      <c r="AR1191" s="105"/>
    </row>
    <row r="1192" spans="1:44" s="49" customFormat="1" ht="40.15" hidden="1" customHeight="1">
      <c r="A1192" s="10">
        <f t="shared" ca="1" si="1979"/>
        <v>0</v>
      </c>
      <c r="B1192" s="153"/>
      <c r="C1192" s="154"/>
      <c r="D1192" s="154"/>
      <c r="E1192" s="161" t="s">
        <v>317</v>
      </c>
      <c r="F1192" s="154"/>
      <c r="G1192" s="154"/>
      <c r="H1192" s="152"/>
      <c r="I1192" s="152"/>
      <c r="J1192" s="154"/>
      <c r="K1192" s="154"/>
      <c r="L1192" s="154"/>
      <c r="M1192" s="154"/>
      <c r="N1192" s="154"/>
      <c r="O1192" s="154"/>
      <c r="P1192" s="154"/>
      <c r="Q1192" s="154"/>
      <c r="R1192" s="154"/>
      <c r="S1192" s="162"/>
      <c r="T1192" s="162"/>
      <c r="U1192" s="162"/>
      <c r="V1192" s="162"/>
      <c r="W1192" s="162"/>
      <c r="X1192" s="163"/>
      <c r="Y1192" s="163"/>
      <c r="Z1192" s="163"/>
      <c r="AA1192" s="163"/>
      <c r="AB1192" s="163"/>
      <c r="AC1192" s="163"/>
      <c r="AD1192" s="164"/>
      <c r="AE1192" s="148">
        <f>IF(SUM(S1193:S1194)&gt;0,IFERROR(TRUNC(A1192,0),0),0)</f>
        <v>0</v>
      </c>
      <c r="AF1192" s="149"/>
      <c r="AG1192" s="150"/>
      <c r="AH1192" s="159"/>
      <c r="AI1192" s="160"/>
      <c r="AJ1192" s="105"/>
      <c r="AK1192" s="105"/>
      <c r="AM1192" s="105"/>
      <c r="AN1192" s="105"/>
      <c r="AO1192" s="105"/>
      <c r="AP1192" s="105"/>
      <c r="AQ1192" s="105"/>
      <c r="AR1192" s="105"/>
    </row>
    <row r="1193" spans="1:44" s="49" customFormat="1" ht="40.15" hidden="1" customHeight="1">
      <c r="A1193" s="152">
        <f t="shared" ca="1" si="1979"/>
        <v>0</v>
      </c>
      <c r="B1193" s="153">
        <v>100947</v>
      </c>
      <c r="C1193" s="154" t="str">
        <f>TEXT(B1193,"0")</f>
        <v>100947</v>
      </c>
      <c r="D1193" s="154" t="s">
        <v>1416</v>
      </c>
      <c r="E1193" s="155" t="s">
        <v>385</v>
      </c>
      <c r="F1193" s="154">
        <f>IF(Dados_DMT!$B$13&lt;30,Dados_DMT!$B$13,30)</f>
        <v>30</v>
      </c>
      <c r="G1193" s="154" t="s">
        <v>3534</v>
      </c>
      <c r="H1193" s="152">
        <v>2.15</v>
      </c>
      <c r="I1193" s="152">
        <v>2.13</v>
      </c>
      <c r="J1193" s="156"/>
      <c r="K1193" s="156">
        <f>ROUND(Ciclovia!J120*F1193,2)</f>
        <v>0</v>
      </c>
      <c r="L1193" s="156">
        <f>IF($K1193&gt;$J1193,$K1193-$J1193,0)</f>
        <v>0</v>
      </c>
      <c r="M1193" s="156">
        <f>IF($K1193&lt;$J1193,$J1193-$K1193,0)</f>
        <v>0</v>
      </c>
      <c r="N1193" s="156" t="s">
        <v>83</v>
      </c>
      <c r="O1193" s="157" cm="1">
        <f t="array" ref="O1193">TRUNC($H1193*(1+_xlfn.SWITCH($N1193,"BDI 1",$O$6,"BDI 2",$O$7,"BDI 3",$O$8)),2)</f>
        <v>2.59</v>
      </c>
      <c r="P1193" s="157" cm="1">
        <f t="array" ref="P1193">TRUNC($I1193*(1+_xlfn.SWITCH($N1193,"BDI 1",$P$6,"BDI 2",$P$7,"BDI 3",$P$8)),2)</f>
        <v>2.69</v>
      </c>
      <c r="Q1193" s="157">
        <v>0</v>
      </c>
      <c r="R1193" s="157">
        <f>$Q1193-($Q1193*LICITACAO_DESCONTO)</f>
        <v>0</v>
      </c>
      <c r="S1193" s="156">
        <f>TRUNC($K1193*$O1193,2)</f>
        <v>0</v>
      </c>
      <c r="T1193" s="156">
        <f>TRUNC($K1193*$P1193,2)</f>
        <v>0</v>
      </c>
      <c r="U1193" s="156">
        <f>TRUNC($J1193*$R1193,2)</f>
        <v>0</v>
      </c>
      <c r="V1193" s="156">
        <f>TRUNC($K1193*$Q1193,2)</f>
        <v>0</v>
      </c>
      <c r="W1193" s="156">
        <f>TRUNC(V1193-U1193,2)</f>
        <v>0</v>
      </c>
      <c r="X1193" s="158">
        <f>$S1193/ORCAMENTO_VALOR_TOTAL_ND</f>
        <v>0</v>
      </c>
      <c r="Y1193" s="158">
        <f>$T1193/ORCAMENTO_VALOR_TOTAL_DE</f>
        <v>0</v>
      </c>
      <c r="Z1193" s="158" cm="1">
        <f t="array" ref="Z1193">_xlfn.SWITCH($N1193,"BDI 1",$O$6,"BDI 2",$O$7,"BDI 3",$O$8)</f>
        <v>0.20699999999999999</v>
      </c>
      <c r="AA1193" s="158" cm="1">
        <f t="array" ref="AA1193">_xlfn.SWITCH($N1193,"BDI 1",$P$6,"BDI 2",$P$7,"BDI 3",$P$8)</f>
        <v>0.26739999999999997</v>
      </c>
      <c r="AB1193" s="158">
        <f ca="1">IFERROR($S1193/_xlfn.XLOOKUP($AE1193,$B$16:$B$38,$S$16:$S$38),0)</f>
        <v>0</v>
      </c>
      <c r="AC1193" s="158">
        <f ca="1">IFERROR($T1193/_xlfn.XLOOKUP($AE1193,$B$16:$B$38,$T$16:$T$38),0)</f>
        <v>0</v>
      </c>
      <c r="AD1193" s="164"/>
      <c r="AE1193" s="148">
        <f t="shared" ref="AE1193:AE1194" si="1983">IF(S1193&gt;0,IFERROR(TRUNC(A1193,0),0),0)</f>
        <v>0</v>
      </c>
      <c r="AF1193" s="149"/>
      <c r="AG1193" s="150"/>
      <c r="AH1193" s="159" t="e">
        <f>+S1193/$S$1118</f>
        <v>#DIV/0!</v>
      </c>
      <c r="AI1193" s="160"/>
      <c r="AJ1193" s="105"/>
      <c r="AK1193" s="105"/>
      <c r="AM1193" s="105"/>
      <c r="AN1193" s="105"/>
      <c r="AO1193" s="105"/>
      <c r="AP1193" s="105"/>
      <c r="AQ1193" s="105"/>
      <c r="AR1193" s="105"/>
    </row>
    <row r="1194" spans="1:44" s="49" customFormat="1" ht="40.15" hidden="1" customHeight="1">
      <c r="A1194" s="152">
        <f t="shared" ca="1" si="1979"/>
        <v>0</v>
      </c>
      <c r="B1194" s="153">
        <v>100948</v>
      </c>
      <c r="C1194" s="154" t="str">
        <f>TEXT(B1194,"0")</f>
        <v>100948</v>
      </c>
      <c r="D1194" s="154" t="s">
        <v>1416</v>
      </c>
      <c r="E1194" s="155" t="s">
        <v>3615</v>
      </c>
      <c r="F1194" s="154">
        <f>+Dados_DMT!$B$13-F1193</f>
        <v>70</v>
      </c>
      <c r="G1194" s="154" t="s">
        <v>3534</v>
      </c>
      <c r="H1194" s="152">
        <v>0.85</v>
      </c>
      <c r="I1194" s="152">
        <v>0.84</v>
      </c>
      <c r="J1194" s="156"/>
      <c r="K1194" s="156">
        <f>ROUND(Ciclovia!J120*F1194,2)</f>
        <v>0</v>
      </c>
      <c r="L1194" s="156">
        <f>IF($K1194&gt;$J1194,$K1194-$J1194,0)</f>
        <v>0</v>
      </c>
      <c r="M1194" s="156">
        <f>IF($K1194&lt;$J1194,$J1194-$K1194,0)</f>
        <v>0</v>
      </c>
      <c r="N1194" s="156" t="s">
        <v>83</v>
      </c>
      <c r="O1194" s="157" cm="1">
        <f t="array" ref="O1194">TRUNC($H1194*(1+_xlfn.SWITCH($N1194,"BDI 1",$O$6,"BDI 2",$O$7,"BDI 3",$O$8)),2)</f>
        <v>1.02</v>
      </c>
      <c r="P1194" s="157" cm="1">
        <f t="array" ref="P1194">TRUNC($I1194*(1+_xlfn.SWITCH($N1194,"BDI 1",$P$6,"BDI 2",$P$7,"BDI 3",$P$8)),2)</f>
        <v>1.06</v>
      </c>
      <c r="Q1194" s="157">
        <v>0</v>
      </c>
      <c r="R1194" s="157">
        <f>$Q1194-($Q1194*LICITACAO_DESCONTO)</f>
        <v>0</v>
      </c>
      <c r="S1194" s="156">
        <f>TRUNC($K1194*$O1194,2)</f>
        <v>0</v>
      </c>
      <c r="T1194" s="156">
        <f>TRUNC($K1194*$P1194,2)</f>
        <v>0</v>
      </c>
      <c r="U1194" s="156">
        <f>TRUNC($J1194*$R1194,2)</f>
        <v>0</v>
      </c>
      <c r="V1194" s="156">
        <f>TRUNC($K1194*$Q1194,2)</f>
        <v>0</v>
      </c>
      <c r="W1194" s="156">
        <f>TRUNC(V1194-U1194,2)</f>
        <v>0</v>
      </c>
      <c r="X1194" s="158">
        <f>$S1194/ORCAMENTO_VALOR_TOTAL_ND</f>
        <v>0</v>
      </c>
      <c r="Y1194" s="158">
        <f>$T1194/ORCAMENTO_VALOR_TOTAL_DE</f>
        <v>0</v>
      </c>
      <c r="Z1194" s="158" cm="1">
        <f t="array" ref="Z1194">_xlfn.SWITCH($N1194,"BDI 1",$O$6,"BDI 2",$O$7,"BDI 3",$O$8)</f>
        <v>0.20699999999999999</v>
      </c>
      <c r="AA1194" s="158" cm="1">
        <f t="array" ref="AA1194">_xlfn.SWITCH($N1194,"BDI 1",$P$6,"BDI 2",$P$7,"BDI 3",$P$8)</f>
        <v>0.26739999999999997</v>
      </c>
      <c r="AB1194" s="158">
        <f ca="1">IFERROR($S1194/_xlfn.XLOOKUP($AE1194,$B$16:$B$38,$S$16:$S$38),0)</f>
        <v>0</v>
      </c>
      <c r="AC1194" s="158">
        <f ca="1">IFERROR($T1194/_xlfn.XLOOKUP($AE1194,$B$16:$B$38,$T$16:$T$38),0)</f>
        <v>0</v>
      </c>
      <c r="AD1194" s="164"/>
      <c r="AE1194" s="148">
        <f t="shared" si="1983"/>
        <v>0</v>
      </c>
      <c r="AF1194" s="149"/>
      <c r="AG1194" s="150"/>
      <c r="AH1194" s="159" t="e">
        <f>+S1194/$S$1118</f>
        <v>#DIV/0!</v>
      </c>
      <c r="AI1194" s="160"/>
      <c r="AJ1194" s="105"/>
      <c r="AK1194" s="105"/>
      <c r="AM1194" s="105"/>
      <c r="AN1194" s="105"/>
      <c r="AO1194" s="105"/>
      <c r="AP1194" s="105"/>
      <c r="AQ1194" s="105"/>
      <c r="AR1194" s="105"/>
    </row>
    <row r="1195" spans="1:44" s="220" customFormat="1" ht="24.95" hidden="1" customHeight="1">
      <c r="A1195" s="10">
        <f t="shared" ca="1" si="1979"/>
        <v>0</v>
      </c>
      <c r="B1195" s="221"/>
      <c r="C1195" s="222"/>
      <c r="D1195" s="154"/>
      <c r="E1195" s="155"/>
      <c r="F1195" s="154"/>
      <c r="G1195" s="154"/>
      <c r="H1195" s="154"/>
      <c r="I1195" s="154"/>
      <c r="J1195" s="154"/>
      <c r="K1195" s="154"/>
      <c r="L1195" s="154"/>
      <c r="M1195" s="154"/>
      <c r="N1195" s="154"/>
      <c r="O1195" s="154"/>
      <c r="P1195" s="154"/>
      <c r="Q1195" s="154"/>
      <c r="R1195" s="154"/>
      <c r="S1195" s="162"/>
      <c r="T1195" s="162"/>
      <c r="U1195" s="162"/>
      <c r="V1195" s="162"/>
      <c r="W1195" s="162"/>
      <c r="X1195" s="163"/>
      <c r="Y1195" s="163"/>
      <c r="Z1195" s="163"/>
      <c r="AA1195" s="163"/>
      <c r="AB1195" s="163"/>
      <c r="AC1195" s="163"/>
      <c r="AD1195" s="164"/>
      <c r="AE1195" s="148">
        <f>IF(S1196&gt;0,IFERROR(TRUNC(A1196,0),0),0)</f>
        <v>0</v>
      </c>
      <c r="AF1195" s="149"/>
      <c r="AG1195" s="150"/>
      <c r="AH1195" s="159"/>
      <c r="AI1195" s="160"/>
      <c r="AJ1195" s="219" t="s">
        <v>385</v>
      </c>
      <c r="AK1195" s="219"/>
      <c r="AM1195" s="219"/>
      <c r="AN1195" s="219"/>
      <c r="AO1195" s="219"/>
      <c r="AP1195" s="219"/>
      <c r="AQ1195" s="219"/>
      <c r="AR1195" s="219"/>
    </row>
    <row r="1196" spans="1:44" s="105" customFormat="1" ht="24.95" hidden="1" customHeight="1">
      <c r="A1196" s="169">
        <f ca="1">$B$35</f>
        <v>0</v>
      </c>
      <c r="B1196" s="170"/>
      <c r="C1196" s="171"/>
      <c r="D1196" s="172"/>
      <c r="E1196" s="173" t="str">
        <f>$D$35</f>
        <v>SINALIZAÇÃO VIÁRIA DEFINITIVA HORIZONTAL E VERTICAL E DISPOSITIVOS DE SEGURANÇA</v>
      </c>
      <c r="F1196" s="174">
        <v>0</v>
      </c>
      <c r="G1196" s="175"/>
      <c r="H1196" s="176" t="s">
        <v>386</v>
      </c>
      <c r="I1196" s="176" t="s">
        <v>386</v>
      </c>
      <c r="J1196" s="177"/>
      <c r="K1196" s="177"/>
      <c r="L1196" s="177"/>
      <c r="M1196" s="177"/>
      <c r="N1196" s="177"/>
      <c r="O1196" s="178" t="str">
        <f ca="1">CONCATENATE("SUB-TOTAL ",$A1196)</f>
        <v>SUB-TOTAL 0</v>
      </c>
      <c r="P1196" s="178" t="e" cm="1">
        <f t="array" ref="P1196">TRUNC($I1196*(1+_xlfn.SWITCH($N1196,"BDI 1",$P$6,"BDI 2",$P$7,"BDI 3",$P$8)),2)</f>
        <v>#VALUE!</v>
      </c>
      <c r="Q1196" s="178" t="str">
        <f ca="1">CONCATENATE("SUB-TOTAL ",$A1196)</f>
        <v>SUB-TOTAL 0</v>
      </c>
      <c r="R1196" s="178"/>
      <c r="S1196" s="179">
        <f>SUM(S1197:S1225)</f>
        <v>0</v>
      </c>
      <c r="T1196" s="179">
        <f>SUM(T1197:T1225)</f>
        <v>0</v>
      </c>
      <c r="U1196" s="179">
        <f>SUM(U1197:U1225)</f>
        <v>0</v>
      </c>
      <c r="V1196" s="179">
        <f>SUM(V1197:V1225)</f>
        <v>0</v>
      </c>
      <c r="W1196" s="179">
        <f t="shared" ref="W1196:W1225" si="1984">TRUNC(V1196-U1196,2)</f>
        <v>0</v>
      </c>
      <c r="X1196" s="180">
        <f t="shared" ref="X1196" si="1985">$S1196/ORCAMENTO_VALOR_TOTAL_ND</f>
        <v>0</v>
      </c>
      <c r="Y1196" s="180">
        <f t="shared" ref="Y1196" si="1986">$T1196/ORCAMENTO_VALOR_TOTAL_DE</f>
        <v>0</v>
      </c>
      <c r="Z1196" s="180"/>
      <c r="AA1196" s="180"/>
      <c r="AB1196" s="180">
        <f>IFERROR($S1196/$S1196,0)</f>
        <v>0</v>
      </c>
      <c r="AC1196" s="180">
        <f>IFERROR($T1196/$T1196,0)</f>
        <v>0</v>
      </c>
      <c r="AD1196" s="147"/>
      <c r="AE1196" s="148">
        <f t="shared" ref="AE1196:AE1225" si="1987">IF(S1196&gt;0,IFERROR(TRUNC(A1196,0),0),0)</f>
        <v>0</v>
      </c>
      <c r="AF1196" s="149"/>
      <c r="AG1196" s="150"/>
      <c r="AH1196" s="151" t="e">
        <f t="shared" ref="AH1196:AH1225" si="1988">+S1196/S$1196</f>
        <v>#DIV/0!</v>
      </c>
    </row>
    <row r="1197" spans="1:44" s="49" customFormat="1" ht="40.15" hidden="1" customHeight="1">
      <c r="A1197" s="152">
        <f t="shared" ref="A1197:A1226" ca="1" si="1989">+IF(K1197&gt;0,A1196+0.01,A1196)</f>
        <v>0</v>
      </c>
      <c r="B1197" s="153" t="s">
        <v>387</v>
      </c>
      <c r="C1197" s="154" t="str">
        <f t="shared" ref="C1197:C1225" si="1990">TEXT(B1197,"0")</f>
        <v>SV/0005</v>
      </c>
      <c r="D1197" s="154" t="s">
        <v>3549</v>
      </c>
      <c r="E1197" s="155" t="s">
        <v>3974</v>
      </c>
      <c r="F1197" s="154"/>
      <c r="G1197" s="154" t="s">
        <v>1418</v>
      </c>
      <c r="H1197" s="152">
        <v>99.96</v>
      </c>
      <c r="I1197" s="152">
        <v>99.51</v>
      </c>
      <c r="J1197" s="156"/>
      <c r="K1197" s="156">
        <f>+Sinal_Via!K383</f>
        <v>0</v>
      </c>
      <c r="L1197" s="156">
        <f t="shared" ref="L1197:L1225" si="1991">IF($K1197&gt;$J1197,$K1197-$J1197,0)</f>
        <v>0</v>
      </c>
      <c r="M1197" s="156">
        <f t="shared" ref="M1197:M1225" si="1992">IF($K1197&lt;$J1197,$J1197-$K1197,0)</f>
        <v>0</v>
      </c>
      <c r="N1197" s="156" t="s">
        <v>83</v>
      </c>
      <c r="O1197" s="157" cm="1">
        <f t="array" ref="O1197">TRUNC($H1197*(1+_xlfn.SWITCH($N1197,"BDI 1",$O$6,"BDI 2",$O$7,"BDI 3",$O$8)),2)</f>
        <v>120.65</v>
      </c>
      <c r="P1197" s="157" cm="1">
        <f t="array" ref="P1197">TRUNC($I1197*(1+_xlfn.SWITCH($N1197,"BDI 1",$P$6,"BDI 2",$P$7,"BDI 3",$P$8)),2)</f>
        <v>126.11</v>
      </c>
      <c r="Q1197" s="157">
        <v>0</v>
      </c>
      <c r="R1197" s="157">
        <f t="shared" ref="R1197:R1225" si="1993">$Q1197-($Q1197*LICITACAO_DESCONTO)</f>
        <v>0</v>
      </c>
      <c r="S1197" s="156">
        <f t="shared" ref="S1197:S1225" si="1994">TRUNC($K1197*$O1197,2)</f>
        <v>0</v>
      </c>
      <c r="T1197" s="156">
        <f t="shared" ref="T1197:T1225" si="1995">TRUNC($K1197*$P1197,2)</f>
        <v>0</v>
      </c>
      <c r="U1197" s="156">
        <f t="shared" ref="U1197:U1225" si="1996">TRUNC($J1197*$R1197,2)</f>
        <v>0</v>
      </c>
      <c r="V1197" s="156">
        <f t="shared" ref="V1197:V1225" si="1997">TRUNC($K1197*$Q1197,2)</f>
        <v>0</v>
      </c>
      <c r="W1197" s="156">
        <f t="shared" si="1984"/>
        <v>0</v>
      </c>
      <c r="X1197" s="158">
        <f t="shared" ref="X1197" si="1998">$S1197/ORCAMENTO_VALOR_TOTAL_ND</f>
        <v>0</v>
      </c>
      <c r="Y1197" s="158">
        <f t="shared" ref="Y1197" si="1999">$T1197/ORCAMENTO_VALOR_TOTAL_DE</f>
        <v>0</v>
      </c>
      <c r="Z1197" s="158" cm="1">
        <f t="array" ref="Z1197">_xlfn.SWITCH($N1197,"BDI 1",$O$6,"BDI 2",$O$7,"BDI 3",$O$8)</f>
        <v>0.20699999999999999</v>
      </c>
      <c r="AA1197" s="158" cm="1">
        <f t="array" ref="AA1197">_xlfn.SWITCH($N1197,"BDI 1",$P$6,"BDI 2",$P$7,"BDI 3",$P$8)</f>
        <v>0.26739999999999997</v>
      </c>
      <c r="AB1197" s="158">
        <f t="shared" ref="AB1197:AB1225" ca="1" si="2000">IFERROR($S1197/_xlfn.XLOOKUP($AE1197,$B$16:$B$38,$S$16:$S$38),0)</f>
        <v>0</v>
      </c>
      <c r="AC1197" s="158">
        <f t="shared" ref="AC1197:AC1225" ca="1" si="2001">IFERROR($T1197/_xlfn.XLOOKUP($AE1197,$B$16:$B$38,$T$16:$T$38),0)</f>
        <v>0</v>
      </c>
      <c r="AD1197" s="164"/>
      <c r="AE1197" s="148">
        <f t="shared" si="1987"/>
        <v>0</v>
      </c>
      <c r="AF1197" s="149"/>
      <c r="AG1197" s="150"/>
      <c r="AH1197" s="159" t="e">
        <f t="shared" si="1988"/>
        <v>#DIV/0!</v>
      </c>
      <c r="AI1197" s="160">
        <v>0</v>
      </c>
      <c r="AJ1197" s="105"/>
      <c r="AK1197" s="105"/>
      <c r="AM1197" s="105"/>
      <c r="AN1197" s="105"/>
      <c r="AO1197" s="105"/>
      <c r="AP1197" s="105"/>
      <c r="AQ1197" s="105"/>
      <c r="AR1197" s="105"/>
    </row>
    <row r="1198" spans="1:44" s="49" customFormat="1" ht="40.15" hidden="1" customHeight="1">
      <c r="A1198" s="152">
        <f t="shared" ca="1" si="1989"/>
        <v>0</v>
      </c>
      <c r="B1198" s="153" t="s">
        <v>388</v>
      </c>
      <c r="C1198" s="154" t="str">
        <f t="shared" si="1990"/>
        <v>SV/0010</v>
      </c>
      <c r="D1198" s="154" t="s">
        <v>3549</v>
      </c>
      <c r="E1198" s="155" t="s">
        <v>3975</v>
      </c>
      <c r="F1198" s="154"/>
      <c r="G1198" s="154" t="s">
        <v>1418</v>
      </c>
      <c r="H1198" s="152">
        <v>99.96</v>
      </c>
      <c r="I1198" s="152">
        <v>99.51</v>
      </c>
      <c r="J1198" s="156"/>
      <c r="K1198" s="156">
        <f>+Sinal_Via!K348</f>
        <v>0</v>
      </c>
      <c r="L1198" s="156">
        <f t="shared" si="1991"/>
        <v>0</v>
      </c>
      <c r="M1198" s="156">
        <f t="shared" si="1992"/>
        <v>0</v>
      </c>
      <c r="N1198" s="156" t="s">
        <v>83</v>
      </c>
      <c r="O1198" s="157" cm="1">
        <f t="array" ref="O1198">TRUNC($H1198*(1+_xlfn.SWITCH($N1198,"BDI 1",$O$6,"BDI 2",$O$7,"BDI 3",$O$8)),2)</f>
        <v>120.65</v>
      </c>
      <c r="P1198" s="157" cm="1">
        <f t="array" ref="P1198">TRUNC($I1198*(1+_xlfn.SWITCH($N1198,"BDI 1",$P$6,"BDI 2",$P$7,"BDI 3",$P$8)),2)</f>
        <v>126.11</v>
      </c>
      <c r="Q1198" s="157">
        <v>0</v>
      </c>
      <c r="R1198" s="157">
        <f t="shared" si="1993"/>
        <v>0</v>
      </c>
      <c r="S1198" s="156">
        <f t="shared" si="1994"/>
        <v>0</v>
      </c>
      <c r="T1198" s="156">
        <f t="shared" si="1995"/>
        <v>0</v>
      </c>
      <c r="U1198" s="156">
        <f t="shared" si="1996"/>
        <v>0</v>
      </c>
      <c r="V1198" s="156">
        <f t="shared" si="1997"/>
        <v>0</v>
      </c>
      <c r="W1198" s="156">
        <f t="shared" si="1984"/>
        <v>0</v>
      </c>
      <c r="X1198" s="158">
        <f t="shared" ref="X1198" si="2002">$S1198/ORCAMENTO_VALOR_TOTAL_ND</f>
        <v>0</v>
      </c>
      <c r="Y1198" s="158">
        <f t="shared" ref="Y1198" si="2003">$T1198/ORCAMENTO_VALOR_TOTAL_DE</f>
        <v>0</v>
      </c>
      <c r="Z1198" s="158" cm="1">
        <f t="array" ref="Z1198">_xlfn.SWITCH($N1198,"BDI 1",$O$6,"BDI 2",$O$7,"BDI 3",$O$8)</f>
        <v>0.20699999999999999</v>
      </c>
      <c r="AA1198" s="158" cm="1">
        <f t="array" ref="AA1198">_xlfn.SWITCH($N1198,"BDI 1",$P$6,"BDI 2",$P$7,"BDI 3",$P$8)</f>
        <v>0.26739999999999997</v>
      </c>
      <c r="AB1198" s="158">
        <f t="shared" ca="1" si="2000"/>
        <v>0</v>
      </c>
      <c r="AC1198" s="158">
        <f t="shared" ca="1" si="2001"/>
        <v>0</v>
      </c>
      <c r="AD1198" s="164"/>
      <c r="AE1198" s="148">
        <f t="shared" si="1987"/>
        <v>0</v>
      </c>
      <c r="AF1198" s="149"/>
      <c r="AG1198" s="150"/>
      <c r="AH1198" s="159" t="e">
        <f t="shared" si="1988"/>
        <v>#DIV/0!</v>
      </c>
      <c r="AI1198" s="160">
        <v>0</v>
      </c>
      <c r="AJ1198" s="105"/>
      <c r="AK1198" s="105"/>
      <c r="AM1198" s="105"/>
      <c r="AN1198" s="105"/>
      <c r="AO1198" s="105"/>
      <c r="AP1198" s="105"/>
      <c r="AQ1198" s="105"/>
      <c r="AR1198" s="105"/>
    </row>
    <row r="1199" spans="1:44" s="49" customFormat="1" ht="40.15" hidden="1" customHeight="1">
      <c r="A1199" s="152">
        <f t="shared" ca="1" si="1989"/>
        <v>0</v>
      </c>
      <c r="B1199" s="153" t="s">
        <v>389</v>
      </c>
      <c r="C1199" s="154" t="str">
        <f t="shared" si="1990"/>
        <v>SV/0012</v>
      </c>
      <c r="D1199" s="154" t="s">
        <v>3549</v>
      </c>
      <c r="E1199" s="155" t="s">
        <v>3976</v>
      </c>
      <c r="F1199" s="154"/>
      <c r="G1199" s="154" t="s">
        <v>1418</v>
      </c>
      <c r="H1199" s="152">
        <v>37.07</v>
      </c>
      <c r="I1199" s="152">
        <v>36.49</v>
      </c>
      <c r="J1199" s="156"/>
      <c r="K1199" s="156">
        <f>Sinal_Via!K362</f>
        <v>0</v>
      </c>
      <c r="L1199" s="156">
        <f t="shared" si="1991"/>
        <v>0</v>
      </c>
      <c r="M1199" s="156">
        <f t="shared" si="1992"/>
        <v>0</v>
      </c>
      <c r="N1199" s="156" t="s">
        <v>83</v>
      </c>
      <c r="O1199" s="157" cm="1">
        <f t="array" ref="O1199">TRUNC($H1199*(1+_xlfn.SWITCH($N1199,"BDI 1",$O$6,"BDI 2",$O$7,"BDI 3",$O$8)),2)</f>
        <v>44.74</v>
      </c>
      <c r="P1199" s="157" cm="1">
        <f t="array" ref="P1199">TRUNC($I1199*(1+_xlfn.SWITCH($N1199,"BDI 1",$P$6,"BDI 2",$P$7,"BDI 3",$P$8)),2)</f>
        <v>46.24</v>
      </c>
      <c r="Q1199" s="157">
        <v>0</v>
      </c>
      <c r="R1199" s="157">
        <f t="shared" si="1993"/>
        <v>0</v>
      </c>
      <c r="S1199" s="156">
        <f t="shared" si="1994"/>
        <v>0</v>
      </c>
      <c r="T1199" s="156">
        <f t="shared" si="1995"/>
        <v>0</v>
      </c>
      <c r="U1199" s="156">
        <f t="shared" si="1996"/>
        <v>0</v>
      </c>
      <c r="V1199" s="156">
        <f t="shared" si="1997"/>
        <v>0</v>
      </c>
      <c r="W1199" s="156">
        <f t="shared" si="1984"/>
        <v>0</v>
      </c>
      <c r="X1199" s="158">
        <f t="shared" ref="X1199" si="2004">$S1199/ORCAMENTO_VALOR_TOTAL_ND</f>
        <v>0</v>
      </c>
      <c r="Y1199" s="158">
        <f t="shared" ref="Y1199" si="2005">$T1199/ORCAMENTO_VALOR_TOTAL_DE</f>
        <v>0</v>
      </c>
      <c r="Z1199" s="158" cm="1">
        <f t="array" ref="Z1199">_xlfn.SWITCH($N1199,"BDI 1",$O$6,"BDI 2",$O$7,"BDI 3",$O$8)</f>
        <v>0.20699999999999999</v>
      </c>
      <c r="AA1199" s="158" cm="1">
        <f t="array" ref="AA1199">_xlfn.SWITCH($N1199,"BDI 1",$P$6,"BDI 2",$P$7,"BDI 3",$P$8)</f>
        <v>0.26739999999999997</v>
      </c>
      <c r="AB1199" s="158">
        <f t="shared" ca="1" si="2000"/>
        <v>0</v>
      </c>
      <c r="AC1199" s="158">
        <f t="shared" ca="1" si="2001"/>
        <v>0</v>
      </c>
      <c r="AD1199" s="164"/>
      <c r="AE1199" s="148">
        <f t="shared" si="1987"/>
        <v>0</v>
      </c>
      <c r="AF1199" s="149"/>
      <c r="AG1199" s="150"/>
      <c r="AH1199" s="159" t="e">
        <f t="shared" si="1988"/>
        <v>#DIV/0!</v>
      </c>
      <c r="AI1199" s="160">
        <v>0</v>
      </c>
      <c r="AJ1199" s="105"/>
      <c r="AK1199" s="105"/>
      <c r="AM1199" s="105"/>
      <c r="AN1199" s="105"/>
      <c r="AO1199" s="105"/>
      <c r="AP1199" s="105"/>
      <c r="AQ1199" s="105"/>
      <c r="AR1199" s="105"/>
    </row>
    <row r="1200" spans="1:44" s="49" customFormat="1" ht="40.15" hidden="1" customHeight="1">
      <c r="A1200" s="152">
        <f t="shared" ca="1" si="1989"/>
        <v>0</v>
      </c>
      <c r="B1200" s="153" t="s">
        <v>390</v>
      </c>
      <c r="C1200" s="154" t="str">
        <f t="shared" si="1990"/>
        <v>SV/0015</v>
      </c>
      <c r="D1200" s="154" t="s">
        <v>3549</v>
      </c>
      <c r="E1200" s="155" t="s">
        <v>3977</v>
      </c>
      <c r="F1200" s="154"/>
      <c r="G1200" s="154" t="s">
        <v>1418</v>
      </c>
      <c r="H1200" s="152">
        <v>49.29</v>
      </c>
      <c r="I1200" s="152">
        <v>49.11</v>
      </c>
      <c r="J1200" s="156"/>
      <c r="K1200" s="156">
        <f>+Sinal_Via!K304</f>
        <v>0</v>
      </c>
      <c r="L1200" s="156">
        <f t="shared" si="1991"/>
        <v>0</v>
      </c>
      <c r="M1200" s="156">
        <f t="shared" si="1992"/>
        <v>0</v>
      </c>
      <c r="N1200" s="156" t="s">
        <v>83</v>
      </c>
      <c r="O1200" s="157" cm="1">
        <f t="array" ref="O1200">TRUNC($H1200*(1+_xlfn.SWITCH($N1200,"BDI 1",$O$6,"BDI 2",$O$7,"BDI 3",$O$8)),2)</f>
        <v>59.49</v>
      </c>
      <c r="P1200" s="157" cm="1">
        <f t="array" ref="P1200">TRUNC($I1200*(1+_xlfn.SWITCH($N1200,"BDI 1",$P$6,"BDI 2",$P$7,"BDI 3",$P$8)),2)</f>
        <v>62.24</v>
      </c>
      <c r="Q1200" s="157">
        <v>0</v>
      </c>
      <c r="R1200" s="157">
        <f t="shared" si="1993"/>
        <v>0</v>
      </c>
      <c r="S1200" s="156">
        <f t="shared" si="1994"/>
        <v>0</v>
      </c>
      <c r="T1200" s="156">
        <f t="shared" si="1995"/>
        <v>0</v>
      </c>
      <c r="U1200" s="156">
        <f t="shared" si="1996"/>
        <v>0</v>
      </c>
      <c r="V1200" s="156">
        <f t="shared" si="1997"/>
        <v>0</v>
      </c>
      <c r="W1200" s="156">
        <f t="shared" si="1984"/>
        <v>0</v>
      </c>
      <c r="X1200" s="158">
        <f t="shared" ref="X1200" si="2006">$S1200/ORCAMENTO_VALOR_TOTAL_ND</f>
        <v>0</v>
      </c>
      <c r="Y1200" s="158">
        <f t="shared" ref="Y1200" si="2007">$T1200/ORCAMENTO_VALOR_TOTAL_DE</f>
        <v>0</v>
      </c>
      <c r="Z1200" s="158" cm="1">
        <f t="array" ref="Z1200">_xlfn.SWITCH($N1200,"BDI 1",$O$6,"BDI 2",$O$7,"BDI 3",$O$8)</f>
        <v>0.20699999999999999</v>
      </c>
      <c r="AA1200" s="158" cm="1">
        <f t="array" ref="AA1200">_xlfn.SWITCH($N1200,"BDI 1",$P$6,"BDI 2",$P$7,"BDI 3",$P$8)</f>
        <v>0.26739999999999997</v>
      </c>
      <c r="AB1200" s="158">
        <f t="shared" ca="1" si="2000"/>
        <v>0</v>
      </c>
      <c r="AC1200" s="158">
        <f t="shared" ca="1" si="2001"/>
        <v>0</v>
      </c>
      <c r="AD1200" s="164"/>
      <c r="AE1200" s="148">
        <f t="shared" si="1987"/>
        <v>0</v>
      </c>
      <c r="AF1200" s="149"/>
      <c r="AG1200" s="150"/>
      <c r="AH1200" s="159" t="e">
        <f t="shared" si="1988"/>
        <v>#DIV/0!</v>
      </c>
      <c r="AI1200" s="160">
        <v>0</v>
      </c>
      <c r="AJ1200" s="105"/>
      <c r="AK1200" s="105"/>
      <c r="AM1200" s="105"/>
      <c r="AN1200" s="105"/>
      <c r="AO1200" s="105"/>
      <c r="AP1200" s="105"/>
      <c r="AQ1200" s="105"/>
      <c r="AR1200" s="105"/>
    </row>
    <row r="1201" spans="1:44" s="49" customFormat="1" ht="40.15" hidden="1" customHeight="1">
      <c r="A1201" s="152">
        <f t="shared" ca="1" si="1989"/>
        <v>0</v>
      </c>
      <c r="B1201" s="153" t="s">
        <v>391</v>
      </c>
      <c r="C1201" s="154" t="str">
        <f t="shared" si="1990"/>
        <v>SV/0020</v>
      </c>
      <c r="D1201" s="154" t="s">
        <v>3549</v>
      </c>
      <c r="E1201" s="155" t="s">
        <v>3978</v>
      </c>
      <c r="F1201" s="154"/>
      <c r="G1201" s="154" t="s">
        <v>1418</v>
      </c>
      <c r="H1201" s="152">
        <v>186.16</v>
      </c>
      <c r="I1201" s="152">
        <v>184.22</v>
      </c>
      <c r="J1201" s="156"/>
      <c r="K1201" s="156">
        <f>+Sinal_Via!K315</f>
        <v>0</v>
      </c>
      <c r="L1201" s="156">
        <f t="shared" si="1991"/>
        <v>0</v>
      </c>
      <c r="M1201" s="156">
        <f t="shared" si="1992"/>
        <v>0</v>
      </c>
      <c r="N1201" s="156" t="s">
        <v>83</v>
      </c>
      <c r="O1201" s="157" cm="1">
        <f t="array" ref="O1201">TRUNC($H1201*(1+_xlfn.SWITCH($N1201,"BDI 1",$O$6,"BDI 2",$O$7,"BDI 3",$O$8)),2)</f>
        <v>224.69</v>
      </c>
      <c r="P1201" s="157" cm="1">
        <f t="array" ref="P1201">TRUNC($I1201*(1+_xlfn.SWITCH($N1201,"BDI 1",$P$6,"BDI 2",$P$7,"BDI 3",$P$8)),2)</f>
        <v>233.48</v>
      </c>
      <c r="Q1201" s="157">
        <v>0</v>
      </c>
      <c r="R1201" s="157">
        <f t="shared" si="1993"/>
        <v>0</v>
      </c>
      <c r="S1201" s="156">
        <f t="shared" si="1994"/>
        <v>0</v>
      </c>
      <c r="T1201" s="156">
        <f t="shared" si="1995"/>
        <v>0</v>
      </c>
      <c r="U1201" s="156">
        <f t="shared" si="1996"/>
        <v>0</v>
      </c>
      <c r="V1201" s="156">
        <f t="shared" si="1997"/>
        <v>0</v>
      </c>
      <c r="W1201" s="156">
        <f t="shared" si="1984"/>
        <v>0</v>
      </c>
      <c r="X1201" s="158">
        <f t="shared" ref="X1201" si="2008">$S1201/ORCAMENTO_VALOR_TOTAL_ND</f>
        <v>0</v>
      </c>
      <c r="Y1201" s="158">
        <f t="shared" ref="Y1201" si="2009">$T1201/ORCAMENTO_VALOR_TOTAL_DE</f>
        <v>0</v>
      </c>
      <c r="Z1201" s="158" cm="1">
        <f t="array" ref="Z1201">_xlfn.SWITCH($N1201,"BDI 1",$O$6,"BDI 2",$O$7,"BDI 3",$O$8)</f>
        <v>0.20699999999999999</v>
      </c>
      <c r="AA1201" s="158" cm="1">
        <f t="array" ref="AA1201">_xlfn.SWITCH($N1201,"BDI 1",$P$6,"BDI 2",$P$7,"BDI 3",$P$8)</f>
        <v>0.26739999999999997</v>
      </c>
      <c r="AB1201" s="158">
        <f t="shared" ca="1" si="2000"/>
        <v>0</v>
      </c>
      <c r="AC1201" s="158">
        <f t="shared" ca="1" si="2001"/>
        <v>0</v>
      </c>
      <c r="AD1201" s="164"/>
      <c r="AE1201" s="148">
        <f t="shared" si="1987"/>
        <v>0</v>
      </c>
      <c r="AF1201" s="149"/>
      <c r="AG1201" s="150"/>
      <c r="AH1201" s="159" t="e">
        <f t="shared" si="1988"/>
        <v>#DIV/0!</v>
      </c>
      <c r="AI1201" s="160">
        <v>0</v>
      </c>
      <c r="AJ1201" s="105"/>
      <c r="AK1201" s="105"/>
      <c r="AM1201" s="105"/>
      <c r="AN1201" s="105"/>
      <c r="AO1201" s="105"/>
      <c r="AP1201" s="105"/>
      <c r="AQ1201" s="105"/>
      <c r="AR1201" s="105"/>
    </row>
    <row r="1202" spans="1:44" s="49" customFormat="1" ht="40.15" hidden="1" customHeight="1">
      <c r="A1202" s="152">
        <f t="shared" ca="1" si="1989"/>
        <v>0</v>
      </c>
      <c r="B1202" s="153" t="s">
        <v>392</v>
      </c>
      <c r="C1202" s="154" t="str">
        <f t="shared" si="1990"/>
        <v>SV/0025</v>
      </c>
      <c r="D1202" s="154" t="s">
        <v>3549</v>
      </c>
      <c r="E1202" s="155" t="s">
        <v>3979</v>
      </c>
      <c r="F1202" s="154"/>
      <c r="G1202" s="154" t="s">
        <v>1418</v>
      </c>
      <c r="H1202" s="152">
        <v>115.3</v>
      </c>
      <c r="I1202" s="152">
        <v>115.02</v>
      </c>
      <c r="J1202" s="156"/>
      <c r="K1202" s="156">
        <f>+Sinal_Via!K386</f>
        <v>0</v>
      </c>
      <c r="L1202" s="156">
        <f t="shared" si="1991"/>
        <v>0</v>
      </c>
      <c r="M1202" s="156">
        <f t="shared" si="1992"/>
        <v>0</v>
      </c>
      <c r="N1202" s="156" t="s">
        <v>83</v>
      </c>
      <c r="O1202" s="157" cm="1">
        <f t="array" ref="O1202">TRUNC($H1202*(1+_xlfn.SWITCH($N1202,"BDI 1",$O$6,"BDI 2",$O$7,"BDI 3",$O$8)),2)</f>
        <v>139.16</v>
      </c>
      <c r="P1202" s="157" cm="1">
        <f t="array" ref="P1202">TRUNC($I1202*(1+_xlfn.SWITCH($N1202,"BDI 1",$P$6,"BDI 2",$P$7,"BDI 3",$P$8)),2)</f>
        <v>145.77000000000001</v>
      </c>
      <c r="Q1202" s="157">
        <v>0</v>
      </c>
      <c r="R1202" s="157">
        <f t="shared" si="1993"/>
        <v>0</v>
      </c>
      <c r="S1202" s="156">
        <f t="shared" si="1994"/>
        <v>0</v>
      </c>
      <c r="T1202" s="156">
        <f t="shared" si="1995"/>
        <v>0</v>
      </c>
      <c r="U1202" s="156">
        <f t="shared" si="1996"/>
        <v>0</v>
      </c>
      <c r="V1202" s="156">
        <f t="shared" si="1997"/>
        <v>0</v>
      </c>
      <c r="W1202" s="156">
        <f t="shared" si="1984"/>
        <v>0</v>
      </c>
      <c r="X1202" s="158">
        <f t="shared" ref="X1202" si="2010">$S1202/ORCAMENTO_VALOR_TOTAL_ND</f>
        <v>0</v>
      </c>
      <c r="Y1202" s="158">
        <f t="shared" ref="Y1202" si="2011">$T1202/ORCAMENTO_VALOR_TOTAL_DE</f>
        <v>0</v>
      </c>
      <c r="Z1202" s="158" cm="1">
        <f t="array" ref="Z1202">_xlfn.SWITCH($N1202,"BDI 1",$O$6,"BDI 2",$O$7,"BDI 3",$O$8)</f>
        <v>0.20699999999999999</v>
      </c>
      <c r="AA1202" s="158" cm="1">
        <f t="array" ref="AA1202">_xlfn.SWITCH($N1202,"BDI 1",$P$6,"BDI 2",$P$7,"BDI 3",$P$8)</f>
        <v>0.26739999999999997</v>
      </c>
      <c r="AB1202" s="158">
        <f t="shared" ca="1" si="2000"/>
        <v>0</v>
      </c>
      <c r="AC1202" s="158">
        <f t="shared" ca="1" si="2001"/>
        <v>0</v>
      </c>
      <c r="AD1202" s="164"/>
      <c r="AE1202" s="148">
        <f t="shared" si="1987"/>
        <v>0</v>
      </c>
      <c r="AF1202" s="149"/>
      <c r="AG1202" s="150"/>
      <c r="AH1202" s="159" t="e">
        <f t="shared" si="1988"/>
        <v>#DIV/0!</v>
      </c>
      <c r="AI1202" s="160">
        <v>0</v>
      </c>
      <c r="AJ1202" s="105"/>
      <c r="AK1202" s="105"/>
      <c r="AM1202" s="105"/>
      <c r="AN1202" s="105"/>
      <c r="AO1202" s="105"/>
      <c r="AP1202" s="105"/>
      <c r="AQ1202" s="105"/>
      <c r="AR1202" s="105"/>
    </row>
    <row r="1203" spans="1:44" s="49" customFormat="1" ht="40.15" hidden="1" customHeight="1">
      <c r="A1203" s="152">
        <f t="shared" ca="1" si="1989"/>
        <v>0</v>
      </c>
      <c r="B1203" s="153" t="s">
        <v>393</v>
      </c>
      <c r="C1203" s="154" t="str">
        <f t="shared" si="1990"/>
        <v>SV/0030</v>
      </c>
      <c r="D1203" s="154" t="s">
        <v>3549</v>
      </c>
      <c r="E1203" s="155" t="s">
        <v>3980</v>
      </c>
      <c r="F1203" s="154"/>
      <c r="G1203" s="154" t="s">
        <v>1418</v>
      </c>
      <c r="H1203" s="152">
        <v>14.57</v>
      </c>
      <c r="I1203" s="152">
        <v>14.48</v>
      </c>
      <c r="J1203" s="156"/>
      <c r="K1203" s="156">
        <f>+Sinal_Via!K312</f>
        <v>0</v>
      </c>
      <c r="L1203" s="156">
        <f t="shared" si="1991"/>
        <v>0</v>
      </c>
      <c r="M1203" s="156">
        <f t="shared" si="1992"/>
        <v>0</v>
      </c>
      <c r="N1203" s="156" t="s">
        <v>83</v>
      </c>
      <c r="O1203" s="157" cm="1">
        <f t="array" ref="O1203">TRUNC($H1203*(1+_xlfn.SWITCH($N1203,"BDI 1",$O$6,"BDI 2",$O$7,"BDI 3",$O$8)),2)</f>
        <v>17.579999999999998</v>
      </c>
      <c r="P1203" s="157" cm="1">
        <f t="array" ref="P1203">TRUNC($I1203*(1+_xlfn.SWITCH($N1203,"BDI 1",$P$6,"BDI 2",$P$7,"BDI 3",$P$8)),2)</f>
        <v>18.350000000000001</v>
      </c>
      <c r="Q1203" s="157">
        <v>0</v>
      </c>
      <c r="R1203" s="157">
        <f t="shared" si="1993"/>
        <v>0</v>
      </c>
      <c r="S1203" s="156">
        <f t="shared" si="1994"/>
        <v>0</v>
      </c>
      <c r="T1203" s="156">
        <f t="shared" si="1995"/>
        <v>0</v>
      </c>
      <c r="U1203" s="156">
        <f t="shared" si="1996"/>
        <v>0</v>
      </c>
      <c r="V1203" s="156">
        <f t="shared" si="1997"/>
        <v>0</v>
      </c>
      <c r="W1203" s="156">
        <f t="shared" si="1984"/>
        <v>0</v>
      </c>
      <c r="X1203" s="158">
        <f t="shared" ref="X1203" si="2012">$S1203/ORCAMENTO_VALOR_TOTAL_ND</f>
        <v>0</v>
      </c>
      <c r="Y1203" s="158">
        <f t="shared" ref="Y1203" si="2013">$T1203/ORCAMENTO_VALOR_TOTAL_DE</f>
        <v>0</v>
      </c>
      <c r="Z1203" s="158" cm="1">
        <f t="array" ref="Z1203">_xlfn.SWITCH($N1203,"BDI 1",$O$6,"BDI 2",$O$7,"BDI 3",$O$8)</f>
        <v>0.20699999999999999</v>
      </c>
      <c r="AA1203" s="158" cm="1">
        <f t="array" ref="AA1203">_xlfn.SWITCH($N1203,"BDI 1",$P$6,"BDI 2",$P$7,"BDI 3",$P$8)</f>
        <v>0.26739999999999997</v>
      </c>
      <c r="AB1203" s="158">
        <f t="shared" ca="1" si="2000"/>
        <v>0</v>
      </c>
      <c r="AC1203" s="158">
        <f t="shared" ca="1" si="2001"/>
        <v>0</v>
      </c>
      <c r="AD1203" s="164"/>
      <c r="AE1203" s="148">
        <f t="shared" si="1987"/>
        <v>0</v>
      </c>
      <c r="AF1203" s="149"/>
      <c r="AG1203" s="150"/>
      <c r="AH1203" s="159" t="e">
        <f t="shared" si="1988"/>
        <v>#DIV/0!</v>
      </c>
      <c r="AI1203" s="160">
        <v>0</v>
      </c>
      <c r="AJ1203" s="105"/>
      <c r="AK1203" s="105"/>
      <c r="AM1203" s="105"/>
      <c r="AN1203" s="105"/>
      <c r="AO1203" s="105"/>
      <c r="AP1203" s="105"/>
      <c r="AQ1203" s="105"/>
      <c r="AR1203" s="105"/>
    </row>
    <row r="1204" spans="1:44" s="49" customFormat="1" ht="40.15" hidden="1" customHeight="1">
      <c r="A1204" s="152">
        <f t="shared" ca="1" si="1989"/>
        <v>0</v>
      </c>
      <c r="B1204" s="153" t="s">
        <v>394</v>
      </c>
      <c r="C1204" s="154" t="str">
        <f t="shared" si="1990"/>
        <v>SV/0035</v>
      </c>
      <c r="D1204" s="154" t="s">
        <v>3549</v>
      </c>
      <c r="E1204" s="155" t="s">
        <v>3981</v>
      </c>
      <c r="F1204" s="154"/>
      <c r="G1204" s="154" t="s">
        <v>1418</v>
      </c>
      <c r="H1204" s="152">
        <v>32.31</v>
      </c>
      <c r="I1204" s="152">
        <v>31.73</v>
      </c>
      <c r="J1204" s="156"/>
      <c r="K1204" s="156">
        <f>+Sinal_Via!K389</f>
        <v>0</v>
      </c>
      <c r="L1204" s="156">
        <f t="shared" si="1991"/>
        <v>0</v>
      </c>
      <c r="M1204" s="156">
        <f t="shared" si="1992"/>
        <v>0</v>
      </c>
      <c r="N1204" s="156" t="s">
        <v>83</v>
      </c>
      <c r="O1204" s="157" cm="1">
        <f t="array" ref="O1204">TRUNC($H1204*(1+_xlfn.SWITCH($N1204,"BDI 1",$O$6,"BDI 2",$O$7,"BDI 3",$O$8)),2)</f>
        <v>38.99</v>
      </c>
      <c r="P1204" s="157" cm="1">
        <f t="array" ref="P1204">TRUNC($I1204*(1+_xlfn.SWITCH($N1204,"BDI 1",$P$6,"BDI 2",$P$7,"BDI 3",$P$8)),2)</f>
        <v>40.21</v>
      </c>
      <c r="Q1204" s="157">
        <v>0</v>
      </c>
      <c r="R1204" s="157">
        <f t="shared" si="1993"/>
        <v>0</v>
      </c>
      <c r="S1204" s="156">
        <f t="shared" si="1994"/>
        <v>0</v>
      </c>
      <c r="T1204" s="156">
        <f t="shared" si="1995"/>
        <v>0</v>
      </c>
      <c r="U1204" s="156">
        <f t="shared" si="1996"/>
        <v>0</v>
      </c>
      <c r="V1204" s="156">
        <f t="shared" si="1997"/>
        <v>0</v>
      </c>
      <c r="W1204" s="156">
        <f t="shared" si="1984"/>
        <v>0</v>
      </c>
      <c r="X1204" s="158">
        <f t="shared" ref="X1204" si="2014">$S1204/ORCAMENTO_VALOR_TOTAL_ND</f>
        <v>0</v>
      </c>
      <c r="Y1204" s="158">
        <f t="shared" ref="Y1204" si="2015">$T1204/ORCAMENTO_VALOR_TOTAL_DE</f>
        <v>0</v>
      </c>
      <c r="Z1204" s="158" cm="1">
        <f t="array" ref="Z1204">_xlfn.SWITCH($N1204,"BDI 1",$O$6,"BDI 2",$O$7,"BDI 3",$O$8)</f>
        <v>0.20699999999999999</v>
      </c>
      <c r="AA1204" s="158" cm="1">
        <f t="array" ref="AA1204">_xlfn.SWITCH($N1204,"BDI 1",$P$6,"BDI 2",$P$7,"BDI 3",$P$8)</f>
        <v>0.26739999999999997</v>
      </c>
      <c r="AB1204" s="158">
        <f t="shared" ca="1" si="2000"/>
        <v>0</v>
      </c>
      <c r="AC1204" s="158">
        <f t="shared" ca="1" si="2001"/>
        <v>0</v>
      </c>
      <c r="AD1204" s="164"/>
      <c r="AE1204" s="148">
        <f t="shared" si="1987"/>
        <v>0</v>
      </c>
      <c r="AF1204" s="149"/>
      <c r="AG1204" s="150"/>
      <c r="AH1204" s="159" t="e">
        <f t="shared" si="1988"/>
        <v>#DIV/0!</v>
      </c>
      <c r="AI1204" s="160">
        <v>0</v>
      </c>
      <c r="AJ1204" s="105"/>
      <c r="AK1204" s="105"/>
      <c r="AM1204" s="105"/>
      <c r="AN1204" s="105"/>
      <c r="AO1204" s="105"/>
      <c r="AP1204" s="105"/>
      <c r="AQ1204" s="105"/>
      <c r="AR1204" s="105"/>
    </row>
    <row r="1205" spans="1:44" s="49" customFormat="1" ht="40.15" hidden="1" customHeight="1">
      <c r="A1205" s="152">
        <f t="shared" ca="1" si="1989"/>
        <v>0</v>
      </c>
      <c r="B1205" s="153" t="s">
        <v>395</v>
      </c>
      <c r="C1205" s="154" t="str">
        <f t="shared" si="1990"/>
        <v>SV/0037</v>
      </c>
      <c r="D1205" s="154" t="s">
        <v>3549</v>
      </c>
      <c r="E1205" s="155" t="s">
        <v>3982</v>
      </c>
      <c r="F1205" s="154"/>
      <c r="G1205" s="154" t="s">
        <v>1418</v>
      </c>
      <c r="H1205" s="152">
        <v>19.899999999999999</v>
      </c>
      <c r="I1205" s="152">
        <v>19.79</v>
      </c>
      <c r="J1205" s="156"/>
      <c r="K1205" s="156"/>
      <c r="L1205" s="156">
        <f t="shared" si="1991"/>
        <v>0</v>
      </c>
      <c r="M1205" s="156">
        <f t="shared" si="1992"/>
        <v>0</v>
      </c>
      <c r="N1205" s="156" t="s">
        <v>83</v>
      </c>
      <c r="O1205" s="157" cm="1">
        <f t="array" ref="O1205">TRUNC($H1205*(1+_xlfn.SWITCH($N1205,"BDI 1",$O$6,"BDI 2",$O$7,"BDI 3",$O$8)),2)</f>
        <v>24.01</v>
      </c>
      <c r="P1205" s="157" cm="1">
        <f t="array" ref="P1205">TRUNC($I1205*(1+_xlfn.SWITCH($N1205,"BDI 1",$P$6,"BDI 2",$P$7,"BDI 3",$P$8)),2)</f>
        <v>25.08</v>
      </c>
      <c r="Q1205" s="157">
        <v>0</v>
      </c>
      <c r="R1205" s="157">
        <f t="shared" si="1993"/>
        <v>0</v>
      </c>
      <c r="S1205" s="156">
        <f t="shared" si="1994"/>
        <v>0</v>
      </c>
      <c r="T1205" s="156">
        <f t="shared" si="1995"/>
        <v>0</v>
      </c>
      <c r="U1205" s="156">
        <f t="shared" si="1996"/>
        <v>0</v>
      </c>
      <c r="V1205" s="156">
        <f t="shared" si="1997"/>
        <v>0</v>
      </c>
      <c r="W1205" s="156">
        <f t="shared" si="1984"/>
        <v>0</v>
      </c>
      <c r="X1205" s="158">
        <f t="shared" ref="X1205" si="2016">$S1205/ORCAMENTO_VALOR_TOTAL_ND</f>
        <v>0</v>
      </c>
      <c r="Y1205" s="158">
        <f t="shared" ref="Y1205" si="2017">$T1205/ORCAMENTO_VALOR_TOTAL_DE</f>
        <v>0</v>
      </c>
      <c r="Z1205" s="158" cm="1">
        <f t="array" ref="Z1205">_xlfn.SWITCH($N1205,"BDI 1",$O$6,"BDI 2",$O$7,"BDI 3",$O$8)</f>
        <v>0.20699999999999999</v>
      </c>
      <c r="AA1205" s="158" cm="1">
        <f t="array" ref="AA1205">_xlfn.SWITCH($N1205,"BDI 1",$P$6,"BDI 2",$P$7,"BDI 3",$P$8)</f>
        <v>0.26739999999999997</v>
      </c>
      <c r="AB1205" s="158">
        <f t="shared" ca="1" si="2000"/>
        <v>0</v>
      </c>
      <c r="AC1205" s="158">
        <f t="shared" ca="1" si="2001"/>
        <v>0</v>
      </c>
      <c r="AD1205" s="164"/>
      <c r="AE1205" s="148">
        <f t="shared" si="1987"/>
        <v>0</v>
      </c>
      <c r="AF1205" s="149"/>
      <c r="AG1205" s="150"/>
      <c r="AH1205" s="159" t="e">
        <f t="shared" si="1988"/>
        <v>#DIV/0!</v>
      </c>
      <c r="AI1205" s="160">
        <v>0</v>
      </c>
      <c r="AJ1205" s="105"/>
      <c r="AK1205" s="105"/>
      <c r="AM1205" s="105"/>
      <c r="AN1205" s="105"/>
      <c r="AO1205" s="105"/>
      <c r="AP1205" s="105"/>
      <c r="AQ1205" s="105"/>
      <c r="AR1205" s="105"/>
    </row>
    <row r="1206" spans="1:44" s="49" customFormat="1" ht="40.15" hidden="1" customHeight="1">
      <c r="A1206" s="152">
        <f t="shared" ca="1" si="1989"/>
        <v>0</v>
      </c>
      <c r="B1206" s="153" t="s">
        <v>396</v>
      </c>
      <c r="C1206" s="154" t="str">
        <f t="shared" si="1990"/>
        <v>SV/0041</v>
      </c>
      <c r="D1206" s="154" t="s">
        <v>3549</v>
      </c>
      <c r="E1206" s="155" t="s">
        <v>3983</v>
      </c>
      <c r="F1206" s="154"/>
      <c r="G1206" s="154" t="s">
        <v>1418</v>
      </c>
      <c r="H1206" s="152">
        <v>232.73</v>
      </c>
      <c r="I1206" s="152">
        <v>232.34</v>
      </c>
      <c r="J1206" s="156"/>
      <c r="K1206" s="156">
        <f>+Sinal_Via!K355</f>
        <v>0</v>
      </c>
      <c r="L1206" s="156">
        <f t="shared" si="1991"/>
        <v>0</v>
      </c>
      <c r="M1206" s="156">
        <f t="shared" si="1992"/>
        <v>0</v>
      </c>
      <c r="N1206" s="156" t="s">
        <v>83</v>
      </c>
      <c r="O1206" s="157" cm="1">
        <f t="array" ref="O1206">TRUNC($H1206*(1+_xlfn.SWITCH($N1206,"BDI 1",$O$6,"BDI 2",$O$7,"BDI 3",$O$8)),2)</f>
        <v>280.89999999999998</v>
      </c>
      <c r="P1206" s="157" cm="1">
        <f t="array" ref="P1206">TRUNC($I1206*(1+_xlfn.SWITCH($N1206,"BDI 1",$P$6,"BDI 2",$P$7,"BDI 3",$P$8)),2)</f>
        <v>294.45999999999998</v>
      </c>
      <c r="Q1206" s="157">
        <v>0</v>
      </c>
      <c r="R1206" s="157">
        <f t="shared" si="1993"/>
        <v>0</v>
      </c>
      <c r="S1206" s="156">
        <f t="shared" si="1994"/>
        <v>0</v>
      </c>
      <c r="T1206" s="156">
        <f t="shared" si="1995"/>
        <v>0</v>
      </c>
      <c r="U1206" s="156">
        <f t="shared" si="1996"/>
        <v>0</v>
      </c>
      <c r="V1206" s="156">
        <f t="shared" si="1997"/>
        <v>0</v>
      </c>
      <c r="W1206" s="156">
        <f t="shared" si="1984"/>
        <v>0</v>
      </c>
      <c r="X1206" s="158">
        <f t="shared" ref="X1206" si="2018">$S1206/ORCAMENTO_VALOR_TOTAL_ND</f>
        <v>0</v>
      </c>
      <c r="Y1206" s="158">
        <f t="shared" ref="Y1206" si="2019">$T1206/ORCAMENTO_VALOR_TOTAL_DE</f>
        <v>0</v>
      </c>
      <c r="Z1206" s="158" cm="1">
        <f t="array" ref="Z1206">_xlfn.SWITCH($N1206,"BDI 1",$O$6,"BDI 2",$O$7,"BDI 3",$O$8)</f>
        <v>0.20699999999999999</v>
      </c>
      <c r="AA1206" s="158" cm="1">
        <f t="array" ref="AA1206">_xlfn.SWITCH($N1206,"BDI 1",$P$6,"BDI 2",$P$7,"BDI 3",$P$8)</f>
        <v>0.26739999999999997</v>
      </c>
      <c r="AB1206" s="158">
        <f t="shared" ca="1" si="2000"/>
        <v>0</v>
      </c>
      <c r="AC1206" s="158">
        <f t="shared" ca="1" si="2001"/>
        <v>0</v>
      </c>
      <c r="AD1206" s="164"/>
      <c r="AE1206" s="148">
        <f t="shared" si="1987"/>
        <v>0</v>
      </c>
      <c r="AF1206" s="149"/>
      <c r="AG1206" s="150"/>
      <c r="AH1206" s="159" t="e">
        <f t="shared" si="1988"/>
        <v>#DIV/0!</v>
      </c>
      <c r="AI1206" s="160">
        <v>0</v>
      </c>
      <c r="AJ1206" s="105"/>
      <c r="AK1206" s="105"/>
      <c r="AM1206" s="105"/>
      <c r="AN1206" s="105"/>
      <c r="AO1206" s="105"/>
      <c r="AP1206" s="105"/>
      <c r="AQ1206" s="105"/>
      <c r="AR1206" s="105"/>
    </row>
    <row r="1207" spans="1:44" s="49" customFormat="1" ht="49.9" hidden="1" customHeight="1">
      <c r="A1207" s="152">
        <f t="shared" ca="1" si="1989"/>
        <v>0</v>
      </c>
      <c r="B1207" s="153" t="s">
        <v>397</v>
      </c>
      <c r="C1207" s="154" t="str">
        <f t="shared" si="1990"/>
        <v>SV/0045</v>
      </c>
      <c r="D1207" s="154" t="s">
        <v>3549</v>
      </c>
      <c r="E1207" s="155" t="s">
        <v>3984</v>
      </c>
      <c r="F1207" s="154"/>
      <c r="G1207" s="154" t="s">
        <v>1418</v>
      </c>
      <c r="H1207" s="152">
        <v>32.76</v>
      </c>
      <c r="I1207" s="152">
        <v>32.54</v>
      </c>
      <c r="J1207" s="156"/>
      <c r="K1207" s="156"/>
      <c r="L1207" s="156">
        <f t="shared" si="1991"/>
        <v>0</v>
      </c>
      <c r="M1207" s="156">
        <f t="shared" si="1992"/>
        <v>0</v>
      </c>
      <c r="N1207" s="156" t="s">
        <v>83</v>
      </c>
      <c r="O1207" s="157" cm="1">
        <f t="array" ref="O1207">TRUNC($H1207*(1+_xlfn.SWITCH($N1207,"BDI 1",$O$6,"BDI 2",$O$7,"BDI 3",$O$8)),2)</f>
        <v>39.54</v>
      </c>
      <c r="P1207" s="157" cm="1">
        <f t="array" ref="P1207">TRUNC($I1207*(1+_xlfn.SWITCH($N1207,"BDI 1",$P$6,"BDI 2",$P$7,"BDI 3",$P$8)),2)</f>
        <v>41.24</v>
      </c>
      <c r="Q1207" s="157">
        <v>0</v>
      </c>
      <c r="R1207" s="157">
        <f t="shared" si="1993"/>
        <v>0</v>
      </c>
      <c r="S1207" s="156">
        <f t="shared" si="1994"/>
        <v>0</v>
      </c>
      <c r="T1207" s="156">
        <f t="shared" si="1995"/>
        <v>0</v>
      </c>
      <c r="U1207" s="156">
        <f t="shared" si="1996"/>
        <v>0</v>
      </c>
      <c r="V1207" s="156">
        <f t="shared" si="1997"/>
        <v>0</v>
      </c>
      <c r="W1207" s="156">
        <f t="shared" si="1984"/>
        <v>0</v>
      </c>
      <c r="X1207" s="158">
        <f t="shared" ref="X1207" si="2020">$S1207/ORCAMENTO_VALOR_TOTAL_ND</f>
        <v>0</v>
      </c>
      <c r="Y1207" s="158">
        <f t="shared" ref="Y1207" si="2021">$T1207/ORCAMENTO_VALOR_TOTAL_DE</f>
        <v>0</v>
      </c>
      <c r="Z1207" s="158" cm="1">
        <f t="array" ref="Z1207">_xlfn.SWITCH($N1207,"BDI 1",$O$6,"BDI 2",$O$7,"BDI 3",$O$8)</f>
        <v>0.20699999999999999</v>
      </c>
      <c r="AA1207" s="158" cm="1">
        <f t="array" ref="AA1207">_xlfn.SWITCH($N1207,"BDI 1",$P$6,"BDI 2",$P$7,"BDI 3",$P$8)</f>
        <v>0.26739999999999997</v>
      </c>
      <c r="AB1207" s="158">
        <f t="shared" ca="1" si="2000"/>
        <v>0</v>
      </c>
      <c r="AC1207" s="158">
        <f t="shared" ca="1" si="2001"/>
        <v>0</v>
      </c>
      <c r="AD1207" s="164"/>
      <c r="AE1207" s="148">
        <f t="shared" si="1987"/>
        <v>0</v>
      </c>
      <c r="AF1207" s="149"/>
      <c r="AG1207" s="150"/>
      <c r="AH1207" s="159" t="e">
        <f t="shared" si="1988"/>
        <v>#DIV/0!</v>
      </c>
      <c r="AI1207" s="160">
        <v>0</v>
      </c>
      <c r="AJ1207" s="105"/>
      <c r="AK1207" s="105"/>
      <c r="AM1207" s="105"/>
      <c r="AN1207" s="105"/>
      <c r="AO1207" s="105"/>
      <c r="AP1207" s="105"/>
      <c r="AQ1207" s="105"/>
      <c r="AR1207" s="105"/>
    </row>
    <row r="1208" spans="1:44" s="49" customFormat="1" ht="40.15" hidden="1" customHeight="1">
      <c r="A1208" s="152">
        <f t="shared" ca="1" si="1989"/>
        <v>0</v>
      </c>
      <c r="B1208" s="153" t="s">
        <v>398</v>
      </c>
      <c r="C1208" s="154" t="str">
        <f t="shared" si="1990"/>
        <v>SV/0055</v>
      </c>
      <c r="D1208" s="154" t="s">
        <v>3549</v>
      </c>
      <c r="E1208" s="155" t="s">
        <v>3985</v>
      </c>
      <c r="F1208" s="154"/>
      <c r="G1208" s="154" t="s">
        <v>1412</v>
      </c>
      <c r="H1208" s="152">
        <v>51.88</v>
      </c>
      <c r="I1208" s="152">
        <v>51.45</v>
      </c>
      <c r="J1208" s="156"/>
      <c r="K1208" s="156">
        <f>+Sinal_Via!K390+Sinal_Via!K391</f>
        <v>0</v>
      </c>
      <c r="L1208" s="156">
        <f t="shared" si="1991"/>
        <v>0</v>
      </c>
      <c r="M1208" s="156">
        <f t="shared" si="1992"/>
        <v>0</v>
      </c>
      <c r="N1208" s="156" t="s">
        <v>83</v>
      </c>
      <c r="O1208" s="157" cm="1">
        <f t="array" ref="O1208">TRUNC($H1208*(1+_xlfn.SWITCH($N1208,"BDI 1",$O$6,"BDI 2",$O$7,"BDI 3",$O$8)),2)</f>
        <v>62.61</v>
      </c>
      <c r="P1208" s="157" cm="1">
        <f t="array" ref="P1208">TRUNC($I1208*(1+_xlfn.SWITCH($N1208,"BDI 1",$P$6,"BDI 2",$P$7,"BDI 3",$P$8)),2)</f>
        <v>65.2</v>
      </c>
      <c r="Q1208" s="157">
        <v>0</v>
      </c>
      <c r="R1208" s="157">
        <f t="shared" si="1993"/>
        <v>0</v>
      </c>
      <c r="S1208" s="156">
        <f t="shared" si="1994"/>
        <v>0</v>
      </c>
      <c r="T1208" s="156">
        <f t="shared" si="1995"/>
        <v>0</v>
      </c>
      <c r="U1208" s="156">
        <f t="shared" si="1996"/>
        <v>0</v>
      </c>
      <c r="V1208" s="156">
        <f t="shared" si="1997"/>
        <v>0</v>
      </c>
      <c r="W1208" s="156">
        <f t="shared" si="1984"/>
        <v>0</v>
      </c>
      <c r="X1208" s="158">
        <f t="shared" ref="X1208" si="2022">$S1208/ORCAMENTO_VALOR_TOTAL_ND</f>
        <v>0</v>
      </c>
      <c r="Y1208" s="158">
        <f t="shared" ref="Y1208" si="2023">$T1208/ORCAMENTO_VALOR_TOTAL_DE</f>
        <v>0</v>
      </c>
      <c r="Z1208" s="158" cm="1">
        <f t="array" ref="Z1208">_xlfn.SWITCH($N1208,"BDI 1",$O$6,"BDI 2",$O$7,"BDI 3",$O$8)</f>
        <v>0.20699999999999999</v>
      </c>
      <c r="AA1208" s="158" cm="1">
        <f t="array" ref="AA1208">_xlfn.SWITCH($N1208,"BDI 1",$P$6,"BDI 2",$P$7,"BDI 3",$P$8)</f>
        <v>0.26739999999999997</v>
      </c>
      <c r="AB1208" s="158">
        <f t="shared" ca="1" si="2000"/>
        <v>0</v>
      </c>
      <c r="AC1208" s="158">
        <f t="shared" ca="1" si="2001"/>
        <v>0</v>
      </c>
      <c r="AD1208" s="164"/>
      <c r="AE1208" s="148">
        <f t="shared" si="1987"/>
        <v>0</v>
      </c>
      <c r="AF1208" s="149"/>
      <c r="AG1208" s="150"/>
      <c r="AH1208" s="159" t="e">
        <f t="shared" si="1988"/>
        <v>#DIV/0!</v>
      </c>
      <c r="AI1208" s="160">
        <v>0</v>
      </c>
      <c r="AJ1208" s="105"/>
      <c r="AK1208" s="105"/>
      <c r="AM1208" s="105"/>
      <c r="AN1208" s="105"/>
      <c r="AO1208" s="105"/>
      <c r="AP1208" s="105"/>
      <c r="AQ1208" s="105"/>
      <c r="AR1208" s="105"/>
    </row>
    <row r="1209" spans="1:44" s="49" customFormat="1" ht="40.15" hidden="1" customHeight="1">
      <c r="A1209" s="152">
        <f t="shared" ca="1" si="1989"/>
        <v>0</v>
      </c>
      <c r="B1209" s="153" t="s">
        <v>399</v>
      </c>
      <c r="C1209" s="154" t="str">
        <f t="shared" si="1990"/>
        <v>SV/0065</v>
      </c>
      <c r="D1209" s="154" t="s">
        <v>3549</v>
      </c>
      <c r="E1209" s="155" t="s">
        <v>3986</v>
      </c>
      <c r="F1209" s="154"/>
      <c r="G1209" s="154" t="s">
        <v>1412</v>
      </c>
      <c r="H1209" s="152">
        <v>46.41</v>
      </c>
      <c r="I1209" s="152">
        <v>45.97</v>
      </c>
      <c r="J1209" s="156"/>
      <c r="K1209" s="156">
        <f>+Sinal_Via!K392+Sinal_Via!K393</f>
        <v>0</v>
      </c>
      <c r="L1209" s="156">
        <f t="shared" si="1991"/>
        <v>0</v>
      </c>
      <c r="M1209" s="156">
        <f t="shared" si="1992"/>
        <v>0</v>
      </c>
      <c r="N1209" s="156" t="s">
        <v>83</v>
      </c>
      <c r="O1209" s="157" cm="1">
        <f t="array" ref="O1209">TRUNC($H1209*(1+_xlfn.SWITCH($N1209,"BDI 1",$O$6,"BDI 2",$O$7,"BDI 3",$O$8)),2)</f>
        <v>56.01</v>
      </c>
      <c r="P1209" s="157" cm="1">
        <f t="array" ref="P1209">TRUNC($I1209*(1+_xlfn.SWITCH($N1209,"BDI 1",$P$6,"BDI 2",$P$7,"BDI 3",$P$8)),2)</f>
        <v>58.26</v>
      </c>
      <c r="Q1209" s="157">
        <v>0</v>
      </c>
      <c r="R1209" s="157">
        <f t="shared" si="1993"/>
        <v>0</v>
      </c>
      <c r="S1209" s="156">
        <f t="shared" si="1994"/>
        <v>0</v>
      </c>
      <c r="T1209" s="156">
        <f t="shared" si="1995"/>
        <v>0</v>
      </c>
      <c r="U1209" s="156">
        <f t="shared" si="1996"/>
        <v>0</v>
      </c>
      <c r="V1209" s="156">
        <f t="shared" si="1997"/>
        <v>0</v>
      </c>
      <c r="W1209" s="156">
        <f t="shared" si="1984"/>
        <v>0</v>
      </c>
      <c r="X1209" s="158">
        <f t="shared" ref="X1209" si="2024">$S1209/ORCAMENTO_VALOR_TOTAL_ND</f>
        <v>0</v>
      </c>
      <c r="Y1209" s="158">
        <f t="shared" ref="Y1209" si="2025">$T1209/ORCAMENTO_VALOR_TOTAL_DE</f>
        <v>0</v>
      </c>
      <c r="Z1209" s="158" cm="1">
        <f t="array" ref="Z1209">_xlfn.SWITCH($N1209,"BDI 1",$O$6,"BDI 2",$O$7,"BDI 3",$O$8)</f>
        <v>0.20699999999999999</v>
      </c>
      <c r="AA1209" s="158" cm="1">
        <f t="array" ref="AA1209">_xlfn.SWITCH($N1209,"BDI 1",$P$6,"BDI 2",$P$7,"BDI 3",$P$8)</f>
        <v>0.26739999999999997</v>
      </c>
      <c r="AB1209" s="158">
        <f t="shared" ca="1" si="2000"/>
        <v>0</v>
      </c>
      <c r="AC1209" s="158">
        <f t="shared" ca="1" si="2001"/>
        <v>0</v>
      </c>
      <c r="AD1209" s="164"/>
      <c r="AE1209" s="148">
        <f t="shared" si="1987"/>
        <v>0</v>
      </c>
      <c r="AF1209" s="149"/>
      <c r="AG1209" s="150"/>
      <c r="AH1209" s="159" t="e">
        <f t="shared" si="1988"/>
        <v>#DIV/0!</v>
      </c>
      <c r="AI1209" s="160">
        <v>0</v>
      </c>
      <c r="AJ1209" s="105"/>
      <c r="AK1209" s="105"/>
      <c r="AM1209" s="105"/>
      <c r="AN1209" s="105"/>
      <c r="AO1209" s="105"/>
      <c r="AP1209" s="105"/>
      <c r="AQ1209" s="105"/>
      <c r="AR1209" s="105"/>
    </row>
    <row r="1210" spans="1:44" s="49" customFormat="1" ht="40.15" hidden="1" customHeight="1">
      <c r="A1210" s="152">
        <f t="shared" ca="1" si="1989"/>
        <v>0</v>
      </c>
      <c r="B1210" s="153" t="s">
        <v>400</v>
      </c>
      <c r="C1210" s="154" t="str">
        <f t="shared" si="1990"/>
        <v>SV/0060</v>
      </c>
      <c r="D1210" s="154" t="s">
        <v>3549</v>
      </c>
      <c r="E1210" s="155" t="s">
        <v>3987</v>
      </c>
      <c r="F1210" s="154"/>
      <c r="G1210" s="154" t="s">
        <v>1412</v>
      </c>
      <c r="H1210" s="152">
        <v>86.67</v>
      </c>
      <c r="I1210" s="152">
        <v>85.88</v>
      </c>
      <c r="J1210" s="156"/>
      <c r="K1210" s="156">
        <f>+Sinal_Via!K394+Sinal_Via!K395</f>
        <v>0</v>
      </c>
      <c r="L1210" s="156">
        <f t="shared" si="1991"/>
        <v>0</v>
      </c>
      <c r="M1210" s="156">
        <f t="shared" si="1992"/>
        <v>0</v>
      </c>
      <c r="N1210" s="156" t="s">
        <v>83</v>
      </c>
      <c r="O1210" s="157" cm="1">
        <f t="array" ref="O1210">TRUNC($H1210*(1+_xlfn.SWITCH($N1210,"BDI 1",$O$6,"BDI 2",$O$7,"BDI 3",$O$8)),2)</f>
        <v>104.61</v>
      </c>
      <c r="P1210" s="157" cm="1">
        <f t="array" ref="P1210">TRUNC($I1210*(1+_xlfn.SWITCH($N1210,"BDI 1",$P$6,"BDI 2",$P$7,"BDI 3",$P$8)),2)</f>
        <v>108.84</v>
      </c>
      <c r="Q1210" s="157">
        <v>0</v>
      </c>
      <c r="R1210" s="157">
        <f t="shared" si="1993"/>
        <v>0</v>
      </c>
      <c r="S1210" s="156">
        <f t="shared" si="1994"/>
        <v>0</v>
      </c>
      <c r="T1210" s="156">
        <f t="shared" si="1995"/>
        <v>0</v>
      </c>
      <c r="U1210" s="156">
        <f t="shared" si="1996"/>
        <v>0</v>
      </c>
      <c r="V1210" s="156">
        <f t="shared" si="1997"/>
        <v>0</v>
      </c>
      <c r="W1210" s="156">
        <f t="shared" si="1984"/>
        <v>0</v>
      </c>
      <c r="X1210" s="158">
        <f t="shared" ref="X1210" si="2026">$S1210/ORCAMENTO_VALOR_TOTAL_ND</f>
        <v>0</v>
      </c>
      <c r="Y1210" s="158">
        <f t="shared" ref="Y1210" si="2027">$T1210/ORCAMENTO_VALOR_TOTAL_DE</f>
        <v>0</v>
      </c>
      <c r="Z1210" s="158" cm="1">
        <f t="array" ref="Z1210">_xlfn.SWITCH($N1210,"BDI 1",$O$6,"BDI 2",$O$7,"BDI 3",$O$8)</f>
        <v>0.20699999999999999</v>
      </c>
      <c r="AA1210" s="158" cm="1">
        <f t="array" ref="AA1210">_xlfn.SWITCH($N1210,"BDI 1",$P$6,"BDI 2",$P$7,"BDI 3",$P$8)</f>
        <v>0.26739999999999997</v>
      </c>
      <c r="AB1210" s="158">
        <f t="shared" ca="1" si="2000"/>
        <v>0</v>
      </c>
      <c r="AC1210" s="158">
        <f t="shared" ca="1" si="2001"/>
        <v>0</v>
      </c>
      <c r="AD1210" s="164"/>
      <c r="AE1210" s="148">
        <f t="shared" si="1987"/>
        <v>0</v>
      </c>
      <c r="AF1210" s="149"/>
      <c r="AG1210" s="150"/>
      <c r="AH1210" s="159" t="e">
        <f t="shared" si="1988"/>
        <v>#DIV/0!</v>
      </c>
      <c r="AI1210" s="160">
        <v>0</v>
      </c>
      <c r="AJ1210" s="105"/>
      <c r="AK1210" s="105"/>
      <c r="AM1210" s="105"/>
      <c r="AN1210" s="105"/>
      <c r="AO1210" s="105"/>
      <c r="AP1210" s="105"/>
      <c r="AQ1210" s="105"/>
      <c r="AR1210" s="105"/>
    </row>
    <row r="1211" spans="1:44" s="49" customFormat="1" ht="40.15" hidden="1" customHeight="1">
      <c r="A1211" s="152">
        <f t="shared" ca="1" si="1989"/>
        <v>0</v>
      </c>
      <c r="B1211" s="153" t="s">
        <v>401</v>
      </c>
      <c r="C1211" s="154" t="str">
        <f t="shared" si="1990"/>
        <v>SV/0070</v>
      </c>
      <c r="D1211" s="154" t="s">
        <v>3549</v>
      </c>
      <c r="E1211" s="155" t="s">
        <v>3988</v>
      </c>
      <c r="F1211" s="154"/>
      <c r="G1211" s="154" t="s">
        <v>1412</v>
      </c>
      <c r="H1211" s="152">
        <v>88.22</v>
      </c>
      <c r="I1211" s="152">
        <v>87.42</v>
      </c>
      <c r="J1211" s="156"/>
      <c r="K1211" s="156">
        <f>+Sinal_Via!K396+Sinal_Via!K397</f>
        <v>0</v>
      </c>
      <c r="L1211" s="156">
        <f t="shared" si="1991"/>
        <v>0</v>
      </c>
      <c r="M1211" s="156">
        <f t="shared" si="1992"/>
        <v>0</v>
      </c>
      <c r="N1211" s="156" t="s">
        <v>83</v>
      </c>
      <c r="O1211" s="157" cm="1">
        <f t="array" ref="O1211">TRUNC($H1211*(1+_xlfn.SWITCH($N1211,"BDI 1",$O$6,"BDI 2",$O$7,"BDI 3",$O$8)),2)</f>
        <v>106.48</v>
      </c>
      <c r="P1211" s="157" cm="1">
        <f t="array" ref="P1211">TRUNC($I1211*(1+_xlfn.SWITCH($N1211,"BDI 1",$P$6,"BDI 2",$P$7,"BDI 3",$P$8)),2)</f>
        <v>110.79</v>
      </c>
      <c r="Q1211" s="157">
        <v>0</v>
      </c>
      <c r="R1211" s="157">
        <f t="shared" si="1993"/>
        <v>0</v>
      </c>
      <c r="S1211" s="156">
        <f t="shared" si="1994"/>
        <v>0</v>
      </c>
      <c r="T1211" s="156">
        <f t="shared" si="1995"/>
        <v>0</v>
      </c>
      <c r="U1211" s="156">
        <f t="shared" si="1996"/>
        <v>0</v>
      </c>
      <c r="V1211" s="156">
        <f t="shared" si="1997"/>
        <v>0</v>
      </c>
      <c r="W1211" s="156">
        <f t="shared" si="1984"/>
        <v>0</v>
      </c>
      <c r="X1211" s="158">
        <f t="shared" ref="X1211" si="2028">$S1211/ORCAMENTO_VALOR_TOTAL_ND</f>
        <v>0</v>
      </c>
      <c r="Y1211" s="158">
        <f t="shared" ref="Y1211" si="2029">$T1211/ORCAMENTO_VALOR_TOTAL_DE</f>
        <v>0</v>
      </c>
      <c r="Z1211" s="158" cm="1">
        <f t="array" ref="Z1211">_xlfn.SWITCH($N1211,"BDI 1",$O$6,"BDI 2",$O$7,"BDI 3",$O$8)</f>
        <v>0.20699999999999999</v>
      </c>
      <c r="AA1211" s="158" cm="1">
        <f t="array" ref="AA1211">_xlfn.SWITCH($N1211,"BDI 1",$P$6,"BDI 2",$P$7,"BDI 3",$P$8)</f>
        <v>0.26739999999999997</v>
      </c>
      <c r="AB1211" s="158">
        <f t="shared" ca="1" si="2000"/>
        <v>0</v>
      </c>
      <c r="AC1211" s="158">
        <f t="shared" ca="1" si="2001"/>
        <v>0</v>
      </c>
      <c r="AD1211" s="164"/>
      <c r="AE1211" s="148">
        <f t="shared" si="1987"/>
        <v>0</v>
      </c>
      <c r="AF1211" s="149"/>
      <c r="AG1211" s="150"/>
      <c r="AH1211" s="159" t="e">
        <f t="shared" si="1988"/>
        <v>#DIV/0!</v>
      </c>
      <c r="AI1211" s="160"/>
      <c r="AJ1211" s="105"/>
      <c r="AK1211" s="105"/>
      <c r="AM1211" s="105"/>
      <c r="AN1211" s="105"/>
      <c r="AO1211" s="105"/>
      <c r="AP1211" s="105"/>
      <c r="AQ1211" s="105"/>
      <c r="AR1211" s="105"/>
    </row>
    <row r="1212" spans="1:44" s="49" customFormat="1" ht="60" hidden="1" customHeight="1">
      <c r="A1212" s="152">
        <f t="shared" ca="1" si="1989"/>
        <v>0</v>
      </c>
      <c r="B1212" s="153" t="s">
        <v>402</v>
      </c>
      <c r="C1212" s="154" t="str">
        <f t="shared" si="1990"/>
        <v>SV/0075</v>
      </c>
      <c r="D1212" s="154" t="s">
        <v>3549</v>
      </c>
      <c r="E1212" s="155" t="s">
        <v>3989</v>
      </c>
      <c r="F1212" s="154"/>
      <c r="G1212" s="154" t="s">
        <v>1412</v>
      </c>
      <c r="H1212" s="152">
        <v>8262.61</v>
      </c>
      <c r="I1212" s="152">
        <v>8237.0400000000009</v>
      </c>
      <c r="J1212" s="156"/>
      <c r="K1212" s="156">
        <f>+Sinal_Via!K292</f>
        <v>0</v>
      </c>
      <c r="L1212" s="156">
        <f t="shared" si="1991"/>
        <v>0</v>
      </c>
      <c r="M1212" s="156">
        <f t="shared" si="1992"/>
        <v>0</v>
      </c>
      <c r="N1212" s="156" t="s">
        <v>83</v>
      </c>
      <c r="O1212" s="157" cm="1">
        <f t="array" ref="O1212">TRUNC($H1212*(1+_xlfn.SWITCH($N1212,"BDI 1",$O$6,"BDI 2",$O$7,"BDI 3",$O$8)),2)</f>
        <v>9972.9699999999993</v>
      </c>
      <c r="P1212" s="157" cm="1">
        <f t="array" ref="P1212">TRUNC($I1212*(1+_xlfn.SWITCH($N1212,"BDI 1",$P$6,"BDI 2",$P$7,"BDI 3",$P$8)),2)</f>
        <v>10439.620000000001</v>
      </c>
      <c r="Q1212" s="157">
        <v>0</v>
      </c>
      <c r="R1212" s="157">
        <f t="shared" si="1993"/>
        <v>0</v>
      </c>
      <c r="S1212" s="156">
        <f t="shared" si="1994"/>
        <v>0</v>
      </c>
      <c r="T1212" s="156">
        <f t="shared" si="1995"/>
        <v>0</v>
      </c>
      <c r="U1212" s="156">
        <f t="shared" si="1996"/>
        <v>0</v>
      </c>
      <c r="V1212" s="156">
        <f t="shared" si="1997"/>
        <v>0</v>
      </c>
      <c r="W1212" s="156">
        <f t="shared" si="1984"/>
        <v>0</v>
      </c>
      <c r="X1212" s="158">
        <f t="shared" ref="X1212" si="2030">$S1212/ORCAMENTO_VALOR_TOTAL_ND</f>
        <v>0</v>
      </c>
      <c r="Y1212" s="158">
        <f t="shared" ref="Y1212" si="2031">$T1212/ORCAMENTO_VALOR_TOTAL_DE</f>
        <v>0</v>
      </c>
      <c r="Z1212" s="158" cm="1">
        <f t="array" ref="Z1212">_xlfn.SWITCH($N1212,"BDI 1",$O$6,"BDI 2",$O$7,"BDI 3",$O$8)</f>
        <v>0.20699999999999999</v>
      </c>
      <c r="AA1212" s="158" cm="1">
        <f t="array" ref="AA1212">_xlfn.SWITCH($N1212,"BDI 1",$P$6,"BDI 2",$P$7,"BDI 3",$P$8)</f>
        <v>0.26739999999999997</v>
      </c>
      <c r="AB1212" s="158">
        <f t="shared" ca="1" si="2000"/>
        <v>0</v>
      </c>
      <c r="AC1212" s="158">
        <f t="shared" ca="1" si="2001"/>
        <v>0</v>
      </c>
      <c r="AD1212" s="164"/>
      <c r="AE1212" s="148">
        <f t="shared" si="1987"/>
        <v>0</v>
      </c>
      <c r="AF1212" s="149"/>
      <c r="AG1212" s="150"/>
      <c r="AH1212" s="159" t="e">
        <f t="shared" si="1988"/>
        <v>#DIV/0!</v>
      </c>
      <c r="AI1212" s="160">
        <v>0</v>
      </c>
      <c r="AJ1212" s="105"/>
      <c r="AK1212" s="105"/>
      <c r="AM1212" s="105"/>
      <c r="AN1212" s="105"/>
      <c r="AO1212" s="105"/>
      <c r="AP1212" s="105"/>
      <c r="AQ1212" s="105"/>
      <c r="AR1212" s="105"/>
    </row>
    <row r="1213" spans="1:44" s="49" customFormat="1" ht="60" hidden="1" customHeight="1">
      <c r="A1213" s="152">
        <f t="shared" ca="1" si="1989"/>
        <v>0</v>
      </c>
      <c r="B1213" s="153" t="s">
        <v>403</v>
      </c>
      <c r="C1213" s="154" t="str">
        <f t="shared" si="1990"/>
        <v>SV/0080</v>
      </c>
      <c r="D1213" s="154" t="s">
        <v>3549</v>
      </c>
      <c r="E1213" s="155" t="s">
        <v>3990</v>
      </c>
      <c r="F1213" s="154"/>
      <c r="G1213" s="154" t="s">
        <v>1412</v>
      </c>
      <c r="H1213" s="152">
        <v>4827.22</v>
      </c>
      <c r="I1213" s="152">
        <v>4820.7299999999996</v>
      </c>
      <c r="J1213" s="156"/>
      <c r="K1213" s="156">
        <f>+Sinal_Via!K293</f>
        <v>0</v>
      </c>
      <c r="L1213" s="156">
        <f t="shared" si="1991"/>
        <v>0</v>
      </c>
      <c r="M1213" s="156">
        <f t="shared" si="1992"/>
        <v>0</v>
      </c>
      <c r="N1213" s="156" t="s">
        <v>83</v>
      </c>
      <c r="O1213" s="157" cm="1">
        <f t="array" ref="O1213">TRUNC($H1213*(1+_xlfn.SWITCH($N1213,"BDI 1",$O$6,"BDI 2",$O$7,"BDI 3",$O$8)),2)</f>
        <v>5826.45</v>
      </c>
      <c r="P1213" s="157" cm="1">
        <f t="array" ref="P1213">TRUNC($I1213*(1+_xlfn.SWITCH($N1213,"BDI 1",$P$6,"BDI 2",$P$7,"BDI 3",$P$8)),2)</f>
        <v>6109.79</v>
      </c>
      <c r="Q1213" s="157">
        <v>0</v>
      </c>
      <c r="R1213" s="157">
        <f t="shared" si="1993"/>
        <v>0</v>
      </c>
      <c r="S1213" s="156">
        <f t="shared" si="1994"/>
        <v>0</v>
      </c>
      <c r="T1213" s="156">
        <f t="shared" si="1995"/>
        <v>0</v>
      </c>
      <c r="U1213" s="156">
        <f t="shared" si="1996"/>
        <v>0</v>
      </c>
      <c r="V1213" s="156">
        <f t="shared" si="1997"/>
        <v>0</v>
      </c>
      <c r="W1213" s="156">
        <f t="shared" si="1984"/>
        <v>0</v>
      </c>
      <c r="X1213" s="158">
        <f t="shared" ref="X1213" si="2032">$S1213/ORCAMENTO_VALOR_TOTAL_ND</f>
        <v>0</v>
      </c>
      <c r="Y1213" s="158">
        <f t="shared" ref="Y1213" si="2033">$T1213/ORCAMENTO_VALOR_TOTAL_DE</f>
        <v>0</v>
      </c>
      <c r="Z1213" s="158" cm="1">
        <f t="array" ref="Z1213">_xlfn.SWITCH($N1213,"BDI 1",$O$6,"BDI 2",$O$7,"BDI 3",$O$8)</f>
        <v>0.20699999999999999</v>
      </c>
      <c r="AA1213" s="158" cm="1">
        <f t="array" ref="AA1213">_xlfn.SWITCH($N1213,"BDI 1",$P$6,"BDI 2",$P$7,"BDI 3",$P$8)</f>
        <v>0.26739999999999997</v>
      </c>
      <c r="AB1213" s="158">
        <f t="shared" ca="1" si="2000"/>
        <v>0</v>
      </c>
      <c r="AC1213" s="158">
        <f t="shared" ca="1" si="2001"/>
        <v>0</v>
      </c>
      <c r="AD1213" s="164"/>
      <c r="AE1213" s="148">
        <f t="shared" si="1987"/>
        <v>0</v>
      </c>
      <c r="AF1213" s="149"/>
      <c r="AG1213" s="150"/>
      <c r="AH1213" s="159" t="e">
        <f t="shared" si="1988"/>
        <v>#DIV/0!</v>
      </c>
      <c r="AI1213" s="160">
        <v>0</v>
      </c>
      <c r="AJ1213" s="105"/>
      <c r="AK1213" s="105"/>
      <c r="AM1213" s="105"/>
      <c r="AN1213" s="105"/>
      <c r="AO1213" s="105"/>
      <c r="AP1213" s="105"/>
      <c r="AQ1213" s="105"/>
      <c r="AR1213" s="105"/>
    </row>
    <row r="1214" spans="1:44" s="49" customFormat="1" ht="49.9" hidden="1" customHeight="1">
      <c r="A1214" s="152">
        <f t="shared" ca="1" si="1989"/>
        <v>0</v>
      </c>
      <c r="B1214" s="153" t="s">
        <v>404</v>
      </c>
      <c r="C1214" s="154" t="str">
        <f t="shared" si="1990"/>
        <v>SV/0085</v>
      </c>
      <c r="D1214" s="154" t="s">
        <v>3549</v>
      </c>
      <c r="E1214" s="155" t="s">
        <v>3991</v>
      </c>
      <c r="F1214" s="154"/>
      <c r="G1214" s="154" t="s">
        <v>1412</v>
      </c>
      <c r="H1214" s="152">
        <v>235.98</v>
      </c>
      <c r="I1214" s="152">
        <v>231.32</v>
      </c>
      <c r="J1214" s="156"/>
      <c r="K1214" s="156"/>
      <c r="L1214" s="156">
        <f t="shared" si="1991"/>
        <v>0</v>
      </c>
      <c r="M1214" s="156">
        <f t="shared" si="1992"/>
        <v>0</v>
      </c>
      <c r="N1214" s="156" t="s">
        <v>83</v>
      </c>
      <c r="O1214" s="157" cm="1">
        <f t="array" ref="O1214">TRUNC($H1214*(1+_xlfn.SWITCH($N1214,"BDI 1",$O$6,"BDI 2",$O$7,"BDI 3",$O$8)),2)</f>
        <v>284.82</v>
      </c>
      <c r="P1214" s="157" cm="1">
        <f t="array" ref="P1214">TRUNC($I1214*(1+_xlfn.SWITCH($N1214,"BDI 1",$P$6,"BDI 2",$P$7,"BDI 3",$P$8)),2)</f>
        <v>293.17</v>
      </c>
      <c r="Q1214" s="157">
        <v>0</v>
      </c>
      <c r="R1214" s="157">
        <f t="shared" si="1993"/>
        <v>0</v>
      </c>
      <c r="S1214" s="156">
        <f t="shared" si="1994"/>
        <v>0</v>
      </c>
      <c r="T1214" s="156">
        <f t="shared" si="1995"/>
        <v>0</v>
      </c>
      <c r="U1214" s="156">
        <f t="shared" si="1996"/>
        <v>0</v>
      </c>
      <c r="V1214" s="156">
        <f t="shared" si="1997"/>
        <v>0</v>
      </c>
      <c r="W1214" s="156">
        <f t="shared" si="1984"/>
        <v>0</v>
      </c>
      <c r="X1214" s="158">
        <f t="shared" ref="X1214" si="2034">$S1214/ORCAMENTO_VALOR_TOTAL_ND</f>
        <v>0</v>
      </c>
      <c r="Y1214" s="158">
        <f t="shared" ref="Y1214" si="2035">$T1214/ORCAMENTO_VALOR_TOTAL_DE</f>
        <v>0</v>
      </c>
      <c r="Z1214" s="158" cm="1">
        <f t="array" ref="Z1214">_xlfn.SWITCH($N1214,"BDI 1",$O$6,"BDI 2",$O$7,"BDI 3",$O$8)</f>
        <v>0.20699999999999999</v>
      </c>
      <c r="AA1214" s="158" cm="1">
        <f t="array" ref="AA1214">_xlfn.SWITCH($N1214,"BDI 1",$P$6,"BDI 2",$P$7,"BDI 3",$P$8)</f>
        <v>0.26739999999999997</v>
      </c>
      <c r="AB1214" s="158">
        <f t="shared" ca="1" si="2000"/>
        <v>0</v>
      </c>
      <c r="AC1214" s="158">
        <f t="shared" ca="1" si="2001"/>
        <v>0</v>
      </c>
      <c r="AD1214" s="164"/>
      <c r="AE1214" s="148">
        <f t="shared" si="1987"/>
        <v>0</v>
      </c>
      <c r="AF1214" s="149"/>
      <c r="AG1214" s="150"/>
      <c r="AH1214" s="159" t="e">
        <f t="shared" si="1988"/>
        <v>#DIV/0!</v>
      </c>
      <c r="AI1214" s="160">
        <v>0</v>
      </c>
      <c r="AJ1214" s="105"/>
      <c r="AK1214" s="105"/>
      <c r="AM1214" s="105"/>
      <c r="AN1214" s="105"/>
      <c r="AO1214" s="105"/>
      <c r="AP1214" s="105"/>
      <c r="AQ1214" s="105"/>
      <c r="AR1214" s="105"/>
    </row>
    <row r="1215" spans="1:44" s="49" customFormat="1" ht="60" hidden="1" customHeight="1">
      <c r="A1215" s="152">
        <f t="shared" ca="1" si="1989"/>
        <v>0</v>
      </c>
      <c r="B1215" s="153" t="s">
        <v>405</v>
      </c>
      <c r="C1215" s="154" t="str">
        <f t="shared" si="1990"/>
        <v>SV/0091</v>
      </c>
      <c r="D1215" s="154" t="s">
        <v>3549</v>
      </c>
      <c r="E1215" s="155" t="s">
        <v>3992</v>
      </c>
      <c r="F1215" s="154"/>
      <c r="G1215" s="154" t="s">
        <v>1412</v>
      </c>
      <c r="H1215" s="152">
        <v>401.06</v>
      </c>
      <c r="I1215" s="152">
        <v>394.58</v>
      </c>
      <c r="J1215" s="156"/>
      <c r="K1215" s="156">
        <f>+Sinal_Via!K291+Sinal_Via!K295</f>
        <v>0</v>
      </c>
      <c r="L1215" s="156">
        <f t="shared" si="1991"/>
        <v>0</v>
      </c>
      <c r="M1215" s="156">
        <f t="shared" si="1992"/>
        <v>0</v>
      </c>
      <c r="N1215" s="156" t="s">
        <v>83</v>
      </c>
      <c r="O1215" s="157" cm="1">
        <f t="array" ref="O1215">TRUNC($H1215*(1+_xlfn.SWITCH($N1215,"BDI 1",$O$6,"BDI 2",$O$7,"BDI 3",$O$8)),2)</f>
        <v>484.07</v>
      </c>
      <c r="P1215" s="157" cm="1">
        <f t="array" ref="P1215">TRUNC($I1215*(1+_xlfn.SWITCH($N1215,"BDI 1",$P$6,"BDI 2",$P$7,"BDI 3",$P$8)),2)</f>
        <v>500.09</v>
      </c>
      <c r="Q1215" s="157">
        <v>0</v>
      </c>
      <c r="R1215" s="157">
        <f t="shared" si="1993"/>
        <v>0</v>
      </c>
      <c r="S1215" s="156">
        <f t="shared" si="1994"/>
        <v>0</v>
      </c>
      <c r="T1215" s="156">
        <f t="shared" si="1995"/>
        <v>0</v>
      </c>
      <c r="U1215" s="156">
        <f t="shared" si="1996"/>
        <v>0</v>
      </c>
      <c r="V1215" s="156">
        <f t="shared" si="1997"/>
        <v>0</v>
      </c>
      <c r="W1215" s="156">
        <f t="shared" si="1984"/>
        <v>0</v>
      </c>
      <c r="X1215" s="158">
        <f t="shared" ref="X1215" si="2036">$S1215/ORCAMENTO_VALOR_TOTAL_ND</f>
        <v>0</v>
      </c>
      <c r="Y1215" s="158">
        <f t="shared" ref="Y1215" si="2037">$T1215/ORCAMENTO_VALOR_TOTAL_DE</f>
        <v>0</v>
      </c>
      <c r="Z1215" s="158" cm="1">
        <f t="array" ref="Z1215">_xlfn.SWITCH($N1215,"BDI 1",$O$6,"BDI 2",$O$7,"BDI 3",$O$8)</f>
        <v>0.20699999999999999</v>
      </c>
      <c r="AA1215" s="158" cm="1">
        <f t="array" ref="AA1215">_xlfn.SWITCH($N1215,"BDI 1",$P$6,"BDI 2",$P$7,"BDI 3",$P$8)</f>
        <v>0.26739999999999997</v>
      </c>
      <c r="AB1215" s="158">
        <f t="shared" ca="1" si="2000"/>
        <v>0</v>
      </c>
      <c r="AC1215" s="158">
        <f t="shared" ca="1" si="2001"/>
        <v>0</v>
      </c>
      <c r="AD1215" s="164"/>
      <c r="AE1215" s="148">
        <f t="shared" si="1987"/>
        <v>0</v>
      </c>
      <c r="AF1215" s="149"/>
      <c r="AG1215" s="150"/>
      <c r="AH1215" s="159" t="e">
        <f t="shared" si="1988"/>
        <v>#DIV/0!</v>
      </c>
      <c r="AI1215" s="160">
        <v>0</v>
      </c>
      <c r="AJ1215" s="105"/>
      <c r="AK1215" s="105"/>
      <c r="AM1215" s="105"/>
      <c r="AN1215" s="105"/>
      <c r="AO1215" s="105"/>
      <c r="AP1215" s="105"/>
      <c r="AQ1215" s="105"/>
      <c r="AR1215" s="105"/>
    </row>
    <row r="1216" spans="1:44" s="49" customFormat="1" ht="40.15" hidden="1" customHeight="1">
      <c r="A1216" s="152">
        <f t="shared" ca="1" si="1989"/>
        <v>0</v>
      </c>
      <c r="B1216" s="153" t="s">
        <v>406</v>
      </c>
      <c r="C1216" s="154" t="str">
        <f t="shared" si="1990"/>
        <v>SV/0095</v>
      </c>
      <c r="D1216" s="154" t="s">
        <v>3549</v>
      </c>
      <c r="E1216" s="155" t="s">
        <v>3993</v>
      </c>
      <c r="F1216" s="154"/>
      <c r="G1216" s="154" t="s">
        <v>1412</v>
      </c>
      <c r="H1216" s="152">
        <v>86.54</v>
      </c>
      <c r="I1216" s="152">
        <v>84.45</v>
      </c>
      <c r="J1216" s="156"/>
      <c r="K1216" s="156"/>
      <c r="L1216" s="156">
        <f t="shared" si="1991"/>
        <v>0</v>
      </c>
      <c r="M1216" s="156">
        <f t="shared" si="1992"/>
        <v>0</v>
      </c>
      <c r="N1216" s="156" t="s">
        <v>83</v>
      </c>
      <c r="O1216" s="157" cm="1">
        <f t="array" ref="O1216">TRUNC($H1216*(1+_xlfn.SWITCH($N1216,"BDI 1",$O$6,"BDI 2",$O$7,"BDI 3",$O$8)),2)</f>
        <v>104.45</v>
      </c>
      <c r="P1216" s="157" cm="1">
        <f t="array" ref="P1216">TRUNC($I1216*(1+_xlfn.SWITCH($N1216,"BDI 1",$P$6,"BDI 2",$P$7,"BDI 3",$P$8)),2)</f>
        <v>107.03</v>
      </c>
      <c r="Q1216" s="157">
        <v>0</v>
      </c>
      <c r="R1216" s="157">
        <f t="shared" si="1993"/>
        <v>0</v>
      </c>
      <c r="S1216" s="156">
        <f t="shared" si="1994"/>
        <v>0</v>
      </c>
      <c r="T1216" s="156">
        <f t="shared" si="1995"/>
        <v>0</v>
      </c>
      <c r="U1216" s="156">
        <f t="shared" si="1996"/>
        <v>0</v>
      </c>
      <c r="V1216" s="156">
        <f t="shared" si="1997"/>
        <v>0</v>
      </c>
      <c r="W1216" s="156">
        <f t="shared" si="1984"/>
        <v>0</v>
      </c>
      <c r="X1216" s="158">
        <f t="shared" ref="X1216" si="2038">$S1216/ORCAMENTO_VALOR_TOTAL_ND</f>
        <v>0</v>
      </c>
      <c r="Y1216" s="158">
        <f t="shared" ref="Y1216" si="2039">$T1216/ORCAMENTO_VALOR_TOTAL_DE</f>
        <v>0</v>
      </c>
      <c r="Z1216" s="158" cm="1">
        <f t="array" ref="Z1216">_xlfn.SWITCH($N1216,"BDI 1",$O$6,"BDI 2",$O$7,"BDI 3",$O$8)</f>
        <v>0.20699999999999999</v>
      </c>
      <c r="AA1216" s="158" cm="1">
        <f t="array" ref="AA1216">_xlfn.SWITCH($N1216,"BDI 1",$P$6,"BDI 2",$P$7,"BDI 3",$P$8)</f>
        <v>0.26739999999999997</v>
      </c>
      <c r="AB1216" s="158">
        <f t="shared" ca="1" si="2000"/>
        <v>0</v>
      </c>
      <c r="AC1216" s="158">
        <f t="shared" ca="1" si="2001"/>
        <v>0</v>
      </c>
      <c r="AD1216" s="164"/>
      <c r="AE1216" s="148">
        <f t="shared" si="1987"/>
        <v>0</v>
      </c>
      <c r="AF1216" s="149"/>
      <c r="AG1216" s="150"/>
      <c r="AH1216" s="159" t="e">
        <f t="shared" si="1988"/>
        <v>#DIV/0!</v>
      </c>
      <c r="AI1216" s="160">
        <v>0</v>
      </c>
      <c r="AJ1216" s="105"/>
      <c r="AK1216" s="105"/>
      <c r="AM1216" s="105"/>
      <c r="AN1216" s="105"/>
      <c r="AO1216" s="105"/>
      <c r="AP1216" s="105"/>
      <c r="AQ1216" s="105"/>
      <c r="AR1216" s="105"/>
    </row>
    <row r="1217" spans="1:44" s="49" customFormat="1" ht="40.15" hidden="1" customHeight="1">
      <c r="A1217" s="152">
        <f t="shared" ca="1" si="1989"/>
        <v>0</v>
      </c>
      <c r="B1217" s="153" t="s">
        <v>407</v>
      </c>
      <c r="C1217" s="154" t="str">
        <f t="shared" si="1990"/>
        <v>SV/0100</v>
      </c>
      <c r="D1217" s="154" t="s">
        <v>3549</v>
      </c>
      <c r="E1217" s="155" t="s">
        <v>3994</v>
      </c>
      <c r="F1217" s="154"/>
      <c r="G1217" s="154" t="s">
        <v>1412</v>
      </c>
      <c r="H1217" s="152">
        <v>650.21</v>
      </c>
      <c r="I1217" s="152">
        <v>639.91</v>
      </c>
      <c r="J1217" s="156"/>
      <c r="K1217" s="156">
        <f>+K1212</f>
        <v>0</v>
      </c>
      <c r="L1217" s="156">
        <f t="shared" si="1991"/>
        <v>0</v>
      </c>
      <c r="M1217" s="156">
        <f t="shared" si="1992"/>
        <v>0</v>
      </c>
      <c r="N1217" s="156" t="s">
        <v>83</v>
      </c>
      <c r="O1217" s="157" cm="1">
        <f t="array" ref="O1217">TRUNC($H1217*(1+_xlfn.SWITCH($N1217,"BDI 1",$O$6,"BDI 2",$O$7,"BDI 3",$O$8)),2)</f>
        <v>784.8</v>
      </c>
      <c r="P1217" s="157" cm="1">
        <f t="array" ref="P1217">TRUNC($I1217*(1+_xlfn.SWITCH($N1217,"BDI 1",$P$6,"BDI 2",$P$7,"BDI 3",$P$8)),2)</f>
        <v>811.02</v>
      </c>
      <c r="Q1217" s="157">
        <v>0</v>
      </c>
      <c r="R1217" s="157">
        <f t="shared" si="1993"/>
        <v>0</v>
      </c>
      <c r="S1217" s="156">
        <f t="shared" si="1994"/>
        <v>0</v>
      </c>
      <c r="T1217" s="156">
        <f t="shared" si="1995"/>
        <v>0</v>
      </c>
      <c r="U1217" s="156">
        <f t="shared" si="1996"/>
        <v>0</v>
      </c>
      <c r="V1217" s="156">
        <f t="shared" si="1997"/>
        <v>0</v>
      </c>
      <c r="W1217" s="156">
        <f t="shared" si="1984"/>
        <v>0</v>
      </c>
      <c r="X1217" s="158">
        <f t="shared" ref="X1217" si="2040">$S1217/ORCAMENTO_VALOR_TOTAL_ND</f>
        <v>0</v>
      </c>
      <c r="Y1217" s="158">
        <f t="shared" ref="Y1217" si="2041">$T1217/ORCAMENTO_VALOR_TOTAL_DE</f>
        <v>0</v>
      </c>
      <c r="Z1217" s="158" cm="1">
        <f t="array" ref="Z1217">_xlfn.SWITCH($N1217,"BDI 1",$O$6,"BDI 2",$O$7,"BDI 3",$O$8)</f>
        <v>0.20699999999999999</v>
      </c>
      <c r="AA1217" s="158" cm="1">
        <f t="array" ref="AA1217">_xlfn.SWITCH($N1217,"BDI 1",$P$6,"BDI 2",$P$7,"BDI 3",$P$8)</f>
        <v>0.26739999999999997</v>
      </c>
      <c r="AB1217" s="158">
        <f t="shared" ca="1" si="2000"/>
        <v>0</v>
      </c>
      <c r="AC1217" s="158">
        <f t="shared" ca="1" si="2001"/>
        <v>0</v>
      </c>
      <c r="AD1217" s="164"/>
      <c r="AE1217" s="148">
        <f t="shared" si="1987"/>
        <v>0</v>
      </c>
      <c r="AF1217" s="149"/>
      <c r="AG1217" s="150"/>
      <c r="AH1217" s="159" t="e">
        <f t="shared" si="1988"/>
        <v>#DIV/0!</v>
      </c>
      <c r="AI1217" s="160">
        <v>0</v>
      </c>
      <c r="AJ1217" s="105"/>
      <c r="AK1217" s="105"/>
      <c r="AM1217" s="105"/>
      <c r="AN1217" s="105"/>
      <c r="AO1217" s="105"/>
      <c r="AP1217" s="105"/>
      <c r="AQ1217" s="105"/>
      <c r="AR1217" s="105"/>
    </row>
    <row r="1218" spans="1:44" s="49" customFormat="1" ht="40.15" hidden="1" customHeight="1">
      <c r="A1218" s="152">
        <f t="shared" ca="1" si="1989"/>
        <v>0</v>
      </c>
      <c r="B1218" s="153" t="s">
        <v>408</v>
      </c>
      <c r="C1218" s="154" t="str">
        <f t="shared" si="1990"/>
        <v>SV/0109</v>
      </c>
      <c r="D1218" s="154" t="s">
        <v>3549</v>
      </c>
      <c r="E1218" s="155" t="s">
        <v>3995</v>
      </c>
      <c r="F1218" s="154"/>
      <c r="G1218" s="154" t="s">
        <v>1414</v>
      </c>
      <c r="H1218" s="152">
        <v>495.58</v>
      </c>
      <c r="I1218" s="152">
        <v>492.22</v>
      </c>
      <c r="J1218" s="156"/>
      <c r="K1218" s="156">
        <f>+Sinal_Via!K280</f>
        <v>0</v>
      </c>
      <c r="L1218" s="156">
        <f t="shared" si="1991"/>
        <v>0</v>
      </c>
      <c r="M1218" s="156">
        <f t="shared" si="1992"/>
        <v>0</v>
      </c>
      <c r="N1218" s="156" t="s">
        <v>83</v>
      </c>
      <c r="O1218" s="157" cm="1">
        <f t="array" ref="O1218">TRUNC($H1218*(1+_xlfn.SWITCH($N1218,"BDI 1",$O$6,"BDI 2",$O$7,"BDI 3",$O$8)),2)</f>
        <v>598.16</v>
      </c>
      <c r="P1218" s="157" cm="1">
        <f t="array" ref="P1218">TRUNC($I1218*(1+_xlfn.SWITCH($N1218,"BDI 1",$P$6,"BDI 2",$P$7,"BDI 3",$P$8)),2)</f>
        <v>623.83000000000004</v>
      </c>
      <c r="Q1218" s="157">
        <v>0</v>
      </c>
      <c r="R1218" s="157">
        <f t="shared" si="1993"/>
        <v>0</v>
      </c>
      <c r="S1218" s="156">
        <f t="shared" si="1994"/>
        <v>0</v>
      </c>
      <c r="T1218" s="156">
        <f t="shared" si="1995"/>
        <v>0</v>
      </c>
      <c r="U1218" s="156">
        <f t="shared" si="1996"/>
        <v>0</v>
      </c>
      <c r="V1218" s="156">
        <f t="shared" si="1997"/>
        <v>0</v>
      </c>
      <c r="W1218" s="156">
        <f t="shared" si="1984"/>
        <v>0</v>
      </c>
      <c r="X1218" s="158">
        <f t="shared" ref="X1218" si="2042">$S1218/ORCAMENTO_VALOR_TOTAL_ND</f>
        <v>0</v>
      </c>
      <c r="Y1218" s="158">
        <f t="shared" ref="Y1218" si="2043">$T1218/ORCAMENTO_VALOR_TOTAL_DE</f>
        <v>0</v>
      </c>
      <c r="Z1218" s="158" cm="1">
        <f t="array" ref="Z1218">_xlfn.SWITCH($N1218,"BDI 1",$O$6,"BDI 2",$O$7,"BDI 3",$O$8)</f>
        <v>0.20699999999999999</v>
      </c>
      <c r="AA1218" s="158" cm="1">
        <f t="array" ref="AA1218">_xlfn.SWITCH($N1218,"BDI 1",$P$6,"BDI 2",$P$7,"BDI 3",$P$8)</f>
        <v>0.26739999999999997</v>
      </c>
      <c r="AB1218" s="158">
        <f t="shared" ca="1" si="2000"/>
        <v>0</v>
      </c>
      <c r="AC1218" s="158">
        <f t="shared" ca="1" si="2001"/>
        <v>0</v>
      </c>
      <c r="AD1218" s="164"/>
      <c r="AE1218" s="148">
        <f t="shared" si="1987"/>
        <v>0</v>
      </c>
      <c r="AF1218" s="149"/>
      <c r="AG1218" s="150"/>
      <c r="AH1218" s="159" t="e">
        <f t="shared" si="1988"/>
        <v>#DIV/0!</v>
      </c>
      <c r="AI1218" s="160">
        <v>0</v>
      </c>
      <c r="AJ1218" s="105"/>
      <c r="AK1218" s="105"/>
      <c r="AM1218" s="105"/>
      <c r="AN1218" s="105"/>
      <c r="AO1218" s="105"/>
      <c r="AP1218" s="105"/>
      <c r="AQ1218" s="105"/>
      <c r="AR1218" s="105"/>
    </row>
    <row r="1219" spans="1:44" s="49" customFormat="1" ht="40.15" hidden="1" customHeight="1">
      <c r="A1219" s="152">
        <f t="shared" ca="1" si="1989"/>
        <v>0</v>
      </c>
      <c r="B1219" s="153" t="s">
        <v>408</v>
      </c>
      <c r="C1219" s="154" t="str">
        <f t="shared" si="1990"/>
        <v>SV/0109</v>
      </c>
      <c r="D1219" s="154" t="s">
        <v>3549</v>
      </c>
      <c r="E1219" s="155" t="s">
        <v>3995</v>
      </c>
      <c r="F1219" s="154"/>
      <c r="G1219" s="154" t="s">
        <v>1414</v>
      </c>
      <c r="H1219" s="152">
        <v>495.58</v>
      </c>
      <c r="I1219" s="152">
        <v>492.22</v>
      </c>
      <c r="J1219" s="156"/>
      <c r="K1219" s="156"/>
      <c r="L1219" s="156">
        <f t="shared" si="1991"/>
        <v>0</v>
      </c>
      <c r="M1219" s="156">
        <f t="shared" si="1992"/>
        <v>0</v>
      </c>
      <c r="N1219" s="156" t="s">
        <v>83</v>
      </c>
      <c r="O1219" s="157" cm="1">
        <f t="array" ref="O1219">TRUNC($H1219*(1+_xlfn.SWITCH($N1219,"BDI 1",$O$6,"BDI 2",$O$7,"BDI 3",$O$8)),2)</f>
        <v>598.16</v>
      </c>
      <c r="P1219" s="157" cm="1">
        <f t="array" ref="P1219">TRUNC($I1219*(1+_xlfn.SWITCH($N1219,"BDI 1",$P$6,"BDI 2",$P$7,"BDI 3",$P$8)),2)</f>
        <v>623.83000000000004</v>
      </c>
      <c r="Q1219" s="157">
        <v>0</v>
      </c>
      <c r="R1219" s="157">
        <f t="shared" si="1993"/>
        <v>0</v>
      </c>
      <c r="S1219" s="156">
        <f t="shared" si="1994"/>
        <v>0</v>
      </c>
      <c r="T1219" s="156">
        <f t="shared" si="1995"/>
        <v>0</v>
      </c>
      <c r="U1219" s="156">
        <f t="shared" si="1996"/>
        <v>0</v>
      </c>
      <c r="V1219" s="156">
        <f t="shared" si="1997"/>
        <v>0</v>
      </c>
      <c r="W1219" s="156">
        <f t="shared" si="1984"/>
        <v>0</v>
      </c>
      <c r="X1219" s="158">
        <f t="shared" ref="X1219" si="2044">$S1219/ORCAMENTO_VALOR_TOTAL_ND</f>
        <v>0</v>
      </c>
      <c r="Y1219" s="158">
        <f t="shared" ref="Y1219" si="2045">$T1219/ORCAMENTO_VALOR_TOTAL_DE</f>
        <v>0</v>
      </c>
      <c r="Z1219" s="158" cm="1">
        <f t="array" ref="Z1219">_xlfn.SWITCH($N1219,"BDI 1",$O$6,"BDI 2",$O$7,"BDI 3",$O$8)</f>
        <v>0.20699999999999999</v>
      </c>
      <c r="AA1219" s="158" cm="1">
        <f t="array" ref="AA1219">_xlfn.SWITCH($N1219,"BDI 1",$P$6,"BDI 2",$P$7,"BDI 3",$P$8)</f>
        <v>0.26739999999999997</v>
      </c>
      <c r="AB1219" s="158">
        <f t="shared" ca="1" si="2000"/>
        <v>0</v>
      </c>
      <c r="AC1219" s="158">
        <f t="shared" ca="1" si="2001"/>
        <v>0</v>
      </c>
      <c r="AD1219" s="164"/>
      <c r="AE1219" s="148">
        <f t="shared" si="1987"/>
        <v>0</v>
      </c>
      <c r="AF1219" s="149"/>
      <c r="AG1219" s="150"/>
      <c r="AH1219" s="159" t="e">
        <f t="shared" si="1988"/>
        <v>#DIV/0!</v>
      </c>
      <c r="AI1219" s="160">
        <v>0</v>
      </c>
      <c r="AJ1219" s="105"/>
      <c r="AK1219" s="105"/>
      <c r="AM1219" s="105"/>
      <c r="AN1219" s="105"/>
      <c r="AO1219" s="105"/>
      <c r="AP1219" s="105"/>
      <c r="AQ1219" s="105"/>
      <c r="AR1219" s="105"/>
    </row>
    <row r="1220" spans="1:44" s="49" customFormat="1" ht="40.15" hidden="1" customHeight="1">
      <c r="A1220" s="152">
        <f t="shared" ca="1" si="1989"/>
        <v>0</v>
      </c>
      <c r="B1220" s="153">
        <v>34721</v>
      </c>
      <c r="C1220" s="154" t="str">
        <f t="shared" si="1990"/>
        <v>34721</v>
      </c>
      <c r="D1220" s="154" t="s">
        <v>3579</v>
      </c>
      <c r="E1220" s="155" t="s">
        <v>3996</v>
      </c>
      <c r="F1220" s="154"/>
      <c r="G1220" s="154" t="s">
        <v>1418</v>
      </c>
      <c r="H1220" s="152">
        <v>720</v>
      </c>
      <c r="I1220" s="152">
        <v>720</v>
      </c>
      <c r="J1220" s="156"/>
      <c r="K1220" s="156">
        <f>+Sinal_Via!K290</f>
        <v>0</v>
      </c>
      <c r="L1220" s="156">
        <f t="shared" si="1991"/>
        <v>0</v>
      </c>
      <c r="M1220" s="156">
        <f t="shared" si="1992"/>
        <v>0</v>
      </c>
      <c r="N1220" s="156" t="s">
        <v>92</v>
      </c>
      <c r="O1220" s="157" cm="1">
        <f t="array" ref="O1220">TRUNC($H1220*(1+_xlfn.SWITCH($N1220,"BDI 1",$O$6,"BDI 2",$O$7,"BDI 3",$O$8)),2)</f>
        <v>829.94</v>
      </c>
      <c r="P1220" s="157" cm="1">
        <f t="array" ref="P1220">TRUNC($I1220*(1+_xlfn.SWITCH($N1220,"BDI 1",$P$6,"BDI 2",$P$7,"BDI 3",$P$8)),2)</f>
        <v>829.94</v>
      </c>
      <c r="Q1220" s="157">
        <v>0</v>
      </c>
      <c r="R1220" s="157">
        <f t="shared" si="1993"/>
        <v>0</v>
      </c>
      <c r="S1220" s="156">
        <f t="shared" si="1994"/>
        <v>0</v>
      </c>
      <c r="T1220" s="156">
        <f t="shared" si="1995"/>
        <v>0</v>
      </c>
      <c r="U1220" s="156">
        <f t="shared" si="1996"/>
        <v>0</v>
      </c>
      <c r="V1220" s="156">
        <f t="shared" si="1997"/>
        <v>0</v>
      </c>
      <c r="W1220" s="156">
        <f t="shared" si="1984"/>
        <v>0</v>
      </c>
      <c r="X1220" s="158">
        <f t="shared" ref="X1220" si="2046">$S1220/ORCAMENTO_VALOR_TOTAL_ND</f>
        <v>0</v>
      </c>
      <c r="Y1220" s="158">
        <f t="shared" ref="Y1220" si="2047">$T1220/ORCAMENTO_VALOR_TOTAL_DE</f>
        <v>0</v>
      </c>
      <c r="Z1220" s="158" cm="1">
        <f t="array" ref="Z1220">_xlfn.SWITCH($N1220,"BDI 1",$O$6,"BDI 2",$O$7,"BDI 3",$O$8)</f>
        <v>0.1527</v>
      </c>
      <c r="AA1220" s="158" cm="1">
        <f t="array" ref="AA1220">_xlfn.SWITCH($N1220,"BDI 1",$P$6,"BDI 2",$P$7,"BDI 3",$P$8)</f>
        <v>0.1527</v>
      </c>
      <c r="AB1220" s="158">
        <f t="shared" ca="1" si="2000"/>
        <v>0</v>
      </c>
      <c r="AC1220" s="158">
        <f t="shared" ca="1" si="2001"/>
        <v>0</v>
      </c>
      <c r="AD1220" s="164"/>
      <c r="AE1220" s="148">
        <f t="shared" si="1987"/>
        <v>0</v>
      </c>
      <c r="AF1220" s="149"/>
      <c r="AG1220" s="150"/>
      <c r="AH1220" s="159" t="e">
        <f t="shared" si="1988"/>
        <v>#DIV/0!</v>
      </c>
      <c r="AI1220" s="160">
        <v>0</v>
      </c>
      <c r="AJ1220" s="105"/>
      <c r="AK1220" s="105"/>
      <c r="AM1220" s="105"/>
      <c r="AN1220" s="105"/>
      <c r="AO1220" s="105"/>
      <c r="AP1220" s="105"/>
      <c r="AQ1220" s="105"/>
      <c r="AR1220" s="105"/>
    </row>
    <row r="1221" spans="1:44" s="49" customFormat="1" ht="40.15" hidden="1" customHeight="1">
      <c r="A1221" s="152">
        <f t="shared" ca="1" si="1989"/>
        <v>0</v>
      </c>
      <c r="B1221" s="153">
        <v>13521</v>
      </c>
      <c r="C1221" s="154" t="str">
        <f t="shared" si="1990"/>
        <v>13521</v>
      </c>
      <c r="D1221" s="154" t="s">
        <v>3579</v>
      </c>
      <c r="E1221" s="155" t="s">
        <v>3997</v>
      </c>
      <c r="F1221" s="154"/>
      <c r="G1221" s="154" t="s">
        <v>1412</v>
      </c>
      <c r="H1221" s="152">
        <v>82.5</v>
      </c>
      <c r="I1221" s="152">
        <v>82.5</v>
      </c>
      <c r="J1221" s="156"/>
      <c r="K1221" s="156">
        <f>+Sinal_Via!K294</f>
        <v>0</v>
      </c>
      <c r="L1221" s="156">
        <f t="shared" si="1991"/>
        <v>0</v>
      </c>
      <c r="M1221" s="156">
        <f t="shared" si="1992"/>
        <v>0</v>
      </c>
      <c r="N1221" s="156" t="s">
        <v>92</v>
      </c>
      <c r="O1221" s="157" cm="1">
        <f t="array" ref="O1221">TRUNC($H1221*(1+_xlfn.SWITCH($N1221,"BDI 1",$O$6,"BDI 2",$O$7,"BDI 3",$O$8)),2)</f>
        <v>95.09</v>
      </c>
      <c r="P1221" s="157" cm="1">
        <f t="array" ref="P1221">TRUNC($I1221*(1+_xlfn.SWITCH($N1221,"BDI 1",$P$6,"BDI 2",$P$7,"BDI 3",$P$8)),2)</f>
        <v>95.09</v>
      </c>
      <c r="Q1221" s="157">
        <v>0</v>
      </c>
      <c r="R1221" s="157">
        <f t="shared" si="1993"/>
        <v>0</v>
      </c>
      <c r="S1221" s="156">
        <f t="shared" si="1994"/>
        <v>0</v>
      </c>
      <c r="T1221" s="156">
        <f t="shared" si="1995"/>
        <v>0</v>
      </c>
      <c r="U1221" s="156">
        <f t="shared" si="1996"/>
        <v>0</v>
      </c>
      <c r="V1221" s="156">
        <f t="shared" si="1997"/>
        <v>0</v>
      </c>
      <c r="W1221" s="156">
        <f t="shared" si="1984"/>
        <v>0</v>
      </c>
      <c r="X1221" s="158">
        <f t="shared" ref="X1221" si="2048">$S1221/ORCAMENTO_VALOR_TOTAL_ND</f>
        <v>0</v>
      </c>
      <c r="Y1221" s="158">
        <f t="shared" ref="Y1221" si="2049">$T1221/ORCAMENTO_VALOR_TOTAL_DE</f>
        <v>0</v>
      </c>
      <c r="Z1221" s="158" cm="1">
        <f t="array" ref="Z1221">_xlfn.SWITCH($N1221,"BDI 1",$O$6,"BDI 2",$O$7,"BDI 3",$O$8)</f>
        <v>0.1527</v>
      </c>
      <c r="AA1221" s="158" cm="1">
        <f t="array" ref="AA1221">_xlfn.SWITCH($N1221,"BDI 1",$P$6,"BDI 2",$P$7,"BDI 3",$P$8)</f>
        <v>0.1527</v>
      </c>
      <c r="AB1221" s="158">
        <f t="shared" ca="1" si="2000"/>
        <v>0</v>
      </c>
      <c r="AC1221" s="158">
        <f t="shared" ca="1" si="2001"/>
        <v>0</v>
      </c>
      <c r="AD1221" s="164"/>
      <c r="AE1221" s="148">
        <f t="shared" si="1987"/>
        <v>0</v>
      </c>
      <c r="AF1221" s="149"/>
      <c r="AG1221" s="150"/>
      <c r="AH1221" s="159" t="e">
        <f t="shared" si="1988"/>
        <v>#DIV/0!</v>
      </c>
      <c r="AI1221" s="160">
        <v>0</v>
      </c>
      <c r="AJ1221" s="105"/>
      <c r="AK1221" s="105"/>
      <c r="AM1221" s="105"/>
      <c r="AN1221" s="105"/>
      <c r="AO1221" s="105"/>
      <c r="AP1221" s="105"/>
      <c r="AQ1221" s="105"/>
      <c r="AR1221" s="105"/>
    </row>
    <row r="1222" spans="1:44" s="49" customFormat="1" ht="40.15" hidden="1" customHeight="1">
      <c r="A1222" s="152">
        <f t="shared" ca="1" si="1989"/>
        <v>0</v>
      </c>
      <c r="B1222" s="153">
        <v>97669</v>
      </c>
      <c r="C1222" s="154" t="str">
        <f t="shared" si="1990"/>
        <v>97669</v>
      </c>
      <c r="D1222" s="154" t="s">
        <v>1416</v>
      </c>
      <c r="E1222" s="155" t="s">
        <v>3998</v>
      </c>
      <c r="F1222" s="154"/>
      <c r="G1222" s="154" t="s">
        <v>58</v>
      </c>
      <c r="H1222" s="152">
        <v>18.690000000000001</v>
      </c>
      <c r="I1222" s="152">
        <v>18.03</v>
      </c>
      <c r="J1222" s="156"/>
      <c r="K1222" s="156">
        <f>+Sinal_Via!K399</f>
        <v>0</v>
      </c>
      <c r="L1222" s="156">
        <f t="shared" si="1991"/>
        <v>0</v>
      </c>
      <c r="M1222" s="156">
        <f t="shared" si="1992"/>
        <v>0</v>
      </c>
      <c r="N1222" s="156" t="s">
        <v>83</v>
      </c>
      <c r="O1222" s="157" cm="1">
        <f t="array" ref="O1222">TRUNC($H1222*(1+_xlfn.SWITCH($N1222,"BDI 1",$O$6,"BDI 2",$O$7,"BDI 3",$O$8)),2)</f>
        <v>22.55</v>
      </c>
      <c r="P1222" s="157" cm="1">
        <f t="array" ref="P1222">TRUNC($I1222*(1+_xlfn.SWITCH($N1222,"BDI 1",$P$6,"BDI 2",$P$7,"BDI 3",$P$8)),2)</f>
        <v>22.85</v>
      </c>
      <c r="Q1222" s="157">
        <v>0</v>
      </c>
      <c r="R1222" s="157">
        <f t="shared" si="1993"/>
        <v>0</v>
      </c>
      <c r="S1222" s="156">
        <f t="shared" si="1994"/>
        <v>0</v>
      </c>
      <c r="T1222" s="156">
        <f t="shared" si="1995"/>
        <v>0</v>
      </c>
      <c r="U1222" s="156">
        <f t="shared" si="1996"/>
        <v>0</v>
      </c>
      <c r="V1222" s="156">
        <f t="shared" si="1997"/>
        <v>0</v>
      </c>
      <c r="W1222" s="156">
        <f t="shared" si="1984"/>
        <v>0</v>
      </c>
      <c r="X1222" s="158">
        <f t="shared" ref="X1222" si="2050">$S1222/ORCAMENTO_VALOR_TOTAL_ND</f>
        <v>0</v>
      </c>
      <c r="Y1222" s="158">
        <f t="shared" ref="Y1222" si="2051">$T1222/ORCAMENTO_VALOR_TOTAL_DE</f>
        <v>0</v>
      </c>
      <c r="Z1222" s="158" cm="1">
        <f t="array" ref="Z1222">_xlfn.SWITCH($N1222,"BDI 1",$O$6,"BDI 2",$O$7,"BDI 3",$O$8)</f>
        <v>0.20699999999999999</v>
      </c>
      <c r="AA1222" s="158" cm="1">
        <f t="array" ref="AA1222">_xlfn.SWITCH($N1222,"BDI 1",$P$6,"BDI 2",$P$7,"BDI 3",$P$8)</f>
        <v>0.26739999999999997</v>
      </c>
      <c r="AB1222" s="158">
        <f t="shared" ca="1" si="2000"/>
        <v>0</v>
      </c>
      <c r="AC1222" s="158">
        <f t="shared" ca="1" si="2001"/>
        <v>0</v>
      </c>
      <c r="AD1222" s="164"/>
      <c r="AE1222" s="148">
        <f t="shared" si="1987"/>
        <v>0</v>
      </c>
      <c r="AF1222" s="149"/>
      <c r="AG1222" s="150"/>
      <c r="AH1222" s="159" t="e">
        <f t="shared" si="1988"/>
        <v>#DIV/0!</v>
      </c>
      <c r="AI1222" s="160">
        <v>0</v>
      </c>
      <c r="AJ1222" s="105"/>
      <c r="AK1222" s="105"/>
      <c r="AM1222" s="105"/>
      <c r="AN1222" s="105"/>
      <c r="AO1222" s="105"/>
      <c r="AP1222" s="105"/>
      <c r="AQ1222" s="105"/>
      <c r="AR1222" s="105"/>
    </row>
    <row r="1223" spans="1:44" s="49" customFormat="1" ht="60" hidden="1" customHeight="1">
      <c r="A1223" s="152">
        <f t="shared" ca="1" si="1989"/>
        <v>0</v>
      </c>
      <c r="B1223" s="153" t="s">
        <v>409</v>
      </c>
      <c r="C1223" s="154" t="str">
        <f t="shared" si="1990"/>
        <v>SV/0116</v>
      </c>
      <c r="D1223" s="154" t="s">
        <v>3549</v>
      </c>
      <c r="E1223" s="155" t="s">
        <v>3999</v>
      </c>
      <c r="F1223" s="154"/>
      <c r="G1223" s="154" t="s">
        <v>58</v>
      </c>
      <c r="H1223" s="152">
        <v>146.18</v>
      </c>
      <c r="I1223" s="152">
        <v>139.35</v>
      </c>
      <c r="J1223" s="156"/>
      <c r="K1223" s="156">
        <f>+Sinal_Via!K400</f>
        <v>0</v>
      </c>
      <c r="L1223" s="156">
        <f t="shared" si="1991"/>
        <v>0</v>
      </c>
      <c r="M1223" s="156">
        <f t="shared" si="1992"/>
        <v>0</v>
      </c>
      <c r="N1223" s="156" t="s">
        <v>83</v>
      </c>
      <c r="O1223" s="157" cm="1">
        <f t="array" ref="O1223">TRUNC($H1223*(1+_xlfn.SWITCH($N1223,"BDI 1",$O$6,"BDI 2",$O$7,"BDI 3",$O$8)),2)</f>
        <v>176.43</v>
      </c>
      <c r="P1223" s="157" cm="1">
        <f t="array" ref="P1223">TRUNC($I1223*(1+_xlfn.SWITCH($N1223,"BDI 1",$P$6,"BDI 2",$P$7,"BDI 3",$P$8)),2)</f>
        <v>176.61</v>
      </c>
      <c r="Q1223" s="157">
        <v>0</v>
      </c>
      <c r="R1223" s="157">
        <f t="shared" si="1993"/>
        <v>0</v>
      </c>
      <c r="S1223" s="156">
        <f t="shared" si="1994"/>
        <v>0</v>
      </c>
      <c r="T1223" s="156">
        <f t="shared" si="1995"/>
        <v>0</v>
      </c>
      <c r="U1223" s="156">
        <f t="shared" si="1996"/>
        <v>0</v>
      </c>
      <c r="V1223" s="156">
        <f t="shared" si="1997"/>
        <v>0</v>
      </c>
      <c r="W1223" s="156">
        <f t="shared" si="1984"/>
        <v>0</v>
      </c>
      <c r="X1223" s="158">
        <f t="shared" ref="X1223" si="2052">$S1223/ORCAMENTO_VALOR_TOTAL_ND</f>
        <v>0</v>
      </c>
      <c r="Y1223" s="158">
        <f t="shared" ref="Y1223" si="2053">$T1223/ORCAMENTO_VALOR_TOTAL_DE</f>
        <v>0</v>
      </c>
      <c r="Z1223" s="158" cm="1">
        <f t="array" ref="Z1223">_xlfn.SWITCH($N1223,"BDI 1",$O$6,"BDI 2",$O$7,"BDI 3",$O$8)</f>
        <v>0.20699999999999999</v>
      </c>
      <c r="AA1223" s="158" cm="1">
        <f t="array" ref="AA1223">_xlfn.SWITCH($N1223,"BDI 1",$P$6,"BDI 2",$P$7,"BDI 3",$P$8)</f>
        <v>0.26739999999999997</v>
      </c>
      <c r="AB1223" s="158">
        <f t="shared" ca="1" si="2000"/>
        <v>0</v>
      </c>
      <c r="AC1223" s="158">
        <f t="shared" ca="1" si="2001"/>
        <v>0</v>
      </c>
      <c r="AD1223" s="164"/>
      <c r="AE1223" s="148">
        <f t="shared" si="1987"/>
        <v>0</v>
      </c>
      <c r="AF1223" s="149"/>
      <c r="AG1223" s="150"/>
      <c r="AH1223" s="159" t="e">
        <f t="shared" si="1988"/>
        <v>#DIV/0!</v>
      </c>
      <c r="AI1223" s="160">
        <v>0</v>
      </c>
      <c r="AJ1223" s="105"/>
      <c r="AK1223" s="105"/>
      <c r="AM1223" s="105"/>
      <c r="AN1223" s="105"/>
      <c r="AO1223" s="105"/>
      <c r="AP1223" s="105"/>
      <c r="AQ1223" s="105"/>
      <c r="AR1223" s="105"/>
    </row>
    <row r="1224" spans="1:44" s="49" customFormat="1" ht="40.15" hidden="1" customHeight="1">
      <c r="A1224" s="152">
        <f t="shared" ca="1" si="1989"/>
        <v>0</v>
      </c>
      <c r="B1224" s="153">
        <v>97882</v>
      </c>
      <c r="C1224" s="154" t="str">
        <f t="shared" si="1990"/>
        <v>97882</v>
      </c>
      <c r="D1224" s="154" t="s">
        <v>1416</v>
      </c>
      <c r="E1224" s="155" t="s">
        <v>4000</v>
      </c>
      <c r="F1224" s="154"/>
      <c r="G1224" s="154" t="s">
        <v>1412</v>
      </c>
      <c r="H1224" s="152">
        <v>227.67</v>
      </c>
      <c r="I1224" s="152">
        <v>219.08</v>
      </c>
      <c r="J1224" s="156"/>
      <c r="K1224" s="156">
        <f>+Sinal_Via!K401</f>
        <v>0</v>
      </c>
      <c r="L1224" s="156">
        <f t="shared" si="1991"/>
        <v>0</v>
      </c>
      <c r="M1224" s="156">
        <f t="shared" si="1992"/>
        <v>0</v>
      </c>
      <c r="N1224" s="156" t="s">
        <v>83</v>
      </c>
      <c r="O1224" s="157" cm="1">
        <f t="array" ref="O1224">TRUNC($H1224*(1+_xlfn.SWITCH($N1224,"BDI 1",$O$6,"BDI 2",$O$7,"BDI 3",$O$8)),2)</f>
        <v>274.79000000000002</v>
      </c>
      <c r="P1224" s="157" cm="1">
        <f t="array" ref="P1224">TRUNC($I1224*(1+_xlfn.SWITCH($N1224,"BDI 1",$P$6,"BDI 2",$P$7,"BDI 3",$P$8)),2)</f>
        <v>277.66000000000003</v>
      </c>
      <c r="Q1224" s="157">
        <v>0</v>
      </c>
      <c r="R1224" s="157">
        <f t="shared" si="1993"/>
        <v>0</v>
      </c>
      <c r="S1224" s="156">
        <f t="shared" si="1994"/>
        <v>0</v>
      </c>
      <c r="T1224" s="156">
        <f t="shared" si="1995"/>
        <v>0</v>
      </c>
      <c r="U1224" s="156">
        <f t="shared" si="1996"/>
        <v>0</v>
      </c>
      <c r="V1224" s="156">
        <f t="shared" si="1997"/>
        <v>0</v>
      </c>
      <c r="W1224" s="156">
        <f t="shared" si="1984"/>
        <v>0</v>
      </c>
      <c r="X1224" s="158">
        <f t="shared" ref="X1224" si="2054">$S1224/ORCAMENTO_VALOR_TOTAL_ND</f>
        <v>0</v>
      </c>
      <c r="Y1224" s="158">
        <f t="shared" ref="Y1224" si="2055">$T1224/ORCAMENTO_VALOR_TOTAL_DE</f>
        <v>0</v>
      </c>
      <c r="Z1224" s="158" cm="1">
        <f t="array" ref="Z1224">_xlfn.SWITCH($N1224,"BDI 1",$O$6,"BDI 2",$O$7,"BDI 3",$O$8)</f>
        <v>0.20699999999999999</v>
      </c>
      <c r="AA1224" s="158" cm="1">
        <f t="array" ref="AA1224">_xlfn.SWITCH($N1224,"BDI 1",$P$6,"BDI 2",$P$7,"BDI 3",$P$8)</f>
        <v>0.26739999999999997</v>
      </c>
      <c r="AB1224" s="158">
        <f t="shared" ca="1" si="2000"/>
        <v>0</v>
      </c>
      <c r="AC1224" s="158">
        <f t="shared" ca="1" si="2001"/>
        <v>0</v>
      </c>
      <c r="AD1224" s="164"/>
      <c r="AE1224" s="148">
        <f t="shared" si="1987"/>
        <v>0</v>
      </c>
      <c r="AF1224" s="149"/>
      <c r="AG1224" s="150"/>
      <c r="AH1224" s="159" t="e">
        <f t="shared" si="1988"/>
        <v>#DIV/0!</v>
      </c>
      <c r="AI1224" s="160">
        <v>0</v>
      </c>
      <c r="AJ1224" s="105"/>
      <c r="AK1224" s="105"/>
      <c r="AM1224" s="105"/>
      <c r="AN1224" s="105"/>
      <c r="AO1224" s="105"/>
      <c r="AP1224" s="105"/>
      <c r="AQ1224" s="105"/>
      <c r="AR1224" s="105"/>
    </row>
    <row r="1225" spans="1:44" s="49" customFormat="1" ht="40.15" hidden="1" customHeight="1">
      <c r="A1225" s="152">
        <f t="shared" ca="1" si="1989"/>
        <v>0</v>
      </c>
      <c r="B1225" s="153" t="s">
        <v>410</v>
      </c>
      <c r="C1225" s="154" t="str">
        <f t="shared" si="1990"/>
        <v>SV/0121</v>
      </c>
      <c r="D1225" s="154" t="s">
        <v>3549</v>
      </c>
      <c r="E1225" s="155" t="s">
        <v>4001</v>
      </c>
      <c r="F1225" s="154"/>
      <c r="G1225" s="154" t="s">
        <v>1412</v>
      </c>
      <c r="H1225" s="152">
        <v>287.45</v>
      </c>
      <c r="I1225" s="152">
        <v>283.54000000000002</v>
      </c>
      <c r="J1225" s="156"/>
      <c r="K1225" s="156">
        <f>+Sinal_Via!K401</f>
        <v>0</v>
      </c>
      <c r="L1225" s="156">
        <f t="shared" si="1991"/>
        <v>0</v>
      </c>
      <c r="M1225" s="156">
        <f t="shared" si="1992"/>
        <v>0</v>
      </c>
      <c r="N1225" s="156" t="s">
        <v>83</v>
      </c>
      <c r="O1225" s="157" cm="1">
        <f t="array" ref="O1225">TRUNC($H1225*(1+_xlfn.SWITCH($N1225,"BDI 1",$O$6,"BDI 2",$O$7,"BDI 3",$O$8)),2)</f>
        <v>346.95</v>
      </c>
      <c r="P1225" s="157" cm="1">
        <f t="array" ref="P1225">TRUNC($I1225*(1+_xlfn.SWITCH($N1225,"BDI 1",$P$6,"BDI 2",$P$7,"BDI 3",$P$8)),2)</f>
        <v>359.35</v>
      </c>
      <c r="Q1225" s="157">
        <v>0</v>
      </c>
      <c r="R1225" s="157">
        <f t="shared" si="1993"/>
        <v>0</v>
      </c>
      <c r="S1225" s="156">
        <f t="shared" si="1994"/>
        <v>0</v>
      </c>
      <c r="T1225" s="156">
        <f t="shared" si="1995"/>
        <v>0</v>
      </c>
      <c r="U1225" s="156">
        <f t="shared" si="1996"/>
        <v>0</v>
      </c>
      <c r="V1225" s="156">
        <f t="shared" si="1997"/>
        <v>0</v>
      </c>
      <c r="W1225" s="156">
        <f t="shared" si="1984"/>
        <v>0</v>
      </c>
      <c r="X1225" s="158">
        <f t="shared" ref="X1225" si="2056">$S1225/ORCAMENTO_VALOR_TOTAL_ND</f>
        <v>0</v>
      </c>
      <c r="Y1225" s="158">
        <f t="shared" ref="Y1225" si="2057">$T1225/ORCAMENTO_VALOR_TOTAL_DE</f>
        <v>0</v>
      </c>
      <c r="Z1225" s="158" cm="1">
        <f t="array" ref="Z1225">_xlfn.SWITCH($N1225,"BDI 1",$O$6,"BDI 2",$O$7,"BDI 3",$O$8)</f>
        <v>0.20699999999999999</v>
      </c>
      <c r="AA1225" s="158" cm="1">
        <f t="array" ref="AA1225">_xlfn.SWITCH($N1225,"BDI 1",$P$6,"BDI 2",$P$7,"BDI 3",$P$8)</f>
        <v>0.26739999999999997</v>
      </c>
      <c r="AB1225" s="158">
        <f t="shared" ca="1" si="2000"/>
        <v>0</v>
      </c>
      <c r="AC1225" s="158">
        <f t="shared" ca="1" si="2001"/>
        <v>0</v>
      </c>
      <c r="AD1225" s="164"/>
      <c r="AE1225" s="148">
        <f t="shared" si="1987"/>
        <v>0</v>
      </c>
      <c r="AF1225" s="149"/>
      <c r="AG1225" s="150"/>
      <c r="AH1225" s="159" t="e">
        <f t="shared" si="1988"/>
        <v>#DIV/0!</v>
      </c>
      <c r="AI1225" s="160">
        <v>0</v>
      </c>
      <c r="AJ1225" s="105"/>
      <c r="AK1225" s="105"/>
      <c r="AM1225" s="105"/>
      <c r="AN1225" s="105"/>
      <c r="AO1225" s="105"/>
      <c r="AP1225" s="105"/>
      <c r="AQ1225" s="105"/>
      <c r="AR1225" s="105"/>
    </row>
    <row r="1226" spans="1:44" s="49" customFormat="1" ht="24.95" customHeight="1">
      <c r="A1226" s="10">
        <f t="shared" ca="1" si="1989"/>
        <v>0</v>
      </c>
      <c r="B1226" s="153"/>
      <c r="C1226" s="154"/>
      <c r="D1226" s="154"/>
      <c r="E1226" s="155"/>
      <c r="F1226" s="154"/>
      <c r="G1226" s="154"/>
      <c r="H1226" s="154"/>
      <c r="I1226" s="154"/>
      <c r="J1226" s="168"/>
      <c r="K1226" s="168"/>
      <c r="L1226" s="168"/>
      <c r="M1226" s="168"/>
      <c r="N1226" s="168"/>
      <c r="O1226" s="157"/>
      <c r="P1226" s="157"/>
      <c r="Q1226" s="157"/>
      <c r="R1226" s="157"/>
      <c r="S1226" s="162"/>
      <c r="T1226" s="162"/>
      <c r="U1226" s="162"/>
      <c r="V1226" s="162"/>
      <c r="W1226" s="162"/>
      <c r="X1226" s="163"/>
      <c r="Y1226" s="163"/>
      <c r="Z1226" s="163"/>
      <c r="AA1226" s="163"/>
      <c r="AB1226" s="163"/>
      <c r="AC1226" s="163"/>
      <c r="AD1226" s="164"/>
      <c r="AE1226" s="148">
        <f ca="1">IF(S1227&gt;0,IFERROR(TRUNC(A1227,0),0),0)</f>
        <v>3</v>
      </c>
      <c r="AF1226" s="149"/>
      <c r="AG1226" s="150"/>
      <c r="AH1226" s="159"/>
      <c r="AI1226" s="160"/>
      <c r="AJ1226" s="105"/>
      <c r="AK1226" s="105"/>
      <c r="AM1226" s="105"/>
      <c r="AN1226" s="105"/>
      <c r="AO1226" s="105"/>
      <c r="AP1226" s="105"/>
      <c r="AQ1226" s="105"/>
      <c r="AR1226" s="105"/>
    </row>
    <row r="1227" spans="1:44" s="105" customFormat="1" ht="24.95" customHeight="1">
      <c r="A1227" s="169">
        <f ca="1">$B$36</f>
        <v>3</v>
      </c>
      <c r="B1227" s="170"/>
      <c r="C1227" s="171"/>
      <c r="D1227" s="172"/>
      <c r="E1227" s="173" t="str">
        <f>$D$36</f>
        <v>ADMINISTRAÇÃO LOCAL</v>
      </c>
      <c r="F1227" s="174">
        <v>0</v>
      </c>
      <c r="G1227" s="175"/>
      <c r="H1227" s="176" t="s">
        <v>411</v>
      </c>
      <c r="I1227" s="176" t="s">
        <v>411</v>
      </c>
      <c r="J1227" s="177"/>
      <c r="K1227" s="177"/>
      <c r="L1227" s="177"/>
      <c r="M1227" s="177"/>
      <c r="N1227" s="177"/>
      <c r="O1227" s="178" t="str">
        <f ca="1">CONCATENATE("SUB-TOTAL ",$A1227)</f>
        <v>SUB-TOTAL 3</v>
      </c>
      <c r="P1227" s="178" t="e" cm="1">
        <f t="array" ref="P1227">TRUNC($I1227*(1+_xlfn.SWITCH($N1227,"BDI 1",$P$6,"BDI 2",$P$7,"BDI 3",$P$8)),2)</f>
        <v>#VALUE!</v>
      </c>
      <c r="Q1227" s="178" t="str">
        <f ca="1">CONCATENATE("SUB-TOTAL ",$A1227)</f>
        <v>SUB-TOTAL 3</v>
      </c>
      <c r="R1227" s="178"/>
      <c r="S1227" s="179">
        <f>SUM(S1228:S1228)</f>
        <v>100703.92</v>
      </c>
      <c r="T1227" s="179">
        <f>SUM(T1228:T1228)</f>
        <v>337648.59</v>
      </c>
      <c r="U1227" s="179">
        <f>SUM(U1228:U1228)</f>
        <v>0</v>
      </c>
      <c r="V1227" s="179">
        <f>SUM(V1228:V1228)</f>
        <v>0</v>
      </c>
      <c r="W1227" s="179">
        <f>TRUNC(V1227-U1227,2)</f>
        <v>0</v>
      </c>
      <c r="X1227" s="180">
        <f>+$S1227/ORCAMENTO_VALOR_TOTAL_ND</f>
        <v>3.2564449035756018E-2</v>
      </c>
      <c r="Y1227" s="180">
        <f>+$T1227/ORCAMENTO_VALOR_TOTAL_DE</f>
        <v>9.9273416696027905E-2</v>
      </c>
      <c r="Z1227" s="180"/>
      <c r="AA1227" s="180"/>
      <c r="AB1227" s="180">
        <f>IFERROR($S1227/$S1227,0)</f>
        <v>1</v>
      </c>
      <c r="AC1227" s="180">
        <f>IFERROR($T1227/$T1227,0)</f>
        <v>1</v>
      </c>
      <c r="AD1227" s="147"/>
      <c r="AE1227" s="148">
        <f ca="1">IF(S1227&gt;0,IFERROR(TRUNC(A1227,0),0),0)</f>
        <v>3</v>
      </c>
      <c r="AF1227" s="149"/>
      <c r="AG1227" s="150"/>
      <c r="AH1227" s="151">
        <f>+S1227/S$1227</f>
        <v>1</v>
      </c>
      <c r="AI1227" s="224" t="str">
        <f>+IF(O2=ADM_Local!C4,"CPU correta","data base CPU errada")</f>
        <v>CPU correta</v>
      </c>
    </row>
    <row r="1228" spans="1:44" s="220" customFormat="1" ht="30" customHeight="1">
      <c r="A1228" s="152">
        <f ca="1">+IF(K1228&gt;0,A1227+0.01,A1227)</f>
        <v>3.01</v>
      </c>
      <c r="B1228" s="153" t="s">
        <v>412</v>
      </c>
      <c r="C1228" s="154" t="str">
        <f>TEXT(B1228,"0")</f>
        <v>CPU Adm Local</v>
      </c>
      <c r="D1228" s="154" t="s">
        <v>413</v>
      </c>
      <c r="E1228" s="155" t="str">
        <f>ADM_Local!C7</f>
        <v>Administração local do canteiro de obras</v>
      </c>
      <c r="F1228" s="154" t="str">
        <f>ADM_Local!K7</f>
        <v>mês</v>
      </c>
      <c r="G1228" s="154" t="str">
        <f>ADM_Local!J7</f>
        <v>mês</v>
      </c>
      <c r="H1228" s="152">
        <v>83433.240000000005</v>
      </c>
      <c r="I1228" s="152">
        <v>266410.44</v>
      </c>
      <c r="J1228" s="156"/>
      <c r="K1228" s="156">
        <v>1</v>
      </c>
      <c r="L1228" s="156">
        <f>IF($K1228&gt;$J1228,$K1228-$J1228,0)</f>
        <v>1</v>
      </c>
      <c r="M1228" s="156">
        <f>IF($K1228&lt;$J1228,$J1228-$K1228,0)</f>
        <v>0</v>
      </c>
      <c r="N1228" s="156" t="s">
        <v>83</v>
      </c>
      <c r="O1228" s="157" cm="1">
        <f t="array" ref="O1228">TRUNC($H1228*(1+_xlfn.SWITCH($N1228,"BDI 1",$O$6,"BDI 2",$O$7,"BDI 3",$O$8)),2)</f>
        <v>100703.92</v>
      </c>
      <c r="P1228" s="157" cm="1">
        <f t="array" ref="P1228">TRUNC($I1228*(1+_xlfn.SWITCH($N1228,"BDI 1",$P$6,"BDI 2",$P$7,"BDI 3",$P$8)),2)</f>
        <v>337648.59</v>
      </c>
      <c r="Q1228" s="157">
        <v>0</v>
      </c>
      <c r="R1228" s="157">
        <f>$Q1228-($Q1228*LICITACAO_DESCONTO)</f>
        <v>0</v>
      </c>
      <c r="S1228" s="156">
        <f>TRUNC($K1228*$O1228,2)</f>
        <v>100703.92</v>
      </c>
      <c r="T1228" s="156">
        <f>TRUNC($K1228*$P1228,2)</f>
        <v>337648.59</v>
      </c>
      <c r="U1228" s="156">
        <f>TRUNC($J1228*$R1228,2)</f>
        <v>0</v>
      </c>
      <c r="V1228" s="156">
        <f>TRUNC($K1228*$Q1228,2)</f>
        <v>0</v>
      </c>
      <c r="W1228" s="156">
        <f>TRUNC(V1228-U1228,2)</f>
        <v>0</v>
      </c>
      <c r="X1228" s="158">
        <f>$S1228/ORCAMENTO_VALOR_TOTAL_ND</f>
        <v>3.2564449035756018E-2</v>
      </c>
      <c r="Y1228" s="158">
        <f>$T1228/ORCAMENTO_VALOR_TOTAL_DE</f>
        <v>9.9273416696027905E-2</v>
      </c>
      <c r="Z1228" s="158" cm="1">
        <f t="array" ref="Z1228">_xlfn.SWITCH($N1228,"BDI 1",$O$6,"BDI 2",$O$7,"BDI 3",$O$8)</f>
        <v>0.20699999999999999</v>
      </c>
      <c r="AA1228" s="158" cm="1">
        <f t="array" ref="AA1228">_xlfn.SWITCH($N1228,"BDI 1",$P$6,"BDI 2",$P$7,"BDI 3",$P$8)</f>
        <v>0.26739999999999997</v>
      </c>
      <c r="AB1228" s="158">
        <f ca="1">IFERROR($S1228/_xlfn.XLOOKUP($AE1228,$B$16:$B$38,$S$16:$S$38),0)</f>
        <v>0</v>
      </c>
      <c r="AC1228" s="158">
        <f ca="1">IFERROR($T1228/_xlfn.XLOOKUP($AE1228,$B$16:$B$38,$T$16:$T$38),0)</f>
        <v>0</v>
      </c>
      <c r="AD1228" s="164"/>
      <c r="AE1228" s="148">
        <f ca="1">IF(S1228&gt;0,IFERROR(TRUNC(A1228,0),0),0)</f>
        <v>3</v>
      </c>
      <c r="AF1228" s="149"/>
      <c r="AG1228" s="150"/>
      <c r="AH1228" s="159">
        <f>+S1228/S$1227</f>
        <v>1</v>
      </c>
      <c r="AI1228" s="185"/>
      <c r="AJ1228" s="219"/>
      <c r="AK1228" s="219"/>
      <c r="AM1228" s="219"/>
      <c r="AN1228" s="219"/>
      <c r="AO1228" s="219"/>
      <c r="AP1228" s="219"/>
      <c r="AQ1228" s="219"/>
      <c r="AR1228" s="219"/>
    </row>
    <row r="1229" spans="1:44" s="220" customFormat="1" ht="40.15" hidden="1" customHeight="1">
      <c r="A1229" s="10">
        <f ca="1">+IF(K1229&gt;0,A1228+0.01,A1228)</f>
        <v>3.01</v>
      </c>
      <c r="B1229" s="221"/>
      <c r="C1229" s="222"/>
      <c r="D1229" s="154"/>
      <c r="E1229" s="155"/>
      <c r="F1229" s="154"/>
      <c r="G1229" s="154"/>
      <c r="H1229" s="154"/>
      <c r="I1229" s="154"/>
      <c r="J1229" s="154"/>
      <c r="K1229" s="154"/>
      <c r="L1229" s="154"/>
      <c r="M1229" s="154"/>
      <c r="N1229" s="154"/>
      <c r="O1229" s="154"/>
      <c r="P1229" s="154"/>
      <c r="Q1229" s="154"/>
      <c r="R1229" s="154"/>
      <c r="S1229" s="162"/>
      <c r="T1229" s="162"/>
      <c r="U1229" s="162"/>
      <c r="V1229" s="162"/>
      <c r="W1229" s="162"/>
      <c r="X1229" s="163"/>
      <c r="Y1229" s="163"/>
      <c r="Z1229" s="163"/>
      <c r="AA1229" s="163"/>
      <c r="AB1229" s="163"/>
      <c r="AC1229" s="163"/>
      <c r="AD1229" s="164"/>
      <c r="AE1229" s="148">
        <f>IF(S1230&gt;0,IFERROR(TRUNC(A1230,0),0),0)</f>
        <v>0</v>
      </c>
      <c r="AF1229" s="149"/>
      <c r="AG1229" s="150"/>
      <c r="AH1229" s="159"/>
      <c r="AI1229" s="160"/>
      <c r="AJ1229" s="219"/>
      <c r="AK1229" s="219"/>
      <c r="AM1229" s="219"/>
      <c r="AN1229" s="219"/>
      <c r="AO1229" s="219"/>
      <c r="AP1229" s="219"/>
      <c r="AQ1229" s="219"/>
      <c r="AR1229" s="219"/>
    </row>
    <row r="1230" spans="1:44" s="105" customFormat="1" ht="40.15" hidden="1" customHeight="1">
      <c r="A1230" s="169">
        <f ca="1">$B$37</f>
        <v>0</v>
      </c>
      <c r="B1230" s="170"/>
      <c r="C1230" s="171"/>
      <c r="D1230" s="172"/>
      <c r="E1230" s="173" t="str">
        <f>$D$37</f>
        <v>SERVIÇOS DE ENGENHARIA</v>
      </c>
      <c r="F1230" s="174">
        <v>0</v>
      </c>
      <c r="G1230" s="175"/>
      <c r="H1230" s="176"/>
      <c r="I1230" s="176"/>
      <c r="J1230" s="177"/>
      <c r="K1230" s="177"/>
      <c r="L1230" s="177"/>
      <c r="M1230" s="177"/>
      <c r="N1230" s="177"/>
      <c r="O1230" s="178" t="str">
        <f ca="1">CONCATENATE("SUB-TOTAL ",$A1230)</f>
        <v>SUB-TOTAL 0</v>
      </c>
      <c r="P1230" s="178" t="e" cm="1">
        <f t="array" ref="P1230">TRUNC($I1230*(1+_xlfn.SWITCH($N1230,"BDI 1",$P$6,"BDI 2",$P$7,"BDI 3",$P$8)),2)</f>
        <v>#N/A</v>
      </c>
      <c r="Q1230" s="178" t="str">
        <f ca="1">CONCATENATE("SUB-TOTAL ",$A1230)</f>
        <v>SUB-TOTAL 0</v>
      </c>
      <c r="R1230" s="178"/>
      <c r="S1230" s="179">
        <f>SUM(S1231:S1267)</f>
        <v>0</v>
      </c>
      <c r="T1230" s="179">
        <f>SUM(T1231:T1267)</f>
        <v>0</v>
      </c>
      <c r="U1230" s="179">
        <f>SUM(U1231:U1267)</f>
        <v>0</v>
      </c>
      <c r="V1230" s="179">
        <f>SUM(V1231:V1267)</f>
        <v>0</v>
      </c>
      <c r="W1230" s="179">
        <f t="shared" ref="W1230:W1267" si="2058">TRUNC(V1230-U1230,2)</f>
        <v>0</v>
      </c>
      <c r="X1230" s="180">
        <f>+$S1230/ORCAMENTO_VALOR_TOTAL_ND</f>
        <v>0</v>
      </c>
      <c r="Y1230" s="180">
        <f>+$T1230/ORCAMENTO_VALOR_TOTAL_DE</f>
        <v>0</v>
      </c>
      <c r="Z1230" s="180"/>
      <c r="AA1230" s="180"/>
      <c r="AB1230" s="180">
        <f>IFERROR($S1230/$S1230,0)</f>
        <v>0</v>
      </c>
      <c r="AC1230" s="180">
        <f>IFERROR($T1230/$T1230,0)</f>
        <v>0</v>
      </c>
      <c r="AD1230" s="147"/>
      <c r="AE1230" s="148">
        <f t="shared" ref="AE1230:AE1267" si="2059">IF(S1230&gt;0,IFERROR(TRUNC(A1230,0),0),0)</f>
        <v>0</v>
      </c>
      <c r="AF1230" s="149"/>
      <c r="AG1230" s="150"/>
      <c r="AH1230" s="151" t="e">
        <f>+S1230/S$1230</f>
        <v>#DIV/0!</v>
      </c>
      <c r="AI1230" s="225"/>
    </row>
    <row r="1231" spans="1:44" s="49" customFormat="1" ht="40.15" hidden="1" customHeight="1">
      <c r="A1231" s="152">
        <f t="shared" ref="A1231:A1268" ca="1" si="2060">+IF(K1231&gt;0,A1230+0.01,A1230)</f>
        <v>0</v>
      </c>
      <c r="B1231" s="153" t="s">
        <v>414</v>
      </c>
      <c r="C1231" s="154" t="str">
        <f t="shared" ref="C1231:C1267" si="2061">TEXT(B1231,"0")</f>
        <v>ADM0002</v>
      </c>
      <c r="D1231" s="154" t="s">
        <v>3554</v>
      </c>
      <c r="E1231" s="155" t="s">
        <v>4002</v>
      </c>
      <c r="F1231" s="154"/>
      <c r="G1231" s="154" t="s">
        <v>1428</v>
      </c>
      <c r="H1231" s="152">
        <v>714.65</v>
      </c>
      <c r="I1231" s="152">
        <v>714.65</v>
      </c>
      <c r="J1231" s="156"/>
      <c r="K1231" s="156"/>
      <c r="L1231" s="156">
        <f t="shared" ref="L1231:L1267" si="2062">IF($K1231&gt;$J1231,$K1231-$J1231,0)</f>
        <v>0</v>
      </c>
      <c r="M1231" s="156">
        <f t="shared" ref="M1231:M1267" si="2063">IF($K1231&lt;$J1231,$J1231-$K1231,0)</f>
        <v>0</v>
      </c>
      <c r="N1231" s="156" t="s">
        <v>83</v>
      </c>
      <c r="O1231" s="157" cm="1">
        <f t="array" ref="O1231">TRUNC($H1231*(1+_xlfn.SWITCH($N1231,"BDI 1",$O$6,"BDI 2",$O$7,"BDI 3",$O$8)),2)</f>
        <v>862.58</v>
      </c>
      <c r="P1231" s="157" cm="1">
        <f t="array" ref="P1231">TRUNC($I1231*(1+_xlfn.SWITCH($N1231,"BDI 1",$P$6,"BDI 2",$P$7,"BDI 3",$P$8)),2)</f>
        <v>905.74</v>
      </c>
      <c r="Q1231" s="157">
        <v>0</v>
      </c>
      <c r="R1231" s="157">
        <f t="shared" ref="R1231:R1267" si="2064">$Q1231-($Q1231*LICITACAO_DESCONTO)</f>
        <v>0</v>
      </c>
      <c r="S1231" s="156">
        <f t="shared" ref="S1231:S1267" si="2065">TRUNC($K1231*$O1231,2)</f>
        <v>0</v>
      </c>
      <c r="T1231" s="156">
        <f t="shared" ref="T1231:T1267" si="2066">TRUNC($K1231*$P1231,2)</f>
        <v>0</v>
      </c>
      <c r="U1231" s="156">
        <f t="shared" ref="U1231:U1267" si="2067">TRUNC($J1231*$R1231,2)</f>
        <v>0</v>
      </c>
      <c r="V1231" s="156">
        <f t="shared" ref="V1231:V1267" si="2068">TRUNC($K1231*$Q1231,2)</f>
        <v>0</v>
      </c>
      <c r="W1231" s="156">
        <f t="shared" si="2058"/>
        <v>0</v>
      </c>
      <c r="X1231" s="158">
        <f t="shared" ref="X1231" si="2069">$S1231/ORCAMENTO_VALOR_TOTAL_ND</f>
        <v>0</v>
      </c>
      <c r="Y1231" s="158">
        <f t="shared" ref="Y1231" si="2070">$T1231/ORCAMENTO_VALOR_TOTAL_DE</f>
        <v>0</v>
      </c>
      <c r="Z1231" s="158" cm="1">
        <f t="array" ref="Z1231">_xlfn.SWITCH($N1231,"BDI 1",$O$6,"BDI 2",$O$7,"BDI 3",$O$8)</f>
        <v>0.20699999999999999</v>
      </c>
      <c r="AA1231" s="158" cm="1">
        <f t="array" ref="AA1231">_xlfn.SWITCH($N1231,"BDI 1",$P$6,"BDI 2",$P$7,"BDI 3",$P$8)</f>
        <v>0.26739999999999997</v>
      </c>
      <c r="AB1231" s="158">
        <f t="shared" ref="AB1231:AB1267" ca="1" si="2071">IFERROR($S1231/_xlfn.XLOOKUP($AE1231,$B$16:$B$38,$S$16:$S$38),0)</f>
        <v>0</v>
      </c>
      <c r="AC1231" s="158">
        <f t="shared" ref="AC1231:AC1267" ca="1" si="2072">IFERROR($T1231/_xlfn.XLOOKUP($AE1231,$B$16:$B$38,$T$16:$T$38),0)</f>
        <v>0</v>
      </c>
      <c r="AD1231" s="164"/>
      <c r="AE1231" s="148">
        <f t="shared" si="2059"/>
        <v>0</v>
      </c>
      <c r="AF1231" s="149"/>
      <c r="AG1231" s="150"/>
      <c r="AH1231" s="159" t="e">
        <f t="shared" ref="AH1231:AH1239" si="2073">+S1231/S$1230</f>
        <v>#DIV/0!</v>
      </c>
      <c r="AI1231" s="226"/>
      <c r="AJ1231" s="105"/>
      <c r="AK1231" s="105"/>
      <c r="AM1231" s="105"/>
      <c r="AN1231" s="105"/>
      <c r="AO1231" s="105"/>
      <c r="AP1231" s="105"/>
      <c r="AQ1231" s="105"/>
      <c r="AR1231" s="105"/>
    </row>
    <row r="1232" spans="1:44" s="49" customFormat="1" ht="40.15" hidden="1" customHeight="1">
      <c r="A1232" s="152">
        <f t="shared" ca="1" si="2060"/>
        <v>0</v>
      </c>
      <c r="B1232" s="153" t="s">
        <v>415</v>
      </c>
      <c r="C1232" s="154" t="str">
        <f t="shared" si="2061"/>
        <v>ADM0001</v>
      </c>
      <c r="D1232" s="154" t="s">
        <v>3554</v>
      </c>
      <c r="E1232" s="155" t="s">
        <v>4003</v>
      </c>
      <c r="F1232" s="154"/>
      <c r="G1232" s="154" t="s">
        <v>1285</v>
      </c>
      <c r="H1232" s="152">
        <v>15.67</v>
      </c>
      <c r="I1232" s="152">
        <v>15.67</v>
      </c>
      <c r="J1232" s="156"/>
      <c r="K1232" s="156"/>
      <c r="L1232" s="156">
        <f t="shared" si="2062"/>
        <v>0</v>
      </c>
      <c r="M1232" s="156">
        <f t="shared" si="2063"/>
        <v>0</v>
      </c>
      <c r="N1232" s="156" t="s">
        <v>83</v>
      </c>
      <c r="O1232" s="157" cm="1">
        <f t="array" ref="O1232">TRUNC($H1232*(1+_xlfn.SWITCH($N1232,"BDI 1",$O$6,"BDI 2",$O$7,"BDI 3",$O$8)),2)</f>
        <v>18.91</v>
      </c>
      <c r="P1232" s="157" cm="1">
        <f t="array" ref="P1232">TRUNC($I1232*(1+_xlfn.SWITCH($N1232,"BDI 1",$P$6,"BDI 2",$P$7,"BDI 3",$P$8)),2)</f>
        <v>19.86</v>
      </c>
      <c r="Q1232" s="157">
        <v>0</v>
      </c>
      <c r="R1232" s="157">
        <f t="shared" si="2064"/>
        <v>0</v>
      </c>
      <c r="S1232" s="156">
        <f t="shared" si="2065"/>
        <v>0</v>
      </c>
      <c r="T1232" s="156">
        <f t="shared" si="2066"/>
        <v>0</v>
      </c>
      <c r="U1232" s="156">
        <f t="shared" si="2067"/>
        <v>0</v>
      </c>
      <c r="V1232" s="156">
        <f t="shared" si="2068"/>
        <v>0</v>
      </c>
      <c r="W1232" s="156">
        <f t="shared" si="2058"/>
        <v>0</v>
      </c>
      <c r="X1232" s="158">
        <f t="shared" ref="X1232" si="2074">$S1232/ORCAMENTO_VALOR_TOTAL_ND</f>
        <v>0</v>
      </c>
      <c r="Y1232" s="158">
        <f t="shared" ref="Y1232" si="2075">$T1232/ORCAMENTO_VALOR_TOTAL_DE</f>
        <v>0</v>
      </c>
      <c r="Z1232" s="158" cm="1">
        <f t="array" ref="Z1232">_xlfn.SWITCH($N1232,"BDI 1",$O$6,"BDI 2",$O$7,"BDI 3",$O$8)</f>
        <v>0.20699999999999999</v>
      </c>
      <c r="AA1232" s="158" cm="1">
        <f t="array" ref="AA1232">_xlfn.SWITCH($N1232,"BDI 1",$P$6,"BDI 2",$P$7,"BDI 3",$P$8)</f>
        <v>0.26739999999999997</v>
      </c>
      <c r="AB1232" s="158">
        <f t="shared" ca="1" si="2071"/>
        <v>0</v>
      </c>
      <c r="AC1232" s="158">
        <f t="shared" ca="1" si="2072"/>
        <v>0</v>
      </c>
      <c r="AD1232" s="164"/>
      <c r="AE1232" s="148">
        <f t="shared" si="2059"/>
        <v>0</v>
      </c>
      <c r="AF1232" s="149"/>
      <c r="AG1232" s="150"/>
      <c r="AH1232" s="159" t="e">
        <f t="shared" si="2073"/>
        <v>#DIV/0!</v>
      </c>
      <c r="AI1232" s="226"/>
      <c r="AJ1232" s="105"/>
      <c r="AK1232" s="227"/>
      <c r="AM1232" s="227"/>
      <c r="AN1232" s="227"/>
      <c r="AO1232" s="227"/>
      <c r="AP1232" s="227"/>
      <c r="AQ1232" s="227"/>
      <c r="AR1232" s="227"/>
    </row>
    <row r="1233" spans="1:44" s="49" customFormat="1" ht="40.15" hidden="1" customHeight="1">
      <c r="A1233" s="152">
        <f t="shared" ca="1" si="2060"/>
        <v>0</v>
      </c>
      <c r="B1233" s="153" t="s">
        <v>416</v>
      </c>
      <c r="C1233" s="154" t="str">
        <f t="shared" si="2061"/>
        <v>EG0005</v>
      </c>
      <c r="D1233" s="154" t="s">
        <v>3554</v>
      </c>
      <c r="E1233" s="155" t="s">
        <v>4004</v>
      </c>
      <c r="F1233" s="154"/>
      <c r="G1233" s="154" t="s">
        <v>1285</v>
      </c>
      <c r="H1233" s="152">
        <v>7.87</v>
      </c>
      <c r="I1233" s="152">
        <v>7.87</v>
      </c>
      <c r="J1233" s="156"/>
      <c r="K1233" s="156"/>
      <c r="L1233" s="156">
        <f t="shared" si="2062"/>
        <v>0</v>
      </c>
      <c r="M1233" s="156">
        <f t="shared" si="2063"/>
        <v>0</v>
      </c>
      <c r="N1233" s="156" t="s">
        <v>83</v>
      </c>
      <c r="O1233" s="157" cm="1">
        <f t="array" ref="O1233">TRUNC($H1233*(1+_xlfn.SWITCH($N1233,"BDI 1",$O$6,"BDI 2",$O$7,"BDI 3",$O$8)),2)</f>
        <v>9.49</v>
      </c>
      <c r="P1233" s="157" cm="1">
        <f t="array" ref="P1233">TRUNC($I1233*(1+_xlfn.SWITCH($N1233,"BDI 1",$P$6,"BDI 2",$P$7,"BDI 3",$P$8)),2)</f>
        <v>9.9700000000000006</v>
      </c>
      <c r="Q1233" s="157">
        <v>0</v>
      </c>
      <c r="R1233" s="157">
        <f t="shared" si="2064"/>
        <v>0</v>
      </c>
      <c r="S1233" s="156">
        <f t="shared" si="2065"/>
        <v>0</v>
      </c>
      <c r="T1233" s="156">
        <f t="shared" si="2066"/>
        <v>0</v>
      </c>
      <c r="U1233" s="156">
        <f t="shared" si="2067"/>
        <v>0</v>
      </c>
      <c r="V1233" s="156">
        <f t="shared" si="2068"/>
        <v>0</v>
      </c>
      <c r="W1233" s="156">
        <f t="shared" si="2058"/>
        <v>0</v>
      </c>
      <c r="X1233" s="158">
        <f t="shared" ref="X1233" si="2076">$S1233/ORCAMENTO_VALOR_TOTAL_ND</f>
        <v>0</v>
      </c>
      <c r="Y1233" s="158">
        <f t="shared" ref="Y1233" si="2077">$T1233/ORCAMENTO_VALOR_TOTAL_DE</f>
        <v>0</v>
      </c>
      <c r="Z1233" s="158" cm="1">
        <f t="array" ref="Z1233">_xlfn.SWITCH($N1233,"BDI 1",$O$6,"BDI 2",$O$7,"BDI 3",$O$8)</f>
        <v>0.20699999999999999</v>
      </c>
      <c r="AA1233" s="158" cm="1">
        <f t="array" ref="AA1233">_xlfn.SWITCH($N1233,"BDI 1",$P$6,"BDI 2",$P$7,"BDI 3",$P$8)</f>
        <v>0.26739999999999997</v>
      </c>
      <c r="AB1233" s="158">
        <f t="shared" ca="1" si="2071"/>
        <v>0</v>
      </c>
      <c r="AC1233" s="158">
        <f t="shared" ca="1" si="2072"/>
        <v>0</v>
      </c>
      <c r="AD1233" s="164"/>
      <c r="AE1233" s="148">
        <f t="shared" si="2059"/>
        <v>0</v>
      </c>
      <c r="AF1233" s="149"/>
      <c r="AG1233" s="150"/>
      <c r="AH1233" s="159" t="e">
        <f t="shared" si="2073"/>
        <v>#DIV/0!</v>
      </c>
      <c r="AI1233" s="226"/>
      <c r="AJ1233" s="105"/>
      <c r="AK1233" s="105"/>
      <c r="AM1233" s="105"/>
      <c r="AN1233" s="105"/>
      <c r="AO1233" s="105"/>
      <c r="AP1233" s="105"/>
      <c r="AQ1233" s="105"/>
      <c r="AR1233" s="105"/>
    </row>
    <row r="1234" spans="1:44" s="49" customFormat="1" ht="40.15" hidden="1" customHeight="1">
      <c r="A1234" s="152">
        <f t="shared" ca="1" si="2060"/>
        <v>0</v>
      </c>
      <c r="B1234" s="153" t="s">
        <v>417</v>
      </c>
      <c r="C1234" s="154" t="str">
        <f t="shared" si="2061"/>
        <v>ET0003</v>
      </c>
      <c r="D1234" s="154" t="s">
        <v>3554</v>
      </c>
      <c r="E1234" s="155" t="s">
        <v>4005</v>
      </c>
      <c r="F1234" s="154"/>
      <c r="G1234" s="154" t="s">
        <v>1285</v>
      </c>
      <c r="H1234" s="152">
        <v>5.8</v>
      </c>
      <c r="I1234" s="152">
        <v>5.8</v>
      </c>
      <c r="J1234" s="156"/>
      <c r="K1234" s="156"/>
      <c r="L1234" s="156">
        <f t="shared" si="2062"/>
        <v>0</v>
      </c>
      <c r="M1234" s="156">
        <f t="shared" si="2063"/>
        <v>0</v>
      </c>
      <c r="N1234" s="156" t="s">
        <v>83</v>
      </c>
      <c r="O1234" s="157" cm="1">
        <f t="array" ref="O1234">TRUNC($H1234*(1+_xlfn.SWITCH($N1234,"BDI 1",$O$6,"BDI 2",$O$7,"BDI 3",$O$8)),2)</f>
        <v>7</v>
      </c>
      <c r="P1234" s="157" cm="1">
        <f t="array" ref="P1234">TRUNC($I1234*(1+_xlfn.SWITCH($N1234,"BDI 1",$P$6,"BDI 2",$P$7,"BDI 3",$P$8)),2)</f>
        <v>7.35</v>
      </c>
      <c r="Q1234" s="157">
        <v>0</v>
      </c>
      <c r="R1234" s="157">
        <f t="shared" si="2064"/>
        <v>0</v>
      </c>
      <c r="S1234" s="156">
        <f t="shared" si="2065"/>
        <v>0</v>
      </c>
      <c r="T1234" s="156">
        <f t="shared" si="2066"/>
        <v>0</v>
      </c>
      <c r="U1234" s="156">
        <f t="shared" si="2067"/>
        <v>0</v>
      </c>
      <c r="V1234" s="156">
        <f t="shared" si="2068"/>
        <v>0</v>
      </c>
      <c r="W1234" s="156">
        <f t="shared" si="2058"/>
        <v>0</v>
      </c>
      <c r="X1234" s="158">
        <f t="shared" ref="X1234" si="2078">$S1234/ORCAMENTO_VALOR_TOTAL_ND</f>
        <v>0</v>
      </c>
      <c r="Y1234" s="158">
        <f t="shared" ref="Y1234" si="2079">$T1234/ORCAMENTO_VALOR_TOTAL_DE</f>
        <v>0</v>
      </c>
      <c r="Z1234" s="158" cm="1">
        <f t="array" ref="Z1234">_xlfn.SWITCH($N1234,"BDI 1",$O$6,"BDI 2",$O$7,"BDI 3",$O$8)</f>
        <v>0.20699999999999999</v>
      </c>
      <c r="AA1234" s="158" cm="1">
        <f t="array" ref="AA1234">_xlfn.SWITCH($N1234,"BDI 1",$P$6,"BDI 2",$P$7,"BDI 3",$P$8)</f>
        <v>0.26739999999999997</v>
      </c>
      <c r="AB1234" s="158">
        <f t="shared" ca="1" si="2071"/>
        <v>0</v>
      </c>
      <c r="AC1234" s="158">
        <f t="shared" ca="1" si="2072"/>
        <v>0</v>
      </c>
      <c r="AD1234" s="164"/>
      <c r="AE1234" s="148">
        <f t="shared" si="2059"/>
        <v>0</v>
      </c>
      <c r="AF1234" s="149"/>
      <c r="AG1234" s="150"/>
      <c r="AH1234" s="159" t="e">
        <f t="shared" si="2073"/>
        <v>#DIV/0!</v>
      </c>
      <c r="AI1234" s="226"/>
      <c r="AJ1234" s="105"/>
      <c r="AK1234" s="227"/>
      <c r="AM1234" s="227"/>
      <c r="AN1234" s="227"/>
      <c r="AO1234" s="227"/>
      <c r="AP1234" s="227"/>
      <c r="AQ1234" s="227"/>
      <c r="AR1234" s="227"/>
    </row>
    <row r="1235" spans="1:44" s="49" customFormat="1" ht="40.15" hidden="1" customHeight="1">
      <c r="A1235" s="152">
        <f t="shared" ca="1" si="2060"/>
        <v>0</v>
      </c>
      <c r="B1235" s="153" t="s">
        <v>418</v>
      </c>
      <c r="C1235" s="154" t="str">
        <f t="shared" si="2061"/>
        <v>ARQ0003</v>
      </c>
      <c r="D1235" s="154" t="s">
        <v>3554</v>
      </c>
      <c r="E1235" s="155" t="s">
        <v>4006</v>
      </c>
      <c r="F1235" s="154"/>
      <c r="G1235" s="154" t="s">
        <v>4007</v>
      </c>
      <c r="H1235" s="152">
        <v>1591.85</v>
      </c>
      <c r="I1235" s="152">
        <v>1591.85</v>
      </c>
      <c r="J1235" s="156"/>
      <c r="K1235" s="156"/>
      <c r="L1235" s="156">
        <f t="shared" si="2062"/>
        <v>0</v>
      </c>
      <c r="M1235" s="156">
        <f t="shared" si="2063"/>
        <v>0</v>
      </c>
      <c r="N1235" s="156" t="s">
        <v>83</v>
      </c>
      <c r="O1235" s="157" cm="1">
        <f t="array" ref="O1235">TRUNC($H1235*(1+_xlfn.SWITCH($N1235,"BDI 1",$O$6,"BDI 2",$O$7,"BDI 3",$O$8)),2)</f>
        <v>1921.36</v>
      </c>
      <c r="P1235" s="157" cm="1">
        <f t="array" ref="P1235">TRUNC($I1235*(1+_xlfn.SWITCH($N1235,"BDI 1",$P$6,"BDI 2",$P$7,"BDI 3",$P$8)),2)</f>
        <v>2017.51</v>
      </c>
      <c r="Q1235" s="157">
        <v>0</v>
      </c>
      <c r="R1235" s="157">
        <f t="shared" si="2064"/>
        <v>0</v>
      </c>
      <c r="S1235" s="156">
        <f t="shared" si="2065"/>
        <v>0</v>
      </c>
      <c r="T1235" s="156">
        <f t="shared" si="2066"/>
        <v>0</v>
      </c>
      <c r="U1235" s="156">
        <f t="shared" si="2067"/>
        <v>0</v>
      </c>
      <c r="V1235" s="156">
        <f t="shared" si="2068"/>
        <v>0</v>
      </c>
      <c r="W1235" s="156">
        <f t="shared" si="2058"/>
        <v>0</v>
      </c>
      <c r="X1235" s="158">
        <f t="shared" ref="X1235" si="2080">$S1235/ORCAMENTO_VALOR_TOTAL_ND</f>
        <v>0</v>
      </c>
      <c r="Y1235" s="158">
        <f t="shared" ref="Y1235" si="2081">$T1235/ORCAMENTO_VALOR_TOTAL_DE</f>
        <v>0</v>
      </c>
      <c r="Z1235" s="158" cm="1">
        <f t="array" ref="Z1235">_xlfn.SWITCH($N1235,"BDI 1",$O$6,"BDI 2",$O$7,"BDI 3",$O$8)</f>
        <v>0.20699999999999999</v>
      </c>
      <c r="AA1235" s="158" cm="1">
        <f t="array" ref="AA1235">_xlfn.SWITCH($N1235,"BDI 1",$P$6,"BDI 2",$P$7,"BDI 3",$P$8)</f>
        <v>0.26739999999999997</v>
      </c>
      <c r="AB1235" s="158">
        <f t="shared" ca="1" si="2071"/>
        <v>0</v>
      </c>
      <c r="AC1235" s="158">
        <f t="shared" ca="1" si="2072"/>
        <v>0</v>
      </c>
      <c r="AD1235" s="164"/>
      <c r="AE1235" s="148">
        <f t="shared" si="2059"/>
        <v>0</v>
      </c>
      <c r="AF1235" s="149"/>
      <c r="AG1235" s="150"/>
      <c r="AH1235" s="159" t="e">
        <f t="shared" si="2073"/>
        <v>#DIV/0!</v>
      </c>
      <c r="AI1235" s="226"/>
      <c r="AJ1235" s="167"/>
      <c r="AK1235" s="105"/>
      <c r="AM1235" s="105"/>
      <c r="AN1235" s="105"/>
      <c r="AO1235" s="105"/>
      <c r="AP1235" s="105"/>
      <c r="AQ1235" s="105"/>
      <c r="AR1235" s="105"/>
    </row>
    <row r="1236" spans="1:44" s="49" customFormat="1" ht="40.15" hidden="1" customHeight="1">
      <c r="A1236" s="152">
        <f t="shared" ca="1" si="2060"/>
        <v>0</v>
      </c>
      <c r="B1236" s="153" t="s">
        <v>419</v>
      </c>
      <c r="C1236" s="154" t="str">
        <f t="shared" si="2061"/>
        <v>PFIU001</v>
      </c>
      <c r="D1236" s="154" t="s">
        <v>3554</v>
      </c>
      <c r="E1236" s="155" t="s">
        <v>4008</v>
      </c>
      <c r="F1236" s="154"/>
      <c r="G1236" s="154" t="s">
        <v>1414</v>
      </c>
      <c r="H1236" s="152">
        <v>0.51</v>
      </c>
      <c r="I1236" s="152">
        <v>0.51</v>
      </c>
      <c r="J1236" s="156"/>
      <c r="K1236" s="156"/>
      <c r="L1236" s="156">
        <f t="shared" si="2062"/>
        <v>0</v>
      </c>
      <c r="M1236" s="156">
        <f t="shared" si="2063"/>
        <v>0</v>
      </c>
      <c r="N1236" s="156" t="s">
        <v>83</v>
      </c>
      <c r="O1236" s="157" cm="1">
        <f t="array" ref="O1236">TRUNC($H1236*(1+_xlfn.SWITCH($N1236,"BDI 1",$O$6,"BDI 2",$O$7,"BDI 3",$O$8)),2)</f>
        <v>0.61</v>
      </c>
      <c r="P1236" s="157" cm="1">
        <f t="array" ref="P1236">TRUNC($I1236*(1+_xlfn.SWITCH($N1236,"BDI 1",$P$6,"BDI 2",$P$7,"BDI 3",$P$8)),2)</f>
        <v>0.64</v>
      </c>
      <c r="Q1236" s="157">
        <v>0</v>
      </c>
      <c r="R1236" s="157">
        <f t="shared" si="2064"/>
        <v>0</v>
      </c>
      <c r="S1236" s="156">
        <f t="shared" si="2065"/>
        <v>0</v>
      </c>
      <c r="T1236" s="156">
        <f t="shared" si="2066"/>
        <v>0</v>
      </c>
      <c r="U1236" s="156">
        <f t="shared" si="2067"/>
        <v>0</v>
      </c>
      <c r="V1236" s="156">
        <f t="shared" si="2068"/>
        <v>0</v>
      </c>
      <c r="W1236" s="156">
        <f t="shared" si="2058"/>
        <v>0</v>
      </c>
      <c r="X1236" s="158">
        <f t="shared" ref="X1236" si="2082">$S1236/ORCAMENTO_VALOR_TOTAL_ND</f>
        <v>0</v>
      </c>
      <c r="Y1236" s="158">
        <f t="shared" ref="Y1236" si="2083">$T1236/ORCAMENTO_VALOR_TOTAL_DE</f>
        <v>0</v>
      </c>
      <c r="Z1236" s="158" cm="1">
        <f t="array" ref="Z1236">_xlfn.SWITCH($N1236,"BDI 1",$O$6,"BDI 2",$O$7,"BDI 3",$O$8)</f>
        <v>0.20699999999999999</v>
      </c>
      <c r="AA1236" s="158" cm="1">
        <f t="array" ref="AA1236">_xlfn.SWITCH($N1236,"BDI 1",$P$6,"BDI 2",$P$7,"BDI 3",$P$8)</f>
        <v>0.26739999999999997</v>
      </c>
      <c r="AB1236" s="158">
        <f t="shared" ca="1" si="2071"/>
        <v>0</v>
      </c>
      <c r="AC1236" s="158">
        <f t="shared" ca="1" si="2072"/>
        <v>0</v>
      </c>
      <c r="AD1236" s="164"/>
      <c r="AE1236" s="148">
        <f t="shared" si="2059"/>
        <v>0</v>
      </c>
      <c r="AF1236" s="149"/>
      <c r="AG1236" s="150"/>
      <c r="AH1236" s="159" t="e">
        <f t="shared" si="2073"/>
        <v>#DIV/0!</v>
      </c>
      <c r="AI1236" s="226"/>
      <c r="AJ1236" s="105"/>
      <c r="AK1236" s="105"/>
      <c r="AM1236" s="105"/>
      <c r="AN1236" s="105"/>
      <c r="AO1236" s="105"/>
      <c r="AP1236" s="105"/>
      <c r="AQ1236" s="105"/>
      <c r="AR1236" s="105"/>
    </row>
    <row r="1237" spans="1:44" s="49" customFormat="1" ht="40.15" hidden="1" customHeight="1">
      <c r="A1237" s="152">
        <f t="shared" ca="1" si="2060"/>
        <v>0</v>
      </c>
      <c r="B1237" s="153" t="s">
        <v>420</v>
      </c>
      <c r="C1237" s="154" t="str">
        <f t="shared" si="2061"/>
        <v>PFIU002</v>
      </c>
      <c r="D1237" s="154" t="s">
        <v>3554</v>
      </c>
      <c r="E1237" s="155" t="s">
        <v>4008</v>
      </c>
      <c r="F1237" s="154"/>
      <c r="G1237" s="154" t="s">
        <v>1285</v>
      </c>
      <c r="H1237" s="152">
        <v>3604.02</v>
      </c>
      <c r="I1237" s="152">
        <v>3604.02</v>
      </c>
      <c r="J1237" s="156"/>
      <c r="K1237" s="156"/>
      <c r="L1237" s="156">
        <f t="shared" si="2062"/>
        <v>0</v>
      </c>
      <c r="M1237" s="156">
        <f t="shared" si="2063"/>
        <v>0</v>
      </c>
      <c r="N1237" s="156" t="s">
        <v>83</v>
      </c>
      <c r="O1237" s="157" cm="1">
        <f t="array" ref="O1237">TRUNC($H1237*(1+_xlfn.SWITCH($N1237,"BDI 1",$O$6,"BDI 2",$O$7,"BDI 3",$O$8)),2)</f>
        <v>4350.05</v>
      </c>
      <c r="P1237" s="157" cm="1">
        <f t="array" ref="P1237">TRUNC($I1237*(1+_xlfn.SWITCH($N1237,"BDI 1",$P$6,"BDI 2",$P$7,"BDI 3",$P$8)),2)</f>
        <v>4567.7299999999996</v>
      </c>
      <c r="Q1237" s="157">
        <v>0</v>
      </c>
      <c r="R1237" s="157">
        <f t="shared" si="2064"/>
        <v>0</v>
      </c>
      <c r="S1237" s="156">
        <f t="shared" si="2065"/>
        <v>0</v>
      </c>
      <c r="T1237" s="156">
        <f t="shared" si="2066"/>
        <v>0</v>
      </c>
      <c r="U1237" s="156">
        <f t="shared" si="2067"/>
        <v>0</v>
      </c>
      <c r="V1237" s="156">
        <f t="shared" si="2068"/>
        <v>0</v>
      </c>
      <c r="W1237" s="156">
        <f t="shared" si="2058"/>
        <v>0</v>
      </c>
      <c r="X1237" s="158">
        <f t="shared" ref="X1237" si="2084">$S1237/ORCAMENTO_VALOR_TOTAL_ND</f>
        <v>0</v>
      </c>
      <c r="Y1237" s="158">
        <f t="shared" ref="Y1237" si="2085">$T1237/ORCAMENTO_VALOR_TOTAL_DE</f>
        <v>0</v>
      </c>
      <c r="Z1237" s="158" cm="1">
        <f t="array" ref="Z1237">_xlfn.SWITCH($N1237,"BDI 1",$O$6,"BDI 2",$O$7,"BDI 3",$O$8)</f>
        <v>0.20699999999999999</v>
      </c>
      <c r="AA1237" s="158" cm="1">
        <f t="array" ref="AA1237">_xlfn.SWITCH($N1237,"BDI 1",$P$6,"BDI 2",$P$7,"BDI 3",$P$8)</f>
        <v>0.26739999999999997</v>
      </c>
      <c r="AB1237" s="158">
        <f t="shared" ca="1" si="2071"/>
        <v>0</v>
      </c>
      <c r="AC1237" s="158">
        <f t="shared" ca="1" si="2072"/>
        <v>0</v>
      </c>
      <c r="AD1237" s="164"/>
      <c r="AE1237" s="148">
        <f t="shared" si="2059"/>
        <v>0</v>
      </c>
      <c r="AF1237" s="149"/>
      <c r="AG1237" s="150"/>
      <c r="AH1237" s="159" t="e">
        <f t="shared" si="2073"/>
        <v>#DIV/0!</v>
      </c>
      <c r="AI1237" s="226"/>
      <c r="AJ1237" s="105"/>
      <c r="AK1237" s="105"/>
      <c r="AM1237" s="105"/>
      <c r="AN1237" s="105"/>
      <c r="AO1237" s="105"/>
      <c r="AP1237" s="105"/>
      <c r="AQ1237" s="105"/>
      <c r="AR1237" s="105"/>
    </row>
    <row r="1238" spans="1:44" s="49" customFormat="1" ht="49.9" hidden="1" customHeight="1">
      <c r="A1238" s="152">
        <f t="shared" ca="1" si="2060"/>
        <v>0</v>
      </c>
      <c r="B1238" s="153" t="s">
        <v>421</v>
      </c>
      <c r="C1238" s="154" t="str">
        <f t="shared" si="2061"/>
        <v>PBPC001</v>
      </c>
      <c r="D1238" s="154" t="s">
        <v>3554</v>
      </c>
      <c r="E1238" s="155" t="s">
        <v>4009</v>
      </c>
      <c r="F1238" s="154"/>
      <c r="G1238" s="154" t="s">
        <v>1431</v>
      </c>
      <c r="H1238" s="152">
        <v>660.01</v>
      </c>
      <c r="I1238" s="152">
        <v>660.01</v>
      </c>
      <c r="J1238" s="156"/>
      <c r="K1238" s="156"/>
      <c r="L1238" s="156">
        <f t="shared" si="2062"/>
        <v>0</v>
      </c>
      <c r="M1238" s="156">
        <f t="shared" si="2063"/>
        <v>0</v>
      </c>
      <c r="N1238" s="156" t="s">
        <v>83</v>
      </c>
      <c r="O1238" s="157" cm="1">
        <f t="array" ref="O1238">TRUNC($H1238*(1+_xlfn.SWITCH($N1238,"BDI 1",$O$6,"BDI 2",$O$7,"BDI 3",$O$8)),2)</f>
        <v>796.63</v>
      </c>
      <c r="P1238" s="157" cm="1">
        <f t="array" ref="P1238">TRUNC($I1238*(1+_xlfn.SWITCH($N1238,"BDI 1",$P$6,"BDI 2",$P$7,"BDI 3",$P$8)),2)</f>
        <v>836.49</v>
      </c>
      <c r="Q1238" s="157">
        <v>0</v>
      </c>
      <c r="R1238" s="157">
        <f t="shared" si="2064"/>
        <v>0</v>
      </c>
      <c r="S1238" s="156">
        <f t="shared" si="2065"/>
        <v>0</v>
      </c>
      <c r="T1238" s="156">
        <f t="shared" si="2066"/>
        <v>0</v>
      </c>
      <c r="U1238" s="156">
        <f t="shared" si="2067"/>
        <v>0</v>
      </c>
      <c r="V1238" s="156">
        <f t="shared" si="2068"/>
        <v>0</v>
      </c>
      <c r="W1238" s="156">
        <f t="shared" si="2058"/>
        <v>0</v>
      </c>
      <c r="X1238" s="158">
        <f t="shared" ref="X1238" si="2086">$S1238/ORCAMENTO_VALOR_TOTAL_ND</f>
        <v>0</v>
      </c>
      <c r="Y1238" s="158">
        <f t="shared" ref="Y1238" si="2087">$T1238/ORCAMENTO_VALOR_TOTAL_DE</f>
        <v>0</v>
      </c>
      <c r="Z1238" s="158" cm="1">
        <f t="array" ref="Z1238">_xlfn.SWITCH($N1238,"BDI 1",$O$6,"BDI 2",$O$7,"BDI 3",$O$8)</f>
        <v>0.20699999999999999</v>
      </c>
      <c r="AA1238" s="158" cm="1">
        <f t="array" ref="AA1238">_xlfn.SWITCH($N1238,"BDI 1",$P$6,"BDI 2",$P$7,"BDI 3",$P$8)</f>
        <v>0.26739999999999997</v>
      </c>
      <c r="AB1238" s="158">
        <f t="shared" ca="1" si="2071"/>
        <v>0</v>
      </c>
      <c r="AC1238" s="158">
        <f t="shared" ca="1" si="2072"/>
        <v>0</v>
      </c>
      <c r="AD1238" s="164"/>
      <c r="AE1238" s="148">
        <f t="shared" si="2059"/>
        <v>0</v>
      </c>
      <c r="AF1238" s="149"/>
      <c r="AG1238" s="150"/>
      <c r="AH1238" s="159" t="e">
        <f t="shared" si="2073"/>
        <v>#DIV/0!</v>
      </c>
      <c r="AI1238" s="226"/>
      <c r="AJ1238" s="105"/>
      <c r="AK1238" s="105"/>
      <c r="AM1238" s="105"/>
      <c r="AN1238" s="105"/>
      <c r="AO1238" s="105"/>
      <c r="AP1238" s="105"/>
      <c r="AQ1238" s="105"/>
      <c r="AR1238" s="105"/>
    </row>
    <row r="1239" spans="1:44" s="49" customFormat="1" ht="40.15" hidden="1" customHeight="1">
      <c r="A1239" s="152">
        <f t="shared" ca="1" si="2060"/>
        <v>0</v>
      </c>
      <c r="B1239" s="153" t="s">
        <v>422</v>
      </c>
      <c r="C1239" s="154" t="str">
        <f t="shared" si="2061"/>
        <v>EHAU001</v>
      </c>
      <c r="D1239" s="154" t="s">
        <v>3554</v>
      </c>
      <c r="E1239" s="155" t="s">
        <v>4010</v>
      </c>
      <c r="F1239" s="154"/>
      <c r="G1239" s="154" t="s">
        <v>4007</v>
      </c>
      <c r="H1239" s="152">
        <v>23.54</v>
      </c>
      <c r="I1239" s="152">
        <v>23.54</v>
      </c>
      <c r="J1239" s="156"/>
      <c r="K1239" s="156"/>
      <c r="L1239" s="156">
        <f t="shared" si="2062"/>
        <v>0</v>
      </c>
      <c r="M1239" s="156">
        <f t="shared" si="2063"/>
        <v>0</v>
      </c>
      <c r="N1239" s="156" t="s">
        <v>83</v>
      </c>
      <c r="O1239" s="157" cm="1">
        <f t="array" ref="O1239">TRUNC($H1239*(1+_xlfn.SWITCH($N1239,"BDI 1",$O$6,"BDI 2",$O$7,"BDI 3",$O$8)),2)</f>
        <v>28.41</v>
      </c>
      <c r="P1239" s="157" cm="1">
        <f t="array" ref="P1239">TRUNC($I1239*(1+_xlfn.SWITCH($N1239,"BDI 1",$P$6,"BDI 2",$P$7,"BDI 3",$P$8)),2)</f>
        <v>29.83</v>
      </c>
      <c r="Q1239" s="157">
        <v>0</v>
      </c>
      <c r="R1239" s="157">
        <f t="shared" si="2064"/>
        <v>0</v>
      </c>
      <c r="S1239" s="156">
        <f t="shared" si="2065"/>
        <v>0</v>
      </c>
      <c r="T1239" s="156">
        <f t="shared" si="2066"/>
        <v>0</v>
      </c>
      <c r="U1239" s="156">
        <f t="shared" si="2067"/>
        <v>0</v>
      </c>
      <c r="V1239" s="156">
        <f t="shared" si="2068"/>
        <v>0</v>
      </c>
      <c r="W1239" s="156">
        <f t="shared" si="2058"/>
        <v>0</v>
      </c>
      <c r="X1239" s="158">
        <f t="shared" ref="X1239" si="2088">$S1239/ORCAMENTO_VALOR_TOTAL_ND</f>
        <v>0</v>
      </c>
      <c r="Y1239" s="158">
        <f t="shared" ref="Y1239" si="2089">$T1239/ORCAMENTO_VALOR_TOTAL_DE</f>
        <v>0</v>
      </c>
      <c r="Z1239" s="158" cm="1">
        <f t="array" ref="Z1239">_xlfn.SWITCH($N1239,"BDI 1",$O$6,"BDI 2",$O$7,"BDI 3",$O$8)</f>
        <v>0.20699999999999999</v>
      </c>
      <c r="AA1239" s="158" cm="1">
        <f t="array" ref="AA1239">_xlfn.SWITCH($N1239,"BDI 1",$P$6,"BDI 2",$P$7,"BDI 3",$P$8)</f>
        <v>0.26739999999999997</v>
      </c>
      <c r="AB1239" s="158">
        <f t="shared" ca="1" si="2071"/>
        <v>0</v>
      </c>
      <c r="AC1239" s="158">
        <f t="shared" ca="1" si="2072"/>
        <v>0</v>
      </c>
      <c r="AD1239" s="164"/>
      <c r="AE1239" s="148">
        <f t="shared" si="2059"/>
        <v>0</v>
      </c>
      <c r="AF1239" s="149"/>
      <c r="AG1239" s="150"/>
      <c r="AH1239" s="159" t="e">
        <f t="shared" si="2073"/>
        <v>#DIV/0!</v>
      </c>
      <c r="AI1239" s="226"/>
      <c r="AJ1239" s="105"/>
      <c r="AK1239" s="105"/>
      <c r="AM1239" s="105"/>
      <c r="AN1239" s="105"/>
      <c r="AO1239" s="105"/>
      <c r="AP1239" s="105"/>
      <c r="AQ1239" s="105"/>
      <c r="AR1239" s="105"/>
    </row>
    <row r="1240" spans="1:44" s="49" customFormat="1" ht="40.15" hidden="1" customHeight="1">
      <c r="A1240" s="152">
        <f t="shared" ca="1" si="2060"/>
        <v>0</v>
      </c>
      <c r="B1240" s="153" t="s">
        <v>423</v>
      </c>
      <c r="C1240" s="154" t="str">
        <f t="shared" si="2061"/>
        <v>EHAU002</v>
      </c>
      <c r="D1240" s="154" t="s">
        <v>3554</v>
      </c>
      <c r="E1240" s="155" t="s">
        <v>4011</v>
      </c>
      <c r="F1240" s="154"/>
      <c r="G1240" s="154" t="s">
        <v>4012</v>
      </c>
      <c r="H1240" s="152">
        <v>1359.26</v>
      </c>
      <c r="I1240" s="152">
        <v>1359.26</v>
      </c>
      <c r="J1240" s="156"/>
      <c r="K1240" s="156"/>
      <c r="L1240" s="156">
        <f t="shared" si="2062"/>
        <v>0</v>
      </c>
      <c r="M1240" s="156">
        <f t="shared" si="2063"/>
        <v>0</v>
      </c>
      <c r="N1240" s="156" t="s">
        <v>83</v>
      </c>
      <c r="O1240" s="157" cm="1">
        <f t="array" ref="O1240">TRUNC($H1240*(1+_xlfn.SWITCH($N1240,"BDI 1",$O$6,"BDI 2",$O$7,"BDI 3",$O$8)),2)</f>
        <v>1640.62</v>
      </c>
      <c r="P1240" s="157" cm="1">
        <f t="array" ref="P1240">TRUNC($I1240*(1+_xlfn.SWITCH($N1240,"BDI 1",$P$6,"BDI 2",$P$7,"BDI 3",$P$8)),2)</f>
        <v>1722.72</v>
      </c>
      <c r="Q1240" s="157">
        <v>0</v>
      </c>
      <c r="R1240" s="157">
        <f t="shared" si="2064"/>
        <v>0</v>
      </c>
      <c r="S1240" s="156">
        <f t="shared" si="2065"/>
        <v>0</v>
      </c>
      <c r="T1240" s="156">
        <f t="shared" si="2066"/>
        <v>0</v>
      </c>
      <c r="U1240" s="156">
        <f t="shared" si="2067"/>
        <v>0</v>
      </c>
      <c r="V1240" s="156">
        <f t="shared" si="2068"/>
        <v>0</v>
      </c>
      <c r="W1240" s="156">
        <f t="shared" si="2058"/>
        <v>0</v>
      </c>
      <c r="X1240" s="158">
        <f t="shared" ref="X1240" si="2090">$S1240/ORCAMENTO_VALOR_TOTAL_ND</f>
        <v>0</v>
      </c>
      <c r="Y1240" s="158">
        <f t="shared" ref="Y1240" si="2091">$T1240/ORCAMENTO_VALOR_TOTAL_DE</f>
        <v>0</v>
      </c>
      <c r="Z1240" s="158" cm="1">
        <f t="array" ref="Z1240">_xlfn.SWITCH($N1240,"BDI 1",$O$6,"BDI 2",$O$7,"BDI 3",$O$8)</f>
        <v>0.20699999999999999</v>
      </c>
      <c r="AA1240" s="158" cm="1">
        <f t="array" ref="AA1240">_xlfn.SWITCH($N1240,"BDI 1",$P$6,"BDI 2",$P$7,"BDI 3",$P$8)</f>
        <v>0.26739999999999997</v>
      </c>
      <c r="AB1240" s="158">
        <f t="shared" ca="1" si="2071"/>
        <v>0</v>
      </c>
      <c r="AC1240" s="158">
        <f t="shared" ca="1" si="2072"/>
        <v>0</v>
      </c>
      <c r="AD1240" s="164"/>
      <c r="AE1240" s="148">
        <f t="shared" si="2059"/>
        <v>0</v>
      </c>
      <c r="AF1240" s="149"/>
      <c r="AG1240" s="150"/>
      <c r="AH1240" s="159" t="e">
        <f>+S1240/S$1230</f>
        <v>#DIV/0!</v>
      </c>
      <c r="AI1240" s="226"/>
      <c r="AJ1240" s="105"/>
      <c r="AK1240" s="105"/>
      <c r="AM1240" s="105"/>
      <c r="AN1240" s="105"/>
      <c r="AO1240" s="105"/>
      <c r="AP1240" s="105"/>
      <c r="AQ1240" s="105"/>
      <c r="AR1240" s="105"/>
    </row>
    <row r="1241" spans="1:44" s="49" customFormat="1" ht="49.9" hidden="1" customHeight="1">
      <c r="A1241" s="152">
        <f t="shared" ca="1" si="2060"/>
        <v>0</v>
      </c>
      <c r="B1241" s="153" t="s">
        <v>424</v>
      </c>
      <c r="C1241" s="154" t="str">
        <f t="shared" si="2061"/>
        <v>EG0001</v>
      </c>
      <c r="D1241" s="154" t="s">
        <v>3554</v>
      </c>
      <c r="E1241" s="155" t="s">
        <v>4013</v>
      </c>
      <c r="F1241" s="154"/>
      <c r="G1241" s="154" t="s">
        <v>1428</v>
      </c>
      <c r="H1241" s="152">
        <v>965.85</v>
      </c>
      <c r="I1241" s="152">
        <v>965.85</v>
      </c>
      <c r="J1241" s="156"/>
      <c r="K1241" s="156"/>
      <c r="L1241" s="156">
        <f t="shared" si="2062"/>
        <v>0</v>
      </c>
      <c r="M1241" s="156">
        <f t="shared" si="2063"/>
        <v>0</v>
      </c>
      <c r="N1241" s="156" t="s">
        <v>83</v>
      </c>
      <c r="O1241" s="157" cm="1">
        <f t="array" ref="O1241">TRUNC($H1241*(1+_xlfn.SWITCH($N1241,"BDI 1",$O$6,"BDI 2",$O$7,"BDI 3",$O$8)),2)</f>
        <v>1165.78</v>
      </c>
      <c r="P1241" s="157" cm="1">
        <f t="array" ref="P1241">TRUNC($I1241*(1+_xlfn.SWITCH($N1241,"BDI 1",$P$6,"BDI 2",$P$7,"BDI 3",$P$8)),2)</f>
        <v>1224.1099999999999</v>
      </c>
      <c r="Q1241" s="157">
        <v>0</v>
      </c>
      <c r="R1241" s="157">
        <f t="shared" si="2064"/>
        <v>0</v>
      </c>
      <c r="S1241" s="156">
        <f t="shared" si="2065"/>
        <v>0</v>
      </c>
      <c r="T1241" s="156">
        <f t="shared" si="2066"/>
        <v>0</v>
      </c>
      <c r="U1241" s="156">
        <f t="shared" si="2067"/>
        <v>0</v>
      </c>
      <c r="V1241" s="156">
        <f t="shared" si="2068"/>
        <v>0</v>
      </c>
      <c r="W1241" s="156">
        <f t="shared" si="2058"/>
        <v>0</v>
      </c>
      <c r="X1241" s="158">
        <f t="shared" ref="X1241" si="2092">$S1241/ORCAMENTO_VALOR_TOTAL_ND</f>
        <v>0</v>
      </c>
      <c r="Y1241" s="158">
        <f t="shared" ref="Y1241" si="2093">$T1241/ORCAMENTO_VALOR_TOTAL_DE</f>
        <v>0</v>
      </c>
      <c r="Z1241" s="158" cm="1">
        <f t="array" ref="Z1241">_xlfn.SWITCH($N1241,"BDI 1",$O$6,"BDI 2",$O$7,"BDI 3",$O$8)</f>
        <v>0.20699999999999999</v>
      </c>
      <c r="AA1241" s="158" cm="1">
        <f t="array" ref="AA1241">_xlfn.SWITCH($N1241,"BDI 1",$P$6,"BDI 2",$P$7,"BDI 3",$P$8)</f>
        <v>0.26739999999999997</v>
      </c>
      <c r="AB1241" s="158">
        <f t="shared" ca="1" si="2071"/>
        <v>0</v>
      </c>
      <c r="AC1241" s="158">
        <f t="shared" ca="1" si="2072"/>
        <v>0</v>
      </c>
      <c r="AD1241" s="164"/>
      <c r="AE1241" s="148">
        <f t="shared" si="2059"/>
        <v>0</v>
      </c>
      <c r="AF1241" s="149"/>
      <c r="AG1241" s="150"/>
      <c r="AH1241" s="159" t="e">
        <f t="shared" ref="AH1241:AH1243" si="2094">+S1241/S$1230</f>
        <v>#DIV/0!</v>
      </c>
      <c r="AI1241" s="226"/>
      <c r="AJ1241" s="105"/>
      <c r="AK1241" s="105"/>
      <c r="AM1241" s="105"/>
      <c r="AN1241" s="105"/>
      <c r="AO1241" s="105"/>
      <c r="AP1241" s="105"/>
      <c r="AQ1241" s="105"/>
      <c r="AR1241" s="105"/>
    </row>
    <row r="1242" spans="1:44" s="49" customFormat="1" ht="49.9" hidden="1" customHeight="1">
      <c r="A1242" s="152">
        <f t="shared" ca="1" si="2060"/>
        <v>0</v>
      </c>
      <c r="B1242" s="153" t="s">
        <v>425</v>
      </c>
      <c r="C1242" s="154" t="str">
        <f t="shared" si="2061"/>
        <v>EG0012</v>
      </c>
      <c r="D1242" s="154" t="s">
        <v>3554</v>
      </c>
      <c r="E1242" s="155" t="s">
        <v>4014</v>
      </c>
      <c r="F1242" s="154"/>
      <c r="G1242" s="154" t="s">
        <v>1428</v>
      </c>
      <c r="H1242" s="152">
        <v>804.93</v>
      </c>
      <c r="I1242" s="152">
        <v>804.93</v>
      </c>
      <c r="J1242" s="156"/>
      <c r="K1242" s="156"/>
      <c r="L1242" s="156">
        <f t="shared" si="2062"/>
        <v>0</v>
      </c>
      <c r="M1242" s="156">
        <f t="shared" si="2063"/>
        <v>0</v>
      </c>
      <c r="N1242" s="156" t="s">
        <v>83</v>
      </c>
      <c r="O1242" s="157" cm="1">
        <f t="array" ref="O1242">TRUNC($H1242*(1+_xlfn.SWITCH($N1242,"BDI 1",$O$6,"BDI 2",$O$7,"BDI 3",$O$8)),2)</f>
        <v>971.55</v>
      </c>
      <c r="P1242" s="157" cm="1">
        <f t="array" ref="P1242">TRUNC($I1242*(1+_xlfn.SWITCH($N1242,"BDI 1",$P$6,"BDI 2",$P$7,"BDI 3",$P$8)),2)</f>
        <v>1020.16</v>
      </c>
      <c r="Q1242" s="157">
        <v>0</v>
      </c>
      <c r="R1242" s="157">
        <f t="shared" si="2064"/>
        <v>0</v>
      </c>
      <c r="S1242" s="156">
        <f t="shared" si="2065"/>
        <v>0</v>
      </c>
      <c r="T1242" s="156">
        <f t="shared" si="2066"/>
        <v>0</v>
      </c>
      <c r="U1242" s="156">
        <f t="shared" si="2067"/>
        <v>0</v>
      </c>
      <c r="V1242" s="156">
        <f t="shared" si="2068"/>
        <v>0</v>
      </c>
      <c r="W1242" s="156">
        <f t="shared" si="2058"/>
        <v>0</v>
      </c>
      <c r="X1242" s="158">
        <f t="shared" ref="X1242" si="2095">$S1242/ORCAMENTO_VALOR_TOTAL_ND</f>
        <v>0</v>
      </c>
      <c r="Y1242" s="158">
        <f t="shared" ref="Y1242" si="2096">$T1242/ORCAMENTO_VALOR_TOTAL_DE</f>
        <v>0</v>
      </c>
      <c r="Z1242" s="158" cm="1">
        <f t="array" ref="Z1242">_xlfn.SWITCH($N1242,"BDI 1",$O$6,"BDI 2",$O$7,"BDI 3",$O$8)</f>
        <v>0.20699999999999999</v>
      </c>
      <c r="AA1242" s="158" cm="1">
        <f t="array" ref="AA1242">_xlfn.SWITCH($N1242,"BDI 1",$P$6,"BDI 2",$P$7,"BDI 3",$P$8)</f>
        <v>0.26739999999999997</v>
      </c>
      <c r="AB1242" s="158">
        <f t="shared" ca="1" si="2071"/>
        <v>0</v>
      </c>
      <c r="AC1242" s="158">
        <f t="shared" ca="1" si="2072"/>
        <v>0</v>
      </c>
      <c r="AD1242" s="164"/>
      <c r="AE1242" s="148">
        <f t="shared" si="2059"/>
        <v>0</v>
      </c>
      <c r="AF1242" s="149"/>
      <c r="AG1242" s="150"/>
      <c r="AH1242" s="159" t="e">
        <f t="shared" si="2094"/>
        <v>#DIV/0!</v>
      </c>
      <c r="AI1242" s="226"/>
      <c r="AJ1242" s="105"/>
      <c r="AK1242" s="105"/>
      <c r="AM1242" s="105"/>
      <c r="AN1242" s="105"/>
      <c r="AO1242" s="105"/>
      <c r="AP1242" s="105"/>
      <c r="AQ1242" s="105"/>
      <c r="AR1242" s="105"/>
    </row>
    <row r="1243" spans="1:44" s="49" customFormat="1" ht="49.9" hidden="1" customHeight="1">
      <c r="A1243" s="152">
        <f t="shared" ca="1" si="2060"/>
        <v>0</v>
      </c>
      <c r="B1243" s="153" t="s">
        <v>426</v>
      </c>
      <c r="C1243" s="154" t="str">
        <f t="shared" si="2061"/>
        <v>EG0014</v>
      </c>
      <c r="D1243" s="154" t="s">
        <v>3554</v>
      </c>
      <c r="E1243" s="155" t="s">
        <v>4015</v>
      </c>
      <c r="F1243" s="154"/>
      <c r="G1243" s="154" t="s">
        <v>1428</v>
      </c>
      <c r="H1243" s="152">
        <v>605.70000000000005</v>
      </c>
      <c r="I1243" s="152">
        <v>605.70000000000005</v>
      </c>
      <c r="J1243" s="156"/>
      <c r="K1243" s="156"/>
      <c r="L1243" s="156">
        <f t="shared" si="2062"/>
        <v>0</v>
      </c>
      <c r="M1243" s="156">
        <f t="shared" si="2063"/>
        <v>0</v>
      </c>
      <c r="N1243" s="156" t="s">
        <v>83</v>
      </c>
      <c r="O1243" s="157" cm="1">
        <f t="array" ref="O1243">TRUNC($H1243*(1+_xlfn.SWITCH($N1243,"BDI 1",$O$6,"BDI 2",$O$7,"BDI 3",$O$8)),2)</f>
        <v>731.07</v>
      </c>
      <c r="P1243" s="157" cm="1">
        <f t="array" ref="P1243">TRUNC($I1243*(1+_xlfn.SWITCH($N1243,"BDI 1",$P$6,"BDI 2",$P$7,"BDI 3",$P$8)),2)</f>
        <v>767.66</v>
      </c>
      <c r="Q1243" s="157">
        <v>0</v>
      </c>
      <c r="R1243" s="157">
        <f t="shared" si="2064"/>
        <v>0</v>
      </c>
      <c r="S1243" s="156">
        <f t="shared" si="2065"/>
        <v>0</v>
      </c>
      <c r="T1243" s="156">
        <f t="shared" si="2066"/>
        <v>0</v>
      </c>
      <c r="U1243" s="156">
        <f t="shared" si="2067"/>
        <v>0</v>
      </c>
      <c r="V1243" s="156">
        <f t="shared" si="2068"/>
        <v>0</v>
      </c>
      <c r="W1243" s="156">
        <f t="shared" si="2058"/>
        <v>0</v>
      </c>
      <c r="X1243" s="158">
        <f t="shared" ref="X1243" si="2097">$S1243/ORCAMENTO_VALOR_TOTAL_ND</f>
        <v>0</v>
      </c>
      <c r="Y1243" s="158">
        <f t="shared" ref="Y1243" si="2098">$T1243/ORCAMENTO_VALOR_TOTAL_DE</f>
        <v>0</v>
      </c>
      <c r="Z1243" s="158" cm="1">
        <f t="array" ref="Z1243">_xlfn.SWITCH($N1243,"BDI 1",$O$6,"BDI 2",$O$7,"BDI 3",$O$8)</f>
        <v>0.20699999999999999</v>
      </c>
      <c r="AA1243" s="158" cm="1">
        <f t="array" ref="AA1243">_xlfn.SWITCH($N1243,"BDI 1",$P$6,"BDI 2",$P$7,"BDI 3",$P$8)</f>
        <v>0.26739999999999997</v>
      </c>
      <c r="AB1243" s="158">
        <f t="shared" ca="1" si="2071"/>
        <v>0</v>
      </c>
      <c r="AC1243" s="158">
        <f t="shared" ca="1" si="2072"/>
        <v>0</v>
      </c>
      <c r="AD1243" s="164"/>
      <c r="AE1243" s="148">
        <f t="shared" si="2059"/>
        <v>0</v>
      </c>
      <c r="AF1243" s="149"/>
      <c r="AG1243" s="150"/>
      <c r="AH1243" s="159" t="e">
        <f t="shared" si="2094"/>
        <v>#DIV/0!</v>
      </c>
      <c r="AI1243" s="226"/>
      <c r="AJ1243" s="105"/>
      <c r="AK1243" s="105"/>
      <c r="AM1243" s="105"/>
      <c r="AN1243" s="105"/>
      <c r="AO1243" s="105"/>
      <c r="AP1243" s="105"/>
      <c r="AQ1243" s="105"/>
      <c r="AR1243" s="105"/>
    </row>
    <row r="1244" spans="1:44" s="49" customFormat="1" ht="40.15" hidden="1" customHeight="1">
      <c r="A1244" s="152">
        <f t="shared" ca="1" si="2060"/>
        <v>0</v>
      </c>
      <c r="B1244" s="153" t="s">
        <v>427</v>
      </c>
      <c r="C1244" s="154" t="str">
        <f t="shared" si="2061"/>
        <v>EG0006</v>
      </c>
      <c r="D1244" s="154" t="s">
        <v>3554</v>
      </c>
      <c r="E1244" s="155" t="s">
        <v>4016</v>
      </c>
      <c r="F1244" s="154"/>
      <c r="G1244" s="154" t="s">
        <v>1428</v>
      </c>
      <c r="H1244" s="152">
        <v>123.15</v>
      </c>
      <c r="I1244" s="152">
        <v>123.15</v>
      </c>
      <c r="J1244" s="156"/>
      <c r="K1244" s="156"/>
      <c r="L1244" s="156">
        <f t="shared" si="2062"/>
        <v>0</v>
      </c>
      <c r="M1244" s="156">
        <f t="shared" si="2063"/>
        <v>0</v>
      </c>
      <c r="N1244" s="156" t="s">
        <v>83</v>
      </c>
      <c r="O1244" s="157" cm="1">
        <f t="array" ref="O1244">TRUNC($H1244*(1+_xlfn.SWITCH($N1244,"BDI 1",$O$6,"BDI 2",$O$7,"BDI 3",$O$8)),2)</f>
        <v>148.63999999999999</v>
      </c>
      <c r="P1244" s="157" cm="1">
        <f t="array" ref="P1244">TRUNC($I1244*(1+_xlfn.SWITCH($N1244,"BDI 1",$P$6,"BDI 2",$P$7,"BDI 3",$P$8)),2)</f>
        <v>156.08000000000001</v>
      </c>
      <c r="Q1244" s="157">
        <v>0</v>
      </c>
      <c r="R1244" s="157">
        <f t="shared" si="2064"/>
        <v>0</v>
      </c>
      <c r="S1244" s="156">
        <f t="shared" si="2065"/>
        <v>0</v>
      </c>
      <c r="T1244" s="156">
        <f t="shared" si="2066"/>
        <v>0</v>
      </c>
      <c r="U1244" s="156">
        <f t="shared" si="2067"/>
        <v>0</v>
      </c>
      <c r="V1244" s="156">
        <f t="shared" si="2068"/>
        <v>0</v>
      </c>
      <c r="W1244" s="156">
        <f t="shared" si="2058"/>
        <v>0</v>
      </c>
      <c r="X1244" s="158">
        <f t="shared" ref="X1244" si="2099">$S1244/ORCAMENTO_VALOR_TOTAL_ND</f>
        <v>0</v>
      </c>
      <c r="Y1244" s="158">
        <f t="shared" ref="Y1244" si="2100">$T1244/ORCAMENTO_VALOR_TOTAL_DE</f>
        <v>0</v>
      </c>
      <c r="Z1244" s="158" cm="1">
        <f t="array" ref="Z1244">_xlfn.SWITCH($N1244,"BDI 1",$O$6,"BDI 2",$O$7,"BDI 3",$O$8)</f>
        <v>0.20699999999999999</v>
      </c>
      <c r="AA1244" s="158" cm="1">
        <f t="array" ref="AA1244">_xlfn.SWITCH($N1244,"BDI 1",$P$6,"BDI 2",$P$7,"BDI 3",$P$8)</f>
        <v>0.26739999999999997</v>
      </c>
      <c r="AB1244" s="158">
        <f t="shared" ca="1" si="2071"/>
        <v>0</v>
      </c>
      <c r="AC1244" s="158">
        <f t="shared" ca="1" si="2072"/>
        <v>0</v>
      </c>
      <c r="AD1244" s="164"/>
      <c r="AE1244" s="148">
        <f t="shared" si="2059"/>
        <v>0</v>
      </c>
      <c r="AF1244" s="149"/>
      <c r="AG1244" s="150"/>
      <c r="AH1244" s="159" t="e">
        <f>+S1244/S$1230</f>
        <v>#DIV/0!</v>
      </c>
      <c r="AI1244" s="226"/>
      <c r="AJ1244" s="105"/>
      <c r="AK1244" s="105"/>
      <c r="AM1244" s="105"/>
      <c r="AN1244" s="105"/>
      <c r="AO1244" s="105"/>
      <c r="AP1244" s="105"/>
      <c r="AQ1244" s="105"/>
      <c r="AR1244" s="105"/>
    </row>
    <row r="1245" spans="1:44" s="49" customFormat="1" ht="40.15" hidden="1" customHeight="1">
      <c r="A1245" s="152">
        <f t="shared" ca="1" si="2060"/>
        <v>0</v>
      </c>
      <c r="B1245" s="153" t="s">
        <v>428</v>
      </c>
      <c r="C1245" s="154" t="str">
        <f t="shared" si="2061"/>
        <v>EG0007</v>
      </c>
      <c r="D1245" s="154" t="s">
        <v>3554</v>
      </c>
      <c r="E1245" s="155" t="s">
        <v>4017</v>
      </c>
      <c r="F1245" s="154"/>
      <c r="G1245" s="154" t="s">
        <v>1431</v>
      </c>
      <c r="H1245" s="152">
        <v>174.91</v>
      </c>
      <c r="I1245" s="152">
        <v>174.91</v>
      </c>
      <c r="J1245" s="156"/>
      <c r="K1245" s="156"/>
      <c r="L1245" s="156">
        <f t="shared" si="2062"/>
        <v>0</v>
      </c>
      <c r="M1245" s="156">
        <f t="shared" si="2063"/>
        <v>0</v>
      </c>
      <c r="N1245" s="156" t="s">
        <v>83</v>
      </c>
      <c r="O1245" s="157" cm="1">
        <f t="array" ref="O1245">TRUNC($H1245*(1+_xlfn.SWITCH($N1245,"BDI 1",$O$6,"BDI 2",$O$7,"BDI 3",$O$8)),2)</f>
        <v>211.11</v>
      </c>
      <c r="P1245" s="157" cm="1">
        <f t="array" ref="P1245">TRUNC($I1245*(1+_xlfn.SWITCH($N1245,"BDI 1",$P$6,"BDI 2",$P$7,"BDI 3",$P$8)),2)</f>
        <v>221.68</v>
      </c>
      <c r="Q1245" s="157">
        <v>0</v>
      </c>
      <c r="R1245" s="157">
        <f t="shared" si="2064"/>
        <v>0</v>
      </c>
      <c r="S1245" s="156">
        <f t="shared" si="2065"/>
        <v>0</v>
      </c>
      <c r="T1245" s="156">
        <f t="shared" si="2066"/>
        <v>0</v>
      </c>
      <c r="U1245" s="156">
        <f t="shared" si="2067"/>
        <v>0</v>
      </c>
      <c r="V1245" s="156">
        <f t="shared" si="2068"/>
        <v>0</v>
      </c>
      <c r="W1245" s="156">
        <f t="shared" si="2058"/>
        <v>0</v>
      </c>
      <c r="X1245" s="158">
        <f t="shared" ref="X1245" si="2101">$S1245/ORCAMENTO_VALOR_TOTAL_ND</f>
        <v>0</v>
      </c>
      <c r="Y1245" s="158">
        <f t="shared" ref="Y1245" si="2102">$T1245/ORCAMENTO_VALOR_TOTAL_DE</f>
        <v>0</v>
      </c>
      <c r="Z1245" s="158" cm="1">
        <f t="array" ref="Z1245">_xlfn.SWITCH($N1245,"BDI 1",$O$6,"BDI 2",$O$7,"BDI 3",$O$8)</f>
        <v>0.20699999999999999</v>
      </c>
      <c r="AA1245" s="158" cm="1">
        <f t="array" ref="AA1245">_xlfn.SWITCH($N1245,"BDI 1",$P$6,"BDI 2",$P$7,"BDI 3",$P$8)</f>
        <v>0.26739999999999997</v>
      </c>
      <c r="AB1245" s="158">
        <f t="shared" ca="1" si="2071"/>
        <v>0</v>
      </c>
      <c r="AC1245" s="158">
        <f t="shared" ca="1" si="2072"/>
        <v>0</v>
      </c>
      <c r="AD1245" s="164"/>
      <c r="AE1245" s="148">
        <f t="shared" si="2059"/>
        <v>0</v>
      </c>
      <c r="AF1245" s="149"/>
      <c r="AG1245" s="150"/>
      <c r="AH1245" s="159" t="e">
        <f t="shared" ref="AH1245:AH1264" si="2103">+S1245/S$1230</f>
        <v>#DIV/0!</v>
      </c>
      <c r="AI1245" s="160"/>
      <c r="AJ1245" s="105"/>
      <c r="AK1245" s="105"/>
      <c r="AM1245" s="105"/>
      <c r="AN1245" s="105"/>
      <c r="AO1245" s="105"/>
      <c r="AP1245" s="105"/>
      <c r="AQ1245" s="105"/>
      <c r="AR1245" s="105"/>
    </row>
    <row r="1246" spans="1:44" s="49" customFormat="1" ht="40.15" hidden="1" customHeight="1">
      <c r="A1246" s="152">
        <f t="shared" ca="1" si="2060"/>
        <v>0</v>
      </c>
      <c r="B1246" s="153" t="s">
        <v>429</v>
      </c>
      <c r="C1246" s="154" t="str">
        <f t="shared" si="2061"/>
        <v>EG0011</v>
      </c>
      <c r="D1246" s="154" t="s">
        <v>3554</v>
      </c>
      <c r="E1246" s="155" t="s">
        <v>4018</v>
      </c>
      <c r="F1246" s="154"/>
      <c r="G1246" s="154" t="s">
        <v>1428</v>
      </c>
      <c r="H1246" s="152">
        <v>16064.08</v>
      </c>
      <c r="I1246" s="152">
        <v>16064.08</v>
      </c>
      <c r="J1246" s="156"/>
      <c r="K1246" s="156"/>
      <c r="L1246" s="156">
        <f t="shared" si="2062"/>
        <v>0</v>
      </c>
      <c r="M1246" s="156">
        <f t="shared" si="2063"/>
        <v>0</v>
      </c>
      <c r="N1246" s="156" t="s">
        <v>83</v>
      </c>
      <c r="O1246" s="157" cm="1">
        <f t="array" ref="O1246">TRUNC($H1246*(1+_xlfn.SWITCH($N1246,"BDI 1",$O$6,"BDI 2",$O$7,"BDI 3",$O$8)),2)</f>
        <v>19389.34</v>
      </c>
      <c r="P1246" s="157" cm="1">
        <f t="array" ref="P1246">TRUNC($I1246*(1+_xlfn.SWITCH($N1246,"BDI 1",$P$6,"BDI 2",$P$7,"BDI 3",$P$8)),2)</f>
        <v>20359.61</v>
      </c>
      <c r="Q1246" s="157">
        <v>0</v>
      </c>
      <c r="R1246" s="157">
        <f t="shared" si="2064"/>
        <v>0</v>
      </c>
      <c r="S1246" s="156">
        <f t="shared" si="2065"/>
        <v>0</v>
      </c>
      <c r="T1246" s="156">
        <f t="shared" si="2066"/>
        <v>0</v>
      </c>
      <c r="U1246" s="156">
        <f t="shared" si="2067"/>
        <v>0</v>
      </c>
      <c r="V1246" s="156">
        <f t="shared" si="2068"/>
        <v>0</v>
      </c>
      <c r="W1246" s="156">
        <f t="shared" si="2058"/>
        <v>0</v>
      </c>
      <c r="X1246" s="158">
        <f t="shared" ref="X1246" si="2104">$S1246/ORCAMENTO_VALOR_TOTAL_ND</f>
        <v>0</v>
      </c>
      <c r="Y1246" s="158">
        <f t="shared" ref="Y1246" si="2105">$T1246/ORCAMENTO_VALOR_TOTAL_DE</f>
        <v>0</v>
      </c>
      <c r="Z1246" s="158" cm="1">
        <f t="array" ref="Z1246">_xlfn.SWITCH($N1246,"BDI 1",$O$6,"BDI 2",$O$7,"BDI 3",$O$8)</f>
        <v>0.20699999999999999</v>
      </c>
      <c r="AA1246" s="158" cm="1">
        <f t="array" ref="AA1246">_xlfn.SWITCH($N1246,"BDI 1",$P$6,"BDI 2",$P$7,"BDI 3",$P$8)</f>
        <v>0.26739999999999997</v>
      </c>
      <c r="AB1246" s="158">
        <f t="shared" ca="1" si="2071"/>
        <v>0</v>
      </c>
      <c r="AC1246" s="158">
        <f t="shared" ca="1" si="2072"/>
        <v>0</v>
      </c>
      <c r="AD1246" s="164"/>
      <c r="AE1246" s="148">
        <f t="shared" si="2059"/>
        <v>0</v>
      </c>
      <c r="AF1246" s="149"/>
      <c r="AG1246" s="150"/>
      <c r="AH1246" s="159" t="e">
        <f t="shared" si="2103"/>
        <v>#DIV/0!</v>
      </c>
      <c r="AI1246" s="160"/>
      <c r="AJ1246" s="105"/>
      <c r="AK1246" s="105"/>
      <c r="AM1246" s="105"/>
      <c r="AN1246" s="105"/>
      <c r="AO1246" s="105"/>
      <c r="AP1246" s="105"/>
      <c r="AQ1246" s="105"/>
      <c r="AR1246" s="105"/>
    </row>
    <row r="1247" spans="1:44" s="49" customFormat="1" ht="40.15" hidden="1" customHeight="1">
      <c r="A1247" s="152">
        <f t="shared" ca="1" si="2060"/>
        <v>0</v>
      </c>
      <c r="B1247" s="153" t="s">
        <v>430</v>
      </c>
      <c r="C1247" s="154" t="str">
        <f t="shared" si="2061"/>
        <v>ETG0001</v>
      </c>
      <c r="D1247" s="154" t="s">
        <v>3554</v>
      </c>
      <c r="E1247" s="155" t="s">
        <v>4019</v>
      </c>
      <c r="F1247" s="154"/>
      <c r="G1247" s="154" t="s">
        <v>1285</v>
      </c>
      <c r="H1247" s="152">
        <v>11821.84</v>
      </c>
      <c r="I1247" s="152">
        <v>11821.84</v>
      </c>
      <c r="J1247" s="156"/>
      <c r="K1247" s="156"/>
      <c r="L1247" s="156">
        <f t="shared" si="2062"/>
        <v>0</v>
      </c>
      <c r="M1247" s="156">
        <f t="shared" si="2063"/>
        <v>0</v>
      </c>
      <c r="N1247" s="156" t="s">
        <v>83</v>
      </c>
      <c r="O1247" s="157" cm="1">
        <f t="array" ref="O1247">TRUNC($H1247*(1+_xlfn.SWITCH($N1247,"BDI 1",$O$6,"BDI 2",$O$7,"BDI 3",$O$8)),2)</f>
        <v>14268.96</v>
      </c>
      <c r="P1247" s="157" cm="1">
        <f t="array" ref="P1247">TRUNC($I1247*(1+_xlfn.SWITCH($N1247,"BDI 1",$P$6,"BDI 2",$P$7,"BDI 3",$P$8)),2)</f>
        <v>14983</v>
      </c>
      <c r="Q1247" s="157">
        <v>0</v>
      </c>
      <c r="R1247" s="157">
        <f t="shared" si="2064"/>
        <v>0</v>
      </c>
      <c r="S1247" s="156">
        <f t="shared" si="2065"/>
        <v>0</v>
      </c>
      <c r="T1247" s="156">
        <f t="shared" si="2066"/>
        <v>0</v>
      </c>
      <c r="U1247" s="156">
        <f t="shared" si="2067"/>
        <v>0</v>
      </c>
      <c r="V1247" s="156">
        <f t="shared" si="2068"/>
        <v>0</v>
      </c>
      <c r="W1247" s="156">
        <f t="shared" si="2058"/>
        <v>0</v>
      </c>
      <c r="X1247" s="158">
        <f t="shared" ref="X1247" si="2106">$S1247/ORCAMENTO_VALOR_TOTAL_ND</f>
        <v>0</v>
      </c>
      <c r="Y1247" s="158">
        <f t="shared" ref="Y1247" si="2107">$T1247/ORCAMENTO_VALOR_TOTAL_DE</f>
        <v>0</v>
      </c>
      <c r="Z1247" s="158" cm="1">
        <f t="array" ref="Z1247">_xlfn.SWITCH($N1247,"BDI 1",$O$6,"BDI 2",$O$7,"BDI 3",$O$8)</f>
        <v>0.20699999999999999</v>
      </c>
      <c r="AA1247" s="158" cm="1">
        <f t="array" ref="AA1247">_xlfn.SWITCH($N1247,"BDI 1",$P$6,"BDI 2",$P$7,"BDI 3",$P$8)</f>
        <v>0.26739999999999997</v>
      </c>
      <c r="AB1247" s="158">
        <f t="shared" ca="1" si="2071"/>
        <v>0</v>
      </c>
      <c r="AC1247" s="158">
        <f t="shared" ca="1" si="2072"/>
        <v>0</v>
      </c>
      <c r="AD1247" s="164"/>
      <c r="AE1247" s="148">
        <f t="shared" si="2059"/>
        <v>0</v>
      </c>
      <c r="AF1247" s="149"/>
      <c r="AG1247" s="150"/>
      <c r="AH1247" s="159" t="e">
        <f t="shared" si="2103"/>
        <v>#DIV/0!</v>
      </c>
      <c r="AI1247" s="160"/>
      <c r="AJ1247" s="105"/>
      <c r="AK1247" s="105"/>
      <c r="AM1247" s="105"/>
      <c r="AN1247" s="105"/>
      <c r="AO1247" s="105"/>
      <c r="AP1247" s="105"/>
      <c r="AQ1247" s="105"/>
      <c r="AR1247" s="105"/>
    </row>
    <row r="1248" spans="1:44" s="49" customFormat="1" ht="40.15" hidden="1" customHeight="1">
      <c r="A1248" s="152">
        <f t="shared" ca="1" si="2060"/>
        <v>0</v>
      </c>
      <c r="B1248" s="153" t="s">
        <v>431</v>
      </c>
      <c r="C1248" s="154" t="str">
        <f t="shared" si="2061"/>
        <v>ET0001</v>
      </c>
      <c r="D1248" s="154" t="s">
        <v>3554</v>
      </c>
      <c r="E1248" s="155" t="s">
        <v>4020</v>
      </c>
      <c r="F1248" s="154"/>
      <c r="G1248" s="154" t="s">
        <v>4007</v>
      </c>
      <c r="H1248" s="152">
        <v>83.12</v>
      </c>
      <c r="I1248" s="152">
        <v>83.12</v>
      </c>
      <c r="J1248" s="156"/>
      <c r="K1248" s="156"/>
      <c r="L1248" s="156">
        <f t="shared" si="2062"/>
        <v>0</v>
      </c>
      <c r="M1248" s="156">
        <f t="shared" si="2063"/>
        <v>0</v>
      </c>
      <c r="N1248" s="156" t="s">
        <v>83</v>
      </c>
      <c r="O1248" s="157" cm="1">
        <f t="array" ref="O1248">TRUNC($H1248*(1+_xlfn.SWITCH($N1248,"BDI 1",$O$6,"BDI 2",$O$7,"BDI 3",$O$8)),2)</f>
        <v>100.32</v>
      </c>
      <c r="P1248" s="157" cm="1">
        <f t="array" ref="P1248">TRUNC($I1248*(1+_xlfn.SWITCH($N1248,"BDI 1",$P$6,"BDI 2",$P$7,"BDI 3",$P$8)),2)</f>
        <v>105.34</v>
      </c>
      <c r="Q1248" s="157">
        <v>0</v>
      </c>
      <c r="R1248" s="157">
        <f t="shared" si="2064"/>
        <v>0</v>
      </c>
      <c r="S1248" s="156">
        <f t="shared" si="2065"/>
        <v>0</v>
      </c>
      <c r="T1248" s="156">
        <f t="shared" si="2066"/>
        <v>0</v>
      </c>
      <c r="U1248" s="156">
        <f t="shared" si="2067"/>
        <v>0</v>
      </c>
      <c r="V1248" s="156">
        <f t="shared" si="2068"/>
        <v>0</v>
      </c>
      <c r="W1248" s="156">
        <f t="shared" si="2058"/>
        <v>0</v>
      </c>
      <c r="X1248" s="158">
        <f t="shared" ref="X1248" si="2108">$S1248/ORCAMENTO_VALOR_TOTAL_ND</f>
        <v>0</v>
      </c>
      <c r="Y1248" s="158">
        <f t="shared" ref="Y1248" si="2109">$T1248/ORCAMENTO_VALOR_TOTAL_DE</f>
        <v>0</v>
      </c>
      <c r="Z1248" s="158" cm="1">
        <f t="array" ref="Z1248">_xlfn.SWITCH($N1248,"BDI 1",$O$6,"BDI 2",$O$7,"BDI 3",$O$8)</f>
        <v>0.20699999999999999</v>
      </c>
      <c r="AA1248" s="158" cm="1">
        <f t="array" ref="AA1248">_xlfn.SWITCH($N1248,"BDI 1",$P$6,"BDI 2",$P$7,"BDI 3",$P$8)</f>
        <v>0.26739999999999997</v>
      </c>
      <c r="AB1248" s="158">
        <f t="shared" ca="1" si="2071"/>
        <v>0</v>
      </c>
      <c r="AC1248" s="158">
        <f t="shared" ca="1" si="2072"/>
        <v>0</v>
      </c>
      <c r="AD1248" s="164"/>
      <c r="AE1248" s="148">
        <f t="shared" si="2059"/>
        <v>0</v>
      </c>
      <c r="AF1248" s="149"/>
      <c r="AG1248" s="150"/>
      <c r="AH1248" s="159" t="e">
        <f t="shared" si="2103"/>
        <v>#DIV/0!</v>
      </c>
      <c r="AI1248" s="160"/>
      <c r="AJ1248" s="105"/>
      <c r="AK1248" s="105"/>
      <c r="AM1248" s="105"/>
      <c r="AN1248" s="105"/>
      <c r="AO1248" s="105"/>
      <c r="AP1248" s="105"/>
      <c r="AQ1248" s="105"/>
      <c r="AR1248" s="105"/>
    </row>
    <row r="1249" spans="1:44" s="49" customFormat="1" ht="40.15" hidden="1" customHeight="1">
      <c r="A1249" s="152">
        <f t="shared" ca="1" si="2060"/>
        <v>0</v>
      </c>
      <c r="B1249" s="153" t="s">
        <v>432</v>
      </c>
      <c r="C1249" s="154" t="str">
        <f t="shared" si="2061"/>
        <v>ET0002</v>
      </c>
      <c r="D1249" s="154" t="s">
        <v>3554</v>
      </c>
      <c r="E1249" s="155" t="s">
        <v>4021</v>
      </c>
      <c r="F1249" s="154"/>
      <c r="G1249" s="154" t="s">
        <v>4007</v>
      </c>
      <c r="H1249" s="152">
        <v>7855.84</v>
      </c>
      <c r="I1249" s="152">
        <v>7855.84</v>
      </c>
      <c r="J1249" s="156"/>
      <c r="K1249" s="156"/>
      <c r="L1249" s="156">
        <f t="shared" si="2062"/>
        <v>0</v>
      </c>
      <c r="M1249" s="156">
        <f t="shared" si="2063"/>
        <v>0</v>
      </c>
      <c r="N1249" s="156" t="s">
        <v>83</v>
      </c>
      <c r="O1249" s="157" cm="1">
        <f t="array" ref="O1249">TRUNC($H1249*(1+_xlfn.SWITCH($N1249,"BDI 1",$O$6,"BDI 2",$O$7,"BDI 3",$O$8)),2)</f>
        <v>9481.99</v>
      </c>
      <c r="P1249" s="157" cm="1">
        <f t="array" ref="P1249">TRUNC($I1249*(1+_xlfn.SWITCH($N1249,"BDI 1",$P$6,"BDI 2",$P$7,"BDI 3",$P$8)),2)</f>
        <v>9956.49</v>
      </c>
      <c r="Q1249" s="157">
        <v>0</v>
      </c>
      <c r="R1249" s="157">
        <f t="shared" si="2064"/>
        <v>0</v>
      </c>
      <c r="S1249" s="156">
        <f t="shared" si="2065"/>
        <v>0</v>
      </c>
      <c r="T1249" s="156">
        <f t="shared" si="2066"/>
        <v>0</v>
      </c>
      <c r="U1249" s="156">
        <f t="shared" si="2067"/>
        <v>0</v>
      </c>
      <c r="V1249" s="156">
        <f t="shared" si="2068"/>
        <v>0</v>
      </c>
      <c r="W1249" s="156">
        <f t="shared" si="2058"/>
        <v>0</v>
      </c>
      <c r="X1249" s="158">
        <f t="shared" ref="X1249" si="2110">$S1249/ORCAMENTO_VALOR_TOTAL_ND</f>
        <v>0</v>
      </c>
      <c r="Y1249" s="158">
        <f t="shared" ref="Y1249" si="2111">$T1249/ORCAMENTO_VALOR_TOTAL_DE</f>
        <v>0</v>
      </c>
      <c r="Z1249" s="158" cm="1">
        <f t="array" ref="Z1249">_xlfn.SWITCH($N1249,"BDI 1",$O$6,"BDI 2",$O$7,"BDI 3",$O$8)</f>
        <v>0.20699999999999999</v>
      </c>
      <c r="AA1249" s="158" cm="1">
        <f t="array" ref="AA1249">_xlfn.SWITCH($N1249,"BDI 1",$P$6,"BDI 2",$P$7,"BDI 3",$P$8)</f>
        <v>0.26739999999999997</v>
      </c>
      <c r="AB1249" s="158">
        <f t="shared" ca="1" si="2071"/>
        <v>0</v>
      </c>
      <c r="AC1249" s="158">
        <f t="shared" ca="1" si="2072"/>
        <v>0</v>
      </c>
      <c r="AD1249" s="164"/>
      <c r="AE1249" s="148">
        <f t="shared" si="2059"/>
        <v>0</v>
      </c>
      <c r="AF1249" s="149"/>
      <c r="AG1249" s="150"/>
      <c r="AH1249" s="159" t="e">
        <f t="shared" si="2103"/>
        <v>#DIV/0!</v>
      </c>
      <c r="AI1249" s="160"/>
      <c r="AJ1249" s="105"/>
      <c r="AK1249" s="105"/>
      <c r="AM1249" s="105"/>
      <c r="AN1249" s="105"/>
      <c r="AO1249" s="105"/>
      <c r="AP1249" s="105"/>
      <c r="AQ1249" s="105"/>
      <c r="AR1249" s="105"/>
    </row>
    <row r="1250" spans="1:44" s="49" customFormat="1" ht="40.15" hidden="1" customHeight="1">
      <c r="A1250" s="152">
        <f t="shared" ca="1" si="2060"/>
        <v>0</v>
      </c>
      <c r="B1250" s="153" t="s">
        <v>433</v>
      </c>
      <c r="C1250" s="154" t="str">
        <f t="shared" si="2061"/>
        <v>PIU0001</v>
      </c>
      <c r="D1250" s="154" t="s">
        <v>3554</v>
      </c>
      <c r="E1250" s="155" t="s">
        <v>4022</v>
      </c>
      <c r="F1250" s="154"/>
      <c r="G1250" s="154" t="s">
        <v>1414</v>
      </c>
      <c r="H1250" s="152">
        <v>3.5</v>
      </c>
      <c r="I1250" s="152">
        <v>3.5</v>
      </c>
      <c r="J1250" s="156"/>
      <c r="K1250" s="156"/>
      <c r="L1250" s="156">
        <f t="shared" si="2062"/>
        <v>0</v>
      </c>
      <c r="M1250" s="156">
        <f t="shared" si="2063"/>
        <v>0</v>
      </c>
      <c r="N1250" s="156" t="s">
        <v>83</v>
      </c>
      <c r="O1250" s="157" cm="1">
        <f t="array" ref="O1250">TRUNC($H1250*(1+_xlfn.SWITCH($N1250,"BDI 1",$O$6,"BDI 2",$O$7,"BDI 3",$O$8)),2)</f>
        <v>4.22</v>
      </c>
      <c r="P1250" s="157" cm="1">
        <f t="array" ref="P1250">TRUNC($I1250*(1+_xlfn.SWITCH($N1250,"BDI 1",$P$6,"BDI 2",$P$7,"BDI 3",$P$8)),2)</f>
        <v>4.43</v>
      </c>
      <c r="Q1250" s="157">
        <v>0</v>
      </c>
      <c r="R1250" s="157">
        <f t="shared" si="2064"/>
        <v>0</v>
      </c>
      <c r="S1250" s="156">
        <f t="shared" si="2065"/>
        <v>0</v>
      </c>
      <c r="T1250" s="156">
        <f t="shared" si="2066"/>
        <v>0</v>
      </c>
      <c r="U1250" s="156">
        <f t="shared" si="2067"/>
        <v>0</v>
      </c>
      <c r="V1250" s="156">
        <f t="shared" si="2068"/>
        <v>0</v>
      </c>
      <c r="W1250" s="156">
        <f t="shared" si="2058"/>
        <v>0</v>
      </c>
      <c r="X1250" s="158">
        <f t="shared" ref="X1250" si="2112">$S1250/ORCAMENTO_VALOR_TOTAL_ND</f>
        <v>0</v>
      </c>
      <c r="Y1250" s="158">
        <f t="shared" ref="Y1250" si="2113">$T1250/ORCAMENTO_VALOR_TOTAL_DE</f>
        <v>0</v>
      </c>
      <c r="Z1250" s="158" cm="1">
        <f t="array" ref="Z1250">_xlfn.SWITCH($N1250,"BDI 1",$O$6,"BDI 2",$O$7,"BDI 3",$O$8)</f>
        <v>0.20699999999999999</v>
      </c>
      <c r="AA1250" s="158" cm="1">
        <f t="array" ref="AA1250">_xlfn.SWITCH($N1250,"BDI 1",$P$6,"BDI 2",$P$7,"BDI 3",$P$8)</f>
        <v>0.26739999999999997</v>
      </c>
      <c r="AB1250" s="158">
        <f t="shared" ca="1" si="2071"/>
        <v>0</v>
      </c>
      <c r="AC1250" s="158">
        <f t="shared" ca="1" si="2072"/>
        <v>0</v>
      </c>
      <c r="AD1250" s="164"/>
      <c r="AE1250" s="148">
        <f t="shared" si="2059"/>
        <v>0</v>
      </c>
      <c r="AF1250" s="149"/>
      <c r="AG1250" s="150"/>
      <c r="AH1250" s="159" t="e">
        <f t="shared" si="2103"/>
        <v>#DIV/0!</v>
      </c>
      <c r="AI1250" s="160"/>
      <c r="AJ1250" s="105"/>
      <c r="AK1250" s="105"/>
      <c r="AM1250" s="105"/>
      <c r="AN1250" s="105"/>
      <c r="AO1250" s="105"/>
      <c r="AP1250" s="105"/>
      <c r="AQ1250" s="105"/>
      <c r="AR1250" s="105"/>
    </row>
    <row r="1251" spans="1:44" s="49" customFormat="1" ht="40.15" hidden="1" customHeight="1">
      <c r="A1251" s="152">
        <f t="shared" ca="1" si="2060"/>
        <v>0</v>
      </c>
      <c r="B1251" s="153" t="s">
        <v>434</v>
      </c>
      <c r="C1251" s="154" t="str">
        <f t="shared" si="2061"/>
        <v>PIU0006</v>
      </c>
      <c r="D1251" s="154" t="s">
        <v>3554</v>
      </c>
      <c r="E1251" s="155" t="s">
        <v>4023</v>
      </c>
      <c r="F1251" s="154"/>
      <c r="G1251" s="154" t="s">
        <v>1414</v>
      </c>
      <c r="H1251" s="152">
        <v>2.69</v>
      </c>
      <c r="I1251" s="152">
        <v>2.69</v>
      </c>
      <c r="J1251" s="156"/>
      <c r="K1251" s="156"/>
      <c r="L1251" s="156">
        <f t="shared" si="2062"/>
        <v>0</v>
      </c>
      <c r="M1251" s="156">
        <f t="shared" si="2063"/>
        <v>0</v>
      </c>
      <c r="N1251" s="156" t="s">
        <v>83</v>
      </c>
      <c r="O1251" s="157" cm="1">
        <f t="array" ref="O1251">TRUNC($H1251*(1+_xlfn.SWITCH($N1251,"BDI 1",$O$6,"BDI 2",$O$7,"BDI 3",$O$8)),2)</f>
        <v>3.24</v>
      </c>
      <c r="P1251" s="157" cm="1">
        <f t="array" ref="P1251">TRUNC($I1251*(1+_xlfn.SWITCH($N1251,"BDI 1",$P$6,"BDI 2",$P$7,"BDI 3",$P$8)),2)</f>
        <v>3.4</v>
      </c>
      <c r="Q1251" s="157">
        <v>0</v>
      </c>
      <c r="R1251" s="157">
        <f t="shared" si="2064"/>
        <v>0</v>
      </c>
      <c r="S1251" s="156">
        <f t="shared" si="2065"/>
        <v>0</v>
      </c>
      <c r="T1251" s="156">
        <f t="shared" si="2066"/>
        <v>0</v>
      </c>
      <c r="U1251" s="156">
        <f t="shared" si="2067"/>
        <v>0</v>
      </c>
      <c r="V1251" s="156">
        <f t="shared" si="2068"/>
        <v>0</v>
      </c>
      <c r="W1251" s="156">
        <f t="shared" si="2058"/>
        <v>0</v>
      </c>
      <c r="X1251" s="158">
        <f t="shared" ref="X1251" si="2114">$S1251/ORCAMENTO_VALOR_TOTAL_ND</f>
        <v>0</v>
      </c>
      <c r="Y1251" s="158">
        <f t="shared" ref="Y1251" si="2115">$T1251/ORCAMENTO_VALOR_TOTAL_DE</f>
        <v>0</v>
      </c>
      <c r="Z1251" s="158" cm="1">
        <f t="array" ref="Z1251">_xlfn.SWITCH($N1251,"BDI 1",$O$6,"BDI 2",$O$7,"BDI 3",$O$8)</f>
        <v>0.20699999999999999</v>
      </c>
      <c r="AA1251" s="158" cm="1">
        <f t="array" ref="AA1251">_xlfn.SWITCH($N1251,"BDI 1",$P$6,"BDI 2",$P$7,"BDI 3",$P$8)</f>
        <v>0.26739999999999997</v>
      </c>
      <c r="AB1251" s="158">
        <f t="shared" ca="1" si="2071"/>
        <v>0</v>
      </c>
      <c r="AC1251" s="158">
        <f t="shared" ca="1" si="2072"/>
        <v>0</v>
      </c>
      <c r="AD1251" s="164"/>
      <c r="AE1251" s="148">
        <f t="shared" si="2059"/>
        <v>0</v>
      </c>
      <c r="AF1251" s="149"/>
      <c r="AG1251" s="150"/>
      <c r="AH1251" s="159" t="e">
        <f t="shared" si="2103"/>
        <v>#DIV/0!</v>
      </c>
      <c r="AI1251" s="160"/>
      <c r="AJ1251" s="105"/>
      <c r="AK1251" s="105"/>
      <c r="AM1251" s="105"/>
      <c r="AN1251" s="105"/>
      <c r="AO1251" s="105"/>
      <c r="AP1251" s="105"/>
      <c r="AQ1251" s="105"/>
      <c r="AR1251" s="105"/>
    </row>
    <row r="1252" spans="1:44" s="49" customFormat="1" ht="40.15" hidden="1" customHeight="1">
      <c r="A1252" s="152">
        <f t="shared" ca="1" si="2060"/>
        <v>0</v>
      </c>
      <c r="B1252" s="153" t="s">
        <v>435</v>
      </c>
      <c r="C1252" s="154" t="str">
        <f t="shared" si="2061"/>
        <v>PIU0004</v>
      </c>
      <c r="D1252" s="154" t="s">
        <v>3554</v>
      </c>
      <c r="E1252" s="155" t="s">
        <v>4024</v>
      </c>
      <c r="F1252" s="154"/>
      <c r="G1252" s="154" t="s">
        <v>1431</v>
      </c>
      <c r="H1252" s="152">
        <v>8.08</v>
      </c>
      <c r="I1252" s="152">
        <v>8.08</v>
      </c>
      <c r="J1252" s="156"/>
      <c r="K1252" s="156"/>
      <c r="L1252" s="156">
        <f t="shared" si="2062"/>
        <v>0</v>
      </c>
      <c r="M1252" s="156">
        <f t="shared" si="2063"/>
        <v>0</v>
      </c>
      <c r="N1252" s="156" t="s">
        <v>83</v>
      </c>
      <c r="O1252" s="157" cm="1">
        <f t="array" ref="O1252">TRUNC($H1252*(1+_xlfn.SWITCH($N1252,"BDI 1",$O$6,"BDI 2",$O$7,"BDI 3",$O$8)),2)</f>
        <v>9.75</v>
      </c>
      <c r="P1252" s="157" cm="1">
        <f t="array" ref="P1252">TRUNC($I1252*(1+_xlfn.SWITCH($N1252,"BDI 1",$P$6,"BDI 2",$P$7,"BDI 3",$P$8)),2)</f>
        <v>10.24</v>
      </c>
      <c r="Q1252" s="157">
        <v>0</v>
      </c>
      <c r="R1252" s="157">
        <f t="shared" si="2064"/>
        <v>0</v>
      </c>
      <c r="S1252" s="156">
        <f t="shared" si="2065"/>
        <v>0</v>
      </c>
      <c r="T1252" s="156">
        <f t="shared" si="2066"/>
        <v>0</v>
      </c>
      <c r="U1252" s="156">
        <f t="shared" si="2067"/>
        <v>0</v>
      </c>
      <c r="V1252" s="156">
        <f t="shared" si="2068"/>
        <v>0</v>
      </c>
      <c r="W1252" s="156">
        <f t="shared" si="2058"/>
        <v>0</v>
      </c>
      <c r="X1252" s="158">
        <f t="shared" ref="X1252" si="2116">$S1252/ORCAMENTO_VALOR_TOTAL_ND</f>
        <v>0</v>
      </c>
      <c r="Y1252" s="158">
        <f t="shared" ref="Y1252" si="2117">$T1252/ORCAMENTO_VALOR_TOTAL_DE</f>
        <v>0</v>
      </c>
      <c r="Z1252" s="158" cm="1">
        <f t="array" ref="Z1252">_xlfn.SWITCH($N1252,"BDI 1",$O$6,"BDI 2",$O$7,"BDI 3",$O$8)</f>
        <v>0.20699999999999999</v>
      </c>
      <c r="AA1252" s="158" cm="1">
        <f t="array" ref="AA1252">_xlfn.SWITCH($N1252,"BDI 1",$P$6,"BDI 2",$P$7,"BDI 3",$P$8)</f>
        <v>0.26739999999999997</v>
      </c>
      <c r="AB1252" s="158">
        <f t="shared" ca="1" si="2071"/>
        <v>0</v>
      </c>
      <c r="AC1252" s="158">
        <f t="shared" ca="1" si="2072"/>
        <v>0</v>
      </c>
      <c r="AD1252" s="164"/>
      <c r="AE1252" s="148">
        <f t="shared" si="2059"/>
        <v>0</v>
      </c>
      <c r="AF1252" s="149"/>
      <c r="AG1252" s="150"/>
      <c r="AH1252" s="159" t="e">
        <f t="shared" si="2103"/>
        <v>#DIV/0!</v>
      </c>
      <c r="AI1252" s="160"/>
      <c r="AJ1252" s="105"/>
      <c r="AK1252" s="105"/>
      <c r="AM1252" s="105"/>
      <c r="AN1252" s="105"/>
      <c r="AO1252" s="105"/>
      <c r="AP1252" s="105"/>
      <c r="AQ1252" s="105"/>
      <c r="AR1252" s="105"/>
    </row>
    <row r="1253" spans="1:44" s="49" customFormat="1" ht="60" hidden="1" customHeight="1">
      <c r="A1253" s="152">
        <f t="shared" ca="1" si="2060"/>
        <v>0</v>
      </c>
      <c r="B1253" s="153" t="s">
        <v>436</v>
      </c>
      <c r="C1253" s="154" t="str">
        <f t="shared" si="2061"/>
        <v>PIU0003</v>
      </c>
      <c r="D1253" s="154" t="s">
        <v>3554</v>
      </c>
      <c r="E1253" s="155" t="s">
        <v>4025</v>
      </c>
      <c r="F1253" s="154"/>
      <c r="G1253" s="154" t="s">
        <v>1428</v>
      </c>
      <c r="H1253" s="152">
        <v>39397.43</v>
      </c>
      <c r="I1253" s="152">
        <v>39397.43</v>
      </c>
      <c r="J1253" s="156"/>
      <c r="K1253" s="156"/>
      <c r="L1253" s="156">
        <f t="shared" si="2062"/>
        <v>0</v>
      </c>
      <c r="M1253" s="156">
        <f t="shared" si="2063"/>
        <v>0</v>
      </c>
      <c r="N1253" s="156" t="s">
        <v>83</v>
      </c>
      <c r="O1253" s="157" cm="1">
        <f t="array" ref="O1253">TRUNC($H1253*(1+_xlfn.SWITCH($N1253,"BDI 1",$O$6,"BDI 2",$O$7,"BDI 3",$O$8)),2)</f>
        <v>47552.69</v>
      </c>
      <c r="P1253" s="157" cm="1">
        <f t="array" ref="P1253">TRUNC($I1253*(1+_xlfn.SWITCH($N1253,"BDI 1",$P$6,"BDI 2",$P$7,"BDI 3",$P$8)),2)</f>
        <v>49932.3</v>
      </c>
      <c r="Q1253" s="157">
        <v>0</v>
      </c>
      <c r="R1253" s="157">
        <f t="shared" si="2064"/>
        <v>0</v>
      </c>
      <c r="S1253" s="156">
        <f t="shared" si="2065"/>
        <v>0</v>
      </c>
      <c r="T1253" s="156">
        <f t="shared" si="2066"/>
        <v>0</v>
      </c>
      <c r="U1253" s="156">
        <f t="shared" si="2067"/>
        <v>0</v>
      </c>
      <c r="V1253" s="156">
        <f t="shared" si="2068"/>
        <v>0</v>
      </c>
      <c r="W1253" s="156">
        <f t="shared" si="2058"/>
        <v>0</v>
      </c>
      <c r="X1253" s="158">
        <f t="shared" ref="X1253" si="2118">$S1253/ORCAMENTO_VALOR_TOTAL_ND</f>
        <v>0</v>
      </c>
      <c r="Y1253" s="158">
        <f t="shared" ref="Y1253" si="2119">$T1253/ORCAMENTO_VALOR_TOTAL_DE</f>
        <v>0</v>
      </c>
      <c r="Z1253" s="158" cm="1">
        <f t="array" ref="Z1253">_xlfn.SWITCH($N1253,"BDI 1",$O$6,"BDI 2",$O$7,"BDI 3",$O$8)</f>
        <v>0.20699999999999999</v>
      </c>
      <c r="AA1253" s="158" cm="1">
        <f t="array" ref="AA1253">_xlfn.SWITCH($N1253,"BDI 1",$P$6,"BDI 2",$P$7,"BDI 3",$P$8)</f>
        <v>0.26739999999999997</v>
      </c>
      <c r="AB1253" s="158">
        <f t="shared" ca="1" si="2071"/>
        <v>0</v>
      </c>
      <c r="AC1253" s="158">
        <f t="shared" ca="1" si="2072"/>
        <v>0</v>
      </c>
      <c r="AD1253" s="164"/>
      <c r="AE1253" s="148">
        <f t="shared" si="2059"/>
        <v>0</v>
      </c>
      <c r="AF1253" s="149"/>
      <c r="AG1253" s="150"/>
      <c r="AH1253" s="159" t="e">
        <f t="shared" si="2103"/>
        <v>#DIV/0!</v>
      </c>
      <c r="AI1253" s="160"/>
      <c r="AJ1253" s="105"/>
      <c r="AK1253" s="105"/>
      <c r="AM1253" s="105"/>
      <c r="AN1253" s="105"/>
      <c r="AO1253" s="105"/>
      <c r="AP1253" s="105"/>
      <c r="AQ1253" s="105"/>
      <c r="AR1253" s="105"/>
    </row>
    <row r="1254" spans="1:44" s="49" customFormat="1" ht="40.15" hidden="1" customHeight="1">
      <c r="A1254" s="152">
        <f t="shared" ca="1" si="2060"/>
        <v>0</v>
      </c>
      <c r="B1254" s="153" t="s">
        <v>437</v>
      </c>
      <c r="C1254" s="154" t="str">
        <f t="shared" si="2061"/>
        <v>PIU0014</v>
      </c>
      <c r="D1254" s="154" t="s">
        <v>3554</v>
      </c>
      <c r="E1254" s="155" t="s">
        <v>4026</v>
      </c>
      <c r="F1254" s="154"/>
      <c r="G1254" s="154" t="s">
        <v>1285</v>
      </c>
      <c r="H1254" s="152">
        <v>3381.93</v>
      </c>
      <c r="I1254" s="152">
        <v>3381.93</v>
      </c>
      <c r="J1254" s="156"/>
      <c r="K1254" s="156"/>
      <c r="L1254" s="156">
        <f t="shared" si="2062"/>
        <v>0</v>
      </c>
      <c r="M1254" s="156">
        <f t="shared" si="2063"/>
        <v>0</v>
      </c>
      <c r="N1254" s="156" t="s">
        <v>83</v>
      </c>
      <c r="O1254" s="157" cm="1">
        <f t="array" ref="O1254">TRUNC($H1254*(1+_xlfn.SWITCH($N1254,"BDI 1",$O$6,"BDI 2",$O$7,"BDI 3",$O$8)),2)</f>
        <v>4081.98</v>
      </c>
      <c r="P1254" s="157" cm="1">
        <f t="array" ref="P1254">TRUNC($I1254*(1+_xlfn.SWITCH($N1254,"BDI 1",$P$6,"BDI 2",$P$7,"BDI 3",$P$8)),2)</f>
        <v>4286.25</v>
      </c>
      <c r="Q1254" s="157">
        <v>0</v>
      </c>
      <c r="R1254" s="157">
        <f t="shared" si="2064"/>
        <v>0</v>
      </c>
      <c r="S1254" s="156">
        <f t="shared" si="2065"/>
        <v>0</v>
      </c>
      <c r="T1254" s="156">
        <f t="shared" si="2066"/>
        <v>0</v>
      </c>
      <c r="U1254" s="156">
        <f t="shared" si="2067"/>
        <v>0</v>
      </c>
      <c r="V1254" s="156">
        <f t="shared" si="2068"/>
        <v>0</v>
      </c>
      <c r="W1254" s="156">
        <f t="shared" si="2058"/>
        <v>0</v>
      </c>
      <c r="X1254" s="158">
        <f t="shared" ref="X1254" si="2120">$S1254/ORCAMENTO_VALOR_TOTAL_ND</f>
        <v>0</v>
      </c>
      <c r="Y1254" s="158">
        <f t="shared" ref="Y1254" si="2121">$T1254/ORCAMENTO_VALOR_TOTAL_DE</f>
        <v>0</v>
      </c>
      <c r="Z1254" s="158" cm="1">
        <f t="array" ref="Z1254">_xlfn.SWITCH($N1254,"BDI 1",$O$6,"BDI 2",$O$7,"BDI 3",$O$8)</f>
        <v>0.20699999999999999</v>
      </c>
      <c r="AA1254" s="158" cm="1">
        <f t="array" ref="AA1254">_xlfn.SWITCH($N1254,"BDI 1",$P$6,"BDI 2",$P$7,"BDI 3",$P$8)</f>
        <v>0.26739999999999997</v>
      </c>
      <c r="AB1254" s="158">
        <f t="shared" ca="1" si="2071"/>
        <v>0</v>
      </c>
      <c r="AC1254" s="158">
        <f t="shared" ca="1" si="2072"/>
        <v>0</v>
      </c>
      <c r="AD1254" s="164"/>
      <c r="AE1254" s="148">
        <f t="shared" si="2059"/>
        <v>0</v>
      </c>
      <c r="AF1254" s="149"/>
      <c r="AG1254" s="150"/>
      <c r="AH1254" s="159" t="e">
        <f t="shared" si="2103"/>
        <v>#DIV/0!</v>
      </c>
      <c r="AI1254" s="160"/>
      <c r="AJ1254" s="105"/>
      <c r="AK1254" s="105"/>
      <c r="AM1254" s="105"/>
      <c r="AN1254" s="105"/>
      <c r="AO1254" s="105"/>
      <c r="AP1254" s="105"/>
      <c r="AQ1254" s="105"/>
      <c r="AR1254" s="105"/>
    </row>
    <row r="1255" spans="1:44" s="49" customFormat="1" ht="40.15" hidden="1" customHeight="1">
      <c r="A1255" s="152">
        <f t="shared" ca="1" si="2060"/>
        <v>0</v>
      </c>
      <c r="B1255" s="153" t="s">
        <v>438</v>
      </c>
      <c r="C1255" s="154" t="str">
        <f t="shared" si="2061"/>
        <v>PIU0015</v>
      </c>
      <c r="D1255" s="154" t="s">
        <v>3554</v>
      </c>
      <c r="E1255" s="155" t="s">
        <v>4027</v>
      </c>
      <c r="F1255" s="154"/>
      <c r="G1255" s="154" t="s">
        <v>1285</v>
      </c>
      <c r="H1255" s="152">
        <v>3819.35</v>
      </c>
      <c r="I1255" s="152">
        <v>3819.35</v>
      </c>
      <c r="J1255" s="156"/>
      <c r="K1255" s="156"/>
      <c r="L1255" s="156">
        <f t="shared" si="2062"/>
        <v>0</v>
      </c>
      <c r="M1255" s="156">
        <f t="shared" si="2063"/>
        <v>0</v>
      </c>
      <c r="N1255" s="156" t="s">
        <v>83</v>
      </c>
      <c r="O1255" s="157" cm="1">
        <f t="array" ref="O1255">TRUNC($H1255*(1+_xlfn.SWITCH($N1255,"BDI 1",$O$6,"BDI 2",$O$7,"BDI 3",$O$8)),2)</f>
        <v>4609.95</v>
      </c>
      <c r="P1255" s="157" cm="1">
        <f t="array" ref="P1255">TRUNC($I1255*(1+_xlfn.SWITCH($N1255,"BDI 1",$P$6,"BDI 2",$P$7,"BDI 3",$P$8)),2)</f>
        <v>4840.6400000000003</v>
      </c>
      <c r="Q1255" s="157">
        <v>0</v>
      </c>
      <c r="R1255" s="157">
        <f t="shared" si="2064"/>
        <v>0</v>
      </c>
      <c r="S1255" s="156">
        <f t="shared" si="2065"/>
        <v>0</v>
      </c>
      <c r="T1255" s="156">
        <f t="shared" si="2066"/>
        <v>0</v>
      </c>
      <c r="U1255" s="156">
        <f t="shared" si="2067"/>
        <v>0</v>
      </c>
      <c r="V1255" s="156">
        <f t="shared" si="2068"/>
        <v>0</v>
      </c>
      <c r="W1255" s="156">
        <f t="shared" si="2058"/>
        <v>0</v>
      </c>
      <c r="X1255" s="158">
        <f t="shared" ref="X1255" si="2122">$S1255/ORCAMENTO_VALOR_TOTAL_ND</f>
        <v>0</v>
      </c>
      <c r="Y1255" s="158">
        <f t="shared" ref="Y1255" si="2123">$T1255/ORCAMENTO_VALOR_TOTAL_DE</f>
        <v>0</v>
      </c>
      <c r="Z1255" s="158" cm="1">
        <f t="array" ref="Z1255">_xlfn.SWITCH($N1255,"BDI 1",$O$6,"BDI 2",$O$7,"BDI 3",$O$8)</f>
        <v>0.20699999999999999</v>
      </c>
      <c r="AA1255" s="158" cm="1">
        <f t="array" ref="AA1255">_xlfn.SWITCH($N1255,"BDI 1",$P$6,"BDI 2",$P$7,"BDI 3",$P$8)</f>
        <v>0.26739999999999997</v>
      </c>
      <c r="AB1255" s="158">
        <f t="shared" ca="1" si="2071"/>
        <v>0</v>
      </c>
      <c r="AC1255" s="158">
        <f t="shared" ca="1" si="2072"/>
        <v>0</v>
      </c>
      <c r="AD1255" s="164"/>
      <c r="AE1255" s="148">
        <f t="shared" si="2059"/>
        <v>0</v>
      </c>
      <c r="AF1255" s="149"/>
      <c r="AG1255" s="150"/>
      <c r="AH1255" s="159" t="e">
        <f t="shared" si="2103"/>
        <v>#DIV/0!</v>
      </c>
      <c r="AI1255" s="160"/>
      <c r="AJ1255" s="105"/>
      <c r="AK1255" s="105"/>
      <c r="AM1255" s="105"/>
      <c r="AN1255" s="105"/>
      <c r="AO1255" s="105"/>
      <c r="AP1255" s="105"/>
      <c r="AQ1255" s="105"/>
      <c r="AR1255" s="105"/>
    </row>
    <row r="1256" spans="1:44" s="49" customFormat="1" ht="40.15" hidden="1" customHeight="1">
      <c r="A1256" s="152">
        <f t="shared" ca="1" si="2060"/>
        <v>0</v>
      </c>
      <c r="B1256" s="153" t="s">
        <v>439</v>
      </c>
      <c r="C1256" s="154" t="str">
        <f t="shared" si="2061"/>
        <v>PRIU003</v>
      </c>
      <c r="D1256" s="154" t="s">
        <v>3554</v>
      </c>
      <c r="E1256" s="155" t="s">
        <v>4028</v>
      </c>
      <c r="F1256" s="154"/>
      <c r="G1256" s="154" t="s">
        <v>4029</v>
      </c>
      <c r="H1256" s="152">
        <v>335.01</v>
      </c>
      <c r="I1256" s="152">
        <v>335.01</v>
      </c>
      <c r="J1256" s="156"/>
      <c r="K1256" s="156"/>
      <c r="L1256" s="156">
        <f t="shared" si="2062"/>
        <v>0</v>
      </c>
      <c r="M1256" s="156">
        <f t="shared" si="2063"/>
        <v>0</v>
      </c>
      <c r="N1256" s="156" t="s">
        <v>83</v>
      </c>
      <c r="O1256" s="157" cm="1">
        <f t="array" ref="O1256">TRUNC($H1256*(1+_xlfn.SWITCH($N1256,"BDI 1",$O$6,"BDI 2",$O$7,"BDI 3",$O$8)),2)</f>
        <v>404.35</v>
      </c>
      <c r="P1256" s="157" cm="1">
        <f t="array" ref="P1256">TRUNC($I1256*(1+_xlfn.SWITCH($N1256,"BDI 1",$P$6,"BDI 2",$P$7,"BDI 3",$P$8)),2)</f>
        <v>424.59</v>
      </c>
      <c r="Q1256" s="157">
        <v>0</v>
      </c>
      <c r="R1256" s="157">
        <f t="shared" si="2064"/>
        <v>0</v>
      </c>
      <c r="S1256" s="156">
        <f t="shared" si="2065"/>
        <v>0</v>
      </c>
      <c r="T1256" s="156">
        <f t="shared" si="2066"/>
        <v>0</v>
      </c>
      <c r="U1256" s="156">
        <f t="shared" si="2067"/>
        <v>0</v>
      </c>
      <c r="V1256" s="156">
        <f t="shared" si="2068"/>
        <v>0</v>
      </c>
      <c r="W1256" s="156">
        <f t="shared" si="2058"/>
        <v>0</v>
      </c>
      <c r="X1256" s="158">
        <f t="shared" ref="X1256" si="2124">$S1256/ORCAMENTO_VALOR_TOTAL_ND</f>
        <v>0</v>
      </c>
      <c r="Y1256" s="158">
        <f t="shared" ref="Y1256" si="2125">$T1256/ORCAMENTO_VALOR_TOTAL_DE</f>
        <v>0</v>
      </c>
      <c r="Z1256" s="158" cm="1">
        <f t="array" ref="Z1256">_xlfn.SWITCH($N1256,"BDI 1",$O$6,"BDI 2",$O$7,"BDI 3",$O$8)</f>
        <v>0.20699999999999999</v>
      </c>
      <c r="AA1256" s="158" cm="1">
        <f t="array" ref="AA1256">_xlfn.SWITCH($N1256,"BDI 1",$P$6,"BDI 2",$P$7,"BDI 3",$P$8)</f>
        <v>0.26739999999999997</v>
      </c>
      <c r="AB1256" s="158">
        <f t="shared" ca="1" si="2071"/>
        <v>0</v>
      </c>
      <c r="AC1256" s="158">
        <f t="shared" ca="1" si="2072"/>
        <v>0</v>
      </c>
      <c r="AD1256" s="164"/>
      <c r="AE1256" s="148">
        <f t="shared" si="2059"/>
        <v>0</v>
      </c>
      <c r="AF1256" s="149"/>
      <c r="AG1256" s="150"/>
      <c r="AH1256" s="159" t="e">
        <f t="shared" si="2103"/>
        <v>#DIV/0!</v>
      </c>
      <c r="AI1256" s="160"/>
      <c r="AJ1256" s="105"/>
      <c r="AK1256" s="105"/>
      <c r="AM1256" s="105"/>
      <c r="AN1256" s="105"/>
      <c r="AO1256" s="105"/>
      <c r="AP1256" s="105"/>
      <c r="AQ1256" s="105"/>
      <c r="AR1256" s="105"/>
    </row>
    <row r="1257" spans="1:44" s="49" customFormat="1" ht="49.9" hidden="1" customHeight="1">
      <c r="A1257" s="152">
        <f t="shared" ca="1" si="2060"/>
        <v>0</v>
      </c>
      <c r="B1257" s="153" t="s">
        <v>440</v>
      </c>
      <c r="C1257" s="154" t="str">
        <f t="shared" si="2061"/>
        <v>PRIU002</v>
      </c>
      <c r="D1257" s="154" t="s">
        <v>3554</v>
      </c>
      <c r="E1257" s="155" t="s">
        <v>4030</v>
      </c>
      <c r="F1257" s="154"/>
      <c r="G1257" s="154" t="s">
        <v>1414</v>
      </c>
      <c r="H1257" s="152">
        <v>2.1</v>
      </c>
      <c r="I1257" s="152">
        <v>2.1</v>
      </c>
      <c r="J1257" s="156"/>
      <c r="K1257" s="156"/>
      <c r="L1257" s="156">
        <f t="shared" si="2062"/>
        <v>0</v>
      </c>
      <c r="M1257" s="156">
        <f t="shared" si="2063"/>
        <v>0</v>
      </c>
      <c r="N1257" s="156" t="s">
        <v>83</v>
      </c>
      <c r="O1257" s="157" cm="1">
        <f t="array" ref="O1257">TRUNC($H1257*(1+_xlfn.SWITCH($N1257,"BDI 1",$O$6,"BDI 2",$O$7,"BDI 3",$O$8)),2)</f>
        <v>2.5299999999999998</v>
      </c>
      <c r="P1257" s="157" cm="1">
        <f t="array" ref="P1257">TRUNC($I1257*(1+_xlfn.SWITCH($N1257,"BDI 1",$P$6,"BDI 2",$P$7,"BDI 3",$P$8)),2)</f>
        <v>2.66</v>
      </c>
      <c r="Q1257" s="157">
        <v>0</v>
      </c>
      <c r="R1257" s="157">
        <f t="shared" si="2064"/>
        <v>0</v>
      </c>
      <c r="S1257" s="156">
        <f t="shared" si="2065"/>
        <v>0</v>
      </c>
      <c r="T1257" s="156">
        <f t="shared" si="2066"/>
        <v>0</v>
      </c>
      <c r="U1257" s="156">
        <f t="shared" si="2067"/>
        <v>0</v>
      </c>
      <c r="V1257" s="156">
        <f t="shared" si="2068"/>
        <v>0</v>
      </c>
      <c r="W1257" s="156">
        <f t="shared" si="2058"/>
        <v>0</v>
      </c>
      <c r="X1257" s="158">
        <f t="shared" ref="X1257" si="2126">$S1257/ORCAMENTO_VALOR_TOTAL_ND</f>
        <v>0</v>
      </c>
      <c r="Y1257" s="158">
        <f t="shared" ref="Y1257" si="2127">$T1257/ORCAMENTO_VALOR_TOTAL_DE</f>
        <v>0</v>
      </c>
      <c r="Z1257" s="158" cm="1">
        <f t="array" ref="Z1257">_xlfn.SWITCH($N1257,"BDI 1",$O$6,"BDI 2",$O$7,"BDI 3",$O$8)</f>
        <v>0.20699999999999999</v>
      </c>
      <c r="AA1257" s="158" cm="1">
        <f t="array" ref="AA1257">_xlfn.SWITCH($N1257,"BDI 1",$P$6,"BDI 2",$P$7,"BDI 3",$P$8)</f>
        <v>0.26739999999999997</v>
      </c>
      <c r="AB1257" s="158">
        <f t="shared" ca="1" si="2071"/>
        <v>0</v>
      </c>
      <c r="AC1257" s="158">
        <f t="shared" ca="1" si="2072"/>
        <v>0</v>
      </c>
      <c r="AD1257" s="164"/>
      <c r="AE1257" s="148">
        <f t="shared" si="2059"/>
        <v>0</v>
      </c>
      <c r="AF1257" s="149"/>
      <c r="AG1257" s="150"/>
      <c r="AH1257" s="159" t="e">
        <f t="shared" si="2103"/>
        <v>#DIV/0!</v>
      </c>
      <c r="AI1257" s="160"/>
      <c r="AJ1257" s="105"/>
      <c r="AK1257" s="105"/>
      <c r="AM1257" s="105"/>
      <c r="AN1257" s="105"/>
      <c r="AO1257" s="105"/>
      <c r="AP1257" s="105"/>
      <c r="AQ1257" s="105"/>
      <c r="AR1257" s="105"/>
    </row>
    <row r="1258" spans="1:44" s="49" customFormat="1" ht="40.15" hidden="1" customHeight="1">
      <c r="A1258" s="152">
        <f t="shared" ca="1" si="2060"/>
        <v>0</v>
      </c>
      <c r="B1258" s="153" t="s">
        <v>441</v>
      </c>
      <c r="C1258" s="154" t="str">
        <f t="shared" si="2061"/>
        <v>PIP001</v>
      </c>
      <c r="D1258" s="154" t="s">
        <v>3554</v>
      </c>
      <c r="E1258" s="155" t="s">
        <v>4031</v>
      </c>
      <c r="F1258" s="154"/>
      <c r="G1258" s="154" t="s">
        <v>1285</v>
      </c>
      <c r="H1258" s="152">
        <v>3780.24</v>
      </c>
      <c r="I1258" s="152">
        <v>3780.24</v>
      </c>
      <c r="J1258" s="156"/>
      <c r="K1258" s="156"/>
      <c r="L1258" s="156">
        <f t="shared" si="2062"/>
        <v>0</v>
      </c>
      <c r="M1258" s="156">
        <f t="shared" si="2063"/>
        <v>0</v>
      </c>
      <c r="N1258" s="156" t="s">
        <v>83</v>
      </c>
      <c r="O1258" s="157" cm="1">
        <f t="array" ref="O1258">TRUNC($H1258*(1+_xlfn.SWITCH($N1258,"BDI 1",$O$6,"BDI 2",$O$7,"BDI 3",$O$8)),2)</f>
        <v>4562.74</v>
      </c>
      <c r="P1258" s="157" cm="1">
        <f t="array" ref="P1258">TRUNC($I1258*(1+_xlfn.SWITCH($N1258,"BDI 1",$P$6,"BDI 2",$P$7,"BDI 3",$P$8)),2)</f>
        <v>4791.07</v>
      </c>
      <c r="Q1258" s="157">
        <v>0</v>
      </c>
      <c r="R1258" s="157">
        <f t="shared" si="2064"/>
        <v>0</v>
      </c>
      <c r="S1258" s="156">
        <f t="shared" si="2065"/>
        <v>0</v>
      </c>
      <c r="T1258" s="156">
        <f t="shared" si="2066"/>
        <v>0</v>
      </c>
      <c r="U1258" s="156">
        <f t="shared" si="2067"/>
        <v>0</v>
      </c>
      <c r="V1258" s="156">
        <f t="shared" si="2068"/>
        <v>0</v>
      </c>
      <c r="W1258" s="156">
        <f t="shared" si="2058"/>
        <v>0</v>
      </c>
      <c r="X1258" s="158">
        <f t="shared" ref="X1258" si="2128">$S1258/ORCAMENTO_VALOR_TOTAL_ND</f>
        <v>0</v>
      </c>
      <c r="Y1258" s="158">
        <f t="shared" ref="Y1258" si="2129">$T1258/ORCAMENTO_VALOR_TOTAL_DE</f>
        <v>0</v>
      </c>
      <c r="Z1258" s="158" cm="1">
        <f t="array" ref="Z1258">_xlfn.SWITCH($N1258,"BDI 1",$O$6,"BDI 2",$O$7,"BDI 3",$O$8)</f>
        <v>0.20699999999999999</v>
      </c>
      <c r="AA1258" s="158" cm="1">
        <f t="array" ref="AA1258">_xlfn.SWITCH($N1258,"BDI 1",$P$6,"BDI 2",$P$7,"BDI 3",$P$8)</f>
        <v>0.26739999999999997</v>
      </c>
      <c r="AB1258" s="158">
        <f t="shared" ca="1" si="2071"/>
        <v>0</v>
      </c>
      <c r="AC1258" s="158">
        <f t="shared" ca="1" si="2072"/>
        <v>0</v>
      </c>
      <c r="AD1258" s="164"/>
      <c r="AE1258" s="148">
        <f t="shared" si="2059"/>
        <v>0</v>
      </c>
      <c r="AF1258" s="149"/>
      <c r="AG1258" s="150"/>
      <c r="AH1258" s="159" t="e">
        <f t="shared" si="2103"/>
        <v>#DIV/0!</v>
      </c>
      <c r="AI1258" s="160"/>
      <c r="AJ1258" s="105"/>
      <c r="AK1258" s="105"/>
      <c r="AM1258" s="105"/>
      <c r="AN1258" s="105"/>
      <c r="AO1258" s="105"/>
      <c r="AP1258" s="105"/>
      <c r="AQ1258" s="105"/>
      <c r="AR1258" s="105"/>
    </row>
    <row r="1259" spans="1:44" s="49" customFormat="1" ht="49.9" hidden="1" customHeight="1">
      <c r="A1259" s="152">
        <f t="shared" ca="1" si="2060"/>
        <v>0</v>
      </c>
      <c r="B1259" s="153" t="s">
        <v>442</v>
      </c>
      <c r="C1259" s="154" t="str">
        <f t="shared" si="2061"/>
        <v>PEPC001</v>
      </c>
      <c r="D1259" s="154" t="s">
        <v>3554</v>
      </c>
      <c r="E1259" s="155" t="s">
        <v>4032</v>
      </c>
      <c r="F1259" s="154"/>
      <c r="G1259" s="154" t="s">
        <v>1414</v>
      </c>
      <c r="H1259" s="152">
        <v>126.24</v>
      </c>
      <c r="I1259" s="152">
        <v>126.24</v>
      </c>
      <c r="J1259" s="156"/>
      <c r="K1259" s="156"/>
      <c r="L1259" s="156">
        <f t="shared" si="2062"/>
        <v>0</v>
      </c>
      <c r="M1259" s="156">
        <f t="shared" si="2063"/>
        <v>0</v>
      </c>
      <c r="N1259" s="156" t="s">
        <v>83</v>
      </c>
      <c r="O1259" s="157" cm="1">
        <f t="array" ref="O1259">TRUNC($H1259*(1+_xlfn.SWITCH($N1259,"BDI 1",$O$6,"BDI 2",$O$7,"BDI 3",$O$8)),2)</f>
        <v>152.37</v>
      </c>
      <c r="P1259" s="157" cm="1">
        <f t="array" ref="P1259">TRUNC($I1259*(1+_xlfn.SWITCH($N1259,"BDI 1",$P$6,"BDI 2",$P$7,"BDI 3",$P$8)),2)</f>
        <v>159.99</v>
      </c>
      <c r="Q1259" s="157">
        <v>0</v>
      </c>
      <c r="R1259" s="157">
        <f t="shared" si="2064"/>
        <v>0</v>
      </c>
      <c r="S1259" s="156">
        <f t="shared" si="2065"/>
        <v>0</v>
      </c>
      <c r="T1259" s="156">
        <f t="shared" si="2066"/>
        <v>0</v>
      </c>
      <c r="U1259" s="156">
        <f t="shared" si="2067"/>
        <v>0</v>
      </c>
      <c r="V1259" s="156">
        <f t="shared" si="2068"/>
        <v>0</v>
      </c>
      <c r="W1259" s="156">
        <f t="shared" si="2058"/>
        <v>0</v>
      </c>
      <c r="X1259" s="158">
        <f t="shared" ref="X1259" si="2130">$S1259/ORCAMENTO_VALOR_TOTAL_ND</f>
        <v>0</v>
      </c>
      <c r="Y1259" s="158">
        <f t="shared" ref="Y1259" si="2131">$T1259/ORCAMENTO_VALOR_TOTAL_DE</f>
        <v>0</v>
      </c>
      <c r="Z1259" s="158" cm="1">
        <f t="array" ref="Z1259">_xlfn.SWITCH($N1259,"BDI 1",$O$6,"BDI 2",$O$7,"BDI 3",$O$8)</f>
        <v>0.20699999999999999</v>
      </c>
      <c r="AA1259" s="158" cm="1">
        <f t="array" ref="AA1259">_xlfn.SWITCH($N1259,"BDI 1",$P$6,"BDI 2",$P$7,"BDI 3",$P$8)</f>
        <v>0.26739999999999997</v>
      </c>
      <c r="AB1259" s="158">
        <f t="shared" ca="1" si="2071"/>
        <v>0</v>
      </c>
      <c r="AC1259" s="158">
        <f t="shared" ca="1" si="2072"/>
        <v>0</v>
      </c>
      <c r="AD1259" s="164"/>
      <c r="AE1259" s="148">
        <f t="shared" si="2059"/>
        <v>0</v>
      </c>
      <c r="AF1259" s="149"/>
      <c r="AG1259" s="150"/>
      <c r="AH1259" s="159" t="e">
        <f t="shared" si="2103"/>
        <v>#DIV/0!</v>
      </c>
      <c r="AI1259" s="160"/>
      <c r="AJ1259" s="105"/>
      <c r="AK1259" s="105"/>
      <c r="AM1259" s="105"/>
      <c r="AN1259" s="105"/>
      <c r="AO1259" s="105"/>
      <c r="AP1259" s="105"/>
      <c r="AQ1259" s="105"/>
      <c r="AR1259" s="105"/>
    </row>
    <row r="1260" spans="1:44" s="49" customFormat="1" ht="60" hidden="1" customHeight="1">
      <c r="A1260" s="152">
        <f t="shared" ca="1" si="2060"/>
        <v>0</v>
      </c>
      <c r="B1260" s="153" t="s">
        <v>443</v>
      </c>
      <c r="C1260" s="154" t="str">
        <f t="shared" si="2061"/>
        <v>PIU0008</v>
      </c>
      <c r="D1260" s="154" t="s">
        <v>3554</v>
      </c>
      <c r="E1260" s="155" t="s">
        <v>4033</v>
      </c>
      <c r="F1260" s="154"/>
      <c r="G1260" s="154" t="s">
        <v>4007</v>
      </c>
      <c r="H1260" s="152">
        <v>11431.4</v>
      </c>
      <c r="I1260" s="152">
        <v>11431.4</v>
      </c>
      <c r="J1260" s="156"/>
      <c r="K1260" s="156"/>
      <c r="L1260" s="156">
        <f t="shared" si="2062"/>
        <v>0</v>
      </c>
      <c r="M1260" s="156">
        <f t="shared" si="2063"/>
        <v>0</v>
      </c>
      <c r="N1260" s="156" t="s">
        <v>83</v>
      </c>
      <c r="O1260" s="157" cm="1">
        <f t="array" ref="O1260">TRUNC($H1260*(1+_xlfn.SWITCH($N1260,"BDI 1",$O$6,"BDI 2",$O$7,"BDI 3",$O$8)),2)</f>
        <v>13797.69</v>
      </c>
      <c r="P1260" s="157" cm="1">
        <f t="array" ref="P1260">TRUNC($I1260*(1+_xlfn.SWITCH($N1260,"BDI 1",$P$6,"BDI 2",$P$7,"BDI 3",$P$8)),2)</f>
        <v>14488.15</v>
      </c>
      <c r="Q1260" s="157">
        <v>0</v>
      </c>
      <c r="R1260" s="157">
        <f t="shared" si="2064"/>
        <v>0</v>
      </c>
      <c r="S1260" s="156">
        <f t="shared" si="2065"/>
        <v>0</v>
      </c>
      <c r="T1260" s="156">
        <f t="shared" si="2066"/>
        <v>0</v>
      </c>
      <c r="U1260" s="156">
        <f t="shared" si="2067"/>
        <v>0</v>
      </c>
      <c r="V1260" s="156">
        <f t="shared" si="2068"/>
        <v>0</v>
      </c>
      <c r="W1260" s="156">
        <f t="shared" si="2058"/>
        <v>0</v>
      </c>
      <c r="X1260" s="158">
        <f t="shared" ref="X1260" si="2132">$S1260/ORCAMENTO_VALOR_TOTAL_ND</f>
        <v>0</v>
      </c>
      <c r="Y1260" s="158">
        <f t="shared" ref="Y1260" si="2133">$T1260/ORCAMENTO_VALOR_TOTAL_DE</f>
        <v>0</v>
      </c>
      <c r="Z1260" s="158" cm="1">
        <f t="array" ref="Z1260">_xlfn.SWITCH($N1260,"BDI 1",$O$6,"BDI 2",$O$7,"BDI 3",$O$8)</f>
        <v>0.20699999999999999</v>
      </c>
      <c r="AA1260" s="158" cm="1">
        <f t="array" ref="AA1260">_xlfn.SWITCH($N1260,"BDI 1",$P$6,"BDI 2",$P$7,"BDI 3",$P$8)</f>
        <v>0.26739999999999997</v>
      </c>
      <c r="AB1260" s="158">
        <f t="shared" ca="1" si="2071"/>
        <v>0</v>
      </c>
      <c r="AC1260" s="158">
        <f t="shared" ca="1" si="2072"/>
        <v>0</v>
      </c>
      <c r="AD1260" s="164"/>
      <c r="AE1260" s="148">
        <f t="shared" si="2059"/>
        <v>0</v>
      </c>
      <c r="AF1260" s="149"/>
      <c r="AG1260" s="150"/>
      <c r="AH1260" s="159" t="e">
        <f t="shared" si="2103"/>
        <v>#DIV/0!</v>
      </c>
      <c r="AI1260" s="160"/>
      <c r="AJ1260" s="105"/>
      <c r="AK1260" s="105"/>
      <c r="AM1260" s="105"/>
      <c r="AN1260" s="105"/>
      <c r="AO1260" s="105"/>
      <c r="AP1260" s="105"/>
      <c r="AQ1260" s="105"/>
      <c r="AR1260" s="105"/>
    </row>
    <row r="1261" spans="1:44" s="49" customFormat="1" ht="49.9" hidden="1" customHeight="1">
      <c r="A1261" s="152">
        <f t="shared" ca="1" si="2060"/>
        <v>0</v>
      </c>
      <c r="B1261" s="153" t="s">
        <v>444</v>
      </c>
      <c r="C1261" s="154" t="str">
        <f t="shared" si="2061"/>
        <v>PIU0011</v>
      </c>
      <c r="D1261" s="154" t="s">
        <v>3554</v>
      </c>
      <c r="E1261" s="155" t="s">
        <v>4034</v>
      </c>
      <c r="F1261" s="154"/>
      <c r="G1261" s="154" t="s">
        <v>1423</v>
      </c>
      <c r="H1261" s="152">
        <v>2.29</v>
      </c>
      <c r="I1261" s="152">
        <v>2.29</v>
      </c>
      <c r="J1261" s="156"/>
      <c r="K1261" s="156"/>
      <c r="L1261" s="156">
        <f t="shared" si="2062"/>
        <v>0</v>
      </c>
      <c r="M1261" s="156">
        <f t="shared" si="2063"/>
        <v>0</v>
      </c>
      <c r="N1261" s="156" t="s">
        <v>83</v>
      </c>
      <c r="O1261" s="157" cm="1">
        <f t="array" ref="O1261">TRUNC($H1261*(1+_xlfn.SWITCH($N1261,"BDI 1",$O$6,"BDI 2",$O$7,"BDI 3",$O$8)),2)</f>
        <v>2.76</v>
      </c>
      <c r="P1261" s="157" cm="1">
        <f t="array" ref="P1261">TRUNC($I1261*(1+_xlfn.SWITCH($N1261,"BDI 1",$P$6,"BDI 2",$P$7,"BDI 3",$P$8)),2)</f>
        <v>2.9</v>
      </c>
      <c r="Q1261" s="157">
        <v>0</v>
      </c>
      <c r="R1261" s="157">
        <f t="shared" si="2064"/>
        <v>0</v>
      </c>
      <c r="S1261" s="156">
        <f t="shared" si="2065"/>
        <v>0</v>
      </c>
      <c r="T1261" s="156">
        <f t="shared" si="2066"/>
        <v>0</v>
      </c>
      <c r="U1261" s="156">
        <f t="shared" si="2067"/>
        <v>0</v>
      </c>
      <c r="V1261" s="156">
        <f t="shared" si="2068"/>
        <v>0</v>
      </c>
      <c r="W1261" s="156">
        <f t="shared" si="2058"/>
        <v>0</v>
      </c>
      <c r="X1261" s="158">
        <f t="shared" ref="X1261" si="2134">$S1261/ORCAMENTO_VALOR_TOTAL_ND</f>
        <v>0</v>
      </c>
      <c r="Y1261" s="158">
        <f t="shared" ref="Y1261" si="2135">$T1261/ORCAMENTO_VALOR_TOTAL_DE</f>
        <v>0</v>
      </c>
      <c r="Z1261" s="158" cm="1">
        <f t="array" ref="Z1261">_xlfn.SWITCH($N1261,"BDI 1",$O$6,"BDI 2",$O$7,"BDI 3",$O$8)</f>
        <v>0.20699999999999999</v>
      </c>
      <c r="AA1261" s="158" cm="1">
        <f t="array" ref="AA1261">_xlfn.SWITCH($N1261,"BDI 1",$P$6,"BDI 2",$P$7,"BDI 3",$P$8)</f>
        <v>0.26739999999999997</v>
      </c>
      <c r="AB1261" s="158">
        <f t="shared" ca="1" si="2071"/>
        <v>0</v>
      </c>
      <c r="AC1261" s="158">
        <f t="shared" ca="1" si="2072"/>
        <v>0</v>
      </c>
      <c r="AD1261" s="164"/>
      <c r="AE1261" s="148">
        <f t="shared" si="2059"/>
        <v>0</v>
      </c>
      <c r="AF1261" s="149"/>
      <c r="AG1261" s="150"/>
      <c r="AH1261" s="159" t="e">
        <f t="shared" si="2103"/>
        <v>#DIV/0!</v>
      </c>
      <c r="AI1261" s="160"/>
      <c r="AJ1261" s="105"/>
      <c r="AK1261" s="105"/>
      <c r="AM1261" s="105"/>
      <c r="AN1261" s="105"/>
      <c r="AO1261" s="105"/>
      <c r="AP1261" s="105"/>
      <c r="AQ1261" s="105"/>
      <c r="AR1261" s="105"/>
    </row>
    <row r="1262" spans="1:44" s="49" customFormat="1" ht="40.15" hidden="1" customHeight="1">
      <c r="A1262" s="152">
        <f t="shared" ca="1" si="2060"/>
        <v>0</v>
      </c>
      <c r="B1262" s="153" t="s">
        <v>445</v>
      </c>
      <c r="C1262" s="154" t="str">
        <f t="shared" si="2061"/>
        <v>PIU0005</v>
      </c>
      <c r="D1262" s="154" t="s">
        <v>3554</v>
      </c>
      <c r="E1262" s="155" t="s">
        <v>4035</v>
      </c>
      <c r="F1262" s="154"/>
      <c r="G1262" s="154" t="s">
        <v>1423</v>
      </c>
      <c r="H1262" s="152">
        <v>204.42</v>
      </c>
      <c r="I1262" s="152">
        <v>204.42</v>
      </c>
      <c r="J1262" s="156"/>
      <c r="K1262" s="156"/>
      <c r="L1262" s="156">
        <f t="shared" si="2062"/>
        <v>0</v>
      </c>
      <c r="M1262" s="156">
        <f t="shared" si="2063"/>
        <v>0</v>
      </c>
      <c r="N1262" s="156" t="s">
        <v>83</v>
      </c>
      <c r="O1262" s="157" cm="1">
        <f t="array" ref="O1262">TRUNC($H1262*(1+_xlfn.SWITCH($N1262,"BDI 1",$O$6,"BDI 2",$O$7,"BDI 3",$O$8)),2)</f>
        <v>246.73</v>
      </c>
      <c r="P1262" s="157" cm="1">
        <f t="array" ref="P1262">TRUNC($I1262*(1+_xlfn.SWITCH($N1262,"BDI 1",$P$6,"BDI 2",$P$7,"BDI 3",$P$8)),2)</f>
        <v>259.08</v>
      </c>
      <c r="Q1262" s="157">
        <v>0</v>
      </c>
      <c r="R1262" s="157">
        <f t="shared" si="2064"/>
        <v>0</v>
      </c>
      <c r="S1262" s="156">
        <f t="shared" si="2065"/>
        <v>0</v>
      </c>
      <c r="T1262" s="156">
        <f t="shared" si="2066"/>
        <v>0</v>
      </c>
      <c r="U1262" s="156">
        <f t="shared" si="2067"/>
        <v>0</v>
      </c>
      <c r="V1262" s="156">
        <f t="shared" si="2068"/>
        <v>0</v>
      </c>
      <c r="W1262" s="156">
        <f t="shared" si="2058"/>
        <v>0</v>
      </c>
      <c r="X1262" s="158">
        <f t="shared" ref="X1262" si="2136">$S1262/ORCAMENTO_VALOR_TOTAL_ND</f>
        <v>0</v>
      </c>
      <c r="Y1262" s="158">
        <f t="shared" ref="Y1262" si="2137">$T1262/ORCAMENTO_VALOR_TOTAL_DE</f>
        <v>0</v>
      </c>
      <c r="Z1262" s="158" cm="1">
        <f t="array" ref="Z1262">_xlfn.SWITCH($N1262,"BDI 1",$O$6,"BDI 2",$O$7,"BDI 3",$O$8)</f>
        <v>0.20699999999999999</v>
      </c>
      <c r="AA1262" s="158" cm="1">
        <f t="array" ref="AA1262">_xlfn.SWITCH($N1262,"BDI 1",$P$6,"BDI 2",$P$7,"BDI 3",$P$8)</f>
        <v>0.26739999999999997</v>
      </c>
      <c r="AB1262" s="158">
        <f t="shared" ca="1" si="2071"/>
        <v>0</v>
      </c>
      <c r="AC1262" s="158">
        <f t="shared" ca="1" si="2072"/>
        <v>0</v>
      </c>
      <c r="AD1262" s="164"/>
      <c r="AE1262" s="148">
        <f t="shared" si="2059"/>
        <v>0</v>
      </c>
      <c r="AF1262" s="149"/>
      <c r="AG1262" s="150"/>
      <c r="AH1262" s="159" t="e">
        <f t="shared" si="2103"/>
        <v>#DIV/0!</v>
      </c>
      <c r="AI1262" s="160"/>
      <c r="AJ1262" s="105"/>
      <c r="AK1262" s="105"/>
      <c r="AM1262" s="105"/>
      <c r="AN1262" s="105"/>
      <c r="AO1262" s="105"/>
      <c r="AP1262" s="105"/>
      <c r="AQ1262" s="105"/>
      <c r="AR1262" s="105"/>
    </row>
    <row r="1263" spans="1:44" s="49" customFormat="1" ht="40.15" hidden="1" customHeight="1">
      <c r="A1263" s="152">
        <f t="shared" ca="1" si="2060"/>
        <v>0</v>
      </c>
      <c r="B1263" s="153" t="s">
        <v>446</v>
      </c>
      <c r="C1263" s="154" t="str">
        <f t="shared" si="2061"/>
        <v>PIU0009</v>
      </c>
      <c r="D1263" s="154" t="s">
        <v>3554</v>
      </c>
      <c r="E1263" s="155" t="s">
        <v>4036</v>
      </c>
      <c r="F1263" s="154"/>
      <c r="G1263" s="154" t="s">
        <v>1414</v>
      </c>
      <c r="H1263" s="152">
        <v>12.56</v>
      </c>
      <c r="I1263" s="152">
        <v>12.56</v>
      </c>
      <c r="J1263" s="156"/>
      <c r="K1263" s="156"/>
      <c r="L1263" s="156">
        <f t="shared" si="2062"/>
        <v>0</v>
      </c>
      <c r="M1263" s="156">
        <f t="shared" si="2063"/>
        <v>0</v>
      </c>
      <c r="N1263" s="156" t="s">
        <v>83</v>
      </c>
      <c r="O1263" s="157" cm="1">
        <f t="array" ref="O1263">TRUNC($H1263*(1+_xlfn.SWITCH($N1263,"BDI 1",$O$6,"BDI 2",$O$7,"BDI 3",$O$8)),2)</f>
        <v>15.15</v>
      </c>
      <c r="P1263" s="157" cm="1">
        <f t="array" ref="P1263">TRUNC($I1263*(1+_xlfn.SWITCH($N1263,"BDI 1",$P$6,"BDI 2",$P$7,"BDI 3",$P$8)),2)</f>
        <v>15.91</v>
      </c>
      <c r="Q1263" s="157">
        <v>0</v>
      </c>
      <c r="R1263" s="157">
        <f t="shared" si="2064"/>
        <v>0</v>
      </c>
      <c r="S1263" s="156">
        <f t="shared" si="2065"/>
        <v>0</v>
      </c>
      <c r="T1263" s="156">
        <f t="shared" si="2066"/>
        <v>0</v>
      </c>
      <c r="U1263" s="156">
        <f t="shared" si="2067"/>
        <v>0</v>
      </c>
      <c r="V1263" s="156">
        <f t="shared" si="2068"/>
        <v>0</v>
      </c>
      <c r="W1263" s="156">
        <f t="shared" si="2058"/>
        <v>0</v>
      </c>
      <c r="X1263" s="158">
        <f t="shared" ref="X1263" si="2138">$S1263/ORCAMENTO_VALOR_TOTAL_ND</f>
        <v>0</v>
      </c>
      <c r="Y1263" s="158">
        <f t="shared" ref="Y1263" si="2139">$T1263/ORCAMENTO_VALOR_TOTAL_DE</f>
        <v>0</v>
      </c>
      <c r="Z1263" s="158" cm="1">
        <f t="array" ref="Z1263">_xlfn.SWITCH($N1263,"BDI 1",$O$6,"BDI 2",$O$7,"BDI 3",$O$8)</f>
        <v>0.20699999999999999</v>
      </c>
      <c r="AA1263" s="158" cm="1">
        <f t="array" ref="AA1263">_xlfn.SWITCH($N1263,"BDI 1",$P$6,"BDI 2",$P$7,"BDI 3",$P$8)</f>
        <v>0.26739999999999997</v>
      </c>
      <c r="AB1263" s="158">
        <f t="shared" ca="1" si="2071"/>
        <v>0</v>
      </c>
      <c r="AC1263" s="158">
        <f t="shared" ca="1" si="2072"/>
        <v>0</v>
      </c>
      <c r="AD1263" s="164"/>
      <c r="AE1263" s="148">
        <f t="shared" si="2059"/>
        <v>0</v>
      </c>
      <c r="AF1263" s="149"/>
      <c r="AG1263" s="150"/>
      <c r="AH1263" s="159" t="e">
        <f t="shared" si="2103"/>
        <v>#DIV/0!</v>
      </c>
      <c r="AI1263" s="160"/>
      <c r="AJ1263" s="105"/>
      <c r="AK1263" s="105"/>
      <c r="AM1263" s="105"/>
      <c r="AN1263" s="105"/>
      <c r="AO1263" s="105"/>
      <c r="AP1263" s="105"/>
      <c r="AQ1263" s="105"/>
      <c r="AR1263" s="105"/>
    </row>
    <row r="1264" spans="1:44" s="49" customFormat="1" ht="49.9" hidden="1" customHeight="1">
      <c r="A1264" s="152">
        <f t="shared" ca="1" si="2060"/>
        <v>0</v>
      </c>
      <c r="B1264" s="153" t="s">
        <v>447</v>
      </c>
      <c r="C1264" s="154" t="str">
        <f t="shared" si="2061"/>
        <v>PIU0010</v>
      </c>
      <c r="D1264" s="154" t="s">
        <v>3554</v>
      </c>
      <c r="E1264" s="155" t="s">
        <v>4037</v>
      </c>
      <c r="F1264" s="154"/>
      <c r="G1264" s="154" t="s">
        <v>1414</v>
      </c>
      <c r="H1264" s="152">
        <v>41.09</v>
      </c>
      <c r="I1264" s="152">
        <v>41.09</v>
      </c>
      <c r="J1264" s="156"/>
      <c r="K1264" s="156"/>
      <c r="L1264" s="156">
        <f t="shared" si="2062"/>
        <v>0</v>
      </c>
      <c r="M1264" s="156">
        <f t="shared" si="2063"/>
        <v>0</v>
      </c>
      <c r="N1264" s="156" t="s">
        <v>83</v>
      </c>
      <c r="O1264" s="157" cm="1">
        <f t="array" ref="O1264">TRUNC($H1264*(1+_xlfn.SWITCH($N1264,"BDI 1",$O$6,"BDI 2",$O$7,"BDI 3",$O$8)),2)</f>
        <v>49.59</v>
      </c>
      <c r="P1264" s="157" cm="1">
        <f t="array" ref="P1264">TRUNC($I1264*(1+_xlfn.SWITCH($N1264,"BDI 1",$P$6,"BDI 2",$P$7,"BDI 3",$P$8)),2)</f>
        <v>52.07</v>
      </c>
      <c r="Q1264" s="157">
        <v>0</v>
      </c>
      <c r="R1264" s="157">
        <f t="shared" si="2064"/>
        <v>0</v>
      </c>
      <c r="S1264" s="156">
        <f t="shared" si="2065"/>
        <v>0</v>
      </c>
      <c r="T1264" s="156">
        <f t="shared" si="2066"/>
        <v>0</v>
      </c>
      <c r="U1264" s="156">
        <f t="shared" si="2067"/>
        <v>0</v>
      </c>
      <c r="V1264" s="156">
        <f t="shared" si="2068"/>
        <v>0</v>
      </c>
      <c r="W1264" s="156">
        <f t="shared" si="2058"/>
        <v>0</v>
      </c>
      <c r="X1264" s="158">
        <f t="shared" ref="X1264" si="2140">$S1264/ORCAMENTO_VALOR_TOTAL_ND</f>
        <v>0</v>
      </c>
      <c r="Y1264" s="158">
        <f t="shared" ref="Y1264" si="2141">$T1264/ORCAMENTO_VALOR_TOTAL_DE</f>
        <v>0</v>
      </c>
      <c r="Z1264" s="158" cm="1">
        <f t="array" ref="Z1264">_xlfn.SWITCH($N1264,"BDI 1",$O$6,"BDI 2",$O$7,"BDI 3",$O$8)</f>
        <v>0.20699999999999999</v>
      </c>
      <c r="AA1264" s="158" cm="1">
        <f t="array" ref="AA1264">_xlfn.SWITCH($N1264,"BDI 1",$P$6,"BDI 2",$P$7,"BDI 3",$P$8)</f>
        <v>0.26739999999999997</v>
      </c>
      <c r="AB1264" s="158">
        <f t="shared" ca="1" si="2071"/>
        <v>0</v>
      </c>
      <c r="AC1264" s="158">
        <f t="shared" ca="1" si="2072"/>
        <v>0</v>
      </c>
      <c r="AD1264" s="164"/>
      <c r="AE1264" s="148">
        <f t="shared" si="2059"/>
        <v>0</v>
      </c>
      <c r="AF1264" s="149"/>
      <c r="AG1264" s="150"/>
      <c r="AH1264" s="159" t="e">
        <f t="shared" si="2103"/>
        <v>#DIV/0!</v>
      </c>
      <c r="AI1264" s="160"/>
      <c r="AJ1264" s="105"/>
      <c r="AK1264" s="105"/>
      <c r="AM1264" s="105"/>
      <c r="AN1264" s="105"/>
      <c r="AO1264" s="105"/>
      <c r="AP1264" s="105"/>
      <c r="AQ1264" s="105"/>
      <c r="AR1264" s="105"/>
    </row>
    <row r="1265" spans="1:44" s="49" customFormat="1" ht="40.15" hidden="1" customHeight="1">
      <c r="A1265" s="152">
        <f t="shared" ca="1" si="2060"/>
        <v>0</v>
      </c>
      <c r="B1265" s="153" t="s">
        <v>448</v>
      </c>
      <c r="C1265" s="154" t="str">
        <f t="shared" si="2061"/>
        <v>ORINF</v>
      </c>
      <c r="D1265" s="154" t="s">
        <v>3554</v>
      </c>
      <c r="E1265" s="155" t="s">
        <v>4038</v>
      </c>
      <c r="F1265" s="154"/>
      <c r="G1265" s="154" t="s">
        <v>1285</v>
      </c>
      <c r="H1265" s="152">
        <v>1340.32</v>
      </c>
      <c r="I1265" s="152">
        <v>1340.32</v>
      </c>
      <c r="J1265" s="156"/>
      <c r="K1265" s="156"/>
      <c r="L1265" s="156">
        <f t="shared" si="2062"/>
        <v>0</v>
      </c>
      <c r="M1265" s="156">
        <f t="shared" si="2063"/>
        <v>0</v>
      </c>
      <c r="N1265" s="156" t="s">
        <v>83</v>
      </c>
      <c r="O1265" s="157" cm="1">
        <f t="array" ref="O1265">TRUNC($H1265*(1+_xlfn.SWITCH($N1265,"BDI 1",$O$6,"BDI 2",$O$7,"BDI 3",$O$8)),2)</f>
        <v>1617.76</v>
      </c>
      <c r="P1265" s="157" cm="1">
        <f t="array" ref="P1265">TRUNC($I1265*(1+_xlfn.SWITCH($N1265,"BDI 1",$P$6,"BDI 2",$P$7,"BDI 3",$P$8)),2)</f>
        <v>1698.72</v>
      </c>
      <c r="Q1265" s="157">
        <v>0</v>
      </c>
      <c r="R1265" s="157">
        <f t="shared" si="2064"/>
        <v>0</v>
      </c>
      <c r="S1265" s="156">
        <f t="shared" si="2065"/>
        <v>0</v>
      </c>
      <c r="T1265" s="156">
        <f t="shared" si="2066"/>
        <v>0</v>
      </c>
      <c r="U1265" s="156">
        <f t="shared" si="2067"/>
        <v>0</v>
      </c>
      <c r="V1265" s="156">
        <f t="shared" si="2068"/>
        <v>0</v>
      </c>
      <c r="W1265" s="156">
        <f t="shared" si="2058"/>
        <v>0</v>
      </c>
      <c r="X1265" s="158">
        <f t="shared" ref="X1265" si="2142">$S1265/ORCAMENTO_VALOR_TOTAL_ND</f>
        <v>0</v>
      </c>
      <c r="Y1265" s="158">
        <f t="shared" ref="Y1265" si="2143">$T1265/ORCAMENTO_VALOR_TOTAL_DE</f>
        <v>0</v>
      </c>
      <c r="Z1265" s="158" cm="1">
        <f t="array" ref="Z1265">_xlfn.SWITCH($N1265,"BDI 1",$O$6,"BDI 2",$O$7,"BDI 3",$O$8)</f>
        <v>0.20699999999999999</v>
      </c>
      <c r="AA1265" s="158" cm="1">
        <f t="array" ref="AA1265">_xlfn.SWITCH($N1265,"BDI 1",$P$6,"BDI 2",$P$7,"BDI 3",$P$8)</f>
        <v>0.26739999999999997</v>
      </c>
      <c r="AB1265" s="158">
        <f t="shared" ca="1" si="2071"/>
        <v>0</v>
      </c>
      <c r="AC1265" s="158">
        <f t="shared" ca="1" si="2072"/>
        <v>0</v>
      </c>
      <c r="AD1265" s="164"/>
      <c r="AE1265" s="148">
        <f t="shared" si="2059"/>
        <v>0</v>
      </c>
      <c r="AF1265" s="149"/>
      <c r="AG1265" s="150"/>
      <c r="AH1265" s="159" t="e">
        <f>+S1265/S$1230</f>
        <v>#DIV/0!</v>
      </c>
      <c r="AI1265" s="160"/>
      <c r="AJ1265" s="105"/>
      <c r="AK1265" s="105"/>
      <c r="AM1265" s="105"/>
      <c r="AN1265" s="105"/>
      <c r="AO1265" s="105"/>
      <c r="AP1265" s="105"/>
      <c r="AQ1265" s="105"/>
      <c r="AR1265" s="105"/>
    </row>
    <row r="1266" spans="1:44" s="49" customFormat="1" ht="40.15" hidden="1" customHeight="1">
      <c r="A1266" s="152">
        <f t="shared" ca="1" si="2060"/>
        <v>0</v>
      </c>
      <c r="B1266" s="153" t="s">
        <v>449</v>
      </c>
      <c r="C1266" s="154" t="str">
        <f t="shared" si="2061"/>
        <v>LI-AMB</v>
      </c>
      <c r="D1266" s="154" t="s">
        <v>3554</v>
      </c>
      <c r="E1266" s="155" t="s">
        <v>4039</v>
      </c>
      <c r="F1266" s="154"/>
      <c r="G1266" s="154" t="s">
        <v>1428</v>
      </c>
      <c r="H1266" s="152">
        <v>27681.15</v>
      </c>
      <c r="I1266" s="152">
        <v>27681.15</v>
      </c>
      <c r="J1266" s="156"/>
      <c r="K1266" s="156"/>
      <c r="L1266" s="156">
        <f t="shared" si="2062"/>
        <v>0</v>
      </c>
      <c r="M1266" s="156">
        <f t="shared" si="2063"/>
        <v>0</v>
      </c>
      <c r="N1266" s="156" t="s">
        <v>83</v>
      </c>
      <c r="O1266" s="157" cm="1">
        <f t="array" ref="O1266">TRUNC($H1266*(1+_xlfn.SWITCH($N1266,"BDI 1",$O$6,"BDI 2",$O$7,"BDI 3",$O$8)),2)</f>
        <v>33411.14</v>
      </c>
      <c r="P1266" s="157" cm="1">
        <f t="array" ref="P1266">TRUNC($I1266*(1+_xlfn.SWITCH($N1266,"BDI 1",$P$6,"BDI 2",$P$7,"BDI 3",$P$8)),2)</f>
        <v>35083.08</v>
      </c>
      <c r="Q1266" s="157">
        <v>0</v>
      </c>
      <c r="R1266" s="157">
        <f t="shared" si="2064"/>
        <v>0</v>
      </c>
      <c r="S1266" s="156">
        <f t="shared" si="2065"/>
        <v>0</v>
      </c>
      <c r="T1266" s="156">
        <f t="shared" si="2066"/>
        <v>0</v>
      </c>
      <c r="U1266" s="156">
        <f t="shared" si="2067"/>
        <v>0</v>
      </c>
      <c r="V1266" s="156">
        <f t="shared" si="2068"/>
        <v>0</v>
      </c>
      <c r="W1266" s="156">
        <f t="shared" si="2058"/>
        <v>0</v>
      </c>
      <c r="X1266" s="158">
        <f t="shared" ref="X1266" si="2144">$S1266/ORCAMENTO_VALOR_TOTAL_ND</f>
        <v>0</v>
      </c>
      <c r="Y1266" s="158">
        <f t="shared" ref="Y1266" si="2145">$T1266/ORCAMENTO_VALOR_TOTAL_DE</f>
        <v>0</v>
      </c>
      <c r="Z1266" s="158" cm="1">
        <f t="array" ref="Z1266">_xlfn.SWITCH($N1266,"BDI 1",$O$6,"BDI 2",$O$7,"BDI 3",$O$8)</f>
        <v>0.20699999999999999</v>
      </c>
      <c r="AA1266" s="158" cm="1">
        <f t="array" ref="AA1266">_xlfn.SWITCH($N1266,"BDI 1",$P$6,"BDI 2",$P$7,"BDI 3",$P$8)</f>
        <v>0.26739999999999997</v>
      </c>
      <c r="AB1266" s="158">
        <f t="shared" ca="1" si="2071"/>
        <v>0</v>
      </c>
      <c r="AC1266" s="158">
        <f t="shared" ca="1" si="2072"/>
        <v>0</v>
      </c>
      <c r="AD1266" s="164"/>
      <c r="AE1266" s="148">
        <f t="shared" si="2059"/>
        <v>0</v>
      </c>
      <c r="AF1266" s="149"/>
      <c r="AG1266" s="150"/>
      <c r="AH1266" s="159" t="e">
        <f>+S1266/S$1230</f>
        <v>#DIV/0!</v>
      </c>
      <c r="AI1266" s="160"/>
      <c r="AJ1266" s="105"/>
      <c r="AK1266" s="105"/>
      <c r="AM1266" s="105"/>
      <c r="AN1266" s="105"/>
      <c r="AO1266" s="105"/>
      <c r="AP1266" s="105"/>
      <c r="AQ1266" s="105"/>
      <c r="AR1266" s="105"/>
    </row>
    <row r="1267" spans="1:44" s="49" customFormat="1" ht="40.15" hidden="1" customHeight="1">
      <c r="A1267" s="152">
        <f t="shared" ca="1" si="2060"/>
        <v>0</v>
      </c>
      <c r="B1267" s="153" t="s">
        <v>450</v>
      </c>
      <c r="C1267" s="154" t="str">
        <f t="shared" si="2061"/>
        <v>PIU0013</v>
      </c>
      <c r="D1267" s="154" t="s">
        <v>3554</v>
      </c>
      <c r="E1267" s="155" t="s">
        <v>4040</v>
      </c>
      <c r="F1267" s="154"/>
      <c r="G1267" s="154" t="s">
        <v>1428</v>
      </c>
      <c r="H1267" s="152">
        <v>7111.24</v>
      </c>
      <c r="I1267" s="152">
        <v>7111.24</v>
      </c>
      <c r="J1267" s="156"/>
      <c r="K1267" s="156"/>
      <c r="L1267" s="156">
        <f t="shared" si="2062"/>
        <v>0</v>
      </c>
      <c r="M1267" s="156">
        <f t="shared" si="2063"/>
        <v>0</v>
      </c>
      <c r="N1267" s="156" t="s">
        <v>83</v>
      </c>
      <c r="O1267" s="157" cm="1">
        <f t="array" ref="O1267">TRUNC($H1267*(1+_xlfn.SWITCH($N1267,"BDI 1",$O$6,"BDI 2",$O$7,"BDI 3",$O$8)),2)</f>
        <v>8583.26</v>
      </c>
      <c r="P1267" s="157" cm="1">
        <f t="array" ref="P1267">TRUNC($I1267*(1+_xlfn.SWITCH($N1267,"BDI 1",$P$6,"BDI 2",$P$7,"BDI 3",$P$8)),2)</f>
        <v>9012.7800000000007</v>
      </c>
      <c r="Q1267" s="157">
        <v>0</v>
      </c>
      <c r="R1267" s="157">
        <f t="shared" si="2064"/>
        <v>0</v>
      </c>
      <c r="S1267" s="156">
        <f t="shared" si="2065"/>
        <v>0</v>
      </c>
      <c r="T1267" s="156">
        <f t="shared" si="2066"/>
        <v>0</v>
      </c>
      <c r="U1267" s="156">
        <f t="shared" si="2067"/>
        <v>0</v>
      </c>
      <c r="V1267" s="156">
        <f t="shared" si="2068"/>
        <v>0</v>
      </c>
      <c r="W1267" s="156">
        <f t="shared" si="2058"/>
        <v>0</v>
      </c>
      <c r="X1267" s="158">
        <f t="shared" ref="X1267" si="2146">$S1267/ORCAMENTO_VALOR_TOTAL_ND</f>
        <v>0</v>
      </c>
      <c r="Y1267" s="158">
        <f t="shared" ref="Y1267" si="2147">$T1267/ORCAMENTO_VALOR_TOTAL_DE</f>
        <v>0</v>
      </c>
      <c r="Z1267" s="158" cm="1">
        <f t="array" ref="Z1267">_xlfn.SWITCH($N1267,"BDI 1",$O$6,"BDI 2",$O$7,"BDI 3",$O$8)</f>
        <v>0.20699999999999999</v>
      </c>
      <c r="AA1267" s="158" cm="1">
        <f t="array" ref="AA1267">_xlfn.SWITCH($N1267,"BDI 1",$P$6,"BDI 2",$P$7,"BDI 3",$P$8)</f>
        <v>0.26739999999999997</v>
      </c>
      <c r="AB1267" s="158">
        <f t="shared" ca="1" si="2071"/>
        <v>0</v>
      </c>
      <c r="AC1267" s="158">
        <f t="shared" ca="1" si="2072"/>
        <v>0</v>
      </c>
      <c r="AD1267" s="164"/>
      <c r="AE1267" s="148">
        <f t="shared" si="2059"/>
        <v>0</v>
      </c>
      <c r="AF1267" s="149"/>
      <c r="AG1267" s="150"/>
      <c r="AH1267" s="159" t="e">
        <f t="shared" ref="AH1267" si="2148">+S1267/S$1230</f>
        <v>#DIV/0!</v>
      </c>
      <c r="AI1267" s="160"/>
      <c r="AJ1267" s="105"/>
      <c r="AK1267" s="105"/>
      <c r="AM1267" s="105"/>
      <c r="AN1267" s="105"/>
      <c r="AO1267" s="105"/>
      <c r="AP1267" s="105"/>
      <c r="AQ1267" s="105"/>
      <c r="AR1267" s="105"/>
    </row>
    <row r="1268" spans="1:44" s="49" customFormat="1" ht="24.95" customHeight="1" thickBot="1">
      <c r="A1268" s="10">
        <f t="shared" ca="1" si="2060"/>
        <v>0</v>
      </c>
      <c r="B1268" s="153"/>
      <c r="C1268" s="154"/>
      <c r="D1268" s="154"/>
      <c r="E1268" s="155"/>
      <c r="F1268" s="154"/>
      <c r="G1268" s="154"/>
      <c r="H1268" s="154"/>
      <c r="I1268" s="154"/>
      <c r="J1268" s="168"/>
      <c r="K1268" s="168"/>
      <c r="L1268" s="168"/>
      <c r="M1268" s="168"/>
      <c r="N1268" s="168"/>
      <c r="O1268" s="157"/>
      <c r="P1268" s="157"/>
      <c r="Q1268" s="157"/>
      <c r="R1268" s="157"/>
      <c r="S1268" s="162"/>
      <c r="T1268" s="162"/>
      <c r="U1268" s="162"/>
      <c r="V1268" s="162"/>
      <c r="W1268" s="162"/>
      <c r="X1268" s="163"/>
      <c r="Y1268" s="163"/>
      <c r="Z1268" s="163"/>
      <c r="AA1268" s="163"/>
      <c r="AB1268" s="163"/>
      <c r="AC1268" s="163"/>
      <c r="AD1268" s="164"/>
      <c r="AE1268" s="148" t="s">
        <v>4</v>
      </c>
      <c r="AF1268" s="149"/>
      <c r="AG1268" s="150"/>
      <c r="AH1268" s="105"/>
      <c r="AI1268" s="105"/>
      <c r="AJ1268" s="105"/>
      <c r="AK1268" s="105"/>
      <c r="AM1268" s="105"/>
      <c r="AN1268" s="105"/>
      <c r="AO1268" s="105"/>
      <c r="AP1268" s="105"/>
      <c r="AQ1268" s="105"/>
      <c r="AR1268" s="105"/>
    </row>
    <row r="1269" spans="1:44" s="105" customFormat="1" ht="24.95" customHeight="1" thickTop="1" thickBot="1">
      <c r="A1269" s="228" t="s">
        <v>98</v>
      </c>
      <c r="B1269" s="229"/>
      <c r="C1269" s="230"/>
      <c r="D1269" s="231"/>
      <c r="E1269" s="232"/>
      <c r="F1269" s="233"/>
      <c r="G1269" s="234"/>
      <c r="H1269" s="235"/>
      <c r="I1269" s="235"/>
      <c r="J1269" s="236"/>
      <c r="K1269" s="236"/>
      <c r="L1269" s="236"/>
      <c r="M1269" s="236"/>
      <c r="N1269" s="236"/>
      <c r="O1269" s="237" t="s">
        <v>451</v>
      </c>
      <c r="P1269" s="237" t="s">
        <v>451</v>
      </c>
      <c r="Q1269" s="237" t="s">
        <v>451</v>
      </c>
      <c r="R1269" s="237"/>
      <c r="S1269" s="238">
        <f>SUM(S42:S1268)/2</f>
        <v>3092449.6799999997</v>
      </c>
      <c r="T1269" s="238">
        <f>SUM(T42:T1268)/2</f>
        <v>3401198.4399999995</v>
      </c>
      <c r="U1269" s="238">
        <f>SUM(U42:U1268)/2</f>
        <v>0</v>
      </c>
      <c r="V1269" s="238">
        <f>SUM(V42:V1268)/2</f>
        <v>0</v>
      </c>
      <c r="W1269" s="238">
        <f>TRUNC(V1269-U1269,2)</f>
        <v>0</v>
      </c>
      <c r="X1269" s="239">
        <f>ORCAMENTO_VALOR_TOTAL_ND/ORCAMENTO_VALOR_TOTAL_ND</f>
        <v>1</v>
      </c>
      <c r="Y1269" s="239">
        <f>ORCAMENTO_VALOR_TOTAL_DE/ORCAMENTO_VALOR_TOTAL_DE</f>
        <v>1</v>
      </c>
      <c r="Z1269" s="239"/>
      <c r="AA1269" s="239"/>
      <c r="AB1269" s="239">
        <f>ORCAMENTO_VALOR_TOTAL_DE/ORCAMENTO_VALOR_TOTAL_DE</f>
        <v>1</v>
      </c>
      <c r="AC1269" s="240">
        <f>ORCAMENTO_VALOR_TOTAL_DE/ORCAMENTO_VALOR_TOTAL_DE</f>
        <v>1</v>
      </c>
      <c r="AD1269" s="147"/>
      <c r="AE1269" s="148" t="s">
        <v>4</v>
      </c>
      <c r="AF1269" s="149"/>
      <c r="AG1269" s="150"/>
    </row>
    <row r="1270" spans="1:44" ht="13.5" thickTop="1"/>
  </sheetData>
  <autoFilter ref="A1:AE1269" xr:uid="{00000000-0001-0000-0500-000000000000}">
    <filterColumn colId="30">
      <filters>
        <filter val="1"/>
        <filter val="2"/>
        <filter val="3"/>
        <filter val="X"/>
      </filters>
    </filterColumn>
  </autoFilter>
  <mergeCells count="66">
    <mergeCell ref="AH2:AI2"/>
    <mergeCell ref="B13:B14"/>
    <mergeCell ref="C13:C14"/>
    <mergeCell ref="D13:E14"/>
    <mergeCell ref="F13:F14"/>
    <mergeCell ref="G13:G14"/>
    <mergeCell ref="H13:H14"/>
    <mergeCell ref="I13:I14"/>
    <mergeCell ref="J13:M13"/>
    <mergeCell ref="N13:N14"/>
    <mergeCell ref="AC13:AC14"/>
    <mergeCell ref="O13:O14"/>
    <mergeCell ref="P13:P14"/>
    <mergeCell ref="Q13:Q14"/>
    <mergeCell ref="AB13:AB14"/>
    <mergeCell ref="U13:W13"/>
    <mergeCell ref="X13:X14"/>
    <mergeCell ref="Y13:Y14"/>
    <mergeCell ref="S13:S14"/>
    <mergeCell ref="T13:T14"/>
    <mergeCell ref="Z13:Z14"/>
    <mergeCell ref="AA13:AA14"/>
    <mergeCell ref="O40:O41"/>
    <mergeCell ref="A40:A41"/>
    <mergeCell ref="B40:B41"/>
    <mergeCell ref="C40:C41"/>
    <mergeCell ref="D40:D41"/>
    <mergeCell ref="E40:E41"/>
    <mergeCell ref="F40:F41"/>
    <mergeCell ref="G40:G41"/>
    <mergeCell ref="H40:H41"/>
    <mergeCell ref="I40:I41"/>
    <mergeCell ref="J40:M40"/>
    <mergeCell ref="N40:N41"/>
    <mergeCell ref="AC40:AC41"/>
    <mergeCell ref="P40:P41"/>
    <mergeCell ref="Q40:Q41"/>
    <mergeCell ref="R40:R41"/>
    <mergeCell ref="S40:S41"/>
    <mergeCell ref="T40:T41"/>
    <mergeCell ref="U40:W40"/>
    <mergeCell ref="X40:X41"/>
    <mergeCell ref="Y40:Y41"/>
    <mergeCell ref="Z40:Z41"/>
    <mergeCell ref="AA40:AA41"/>
    <mergeCell ref="AB40:AB41"/>
    <mergeCell ref="AI162:AI164"/>
    <mergeCell ref="AI122:AI124"/>
    <mergeCell ref="AI125:AI127"/>
    <mergeCell ref="AI128:AI129"/>
    <mergeCell ref="AI130:AI131"/>
    <mergeCell ref="AI132:AI134"/>
    <mergeCell ref="AI135:AI137"/>
    <mergeCell ref="AI138:AI139"/>
    <mergeCell ref="AI140:AI141"/>
    <mergeCell ref="AI144:AI147"/>
    <mergeCell ref="AI154:AI155"/>
    <mergeCell ref="AI156:AI159"/>
    <mergeCell ref="AI301:AI303"/>
    <mergeCell ref="AI304:AI306"/>
    <mergeCell ref="AI165:AI167"/>
    <mergeCell ref="AI168:AI169"/>
    <mergeCell ref="AI170:AI171"/>
    <mergeCell ref="AI172:AI174"/>
    <mergeCell ref="AI175:AI177"/>
    <mergeCell ref="AI178:AI179"/>
  </mergeCells>
  <conditionalFormatting sqref="A45:B51">
    <cfRule type="expression" dxfId="127" priority="1">
      <formula>$K45&lt;=0</formula>
    </cfRule>
  </conditionalFormatting>
  <conditionalFormatting sqref="B4">
    <cfRule type="cellIs" dxfId="126" priority="2" operator="equal">
      <formula>0</formula>
    </cfRule>
  </conditionalFormatting>
  <conditionalFormatting sqref="C45:K45 N45:Q45 S45:AC64 C46:Q51 A52:Q64 A65:AC71 A73:AC74 A76:AC77 A80:AC105 A107:AC107 A109:AC110 A112:AC113 A115:AC116 A119:AC185 A187:AC187 A189:AC190 A192:AC193 A195:AC196 A198:AC199 A201:AC202 A205:AC277 A280:AC323 A325:AC326 A328:AC329 A332:AC349 A353:AC358 A360:AC381 A383:AC422 A424:AC436 A438:AC439 A441:AC442 A444:AC445 A447:AC447 A449:AC450 A452:AC453 A456:AC480 A482:AC483 A485:AC486 A488:AC489 A491:AC492 A495:AC512 A514:AC515 A517:AC518 A520:AC521 A523:AC524 A526:AC527 A529:AC530 A532:AC533 A535:AC536 A538:AC539 A541:AC542 A544:AC545 A547:AC548 A550:AC551 A553:AC554 A556:AC557 A559:AC560 A562:AC563 A565:AC566 A568:AC569 A572:AC607 A609:AC610 A612:AC613 A615:AC616 A618:AC619 A621:AC622 A624:AC625 A627:AC628 A630:AC631 A633:AC634 A636:AC637 A639:AC640 A642:AC643 A645:AC646 A648:AC649 A651:AC652 A654:AC655 A657:AC658 A660:AC661 A663:AC664 A667:E682 G667:AC682 A684:E685 G684:AC685 A687:E688 G687:AC688 A690:E691 G690:AC691 A693:E694 G693:AC694 A696:E697 G696:AC697 A699:E700 G699:AC700 A702:E703 G702:AC703 A705:E706 G705:AC706 A708:E709 G708:AC709 A711:E712 G711:AC712 A714:E715 G714:AC715 A717:E718 G717:AC718 A721:AC729 A731:AC731 A733:AC734 A736:AC737 A739:AC740 A742:AC743 A746:AC771 A773:AC774 A776:AC776 A778:AC779 A781:AC782 A784:AC785 A787:AC788 A790:AC791 A793:AC794 A796:AC797 A799:AC800 A802:AC803 A805:AC806 A808:AC809 A811:AC812 A814:AC815 A817:AC818 A820:AC821 A823:AC824 A826:AC827 A829:AC830 A832:AC833 A836:AC864 A866:AC867 A870:AC900 A902:AC903 A905:AC906 A908:AC909 A911:AC912 A914:AC915 A918:AC934 A936:AC937 A939:AC940 A942:AC942 A944:AC944 A946:AC947 A949:AC950 A952:AC953 A955:AC956 A964:AC976 A978:AC989 A992:AC999 A1001:AC1006 A1008:AC1013 A1015:AC1019 A1021:AC1028 A1030:AC1033 A1036:AC1042 A1044:AC1051 A1053:AC1059 A1061:AC1065 A1067:AC1077 A1079:AC1084 A1086:AC1093 A1095:AC1096 A1098:AC1098 A1100:AC1101 A1103:AC1104 A1106:AC1107 A1109:AC1110 A1112:AC1113 A1115:AC1116 A1119:AC1149 A1151:AC1152 A1154:AC1155 A1157:AC1158 A1160:AC1161 A1163:AC1164 A1166:AC1167 A1169:AC1170 A1172:AC1173 A1175:AC1176 A1178:AC1179 A1181:AC1182 A1184:AC1185 A1187:AC1188 A1190:AC1191 A1193:AC1194 A1197:AC1225 A1228:AC1228 A1231:AC1267">
    <cfRule type="expression" dxfId="125" priority="3">
      <formula>$K45&lt;=0</formula>
    </cfRule>
  </conditionalFormatting>
  <dataValidations count="2">
    <dataValidation allowBlank="1" showInputMessage="1" showErrorMessage="1" prompt="Confirmar_x000a_DMT" sqref="F39:F40" xr:uid="{0CBA84ED-2201-45EE-9677-F5290AC25490}"/>
    <dataValidation type="list" allowBlank="1" showInputMessage="1" showErrorMessage="1" sqref="N1231:N1267 N43 N45:N71 N73:N74 N76:N77 N80:N105 N107 N109:N110 N112:N113 N115:N116 N1228 N187 N189:N190 N192:N193 N195:N196 N198:N199 N201:N202 N119:N185 N280:N323 N325:N326 N328:N329 N332:N349 N353:N358 N360:N381 N383:N422 N424:N436 N438:N439 N441:N442 N444:N445 N447 N449:N450 N452:N453 N205:N277 N482:N483 N485:N486 N488:N489 N491:N492 N456:N480 N514:N515 N517:N518 N520:N521 N523:N524 N526:N527 N529:N530 N532:N533 N535:N536 N538:N539 N541:N542 N544:N545 N547:N548 N550:N551 N553:N554 N556:N557 N559:N560 N562:N563 N565:N566 N568:N569 N572:N607 N609:N610 N612:N613 N615:N616 N618:N619 N621:N622 N624:N625 N627:N628 N630:N631 N633:N634 N636:N637 N639:N640 N642:N643 N645:N646 N648:N649 N651:N652 N654:N655 N657:N658 N660:N661 N663:N664 N667:N682 N684:N685 N687:N688 N690:N691 N693:N694 N696:N697 N699:N700 N702:N703 N705:N706 N708:N709 N711:N712 N714:N715 N717:N718 N721:N729 N731 N733:N734 N736:N737 N739:N740 N742:N743 N773:N774 N776 N778:N779 N781:N782 N784:N785 N787:N788 N790:N791 N793:N794 N796:N797 N799:N800 N802:N803 N805:N806 N808:N809 N811:N812 N814:N815 N817:N818 N820:N821 N823:N824 N826:N827 N829:N830 N832:N833 N836:N864 N866:N867 N870:N900 N902:N903 N905:N906 N908:N909 N911:N912 N914:N915 N918:N934 N936:N937 N939:N940 N942 N944 N946:N947 N949:N950 N952:N953 N955:N956 N958:N959 N964:N976 N978:N989 N992:N999 N1001:N1006 N1008:N1013 N1015:N1019 N1021:N1028 N1030:N1033 N1036:N1042 N1044:N1051 N1053:N1059 N1061:N1065 N1067:N1077 N1079:N1084 N1086:N1093 N1095:N1096 N1098 N1100:N1101 N1103:N1104 N1106:N1107 N1109:N1110 N1112:N1113 N1115:N1116 N1119:N1149 N1151:N1152 N1154:N1155 N1157:N1158 N1160:N1161 N1163:N1164 N1166:N1167 N1169:N1170 N1172:N1173 N1175:N1176 N1178:N1179 N1181:N1182 N1184:N1185 N1187:N1188 N1190:N1191 N1193:N1194 N1197:N1225 N495:N512 N746:N771" xr:uid="{C4D2EFA8-F47E-47E2-92D4-BE56835EB5C7}">
      <formula1>"BDI 1, BDI 2,BDI 3"</formula1>
    </dataValidation>
  </dataValidations>
  <hyperlinks>
    <hyperlink ref="H118" location="Dre_Terraplenagem!A1" display="Dre_Terraplenagem!A1" xr:uid="{C7625F6D-1A5E-4E67-A04E-344EAA40BCC9}"/>
    <hyperlink ref="H204" location="Dre_Disp_Estruturais!A1" display="Dre_Disp_Estruturais!A1" xr:uid="{0393D7EE-602C-4FE5-8463-F7C4EDA6C269}"/>
    <hyperlink ref="H331" location="Dre_Disp_Estruturais!A1" display="Dre_Disp_Estruturais!A1" xr:uid="{67578999-812D-4CC0-8DA3-C240770D7336}"/>
    <hyperlink ref="H571" location="Recap_Previo!A1" display="Recap_Previo!A1" xr:uid="{F6BB579E-D856-4031-B885-F772802B1543}"/>
    <hyperlink ref="H666" location="Recap_Final!A1" display="Recap_Final!A1" xr:uid="{ADE88059-6D74-4F22-9FCD-4E4B6CE5AEB5}"/>
    <hyperlink ref="H720" location="Pav_Terraplenagem!A1" display="Pav_Terraplenagem!A1" xr:uid="{EE0944D1-D251-4EF6-B1D4-30BB8BF49DFB}"/>
    <hyperlink ref="H745" location="Pav_Estrutura!A1" display="Pav_Estrutura!A1" xr:uid="{6037D94C-576C-4D92-AB91-4E544572449D}"/>
    <hyperlink ref="H455" location="Dre_Profunda!A1" display="Dre_Profunda!A1" xr:uid="{4CE4F54F-3FEA-4A6E-B20B-A39765CCFC83}"/>
    <hyperlink ref="H869" location="Passeio!A1" display="Passeio!A1" xr:uid="{AD5E1049-F2A8-4583-A02A-798E33BC33F0}"/>
    <hyperlink ref="H1196" location="Sinalizacao!A1" display="Sinalizacao!A1" xr:uid="{16B5163E-D88C-4A06-B68C-FD2FC1558DEA}"/>
    <hyperlink ref="H1118" location="Ciclovia!A1" display="Ciclovia!A1" xr:uid="{3633CACB-41DC-4170-8679-5F37ACB98813}"/>
    <hyperlink ref="H961" location="Ponto_Onibus!A1" display="Ponto_Onibus!A1" xr:uid="{2249913D-6DF2-46FB-A85F-8D610169CDA1}"/>
    <hyperlink ref="H79" location="Demolicao!A1" display="Demolicao!A1" xr:uid="{B9F99418-6B1C-4730-BAB0-5C6E7CBC4C7A}"/>
    <hyperlink ref="H835" location="Pav_Estrutura!A1" display="Pav_Estrutura!A1" xr:uid="{7B2305A9-77DF-4399-8683-C553E57C95FD}"/>
    <hyperlink ref="H494" location="Dre_Fecha_Vala!A1" display="Dre_Fecha_Vala!A1" xr:uid="{3570DD37-8F47-49D3-9371-C17EA22864CE}"/>
    <hyperlink ref="AI1157" location="'CPU Adm Local'!A1" display="'CPU Adm Local'!A1" xr:uid="{E6F68A01-679F-4FE0-A7D3-2CFD03B72B37}"/>
    <hyperlink ref="H42" location="S_Preliminares!A1" display="S_Preliminares!A1" xr:uid="{937A5B4E-2B4C-418E-8EFC-393033FA778C}"/>
    <hyperlink ref="H351" location="Bacia_Amortecimento!A1" display="Bacia_Amortecimento!A1" xr:uid="{E2FAB306-9FAF-4209-A81B-EFAE4A9C3CCF}"/>
    <hyperlink ref="H279" location="Dre_Disp_Estruturais!A1" display="Dre_Disp_Estruturais!A1" xr:uid="{379DBCC0-0FE3-43E4-8C0D-49B3B99FF36A}"/>
    <hyperlink ref="H917" location="Passeio!A1" display="Passeio!A1" xr:uid="{791C7EE7-956E-4F36-8986-DE30D6517531}"/>
    <hyperlink ref="AJ270" r:id="rId1" xr:uid="{92FE331D-A565-40D9-9078-4CCB2852C822}"/>
    <hyperlink ref="AI1158" location="'CPU Adm Local'!A1" display="'CPU Adm Local'!A1" xr:uid="{0A646576-7A69-4F8A-A4A6-DF425BC061BF}"/>
    <hyperlink ref="I118" location="Dre_Terraplenagem!A1" display="Dre_Terraplenagem!A1" xr:uid="{AF22FA32-0187-4355-B8A7-3D73FC7F539A}"/>
    <hyperlink ref="I204" location="Dre_Disp_Estruturais!A1" display="Dre_Disp_Estruturais!A1" xr:uid="{E1887428-EA54-4C4F-8740-CA018BD4A6C1}"/>
    <hyperlink ref="I331" location="Dre_Disp_Estruturais!A1" display="Dre_Disp_Estruturais!A1" xr:uid="{33A14AB7-0632-4CA0-B6FB-EF5A73C0D1E0}"/>
    <hyperlink ref="I571" location="Recap_Previo!A1" display="Recap_Previo!A1" xr:uid="{094CBC9B-4CAE-401B-ACD1-EFCCA2C4EB0E}"/>
    <hyperlink ref="I666" location="Recap_Final!A1" display="Recap_Final!A1" xr:uid="{79F7F3E5-D005-449D-A84D-DF9D318D7366}"/>
    <hyperlink ref="I720" location="Pav_Terraplenagem!A1" display="Pav_Terraplenagem!A1" xr:uid="{DE1C0A5D-30F6-4469-B826-7E2F407864D5}"/>
    <hyperlink ref="I745" location="Pav_Estrutura!A1" display="Pav_Estrutura!A1" xr:uid="{6BDCDF33-37A8-4BA4-AFA0-7368CAE23DF7}"/>
    <hyperlink ref="I455" location="Dre_Profunda!A1" display="Dre_Profunda!A1" xr:uid="{E2C0C00C-6392-4DC0-A0D4-00C3175A0AE3}"/>
    <hyperlink ref="I869" location="Passeio!A1" display="Passeio!A1" xr:uid="{EE81A154-773D-4BE8-92E1-1ED848122A15}"/>
    <hyperlink ref="I1196" location="Sinalizacao!A1" display="Sinalizacao!A1" xr:uid="{46917D02-64C2-4983-9B4F-C361215E25F1}"/>
    <hyperlink ref="I1118" location="Ciclovia!A1" display="Ciclovia!A1" xr:uid="{7DD3A041-AA91-42D0-8582-9FD73ACFE0A7}"/>
    <hyperlink ref="I961" location="Ponto_Onibus!A1" display="Ponto_Onibus!A1" xr:uid="{74A2A23C-FC21-416A-9058-E55C011F558C}"/>
    <hyperlink ref="I79" location="Demolicao!A1" display="Demolicao!A1" xr:uid="{E6B6F884-D991-4CD3-8FBB-B17B5ABC359A}"/>
    <hyperlink ref="I835" location="Pav_Estrutura!A1" display="Pav_Estrutura!A1" xr:uid="{E95CFE23-820E-4639-97E1-9EBCB06731A8}"/>
    <hyperlink ref="I494" location="Dre_Fecha_Vala!A1" display="Dre_Fecha_Vala!A1" xr:uid="{EE782E1B-FEFD-46D1-A1BF-B28ACA400C16}"/>
    <hyperlink ref="I42" location="S_Preliminares!A1" display="S_Preliminares!A1" xr:uid="{0AFBD95E-0C03-4C21-93CB-E04E43BE0ED9}"/>
    <hyperlink ref="I351" location="Bacia_Amortecimento!A1" display="Bacia_Amortecimento!A1" xr:uid="{F7DE6D0B-AD8F-4AA8-98AE-1BA4FC71ACB9}"/>
    <hyperlink ref="I279" location="Dre_Disp_Estruturais!A1" display="Dre_Disp_Estruturais!A1" xr:uid="{B66AECEE-FDF6-48DF-9866-E005C9CB40B3}"/>
    <hyperlink ref="I917" location="Passeio!A1" display="Passeio!A1" xr:uid="{8C279C50-8A8A-427F-B778-1317EA5CD81F}"/>
  </hyperlinks>
  <printOptions horizontalCentered="1"/>
  <pageMargins left="0.39370078740157477" right="0.59055118110236215" top="0.39370078740157477" bottom="0.59055118110236227" header="0.31496062992125984" footer="0.23622047244094491"/>
  <pageSetup paperSize="9" scale="57" fitToHeight="0" orientation="landscape" r:id="rId2"/>
  <headerFooter>
    <oddFooter>&amp;C&amp;8Página &amp;P/&amp;N</oddFooter>
  </headerFooter>
  <drawing r:id="rId3"/>
  <legacyDrawing r:id="rId4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D8FBF-3B90-449B-B271-1CA286E89ACD}">
  <dimension ref="A1"/>
  <sheetViews>
    <sheetView workbookViewId="0">
      <selection activeCell="O38" sqref="O38"/>
    </sheetView>
  </sheetViews>
  <sheetFormatPr defaultRowHeight="12"/>
  <sheetData/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19655-EACF-4C9F-B60F-2726FA9682FD}">
  <sheetPr codeName="Planilha33">
    <pageSetUpPr fitToPage="1"/>
  </sheetPr>
  <dimension ref="A1:J163"/>
  <sheetViews>
    <sheetView showZeros="0" zoomScaleNormal="100" workbookViewId="0">
      <selection sqref="A1:A140"/>
    </sheetView>
  </sheetViews>
  <sheetFormatPr defaultColWidth="9" defaultRowHeight="18.75"/>
  <cols>
    <col min="1" max="1" width="9.75" style="681" customWidth="1"/>
    <col min="2" max="2" width="6.625" style="710" customWidth="1"/>
    <col min="3" max="3" width="16.625" style="710" customWidth="1"/>
    <col min="4" max="4" width="35.625" style="710" customWidth="1"/>
    <col min="5" max="5" width="3.375" style="1289" customWidth="1"/>
    <col min="6" max="6" width="39.375" style="710" bestFit="1" customWidth="1"/>
    <col min="7" max="10" width="12.625" style="681" customWidth="1"/>
    <col min="11" max="16384" width="9" style="681"/>
  </cols>
  <sheetData>
    <row r="1" spans="1:10" s="673" customFormat="1" ht="60" customHeight="1" thickTop="1" thickBot="1">
      <c r="A1" s="2571" t="s">
        <v>2355</v>
      </c>
      <c r="B1" s="2743" t="s">
        <v>2188</v>
      </c>
      <c r="C1" s="2743"/>
      <c r="D1" s="2743"/>
      <c r="E1" s="1555"/>
      <c r="F1" s="735" t="s">
        <v>1935</v>
      </c>
      <c r="G1" s="1556"/>
      <c r="H1" s="1556"/>
      <c r="I1" s="1556"/>
      <c r="J1" s="1556"/>
    </row>
    <row r="2" spans="1:10" ht="21.95" customHeight="1" thickTop="1" thickBot="1">
      <c r="A2" s="2572"/>
      <c r="B2" s="2838" t="s">
        <v>2190</v>
      </c>
      <c r="C2" s="2839"/>
      <c r="D2" s="2840"/>
      <c r="E2" s="1263"/>
      <c r="F2" s="1557"/>
      <c r="G2" s="1558"/>
      <c r="H2" s="1558"/>
      <c r="I2" s="1558"/>
      <c r="J2" s="1558"/>
    </row>
    <row r="3" spans="1:10" ht="21.95" customHeight="1">
      <c r="A3" s="2572"/>
      <c r="B3" s="2808" t="s">
        <v>2191</v>
      </c>
      <c r="C3" s="2809"/>
      <c r="D3" s="1559" t="s">
        <v>2192</v>
      </c>
      <c r="E3" s="1273"/>
      <c r="F3" s="1560"/>
      <c r="G3" s="1561"/>
      <c r="H3" s="1561"/>
      <c r="I3" s="1561"/>
      <c r="J3" s="1561"/>
    </row>
    <row r="4" spans="1:10" ht="21.95" customHeight="1" thickBot="1">
      <c r="A4" s="2572"/>
      <c r="B4" s="2812"/>
      <c r="C4" s="2813"/>
      <c r="D4" s="1562" t="s">
        <v>2193</v>
      </c>
      <c r="E4" s="1283"/>
      <c r="F4" s="1563"/>
      <c r="G4" s="1564"/>
      <c r="H4" s="1564"/>
      <c r="I4" s="1564"/>
      <c r="J4" s="1564"/>
    </row>
    <row r="5" spans="1:10" s="710" customFormat="1" ht="32.1" customHeight="1" thickBot="1">
      <c r="A5" s="2572"/>
      <c r="B5" s="2806" t="s">
        <v>2356</v>
      </c>
      <c r="C5" s="2841"/>
      <c r="D5" s="2841"/>
      <c r="E5" s="1309"/>
      <c r="F5" s="1565"/>
      <c r="G5" s="1566"/>
      <c r="H5" s="1566"/>
      <c r="I5" s="1566"/>
      <c r="J5" s="1566"/>
    </row>
    <row r="6" spans="1:10" ht="21.95" customHeight="1">
      <c r="A6" s="2572"/>
      <c r="B6" s="2810" t="s">
        <v>2357</v>
      </c>
      <c r="C6" s="2811"/>
      <c r="D6" s="1567" t="s">
        <v>2358</v>
      </c>
      <c r="E6" s="1273"/>
      <c r="F6" s="1560"/>
      <c r="G6" s="1561"/>
      <c r="H6" s="1561"/>
      <c r="I6" s="1561"/>
      <c r="J6" s="1561"/>
    </row>
    <row r="7" spans="1:10" ht="32.1" customHeight="1" thickBot="1">
      <c r="A7" s="2572"/>
      <c r="B7" s="2812"/>
      <c r="C7" s="2813"/>
      <c r="D7" s="1568" t="s">
        <v>2359</v>
      </c>
      <c r="E7" s="1283"/>
      <c r="F7" s="1563"/>
      <c r="G7" s="1564"/>
      <c r="H7" s="1564"/>
      <c r="I7" s="1564"/>
      <c r="J7" s="1564"/>
    </row>
    <row r="8" spans="1:10" ht="21.95" customHeight="1">
      <c r="A8" s="2572"/>
      <c r="B8" s="2842" t="s">
        <v>2360</v>
      </c>
      <c r="C8" s="2845" t="s">
        <v>2361</v>
      </c>
      <c r="D8" s="1567" t="s">
        <v>1539</v>
      </c>
      <c r="E8" s="1273"/>
      <c r="F8" s="1560"/>
      <c r="G8" s="1561"/>
      <c r="H8" s="1561"/>
      <c r="I8" s="1561"/>
      <c r="J8" s="1561"/>
    </row>
    <row r="9" spans="1:10" ht="21.95" customHeight="1">
      <c r="A9" s="2572"/>
      <c r="B9" s="2843"/>
      <c r="C9" s="2846"/>
      <c r="D9" s="1569" t="s">
        <v>2362</v>
      </c>
      <c r="E9" s="1279"/>
      <c r="F9" s="1442"/>
      <c r="G9" s="1570"/>
      <c r="H9" s="1570"/>
      <c r="I9" s="1570"/>
      <c r="J9" s="1570"/>
    </row>
    <row r="10" spans="1:10" ht="21.95" customHeight="1" thickBot="1">
      <c r="A10" s="2572"/>
      <c r="B10" s="2843"/>
      <c r="C10" s="2847"/>
      <c r="D10" s="1568" t="s">
        <v>2363</v>
      </c>
      <c r="E10" s="1283"/>
      <c r="F10" s="1563"/>
      <c r="G10" s="1564"/>
      <c r="H10" s="1564"/>
      <c r="I10" s="1564"/>
      <c r="J10" s="1564"/>
    </row>
    <row r="11" spans="1:10" ht="21.95" customHeight="1">
      <c r="A11" s="2572"/>
      <c r="B11" s="2843"/>
      <c r="C11" s="2823" t="s">
        <v>1504</v>
      </c>
      <c r="D11" s="1571" t="s">
        <v>2364</v>
      </c>
      <c r="E11" s="748"/>
      <c r="F11" s="766"/>
      <c r="G11" s="743"/>
      <c r="H11" s="743"/>
      <c r="I11" s="743"/>
      <c r="J11" s="743"/>
    </row>
    <row r="12" spans="1:10" ht="21.95" customHeight="1">
      <c r="A12" s="2572"/>
      <c r="B12" s="2843"/>
      <c r="C12" s="2825"/>
      <c r="D12" s="1572" t="s">
        <v>2365</v>
      </c>
      <c r="E12" s="748"/>
      <c r="F12" s="775"/>
      <c r="G12" s="752"/>
      <c r="H12" s="752"/>
      <c r="I12" s="752"/>
      <c r="J12" s="752"/>
    </row>
    <row r="13" spans="1:10" ht="21.95" customHeight="1" thickBot="1">
      <c r="A13" s="2572"/>
      <c r="B13" s="2843"/>
      <c r="C13" s="2827"/>
      <c r="D13" s="1573" t="s">
        <v>2366</v>
      </c>
      <c r="E13" s="755"/>
      <c r="F13" s="768"/>
      <c r="G13" s="761"/>
      <c r="H13" s="761"/>
      <c r="I13" s="761"/>
      <c r="J13" s="761"/>
    </row>
    <row r="14" spans="1:10" ht="21.95" customHeight="1">
      <c r="A14" s="2572"/>
      <c r="B14" s="2843"/>
      <c r="C14" s="2823" t="s">
        <v>1508</v>
      </c>
      <c r="D14" s="1571" t="s">
        <v>2364</v>
      </c>
      <c r="E14" s="748"/>
      <c r="F14" s="749"/>
      <c r="G14" s="752">
        <f>+G11</f>
        <v>0</v>
      </c>
      <c r="H14" s="752">
        <f t="shared" ref="H14:J16" si="0">+H11</f>
        <v>0</v>
      </c>
      <c r="I14" s="752">
        <f t="shared" si="0"/>
        <v>0</v>
      </c>
      <c r="J14" s="752">
        <f t="shared" si="0"/>
        <v>0</v>
      </c>
    </row>
    <row r="15" spans="1:10" ht="21.95" customHeight="1">
      <c r="A15" s="2572"/>
      <c r="B15" s="2843"/>
      <c r="C15" s="2825"/>
      <c r="D15" s="1572" t="s">
        <v>2365</v>
      </c>
      <c r="E15" s="748"/>
      <c r="F15" s="749"/>
      <c r="G15" s="752">
        <f>+G12</f>
        <v>0</v>
      </c>
      <c r="H15" s="752">
        <f t="shared" si="0"/>
        <v>0</v>
      </c>
      <c r="I15" s="752">
        <f t="shared" si="0"/>
        <v>0</v>
      </c>
      <c r="J15" s="752">
        <f t="shared" si="0"/>
        <v>0</v>
      </c>
    </row>
    <row r="16" spans="1:10" ht="21.95" customHeight="1" thickBot="1">
      <c r="A16" s="2572"/>
      <c r="B16" s="2843"/>
      <c r="C16" s="2827"/>
      <c r="D16" s="1573" t="s">
        <v>2366</v>
      </c>
      <c r="E16" s="755"/>
      <c r="F16" s="756"/>
      <c r="G16" s="761">
        <f>+G13</f>
        <v>0</v>
      </c>
      <c r="H16" s="761">
        <f t="shared" si="0"/>
        <v>0</v>
      </c>
      <c r="I16" s="761">
        <f t="shared" si="0"/>
        <v>0</v>
      </c>
      <c r="J16" s="761">
        <f t="shared" si="0"/>
        <v>0</v>
      </c>
    </row>
    <row r="17" spans="1:10" ht="21.95" customHeight="1">
      <c r="A17" s="2572"/>
      <c r="B17" s="2843"/>
      <c r="C17" s="2823" t="s">
        <v>1509</v>
      </c>
      <c r="D17" s="1571" t="s">
        <v>1510</v>
      </c>
      <c r="E17" s="759"/>
      <c r="F17" s="760"/>
      <c r="G17" s="743"/>
      <c r="H17" s="743"/>
      <c r="I17" s="743"/>
      <c r="J17" s="743"/>
    </row>
    <row r="18" spans="1:10" ht="21.95" customHeight="1">
      <c r="A18" s="2572"/>
      <c r="B18" s="2843"/>
      <c r="C18" s="2825"/>
      <c r="D18" s="1572" t="s">
        <v>2364</v>
      </c>
      <c r="E18" s="748"/>
      <c r="F18" s="749"/>
      <c r="G18" s="752">
        <f>+G11</f>
        <v>0</v>
      </c>
      <c r="H18" s="752">
        <f t="shared" ref="H18:J20" si="1">+H11</f>
        <v>0</v>
      </c>
      <c r="I18" s="752">
        <f t="shared" si="1"/>
        <v>0</v>
      </c>
      <c r="J18" s="752">
        <f t="shared" si="1"/>
        <v>0</v>
      </c>
    </row>
    <row r="19" spans="1:10" ht="21.95" customHeight="1">
      <c r="A19" s="2572"/>
      <c r="B19" s="2843"/>
      <c r="C19" s="2825"/>
      <c r="D19" s="1572" t="s">
        <v>2365</v>
      </c>
      <c r="E19" s="748"/>
      <c r="F19" s="775"/>
      <c r="G19" s="752">
        <f>+G12</f>
        <v>0</v>
      </c>
      <c r="H19" s="752">
        <f t="shared" si="1"/>
        <v>0</v>
      </c>
      <c r="I19" s="752">
        <f t="shared" si="1"/>
        <v>0</v>
      </c>
      <c r="J19" s="752">
        <f t="shared" si="1"/>
        <v>0</v>
      </c>
    </row>
    <row r="20" spans="1:10" ht="21.95" customHeight="1" thickBot="1">
      <c r="A20" s="2572"/>
      <c r="B20" s="2844"/>
      <c r="C20" s="2827"/>
      <c r="D20" s="1573" t="s">
        <v>2366</v>
      </c>
      <c r="E20" s="755"/>
      <c r="F20" s="768"/>
      <c r="G20" s="761">
        <f>+G13</f>
        <v>0</v>
      </c>
      <c r="H20" s="761">
        <f t="shared" si="1"/>
        <v>0</v>
      </c>
      <c r="I20" s="761">
        <f t="shared" si="1"/>
        <v>0</v>
      </c>
      <c r="J20" s="761">
        <f t="shared" si="1"/>
        <v>0</v>
      </c>
    </row>
    <row r="21" spans="1:10" ht="21.95" customHeight="1">
      <c r="A21" s="2572"/>
      <c r="B21" s="2848" t="s">
        <v>2367</v>
      </c>
      <c r="C21" s="2849"/>
      <c r="D21" s="1567" t="s">
        <v>1696</v>
      </c>
      <c r="E21" s="1273"/>
      <c r="F21" s="1560"/>
      <c r="G21" s="1561"/>
      <c r="H21" s="1561"/>
      <c r="I21" s="1561"/>
      <c r="J21" s="1561"/>
    </row>
    <row r="22" spans="1:10" ht="21.95" customHeight="1">
      <c r="A22" s="2572"/>
      <c r="B22" s="2850"/>
      <c r="C22" s="2851"/>
      <c r="D22" s="1574" t="s">
        <v>2368</v>
      </c>
      <c r="E22" s="1279"/>
      <c r="F22" s="1442"/>
      <c r="G22" s="1570"/>
      <c r="H22" s="1570"/>
      <c r="I22" s="1570"/>
      <c r="J22" s="1570"/>
    </row>
    <row r="23" spans="1:10" ht="21.95" customHeight="1">
      <c r="A23" s="2572"/>
      <c r="B23" s="2850"/>
      <c r="C23" s="2851"/>
      <c r="D23" s="1569" t="s">
        <v>2369</v>
      </c>
      <c r="E23" s="1279"/>
      <c r="F23" s="1442"/>
      <c r="G23" s="1570"/>
      <c r="H23" s="1570"/>
      <c r="I23" s="1570"/>
      <c r="J23" s="1570"/>
    </row>
    <row r="24" spans="1:10" ht="21.95" customHeight="1">
      <c r="A24" s="2572"/>
      <c r="B24" s="2850"/>
      <c r="C24" s="2851"/>
      <c r="D24" s="1569" t="s">
        <v>2370</v>
      </c>
      <c r="E24" s="1279"/>
      <c r="F24" s="1442"/>
      <c r="G24" s="1570"/>
      <c r="H24" s="1570"/>
      <c r="I24" s="1570"/>
      <c r="J24" s="1570"/>
    </row>
    <row r="25" spans="1:10" ht="21.95" customHeight="1" thickBot="1">
      <c r="A25" s="2572"/>
      <c r="B25" s="2852"/>
      <c r="C25" s="2853"/>
      <c r="D25" s="1573" t="s">
        <v>2049</v>
      </c>
      <c r="E25" s="755"/>
      <c r="F25" s="768"/>
      <c r="G25" s="761">
        <f>+G24</f>
        <v>0</v>
      </c>
      <c r="H25" s="761">
        <f t="shared" ref="H25:J25" si="2">+H24</f>
        <v>0</v>
      </c>
      <c r="I25" s="761">
        <f t="shared" si="2"/>
        <v>0</v>
      </c>
      <c r="J25" s="761">
        <f t="shared" si="2"/>
        <v>0</v>
      </c>
    </row>
    <row r="26" spans="1:10" ht="21.95" customHeight="1">
      <c r="A26" s="2572"/>
      <c r="B26" s="2822" t="s">
        <v>2371</v>
      </c>
      <c r="C26" s="2854"/>
      <c r="D26" s="1567" t="s">
        <v>1539</v>
      </c>
      <c r="E26" s="1279"/>
      <c r="F26" s="1575" t="s">
        <v>2372</v>
      </c>
      <c r="G26" s="1117"/>
      <c r="H26" s="1117"/>
      <c r="I26" s="1117"/>
      <c r="J26" s="1117"/>
    </row>
    <row r="27" spans="1:10" ht="21.95" customHeight="1">
      <c r="A27" s="2572"/>
      <c r="B27" s="2855"/>
      <c r="C27" s="2856"/>
      <c r="D27" s="1569" t="s">
        <v>2373</v>
      </c>
      <c r="E27" s="1279"/>
      <c r="F27" s="2837" t="s">
        <v>2374</v>
      </c>
      <c r="G27" s="1576"/>
      <c r="H27" s="1576"/>
      <c r="I27" s="1576"/>
      <c r="J27" s="1576"/>
    </row>
    <row r="28" spans="1:10" ht="21.95" customHeight="1">
      <c r="A28" s="2572"/>
      <c r="B28" s="2855"/>
      <c r="C28" s="2856"/>
      <c r="D28" s="1569" t="s">
        <v>2375</v>
      </c>
      <c r="E28" s="1279"/>
      <c r="F28" s="2837"/>
      <c r="G28" s="862"/>
      <c r="H28" s="862"/>
      <c r="I28" s="862"/>
      <c r="J28" s="862"/>
    </row>
    <row r="29" spans="1:10" ht="21.95" customHeight="1" thickBot="1">
      <c r="A29" s="2572"/>
      <c r="B29" s="2857"/>
      <c r="C29" s="2858"/>
      <c r="D29" s="1577" t="s">
        <v>2376</v>
      </c>
      <c r="E29" s="1283"/>
      <c r="F29" s="1578" t="s">
        <v>2377</v>
      </c>
      <c r="G29" s="1564">
        <f>+G33</f>
        <v>0</v>
      </c>
      <c r="H29" s="1564">
        <f t="shared" ref="H29:J29" si="3">+H33</f>
        <v>0</v>
      </c>
      <c r="I29" s="1564">
        <f t="shared" si="3"/>
        <v>0</v>
      </c>
      <c r="J29" s="1564">
        <f t="shared" si="3"/>
        <v>0</v>
      </c>
    </row>
    <row r="30" spans="1:10" ht="21.95" customHeight="1">
      <c r="A30" s="2572"/>
      <c r="B30" s="2808" t="s">
        <v>2378</v>
      </c>
      <c r="C30" s="2809"/>
      <c r="D30" s="1567" t="s">
        <v>1539</v>
      </c>
      <c r="E30" s="1279"/>
      <c r="F30" s="1579" t="s">
        <v>2379</v>
      </c>
      <c r="G30" s="834"/>
      <c r="H30" s="834"/>
      <c r="I30" s="834"/>
      <c r="J30" s="834"/>
    </row>
    <row r="31" spans="1:10" ht="21.95" customHeight="1">
      <c r="A31" s="2572"/>
      <c r="B31" s="2810"/>
      <c r="C31" s="2811"/>
      <c r="D31" s="1569" t="s">
        <v>2373</v>
      </c>
      <c r="E31" s="1279"/>
      <c r="F31" s="1580" t="s">
        <v>2380</v>
      </c>
      <c r="G31" s="1570"/>
      <c r="H31" s="1570"/>
      <c r="I31" s="1570"/>
      <c r="J31" s="1570"/>
    </row>
    <row r="32" spans="1:10" ht="21.95" customHeight="1">
      <c r="A32" s="2572"/>
      <c r="B32" s="2810"/>
      <c r="C32" s="2811"/>
      <c r="D32" s="1569" t="s">
        <v>2375</v>
      </c>
      <c r="E32" s="1279"/>
      <c r="F32" s="1581"/>
      <c r="G32" s="834"/>
      <c r="H32" s="834"/>
      <c r="I32" s="834"/>
      <c r="J32" s="834"/>
    </row>
    <row r="33" spans="1:10" ht="21.95" customHeight="1" thickBot="1">
      <c r="A33" s="2572"/>
      <c r="B33" s="2812"/>
      <c r="C33" s="2813"/>
      <c r="D33" s="1577" t="s">
        <v>2376</v>
      </c>
      <c r="E33" s="1283"/>
      <c r="F33" s="1578" t="s">
        <v>2377</v>
      </c>
      <c r="G33" s="1564"/>
      <c r="H33" s="1564"/>
      <c r="I33" s="1564"/>
      <c r="J33" s="1564"/>
    </row>
    <row r="34" spans="1:10" ht="21.95" customHeight="1">
      <c r="A34" s="2572"/>
      <c r="B34" s="2808" t="s">
        <v>2381</v>
      </c>
      <c r="C34" s="2809"/>
      <c r="D34" s="1567" t="s">
        <v>1539</v>
      </c>
      <c r="E34" s="1279"/>
      <c r="F34" s="1575" t="s">
        <v>2372</v>
      </c>
      <c r="G34" s="1561"/>
      <c r="H34" s="1561"/>
      <c r="I34" s="1561"/>
      <c r="J34" s="1561"/>
    </row>
    <row r="35" spans="1:10" ht="21.95" customHeight="1">
      <c r="A35" s="2572"/>
      <c r="B35" s="2810"/>
      <c r="C35" s="2811"/>
      <c r="D35" s="1569" t="s">
        <v>2373</v>
      </c>
      <c r="E35" s="1279"/>
      <c r="F35" s="2837" t="s">
        <v>2374</v>
      </c>
      <c r="G35" s="1576"/>
      <c r="H35" s="1576"/>
      <c r="I35" s="1576"/>
      <c r="J35" s="1576"/>
    </row>
    <row r="36" spans="1:10" ht="21.95" customHeight="1">
      <c r="A36" s="2572"/>
      <c r="B36" s="2810"/>
      <c r="C36" s="2811"/>
      <c r="D36" s="1569" t="s">
        <v>1355</v>
      </c>
      <c r="E36" s="1279"/>
      <c r="F36" s="2837"/>
      <c r="G36" s="1576"/>
      <c r="H36" s="1576"/>
      <c r="I36" s="1576"/>
      <c r="J36" s="1576"/>
    </row>
    <row r="37" spans="1:10" ht="21.95" customHeight="1" thickBot="1">
      <c r="A37" s="2572"/>
      <c r="B37" s="2812"/>
      <c r="C37" s="2813"/>
      <c r="D37" s="1577" t="s">
        <v>2376</v>
      </c>
      <c r="E37" s="1283"/>
      <c r="F37" s="1578" t="s">
        <v>2377</v>
      </c>
      <c r="G37" s="1564"/>
      <c r="H37" s="1564"/>
      <c r="I37" s="1564"/>
      <c r="J37" s="1564"/>
    </row>
    <row r="38" spans="1:10" ht="21.95" customHeight="1" thickBot="1">
      <c r="A38" s="2572"/>
      <c r="B38" s="2833" t="s">
        <v>2382</v>
      </c>
      <c r="C38" s="2801" t="s">
        <v>2383</v>
      </c>
      <c r="D38" s="1567" t="s">
        <v>1539</v>
      </c>
      <c r="E38" s="1273"/>
      <c r="F38" s="1575" t="s">
        <v>2372</v>
      </c>
      <c r="G38" s="1561"/>
      <c r="H38" s="1561"/>
      <c r="I38" s="1561"/>
      <c r="J38" s="1561"/>
    </row>
    <row r="39" spans="1:10" ht="21.95" customHeight="1" thickBot="1">
      <c r="A39" s="2572"/>
      <c r="B39" s="2833"/>
      <c r="C39" s="2801"/>
      <c r="D39" s="1569" t="s">
        <v>2373</v>
      </c>
      <c r="E39" s="1279"/>
      <c r="F39" s="1582" t="s">
        <v>2384</v>
      </c>
      <c r="G39" s="1576"/>
      <c r="H39" s="1576"/>
      <c r="I39" s="1576"/>
      <c r="J39" s="1576"/>
    </row>
    <row r="40" spans="1:10" ht="21.95" customHeight="1" thickBot="1">
      <c r="A40" s="2572"/>
      <c r="B40" s="2833"/>
      <c r="C40" s="2801"/>
      <c r="D40" s="1569" t="s">
        <v>2375</v>
      </c>
      <c r="E40" s="1279"/>
      <c r="F40" s="1580" t="s">
        <v>2380</v>
      </c>
      <c r="G40" s="1570"/>
      <c r="H40" s="1570"/>
      <c r="I40" s="1570"/>
      <c r="J40" s="1570"/>
    </row>
    <row r="41" spans="1:10" ht="21.95" customHeight="1" thickBot="1">
      <c r="A41" s="2572"/>
      <c r="B41" s="2833"/>
      <c r="C41" s="2832"/>
      <c r="D41" s="1583" t="s">
        <v>2376</v>
      </c>
      <c r="E41" s="1584"/>
      <c r="F41" s="1585" t="s">
        <v>2377</v>
      </c>
      <c r="G41" s="1586"/>
      <c r="H41" s="1586"/>
      <c r="I41" s="1586"/>
      <c r="J41" s="1586"/>
    </row>
    <row r="42" spans="1:10" ht="21.95" customHeight="1" thickBot="1">
      <c r="A42" s="2572"/>
      <c r="B42" s="2833"/>
      <c r="C42" s="2827" t="s">
        <v>2385</v>
      </c>
      <c r="D42" s="1574" t="s">
        <v>1539</v>
      </c>
      <c r="E42" s="1279"/>
      <c r="F42" s="1575" t="s">
        <v>2372</v>
      </c>
      <c r="G42" s="1561"/>
      <c r="H42" s="1561"/>
      <c r="I42" s="1561"/>
      <c r="J42" s="1561"/>
    </row>
    <row r="43" spans="1:10" ht="21.95" customHeight="1" thickBot="1">
      <c r="A43" s="2572"/>
      <c r="B43" s="2833"/>
      <c r="C43" s="2801"/>
      <c r="D43" s="1569" t="s">
        <v>2373</v>
      </c>
      <c r="E43" s="1279"/>
      <c r="F43" s="1582" t="s">
        <v>2384</v>
      </c>
      <c r="G43" s="1576"/>
      <c r="H43" s="1576"/>
      <c r="I43" s="1576"/>
      <c r="J43" s="1576"/>
    </row>
    <row r="44" spans="1:10" ht="21.95" customHeight="1" thickBot="1">
      <c r="A44" s="2572"/>
      <c r="B44" s="2833"/>
      <c r="C44" s="2801"/>
      <c r="D44" s="1569" t="s">
        <v>2375</v>
      </c>
      <c r="E44" s="1279"/>
      <c r="F44" s="1580" t="s">
        <v>2380</v>
      </c>
      <c r="G44" s="1570"/>
      <c r="H44" s="1570"/>
      <c r="I44" s="1570"/>
      <c r="J44" s="1570"/>
    </row>
    <row r="45" spans="1:10" ht="21.95" customHeight="1" thickBot="1">
      <c r="A45" s="2572"/>
      <c r="B45" s="2833"/>
      <c r="C45" s="2801"/>
      <c r="D45" s="1577" t="s">
        <v>2376</v>
      </c>
      <c r="E45" s="1283"/>
      <c r="F45" s="1578" t="s">
        <v>2377</v>
      </c>
      <c r="G45" s="1564"/>
      <c r="H45" s="1564"/>
      <c r="I45" s="1564"/>
      <c r="J45" s="1564"/>
    </row>
    <row r="46" spans="1:10" ht="21.95" customHeight="1" thickBot="1">
      <c r="A46" s="2572"/>
      <c r="B46" s="2833" t="s">
        <v>2386</v>
      </c>
      <c r="C46" s="2801" t="s">
        <v>2383</v>
      </c>
      <c r="D46" s="1567" t="s">
        <v>1539</v>
      </c>
      <c r="E46" s="1273"/>
      <c r="F46" s="1575" t="s">
        <v>2372</v>
      </c>
      <c r="G46" s="1561"/>
      <c r="H46" s="1561"/>
      <c r="I46" s="1561"/>
      <c r="J46" s="1561"/>
    </row>
    <row r="47" spans="1:10" ht="21.95" customHeight="1" thickBot="1">
      <c r="A47" s="2572"/>
      <c r="B47" s="2833"/>
      <c r="C47" s="2801"/>
      <c r="D47" s="1569" t="s">
        <v>2373</v>
      </c>
      <c r="E47" s="1279"/>
      <c r="F47" s="1582" t="s">
        <v>2384</v>
      </c>
      <c r="G47" s="1576"/>
      <c r="H47" s="1576"/>
      <c r="I47" s="1576"/>
      <c r="J47" s="1576"/>
    </row>
    <row r="48" spans="1:10" ht="21.95" customHeight="1" thickBot="1">
      <c r="A48" s="2572"/>
      <c r="B48" s="2833"/>
      <c r="C48" s="2801"/>
      <c r="D48" s="1569" t="s">
        <v>2375</v>
      </c>
      <c r="E48" s="1279"/>
      <c r="F48" s="1580" t="s">
        <v>2380</v>
      </c>
      <c r="G48" s="1570"/>
      <c r="H48" s="1570"/>
      <c r="I48" s="1570"/>
      <c r="J48" s="1570"/>
    </row>
    <row r="49" spans="1:10" ht="21.95" customHeight="1" thickBot="1">
      <c r="A49" s="2572"/>
      <c r="B49" s="2833"/>
      <c r="C49" s="2832"/>
      <c r="D49" s="1583" t="s">
        <v>2376</v>
      </c>
      <c r="E49" s="1584"/>
      <c r="F49" s="1585" t="s">
        <v>2377</v>
      </c>
      <c r="G49" s="1586"/>
      <c r="H49" s="1586"/>
      <c r="I49" s="1586"/>
      <c r="J49" s="1586"/>
    </row>
    <row r="50" spans="1:10" ht="21.95" customHeight="1" thickBot="1">
      <c r="A50" s="2572"/>
      <c r="B50" s="2833"/>
      <c r="C50" s="2827" t="s">
        <v>2385</v>
      </c>
      <c r="D50" s="1574" t="s">
        <v>1539</v>
      </c>
      <c r="E50" s="1279"/>
      <c r="F50" s="1575" t="s">
        <v>2372</v>
      </c>
      <c r="G50" s="1561"/>
      <c r="H50" s="1561"/>
      <c r="I50" s="1561"/>
      <c r="J50" s="1561"/>
    </row>
    <row r="51" spans="1:10" ht="21.95" customHeight="1" thickBot="1">
      <c r="A51" s="2572"/>
      <c r="B51" s="2833"/>
      <c r="C51" s="2801"/>
      <c r="D51" s="1569" t="s">
        <v>2373</v>
      </c>
      <c r="E51" s="1279"/>
      <c r="F51" s="1582" t="s">
        <v>2384</v>
      </c>
      <c r="G51" s="1576"/>
      <c r="H51" s="1576"/>
      <c r="I51" s="1576"/>
      <c r="J51" s="1576"/>
    </row>
    <row r="52" spans="1:10" ht="21.95" customHeight="1" thickBot="1">
      <c r="A52" s="2572"/>
      <c r="B52" s="2833"/>
      <c r="C52" s="2801"/>
      <c r="D52" s="1569" t="s">
        <v>2375</v>
      </c>
      <c r="E52" s="1279"/>
      <c r="F52" s="1580" t="s">
        <v>2380</v>
      </c>
      <c r="G52" s="1570"/>
      <c r="H52" s="1570"/>
      <c r="I52" s="1570"/>
      <c r="J52" s="1570"/>
    </row>
    <row r="53" spans="1:10" ht="21.95" customHeight="1" thickBot="1">
      <c r="A53" s="2572"/>
      <c r="B53" s="2833"/>
      <c r="C53" s="2801"/>
      <c r="D53" s="1577" t="s">
        <v>2376</v>
      </c>
      <c r="E53" s="1283"/>
      <c r="F53" s="1578" t="s">
        <v>2377</v>
      </c>
      <c r="G53" s="1564"/>
      <c r="H53" s="1564"/>
      <c r="I53" s="1564"/>
      <c r="J53" s="1564"/>
    </row>
    <row r="54" spans="1:10" ht="21.95" customHeight="1" thickBot="1">
      <c r="A54" s="2572"/>
      <c r="B54" s="2833" t="s">
        <v>2387</v>
      </c>
      <c r="C54" s="2801" t="s">
        <v>2383</v>
      </c>
      <c r="D54" s="1574" t="s">
        <v>1539</v>
      </c>
      <c r="E54" s="1273"/>
      <c r="F54" s="1575" t="s">
        <v>2372</v>
      </c>
      <c r="G54" s="1561"/>
      <c r="H54" s="1561"/>
      <c r="I54" s="1561"/>
      <c r="J54" s="1561"/>
    </row>
    <row r="55" spans="1:10" ht="21.95" customHeight="1" thickBot="1">
      <c r="A55" s="2572"/>
      <c r="B55" s="2833"/>
      <c r="C55" s="2801"/>
      <c r="D55" s="1569" t="s">
        <v>2373</v>
      </c>
      <c r="E55" s="1279"/>
      <c r="F55" s="1582" t="s">
        <v>2384</v>
      </c>
      <c r="G55" s="1576"/>
      <c r="H55" s="1576"/>
      <c r="I55" s="1576"/>
      <c r="J55" s="1576"/>
    </row>
    <row r="56" spans="1:10" ht="21.95" customHeight="1" thickBot="1">
      <c r="A56" s="2572"/>
      <c r="B56" s="2833"/>
      <c r="C56" s="2801"/>
      <c r="D56" s="1569" t="s">
        <v>2375</v>
      </c>
      <c r="E56" s="1279"/>
      <c r="F56" s="1580" t="s">
        <v>2380</v>
      </c>
      <c r="G56" s="1570"/>
      <c r="H56" s="1570"/>
      <c r="I56" s="1570"/>
      <c r="J56" s="1570"/>
    </row>
    <row r="57" spans="1:10" ht="21.95" customHeight="1" thickBot="1">
      <c r="A57" s="2572"/>
      <c r="B57" s="2833"/>
      <c r="C57" s="2832"/>
      <c r="D57" s="1583" t="s">
        <v>2376</v>
      </c>
      <c r="E57" s="1584"/>
      <c r="F57" s="1585" t="s">
        <v>2377</v>
      </c>
      <c r="G57" s="1586"/>
      <c r="H57" s="1586"/>
      <c r="I57" s="1586"/>
      <c r="J57" s="1586"/>
    </row>
    <row r="58" spans="1:10" ht="21.95" customHeight="1" thickBot="1">
      <c r="A58" s="2572"/>
      <c r="B58" s="2833"/>
      <c r="C58" s="2827" t="s">
        <v>2385</v>
      </c>
      <c r="D58" s="1574" t="s">
        <v>1539</v>
      </c>
      <c r="E58" s="1279"/>
      <c r="F58" s="1575" t="s">
        <v>2372</v>
      </c>
      <c r="G58" s="1561"/>
      <c r="H58" s="1561"/>
      <c r="I58" s="1561"/>
      <c r="J58" s="1561"/>
    </row>
    <row r="59" spans="1:10" ht="21.95" customHeight="1" thickBot="1">
      <c r="A59" s="2572"/>
      <c r="B59" s="2833"/>
      <c r="C59" s="2801"/>
      <c r="D59" s="1569" t="s">
        <v>2373</v>
      </c>
      <c r="E59" s="1279"/>
      <c r="F59" s="1582" t="s">
        <v>2384</v>
      </c>
      <c r="G59" s="1576"/>
      <c r="H59" s="1576"/>
      <c r="I59" s="1576"/>
      <c r="J59" s="1576"/>
    </row>
    <row r="60" spans="1:10" ht="21.95" customHeight="1" thickBot="1">
      <c r="A60" s="2572"/>
      <c r="B60" s="2833"/>
      <c r="C60" s="2801"/>
      <c r="D60" s="1569" t="s">
        <v>2375</v>
      </c>
      <c r="E60" s="1279"/>
      <c r="F60" s="1580" t="s">
        <v>2380</v>
      </c>
      <c r="G60" s="1570"/>
      <c r="H60" s="1570"/>
      <c r="I60" s="1570"/>
      <c r="J60" s="1570"/>
    </row>
    <row r="61" spans="1:10" ht="21.95" customHeight="1" thickBot="1">
      <c r="A61" s="2572"/>
      <c r="B61" s="2833"/>
      <c r="C61" s="2801"/>
      <c r="D61" s="1577" t="s">
        <v>2376</v>
      </c>
      <c r="E61" s="1283"/>
      <c r="F61" s="1578" t="s">
        <v>2377</v>
      </c>
      <c r="G61" s="1564"/>
      <c r="H61" s="1564"/>
      <c r="I61" s="1564"/>
      <c r="J61" s="1564"/>
    </row>
    <row r="62" spans="1:10" ht="21.95" customHeight="1">
      <c r="A62" s="2572"/>
      <c r="B62" s="2834" t="s">
        <v>2388</v>
      </c>
      <c r="C62" s="2823" t="s">
        <v>2383</v>
      </c>
      <c r="D62" s="1567" t="s">
        <v>1539</v>
      </c>
      <c r="E62" s="1273"/>
      <c r="F62" s="1575" t="s">
        <v>2389</v>
      </c>
      <c r="G62" s="1561"/>
      <c r="H62" s="1561"/>
      <c r="I62" s="1561"/>
      <c r="J62" s="1561"/>
    </row>
    <row r="63" spans="1:10" ht="21.95" customHeight="1">
      <c r="A63" s="2572"/>
      <c r="B63" s="2835"/>
      <c r="C63" s="2825"/>
      <c r="D63" s="1569" t="s">
        <v>2373</v>
      </c>
      <c r="E63" s="1279"/>
      <c r="F63" s="1582" t="s">
        <v>2384</v>
      </c>
      <c r="G63" s="1576"/>
      <c r="H63" s="1576"/>
      <c r="I63" s="1576"/>
      <c r="J63" s="1576"/>
    </row>
    <row r="64" spans="1:10" ht="21.95" customHeight="1">
      <c r="A64" s="2572"/>
      <c r="B64" s="2835"/>
      <c r="C64" s="2821"/>
      <c r="D64" s="1583" t="s">
        <v>2376</v>
      </c>
      <c r="E64" s="1584"/>
      <c r="F64" s="1585" t="s">
        <v>2377</v>
      </c>
      <c r="G64" s="1570"/>
      <c r="H64" s="1570"/>
      <c r="I64" s="1570"/>
      <c r="J64" s="1570"/>
    </row>
    <row r="65" spans="1:10" ht="21.95" customHeight="1">
      <c r="A65" s="2572"/>
      <c r="B65" s="2835"/>
      <c r="C65" s="2825" t="s">
        <v>2385</v>
      </c>
      <c r="D65" s="1569" t="s">
        <v>1539</v>
      </c>
      <c r="E65" s="1279"/>
      <c r="F65" s="1575" t="s">
        <v>2372</v>
      </c>
      <c r="G65" s="1587"/>
      <c r="H65" s="1587"/>
      <c r="I65" s="1587"/>
      <c r="J65" s="1587"/>
    </row>
    <row r="66" spans="1:10" ht="21.95" customHeight="1">
      <c r="A66" s="2572"/>
      <c r="B66" s="2835"/>
      <c r="C66" s="2825"/>
      <c r="D66" s="1569" t="s">
        <v>2373</v>
      </c>
      <c r="E66" s="1279"/>
      <c r="F66" s="1582" t="s">
        <v>2384</v>
      </c>
      <c r="G66" s="1576"/>
      <c r="H66" s="1576"/>
      <c r="I66" s="1576"/>
      <c r="J66" s="1576"/>
    </row>
    <row r="67" spans="1:10" ht="21.95" customHeight="1">
      <c r="A67" s="2572"/>
      <c r="B67" s="2835"/>
      <c r="C67" s="2825"/>
      <c r="D67" s="1569" t="s">
        <v>2375</v>
      </c>
      <c r="E67" s="1279"/>
      <c r="F67" s="1580" t="s">
        <v>2390</v>
      </c>
      <c r="G67" s="1570"/>
      <c r="H67" s="1570"/>
      <c r="I67" s="1570"/>
      <c r="J67" s="1570"/>
    </row>
    <row r="68" spans="1:10" ht="21.95" customHeight="1" thickBot="1">
      <c r="A68" s="2572"/>
      <c r="B68" s="2836"/>
      <c r="C68" s="2827"/>
      <c r="D68" s="1577" t="s">
        <v>2376</v>
      </c>
      <c r="E68" s="1283"/>
      <c r="F68" s="1578" t="s">
        <v>2377</v>
      </c>
      <c r="G68" s="1564"/>
      <c r="H68" s="1564"/>
      <c r="I68" s="1564"/>
      <c r="J68" s="1564"/>
    </row>
    <row r="69" spans="1:10" ht="21.95" customHeight="1">
      <c r="A69" s="2572"/>
      <c r="B69" s="2814" t="s">
        <v>2391</v>
      </c>
      <c r="C69" s="2815"/>
      <c r="D69" s="1588" t="s">
        <v>1972</v>
      </c>
      <c r="E69" s="1279"/>
      <c r="F69" s="1442"/>
      <c r="G69" s="1561"/>
      <c r="H69" s="1561"/>
      <c r="I69" s="1561"/>
      <c r="J69" s="1561"/>
    </row>
    <row r="70" spans="1:10" ht="21.95" customHeight="1">
      <c r="A70" s="2572"/>
      <c r="B70" s="2816"/>
      <c r="C70" s="2817"/>
      <c r="D70" s="1583" t="s">
        <v>2392</v>
      </c>
      <c r="E70" s="1279"/>
      <c r="F70" s="1442"/>
      <c r="G70" s="1570"/>
      <c r="H70" s="1570"/>
      <c r="I70" s="1570"/>
      <c r="J70" s="1570"/>
    </row>
    <row r="71" spans="1:10" ht="21.95" customHeight="1">
      <c r="A71" s="2572"/>
      <c r="B71" s="2816"/>
      <c r="C71" s="2817"/>
      <c r="D71" s="1583" t="s">
        <v>2393</v>
      </c>
      <c r="E71" s="1279"/>
      <c r="F71" s="1442"/>
      <c r="G71" s="1570"/>
      <c r="H71" s="1570"/>
      <c r="I71" s="1570"/>
      <c r="J71" s="1570"/>
    </row>
    <row r="72" spans="1:10" ht="21.95" customHeight="1">
      <c r="A72" s="2572"/>
      <c r="B72" s="2816"/>
      <c r="C72" s="2817"/>
      <c r="D72" s="1583" t="s">
        <v>2394</v>
      </c>
      <c r="E72" s="1279"/>
      <c r="F72" s="1442"/>
      <c r="G72" s="1570"/>
      <c r="H72" s="1570"/>
      <c r="I72" s="1570"/>
      <c r="J72" s="1570"/>
    </row>
    <row r="73" spans="1:10" ht="21.95" customHeight="1">
      <c r="A73" s="2572"/>
      <c r="B73" s="2816"/>
      <c r="C73" s="2817"/>
      <c r="D73" s="1583" t="s">
        <v>2395</v>
      </c>
      <c r="E73" s="1279"/>
      <c r="F73" s="1442"/>
      <c r="G73" s="1570"/>
      <c r="H73" s="1570"/>
      <c r="I73" s="1570"/>
      <c r="J73" s="1570"/>
    </row>
    <row r="74" spans="1:10" ht="21.95" customHeight="1">
      <c r="A74" s="2572"/>
      <c r="B74" s="2816"/>
      <c r="C74" s="2817"/>
      <c r="D74" s="1583" t="s">
        <v>2396</v>
      </c>
      <c r="E74" s="1279"/>
      <c r="F74" s="1442"/>
      <c r="G74" s="1570"/>
      <c r="H74" s="1570"/>
      <c r="I74" s="1570"/>
      <c r="J74" s="1570"/>
    </row>
    <row r="75" spans="1:10" ht="21.95" customHeight="1">
      <c r="A75" s="2572"/>
      <c r="B75" s="2816"/>
      <c r="C75" s="2817"/>
      <c r="D75" s="1583" t="s">
        <v>2397</v>
      </c>
      <c r="E75" s="1279"/>
      <c r="F75" s="1442"/>
      <c r="G75" s="1570"/>
      <c r="H75" s="1570"/>
      <c r="I75" s="1570"/>
      <c r="J75" s="1570"/>
    </row>
    <row r="76" spans="1:10" ht="21.95" customHeight="1">
      <c r="A76" s="2572"/>
      <c r="B76" s="2816"/>
      <c r="C76" s="2817"/>
      <c r="D76" s="1583" t="s">
        <v>2398</v>
      </c>
      <c r="E76" s="1279"/>
      <c r="F76" s="1442"/>
      <c r="G76" s="1570"/>
      <c r="H76" s="1570"/>
      <c r="I76" s="1570"/>
      <c r="J76" s="1570"/>
    </row>
    <row r="77" spans="1:10" ht="21.95" customHeight="1" thickBot="1">
      <c r="A77" s="2572"/>
      <c r="B77" s="2816"/>
      <c r="C77" s="2817"/>
      <c r="D77" s="1577" t="s">
        <v>2399</v>
      </c>
      <c r="E77" s="1283"/>
      <c r="F77" s="1563"/>
      <c r="G77" s="1564"/>
      <c r="H77" s="1564"/>
      <c r="I77" s="1564"/>
      <c r="J77" s="1564"/>
    </row>
    <row r="78" spans="1:10" ht="21.95" customHeight="1" thickBot="1">
      <c r="A78" s="2572"/>
      <c r="B78" s="2816"/>
      <c r="C78" s="2817"/>
      <c r="D78" s="1569" t="s">
        <v>2400</v>
      </c>
      <c r="E78" s="1279"/>
      <c r="F78" s="1442"/>
      <c r="G78" s="1589">
        <f>G69-G70-G71-G72-G76-G73</f>
        <v>0</v>
      </c>
      <c r="H78" s="1589">
        <f t="shared" ref="H78:J78" si="4">H69-H70-H71-H72-H76-H73</f>
        <v>0</v>
      </c>
      <c r="I78" s="1589">
        <f t="shared" si="4"/>
        <v>0</v>
      </c>
      <c r="J78" s="1589">
        <f t="shared" si="4"/>
        <v>0</v>
      </c>
    </row>
    <row r="79" spans="1:10" s="1527" customFormat="1" ht="21.95" customHeight="1">
      <c r="A79" s="2572"/>
      <c r="B79" s="2808" t="s">
        <v>2401</v>
      </c>
      <c r="C79" s="2809"/>
      <c r="D79" s="1567" t="s">
        <v>2402</v>
      </c>
      <c r="E79" s="1590"/>
      <c r="F79" s="1591"/>
      <c r="G79" s="1592"/>
      <c r="H79" s="1592"/>
      <c r="I79" s="1592"/>
      <c r="J79" s="1592"/>
    </row>
    <row r="80" spans="1:10" s="1527" customFormat="1" ht="21.95" customHeight="1">
      <c r="A80" s="2572"/>
      <c r="B80" s="2810"/>
      <c r="C80" s="2811"/>
      <c r="D80" s="1574" t="s">
        <v>2403</v>
      </c>
      <c r="E80" s="1279"/>
      <c r="F80" s="1593" t="s">
        <v>2404</v>
      </c>
      <c r="G80" s="1063"/>
      <c r="H80" s="1063"/>
      <c r="I80" s="1063"/>
      <c r="J80" s="1063"/>
    </row>
    <row r="81" spans="1:10" s="1527" customFormat="1" ht="21.95" customHeight="1">
      <c r="A81" s="2572"/>
      <c r="B81" s="2810"/>
      <c r="C81" s="2811"/>
      <c r="D81" s="1569" t="s">
        <v>2405</v>
      </c>
      <c r="E81" s="1279"/>
      <c r="F81" s="2818" t="s">
        <v>2406</v>
      </c>
      <c r="G81" s="1063"/>
      <c r="H81" s="1063"/>
      <c r="I81" s="1063"/>
      <c r="J81" s="1063"/>
    </row>
    <row r="82" spans="1:10" s="1527" customFormat="1" ht="21.95" customHeight="1">
      <c r="A82" s="2572"/>
      <c r="B82" s="2810"/>
      <c r="C82" s="2811"/>
      <c r="D82" s="1569" t="s">
        <v>1577</v>
      </c>
      <c r="E82" s="1279"/>
      <c r="F82" s="2818"/>
      <c r="G82" s="1063"/>
      <c r="H82" s="1063"/>
      <c r="I82" s="1063"/>
      <c r="J82" s="1063"/>
    </row>
    <row r="83" spans="1:10" s="1527" customFormat="1" ht="21.95" customHeight="1">
      <c r="A83" s="2572"/>
      <c r="B83" s="2810"/>
      <c r="C83" s="2811"/>
      <c r="D83" s="1569" t="s">
        <v>2407</v>
      </c>
      <c r="E83" s="1279"/>
      <c r="F83" s="2818"/>
      <c r="G83" s="1063"/>
      <c r="H83" s="1063"/>
      <c r="I83" s="1063"/>
      <c r="J83" s="1063"/>
    </row>
    <row r="84" spans="1:10" s="1527" customFormat="1" ht="21.95" customHeight="1">
      <c r="A84" s="2572"/>
      <c r="B84" s="2810"/>
      <c r="C84" s="2811"/>
      <c r="D84" s="1569" t="s">
        <v>2408</v>
      </c>
      <c r="E84" s="1279"/>
      <c r="F84" s="2818"/>
      <c r="G84" s="1063"/>
      <c r="H84" s="1063"/>
      <c r="I84" s="1063"/>
      <c r="J84" s="1063"/>
    </row>
    <row r="85" spans="1:10" s="1527" customFormat="1" ht="21.95" customHeight="1" thickBot="1">
      <c r="A85" s="2572"/>
      <c r="B85" s="2812"/>
      <c r="C85" s="2813"/>
      <c r="D85" s="1568" t="s">
        <v>2409</v>
      </c>
      <c r="E85" s="1283"/>
      <c r="F85" s="2819"/>
      <c r="G85" s="1063"/>
      <c r="H85" s="1063"/>
      <c r="I85" s="1063"/>
      <c r="J85" s="1063"/>
    </row>
    <row r="86" spans="1:10" s="1527" customFormat="1" ht="21.95" customHeight="1">
      <c r="A86" s="2572"/>
      <c r="B86" s="2820" t="s">
        <v>2008</v>
      </c>
      <c r="C86" s="2821"/>
      <c r="D86" s="1574" t="s">
        <v>2402</v>
      </c>
      <c r="E86" s="1279"/>
      <c r="F86" s="1594" t="s">
        <v>2410</v>
      </c>
      <c r="G86" s="1592"/>
      <c r="H86" s="1592"/>
      <c r="I86" s="1592"/>
      <c r="J86" s="1592"/>
    </row>
    <row r="87" spans="1:10" s="1527" customFormat="1" ht="21.95" customHeight="1">
      <c r="A87" s="2572"/>
      <c r="B87" s="2820"/>
      <c r="C87" s="2821"/>
      <c r="D87" s="1574" t="s">
        <v>2403</v>
      </c>
      <c r="E87" s="1279"/>
      <c r="F87" s="1593" t="s">
        <v>2411</v>
      </c>
      <c r="G87" s="1063"/>
      <c r="H87" s="1063"/>
      <c r="I87" s="1063"/>
      <c r="J87" s="1063"/>
    </row>
    <row r="88" spans="1:10" s="1527" customFormat="1" ht="21.95" customHeight="1">
      <c r="A88" s="2572"/>
      <c r="B88" s="2820"/>
      <c r="C88" s="2821"/>
      <c r="D88" s="1569" t="s">
        <v>2405</v>
      </c>
      <c r="E88" s="1279"/>
      <c r="F88" s="2818" t="s">
        <v>2406</v>
      </c>
      <c r="G88" s="1063"/>
      <c r="H88" s="1063"/>
      <c r="I88" s="1063"/>
      <c r="J88" s="1063"/>
    </row>
    <row r="89" spans="1:10" s="1527" customFormat="1" ht="21.95" customHeight="1">
      <c r="A89" s="2572"/>
      <c r="B89" s="2820"/>
      <c r="C89" s="2821"/>
      <c r="D89" s="1569" t="s">
        <v>1577</v>
      </c>
      <c r="E89" s="1279"/>
      <c r="F89" s="2818"/>
      <c r="G89" s="1063"/>
      <c r="H89" s="1063"/>
      <c r="I89" s="1063"/>
      <c r="J89" s="1063"/>
    </row>
    <row r="90" spans="1:10" s="1527" customFormat="1" ht="21.95" customHeight="1">
      <c r="A90" s="2572"/>
      <c r="B90" s="2820"/>
      <c r="C90" s="2821"/>
      <c r="D90" s="1569" t="s">
        <v>1578</v>
      </c>
      <c r="E90" s="1279"/>
      <c r="F90" s="2818"/>
      <c r="G90" s="1063"/>
      <c r="H90" s="1063"/>
      <c r="I90" s="1063"/>
      <c r="J90" s="1063"/>
    </row>
    <row r="91" spans="1:10" s="1527" customFormat="1" ht="21.95" customHeight="1">
      <c r="A91" s="2572"/>
      <c r="B91" s="2820"/>
      <c r="C91" s="2821"/>
      <c r="D91" s="1569" t="s">
        <v>1579</v>
      </c>
      <c r="E91" s="1279"/>
      <c r="F91" s="2818"/>
      <c r="G91" s="1063"/>
      <c r="H91" s="1063"/>
      <c r="I91" s="1063"/>
      <c r="J91" s="1063"/>
    </row>
    <row r="92" spans="1:10" s="1527" customFormat="1" ht="21.95" customHeight="1" thickBot="1">
      <c r="A92" s="2572"/>
      <c r="B92" s="2804"/>
      <c r="C92" s="2805"/>
      <c r="D92" s="1569" t="s">
        <v>1580</v>
      </c>
      <c r="E92" s="1283"/>
      <c r="F92" s="2819"/>
      <c r="G92" s="1063"/>
      <c r="H92" s="1063"/>
      <c r="I92" s="1063"/>
      <c r="J92" s="1063"/>
    </row>
    <row r="93" spans="1:10" s="1527" customFormat="1" ht="21.95" customHeight="1">
      <c r="A93" s="2572"/>
      <c r="B93" s="2822" t="s">
        <v>2412</v>
      </c>
      <c r="C93" s="2823"/>
      <c r="D93" s="1567" t="s">
        <v>2413</v>
      </c>
      <c r="E93" s="1590"/>
      <c r="F93" s="2828" t="s">
        <v>2414</v>
      </c>
      <c r="G93" s="1592"/>
      <c r="H93" s="1592"/>
      <c r="I93" s="1592"/>
      <c r="J93" s="1592"/>
    </row>
    <row r="94" spans="1:10" s="1527" customFormat="1" ht="21.95" customHeight="1">
      <c r="A94" s="2572"/>
      <c r="B94" s="2824"/>
      <c r="C94" s="2825"/>
      <c r="D94" s="1574" t="s">
        <v>2415</v>
      </c>
      <c r="E94" s="1595"/>
      <c r="F94" s="2829"/>
      <c r="G94" s="1596"/>
      <c r="H94" s="1596"/>
      <c r="I94" s="1596"/>
      <c r="J94" s="1596"/>
    </row>
    <row r="95" spans="1:10" s="1527" customFormat="1" ht="21.95" customHeight="1">
      <c r="A95" s="2572"/>
      <c r="B95" s="2824"/>
      <c r="C95" s="2825"/>
      <c r="D95" s="1569" t="s">
        <v>2416</v>
      </c>
      <c r="E95" s="1279"/>
      <c r="F95" s="2829"/>
      <c r="G95" s="842"/>
      <c r="H95" s="842"/>
      <c r="I95" s="842"/>
      <c r="J95" s="842"/>
    </row>
    <row r="96" spans="1:10" s="1527" customFormat="1" ht="21.95" customHeight="1">
      <c r="A96" s="2572"/>
      <c r="B96" s="2824"/>
      <c r="C96" s="2825"/>
      <c r="D96" s="1569" t="s">
        <v>2417</v>
      </c>
      <c r="E96" s="1279"/>
      <c r="F96" s="2829"/>
      <c r="G96" s="842"/>
      <c r="H96" s="842"/>
      <c r="I96" s="842"/>
      <c r="J96" s="842"/>
    </row>
    <row r="97" spans="1:10" s="1527" customFormat="1" ht="21.95" customHeight="1">
      <c r="A97" s="2572"/>
      <c r="B97" s="2824"/>
      <c r="C97" s="2825"/>
      <c r="D97" s="1569" t="s">
        <v>2418</v>
      </c>
      <c r="E97" s="1279"/>
      <c r="F97" s="2829"/>
      <c r="G97" s="842"/>
      <c r="H97" s="842"/>
      <c r="I97" s="842"/>
      <c r="J97" s="842"/>
    </row>
    <row r="98" spans="1:10" s="1527" customFormat="1" ht="21.95" customHeight="1">
      <c r="A98" s="2572"/>
      <c r="B98" s="2824"/>
      <c r="C98" s="2825"/>
      <c r="D98" s="1569" t="s">
        <v>2419</v>
      </c>
      <c r="E98" s="1584"/>
      <c r="F98" s="2829"/>
      <c r="G98" s="847"/>
      <c r="H98" s="847"/>
      <c r="I98" s="847"/>
      <c r="J98" s="847"/>
    </row>
    <row r="99" spans="1:10" s="1527" customFormat="1" ht="21.95" customHeight="1">
      <c r="A99" s="2572"/>
      <c r="B99" s="2824"/>
      <c r="C99" s="2825"/>
      <c r="D99" s="1574" t="s">
        <v>2420</v>
      </c>
      <c r="E99" s="1595"/>
      <c r="F99" s="2829"/>
      <c r="G99" s="1596"/>
      <c r="H99" s="1596"/>
      <c r="I99" s="1596"/>
      <c r="J99" s="1596"/>
    </row>
    <row r="100" spans="1:10" s="1527" customFormat="1" ht="21.95" customHeight="1">
      <c r="A100" s="2572"/>
      <c r="B100" s="2824"/>
      <c r="C100" s="2825"/>
      <c r="D100" s="1569" t="s">
        <v>2421</v>
      </c>
      <c r="E100" s="1279"/>
      <c r="F100" s="2829"/>
      <c r="G100" s="842"/>
      <c r="H100" s="842"/>
      <c r="I100" s="842"/>
      <c r="J100" s="842"/>
    </row>
    <row r="101" spans="1:10" s="1527" customFormat="1" ht="21.95" customHeight="1">
      <c r="A101" s="2572"/>
      <c r="B101" s="2824"/>
      <c r="C101" s="2825"/>
      <c r="D101" s="1569" t="s">
        <v>2422</v>
      </c>
      <c r="E101" s="1279"/>
      <c r="F101" s="2829"/>
      <c r="G101" s="842"/>
      <c r="H101" s="842"/>
      <c r="I101" s="842"/>
      <c r="J101" s="842"/>
    </row>
    <row r="102" spans="1:10" s="1527" customFormat="1" ht="21.95" customHeight="1">
      <c r="A102" s="2572"/>
      <c r="B102" s="2824"/>
      <c r="C102" s="2825"/>
      <c r="D102" s="1569" t="s">
        <v>2423</v>
      </c>
      <c r="E102" s="1279"/>
      <c r="F102" s="2830"/>
      <c r="G102" s="847"/>
      <c r="H102" s="847"/>
      <c r="I102" s="847"/>
      <c r="J102" s="847"/>
    </row>
    <row r="103" spans="1:10" s="1527" customFormat="1" ht="21.95" customHeight="1" thickBot="1">
      <c r="A103" s="2572"/>
      <c r="B103" s="2826"/>
      <c r="C103" s="2827"/>
      <c r="D103" s="1568" t="s">
        <v>2424</v>
      </c>
      <c r="E103" s="1283"/>
      <c r="F103" s="1563"/>
      <c r="G103" s="1564"/>
      <c r="H103" s="1564"/>
      <c r="I103" s="1564"/>
      <c r="J103" s="1564"/>
    </row>
    <row r="104" spans="1:10" s="1527" customFormat="1" ht="21.95" customHeight="1" thickBot="1">
      <c r="A104" s="2572"/>
      <c r="B104" s="2800" t="s">
        <v>2425</v>
      </c>
      <c r="C104" s="2801"/>
      <c r="D104" s="1597" t="s">
        <v>1693</v>
      </c>
      <c r="E104" s="1309"/>
      <c r="F104" s="1565"/>
      <c r="G104" s="1598"/>
      <c r="H104" s="1598"/>
      <c r="I104" s="1598"/>
      <c r="J104" s="1598"/>
    </row>
    <row r="105" spans="1:10" s="1527" customFormat="1" ht="21.95" customHeight="1">
      <c r="A105" s="2572"/>
      <c r="B105" s="2831" t="s">
        <v>2426</v>
      </c>
      <c r="C105" s="2832"/>
      <c r="D105" s="1567" t="s">
        <v>1539</v>
      </c>
      <c r="E105" s="1273"/>
      <c r="F105" s="1560"/>
      <c r="G105" s="1561"/>
      <c r="H105" s="1561"/>
      <c r="I105" s="1561"/>
      <c r="J105" s="1561"/>
    </row>
    <row r="106" spans="1:10" s="1527" customFormat="1" ht="21.95" customHeight="1" thickBot="1">
      <c r="A106" s="2572"/>
      <c r="B106" s="2804"/>
      <c r="C106" s="2805"/>
      <c r="D106" s="1568" t="s">
        <v>1355</v>
      </c>
      <c r="E106" s="1283"/>
      <c r="F106" s="1563"/>
      <c r="G106" s="1564"/>
      <c r="H106" s="1564"/>
      <c r="I106" s="1564"/>
      <c r="J106" s="1564"/>
    </row>
    <row r="107" spans="1:10" s="1527" customFormat="1" ht="21.95" customHeight="1" thickBot="1">
      <c r="A107" s="2572"/>
      <c r="B107" s="2800" t="s">
        <v>2427</v>
      </c>
      <c r="C107" s="2801"/>
      <c r="D107" s="1597" t="s">
        <v>1693</v>
      </c>
      <c r="E107" s="1309"/>
      <c r="F107" s="1565"/>
      <c r="G107" s="1598"/>
      <c r="H107" s="1598"/>
      <c r="I107" s="1598"/>
      <c r="J107" s="1598"/>
    </row>
    <row r="108" spans="1:10" s="1527" customFormat="1" ht="21.95" customHeight="1">
      <c r="A108" s="2572"/>
      <c r="B108" s="2831" t="s">
        <v>2428</v>
      </c>
      <c r="C108" s="2832"/>
      <c r="D108" s="1567" t="s">
        <v>1539</v>
      </c>
      <c r="E108" s="1273"/>
      <c r="F108" s="1560"/>
      <c r="G108" s="1117"/>
      <c r="H108" s="1117"/>
      <c r="I108" s="1117"/>
      <c r="J108" s="1117"/>
    </row>
    <row r="109" spans="1:10" s="1527" customFormat="1" ht="21.95" customHeight="1" thickBot="1">
      <c r="A109" s="2572"/>
      <c r="B109" s="2804"/>
      <c r="C109" s="2805"/>
      <c r="D109" s="1568" t="s">
        <v>1355</v>
      </c>
      <c r="E109" s="1283"/>
      <c r="F109" s="1563"/>
      <c r="G109" s="1564"/>
      <c r="H109" s="1564"/>
      <c r="I109" s="1564"/>
      <c r="J109" s="1564"/>
    </row>
    <row r="110" spans="1:10" s="1527" customFormat="1" ht="21.95" customHeight="1" thickBot="1">
      <c r="A110" s="2572"/>
      <c r="B110" s="2800" t="s">
        <v>2429</v>
      </c>
      <c r="C110" s="2801"/>
      <c r="D110" s="1597" t="s">
        <v>1693</v>
      </c>
      <c r="E110" s="1309"/>
      <c r="F110" s="1565"/>
      <c r="G110" s="1598"/>
      <c r="H110" s="1598"/>
      <c r="I110" s="1598"/>
      <c r="J110" s="1598"/>
    </row>
    <row r="111" spans="1:10" s="1527" customFormat="1" ht="21.95" customHeight="1">
      <c r="A111" s="2572"/>
      <c r="B111" s="2802" t="s">
        <v>2430</v>
      </c>
      <c r="C111" s="2803"/>
      <c r="D111" s="1569" t="s">
        <v>1539</v>
      </c>
      <c r="E111" s="1599"/>
      <c r="F111" s="1600"/>
      <c r="G111" s="1587"/>
      <c r="H111" s="1587"/>
      <c r="I111" s="1587"/>
      <c r="J111" s="1587"/>
    </row>
    <row r="112" spans="1:10" s="1527" customFormat="1" ht="21.95" customHeight="1" thickBot="1">
      <c r="A112" s="2572"/>
      <c r="B112" s="2802"/>
      <c r="C112" s="2803"/>
      <c r="D112" s="1569" t="s">
        <v>1355</v>
      </c>
      <c r="E112" s="1584"/>
      <c r="F112" s="1601"/>
      <c r="G112" s="1586"/>
      <c r="H112" s="1586"/>
      <c r="I112" s="1586"/>
      <c r="J112" s="1586"/>
    </row>
    <row r="113" spans="1:10" s="1527" customFormat="1" ht="32.1" customHeight="1" thickBot="1">
      <c r="A113" s="2572"/>
      <c r="B113" s="2800" t="s">
        <v>2431</v>
      </c>
      <c r="C113" s="2801"/>
      <c r="D113" s="1597" t="s">
        <v>1693</v>
      </c>
      <c r="E113" s="1309"/>
      <c r="F113" s="1565"/>
      <c r="G113" s="1598">
        <f>G107</f>
        <v>0</v>
      </c>
      <c r="H113" s="1598">
        <f t="shared" ref="H113:J113" si="5">H107</f>
        <v>0</v>
      </c>
      <c r="I113" s="1598">
        <f t="shared" si="5"/>
        <v>0</v>
      </c>
      <c r="J113" s="1598">
        <f t="shared" si="5"/>
        <v>0</v>
      </c>
    </row>
    <row r="114" spans="1:10" s="1527" customFormat="1" ht="21.95" customHeight="1">
      <c r="A114" s="2572"/>
      <c r="B114" s="2802" t="s">
        <v>2432</v>
      </c>
      <c r="C114" s="2803"/>
      <c r="D114" s="1569" t="s">
        <v>1539</v>
      </c>
      <c r="E114" s="1279"/>
      <c r="F114" s="1442"/>
      <c r="G114" s="1570"/>
      <c r="H114" s="1570"/>
      <c r="I114" s="1570"/>
      <c r="J114" s="1570"/>
    </row>
    <row r="115" spans="1:10" s="1527" customFormat="1" ht="21.95" customHeight="1" thickBot="1">
      <c r="A115" s="2572"/>
      <c r="B115" s="2804"/>
      <c r="C115" s="2805"/>
      <c r="D115" s="1568" t="s">
        <v>1355</v>
      </c>
      <c r="E115" s="1283"/>
      <c r="F115" s="1563"/>
      <c r="G115" s="1564"/>
      <c r="H115" s="1564"/>
      <c r="I115" s="1564"/>
      <c r="J115" s="1564"/>
    </row>
    <row r="116" spans="1:10" s="1527" customFormat="1" ht="21.95" customHeight="1" thickBot="1">
      <c r="A116" s="2572"/>
      <c r="B116" s="2806" t="s">
        <v>2433</v>
      </c>
      <c r="C116" s="2807"/>
      <c r="D116" s="1602" t="s">
        <v>2434</v>
      </c>
      <c r="E116" s="1279"/>
      <c r="F116" s="1442"/>
      <c r="G116" s="1570"/>
      <c r="H116" s="1570"/>
      <c r="I116" s="1570"/>
      <c r="J116" s="1570"/>
    </row>
    <row r="117" spans="1:10" s="1527" customFormat="1" ht="21.95" customHeight="1" thickBot="1">
      <c r="A117" s="2572"/>
      <c r="B117" s="2806"/>
      <c r="C117" s="2807"/>
      <c r="D117" s="1603" t="s">
        <v>2435</v>
      </c>
      <c r="E117" s="1279"/>
      <c r="F117" s="1442"/>
      <c r="G117" s="1570"/>
      <c r="H117" s="1570"/>
      <c r="I117" s="1570"/>
      <c r="J117" s="1570"/>
    </row>
    <row r="118" spans="1:10" s="1527" customFormat="1" ht="21.95" customHeight="1" thickBot="1">
      <c r="A118" s="2572"/>
      <c r="B118" s="2806"/>
      <c r="C118" s="2807"/>
      <c r="D118" s="1568" t="s">
        <v>2436</v>
      </c>
      <c r="E118" s="1283"/>
      <c r="F118" s="1563"/>
      <c r="G118" s="1564"/>
      <c r="H118" s="1564"/>
      <c r="I118" s="1564"/>
      <c r="J118" s="1564"/>
    </row>
    <row r="119" spans="1:10" s="1527" customFormat="1" ht="21.95" customHeight="1" thickBot="1">
      <c r="A119" s="2572"/>
      <c r="B119" s="2806" t="s">
        <v>2437</v>
      </c>
      <c r="C119" s="2807"/>
      <c r="D119" s="1603" t="s">
        <v>1354</v>
      </c>
      <c r="E119" s="1279"/>
      <c r="F119" s="1442"/>
      <c r="G119" s="1570"/>
      <c r="H119" s="1570"/>
      <c r="I119" s="1570"/>
      <c r="J119" s="1570"/>
    </row>
    <row r="120" spans="1:10" s="1527" customFormat="1" ht="21.95" customHeight="1" thickBot="1">
      <c r="A120" s="2572"/>
      <c r="B120" s="2806"/>
      <c r="C120" s="2807"/>
      <c r="D120" s="1603" t="s">
        <v>1787</v>
      </c>
      <c r="E120" s="1279"/>
      <c r="F120" s="1442"/>
      <c r="G120" s="1570"/>
      <c r="H120" s="1570"/>
      <c r="I120" s="1570"/>
      <c r="J120" s="1570"/>
    </row>
    <row r="121" spans="1:10" s="1527" customFormat="1" ht="21.95" customHeight="1" thickBot="1">
      <c r="A121" s="2572"/>
      <c r="B121" s="2806"/>
      <c r="C121" s="2807"/>
      <c r="D121" s="1603" t="s">
        <v>1355</v>
      </c>
      <c r="E121" s="1279"/>
      <c r="F121" s="1442"/>
      <c r="G121" s="1570"/>
      <c r="H121" s="1570"/>
      <c r="I121" s="1570"/>
      <c r="J121" s="1570"/>
    </row>
    <row r="122" spans="1:10" s="1527" customFormat="1" ht="21.95" customHeight="1">
      <c r="A122" s="2572"/>
      <c r="B122" s="2808" t="s">
        <v>2438</v>
      </c>
      <c r="C122" s="2809"/>
      <c r="D122" s="1567" t="s">
        <v>1539</v>
      </c>
      <c r="E122" s="1273"/>
      <c r="F122" s="1560"/>
      <c r="G122" s="1561"/>
      <c r="H122" s="1561"/>
      <c r="I122" s="1561"/>
      <c r="J122" s="1561"/>
    </row>
    <row r="123" spans="1:10" s="1527" customFormat="1" ht="21.95" customHeight="1">
      <c r="A123" s="2572"/>
      <c r="B123" s="2810"/>
      <c r="C123" s="2811"/>
      <c r="D123" s="1569" t="s">
        <v>1355</v>
      </c>
      <c r="E123" s="1279"/>
      <c r="F123" s="1442"/>
      <c r="G123" s="1570"/>
      <c r="H123" s="1570"/>
      <c r="I123" s="1570"/>
      <c r="J123" s="1570"/>
    </row>
    <row r="124" spans="1:10" s="1527" customFormat="1" ht="21.95" customHeight="1" thickBot="1">
      <c r="A124" s="2572"/>
      <c r="B124" s="2812"/>
      <c r="C124" s="2813"/>
      <c r="D124" s="1568" t="s">
        <v>1647</v>
      </c>
      <c r="E124" s="1283"/>
      <c r="F124" s="1563"/>
      <c r="G124" s="1564"/>
      <c r="H124" s="1564"/>
      <c r="I124" s="1564"/>
      <c r="J124" s="1564"/>
    </row>
    <row r="125" spans="1:10" s="1527" customFormat="1" ht="21.95" customHeight="1">
      <c r="A125" s="2572"/>
      <c r="B125" s="2810" t="s">
        <v>2439</v>
      </c>
      <c r="C125" s="2811"/>
      <c r="D125" s="1567" t="s">
        <v>1539</v>
      </c>
      <c r="E125" s="1279"/>
      <c r="F125" s="1442"/>
      <c r="G125" s="1570"/>
      <c r="H125" s="1570"/>
      <c r="I125" s="1570"/>
      <c r="J125" s="1570"/>
    </row>
    <row r="126" spans="1:10" s="1527" customFormat="1" ht="21.95" customHeight="1">
      <c r="A126" s="2572"/>
      <c r="B126" s="2810"/>
      <c r="C126" s="2811"/>
      <c r="D126" s="1569" t="s">
        <v>1355</v>
      </c>
      <c r="E126" s="1279"/>
      <c r="F126" s="1442"/>
      <c r="G126" s="1570"/>
      <c r="H126" s="1570"/>
      <c r="I126" s="1570"/>
      <c r="J126" s="1570"/>
    </row>
    <row r="127" spans="1:10" s="1527" customFormat="1" ht="21.95" customHeight="1" thickBot="1">
      <c r="A127" s="2572"/>
      <c r="B127" s="2810"/>
      <c r="C127" s="2811"/>
      <c r="D127" s="1568" t="s">
        <v>1647</v>
      </c>
      <c r="E127" s="1283"/>
      <c r="F127" s="1563"/>
      <c r="G127" s="1564"/>
      <c r="H127" s="1564"/>
      <c r="I127" s="1564"/>
      <c r="J127" s="1564"/>
    </row>
    <row r="128" spans="1:10" s="1527" customFormat="1" ht="21.95" customHeight="1">
      <c r="A128" s="2572"/>
      <c r="B128" s="2808" t="s">
        <v>2124</v>
      </c>
      <c r="C128" s="2809"/>
      <c r="D128" s="1559" t="s">
        <v>1539</v>
      </c>
      <c r="E128" s="1279"/>
      <c r="F128" s="1442"/>
      <c r="G128" s="1570"/>
      <c r="H128" s="1570"/>
      <c r="I128" s="1570"/>
      <c r="J128" s="1570"/>
    </row>
    <row r="129" spans="1:10" s="1527" customFormat="1" ht="21.95" customHeight="1" thickBot="1">
      <c r="A129" s="2572"/>
      <c r="B129" s="2812"/>
      <c r="C129" s="2813"/>
      <c r="D129" s="1562" t="s">
        <v>1355</v>
      </c>
      <c r="E129" s="1283"/>
      <c r="F129" s="1563"/>
      <c r="G129" s="1564"/>
      <c r="H129" s="1564"/>
      <c r="I129" s="1564"/>
      <c r="J129" s="1564"/>
    </row>
    <row r="130" spans="1:10" s="1527" customFormat="1" ht="21.95" customHeight="1">
      <c r="A130" s="2572"/>
      <c r="B130" s="2810" t="s">
        <v>2129</v>
      </c>
      <c r="C130" s="2811"/>
      <c r="D130" s="1567" t="s">
        <v>2440</v>
      </c>
      <c r="E130" s="1279"/>
      <c r="F130" s="1442"/>
      <c r="G130" s="1570"/>
      <c r="H130" s="1570"/>
      <c r="I130" s="1570"/>
      <c r="J130" s="1570"/>
    </row>
    <row r="131" spans="1:10" s="1527" customFormat="1" ht="21.95" customHeight="1">
      <c r="A131" s="2572"/>
      <c r="B131" s="2810"/>
      <c r="C131" s="2811"/>
      <c r="D131" s="1569" t="s">
        <v>2441</v>
      </c>
      <c r="E131" s="1279"/>
      <c r="F131" s="1442"/>
      <c r="G131" s="1570"/>
      <c r="H131" s="1570"/>
      <c r="I131" s="1570"/>
      <c r="J131" s="1570"/>
    </row>
    <row r="132" spans="1:10" s="1527" customFormat="1" ht="21.95" customHeight="1">
      <c r="A132" s="2572"/>
      <c r="B132" s="2810"/>
      <c r="C132" s="2811"/>
      <c r="D132" s="1569" t="s">
        <v>2442</v>
      </c>
      <c r="E132" s="1279"/>
      <c r="F132" s="1442"/>
      <c r="G132" s="1570"/>
      <c r="H132" s="1570"/>
      <c r="I132" s="1570"/>
      <c r="J132" s="1570"/>
    </row>
    <row r="133" spans="1:10" s="1527" customFormat="1" ht="21.95" customHeight="1" thickBot="1">
      <c r="A133" s="2572"/>
      <c r="B133" s="2810"/>
      <c r="C133" s="2811"/>
      <c r="D133" s="1568" t="s">
        <v>2443</v>
      </c>
      <c r="E133" s="1283"/>
      <c r="F133" s="1563"/>
      <c r="G133" s="1564"/>
      <c r="H133" s="1564"/>
      <c r="I133" s="1564"/>
      <c r="J133" s="1564"/>
    </row>
    <row r="134" spans="1:10" s="1527" customFormat="1" ht="21.95" customHeight="1">
      <c r="A134" s="2572"/>
      <c r="B134" s="2808" t="s">
        <v>2444</v>
      </c>
      <c r="C134" s="2809"/>
      <c r="D134" s="1559" t="s">
        <v>2445</v>
      </c>
      <c r="E134" s="1279"/>
      <c r="F134" s="1442"/>
      <c r="G134" s="1570"/>
      <c r="H134" s="1570"/>
      <c r="I134" s="1570"/>
      <c r="J134" s="1570"/>
    </row>
    <row r="135" spans="1:10" s="1527" customFormat="1" ht="21.95" customHeight="1" thickBot="1">
      <c r="A135" s="2572"/>
      <c r="B135" s="2812"/>
      <c r="C135" s="2813"/>
      <c r="D135" s="1562" t="s">
        <v>2446</v>
      </c>
      <c r="E135" s="1283"/>
      <c r="F135" s="1563"/>
      <c r="G135" s="1564"/>
      <c r="H135" s="1564"/>
      <c r="I135" s="1564"/>
      <c r="J135" s="1564"/>
    </row>
    <row r="136" spans="1:10" s="1527" customFormat="1" ht="21.95" customHeight="1">
      <c r="A136" s="2572"/>
      <c r="B136" s="2808" t="s">
        <v>2447</v>
      </c>
      <c r="C136" s="2809"/>
      <c r="D136" s="1559" t="s">
        <v>2448</v>
      </c>
      <c r="E136" s="1279"/>
      <c r="F136" s="1442"/>
      <c r="G136" s="1570"/>
      <c r="H136" s="1570"/>
      <c r="I136" s="1570"/>
      <c r="J136" s="1570"/>
    </row>
    <row r="137" spans="1:10" s="1527" customFormat="1" ht="21.95" customHeight="1" thickBot="1">
      <c r="A137" s="2572"/>
      <c r="B137" s="2812"/>
      <c r="C137" s="2813"/>
      <c r="D137" s="1562" t="s">
        <v>2449</v>
      </c>
      <c r="E137" s="1283"/>
      <c r="F137" s="1563"/>
      <c r="G137" s="1564"/>
      <c r="H137" s="1564"/>
      <c r="I137" s="1564"/>
      <c r="J137" s="1564"/>
    </row>
    <row r="138" spans="1:10" s="1527" customFormat="1" ht="21.95" customHeight="1">
      <c r="A138" s="2572"/>
      <c r="B138" s="2808" t="s">
        <v>1643</v>
      </c>
      <c r="C138" s="2809"/>
      <c r="D138" s="1559" t="s">
        <v>1644</v>
      </c>
      <c r="E138" s="1279"/>
      <c r="F138" s="1442"/>
      <c r="G138" s="1570"/>
      <c r="H138" s="1570"/>
      <c r="I138" s="1570"/>
      <c r="J138" s="1570"/>
    </row>
    <row r="139" spans="1:10" s="1527" customFormat="1" ht="21.95" customHeight="1" thickBot="1">
      <c r="A139" s="2572"/>
      <c r="B139" s="2812"/>
      <c r="C139" s="2813"/>
      <c r="D139" s="1562" t="s">
        <v>1645</v>
      </c>
      <c r="E139" s="1283"/>
      <c r="F139" s="1563"/>
      <c r="G139" s="1564"/>
      <c r="H139" s="1564"/>
      <c r="I139" s="1564"/>
      <c r="J139" s="1564"/>
    </row>
    <row r="140" spans="1:10" s="710" customFormat="1" ht="50.1" customHeight="1" thickBot="1">
      <c r="A140" s="2573"/>
      <c r="B140" s="2797" t="s">
        <v>1400</v>
      </c>
      <c r="C140" s="2798"/>
      <c r="D140" s="2799"/>
      <c r="E140" s="1604"/>
      <c r="F140" s="1504"/>
      <c r="G140" s="1605"/>
      <c r="H140" s="1605"/>
      <c r="I140" s="1605"/>
      <c r="J140" s="1605"/>
    </row>
    <row r="141" spans="1:10" ht="19.5" thickTop="1"/>
    <row r="142" spans="1:10" ht="12.75">
      <c r="B142" s="681"/>
      <c r="C142" s="681"/>
      <c r="D142" s="681"/>
      <c r="E142" s="681"/>
      <c r="F142" s="681"/>
    </row>
    <row r="143" spans="1:10" ht="12.75">
      <c r="B143" s="681"/>
      <c r="C143" s="681"/>
      <c r="D143" s="681"/>
      <c r="E143" s="681"/>
      <c r="F143" s="681"/>
    </row>
    <row r="144" spans="1:10" ht="12.75">
      <c r="B144" s="681"/>
      <c r="C144" s="681"/>
      <c r="D144" s="681"/>
      <c r="E144" s="681"/>
      <c r="F144" s="681"/>
    </row>
    <row r="145" s="681" customFormat="1" ht="12.75"/>
    <row r="146" s="681" customFormat="1" ht="12.75"/>
    <row r="147" s="681" customFormat="1" ht="12.75"/>
    <row r="148" s="681" customFormat="1" ht="12.75"/>
    <row r="149" s="681" customFormat="1" ht="12.75"/>
    <row r="150" s="681" customFormat="1" ht="12.75"/>
    <row r="151" s="681" customFormat="1" ht="12.75"/>
    <row r="152" s="681" customFormat="1" ht="12.75"/>
    <row r="153" s="681" customFormat="1" ht="12.75"/>
    <row r="154" s="681" customFormat="1" ht="12.75"/>
    <row r="155" s="681" customFormat="1" ht="12.75"/>
    <row r="156" s="681" customFormat="1" ht="12.75"/>
    <row r="157" s="681" customFormat="1" ht="12.75"/>
    <row r="158" s="681" customFormat="1" ht="12.75"/>
    <row r="159" s="681" customFormat="1" ht="12.75"/>
    <row r="160" s="681" customFormat="1" ht="12.75"/>
    <row r="161" s="681" customFormat="1" ht="12.75"/>
    <row r="162" s="681" customFormat="1" ht="12.75"/>
    <row r="163" s="681" customFormat="1" ht="12.75"/>
  </sheetData>
  <mergeCells count="54">
    <mergeCell ref="F35:F36"/>
    <mergeCell ref="A1:A140"/>
    <mergeCell ref="B1:D1"/>
    <mergeCell ref="B2:D2"/>
    <mergeCell ref="B3:C4"/>
    <mergeCell ref="B5:D5"/>
    <mergeCell ref="B6:C7"/>
    <mergeCell ref="B8:B20"/>
    <mergeCell ref="C8:C10"/>
    <mergeCell ref="C11:C13"/>
    <mergeCell ref="C14:C16"/>
    <mergeCell ref="C17:C20"/>
    <mergeCell ref="B21:C25"/>
    <mergeCell ref="B26:C29"/>
    <mergeCell ref="F27:F28"/>
    <mergeCell ref="B30:C33"/>
    <mergeCell ref="B34:C37"/>
    <mergeCell ref="B54:B61"/>
    <mergeCell ref="C54:C57"/>
    <mergeCell ref="C58:C61"/>
    <mergeCell ref="B62:B68"/>
    <mergeCell ref="C62:C64"/>
    <mergeCell ref="C65:C68"/>
    <mergeCell ref="B38:B45"/>
    <mergeCell ref="C38:C41"/>
    <mergeCell ref="C42:C45"/>
    <mergeCell ref="B46:B53"/>
    <mergeCell ref="C46:C49"/>
    <mergeCell ref="C50:C53"/>
    <mergeCell ref="B111:C112"/>
    <mergeCell ref="B69:C78"/>
    <mergeCell ref="B79:C85"/>
    <mergeCell ref="F81:F85"/>
    <mergeCell ref="B86:C92"/>
    <mergeCell ref="F88:F92"/>
    <mergeCell ref="B93:C103"/>
    <mergeCell ref="F93:F102"/>
    <mergeCell ref="B104:C104"/>
    <mergeCell ref="B105:C106"/>
    <mergeCell ref="B107:C107"/>
    <mergeCell ref="B108:C109"/>
    <mergeCell ref="B110:C110"/>
    <mergeCell ref="B140:D140"/>
    <mergeCell ref="B113:C113"/>
    <mergeCell ref="B114:C115"/>
    <mergeCell ref="B116:C118"/>
    <mergeCell ref="B119:C121"/>
    <mergeCell ref="B122:C124"/>
    <mergeCell ref="B125:C127"/>
    <mergeCell ref="B128:C129"/>
    <mergeCell ref="B130:C133"/>
    <mergeCell ref="B134:C135"/>
    <mergeCell ref="B136:C137"/>
    <mergeCell ref="B138:C139"/>
  </mergeCells>
  <conditionalFormatting sqref="G26:J26">
    <cfRule type="expression" dxfId="58" priority="13">
      <formula>G$26&gt;G$2</formula>
    </cfRule>
  </conditionalFormatting>
  <conditionalFormatting sqref="G29:J29">
    <cfRule type="expression" dxfId="57" priority="12">
      <formula>G$27&gt;0</formula>
    </cfRule>
  </conditionalFormatting>
  <conditionalFormatting sqref="G30:J30">
    <cfRule type="expression" dxfId="56" priority="27">
      <formula>G$26&gt;0</formula>
    </cfRule>
  </conditionalFormatting>
  <conditionalFormatting sqref="G31:J31">
    <cfRule type="expression" dxfId="55" priority="29">
      <formula>G$30&gt;0</formula>
    </cfRule>
  </conditionalFormatting>
  <conditionalFormatting sqref="G33:J33">
    <cfRule type="expression" dxfId="54" priority="30">
      <formula>G$31&gt;0</formula>
    </cfRule>
  </conditionalFormatting>
  <conditionalFormatting sqref="G34:J34">
    <cfRule type="expression" dxfId="53" priority="31">
      <formula>G$34&gt;G$2</formula>
    </cfRule>
  </conditionalFormatting>
  <conditionalFormatting sqref="G37:J37">
    <cfRule type="expression" dxfId="52" priority="28">
      <formula>G$35&gt;0</formula>
    </cfRule>
  </conditionalFormatting>
  <conditionalFormatting sqref="G38:J38">
    <cfRule type="expression" dxfId="51" priority="15">
      <formula>G$38&gt;G$2*2</formula>
    </cfRule>
  </conditionalFormatting>
  <conditionalFormatting sqref="G40:J40">
    <cfRule type="expression" dxfId="50" priority="14">
      <formula>G$38&gt;0</formula>
    </cfRule>
  </conditionalFormatting>
  <conditionalFormatting sqref="G41:J41">
    <cfRule type="expression" dxfId="49" priority="26">
      <formula>G$39&gt;0</formula>
    </cfRule>
  </conditionalFormatting>
  <conditionalFormatting sqref="G42:J42">
    <cfRule type="expression" dxfId="48" priority="32">
      <formula>G$42&gt;G$2*2</formula>
    </cfRule>
  </conditionalFormatting>
  <conditionalFormatting sqref="G44:J44">
    <cfRule type="expression" dxfId="47" priority="25">
      <formula>G$42&gt;0</formula>
    </cfRule>
  </conditionalFormatting>
  <conditionalFormatting sqref="G45:J45">
    <cfRule type="expression" dxfId="46" priority="24">
      <formula>G$43&gt;0</formula>
    </cfRule>
  </conditionalFormatting>
  <conditionalFormatting sqref="G46:J46 G54:J54">
    <cfRule type="expression" dxfId="45" priority="10">
      <formula>G$46+G$50&gt;G$2</formula>
    </cfRule>
  </conditionalFormatting>
  <conditionalFormatting sqref="G48:J48">
    <cfRule type="expression" dxfId="44" priority="9">
      <formula>G$46&gt;0</formula>
    </cfRule>
  </conditionalFormatting>
  <conditionalFormatting sqref="G49:J49">
    <cfRule type="expression" dxfId="43" priority="23">
      <formula>G$47&gt;0</formula>
    </cfRule>
  </conditionalFormatting>
  <conditionalFormatting sqref="G50:J50">
    <cfRule type="expression" dxfId="42" priority="8">
      <formula>G$50+G$46&gt;G$2</formula>
    </cfRule>
  </conditionalFormatting>
  <conditionalFormatting sqref="G52:J52">
    <cfRule type="expression" dxfId="41" priority="7">
      <formula>G$50&gt;0</formula>
    </cfRule>
  </conditionalFormatting>
  <conditionalFormatting sqref="G53:J53">
    <cfRule type="expression" dxfId="40" priority="22">
      <formula>G$51&gt;0</formula>
    </cfRule>
  </conditionalFormatting>
  <conditionalFormatting sqref="G56:J56">
    <cfRule type="expression" dxfId="39" priority="5">
      <formula>G$54&gt;0</formula>
    </cfRule>
  </conditionalFormatting>
  <conditionalFormatting sqref="G57:J57">
    <cfRule type="expression" dxfId="38" priority="21">
      <formula>G$55&gt;0</formula>
    </cfRule>
  </conditionalFormatting>
  <conditionalFormatting sqref="G58:J58">
    <cfRule type="expression" dxfId="37" priority="33">
      <formula>G$58&gt;G$2</formula>
    </cfRule>
  </conditionalFormatting>
  <conditionalFormatting sqref="G60:J60">
    <cfRule type="expression" dxfId="36" priority="20">
      <formula>G$58&gt;0</formula>
    </cfRule>
  </conditionalFormatting>
  <conditionalFormatting sqref="G61:J61">
    <cfRule type="expression" dxfId="35" priority="19">
      <formula>G$59&gt;0</formula>
    </cfRule>
  </conditionalFormatting>
  <conditionalFormatting sqref="G62:J62">
    <cfRule type="expression" dxfId="34" priority="36">
      <formula>G$63&gt;0</formula>
    </cfRule>
  </conditionalFormatting>
  <conditionalFormatting sqref="G64:J64">
    <cfRule type="expression" dxfId="33" priority="18">
      <formula>G$63&gt;0</formula>
    </cfRule>
  </conditionalFormatting>
  <conditionalFormatting sqref="G65:J65">
    <cfRule type="expression" dxfId="32" priority="6">
      <formula>G$65&gt;G$2</formula>
    </cfRule>
  </conditionalFormatting>
  <conditionalFormatting sqref="G67:J67">
    <cfRule type="expression" dxfId="31" priority="16">
      <formula>G$65&gt;0</formula>
    </cfRule>
  </conditionalFormatting>
  <conditionalFormatting sqref="G68:J68">
    <cfRule type="expression" dxfId="30" priority="17">
      <formula>G$66&gt;0</formula>
    </cfRule>
  </conditionalFormatting>
  <conditionalFormatting sqref="G79:J80 G86:J87">
    <cfRule type="expression" dxfId="29" priority="34">
      <formula>G$86&gt;0</formula>
    </cfRule>
    <cfRule type="expression" dxfId="28" priority="35">
      <formula>G$2&gt;0</formula>
    </cfRule>
  </conditionalFormatting>
  <conditionalFormatting sqref="G81:J85">
    <cfRule type="expression" dxfId="27" priority="1">
      <formula>SUM(G$81:G$85)&lt;&gt;1</formula>
    </cfRule>
  </conditionalFormatting>
  <conditionalFormatting sqref="G88:J90">
    <cfRule type="expression" dxfId="26" priority="2">
      <formula>SUM(G$88:G$92)&lt;&gt;1</formula>
    </cfRule>
  </conditionalFormatting>
  <conditionalFormatting sqref="G91:J92">
    <cfRule type="expression" dxfId="25" priority="11">
      <formula>SUM(G$88:G$92)&lt;&gt;1</formula>
    </cfRule>
  </conditionalFormatting>
  <conditionalFormatting sqref="G94:J102">
    <cfRule type="expression" dxfId="24" priority="3">
      <formula>COUNTA(G$94:G$102)&gt;1</formula>
    </cfRule>
  </conditionalFormatting>
  <conditionalFormatting sqref="G103:J103">
    <cfRule type="expression" dxfId="23" priority="4">
      <formula>COUNTA(G$99:G$102)&gt;=1</formula>
    </cfRule>
  </conditionalFormatting>
  <hyperlinks>
    <hyperlink ref="B1:D1" location="PAINEL!A1" display="TRECHO" xr:uid="{B7B5FE1B-39FB-46AF-B843-5BAA590700DD}"/>
  </hyperlinks>
  <printOptions horizontalCentered="1" verticalCentered="1" headings="1"/>
  <pageMargins left="0.39370078740157477" right="0.59055118110236215" top="0.39370078740157477" bottom="0.59055118110236215" header="0.31496062992125984" footer="0.55118110236220474"/>
  <pageSetup paperSize="8" scale="23" fitToWidth="5" orientation="portrait" horizontalDpi="300" verticalDpi="300" r:id="rId1"/>
  <headerFooter>
    <oddFooter>&amp;C&amp;8Página &amp;P/&amp;N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808EC-1A7D-49E8-A6EE-75C8CB640528}">
  <sheetPr codeName="Planilha34" filterMode="1"/>
  <dimension ref="A1:O124"/>
  <sheetViews>
    <sheetView showZeros="0" zoomScaleNormal="100" workbookViewId="0">
      <selection sqref="A1:A121"/>
    </sheetView>
  </sheetViews>
  <sheetFormatPr defaultColWidth="9" defaultRowHeight="18.75"/>
  <cols>
    <col min="1" max="1" width="13.25" style="681" customWidth="1"/>
    <col min="2" max="2" width="14.625" style="710" customWidth="1"/>
    <col min="3" max="3" width="35.625" style="710" customWidth="1"/>
    <col min="4" max="4" width="3.125" style="1289" hidden="1" customWidth="1"/>
    <col min="5" max="5" width="7.5" style="710" hidden="1" customWidth="1"/>
    <col min="6" max="8" width="12.625" style="681" customWidth="1"/>
    <col min="9" max="9" width="12.625" style="681" hidden="1" customWidth="1"/>
    <col min="10" max="10" width="12.625" style="948" customWidth="1"/>
    <col min="11" max="11" width="17.125" style="681" customWidth="1"/>
    <col min="12" max="12" width="9" style="681"/>
    <col min="13" max="13" width="10.25" style="681" bestFit="1" customWidth="1"/>
    <col min="14" max="16384" width="9" style="681"/>
  </cols>
  <sheetData>
    <row r="1" spans="1:12" s="673" customFormat="1" ht="60" customHeight="1" thickTop="1" thickBot="1">
      <c r="A1" s="2571" t="s">
        <v>2450</v>
      </c>
      <c r="B1" s="2743" t="s">
        <v>2188</v>
      </c>
      <c r="C1" s="2744"/>
      <c r="D1" s="1555"/>
      <c r="E1" s="735" t="s">
        <v>1935</v>
      </c>
      <c r="F1" s="670">
        <f>Pav_Dados!G1</f>
        <v>0</v>
      </c>
      <c r="G1" s="670">
        <f>Pav_Dados!H1</f>
        <v>0</v>
      </c>
      <c r="H1" s="670">
        <f>Pav_Dados!I1</f>
        <v>0</v>
      </c>
      <c r="I1" s="670"/>
      <c r="J1" s="1606"/>
      <c r="K1" s="738" t="s">
        <v>1708</v>
      </c>
      <c r="L1" s="739">
        <f>SUBTOTAL(3,K:K)</f>
        <v>2</v>
      </c>
    </row>
    <row r="2" spans="1:12" ht="21.95" hidden="1" customHeight="1" thickTop="1" thickBot="1">
      <c r="A2" s="2572"/>
      <c r="B2" s="2864" t="s">
        <v>2190</v>
      </c>
      <c r="C2" s="2865"/>
      <c r="D2" s="1263"/>
      <c r="E2" s="1557"/>
      <c r="F2" s="1558">
        <f>Pav_Dados!G2</f>
        <v>0</v>
      </c>
      <c r="G2" s="1558">
        <f>Pav_Dados!H2</f>
        <v>0</v>
      </c>
      <c r="H2" s="1558">
        <f>Pav_Dados!I2</f>
        <v>0</v>
      </c>
      <c r="I2" s="1558"/>
      <c r="J2" s="1607"/>
      <c r="K2" s="745">
        <f>SUM(F2:J2)</f>
        <v>0</v>
      </c>
    </row>
    <row r="3" spans="1:12" ht="21.95" hidden="1" customHeight="1">
      <c r="A3" s="2572"/>
      <c r="B3" s="2710" t="s">
        <v>2191</v>
      </c>
      <c r="C3" s="1453" t="s">
        <v>2192</v>
      </c>
      <c r="D3" s="1279"/>
      <c r="E3" s="1442"/>
      <c r="F3" s="1570">
        <f>Pav_Dados!G3</f>
        <v>0</v>
      </c>
      <c r="G3" s="1570">
        <f>Pav_Dados!H3</f>
        <v>0</v>
      </c>
      <c r="H3" s="1570">
        <f>Pav_Dados!I3</f>
        <v>0</v>
      </c>
      <c r="I3" s="1570"/>
      <c r="J3" s="1608"/>
      <c r="K3" s="780">
        <f>COUNTA(F3:I3)-COUNTIF(F3:I3,0)</f>
        <v>0</v>
      </c>
    </row>
    <row r="4" spans="1:12" ht="21.95" hidden="1" customHeight="1" thickBot="1">
      <c r="A4" s="2572"/>
      <c r="B4" s="2710"/>
      <c r="C4" s="1609" t="s">
        <v>2193</v>
      </c>
      <c r="D4" s="1279"/>
      <c r="E4" s="1442"/>
      <c r="F4" s="1570">
        <f>Pav_Dados!G4</f>
        <v>0</v>
      </c>
      <c r="G4" s="1570">
        <f>Pav_Dados!H4</f>
        <v>0</v>
      </c>
      <c r="H4" s="1570">
        <f>Pav_Dados!I4</f>
        <v>0</v>
      </c>
      <c r="I4" s="1570"/>
      <c r="J4" s="1608"/>
      <c r="K4" s="780">
        <f>COUNTA(F4:I4)-COUNTIF(F4:I4,0)</f>
        <v>0</v>
      </c>
    </row>
    <row r="5" spans="1:12" s="710" customFormat="1" ht="32.1" hidden="1" customHeight="1" thickBot="1">
      <c r="A5" s="2572"/>
      <c r="B5" s="2753" t="s">
        <v>2356</v>
      </c>
      <c r="C5" s="2866"/>
      <c r="D5" s="1610"/>
      <c r="E5" s="1565"/>
      <c r="F5" s="1598">
        <f>Pav_Dados!G5</f>
        <v>0</v>
      </c>
      <c r="G5" s="1598">
        <f>Pav_Dados!H5</f>
        <v>0</v>
      </c>
      <c r="H5" s="1598">
        <f>Pav_Dados!I5</f>
        <v>0</v>
      </c>
      <c r="I5" s="1598"/>
      <c r="J5" s="1611"/>
      <c r="K5" s="780"/>
    </row>
    <row r="6" spans="1:12" ht="21.95" hidden="1" customHeight="1" thickBot="1">
      <c r="A6" s="2572"/>
      <c r="B6" s="2583" t="s">
        <v>2357</v>
      </c>
      <c r="C6" s="1453" t="s">
        <v>2358</v>
      </c>
      <c r="D6" s="1279"/>
      <c r="E6" s="1442"/>
      <c r="F6" s="1586">
        <f>Pav_Dados!G6</f>
        <v>0</v>
      </c>
      <c r="G6" s="1586">
        <f>Pav_Dados!H6</f>
        <v>0</v>
      </c>
      <c r="H6" s="1586">
        <f>Pav_Dados!I6</f>
        <v>0</v>
      </c>
      <c r="I6" s="1586"/>
      <c r="J6" s="1612"/>
      <c r="K6" s="745">
        <f t="shared" ref="K6:K12" si="0">SUM(F6:J6)</f>
        <v>0</v>
      </c>
    </row>
    <row r="7" spans="1:12" ht="21.95" hidden="1" customHeight="1" thickBot="1">
      <c r="A7" s="2572"/>
      <c r="B7" s="2583"/>
      <c r="C7" s="936" t="s">
        <v>2451</v>
      </c>
      <c r="D7" s="1283"/>
      <c r="E7" s="1563"/>
      <c r="F7" s="1564">
        <f>Pav_Dados!G7</f>
        <v>0</v>
      </c>
      <c r="G7" s="1564">
        <f>Pav_Dados!H7</f>
        <v>0</v>
      </c>
      <c r="H7" s="1564">
        <f>Pav_Dados!I7</f>
        <v>0</v>
      </c>
      <c r="I7" s="1564"/>
      <c r="J7" s="1613"/>
      <c r="K7" s="745">
        <f t="shared" si="0"/>
        <v>0</v>
      </c>
    </row>
    <row r="8" spans="1:12" s="1527" customFormat="1" ht="21.95" hidden="1" customHeight="1">
      <c r="A8" s="2572"/>
      <c r="B8" s="2700" t="s">
        <v>2452</v>
      </c>
      <c r="C8" s="1448" t="s">
        <v>1539</v>
      </c>
      <c r="D8" s="1289"/>
      <c r="E8" s="1442"/>
      <c r="F8" s="1561">
        <f>Pav_Dados!G8</f>
        <v>0</v>
      </c>
      <c r="G8" s="1561">
        <f>Pav_Dados!H8</f>
        <v>0</v>
      </c>
      <c r="H8" s="1561">
        <f>Pav_Dados!I8</f>
        <v>0</v>
      </c>
      <c r="I8" s="1561"/>
      <c r="J8" s="1614"/>
      <c r="K8" s="745">
        <f t="shared" si="0"/>
        <v>0</v>
      </c>
    </row>
    <row r="9" spans="1:12" s="1527" customFormat="1" ht="21.95" hidden="1" customHeight="1">
      <c r="A9" s="2572"/>
      <c r="B9" s="2710"/>
      <c r="C9" s="1089" t="s">
        <v>2363</v>
      </c>
      <c r="D9" s="1289"/>
      <c r="E9" s="1442"/>
      <c r="F9" s="1570">
        <f>Pav_Dados!G10</f>
        <v>0</v>
      </c>
      <c r="G9" s="1570">
        <f>Pav_Dados!H10</f>
        <v>0</v>
      </c>
      <c r="H9" s="1570">
        <f>Pav_Dados!I10</f>
        <v>0</v>
      </c>
      <c r="I9" s="1570"/>
      <c r="J9" s="1615"/>
      <c r="K9" s="745">
        <f t="shared" si="0"/>
        <v>0</v>
      </c>
    </row>
    <row r="10" spans="1:12" s="1527" customFormat="1" ht="21.95" hidden="1" customHeight="1">
      <c r="A10" s="2572"/>
      <c r="B10" s="2710"/>
      <c r="C10" s="1089" t="s">
        <v>1693</v>
      </c>
      <c r="D10" s="1289"/>
      <c r="E10" s="1442"/>
      <c r="F10" s="1570">
        <f>F9*F8</f>
        <v>0</v>
      </c>
      <c r="G10" s="1570">
        <f>G9*G8</f>
        <v>0</v>
      </c>
      <c r="H10" s="1570">
        <f>H9*H8</f>
        <v>0</v>
      </c>
      <c r="I10" s="1570"/>
      <c r="J10" s="1616"/>
      <c r="K10" s="745">
        <f t="shared" si="0"/>
        <v>0</v>
      </c>
    </row>
    <row r="11" spans="1:12" s="1527" customFormat="1" ht="21.95" hidden="1" customHeight="1">
      <c r="A11" s="2572"/>
      <c r="B11" s="2710"/>
      <c r="C11" s="1089" t="s">
        <v>2362</v>
      </c>
      <c r="D11" s="1289"/>
      <c r="E11" s="1442"/>
      <c r="F11" s="1570">
        <f>Pav_Dados!G9</f>
        <v>0</v>
      </c>
      <c r="G11" s="1570">
        <f>Pav_Dados!H9</f>
        <v>0</v>
      </c>
      <c r="H11" s="1570">
        <f>Pav_Dados!I9</f>
        <v>0</v>
      </c>
      <c r="I11" s="1570"/>
      <c r="J11" s="1615"/>
      <c r="K11" s="745">
        <f t="shared" si="0"/>
        <v>0</v>
      </c>
    </row>
    <row r="12" spans="1:12" s="1527" customFormat="1" ht="21.95" hidden="1" customHeight="1">
      <c r="A12" s="2572"/>
      <c r="B12" s="2710"/>
      <c r="C12" s="1089" t="s">
        <v>1769</v>
      </c>
      <c r="D12" s="1289"/>
      <c r="E12" s="1442"/>
      <c r="F12" s="1570">
        <f>F11*F10</f>
        <v>0</v>
      </c>
      <c r="G12" s="1570">
        <f>G11*G10</f>
        <v>0</v>
      </c>
      <c r="H12" s="1570">
        <f>H11*H10</f>
        <v>0</v>
      </c>
      <c r="I12" s="1570"/>
      <c r="J12" s="1617"/>
      <c r="K12" s="745">
        <f t="shared" si="0"/>
        <v>0</v>
      </c>
    </row>
    <row r="13" spans="1:12" s="813" customFormat="1" ht="21.95" hidden="1" customHeight="1" thickBot="1">
      <c r="A13" s="2572"/>
      <c r="B13" s="2701"/>
      <c r="C13" s="936" t="s">
        <v>2104</v>
      </c>
      <c r="D13" s="1291"/>
      <c r="E13" s="1563"/>
      <c r="F13" s="1618">
        <f>IF(F8=0,0,"BOTA-FORA")</f>
        <v>0</v>
      </c>
      <c r="G13" s="1618">
        <f>IF(G8=0,0,"BOTA-FORA")</f>
        <v>0</v>
      </c>
      <c r="H13" s="1618">
        <f>IF(H8=0,0,"BOTA-FORA")</f>
        <v>0</v>
      </c>
      <c r="I13" s="1618"/>
      <c r="J13" s="1619"/>
      <c r="K13" s="780">
        <f>COUNTA(F13:I13)-COUNTIF(F13:I13,0)</f>
        <v>0</v>
      </c>
    </row>
    <row r="14" spans="1:12" s="813" customFormat="1" ht="21.95" hidden="1" customHeight="1">
      <c r="A14" s="2572"/>
      <c r="B14" s="2581" t="s">
        <v>1504</v>
      </c>
      <c r="C14" s="740" t="s">
        <v>1505</v>
      </c>
      <c r="D14" s="748"/>
      <c r="E14" s="766"/>
      <c r="F14" s="743">
        <f>Pav_Dados!G11</f>
        <v>0</v>
      </c>
      <c r="G14" s="743">
        <f>Pav_Dados!H11</f>
        <v>0</v>
      </c>
      <c r="H14" s="743">
        <f>Pav_Dados!I11</f>
        <v>0</v>
      </c>
      <c r="I14" s="743"/>
      <c r="J14" s="1616"/>
      <c r="K14" s="745"/>
    </row>
    <row r="15" spans="1:12" s="813" customFormat="1" ht="21.95" hidden="1" customHeight="1">
      <c r="A15" s="2572"/>
      <c r="B15" s="2582"/>
      <c r="C15" s="747" t="s">
        <v>1506</v>
      </c>
      <c r="D15" s="748"/>
      <c r="E15" s="775"/>
      <c r="F15" s="752">
        <f>Pav_Dados!G12</f>
        <v>0</v>
      </c>
      <c r="G15" s="752">
        <f>Pav_Dados!H12</f>
        <v>0</v>
      </c>
      <c r="H15" s="752">
        <f>Pav_Dados!I12</f>
        <v>0</v>
      </c>
      <c r="I15" s="752"/>
      <c r="J15" s="1616"/>
      <c r="K15" s="745"/>
    </row>
    <row r="16" spans="1:12" s="813" customFormat="1" ht="21.95" hidden="1" customHeight="1" thickBot="1">
      <c r="A16" s="2572"/>
      <c r="B16" s="2583"/>
      <c r="C16" s="754" t="s">
        <v>1507</v>
      </c>
      <c r="D16" s="755"/>
      <c r="E16" s="768"/>
      <c r="F16" s="761">
        <f>Pav_Dados!G13</f>
        <v>0</v>
      </c>
      <c r="G16" s="761">
        <f>Pav_Dados!H13</f>
        <v>0</v>
      </c>
      <c r="H16" s="761">
        <f>Pav_Dados!I13</f>
        <v>0</v>
      </c>
      <c r="I16" s="761"/>
      <c r="J16" s="1548"/>
      <c r="K16" s="745"/>
    </row>
    <row r="17" spans="1:11" s="813" customFormat="1" ht="21.95" hidden="1" customHeight="1">
      <c r="A17" s="2572"/>
      <c r="B17" s="2581" t="s">
        <v>1508</v>
      </c>
      <c r="C17" s="740" t="s">
        <v>1505</v>
      </c>
      <c r="D17" s="748"/>
      <c r="E17" s="749"/>
      <c r="F17" s="743">
        <f>Pav_Dados!G14</f>
        <v>0</v>
      </c>
      <c r="G17" s="743">
        <f>Pav_Dados!H14</f>
        <v>0</v>
      </c>
      <c r="H17" s="743">
        <f>Pav_Dados!I14</f>
        <v>0</v>
      </c>
      <c r="I17" s="743"/>
      <c r="J17" s="1616"/>
      <c r="K17" s="745"/>
    </row>
    <row r="18" spans="1:11" s="813" customFormat="1" ht="21.95" hidden="1" customHeight="1">
      <c r="A18" s="2572"/>
      <c r="B18" s="2582"/>
      <c r="C18" s="747" t="s">
        <v>1506</v>
      </c>
      <c r="D18" s="748"/>
      <c r="E18" s="749"/>
      <c r="F18" s="752">
        <f>Pav_Dados!G15</f>
        <v>0</v>
      </c>
      <c r="G18" s="752">
        <f>Pav_Dados!H15</f>
        <v>0</v>
      </c>
      <c r="H18" s="752">
        <f>Pav_Dados!I15</f>
        <v>0</v>
      </c>
      <c r="I18" s="752"/>
      <c r="J18" s="1616"/>
      <c r="K18" s="745"/>
    </row>
    <row r="19" spans="1:11" s="813" customFormat="1" ht="21.95" hidden="1" customHeight="1" thickBot="1">
      <c r="A19" s="2572"/>
      <c r="B19" s="2583"/>
      <c r="C19" s="754" t="s">
        <v>1507</v>
      </c>
      <c r="D19" s="755"/>
      <c r="E19" s="756"/>
      <c r="F19" s="761">
        <f>Pav_Dados!G16</f>
        <v>0</v>
      </c>
      <c r="G19" s="761">
        <f>Pav_Dados!H16</f>
        <v>0</v>
      </c>
      <c r="H19" s="761">
        <f>Pav_Dados!I16</f>
        <v>0</v>
      </c>
      <c r="I19" s="761"/>
      <c r="J19" s="1548"/>
      <c r="K19" s="745"/>
    </row>
    <row r="20" spans="1:11" s="813" customFormat="1" ht="21.95" hidden="1" customHeight="1">
      <c r="A20" s="2572"/>
      <c r="B20" s="2584" t="s">
        <v>1509</v>
      </c>
      <c r="C20" s="740" t="s">
        <v>1510</v>
      </c>
      <c r="D20" s="759"/>
      <c r="E20" s="760"/>
      <c r="F20" s="743">
        <f>Pav_Dados!G17</f>
        <v>0</v>
      </c>
      <c r="G20" s="743">
        <f>Pav_Dados!H17</f>
        <v>0</v>
      </c>
      <c r="H20" s="743">
        <f>Pav_Dados!I17</f>
        <v>0</v>
      </c>
      <c r="I20" s="743"/>
      <c r="J20" s="1616"/>
      <c r="K20" s="745">
        <f>SUM(F20:J20)</f>
        <v>0</v>
      </c>
    </row>
    <row r="21" spans="1:11" s="813" customFormat="1" ht="21.95" hidden="1" customHeight="1">
      <c r="A21" s="2572"/>
      <c r="B21" s="2585"/>
      <c r="C21" s="747" t="s">
        <v>1505</v>
      </c>
      <c r="D21" s="748"/>
      <c r="E21" s="749"/>
      <c r="F21" s="752">
        <f>Pav_Dados!G18</f>
        <v>0</v>
      </c>
      <c r="G21" s="752">
        <f>Pav_Dados!H18</f>
        <v>0</v>
      </c>
      <c r="H21" s="752">
        <f>Pav_Dados!I18</f>
        <v>0</v>
      </c>
      <c r="I21" s="752"/>
      <c r="J21" s="1616"/>
      <c r="K21" s="745"/>
    </row>
    <row r="22" spans="1:11" s="813" customFormat="1" ht="21.95" hidden="1" customHeight="1">
      <c r="A22" s="2572"/>
      <c r="B22" s="2585"/>
      <c r="C22" s="747" t="s">
        <v>1506</v>
      </c>
      <c r="D22" s="748"/>
      <c r="E22" s="775"/>
      <c r="F22" s="752">
        <f>Pav_Dados!G19</f>
        <v>0</v>
      </c>
      <c r="G22" s="752">
        <f>Pav_Dados!H19</f>
        <v>0</v>
      </c>
      <c r="H22" s="752">
        <f>Pav_Dados!I19</f>
        <v>0</v>
      </c>
      <c r="I22" s="752"/>
      <c r="J22" s="1616"/>
      <c r="K22" s="745"/>
    </row>
    <row r="23" spans="1:11" s="813" customFormat="1" ht="21.95" hidden="1" customHeight="1" thickBot="1">
      <c r="A23" s="2572"/>
      <c r="B23" s="2586"/>
      <c r="C23" s="754" t="s">
        <v>1507</v>
      </c>
      <c r="D23" s="755"/>
      <c r="E23" s="768"/>
      <c r="F23" s="761">
        <f>Pav_Dados!G20</f>
        <v>0</v>
      </c>
      <c r="G23" s="761">
        <f>Pav_Dados!H20</f>
        <v>0</v>
      </c>
      <c r="H23" s="761">
        <f>Pav_Dados!I20</f>
        <v>0</v>
      </c>
      <c r="I23" s="761"/>
      <c r="J23" s="1616"/>
      <c r="K23" s="745"/>
    </row>
    <row r="24" spans="1:11" s="813" customFormat="1" ht="21.95" hidden="1" customHeight="1">
      <c r="A24" s="2572"/>
      <c r="B24" s="2581" t="s">
        <v>2338</v>
      </c>
      <c r="C24" s="1609" t="s">
        <v>1696</v>
      </c>
      <c r="D24" s="1289"/>
      <c r="E24" s="1442"/>
      <c r="F24" s="1570">
        <f>Pav_Dados!G21</f>
        <v>0</v>
      </c>
      <c r="G24" s="1570">
        <f>Pav_Dados!H21</f>
        <v>0</v>
      </c>
      <c r="H24" s="1570">
        <f>Pav_Dados!I21</f>
        <v>0</v>
      </c>
      <c r="I24" s="1570"/>
      <c r="J24" s="1186"/>
      <c r="K24" s="780"/>
    </row>
    <row r="25" spans="1:11" s="813" customFormat="1" ht="21.95" hidden="1" customHeight="1">
      <c r="A25" s="2572"/>
      <c r="B25" s="2582"/>
      <c r="C25" s="1609" t="s">
        <v>2368</v>
      </c>
      <c r="D25" s="1289"/>
      <c r="E25" s="1442"/>
      <c r="F25" s="1570">
        <f>Pav_Dados!G22</f>
        <v>0</v>
      </c>
      <c r="G25" s="1570">
        <f>Pav_Dados!H22</f>
        <v>0</v>
      </c>
      <c r="H25" s="1570">
        <f>Pav_Dados!I22</f>
        <v>0</v>
      </c>
      <c r="I25" s="1570"/>
      <c r="J25" s="1185"/>
      <c r="K25" s="745">
        <f t="shared" ref="K25:K44" si="1">SUM(F25:J25)</f>
        <v>0</v>
      </c>
    </row>
    <row r="26" spans="1:11" s="813" customFormat="1" ht="21.95" hidden="1" customHeight="1" thickBot="1">
      <c r="A26" s="2572"/>
      <c r="B26" s="2582"/>
      <c r="C26" s="1609" t="s">
        <v>2453</v>
      </c>
      <c r="D26" s="1289"/>
      <c r="E26" s="1442"/>
      <c r="F26" s="1570">
        <f>Pav_Dados!G23</f>
        <v>0</v>
      </c>
      <c r="G26" s="1570">
        <f>Pav_Dados!H23</f>
        <v>0</v>
      </c>
      <c r="H26" s="1570">
        <f>Pav_Dados!I23</f>
        <v>0</v>
      </c>
      <c r="I26" s="1570"/>
      <c r="J26" s="1185"/>
      <c r="K26" s="745">
        <f t="shared" si="1"/>
        <v>0</v>
      </c>
    </row>
    <row r="27" spans="1:11" s="813" customFormat="1" ht="21.95" hidden="1" customHeight="1">
      <c r="A27" s="2572"/>
      <c r="B27" s="2581"/>
      <c r="C27" s="1089" t="s">
        <v>2370</v>
      </c>
      <c r="D27" s="1289"/>
      <c r="E27" s="1442"/>
      <c r="F27" s="1570">
        <f>Pav_Dados!G24</f>
        <v>0</v>
      </c>
      <c r="G27" s="1570">
        <f>Pav_Dados!H24</f>
        <v>0</v>
      </c>
      <c r="H27" s="1570">
        <f>Pav_Dados!I24</f>
        <v>0</v>
      </c>
      <c r="I27" s="1570"/>
      <c r="J27" s="1501"/>
      <c r="K27" s="745">
        <f t="shared" si="1"/>
        <v>0</v>
      </c>
    </row>
    <row r="28" spans="1:11" s="813" customFormat="1" ht="21.95" hidden="1" customHeight="1">
      <c r="A28" s="2572"/>
      <c r="B28" s="2582"/>
      <c r="C28" s="1089" t="s">
        <v>2049</v>
      </c>
      <c r="D28" s="1289"/>
      <c r="E28" s="1442"/>
      <c r="F28" s="1570">
        <f>Pav_Dados!G25</f>
        <v>0</v>
      </c>
      <c r="G28" s="1570">
        <f>Pav_Dados!H25</f>
        <v>0</v>
      </c>
      <c r="H28" s="1570">
        <f>Pav_Dados!I25</f>
        <v>0</v>
      </c>
      <c r="I28" s="1570"/>
      <c r="J28" s="1617"/>
      <c r="K28" s="745">
        <f t="shared" si="1"/>
        <v>0</v>
      </c>
    </row>
    <row r="29" spans="1:11" s="813" customFormat="1" ht="21.95" hidden="1" customHeight="1" thickBot="1">
      <c r="A29" s="2572"/>
      <c r="B29" s="2583"/>
      <c r="C29" s="1526" t="s">
        <v>2454</v>
      </c>
      <c r="D29" s="1291"/>
      <c r="E29" s="1563"/>
      <c r="F29" s="1570">
        <f>F27*0.0285+F28*0.033</f>
        <v>0</v>
      </c>
      <c r="G29" s="1570">
        <f>G27*0.0285+G28*0.033</f>
        <v>0</v>
      </c>
      <c r="H29" s="1570">
        <f>H27*0.0285+H28*0.033</f>
        <v>0</v>
      </c>
      <c r="I29" s="1570"/>
      <c r="J29" s="1620"/>
      <c r="K29" s="745">
        <f t="shared" si="1"/>
        <v>0</v>
      </c>
    </row>
    <row r="30" spans="1:11" s="813" customFormat="1" ht="21.95" hidden="1" customHeight="1">
      <c r="A30" s="2572"/>
      <c r="B30" s="2867" t="s">
        <v>2371</v>
      </c>
      <c r="C30" s="1453" t="s">
        <v>1539</v>
      </c>
      <c r="D30" s="1289"/>
      <c r="E30" s="1442"/>
      <c r="F30" s="1117">
        <f>IF(SUM(Pav_Dados!G27:G29)=0,0,Pav_Dados!G26)</f>
        <v>0</v>
      </c>
      <c r="G30" s="1117">
        <f>IF(SUM(Pav_Dados!H27:H29)=0,0,Pav_Dados!H26)</f>
        <v>0</v>
      </c>
      <c r="H30" s="1117">
        <f>IF(SUM(Pav_Dados!I27:I29)=0,0,Pav_Dados!I26)</f>
        <v>0</v>
      </c>
      <c r="I30" s="1117"/>
      <c r="J30" s="1617"/>
      <c r="K30" s="745">
        <f t="shared" si="1"/>
        <v>0</v>
      </c>
    </row>
    <row r="31" spans="1:11" s="813" customFormat="1" ht="21.95" hidden="1" customHeight="1">
      <c r="A31" s="2572"/>
      <c r="B31" s="2868"/>
      <c r="C31" s="1089" t="s">
        <v>2373</v>
      </c>
      <c r="D31" s="1289"/>
      <c r="E31" s="1442"/>
      <c r="F31" s="1570">
        <f>IF(F30=0,0,IF(Pav_Dados!G27=0,Pav_Dados!G29/F33,Pav_Dados!G27))</f>
        <v>0</v>
      </c>
      <c r="G31" s="1570">
        <f>IF(G30=0,0,IF(Pav_Dados!H27=0,Pav_Dados!H29/G33,Pav_Dados!H27))</f>
        <v>0</v>
      </c>
      <c r="H31" s="1570">
        <f>IF(H30=0,0,IF(Pav_Dados!I27=0,Pav_Dados!I29/H33,Pav_Dados!I27))</f>
        <v>0</v>
      </c>
      <c r="I31" s="1570"/>
      <c r="J31" s="1617"/>
      <c r="K31" s="745">
        <f t="shared" si="1"/>
        <v>0</v>
      </c>
    </row>
    <row r="32" spans="1:11" s="1527" customFormat="1" ht="21.95" hidden="1" customHeight="1">
      <c r="A32" s="2572"/>
      <c r="B32" s="2868"/>
      <c r="C32" s="1089" t="s">
        <v>2375</v>
      </c>
      <c r="D32" s="1289"/>
      <c r="E32" s="1442"/>
      <c r="F32" s="834">
        <f>IF(F30=0,0,IF(Pav_Dados!G28&gt;0,Pav_Dados!G28,F79))</f>
        <v>0</v>
      </c>
      <c r="G32" s="834">
        <f>IF(G30=0,0,IF(Pav_Dados!H28&gt;0,Pav_Dados!H28,G79))</f>
        <v>0</v>
      </c>
      <c r="H32" s="834">
        <f>IF(H30=0,0,IF(Pav_Dados!I28&gt;0,Pav_Dados!I28,H79))</f>
        <v>0</v>
      </c>
      <c r="I32" s="834"/>
      <c r="J32" s="1615"/>
      <c r="K32" s="745">
        <f t="shared" si="1"/>
        <v>0</v>
      </c>
    </row>
    <row r="33" spans="1:11" s="1527" customFormat="1" ht="21.95" hidden="1" customHeight="1">
      <c r="A33" s="2572"/>
      <c r="B33" s="2762"/>
      <c r="C33" s="1089" t="s">
        <v>1693</v>
      </c>
      <c r="D33" s="1289"/>
      <c r="E33" s="1442"/>
      <c r="F33" s="1570">
        <f>IF(F30=0,0,IF(F32=F79,F81,F30*F32))</f>
        <v>0</v>
      </c>
      <c r="G33" s="1570">
        <f>IF(G30=0,0,IF(G32=G79,G81,G30*G32))</f>
        <v>0</v>
      </c>
      <c r="H33" s="1570">
        <f>IF(H30=0,0,IF(H32=H79,H81,H30*H32))</f>
        <v>0</v>
      </c>
      <c r="I33" s="1570"/>
      <c r="J33" s="1617"/>
      <c r="K33" s="745">
        <f t="shared" si="1"/>
        <v>0</v>
      </c>
    </row>
    <row r="34" spans="1:11" s="1527" customFormat="1" ht="21.95" hidden="1" customHeight="1">
      <c r="A34" s="2572"/>
      <c r="B34" s="2762"/>
      <c r="C34" s="1089" t="s">
        <v>2455</v>
      </c>
      <c r="D34" s="1289"/>
      <c r="E34" s="1442"/>
      <c r="F34" s="1570">
        <f>IF(F31&gt;0,F33*F31,Pav_Dados!G29)</f>
        <v>0</v>
      </c>
      <c r="G34" s="1570">
        <f>IF(G31&gt;0,G33*G31,Pav_Dados!H29)</f>
        <v>0</v>
      </c>
      <c r="H34" s="1570">
        <f>IF(H31&gt;0,H33*H31,Pav_Dados!I29)</f>
        <v>0</v>
      </c>
      <c r="I34" s="1570"/>
      <c r="J34" s="1616"/>
      <c r="K34" s="745">
        <f t="shared" si="1"/>
        <v>0</v>
      </c>
    </row>
    <row r="35" spans="1:11" s="1527" customFormat="1" ht="21.95" hidden="1" customHeight="1">
      <c r="A35" s="2572"/>
      <c r="B35" s="2762"/>
      <c r="C35" s="1089" t="s">
        <v>2456</v>
      </c>
      <c r="D35" s="1289"/>
      <c r="E35" s="1442"/>
      <c r="F35" s="1570">
        <f>F34*0.1</f>
        <v>0</v>
      </c>
      <c r="G35" s="1570">
        <f>G34*0.1</f>
        <v>0</v>
      </c>
      <c r="H35" s="1570">
        <f>H34*0.1</f>
        <v>0</v>
      </c>
      <c r="I35" s="1570"/>
      <c r="J35" s="1617"/>
      <c r="K35" s="745">
        <f t="shared" si="1"/>
        <v>0</v>
      </c>
    </row>
    <row r="36" spans="1:11" s="1527" customFormat="1" ht="21.95" hidden="1" customHeight="1" thickBot="1">
      <c r="A36" s="2572"/>
      <c r="B36" s="2869"/>
      <c r="C36" s="936" t="s">
        <v>2457</v>
      </c>
      <c r="D36" s="1291"/>
      <c r="E36" s="1563"/>
      <c r="F36" s="1564">
        <f>F34*1.3</f>
        <v>0</v>
      </c>
      <c r="G36" s="1564">
        <f>G34*1.3</f>
        <v>0</v>
      </c>
      <c r="H36" s="1564">
        <f>H34*1.3</f>
        <v>0</v>
      </c>
      <c r="I36" s="1564"/>
      <c r="J36" s="1621"/>
      <c r="K36" s="745">
        <f t="shared" si="1"/>
        <v>0</v>
      </c>
    </row>
    <row r="37" spans="1:11" s="1527" customFormat="1" ht="21.95" hidden="1" customHeight="1">
      <c r="A37" s="2572"/>
      <c r="B37" s="2867" t="s">
        <v>2458</v>
      </c>
      <c r="C37" s="1448" t="s">
        <v>1539</v>
      </c>
      <c r="D37" s="1289"/>
      <c r="E37" s="1442"/>
      <c r="F37" s="1117">
        <f>IF(SUM(Pav_Dados!G31:G33)=0,0,Pav_Dados!G30)</f>
        <v>0</v>
      </c>
      <c r="G37" s="1117">
        <f>IF(SUM(Pav_Dados!H31:H33)=0,0,Pav_Dados!H30)</f>
        <v>0</v>
      </c>
      <c r="H37" s="1117">
        <f>IF(SUM(Pav_Dados!I31:I33)=0,0,Pav_Dados!I30)</f>
        <v>0</v>
      </c>
      <c r="I37" s="1117"/>
      <c r="J37" s="1617"/>
      <c r="K37" s="745">
        <f t="shared" si="1"/>
        <v>0</v>
      </c>
    </row>
    <row r="38" spans="1:11" s="1527" customFormat="1" ht="21.95" hidden="1" customHeight="1">
      <c r="A38" s="2572"/>
      <c r="B38" s="2868"/>
      <c r="C38" s="1089" t="s">
        <v>2373</v>
      </c>
      <c r="D38" s="1289"/>
      <c r="E38" s="1442"/>
      <c r="F38" s="1570">
        <f>IF(F37=0,0,IF(Pav_Dados!G31=0,Pav_Dados!G33/F40,Pav_Dados!G31))</f>
        <v>0</v>
      </c>
      <c r="G38" s="1570">
        <f>IF(G37=0,0,IF(Pav_Dados!H31=0,Pav_Dados!H33/G40,Pav_Dados!H31))</f>
        <v>0</v>
      </c>
      <c r="H38" s="1570">
        <f>IF(H37=0,0,IF(Pav_Dados!I31=0,Pav_Dados!I33/H40,Pav_Dados!I31))</f>
        <v>0</v>
      </c>
      <c r="I38" s="1570"/>
      <c r="J38" s="1617"/>
      <c r="K38" s="745">
        <f t="shared" si="1"/>
        <v>0</v>
      </c>
    </row>
    <row r="39" spans="1:11" s="1527" customFormat="1" ht="21.95" hidden="1" customHeight="1">
      <c r="A39" s="2572"/>
      <c r="B39" s="2868"/>
      <c r="C39" s="1089" t="s">
        <v>2375</v>
      </c>
      <c r="D39" s="1289"/>
      <c r="E39" s="1442"/>
      <c r="F39" s="834">
        <f>IF(F37=0,0,IF(Pav_Dados!G32&gt;0,Pav_Dados!G32,F79))</f>
        <v>0</v>
      </c>
      <c r="G39" s="834">
        <f>IF(G37=0,0,IF(Pav_Dados!H32&gt;0,Pav_Dados!H32,G79))</f>
        <v>0</v>
      </c>
      <c r="H39" s="834">
        <f>IF(H37=0,0,IF(Pav_Dados!I32&gt;0,Pav_Dados!I32,H79))</f>
        <v>0</v>
      </c>
      <c r="I39" s="834"/>
      <c r="J39" s="1615"/>
      <c r="K39" s="745">
        <f t="shared" si="1"/>
        <v>0</v>
      </c>
    </row>
    <row r="40" spans="1:11" s="1527" customFormat="1" ht="21.95" hidden="1" customHeight="1">
      <c r="A40" s="2572"/>
      <c r="B40" s="2762"/>
      <c r="C40" s="1089" t="s">
        <v>1693</v>
      </c>
      <c r="D40" s="1289"/>
      <c r="E40" s="1442"/>
      <c r="F40" s="1570">
        <f>IF(F37=0,0,IF(F39=F79,F81,F37*F39))</f>
        <v>0</v>
      </c>
      <c r="G40" s="1570">
        <f>IF(G37=0,0,IF(G39=G79,G81,G37*G39))</f>
        <v>0</v>
      </c>
      <c r="H40" s="1570">
        <f>IF(H37=0,0,IF(H39=H79,H81,H37*H39))</f>
        <v>0</v>
      </c>
      <c r="I40" s="1570"/>
      <c r="J40" s="1617"/>
      <c r="K40" s="745">
        <f t="shared" si="1"/>
        <v>0</v>
      </c>
    </row>
    <row r="41" spans="1:11" s="1527" customFormat="1" ht="21.95" hidden="1" customHeight="1" thickBot="1">
      <c r="A41" s="2572"/>
      <c r="B41" s="2869"/>
      <c r="C41" s="1089" t="s">
        <v>2455</v>
      </c>
      <c r="D41" s="1291"/>
      <c r="E41" s="1563"/>
      <c r="F41" s="1564">
        <f>IF(F38&gt;0,F40*F38,Pav_Dados!G33)</f>
        <v>0</v>
      </c>
      <c r="G41" s="1564">
        <f>IF(G38&gt;0,G40*G38,Pav_Dados!H33)</f>
        <v>0</v>
      </c>
      <c r="H41" s="1564">
        <f>IF(H38&gt;0,H40*H38,Pav_Dados!I33)</f>
        <v>0</v>
      </c>
      <c r="I41" s="1564"/>
      <c r="J41" s="1620"/>
      <c r="K41" s="745">
        <f t="shared" si="1"/>
        <v>0</v>
      </c>
    </row>
    <row r="42" spans="1:11" s="1527" customFormat="1" ht="21.95" hidden="1" customHeight="1">
      <c r="A42" s="2572"/>
      <c r="B42" s="2700" t="s">
        <v>2459</v>
      </c>
      <c r="C42" s="1448" t="s">
        <v>1539</v>
      </c>
      <c r="D42" s="1289"/>
      <c r="E42" s="1560"/>
      <c r="F42" s="1561">
        <f>IF(SUM(Pav_Dados!G35:G37)=0,0,Pav_Dados!G34)</f>
        <v>0</v>
      </c>
      <c r="G42" s="1561">
        <f>IF(SUM(Pav_Dados!H35:H37)=0,0,Pav_Dados!H34)</f>
        <v>0</v>
      </c>
      <c r="H42" s="1561">
        <f>IF(SUM(Pav_Dados!I35:I37)=0,0,Pav_Dados!I34)</f>
        <v>0</v>
      </c>
      <c r="I42" s="1561"/>
      <c r="J42" s="1617"/>
      <c r="K42" s="745">
        <f t="shared" si="1"/>
        <v>0</v>
      </c>
    </row>
    <row r="43" spans="1:11" s="1527" customFormat="1" ht="21.95" hidden="1" customHeight="1">
      <c r="A43" s="2572"/>
      <c r="B43" s="2710"/>
      <c r="C43" s="1089" t="s">
        <v>2373</v>
      </c>
      <c r="D43" s="1289"/>
      <c r="E43" s="1442"/>
      <c r="F43" s="1570">
        <f>IF(F42=0,0,IF(Pav_Dados!G35=0,Pav_Dados!G37/F45,Pav_Dados!G35))</f>
        <v>0</v>
      </c>
      <c r="G43" s="1570">
        <f>IF(G42=0,0,IF(Pav_Dados!H35=0,Pav_Dados!H37/G45,Pav_Dados!H35))</f>
        <v>0</v>
      </c>
      <c r="H43" s="1570">
        <f>IF(H42=0,0,IF(Pav_Dados!I35=0,Pav_Dados!I37/H45,Pav_Dados!I35))</f>
        <v>0</v>
      </c>
      <c r="I43" s="1570"/>
      <c r="J43" s="1617"/>
      <c r="K43" s="745">
        <f t="shared" si="1"/>
        <v>0</v>
      </c>
    </row>
    <row r="44" spans="1:11" s="1527" customFormat="1" ht="21.95" hidden="1" customHeight="1">
      <c r="A44" s="2572"/>
      <c r="B44" s="2710"/>
      <c r="C44" s="1089" t="s">
        <v>1355</v>
      </c>
      <c r="D44" s="1289"/>
      <c r="E44" s="1442"/>
      <c r="F44" s="1570">
        <f>IF(F42=0,0,IF(Pav_Dados!G36&gt;0,Pav_Dados!G36,F79))</f>
        <v>0</v>
      </c>
      <c r="G44" s="1570">
        <f>IF(G42=0,0,IF(Pav_Dados!H36&gt;0,Pav_Dados!H36,G79))</f>
        <v>0</v>
      </c>
      <c r="H44" s="1570">
        <f>IF(H42=0,0,IF(Pav_Dados!I36&gt;0,Pav_Dados!I36,H79))</f>
        <v>0</v>
      </c>
      <c r="I44" s="1570"/>
      <c r="J44" s="1615"/>
      <c r="K44" s="745">
        <f t="shared" si="1"/>
        <v>0</v>
      </c>
    </row>
    <row r="45" spans="1:11" s="1527" customFormat="1" ht="21.95" hidden="1" customHeight="1">
      <c r="A45" s="2572"/>
      <c r="B45" s="2710"/>
      <c r="C45" s="1089" t="s">
        <v>1693</v>
      </c>
      <c r="D45" s="1289"/>
      <c r="E45" s="1442"/>
      <c r="F45" s="1570">
        <f>IF(F42=0,0,IF(F44=F78,F79,F42*F44))</f>
        <v>0</v>
      </c>
      <c r="G45" s="1570">
        <f>IF(G42=0,0,IF(G44=G78,G79,G42*G44))</f>
        <v>0</v>
      </c>
      <c r="H45" s="1570">
        <f>IF(H42=0,0,IF(H44=H78,H79,H42*H44))</f>
        <v>0</v>
      </c>
      <c r="I45" s="1570"/>
      <c r="J45" s="1617"/>
      <c r="K45" s="745"/>
    </row>
    <row r="46" spans="1:11" s="1527" customFormat="1" ht="21.95" hidden="1" customHeight="1" thickBot="1">
      <c r="A46" s="2572"/>
      <c r="B46" s="2701"/>
      <c r="C46" s="936" t="s">
        <v>1923</v>
      </c>
      <c r="D46" s="1291"/>
      <c r="E46" s="1563"/>
      <c r="F46" s="1564">
        <f>IF(F43&gt;0,F45*F43,Pav_Dados!G37)</f>
        <v>0</v>
      </c>
      <c r="G46" s="1564">
        <f>IF(G43&gt;0,G45*G43,Pav_Dados!H37)</f>
        <v>0</v>
      </c>
      <c r="H46" s="1564">
        <f>IF(H43&gt;0,H45*H43,Pav_Dados!I37)</f>
        <v>0</v>
      </c>
      <c r="I46" s="1564"/>
      <c r="J46" s="1620"/>
      <c r="K46" s="745">
        <f>SUM(F46:J46)</f>
        <v>0</v>
      </c>
    </row>
    <row r="47" spans="1:11" s="1527" customFormat="1" ht="21.95" hidden="1" customHeight="1">
      <c r="A47" s="2572"/>
      <c r="B47" s="2581" t="s">
        <v>2382</v>
      </c>
      <c r="C47" s="1448" t="s">
        <v>2460</v>
      </c>
      <c r="D47" s="1289"/>
      <c r="E47" s="1560"/>
      <c r="F47" s="1561">
        <f>Pav_Dados!G38</f>
        <v>0</v>
      </c>
      <c r="G47" s="1561">
        <f>Pav_Dados!H38</f>
        <v>0</v>
      </c>
      <c r="H47" s="1561">
        <f>Pav_Dados!I38</f>
        <v>0</v>
      </c>
      <c r="I47" s="1561"/>
      <c r="J47" s="1614"/>
      <c r="K47" s="745">
        <f>SUM(F47:J47)</f>
        <v>0</v>
      </c>
    </row>
    <row r="48" spans="1:11" s="1527" customFormat="1" ht="21.95" hidden="1" customHeight="1">
      <c r="A48" s="2572"/>
      <c r="B48" s="2582"/>
      <c r="C48" s="1089" t="s">
        <v>2461</v>
      </c>
      <c r="D48" s="1289"/>
      <c r="E48" s="1442"/>
      <c r="F48" s="1570">
        <f>IF(F47=0,0,IF(Pav_Dados!G39=0,Pav_Dados!G41/(F47*F49),Pav_Dados!G39))</f>
        <v>0</v>
      </c>
      <c r="G48" s="1570">
        <f>IF(G47=0,0,IF(Pav_Dados!H39=0,Pav_Dados!H41/(G47*G49),Pav_Dados!H39))</f>
        <v>0</v>
      </c>
      <c r="H48" s="1570">
        <f>IF(H47=0,0,IF(Pav_Dados!I39=0,Pav_Dados!I41/(H47*H49),Pav_Dados!I39))</f>
        <v>0</v>
      </c>
      <c r="I48" s="1570"/>
      <c r="J48" s="1622"/>
      <c r="K48" s="745">
        <f>SUM(F48:J48)</f>
        <v>0</v>
      </c>
    </row>
    <row r="49" spans="1:11" s="1527" customFormat="1" ht="21.95" hidden="1" customHeight="1">
      <c r="A49" s="2572"/>
      <c r="B49" s="2582"/>
      <c r="C49" s="1089" t="s">
        <v>2462</v>
      </c>
      <c r="D49" s="1289"/>
      <c r="E49" s="1442"/>
      <c r="F49" s="1570">
        <f>Pav_Dados!G40</f>
        <v>0</v>
      </c>
      <c r="G49" s="1570">
        <f>Pav_Dados!H40</f>
        <v>0</v>
      </c>
      <c r="H49" s="1570">
        <f>Pav_Dados!I40</f>
        <v>0</v>
      </c>
      <c r="I49" s="1570"/>
      <c r="J49" s="1622"/>
      <c r="K49" s="745">
        <f>SUM(F49:J49)</f>
        <v>0</v>
      </c>
    </row>
    <row r="50" spans="1:11" s="1527" customFormat="1" ht="21.95" hidden="1" customHeight="1">
      <c r="A50" s="2572"/>
      <c r="B50" s="2582"/>
      <c r="C50" s="1089" t="s">
        <v>2463</v>
      </c>
      <c r="D50" s="1289"/>
      <c r="E50" s="1442"/>
      <c r="F50" s="1570">
        <f>IF(F48&gt;0,(F47*F49)*F48,Pav_Dados!G41)</f>
        <v>0</v>
      </c>
      <c r="G50" s="1570">
        <f>IF(G48&gt;0,(G47*G49)*G48,Pav_Dados!H41)</f>
        <v>0</v>
      </c>
      <c r="H50" s="1570">
        <f>IF(H48&gt;0,(H47*H49)*H48,Pav_Dados!I41)</f>
        <v>0</v>
      </c>
      <c r="I50" s="1570"/>
      <c r="J50" s="1616"/>
      <c r="K50" s="745">
        <f>SUM(F50:J50)</f>
        <v>0</v>
      </c>
    </row>
    <row r="51" spans="1:11" s="1527" customFormat="1" ht="21.95" hidden="1" customHeight="1">
      <c r="A51" s="2572"/>
      <c r="B51" s="2582"/>
      <c r="C51" s="1089" t="s">
        <v>2104</v>
      </c>
      <c r="D51" s="1623"/>
      <c r="E51" s="1601"/>
      <c r="F51" s="825">
        <f>IF(F47=0,0,"BOTA-FORA")</f>
        <v>0</v>
      </c>
      <c r="G51" s="825">
        <f>IF(G47=0,0,"BOTA-FORA")</f>
        <v>0</v>
      </c>
      <c r="H51" s="825">
        <f>IF(H47=0,0,"BOTA-FORA")</f>
        <v>0</v>
      </c>
      <c r="I51" s="825"/>
      <c r="J51" s="1622"/>
      <c r="K51" s="780">
        <f>COUNTA(F51:I51)-COUNTIF(F51:I51,0)</f>
        <v>0</v>
      </c>
    </row>
    <row r="52" spans="1:11" s="1527" customFormat="1" ht="21.95" hidden="1" customHeight="1">
      <c r="A52" s="2572"/>
      <c r="B52" s="2582"/>
      <c r="C52" s="1089" t="s">
        <v>2464</v>
      </c>
      <c r="D52" s="1624"/>
      <c r="E52" s="1600"/>
      <c r="F52" s="1587">
        <f>Pav_Dados!G42</f>
        <v>0</v>
      </c>
      <c r="G52" s="1587">
        <f>Pav_Dados!H42</f>
        <v>0</v>
      </c>
      <c r="H52" s="1587">
        <f>Pav_Dados!I42</f>
        <v>0</v>
      </c>
      <c r="I52" s="1587"/>
      <c r="J52" s="1625"/>
      <c r="K52" s="745">
        <f>SUM(F52:J52)</f>
        <v>0</v>
      </c>
    </row>
    <row r="53" spans="1:11" s="1527" customFormat="1" ht="21.95" hidden="1" customHeight="1">
      <c r="A53" s="2572"/>
      <c r="B53" s="2582"/>
      <c r="C53" s="1089" t="s">
        <v>2465</v>
      </c>
      <c r="D53" s="1289"/>
      <c r="E53" s="1442"/>
      <c r="F53" s="1570">
        <f>IF(F52=0,0,IF(Pav_Dados!G43=0,Pav_Dados!G45/(F52*F54),Pav_Dados!G43))</f>
        <v>0</v>
      </c>
      <c r="G53" s="1570">
        <f>IF(G52=0,0,IF(Pav_Dados!H43=0,Pav_Dados!H45/(G52*G54),Pav_Dados!H43))</f>
        <v>0</v>
      </c>
      <c r="H53" s="1570">
        <f>IF(H52=0,0,IF(Pav_Dados!I43=0,Pav_Dados!I45/(H52*H54),Pav_Dados!I43))</f>
        <v>0</v>
      </c>
      <c r="I53" s="1570"/>
      <c r="J53" s="1622"/>
      <c r="K53" s="745">
        <f>SUM(F53:J53)</f>
        <v>0</v>
      </c>
    </row>
    <row r="54" spans="1:11" s="1527" customFormat="1" ht="21.95" hidden="1" customHeight="1">
      <c r="A54" s="2572"/>
      <c r="B54" s="2582"/>
      <c r="C54" s="1089" t="s">
        <v>2466</v>
      </c>
      <c r="D54" s="1289"/>
      <c r="E54" s="1442"/>
      <c r="F54" s="1570">
        <f>Pav_Dados!G44</f>
        <v>0</v>
      </c>
      <c r="G54" s="1570">
        <f>Pav_Dados!H44</f>
        <v>0</v>
      </c>
      <c r="H54" s="1570">
        <f>Pav_Dados!I44</f>
        <v>0</v>
      </c>
      <c r="I54" s="1570"/>
      <c r="J54" s="1622"/>
      <c r="K54" s="745">
        <f>SUM(F54:J54)</f>
        <v>0</v>
      </c>
    </row>
    <row r="55" spans="1:11" s="1527" customFormat="1" ht="21.95" hidden="1" customHeight="1">
      <c r="A55" s="2572"/>
      <c r="B55" s="2582"/>
      <c r="C55" s="1089" t="s">
        <v>2225</v>
      </c>
      <c r="D55" s="1289"/>
      <c r="E55" s="1442"/>
      <c r="F55" s="1570">
        <f>IF(F53&gt;0,(F52*F54)*F53,Pav_Dados!G45)</f>
        <v>0</v>
      </c>
      <c r="G55" s="1570">
        <f>IF(G53&gt;0,(G52*G54)*G53,Pav_Dados!H45)</f>
        <v>0</v>
      </c>
      <c r="H55" s="1570">
        <f>IF(H53&gt;0,(H52*H54)*H53,Pav_Dados!I45)</f>
        <v>0</v>
      </c>
      <c r="I55" s="1570"/>
      <c r="J55" s="1616"/>
      <c r="K55" s="745">
        <f>SUM(F55:J55)</f>
        <v>0</v>
      </c>
    </row>
    <row r="56" spans="1:11" s="1527" customFormat="1" ht="21.95" hidden="1" customHeight="1" thickBot="1">
      <c r="A56" s="2572"/>
      <c r="B56" s="2583"/>
      <c r="C56" s="1453" t="s">
        <v>2104</v>
      </c>
      <c r="D56" s="1291"/>
      <c r="E56" s="1563"/>
      <c r="F56" s="1618">
        <f>IF(F52=0,0,"BOTA-FORA")</f>
        <v>0</v>
      </c>
      <c r="G56" s="1618">
        <f>IF(G52=0,0,"BOTA-FORA")</f>
        <v>0</v>
      </c>
      <c r="H56" s="1618">
        <f>IF(H52=0,0,"BOTA-FORA")</f>
        <v>0</v>
      </c>
      <c r="I56" s="1618"/>
      <c r="J56" s="1622"/>
      <c r="K56" s="780">
        <f>COUNTA(F56:I56)-COUNTIF(F56:I56,0)</f>
        <v>0</v>
      </c>
    </row>
    <row r="57" spans="1:11" s="1527" customFormat="1" ht="21.95" hidden="1" customHeight="1">
      <c r="A57" s="2572"/>
      <c r="B57" s="2581" t="s">
        <v>2467</v>
      </c>
      <c r="C57" s="1448" t="s">
        <v>2460</v>
      </c>
      <c r="D57" s="1289"/>
      <c r="E57" s="1560"/>
      <c r="F57" s="1561">
        <f>Pav_Dados!G46</f>
        <v>0</v>
      </c>
      <c r="G57" s="1561">
        <f>Pav_Dados!H46</f>
        <v>0</v>
      </c>
      <c r="H57" s="1561">
        <f>Pav_Dados!I46</f>
        <v>0</v>
      </c>
      <c r="I57" s="1561"/>
      <c r="J57" s="1614"/>
      <c r="K57" s="745">
        <f>SUM(F57:J57)</f>
        <v>0</v>
      </c>
    </row>
    <row r="58" spans="1:11" s="1527" customFormat="1" ht="21.95" hidden="1" customHeight="1">
      <c r="A58" s="2572"/>
      <c r="B58" s="2582"/>
      <c r="C58" s="1089" t="s">
        <v>2461</v>
      </c>
      <c r="D58" s="1289"/>
      <c r="E58" s="1442"/>
      <c r="F58" s="1570">
        <f>IF(F57=0,0,IF(Pav_Dados!G47=0,Pav_Dados!G49/(F57*F59),Pav_Dados!G47))</f>
        <v>0</v>
      </c>
      <c r="G58" s="1570">
        <f>IF(G57=0,0,IF(Pav_Dados!H47=0,Pav_Dados!H49/(G57*G59),Pav_Dados!H47))</f>
        <v>0</v>
      </c>
      <c r="H58" s="1570">
        <f>IF(H57=0,0,IF(Pav_Dados!I47=0,Pav_Dados!I49/(H57*H59),Pav_Dados!I47))</f>
        <v>0</v>
      </c>
      <c r="I58" s="1570"/>
      <c r="J58" s="1622"/>
      <c r="K58" s="745">
        <f>SUM(F58:J58)</f>
        <v>0</v>
      </c>
    </row>
    <row r="59" spans="1:11" s="1527" customFormat="1" ht="21.95" hidden="1" customHeight="1">
      <c r="A59" s="2572"/>
      <c r="B59" s="2582"/>
      <c r="C59" s="1089" t="s">
        <v>2462</v>
      </c>
      <c r="D59" s="1289"/>
      <c r="E59" s="1442"/>
      <c r="F59" s="1570">
        <f>Pav_Dados!G48</f>
        <v>0</v>
      </c>
      <c r="G59" s="1570">
        <f>Pav_Dados!H48</f>
        <v>0</v>
      </c>
      <c r="H59" s="1570">
        <f>Pav_Dados!I48</f>
        <v>0</v>
      </c>
      <c r="I59" s="1570"/>
      <c r="J59" s="1622"/>
      <c r="K59" s="745">
        <f>SUM(F59:J59)</f>
        <v>0</v>
      </c>
    </row>
    <row r="60" spans="1:11" s="1527" customFormat="1" ht="21.95" hidden="1" customHeight="1">
      <c r="A60" s="2572"/>
      <c r="B60" s="2582"/>
      <c r="C60" s="1089" t="s">
        <v>2463</v>
      </c>
      <c r="D60" s="1289"/>
      <c r="E60" s="1442"/>
      <c r="F60" s="1570">
        <f>IF(F58&gt;0,(F57*F59)*F58,Pav_Dados!G49)</f>
        <v>0</v>
      </c>
      <c r="G60" s="1570">
        <f>IF(G58&gt;0,(G57*G59)*G58,Pav_Dados!H49)</f>
        <v>0</v>
      </c>
      <c r="H60" s="1570">
        <f>IF(H58&gt;0,(H57*H59)*H58,Pav_Dados!I49)</f>
        <v>0</v>
      </c>
      <c r="I60" s="1570"/>
      <c r="J60" s="1616"/>
      <c r="K60" s="745">
        <f>SUM(F60:J60)</f>
        <v>0</v>
      </c>
    </row>
    <row r="61" spans="1:11" s="1527" customFormat="1" ht="21.95" hidden="1" customHeight="1">
      <c r="A61" s="2572"/>
      <c r="B61" s="2582"/>
      <c r="C61" s="1089" t="s">
        <v>2104</v>
      </c>
      <c r="D61" s="1623"/>
      <c r="E61" s="1601"/>
      <c r="F61" s="825">
        <f>IF(F57=0,0,"BOTA-FORA")</f>
        <v>0</v>
      </c>
      <c r="G61" s="825">
        <f>IF(G57=0,0,"BOTA-FORA")</f>
        <v>0</v>
      </c>
      <c r="H61" s="825">
        <f>IF(H57=0,0,"BOTA-FORA")</f>
        <v>0</v>
      </c>
      <c r="I61" s="825"/>
      <c r="J61" s="1622"/>
      <c r="K61" s="780">
        <f>COUNTA(F61:I61)-COUNTIF(F61:I61,0)</f>
        <v>0</v>
      </c>
    </row>
    <row r="62" spans="1:11" s="1527" customFormat="1" ht="21.95" hidden="1" customHeight="1">
      <c r="A62" s="2572"/>
      <c r="B62" s="2582"/>
      <c r="C62" s="1089" t="s">
        <v>2464</v>
      </c>
      <c r="D62" s="1289"/>
      <c r="E62" s="1442"/>
      <c r="F62" s="1587">
        <f>Pav_Dados!G50</f>
        <v>0</v>
      </c>
      <c r="G62" s="1587">
        <f>Pav_Dados!H50</f>
        <v>0</v>
      </c>
      <c r="H62" s="1587">
        <f>Pav_Dados!I50</f>
        <v>0</v>
      </c>
      <c r="I62" s="1587"/>
      <c r="J62" s="1625"/>
      <c r="K62" s="745">
        <f>SUM(F62:J62)</f>
        <v>0</v>
      </c>
    </row>
    <row r="63" spans="1:11" s="1527" customFormat="1" ht="21.95" hidden="1" customHeight="1">
      <c r="A63" s="2572"/>
      <c r="B63" s="2582"/>
      <c r="C63" s="1089" t="s">
        <v>2465</v>
      </c>
      <c r="D63" s="1289"/>
      <c r="E63" s="1442"/>
      <c r="F63" s="1570">
        <f>IF(F62=0,0,IF(Pav_Dados!G51=0,Pav_Dados!G53/(F62*F64),Pav_Dados!G51))</f>
        <v>0</v>
      </c>
      <c r="G63" s="1570">
        <f>IF(G62=0,0,IF(Pav_Dados!H51=0,Pav_Dados!H53/(G62*G64),Pav_Dados!H51))</f>
        <v>0</v>
      </c>
      <c r="H63" s="1570">
        <f>IF(H62=0,0,IF(Pav_Dados!I51=0,Pav_Dados!I53/(H62*H64),Pav_Dados!I51))</f>
        <v>0</v>
      </c>
      <c r="I63" s="1570"/>
      <c r="J63" s="1622"/>
      <c r="K63" s="745">
        <f>SUM(F63:J63)</f>
        <v>0</v>
      </c>
    </row>
    <row r="64" spans="1:11" s="1527" customFormat="1" ht="21.95" hidden="1" customHeight="1">
      <c r="A64" s="2572"/>
      <c r="B64" s="2582"/>
      <c r="C64" s="1089" t="s">
        <v>2466</v>
      </c>
      <c r="D64" s="1289"/>
      <c r="E64" s="1442"/>
      <c r="F64" s="1570">
        <f>Pav_Dados!G52</f>
        <v>0</v>
      </c>
      <c r="G64" s="1570">
        <f>Pav_Dados!H52</f>
        <v>0</v>
      </c>
      <c r="H64" s="1570">
        <f>Pav_Dados!I52</f>
        <v>0</v>
      </c>
      <c r="I64" s="1570"/>
      <c r="J64" s="1622"/>
      <c r="K64" s="745">
        <f>SUM(F64:J64)</f>
        <v>0</v>
      </c>
    </row>
    <row r="65" spans="1:11" s="1527" customFormat="1" ht="21.95" hidden="1" customHeight="1">
      <c r="A65" s="2572"/>
      <c r="B65" s="2582"/>
      <c r="C65" s="1089" t="s">
        <v>2225</v>
      </c>
      <c r="D65" s="1289"/>
      <c r="E65" s="1442"/>
      <c r="F65" s="1570">
        <f>IF(F63&gt;0,(F62*F64)*F63,Pav_Dados!G53)</f>
        <v>0</v>
      </c>
      <c r="G65" s="1570">
        <f>IF(G63&gt;0,(G62*G64)*G63,Pav_Dados!H53)</f>
        <v>0</v>
      </c>
      <c r="H65" s="1570">
        <f>IF(H63&gt;0,(H62*H64)*H63,Pav_Dados!I53)</f>
        <v>0</v>
      </c>
      <c r="I65" s="1570"/>
      <c r="J65" s="1616"/>
      <c r="K65" s="745">
        <f>SUM(F65:J65)</f>
        <v>0</v>
      </c>
    </row>
    <row r="66" spans="1:11" s="1527" customFormat="1" ht="21.95" hidden="1" customHeight="1" thickBot="1">
      <c r="A66" s="2572"/>
      <c r="B66" s="2583"/>
      <c r="C66" s="1453" t="s">
        <v>2104</v>
      </c>
      <c r="D66" s="1291"/>
      <c r="E66" s="1563"/>
      <c r="F66" s="1618">
        <f>IF(F62=0,0,"BOTA-FORA")</f>
        <v>0</v>
      </c>
      <c r="G66" s="1618">
        <f>IF(G62=0,0,"BOTA-FORA")</f>
        <v>0</v>
      </c>
      <c r="H66" s="1618">
        <f>IF(H62=0,0,"BOTA-FORA")</f>
        <v>0</v>
      </c>
      <c r="I66" s="1618"/>
      <c r="J66" s="1622"/>
      <c r="K66" s="780">
        <f>COUNTA(F66:I66)-COUNTIF(F66:I66,0)</f>
        <v>0</v>
      </c>
    </row>
    <row r="67" spans="1:11" s="1527" customFormat="1" ht="21.95" hidden="1" customHeight="1">
      <c r="A67" s="2572"/>
      <c r="B67" s="2581" t="s">
        <v>2468</v>
      </c>
      <c r="C67" s="1448" t="s">
        <v>2460</v>
      </c>
      <c r="D67" s="1289"/>
      <c r="E67" s="1560"/>
      <c r="F67" s="1561">
        <f>Pav_Dados!G54</f>
        <v>0</v>
      </c>
      <c r="G67" s="1561">
        <f>Pav_Dados!H54</f>
        <v>0</v>
      </c>
      <c r="H67" s="1561">
        <f>Pav_Dados!I54</f>
        <v>0</v>
      </c>
      <c r="I67" s="1561"/>
      <c r="J67" s="1614"/>
      <c r="K67" s="745">
        <f>SUM(F67:J67)</f>
        <v>0</v>
      </c>
    </row>
    <row r="68" spans="1:11" s="1527" customFormat="1" ht="21.95" hidden="1" customHeight="1">
      <c r="A68" s="2572"/>
      <c r="B68" s="2582"/>
      <c r="C68" s="1089" t="s">
        <v>2461</v>
      </c>
      <c r="D68" s="1289"/>
      <c r="E68" s="1442"/>
      <c r="F68" s="1570">
        <f>IF(F67=0,0,IF(Pav_Dados!G55=0,Pav_Dados!G57/(F67*F69),Pav_Dados!G55))</f>
        <v>0</v>
      </c>
      <c r="G68" s="1570">
        <f>IF(G67=0,0,IF(Pav_Dados!H55=0,Pav_Dados!H57/(G67*G69),Pav_Dados!H55))</f>
        <v>0</v>
      </c>
      <c r="H68" s="1570">
        <f>IF(H67=0,0,IF(Pav_Dados!I55=0,Pav_Dados!I57/(H67*H69),Pav_Dados!I55))</f>
        <v>0</v>
      </c>
      <c r="I68" s="1570"/>
      <c r="J68" s="1622"/>
      <c r="K68" s="745">
        <f>SUM(F68:J68)</f>
        <v>0</v>
      </c>
    </row>
    <row r="69" spans="1:11" s="1527" customFormat="1" ht="21.95" hidden="1" customHeight="1">
      <c r="A69" s="2572"/>
      <c r="B69" s="2582"/>
      <c r="C69" s="1089" t="s">
        <v>2462</v>
      </c>
      <c r="D69" s="1289"/>
      <c r="E69" s="1442"/>
      <c r="F69" s="1570">
        <f>Pav_Dados!G56</f>
        <v>0</v>
      </c>
      <c r="G69" s="1570">
        <f>Pav_Dados!H56</f>
        <v>0</v>
      </c>
      <c r="H69" s="1570">
        <f>Pav_Dados!I56</f>
        <v>0</v>
      </c>
      <c r="I69" s="1570"/>
      <c r="J69" s="1622"/>
      <c r="K69" s="745">
        <f>SUM(F69:J69)</f>
        <v>0</v>
      </c>
    </row>
    <row r="70" spans="1:11" s="1527" customFormat="1" ht="21.95" hidden="1" customHeight="1">
      <c r="A70" s="2572"/>
      <c r="B70" s="2582"/>
      <c r="C70" s="1089" t="s">
        <v>2463</v>
      </c>
      <c r="D70" s="1289"/>
      <c r="E70" s="1442"/>
      <c r="F70" s="1570">
        <f>IF(F68&gt;0,(F67*F69)*F68,Pav_Dados!G57)</f>
        <v>0</v>
      </c>
      <c r="G70" s="1570">
        <f>IF(G68&gt;0,(G67*G69)*G68,Pav_Dados!H57)</f>
        <v>0</v>
      </c>
      <c r="H70" s="1570">
        <f>IF(H68&gt;0,(H67*H69)*H68,Pav_Dados!I57)</f>
        <v>0</v>
      </c>
      <c r="I70" s="1570"/>
      <c r="J70" s="1616"/>
      <c r="K70" s="745">
        <f>SUM(F70:J70)</f>
        <v>0</v>
      </c>
    </row>
    <row r="71" spans="1:11" s="1527" customFormat="1" ht="21.95" hidden="1" customHeight="1">
      <c r="A71" s="2572"/>
      <c r="B71" s="2861"/>
      <c r="C71" s="1089" t="s">
        <v>2104</v>
      </c>
      <c r="D71" s="1623"/>
      <c r="E71" s="1601"/>
      <c r="F71" s="825">
        <f>IF(F67=0,0,"BOTA-FORA")</f>
        <v>0</v>
      </c>
      <c r="G71" s="825">
        <f>IF(G67=0,0,"BOTA-FORA")</f>
        <v>0</v>
      </c>
      <c r="H71" s="825">
        <f>IF(H67=0,0,"BOTA-FORA")</f>
        <v>0</v>
      </c>
      <c r="I71" s="825"/>
      <c r="J71" s="1626"/>
      <c r="K71" s="780">
        <f>COUNTA(F71:I71)-COUNTIF(F71:I71,0)</f>
        <v>0</v>
      </c>
    </row>
    <row r="72" spans="1:11" s="1527" customFormat="1" ht="21.95" hidden="1" customHeight="1">
      <c r="A72" s="2572"/>
      <c r="B72" s="2582"/>
      <c r="C72" s="1453" t="s">
        <v>2464</v>
      </c>
      <c r="D72" s="1289"/>
      <c r="E72" s="1442"/>
      <c r="F72" s="1587">
        <f>Pav_Dados!G58</f>
        <v>0</v>
      </c>
      <c r="G72" s="1587">
        <f>Pav_Dados!H58</f>
        <v>0</v>
      </c>
      <c r="H72" s="1587">
        <f>Pav_Dados!I58</f>
        <v>0</v>
      </c>
      <c r="I72" s="1587"/>
      <c r="J72" s="1625"/>
      <c r="K72" s="745">
        <f>SUM(F72:J72)</f>
        <v>0</v>
      </c>
    </row>
    <row r="73" spans="1:11" s="1527" customFormat="1" ht="21.95" hidden="1" customHeight="1">
      <c r="A73" s="2572"/>
      <c r="B73" s="2582"/>
      <c r="C73" s="1089" t="s">
        <v>2465</v>
      </c>
      <c r="D73" s="1289"/>
      <c r="E73" s="1442"/>
      <c r="F73" s="1570">
        <f>IF(F72=0,0,IF(Pav_Dados!G59=0,Pav_Dados!G61/(F72*F74),Pav_Dados!G59))</f>
        <v>0</v>
      </c>
      <c r="G73" s="1570">
        <f>IF(G72=0,0,IF(Pav_Dados!H59=0,Pav_Dados!H61/(G72*G74),Pav_Dados!H59))</f>
        <v>0</v>
      </c>
      <c r="H73" s="1570">
        <f>IF(H72=0,0,IF(Pav_Dados!I59=0,Pav_Dados!I61/(H72*H74),Pav_Dados!I59))</f>
        <v>0</v>
      </c>
      <c r="I73" s="1570"/>
      <c r="J73" s="1622"/>
      <c r="K73" s="745">
        <f>SUM(F73:J73)</f>
        <v>0</v>
      </c>
    </row>
    <row r="74" spans="1:11" s="1527" customFormat="1" ht="21.95" hidden="1" customHeight="1">
      <c r="A74" s="2572"/>
      <c r="B74" s="2582"/>
      <c r="C74" s="1089" t="s">
        <v>2466</v>
      </c>
      <c r="D74" s="1289"/>
      <c r="E74" s="1442"/>
      <c r="F74" s="1570">
        <f>Pav_Dados!G60</f>
        <v>0</v>
      </c>
      <c r="G74" s="1570">
        <f>Pav_Dados!H60</f>
        <v>0</v>
      </c>
      <c r="H74" s="1570">
        <f>Pav_Dados!I60</f>
        <v>0</v>
      </c>
      <c r="I74" s="1570"/>
      <c r="J74" s="1622"/>
      <c r="K74" s="745">
        <f>SUM(F74:J74)</f>
        <v>0</v>
      </c>
    </row>
    <row r="75" spans="1:11" s="1527" customFormat="1" ht="21.95" hidden="1" customHeight="1">
      <c r="A75" s="2572"/>
      <c r="B75" s="2582"/>
      <c r="C75" s="1089" t="s">
        <v>2225</v>
      </c>
      <c r="D75" s="1289"/>
      <c r="E75" s="1442"/>
      <c r="F75" s="1570">
        <f>IF(F73&gt;0,(F72*F74)*F73,Pav_Dados!G61)</f>
        <v>0</v>
      </c>
      <c r="G75" s="1570">
        <f>IF(G73&gt;0,(G72*G74)*G73,Pav_Dados!H61)</f>
        <v>0</v>
      </c>
      <c r="H75" s="1570">
        <f>IF(H73&gt;0,(H72*H74)*H73,Pav_Dados!I61)</f>
        <v>0</v>
      </c>
      <c r="I75" s="1570"/>
      <c r="J75" s="1616"/>
      <c r="K75" s="745">
        <f>SUM(F75:J75)</f>
        <v>0</v>
      </c>
    </row>
    <row r="76" spans="1:11" s="1527" customFormat="1" ht="21.95" hidden="1" customHeight="1" thickBot="1">
      <c r="A76" s="2572"/>
      <c r="B76" s="2583"/>
      <c r="C76" s="1453" t="s">
        <v>2104</v>
      </c>
      <c r="D76" s="1291"/>
      <c r="E76" s="1563"/>
      <c r="F76" s="1618">
        <f>IF(F72=0,0,"BOTA-FORA")</f>
        <v>0</v>
      </c>
      <c r="G76" s="1618">
        <f>IF(G72=0,0,"BOTA-FORA")</f>
        <v>0</v>
      </c>
      <c r="H76" s="1618">
        <f>IF(H72=0,0,"BOTA-FORA")</f>
        <v>0</v>
      </c>
      <c r="I76" s="1618"/>
      <c r="J76" s="1622"/>
      <c r="K76" s="780">
        <f>COUNTA(F76:I76)-COUNTIF(F76:I76,0)</f>
        <v>0</v>
      </c>
    </row>
    <row r="77" spans="1:11" s="1527" customFormat="1" ht="21.95" hidden="1" customHeight="1">
      <c r="A77" s="2572"/>
      <c r="B77" s="2862" t="s">
        <v>2388</v>
      </c>
      <c r="C77" s="1448" t="s">
        <v>2460</v>
      </c>
      <c r="D77" s="1279"/>
      <c r="E77" s="1560"/>
      <c r="F77" s="1561">
        <f>IF(SUM(Pav_Dados!G63:G64)=0,0,+Pav_Dados!G62)</f>
        <v>0</v>
      </c>
      <c r="G77" s="1561">
        <f>IF(SUM(Pav_Dados!H63:H64)=0,0,+Pav_Dados!H62)</f>
        <v>0</v>
      </c>
      <c r="H77" s="1561">
        <f>IF(SUM(Pav_Dados!I63:I64)=0,0,+Pav_Dados!I62)</f>
        <v>0</v>
      </c>
      <c r="I77" s="1561"/>
      <c r="J77" s="1627"/>
      <c r="K77" s="745">
        <f t="shared" ref="K77:K83" si="2">SUM(F77:J77)</f>
        <v>0</v>
      </c>
    </row>
    <row r="78" spans="1:11" s="1527" customFormat="1" ht="21.95" hidden="1" customHeight="1">
      <c r="A78" s="2572"/>
      <c r="B78" s="2863"/>
      <c r="C78" s="1089" t="s">
        <v>2469</v>
      </c>
      <c r="D78" s="1279"/>
      <c r="E78" s="1442"/>
      <c r="F78" s="1570">
        <f>IF(F77=0,0,IF(Pav_Dados!G63=0,Pav_Dados!G64/(F77*F79),Pav_Dados!G63))</f>
        <v>0</v>
      </c>
      <c r="G78" s="1570">
        <f>IF(G77=0,0,IF(Pav_Dados!H63=0,Pav_Dados!H64/(G77*G79),Pav_Dados!H63))</f>
        <v>0</v>
      </c>
      <c r="H78" s="1570">
        <f>IF(H77=0,0,IF(Pav_Dados!I63=0,Pav_Dados!I64/(H77*H79),Pav_Dados!I63))</f>
        <v>0</v>
      </c>
      <c r="I78" s="1570"/>
      <c r="J78" s="1501"/>
      <c r="K78" s="745">
        <f t="shared" si="2"/>
        <v>0</v>
      </c>
    </row>
    <row r="79" spans="1:11" s="1527" customFormat="1" ht="21.95" hidden="1" customHeight="1">
      <c r="A79" s="2572"/>
      <c r="B79" s="2863"/>
      <c r="C79" s="1089" t="s">
        <v>2462</v>
      </c>
      <c r="D79" s="1279"/>
      <c r="E79" s="1442"/>
      <c r="F79" s="1570">
        <f>IF(F77=0,0,Pav_Estrutura!G9)</f>
        <v>0</v>
      </c>
      <c r="G79" s="1570">
        <f>IF(G77=0,0,Pav_Estrutura!H9)</f>
        <v>0</v>
      </c>
      <c r="H79" s="1570">
        <f>IF(H77=0,0,Pav_Estrutura!I9)</f>
        <v>0</v>
      </c>
      <c r="I79" s="1570"/>
      <c r="J79" s="1501"/>
      <c r="K79" s="745">
        <f t="shared" si="2"/>
        <v>0</v>
      </c>
    </row>
    <row r="80" spans="1:11" s="1527" customFormat="1" ht="21.95" hidden="1" customHeight="1" thickBot="1">
      <c r="A80" s="2572"/>
      <c r="B80" s="2648"/>
      <c r="C80" s="1609" t="s">
        <v>1693</v>
      </c>
      <c r="D80" s="1279"/>
      <c r="E80" s="1442"/>
      <c r="F80" s="1570">
        <f>IF(F77=0,0,Pav_Estrutura!G11)</f>
        <v>0</v>
      </c>
      <c r="G80" s="1570">
        <f>IF(G77=0,0,Pav_Estrutura!H11)</f>
        <v>0</v>
      </c>
      <c r="H80" s="1570">
        <f>IF(H77=0,0,Pav_Estrutura!I11)</f>
        <v>0</v>
      </c>
      <c r="I80" s="1570"/>
      <c r="J80" s="1501"/>
      <c r="K80" s="745">
        <f t="shared" si="2"/>
        <v>0</v>
      </c>
    </row>
    <row r="81" spans="1:11" s="1527" customFormat="1" ht="21.95" hidden="1" customHeight="1">
      <c r="A81" s="2572"/>
      <c r="B81" s="2862"/>
      <c r="C81" s="1448" t="s">
        <v>2463</v>
      </c>
      <c r="D81" s="1279"/>
      <c r="E81" s="1442"/>
      <c r="F81" s="1561">
        <f>IF(Pav_Dados!G64=0,F80*F78,Pav_Dados!G64)</f>
        <v>0</v>
      </c>
      <c r="G81" s="1561">
        <f>IF(Pav_Dados!H64=0,G80*G78,Pav_Dados!H64)</f>
        <v>0</v>
      </c>
      <c r="H81" s="1561">
        <f>IF(Pav_Dados!I64=0,H80*H78,Pav_Dados!I64)</f>
        <v>0</v>
      </c>
      <c r="I81" s="1561"/>
      <c r="J81" s="1627"/>
      <c r="K81" s="745">
        <f t="shared" si="2"/>
        <v>0</v>
      </c>
    </row>
    <row r="82" spans="1:11" s="1527" customFormat="1" ht="21.95" hidden="1" customHeight="1">
      <c r="A82" s="2572"/>
      <c r="B82" s="2863"/>
      <c r="C82" s="1089" t="s">
        <v>2470</v>
      </c>
      <c r="D82" s="1279"/>
      <c r="E82" s="1442"/>
      <c r="F82" s="1628"/>
      <c r="G82" s="1628"/>
      <c r="H82" s="1628"/>
      <c r="I82" s="1628"/>
      <c r="J82" s="1501"/>
      <c r="K82" s="745">
        <f t="shared" si="2"/>
        <v>0</v>
      </c>
    </row>
    <row r="83" spans="1:11" s="1527" customFormat="1" ht="21.95" hidden="1" customHeight="1">
      <c r="A83" s="2572"/>
      <c r="B83" s="2863"/>
      <c r="C83" s="1089" t="s">
        <v>2471</v>
      </c>
      <c r="D83" s="1279"/>
      <c r="E83" s="1442"/>
      <c r="F83" s="1570">
        <f>F82*F81</f>
        <v>0</v>
      </c>
      <c r="G83" s="1570">
        <f>G82*G81</f>
        <v>0</v>
      </c>
      <c r="H83" s="1570">
        <f>H82*H81</f>
        <v>0</v>
      </c>
      <c r="I83" s="1570"/>
      <c r="J83" s="1501"/>
      <c r="K83" s="745">
        <f t="shared" si="2"/>
        <v>0</v>
      </c>
    </row>
    <row r="84" spans="1:11" s="1527" customFormat="1" ht="21.95" hidden="1" customHeight="1">
      <c r="A84" s="2572"/>
      <c r="B84" s="2863"/>
      <c r="C84" s="1089" t="s">
        <v>2472</v>
      </c>
      <c r="D84" s="1279"/>
      <c r="E84" s="1442"/>
      <c r="F84" s="1570"/>
      <c r="G84" s="1570"/>
      <c r="H84" s="1570"/>
      <c r="I84" s="1570"/>
      <c r="J84" s="1501"/>
      <c r="K84" s="745"/>
    </row>
    <row r="85" spans="1:11" s="1527" customFormat="1" ht="21.95" hidden="1" customHeight="1">
      <c r="A85" s="2572"/>
      <c r="B85" s="2863"/>
      <c r="C85" s="1089" t="s">
        <v>2105</v>
      </c>
      <c r="D85" s="1279"/>
      <c r="E85" s="1442"/>
      <c r="F85" s="1570"/>
      <c r="G85" s="1570"/>
      <c r="H85" s="1570"/>
      <c r="I85" s="1570"/>
      <c r="J85" s="751"/>
      <c r="K85" s="745">
        <f t="shared" ref="K85:K95" si="3">SUM(F85:J85)</f>
        <v>0</v>
      </c>
    </row>
    <row r="86" spans="1:11" s="1527" customFormat="1" ht="21.95" hidden="1" customHeight="1" thickBot="1">
      <c r="A86" s="2572"/>
      <c r="B86" s="2648"/>
      <c r="C86" s="1089" t="s">
        <v>2106</v>
      </c>
      <c r="D86" s="1279"/>
      <c r="E86" s="1442"/>
      <c r="F86" s="752">
        <f>+F85*F83</f>
        <v>0</v>
      </c>
      <c r="G86" s="752">
        <f>+G85*G83</f>
        <v>0</v>
      </c>
      <c r="H86" s="752">
        <f>+H85*H83</f>
        <v>0</v>
      </c>
      <c r="I86" s="752"/>
      <c r="J86" s="753"/>
      <c r="K86" s="745">
        <f t="shared" si="3"/>
        <v>0</v>
      </c>
    </row>
    <row r="87" spans="1:11" s="1527" customFormat="1" ht="21.95" hidden="1" customHeight="1">
      <c r="A87" s="2572"/>
      <c r="B87" s="2862"/>
      <c r="C87" s="1089" t="s">
        <v>1982</v>
      </c>
      <c r="D87" s="1584"/>
      <c r="E87" s="1601"/>
      <c r="F87" s="1586">
        <f>F81-F83</f>
        <v>0</v>
      </c>
      <c r="G87" s="1586">
        <f>G81-G83</f>
        <v>0</v>
      </c>
      <c r="H87" s="1586">
        <f>H81-H83</f>
        <v>0</v>
      </c>
      <c r="I87" s="1586"/>
      <c r="J87" s="1629"/>
      <c r="K87" s="745">
        <f t="shared" si="3"/>
        <v>0</v>
      </c>
    </row>
    <row r="88" spans="1:11" s="1527" customFormat="1" ht="21.95" hidden="1" customHeight="1">
      <c r="A88" s="2572"/>
      <c r="B88" s="2863"/>
      <c r="C88" s="1453" t="s">
        <v>2464</v>
      </c>
      <c r="D88" s="1599"/>
      <c r="E88" s="1600"/>
      <c r="F88" s="1587">
        <f>IF(SUM(Pav_Dados!G66:G68)=0,0,+Pav_Dados!G65)</f>
        <v>0</v>
      </c>
      <c r="G88" s="1587">
        <f>IF(SUM(Pav_Dados!H66:H68)=0,0,+Pav_Dados!H65)</f>
        <v>0</v>
      </c>
      <c r="H88" s="1587">
        <f>IF(SUM(Pav_Dados!I66:I68)=0,0,+Pav_Dados!I65)</f>
        <v>0</v>
      </c>
      <c r="I88" s="1587"/>
      <c r="J88" s="1501"/>
      <c r="K88" s="745">
        <f t="shared" si="3"/>
        <v>0</v>
      </c>
    </row>
    <row r="89" spans="1:11" s="1527" customFormat="1" ht="21.95" hidden="1" customHeight="1">
      <c r="A89" s="2572"/>
      <c r="B89" s="2863"/>
      <c r="C89" s="1089" t="s">
        <v>2473</v>
      </c>
      <c r="D89" s="1279"/>
      <c r="E89" s="1442"/>
      <c r="F89" s="1570">
        <f>IF(F88=0,0,IF(Pav_Dados!G66&gt;0,Pav_Dados!G66,(-F90+(F90^2+6*(Pav_Dados!G68/F88))^(1/2))/3/F88))</f>
        <v>0</v>
      </c>
      <c r="G89" s="1570">
        <f>IF(G88=0,0,IF(Pav_Dados!H66&gt;0,Pav_Dados!H66,(-G90+(G90^2+6*(Pav_Dados!H68/G88))^(1/2))/3/G88))</f>
        <v>0</v>
      </c>
      <c r="H89" s="1570">
        <f>IF(H88=0,0,IF(Pav_Dados!I66&gt;0,Pav_Dados!I66,(-H90+(H90^2+6*(Pav_Dados!I68/H88))^(1/2))/3/H88))</f>
        <v>0</v>
      </c>
      <c r="I89" s="1570"/>
      <c r="J89" s="1501"/>
      <c r="K89" s="745">
        <f t="shared" si="3"/>
        <v>0</v>
      </c>
    </row>
    <row r="90" spans="1:11" s="1527" customFormat="1" ht="21.95" hidden="1" customHeight="1">
      <c r="A90" s="2572"/>
      <c r="B90" s="2863"/>
      <c r="C90" s="1089" t="s">
        <v>2474</v>
      </c>
      <c r="D90" s="1279"/>
      <c r="E90" s="1442"/>
      <c r="F90" s="1570">
        <f>IF(F88=0,0,IF(Pav_Dados!G67&gt;0,Pav_Dados!G67,Pav_Estrutura!K9))</f>
        <v>0</v>
      </c>
      <c r="G90" s="1570">
        <f>IF(G88=0,0,IF(Pav_Dados!H67&gt;0,Pav_Dados!H67,Pav_Estrutura!L9))</f>
        <v>0</v>
      </c>
      <c r="H90" s="1570">
        <f>IF(H88=0,0,IF(Pav_Dados!I67&gt;0,Pav_Dados!I67,Pav_Estrutura!M9))</f>
        <v>0</v>
      </c>
      <c r="I90" s="1570"/>
      <c r="J90" s="1501"/>
      <c r="K90" s="745">
        <f t="shared" si="3"/>
        <v>0</v>
      </c>
    </row>
    <row r="91" spans="1:11" s="1527" customFormat="1" ht="21.95" hidden="1" customHeight="1">
      <c r="A91" s="2572"/>
      <c r="B91" s="2863"/>
      <c r="C91" s="1089" t="s">
        <v>2475</v>
      </c>
      <c r="D91" s="1279"/>
      <c r="E91" s="1442"/>
      <c r="F91" s="1570">
        <f>IF(F88=0,0,F88*F90)</f>
        <v>0</v>
      </c>
      <c r="G91" s="1570">
        <f>IF(G88=0,0,G88*G90)</f>
        <v>0</v>
      </c>
      <c r="H91" s="1570">
        <f>IF(H88=0,0,H88*H90)</f>
        <v>0</v>
      </c>
      <c r="I91" s="1570"/>
      <c r="J91" s="1501"/>
      <c r="K91" s="745">
        <f t="shared" si="3"/>
        <v>0</v>
      </c>
    </row>
    <row r="92" spans="1:11" s="1527" customFormat="1" ht="21.95" hidden="1" customHeight="1" thickBot="1">
      <c r="A92" s="2572"/>
      <c r="B92" s="2648"/>
      <c r="C92" s="1089" t="s">
        <v>2476</v>
      </c>
      <c r="D92" s="1279"/>
      <c r="E92" s="1442"/>
      <c r="F92" s="1570">
        <f>IF(F88=0,0,F88*(F89*3+F90))</f>
        <v>0</v>
      </c>
      <c r="G92" s="1570">
        <f>IF(G88=0,0,G88*(G89*3+G90))</f>
        <v>0</v>
      </c>
      <c r="H92" s="1570">
        <f>IF(H88=0,0,H88*(H89*3+H90))</f>
        <v>0</v>
      </c>
      <c r="I92" s="1570"/>
      <c r="J92" s="1501"/>
      <c r="K92" s="745">
        <f t="shared" si="3"/>
        <v>0</v>
      </c>
    </row>
    <row r="93" spans="1:11" s="1527" customFormat="1" ht="21.95" hidden="1" customHeight="1" thickBot="1">
      <c r="A93" s="2572"/>
      <c r="B93" s="2783"/>
      <c r="C93" s="936" t="s">
        <v>2225</v>
      </c>
      <c r="D93" s="1283"/>
      <c r="E93" s="1563"/>
      <c r="F93" s="1564">
        <f>IF(Pav_Dados!G68&gt;0,Pav_Dados!G68,(F91+F92)/2*F89)</f>
        <v>0</v>
      </c>
      <c r="G93" s="1564">
        <f>IF(Pav_Dados!H68&gt;0,Pav_Dados!H68,(G91+G92)/2*G89)</f>
        <v>0</v>
      </c>
      <c r="H93" s="1564">
        <f>IF(Pav_Dados!I68&gt;0,Pav_Dados!I68,(H91+H92)/2*H89)</f>
        <v>0</v>
      </c>
      <c r="I93" s="1564"/>
      <c r="J93" s="1630"/>
      <c r="K93" s="745">
        <f t="shared" si="3"/>
        <v>0</v>
      </c>
    </row>
    <row r="94" spans="1:11" s="1527" customFormat="1" ht="21.95" hidden="1" customHeight="1">
      <c r="A94" s="2572"/>
      <c r="B94" s="2581" t="s">
        <v>2477</v>
      </c>
      <c r="C94" s="1631" t="s">
        <v>2478</v>
      </c>
      <c r="D94" s="1289"/>
      <c r="E94" s="1442"/>
      <c r="F94" s="1570">
        <f>(F46+F65+F75+F93)</f>
        <v>0</v>
      </c>
      <c r="G94" s="1570">
        <f>(G46+G65+G75+G93)</f>
        <v>0</v>
      </c>
      <c r="H94" s="1570">
        <f>(H46+H65+H75+H93)</f>
        <v>0</v>
      </c>
      <c r="I94" s="1570"/>
      <c r="J94" s="1501"/>
      <c r="K94" s="745">
        <f t="shared" si="3"/>
        <v>0</v>
      </c>
    </row>
    <row r="95" spans="1:11" s="1527" customFormat="1" ht="21.95" hidden="1" customHeight="1">
      <c r="A95" s="2572"/>
      <c r="B95" s="2582"/>
      <c r="C95" s="1089" t="s">
        <v>2479</v>
      </c>
      <c r="D95" s="1289"/>
      <c r="E95" s="1442"/>
      <c r="F95" s="1570">
        <f>F94*1.25</f>
        <v>0</v>
      </c>
      <c r="G95" s="1570">
        <f>G94*1.25</f>
        <v>0</v>
      </c>
      <c r="H95" s="1570">
        <f>H94*1.25</f>
        <v>0</v>
      </c>
      <c r="I95" s="1570"/>
      <c r="J95" s="1501"/>
      <c r="K95" s="745">
        <f t="shared" si="3"/>
        <v>0</v>
      </c>
    </row>
    <row r="96" spans="1:11" s="1527" customFormat="1" ht="21.95" hidden="1" customHeight="1">
      <c r="A96" s="2572"/>
      <c r="B96" s="2582"/>
      <c r="C96" s="1609" t="s">
        <v>1280</v>
      </c>
      <c r="D96" s="1289"/>
      <c r="E96" s="1442"/>
      <c r="F96" s="1632"/>
      <c r="G96" s="1632"/>
      <c r="H96" s="1632"/>
      <c r="I96" s="1632"/>
      <c r="J96" s="1536"/>
      <c r="K96" s="780">
        <f>COUNTA(F96:I96)-COUNTIF(F96:I96,0)</f>
        <v>0</v>
      </c>
    </row>
    <row r="97" spans="1:15" s="1527" customFormat="1" ht="21.95" hidden="1" customHeight="1" thickBot="1">
      <c r="A97" s="2572"/>
      <c r="B97" s="2583"/>
      <c r="C97" s="1609" t="s">
        <v>2480</v>
      </c>
      <c r="D97" s="1289"/>
      <c r="E97" s="1442"/>
      <c r="F97" s="1633"/>
      <c r="G97" s="1633"/>
      <c r="H97" s="1633"/>
      <c r="I97" s="1633"/>
      <c r="J97" s="1629"/>
      <c r="K97" s="745">
        <f>SUM(F97:J97)</f>
        <v>0</v>
      </c>
    </row>
    <row r="98" spans="1:15" s="1527" customFormat="1" ht="21.95" hidden="1" customHeight="1">
      <c r="A98" s="2572"/>
      <c r="B98" s="2582"/>
      <c r="C98" s="1609" t="s">
        <v>2481</v>
      </c>
      <c r="D98" s="1289"/>
      <c r="E98" s="1442"/>
      <c r="F98" s="1634"/>
      <c r="G98" s="1634"/>
      <c r="H98" s="1634"/>
      <c r="I98" s="1634"/>
      <c r="J98" s="1501"/>
      <c r="K98" s="780">
        <f>COUNTA(F98:I98)</f>
        <v>0</v>
      </c>
    </row>
    <row r="99" spans="1:15" s="1527" customFormat="1" ht="21.95" hidden="1" customHeight="1">
      <c r="A99" s="2572"/>
      <c r="B99" s="2582"/>
      <c r="C99" s="1609" t="s">
        <v>2480</v>
      </c>
      <c r="D99" s="1289"/>
      <c r="E99" s="1442"/>
      <c r="F99" s="1589"/>
      <c r="G99" s="1589"/>
      <c r="H99" s="1589"/>
      <c r="I99" s="1589"/>
      <c r="J99" s="1501"/>
      <c r="K99" s="745">
        <f>SUM(F99:J99)</f>
        <v>0</v>
      </c>
    </row>
    <row r="100" spans="1:15" s="1527" customFormat="1" ht="21.95" hidden="1" customHeight="1">
      <c r="A100" s="2572"/>
      <c r="B100" s="2582"/>
      <c r="C100" s="1609" t="s">
        <v>2481</v>
      </c>
      <c r="D100" s="1289"/>
      <c r="E100" s="1442"/>
      <c r="F100" s="1632"/>
      <c r="G100" s="1632"/>
      <c r="H100" s="1632"/>
      <c r="I100" s="1632"/>
      <c r="J100" s="1536"/>
      <c r="K100" s="780">
        <f>COUNTA(F100:I100)</f>
        <v>0</v>
      </c>
    </row>
    <row r="101" spans="1:15" s="1527" customFormat="1" ht="21.95" hidden="1" customHeight="1">
      <c r="A101" s="2572"/>
      <c r="B101" s="2582"/>
      <c r="C101" s="1609" t="s">
        <v>2480</v>
      </c>
      <c r="D101" s="1289"/>
      <c r="E101" s="1442"/>
      <c r="F101" s="1633"/>
      <c r="G101" s="1633"/>
      <c r="H101" s="1633"/>
      <c r="I101" s="1633"/>
      <c r="J101" s="1629"/>
      <c r="K101" s="745">
        <f t="shared" ref="K101:K117" si="4">SUM(F101:J101)</f>
        <v>0</v>
      </c>
    </row>
    <row r="102" spans="1:15" s="1527" customFormat="1" ht="21.95" hidden="1" customHeight="1" thickBot="1">
      <c r="A102" s="2572"/>
      <c r="B102" s="2583"/>
      <c r="C102" s="1609" t="s">
        <v>2482</v>
      </c>
      <c r="D102" s="1291"/>
      <c r="E102" s="1563"/>
      <c r="F102" s="1570">
        <f>SUM(F97:F101)</f>
        <v>0</v>
      </c>
      <c r="G102" s="1570">
        <f>SUM(G97:G101)</f>
        <v>0</v>
      </c>
      <c r="H102" s="1570">
        <f>SUM(H97:H101)</f>
        <v>0</v>
      </c>
      <c r="I102" s="1570"/>
      <c r="J102" s="1501"/>
      <c r="K102" s="745">
        <f t="shared" si="4"/>
        <v>0</v>
      </c>
    </row>
    <row r="103" spans="1:15" s="1527" customFormat="1" ht="21.95" hidden="1" customHeight="1">
      <c r="A103" s="2572"/>
      <c r="B103" s="2581" t="s">
        <v>27</v>
      </c>
      <c r="C103" s="1448" t="s">
        <v>2483</v>
      </c>
      <c r="D103" s="1289"/>
      <c r="E103" s="1560"/>
      <c r="F103" s="1561">
        <f>F34</f>
        <v>0</v>
      </c>
      <c r="G103" s="1561">
        <f>G34</f>
        <v>0</v>
      </c>
      <c r="H103" s="1561">
        <f>H34</f>
        <v>0</v>
      </c>
      <c r="I103" s="1561"/>
      <c r="J103" s="1635"/>
      <c r="K103" s="745">
        <f t="shared" si="4"/>
        <v>0</v>
      </c>
    </row>
    <row r="104" spans="1:15" s="1527" customFormat="1" ht="32.1" hidden="1" customHeight="1">
      <c r="A104" s="2572"/>
      <c r="B104" s="2582"/>
      <c r="C104" s="1609" t="s">
        <v>2484</v>
      </c>
      <c r="D104" s="1289"/>
      <c r="E104" s="1442"/>
      <c r="F104" s="1570">
        <f>F41+F50+F60</f>
        <v>0</v>
      </c>
      <c r="G104" s="1570">
        <f>G41+G50+G60</f>
        <v>0</v>
      </c>
      <c r="H104" s="1570">
        <f>H41+H50+H60</f>
        <v>0</v>
      </c>
      <c r="I104" s="1570"/>
      <c r="J104" s="1616"/>
      <c r="K104" s="745">
        <f t="shared" si="4"/>
        <v>0</v>
      </c>
    </row>
    <row r="105" spans="1:15" s="1527" customFormat="1" ht="21.95" hidden="1" customHeight="1" thickBot="1">
      <c r="A105" s="2572"/>
      <c r="B105" s="2582"/>
      <c r="C105" s="1609" t="s">
        <v>2485</v>
      </c>
      <c r="D105" s="1289"/>
      <c r="E105" s="1442"/>
      <c r="F105" s="1570">
        <f>F46</f>
        <v>0</v>
      </c>
      <c r="G105" s="1570">
        <f>G46</f>
        <v>0</v>
      </c>
      <c r="H105" s="1570">
        <f>H46</f>
        <v>0</v>
      </c>
      <c r="I105" s="1570"/>
      <c r="J105" s="1616"/>
      <c r="K105" s="745">
        <f t="shared" si="4"/>
        <v>0</v>
      </c>
    </row>
    <row r="106" spans="1:15" s="1527" customFormat="1" ht="21.95" hidden="1" customHeight="1">
      <c r="A106" s="2572"/>
      <c r="B106" s="2581"/>
      <c r="C106" s="1089" t="s">
        <v>2486</v>
      </c>
      <c r="D106" s="1289"/>
      <c r="E106" s="1442"/>
      <c r="F106" s="1570">
        <f>F70+F81</f>
        <v>0</v>
      </c>
      <c r="G106" s="1570">
        <f>G70+G81</f>
        <v>0</v>
      </c>
      <c r="H106" s="1570">
        <f>H70+H81</f>
        <v>0</v>
      </c>
      <c r="I106" s="1570"/>
      <c r="J106" s="1185"/>
      <c r="K106" s="745">
        <f t="shared" si="4"/>
        <v>0</v>
      </c>
    </row>
    <row r="107" spans="1:15" s="1527" customFormat="1" ht="21.95" hidden="1" customHeight="1" thickBot="1">
      <c r="A107" s="2572"/>
      <c r="B107" s="2583"/>
      <c r="C107" s="1089" t="s">
        <v>2487</v>
      </c>
      <c r="D107" s="1289"/>
      <c r="E107" s="1442"/>
      <c r="F107" s="1570">
        <f>F94</f>
        <v>0</v>
      </c>
      <c r="G107" s="1570">
        <f>G94</f>
        <v>0</v>
      </c>
      <c r="H107" s="1570">
        <f>H94</f>
        <v>0</v>
      </c>
      <c r="I107" s="1570"/>
      <c r="J107" s="1616"/>
      <c r="K107" s="745">
        <f t="shared" si="4"/>
        <v>0</v>
      </c>
      <c r="L107" s="681"/>
      <c r="M107" s="681"/>
      <c r="N107" s="681"/>
      <c r="O107" s="681"/>
    </row>
    <row r="108" spans="1:15" ht="21.95" hidden="1" customHeight="1" thickBot="1">
      <c r="A108" s="2572"/>
      <c r="B108" s="2583"/>
      <c r="C108" s="936" t="s">
        <v>2103</v>
      </c>
      <c r="D108" s="1291"/>
      <c r="E108" s="1563"/>
      <c r="F108" s="1564">
        <f>F95-F102</f>
        <v>0</v>
      </c>
      <c r="G108" s="1564">
        <f>G95-G102</f>
        <v>0</v>
      </c>
      <c r="H108" s="1564">
        <f>H95-H102</f>
        <v>0</v>
      </c>
      <c r="I108" s="1564"/>
      <c r="J108" s="1548"/>
      <c r="K108" s="745">
        <f t="shared" si="4"/>
        <v>0</v>
      </c>
    </row>
    <row r="109" spans="1:15" ht="21.95" hidden="1" customHeight="1" thickBot="1">
      <c r="A109" s="2572"/>
      <c r="B109" s="2581" t="s">
        <v>1837</v>
      </c>
      <c r="C109" s="1529" t="s">
        <v>1769</v>
      </c>
      <c r="E109" s="1442"/>
      <c r="F109" s="1561">
        <f>(F12+F104)*1.25</f>
        <v>0</v>
      </c>
      <c r="G109" s="1561">
        <f>(G12+G104)*1.25</f>
        <v>0</v>
      </c>
      <c r="H109" s="1561">
        <f>(H12+H104)*1.25</f>
        <v>0</v>
      </c>
      <c r="I109" s="1561"/>
      <c r="J109" s="1186"/>
      <c r="K109" s="745">
        <f t="shared" si="4"/>
        <v>0</v>
      </c>
    </row>
    <row r="110" spans="1:15" ht="21.95" hidden="1" customHeight="1">
      <c r="A110" s="2572"/>
      <c r="B110" s="2581"/>
      <c r="C110" s="747" t="s">
        <v>2488</v>
      </c>
      <c r="E110" s="1442"/>
      <c r="F110" s="1570">
        <f>F113</f>
        <v>0</v>
      </c>
      <c r="G110" s="1570">
        <f>G113</f>
        <v>0</v>
      </c>
      <c r="H110" s="1570">
        <f>H113</f>
        <v>0</v>
      </c>
      <c r="I110" s="1570"/>
      <c r="J110" s="1185"/>
      <c r="K110" s="745">
        <f t="shared" si="4"/>
        <v>0</v>
      </c>
    </row>
    <row r="111" spans="1:15" ht="32.1" hidden="1" customHeight="1" thickBot="1">
      <c r="A111" s="2572"/>
      <c r="B111" s="2583"/>
      <c r="C111" s="1636" t="s">
        <v>2489</v>
      </c>
      <c r="E111" s="1442"/>
      <c r="F111" s="1570">
        <f>F102</f>
        <v>0</v>
      </c>
      <c r="G111" s="1570">
        <f>G102</f>
        <v>0</v>
      </c>
      <c r="H111" s="1570">
        <f>H102</f>
        <v>0</v>
      </c>
      <c r="I111" s="1570"/>
      <c r="J111" s="1548"/>
      <c r="K111" s="745">
        <f t="shared" si="4"/>
        <v>0</v>
      </c>
    </row>
    <row r="112" spans="1:15" ht="21.95" hidden="1" customHeight="1">
      <c r="A112" s="2572"/>
      <c r="B112" s="2700" t="s">
        <v>2490</v>
      </c>
      <c r="C112" s="1529" t="s">
        <v>2491</v>
      </c>
      <c r="D112" s="1287"/>
      <c r="E112" s="1560"/>
      <c r="F112" s="1561">
        <f>F35+F36</f>
        <v>0</v>
      </c>
      <c r="G112" s="1561">
        <f>G35+G36</f>
        <v>0</v>
      </c>
      <c r="H112" s="1561">
        <f>H35+H36</f>
        <v>0</v>
      </c>
      <c r="I112" s="1561"/>
      <c r="J112" s="1186"/>
      <c r="K112" s="745">
        <f t="shared" si="4"/>
        <v>0</v>
      </c>
      <c r="L112" s="1527"/>
      <c r="M112" s="1527"/>
      <c r="N112" s="1527"/>
    </row>
    <row r="113" spans="1:14" ht="21.95" hidden="1" customHeight="1">
      <c r="A113" s="2572"/>
      <c r="B113" s="2710"/>
      <c r="C113" s="747" t="s">
        <v>2488</v>
      </c>
      <c r="E113" s="1442"/>
      <c r="F113" s="1570">
        <f>F29*1.25</f>
        <v>0</v>
      </c>
      <c r="G113" s="1570">
        <f>G29*1.25</f>
        <v>0</v>
      </c>
      <c r="H113" s="1570">
        <f>H29*1.25</f>
        <v>0</v>
      </c>
      <c r="I113" s="1570"/>
      <c r="J113" s="1185"/>
      <c r="K113" s="745">
        <f t="shared" si="4"/>
        <v>0</v>
      </c>
      <c r="L113" s="1527"/>
      <c r="M113" s="1527"/>
      <c r="N113" s="1527"/>
    </row>
    <row r="114" spans="1:14" ht="21.95" hidden="1" customHeight="1" thickBot="1">
      <c r="A114" s="2572"/>
      <c r="B114" s="2710"/>
      <c r="C114" s="1089" t="s">
        <v>2492</v>
      </c>
      <c r="E114" s="1442"/>
      <c r="F114" s="1570">
        <f>F12*1.25</f>
        <v>0</v>
      </c>
      <c r="G114" s="1570">
        <f>G12*1.25</f>
        <v>0</v>
      </c>
      <c r="H114" s="1570">
        <f>H12*1.25</f>
        <v>0</v>
      </c>
      <c r="I114" s="1570"/>
      <c r="J114" s="1616"/>
      <c r="K114" s="745">
        <f t="shared" si="4"/>
        <v>0</v>
      </c>
      <c r="L114" s="1527"/>
      <c r="M114" s="1527"/>
      <c r="N114" s="1527"/>
    </row>
    <row r="115" spans="1:14" ht="21.95" hidden="1" customHeight="1">
      <c r="A115" s="2572"/>
      <c r="B115" s="2700"/>
      <c r="C115" s="1540" t="s">
        <v>1843</v>
      </c>
      <c r="E115" s="1442"/>
      <c r="F115" s="1570">
        <f>(F104+F106)*1.25-F102</f>
        <v>0</v>
      </c>
      <c r="G115" s="1570">
        <f>(G104+G106)*1.25-G102</f>
        <v>0</v>
      </c>
      <c r="H115" s="1570">
        <f>(H104+H106)*1.25-H102</f>
        <v>0</v>
      </c>
      <c r="I115" s="1570"/>
      <c r="J115" s="1185"/>
      <c r="K115" s="745">
        <f t="shared" si="4"/>
        <v>0</v>
      </c>
      <c r="L115" s="1527"/>
      <c r="M115" s="1527"/>
      <c r="N115" s="1527"/>
    </row>
    <row r="116" spans="1:14" ht="21.95" hidden="1" customHeight="1">
      <c r="A116" s="2572"/>
      <c r="B116" s="2710"/>
      <c r="C116" s="1636" t="s">
        <v>2493</v>
      </c>
      <c r="E116" s="1442"/>
      <c r="F116" s="1570">
        <f>F102*2</f>
        <v>0</v>
      </c>
      <c r="G116" s="1570">
        <f>G102*2</f>
        <v>0</v>
      </c>
      <c r="H116" s="1570">
        <f>H102*2</f>
        <v>0</v>
      </c>
      <c r="I116" s="1570"/>
      <c r="J116" s="1616"/>
      <c r="K116" s="745">
        <f t="shared" si="4"/>
        <v>0</v>
      </c>
      <c r="L116" s="1527"/>
      <c r="M116" s="1527"/>
      <c r="N116" s="1527"/>
    </row>
    <row r="117" spans="1:14" ht="21.95" hidden="1" customHeight="1" thickBot="1">
      <c r="A117" s="2572"/>
      <c r="B117" s="2701"/>
      <c r="C117" s="936" t="s">
        <v>1844</v>
      </c>
      <c r="D117" s="1291"/>
      <c r="E117" s="1563"/>
      <c r="F117" s="1564">
        <f>F108</f>
        <v>0</v>
      </c>
      <c r="G117" s="1564">
        <f>G108</f>
        <v>0</v>
      </c>
      <c r="H117" s="1564">
        <f>H108</f>
        <v>0</v>
      </c>
      <c r="I117" s="1564"/>
      <c r="J117" s="1548"/>
      <c r="K117" s="745">
        <f t="shared" si="4"/>
        <v>0</v>
      </c>
      <c r="L117" s="1527"/>
      <c r="M117" s="1527"/>
      <c r="N117" s="1527"/>
    </row>
    <row r="118" spans="1:14" ht="21.95" hidden="1" customHeight="1">
      <c r="A118" s="2572"/>
      <c r="B118" s="2700" t="s">
        <v>2000</v>
      </c>
      <c r="C118" s="1448" t="s">
        <v>2494</v>
      </c>
      <c r="D118" s="1287"/>
      <c r="E118" s="1560"/>
      <c r="F118" s="1561">
        <f t="shared" ref="F118:H119" si="5">F112</f>
        <v>0</v>
      </c>
      <c r="G118" s="1561">
        <f t="shared" si="5"/>
        <v>0</v>
      </c>
      <c r="H118" s="1561">
        <f t="shared" si="5"/>
        <v>0</v>
      </c>
      <c r="I118" s="1561"/>
      <c r="J118" s="1616"/>
      <c r="K118" s="745"/>
      <c r="L118" s="1527"/>
      <c r="M118" s="1527"/>
      <c r="N118" s="1527"/>
    </row>
    <row r="119" spans="1:14" ht="21.95" hidden="1" customHeight="1">
      <c r="A119" s="2572"/>
      <c r="B119" s="2710"/>
      <c r="C119" s="747" t="s">
        <v>2488</v>
      </c>
      <c r="E119" s="1442"/>
      <c r="F119" s="1570">
        <f t="shared" si="5"/>
        <v>0</v>
      </c>
      <c r="G119" s="1570">
        <f t="shared" si="5"/>
        <v>0</v>
      </c>
      <c r="H119" s="1570">
        <f t="shared" si="5"/>
        <v>0</v>
      </c>
      <c r="I119" s="1570"/>
      <c r="J119" s="1616"/>
      <c r="K119" s="745"/>
      <c r="L119" s="1527"/>
      <c r="M119" s="1527"/>
      <c r="N119" s="1527"/>
    </row>
    <row r="120" spans="1:14" ht="21.95" hidden="1" customHeight="1" thickBot="1">
      <c r="A120" s="2572"/>
      <c r="B120" s="2710"/>
      <c r="C120" s="1636" t="s">
        <v>2495</v>
      </c>
      <c r="E120" s="1442"/>
      <c r="F120" s="1570">
        <f>F104+F106+F108+F105</f>
        <v>0</v>
      </c>
      <c r="G120" s="1570">
        <f>G104+G106+G108+G105</f>
        <v>0</v>
      </c>
      <c r="H120" s="1570">
        <f>H104+H106+H108+H105</f>
        <v>0</v>
      </c>
      <c r="I120" s="1570"/>
      <c r="J120" s="1616"/>
      <c r="K120" s="745"/>
      <c r="L120" s="1527"/>
      <c r="M120" s="1527"/>
      <c r="N120" s="1527"/>
    </row>
    <row r="121" spans="1:14" s="710" customFormat="1" ht="50.1" customHeight="1" thickTop="1" thickBot="1">
      <c r="A121" s="2573"/>
      <c r="B121" s="2859" t="s">
        <v>1400</v>
      </c>
      <c r="C121" s="2860"/>
      <c r="D121" s="1637"/>
      <c r="E121" s="1638"/>
      <c r="F121" s="1639"/>
      <c r="G121" s="1639"/>
      <c r="H121" s="1639"/>
      <c r="I121" s="1639"/>
      <c r="J121" s="1640"/>
      <c r="K121" s="780">
        <v>1</v>
      </c>
      <c r="L121" s="1527"/>
      <c r="M121" s="1527"/>
      <c r="N121" s="1527"/>
    </row>
    <row r="122" spans="1:14" ht="19.5" thickTop="1">
      <c r="K122" s="1527"/>
      <c r="L122" s="1527"/>
      <c r="M122" s="1527"/>
      <c r="N122" s="1527"/>
    </row>
    <row r="123" spans="1:14">
      <c r="K123" s="1527"/>
      <c r="L123" s="1527"/>
      <c r="M123" s="1527"/>
      <c r="N123" s="1527"/>
    </row>
    <row r="124" spans="1:14">
      <c r="K124" s="1527"/>
      <c r="L124" s="1527"/>
      <c r="M124" s="1527"/>
      <c r="N124" s="1527"/>
    </row>
  </sheetData>
  <autoFilter ref="A1:K121" xr:uid="{00000000-0001-0000-1A00-000000000000}">
    <filterColumn colId="1" showButton="0"/>
    <filterColumn colId="10">
      <customFilters>
        <customFilter operator="notEqual" val=" "/>
      </customFilters>
    </filterColumn>
  </autoFilter>
  <mergeCells count="24">
    <mergeCell ref="B57:B66"/>
    <mergeCell ref="A1:A121"/>
    <mergeCell ref="B1:C1"/>
    <mergeCell ref="B2:C2"/>
    <mergeCell ref="B3:B4"/>
    <mergeCell ref="B5:C5"/>
    <mergeCell ref="B6:B7"/>
    <mergeCell ref="B8:B13"/>
    <mergeCell ref="B14:B16"/>
    <mergeCell ref="B17:B19"/>
    <mergeCell ref="B20:B23"/>
    <mergeCell ref="B24:B29"/>
    <mergeCell ref="B30:B36"/>
    <mergeCell ref="B37:B41"/>
    <mergeCell ref="B42:B46"/>
    <mergeCell ref="B47:B56"/>
    <mergeCell ref="B118:B120"/>
    <mergeCell ref="B121:C121"/>
    <mergeCell ref="B67:B76"/>
    <mergeCell ref="B77:B93"/>
    <mergeCell ref="B94:B102"/>
    <mergeCell ref="B103:B108"/>
    <mergeCell ref="B109:B111"/>
    <mergeCell ref="B112:B117"/>
  </mergeCells>
  <pageMargins left="0.39370078740157477" right="0.59055118110236215" top="0.39370078740157477" bottom="0.59055118110236215" header="0.31496062992125984" footer="0.23622047244094491"/>
  <pageSetup paperSize="9" scale="75" fitToWidth="5" orientation="portrait" r:id="rId1"/>
  <headerFooter>
    <oddFooter>&amp;C&amp;8Página &amp;P/&amp;N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9A7D-BCBD-4357-8649-29EF844E30A5}">
  <sheetPr codeName="Planilha35" filterMode="1">
    <pageSetUpPr fitToPage="1"/>
  </sheetPr>
  <dimension ref="A1:Q136"/>
  <sheetViews>
    <sheetView showZeros="0" zoomScaleNormal="100" workbookViewId="0">
      <selection sqref="A1:A135"/>
    </sheetView>
  </sheetViews>
  <sheetFormatPr defaultColWidth="9" defaultRowHeight="18.75"/>
  <cols>
    <col min="1" max="1" width="9.75" style="681" customWidth="1"/>
    <col min="2" max="2" width="5.625" style="710" customWidth="1"/>
    <col min="3" max="3" width="14.625" style="710" customWidth="1"/>
    <col min="4" max="4" width="32.625" style="710" customWidth="1"/>
    <col min="5" max="5" width="3.125" style="1289" hidden="1" customWidth="1"/>
    <col min="6" max="6" width="7.5" style="710" hidden="1" customWidth="1"/>
    <col min="7" max="10" width="12.625" style="681" customWidth="1"/>
    <col min="11" max="11" width="12.625" style="1511" customWidth="1"/>
    <col min="12" max="12" width="19.125" style="681" customWidth="1"/>
    <col min="13" max="13" width="11.125" style="681" customWidth="1"/>
    <col min="14" max="16" width="8.25" style="681" customWidth="1"/>
    <col min="17" max="17" width="10.875" style="681" customWidth="1"/>
    <col min="18" max="20" width="8.25" style="681" customWidth="1"/>
    <col min="21" max="16384" width="9" style="681"/>
  </cols>
  <sheetData>
    <row r="1" spans="1:13" s="673" customFormat="1" ht="60" customHeight="1" thickTop="1" thickBot="1">
      <c r="A1" s="2571" t="s">
        <v>2496</v>
      </c>
      <c r="B1" s="2777" t="s">
        <v>2188</v>
      </c>
      <c r="C1" s="2778"/>
      <c r="D1" s="2875"/>
      <c r="E1" s="1415"/>
      <c r="F1" s="735" t="s">
        <v>1935</v>
      </c>
      <c r="G1" s="670">
        <f>Pav_Dados!G1</f>
        <v>0</v>
      </c>
      <c r="H1" s="670">
        <f>Pav_Dados!H1</f>
        <v>0</v>
      </c>
      <c r="I1" s="670">
        <f>Pav_Dados!I1</f>
        <v>0</v>
      </c>
      <c r="J1" s="670"/>
      <c r="K1" s="1641"/>
      <c r="L1" s="738" t="s">
        <v>1708</v>
      </c>
      <c r="M1" s="739">
        <f>SUBTOTAL(3,L:L)</f>
        <v>2</v>
      </c>
    </row>
    <row r="2" spans="1:13" ht="21.95" hidden="1" customHeight="1" thickTop="1" thickBot="1">
      <c r="A2" s="2572"/>
      <c r="B2" s="2780" t="s">
        <v>2190</v>
      </c>
      <c r="C2" s="2781"/>
      <c r="D2" s="2782"/>
      <c r="E2" s="1642"/>
      <c r="F2" s="1557"/>
      <c r="G2" s="879">
        <f>Pav_Dados!G2</f>
        <v>0</v>
      </c>
      <c r="H2" s="879">
        <f>Pav_Dados!H2</f>
        <v>0</v>
      </c>
      <c r="I2" s="879">
        <f>Pav_Dados!I2</f>
        <v>0</v>
      </c>
      <c r="J2" s="879"/>
      <c r="K2" s="1643"/>
      <c r="L2" s="745">
        <f>SUM(G2:K2)</f>
        <v>0</v>
      </c>
    </row>
    <row r="3" spans="1:13" ht="21.95" hidden="1" customHeight="1">
      <c r="A3" s="2572"/>
      <c r="B3" s="2575" t="s">
        <v>2191</v>
      </c>
      <c r="C3" s="2710"/>
      <c r="D3" s="1453" t="s">
        <v>2192</v>
      </c>
      <c r="F3" s="1442"/>
      <c r="G3" s="908">
        <f>Pav_Dados!G3</f>
        <v>0</v>
      </c>
      <c r="H3" s="908">
        <f>Pav_Dados!H3</f>
        <v>0</v>
      </c>
      <c r="I3" s="908">
        <f>Pav_Dados!I3</f>
        <v>0</v>
      </c>
      <c r="J3" s="908"/>
      <c r="K3" s="1644"/>
      <c r="L3" s="780"/>
    </row>
    <row r="4" spans="1:13" ht="21.95" hidden="1" customHeight="1" thickBot="1">
      <c r="A4" s="2572"/>
      <c r="B4" s="2575"/>
      <c r="C4" s="2710"/>
      <c r="D4" s="1609" t="s">
        <v>2193</v>
      </c>
      <c r="F4" s="1442"/>
      <c r="G4" s="908">
        <f>Pav_Dados!G4</f>
        <v>0</v>
      </c>
      <c r="H4" s="908">
        <f>Pav_Dados!H4</f>
        <v>0</v>
      </c>
      <c r="I4" s="908">
        <f>Pav_Dados!I4</f>
        <v>0</v>
      </c>
      <c r="J4" s="908"/>
      <c r="K4" s="1644"/>
      <c r="L4" s="780"/>
    </row>
    <row r="5" spans="1:13" s="710" customFormat="1" ht="32.1" hidden="1" customHeight="1" thickBot="1">
      <c r="A5" s="2572"/>
      <c r="B5" s="2783" t="s">
        <v>2356</v>
      </c>
      <c r="C5" s="2784"/>
      <c r="D5" s="2785"/>
      <c r="E5" s="1645"/>
      <c r="F5" s="1565"/>
      <c r="G5" s="1598">
        <f>Pav_Dados!G5</f>
        <v>0</v>
      </c>
      <c r="H5" s="1598">
        <f>Pav_Dados!H5</f>
        <v>0</v>
      </c>
      <c r="I5" s="1598">
        <f>Pav_Dados!I5</f>
        <v>0</v>
      </c>
      <c r="J5" s="1598"/>
      <c r="K5" s="1646"/>
      <c r="L5" s="780"/>
    </row>
    <row r="6" spans="1:13" ht="21.95" hidden="1" customHeight="1">
      <c r="A6" s="2572"/>
      <c r="B6" s="2575" t="s">
        <v>2357</v>
      </c>
      <c r="C6" s="2710"/>
      <c r="D6" s="1453" t="s">
        <v>2358</v>
      </c>
      <c r="F6" s="1442"/>
      <c r="G6" s="1570">
        <f>Pav_Dados!G6</f>
        <v>0</v>
      </c>
      <c r="H6" s="1570">
        <f>Pav_Dados!H6</f>
        <v>0</v>
      </c>
      <c r="I6" s="1570">
        <f>Pav_Dados!I6</f>
        <v>0</v>
      </c>
      <c r="J6" s="1570"/>
      <c r="K6" s="1644"/>
      <c r="L6" s="745">
        <f t="shared" ref="L6:L14" si="0">SUM(G6:K6)</f>
        <v>0</v>
      </c>
    </row>
    <row r="7" spans="1:13" ht="21.95" hidden="1" customHeight="1" thickBot="1">
      <c r="A7" s="2572"/>
      <c r="B7" s="2749"/>
      <c r="C7" s="2701"/>
      <c r="D7" s="936" t="s">
        <v>2451</v>
      </c>
      <c r="E7" s="1291"/>
      <c r="F7" s="1563"/>
      <c r="G7" s="1564">
        <f>Pav_Dados!G7</f>
        <v>0</v>
      </c>
      <c r="H7" s="1564">
        <f>Pav_Dados!H7</f>
        <v>0</v>
      </c>
      <c r="I7" s="1564">
        <f>Pav_Dados!I7</f>
        <v>0</v>
      </c>
      <c r="J7" s="1564"/>
      <c r="K7" s="1647"/>
      <c r="L7" s="745">
        <f t="shared" si="0"/>
        <v>0</v>
      </c>
    </row>
    <row r="8" spans="1:13" ht="21.95" hidden="1" customHeight="1">
      <c r="A8" s="2572"/>
      <c r="B8" s="2876" t="s">
        <v>2497</v>
      </c>
      <c r="C8" s="2794" t="s">
        <v>2498</v>
      </c>
      <c r="D8" s="1448" t="s">
        <v>2499</v>
      </c>
      <c r="E8" s="1287"/>
      <c r="F8" s="1560"/>
      <c r="G8" s="905">
        <f>G2-Pav_Dados!G26</f>
        <v>0</v>
      </c>
      <c r="H8" s="905">
        <f>H2-Pav_Dados!H26</f>
        <v>0</v>
      </c>
      <c r="I8" s="905">
        <f>I2-Pav_Dados!I26</f>
        <v>0</v>
      </c>
      <c r="J8" s="905"/>
      <c r="K8" s="1648"/>
      <c r="L8" s="745">
        <f t="shared" si="0"/>
        <v>0</v>
      </c>
    </row>
    <row r="9" spans="1:13" ht="21.95" hidden="1" customHeight="1">
      <c r="A9" s="2572"/>
      <c r="B9" s="2877"/>
      <c r="C9" s="2795"/>
      <c r="D9" s="1089" t="s">
        <v>1477</v>
      </c>
      <c r="F9" s="1442"/>
      <c r="G9" s="908">
        <f>IF(G6=0,0,G6+IF(G5="dupla",2*0.52,0.52)+IF(G5="simples",0.22,0))</f>
        <v>0</v>
      </c>
      <c r="H9" s="908">
        <f>IF(H6=0,0,H6+IF(H5="dupla",2*0.52,0.52)+IF(H5="simples",0.22,0))</f>
        <v>0</v>
      </c>
      <c r="I9" s="908">
        <f>IF(I6=0,0,I6+IF(I5="dupla",2*0.52,0.52)+IF(I5="simples",0.22,0))</f>
        <v>0</v>
      </c>
      <c r="J9" s="908"/>
      <c r="K9" s="1649"/>
      <c r="L9" s="745">
        <f t="shared" si="0"/>
        <v>0</v>
      </c>
    </row>
    <row r="10" spans="1:13" ht="21.95" hidden="1" customHeight="1">
      <c r="A10" s="2572"/>
      <c r="B10" s="2877"/>
      <c r="C10" s="2795"/>
      <c r="D10" s="1609" t="s">
        <v>2500</v>
      </c>
      <c r="F10" s="1442"/>
      <c r="G10" s="908">
        <f>S_Complementares!I5*0.52+S_Complementares!I6*0.22+S_Complementares!I8*0.6</f>
        <v>0</v>
      </c>
      <c r="H10" s="908">
        <f>S_Complementares!J5*0.52+S_Complementares!J6*0.22+S_Complementares!J8*0.6</f>
        <v>0</v>
      </c>
      <c r="I10" s="908">
        <f>S_Complementares!K5*0.52+S_Complementares!K6*0.22+S_Complementares!K8*0.6</f>
        <v>0</v>
      </c>
      <c r="J10" s="908"/>
      <c r="K10" s="1649"/>
      <c r="L10" s="745">
        <f t="shared" si="0"/>
        <v>0</v>
      </c>
    </row>
    <row r="11" spans="1:13" ht="21.95" hidden="1" customHeight="1" thickBot="1">
      <c r="A11" s="2572"/>
      <c r="B11" s="2877"/>
      <c r="C11" s="2879"/>
      <c r="D11" s="936" t="s">
        <v>2501</v>
      </c>
      <c r="E11" s="1291"/>
      <c r="F11" s="1563"/>
      <c r="G11" s="901">
        <f>G10+Pav_Dados!G77</f>
        <v>0</v>
      </c>
      <c r="H11" s="901">
        <f>H10+Pav_Dados!H77</f>
        <v>0</v>
      </c>
      <c r="I11" s="901">
        <f>I10+Pav_Dados!I77</f>
        <v>0</v>
      </c>
      <c r="J11" s="901"/>
      <c r="K11" s="1650"/>
      <c r="L11" s="745">
        <f t="shared" si="0"/>
        <v>0</v>
      </c>
    </row>
    <row r="12" spans="1:13" ht="21.95" hidden="1" customHeight="1">
      <c r="A12" s="2572"/>
      <c r="B12" s="2877"/>
      <c r="C12" s="2700" t="s">
        <v>2401</v>
      </c>
      <c r="D12" s="1448" t="s">
        <v>1539</v>
      </c>
      <c r="F12" s="1442"/>
      <c r="G12" s="905">
        <f>IF(G13=0,0,G2)</f>
        <v>0</v>
      </c>
      <c r="H12" s="905">
        <f>IF(H13=0,0,H2)</f>
        <v>0</v>
      </c>
      <c r="I12" s="905">
        <f>IF(I13=0,0,I2)</f>
        <v>0</v>
      </c>
      <c r="J12" s="905"/>
      <c r="K12" s="1651"/>
      <c r="L12" s="745">
        <f t="shared" si="0"/>
        <v>0</v>
      </c>
    </row>
    <row r="13" spans="1:13" ht="21.95" hidden="1" customHeight="1">
      <c r="A13" s="2572"/>
      <c r="B13" s="2877"/>
      <c r="C13" s="2710"/>
      <c r="D13" s="1089" t="s">
        <v>2006</v>
      </c>
      <c r="F13" s="1442"/>
      <c r="G13" s="1652">
        <f>Pav_Dados!G79</f>
        <v>0</v>
      </c>
      <c r="H13" s="1652">
        <f>Pav_Dados!H79</f>
        <v>0</v>
      </c>
      <c r="I13" s="1652">
        <f>Pav_Dados!I79</f>
        <v>0</v>
      </c>
      <c r="J13" s="1652"/>
      <c r="K13" s="1653"/>
      <c r="L13" s="745">
        <f t="shared" si="0"/>
        <v>0</v>
      </c>
    </row>
    <row r="14" spans="1:13" ht="21.95" hidden="1" customHeight="1">
      <c r="A14" s="2572"/>
      <c r="B14" s="2877"/>
      <c r="C14" s="2710"/>
      <c r="D14" s="1089" t="s">
        <v>1355</v>
      </c>
      <c r="F14" s="1442"/>
      <c r="G14" s="908">
        <f>IF(G13=0,0,G6+IF(G5="dupla",2*0.52,0.52)+IF(G5="simples",0.22,0))</f>
        <v>0</v>
      </c>
      <c r="H14" s="908">
        <f>IF(H13=0,0,H6+IF(H5="dupla",2*0.52,0.52)+IF(H5="simples",0.22,0))</f>
        <v>0</v>
      </c>
      <c r="I14" s="908">
        <f>IF(I13=0,0,I6+IF(I5="dupla",2*0.52,0.52)+IF(I5="simples",0.22,0))</f>
        <v>0</v>
      </c>
      <c r="J14" s="908"/>
      <c r="K14" s="1649"/>
      <c r="L14" s="745">
        <f t="shared" si="0"/>
        <v>0</v>
      </c>
    </row>
    <row r="15" spans="1:13" ht="21.95" hidden="1" customHeight="1">
      <c r="A15" s="2572"/>
      <c r="B15" s="2877"/>
      <c r="C15" s="2710"/>
      <c r="D15" s="1609" t="s">
        <v>2500</v>
      </c>
      <c r="F15" s="1442"/>
      <c r="G15" s="908">
        <f>IF(G13=0,0,S_Complementares!I5*0.52+S_Complementares!I6*0.22+S_Complementares!I8*0.6)</f>
        <v>0</v>
      </c>
      <c r="H15" s="908">
        <f>IF(H13=0,0,S_Complementares!J5*0.52+S_Complementares!J6*0.22+S_Complementares!J8*0.6)</f>
        <v>0</v>
      </c>
      <c r="I15" s="908">
        <f>IF(I13=0,0,S_Complementares!K5*0.52+S_Complementares!K6*0.22+S_Complementares!K8*0.6)</f>
        <v>0</v>
      </c>
      <c r="J15" s="908"/>
      <c r="K15" s="1649"/>
      <c r="L15" s="745"/>
    </row>
    <row r="16" spans="1:13" ht="21.95" hidden="1" customHeight="1">
      <c r="A16" s="2572"/>
      <c r="B16" s="2877"/>
      <c r="C16" s="2710"/>
      <c r="D16" s="1089" t="s">
        <v>2502</v>
      </c>
      <c r="F16" s="1442"/>
      <c r="G16" s="908">
        <f>IF(G13=0,0,G15+Pav_Dados!G77)</f>
        <v>0</v>
      </c>
      <c r="H16" s="908">
        <f>IF(H13=0,0,H15+Pav_Dados!H77)</f>
        <v>0</v>
      </c>
      <c r="I16" s="908">
        <f>IF(I13=0,0,I15+Pav_Dados!I77)</f>
        <v>0</v>
      </c>
      <c r="J16" s="908"/>
      <c r="K16" s="1459"/>
      <c r="L16" s="745">
        <f t="shared" ref="L16:L40" si="1">SUM(G16:K16)</f>
        <v>0</v>
      </c>
    </row>
    <row r="17" spans="1:12" ht="21.95" hidden="1" customHeight="1">
      <c r="A17" s="2572"/>
      <c r="B17" s="2877"/>
      <c r="C17" s="2710"/>
      <c r="D17" s="1089" t="s">
        <v>1831</v>
      </c>
      <c r="F17" s="1442"/>
      <c r="G17" s="908">
        <f>G16*G13/100</f>
        <v>0</v>
      </c>
      <c r="H17" s="908">
        <f>H16*H13/100</f>
        <v>0</v>
      </c>
      <c r="I17" s="908">
        <f>I16*I13/100</f>
        <v>0</v>
      </c>
      <c r="J17" s="908"/>
      <c r="K17" s="1459"/>
      <c r="L17" s="745">
        <f t="shared" si="1"/>
        <v>0</v>
      </c>
    </row>
    <row r="18" spans="1:12" ht="21.95" hidden="1" customHeight="1">
      <c r="A18" s="2572"/>
      <c r="B18" s="2877"/>
      <c r="C18" s="2710"/>
      <c r="D18" s="1089" t="s">
        <v>2503</v>
      </c>
      <c r="F18" s="1442"/>
      <c r="G18" s="842">
        <f>Pav_Dados!G81</f>
        <v>0</v>
      </c>
      <c r="H18" s="842">
        <f>Pav_Dados!H81</f>
        <v>0</v>
      </c>
      <c r="I18" s="842">
        <f>Pav_Dados!I81</f>
        <v>0</v>
      </c>
      <c r="J18" s="842"/>
      <c r="K18" s="1653"/>
      <c r="L18" s="745">
        <f t="shared" si="1"/>
        <v>0</v>
      </c>
    </row>
    <row r="19" spans="1:12" ht="21.95" hidden="1" customHeight="1">
      <c r="A19" s="2572"/>
      <c r="B19" s="2877"/>
      <c r="C19" s="2710"/>
      <c r="D19" s="1609" t="s">
        <v>1577</v>
      </c>
      <c r="F19" s="1442"/>
      <c r="G19" s="842">
        <f>Pav_Dados!G82</f>
        <v>0</v>
      </c>
      <c r="H19" s="842">
        <f>Pav_Dados!H82</f>
        <v>0</v>
      </c>
      <c r="I19" s="842">
        <f>Pav_Dados!I82</f>
        <v>0</v>
      </c>
      <c r="J19" s="842"/>
      <c r="K19" s="1653"/>
      <c r="L19" s="745">
        <f t="shared" si="1"/>
        <v>0</v>
      </c>
    </row>
    <row r="20" spans="1:12" ht="21.95" hidden="1" customHeight="1">
      <c r="A20" s="2572"/>
      <c r="B20" s="2877"/>
      <c r="C20" s="2710"/>
      <c r="D20" s="1089" t="s">
        <v>2407</v>
      </c>
      <c r="F20" s="1442"/>
      <c r="G20" s="841">
        <f>Pav_Dados!G83</f>
        <v>0</v>
      </c>
      <c r="H20" s="841">
        <f>Pav_Dados!H83</f>
        <v>0</v>
      </c>
      <c r="I20" s="841">
        <f>Pav_Dados!I83</f>
        <v>0</v>
      </c>
      <c r="J20" s="841"/>
      <c r="K20" s="1654"/>
      <c r="L20" s="745">
        <f t="shared" si="1"/>
        <v>0</v>
      </c>
    </row>
    <row r="21" spans="1:12" ht="21.95" hidden="1" customHeight="1">
      <c r="A21" s="2572"/>
      <c r="B21" s="2877"/>
      <c r="C21" s="2710"/>
      <c r="D21" s="1089" t="s">
        <v>2408</v>
      </c>
      <c r="F21" s="1442"/>
      <c r="G21" s="842">
        <f>Pav_Dados!G84</f>
        <v>0</v>
      </c>
      <c r="H21" s="842">
        <f>Pav_Dados!H84</f>
        <v>0</v>
      </c>
      <c r="I21" s="842">
        <f>Pav_Dados!I84</f>
        <v>0</v>
      </c>
      <c r="J21" s="842"/>
      <c r="K21" s="1653"/>
      <c r="L21" s="745">
        <f t="shared" si="1"/>
        <v>0</v>
      </c>
    </row>
    <row r="22" spans="1:12" ht="21.95" hidden="1" customHeight="1">
      <c r="A22" s="2572"/>
      <c r="B22" s="2877"/>
      <c r="C22" s="2710"/>
      <c r="D22" s="1089" t="s">
        <v>2409</v>
      </c>
      <c r="F22" s="1442"/>
      <c r="G22" s="842">
        <f>Pav_Dados!G85</f>
        <v>0</v>
      </c>
      <c r="H22" s="842">
        <f>Pav_Dados!H85</f>
        <v>0</v>
      </c>
      <c r="I22" s="842">
        <f>Pav_Dados!I85</f>
        <v>0</v>
      </c>
      <c r="J22" s="842"/>
      <c r="K22" s="1653"/>
      <c r="L22" s="745">
        <f t="shared" si="1"/>
        <v>0</v>
      </c>
    </row>
    <row r="23" spans="1:12" ht="21.95" hidden="1" customHeight="1">
      <c r="A23" s="2572"/>
      <c r="B23" s="2877"/>
      <c r="C23" s="2710"/>
      <c r="D23" s="1089" t="s">
        <v>2403</v>
      </c>
      <c r="E23" s="1623"/>
      <c r="F23" s="1601"/>
      <c r="G23" s="847">
        <f>Pav_Dados!G80</f>
        <v>0</v>
      </c>
      <c r="H23" s="847">
        <f>Pav_Dados!H80</f>
        <v>0</v>
      </c>
      <c r="I23" s="847">
        <f>Pav_Dados!I80</f>
        <v>0</v>
      </c>
      <c r="J23" s="847"/>
      <c r="K23" s="1655"/>
      <c r="L23" s="745">
        <f t="shared" si="1"/>
        <v>0</v>
      </c>
    </row>
    <row r="24" spans="1:12" ht="21.95" hidden="1" customHeight="1">
      <c r="A24" s="2572"/>
      <c r="B24" s="2877"/>
      <c r="C24" s="2710"/>
      <c r="D24" s="1453" t="s">
        <v>2504</v>
      </c>
      <c r="F24" s="1442"/>
      <c r="G24" s="908">
        <f>IF(G23=2%,G17,0)</f>
        <v>0</v>
      </c>
      <c r="H24" s="908">
        <f>IF(H23=2%,H17,0)</f>
        <v>0</v>
      </c>
      <c r="I24" s="908">
        <f>IF(I23=2%,I17,0)</f>
        <v>0</v>
      </c>
      <c r="J24" s="908"/>
      <c r="K24" s="1656"/>
      <c r="L24" s="745">
        <f t="shared" si="1"/>
        <v>0</v>
      </c>
    </row>
    <row r="25" spans="1:12" ht="21.95" hidden="1" customHeight="1">
      <c r="A25" s="2572"/>
      <c r="B25" s="2877"/>
      <c r="C25" s="2710"/>
      <c r="D25" s="1089" t="s">
        <v>2505</v>
      </c>
      <c r="F25" s="1442"/>
      <c r="G25" s="908">
        <f>IF(G23=4%,G17,0)</f>
        <v>0</v>
      </c>
      <c r="H25" s="908">
        <f>IF(H23=4%,H17,0)</f>
        <v>0</v>
      </c>
      <c r="I25" s="908">
        <f>IF(I23=4%,I17,0)</f>
        <v>0</v>
      </c>
      <c r="J25" s="908"/>
      <c r="K25" s="1656"/>
      <c r="L25" s="745">
        <f t="shared" si="1"/>
        <v>0</v>
      </c>
    </row>
    <row r="26" spans="1:12" ht="21.95" hidden="1" customHeight="1">
      <c r="A26" s="2572"/>
      <c r="B26" s="2877"/>
      <c r="C26" s="2710"/>
      <c r="D26" s="1089" t="s">
        <v>2506</v>
      </c>
      <c r="F26" s="1442"/>
      <c r="G26" s="908">
        <f>IF(G23=6%,G17,0)</f>
        <v>0</v>
      </c>
      <c r="H26" s="908">
        <f>IF(H23=6%,H17,0)</f>
        <v>0</v>
      </c>
      <c r="I26" s="908">
        <f>IF(I23=6%,I17,0)</f>
        <v>0</v>
      </c>
      <c r="J26" s="908"/>
      <c r="K26" s="1656"/>
      <c r="L26" s="745">
        <f t="shared" si="1"/>
        <v>0</v>
      </c>
    </row>
    <row r="27" spans="1:12" ht="21.95" hidden="1" customHeight="1">
      <c r="A27" s="2572"/>
      <c r="B27" s="2877"/>
      <c r="C27" s="2710"/>
      <c r="D27" s="1089" t="s">
        <v>2507</v>
      </c>
      <c r="F27" s="1442"/>
      <c r="G27" s="908">
        <f>IF(G23=8%,G17,0)</f>
        <v>0</v>
      </c>
      <c r="H27" s="908">
        <f>IF(H23=8%,H17,0)</f>
        <v>0</v>
      </c>
      <c r="I27" s="908">
        <f>IF(I23=8%,I17,0)</f>
        <v>0</v>
      </c>
      <c r="J27" s="908"/>
      <c r="K27" s="1656"/>
      <c r="L27" s="745">
        <f t="shared" si="1"/>
        <v>0</v>
      </c>
    </row>
    <row r="28" spans="1:12" ht="21.95" hidden="1" customHeight="1">
      <c r="A28" s="2572"/>
      <c r="B28" s="2877"/>
      <c r="C28" s="2710"/>
      <c r="D28" s="1089" t="s">
        <v>2508</v>
      </c>
      <c r="F28" s="1442"/>
      <c r="G28" s="908">
        <f>IF(SUM(G18:G19)&gt;0,G17,0)</f>
        <v>0</v>
      </c>
      <c r="H28" s="908">
        <f>IF(SUM(H18:H19)&gt;0,H17,0)</f>
        <v>0</v>
      </c>
      <c r="I28" s="908">
        <f>IF(SUM(I18:I19)&gt;0,I17,0)</f>
        <v>0</v>
      </c>
      <c r="J28" s="908"/>
      <c r="K28" s="1656"/>
      <c r="L28" s="745">
        <f t="shared" si="1"/>
        <v>0</v>
      </c>
    </row>
    <row r="29" spans="1:12" ht="21.95" hidden="1" customHeight="1">
      <c r="A29" s="2572"/>
      <c r="B29" s="2877"/>
      <c r="C29" s="2710"/>
      <c r="D29" s="1089" t="s">
        <v>2509</v>
      </c>
      <c r="F29" s="1442"/>
      <c r="G29" s="908">
        <f>IF(G20=100%,G17,0)</f>
        <v>0</v>
      </c>
      <c r="H29" s="908">
        <f>IF(H20=100%,H17,0)</f>
        <v>0</v>
      </c>
      <c r="I29" s="908">
        <f>IF(I20=100%,I17,0)</f>
        <v>0</v>
      </c>
      <c r="J29" s="908"/>
      <c r="K29" s="1656"/>
      <c r="L29" s="745">
        <f t="shared" si="1"/>
        <v>0</v>
      </c>
    </row>
    <row r="30" spans="1:12" ht="21.95" hidden="1" customHeight="1">
      <c r="A30" s="2572"/>
      <c r="B30" s="2877"/>
      <c r="C30" s="2710"/>
      <c r="D30" s="1089" t="s">
        <v>2510</v>
      </c>
      <c r="F30" s="1442"/>
      <c r="G30" s="908">
        <f>IF(G21=100%,G17,0)</f>
        <v>0</v>
      </c>
      <c r="H30" s="908">
        <f>IF(H21=100%,H17,0)</f>
        <v>0</v>
      </c>
      <c r="I30" s="908">
        <f>IF(I21=100%,I17,0)</f>
        <v>0</v>
      </c>
      <c r="J30" s="908"/>
      <c r="K30" s="1656"/>
      <c r="L30" s="745">
        <f t="shared" si="1"/>
        <v>0</v>
      </c>
    </row>
    <row r="31" spans="1:12" ht="21.95" hidden="1" customHeight="1">
      <c r="A31" s="2572"/>
      <c r="B31" s="2877"/>
      <c r="C31" s="2710"/>
      <c r="D31" s="1089" t="s">
        <v>2511</v>
      </c>
      <c r="E31" s="1623"/>
      <c r="F31" s="1601"/>
      <c r="G31" s="1460">
        <f>IF(G22=100%,G17,0)</f>
        <v>0</v>
      </c>
      <c r="H31" s="1460">
        <f>IF(H22=100%,H17,0)</f>
        <v>0</v>
      </c>
      <c r="I31" s="1460">
        <f>IF(I22=100%,I17,0)</f>
        <v>0</v>
      </c>
      <c r="J31" s="1460"/>
      <c r="K31" s="1657"/>
      <c r="L31" s="745">
        <f t="shared" si="1"/>
        <v>0</v>
      </c>
    </row>
    <row r="32" spans="1:12" ht="21.95" hidden="1" customHeight="1">
      <c r="A32" s="2572"/>
      <c r="B32" s="2877"/>
      <c r="C32" s="2710"/>
      <c r="D32" s="1453" t="s">
        <v>1847</v>
      </c>
      <c r="F32" s="1442"/>
      <c r="G32" s="908">
        <f>(G24*48.1741+G25*93.0233+G26*136.6637+G27*188.2884)/1000</f>
        <v>0</v>
      </c>
      <c r="H32" s="908">
        <f>(H24*48.1741+H25*93.0233+H26*136.6637+H27*188.2884)/1000</f>
        <v>0</v>
      </c>
      <c r="I32" s="908">
        <f>(I24*48.1741+I25*93.0233+I26*136.6637+I27*188.2884)/1000</f>
        <v>0</v>
      </c>
      <c r="J32" s="908"/>
      <c r="K32" s="1459"/>
      <c r="L32" s="745">
        <f t="shared" si="1"/>
        <v>0</v>
      </c>
    </row>
    <row r="33" spans="1:12" ht="21.95" hidden="1" customHeight="1">
      <c r="A33" s="2572"/>
      <c r="B33" s="2877"/>
      <c r="C33" s="2710"/>
      <c r="D33" s="1089" t="s">
        <v>2035</v>
      </c>
      <c r="F33" s="1442"/>
      <c r="G33" s="908">
        <f>(G17*G18+SUM(G24:G27))*1.25</f>
        <v>0</v>
      </c>
      <c r="H33" s="908">
        <f>(H17*H18+SUM(H24:H27))*1.25</f>
        <v>0</v>
      </c>
      <c r="I33" s="908">
        <f>(I17*I18+SUM(I24:I27))*1.25</f>
        <v>0</v>
      </c>
      <c r="J33" s="908"/>
      <c r="K33" s="1656"/>
      <c r="L33" s="745">
        <f t="shared" si="1"/>
        <v>0</v>
      </c>
    </row>
    <row r="34" spans="1:12" ht="32.1" hidden="1" customHeight="1">
      <c r="A34" s="2572"/>
      <c r="B34" s="2877"/>
      <c r="C34" s="2710"/>
      <c r="D34" s="747" t="s">
        <v>2036</v>
      </c>
      <c r="F34" s="1442"/>
      <c r="G34" s="908">
        <f>G17*G19*1.375</f>
        <v>0</v>
      </c>
      <c r="H34" s="908">
        <f>H17*H19*1.375</f>
        <v>0</v>
      </c>
      <c r="I34" s="908">
        <f>I17*I19*1.375</f>
        <v>0</v>
      </c>
      <c r="J34" s="908"/>
      <c r="K34" s="1656"/>
      <c r="L34" s="745">
        <f t="shared" si="1"/>
        <v>0</v>
      </c>
    </row>
    <row r="35" spans="1:12" ht="21.95" hidden="1" customHeight="1">
      <c r="A35" s="2572"/>
      <c r="B35" s="2877"/>
      <c r="C35" s="2710"/>
      <c r="D35" s="1089" t="s">
        <v>2010</v>
      </c>
      <c r="F35" s="1442"/>
      <c r="G35" s="908">
        <f>G17*G20*1.25</f>
        <v>0</v>
      </c>
      <c r="H35" s="908">
        <f>H17*H20*1.25</f>
        <v>0</v>
      </c>
      <c r="I35" s="908">
        <f>I17*I20*1.25</f>
        <v>0</v>
      </c>
      <c r="J35" s="908"/>
      <c r="K35" s="1656"/>
      <c r="L35" s="745">
        <f t="shared" si="1"/>
        <v>0</v>
      </c>
    </row>
    <row r="36" spans="1:12" ht="21.95" hidden="1" customHeight="1">
      <c r="A36" s="2572"/>
      <c r="B36" s="2877"/>
      <c r="C36" s="2710"/>
      <c r="D36" s="1089" t="s">
        <v>2012</v>
      </c>
      <c r="F36" s="1442"/>
      <c r="G36" s="908">
        <f>G17*G21*1.375</f>
        <v>0</v>
      </c>
      <c r="H36" s="908">
        <f>H17*H21*1.375</f>
        <v>0</v>
      </c>
      <c r="I36" s="908">
        <f>I17*I21*1.375</f>
        <v>0</v>
      </c>
      <c r="J36" s="908"/>
      <c r="K36" s="1656"/>
      <c r="L36" s="745">
        <f t="shared" si="1"/>
        <v>0</v>
      </c>
    </row>
    <row r="37" spans="1:12" ht="21.95" hidden="1" customHeight="1" thickBot="1">
      <c r="A37" s="2572"/>
      <c r="B37" s="2877"/>
      <c r="C37" s="2710"/>
      <c r="D37" s="1089" t="s">
        <v>2512</v>
      </c>
      <c r="E37" s="1283"/>
      <c r="F37" s="1563"/>
      <c r="G37" s="908">
        <f>G17*G22*1.4667</f>
        <v>0</v>
      </c>
      <c r="H37" s="908">
        <f>H17*H22*1.4667</f>
        <v>0</v>
      </c>
      <c r="I37" s="908">
        <f>I17*I22*1.4667</f>
        <v>0</v>
      </c>
      <c r="J37" s="908"/>
      <c r="K37" s="1656"/>
      <c r="L37" s="745">
        <f t="shared" si="1"/>
        <v>0</v>
      </c>
    </row>
    <row r="38" spans="1:12" ht="21.95" hidden="1" customHeight="1">
      <c r="A38" s="2572"/>
      <c r="B38" s="2877"/>
      <c r="C38" s="2870" t="s">
        <v>2513</v>
      </c>
      <c r="D38" s="1448" t="s">
        <v>1539</v>
      </c>
      <c r="F38" s="1442"/>
      <c r="G38" s="905">
        <f>IF(G39=0,0,G2)</f>
        <v>0</v>
      </c>
      <c r="H38" s="905">
        <f>IF(H39=0,0,H2)</f>
        <v>0</v>
      </c>
      <c r="I38" s="905">
        <f>IF(I39=0,0,I2)</f>
        <v>0</v>
      </c>
      <c r="J38" s="905"/>
      <c r="K38" s="1651"/>
      <c r="L38" s="745">
        <f t="shared" si="1"/>
        <v>0</v>
      </c>
    </row>
    <row r="39" spans="1:12" ht="21.95" hidden="1" customHeight="1">
      <c r="A39" s="2572"/>
      <c r="B39" s="2877"/>
      <c r="C39" s="2871"/>
      <c r="D39" s="1089" t="s">
        <v>2006</v>
      </c>
      <c r="F39" s="1442"/>
      <c r="G39" s="1652">
        <f>Pav_Dados!G86</f>
        <v>0</v>
      </c>
      <c r="H39" s="1652">
        <f>Pav_Dados!H86</f>
        <v>0</v>
      </c>
      <c r="I39" s="1652">
        <f>Pav_Dados!I86</f>
        <v>0</v>
      </c>
      <c r="J39" s="1652"/>
      <c r="K39" s="1653"/>
      <c r="L39" s="745">
        <f t="shared" si="1"/>
        <v>0</v>
      </c>
    </row>
    <row r="40" spans="1:12" ht="21.95" hidden="1" customHeight="1">
      <c r="A40" s="2572"/>
      <c r="B40" s="2877"/>
      <c r="C40" s="2880"/>
      <c r="D40" s="1089" t="s">
        <v>1355</v>
      </c>
      <c r="F40" s="1442"/>
      <c r="G40" s="908">
        <f>IF(G39=0,0,G6+IF(G5="dupla",2*0.47,0.47)+IF(G5="simples",0.17,0))</f>
        <v>0</v>
      </c>
      <c r="H40" s="908">
        <f>IF(H39=0,0,H6+IF(H5="dupla",2*0.47,0.47)+IF(H5="simples",0.17,0))</f>
        <v>0</v>
      </c>
      <c r="I40" s="908">
        <f>IF(I39=0,0,I6+IF(I5="dupla",2*0.47,0.47)+IF(I5="simples",0.17,0))</f>
        <v>0</v>
      </c>
      <c r="J40" s="908"/>
      <c r="K40" s="1649"/>
      <c r="L40" s="745">
        <f t="shared" si="1"/>
        <v>0</v>
      </c>
    </row>
    <row r="41" spans="1:12" ht="21.95" hidden="1" customHeight="1">
      <c r="A41" s="2572"/>
      <c r="B41" s="2877"/>
      <c r="C41" s="2871"/>
      <c r="D41" s="1609" t="s">
        <v>2500</v>
      </c>
      <c r="F41" s="1442"/>
      <c r="G41" s="908">
        <f>IF(G39=0,0,S_Complementares!I5*0.47+S_Complementares!I6*0.17+S_Complementares!I8*0.6)</f>
        <v>0</v>
      </c>
      <c r="H41" s="908">
        <f>IF(H39=0,0,S_Complementares!J5*0.47+S_Complementares!J6*0.17+S_Complementares!J8*0.6)</f>
        <v>0</v>
      </c>
      <c r="I41" s="908">
        <f>IF(I39=0,0,S_Complementares!K5*0.47+S_Complementares!K6*0.17+S_Complementares!K8*0.6)</f>
        <v>0</v>
      </c>
      <c r="J41" s="908"/>
      <c r="K41" s="1649"/>
      <c r="L41" s="745"/>
    </row>
    <row r="42" spans="1:12" ht="21.95" hidden="1" customHeight="1">
      <c r="A42" s="2572"/>
      <c r="B42" s="2877"/>
      <c r="C42" s="2871"/>
      <c r="D42" s="1089" t="s">
        <v>2514</v>
      </c>
      <c r="F42" s="1442"/>
      <c r="G42" s="908">
        <f>IF(G39=0,0,G41+Pav_Dados!G77)</f>
        <v>0</v>
      </c>
      <c r="H42" s="908">
        <f>IF(H39=0,0,H41+Pav_Dados!H77)</f>
        <v>0</v>
      </c>
      <c r="I42" s="908">
        <f>IF(I39=0,0,I41+Pav_Dados!I77)</f>
        <v>0</v>
      </c>
      <c r="J42" s="908"/>
      <c r="K42" s="1459"/>
      <c r="L42" s="745">
        <f t="shared" ref="L42:L73" si="2">SUM(G42:K42)</f>
        <v>0</v>
      </c>
    </row>
    <row r="43" spans="1:12" ht="21.95" hidden="1" customHeight="1">
      <c r="A43" s="2572"/>
      <c r="B43" s="2877"/>
      <c r="C43" s="2880"/>
      <c r="D43" s="1089" t="s">
        <v>1831</v>
      </c>
      <c r="E43" s="1623"/>
      <c r="F43" s="1601"/>
      <c r="G43" s="1460">
        <f>G42*G39/100</f>
        <v>0</v>
      </c>
      <c r="H43" s="1460">
        <f>H42*H39/100</f>
        <v>0</v>
      </c>
      <c r="I43" s="1460">
        <f>I42*I39/100</f>
        <v>0</v>
      </c>
      <c r="J43" s="1460"/>
      <c r="K43" s="1463"/>
      <c r="L43" s="745">
        <f t="shared" si="2"/>
        <v>0</v>
      </c>
    </row>
    <row r="44" spans="1:12" ht="21.95" hidden="1" customHeight="1">
      <c r="A44" s="2572"/>
      <c r="B44" s="2877"/>
      <c r="C44" s="2871"/>
      <c r="D44" s="1453" t="s">
        <v>1576</v>
      </c>
      <c r="F44" s="1442"/>
      <c r="G44" s="842">
        <f>Pav_Dados!G88</f>
        <v>0</v>
      </c>
      <c r="H44" s="842">
        <f>Pav_Dados!H88</f>
        <v>0</v>
      </c>
      <c r="I44" s="842">
        <f>Pav_Dados!I88</f>
        <v>0</v>
      </c>
      <c r="J44" s="842"/>
      <c r="K44" s="1653"/>
      <c r="L44" s="745">
        <f t="shared" si="2"/>
        <v>0</v>
      </c>
    </row>
    <row r="45" spans="1:12" ht="21.95" hidden="1" customHeight="1">
      <c r="A45" s="2572"/>
      <c r="B45" s="2877"/>
      <c r="C45" s="2871"/>
      <c r="D45" s="1089" t="s">
        <v>1577</v>
      </c>
      <c r="F45" s="1442"/>
      <c r="G45" s="842">
        <f>Pav_Dados!G89</f>
        <v>0</v>
      </c>
      <c r="H45" s="842">
        <f>Pav_Dados!H89</f>
        <v>0</v>
      </c>
      <c r="I45" s="842">
        <f>Pav_Dados!I89</f>
        <v>0</v>
      </c>
      <c r="J45" s="842"/>
      <c r="K45" s="1653"/>
      <c r="L45" s="745">
        <f t="shared" si="2"/>
        <v>0</v>
      </c>
    </row>
    <row r="46" spans="1:12" ht="21.95" hidden="1" customHeight="1">
      <c r="A46" s="2572"/>
      <c r="B46" s="2877"/>
      <c r="C46" s="2871"/>
      <c r="D46" s="1089" t="s">
        <v>1578</v>
      </c>
      <c r="F46" s="1442"/>
      <c r="G46" s="842">
        <f>Pav_Dados!G90</f>
        <v>0</v>
      </c>
      <c r="H46" s="842">
        <f>Pav_Dados!H90</f>
        <v>0</v>
      </c>
      <c r="I46" s="842">
        <f>Pav_Dados!I90</f>
        <v>0</v>
      </c>
      <c r="J46" s="842"/>
      <c r="K46" s="1653"/>
      <c r="L46" s="745">
        <f t="shared" si="2"/>
        <v>0</v>
      </c>
    </row>
    <row r="47" spans="1:12" ht="21.95" hidden="1" customHeight="1">
      <c r="A47" s="2572"/>
      <c r="B47" s="2877"/>
      <c r="C47" s="2880"/>
      <c r="D47" s="1089" t="s">
        <v>1579</v>
      </c>
      <c r="F47" s="1442"/>
      <c r="G47" s="842">
        <f>Pav_Dados!G91</f>
        <v>0</v>
      </c>
      <c r="H47" s="842">
        <f>Pav_Dados!H91</f>
        <v>0</v>
      </c>
      <c r="I47" s="842">
        <f>Pav_Dados!I91</f>
        <v>0</v>
      </c>
      <c r="J47" s="842"/>
      <c r="K47" s="1653"/>
      <c r="L47" s="745">
        <f t="shared" si="2"/>
        <v>0</v>
      </c>
    </row>
    <row r="48" spans="1:12" ht="21.95" hidden="1" customHeight="1">
      <c r="A48" s="2572"/>
      <c r="B48" s="2877"/>
      <c r="C48" s="2871"/>
      <c r="D48" s="1089" t="s">
        <v>1580</v>
      </c>
      <c r="F48" s="1442"/>
      <c r="G48" s="842">
        <f>Pav_Dados!G92</f>
        <v>0</v>
      </c>
      <c r="H48" s="842">
        <f>Pav_Dados!H92</f>
        <v>0</v>
      </c>
      <c r="I48" s="842">
        <f>Pav_Dados!I92</f>
        <v>0</v>
      </c>
      <c r="J48" s="842"/>
      <c r="K48" s="1653"/>
      <c r="L48" s="745">
        <f t="shared" si="2"/>
        <v>0</v>
      </c>
    </row>
    <row r="49" spans="1:12" ht="21.95" hidden="1" customHeight="1">
      <c r="A49" s="2572"/>
      <c r="B49" s="2877"/>
      <c r="C49" s="2871"/>
      <c r="D49" s="1089" t="s">
        <v>2403</v>
      </c>
      <c r="E49" s="1623"/>
      <c r="F49" s="1601"/>
      <c r="G49" s="847">
        <f>Pav_Dados!G87</f>
        <v>0</v>
      </c>
      <c r="H49" s="847">
        <f>Pav_Dados!H87</f>
        <v>0</v>
      </c>
      <c r="I49" s="847">
        <f>Pav_Dados!I87</f>
        <v>0</v>
      </c>
      <c r="J49" s="847"/>
      <c r="K49" s="1655"/>
      <c r="L49" s="745">
        <f t="shared" si="2"/>
        <v>0</v>
      </c>
    </row>
    <row r="50" spans="1:12" ht="21.95" hidden="1" customHeight="1">
      <c r="A50" s="2572"/>
      <c r="B50" s="2877"/>
      <c r="C50" s="2871"/>
      <c r="D50" s="1453" t="s">
        <v>2515</v>
      </c>
      <c r="F50" s="1442"/>
      <c r="G50" s="908">
        <f>IF(G49=2%,G43,0)</f>
        <v>0</v>
      </c>
      <c r="H50" s="908">
        <f>IF(H49=2%,H43,0)</f>
        <v>0</v>
      </c>
      <c r="I50" s="908">
        <f>IF(I49=2%,I43,0)</f>
        <v>0</v>
      </c>
      <c r="J50" s="908"/>
      <c r="K50" s="1656"/>
      <c r="L50" s="745">
        <f t="shared" si="2"/>
        <v>0</v>
      </c>
    </row>
    <row r="51" spans="1:12" ht="21.95" hidden="1" customHeight="1">
      <c r="A51" s="2572"/>
      <c r="B51" s="2877"/>
      <c r="C51" s="2871"/>
      <c r="D51" s="1089" t="s">
        <v>2516</v>
      </c>
      <c r="F51" s="1442"/>
      <c r="G51" s="908">
        <f>IF(G49=4%,G43,0)</f>
        <v>0</v>
      </c>
      <c r="H51" s="908">
        <f>IF(H49=4%,H43,0)</f>
        <v>0</v>
      </c>
      <c r="I51" s="908">
        <f>IF(I49=4%,I43,0)</f>
        <v>0</v>
      </c>
      <c r="J51" s="908"/>
      <c r="K51" s="1656"/>
      <c r="L51" s="745">
        <f t="shared" si="2"/>
        <v>0</v>
      </c>
    </row>
    <row r="52" spans="1:12" ht="21.95" hidden="1" customHeight="1">
      <c r="A52" s="2572"/>
      <c r="B52" s="2877"/>
      <c r="C52" s="2871"/>
      <c r="D52" s="1089" t="s">
        <v>2517</v>
      </c>
      <c r="F52" s="1442"/>
      <c r="G52" s="908">
        <f>IF(G49=6%,G43,0)</f>
        <v>0</v>
      </c>
      <c r="H52" s="908">
        <f>IF(H49=6%,H43,0)</f>
        <v>0</v>
      </c>
      <c r="I52" s="908">
        <f>IF(I49=6%,I43,0)</f>
        <v>0</v>
      </c>
      <c r="J52" s="908"/>
      <c r="K52" s="1656"/>
      <c r="L52" s="745">
        <f t="shared" si="2"/>
        <v>0</v>
      </c>
    </row>
    <row r="53" spans="1:12" ht="21.95" hidden="1" customHeight="1">
      <c r="A53" s="2572"/>
      <c r="B53" s="2877"/>
      <c r="C53" s="2871"/>
      <c r="D53" s="1089" t="s">
        <v>2518</v>
      </c>
      <c r="F53" s="1442"/>
      <c r="G53" s="908">
        <f>IF(G49=8%,G43,0)</f>
        <v>0</v>
      </c>
      <c r="H53" s="908">
        <f>IF(H49=8%,H43,0)</f>
        <v>0</v>
      </c>
      <c r="I53" s="908">
        <f>IF(I49=8%,I43,0)</f>
        <v>0</v>
      </c>
      <c r="J53" s="908"/>
      <c r="K53" s="1656"/>
      <c r="L53" s="745">
        <f t="shared" si="2"/>
        <v>0</v>
      </c>
    </row>
    <row r="54" spans="1:12" ht="21.95" hidden="1" customHeight="1">
      <c r="A54" s="2572"/>
      <c r="B54" s="2877"/>
      <c r="C54" s="2871"/>
      <c r="D54" s="1089" t="s">
        <v>2032</v>
      </c>
      <c r="F54" s="1442"/>
      <c r="G54" s="908">
        <f>IF(SUM(G44:G45)&gt;0,G43,0)</f>
        <v>0</v>
      </c>
      <c r="H54" s="908">
        <f>IF(SUM(H44:H45)&gt;0,H43,0)</f>
        <v>0</v>
      </c>
      <c r="I54" s="908">
        <f>IF(SUM(I44:I45)&gt;0,I43,0)</f>
        <v>0</v>
      </c>
      <c r="J54" s="908"/>
      <c r="K54" s="1656"/>
      <c r="L54" s="745">
        <f t="shared" si="2"/>
        <v>0</v>
      </c>
    </row>
    <row r="55" spans="1:12" ht="21.95" hidden="1" customHeight="1">
      <c r="A55" s="2572"/>
      <c r="B55" s="2877"/>
      <c r="C55" s="2871"/>
      <c r="D55" s="1089" t="s">
        <v>2034</v>
      </c>
      <c r="F55" s="1442"/>
      <c r="G55" s="908">
        <f>IF(G46=100%,G43,0)</f>
        <v>0</v>
      </c>
      <c r="H55" s="908">
        <f>IF(H46=100%,H43,0)</f>
        <v>0</v>
      </c>
      <c r="I55" s="908">
        <f>IF(I46=100%,I43,0)</f>
        <v>0</v>
      </c>
      <c r="J55" s="908"/>
      <c r="K55" s="1656"/>
      <c r="L55" s="745">
        <f t="shared" si="2"/>
        <v>0</v>
      </c>
    </row>
    <row r="56" spans="1:12" ht="21.95" hidden="1" customHeight="1">
      <c r="A56" s="2572"/>
      <c r="B56" s="2877"/>
      <c r="C56" s="2880"/>
      <c r="D56" s="1089" t="s">
        <v>2519</v>
      </c>
      <c r="F56" s="1442"/>
      <c r="G56" s="908">
        <f>IF(G47=100%,G43,0)</f>
        <v>0</v>
      </c>
      <c r="H56" s="908">
        <f>IF(H47=100%,H43,0)</f>
        <v>0</v>
      </c>
      <c r="I56" s="908">
        <f>IF(I47=100%,I43,0)</f>
        <v>0</v>
      </c>
      <c r="J56" s="908"/>
      <c r="K56" s="1656"/>
      <c r="L56" s="745">
        <f t="shared" si="2"/>
        <v>0</v>
      </c>
    </row>
    <row r="57" spans="1:12" ht="21.95" hidden="1" customHeight="1">
      <c r="A57" s="2572"/>
      <c r="B57" s="2877"/>
      <c r="C57" s="2871"/>
      <c r="D57" s="1089" t="s">
        <v>2520</v>
      </c>
      <c r="E57" s="1623"/>
      <c r="F57" s="1601"/>
      <c r="G57" s="1460">
        <f>IF(G48=100%,G43,0)</f>
        <v>0</v>
      </c>
      <c r="H57" s="1460">
        <f>IF(H48=100%,H43,0)</f>
        <v>0</v>
      </c>
      <c r="I57" s="1460">
        <f>IF(I48=100%,I43,0)</f>
        <v>0</v>
      </c>
      <c r="J57" s="1460"/>
      <c r="K57" s="1657"/>
      <c r="L57" s="745">
        <f t="shared" si="2"/>
        <v>0</v>
      </c>
    </row>
    <row r="58" spans="1:12" ht="21.95" hidden="1" customHeight="1">
      <c r="A58" s="2572"/>
      <c r="B58" s="2877"/>
      <c r="C58" s="2871"/>
      <c r="D58" s="1453" t="s">
        <v>1847</v>
      </c>
      <c r="F58" s="1442"/>
      <c r="G58" s="908">
        <f>(G50*48.1741+G51*93.0233+G52*136.6637+G53*188.2884)/1000</f>
        <v>0</v>
      </c>
      <c r="H58" s="908">
        <f>(H50*48.1741+H51*93.0233+H52*136.6637+H53*188.2884)/1000</f>
        <v>0</v>
      </c>
      <c r="I58" s="908">
        <f>(I50*48.1741+I51*93.0233+I52*136.6637+I53*188.2884)/1000</f>
        <v>0</v>
      </c>
      <c r="J58" s="908"/>
      <c r="K58" s="1459"/>
      <c r="L58" s="745">
        <f t="shared" si="2"/>
        <v>0</v>
      </c>
    </row>
    <row r="59" spans="1:12" ht="21.95" hidden="1" customHeight="1">
      <c r="A59" s="2572"/>
      <c r="B59" s="2877"/>
      <c r="C59" s="2871"/>
      <c r="D59" s="1089" t="s">
        <v>2035</v>
      </c>
      <c r="F59" s="1442"/>
      <c r="G59" s="908">
        <f>G43*G44*1.25</f>
        <v>0</v>
      </c>
      <c r="H59" s="908">
        <f>H43*H44*1.25</f>
        <v>0</v>
      </c>
      <c r="I59" s="908">
        <f>I43*I44*1.25</f>
        <v>0</v>
      </c>
      <c r="J59" s="908"/>
      <c r="K59" s="1656"/>
      <c r="L59" s="745">
        <f t="shared" si="2"/>
        <v>0</v>
      </c>
    </row>
    <row r="60" spans="1:12" ht="32.1" hidden="1" customHeight="1">
      <c r="A60" s="2572"/>
      <c r="B60" s="2877"/>
      <c r="C60" s="2871"/>
      <c r="D60" s="747" t="s">
        <v>2036</v>
      </c>
      <c r="F60" s="1442"/>
      <c r="G60" s="908">
        <f>G43*G45*1.375</f>
        <v>0</v>
      </c>
      <c r="H60" s="908">
        <f>H43*H45*1.375</f>
        <v>0</v>
      </c>
      <c r="I60" s="908">
        <f>I43*I45*1.375</f>
        <v>0</v>
      </c>
      <c r="J60" s="908"/>
      <c r="K60" s="1656"/>
      <c r="L60" s="745">
        <f t="shared" si="2"/>
        <v>0</v>
      </c>
    </row>
    <row r="61" spans="1:12" ht="21.95" hidden="1" customHeight="1">
      <c r="A61" s="2572"/>
      <c r="B61" s="2877"/>
      <c r="C61" s="2871"/>
      <c r="D61" s="1089" t="s">
        <v>2010</v>
      </c>
      <c r="F61" s="1442"/>
      <c r="G61" s="908">
        <f>G43*G46*1.25</f>
        <v>0</v>
      </c>
      <c r="H61" s="908">
        <f>H43*H46*1.25</f>
        <v>0</v>
      </c>
      <c r="I61" s="908">
        <f>I43*I46*1.25</f>
        <v>0</v>
      </c>
      <c r="J61" s="908"/>
      <c r="K61" s="1656"/>
      <c r="L61" s="745">
        <f t="shared" si="2"/>
        <v>0</v>
      </c>
    </row>
    <row r="62" spans="1:12" ht="21.95" hidden="1" customHeight="1">
      <c r="A62" s="2572"/>
      <c r="B62" s="2877"/>
      <c r="C62" s="2880"/>
      <c r="D62" s="1089" t="s">
        <v>2012</v>
      </c>
      <c r="F62" s="1442"/>
      <c r="G62" s="1460">
        <f>G43*G47*1.375</f>
        <v>0</v>
      </c>
      <c r="H62" s="1460">
        <f>H43*H47*1.375</f>
        <v>0</v>
      </c>
      <c r="I62" s="1460">
        <f>I43*I47*1.375</f>
        <v>0</v>
      </c>
      <c r="J62" s="1460"/>
      <c r="K62" s="1461"/>
      <c r="L62" s="745">
        <f t="shared" si="2"/>
        <v>0</v>
      </c>
    </row>
    <row r="63" spans="1:12" ht="21.95" hidden="1" customHeight="1" thickBot="1">
      <c r="A63" s="2572"/>
      <c r="B63" s="2877"/>
      <c r="C63" s="2871"/>
      <c r="D63" s="1526" t="s">
        <v>2512</v>
      </c>
      <c r="E63" s="1291"/>
      <c r="F63" s="1563"/>
      <c r="G63" s="901">
        <f>G43*G48*1.4667</f>
        <v>0</v>
      </c>
      <c r="H63" s="901">
        <f>H43*H48*1.4667</f>
        <v>0</v>
      </c>
      <c r="I63" s="901">
        <f>I43*I48*1.4667</f>
        <v>0</v>
      </c>
      <c r="J63" s="901"/>
      <c r="K63" s="1650"/>
      <c r="L63" s="745">
        <f t="shared" si="2"/>
        <v>0</v>
      </c>
    </row>
    <row r="64" spans="1:12" ht="21.95" hidden="1" customHeight="1">
      <c r="A64" s="2572"/>
      <c r="B64" s="2877"/>
      <c r="C64" s="2870" t="s">
        <v>2015</v>
      </c>
      <c r="D64" s="1448" t="s">
        <v>1693</v>
      </c>
      <c r="F64" s="1442"/>
      <c r="G64" s="905">
        <f>Pav_Dados!G77</f>
        <v>0</v>
      </c>
      <c r="H64" s="905">
        <f>Pav_Dados!H77</f>
        <v>0</v>
      </c>
      <c r="I64" s="905">
        <f>Pav_Dados!I77</f>
        <v>0</v>
      </c>
      <c r="J64" s="905"/>
      <c r="K64" s="1277"/>
      <c r="L64" s="745">
        <f t="shared" si="2"/>
        <v>0</v>
      </c>
    </row>
    <row r="65" spans="1:13" ht="21.95" hidden="1" customHeight="1" thickBot="1">
      <c r="A65" s="2572"/>
      <c r="B65" s="2877"/>
      <c r="C65" s="2872"/>
      <c r="D65" s="754" t="s">
        <v>2016</v>
      </c>
      <c r="E65" s="1291"/>
      <c r="F65" s="1563"/>
      <c r="G65" s="901">
        <f>G64*0.0012</f>
        <v>0</v>
      </c>
      <c r="H65" s="901">
        <f>H64*0.0012</f>
        <v>0</v>
      </c>
      <c r="I65" s="901">
        <f>I64*0.0012</f>
        <v>0</v>
      </c>
      <c r="J65" s="901"/>
      <c r="K65" s="1650"/>
      <c r="L65" s="745">
        <f t="shared" si="2"/>
        <v>0</v>
      </c>
    </row>
    <row r="66" spans="1:13" ht="21.95" hidden="1" customHeight="1">
      <c r="A66" s="2572"/>
      <c r="B66" s="2877"/>
      <c r="C66" s="2871" t="s">
        <v>2268</v>
      </c>
      <c r="D66" s="1089" t="s">
        <v>1693</v>
      </c>
      <c r="F66" s="1442"/>
      <c r="G66" s="908">
        <f>G64-G68</f>
        <v>0</v>
      </c>
      <c r="H66" s="908">
        <f>H64-H68</f>
        <v>0</v>
      </c>
      <c r="I66" s="908">
        <f>I64-I68</f>
        <v>0</v>
      </c>
      <c r="J66" s="908"/>
      <c r="K66" s="1656"/>
      <c r="L66" s="745">
        <f t="shared" si="2"/>
        <v>0</v>
      </c>
    </row>
    <row r="67" spans="1:13" ht="21.95" hidden="1" customHeight="1" thickBot="1">
      <c r="A67" s="2572"/>
      <c r="B67" s="2877"/>
      <c r="C67" s="2872"/>
      <c r="D67" s="936" t="s">
        <v>2270</v>
      </c>
      <c r="E67" s="1291"/>
      <c r="F67" s="1442"/>
      <c r="G67" s="908">
        <f>G66*0.0005</f>
        <v>0</v>
      </c>
      <c r="H67" s="908">
        <f>H66*0.0005</f>
        <v>0</v>
      </c>
      <c r="I67" s="908">
        <f>I66*0.0005</f>
        <v>0</v>
      </c>
      <c r="J67" s="908"/>
      <c r="K67" s="1650"/>
      <c r="L67" s="745">
        <f t="shared" si="2"/>
        <v>0</v>
      </c>
    </row>
    <row r="68" spans="1:13" ht="21.95" hidden="1" customHeight="1">
      <c r="A68" s="2572"/>
      <c r="B68" s="2878"/>
      <c r="C68" s="2870" t="s">
        <v>2521</v>
      </c>
      <c r="D68" s="740" t="s">
        <v>1693</v>
      </c>
      <c r="E68" s="759"/>
      <c r="F68" s="760"/>
      <c r="G68" s="905">
        <f>IF(Pav_Dados!G94="SIM",G64,0)</f>
        <v>0</v>
      </c>
      <c r="H68" s="905">
        <f>IF(Pav_Dados!H94="SIM",H64,0)</f>
        <v>0</v>
      </c>
      <c r="I68" s="905">
        <f>IF(Pav_Dados!I94="SIM",I64,0)</f>
        <v>0</v>
      </c>
      <c r="J68" s="905"/>
      <c r="K68" s="1277"/>
      <c r="L68" s="745">
        <f t="shared" si="2"/>
        <v>0</v>
      </c>
    </row>
    <row r="69" spans="1:13" ht="21.95" hidden="1" customHeight="1">
      <c r="A69" s="2572"/>
      <c r="B69" s="2878"/>
      <c r="C69" s="2871"/>
      <c r="D69" s="763" t="s">
        <v>2039</v>
      </c>
      <c r="E69" s="748"/>
      <c r="F69" s="749"/>
      <c r="G69" s="1658">
        <f>G68*0.006</f>
        <v>0</v>
      </c>
      <c r="H69" s="1658">
        <f>H68*0.006</f>
        <v>0</v>
      </c>
      <c r="I69" s="1658">
        <f>I68*0.006</f>
        <v>0</v>
      </c>
      <c r="J69" s="1658"/>
      <c r="K69" s="1656"/>
      <c r="L69" s="745">
        <f t="shared" si="2"/>
        <v>0</v>
      </c>
    </row>
    <row r="70" spans="1:13" ht="21.95" hidden="1" customHeight="1">
      <c r="A70" s="2572"/>
      <c r="B70" s="2878"/>
      <c r="C70" s="2871"/>
      <c r="D70" s="747" t="s">
        <v>2040</v>
      </c>
      <c r="E70" s="1382"/>
      <c r="F70" s="749"/>
      <c r="G70" s="908">
        <f>G68*0.0223</f>
        <v>0</v>
      </c>
      <c r="H70" s="908">
        <f>H68*0.0223</f>
        <v>0</v>
      </c>
      <c r="I70" s="908">
        <f>I68*0.0223</f>
        <v>0</v>
      </c>
      <c r="J70" s="908"/>
      <c r="K70" s="1656"/>
      <c r="L70" s="745">
        <f t="shared" si="2"/>
        <v>0</v>
      </c>
    </row>
    <row r="71" spans="1:13" ht="21.95" hidden="1" customHeight="1" thickBot="1">
      <c r="A71" s="2572"/>
      <c r="B71" s="2878"/>
      <c r="C71" s="2872"/>
      <c r="D71" s="754" t="s">
        <v>2322</v>
      </c>
      <c r="E71" s="1383"/>
      <c r="F71" s="756"/>
      <c r="G71" s="901">
        <f>G68*0.0048</f>
        <v>0</v>
      </c>
      <c r="H71" s="901">
        <f>H68*0.0048</f>
        <v>0</v>
      </c>
      <c r="I71" s="901">
        <f>I68*0.0048</f>
        <v>0</v>
      </c>
      <c r="J71" s="901"/>
      <c r="K71" s="1650"/>
      <c r="L71" s="745">
        <f t="shared" si="2"/>
        <v>0</v>
      </c>
    </row>
    <row r="72" spans="1:13" ht="21.95" hidden="1" customHeight="1">
      <c r="A72" s="2572"/>
      <c r="B72" s="2878"/>
      <c r="C72" s="2870" t="s">
        <v>2323</v>
      </c>
      <c r="D72" s="740" t="s">
        <v>1693</v>
      </c>
      <c r="E72" s="1382"/>
      <c r="F72" s="749"/>
      <c r="G72" s="908">
        <f>IF(Pav_Dados!G93="SIM",G64,0)</f>
        <v>0</v>
      </c>
      <c r="H72" s="908">
        <f>IF(Pav_Dados!H93="SIM",H64,0)</f>
        <v>0</v>
      </c>
      <c r="I72" s="908">
        <f>IF(Pav_Dados!I93="SIM",I64,0)</f>
        <v>0</v>
      </c>
      <c r="J72" s="908"/>
      <c r="K72" s="1277"/>
      <c r="L72" s="745">
        <f t="shared" si="2"/>
        <v>0</v>
      </c>
    </row>
    <row r="73" spans="1:13" ht="21.95" hidden="1" customHeight="1">
      <c r="A73" s="2572"/>
      <c r="B73" s="2878"/>
      <c r="C73" s="2871"/>
      <c r="D73" s="747" t="s">
        <v>2324</v>
      </c>
      <c r="E73" s="1382"/>
      <c r="F73" s="749"/>
      <c r="G73" s="908">
        <f>G72*0.006</f>
        <v>0</v>
      </c>
      <c r="H73" s="908">
        <f>H72*0.006</f>
        <v>0</v>
      </c>
      <c r="I73" s="908">
        <f>I72*0.006</f>
        <v>0</v>
      </c>
      <c r="J73" s="908"/>
      <c r="K73" s="1656"/>
      <c r="L73" s="745">
        <f t="shared" si="2"/>
        <v>0</v>
      </c>
    </row>
    <row r="74" spans="1:13" ht="21.95" hidden="1" customHeight="1" thickBot="1">
      <c r="A74" s="2572"/>
      <c r="B74" s="2878"/>
      <c r="C74" s="2872"/>
      <c r="D74" s="754" t="s">
        <v>2325</v>
      </c>
      <c r="E74" s="1382"/>
      <c r="F74" s="749"/>
      <c r="G74" s="908">
        <f>G72*0.001</f>
        <v>0</v>
      </c>
      <c r="H74" s="908">
        <f>H72*0.001</f>
        <v>0</v>
      </c>
      <c r="I74" s="908">
        <f>I72*0.001</f>
        <v>0</v>
      </c>
      <c r="J74" s="908"/>
      <c r="K74" s="1650"/>
      <c r="L74" s="745">
        <f t="shared" ref="L74:L105" si="3">SUM(G74:K74)</f>
        <v>0</v>
      </c>
    </row>
    <row r="75" spans="1:13" ht="21.95" hidden="1" customHeight="1">
      <c r="A75" s="2572"/>
      <c r="B75" s="2877"/>
      <c r="C75" s="2700" t="s">
        <v>2522</v>
      </c>
      <c r="D75" s="1529" t="s">
        <v>2523</v>
      </c>
      <c r="E75" s="1273"/>
      <c r="F75" s="1560"/>
      <c r="G75" s="905">
        <f>IF(Pav_Dados!G95="SIM",G64,0)</f>
        <v>0</v>
      </c>
      <c r="H75" s="905">
        <f>IF(Pav_Dados!H95="SIM",H64,0)</f>
        <v>0</v>
      </c>
      <c r="I75" s="905">
        <f>IF(Pav_Dados!I95="SIM",I64,0)</f>
        <v>0</v>
      </c>
      <c r="J75" s="905"/>
      <c r="K75" s="1277"/>
      <c r="L75" s="745">
        <f t="shared" si="3"/>
        <v>0</v>
      </c>
    </row>
    <row r="76" spans="1:13" ht="21.95" hidden="1" customHeight="1">
      <c r="A76" s="2572"/>
      <c r="B76" s="2877"/>
      <c r="C76" s="2710"/>
      <c r="D76" s="1089" t="s">
        <v>2524</v>
      </c>
      <c r="E76" s="1584"/>
      <c r="F76" s="1601"/>
      <c r="G76" s="1460">
        <f>IF(Pav_Dados!G96="SIM",G64,0)</f>
        <v>0</v>
      </c>
      <c r="H76" s="1460">
        <f>IF(Pav_Dados!H96="SIM",H64,0)</f>
        <v>0</v>
      </c>
      <c r="I76" s="1460">
        <f>IF(Pav_Dados!I96="SIM",I64,0)</f>
        <v>0</v>
      </c>
      <c r="J76" s="1460"/>
      <c r="K76" s="1657"/>
      <c r="L76" s="745">
        <f t="shared" si="3"/>
        <v>0</v>
      </c>
    </row>
    <row r="77" spans="1:13" ht="21.95" hidden="1" customHeight="1">
      <c r="A77" s="2572"/>
      <c r="B77" s="2877"/>
      <c r="C77" s="2710"/>
      <c r="D77" s="1089" t="s">
        <v>2525</v>
      </c>
      <c r="E77" s="1599"/>
      <c r="F77" s="1600"/>
      <c r="G77" s="1532">
        <f>IF(Pav_Dados!G97="SIM",G64,0)</f>
        <v>0</v>
      </c>
      <c r="H77" s="1532">
        <f>IF(Pav_Dados!H97="SIM",H64,0)</f>
        <v>0</v>
      </c>
      <c r="I77" s="1532">
        <f>IF(Pav_Dados!I97="SIM",I64,0)</f>
        <v>0</v>
      </c>
      <c r="J77" s="1532"/>
      <c r="K77" s="1533"/>
      <c r="L77" s="745">
        <f t="shared" si="3"/>
        <v>0</v>
      </c>
    </row>
    <row r="78" spans="1:13" ht="21.95" hidden="1" customHeight="1">
      <c r="A78" s="2572"/>
      <c r="B78" s="2877"/>
      <c r="C78" s="2710"/>
      <c r="D78" s="1089" t="s">
        <v>2526</v>
      </c>
      <c r="E78" s="1584"/>
      <c r="F78" s="1601"/>
      <c r="G78" s="1460">
        <f>IF(Pav_Dados!G98="SIM",G64,0)</f>
        <v>0</v>
      </c>
      <c r="H78" s="1460">
        <f>IF(Pav_Dados!H98="SIM",H64,0)</f>
        <v>0</v>
      </c>
      <c r="I78" s="1460">
        <f>IF(Pav_Dados!I98="SIM",I64,0)</f>
        <v>0</v>
      </c>
      <c r="J78" s="1460"/>
      <c r="K78" s="1657"/>
      <c r="L78" s="745">
        <f t="shared" si="3"/>
        <v>0</v>
      </c>
    </row>
    <row r="79" spans="1:13" ht="21.95" hidden="1" customHeight="1">
      <c r="A79" s="2572"/>
      <c r="B79" s="2877"/>
      <c r="C79" s="2710"/>
      <c r="D79" s="1609" t="s">
        <v>2527</v>
      </c>
      <c r="F79" s="1442"/>
      <c r="G79" s="908">
        <f>(G78+G76)*0.23+(G77+G75)*0.18</f>
        <v>0</v>
      </c>
      <c r="H79" s="908">
        <f>(H78+H76)*0.23+(H77+H75)*0.18</f>
        <v>0</v>
      </c>
      <c r="I79" s="908">
        <f>(I78+I76)*0.23+(I77+I75)*0.18</f>
        <v>0</v>
      </c>
      <c r="J79" s="908"/>
      <c r="K79" s="1656"/>
      <c r="L79" s="745">
        <f t="shared" si="3"/>
        <v>0</v>
      </c>
      <c r="M79" s="1659"/>
    </row>
    <row r="80" spans="1:13" ht="21.95" hidden="1" customHeight="1" thickBot="1">
      <c r="A80" s="2572"/>
      <c r="B80" s="2877"/>
      <c r="C80" s="2710"/>
      <c r="D80" s="936" t="s">
        <v>2528</v>
      </c>
      <c r="E80" s="1291"/>
      <c r="F80" s="1563"/>
      <c r="G80" s="901">
        <f>SUM(G75:G78)*0.065</f>
        <v>0</v>
      </c>
      <c r="H80" s="901">
        <f>SUM(H75:H78)*0.065</f>
        <v>0</v>
      </c>
      <c r="I80" s="901">
        <f>SUM(I75:I78)*0.065</f>
        <v>0</v>
      </c>
      <c r="J80" s="901"/>
      <c r="K80" s="1660"/>
      <c r="L80" s="745">
        <f t="shared" si="3"/>
        <v>0</v>
      </c>
    </row>
    <row r="81" spans="1:17" ht="21.95" hidden="1" customHeight="1">
      <c r="A81" s="2572"/>
      <c r="B81" s="2877"/>
      <c r="C81" s="2700" t="s">
        <v>2529</v>
      </c>
      <c r="D81" s="1389" t="s">
        <v>2006</v>
      </c>
      <c r="E81" s="1661"/>
      <c r="F81" s="1662"/>
      <c r="G81" s="1663">
        <f>IF(COUNTA(Pav_Dados!G100:G102)=1,Pav_Dados!G103,0)</f>
        <v>0</v>
      </c>
      <c r="H81" s="1663">
        <f>IF(COUNTA(Pav_Dados!H100:H102)=1,Pav_Dados!H103,0)</f>
        <v>0</v>
      </c>
      <c r="I81" s="1663">
        <f>IF(COUNTA(Pav_Dados!I100:I102)=1,Pav_Dados!I103,0)</f>
        <v>0</v>
      </c>
      <c r="J81" s="1663"/>
      <c r="K81" s="1664"/>
      <c r="L81" s="745">
        <f t="shared" si="3"/>
        <v>0</v>
      </c>
    </row>
    <row r="82" spans="1:17" ht="21.95" hidden="1" customHeight="1">
      <c r="A82" s="2572"/>
      <c r="B82" s="2877"/>
      <c r="C82" s="2710"/>
      <c r="D82" s="763" t="s">
        <v>2530</v>
      </c>
      <c r="F82" s="1442"/>
      <c r="G82" s="908">
        <f>IF(Pav_Dados!G100="sim",G64*G81/100,0)</f>
        <v>0</v>
      </c>
      <c r="H82" s="908">
        <f>IF(Pav_Dados!H100="sim",H64*H81/100,0)</f>
        <v>0</v>
      </c>
      <c r="I82" s="908">
        <f>IF(Pav_Dados!I100="sim",I64*I81/100,0)</f>
        <v>0</v>
      </c>
      <c r="J82" s="908"/>
      <c r="K82" s="1656"/>
      <c r="L82" s="745">
        <f t="shared" si="3"/>
        <v>0</v>
      </c>
    </row>
    <row r="83" spans="1:17" ht="21.95" hidden="1" customHeight="1">
      <c r="A83" s="2572"/>
      <c r="B83" s="2877"/>
      <c r="C83" s="2710"/>
      <c r="D83" s="763" t="s">
        <v>2531</v>
      </c>
      <c r="F83" s="1442"/>
      <c r="G83" s="908">
        <f>IF(Pav_Dados!G101="sim",G64*G81/100,0)</f>
        <v>0</v>
      </c>
      <c r="H83" s="908">
        <f>IF(Pav_Dados!H101="sim",H64*H81/100,0)</f>
        <v>0</v>
      </c>
      <c r="I83" s="908">
        <f>IF(Pav_Dados!I101="sim",I64*I81/100,0)</f>
        <v>0</v>
      </c>
      <c r="J83" s="908"/>
      <c r="K83" s="1656"/>
      <c r="L83" s="745">
        <f t="shared" si="3"/>
        <v>0</v>
      </c>
    </row>
    <row r="84" spans="1:17" ht="21.95" hidden="1" customHeight="1">
      <c r="A84" s="2572"/>
      <c r="B84" s="2877"/>
      <c r="C84" s="2710"/>
      <c r="D84" s="1089" t="s">
        <v>2532</v>
      </c>
      <c r="E84" s="1584"/>
      <c r="F84" s="1601"/>
      <c r="G84" s="1460">
        <f>IF(Pav_Dados!G102="sim",G64*G81/100,0)</f>
        <v>0</v>
      </c>
      <c r="H84" s="1460">
        <f>IF(Pav_Dados!H102="sim",H64*H81/100,0)</f>
        <v>0</v>
      </c>
      <c r="I84" s="1460">
        <f>IF(Pav_Dados!I102="sim",I64*I81/100,0)</f>
        <v>0</v>
      </c>
      <c r="J84" s="1460"/>
      <c r="K84" s="1657"/>
      <c r="L84" s="745">
        <f t="shared" si="3"/>
        <v>0</v>
      </c>
    </row>
    <row r="85" spans="1:17" ht="21.95" hidden="1" customHeight="1">
      <c r="A85" s="2572"/>
      <c r="B85" s="2877"/>
      <c r="C85" s="2710"/>
      <c r="D85" s="1089" t="s">
        <v>2533</v>
      </c>
      <c r="E85" s="1279"/>
      <c r="F85" s="1442"/>
      <c r="G85" s="908">
        <f>SUM(G82:G84)*0.3248</f>
        <v>0</v>
      </c>
      <c r="H85" s="908">
        <f t="shared" ref="H85:I85" si="4">SUM(H82:H84)*0.3248</f>
        <v>0</v>
      </c>
      <c r="I85" s="908">
        <f t="shared" si="4"/>
        <v>0</v>
      </c>
      <c r="J85" s="908"/>
      <c r="K85" s="910"/>
      <c r="L85" s="745">
        <f t="shared" si="3"/>
        <v>0</v>
      </c>
    </row>
    <row r="86" spans="1:17" ht="21.95" hidden="1" customHeight="1">
      <c r="A86" s="2572"/>
      <c r="B86" s="2877"/>
      <c r="C86" s="2710"/>
      <c r="D86" s="1089" t="s">
        <v>2534</v>
      </c>
      <c r="E86" s="1584"/>
      <c r="F86" s="1601"/>
      <c r="G86" s="908">
        <f>SUM(G82:G84)*(0.0625+0.1998)</f>
        <v>0</v>
      </c>
      <c r="H86" s="908">
        <f t="shared" ref="H86:I86" si="5">SUM(H82:H84)*(0.0625+0.1998)</f>
        <v>0</v>
      </c>
      <c r="I86" s="908">
        <f t="shared" si="5"/>
        <v>0</v>
      </c>
      <c r="J86" s="908"/>
      <c r="K86" s="1656"/>
      <c r="L86" s="745">
        <f t="shared" si="3"/>
        <v>0</v>
      </c>
      <c r="M86" s="681">
        <f>(0.0625+0.1998)</f>
        <v>0.26229999999999998</v>
      </c>
      <c r="Q86" s="681">
        <f>2397.6-2369.77</f>
        <v>27.829999999999927</v>
      </c>
    </row>
    <row r="87" spans="1:17" ht="21.95" hidden="1" customHeight="1">
      <c r="A87" s="2572"/>
      <c r="B87" s="2877"/>
      <c r="C87" s="2710"/>
      <c r="D87" s="1089" t="s">
        <v>2535</v>
      </c>
      <c r="E87" s="1279"/>
      <c r="F87" s="1442"/>
      <c r="G87" s="908">
        <f>G82*0.06323*2.5548</f>
        <v>0</v>
      </c>
      <c r="H87" s="908">
        <f t="shared" ref="H87:J89" si="6">H82*0.06323*2.5548</f>
        <v>0</v>
      </c>
      <c r="I87" s="908">
        <f t="shared" si="6"/>
        <v>0</v>
      </c>
      <c r="J87" s="908">
        <f t="shared" si="6"/>
        <v>0</v>
      </c>
      <c r="K87" s="910"/>
      <c r="L87" s="745">
        <f t="shared" si="3"/>
        <v>0</v>
      </c>
    </row>
    <row r="88" spans="1:17" ht="21.95" hidden="1" customHeight="1">
      <c r="A88" s="2572"/>
      <c r="B88" s="2877"/>
      <c r="C88" s="2710"/>
      <c r="D88" s="1089" t="s">
        <v>2536</v>
      </c>
      <c r="E88" s="1279"/>
      <c r="F88" s="1442"/>
      <c r="G88" s="908">
        <f>G83*0.06323*2.5548</f>
        <v>0</v>
      </c>
      <c r="H88" s="908">
        <f t="shared" si="6"/>
        <v>0</v>
      </c>
      <c r="I88" s="908">
        <f t="shared" si="6"/>
        <v>0</v>
      </c>
      <c r="J88" s="908">
        <f t="shared" si="6"/>
        <v>0</v>
      </c>
      <c r="K88" s="1656"/>
      <c r="L88" s="745">
        <f t="shared" si="3"/>
        <v>0</v>
      </c>
    </row>
    <row r="89" spans="1:17" ht="21.95" hidden="1" customHeight="1" thickBot="1">
      <c r="A89" s="2572"/>
      <c r="B89" s="2877"/>
      <c r="C89" s="2710"/>
      <c r="D89" s="936" t="s">
        <v>2537</v>
      </c>
      <c r="E89" s="1283"/>
      <c r="F89" s="1563"/>
      <c r="G89" s="901">
        <f>G84*0.06323*2.5548</f>
        <v>0</v>
      </c>
      <c r="H89" s="901">
        <f t="shared" si="6"/>
        <v>0</v>
      </c>
      <c r="I89" s="901">
        <f t="shared" si="6"/>
        <v>0</v>
      </c>
      <c r="J89" s="901">
        <f t="shared" si="6"/>
        <v>0</v>
      </c>
      <c r="K89" s="912"/>
      <c r="L89" s="745">
        <f t="shared" si="3"/>
        <v>0</v>
      </c>
    </row>
    <row r="90" spans="1:17" ht="21.95" hidden="1" customHeight="1">
      <c r="A90" s="2572"/>
      <c r="B90" s="2877"/>
      <c r="C90" s="2870" t="s">
        <v>2538</v>
      </c>
      <c r="D90" s="1345" t="s">
        <v>2006</v>
      </c>
      <c r="F90" s="1442"/>
      <c r="G90" s="1652">
        <f>IF(Pav_Dados!G99="SIM",Pav_Dados!G103,0)</f>
        <v>0</v>
      </c>
      <c r="H90" s="1652">
        <f>IF(Pav_Dados!H99="SIM",Pav_Dados!H103,0)</f>
        <v>0</v>
      </c>
      <c r="I90" s="1652">
        <f>IF(Pav_Dados!I99="SIM",Pav_Dados!I103,0)</f>
        <v>0</v>
      </c>
      <c r="J90" s="1652"/>
      <c r="K90" s="1665"/>
      <c r="L90" s="745">
        <f t="shared" si="3"/>
        <v>0</v>
      </c>
    </row>
    <row r="91" spans="1:17" ht="21.95" hidden="1" customHeight="1">
      <c r="A91" s="2572"/>
      <c r="B91" s="2877"/>
      <c r="C91" s="2871"/>
      <c r="D91" s="763" t="s">
        <v>2539</v>
      </c>
      <c r="F91" s="1442"/>
      <c r="G91" s="908">
        <f>G90/100*G64</f>
        <v>0</v>
      </c>
      <c r="H91" s="908">
        <f>H90/100*H64</f>
        <v>0</v>
      </c>
      <c r="I91" s="908">
        <f>I90/100*I64</f>
        <v>0</v>
      </c>
      <c r="J91" s="908"/>
      <c r="K91" s="1656"/>
      <c r="L91" s="745">
        <f t="shared" si="3"/>
        <v>0</v>
      </c>
    </row>
    <row r="92" spans="1:17" ht="21.95" hidden="1" customHeight="1">
      <c r="A92" s="2572"/>
      <c r="B92" s="2877"/>
      <c r="C92" s="2871"/>
      <c r="D92" s="1345" t="s">
        <v>2026</v>
      </c>
      <c r="F92" s="1442"/>
      <c r="G92" s="908">
        <f>G91*0.411</f>
        <v>0</v>
      </c>
      <c r="H92" s="908">
        <f>H91*0.411</f>
        <v>0</v>
      </c>
      <c r="I92" s="908">
        <f>I91*0.411</f>
        <v>0</v>
      </c>
      <c r="J92" s="908"/>
      <c r="K92" s="1656"/>
      <c r="L92" s="745">
        <f t="shared" si="3"/>
        <v>0</v>
      </c>
    </row>
    <row r="93" spans="1:17" ht="21.95" hidden="1" customHeight="1">
      <c r="A93" s="2572"/>
      <c r="B93" s="2877"/>
      <c r="C93" s="2871"/>
      <c r="D93" s="1345" t="s">
        <v>2027</v>
      </c>
      <c r="F93" s="1442"/>
      <c r="G93" s="908">
        <f>G91*0.968</f>
        <v>0</v>
      </c>
      <c r="H93" s="908">
        <f>H91*0.968</f>
        <v>0</v>
      </c>
      <c r="I93" s="908">
        <f>I91*0.968</f>
        <v>0</v>
      </c>
      <c r="J93" s="908"/>
      <c r="K93" s="1656"/>
      <c r="L93" s="745">
        <f t="shared" si="3"/>
        <v>0</v>
      </c>
    </row>
    <row r="94" spans="1:17" ht="21.95" hidden="1" customHeight="1" thickBot="1">
      <c r="A94" s="2572"/>
      <c r="B94" s="2877"/>
      <c r="C94" s="2872"/>
      <c r="D94" s="1502" t="s">
        <v>2025</v>
      </c>
      <c r="F94" s="1442"/>
      <c r="G94" s="908">
        <f>G91*0.132</f>
        <v>0</v>
      </c>
      <c r="H94" s="908">
        <f>H91*0.132</f>
        <v>0</v>
      </c>
      <c r="I94" s="908">
        <f>I91*0.132</f>
        <v>0</v>
      </c>
      <c r="J94" s="908"/>
      <c r="K94" s="1656"/>
      <c r="L94" s="745">
        <f t="shared" si="3"/>
        <v>0</v>
      </c>
    </row>
    <row r="95" spans="1:17" ht="21.95" hidden="1" customHeight="1">
      <c r="A95" s="2572"/>
      <c r="B95" s="2628" t="s">
        <v>1837</v>
      </c>
      <c r="C95" s="2873"/>
      <c r="D95" s="740" t="s">
        <v>2540</v>
      </c>
      <c r="E95" s="1273"/>
      <c r="F95" s="1560"/>
      <c r="G95" s="905">
        <f>(G28+G54)*1.375</f>
        <v>0</v>
      </c>
      <c r="H95" s="905">
        <f>(H28+H54)*1.375</f>
        <v>0</v>
      </c>
      <c r="I95" s="905">
        <f>(I28+I54)*1.375</f>
        <v>0</v>
      </c>
      <c r="J95" s="905"/>
      <c r="K95" s="1277"/>
      <c r="L95" s="745">
        <f t="shared" si="3"/>
        <v>0</v>
      </c>
    </row>
    <row r="96" spans="1:17" ht="21.95" hidden="1" customHeight="1" thickBot="1">
      <c r="A96" s="2572"/>
      <c r="B96" s="2630"/>
      <c r="C96" s="2874"/>
      <c r="D96" s="754" t="s">
        <v>2058</v>
      </c>
      <c r="E96" s="1283"/>
      <c r="F96" s="1563"/>
      <c r="G96" s="901">
        <f>G63</f>
        <v>0</v>
      </c>
      <c r="H96" s="901">
        <f>H63</f>
        <v>0</v>
      </c>
      <c r="I96" s="901">
        <f>I63</f>
        <v>0</v>
      </c>
      <c r="J96" s="901"/>
      <c r="K96" s="912"/>
      <c r="L96" s="745">
        <f t="shared" si="3"/>
        <v>0</v>
      </c>
    </row>
    <row r="97" spans="1:12" ht="21.95" hidden="1" customHeight="1">
      <c r="A97" s="2572"/>
      <c r="B97" s="2748" t="s">
        <v>2490</v>
      </c>
      <c r="C97" s="2700"/>
      <c r="D97" s="740" t="s">
        <v>2541</v>
      </c>
      <c r="F97" s="1442"/>
      <c r="G97" s="905">
        <f>G33+G59</f>
        <v>0</v>
      </c>
      <c r="H97" s="905">
        <f>H33+H59</f>
        <v>0</v>
      </c>
      <c r="I97" s="905">
        <f>I33+I59</f>
        <v>0</v>
      </c>
      <c r="J97" s="905"/>
      <c r="K97" s="1277"/>
      <c r="L97" s="745">
        <f t="shared" si="3"/>
        <v>0</v>
      </c>
    </row>
    <row r="98" spans="1:12" ht="21.95" hidden="1" customHeight="1">
      <c r="A98" s="2572"/>
      <c r="B98" s="2575"/>
      <c r="C98" s="2710"/>
      <c r="D98" s="747" t="s">
        <v>1847</v>
      </c>
      <c r="F98" s="1442"/>
      <c r="G98" s="908">
        <f>G32+G58</f>
        <v>0</v>
      </c>
      <c r="H98" s="908">
        <f>H32+H58</f>
        <v>0</v>
      </c>
      <c r="I98" s="908">
        <f>I32+I58</f>
        <v>0</v>
      </c>
      <c r="J98" s="908"/>
      <c r="K98" s="1656"/>
      <c r="L98" s="745">
        <f t="shared" si="3"/>
        <v>0</v>
      </c>
    </row>
    <row r="99" spans="1:12" ht="21.95" hidden="1" customHeight="1">
      <c r="A99" s="2572"/>
      <c r="B99" s="2575"/>
      <c r="C99" s="2710"/>
      <c r="D99" s="763" t="s">
        <v>2542</v>
      </c>
      <c r="F99" s="1442"/>
      <c r="G99" s="908">
        <f>G80</f>
        <v>0</v>
      </c>
      <c r="H99" s="908">
        <f>H80</f>
        <v>0</v>
      </c>
      <c r="I99" s="908">
        <f>I80</f>
        <v>0</v>
      </c>
      <c r="J99" s="908"/>
      <c r="K99" s="1656"/>
      <c r="L99" s="745">
        <f t="shared" si="3"/>
        <v>0</v>
      </c>
    </row>
    <row r="100" spans="1:12" ht="21.95" hidden="1" customHeight="1">
      <c r="A100" s="2572"/>
      <c r="B100" s="2575"/>
      <c r="C100" s="2710"/>
      <c r="D100" s="896" t="s">
        <v>2052</v>
      </c>
      <c r="F100" s="1442"/>
      <c r="G100" s="908">
        <f>G69</f>
        <v>0</v>
      </c>
      <c r="H100" s="908">
        <f>H69</f>
        <v>0</v>
      </c>
      <c r="I100" s="908">
        <f>I69</f>
        <v>0</v>
      </c>
      <c r="J100" s="908"/>
      <c r="K100" s="1656"/>
      <c r="L100" s="745">
        <f t="shared" si="3"/>
        <v>0</v>
      </c>
    </row>
    <row r="101" spans="1:12" ht="21.95" hidden="1" customHeight="1">
      <c r="A101" s="2572"/>
      <c r="B101" s="2575"/>
      <c r="C101" s="2710"/>
      <c r="D101" s="747" t="s">
        <v>2053</v>
      </c>
      <c r="F101" s="1442"/>
      <c r="G101" s="908">
        <f>G85</f>
        <v>0</v>
      </c>
      <c r="H101" s="908">
        <f>H85</f>
        <v>0</v>
      </c>
      <c r="I101" s="908">
        <f>I85</f>
        <v>0</v>
      </c>
      <c r="J101" s="908"/>
      <c r="K101" s="910"/>
      <c r="L101" s="745">
        <f t="shared" si="3"/>
        <v>0</v>
      </c>
    </row>
    <row r="102" spans="1:12" ht="21.95" hidden="1" customHeight="1">
      <c r="A102" s="2572"/>
      <c r="B102" s="2575"/>
      <c r="C102" s="2710"/>
      <c r="D102" s="763" t="s">
        <v>2054</v>
      </c>
      <c r="F102" s="1442"/>
      <c r="G102" s="908">
        <f>G92</f>
        <v>0</v>
      </c>
      <c r="H102" s="908">
        <f>H92</f>
        <v>0</v>
      </c>
      <c r="I102" s="908">
        <f>I92</f>
        <v>0</v>
      </c>
      <c r="J102" s="908"/>
      <c r="K102" s="1656"/>
      <c r="L102" s="745">
        <f t="shared" si="3"/>
        <v>0</v>
      </c>
    </row>
    <row r="103" spans="1:12" ht="21.95" hidden="1" customHeight="1">
      <c r="A103" s="2572"/>
      <c r="B103" s="2575"/>
      <c r="C103" s="2710"/>
      <c r="D103" s="747" t="s">
        <v>2055</v>
      </c>
      <c r="F103" s="1442"/>
      <c r="G103" s="908">
        <f>G35+G61</f>
        <v>0</v>
      </c>
      <c r="H103" s="908">
        <f>H35+H61</f>
        <v>0</v>
      </c>
      <c r="I103" s="908">
        <f>I35+I61</f>
        <v>0</v>
      </c>
      <c r="J103" s="908"/>
      <c r="K103" s="1656"/>
      <c r="L103" s="745">
        <f t="shared" si="3"/>
        <v>0</v>
      </c>
    </row>
    <row r="104" spans="1:12" ht="21.95" hidden="1" customHeight="1">
      <c r="A104" s="2572"/>
      <c r="B104" s="2575"/>
      <c r="C104" s="2710"/>
      <c r="D104" s="747" t="s">
        <v>2056</v>
      </c>
      <c r="F104" s="1442"/>
      <c r="G104" s="908">
        <f>G34+G60</f>
        <v>0</v>
      </c>
      <c r="H104" s="908">
        <f>H34+H60</f>
        <v>0</v>
      </c>
      <c r="I104" s="908">
        <f>I34+I60</f>
        <v>0</v>
      </c>
      <c r="J104" s="908"/>
      <c r="K104" s="1656"/>
      <c r="L104" s="745">
        <f t="shared" si="3"/>
        <v>0</v>
      </c>
    </row>
    <row r="105" spans="1:12" ht="21.95" hidden="1" customHeight="1">
      <c r="A105" s="2572"/>
      <c r="B105" s="2575"/>
      <c r="C105" s="2710"/>
      <c r="D105" s="747" t="s">
        <v>2057</v>
      </c>
      <c r="F105" s="1442"/>
      <c r="G105" s="908">
        <f t="shared" ref="G105:I106" si="7">G36+G62</f>
        <v>0</v>
      </c>
      <c r="H105" s="908">
        <f t="shared" si="7"/>
        <v>0</v>
      </c>
      <c r="I105" s="908">
        <f t="shared" si="7"/>
        <v>0</v>
      </c>
      <c r="J105" s="908"/>
      <c r="K105" s="1656"/>
      <c r="L105" s="745">
        <f t="shared" si="3"/>
        <v>0</v>
      </c>
    </row>
    <row r="106" spans="1:12" ht="21.95" hidden="1" customHeight="1">
      <c r="A106" s="2572"/>
      <c r="B106" s="2575"/>
      <c r="C106" s="2710"/>
      <c r="D106" s="747" t="s">
        <v>2058</v>
      </c>
      <c r="F106" s="1442"/>
      <c r="G106" s="908">
        <f t="shared" si="7"/>
        <v>0</v>
      </c>
      <c r="H106" s="908">
        <f t="shared" si="7"/>
        <v>0</v>
      </c>
      <c r="I106" s="908">
        <f t="shared" si="7"/>
        <v>0</v>
      </c>
      <c r="J106" s="908"/>
      <c r="K106" s="1656"/>
      <c r="L106" s="745">
        <f t="shared" ref="L106:L120" si="8">SUM(G106:K106)</f>
        <v>0</v>
      </c>
    </row>
    <row r="107" spans="1:12" ht="21.95" hidden="1" customHeight="1">
      <c r="A107" s="2572"/>
      <c r="B107" s="2575"/>
      <c r="C107" s="2710"/>
      <c r="D107" s="747" t="s">
        <v>2350</v>
      </c>
      <c r="F107" s="1442"/>
      <c r="G107" s="908">
        <f>G70+G73</f>
        <v>0</v>
      </c>
      <c r="H107" s="908">
        <f>H70+H73</f>
        <v>0</v>
      </c>
      <c r="I107" s="908">
        <f>I70+I73</f>
        <v>0</v>
      </c>
      <c r="J107" s="908"/>
      <c r="K107" s="1656"/>
      <c r="L107" s="745">
        <f t="shared" si="8"/>
        <v>0</v>
      </c>
    </row>
    <row r="108" spans="1:12" ht="21.95" hidden="1" customHeight="1">
      <c r="A108" s="2572"/>
      <c r="B108" s="2575"/>
      <c r="C108" s="2710"/>
      <c r="D108" s="747" t="s">
        <v>2060</v>
      </c>
      <c r="F108" s="1442"/>
      <c r="G108" s="908">
        <f>G86</f>
        <v>0</v>
      </c>
      <c r="H108" s="908">
        <f>H86</f>
        <v>0</v>
      </c>
      <c r="I108" s="908">
        <f>I86</f>
        <v>0</v>
      </c>
      <c r="J108" s="908"/>
      <c r="K108" s="1656"/>
      <c r="L108" s="745">
        <f t="shared" si="8"/>
        <v>0</v>
      </c>
    </row>
    <row r="109" spans="1:12" ht="21.95" hidden="1" customHeight="1">
      <c r="A109" s="2572"/>
      <c r="B109" s="2575"/>
      <c r="C109" s="2710"/>
      <c r="D109" s="747" t="s">
        <v>2061</v>
      </c>
      <c r="F109" s="1442"/>
      <c r="G109" s="908">
        <f>G93</f>
        <v>0</v>
      </c>
      <c r="H109" s="908">
        <f>H93</f>
        <v>0</v>
      </c>
      <c r="I109" s="908">
        <f>I93</f>
        <v>0</v>
      </c>
      <c r="J109" s="908"/>
      <c r="K109" s="1656"/>
      <c r="L109" s="745">
        <f t="shared" si="8"/>
        <v>0</v>
      </c>
    </row>
    <row r="110" spans="1:12" ht="21.95" hidden="1" customHeight="1">
      <c r="A110" s="2572"/>
      <c r="B110" s="2575"/>
      <c r="C110" s="2710"/>
      <c r="D110" s="747" t="s">
        <v>2032</v>
      </c>
      <c r="F110" s="1442"/>
      <c r="G110" s="908">
        <f>(G28+G54)*1.375</f>
        <v>0</v>
      </c>
      <c r="H110" s="908">
        <f>(H28+H54)*1.375</f>
        <v>0</v>
      </c>
      <c r="I110" s="908">
        <f>(I28+I54)*1.375</f>
        <v>0</v>
      </c>
      <c r="J110" s="908"/>
      <c r="K110" s="1656"/>
      <c r="L110" s="745">
        <f t="shared" si="8"/>
        <v>0</v>
      </c>
    </row>
    <row r="111" spans="1:12" ht="21.95" hidden="1" customHeight="1">
      <c r="A111" s="2572"/>
      <c r="B111" s="2575"/>
      <c r="C111" s="2710"/>
      <c r="D111" s="1609" t="s">
        <v>2527</v>
      </c>
      <c r="F111" s="1442"/>
      <c r="G111" s="908">
        <f>G79</f>
        <v>0</v>
      </c>
      <c r="H111" s="908">
        <f>H79</f>
        <v>0</v>
      </c>
      <c r="I111" s="908">
        <f>I79</f>
        <v>0</v>
      </c>
      <c r="J111" s="908"/>
      <c r="K111" s="1656"/>
      <c r="L111" s="745">
        <f t="shared" si="8"/>
        <v>0</v>
      </c>
    </row>
    <row r="112" spans="1:12" ht="21.95" hidden="1" customHeight="1">
      <c r="A112" s="2572"/>
      <c r="B112" s="2575"/>
      <c r="C112" s="2710"/>
      <c r="D112" s="747" t="s">
        <v>2063</v>
      </c>
      <c r="F112" s="1442"/>
      <c r="G112" s="908">
        <f>G65</f>
        <v>0</v>
      </c>
      <c r="H112" s="908">
        <f>H65</f>
        <v>0</v>
      </c>
      <c r="I112" s="908">
        <f>I65</f>
        <v>0</v>
      </c>
      <c r="J112" s="908"/>
      <c r="K112" s="1656"/>
      <c r="L112" s="745">
        <f t="shared" si="8"/>
        <v>0</v>
      </c>
    </row>
    <row r="113" spans="1:12" ht="21.95" hidden="1" customHeight="1">
      <c r="A113" s="2572"/>
      <c r="B113" s="2575"/>
      <c r="C113" s="2710"/>
      <c r="D113" s="747" t="s">
        <v>2280</v>
      </c>
      <c r="F113" s="1442"/>
      <c r="G113" s="908">
        <f>G67</f>
        <v>0</v>
      </c>
      <c r="H113" s="908">
        <f>H67</f>
        <v>0</v>
      </c>
      <c r="I113" s="908">
        <f>I67</f>
        <v>0</v>
      </c>
      <c r="J113" s="908"/>
      <c r="K113" s="1656"/>
      <c r="L113" s="745">
        <f t="shared" si="8"/>
        <v>0</v>
      </c>
    </row>
    <row r="114" spans="1:12" ht="21.95" hidden="1" customHeight="1">
      <c r="A114" s="2572"/>
      <c r="B114" s="2575"/>
      <c r="C114" s="2710"/>
      <c r="D114" s="747" t="s">
        <v>2064</v>
      </c>
      <c r="F114" s="1442"/>
      <c r="G114" s="908">
        <f>G71+G74</f>
        <v>0</v>
      </c>
      <c r="H114" s="908">
        <f>H71+H74</f>
        <v>0</v>
      </c>
      <c r="I114" s="908">
        <f>I71+I74</f>
        <v>0</v>
      </c>
      <c r="J114" s="908"/>
      <c r="K114" s="1656"/>
      <c r="L114" s="745">
        <f t="shared" si="8"/>
        <v>0</v>
      </c>
    </row>
    <row r="115" spans="1:12" ht="21.95" hidden="1" customHeight="1">
      <c r="A115" s="2572"/>
      <c r="B115" s="2575"/>
      <c r="C115" s="2710"/>
      <c r="D115" s="747" t="s">
        <v>2065</v>
      </c>
      <c r="F115" s="1442"/>
      <c r="G115" s="908">
        <f>G94</f>
        <v>0</v>
      </c>
      <c r="H115" s="908">
        <f>H94</f>
        <v>0</v>
      </c>
      <c r="I115" s="908">
        <f>I94</f>
        <v>0</v>
      </c>
      <c r="J115" s="908"/>
      <c r="K115" s="1656"/>
      <c r="L115" s="745">
        <f t="shared" si="8"/>
        <v>0</v>
      </c>
    </row>
    <row r="116" spans="1:12" ht="21.95" hidden="1" customHeight="1">
      <c r="A116" s="2572"/>
      <c r="B116" s="2575"/>
      <c r="C116" s="2710"/>
      <c r="D116" s="747" t="s">
        <v>2352</v>
      </c>
      <c r="F116" s="1442"/>
      <c r="G116" s="908">
        <f t="shared" ref="G116:I118" si="9">G87</f>
        <v>0</v>
      </c>
      <c r="H116" s="908">
        <f t="shared" si="9"/>
        <v>0</v>
      </c>
      <c r="I116" s="908">
        <f t="shared" si="9"/>
        <v>0</v>
      </c>
      <c r="J116" s="908"/>
      <c r="K116" s="1656"/>
      <c r="L116" s="745">
        <f t="shared" si="8"/>
        <v>0</v>
      </c>
    </row>
    <row r="117" spans="1:12" ht="21.95" hidden="1" customHeight="1">
      <c r="A117" s="2572"/>
      <c r="B117" s="2575"/>
      <c r="C117" s="2710"/>
      <c r="D117" s="747" t="s">
        <v>2353</v>
      </c>
      <c r="F117" s="1442"/>
      <c r="G117" s="908">
        <f t="shared" si="9"/>
        <v>0</v>
      </c>
      <c r="H117" s="908">
        <f t="shared" si="9"/>
        <v>0</v>
      </c>
      <c r="I117" s="908">
        <f t="shared" si="9"/>
        <v>0</v>
      </c>
      <c r="J117" s="908"/>
      <c r="K117" s="1656"/>
      <c r="L117" s="745">
        <f t="shared" si="8"/>
        <v>0</v>
      </c>
    </row>
    <row r="118" spans="1:12" ht="21.95" hidden="1" customHeight="1">
      <c r="A118" s="2572"/>
      <c r="B118" s="2575"/>
      <c r="C118" s="2710"/>
      <c r="D118" s="747" t="s">
        <v>2354</v>
      </c>
      <c r="F118" s="1442"/>
      <c r="G118" s="908">
        <f t="shared" si="9"/>
        <v>0</v>
      </c>
      <c r="H118" s="908">
        <f t="shared" si="9"/>
        <v>0</v>
      </c>
      <c r="I118" s="908">
        <f t="shared" si="9"/>
        <v>0</v>
      </c>
      <c r="J118" s="908"/>
      <c r="K118" s="1656"/>
      <c r="L118" s="745">
        <f t="shared" si="8"/>
        <v>0</v>
      </c>
    </row>
    <row r="119" spans="1:12" ht="21.95" hidden="1" customHeight="1">
      <c r="A119" s="2572"/>
      <c r="B119" s="2575"/>
      <c r="C119" s="2710"/>
      <c r="D119" s="747" t="s">
        <v>2066</v>
      </c>
      <c r="F119" s="1442"/>
      <c r="G119" s="908">
        <f>SUM(G82:G84)*2.5548</f>
        <v>0</v>
      </c>
      <c r="H119" s="908">
        <f>SUM(H82:H84)*2.5548</f>
        <v>0</v>
      </c>
      <c r="I119" s="908">
        <f>SUM(I82:I84)*2.5548</f>
        <v>0</v>
      </c>
      <c r="J119" s="908"/>
      <c r="K119" s="1656"/>
      <c r="L119" s="745">
        <f t="shared" si="8"/>
        <v>0</v>
      </c>
    </row>
    <row r="120" spans="1:12" ht="21.95" hidden="1" customHeight="1" thickBot="1">
      <c r="A120" s="2572"/>
      <c r="B120" s="2575"/>
      <c r="C120" s="2710"/>
      <c r="D120" s="911" t="s">
        <v>2067</v>
      </c>
      <c r="F120" s="1442"/>
      <c r="G120" s="908">
        <f>G91*2.346</f>
        <v>0</v>
      </c>
      <c r="H120" s="908">
        <f>H91*2.346</f>
        <v>0</v>
      </c>
      <c r="I120" s="908">
        <f>I91*2.346</f>
        <v>0</v>
      </c>
      <c r="J120" s="908"/>
      <c r="K120" s="912"/>
      <c r="L120" s="745">
        <f t="shared" si="8"/>
        <v>0</v>
      </c>
    </row>
    <row r="121" spans="1:12" ht="21.95" hidden="1" customHeight="1">
      <c r="A121" s="2572"/>
      <c r="B121" s="2748" t="s">
        <v>2000</v>
      </c>
      <c r="C121" s="2700"/>
      <c r="D121" s="740" t="s">
        <v>1995</v>
      </c>
      <c r="E121" s="1287"/>
      <c r="F121" s="1560"/>
      <c r="G121" s="905">
        <f t="shared" ref="G121:I122" si="10">G97</f>
        <v>0</v>
      </c>
      <c r="H121" s="905">
        <f t="shared" si="10"/>
        <v>0</v>
      </c>
      <c r="I121" s="905">
        <f t="shared" si="10"/>
        <v>0</v>
      </c>
      <c r="J121" s="905"/>
      <c r="K121" s="1277"/>
      <c r="L121" s="745"/>
    </row>
    <row r="122" spans="1:12" ht="21.95" hidden="1" customHeight="1">
      <c r="A122" s="2572"/>
      <c r="B122" s="2575"/>
      <c r="C122" s="2710"/>
      <c r="D122" s="747" t="s">
        <v>1847</v>
      </c>
      <c r="F122" s="1442"/>
      <c r="G122" s="908">
        <f t="shared" si="10"/>
        <v>0</v>
      </c>
      <c r="H122" s="908">
        <f t="shared" si="10"/>
        <v>0</v>
      </c>
      <c r="I122" s="908">
        <f t="shared" si="10"/>
        <v>0</v>
      </c>
      <c r="J122" s="908"/>
      <c r="K122" s="1656"/>
      <c r="L122" s="745"/>
    </row>
    <row r="123" spans="1:12" ht="21.95" hidden="1" customHeight="1">
      <c r="A123" s="2572"/>
      <c r="B123" s="2575"/>
      <c r="C123" s="2710"/>
      <c r="D123" s="747" t="s">
        <v>2068</v>
      </c>
      <c r="F123" s="1442"/>
      <c r="G123" s="908">
        <f>G80+G92</f>
        <v>0</v>
      </c>
      <c r="H123" s="908">
        <f>H80+H92</f>
        <v>0</v>
      </c>
      <c r="I123" s="908">
        <f>I80+I92</f>
        <v>0</v>
      </c>
      <c r="J123" s="908"/>
      <c r="K123" s="1656"/>
      <c r="L123" s="745"/>
    </row>
    <row r="124" spans="1:12" ht="21.95" hidden="1" customHeight="1">
      <c r="A124" s="2572"/>
      <c r="B124" s="2575"/>
      <c r="C124" s="2710"/>
      <c r="D124" s="747" t="s">
        <v>2052</v>
      </c>
      <c r="F124" s="1442"/>
      <c r="G124" s="908">
        <f>G69</f>
        <v>0</v>
      </c>
      <c r="H124" s="908">
        <f>H69</f>
        <v>0</v>
      </c>
      <c r="I124" s="908">
        <f>I69</f>
        <v>0</v>
      </c>
      <c r="J124" s="908"/>
      <c r="K124" s="1656"/>
      <c r="L124" s="745"/>
    </row>
    <row r="125" spans="1:12" ht="21.95" hidden="1" customHeight="1">
      <c r="A125" s="2572"/>
      <c r="B125" s="2575"/>
      <c r="C125" s="2710"/>
      <c r="D125" s="747" t="s">
        <v>2053</v>
      </c>
      <c r="F125" s="1442"/>
      <c r="G125" s="908">
        <f>G85</f>
        <v>0</v>
      </c>
      <c r="H125" s="908">
        <f>H85</f>
        <v>0</v>
      </c>
      <c r="I125" s="908">
        <f>I85</f>
        <v>0</v>
      </c>
      <c r="J125" s="908"/>
      <c r="K125" s="1656"/>
      <c r="L125" s="745"/>
    </row>
    <row r="126" spans="1:12" ht="21.95" hidden="1" customHeight="1">
      <c r="A126" s="2572"/>
      <c r="B126" s="2575"/>
      <c r="C126" s="2710"/>
      <c r="D126" s="747" t="s">
        <v>2055</v>
      </c>
      <c r="F126" s="1442"/>
      <c r="G126" s="908">
        <f>G35+G61</f>
        <v>0</v>
      </c>
      <c r="H126" s="908">
        <f>H35+H61</f>
        <v>0</v>
      </c>
      <c r="I126" s="908">
        <f>I35+I61</f>
        <v>0</v>
      </c>
      <c r="J126" s="908"/>
      <c r="K126" s="1656"/>
      <c r="L126" s="745"/>
    </row>
    <row r="127" spans="1:12" ht="21.95" hidden="1" customHeight="1">
      <c r="A127" s="2572"/>
      <c r="B127" s="2575"/>
      <c r="C127" s="2710"/>
      <c r="D127" s="747" t="s">
        <v>2058</v>
      </c>
      <c r="F127" s="1442"/>
      <c r="G127" s="908">
        <f>G37+G63</f>
        <v>0</v>
      </c>
      <c r="H127" s="908">
        <f>H37+H63</f>
        <v>0</v>
      </c>
      <c r="I127" s="908">
        <f>I37+I63</f>
        <v>0</v>
      </c>
      <c r="J127" s="908"/>
      <c r="K127" s="1656"/>
      <c r="L127" s="745"/>
    </row>
    <row r="128" spans="1:12" ht="21.95" hidden="1" customHeight="1">
      <c r="A128" s="2572"/>
      <c r="B128" s="2575"/>
      <c r="C128" s="2710"/>
      <c r="D128" s="747" t="s">
        <v>1907</v>
      </c>
      <c r="F128" s="1442"/>
      <c r="G128" s="908">
        <f>G34+G36+G60+G62+G93</f>
        <v>0</v>
      </c>
      <c r="H128" s="908">
        <f>H34+H36+H60+H62+H93</f>
        <v>0</v>
      </c>
      <c r="I128" s="908">
        <f>I34+I36+I60+I62+I93</f>
        <v>0</v>
      </c>
      <c r="J128" s="908"/>
      <c r="K128" s="1656"/>
      <c r="L128" s="745"/>
    </row>
    <row r="129" spans="1:12" ht="21.95" hidden="1" customHeight="1">
      <c r="A129" s="2572"/>
      <c r="B129" s="2575"/>
      <c r="C129" s="2710"/>
      <c r="D129" s="747" t="s">
        <v>2059</v>
      </c>
      <c r="F129" s="1666"/>
      <c r="G129" s="908">
        <f>G70+G73</f>
        <v>0</v>
      </c>
      <c r="H129" s="908">
        <f>H70+H73</f>
        <v>0</v>
      </c>
      <c r="I129" s="908">
        <f>I70+I73</f>
        <v>0</v>
      </c>
      <c r="J129" s="908"/>
      <c r="K129" s="1656"/>
      <c r="L129" s="745"/>
    </row>
    <row r="130" spans="1:12" ht="21.95" hidden="1" customHeight="1">
      <c r="A130" s="2572"/>
      <c r="B130" s="2575"/>
      <c r="C130" s="2710"/>
      <c r="D130" s="747" t="s">
        <v>2060</v>
      </c>
      <c r="F130" s="1666"/>
      <c r="G130" s="908">
        <f>G86</f>
        <v>0</v>
      </c>
      <c r="H130" s="908">
        <f>H86</f>
        <v>0</v>
      </c>
      <c r="I130" s="908">
        <f>I86</f>
        <v>0</v>
      </c>
      <c r="J130" s="908"/>
      <c r="K130" s="1656"/>
      <c r="L130" s="745"/>
    </row>
    <row r="131" spans="1:12" ht="21.95" hidden="1" customHeight="1">
      <c r="A131" s="2572"/>
      <c r="B131" s="2575"/>
      <c r="C131" s="2710"/>
      <c r="D131" s="747" t="s">
        <v>2032</v>
      </c>
      <c r="F131" s="1666"/>
      <c r="G131" s="908">
        <f t="shared" ref="G131:I132" si="11">G110</f>
        <v>0</v>
      </c>
      <c r="H131" s="908">
        <f t="shared" si="11"/>
        <v>0</v>
      </c>
      <c r="I131" s="908">
        <f t="shared" si="11"/>
        <v>0</v>
      </c>
      <c r="J131" s="908"/>
      <c r="K131" s="1656"/>
      <c r="L131" s="745"/>
    </row>
    <row r="132" spans="1:12" ht="21.95" hidden="1" customHeight="1">
      <c r="A132" s="2572"/>
      <c r="B132" s="2575"/>
      <c r="C132" s="2710"/>
      <c r="D132" s="1609" t="s">
        <v>2527</v>
      </c>
      <c r="F132" s="1666"/>
      <c r="G132" s="908">
        <f t="shared" si="11"/>
        <v>0</v>
      </c>
      <c r="H132" s="908">
        <f t="shared" si="11"/>
        <v>0</v>
      </c>
      <c r="I132" s="908">
        <f t="shared" si="11"/>
        <v>0</v>
      </c>
      <c r="J132" s="908"/>
      <c r="K132" s="1656"/>
      <c r="L132" s="745"/>
    </row>
    <row r="133" spans="1:12" ht="21.95" hidden="1" customHeight="1">
      <c r="A133" s="2572"/>
      <c r="B133" s="2575"/>
      <c r="C133" s="2710"/>
      <c r="D133" s="747" t="s">
        <v>2066</v>
      </c>
      <c r="F133" s="1666"/>
      <c r="G133" s="908">
        <f t="shared" ref="G133:I134" si="12">G119</f>
        <v>0</v>
      </c>
      <c r="H133" s="908">
        <f t="shared" si="12"/>
        <v>0</v>
      </c>
      <c r="I133" s="908">
        <f t="shared" si="12"/>
        <v>0</v>
      </c>
      <c r="J133" s="908"/>
      <c r="K133" s="1656"/>
      <c r="L133" s="745"/>
    </row>
    <row r="134" spans="1:12" ht="21.95" hidden="1" customHeight="1" thickBot="1">
      <c r="A134" s="2572"/>
      <c r="B134" s="2749"/>
      <c r="C134" s="2701"/>
      <c r="D134" s="754" t="s">
        <v>2067</v>
      </c>
      <c r="E134" s="1291"/>
      <c r="F134" s="1667"/>
      <c r="G134" s="901">
        <f t="shared" si="12"/>
        <v>0</v>
      </c>
      <c r="H134" s="901">
        <f t="shared" si="12"/>
        <v>0</v>
      </c>
      <c r="I134" s="901">
        <f t="shared" si="12"/>
        <v>0</v>
      </c>
      <c r="J134" s="901"/>
      <c r="K134" s="912"/>
      <c r="L134" s="745"/>
    </row>
    <row r="135" spans="1:12" s="710" customFormat="1" ht="50.1" customHeight="1" thickTop="1" thickBot="1">
      <c r="A135" s="2573"/>
      <c r="B135" s="2750" t="s">
        <v>1400</v>
      </c>
      <c r="C135" s="2741"/>
      <c r="D135" s="2742"/>
      <c r="E135" s="1668"/>
      <c r="F135" s="1669"/>
      <c r="G135" s="1670"/>
      <c r="H135" s="1670"/>
      <c r="I135" s="1670"/>
      <c r="J135" s="1670"/>
      <c r="K135" s="1671"/>
      <c r="L135" s="794">
        <v>1</v>
      </c>
    </row>
    <row r="136" spans="1:12" ht="19.5" thickTop="1">
      <c r="G136" s="710"/>
      <c r="H136" s="710"/>
      <c r="I136" s="710"/>
      <c r="J136" s="710"/>
    </row>
  </sheetData>
  <autoFilter ref="A1:L135" xr:uid="{00000000-0001-0000-1B00-000000000000}">
    <filterColumn colId="1" showButton="0"/>
    <filterColumn colId="2" showButton="0"/>
    <filterColumn colId="11">
      <customFilters>
        <customFilter operator="notEqual" val=" "/>
      </customFilters>
    </filterColumn>
  </autoFilter>
  <mergeCells count="21">
    <mergeCell ref="C81:C89"/>
    <mergeCell ref="A1:A135"/>
    <mergeCell ref="B1:D1"/>
    <mergeCell ref="B2:D2"/>
    <mergeCell ref="B3:C4"/>
    <mergeCell ref="B5:D5"/>
    <mergeCell ref="B6:C7"/>
    <mergeCell ref="B8:B94"/>
    <mergeCell ref="C8:C11"/>
    <mergeCell ref="C12:C37"/>
    <mergeCell ref="C38:C63"/>
    <mergeCell ref="C64:C65"/>
    <mergeCell ref="C66:C67"/>
    <mergeCell ref="C68:C71"/>
    <mergeCell ref="C72:C74"/>
    <mergeCell ref="C75:C80"/>
    <mergeCell ref="C90:C94"/>
    <mergeCell ref="B95:C96"/>
    <mergeCell ref="B97:C120"/>
    <mergeCell ref="B121:C134"/>
    <mergeCell ref="B135:D135"/>
  </mergeCells>
  <conditionalFormatting sqref="G8:J8">
    <cfRule type="expression" dxfId="22" priority="1">
      <formula>G$8&lt;0</formula>
    </cfRule>
  </conditionalFormatting>
  <hyperlinks>
    <hyperlink ref="B1:D1" location="PAINEL!A1" display="VIAS" xr:uid="{C2A7426B-8A41-472B-B6B0-20F4898827DF}"/>
  </hyperlinks>
  <pageMargins left="0.39370078740157477" right="0.59055118110236215" top="0.39370078740157477" bottom="0.59055118110236215" header="0.31496062992125984" footer="0.23622047244094491"/>
  <pageSetup paperSize="9" fitToWidth="5" orientation="landscape" r:id="rId1"/>
  <headerFooter>
    <oddFooter>&amp;C&amp;8Página &amp;P/&amp;N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66517-D666-4D31-94FC-1B1DBF9B416D}">
  <sheetPr codeName="Planilha36" filterMode="1">
    <tabColor rgb="FF92D050"/>
  </sheetPr>
  <dimension ref="A1:W76"/>
  <sheetViews>
    <sheetView showZeros="0" zoomScaleNormal="100" workbookViewId="0">
      <selection sqref="A1:A75"/>
    </sheetView>
  </sheetViews>
  <sheetFormatPr defaultColWidth="9" defaultRowHeight="18.75"/>
  <cols>
    <col min="1" max="1" width="14.5" style="681" customWidth="1"/>
    <col min="2" max="2" width="14.625" style="710" customWidth="1"/>
    <col min="3" max="3" width="35.625" style="710" customWidth="1"/>
    <col min="4" max="4" width="3.125" style="1289" hidden="1" customWidth="1"/>
    <col min="5" max="5" width="7.5" style="710" hidden="1" customWidth="1"/>
    <col min="6" max="12" width="12.625" style="681" customWidth="1"/>
    <col min="13" max="13" width="12.625" style="948" customWidth="1"/>
    <col min="14" max="15" width="16.75" style="681" customWidth="1"/>
    <col min="16" max="16" width="11.125" style="681" bestFit="1" customWidth="1"/>
    <col min="17" max="17" width="9" style="681"/>
    <col min="18" max="18" width="10" style="681" bestFit="1" customWidth="1"/>
    <col min="19" max="19" width="9" style="681"/>
    <col min="20" max="20" width="10" style="681" bestFit="1" customWidth="1"/>
    <col min="21" max="16384" width="9" style="681"/>
  </cols>
  <sheetData>
    <row r="1" spans="1:23" s="673" customFormat="1" ht="60" customHeight="1" thickTop="1" thickBot="1">
      <c r="A1" s="2571" t="s">
        <v>2543</v>
      </c>
      <c r="B1" s="2743" t="s">
        <v>2188</v>
      </c>
      <c r="C1" s="2744"/>
      <c r="D1" s="734"/>
      <c r="E1" s="1098" t="s">
        <v>1935</v>
      </c>
      <c r="F1" s="670" t="s">
        <v>1469</v>
      </c>
      <c r="G1" s="670" t="s">
        <v>1471</v>
      </c>
      <c r="H1" s="670" t="s">
        <v>1473</v>
      </c>
      <c r="I1" s="670">
        <f>Pav_Dados!G1</f>
        <v>0</v>
      </c>
      <c r="J1" s="670">
        <f>Pav_Dados!H1</f>
        <v>0</v>
      </c>
      <c r="K1" s="670">
        <f>Pav_Dados!I1</f>
        <v>0</v>
      </c>
      <c r="L1" s="670"/>
      <c r="M1" s="1606"/>
      <c r="N1" s="738" t="s">
        <v>1708</v>
      </c>
      <c r="O1" s="739">
        <f>SUBTOTAL(3,N:N)</f>
        <v>4</v>
      </c>
      <c r="P1" s="2690" t="s">
        <v>1859</v>
      </c>
      <c r="Q1" s="2692"/>
      <c r="R1" s="2690" t="s">
        <v>1860</v>
      </c>
      <c r="S1" s="2692"/>
      <c r="T1" s="2690" t="s">
        <v>1861</v>
      </c>
      <c r="U1" s="2692"/>
      <c r="V1" s="2687" t="s">
        <v>1862</v>
      </c>
      <c r="W1" s="1672" t="s">
        <v>1863</v>
      </c>
    </row>
    <row r="2" spans="1:23" ht="21.95" hidden="1" customHeight="1" thickTop="1">
      <c r="A2" s="2572"/>
      <c r="B2" s="2881" t="s">
        <v>2190</v>
      </c>
      <c r="C2" s="2882"/>
      <c r="D2" s="1673"/>
      <c r="E2" s="1674"/>
      <c r="F2" s="1675"/>
      <c r="G2" s="1675"/>
      <c r="H2" s="1675"/>
      <c r="I2" s="1676">
        <f>Pav_Dados!G2</f>
        <v>0</v>
      </c>
      <c r="J2" s="1676">
        <f>Pav_Dados!H2</f>
        <v>0</v>
      </c>
      <c r="K2" s="1676">
        <f>Pav_Dados!I2</f>
        <v>0</v>
      </c>
      <c r="L2" s="1676"/>
      <c r="M2" s="1677"/>
      <c r="N2" s="745">
        <f>SUM(F2:M2)</f>
        <v>0</v>
      </c>
      <c r="O2" s="745"/>
      <c r="P2" s="1121" t="s">
        <v>1868</v>
      </c>
      <c r="Q2" s="1121" t="s">
        <v>1870</v>
      </c>
      <c r="R2" s="1121" t="s">
        <v>1868</v>
      </c>
      <c r="S2" s="1121" t="s">
        <v>1870</v>
      </c>
      <c r="T2" s="1121" t="s">
        <v>1868</v>
      </c>
      <c r="U2" s="1121" t="s">
        <v>1870</v>
      </c>
      <c r="V2" s="2688"/>
      <c r="W2" s="1122" t="s">
        <v>2544</v>
      </c>
    </row>
    <row r="3" spans="1:23" ht="21.95" customHeight="1" thickTop="1">
      <c r="A3" s="2572"/>
      <c r="B3" s="2648" t="s">
        <v>2191</v>
      </c>
      <c r="C3" s="1089" t="s">
        <v>2192</v>
      </c>
      <c r="F3" s="1678"/>
      <c r="G3" s="1678"/>
      <c r="H3" s="1678"/>
      <c r="I3" s="1570">
        <f>Pav_Dados!G3</f>
        <v>0</v>
      </c>
      <c r="J3" s="1570">
        <f>Pav_Dados!H3</f>
        <v>0</v>
      </c>
      <c r="K3" s="1570">
        <f>Pav_Dados!I3</f>
        <v>0</v>
      </c>
      <c r="L3" s="1570"/>
      <c r="M3" s="1679"/>
      <c r="N3" s="780">
        <f>COUNTA(F3:L3)</f>
        <v>3</v>
      </c>
      <c r="O3" s="780"/>
      <c r="P3" s="1125">
        <v>94963</v>
      </c>
      <c r="Q3" s="1125">
        <v>94965</v>
      </c>
      <c r="R3" s="1125">
        <v>94963</v>
      </c>
      <c r="S3" s="1125">
        <v>94965</v>
      </c>
      <c r="T3" s="1125">
        <v>94963</v>
      </c>
      <c r="U3" s="1125">
        <v>94965</v>
      </c>
      <c r="V3" s="2688"/>
      <c r="W3" s="1125">
        <v>96542</v>
      </c>
    </row>
    <row r="4" spans="1:23" ht="21.95" customHeight="1" thickBot="1">
      <c r="A4" s="2572"/>
      <c r="B4" s="2583"/>
      <c r="C4" s="936" t="s">
        <v>2193</v>
      </c>
      <c r="D4" s="1291"/>
      <c r="E4" s="1680"/>
      <c r="F4" s="1681"/>
      <c r="G4" s="1681"/>
      <c r="H4" s="1681"/>
      <c r="I4" s="1564">
        <f>Pav_Dados!G4</f>
        <v>0</v>
      </c>
      <c r="J4" s="1564">
        <f>Pav_Dados!H4</f>
        <v>0</v>
      </c>
      <c r="K4" s="1564">
        <f>Pav_Dados!I4</f>
        <v>0</v>
      </c>
      <c r="L4" s="1564"/>
      <c r="M4" s="1679"/>
      <c r="N4" s="780">
        <f>COUNTA(F4:L4)</f>
        <v>3</v>
      </c>
      <c r="O4" s="780"/>
      <c r="P4" s="1130">
        <v>273.06</v>
      </c>
      <c r="Q4" s="1130">
        <v>362.66</v>
      </c>
      <c r="R4" s="1132">
        <v>0.80500000000000005</v>
      </c>
      <c r="S4" s="1132">
        <v>0.72299999999999998</v>
      </c>
      <c r="T4" s="1132">
        <v>0.57899999999999996</v>
      </c>
      <c r="U4" s="1132">
        <v>0.59299999999999997</v>
      </c>
      <c r="V4" s="2689"/>
      <c r="W4" s="1134">
        <v>0.1356</v>
      </c>
    </row>
    <row r="5" spans="1:23" ht="21.95" hidden="1" customHeight="1">
      <c r="A5" s="2572"/>
      <c r="B5" s="2870" t="s">
        <v>2545</v>
      </c>
      <c r="C5" s="1448" t="s">
        <v>2546</v>
      </c>
      <c r="F5" s="905">
        <f>Dre_Fecha_Vala!U53</f>
        <v>0</v>
      </c>
      <c r="G5" s="905">
        <f>Recap_Final!I79</f>
        <v>0</v>
      </c>
      <c r="H5" s="919"/>
      <c r="I5" s="905">
        <f>IF(I2=0,0,IF(Pav_Dados!G78&gt;0,Pav_Dados!G78,IF(Pav_Dados!G5="dupla",2.1*I2,0))+IF(Pav_Dados!G78&gt;0,0,IF(Pav_Dados!G5="simples",1.05*I2,0)))</f>
        <v>0</v>
      </c>
      <c r="J5" s="905">
        <f>IF(J2=0,0,IF(Pav_Dados!H78&gt;0,Pav_Dados!H78,IF(Pav_Dados!H5="dupla",2.1*J2,0))+IF(Pav_Dados!H78&gt;0,0,IF(Pav_Dados!H5="simples",1.05*J2,0)))</f>
        <v>0</v>
      </c>
      <c r="K5" s="905">
        <f>IF(K2=0,0,IF(Pav_Dados!I78&gt;0,Pav_Dados!I78,IF(Pav_Dados!I5="dupla",2.1*K2,0))+IF(Pav_Dados!I78&gt;0,0,IF(Pav_Dados!I5="simples",1.05*K2,0)))</f>
        <v>0</v>
      </c>
      <c r="L5" s="905"/>
      <c r="M5" s="1682"/>
      <c r="N5" s="745">
        <f t="shared" ref="N5:N36" si="0">SUM(F5:M5)</f>
        <v>0</v>
      </c>
      <c r="O5" s="745"/>
      <c r="P5" s="1683">
        <v>6.1499999999999999E-2</v>
      </c>
      <c r="Q5" s="1684"/>
      <c r="R5" s="1683">
        <v>6.1499999999999999E-2</v>
      </c>
      <c r="S5" s="1684"/>
      <c r="T5" s="1683">
        <v>6.1499999999999999E-2</v>
      </c>
      <c r="U5" s="1684"/>
      <c r="V5" s="1684"/>
      <c r="W5" s="1393"/>
    </row>
    <row r="6" spans="1:23" ht="21.95" hidden="1" customHeight="1">
      <c r="A6" s="2572"/>
      <c r="B6" s="2871"/>
      <c r="C6" s="1453" t="s">
        <v>2547</v>
      </c>
      <c r="F6" s="908">
        <f>Dre_Fecha_Vala!U55</f>
        <v>0</v>
      </c>
      <c r="G6" s="908">
        <f>Recap_Final!I81</f>
        <v>0</v>
      </c>
      <c r="H6" s="908">
        <f>Passeio!L143</f>
        <v>0</v>
      </c>
      <c r="I6" s="908">
        <f>IF(I2=0,0,IF(Pav_Dados!G71&gt;0,Pav_Dados!G71,IF(Pav_Dados!G5="simples",1.05*I2,0)))+Passeio!L41+Passeio!L48+Passeio!L55+Passeio!L62+Passeio!L83+Passeio!L91</f>
        <v>0</v>
      </c>
      <c r="J6" s="908">
        <f>IF(J2=0,0,IF(Pav_Dados!H71&gt;0,Pav_Dados!H71,IF(Pav_Dados!H5="simples",1.05*J2,0)))+Passeio!M41+Passeio!M48+Passeio!M55+Passeio!M62+Passeio!M83+Passeio!M91</f>
        <v>0</v>
      </c>
      <c r="K6" s="908">
        <f>IF(K2=0,0,IF(Pav_Dados!I71&gt;0,Pav_Dados!I71,IF(Pav_Dados!I5="simples",1.05*K2,0)))+Passeio!N41+Passeio!N48+Passeio!N55+Passeio!N62+Passeio!N83+Passeio!N91</f>
        <v>0</v>
      </c>
      <c r="L6" s="908"/>
      <c r="M6" s="1656"/>
      <c r="N6" s="745">
        <f t="shared" si="0"/>
        <v>0</v>
      </c>
      <c r="O6" s="745"/>
      <c r="P6" s="1683">
        <v>2.8500000000000001E-2</v>
      </c>
      <c r="Q6" s="1685"/>
      <c r="R6" s="1683">
        <v>2.8500000000000001E-2</v>
      </c>
      <c r="S6" s="1685"/>
      <c r="T6" s="1683">
        <v>2.8500000000000001E-2</v>
      </c>
      <c r="U6" s="1685"/>
      <c r="V6" s="1685"/>
      <c r="W6" s="1393"/>
    </row>
    <row r="7" spans="1:23" ht="21.95" hidden="1" customHeight="1">
      <c r="A7" s="2572"/>
      <c r="B7" s="2871"/>
      <c r="C7" s="1609" t="s">
        <v>2548</v>
      </c>
      <c r="F7" s="908"/>
      <c r="G7" s="908"/>
      <c r="H7" s="908"/>
      <c r="I7" s="908">
        <f>Pav_Dados!G75</f>
        <v>0</v>
      </c>
      <c r="J7" s="908">
        <f>Pav_Dados!H75</f>
        <v>0</v>
      </c>
      <c r="K7" s="908">
        <f>Pav_Dados!I75</f>
        <v>0</v>
      </c>
      <c r="L7" s="908"/>
      <c r="M7" s="1656"/>
      <c r="N7" s="745">
        <f t="shared" si="0"/>
        <v>0</v>
      </c>
      <c r="O7" s="745"/>
      <c r="P7" s="1683">
        <v>1.4999999999999999E-2</v>
      </c>
      <c r="Q7" s="1685"/>
      <c r="R7" s="1683">
        <v>1.4999999999999999E-2</v>
      </c>
      <c r="S7" s="1685"/>
      <c r="T7" s="1683">
        <v>1.4999999999999999E-2</v>
      </c>
      <c r="U7" s="1685"/>
      <c r="V7" s="1685"/>
      <c r="W7" s="1393"/>
    </row>
    <row r="8" spans="1:23" ht="32.1" hidden="1" customHeight="1" thickBot="1">
      <c r="A8" s="2572"/>
      <c r="B8" s="2872"/>
      <c r="C8" s="936" t="s">
        <v>2549</v>
      </c>
      <c r="D8" s="1291"/>
      <c r="E8" s="1680"/>
      <c r="F8" s="901"/>
      <c r="G8" s="901"/>
      <c r="H8" s="901"/>
      <c r="I8" s="901">
        <f>Pav_Dados!G76</f>
        <v>0</v>
      </c>
      <c r="J8" s="901">
        <f>Pav_Dados!H76</f>
        <v>0</v>
      </c>
      <c r="K8" s="901">
        <f>Pav_Dados!I76</f>
        <v>0</v>
      </c>
      <c r="L8" s="901"/>
      <c r="M8" s="1650"/>
      <c r="N8" s="745">
        <f t="shared" si="0"/>
        <v>0</v>
      </c>
      <c r="O8" s="745"/>
      <c r="P8" s="1683">
        <v>8.7499999999999994E-2</v>
      </c>
      <c r="Q8" s="1685"/>
      <c r="R8" s="1683">
        <v>8.7499999999999994E-2</v>
      </c>
      <c r="S8" s="1685"/>
      <c r="T8" s="1683">
        <v>8.7499999999999994E-2</v>
      </c>
      <c r="U8" s="1685"/>
      <c r="V8" s="1685"/>
      <c r="W8" s="1393"/>
    </row>
    <row r="9" spans="1:23" ht="21.95" hidden="1" customHeight="1" thickBot="1">
      <c r="A9" s="2572"/>
      <c r="B9" s="2883" t="s">
        <v>2550</v>
      </c>
      <c r="C9" s="2866"/>
      <c r="D9" s="1291"/>
      <c r="E9" s="1680"/>
      <c r="F9" s="913"/>
      <c r="G9" s="913"/>
      <c r="H9" s="913"/>
      <c r="I9" s="913">
        <f>Pav_Dados!G72</f>
        <v>0</v>
      </c>
      <c r="J9" s="913">
        <f>Pav_Dados!H72</f>
        <v>0</v>
      </c>
      <c r="K9" s="913">
        <f>Pav_Dados!I72</f>
        <v>0</v>
      </c>
      <c r="L9" s="913"/>
      <c r="M9" s="1686"/>
      <c r="N9" s="745">
        <f t="shared" si="0"/>
        <v>0</v>
      </c>
      <c r="O9" s="745"/>
      <c r="P9" s="1683">
        <v>3.3000000000000002E-2</v>
      </c>
      <c r="Q9" s="1685"/>
      <c r="R9" s="1683">
        <v>3.3000000000000002E-2</v>
      </c>
      <c r="S9" s="1685"/>
      <c r="T9" s="1683">
        <v>3.3000000000000002E-2</v>
      </c>
      <c r="U9" s="1685"/>
      <c r="V9" s="1685"/>
      <c r="W9" s="1393"/>
    </row>
    <row r="10" spans="1:23" ht="21.95" hidden="1" customHeight="1">
      <c r="A10" s="2572"/>
      <c r="B10" s="2748" t="s">
        <v>2551</v>
      </c>
      <c r="C10" s="1448" t="s">
        <v>2552</v>
      </c>
      <c r="D10" s="1273"/>
      <c r="E10" s="1687"/>
      <c r="F10" s="905">
        <f>Dre_Fecha_Vala!U57</f>
        <v>0</v>
      </c>
      <c r="G10" s="905">
        <f>Recap_Final!I83</f>
        <v>0</v>
      </c>
      <c r="H10" s="905"/>
      <c r="I10" s="905">
        <f>Pav_Dados!G73</f>
        <v>0</v>
      </c>
      <c r="J10" s="905">
        <f>Pav_Dados!H73</f>
        <v>0</v>
      </c>
      <c r="K10" s="905">
        <f>Pav_Dados!I73</f>
        <v>0</v>
      </c>
      <c r="L10" s="905"/>
      <c r="M10" s="1682"/>
      <c r="N10" s="745">
        <f t="shared" si="0"/>
        <v>0</v>
      </c>
      <c r="O10" s="745"/>
      <c r="P10" s="1683">
        <v>3.3000000000000002E-2</v>
      </c>
      <c r="Q10" s="1685"/>
      <c r="R10" s="1683">
        <v>3.3000000000000002E-2</v>
      </c>
      <c r="S10" s="1685"/>
      <c r="T10" s="1683">
        <v>3.3000000000000002E-2</v>
      </c>
      <c r="U10" s="1685"/>
      <c r="V10" s="1685"/>
      <c r="W10" s="1393"/>
    </row>
    <row r="11" spans="1:23" ht="21.95" hidden="1" customHeight="1" thickBot="1">
      <c r="A11" s="2572"/>
      <c r="B11" s="2749"/>
      <c r="C11" s="1089" t="s">
        <v>2553</v>
      </c>
      <c r="D11" s="1283"/>
      <c r="E11" s="1680"/>
      <c r="F11" s="901"/>
      <c r="G11" s="901"/>
      <c r="H11" s="901"/>
      <c r="I11" s="901">
        <f>Pav_Dados!G74</f>
        <v>0</v>
      </c>
      <c r="J11" s="901">
        <f>Pav_Dados!H74</f>
        <v>0</v>
      </c>
      <c r="K11" s="901">
        <f>Pav_Dados!I74</f>
        <v>0</v>
      </c>
      <c r="L11" s="901"/>
      <c r="M11" s="1650"/>
      <c r="N11" s="745">
        <f t="shared" si="0"/>
        <v>0</v>
      </c>
      <c r="O11" s="745"/>
      <c r="P11" s="1683">
        <v>4.4499999999999998E-2</v>
      </c>
      <c r="Q11" s="1683"/>
      <c r="R11" s="1683">
        <v>4.4499999999999998E-2</v>
      </c>
      <c r="S11" s="1683"/>
      <c r="T11" s="1683">
        <v>4.4499999999999998E-2</v>
      </c>
      <c r="U11" s="1683"/>
      <c r="V11" s="1683"/>
      <c r="W11" s="1683"/>
    </row>
    <row r="12" spans="1:23" ht="21.95" hidden="1" customHeight="1">
      <c r="A12" s="2572"/>
      <c r="B12" s="2870" t="s">
        <v>2425</v>
      </c>
      <c r="C12" s="1448" t="s">
        <v>2554</v>
      </c>
      <c r="F12" s="919"/>
      <c r="G12" s="919"/>
      <c r="H12" s="919"/>
      <c r="I12" s="908">
        <f>Pav_Dados!G104</f>
        <v>0</v>
      </c>
      <c r="J12" s="908">
        <f>Pav_Dados!H104</f>
        <v>0</v>
      </c>
      <c r="K12" s="908">
        <f>Pav_Dados!I104</f>
        <v>0</v>
      </c>
      <c r="L12" s="908"/>
      <c r="M12" s="1688"/>
      <c r="N12" s="745">
        <f t="shared" si="0"/>
        <v>0</v>
      </c>
      <c r="O12" s="745"/>
      <c r="P12" s="1384"/>
      <c r="Q12" s="1384"/>
      <c r="R12" s="1384"/>
      <c r="S12" s="1384"/>
      <c r="T12" s="1384"/>
      <c r="U12" s="1384"/>
      <c r="V12" s="1384"/>
      <c r="W12" s="1384"/>
    </row>
    <row r="13" spans="1:23" ht="21.95" hidden="1" customHeight="1">
      <c r="A13" s="2572"/>
      <c r="B13" s="2871"/>
      <c r="C13" s="1089" t="s">
        <v>2555</v>
      </c>
      <c r="F13" s="1689"/>
      <c r="G13" s="1689"/>
      <c r="H13" s="1689"/>
      <c r="I13" s="908">
        <f>Pav_Dados!G105</f>
        <v>0</v>
      </c>
      <c r="J13" s="908">
        <f>Pav_Dados!H105</f>
        <v>0</v>
      </c>
      <c r="K13" s="908">
        <f>Pav_Dados!I105</f>
        <v>0</v>
      </c>
      <c r="L13" s="908"/>
      <c r="M13" s="1688"/>
      <c r="N13" s="745">
        <f t="shared" si="0"/>
        <v>0</v>
      </c>
      <c r="O13" s="745"/>
      <c r="P13" s="1384"/>
      <c r="Q13" s="1384"/>
      <c r="R13" s="1384"/>
      <c r="S13" s="1384"/>
      <c r="T13" s="1384"/>
      <c r="U13" s="1384"/>
      <c r="V13" s="1384"/>
      <c r="W13" s="1384"/>
    </row>
    <row r="14" spans="1:23" ht="21.95" hidden="1" customHeight="1">
      <c r="A14" s="2572"/>
      <c r="B14" s="2871"/>
      <c r="C14" s="1089" t="s">
        <v>2556</v>
      </c>
      <c r="F14" s="1689"/>
      <c r="G14" s="1689"/>
      <c r="H14" s="1689"/>
      <c r="I14" s="908">
        <f>Pav_Dados!G106</f>
        <v>0</v>
      </c>
      <c r="J14" s="908">
        <f>Pav_Dados!H106</f>
        <v>0</v>
      </c>
      <c r="K14" s="908">
        <f>Pav_Dados!I106</f>
        <v>0</v>
      </c>
      <c r="L14" s="908"/>
      <c r="M14" s="1688"/>
      <c r="N14" s="745">
        <f t="shared" si="0"/>
        <v>0</v>
      </c>
      <c r="O14" s="745"/>
      <c r="P14" s="1384"/>
      <c r="Q14" s="1384"/>
      <c r="R14" s="1384"/>
      <c r="S14" s="1384"/>
      <c r="T14" s="1384"/>
      <c r="U14" s="1384"/>
      <c r="V14" s="1384"/>
      <c r="W14" s="1384"/>
    </row>
    <row r="15" spans="1:23" ht="21.95" hidden="1" customHeight="1" thickBot="1">
      <c r="A15" s="2572"/>
      <c r="B15" s="2872"/>
      <c r="C15" s="936" t="s">
        <v>2267</v>
      </c>
      <c r="D15" s="1291"/>
      <c r="E15" s="1680"/>
      <c r="F15" s="1690"/>
      <c r="G15" s="1690"/>
      <c r="H15" s="901"/>
      <c r="I15" s="901">
        <f>I14*I13+I12</f>
        <v>0</v>
      </c>
      <c r="J15" s="901">
        <f>J14*J13+J12</f>
        <v>0</v>
      </c>
      <c r="K15" s="901">
        <f>K14*K13+K12</f>
        <v>0</v>
      </c>
      <c r="L15" s="901"/>
      <c r="M15" s="1650"/>
      <c r="N15" s="745">
        <f t="shared" si="0"/>
        <v>0</v>
      </c>
      <c r="O15" s="745"/>
      <c r="P15" s="1384"/>
      <c r="Q15" s="1384"/>
      <c r="R15" s="1384"/>
      <c r="S15" s="1384"/>
      <c r="T15" s="1384"/>
      <c r="U15" s="1384"/>
      <c r="V15" s="1384"/>
      <c r="W15" s="1384"/>
    </row>
    <row r="16" spans="1:23" ht="21.95" hidden="1" customHeight="1">
      <c r="A16" s="2572"/>
      <c r="B16" s="2870" t="s">
        <v>1642</v>
      </c>
      <c r="C16" s="1448" t="s">
        <v>2554</v>
      </c>
      <c r="F16" s="919"/>
      <c r="G16" s="919"/>
      <c r="H16" s="919"/>
      <c r="I16" s="905">
        <f>Pav_Dados!G107</f>
        <v>0</v>
      </c>
      <c r="J16" s="905">
        <f>Pav_Dados!H107</f>
        <v>0</v>
      </c>
      <c r="K16" s="905">
        <f>Pav_Dados!I107</f>
        <v>0</v>
      </c>
      <c r="L16" s="905"/>
      <c r="M16" s="1459"/>
      <c r="N16" s="745">
        <f t="shared" si="0"/>
        <v>0</v>
      </c>
      <c r="O16" s="745"/>
      <c r="P16" s="1384"/>
      <c r="Q16" s="1384"/>
      <c r="R16" s="1384"/>
      <c r="S16" s="1384"/>
      <c r="T16" s="1384"/>
      <c r="U16" s="1384"/>
      <c r="V16" s="1384"/>
      <c r="W16" s="1384"/>
    </row>
    <row r="17" spans="1:23" ht="21.95" hidden="1" customHeight="1">
      <c r="A17" s="2572"/>
      <c r="B17" s="2871"/>
      <c r="C17" s="1089" t="s">
        <v>2555</v>
      </c>
      <c r="F17" s="1689"/>
      <c r="G17" s="1689"/>
      <c r="H17" s="1689"/>
      <c r="I17" s="908">
        <f>Pav_Dados!G108</f>
        <v>0</v>
      </c>
      <c r="J17" s="908">
        <f>Pav_Dados!H108</f>
        <v>0</v>
      </c>
      <c r="K17" s="908">
        <f>Pav_Dados!I108</f>
        <v>0</v>
      </c>
      <c r="L17" s="908"/>
      <c r="M17" s="1688"/>
      <c r="N17" s="745">
        <f t="shared" si="0"/>
        <v>0</v>
      </c>
      <c r="O17" s="745"/>
      <c r="P17" s="1384"/>
      <c r="Q17" s="1384"/>
      <c r="R17" s="1384"/>
      <c r="S17" s="1384"/>
      <c r="T17" s="1384"/>
      <c r="U17" s="1384"/>
      <c r="V17" s="1384"/>
      <c r="W17" s="1384"/>
    </row>
    <row r="18" spans="1:23" ht="21.95" hidden="1" customHeight="1">
      <c r="A18" s="2572"/>
      <c r="B18" s="2871"/>
      <c r="C18" s="1089" t="s">
        <v>2556</v>
      </c>
      <c r="F18" s="1689"/>
      <c r="G18" s="1689"/>
      <c r="H18" s="1689"/>
      <c r="I18" s="908">
        <f>Pav_Dados!G109</f>
        <v>0</v>
      </c>
      <c r="J18" s="908">
        <f>Pav_Dados!H109</f>
        <v>0</v>
      </c>
      <c r="K18" s="908">
        <f>Pav_Dados!I109</f>
        <v>0</v>
      </c>
      <c r="L18" s="908"/>
      <c r="M18" s="1688"/>
      <c r="N18" s="745">
        <f t="shared" si="0"/>
        <v>0</v>
      </c>
      <c r="O18" s="745"/>
      <c r="P18" s="1384"/>
      <c r="Q18" s="1384"/>
      <c r="R18" s="1384"/>
      <c r="S18" s="1384"/>
      <c r="T18" s="1384"/>
      <c r="U18" s="1384"/>
      <c r="V18" s="1384"/>
      <c r="W18" s="1384"/>
    </row>
    <row r="19" spans="1:23" ht="21.95" hidden="1" customHeight="1">
      <c r="A19" s="2572"/>
      <c r="B19" s="2871"/>
      <c r="C19" s="1609" t="s">
        <v>2557</v>
      </c>
      <c r="F19" s="1689"/>
      <c r="G19" s="1689"/>
      <c r="H19" s="908">
        <f>H15/2</f>
        <v>0</v>
      </c>
      <c r="I19" s="908">
        <f>I15/2</f>
        <v>0</v>
      </c>
      <c r="J19" s="908">
        <f>J15/2</f>
        <v>0</v>
      </c>
      <c r="K19" s="908">
        <f>K15/2</f>
        <v>0</v>
      </c>
      <c r="L19" s="908"/>
      <c r="M19" s="1459"/>
      <c r="N19" s="745">
        <f t="shared" si="0"/>
        <v>0</v>
      </c>
      <c r="O19" s="745"/>
      <c r="P19" s="1384"/>
      <c r="Q19" s="1384"/>
      <c r="R19" s="1384"/>
      <c r="S19" s="1384"/>
      <c r="T19" s="1384"/>
      <c r="U19" s="1384"/>
      <c r="V19" s="1384"/>
      <c r="W19" s="1384"/>
    </row>
    <row r="20" spans="1:23" ht="21.95" hidden="1" customHeight="1" thickBot="1">
      <c r="A20" s="2572"/>
      <c r="B20" s="2872"/>
      <c r="C20" s="936" t="s">
        <v>2267</v>
      </c>
      <c r="D20" s="1291"/>
      <c r="E20" s="1680"/>
      <c r="F20" s="1690"/>
      <c r="G20" s="901">
        <f>Recap_Final!I86</f>
        <v>0</v>
      </c>
      <c r="H20" s="901">
        <f>Passeio!L35+H19</f>
        <v>0</v>
      </c>
      <c r="I20" s="901">
        <f>I18*I17+I16+I19</f>
        <v>0</v>
      </c>
      <c r="J20" s="901">
        <f>J18*J17+J16+J19</f>
        <v>0</v>
      </c>
      <c r="K20" s="901">
        <f>K18*K17+K16+K19</f>
        <v>0</v>
      </c>
      <c r="L20" s="901"/>
      <c r="M20" s="1650"/>
      <c r="N20" s="745">
        <f t="shared" si="0"/>
        <v>0</v>
      </c>
      <c r="O20" s="745"/>
      <c r="P20" s="1384"/>
      <c r="Q20" s="1384"/>
      <c r="R20" s="1384"/>
      <c r="S20" s="1384"/>
      <c r="T20" s="1384"/>
      <c r="U20" s="1384"/>
      <c r="V20" s="1384"/>
      <c r="W20" s="1384"/>
    </row>
    <row r="21" spans="1:23" ht="32.1" hidden="1" customHeight="1" thickBot="1">
      <c r="A21" s="2572"/>
      <c r="B21" s="2753" t="s">
        <v>2558</v>
      </c>
      <c r="C21" s="2866"/>
      <c r="D21" s="1309"/>
      <c r="E21" s="1311"/>
      <c r="F21" s="1691"/>
      <c r="G21" s="1691"/>
      <c r="H21" s="1691"/>
      <c r="I21" s="913">
        <f>Pav_Dados!G116</f>
        <v>0</v>
      </c>
      <c r="J21" s="913">
        <f>Pav_Dados!H116</f>
        <v>0</v>
      </c>
      <c r="K21" s="913">
        <f>Pav_Dados!I116</f>
        <v>0</v>
      </c>
      <c r="L21" s="913"/>
      <c r="M21" s="915"/>
      <c r="N21" s="745">
        <f t="shared" si="0"/>
        <v>0</v>
      </c>
      <c r="O21" s="745"/>
      <c r="P21" s="1384"/>
      <c r="Q21" s="1384"/>
      <c r="R21" s="1384"/>
      <c r="S21" s="1384"/>
      <c r="T21" s="1384"/>
      <c r="U21" s="1384"/>
      <c r="V21" s="1384"/>
      <c r="W21" s="1384"/>
    </row>
    <row r="22" spans="1:23" ht="32.1" hidden="1" customHeight="1" thickBot="1">
      <c r="A22" s="2572"/>
      <c r="B22" s="2753" t="s">
        <v>2559</v>
      </c>
      <c r="C22" s="2866"/>
      <c r="D22" s="1309"/>
      <c r="E22" s="1311"/>
      <c r="F22" s="1691"/>
      <c r="G22" s="1691"/>
      <c r="H22" s="1691"/>
      <c r="I22" s="913">
        <f>Pav_Dados!G117</f>
        <v>0</v>
      </c>
      <c r="J22" s="913">
        <f>Pav_Dados!H117</f>
        <v>0</v>
      </c>
      <c r="K22" s="913">
        <f>Pav_Dados!I117</f>
        <v>0</v>
      </c>
      <c r="L22" s="913"/>
      <c r="M22" s="915"/>
      <c r="N22" s="745">
        <f t="shared" si="0"/>
        <v>0</v>
      </c>
      <c r="O22" s="745"/>
      <c r="P22" s="1384"/>
      <c r="Q22" s="1384"/>
      <c r="R22" s="1384"/>
      <c r="S22" s="1384"/>
      <c r="T22" s="1384"/>
      <c r="U22" s="1384"/>
      <c r="V22" s="1384"/>
      <c r="W22" s="1384"/>
    </row>
    <row r="23" spans="1:23" ht="32.1" hidden="1" customHeight="1" thickBot="1">
      <c r="A23" s="2572"/>
      <c r="B23" s="2753" t="s">
        <v>2560</v>
      </c>
      <c r="C23" s="2866"/>
      <c r="D23" s="1309"/>
      <c r="E23" s="1311"/>
      <c r="F23" s="1691"/>
      <c r="G23" s="1691"/>
      <c r="H23" s="1691"/>
      <c r="I23" s="913">
        <f>Pav_Dados!G118</f>
        <v>0</v>
      </c>
      <c r="J23" s="913">
        <f>Pav_Dados!H118</f>
        <v>0</v>
      </c>
      <c r="K23" s="913">
        <f>Pav_Dados!I118</f>
        <v>0</v>
      </c>
      <c r="L23" s="913"/>
      <c r="M23" s="915"/>
      <c r="N23" s="745">
        <f t="shared" si="0"/>
        <v>0</v>
      </c>
      <c r="O23" s="745"/>
      <c r="P23" s="1384"/>
      <c r="Q23" s="1384"/>
      <c r="R23" s="1384"/>
      <c r="S23" s="1384"/>
      <c r="T23" s="1384"/>
      <c r="U23" s="1384"/>
      <c r="V23" s="1384"/>
      <c r="W23" s="1384"/>
    </row>
    <row r="24" spans="1:23" ht="21.95" hidden="1" customHeight="1">
      <c r="A24" s="2572"/>
      <c r="B24" s="2581" t="s">
        <v>2437</v>
      </c>
      <c r="C24" s="1529" t="s">
        <v>1354</v>
      </c>
      <c r="D24" s="1273"/>
      <c r="E24" s="1293"/>
      <c r="F24" s="919"/>
      <c r="G24" s="919"/>
      <c r="H24" s="919"/>
      <c r="I24" s="917">
        <f>Pav_Dados!G119</f>
        <v>0</v>
      </c>
      <c r="J24" s="917">
        <f>Pav_Dados!H119</f>
        <v>0</v>
      </c>
      <c r="K24" s="917">
        <f>Pav_Dados!I119</f>
        <v>0</v>
      </c>
      <c r="L24" s="917"/>
      <c r="M24" s="1688"/>
      <c r="N24" s="745">
        <f t="shared" si="0"/>
        <v>0</v>
      </c>
      <c r="O24" s="745"/>
      <c r="P24" s="1384"/>
      <c r="Q24" s="1384"/>
      <c r="R24" s="1384"/>
      <c r="S24" s="1384"/>
      <c r="T24" s="1384"/>
      <c r="U24" s="1384"/>
      <c r="V24" s="1384"/>
      <c r="W24" s="1384"/>
    </row>
    <row r="25" spans="1:23" ht="21.95" hidden="1" customHeight="1">
      <c r="A25" s="2572"/>
      <c r="B25" s="2582"/>
      <c r="C25" s="1609" t="s">
        <v>1787</v>
      </c>
      <c r="D25" s="1279"/>
      <c r="E25" s="922"/>
      <c r="F25" s="1689"/>
      <c r="G25" s="1689"/>
      <c r="H25" s="1689"/>
      <c r="I25" s="908">
        <f>Pav_Dados!G120</f>
        <v>0</v>
      </c>
      <c r="J25" s="908">
        <f>Pav_Dados!H120</f>
        <v>0</v>
      </c>
      <c r="K25" s="908">
        <f>Pav_Dados!I120</f>
        <v>0</v>
      </c>
      <c r="L25" s="908"/>
      <c r="M25" s="1688"/>
      <c r="N25" s="745">
        <f t="shared" si="0"/>
        <v>0</v>
      </c>
      <c r="O25" s="745"/>
      <c r="P25" s="1384"/>
      <c r="Q25" s="1384"/>
      <c r="R25" s="1384"/>
      <c r="S25" s="1384"/>
      <c r="T25" s="1384"/>
      <c r="U25" s="1384"/>
      <c r="V25" s="1384"/>
      <c r="W25" s="1384"/>
    </row>
    <row r="26" spans="1:23" ht="21.95" hidden="1" customHeight="1">
      <c r="A26" s="2572"/>
      <c r="B26" s="2582"/>
      <c r="C26" s="1609" t="s">
        <v>1355</v>
      </c>
      <c r="D26" s="1279"/>
      <c r="E26" s="922"/>
      <c r="F26" s="1689"/>
      <c r="G26" s="1689"/>
      <c r="H26" s="1689"/>
      <c r="I26" s="908">
        <f>Pav_Dados!G121</f>
        <v>0</v>
      </c>
      <c r="J26" s="908">
        <f>Pav_Dados!H121</f>
        <v>0</v>
      </c>
      <c r="K26" s="908">
        <f>Pav_Dados!I121</f>
        <v>0</v>
      </c>
      <c r="L26" s="908"/>
      <c r="M26" s="1688"/>
      <c r="N26" s="745">
        <f t="shared" si="0"/>
        <v>0</v>
      </c>
      <c r="O26" s="745"/>
      <c r="P26" s="1384"/>
      <c r="Q26" s="1384"/>
      <c r="R26" s="1384"/>
      <c r="S26" s="1384"/>
      <c r="T26" s="1384"/>
      <c r="U26" s="1384"/>
      <c r="V26" s="1384"/>
      <c r="W26" s="1384"/>
    </row>
    <row r="27" spans="1:23" ht="21.95" hidden="1" customHeight="1" thickBot="1">
      <c r="A27" s="2572"/>
      <c r="B27" s="2583"/>
      <c r="C27" s="936" t="s">
        <v>1693</v>
      </c>
      <c r="D27" s="1283"/>
      <c r="E27" s="1305"/>
      <c r="F27" s="1690"/>
      <c r="G27" s="1690"/>
      <c r="H27" s="1690"/>
      <c r="I27" s="901">
        <f>I26*I25*I24</f>
        <v>0</v>
      </c>
      <c r="J27" s="901">
        <f>J26*J25*J24</f>
        <v>0</v>
      </c>
      <c r="K27" s="901">
        <f>K26*K25*K24</f>
        <v>0</v>
      </c>
      <c r="L27" s="901"/>
      <c r="M27" s="912"/>
      <c r="N27" s="745">
        <f t="shared" si="0"/>
        <v>0</v>
      </c>
      <c r="O27" s="745"/>
      <c r="P27" s="1384"/>
      <c r="Q27" s="1384"/>
      <c r="R27" s="1384"/>
      <c r="S27" s="1384"/>
      <c r="T27" s="1384"/>
      <c r="U27" s="1384"/>
      <c r="V27" s="1384"/>
      <c r="W27" s="1384"/>
    </row>
    <row r="28" spans="1:23" s="1695" customFormat="1" ht="21.95" hidden="1" customHeight="1">
      <c r="A28" s="2572"/>
      <c r="B28" s="2582" t="s">
        <v>1643</v>
      </c>
      <c r="C28" s="1453" t="s">
        <v>1644</v>
      </c>
      <c r="D28" s="1692"/>
      <c r="E28" s="1470"/>
      <c r="F28" s="1693">
        <f>Dre_Terraplenagem!AI189</f>
        <v>0</v>
      </c>
      <c r="G28" s="1693">
        <f>Recap_Final!I87</f>
        <v>0</v>
      </c>
      <c r="H28" s="1694"/>
      <c r="I28" s="1693">
        <f>Pav_Dados!G138</f>
        <v>0</v>
      </c>
      <c r="J28" s="1693">
        <f>Pav_Dados!H138</f>
        <v>0</v>
      </c>
      <c r="K28" s="1693">
        <f>Pav_Dados!I138</f>
        <v>0</v>
      </c>
      <c r="L28" s="1693"/>
      <c r="M28" s="1656"/>
      <c r="N28" s="745">
        <f t="shared" si="0"/>
        <v>0</v>
      </c>
      <c r="O28" s="745"/>
    </row>
    <row r="29" spans="1:23" s="1695" customFormat="1" ht="21.95" hidden="1" customHeight="1" thickBot="1">
      <c r="A29" s="2572"/>
      <c r="B29" s="2583"/>
      <c r="C29" s="936" t="s">
        <v>1645</v>
      </c>
      <c r="D29" s="1546"/>
      <c r="E29" s="1696"/>
      <c r="F29" s="1693">
        <f>Dre_Terraplenagem!AI190</f>
        <v>0</v>
      </c>
      <c r="G29" s="1693">
        <f>Recap_Final!I88</f>
        <v>0</v>
      </c>
      <c r="H29" s="1694"/>
      <c r="I29" s="1693">
        <f>Pav_Dados!G139</f>
        <v>0</v>
      </c>
      <c r="J29" s="1693">
        <f>Pav_Dados!H139</f>
        <v>0</v>
      </c>
      <c r="K29" s="1693">
        <f>Pav_Dados!I139</f>
        <v>0</v>
      </c>
      <c r="L29" s="1693"/>
      <c r="M29" s="1650"/>
      <c r="N29" s="745">
        <f t="shared" si="0"/>
        <v>0</v>
      </c>
      <c r="O29" s="745"/>
    </row>
    <row r="30" spans="1:23" ht="21.95" hidden="1" customHeight="1">
      <c r="A30" s="2572"/>
      <c r="B30" s="2870" t="s">
        <v>2561</v>
      </c>
      <c r="C30" s="1448" t="s">
        <v>2554</v>
      </c>
      <c r="F30" s="905"/>
      <c r="G30" s="905"/>
      <c r="H30" s="905"/>
      <c r="I30" s="905">
        <f>Pav_Dados!G110</f>
        <v>0</v>
      </c>
      <c r="J30" s="905">
        <f>Pav_Dados!H110</f>
        <v>0</v>
      </c>
      <c r="K30" s="905">
        <f>Pav_Dados!I110</f>
        <v>0</v>
      </c>
      <c r="L30" s="905"/>
      <c r="M30" s="1688"/>
      <c r="N30" s="745">
        <f t="shared" si="0"/>
        <v>0</v>
      </c>
      <c r="O30" s="745"/>
      <c r="P30" s="1384"/>
      <c r="Q30" s="1384"/>
      <c r="R30" s="1384"/>
      <c r="S30" s="1384"/>
      <c r="T30" s="1384"/>
      <c r="U30" s="1384"/>
      <c r="V30" s="1384"/>
      <c r="W30" s="1384"/>
    </row>
    <row r="31" spans="1:23" ht="21.95" hidden="1" customHeight="1">
      <c r="A31" s="2572"/>
      <c r="B31" s="2871"/>
      <c r="C31" s="1089" t="s">
        <v>2555</v>
      </c>
      <c r="F31" s="908"/>
      <c r="G31" s="908"/>
      <c r="H31" s="908"/>
      <c r="I31" s="908">
        <f>Pav_Dados!G111</f>
        <v>0</v>
      </c>
      <c r="J31" s="908">
        <f>Pav_Dados!H111</f>
        <v>0</v>
      </c>
      <c r="K31" s="908">
        <f>Pav_Dados!I111</f>
        <v>0</v>
      </c>
      <c r="L31" s="908"/>
      <c r="M31" s="1688"/>
      <c r="N31" s="745">
        <f t="shared" si="0"/>
        <v>0</v>
      </c>
      <c r="O31" s="745"/>
      <c r="P31" s="1384"/>
      <c r="Q31" s="1384"/>
      <c r="R31" s="1384"/>
      <c r="S31" s="1384"/>
      <c r="T31" s="1384"/>
      <c r="U31" s="1384"/>
      <c r="V31" s="1384"/>
      <c r="W31" s="1384"/>
    </row>
    <row r="32" spans="1:23" ht="21.95" hidden="1" customHeight="1">
      <c r="A32" s="2572"/>
      <c r="B32" s="2871"/>
      <c r="C32" s="1089" t="s">
        <v>2556</v>
      </c>
      <c r="F32" s="908"/>
      <c r="G32" s="908"/>
      <c r="H32" s="908"/>
      <c r="I32" s="908">
        <f>Pav_Dados!G112</f>
        <v>0</v>
      </c>
      <c r="J32" s="908">
        <f>Pav_Dados!H112</f>
        <v>0</v>
      </c>
      <c r="K32" s="908">
        <f>Pav_Dados!I112</f>
        <v>0</v>
      </c>
      <c r="L32" s="908"/>
      <c r="M32" s="1688"/>
      <c r="N32" s="745">
        <f t="shared" si="0"/>
        <v>0</v>
      </c>
      <c r="O32" s="745"/>
      <c r="P32" s="1384"/>
      <c r="Q32" s="1384"/>
      <c r="R32" s="1384"/>
      <c r="S32" s="1384"/>
      <c r="T32" s="1384"/>
      <c r="U32" s="1384"/>
      <c r="V32" s="1384"/>
      <c r="W32" s="1384"/>
    </row>
    <row r="33" spans="1:23" ht="21.95" hidden="1" customHeight="1" thickBot="1">
      <c r="A33" s="2572"/>
      <c r="B33" s="2872"/>
      <c r="C33" s="936" t="s">
        <v>2267</v>
      </c>
      <c r="D33" s="1291"/>
      <c r="E33" s="1680"/>
      <c r="F33" s="901"/>
      <c r="G33" s="901"/>
      <c r="H33" s="901"/>
      <c r="I33" s="901">
        <f>I32*I31+I30</f>
        <v>0</v>
      </c>
      <c r="J33" s="901">
        <f>J32*J31+J30</f>
        <v>0</v>
      </c>
      <c r="K33" s="901">
        <f>K32*K31+K30</f>
        <v>0</v>
      </c>
      <c r="L33" s="901"/>
      <c r="M33" s="1650"/>
      <c r="N33" s="745">
        <f t="shared" si="0"/>
        <v>0</v>
      </c>
      <c r="O33" s="745"/>
      <c r="P33" s="1384"/>
      <c r="Q33" s="1384"/>
      <c r="R33" s="1384"/>
      <c r="S33" s="1384"/>
      <c r="T33" s="1384"/>
      <c r="U33" s="1384"/>
      <c r="V33" s="1384"/>
      <c r="W33" s="1384"/>
    </row>
    <row r="34" spans="1:23" ht="21.95" hidden="1" customHeight="1">
      <c r="A34" s="2572"/>
      <c r="B34" s="2870" t="s">
        <v>2562</v>
      </c>
      <c r="C34" s="1448" t="s">
        <v>2554</v>
      </c>
      <c r="F34" s="905"/>
      <c r="G34" s="905"/>
      <c r="H34" s="905"/>
      <c r="I34" s="905">
        <f>Pav_Dados!G113</f>
        <v>0</v>
      </c>
      <c r="J34" s="905">
        <f>Pav_Dados!H113</f>
        <v>0</v>
      </c>
      <c r="K34" s="905">
        <f>Pav_Dados!I113</f>
        <v>0</v>
      </c>
      <c r="L34" s="905"/>
      <c r="M34" s="1688"/>
      <c r="N34" s="745">
        <f t="shared" si="0"/>
        <v>0</v>
      </c>
      <c r="O34" s="745"/>
      <c r="P34" s="1384"/>
      <c r="Q34" s="1384"/>
      <c r="R34" s="1384"/>
      <c r="S34" s="1384"/>
      <c r="T34" s="1384"/>
      <c r="U34" s="1384"/>
      <c r="V34" s="1384"/>
      <c r="W34" s="1384"/>
    </row>
    <row r="35" spans="1:23" ht="21.95" hidden="1" customHeight="1">
      <c r="A35" s="2572"/>
      <c r="B35" s="2871"/>
      <c r="C35" s="1089" t="s">
        <v>2555</v>
      </c>
      <c r="F35" s="908"/>
      <c r="G35" s="908"/>
      <c r="H35" s="908"/>
      <c r="I35" s="908">
        <f>Pav_Dados!G114</f>
        <v>0</v>
      </c>
      <c r="J35" s="908">
        <f>Pav_Dados!H114</f>
        <v>0</v>
      </c>
      <c r="K35" s="908">
        <f>Pav_Dados!I114</f>
        <v>0</v>
      </c>
      <c r="L35" s="908"/>
      <c r="M35" s="1688"/>
      <c r="N35" s="745">
        <f t="shared" si="0"/>
        <v>0</v>
      </c>
      <c r="O35" s="745"/>
    </row>
    <row r="36" spans="1:23" ht="21.95" hidden="1" customHeight="1">
      <c r="A36" s="2572"/>
      <c r="B36" s="2871"/>
      <c r="C36" s="1089" t="s">
        <v>2556</v>
      </c>
      <c r="F36" s="908"/>
      <c r="G36" s="908"/>
      <c r="H36" s="908"/>
      <c r="I36" s="908">
        <f>Pav_Dados!G115</f>
        <v>0</v>
      </c>
      <c r="J36" s="908">
        <f>Pav_Dados!H115</f>
        <v>0</v>
      </c>
      <c r="K36" s="908">
        <f>Pav_Dados!I115</f>
        <v>0</v>
      </c>
      <c r="L36" s="908"/>
      <c r="M36" s="1688"/>
      <c r="N36" s="745">
        <f t="shared" si="0"/>
        <v>0</v>
      </c>
      <c r="O36" s="745"/>
    </row>
    <row r="37" spans="1:23" ht="21.95" hidden="1" customHeight="1" thickBot="1">
      <c r="A37" s="2572"/>
      <c r="B37" s="2872"/>
      <c r="C37" s="936" t="s">
        <v>2267</v>
      </c>
      <c r="D37" s="1291"/>
      <c r="E37" s="1680"/>
      <c r="F37" s="901"/>
      <c r="G37" s="901"/>
      <c r="H37" s="901"/>
      <c r="I37" s="901">
        <f>I36*I35+I34</f>
        <v>0</v>
      </c>
      <c r="J37" s="901">
        <f>J36*J35+J34</f>
        <v>0</v>
      </c>
      <c r="K37" s="901">
        <f>K36*K35+K34</f>
        <v>0</v>
      </c>
      <c r="L37" s="901"/>
      <c r="M37" s="1650"/>
      <c r="N37" s="745">
        <f t="shared" ref="N37:N61" si="1">SUM(F37:M37)</f>
        <v>0</v>
      </c>
      <c r="O37" s="745"/>
    </row>
    <row r="38" spans="1:23" ht="21.95" hidden="1" customHeight="1">
      <c r="A38" s="2572"/>
      <c r="B38" s="2870" t="s">
        <v>2438</v>
      </c>
      <c r="C38" s="1448" t="s">
        <v>1539</v>
      </c>
      <c r="F38" s="908"/>
      <c r="G38" s="908"/>
      <c r="H38" s="908"/>
      <c r="I38" s="908">
        <f>Pav_Dados!G130</f>
        <v>0</v>
      </c>
      <c r="J38" s="908">
        <f>Pav_Dados!H130</f>
        <v>0</v>
      </c>
      <c r="K38" s="908">
        <f>Pav_Dados!I130</f>
        <v>0</v>
      </c>
      <c r="L38" s="908"/>
      <c r="M38" s="1651"/>
      <c r="N38" s="745">
        <f t="shared" si="1"/>
        <v>0</v>
      </c>
      <c r="O38" s="745"/>
    </row>
    <row r="39" spans="1:23" ht="21.95" hidden="1" customHeight="1">
      <c r="A39" s="2572"/>
      <c r="B39" s="2871"/>
      <c r="C39" s="1089" t="s">
        <v>1355</v>
      </c>
      <c r="F39" s="908"/>
      <c r="G39" s="908"/>
      <c r="H39" s="908"/>
      <c r="I39" s="908">
        <f>Pav_Dados!G131</f>
        <v>0</v>
      </c>
      <c r="J39" s="908">
        <f>Pav_Dados!H131</f>
        <v>0</v>
      </c>
      <c r="K39" s="908">
        <f>Pav_Dados!I131</f>
        <v>0</v>
      </c>
      <c r="L39" s="908"/>
      <c r="M39" s="1688"/>
      <c r="N39" s="745">
        <f t="shared" si="1"/>
        <v>0</v>
      </c>
      <c r="O39" s="745"/>
    </row>
    <row r="40" spans="1:23" ht="21.95" hidden="1" customHeight="1">
      <c r="A40" s="2572"/>
      <c r="B40" s="2871"/>
      <c r="C40" s="747" t="s">
        <v>1647</v>
      </c>
      <c r="F40" s="908"/>
      <c r="G40" s="908"/>
      <c r="H40" s="908"/>
      <c r="I40" s="908">
        <f>Pav_Dados!G132</f>
        <v>0</v>
      </c>
      <c r="J40" s="908">
        <f>Pav_Dados!H132</f>
        <v>0</v>
      </c>
      <c r="K40" s="908">
        <f>Pav_Dados!I132</f>
        <v>0</v>
      </c>
      <c r="L40" s="908"/>
      <c r="M40" s="1688"/>
      <c r="N40" s="745">
        <f t="shared" si="1"/>
        <v>0</v>
      </c>
      <c r="O40" s="745"/>
    </row>
    <row r="41" spans="1:23" ht="21.95" hidden="1" customHeight="1" thickBot="1">
      <c r="A41" s="2572"/>
      <c r="B41" s="2872"/>
      <c r="C41" s="754" t="s">
        <v>1923</v>
      </c>
      <c r="D41" s="1291"/>
      <c r="E41" s="1680"/>
      <c r="F41" s="901"/>
      <c r="G41" s="901"/>
      <c r="H41" s="901"/>
      <c r="I41" s="901">
        <f>I40*I39*I38</f>
        <v>0</v>
      </c>
      <c r="J41" s="901">
        <f>J40*J39*J38</f>
        <v>0</v>
      </c>
      <c r="K41" s="901">
        <f>K40*K39*K38</f>
        <v>0</v>
      </c>
      <c r="L41" s="901"/>
      <c r="M41" s="1656"/>
      <c r="N41" s="745">
        <f t="shared" si="1"/>
        <v>0</v>
      </c>
      <c r="O41" s="745"/>
      <c r="P41" s="1683">
        <v>1</v>
      </c>
      <c r="Q41" s="1685"/>
      <c r="R41" s="1683">
        <v>1</v>
      </c>
      <c r="S41" s="1685"/>
      <c r="T41" s="1683">
        <v>1</v>
      </c>
      <c r="U41" s="1685"/>
      <c r="V41" s="1685"/>
      <c r="W41" s="1393"/>
    </row>
    <row r="42" spans="1:23" ht="21.95" hidden="1" customHeight="1">
      <c r="A42" s="2572"/>
      <c r="B42" s="2871" t="s">
        <v>2439</v>
      </c>
      <c r="C42" s="1448" t="s">
        <v>1539</v>
      </c>
      <c r="F42" s="908"/>
      <c r="G42" s="908"/>
      <c r="H42" s="908"/>
      <c r="I42" s="908">
        <f>Pav_Dados!G125</f>
        <v>0</v>
      </c>
      <c r="J42" s="908">
        <f>Pav_Dados!H125</f>
        <v>0</v>
      </c>
      <c r="K42" s="908">
        <f>Pav_Dados!I125</f>
        <v>0</v>
      </c>
      <c r="L42" s="908"/>
      <c r="M42" s="1651"/>
      <c r="N42" s="745">
        <f t="shared" si="1"/>
        <v>0</v>
      </c>
      <c r="O42" s="745"/>
      <c r="P42" s="1683"/>
      <c r="Q42" s="1685"/>
      <c r="R42" s="1683"/>
      <c r="S42" s="1685"/>
      <c r="T42" s="1683"/>
      <c r="U42" s="1685"/>
      <c r="V42" s="1685"/>
      <c r="W42" s="1393"/>
    </row>
    <row r="43" spans="1:23" ht="21.95" hidden="1" customHeight="1">
      <c r="A43" s="2572"/>
      <c r="B43" s="2871"/>
      <c r="C43" s="1089" t="s">
        <v>1355</v>
      </c>
      <c r="F43" s="908"/>
      <c r="G43" s="908"/>
      <c r="H43" s="908"/>
      <c r="I43" s="908">
        <f>Pav_Dados!G126</f>
        <v>0</v>
      </c>
      <c r="J43" s="908">
        <f>Pav_Dados!H126</f>
        <v>0</v>
      </c>
      <c r="K43" s="908">
        <f>Pav_Dados!I126</f>
        <v>0</v>
      </c>
      <c r="L43" s="908"/>
      <c r="M43" s="1688"/>
      <c r="N43" s="745">
        <f t="shared" si="1"/>
        <v>0</v>
      </c>
      <c r="O43" s="745"/>
      <c r="P43" s="1683"/>
      <c r="Q43" s="1685"/>
      <c r="R43" s="1683"/>
      <c r="S43" s="1685"/>
      <c r="T43" s="1683"/>
      <c r="U43" s="1685"/>
      <c r="V43" s="1685"/>
      <c r="W43" s="1393"/>
    </row>
    <row r="44" spans="1:23" ht="21.95" hidden="1" customHeight="1">
      <c r="A44" s="2572"/>
      <c r="B44" s="2871"/>
      <c r="C44" s="747" t="s">
        <v>1647</v>
      </c>
      <c r="F44" s="908"/>
      <c r="G44" s="908"/>
      <c r="H44" s="908"/>
      <c r="I44" s="908">
        <f>Pav_Dados!G127</f>
        <v>0</v>
      </c>
      <c r="J44" s="908">
        <f>Pav_Dados!H127</f>
        <v>0</v>
      </c>
      <c r="K44" s="908">
        <f>Pav_Dados!I127</f>
        <v>0</v>
      </c>
      <c r="L44" s="908"/>
      <c r="M44" s="1688"/>
      <c r="N44" s="745">
        <f t="shared" si="1"/>
        <v>0</v>
      </c>
      <c r="O44" s="745"/>
      <c r="P44" s="1683"/>
      <c r="Q44" s="1685"/>
      <c r="R44" s="1683"/>
      <c r="S44" s="1685"/>
      <c r="T44" s="1683"/>
      <c r="U44" s="1685"/>
      <c r="V44" s="1685"/>
      <c r="W44" s="1393"/>
    </row>
    <row r="45" spans="1:23" ht="21.95" hidden="1" customHeight="1" thickBot="1">
      <c r="A45" s="2572"/>
      <c r="B45" s="2872"/>
      <c r="C45" s="754" t="s">
        <v>1923</v>
      </c>
      <c r="D45" s="1291"/>
      <c r="E45" s="1680"/>
      <c r="F45" s="901"/>
      <c r="G45" s="901"/>
      <c r="H45" s="901"/>
      <c r="I45" s="901">
        <f>I44*I43*I42</f>
        <v>0</v>
      </c>
      <c r="J45" s="901">
        <f>J44*J43*J42</f>
        <v>0</v>
      </c>
      <c r="K45" s="901">
        <f>K44*K43*K42</f>
        <v>0</v>
      </c>
      <c r="L45" s="901"/>
      <c r="M45" s="1656"/>
      <c r="N45" s="745">
        <f t="shared" si="1"/>
        <v>0</v>
      </c>
      <c r="O45" s="745"/>
      <c r="P45" s="1683"/>
      <c r="Q45" s="1685">
        <v>1</v>
      </c>
      <c r="R45" s="1683"/>
      <c r="S45" s="1685">
        <v>1</v>
      </c>
      <c r="T45" s="1683"/>
      <c r="U45" s="1685">
        <v>1</v>
      </c>
      <c r="V45" s="1685"/>
      <c r="W45" s="1393"/>
    </row>
    <row r="46" spans="1:23" ht="21.95" hidden="1" customHeight="1">
      <c r="A46" s="2572"/>
      <c r="B46" s="2700" t="s">
        <v>2124</v>
      </c>
      <c r="C46" s="1448" t="s">
        <v>1539</v>
      </c>
      <c r="F46" s="905"/>
      <c r="G46" s="905"/>
      <c r="H46" s="905"/>
      <c r="I46" s="905">
        <f>Pav_Dados!G128</f>
        <v>0</v>
      </c>
      <c r="J46" s="905">
        <f>Pav_Dados!H128</f>
        <v>0</v>
      </c>
      <c r="K46" s="905">
        <f>Pav_Dados!I128</f>
        <v>0</v>
      </c>
      <c r="L46" s="905"/>
      <c r="M46" s="1651"/>
      <c r="N46" s="745">
        <f t="shared" si="1"/>
        <v>0</v>
      </c>
      <c r="O46" s="745"/>
      <c r="P46" s="1683"/>
      <c r="Q46" s="1685"/>
      <c r="R46" s="1683"/>
      <c r="S46" s="1685"/>
      <c r="T46" s="1683"/>
      <c r="U46" s="1685"/>
      <c r="V46" s="1685"/>
      <c r="W46" s="1393"/>
    </row>
    <row r="47" spans="1:23" ht="21.95" hidden="1" customHeight="1">
      <c r="A47" s="2572"/>
      <c r="B47" s="2710"/>
      <c r="C47" s="1089" t="s">
        <v>1355</v>
      </c>
      <c r="F47" s="908"/>
      <c r="G47" s="908"/>
      <c r="H47" s="908"/>
      <c r="I47" s="908">
        <f>Pav_Dados!G129</f>
        <v>0</v>
      </c>
      <c r="J47" s="908">
        <f>Pav_Dados!H129</f>
        <v>0</v>
      </c>
      <c r="K47" s="908">
        <f>Pav_Dados!I129</f>
        <v>0</v>
      </c>
      <c r="L47" s="908"/>
      <c r="M47" s="1688"/>
      <c r="N47" s="745">
        <f t="shared" si="1"/>
        <v>0</v>
      </c>
      <c r="O47" s="745"/>
      <c r="P47" s="1683"/>
      <c r="Q47" s="1685"/>
      <c r="R47" s="1683"/>
      <c r="S47" s="1685"/>
      <c r="T47" s="1683"/>
      <c r="U47" s="1685"/>
      <c r="V47" s="1685"/>
      <c r="W47" s="1393"/>
    </row>
    <row r="48" spans="1:23" ht="21.95" hidden="1" customHeight="1" thickBot="1">
      <c r="A48" s="2572"/>
      <c r="B48" s="2701"/>
      <c r="C48" s="936" t="s">
        <v>1693</v>
      </c>
      <c r="D48" s="1291"/>
      <c r="E48" s="1680"/>
      <c r="F48" s="1697"/>
      <c r="G48" s="1697"/>
      <c r="H48" s="1697"/>
      <c r="I48" s="1697">
        <f>I47*I46</f>
        <v>0</v>
      </c>
      <c r="J48" s="1697">
        <f>J47*J46</f>
        <v>0</v>
      </c>
      <c r="K48" s="1697">
        <f>K47*K46</f>
        <v>0</v>
      </c>
      <c r="L48" s="1697"/>
      <c r="M48" s="1650"/>
      <c r="N48" s="745">
        <f t="shared" si="1"/>
        <v>0</v>
      </c>
      <c r="O48" s="745"/>
      <c r="P48" s="1683"/>
      <c r="Q48" s="1685"/>
      <c r="R48" s="1683"/>
      <c r="S48" s="1685"/>
      <c r="T48" s="1683"/>
      <c r="U48" s="1685"/>
      <c r="V48" s="1685"/>
      <c r="W48" s="1393">
        <v>1</v>
      </c>
    </row>
    <row r="49" spans="1:23" ht="21.95" hidden="1" customHeight="1">
      <c r="A49" s="2572"/>
      <c r="B49" s="2700" t="s">
        <v>2129</v>
      </c>
      <c r="C49" s="1448" t="s">
        <v>2440</v>
      </c>
      <c r="E49" s="1687"/>
      <c r="F49" s="905"/>
      <c r="G49" s="905"/>
      <c r="H49" s="905"/>
      <c r="I49" s="905">
        <f>Pav_Dados!G130</f>
        <v>0</v>
      </c>
      <c r="J49" s="905">
        <f>Pav_Dados!H130</f>
        <v>0</v>
      </c>
      <c r="K49" s="905">
        <f>Pav_Dados!I130</f>
        <v>0</v>
      </c>
      <c r="L49" s="905"/>
      <c r="M49" s="1656"/>
      <c r="N49" s="745">
        <f t="shared" si="1"/>
        <v>0</v>
      </c>
      <c r="O49" s="745"/>
      <c r="P49" s="1683"/>
      <c r="Q49" s="1685"/>
      <c r="R49" s="1683"/>
      <c r="S49" s="1685"/>
      <c r="T49" s="1683"/>
      <c r="U49" s="1685"/>
      <c r="V49" s="1685">
        <v>1</v>
      </c>
      <c r="W49" s="1393"/>
    </row>
    <row r="50" spans="1:23" ht="21.95" hidden="1" customHeight="1">
      <c r="A50" s="2572"/>
      <c r="B50" s="2710"/>
      <c r="C50" s="1089" t="s">
        <v>2441</v>
      </c>
      <c r="F50" s="908"/>
      <c r="G50" s="908"/>
      <c r="H50" s="908"/>
      <c r="I50" s="908">
        <f>Pav_Dados!G131</f>
        <v>0</v>
      </c>
      <c r="J50" s="908">
        <f>Pav_Dados!H131</f>
        <v>0</v>
      </c>
      <c r="K50" s="908">
        <f>Pav_Dados!I131</f>
        <v>0</v>
      </c>
      <c r="L50" s="908"/>
      <c r="M50" s="1656"/>
      <c r="N50" s="745">
        <f t="shared" si="1"/>
        <v>0</v>
      </c>
      <c r="O50" s="745"/>
      <c r="P50" s="1683"/>
      <c r="Q50" s="1685"/>
      <c r="R50" s="1683"/>
      <c r="S50" s="1685"/>
      <c r="T50" s="1683"/>
      <c r="U50" s="1685"/>
      <c r="V50" s="1685">
        <v>1</v>
      </c>
      <c r="W50" s="1393"/>
    </row>
    <row r="51" spans="1:23" ht="21.95" hidden="1" customHeight="1">
      <c r="A51" s="2572"/>
      <c r="B51" s="2710"/>
      <c r="C51" s="1609" t="s">
        <v>2442</v>
      </c>
      <c r="F51" s="908"/>
      <c r="G51" s="908"/>
      <c r="H51" s="908"/>
      <c r="I51" s="908">
        <f>Pav_Dados!G132</f>
        <v>0</v>
      </c>
      <c r="J51" s="908">
        <f>Pav_Dados!H132</f>
        <v>0</v>
      </c>
      <c r="K51" s="908">
        <f>Pav_Dados!I132</f>
        <v>0</v>
      </c>
      <c r="L51" s="908"/>
      <c r="M51" s="1656"/>
      <c r="N51" s="745">
        <f t="shared" si="1"/>
        <v>0</v>
      </c>
      <c r="O51" s="745"/>
      <c r="P51" s="1683"/>
      <c r="Q51" s="1685"/>
      <c r="R51" s="1683"/>
      <c r="S51" s="1685"/>
      <c r="T51" s="1683"/>
      <c r="U51" s="1685"/>
      <c r="V51" s="1685">
        <v>1</v>
      </c>
      <c r="W51" s="1393"/>
    </row>
    <row r="52" spans="1:23" ht="21.95" hidden="1" customHeight="1" thickBot="1">
      <c r="A52" s="2572"/>
      <c r="B52" s="2701"/>
      <c r="C52" s="936" t="s">
        <v>2443</v>
      </c>
      <c r="D52" s="1291"/>
      <c r="F52" s="901"/>
      <c r="G52" s="901"/>
      <c r="H52" s="901"/>
      <c r="I52" s="901">
        <f>Pav_Dados!G133</f>
        <v>0</v>
      </c>
      <c r="J52" s="901">
        <f>Pav_Dados!H133</f>
        <v>0</v>
      </c>
      <c r="K52" s="901">
        <f>Pav_Dados!I133</f>
        <v>0</v>
      </c>
      <c r="L52" s="901"/>
      <c r="M52" s="1656"/>
      <c r="N52" s="745">
        <f t="shared" si="1"/>
        <v>0</v>
      </c>
      <c r="O52" s="745"/>
      <c r="P52" s="1683"/>
      <c r="Q52" s="1685"/>
      <c r="R52" s="1683"/>
      <c r="S52" s="1685"/>
      <c r="T52" s="1683"/>
      <c r="U52" s="1685"/>
      <c r="V52" s="1685">
        <v>1</v>
      </c>
      <c r="W52" s="1393"/>
    </row>
    <row r="53" spans="1:23" ht="21.95" hidden="1" customHeight="1">
      <c r="A53" s="2572"/>
      <c r="B53" s="2648" t="s">
        <v>2444</v>
      </c>
      <c r="C53" s="1089" t="s">
        <v>2445</v>
      </c>
      <c r="D53" s="1287"/>
      <c r="E53" s="1687"/>
      <c r="F53" s="905"/>
      <c r="G53" s="905"/>
      <c r="H53" s="905"/>
      <c r="I53" s="905">
        <f>Pav_Dados!G134</f>
        <v>0</v>
      </c>
      <c r="J53" s="905">
        <f>Pav_Dados!H134</f>
        <v>0</v>
      </c>
      <c r="K53" s="905">
        <f>Pav_Dados!I134</f>
        <v>0</v>
      </c>
      <c r="L53" s="905"/>
      <c r="M53" s="1682"/>
      <c r="N53" s="745">
        <f t="shared" si="1"/>
        <v>0</v>
      </c>
      <c r="O53" s="745"/>
    </row>
    <row r="54" spans="1:23" ht="21.95" hidden="1" customHeight="1" thickBot="1">
      <c r="A54" s="2572"/>
      <c r="B54" s="2583"/>
      <c r="C54" s="936" t="s">
        <v>2446</v>
      </c>
      <c r="D54" s="1291"/>
      <c r="E54" s="1680"/>
      <c r="F54" s="901"/>
      <c r="G54" s="901"/>
      <c r="H54" s="901"/>
      <c r="I54" s="901">
        <f>Pav_Dados!G135</f>
        <v>0</v>
      </c>
      <c r="J54" s="901">
        <f>Pav_Dados!H135</f>
        <v>0</v>
      </c>
      <c r="K54" s="901">
        <f>Pav_Dados!I135</f>
        <v>0</v>
      </c>
      <c r="L54" s="901"/>
      <c r="M54" s="1650"/>
      <c r="N54" s="745">
        <f t="shared" si="1"/>
        <v>0</v>
      </c>
      <c r="O54" s="745"/>
    </row>
    <row r="55" spans="1:23" ht="21.95" hidden="1" customHeight="1">
      <c r="A55" s="2572"/>
      <c r="B55" s="2648" t="s">
        <v>2447</v>
      </c>
      <c r="C55" s="1089" t="s">
        <v>2563</v>
      </c>
      <c r="D55" s="1287"/>
      <c r="E55" s="1687"/>
      <c r="F55" s="905"/>
      <c r="G55" s="905"/>
      <c r="H55" s="905"/>
      <c r="I55" s="905">
        <f>Pav_Dados!G136</f>
        <v>0</v>
      </c>
      <c r="J55" s="905">
        <f>Pav_Dados!H136</f>
        <v>0</v>
      </c>
      <c r="K55" s="905">
        <f>Pav_Dados!I136</f>
        <v>0</v>
      </c>
      <c r="L55" s="905"/>
      <c r="M55" s="1682"/>
      <c r="N55" s="745">
        <f t="shared" si="1"/>
        <v>0</v>
      </c>
      <c r="O55" s="745"/>
    </row>
    <row r="56" spans="1:23" ht="21.95" hidden="1" customHeight="1" thickBot="1">
      <c r="A56" s="2572"/>
      <c r="B56" s="2583"/>
      <c r="C56" s="936" t="s">
        <v>2564</v>
      </c>
      <c r="D56" s="1291"/>
      <c r="E56" s="1680"/>
      <c r="F56" s="901"/>
      <c r="G56" s="901"/>
      <c r="H56" s="901"/>
      <c r="I56" s="901">
        <f>Pav_Dados!G137</f>
        <v>0</v>
      </c>
      <c r="J56" s="901">
        <f>Pav_Dados!H137</f>
        <v>0</v>
      </c>
      <c r="K56" s="901">
        <f>Pav_Dados!I137</f>
        <v>0</v>
      </c>
      <c r="L56" s="901"/>
      <c r="M56" s="1650"/>
      <c r="N56" s="745">
        <f t="shared" si="1"/>
        <v>0</v>
      </c>
      <c r="O56" s="745"/>
    </row>
    <row r="57" spans="1:23" ht="21.95" hidden="1" customHeight="1">
      <c r="A57" s="2572"/>
      <c r="B57" s="2633" t="s">
        <v>2565</v>
      </c>
      <c r="C57" s="740" t="s">
        <v>1847</v>
      </c>
      <c r="D57" s="1273"/>
      <c r="E57" s="1687"/>
      <c r="F57" s="905"/>
      <c r="G57" s="905"/>
      <c r="H57" s="905">
        <f>(SUMPRODUCT(H5:H11,$P5:$P11)*$P$4+H41*$P41*$P$4+H45*$Q45*$Q$4)/1000</f>
        <v>0</v>
      </c>
      <c r="I57" s="905">
        <f>(SUMPRODUCT(I5:I11,$P5:$P11)*$P$4+I41*$P41*$P$4+I45*$Q45*$Q$4)/1000</f>
        <v>0</v>
      </c>
      <c r="J57" s="905">
        <f>(SUMPRODUCT(J5:J11,$P5:$P11)*$P$4+J41*$P41*$P$4+J45*$Q45*$Q$4)/1000</f>
        <v>0</v>
      </c>
      <c r="K57" s="905">
        <f>(SUMPRODUCT(K5:K11,$P5:$P11)*$P$4+K41*$P41*$P$4+K45*$Q45*$Q$4)/1000</f>
        <v>0</v>
      </c>
      <c r="L57" s="905"/>
      <c r="M57" s="1682"/>
      <c r="N57" s="745">
        <f t="shared" si="1"/>
        <v>0</v>
      </c>
      <c r="O57" s="745"/>
    </row>
    <row r="58" spans="1:23" ht="21.95" hidden="1" customHeight="1">
      <c r="A58" s="2572"/>
      <c r="B58" s="2634"/>
      <c r="C58" s="763" t="s">
        <v>1906</v>
      </c>
      <c r="D58" s="1279"/>
      <c r="F58" s="908"/>
      <c r="G58" s="908"/>
      <c r="H58" s="908">
        <f>SUMPRODUCT(H5:H11,$R5:$R11)*$R$4+H41*$R41*$R$4+H45*$S45*$S$4</f>
        <v>0</v>
      </c>
      <c r="I58" s="908">
        <f>SUMPRODUCT(I5:I11,$R5:$R11)*$R$4+I41*$R41*$R$4+I45*$S45*$S$4</f>
        <v>0</v>
      </c>
      <c r="J58" s="908">
        <f>SUMPRODUCT(J5:J11,$R5:$R11)*$R$4+J41*$R41*$R$4+J45*$S45*$S$4</f>
        <v>0</v>
      </c>
      <c r="K58" s="908">
        <f>SUMPRODUCT(K5:K11,$R5:$R11)*$R$4+K41*$R41*$R$4+K45*$S45*$S$4</f>
        <v>0</v>
      </c>
      <c r="L58" s="908"/>
      <c r="M58" s="1656"/>
      <c r="N58" s="745">
        <f t="shared" si="1"/>
        <v>0</v>
      </c>
      <c r="O58" s="745"/>
    </row>
    <row r="59" spans="1:23" ht="21.95" hidden="1" customHeight="1">
      <c r="A59" s="2572"/>
      <c r="B59" s="2634"/>
      <c r="C59" s="763" t="s">
        <v>1907</v>
      </c>
      <c r="D59" s="1279"/>
      <c r="F59" s="908"/>
      <c r="G59" s="908"/>
      <c r="H59" s="908">
        <f>SUMPRODUCT(H5:H11,$T5:$T11)*$T$4+H41*$T41*$T$4+H45*$U45*$U$4</f>
        <v>0</v>
      </c>
      <c r="I59" s="908">
        <f>SUMPRODUCT(I5:I11,$T5:$T11)*$T$4+I41*$T41*$T$4+I45*$U45*$U$4</f>
        <v>0</v>
      </c>
      <c r="J59" s="908">
        <f>SUMPRODUCT(J5:J11,$T5:$T11)*$T$4+J41*$T41*$T$4+J45*$U45*$U$4</f>
        <v>0</v>
      </c>
      <c r="K59" s="908">
        <f>SUMPRODUCT(K5:K11,$T5:$T11)*$T$4+K41*$T41*$T$4+K45*$U45*$U$4</f>
        <v>0</v>
      </c>
      <c r="L59" s="908"/>
      <c r="M59" s="1656"/>
      <c r="N59" s="745">
        <f t="shared" si="1"/>
        <v>0</v>
      </c>
      <c r="O59" s="745"/>
    </row>
    <row r="60" spans="1:23" ht="21.95" hidden="1" customHeight="1">
      <c r="A60" s="2572"/>
      <c r="B60" s="2634"/>
      <c r="C60" s="763" t="s">
        <v>1926</v>
      </c>
      <c r="D60" s="1279"/>
      <c r="F60" s="908"/>
      <c r="G60" s="908"/>
      <c r="H60" s="908">
        <f>SUMPRODUCT(H49:H52,$V49:$V52)/1000</f>
        <v>0</v>
      </c>
      <c r="I60" s="908">
        <f>SUMPRODUCT(I49:I52,$V49:$V52)/1000</f>
        <v>0</v>
      </c>
      <c r="J60" s="908">
        <f>SUMPRODUCT(J49:J52,$V49:$V52)/1000</f>
        <v>0</v>
      </c>
      <c r="K60" s="908">
        <f>SUMPRODUCT(K49:K52,$V49:$V52)/1000</f>
        <v>0</v>
      </c>
      <c r="L60" s="908"/>
      <c r="M60" s="1656"/>
      <c r="N60" s="745">
        <f t="shared" si="1"/>
        <v>0</v>
      </c>
      <c r="O60" s="745"/>
    </row>
    <row r="61" spans="1:23" ht="21.95" hidden="1" customHeight="1">
      <c r="A61" s="2572"/>
      <c r="B61" s="2634"/>
      <c r="C61" s="763" t="s">
        <v>1927</v>
      </c>
      <c r="D61" s="1279"/>
      <c r="F61" s="908"/>
      <c r="G61" s="908"/>
      <c r="H61" s="908">
        <f>H48*$W48*$W$4</f>
        <v>0</v>
      </c>
      <c r="I61" s="908">
        <f>I48*$W48*$W$4</f>
        <v>0</v>
      </c>
      <c r="J61" s="908">
        <f>J48*$W48*$W$4</f>
        <v>0</v>
      </c>
      <c r="K61" s="908">
        <f>K48*$W48*$W$4</f>
        <v>0</v>
      </c>
      <c r="L61" s="908"/>
      <c r="M61" s="1656"/>
      <c r="N61" s="745">
        <f t="shared" si="1"/>
        <v>0</v>
      </c>
      <c r="O61" s="745"/>
    </row>
    <row r="62" spans="1:23" ht="21.95" hidden="1" customHeight="1">
      <c r="A62" s="2572"/>
      <c r="B62" s="2634"/>
      <c r="C62" s="763" t="s">
        <v>2566</v>
      </c>
      <c r="D62" s="1279"/>
      <c r="F62" s="908"/>
      <c r="G62" s="908"/>
      <c r="H62" s="908">
        <f>H15*50%*2.4</f>
        <v>0</v>
      </c>
      <c r="I62" s="908">
        <f>I15*50%*2.4</f>
        <v>0</v>
      </c>
      <c r="J62" s="908">
        <f>J15*50%*2.4</f>
        <v>0</v>
      </c>
      <c r="K62" s="908">
        <f>K15*50%*2.4</f>
        <v>0</v>
      </c>
      <c r="L62" s="908"/>
      <c r="M62" s="1656"/>
      <c r="N62" s="745"/>
      <c r="O62" s="745"/>
    </row>
    <row r="63" spans="1:23" ht="21.95" hidden="1" customHeight="1">
      <c r="A63" s="2572"/>
      <c r="B63" s="2634"/>
      <c r="C63" s="747" t="s">
        <v>1845</v>
      </c>
      <c r="D63" s="1279"/>
      <c r="F63" s="908"/>
      <c r="G63" s="908"/>
      <c r="H63" s="908">
        <f>(H19+H20)*0.02</f>
        <v>0</v>
      </c>
      <c r="I63" s="908">
        <f>(I19+I20)*0.02</f>
        <v>0</v>
      </c>
      <c r="J63" s="908">
        <f>(J19+J20)*0.02</f>
        <v>0</v>
      </c>
      <c r="K63" s="908">
        <f>(K19+K20)*0.02</f>
        <v>0</v>
      </c>
      <c r="L63" s="908"/>
      <c r="M63" s="1656"/>
      <c r="N63" s="745">
        <f>SUM(F63:M63)</f>
        <v>0</v>
      </c>
      <c r="O63" s="745"/>
    </row>
    <row r="64" spans="1:23" ht="21.95" hidden="1" customHeight="1">
      <c r="A64" s="2572"/>
      <c r="B64" s="2634"/>
      <c r="C64" s="911" t="s">
        <v>2567</v>
      </c>
      <c r="D64" s="1279"/>
      <c r="F64" s="908"/>
      <c r="G64" s="908"/>
      <c r="H64" s="908">
        <f>(H53*3.48+H54*4.4)/1000</f>
        <v>0</v>
      </c>
      <c r="I64" s="908">
        <f>(I53*3.48+I54*4.4)/1000</f>
        <v>0</v>
      </c>
      <c r="J64" s="908">
        <f>(J53*3.48+J54*4.4)/1000</f>
        <v>0</v>
      </c>
      <c r="K64" s="908">
        <f>(K53*3.48+K54*4.4)/1000</f>
        <v>0</v>
      </c>
      <c r="L64" s="908"/>
      <c r="M64" s="1656"/>
      <c r="N64" s="745">
        <f>SUM(F64:M64)</f>
        <v>0</v>
      </c>
      <c r="O64" s="745"/>
    </row>
    <row r="65" spans="1:15" ht="21.95" hidden="1" customHeight="1" thickBot="1">
      <c r="A65" s="2572"/>
      <c r="B65" s="2634"/>
      <c r="C65" s="911" t="s">
        <v>2568</v>
      </c>
      <c r="D65" s="1279"/>
      <c r="F65" s="908"/>
      <c r="G65" s="908"/>
      <c r="H65" s="908">
        <f>(H55*19.36+H56*33.18)/1000</f>
        <v>0</v>
      </c>
      <c r="I65" s="908">
        <f>(I55*19.36+I56*33.18)/1000</f>
        <v>0</v>
      </c>
      <c r="J65" s="908">
        <f>(J55*19.36+J56*33.18)/1000</f>
        <v>0</v>
      </c>
      <c r="K65" s="908">
        <f>(K55*19.36+K56*33.18)/1000</f>
        <v>0</v>
      </c>
      <c r="L65" s="908"/>
      <c r="M65" s="1656"/>
      <c r="N65" s="745">
        <f>SUM(F65:M65)</f>
        <v>0</v>
      </c>
      <c r="O65" s="745"/>
    </row>
    <row r="66" spans="1:15" ht="21.95" hidden="1" customHeight="1">
      <c r="A66" s="2572"/>
      <c r="B66" s="2631" t="s">
        <v>1932</v>
      </c>
      <c r="C66" s="740" t="s">
        <v>1847</v>
      </c>
      <c r="D66" s="1273"/>
      <c r="E66" s="1687"/>
      <c r="F66" s="905"/>
      <c r="G66" s="905"/>
      <c r="H66" s="905">
        <f t="shared" ref="H66:K74" si="2">H57</f>
        <v>0</v>
      </c>
      <c r="I66" s="905">
        <f t="shared" si="2"/>
        <v>0</v>
      </c>
      <c r="J66" s="905">
        <f t="shared" si="2"/>
        <v>0</v>
      </c>
      <c r="K66" s="905">
        <f t="shared" si="2"/>
        <v>0</v>
      </c>
      <c r="L66" s="905"/>
      <c r="M66" s="1682"/>
      <c r="N66" s="745"/>
      <c r="O66" s="745"/>
    </row>
    <row r="67" spans="1:15" ht="21.95" hidden="1" customHeight="1">
      <c r="A67" s="2572"/>
      <c r="B67" s="2585"/>
      <c r="C67" s="763" t="s">
        <v>1906</v>
      </c>
      <c r="D67" s="1279"/>
      <c r="F67" s="908"/>
      <c r="G67" s="908"/>
      <c r="H67" s="908">
        <f t="shared" si="2"/>
        <v>0</v>
      </c>
      <c r="I67" s="908">
        <f t="shared" si="2"/>
        <v>0</v>
      </c>
      <c r="J67" s="908">
        <f t="shared" si="2"/>
        <v>0</v>
      </c>
      <c r="K67" s="908">
        <f t="shared" si="2"/>
        <v>0</v>
      </c>
      <c r="L67" s="908"/>
      <c r="M67" s="1656"/>
      <c r="N67" s="745"/>
      <c r="O67" s="745"/>
    </row>
    <row r="68" spans="1:15" ht="21.95" hidden="1" customHeight="1">
      <c r="A68" s="2572"/>
      <c r="B68" s="2585"/>
      <c r="C68" s="763" t="s">
        <v>1907</v>
      </c>
      <c r="D68" s="1279"/>
      <c r="F68" s="908"/>
      <c r="G68" s="908"/>
      <c r="H68" s="908">
        <f t="shared" si="2"/>
        <v>0</v>
      </c>
      <c r="I68" s="908">
        <f t="shared" si="2"/>
        <v>0</v>
      </c>
      <c r="J68" s="908">
        <f t="shared" si="2"/>
        <v>0</v>
      </c>
      <c r="K68" s="908">
        <f t="shared" si="2"/>
        <v>0</v>
      </c>
      <c r="L68" s="908"/>
      <c r="M68" s="1656"/>
      <c r="N68" s="745"/>
      <c r="O68" s="745"/>
    </row>
    <row r="69" spans="1:15" ht="21.95" hidden="1" customHeight="1">
      <c r="A69" s="2572"/>
      <c r="B69" s="2585"/>
      <c r="C69" s="763" t="s">
        <v>1926</v>
      </c>
      <c r="D69" s="1279"/>
      <c r="F69" s="908"/>
      <c r="G69" s="908"/>
      <c r="H69" s="908">
        <f t="shared" si="2"/>
        <v>0</v>
      </c>
      <c r="I69" s="908">
        <f t="shared" si="2"/>
        <v>0</v>
      </c>
      <c r="J69" s="908">
        <f t="shared" si="2"/>
        <v>0</v>
      </c>
      <c r="K69" s="908">
        <f t="shared" si="2"/>
        <v>0</v>
      </c>
      <c r="L69" s="908"/>
      <c r="M69" s="1656"/>
      <c r="N69" s="745"/>
      <c r="O69" s="745"/>
    </row>
    <row r="70" spans="1:15" ht="21.95" hidden="1" customHeight="1">
      <c r="A70" s="2572"/>
      <c r="B70" s="2585"/>
      <c r="C70" s="763" t="s">
        <v>1927</v>
      </c>
      <c r="D70" s="1279"/>
      <c r="F70" s="908"/>
      <c r="G70" s="908"/>
      <c r="H70" s="908">
        <f t="shared" si="2"/>
        <v>0</v>
      </c>
      <c r="I70" s="908">
        <f t="shared" si="2"/>
        <v>0</v>
      </c>
      <c r="J70" s="908">
        <f t="shared" si="2"/>
        <v>0</v>
      </c>
      <c r="K70" s="908">
        <f t="shared" si="2"/>
        <v>0</v>
      </c>
      <c r="L70" s="908"/>
      <c r="M70" s="1656"/>
      <c r="N70" s="745"/>
      <c r="O70" s="745"/>
    </row>
    <row r="71" spans="1:15" ht="21.95" hidden="1" customHeight="1">
      <c r="A71" s="2572"/>
      <c r="B71" s="2585"/>
      <c r="C71" s="763" t="s">
        <v>2569</v>
      </c>
      <c r="D71" s="1279"/>
      <c r="F71" s="908"/>
      <c r="G71" s="908"/>
      <c r="H71" s="908">
        <f t="shared" si="2"/>
        <v>0</v>
      </c>
      <c r="I71" s="908">
        <f t="shared" si="2"/>
        <v>0</v>
      </c>
      <c r="J71" s="908">
        <f t="shared" si="2"/>
        <v>0</v>
      </c>
      <c r="K71" s="908">
        <f t="shared" si="2"/>
        <v>0</v>
      </c>
      <c r="L71" s="908"/>
      <c r="M71" s="1656"/>
      <c r="N71" s="745"/>
      <c r="O71" s="745"/>
    </row>
    <row r="72" spans="1:15" ht="21.95" hidden="1" customHeight="1">
      <c r="A72" s="2572"/>
      <c r="B72" s="2585"/>
      <c r="C72" s="747" t="s">
        <v>1845</v>
      </c>
      <c r="D72" s="1279"/>
      <c r="F72" s="908"/>
      <c r="G72" s="908"/>
      <c r="H72" s="908">
        <f t="shared" si="2"/>
        <v>0</v>
      </c>
      <c r="I72" s="908">
        <f t="shared" si="2"/>
        <v>0</v>
      </c>
      <c r="J72" s="908">
        <f t="shared" si="2"/>
        <v>0</v>
      </c>
      <c r="K72" s="908">
        <f t="shared" si="2"/>
        <v>0</v>
      </c>
      <c r="L72" s="908"/>
      <c r="M72" s="1656"/>
      <c r="N72" s="745"/>
      <c r="O72" s="745"/>
    </row>
    <row r="73" spans="1:15" ht="21.95" hidden="1" customHeight="1">
      <c r="A73" s="2572"/>
      <c r="B73" s="2585"/>
      <c r="C73" s="911" t="s">
        <v>2567</v>
      </c>
      <c r="D73" s="1279"/>
      <c r="F73" s="908"/>
      <c r="G73" s="908"/>
      <c r="H73" s="908">
        <f t="shared" si="2"/>
        <v>0</v>
      </c>
      <c r="I73" s="908">
        <f t="shared" si="2"/>
        <v>0</v>
      </c>
      <c r="J73" s="908">
        <f t="shared" si="2"/>
        <v>0</v>
      </c>
      <c r="K73" s="908">
        <f t="shared" si="2"/>
        <v>0</v>
      </c>
      <c r="L73" s="908"/>
      <c r="M73" s="1656"/>
      <c r="N73" s="745"/>
      <c r="O73" s="745"/>
    </row>
    <row r="74" spans="1:15" ht="21.95" hidden="1" customHeight="1" thickBot="1">
      <c r="A74" s="2572"/>
      <c r="B74" s="2586"/>
      <c r="C74" s="754" t="s">
        <v>2568</v>
      </c>
      <c r="D74" s="1283"/>
      <c r="E74" s="1680"/>
      <c r="F74" s="901"/>
      <c r="G74" s="901"/>
      <c r="H74" s="901">
        <f t="shared" si="2"/>
        <v>0</v>
      </c>
      <c r="I74" s="901">
        <f t="shared" si="2"/>
        <v>0</v>
      </c>
      <c r="J74" s="901">
        <f t="shared" si="2"/>
        <v>0</v>
      </c>
      <c r="K74" s="901">
        <f t="shared" si="2"/>
        <v>0</v>
      </c>
      <c r="L74" s="901"/>
      <c r="M74" s="1650"/>
      <c r="N74" s="745"/>
      <c r="O74" s="745"/>
    </row>
    <row r="75" spans="1:15" s="710" customFormat="1" ht="50.1" customHeight="1" thickBot="1">
      <c r="A75" s="2573"/>
      <c r="B75" s="2859" t="s">
        <v>1400</v>
      </c>
      <c r="C75" s="2860"/>
      <c r="D75" s="1668"/>
      <c r="E75" s="1698"/>
      <c r="F75" s="1699"/>
      <c r="G75" s="1699"/>
      <c r="H75" s="1700"/>
      <c r="I75" s="1700"/>
      <c r="J75" s="1700"/>
      <c r="K75" s="1700"/>
      <c r="L75" s="1700"/>
      <c r="M75" s="1701"/>
      <c r="N75" s="794">
        <v>1</v>
      </c>
      <c r="O75" s="794"/>
    </row>
    <row r="76" spans="1:15" ht="19.5" thickTop="1">
      <c r="F76" s="1674"/>
      <c r="G76" s="1674"/>
      <c r="H76" s="1674"/>
      <c r="I76" s="1674"/>
      <c r="J76" s="1674"/>
      <c r="K76" s="1674"/>
      <c r="L76" s="1674"/>
      <c r="M76" s="1354"/>
    </row>
  </sheetData>
  <autoFilter ref="A1:N75" xr:uid="{00000000-0001-0000-1C00-000000000000}">
    <filterColumn colId="1" showButton="0"/>
    <filterColumn colId="13">
      <customFilters>
        <customFilter operator="notEqual" val=" "/>
      </customFilters>
    </filterColumn>
  </autoFilter>
  <mergeCells count="29">
    <mergeCell ref="V1:V4"/>
    <mergeCell ref="B2:C2"/>
    <mergeCell ref="B3:B4"/>
    <mergeCell ref="B5:B8"/>
    <mergeCell ref="B9:C9"/>
    <mergeCell ref="A1:A75"/>
    <mergeCell ref="B1:C1"/>
    <mergeCell ref="P1:Q1"/>
    <mergeCell ref="R1:S1"/>
    <mergeCell ref="T1:U1"/>
    <mergeCell ref="B42:B45"/>
    <mergeCell ref="B10:B11"/>
    <mergeCell ref="B12:B15"/>
    <mergeCell ref="B16:B20"/>
    <mergeCell ref="B21:C21"/>
    <mergeCell ref="B22:C22"/>
    <mergeCell ref="B23:C23"/>
    <mergeCell ref="B24:B27"/>
    <mergeCell ref="B28:B29"/>
    <mergeCell ref="B30:B33"/>
    <mergeCell ref="B34:B37"/>
    <mergeCell ref="B38:B41"/>
    <mergeCell ref="B75:C75"/>
    <mergeCell ref="B46:B48"/>
    <mergeCell ref="B49:B52"/>
    <mergeCell ref="B53:B54"/>
    <mergeCell ref="B55:B56"/>
    <mergeCell ref="B57:B65"/>
    <mergeCell ref="B66:B74"/>
  </mergeCells>
  <hyperlinks>
    <hyperlink ref="B1:C1" location="PAINEL!A1" display="VIAS" xr:uid="{CD3D6141-6BD1-4DDE-89B7-59B5DFE7BEB8}"/>
  </hyperlinks>
  <pageMargins left="0.39370078740157477" right="0.59055118110236215" top="0.39370078740157477" bottom="0.59055118110236215" header="0.23622047244094491" footer="0.23622047244094491"/>
  <pageSetup paperSize="9" scale="90" fitToWidth="7" orientation="landscape" r:id="rId1"/>
  <headerFooter>
    <oddFooter>&amp;C&amp;8Página &amp;P/&amp;N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2F862-C3AC-47E0-B1A6-918E3B9F27BB}">
  <sheetPr codeName="Planilha37" filterMode="1">
    <tabColor rgb="FF92D050"/>
  </sheetPr>
  <dimension ref="A1:AO261"/>
  <sheetViews>
    <sheetView showZeros="0" zoomScaleNormal="100" workbookViewId="0">
      <selection sqref="A1:A259"/>
    </sheetView>
  </sheetViews>
  <sheetFormatPr defaultColWidth="9" defaultRowHeight="18.75"/>
  <cols>
    <col min="1" max="1" width="9.75" style="681" customWidth="1"/>
    <col min="2" max="2" width="12.625" style="681" customWidth="1"/>
    <col min="3" max="3" width="14.625" style="681" customWidth="1"/>
    <col min="4" max="4" width="30.625" style="681" customWidth="1"/>
    <col min="5" max="5" width="3.125" style="1289" hidden="1" customWidth="1"/>
    <col min="6" max="6" width="8.625" style="710" hidden="1" customWidth="1"/>
    <col min="7" max="11" width="12.625" style="681" customWidth="1"/>
    <col min="12" max="12" width="12.625" style="1511" customWidth="1"/>
    <col min="13" max="13" width="15.875" style="681" customWidth="1"/>
    <col min="14" max="22" width="9" style="681" customWidth="1"/>
    <col min="23" max="25" width="9.25" style="681" customWidth="1"/>
    <col min="26" max="34" width="9" style="681" customWidth="1"/>
    <col min="35" max="40" width="9" style="681"/>
    <col min="41" max="41" width="9.375" style="681" bestFit="1" customWidth="1"/>
    <col min="42" max="16384" width="9" style="681"/>
  </cols>
  <sheetData>
    <row r="1" spans="1:14" s="673" customFormat="1" ht="60" customHeight="1" thickTop="1" thickBot="1">
      <c r="A1" s="2571" t="s">
        <v>2570</v>
      </c>
      <c r="B1" s="2743" t="s">
        <v>2188</v>
      </c>
      <c r="C1" s="2743"/>
      <c r="D1" s="2744"/>
      <c r="E1" s="734"/>
      <c r="F1" s="735" t="s">
        <v>1935</v>
      </c>
      <c r="G1" s="1261">
        <f>Pav_Dados!G1</f>
        <v>0</v>
      </c>
      <c r="H1" s="1261">
        <f>Pav_Dados!H1</f>
        <v>0</v>
      </c>
      <c r="I1" s="1261">
        <f>Pav_Dados!I1</f>
        <v>0</v>
      </c>
      <c r="J1" s="1261"/>
      <c r="K1" s="1261"/>
      <c r="L1" s="1702" t="s">
        <v>1358</v>
      </c>
      <c r="M1" s="738" t="s">
        <v>1708</v>
      </c>
      <c r="N1" s="739">
        <f>SUBTOTAL(3,M:M)</f>
        <v>15</v>
      </c>
    </row>
    <row r="2" spans="1:14" s="673" customFormat="1" ht="21.95" hidden="1" customHeight="1" thickTop="1" thickBot="1">
      <c r="A2" s="2695"/>
      <c r="B2" s="2915" t="s">
        <v>2571</v>
      </c>
      <c r="C2" s="2916"/>
      <c r="D2" s="2917"/>
      <c r="E2" s="1703"/>
      <c r="F2" s="1704"/>
      <c r="G2" s="1705">
        <f>Pav_Dados!G2</f>
        <v>0</v>
      </c>
      <c r="H2" s="1705">
        <f>Pav_Dados!H2</f>
        <v>0</v>
      </c>
      <c r="I2" s="1705">
        <f>Pav_Dados!I2</f>
        <v>0</v>
      </c>
      <c r="J2" s="1705">
        <f>Pav_Dados!J2</f>
        <v>0</v>
      </c>
      <c r="K2" s="1705"/>
      <c r="L2" s="1706">
        <f>TRUNC(SUM(G2:K2),2)</f>
        <v>0</v>
      </c>
      <c r="M2" s="780"/>
    </row>
    <row r="3" spans="1:14" s="673" customFormat="1" ht="21.95" hidden="1" customHeight="1" thickBot="1">
      <c r="A3" s="2695"/>
      <c r="B3" s="2783" t="s">
        <v>2572</v>
      </c>
      <c r="C3" s="2784"/>
      <c r="D3" s="2785"/>
      <c r="E3" s="1279"/>
      <c r="F3" s="1442"/>
      <c r="G3" s="1570">
        <f>G7+G10+G12*G14+G16*G18+G36*G38+G43*G45+G50*G52+G57*G59+G64*G66+G71*G73+G78*G80+G85*G87+G93*G95+G100*G102+G107*G109+G114*G116+G121*G123+G128*G130+G136*G138</f>
        <v>0</v>
      </c>
      <c r="H3" s="1570">
        <f>H7+H10+H12*H14+H16*H18+H36*H38+H43*H45+H50*H52+H57*H59+H64*H66+H71*H73+H78*H80+H85*H87+H93*H95+H100*H102+H107*H109+H114*H116+H121*H123+H128*H130+H136*H138</f>
        <v>0</v>
      </c>
      <c r="I3" s="1570">
        <f>I7+I10+I12*I14+I16*I18+I36*I38+I43*I45+I50*I52+I57*I59+I64*I66+I71*I73+I78*I80+I85*I87+I93*I95+I100*I102+I107*I109+I114*I116+I121*I123+I128*I130+I136*I138</f>
        <v>0</v>
      </c>
      <c r="J3" s="1570">
        <f>J7+J10+J12*J14+J16*J18+J36*J38+J43*J45+J50*J52+J57*J59+J64*J66+J71*J73+J78*J80+J85*J87+J93*J95+J100*J102+J107*J109+J114*J116+J121*J123+J128*J130+J136*J138</f>
        <v>0</v>
      </c>
      <c r="K3" s="1570"/>
      <c r="L3" s="1707">
        <f>TRUNC(SUM(G3:K3),2)</f>
        <v>0</v>
      </c>
      <c r="M3" s="745">
        <f t="shared" ref="M3:M34" si="0">SUM(G3:L3)</f>
        <v>0</v>
      </c>
    </row>
    <row r="4" spans="1:14" s="673" customFormat="1" ht="21.95" hidden="1" customHeight="1">
      <c r="A4" s="2695"/>
      <c r="B4" s="2748" t="s">
        <v>1684</v>
      </c>
      <c r="C4" s="2700"/>
      <c r="D4" s="1302" t="s">
        <v>1685</v>
      </c>
      <c r="E4" s="1273"/>
      <c r="F4" s="1056"/>
      <c r="G4" s="1317"/>
      <c r="H4" s="1317"/>
      <c r="I4" s="1317"/>
      <c r="J4" s="1317"/>
      <c r="K4" s="1317"/>
      <c r="L4" s="1708"/>
      <c r="M4" s="745">
        <f t="shared" si="0"/>
        <v>0</v>
      </c>
    </row>
    <row r="5" spans="1:14" s="673" customFormat="1" ht="21.95" hidden="1" customHeight="1" thickBot="1">
      <c r="A5" s="2695"/>
      <c r="B5" s="2749"/>
      <c r="C5" s="2701"/>
      <c r="D5" s="1282" t="s">
        <v>1986</v>
      </c>
      <c r="E5" s="1283"/>
      <c r="F5" s="756"/>
      <c r="G5" s="1305">
        <f>G4*G3</f>
        <v>0</v>
      </c>
      <c r="H5" s="1305">
        <f>H4*H3</f>
        <v>0</v>
      </c>
      <c r="I5" s="1305">
        <f>I4*I3</f>
        <v>0</v>
      </c>
      <c r="J5" s="1305">
        <f>J4*J3</f>
        <v>0</v>
      </c>
      <c r="K5" s="1305"/>
      <c r="L5" s="1707">
        <f>TRUNC(SUM(G5:K5),2)</f>
        <v>0</v>
      </c>
      <c r="M5" s="745">
        <f t="shared" si="0"/>
        <v>0</v>
      </c>
    </row>
    <row r="6" spans="1:14" ht="21.95" hidden="1" customHeight="1">
      <c r="A6" s="2695"/>
      <c r="B6" s="2581" t="s">
        <v>2573</v>
      </c>
      <c r="C6" s="2700" t="s">
        <v>2574</v>
      </c>
      <c r="D6" s="1448" t="s">
        <v>1355</v>
      </c>
      <c r="E6" s="1273"/>
      <c r="F6" s="1560"/>
      <c r="G6" s="1709"/>
      <c r="H6" s="1709"/>
      <c r="I6" s="1709"/>
      <c r="J6" s="1709"/>
      <c r="K6" s="1709"/>
      <c r="L6" s="1710"/>
      <c r="M6" s="745">
        <f t="shared" si="0"/>
        <v>0</v>
      </c>
    </row>
    <row r="7" spans="1:14" ht="21.95" hidden="1" customHeight="1">
      <c r="A7" s="2695"/>
      <c r="B7" s="2582"/>
      <c r="C7" s="2710"/>
      <c r="D7" s="1089" t="s">
        <v>1539</v>
      </c>
      <c r="E7" s="1279"/>
      <c r="F7" s="1442"/>
      <c r="G7" s="1589"/>
      <c r="H7" s="1589"/>
      <c r="I7" s="1589"/>
      <c r="J7" s="1589"/>
      <c r="K7" s="1589"/>
      <c r="L7" s="1496">
        <f>TRUNC(SUM(G7:K7),2)</f>
        <v>0</v>
      </c>
      <c r="M7" s="745">
        <f t="shared" si="0"/>
        <v>0</v>
      </c>
    </row>
    <row r="8" spans="1:14" ht="21.95" hidden="1" customHeight="1">
      <c r="A8" s="2695"/>
      <c r="B8" s="2582"/>
      <c r="C8" s="2710"/>
      <c r="D8" s="1631" t="s">
        <v>2575</v>
      </c>
      <c r="E8" s="1279"/>
      <c r="F8" s="1442"/>
      <c r="G8" s="1589"/>
      <c r="H8" s="1589"/>
      <c r="I8" s="1589"/>
      <c r="J8" s="1589"/>
      <c r="K8" s="1589"/>
      <c r="L8" s="1496">
        <f>TRUNC(SUM(G8:K8),2)</f>
        <v>0</v>
      </c>
      <c r="M8" s="745">
        <f t="shared" si="0"/>
        <v>0</v>
      </c>
    </row>
    <row r="9" spans="1:14" ht="21.95" hidden="1" customHeight="1">
      <c r="A9" s="2695"/>
      <c r="B9" s="2582"/>
      <c r="C9" s="2914" t="s">
        <v>2576</v>
      </c>
      <c r="D9" s="1089" t="s">
        <v>1355</v>
      </c>
      <c r="E9" s="1599"/>
      <c r="F9" s="1600"/>
      <c r="G9" s="1711"/>
      <c r="H9" s="1711"/>
      <c r="I9" s="1711"/>
      <c r="J9" s="1711"/>
      <c r="K9" s="1711"/>
      <c r="L9" s="1712"/>
      <c r="M9" s="745">
        <f t="shared" si="0"/>
        <v>0</v>
      </c>
    </row>
    <row r="10" spans="1:14" ht="21.95" hidden="1" customHeight="1">
      <c r="A10" s="2695"/>
      <c r="B10" s="2582"/>
      <c r="C10" s="2771"/>
      <c r="D10" s="1089" t="s">
        <v>1539</v>
      </c>
      <c r="E10" s="1279"/>
      <c r="F10" s="1442"/>
      <c r="G10" s="1589"/>
      <c r="H10" s="1589"/>
      <c r="I10" s="1589"/>
      <c r="J10" s="1589"/>
      <c r="K10" s="1589"/>
      <c r="L10" s="1496">
        <f>TRUNC(SUM(G10:K10),2)</f>
        <v>0</v>
      </c>
      <c r="M10" s="745">
        <f t="shared" si="0"/>
        <v>0</v>
      </c>
    </row>
    <row r="11" spans="1:14" ht="21.95" hidden="1" customHeight="1" thickBot="1">
      <c r="A11" s="2695"/>
      <c r="B11" s="2583"/>
      <c r="C11" s="2772"/>
      <c r="D11" s="936" t="s">
        <v>2575</v>
      </c>
      <c r="E11" s="1283"/>
      <c r="F11" s="1563"/>
      <c r="G11" s="1713"/>
      <c r="H11" s="1713"/>
      <c r="I11" s="1713"/>
      <c r="J11" s="1713"/>
      <c r="K11" s="1713"/>
      <c r="L11" s="1714">
        <f>TRUNC(SUM(G11:K11),2)</f>
        <v>0</v>
      </c>
      <c r="M11" s="745">
        <f t="shared" si="0"/>
        <v>0</v>
      </c>
    </row>
    <row r="12" spans="1:14" ht="21.95" hidden="1" customHeight="1">
      <c r="A12" s="2695"/>
      <c r="B12" s="2862" t="s">
        <v>2577</v>
      </c>
      <c r="C12" s="2867" t="s">
        <v>2574</v>
      </c>
      <c r="D12" s="1448" t="s">
        <v>1354</v>
      </c>
      <c r="E12" s="1273"/>
      <c r="F12" s="1560"/>
      <c r="G12" s="1709"/>
      <c r="H12" s="1709"/>
      <c r="I12" s="1709"/>
      <c r="J12" s="1709"/>
      <c r="K12" s="1709"/>
      <c r="L12" s="1496">
        <f>TRUNC(SUM(G12:K12),2)</f>
        <v>0</v>
      </c>
      <c r="M12" s="745">
        <f t="shared" si="0"/>
        <v>0</v>
      </c>
    </row>
    <row r="13" spans="1:14" ht="21.95" hidden="1" customHeight="1">
      <c r="A13" s="2695"/>
      <c r="B13" s="2863"/>
      <c r="C13" s="2868"/>
      <c r="D13" s="1089" t="s">
        <v>2578</v>
      </c>
      <c r="E13" s="1279"/>
      <c r="F13" s="1442"/>
      <c r="G13" s="1589"/>
      <c r="H13" s="1589"/>
      <c r="I13" s="1589"/>
      <c r="J13" s="1589"/>
      <c r="K13" s="1589"/>
      <c r="L13" s="1496"/>
      <c r="M13" s="745">
        <f t="shared" si="0"/>
        <v>0</v>
      </c>
    </row>
    <row r="14" spans="1:14" ht="21.95" hidden="1" customHeight="1">
      <c r="A14" s="2695"/>
      <c r="B14" s="2863"/>
      <c r="C14" s="2868"/>
      <c r="D14" s="1089" t="s">
        <v>2579</v>
      </c>
      <c r="E14" s="1279"/>
      <c r="F14" s="1442"/>
      <c r="G14" s="1589"/>
      <c r="H14" s="1589"/>
      <c r="I14" s="1589"/>
      <c r="J14" s="1589"/>
      <c r="K14" s="1589"/>
      <c r="L14" s="1496">
        <f>TRUNC(SUM(G14:K14),2)</f>
        <v>0</v>
      </c>
      <c r="M14" s="745">
        <f t="shared" si="0"/>
        <v>0</v>
      </c>
    </row>
    <row r="15" spans="1:14" ht="21.95" hidden="1" customHeight="1">
      <c r="A15" s="2695"/>
      <c r="B15" s="2863"/>
      <c r="C15" s="2868"/>
      <c r="D15" s="1453" t="s">
        <v>2580</v>
      </c>
      <c r="E15" s="1584"/>
      <c r="F15" s="1601"/>
      <c r="G15" s="1633"/>
      <c r="H15" s="1633"/>
      <c r="I15" s="1633"/>
      <c r="J15" s="1633"/>
      <c r="K15" s="1633"/>
      <c r="L15" s="1715">
        <f>TRUNC(SUM(G15:K15),2)</f>
        <v>0</v>
      </c>
      <c r="M15" s="745">
        <f t="shared" si="0"/>
        <v>0</v>
      </c>
    </row>
    <row r="16" spans="1:14" ht="21.95" hidden="1" customHeight="1">
      <c r="A16" s="2695"/>
      <c r="B16" s="2863"/>
      <c r="C16" s="2868" t="s">
        <v>2576</v>
      </c>
      <c r="D16" s="1453" t="s">
        <v>1354</v>
      </c>
      <c r="E16" s="1279"/>
      <c r="F16" s="1442"/>
      <c r="G16" s="1589"/>
      <c r="H16" s="1589"/>
      <c r="I16" s="1589"/>
      <c r="J16" s="1589"/>
      <c r="K16" s="1589"/>
      <c r="L16" s="1496">
        <f>TRUNC(SUM(G16:K16),2)</f>
        <v>0</v>
      </c>
      <c r="M16" s="745">
        <f t="shared" si="0"/>
        <v>0</v>
      </c>
    </row>
    <row r="17" spans="1:13" ht="21.95" hidden="1" customHeight="1">
      <c r="A17" s="2695"/>
      <c r="B17" s="2863"/>
      <c r="C17" s="2868"/>
      <c r="D17" s="1089" t="s">
        <v>2578</v>
      </c>
      <c r="E17" s="1279"/>
      <c r="F17" s="1442"/>
      <c r="G17" s="1716"/>
      <c r="H17" s="1716"/>
      <c r="I17" s="1716"/>
      <c r="J17" s="1716"/>
      <c r="K17" s="1716"/>
      <c r="L17" s="1496"/>
      <c r="M17" s="745">
        <f t="shared" si="0"/>
        <v>0</v>
      </c>
    </row>
    <row r="18" spans="1:13" ht="21.95" hidden="1" customHeight="1">
      <c r="A18" s="2695"/>
      <c r="B18" s="2648"/>
      <c r="C18" s="2762"/>
      <c r="D18" s="1089" t="s">
        <v>2579</v>
      </c>
      <c r="E18" s="1279"/>
      <c r="F18" s="1442"/>
      <c r="G18" s="1716"/>
      <c r="H18" s="1716"/>
      <c r="I18" s="1716"/>
      <c r="J18" s="1716"/>
      <c r="K18" s="1716"/>
      <c r="L18" s="1496">
        <f>TRUNC(SUM(G18:K18),2)</f>
        <v>0</v>
      </c>
      <c r="M18" s="745">
        <f t="shared" si="0"/>
        <v>0</v>
      </c>
    </row>
    <row r="19" spans="1:13" ht="21.95" hidden="1" customHeight="1" thickBot="1">
      <c r="A19" s="2695"/>
      <c r="B19" s="2898"/>
      <c r="C19" s="2869"/>
      <c r="D19" s="936" t="s">
        <v>2580</v>
      </c>
      <c r="E19" s="1283"/>
      <c r="F19" s="1563"/>
      <c r="G19" s="1713"/>
      <c r="H19" s="1713"/>
      <c r="I19" s="1713"/>
      <c r="J19" s="1713"/>
      <c r="K19" s="1713"/>
      <c r="L19" s="1714">
        <f>TRUNC(SUM(G19:K19),2)</f>
        <v>0</v>
      </c>
      <c r="M19" s="745">
        <f t="shared" si="0"/>
        <v>0</v>
      </c>
    </row>
    <row r="20" spans="1:13" ht="21.95" hidden="1" customHeight="1" thickBot="1">
      <c r="A20" s="2695"/>
      <c r="B20" s="2753" t="s">
        <v>2581</v>
      </c>
      <c r="C20" s="2754"/>
      <c r="D20" s="1717" t="s">
        <v>2582</v>
      </c>
      <c r="E20" s="1283"/>
      <c r="F20" s="1563"/>
      <c r="G20" s="1359"/>
      <c r="H20" s="1359"/>
      <c r="I20" s="1359"/>
      <c r="J20" s="1359"/>
      <c r="K20" s="1359"/>
      <c r="L20" s="1718">
        <f>TRUNC(SUM(G20:K20),2)</f>
        <v>0</v>
      </c>
      <c r="M20" s="745">
        <f t="shared" si="0"/>
        <v>0</v>
      </c>
    </row>
    <row r="21" spans="1:13" ht="21.95" hidden="1" customHeight="1">
      <c r="A21" s="2695"/>
      <c r="B21" s="2581" t="s">
        <v>2583</v>
      </c>
      <c r="C21" s="2912" t="s">
        <v>1539</v>
      </c>
      <c r="D21" s="2897"/>
      <c r="E21" s="1279"/>
      <c r="F21" s="1442"/>
      <c r="G21" s="1719"/>
      <c r="H21" s="1719"/>
      <c r="I21" s="1719"/>
      <c r="J21" s="1719"/>
      <c r="K21" s="1719"/>
      <c r="L21" s="1708"/>
      <c r="M21" s="745">
        <f t="shared" si="0"/>
        <v>0</v>
      </c>
    </row>
    <row r="22" spans="1:13" ht="21.95" hidden="1" customHeight="1">
      <c r="A22" s="2695"/>
      <c r="B22" s="2582"/>
      <c r="C22" s="2912" t="s">
        <v>2363</v>
      </c>
      <c r="D22" s="2897"/>
      <c r="E22" s="1279"/>
      <c r="F22" s="1442"/>
      <c r="G22" s="1280"/>
      <c r="H22" s="1280"/>
      <c r="I22" s="1280"/>
      <c r="J22" s="1280"/>
      <c r="K22" s="1280"/>
      <c r="L22" s="1496"/>
      <c r="M22" s="745">
        <f t="shared" si="0"/>
        <v>0</v>
      </c>
    </row>
    <row r="23" spans="1:13" ht="21.95" hidden="1" customHeight="1">
      <c r="A23" s="2695"/>
      <c r="B23" s="2582"/>
      <c r="C23" s="2912" t="s">
        <v>2362</v>
      </c>
      <c r="D23" s="2897"/>
      <c r="E23" s="1279"/>
      <c r="F23" s="1442"/>
      <c r="G23" s="1280"/>
      <c r="H23" s="1280"/>
      <c r="I23" s="1280"/>
      <c r="J23" s="1280"/>
      <c r="K23" s="1280"/>
      <c r="L23" s="1496"/>
      <c r="M23" s="745">
        <f t="shared" si="0"/>
        <v>0</v>
      </c>
    </row>
    <row r="24" spans="1:13" ht="21.95" hidden="1" customHeight="1">
      <c r="A24" s="2695"/>
      <c r="B24" s="2582"/>
      <c r="C24" s="2912" t="s">
        <v>1693</v>
      </c>
      <c r="D24" s="2897"/>
      <c r="E24" s="1279"/>
      <c r="F24" s="1442"/>
      <c r="G24" s="1570">
        <f>G21*G22</f>
        <v>0</v>
      </c>
      <c r="H24" s="1570">
        <f>H21*H22</f>
        <v>0</v>
      </c>
      <c r="I24" s="1570">
        <f>I21*I22</f>
        <v>0</v>
      </c>
      <c r="J24" s="1570">
        <f>J21*J22</f>
        <v>0</v>
      </c>
      <c r="K24" s="1570"/>
      <c r="L24" s="1720">
        <f>TRUNC(SUM(G24:K24),2)</f>
        <v>0</v>
      </c>
      <c r="M24" s="745">
        <f t="shared" si="0"/>
        <v>0</v>
      </c>
    </row>
    <row r="25" spans="1:13" ht="21.95" hidden="1" customHeight="1" thickBot="1">
      <c r="A25" s="2695"/>
      <c r="B25" s="2583"/>
      <c r="C25" s="2912" t="s">
        <v>1769</v>
      </c>
      <c r="D25" s="2897"/>
      <c r="E25" s="1279"/>
      <c r="F25" s="1442"/>
      <c r="G25" s="1570">
        <f>G24*G23</f>
        <v>0</v>
      </c>
      <c r="H25" s="1570">
        <f>H24*H23</f>
        <v>0</v>
      </c>
      <c r="I25" s="1570">
        <f>I24*I23</f>
        <v>0</v>
      </c>
      <c r="J25" s="1570">
        <f>J24*J23</f>
        <v>0</v>
      </c>
      <c r="K25" s="1570"/>
      <c r="L25" s="1707">
        <f>TRUNC(SUM(G25:K25),2)</f>
        <v>0</v>
      </c>
      <c r="M25" s="745">
        <f t="shared" si="0"/>
        <v>0</v>
      </c>
    </row>
    <row r="26" spans="1:13" ht="21.95" hidden="1" customHeight="1">
      <c r="A26" s="2695"/>
      <c r="B26" s="2581" t="s">
        <v>2584</v>
      </c>
      <c r="C26" s="1721" t="s">
        <v>2574</v>
      </c>
      <c r="D26" s="1448" t="s">
        <v>1693</v>
      </c>
      <c r="E26" s="1590"/>
      <c r="F26" s="1591"/>
      <c r="G26" s="1722"/>
      <c r="H26" s="1722"/>
      <c r="I26" s="1722"/>
      <c r="J26" s="1722"/>
      <c r="K26" s="1722"/>
      <c r="L26" s="1723">
        <f>TRUNC(SUM(G26:K26),2)</f>
        <v>0</v>
      </c>
      <c r="M26" s="745">
        <f t="shared" si="0"/>
        <v>0</v>
      </c>
    </row>
    <row r="27" spans="1:13" ht="21.95" hidden="1" customHeight="1">
      <c r="A27" s="2695"/>
      <c r="B27" s="2582"/>
      <c r="C27" s="2762" t="s">
        <v>2576</v>
      </c>
      <c r="D27" s="1089" t="s">
        <v>1355</v>
      </c>
      <c r="E27" s="1279"/>
      <c r="F27" s="1442"/>
      <c r="G27" s="1589"/>
      <c r="H27" s="1589"/>
      <c r="I27" s="1589"/>
      <c r="J27" s="1589"/>
      <c r="K27" s="1589"/>
      <c r="L27" s="1496"/>
      <c r="M27" s="745">
        <f t="shared" si="0"/>
        <v>0</v>
      </c>
    </row>
    <row r="28" spans="1:13" ht="21.95" hidden="1" customHeight="1">
      <c r="A28" s="2695"/>
      <c r="B28" s="2582"/>
      <c r="C28" s="2710"/>
      <c r="D28" s="1089" t="s">
        <v>1539</v>
      </c>
      <c r="E28" s="1279"/>
      <c r="F28" s="1442"/>
      <c r="G28" s="1589"/>
      <c r="H28" s="1589"/>
      <c r="I28" s="1589"/>
      <c r="J28" s="1589"/>
      <c r="K28" s="1589"/>
      <c r="L28" s="1496">
        <f>TRUNC(SUM(G28:K28),2)</f>
        <v>0</v>
      </c>
      <c r="M28" s="745">
        <f t="shared" si="0"/>
        <v>0</v>
      </c>
    </row>
    <row r="29" spans="1:13" ht="21.95" hidden="1" customHeight="1">
      <c r="A29" s="2695"/>
      <c r="B29" s="2582"/>
      <c r="C29" s="2763"/>
      <c r="D29" s="1089" t="s">
        <v>1693</v>
      </c>
      <c r="E29" s="1584"/>
      <c r="F29" s="1601"/>
      <c r="G29" s="1586">
        <f>G28+G27</f>
        <v>0</v>
      </c>
      <c r="H29" s="1586">
        <f>H28+H27</f>
        <v>0</v>
      </c>
      <c r="I29" s="1586">
        <f>I28+I27</f>
        <v>0</v>
      </c>
      <c r="J29" s="1586">
        <f>J28+J27</f>
        <v>0</v>
      </c>
      <c r="K29" s="1586"/>
      <c r="L29" s="1715">
        <f>TRUNC(SUM(G29:K29),2)</f>
        <v>0</v>
      </c>
      <c r="M29" s="745">
        <f t="shared" si="0"/>
        <v>0</v>
      </c>
    </row>
    <row r="30" spans="1:13" ht="21.95" hidden="1" customHeight="1" thickBot="1">
      <c r="A30" s="2695"/>
      <c r="B30" s="2583"/>
      <c r="C30" s="2879" t="s">
        <v>2267</v>
      </c>
      <c r="D30" s="2918"/>
      <c r="E30" s="1283"/>
      <c r="F30" s="1563"/>
      <c r="G30" s="1564">
        <f>G29+G26</f>
        <v>0</v>
      </c>
      <c r="H30" s="1564">
        <f>H29+H26</f>
        <v>0</v>
      </c>
      <c r="I30" s="1564">
        <f>I29+I26</f>
        <v>0</v>
      </c>
      <c r="J30" s="1564">
        <f>J29+J26</f>
        <v>0</v>
      </c>
      <c r="K30" s="1564"/>
      <c r="L30" s="1707">
        <f>TRUNC(SUM(G30:K30),2)</f>
        <v>0</v>
      </c>
      <c r="M30" s="745">
        <f t="shared" si="0"/>
        <v>0</v>
      </c>
    </row>
    <row r="31" spans="1:13" ht="21.95" hidden="1" customHeight="1">
      <c r="A31" s="2695"/>
      <c r="B31" s="2581" t="s">
        <v>1642</v>
      </c>
      <c r="C31" s="2700" t="s">
        <v>2574</v>
      </c>
      <c r="D31" s="1534" t="s">
        <v>1539</v>
      </c>
      <c r="E31" s="1279"/>
      <c r="F31" s="1442"/>
      <c r="G31" s="1570">
        <f>G7</f>
        <v>0</v>
      </c>
      <c r="H31" s="1570">
        <f>H7</f>
        <v>0</v>
      </c>
      <c r="I31" s="1570">
        <f>I7</f>
        <v>0</v>
      </c>
      <c r="J31" s="1570">
        <f>J7</f>
        <v>0</v>
      </c>
      <c r="K31" s="1570"/>
      <c r="L31" s="1496">
        <f>TRUNC(SUM(G31:K31),2)</f>
        <v>0</v>
      </c>
      <c r="M31" s="745">
        <f t="shared" si="0"/>
        <v>0</v>
      </c>
    </row>
    <row r="32" spans="1:13" ht="21.95" hidden="1" customHeight="1">
      <c r="A32" s="2695"/>
      <c r="B32" s="2582"/>
      <c r="C32" s="2710"/>
      <c r="D32" s="1089" t="s">
        <v>2363</v>
      </c>
      <c r="E32" s="1584"/>
      <c r="F32" s="1601"/>
      <c r="G32" s="1586"/>
      <c r="H32" s="1586"/>
      <c r="I32" s="1586"/>
      <c r="J32" s="1586"/>
      <c r="K32" s="1586"/>
      <c r="L32" s="1715"/>
      <c r="M32" s="745">
        <f t="shared" si="0"/>
        <v>0</v>
      </c>
    </row>
    <row r="33" spans="1:13" ht="21.95" hidden="1" customHeight="1">
      <c r="A33" s="2695"/>
      <c r="B33" s="2582"/>
      <c r="C33" s="2762" t="s">
        <v>2576</v>
      </c>
      <c r="D33" s="1540" t="s">
        <v>1539</v>
      </c>
      <c r="E33" s="1279"/>
      <c r="F33" s="1442"/>
      <c r="G33" s="1570">
        <f>G10</f>
        <v>0</v>
      </c>
      <c r="H33" s="1570">
        <f>H10</f>
        <v>0</v>
      </c>
      <c r="I33" s="1570">
        <f>I10</f>
        <v>0</v>
      </c>
      <c r="J33" s="1570">
        <f>J10</f>
        <v>0</v>
      </c>
      <c r="K33" s="1570"/>
      <c r="L33" s="1496">
        <f>TRUNC(SUM(G33:K33),2)</f>
        <v>0</v>
      </c>
      <c r="M33" s="745">
        <f t="shared" si="0"/>
        <v>0</v>
      </c>
    </row>
    <row r="34" spans="1:13" ht="21.95" hidden="1" customHeight="1">
      <c r="A34" s="2695"/>
      <c r="B34" s="2582"/>
      <c r="C34" s="2710"/>
      <c r="D34" s="1724" t="s">
        <v>2363</v>
      </c>
      <c r="E34" s="1279"/>
      <c r="F34" s="1442"/>
      <c r="G34" s="1570"/>
      <c r="H34" s="1570"/>
      <c r="I34" s="1570"/>
      <c r="J34" s="1570"/>
      <c r="K34" s="1570"/>
      <c r="L34" s="1496"/>
      <c r="M34" s="745">
        <f t="shared" si="0"/>
        <v>0</v>
      </c>
    </row>
    <row r="35" spans="1:13" ht="21.95" hidden="1" customHeight="1" thickBot="1">
      <c r="A35" s="2695"/>
      <c r="B35" s="2583"/>
      <c r="C35" s="2764" t="s">
        <v>2267</v>
      </c>
      <c r="D35" s="2765"/>
      <c r="E35" s="1725"/>
      <c r="F35" s="1726"/>
      <c r="G35" s="1727"/>
      <c r="H35" s="1727"/>
      <c r="I35" s="1727"/>
      <c r="J35" s="1727"/>
      <c r="K35" s="1727"/>
      <c r="L35" s="1728">
        <f t="shared" ref="L35:L66" si="1">TRUNC(SUM(G35:K35),2)</f>
        <v>0</v>
      </c>
      <c r="M35" s="745">
        <f t="shared" ref="M35:M66" si="2">SUM(G35:L35)</f>
        <v>0</v>
      </c>
    </row>
    <row r="36" spans="1:13" ht="21.95" hidden="1" customHeight="1">
      <c r="A36" s="2695"/>
      <c r="B36" s="2581" t="s">
        <v>2585</v>
      </c>
      <c r="C36" s="2700" t="s">
        <v>2586</v>
      </c>
      <c r="D36" s="1448" t="s">
        <v>1354</v>
      </c>
      <c r="E36" s="1273"/>
      <c r="F36" s="1560"/>
      <c r="G36" s="1545"/>
      <c r="H36" s="1545"/>
      <c r="I36" s="1545"/>
      <c r="J36" s="1545"/>
      <c r="K36" s="1545"/>
      <c r="L36" s="1496">
        <f t="shared" si="1"/>
        <v>0</v>
      </c>
      <c r="M36" s="745">
        <f t="shared" si="2"/>
        <v>0</v>
      </c>
    </row>
    <row r="37" spans="1:13" ht="21.95" hidden="1" customHeight="1">
      <c r="A37" s="2695"/>
      <c r="B37" s="2582"/>
      <c r="C37" s="2710"/>
      <c r="D37" s="1453" t="s">
        <v>1693</v>
      </c>
      <c r="E37" s="1279"/>
      <c r="F37" s="1729">
        <v>9.01</v>
      </c>
      <c r="G37" s="908"/>
      <c r="H37" s="908"/>
      <c r="I37" s="908"/>
      <c r="J37" s="908"/>
      <c r="K37" s="908"/>
      <c r="L37" s="1496">
        <f t="shared" si="1"/>
        <v>0</v>
      </c>
      <c r="M37" s="745">
        <f t="shared" si="2"/>
        <v>0</v>
      </c>
    </row>
    <row r="38" spans="1:13" ht="21.95" hidden="1" customHeight="1">
      <c r="A38" s="2695"/>
      <c r="B38" s="2582"/>
      <c r="C38" s="2710"/>
      <c r="D38" s="1453" t="s">
        <v>1539</v>
      </c>
      <c r="E38" s="1279"/>
      <c r="F38" s="1729">
        <v>5.6</v>
      </c>
      <c r="G38" s="908">
        <f>IF(G36=0,0,5.6)</f>
        <v>0</v>
      </c>
      <c r="H38" s="908">
        <f>IF(H36=0,0,5.6)</f>
        <v>0</v>
      </c>
      <c r="I38" s="908">
        <f>IF(I36=0,0,5.6)</f>
        <v>0</v>
      </c>
      <c r="J38" s="908">
        <f>IF(J36=0,0,5.6)</f>
        <v>0</v>
      </c>
      <c r="K38" s="908"/>
      <c r="L38" s="1496">
        <f t="shared" si="1"/>
        <v>0</v>
      </c>
      <c r="M38" s="745">
        <f t="shared" si="2"/>
        <v>0</v>
      </c>
    </row>
    <row r="39" spans="1:13" ht="21.95" hidden="1" customHeight="1">
      <c r="A39" s="2695"/>
      <c r="B39" s="2582"/>
      <c r="C39" s="2710"/>
      <c r="D39" s="1453" t="s">
        <v>2587</v>
      </c>
      <c r="E39" s="1279"/>
      <c r="F39" s="1729">
        <v>4.5</v>
      </c>
      <c r="G39" s="908">
        <f>IF(G36=0,0,4.5)</f>
        <v>0</v>
      </c>
      <c r="H39" s="908">
        <f>IF(H36=0,0,4.5)</f>
        <v>0</v>
      </c>
      <c r="I39" s="908">
        <f>IF(I36=0,0,4.5)</f>
        <v>0</v>
      </c>
      <c r="J39" s="908">
        <f>IF(J36=0,0,4.5)</f>
        <v>0</v>
      </c>
      <c r="K39" s="908"/>
      <c r="L39" s="1496">
        <f t="shared" si="1"/>
        <v>0</v>
      </c>
      <c r="M39" s="745">
        <f t="shared" si="2"/>
        <v>0</v>
      </c>
    </row>
    <row r="40" spans="1:13" ht="21.95" hidden="1" customHeight="1">
      <c r="A40" s="2695"/>
      <c r="B40" s="2582"/>
      <c r="C40" s="2710"/>
      <c r="D40" s="1453" t="s">
        <v>2588</v>
      </c>
      <c r="E40" s="1279"/>
      <c r="F40" s="1729">
        <f>5.6+1.62*2</f>
        <v>8.84</v>
      </c>
      <c r="G40" s="908">
        <f>IF(G36=0,0,8.84)</f>
        <v>0</v>
      </c>
      <c r="H40" s="908">
        <f>IF(H36=0,0,8.84)</f>
        <v>0</v>
      </c>
      <c r="I40" s="908">
        <f>IF(I36=0,0,8.84)</f>
        <v>0</v>
      </c>
      <c r="J40" s="908">
        <f>IF(J36=0,0,8.84)</f>
        <v>0</v>
      </c>
      <c r="K40" s="908"/>
      <c r="L40" s="1496">
        <f t="shared" si="1"/>
        <v>0</v>
      </c>
      <c r="M40" s="745">
        <f t="shared" si="2"/>
        <v>0</v>
      </c>
    </row>
    <row r="41" spans="1:13" ht="21.95" hidden="1" customHeight="1">
      <c r="A41" s="2695"/>
      <c r="B41" s="2582"/>
      <c r="C41" s="2710"/>
      <c r="D41" s="1453" t="s">
        <v>2589</v>
      </c>
      <c r="E41" s="1279"/>
      <c r="F41" s="1729">
        <v>5.6</v>
      </c>
      <c r="G41" s="908">
        <f>IF(G36=0,0,5.6)</f>
        <v>0</v>
      </c>
      <c r="H41" s="908">
        <f>IF(H36=0,0,5.6)</f>
        <v>0</v>
      </c>
      <c r="I41" s="908">
        <f>IF(I36=0,0,5.6)</f>
        <v>0</v>
      </c>
      <c r="J41" s="908">
        <f>IF(J36=0,0,5.6)</f>
        <v>0</v>
      </c>
      <c r="K41" s="908"/>
      <c r="L41" s="1496">
        <f t="shared" si="1"/>
        <v>0</v>
      </c>
      <c r="M41" s="745">
        <f t="shared" si="2"/>
        <v>0</v>
      </c>
    </row>
    <row r="42" spans="1:13" ht="21.95" hidden="1" customHeight="1">
      <c r="A42" s="2695"/>
      <c r="B42" s="2582"/>
      <c r="C42" s="2763"/>
      <c r="D42" s="1453" t="s">
        <v>2590</v>
      </c>
      <c r="E42" s="1584"/>
      <c r="F42" s="1601"/>
      <c r="G42" s="1730"/>
      <c r="H42" s="1730"/>
      <c r="I42" s="1730"/>
      <c r="J42" s="1730"/>
      <c r="K42" s="1730"/>
      <c r="L42" s="1715">
        <f t="shared" si="1"/>
        <v>0</v>
      </c>
      <c r="M42" s="745">
        <f t="shared" si="2"/>
        <v>0</v>
      </c>
    </row>
    <row r="43" spans="1:13" ht="21.95" hidden="1" customHeight="1">
      <c r="A43" s="2695"/>
      <c r="B43" s="2582"/>
      <c r="C43" s="2710" t="s">
        <v>2591</v>
      </c>
      <c r="D43" s="1453" t="s">
        <v>1354</v>
      </c>
      <c r="E43" s="1279"/>
      <c r="F43" s="1442"/>
      <c r="G43" s="1550"/>
      <c r="H43" s="1550"/>
      <c r="I43" s="1550"/>
      <c r="J43" s="1550"/>
      <c r="K43" s="1550"/>
      <c r="L43" s="1496">
        <f t="shared" si="1"/>
        <v>0</v>
      </c>
      <c r="M43" s="745">
        <f t="shared" si="2"/>
        <v>0</v>
      </c>
    </row>
    <row r="44" spans="1:13" ht="21.95" hidden="1" customHeight="1">
      <c r="A44" s="2695"/>
      <c r="B44" s="2582"/>
      <c r="C44" s="2710"/>
      <c r="D44" s="1453" t="s">
        <v>1693</v>
      </c>
      <c r="E44" s="1279"/>
      <c r="F44" s="1729">
        <v>15.61</v>
      </c>
      <c r="G44" s="908">
        <f>IF(G43=0,0,15.61)</f>
        <v>0</v>
      </c>
      <c r="H44" s="908">
        <f>IF(H43=0,0,15.61)</f>
        <v>0</v>
      </c>
      <c r="I44" s="908">
        <f>IF(I43=0,0,15.61)</f>
        <v>0</v>
      </c>
      <c r="J44" s="908">
        <f>IF(J43=0,0,15.61)</f>
        <v>0</v>
      </c>
      <c r="K44" s="908"/>
      <c r="L44" s="1496">
        <f t="shared" si="1"/>
        <v>0</v>
      </c>
      <c r="M44" s="745">
        <f t="shared" si="2"/>
        <v>0</v>
      </c>
    </row>
    <row r="45" spans="1:13" ht="21.95" hidden="1" customHeight="1">
      <c r="A45" s="2695"/>
      <c r="B45" s="2582"/>
      <c r="C45" s="2710"/>
      <c r="D45" s="1453" t="s">
        <v>1539</v>
      </c>
      <c r="E45" s="1279"/>
      <c r="F45" s="1729">
        <v>7.5</v>
      </c>
      <c r="G45" s="908">
        <f>IF(G43=0,0,7.5)</f>
        <v>0</v>
      </c>
      <c r="H45" s="908">
        <f>IF(H43=0,0,7.5)</f>
        <v>0</v>
      </c>
      <c r="I45" s="908">
        <f>IF(I43=0,0,7.5)</f>
        <v>0</v>
      </c>
      <c r="J45" s="908">
        <f>IF(J43=0,0,7.5)</f>
        <v>0</v>
      </c>
      <c r="K45" s="908"/>
      <c r="L45" s="1496">
        <f t="shared" si="1"/>
        <v>0</v>
      </c>
      <c r="M45" s="745">
        <f t="shared" si="2"/>
        <v>0</v>
      </c>
    </row>
    <row r="46" spans="1:13" ht="21.95" hidden="1" customHeight="1">
      <c r="A46" s="2695"/>
      <c r="B46" s="2582"/>
      <c r="C46" s="2710"/>
      <c r="D46" s="1453" t="s">
        <v>2587</v>
      </c>
      <c r="E46" s="1279"/>
      <c r="F46" s="1729">
        <v>5.5</v>
      </c>
      <c r="G46" s="908">
        <f>IF(G43=0,0,5.5)</f>
        <v>0</v>
      </c>
      <c r="H46" s="908">
        <f>IF(H43=0,0,5.5)</f>
        <v>0</v>
      </c>
      <c r="I46" s="908">
        <f>IF(I43=0,0,5.5)</f>
        <v>0</v>
      </c>
      <c r="J46" s="908">
        <f>IF(J43=0,0,5.5)</f>
        <v>0</v>
      </c>
      <c r="K46" s="908"/>
      <c r="L46" s="1496">
        <f t="shared" si="1"/>
        <v>0</v>
      </c>
      <c r="M46" s="745">
        <f t="shared" si="2"/>
        <v>0</v>
      </c>
    </row>
    <row r="47" spans="1:13" ht="21.95" hidden="1" customHeight="1">
      <c r="A47" s="2695"/>
      <c r="B47" s="2582"/>
      <c r="C47" s="2710"/>
      <c r="D47" s="1453" t="s">
        <v>2588</v>
      </c>
      <c r="E47" s="1279"/>
      <c r="F47" s="1729">
        <f>7.5+2.12*2</f>
        <v>11.74</v>
      </c>
      <c r="G47" s="908">
        <f>IF(G43=0,0,11.74)</f>
        <v>0</v>
      </c>
      <c r="H47" s="908">
        <f>IF(H43=0,0,11.74)</f>
        <v>0</v>
      </c>
      <c r="I47" s="908">
        <f>IF(I43=0,0,11.74)</f>
        <v>0</v>
      </c>
      <c r="J47" s="908">
        <f>IF(J43=0,0,11.74)</f>
        <v>0</v>
      </c>
      <c r="K47" s="908"/>
      <c r="L47" s="1496">
        <f t="shared" si="1"/>
        <v>0</v>
      </c>
      <c r="M47" s="745">
        <f t="shared" si="2"/>
        <v>0</v>
      </c>
    </row>
    <row r="48" spans="1:13" ht="21.95" hidden="1" customHeight="1">
      <c r="A48" s="2695"/>
      <c r="B48" s="2582"/>
      <c r="C48" s="2710"/>
      <c r="D48" s="1453" t="s">
        <v>2589</v>
      </c>
      <c r="E48" s="1279"/>
      <c r="F48" s="1729">
        <v>5.6</v>
      </c>
      <c r="G48" s="908">
        <f>IF(G43=0,0,5.6)</f>
        <v>0</v>
      </c>
      <c r="H48" s="908">
        <f>IF(H43=0,0,5.6)</f>
        <v>0</v>
      </c>
      <c r="I48" s="908">
        <f>IF(I43=0,0,5.6)</f>
        <v>0</v>
      </c>
      <c r="J48" s="908">
        <f>IF(J43=0,0,5.6)</f>
        <v>0</v>
      </c>
      <c r="K48" s="908"/>
      <c r="L48" s="1496">
        <f t="shared" si="1"/>
        <v>0</v>
      </c>
      <c r="M48" s="745">
        <f t="shared" si="2"/>
        <v>0</v>
      </c>
    </row>
    <row r="49" spans="1:13" ht="21.95" hidden="1" customHeight="1">
      <c r="A49" s="2695"/>
      <c r="B49" s="2582"/>
      <c r="C49" s="2763"/>
      <c r="D49" s="1453" t="s">
        <v>2590</v>
      </c>
      <c r="E49" s="1584"/>
      <c r="F49" s="1601"/>
      <c r="G49" s="1730"/>
      <c r="H49" s="1730"/>
      <c r="I49" s="1730"/>
      <c r="J49" s="1730"/>
      <c r="K49" s="1730"/>
      <c r="L49" s="1715">
        <f t="shared" si="1"/>
        <v>0</v>
      </c>
      <c r="M49" s="745">
        <f t="shared" si="2"/>
        <v>0</v>
      </c>
    </row>
    <row r="50" spans="1:13" ht="21.95" hidden="1" customHeight="1">
      <c r="A50" s="2695"/>
      <c r="B50" s="2582"/>
      <c r="C50" s="2762" t="s">
        <v>2592</v>
      </c>
      <c r="D50" s="1089" t="s">
        <v>1354</v>
      </c>
      <c r="E50" s="1599"/>
      <c r="F50" s="1600"/>
      <c r="G50" s="1731"/>
      <c r="H50" s="1731"/>
      <c r="I50" s="1731"/>
      <c r="J50" s="1731"/>
      <c r="K50" s="1731"/>
      <c r="L50" s="1496">
        <f t="shared" si="1"/>
        <v>0</v>
      </c>
      <c r="M50" s="745">
        <f t="shared" si="2"/>
        <v>0</v>
      </c>
    </row>
    <row r="51" spans="1:13" ht="21.95" hidden="1" customHeight="1">
      <c r="A51" s="2695"/>
      <c r="B51" s="2582"/>
      <c r="C51" s="2710"/>
      <c r="D51" s="1453" t="s">
        <v>1693</v>
      </c>
      <c r="E51" s="1279"/>
      <c r="F51" s="1729">
        <v>7.33</v>
      </c>
      <c r="G51" s="908">
        <f>IF(G50=0,0,7.33)</f>
        <v>0</v>
      </c>
      <c r="H51" s="908">
        <f>IF(H50=0,0,7.33)</f>
        <v>0</v>
      </c>
      <c r="I51" s="908">
        <f>IF(I50=0,0,7.33)</f>
        <v>0</v>
      </c>
      <c r="J51" s="908">
        <f>IF(J50=0,0,7.33)</f>
        <v>0</v>
      </c>
      <c r="K51" s="908"/>
      <c r="L51" s="1496">
        <f t="shared" si="1"/>
        <v>0</v>
      </c>
      <c r="M51" s="745">
        <f t="shared" si="2"/>
        <v>0</v>
      </c>
    </row>
    <row r="52" spans="1:13" ht="21.95" hidden="1" customHeight="1">
      <c r="A52" s="2695"/>
      <c r="B52" s="2582"/>
      <c r="C52" s="2710"/>
      <c r="D52" s="1453" t="s">
        <v>1539</v>
      </c>
      <c r="E52" s="1279"/>
      <c r="F52" s="1729">
        <v>5.6</v>
      </c>
      <c r="G52" s="908">
        <f>IF(G50=0,0,5.6)</f>
        <v>0</v>
      </c>
      <c r="H52" s="908">
        <f>IF(H50=0,0,5.6)</f>
        <v>0</v>
      </c>
      <c r="I52" s="908">
        <f>IF(I50=0,0,5.6)</f>
        <v>0</v>
      </c>
      <c r="J52" s="908">
        <f>IF(J50=0,0,5.6)</f>
        <v>0</v>
      </c>
      <c r="K52" s="908"/>
      <c r="L52" s="1496">
        <f t="shared" si="1"/>
        <v>0</v>
      </c>
      <c r="M52" s="745">
        <f t="shared" si="2"/>
        <v>0</v>
      </c>
    </row>
    <row r="53" spans="1:13" ht="21.95" hidden="1" customHeight="1">
      <c r="A53" s="2695"/>
      <c r="B53" s="2582"/>
      <c r="C53" s="2710"/>
      <c r="D53" s="1453" t="s">
        <v>2587</v>
      </c>
      <c r="E53" s="1279"/>
      <c r="F53" s="1729">
        <f>1.25*2+1.5</f>
        <v>4</v>
      </c>
      <c r="G53" s="908">
        <f>IF(G50=0,0,4)</f>
        <v>0</v>
      </c>
      <c r="H53" s="908">
        <f>IF(H50=0,0,4)</f>
        <v>0</v>
      </c>
      <c r="I53" s="908">
        <f>IF(I50=0,0,4)</f>
        <v>0</v>
      </c>
      <c r="J53" s="908">
        <f>IF(J50=0,0,4)</f>
        <v>0</v>
      </c>
      <c r="K53" s="908"/>
      <c r="L53" s="1496">
        <f t="shared" si="1"/>
        <v>0</v>
      </c>
      <c r="M53" s="745">
        <f t="shared" si="2"/>
        <v>0</v>
      </c>
    </row>
    <row r="54" spans="1:13" ht="21.95" hidden="1" customHeight="1">
      <c r="A54" s="2695"/>
      <c r="B54" s="2582"/>
      <c r="C54" s="2710"/>
      <c r="D54" s="1453" t="s">
        <v>2588</v>
      </c>
      <c r="E54" s="1279"/>
      <c r="F54" s="1729">
        <v>8.24</v>
      </c>
      <c r="G54" s="908">
        <f>IF(G50=0,0,8.24)</f>
        <v>0</v>
      </c>
      <c r="H54" s="908">
        <f>IF(H50=0,0,8.24)</f>
        <v>0</v>
      </c>
      <c r="I54" s="908">
        <f>IF(I50=0,0,8.24)</f>
        <v>0</v>
      </c>
      <c r="J54" s="908">
        <f>IF(J50=0,0,8.24)</f>
        <v>0</v>
      </c>
      <c r="K54" s="908"/>
      <c r="L54" s="1496">
        <f t="shared" si="1"/>
        <v>0</v>
      </c>
      <c r="M54" s="745">
        <f t="shared" si="2"/>
        <v>0</v>
      </c>
    </row>
    <row r="55" spans="1:13" ht="21.95" hidden="1" customHeight="1">
      <c r="A55" s="2695"/>
      <c r="B55" s="2582"/>
      <c r="C55" s="2710"/>
      <c r="D55" s="1453" t="s">
        <v>2589</v>
      </c>
      <c r="E55" s="1279"/>
      <c r="F55" s="1729">
        <v>5.6</v>
      </c>
      <c r="G55" s="908">
        <f>IF(G50=0,0,5.6)</f>
        <v>0</v>
      </c>
      <c r="H55" s="908">
        <f>IF(H50=0,0,5.6)</f>
        <v>0</v>
      </c>
      <c r="I55" s="908">
        <f>IF(I50=0,0,5.6)</f>
        <v>0</v>
      </c>
      <c r="J55" s="908">
        <f>IF(J50=0,0,5.6)</f>
        <v>0</v>
      </c>
      <c r="K55" s="908"/>
      <c r="L55" s="1496">
        <f t="shared" si="1"/>
        <v>0</v>
      </c>
      <c r="M55" s="745">
        <f t="shared" si="2"/>
        <v>0</v>
      </c>
    </row>
    <row r="56" spans="1:13" ht="21.95" hidden="1" customHeight="1">
      <c r="A56" s="2695"/>
      <c r="B56" s="2582"/>
      <c r="C56" s="2763"/>
      <c r="D56" s="1453" t="s">
        <v>2590</v>
      </c>
      <c r="E56" s="1584"/>
      <c r="F56" s="1601"/>
      <c r="G56" s="1730"/>
      <c r="H56" s="1730"/>
      <c r="I56" s="1730"/>
      <c r="J56" s="1730"/>
      <c r="K56" s="1730"/>
      <c r="L56" s="1715">
        <f t="shared" si="1"/>
        <v>0</v>
      </c>
      <c r="M56" s="745">
        <f t="shared" si="2"/>
        <v>0</v>
      </c>
    </row>
    <row r="57" spans="1:13" ht="21.95" hidden="1" customHeight="1">
      <c r="A57" s="2695"/>
      <c r="B57" s="2582"/>
      <c r="C57" s="2762" t="s">
        <v>2593</v>
      </c>
      <c r="D57" s="1089" t="s">
        <v>1354</v>
      </c>
      <c r="E57" s="1599"/>
      <c r="F57" s="1600"/>
      <c r="G57" s="1731"/>
      <c r="H57" s="1731"/>
      <c r="I57" s="1731"/>
      <c r="J57" s="1731"/>
      <c r="K57" s="1731"/>
      <c r="L57" s="1496">
        <f t="shared" si="1"/>
        <v>0</v>
      </c>
      <c r="M57" s="745">
        <f t="shared" si="2"/>
        <v>0</v>
      </c>
    </row>
    <row r="58" spans="1:13" ht="21.95" hidden="1" customHeight="1">
      <c r="A58" s="2695"/>
      <c r="B58" s="2582"/>
      <c r="C58" s="2710"/>
      <c r="D58" s="1453" t="s">
        <v>1693</v>
      </c>
      <c r="E58" s="1279"/>
      <c r="F58" s="1729">
        <v>13.36</v>
      </c>
      <c r="G58" s="908">
        <f>IF(G57=0,0,13.36)</f>
        <v>0</v>
      </c>
      <c r="H58" s="908">
        <f>IF(H57=0,0,13.36)</f>
        <v>0</v>
      </c>
      <c r="I58" s="908">
        <f>IF(I57=0,0,13.36)</f>
        <v>0</v>
      </c>
      <c r="J58" s="908">
        <f>IF(J57=0,0,13.36)</f>
        <v>0</v>
      </c>
      <c r="K58" s="908"/>
      <c r="L58" s="1496">
        <f t="shared" si="1"/>
        <v>0</v>
      </c>
      <c r="M58" s="745">
        <f t="shared" si="2"/>
        <v>0</v>
      </c>
    </row>
    <row r="59" spans="1:13" ht="21.95" hidden="1" customHeight="1">
      <c r="A59" s="2695"/>
      <c r="B59" s="2582"/>
      <c r="C59" s="2710"/>
      <c r="D59" s="1453" t="s">
        <v>1539</v>
      </c>
      <c r="E59" s="1279"/>
      <c r="F59" s="1729">
        <v>7.5</v>
      </c>
      <c r="G59" s="908">
        <f>IF(G57=0,0,7.5)</f>
        <v>0</v>
      </c>
      <c r="H59" s="908">
        <f>IF(H57=0,0,7.5)</f>
        <v>0</v>
      </c>
      <c r="I59" s="908">
        <f>IF(I57=0,0,7.5)</f>
        <v>0</v>
      </c>
      <c r="J59" s="908">
        <f>IF(J57=0,0,7.5)</f>
        <v>0</v>
      </c>
      <c r="K59" s="908"/>
      <c r="L59" s="1496">
        <f t="shared" si="1"/>
        <v>0</v>
      </c>
      <c r="M59" s="745">
        <f t="shared" si="2"/>
        <v>0</v>
      </c>
    </row>
    <row r="60" spans="1:13" ht="21.95" hidden="1" customHeight="1">
      <c r="A60" s="2695"/>
      <c r="B60" s="2582"/>
      <c r="C60" s="2710"/>
      <c r="D60" s="1453" t="s">
        <v>2587</v>
      </c>
      <c r="E60" s="1279"/>
      <c r="F60" s="1729">
        <v>5</v>
      </c>
      <c r="G60" s="908">
        <f>IF(G57=0,0,5)</f>
        <v>0</v>
      </c>
      <c r="H60" s="908">
        <f>IF(H57=0,0,5)</f>
        <v>0</v>
      </c>
      <c r="I60" s="908">
        <f>IF(I57=0,0,5)</f>
        <v>0</v>
      </c>
      <c r="J60" s="908">
        <f>IF(J57=0,0,5)</f>
        <v>0</v>
      </c>
      <c r="K60" s="908"/>
      <c r="L60" s="1496">
        <f t="shared" si="1"/>
        <v>0</v>
      </c>
      <c r="M60" s="745">
        <f t="shared" si="2"/>
        <v>0</v>
      </c>
    </row>
    <row r="61" spans="1:13" ht="21.95" hidden="1" customHeight="1">
      <c r="A61" s="2695"/>
      <c r="B61" s="2582"/>
      <c r="C61" s="2710"/>
      <c r="D61" s="1453" t="s">
        <v>2588</v>
      </c>
      <c r="E61" s="1279"/>
      <c r="F61" s="1729">
        <f>7.5+1.82*2</f>
        <v>11.14</v>
      </c>
      <c r="G61" s="908">
        <f>IF(G57=0,0,11.14)</f>
        <v>0</v>
      </c>
      <c r="H61" s="908">
        <f>IF(H57=0,0,11.14)</f>
        <v>0</v>
      </c>
      <c r="I61" s="908">
        <f>IF(I57=0,0,11.14)</f>
        <v>0</v>
      </c>
      <c r="J61" s="908">
        <f>IF(J57=0,0,11.14)</f>
        <v>0</v>
      </c>
      <c r="K61" s="908"/>
      <c r="L61" s="1496">
        <f t="shared" si="1"/>
        <v>0</v>
      </c>
      <c r="M61" s="745">
        <f t="shared" si="2"/>
        <v>0</v>
      </c>
    </row>
    <row r="62" spans="1:13" ht="21.95" hidden="1" customHeight="1">
      <c r="A62" s="2695"/>
      <c r="B62" s="2582"/>
      <c r="C62" s="2710"/>
      <c r="D62" s="1453" t="s">
        <v>2589</v>
      </c>
      <c r="E62" s="1279"/>
      <c r="F62" s="1729">
        <v>5.6</v>
      </c>
      <c r="G62" s="908">
        <f>IF(G57=0,0,5.6)</f>
        <v>0</v>
      </c>
      <c r="H62" s="908">
        <f>IF(H57=0,0,5.6)</f>
        <v>0</v>
      </c>
      <c r="I62" s="908">
        <f>IF(I57=0,0,5.6)</f>
        <v>0</v>
      </c>
      <c r="J62" s="908">
        <f>IF(J57=0,0,5.6)</f>
        <v>0</v>
      </c>
      <c r="K62" s="908"/>
      <c r="L62" s="1496">
        <f t="shared" si="1"/>
        <v>0</v>
      </c>
      <c r="M62" s="745">
        <f t="shared" si="2"/>
        <v>0</v>
      </c>
    </row>
    <row r="63" spans="1:13" ht="21.95" hidden="1" customHeight="1">
      <c r="A63" s="2695"/>
      <c r="B63" s="2582"/>
      <c r="C63" s="2710"/>
      <c r="D63" s="1631" t="s">
        <v>2590</v>
      </c>
      <c r="E63" s="1279"/>
      <c r="F63" s="1442"/>
      <c r="G63" s="1550"/>
      <c r="H63" s="1550"/>
      <c r="I63" s="1550"/>
      <c r="J63" s="1550"/>
      <c r="K63" s="1550"/>
      <c r="L63" s="1496">
        <f t="shared" si="1"/>
        <v>0</v>
      </c>
      <c r="M63" s="745">
        <f t="shared" si="2"/>
        <v>0</v>
      </c>
    </row>
    <row r="64" spans="1:13" ht="21.95" hidden="1" customHeight="1">
      <c r="A64" s="2695"/>
      <c r="B64" s="2582"/>
      <c r="C64" s="2914" t="s">
        <v>2594</v>
      </c>
      <c r="D64" s="1089" t="s">
        <v>1354</v>
      </c>
      <c r="E64" s="1599"/>
      <c r="F64" s="1600"/>
      <c r="G64" s="1731"/>
      <c r="H64" s="1731"/>
      <c r="I64" s="1731"/>
      <c r="J64" s="1731"/>
      <c r="K64" s="1731"/>
      <c r="L64" s="1712">
        <f t="shared" si="1"/>
        <v>0</v>
      </c>
      <c r="M64" s="745">
        <f t="shared" si="2"/>
        <v>0</v>
      </c>
    </row>
    <row r="65" spans="1:13" ht="21.95" hidden="1" customHeight="1">
      <c r="A65" s="2695"/>
      <c r="B65" s="2582"/>
      <c r="C65" s="2771"/>
      <c r="D65" s="1453" t="s">
        <v>1693</v>
      </c>
      <c r="E65" s="1279"/>
      <c r="F65" s="1729" t="s">
        <v>2595</v>
      </c>
      <c r="G65" s="908">
        <f>IF(G64=0,0,42.21)</f>
        <v>0</v>
      </c>
      <c r="H65" s="908">
        <f>IF(H64=0,0,42.21)</f>
        <v>0</v>
      </c>
      <c r="I65" s="908">
        <f>IF(I64=0,0,42.21)</f>
        <v>0</v>
      </c>
      <c r="J65" s="908">
        <f>IF(J64=0,0,42.21)</f>
        <v>0</v>
      </c>
      <c r="K65" s="908"/>
      <c r="L65" s="1496">
        <f t="shared" si="1"/>
        <v>0</v>
      </c>
      <c r="M65" s="745">
        <f t="shared" si="2"/>
        <v>0</v>
      </c>
    </row>
    <row r="66" spans="1:13" ht="21.95" hidden="1" customHeight="1">
      <c r="A66" s="2695"/>
      <c r="B66" s="2582"/>
      <c r="C66" s="2771"/>
      <c r="D66" s="1453" t="s">
        <v>1539</v>
      </c>
      <c r="E66" s="1279"/>
      <c r="F66" s="1729">
        <v>16.850000000000001</v>
      </c>
      <c r="G66" s="908">
        <f>IF(G64=0,0,16.85)</f>
        <v>0</v>
      </c>
      <c r="H66" s="908">
        <f>IF(H64=0,0,16.85)</f>
        <v>0</v>
      </c>
      <c r="I66" s="908">
        <f>IF(I64=0,0,16.85)</f>
        <v>0</v>
      </c>
      <c r="J66" s="908">
        <f>IF(J64=0,0,16.85)</f>
        <v>0</v>
      </c>
      <c r="K66" s="908"/>
      <c r="L66" s="1496">
        <f t="shared" si="1"/>
        <v>0</v>
      </c>
      <c r="M66" s="745">
        <f t="shared" si="2"/>
        <v>0</v>
      </c>
    </row>
    <row r="67" spans="1:13" ht="21.95" hidden="1" customHeight="1">
      <c r="A67" s="2695"/>
      <c r="B67" s="2582"/>
      <c r="C67" s="2771"/>
      <c r="D67" s="1453" t="s">
        <v>2575</v>
      </c>
      <c r="E67" s="1279"/>
      <c r="F67" s="1729">
        <f>18*0.25</f>
        <v>4.5</v>
      </c>
      <c r="G67" s="908">
        <f>IF(G64=0,0,4.5)</f>
        <v>0</v>
      </c>
      <c r="H67" s="908">
        <f>IF(H64=0,0,4.5)</f>
        <v>0</v>
      </c>
      <c r="I67" s="908">
        <f>IF(I64=0,0,4.5)</f>
        <v>0</v>
      </c>
      <c r="J67" s="908">
        <f>IF(J64=0,0,4.5)</f>
        <v>0</v>
      </c>
      <c r="K67" s="908"/>
      <c r="L67" s="1496">
        <f t="shared" ref="L67:L128" si="3">TRUNC(SUM(G67:K67),2)</f>
        <v>0</v>
      </c>
      <c r="M67" s="745">
        <f t="shared" ref="M67:M130" si="4">SUM(G67:L67)</f>
        <v>0</v>
      </c>
    </row>
    <row r="68" spans="1:13" ht="21.95" hidden="1" customHeight="1">
      <c r="A68" s="2695"/>
      <c r="B68" s="2582"/>
      <c r="C68" s="2771"/>
      <c r="D68" s="1453" t="s">
        <v>2587</v>
      </c>
      <c r="E68" s="1279"/>
      <c r="F68" s="1729">
        <v>3</v>
      </c>
      <c r="G68" s="908">
        <f>IF(G64=0,0,3)</f>
        <v>0</v>
      </c>
      <c r="H68" s="908">
        <f>IF(H64=0,0,3)</f>
        <v>0</v>
      </c>
      <c r="I68" s="908">
        <f>IF(I64=0,0,3)</f>
        <v>0</v>
      </c>
      <c r="J68" s="908">
        <f>IF(J64=0,0,3)</f>
        <v>0</v>
      </c>
      <c r="K68" s="908"/>
      <c r="L68" s="1496">
        <f t="shared" si="3"/>
        <v>0</v>
      </c>
      <c r="M68" s="745">
        <f t="shared" si="4"/>
        <v>0</v>
      </c>
    </row>
    <row r="69" spans="1:13" ht="21.95" hidden="1" customHeight="1">
      <c r="A69" s="2695"/>
      <c r="B69" s="2582"/>
      <c r="C69" s="2771"/>
      <c r="D69" s="1453" t="s">
        <v>2588</v>
      </c>
      <c r="E69" s="1279"/>
      <c r="F69" s="1729">
        <v>17.13</v>
      </c>
      <c r="G69" s="908">
        <f>IF(G64=0,0,17.13)</f>
        <v>0</v>
      </c>
      <c r="H69" s="908">
        <f>IF(H64=0,0,17.13)</f>
        <v>0</v>
      </c>
      <c r="I69" s="908">
        <f>IF(I64=0,0,17.13)</f>
        <v>0</v>
      </c>
      <c r="J69" s="908">
        <f>IF(J64=0,0,17.13)</f>
        <v>0</v>
      </c>
      <c r="K69" s="908"/>
      <c r="L69" s="1496">
        <f t="shared" si="3"/>
        <v>0</v>
      </c>
      <c r="M69" s="745">
        <f t="shared" si="4"/>
        <v>0</v>
      </c>
    </row>
    <row r="70" spans="1:13" ht="21.95" hidden="1" customHeight="1">
      <c r="A70" s="2695"/>
      <c r="B70" s="2582"/>
      <c r="C70" s="2904"/>
      <c r="D70" s="1453" t="s">
        <v>2590</v>
      </c>
      <c r="E70" s="1584"/>
      <c r="F70" s="1601"/>
      <c r="G70" s="1730"/>
      <c r="H70" s="1730"/>
      <c r="I70" s="1730"/>
      <c r="J70" s="1730"/>
      <c r="K70" s="1730"/>
      <c r="L70" s="1715">
        <f t="shared" si="3"/>
        <v>0</v>
      </c>
      <c r="M70" s="745">
        <f t="shared" si="4"/>
        <v>0</v>
      </c>
    </row>
    <row r="71" spans="1:13" ht="21.95" hidden="1" customHeight="1">
      <c r="A71" s="2695"/>
      <c r="B71" s="2582"/>
      <c r="C71" s="2762" t="s">
        <v>2596</v>
      </c>
      <c r="D71" s="1089" t="s">
        <v>1354</v>
      </c>
      <c r="E71" s="1599"/>
      <c r="F71" s="1600"/>
      <c r="G71" s="1731"/>
      <c r="H71" s="1731"/>
      <c r="I71" s="1731"/>
      <c r="J71" s="1731"/>
      <c r="K71" s="1731"/>
      <c r="L71" s="1496">
        <f t="shared" si="3"/>
        <v>0</v>
      </c>
      <c r="M71" s="745">
        <f t="shared" si="4"/>
        <v>0</v>
      </c>
    </row>
    <row r="72" spans="1:13" ht="21.95" hidden="1" customHeight="1">
      <c r="A72" s="2695"/>
      <c r="B72" s="2582"/>
      <c r="C72" s="2710"/>
      <c r="D72" s="1453" t="s">
        <v>1693</v>
      </c>
      <c r="E72" s="1279"/>
      <c r="F72" s="1729">
        <v>42.21</v>
      </c>
      <c r="G72" s="908">
        <f>IF(G71=0,0,42.21)</f>
        <v>0</v>
      </c>
      <c r="H72" s="908">
        <f>IF(H71=0,0,42.21)</f>
        <v>0</v>
      </c>
      <c r="I72" s="908">
        <f>IF(I71=0,0,42.21)</f>
        <v>0</v>
      </c>
      <c r="J72" s="908">
        <f>IF(J71=0,0,42.21)</f>
        <v>0</v>
      </c>
      <c r="K72" s="908"/>
      <c r="L72" s="1496">
        <f t="shared" si="3"/>
        <v>0</v>
      </c>
      <c r="M72" s="745">
        <f t="shared" si="4"/>
        <v>0</v>
      </c>
    </row>
    <row r="73" spans="1:13" ht="21.95" hidden="1" customHeight="1">
      <c r="A73" s="2695"/>
      <c r="B73" s="2582"/>
      <c r="C73" s="2710"/>
      <c r="D73" s="1453" t="s">
        <v>1539</v>
      </c>
      <c r="E73" s="1279"/>
      <c r="F73" s="1729">
        <v>16.850000000000001</v>
      </c>
      <c r="G73" s="908">
        <f>IF(G71=0,0,16.85)</f>
        <v>0</v>
      </c>
      <c r="H73" s="908">
        <f>IF(H71=0,0,16.85)</f>
        <v>0</v>
      </c>
      <c r="I73" s="908">
        <f>IF(I71=0,0,16.85)</f>
        <v>0</v>
      </c>
      <c r="J73" s="908">
        <f>IF(J71=0,0,16.85)</f>
        <v>0</v>
      </c>
      <c r="K73" s="908"/>
      <c r="L73" s="1496">
        <f t="shared" si="3"/>
        <v>0</v>
      </c>
      <c r="M73" s="745">
        <f t="shared" si="4"/>
        <v>0</v>
      </c>
    </row>
    <row r="74" spans="1:13" ht="21.95" hidden="1" customHeight="1">
      <c r="A74" s="2695"/>
      <c r="B74" s="2582"/>
      <c r="C74" s="2710"/>
      <c r="D74" s="1453" t="s">
        <v>2575</v>
      </c>
      <c r="E74" s="1279"/>
      <c r="F74" s="1729">
        <f>50*0.25</f>
        <v>12.5</v>
      </c>
      <c r="G74" s="908">
        <f>IF(G71=0,0,12.5)</f>
        <v>0</v>
      </c>
      <c r="H74" s="908">
        <f>IF(H71=0,0,12.5)</f>
        <v>0</v>
      </c>
      <c r="I74" s="908">
        <f>IF(I71=0,0,12.5)</f>
        <v>0</v>
      </c>
      <c r="J74" s="908">
        <f>IF(J71=0,0,12.5)</f>
        <v>0</v>
      </c>
      <c r="K74" s="908"/>
      <c r="L74" s="1496">
        <f t="shared" si="3"/>
        <v>0</v>
      </c>
      <c r="M74" s="745">
        <f t="shared" si="4"/>
        <v>0</v>
      </c>
    </row>
    <row r="75" spans="1:13" ht="21.95" hidden="1" customHeight="1">
      <c r="A75" s="2695"/>
      <c r="B75" s="2582"/>
      <c r="C75" s="2710"/>
      <c r="D75" s="1453" t="s">
        <v>2587</v>
      </c>
      <c r="E75" s="1279"/>
      <c r="F75" s="1729">
        <f>44*0.25</f>
        <v>11</v>
      </c>
      <c r="G75" s="908">
        <f>IF(G71=0,0,11)</f>
        <v>0</v>
      </c>
      <c r="H75" s="908">
        <f>IF(H71=0,0,11)</f>
        <v>0</v>
      </c>
      <c r="I75" s="908">
        <f>IF(I71=0,0,11)</f>
        <v>0</v>
      </c>
      <c r="J75" s="908">
        <f>IF(J71=0,0,11)</f>
        <v>0</v>
      </c>
      <c r="K75" s="908"/>
      <c r="L75" s="1496">
        <f t="shared" si="3"/>
        <v>0</v>
      </c>
      <c r="M75" s="745">
        <f t="shared" si="4"/>
        <v>0</v>
      </c>
    </row>
    <row r="76" spans="1:13" ht="21.95" hidden="1" customHeight="1">
      <c r="A76" s="2695"/>
      <c r="B76" s="2582"/>
      <c r="C76" s="2710"/>
      <c r="D76" s="1453" t="s">
        <v>2588</v>
      </c>
      <c r="E76" s="1279"/>
      <c r="F76" s="1729">
        <v>17.13</v>
      </c>
      <c r="G76" s="908">
        <f>IF(G71=0,0,17.13)</f>
        <v>0</v>
      </c>
      <c r="H76" s="908">
        <f>IF(H71=0,0,17.13)</f>
        <v>0</v>
      </c>
      <c r="I76" s="908">
        <f>IF(I71=0,0,17.13)</f>
        <v>0</v>
      </c>
      <c r="J76" s="908">
        <f>IF(J71=0,0,17.13)</f>
        <v>0</v>
      </c>
      <c r="K76" s="908"/>
      <c r="L76" s="1496">
        <f t="shared" si="3"/>
        <v>0</v>
      </c>
      <c r="M76" s="745">
        <f t="shared" si="4"/>
        <v>0</v>
      </c>
    </row>
    <row r="77" spans="1:13" ht="21.95" hidden="1" customHeight="1">
      <c r="A77" s="2695"/>
      <c r="B77" s="2582"/>
      <c r="C77" s="2763"/>
      <c r="D77" s="1453" t="s">
        <v>2590</v>
      </c>
      <c r="E77" s="1584"/>
      <c r="F77" s="1601"/>
      <c r="G77" s="1730"/>
      <c r="H77" s="1730"/>
      <c r="I77" s="1730"/>
      <c r="J77" s="1730"/>
      <c r="K77" s="1730"/>
      <c r="L77" s="1715">
        <f t="shared" si="3"/>
        <v>0</v>
      </c>
      <c r="M77" s="745">
        <f t="shared" si="4"/>
        <v>0</v>
      </c>
    </row>
    <row r="78" spans="1:13" ht="21.95" hidden="1" customHeight="1">
      <c r="A78" s="2695"/>
      <c r="B78" s="2582"/>
      <c r="C78" s="2762" t="s">
        <v>2597</v>
      </c>
      <c r="D78" s="1089" t="s">
        <v>1354</v>
      </c>
      <c r="E78" s="1599"/>
      <c r="F78" s="1600"/>
      <c r="G78" s="1731"/>
      <c r="H78" s="1731"/>
      <c r="I78" s="1731"/>
      <c r="J78" s="1731"/>
      <c r="K78" s="1731"/>
      <c r="L78" s="1496">
        <f t="shared" si="3"/>
        <v>0</v>
      </c>
      <c r="M78" s="745">
        <f t="shared" si="4"/>
        <v>0</v>
      </c>
    </row>
    <row r="79" spans="1:13" ht="21.95" hidden="1" customHeight="1">
      <c r="A79" s="2695"/>
      <c r="B79" s="2582"/>
      <c r="C79" s="2710"/>
      <c r="D79" s="1453" t="s">
        <v>1693</v>
      </c>
      <c r="E79" s="1279"/>
      <c r="F79" s="1729">
        <v>30.6</v>
      </c>
      <c r="G79" s="908">
        <f>IF(G78=0,0,30.6)</f>
        <v>0</v>
      </c>
      <c r="H79" s="908">
        <f>IF(H78=0,0,30.6)</f>
        <v>0</v>
      </c>
      <c r="I79" s="908">
        <f>IF(I78=0,0,30.6)</f>
        <v>0</v>
      </c>
      <c r="J79" s="908">
        <f>IF(J78=0,0,30.6)</f>
        <v>0</v>
      </c>
      <c r="K79" s="908"/>
      <c r="L79" s="1496">
        <f t="shared" si="3"/>
        <v>0</v>
      </c>
      <c r="M79" s="745">
        <f t="shared" si="4"/>
        <v>0</v>
      </c>
    </row>
    <row r="80" spans="1:13" ht="21.95" hidden="1" customHeight="1">
      <c r="A80" s="2695"/>
      <c r="B80" s="2582"/>
      <c r="C80" s="2710"/>
      <c r="D80" s="1453" t="s">
        <v>1539</v>
      </c>
      <c r="E80" s="1279"/>
      <c r="F80" s="1729">
        <v>16.850000000000001</v>
      </c>
      <c r="G80" s="908">
        <f>IF(G78=0,0,16.85)</f>
        <v>0</v>
      </c>
      <c r="H80" s="908">
        <f>IF(H78=0,0,16.85)</f>
        <v>0</v>
      </c>
      <c r="I80" s="908">
        <f>IF(I78=0,0,16.85)</f>
        <v>0</v>
      </c>
      <c r="J80" s="908">
        <f>IF(J78=0,0,16.85)</f>
        <v>0</v>
      </c>
      <c r="K80" s="908"/>
      <c r="L80" s="1496">
        <f t="shared" si="3"/>
        <v>0</v>
      </c>
      <c r="M80" s="745">
        <f t="shared" si="4"/>
        <v>0</v>
      </c>
    </row>
    <row r="81" spans="1:13" ht="21.95" hidden="1" customHeight="1">
      <c r="A81" s="2695"/>
      <c r="B81" s="2582"/>
      <c r="C81" s="2710"/>
      <c r="D81" s="1453" t="s">
        <v>2587</v>
      </c>
      <c r="E81" s="1279"/>
      <c r="F81" s="1729">
        <f>44*0.25</f>
        <v>11</v>
      </c>
      <c r="G81" s="908">
        <f>IF(G78=0,0,11)</f>
        <v>0</v>
      </c>
      <c r="H81" s="908">
        <f>IF(H78=0,0,11)</f>
        <v>0</v>
      </c>
      <c r="I81" s="908">
        <f>IF(I78=0,0,11)</f>
        <v>0</v>
      </c>
      <c r="J81" s="908">
        <f>IF(J78=0,0,11)</f>
        <v>0</v>
      </c>
      <c r="K81" s="908"/>
      <c r="L81" s="1496">
        <f t="shared" si="3"/>
        <v>0</v>
      </c>
      <c r="M81" s="745">
        <f t="shared" si="4"/>
        <v>0</v>
      </c>
    </row>
    <row r="82" spans="1:13" ht="21.95" hidden="1" customHeight="1">
      <c r="A82" s="2695"/>
      <c r="B82" s="2582"/>
      <c r="C82" s="2710"/>
      <c r="D82" s="1453" t="s">
        <v>2588</v>
      </c>
      <c r="E82" s="1279"/>
      <c r="F82" s="1729">
        <v>17.05</v>
      </c>
      <c r="G82" s="908">
        <f>IF(G78=0,0,17.05)</f>
        <v>0</v>
      </c>
      <c r="H82" s="908">
        <f>IF(H78=0,0,17.05)</f>
        <v>0</v>
      </c>
      <c r="I82" s="908">
        <f>IF(I78=0,0,17.05)</f>
        <v>0</v>
      </c>
      <c r="J82" s="908">
        <f>IF(J78=0,0,17.05)</f>
        <v>0</v>
      </c>
      <c r="K82" s="908"/>
      <c r="L82" s="1496">
        <f t="shared" si="3"/>
        <v>0</v>
      </c>
      <c r="M82" s="745">
        <f t="shared" si="4"/>
        <v>0</v>
      </c>
    </row>
    <row r="83" spans="1:13" ht="21.95" hidden="1" customHeight="1">
      <c r="A83" s="2695"/>
      <c r="B83" s="2582"/>
      <c r="C83" s="2710"/>
      <c r="D83" s="1453" t="s">
        <v>2589</v>
      </c>
      <c r="E83" s="1279"/>
      <c r="F83" s="1729">
        <v>10.1</v>
      </c>
      <c r="G83" s="908">
        <f>IF(G78=0,0,10.1)</f>
        <v>0</v>
      </c>
      <c r="H83" s="908">
        <f>IF(H78=0,0,10.1)</f>
        <v>0</v>
      </c>
      <c r="I83" s="908">
        <f>IF(I78=0,0,10.1)</f>
        <v>0</v>
      </c>
      <c r="J83" s="908">
        <f>IF(J78=0,0,10.1)</f>
        <v>0</v>
      </c>
      <c r="K83" s="908"/>
      <c r="L83" s="1496">
        <f t="shared" si="3"/>
        <v>0</v>
      </c>
      <c r="M83" s="745">
        <f t="shared" si="4"/>
        <v>0</v>
      </c>
    </row>
    <row r="84" spans="1:13" ht="21.95" hidden="1" customHeight="1">
      <c r="A84" s="2695"/>
      <c r="B84" s="2582"/>
      <c r="C84" s="2763"/>
      <c r="D84" s="1453" t="s">
        <v>2590</v>
      </c>
      <c r="E84" s="1584"/>
      <c r="F84" s="1601"/>
      <c r="G84" s="1730"/>
      <c r="H84" s="1730"/>
      <c r="I84" s="1730"/>
      <c r="J84" s="1730"/>
      <c r="K84" s="1730"/>
      <c r="L84" s="1715">
        <f t="shared" si="3"/>
        <v>0</v>
      </c>
      <c r="M84" s="745">
        <f t="shared" si="4"/>
        <v>0</v>
      </c>
    </row>
    <row r="85" spans="1:13" ht="21.95" hidden="1" customHeight="1">
      <c r="A85" s="2695"/>
      <c r="B85" s="2582"/>
      <c r="C85" s="2762" t="s">
        <v>2598</v>
      </c>
      <c r="D85" s="1089" t="s">
        <v>1354</v>
      </c>
      <c r="E85" s="1599"/>
      <c r="F85" s="1600"/>
      <c r="G85" s="1731"/>
      <c r="H85" s="1731"/>
      <c r="I85" s="1731"/>
      <c r="J85" s="1731"/>
      <c r="K85" s="1731"/>
      <c r="L85" s="1496">
        <f t="shared" si="3"/>
        <v>0</v>
      </c>
      <c r="M85" s="745">
        <f t="shared" si="4"/>
        <v>0</v>
      </c>
    </row>
    <row r="86" spans="1:13" ht="21.95" hidden="1" customHeight="1">
      <c r="A86" s="2695"/>
      <c r="B86" s="2582"/>
      <c r="C86" s="2710"/>
      <c r="D86" s="1453" t="s">
        <v>1693</v>
      </c>
      <c r="E86" s="1279"/>
      <c r="F86" s="1729">
        <v>35.799999999999997</v>
      </c>
      <c r="G86" s="908">
        <f>IF(G85=0,0,35.8)</f>
        <v>0</v>
      </c>
      <c r="H86" s="908">
        <f>IF(H85=0,0,35.8)</f>
        <v>0</v>
      </c>
      <c r="I86" s="908">
        <f>IF(I85=0,0,35.8)</f>
        <v>0</v>
      </c>
      <c r="J86" s="908">
        <f>IF(J85=0,0,35.8)</f>
        <v>0</v>
      </c>
      <c r="K86" s="908"/>
      <c r="L86" s="1496">
        <f t="shared" si="3"/>
        <v>0</v>
      </c>
      <c r="M86" s="745">
        <f t="shared" si="4"/>
        <v>0</v>
      </c>
    </row>
    <row r="87" spans="1:13" ht="21.95" hidden="1" customHeight="1">
      <c r="A87" s="2695"/>
      <c r="B87" s="2582"/>
      <c r="C87" s="2710"/>
      <c r="D87" s="1453" t="s">
        <v>1539</v>
      </c>
      <c r="E87" s="1279"/>
      <c r="F87" s="1729">
        <v>16.850000000000001</v>
      </c>
      <c r="G87" s="908">
        <f>IF(G85=0,0,16.85)</f>
        <v>0</v>
      </c>
      <c r="H87" s="908">
        <f>IF(H85=0,0,16.85)</f>
        <v>0</v>
      </c>
      <c r="I87" s="908">
        <f>IF(I85=0,0,16.85)</f>
        <v>0</v>
      </c>
      <c r="J87" s="908">
        <f>IF(J85=0,0,16.85)</f>
        <v>0</v>
      </c>
      <c r="K87" s="908"/>
      <c r="L87" s="1496">
        <f t="shared" si="3"/>
        <v>0</v>
      </c>
      <c r="M87" s="745">
        <f t="shared" si="4"/>
        <v>0</v>
      </c>
    </row>
    <row r="88" spans="1:13" ht="21.95" hidden="1" customHeight="1">
      <c r="A88" s="2695"/>
      <c r="B88" s="2582"/>
      <c r="C88" s="2710"/>
      <c r="D88" s="1453" t="s">
        <v>2575</v>
      </c>
      <c r="E88" s="1279"/>
      <c r="F88" s="1729">
        <f>29*0.25</f>
        <v>7.25</v>
      </c>
      <c r="G88" s="908">
        <f>IF(G85=0,0,7.25)</f>
        <v>0</v>
      </c>
      <c r="H88" s="908">
        <f>IF(H85=0,0,7.25)</f>
        <v>0</v>
      </c>
      <c r="I88" s="908">
        <f>IF(I85=0,0,7.25)</f>
        <v>0</v>
      </c>
      <c r="J88" s="908">
        <f>IF(J85=0,0,7.25)</f>
        <v>0</v>
      </c>
      <c r="K88" s="908"/>
      <c r="L88" s="1496">
        <f t="shared" si="3"/>
        <v>0</v>
      </c>
      <c r="M88" s="745">
        <f t="shared" si="4"/>
        <v>0</v>
      </c>
    </row>
    <row r="89" spans="1:13" ht="21.95" hidden="1" customHeight="1">
      <c r="A89" s="2695"/>
      <c r="B89" s="2582"/>
      <c r="C89" s="2710"/>
      <c r="D89" s="1453" t="s">
        <v>2587</v>
      </c>
      <c r="E89" s="1279"/>
      <c r="F89" s="1729">
        <f>46*0.25</f>
        <v>11.5</v>
      </c>
      <c r="G89" s="908">
        <f>11.5*G91</f>
        <v>0</v>
      </c>
      <c r="H89" s="908">
        <f>11.5*H91</f>
        <v>0</v>
      </c>
      <c r="I89" s="908">
        <f>11.5*I91</f>
        <v>0</v>
      </c>
      <c r="J89" s="908">
        <f>11.5*J91</f>
        <v>0</v>
      </c>
      <c r="K89" s="908"/>
      <c r="L89" s="1496">
        <f t="shared" si="3"/>
        <v>0</v>
      </c>
      <c r="M89" s="745">
        <f t="shared" si="4"/>
        <v>0</v>
      </c>
    </row>
    <row r="90" spans="1:13" ht="21.95" hidden="1" customHeight="1">
      <c r="A90" s="2695"/>
      <c r="B90" s="2582"/>
      <c r="C90" s="2710"/>
      <c r="D90" s="1453" t="s">
        <v>2588</v>
      </c>
      <c r="E90" s="1279"/>
      <c r="F90" s="1729">
        <v>17.64</v>
      </c>
      <c r="G90" s="908">
        <f>IF(G85=0,0,5.8)</f>
        <v>0</v>
      </c>
      <c r="H90" s="908">
        <f>IF(H85=0,0,5.8)</f>
        <v>0</v>
      </c>
      <c r="I90" s="908">
        <f>IF(I85=0,0,5.8)</f>
        <v>0</v>
      </c>
      <c r="J90" s="908">
        <f>IF(J85=0,0,5.8)</f>
        <v>0</v>
      </c>
      <c r="K90" s="908"/>
      <c r="L90" s="1496">
        <f t="shared" si="3"/>
        <v>0</v>
      </c>
      <c r="M90" s="745">
        <f t="shared" si="4"/>
        <v>0</v>
      </c>
    </row>
    <row r="91" spans="1:13" ht="21.95" hidden="1" customHeight="1">
      <c r="A91" s="2695"/>
      <c r="B91" s="2582"/>
      <c r="C91" s="2710"/>
      <c r="D91" s="1453" t="s">
        <v>2589</v>
      </c>
      <c r="E91" s="1279"/>
      <c r="F91" s="1729">
        <v>5.05</v>
      </c>
      <c r="G91" s="908">
        <f>IF(G85=0,0,)</f>
        <v>0</v>
      </c>
      <c r="H91" s="908">
        <f>IF(H85=0,0,)</f>
        <v>0</v>
      </c>
      <c r="I91" s="908">
        <f>IF(I85=0,0,)</f>
        <v>0</v>
      </c>
      <c r="J91" s="908">
        <f>IF(J85=0,0,)</f>
        <v>0</v>
      </c>
      <c r="K91" s="908"/>
      <c r="L91" s="1496">
        <f t="shared" si="3"/>
        <v>0</v>
      </c>
      <c r="M91" s="745">
        <f t="shared" si="4"/>
        <v>0</v>
      </c>
    </row>
    <row r="92" spans="1:13" ht="21.95" hidden="1" customHeight="1">
      <c r="A92" s="2695"/>
      <c r="B92" s="2582"/>
      <c r="C92" s="2763"/>
      <c r="D92" s="1453" t="s">
        <v>2590</v>
      </c>
      <c r="E92" s="1584"/>
      <c r="F92" s="1601"/>
      <c r="G92" s="1730"/>
      <c r="H92" s="1730"/>
      <c r="I92" s="1730"/>
      <c r="J92" s="1730"/>
      <c r="K92" s="1730"/>
      <c r="L92" s="1715">
        <f t="shared" si="3"/>
        <v>0</v>
      </c>
      <c r="M92" s="745">
        <f t="shared" si="4"/>
        <v>0</v>
      </c>
    </row>
    <row r="93" spans="1:13" ht="21.95" hidden="1" customHeight="1">
      <c r="A93" s="2695"/>
      <c r="B93" s="2582"/>
      <c r="C93" s="2762" t="s">
        <v>2599</v>
      </c>
      <c r="D93" s="1089" t="s">
        <v>1354</v>
      </c>
      <c r="E93" s="1599"/>
      <c r="F93" s="1600"/>
      <c r="G93" s="1731"/>
      <c r="H93" s="1731"/>
      <c r="I93" s="1731"/>
      <c r="J93" s="1731"/>
      <c r="K93" s="1731"/>
      <c r="L93" s="1496">
        <f t="shared" si="3"/>
        <v>0</v>
      </c>
      <c r="M93" s="745">
        <f t="shared" si="4"/>
        <v>0</v>
      </c>
    </row>
    <row r="94" spans="1:13" ht="21.95" hidden="1" customHeight="1">
      <c r="A94" s="2695"/>
      <c r="B94" s="2582"/>
      <c r="C94" s="2710"/>
      <c r="D94" s="1453" t="s">
        <v>1693</v>
      </c>
      <c r="E94" s="1279"/>
      <c r="F94" s="1729">
        <v>37.82</v>
      </c>
      <c r="G94" s="908">
        <f>IF(G93=0,0,37.82)</f>
        <v>0</v>
      </c>
      <c r="H94" s="908">
        <f>IF(H93=0,0,37.82)</f>
        <v>0</v>
      </c>
      <c r="I94" s="908">
        <f>IF(I93=0,0,37.82)</f>
        <v>0</v>
      </c>
      <c r="J94" s="908">
        <f>IF(J93=0,0,37.82)</f>
        <v>0</v>
      </c>
      <c r="K94" s="908"/>
      <c r="L94" s="1496">
        <f t="shared" si="3"/>
        <v>0</v>
      </c>
      <c r="M94" s="745">
        <f t="shared" si="4"/>
        <v>0</v>
      </c>
    </row>
    <row r="95" spans="1:13" ht="21.95" hidden="1" customHeight="1">
      <c r="A95" s="2695"/>
      <c r="B95" s="2582"/>
      <c r="C95" s="2710"/>
      <c r="D95" s="1453" t="s">
        <v>1539</v>
      </c>
      <c r="E95" s="1279"/>
      <c r="F95" s="1729">
        <v>15.45</v>
      </c>
      <c r="G95" s="908">
        <f>IF(G93=0,0,15.45)</f>
        <v>0</v>
      </c>
      <c r="H95" s="908">
        <f>IF(H93=0,0,15.45)</f>
        <v>0</v>
      </c>
      <c r="I95" s="908">
        <f>IF(I93=0,0,15.45)</f>
        <v>0</v>
      </c>
      <c r="J95" s="908">
        <f>IF(J93=0,0,15.45)</f>
        <v>0</v>
      </c>
      <c r="K95" s="908"/>
      <c r="L95" s="1496">
        <f t="shared" si="3"/>
        <v>0</v>
      </c>
      <c r="M95" s="745">
        <f t="shared" si="4"/>
        <v>0</v>
      </c>
    </row>
    <row r="96" spans="1:13" ht="21.95" hidden="1" customHeight="1">
      <c r="A96" s="2695"/>
      <c r="B96" s="2582"/>
      <c r="C96" s="2710"/>
      <c r="D96" s="1453" t="s">
        <v>2575</v>
      </c>
      <c r="E96" s="1279"/>
      <c r="F96" s="1729">
        <f>11*0.25</f>
        <v>2.75</v>
      </c>
      <c r="G96" s="908">
        <f>IF(G93=0,0,2.75)</f>
        <v>0</v>
      </c>
      <c r="H96" s="908">
        <f>IF(H93=0,0,2.75)</f>
        <v>0</v>
      </c>
      <c r="I96" s="908">
        <f>IF(I93=0,0,2.75)</f>
        <v>0</v>
      </c>
      <c r="J96" s="908">
        <f>IF(J93=0,0,2.75)</f>
        <v>0</v>
      </c>
      <c r="K96" s="908"/>
      <c r="L96" s="1496">
        <f t="shared" si="3"/>
        <v>0</v>
      </c>
      <c r="M96" s="745">
        <f t="shared" si="4"/>
        <v>0</v>
      </c>
    </row>
    <row r="97" spans="1:13" ht="21.95" hidden="1" customHeight="1">
      <c r="A97" s="2695"/>
      <c r="B97" s="2582"/>
      <c r="C97" s="2710"/>
      <c r="D97" s="1453" t="s">
        <v>2587</v>
      </c>
      <c r="E97" s="1279"/>
      <c r="F97" s="1729">
        <f>25*0.25</f>
        <v>6.25</v>
      </c>
      <c r="G97" s="908">
        <f>IF(G93=0,0,6.25)</f>
        <v>0</v>
      </c>
      <c r="H97" s="908">
        <f>IF(H93=0,0,6.25)</f>
        <v>0</v>
      </c>
      <c r="I97" s="908">
        <f>IF(I93=0,0,6.25)</f>
        <v>0</v>
      </c>
      <c r="J97" s="908">
        <f>IF(J93=0,0,6.25)</f>
        <v>0</v>
      </c>
      <c r="K97" s="908"/>
      <c r="L97" s="1496">
        <f t="shared" si="3"/>
        <v>0</v>
      </c>
      <c r="M97" s="745">
        <f t="shared" si="4"/>
        <v>0</v>
      </c>
    </row>
    <row r="98" spans="1:13" ht="21.95" hidden="1" customHeight="1">
      <c r="A98" s="2695"/>
      <c r="B98" s="2582"/>
      <c r="C98" s="2710"/>
      <c r="D98" s="1453" t="s">
        <v>2588</v>
      </c>
      <c r="E98" s="1279"/>
      <c r="F98" s="1729">
        <v>15.73</v>
      </c>
      <c r="G98" s="908">
        <f>IF(G93=0,0,15.73)</f>
        <v>0</v>
      </c>
      <c r="H98" s="908">
        <f>IF(H93=0,0,15.73)</f>
        <v>0</v>
      </c>
      <c r="I98" s="908">
        <f>IF(I93=0,0,15.73)</f>
        <v>0</v>
      </c>
      <c r="J98" s="908">
        <f>IF(J93=0,0,15.73)</f>
        <v>0</v>
      </c>
      <c r="K98" s="908"/>
      <c r="L98" s="1496">
        <f t="shared" si="3"/>
        <v>0</v>
      </c>
      <c r="M98" s="745">
        <f t="shared" si="4"/>
        <v>0</v>
      </c>
    </row>
    <row r="99" spans="1:13" ht="21.95" hidden="1" customHeight="1">
      <c r="A99" s="2695"/>
      <c r="B99" s="2582"/>
      <c r="C99" s="2763"/>
      <c r="D99" s="1453" t="s">
        <v>2590</v>
      </c>
      <c r="E99" s="1584"/>
      <c r="F99" s="1601"/>
      <c r="G99" s="1730"/>
      <c r="H99" s="1730"/>
      <c r="I99" s="1730"/>
      <c r="J99" s="1730"/>
      <c r="K99" s="1730"/>
      <c r="L99" s="1715">
        <f t="shared" si="3"/>
        <v>0</v>
      </c>
      <c r="M99" s="745">
        <f t="shared" si="4"/>
        <v>0</v>
      </c>
    </row>
    <row r="100" spans="1:13" ht="21.95" hidden="1" customHeight="1">
      <c r="A100" s="2695"/>
      <c r="B100" s="2582"/>
      <c r="C100" s="2762" t="s">
        <v>2600</v>
      </c>
      <c r="D100" s="1089" t="s">
        <v>1354</v>
      </c>
      <c r="E100" s="1599"/>
      <c r="F100" s="1600"/>
      <c r="G100" s="1731"/>
      <c r="H100" s="1731"/>
      <c r="I100" s="1731"/>
      <c r="J100" s="1731"/>
      <c r="K100" s="1731"/>
      <c r="L100" s="1496">
        <f t="shared" si="3"/>
        <v>0</v>
      </c>
      <c r="M100" s="745">
        <f t="shared" si="4"/>
        <v>0</v>
      </c>
    </row>
    <row r="101" spans="1:13" ht="21.95" hidden="1" customHeight="1">
      <c r="A101" s="2695"/>
      <c r="B101" s="2582"/>
      <c r="C101" s="2710"/>
      <c r="D101" s="1453" t="s">
        <v>1693</v>
      </c>
      <c r="E101" s="1279"/>
      <c r="F101" s="1729">
        <v>37.82</v>
      </c>
      <c r="G101" s="908">
        <f>IF(G100=0,0,37.82)</f>
        <v>0</v>
      </c>
      <c r="H101" s="908">
        <f>IF(H100=0,0,37.82)</f>
        <v>0</v>
      </c>
      <c r="I101" s="908">
        <f>IF(I100=0,0,37.82)</f>
        <v>0</v>
      </c>
      <c r="J101" s="908">
        <f>IF(J100=0,0,37.82)</f>
        <v>0</v>
      </c>
      <c r="K101" s="908"/>
      <c r="L101" s="1496">
        <f t="shared" si="3"/>
        <v>0</v>
      </c>
      <c r="M101" s="745">
        <f t="shared" si="4"/>
        <v>0</v>
      </c>
    </row>
    <row r="102" spans="1:13" ht="21.95" hidden="1" customHeight="1">
      <c r="A102" s="2695"/>
      <c r="B102" s="2582"/>
      <c r="C102" s="2710"/>
      <c r="D102" s="1453" t="s">
        <v>1539</v>
      </c>
      <c r="E102" s="1279"/>
      <c r="F102" s="1729">
        <v>15.45</v>
      </c>
      <c r="G102" s="908">
        <f>IF(G100=0,0,15.45)</f>
        <v>0</v>
      </c>
      <c r="H102" s="908">
        <f>IF(H100=0,0,15.45)</f>
        <v>0</v>
      </c>
      <c r="I102" s="908">
        <f>IF(I100=0,0,15.45)</f>
        <v>0</v>
      </c>
      <c r="J102" s="908">
        <f>IF(J100=0,0,15.45)</f>
        <v>0</v>
      </c>
      <c r="K102" s="908"/>
      <c r="L102" s="1496">
        <f t="shared" si="3"/>
        <v>0</v>
      </c>
      <c r="M102" s="745">
        <f t="shared" si="4"/>
        <v>0</v>
      </c>
    </row>
    <row r="103" spans="1:13" ht="21.95" hidden="1" customHeight="1">
      <c r="A103" s="2695"/>
      <c r="B103" s="2582"/>
      <c r="C103" s="2710"/>
      <c r="D103" s="1453" t="s">
        <v>2575</v>
      </c>
      <c r="E103" s="1279"/>
      <c r="F103" s="1729">
        <f>45*0.25</f>
        <v>11.25</v>
      </c>
      <c r="G103" s="908">
        <f>IF(G100=0,0,11.25)</f>
        <v>0</v>
      </c>
      <c r="H103" s="908">
        <f>IF(H100=0,0,11.25)</f>
        <v>0</v>
      </c>
      <c r="I103" s="908">
        <f>IF(I100=0,0,11.25)</f>
        <v>0</v>
      </c>
      <c r="J103" s="908">
        <f>IF(J100=0,0,11.25)</f>
        <v>0</v>
      </c>
      <c r="K103" s="908"/>
      <c r="L103" s="1496">
        <f t="shared" si="3"/>
        <v>0</v>
      </c>
      <c r="M103" s="745">
        <f t="shared" si="4"/>
        <v>0</v>
      </c>
    </row>
    <row r="104" spans="1:13" ht="21.95" hidden="1" customHeight="1">
      <c r="A104" s="2695"/>
      <c r="B104" s="2582"/>
      <c r="C104" s="2710"/>
      <c r="D104" s="1453" t="s">
        <v>2587</v>
      </c>
      <c r="E104" s="1279"/>
      <c r="F104" s="1729">
        <f>53*0.25</f>
        <v>13.25</v>
      </c>
      <c r="G104" s="908">
        <f>IF(G100=0,0,13.25)</f>
        <v>0</v>
      </c>
      <c r="H104" s="908">
        <f>IF(H100=0,0,13.25)</f>
        <v>0</v>
      </c>
      <c r="I104" s="908">
        <f>IF(I100=0,0,13.25)</f>
        <v>0</v>
      </c>
      <c r="J104" s="908">
        <f>IF(J100=0,0,13.25)</f>
        <v>0</v>
      </c>
      <c r="K104" s="908"/>
      <c r="L104" s="1496">
        <f t="shared" si="3"/>
        <v>0</v>
      </c>
      <c r="M104" s="745">
        <f t="shared" si="4"/>
        <v>0</v>
      </c>
    </row>
    <row r="105" spans="1:13" ht="21.95" hidden="1" customHeight="1">
      <c r="A105" s="2695"/>
      <c r="B105" s="2582"/>
      <c r="C105" s="2710"/>
      <c r="D105" s="1453" t="s">
        <v>2588</v>
      </c>
      <c r="E105" s="1279"/>
      <c r="F105" s="1729">
        <v>15.73</v>
      </c>
      <c r="G105" s="908">
        <f>IF(G100=0,0,15.73)</f>
        <v>0</v>
      </c>
      <c r="H105" s="908">
        <f>IF(H100=0,0,15.73)</f>
        <v>0</v>
      </c>
      <c r="I105" s="908">
        <f>IF(I100=0,0,15.73)</f>
        <v>0</v>
      </c>
      <c r="J105" s="908">
        <f>IF(J100=0,0,15.73)</f>
        <v>0</v>
      </c>
      <c r="K105" s="908"/>
      <c r="L105" s="1496">
        <f t="shared" si="3"/>
        <v>0</v>
      </c>
      <c r="M105" s="745">
        <f t="shared" si="4"/>
        <v>0</v>
      </c>
    </row>
    <row r="106" spans="1:13" ht="21.95" hidden="1" customHeight="1">
      <c r="A106" s="2695"/>
      <c r="B106" s="2582"/>
      <c r="C106" s="2710"/>
      <c r="D106" s="1631" t="s">
        <v>2590</v>
      </c>
      <c r="E106" s="1279"/>
      <c r="F106" s="1442"/>
      <c r="G106" s="1550"/>
      <c r="H106" s="1550"/>
      <c r="I106" s="1550"/>
      <c r="J106" s="1550"/>
      <c r="K106" s="1550"/>
      <c r="L106" s="1496">
        <f t="shared" si="3"/>
        <v>0</v>
      </c>
      <c r="M106" s="745">
        <f t="shared" si="4"/>
        <v>0</v>
      </c>
    </row>
    <row r="107" spans="1:13" ht="21.95" hidden="1" customHeight="1">
      <c r="A107" s="2695"/>
      <c r="B107" s="2582"/>
      <c r="C107" s="2914" t="s">
        <v>2601</v>
      </c>
      <c r="D107" s="1089" t="s">
        <v>1354</v>
      </c>
      <c r="E107" s="1599"/>
      <c r="F107" s="1600"/>
      <c r="G107" s="1731"/>
      <c r="H107" s="1731"/>
      <c r="I107" s="1731"/>
      <c r="J107" s="1731"/>
      <c r="K107" s="1731"/>
      <c r="L107" s="1712">
        <f t="shared" si="3"/>
        <v>0</v>
      </c>
      <c r="M107" s="745">
        <f t="shared" si="4"/>
        <v>0</v>
      </c>
    </row>
    <row r="108" spans="1:13" ht="21.95" hidden="1" customHeight="1">
      <c r="A108" s="2695"/>
      <c r="B108" s="2582"/>
      <c r="C108" s="2771"/>
      <c r="D108" s="1453" t="s">
        <v>1693</v>
      </c>
      <c r="E108" s="1279"/>
      <c r="F108" s="1729">
        <v>22.2</v>
      </c>
      <c r="G108" s="908">
        <f>IF(G107=0,0,22.2)</f>
        <v>0</v>
      </c>
      <c r="H108" s="908">
        <f>IF(H107=0,0,22.2)</f>
        <v>0</v>
      </c>
      <c r="I108" s="908">
        <f>IF(I107=0,0,22.2)</f>
        <v>0</v>
      </c>
      <c r="J108" s="908">
        <f>IF(J107=0,0,22.2)</f>
        <v>0</v>
      </c>
      <c r="K108" s="908"/>
      <c r="L108" s="1496">
        <f t="shared" si="3"/>
        <v>0</v>
      </c>
      <c r="M108" s="745">
        <f t="shared" si="4"/>
        <v>0</v>
      </c>
    </row>
    <row r="109" spans="1:13" ht="21.95" hidden="1" customHeight="1">
      <c r="A109" s="2695"/>
      <c r="B109" s="2582"/>
      <c r="C109" s="2771"/>
      <c r="D109" s="1453" t="s">
        <v>1539</v>
      </c>
      <c r="E109" s="1279"/>
      <c r="F109" s="1729">
        <v>7.5</v>
      </c>
      <c r="G109" s="908">
        <f>IF(G107=0,0,7.5)</f>
        <v>0</v>
      </c>
      <c r="H109" s="908">
        <f>IF(H107=0,0,7.5)</f>
        <v>0</v>
      </c>
      <c r="I109" s="908">
        <f>IF(I107=0,0,7.5)</f>
        <v>0</v>
      </c>
      <c r="J109" s="908">
        <f>IF(J107=0,0,7.5)</f>
        <v>0</v>
      </c>
      <c r="K109" s="908"/>
      <c r="L109" s="1496">
        <f t="shared" si="3"/>
        <v>0</v>
      </c>
      <c r="M109" s="745">
        <f t="shared" si="4"/>
        <v>0</v>
      </c>
    </row>
    <row r="110" spans="1:13" ht="21.95" hidden="1" customHeight="1">
      <c r="A110" s="2695"/>
      <c r="B110" s="2582"/>
      <c r="C110" s="2771"/>
      <c r="D110" s="1453" t="s">
        <v>2575</v>
      </c>
      <c r="E110" s="1279"/>
      <c r="F110" s="1729">
        <f>28*0.25</f>
        <v>7</v>
      </c>
      <c r="G110" s="908">
        <f>IF(G107=0,0,7)</f>
        <v>0</v>
      </c>
      <c r="H110" s="908">
        <f>IF(H107=0,0,7)</f>
        <v>0</v>
      </c>
      <c r="I110" s="908">
        <f>IF(I107=0,0,7)</f>
        <v>0</v>
      </c>
      <c r="J110" s="908">
        <f>IF(J107=0,0,7)</f>
        <v>0</v>
      </c>
      <c r="K110" s="908"/>
      <c r="L110" s="1496">
        <f t="shared" si="3"/>
        <v>0</v>
      </c>
      <c r="M110" s="745">
        <f t="shared" si="4"/>
        <v>0</v>
      </c>
    </row>
    <row r="111" spans="1:13" ht="21.95" hidden="1" customHeight="1">
      <c r="A111" s="2695"/>
      <c r="B111" s="2582"/>
      <c r="C111" s="2771"/>
      <c r="D111" s="1453" t="s">
        <v>2587</v>
      </c>
      <c r="E111" s="1279"/>
      <c r="F111" s="1729">
        <f>26*0.25</f>
        <v>6.5</v>
      </c>
      <c r="G111" s="908">
        <f>IF(G107=0,0,6.5)</f>
        <v>0</v>
      </c>
      <c r="H111" s="908">
        <f>IF(H107=0,0,6.5)</f>
        <v>0</v>
      </c>
      <c r="I111" s="908">
        <f>IF(I107=0,0,6.5)</f>
        <v>0</v>
      </c>
      <c r="J111" s="908">
        <f>IF(J107=0,0,6.5)</f>
        <v>0</v>
      </c>
      <c r="K111" s="908"/>
      <c r="L111" s="1496">
        <f t="shared" si="3"/>
        <v>0</v>
      </c>
      <c r="M111" s="745">
        <f t="shared" si="4"/>
        <v>0</v>
      </c>
    </row>
    <row r="112" spans="1:13" ht="21.95" hidden="1" customHeight="1">
      <c r="A112" s="2695"/>
      <c r="B112" s="2582"/>
      <c r="C112" s="2771"/>
      <c r="D112" s="1453" t="s">
        <v>2588</v>
      </c>
      <c r="E112" s="1279"/>
      <c r="F112" s="1729">
        <v>13.26</v>
      </c>
      <c r="G112" s="908">
        <f>IF(G107=0,0,13.26)</f>
        <v>0</v>
      </c>
      <c r="H112" s="908">
        <f>IF(H107=0,0,13.26)</f>
        <v>0</v>
      </c>
      <c r="I112" s="908">
        <f>IF(I107=0,0,13.26)</f>
        <v>0</v>
      </c>
      <c r="J112" s="908">
        <f>IF(J107=0,0,13.26)</f>
        <v>0</v>
      </c>
      <c r="K112" s="908"/>
      <c r="L112" s="1496">
        <f t="shared" si="3"/>
        <v>0</v>
      </c>
      <c r="M112" s="745">
        <f t="shared" si="4"/>
        <v>0</v>
      </c>
    </row>
    <row r="113" spans="1:13" ht="21.95" hidden="1" customHeight="1">
      <c r="A113" s="2695"/>
      <c r="B113" s="2582"/>
      <c r="C113" s="2904"/>
      <c r="D113" s="1453" t="s">
        <v>2590</v>
      </c>
      <c r="E113" s="1584"/>
      <c r="F113" s="1601"/>
      <c r="G113" s="1730"/>
      <c r="H113" s="1730"/>
      <c r="I113" s="1730"/>
      <c r="J113" s="1730"/>
      <c r="K113" s="1730"/>
      <c r="L113" s="1715">
        <f t="shared" si="3"/>
        <v>0</v>
      </c>
      <c r="M113" s="745">
        <f t="shared" si="4"/>
        <v>0</v>
      </c>
    </row>
    <row r="114" spans="1:13" ht="21.95" hidden="1" customHeight="1">
      <c r="A114" s="2695"/>
      <c r="B114" s="2582"/>
      <c r="C114" s="2762" t="s">
        <v>2602</v>
      </c>
      <c r="D114" s="1089" t="s">
        <v>1354</v>
      </c>
      <c r="E114" s="1599"/>
      <c r="F114" s="1600"/>
      <c r="G114" s="1731"/>
      <c r="H114" s="1731"/>
      <c r="I114" s="1731"/>
      <c r="J114" s="1731"/>
      <c r="K114" s="1731"/>
      <c r="L114" s="1496">
        <f t="shared" si="3"/>
        <v>0</v>
      </c>
      <c r="M114" s="745">
        <f t="shared" si="4"/>
        <v>0</v>
      </c>
    </row>
    <row r="115" spans="1:13" ht="21.95" hidden="1" customHeight="1">
      <c r="A115" s="2695"/>
      <c r="B115" s="2582"/>
      <c r="C115" s="2710"/>
      <c r="D115" s="1453" t="s">
        <v>1693</v>
      </c>
      <c r="E115" s="1279"/>
      <c r="F115" s="1729">
        <v>6.26</v>
      </c>
      <c r="G115" s="908"/>
      <c r="H115" s="908"/>
      <c r="I115" s="908"/>
      <c r="J115" s="908"/>
      <c r="K115" s="908"/>
      <c r="L115" s="1496">
        <f t="shared" si="3"/>
        <v>0</v>
      </c>
      <c r="M115" s="745">
        <f t="shared" si="4"/>
        <v>0</v>
      </c>
    </row>
    <row r="116" spans="1:13" ht="21.95" hidden="1" customHeight="1">
      <c r="A116" s="2695"/>
      <c r="B116" s="2582"/>
      <c r="C116" s="2710"/>
      <c r="D116" s="1453" t="s">
        <v>1539</v>
      </c>
      <c r="E116" s="1279"/>
      <c r="F116" s="1729">
        <v>7.5</v>
      </c>
      <c r="G116" s="908">
        <f>IF(G114=0,0,7.5)</f>
        <v>0</v>
      </c>
      <c r="H116" s="908">
        <f>IF(H114=0,0,7.5)</f>
        <v>0</v>
      </c>
      <c r="I116" s="908">
        <f>IF(I114=0,0,7.5)</f>
        <v>0</v>
      </c>
      <c r="J116" s="908">
        <f>IF(J114=0,0,7.5)</f>
        <v>0</v>
      </c>
      <c r="K116" s="908"/>
      <c r="L116" s="1496">
        <f t="shared" si="3"/>
        <v>0</v>
      </c>
      <c r="M116" s="745">
        <f t="shared" si="4"/>
        <v>0</v>
      </c>
    </row>
    <row r="117" spans="1:13" ht="21.95" hidden="1" customHeight="1">
      <c r="A117" s="2695"/>
      <c r="B117" s="2582"/>
      <c r="C117" s="2710"/>
      <c r="D117" s="1453" t="s">
        <v>2575</v>
      </c>
      <c r="E117" s="1279"/>
      <c r="F117" s="1729">
        <f>9*0.25</f>
        <v>2.25</v>
      </c>
      <c r="G117" s="908">
        <f>IF(G114=0,0,2.25)</f>
        <v>0</v>
      </c>
      <c r="H117" s="908">
        <f>IF(H114=0,0,2.25)</f>
        <v>0</v>
      </c>
      <c r="I117" s="908">
        <f>IF(I114=0,0,2.25)</f>
        <v>0</v>
      </c>
      <c r="J117" s="908">
        <f>IF(J114=0,0,2.25)</f>
        <v>0</v>
      </c>
      <c r="K117" s="908"/>
      <c r="L117" s="1496">
        <f t="shared" si="3"/>
        <v>0</v>
      </c>
      <c r="M117" s="745">
        <f t="shared" si="4"/>
        <v>0</v>
      </c>
    </row>
    <row r="118" spans="1:13" ht="21.95" hidden="1" customHeight="1">
      <c r="A118" s="2695"/>
      <c r="B118" s="2582"/>
      <c r="C118" s="2710"/>
      <c r="D118" s="1453" t="s">
        <v>2587</v>
      </c>
      <c r="E118" s="1279"/>
      <c r="F118" s="1729">
        <f>6*0.25</f>
        <v>1.5</v>
      </c>
      <c r="G118" s="908">
        <f>IF(G114=0,0,1.5)</f>
        <v>0</v>
      </c>
      <c r="H118" s="908">
        <f>IF(H114=0,0,1.5)</f>
        <v>0</v>
      </c>
      <c r="I118" s="908">
        <f>IF(I114=0,0,1.5)</f>
        <v>0</v>
      </c>
      <c r="J118" s="908">
        <f>IF(J114=0,0,1.5)</f>
        <v>0</v>
      </c>
      <c r="K118" s="908"/>
      <c r="L118" s="1496">
        <f t="shared" si="3"/>
        <v>0</v>
      </c>
      <c r="M118" s="745">
        <f t="shared" si="4"/>
        <v>0</v>
      </c>
    </row>
    <row r="119" spans="1:13" ht="21.95" hidden="1" customHeight="1">
      <c r="A119" s="2695"/>
      <c r="B119" s="2582"/>
      <c r="C119" s="2710"/>
      <c r="D119" s="1453" t="s">
        <v>2588</v>
      </c>
      <c r="E119" s="1279"/>
      <c r="F119" s="1729">
        <v>9</v>
      </c>
      <c r="G119" s="908">
        <f>IF(G114=0,0,9)</f>
        <v>0</v>
      </c>
      <c r="H119" s="908">
        <f>IF(H114=0,0,9)</f>
        <v>0</v>
      </c>
      <c r="I119" s="908">
        <f>IF(I114=0,0,9)</f>
        <v>0</v>
      </c>
      <c r="J119" s="908">
        <f>IF(J114=0,0,9)</f>
        <v>0</v>
      </c>
      <c r="K119" s="908"/>
      <c r="L119" s="1496">
        <f t="shared" si="3"/>
        <v>0</v>
      </c>
      <c r="M119" s="745">
        <f t="shared" si="4"/>
        <v>0</v>
      </c>
    </row>
    <row r="120" spans="1:13" ht="21.95" hidden="1" customHeight="1">
      <c r="A120" s="2695"/>
      <c r="B120" s="2582"/>
      <c r="C120" s="2763"/>
      <c r="D120" s="1453" t="s">
        <v>2590</v>
      </c>
      <c r="E120" s="1584"/>
      <c r="F120" s="1601"/>
      <c r="G120" s="1730"/>
      <c r="H120" s="1730"/>
      <c r="I120" s="1730"/>
      <c r="J120" s="1730"/>
      <c r="K120" s="1730"/>
      <c r="L120" s="1715">
        <f t="shared" si="3"/>
        <v>0</v>
      </c>
      <c r="M120" s="745">
        <f t="shared" si="4"/>
        <v>0</v>
      </c>
    </row>
    <row r="121" spans="1:13" ht="21.95" hidden="1" customHeight="1">
      <c r="A121" s="2695"/>
      <c r="B121" s="2582"/>
      <c r="C121" s="2762" t="s">
        <v>2603</v>
      </c>
      <c r="D121" s="1089" t="s">
        <v>1354</v>
      </c>
      <c r="E121" s="1599"/>
      <c r="F121" s="1600"/>
      <c r="G121" s="1731"/>
      <c r="H121" s="1731"/>
      <c r="I121" s="1731"/>
      <c r="J121" s="1731"/>
      <c r="K121" s="1731"/>
      <c r="L121" s="1496">
        <f t="shared" si="3"/>
        <v>0</v>
      </c>
      <c r="M121" s="745">
        <f t="shared" si="4"/>
        <v>0</v>
      </c>
    </row>
    <row r="122" spans="1:13" ht="21.95" hidden="1" customHeight="1">
      <c r="A122" s="2695"/>
      <c r="B122" s="2582"/>
      <c r="C122" s="2710"/>
      <c r="D122" s="1453" t="s">
        <v>1693</v>
      </c>
      <c r="E122" s="1279"/>
      <c r="F122" s="1729">
        <v>3.57</v>
      </c>
      <c r="G122" s="908">
        <f>IF(G121=0,0,3.57)</f>
        <v>0</v>
      </c>
      <c r="H122" s="908">
        <f>IF(H121=0,0,3.57)</f>
        <v>0</v>
      </c>
      <c r="I122" s="908">
        <f>IF(I121=0,0,3.57)</f>
        <v>0</v>
      </c>
      <c r="J122" s="908">
        <f>IF(J121=0,0,3.57)</f>
        <v>0</v>
      </c>
      <c r="K122" s="908"/>
      <c r="L122" s="1496">
        <f t="shared" si="3"/>
        <v>0</v>
      </c>
      <c r="M122" s="745">
        <f t="shared" si="4"/>
        <v>0</v>
      </c>
    </row>
    <row r="123" spans="1:13" ht="21.95" hidden="1" customHeight="1">
      <c r="A123" s="2695"/>
      <c r="B123" s="2582"/>
      <c r="C123" s="2710"/>
      <c r="D123" s="1453" t="s">
        <v>1539</v>
      </c>
      <c r="E123" s="1279"/>
      <c r="F123" s="1729">
        <v>3.25</v>
      </c>
      <c r="G123" s="908">
        <f>IF(G121=0,0,3.25)</f>
        <v>0</v>
      </c>
      <c r="H123" s="908">
        <f>IF(H121=0,0,3.25)</f>
        <v>0</v>
      </c>
      <c r="I123" s="908">
        <f>IF(I121=0,0,3.25)</f>
        <v>0</v>
      </c>
      <c r="J123" s="908">
        <f>IF(J121=0,0,3.25)</f>
        <v>0</v>
      </c>
      <c r="K123" s="908"/>
      <c r="L123" s="1496">
        <f t="shared" si="3"/>
        <v>0</v>
      </c>
      <c r="M123" s="745">
        <f t="shared" si="4"/>
        <v>0</v>
      </c>
    </row>
    <row r="124" spans="1:13" ht="21.95" hidden="1" customHeight="1">
      <c r="A124" s="2695"/>
      <c r="B124" s="2582"/>
      <c r="C124" s="2710"/>
      <c r="D124" s="1453" t="s">
        <v>2575</v>
      </c>
      <c r="E124" s="1279"/>
      <c r="F124" s="1729">
        <f>6*0.25</f>
        <v>1.5</v>
      </c>
      <c r="G124" s="908">
        <f>IF(G121=0,0,1.5)</f>
        <v>0</v>
      </c>
      <c r="H124" s="908">
        <f>IF(H121=0,0,1.5)</f>
        <v>0</v>
      </c>
      <c r="I124" s="908">
        <f>IF(I121=0,0,1.5)</f>
        <v>0</v>
      </c>
      <c r="J124" s="908">
        <f>IF(J121=0,0,1.5)</f>
        <v>0</v>
      </c>
      <c r="K124" s="908"/>
      <c r="L124" s="1496">
        <f t="shared" si="3"/>
        <v>0</v>
      </c>
      <c r="M124" s="745">
        <f t="shared" si="4"/>
        <v>0</v>
      </c>
    </row>
    <row r="125" spans="1:13" ht="21.95" hidden="1" customHeight="1">
      <c r="A125" s="2695"/>
      <c r="B125" s="2582"/>
      <c r="C125" s="2710"/>
      <c r="D125" s="1453" t="s">
        <v>2587</v>
      </c>
      <c r="E125" s="1279"/>
      <c r="F125" s="1729">
        <f>5*0.25</f>
        <v>1.25</v>
      </c>
      <c r="G125" s="908">
        <f>IF(G121=0,0,1.25)</f>
        <v>0</v>
      </c>
      <c r="H125" s="908">
        <f>IF(H121=0,0,1.25)</f>
        <v>0</v>
      </c>
      <c r="I125" s="908">
        <f>IF(I121=0,0,1.25)</f>
        <v>0</v>
      </c>
      <c r="J125" s="908">
        <f>IF(J121=0,0,1.25)</f>
        <v>0</v>
      </c>
      <c r="K125" s="908"/>
      <c r="L125" s="1496">
        <f t="shared" si="3"/>
        <v>0</v>
      </c>
      <c r="M125" s="745">
        <f t="shared" si="4"/>
        <v>0</v>
      </c>
    </row>
    <row r="126" spans="1:13" ht="21.95" hidden="1" customHeight="1">
      <c r="A126" s="2695"/>
      <c r="B126" s="2582"/>
      <c r="C126" s="2710"/>
      <c r="D126" s="1453" t="s">
        <v>2588</v>
      </c>
      <c r="E126" s="1279"/>
      <c r="F126" s="1729">
        <v>6.37</v>
      </c>
      <c r="G126" s="908">
        <f>IF(G121=0,0,6.37)</f>
        <v>0</v>
      </c>
      <c r="H126" s="908">
        <f>IF(H121=0,0,6.37)</f>
        <v>0</v>
      </c>
      <c r="I126" s="908">
        <f>IF(I121=0,0,6.37)</f>
        <v>0</v>
      </c>
      <c r="J126" s="908">
        <f>IF(J121=0,0,6.37)</f>
        <v>0</v>
      </c>
      <c r="K126" s="908"/>
      <c r="L126" s="1496">
        <f t="shared" si="3"/>
        <v>0</v>
      </c>
      <c r="M126" s="745">
        <f t="shared" si="4"/>
        <v>0</v>
      </c>
    </row>
    <row r="127" spans="1:13" ht="21.95" hidden="1" customHeight="1">
      <c r="A127" s="2695"/>
      <c r="B127" s="2582"/>
      <c r="C127" s="2763"/>
      <c r="D127" s="1453" t="s">
        <v>2590</v>
      </c>
      <c r="E127" s="1584"/>
      <c r="F127" s="1601"/>
      <c r="G127" s="1730"/>
      <c r="H127" s="1730"/>
      <c r="I127" s="1730"/>
      <c r="J127" s="1730"/>
      <c r="K127" s="1730"/>
      <c r="L127" s="1715">
        <f t="shared" si="3"/>
        <v>0</v>
      </c>
      <c r="M127" s="745">
        <f t="shared" si="4"/>
        <v>0</v>
      </c>
    </row>
    <row r="128" spans="1:13" ht="21.95" hidden="1" customHeight="1">
      <c r="A128" s="2695"/>
      <c r="B128" s="2582"/>
      <c r="C128" s="2762" t="s">
        <v>2604</v>
      </c>
      <c r="D128" s="1089" t="s">
        <v>1354</v>
      </c>
      <c r="E128" s="1599"/>
      <c r="F128" s="1600"/>
      <c r="G128" s="1731"/>
      <c r="H128" s="1731"/>
      <c r="I128" s="1731"/>
      <c r="J128" s="1731"/>
      <c r="K128" s="1731"/>
      <c r="L128" s="1496">
        <f t="shared" si="3"/>
        <v>0</v>
      </c>
      <c r="M128" s="745">
        <f t="shared" si="4"/>
        <v>0</v>
      </c>
    </row>
    <row r="129" spans="1:40" ht="21.95" hidden="1" customHeight="1">
      <c r="A129" s="2695"/>
      <c r="B129" s="2582"/>
      <c r="C129" s="2710"/>
      <c r="D129" s="1453" t="s">
        <v>1355</v>
      </c>
      <c r="E129" s="1279"/>
      <c r="F129" s="1442"/>
      <c r="G129" s="1280"/>
      <c r="H129" s="1280"/>
      <c r="I129" s="1280"/>
      <c r="J129" s="1280"/>
      <c r="K129" s="1280"/>
      <c r="L129" s="1496"/>
      <c r="M129" s="745">
        <f t="shared" si="4"/>
        <v>0</v>
      </c>
    </row>
    <row r="130" spans="1:40" ht="21.95" hidden="1" customHeight="1">
      <c r="A130" s="2695"/>
      <c r="B130" s="2582"/>
      <c r="C130" s="2710"/>
      <c r="D130" s="1453" t="s">
        <v>1539</v>
      </c>
      <c r="E130" s="1279"/>
      <c r="F130" s="1442"/>
      <c r="G130" s="1280"/>
      <c r="H130" s="1280"/>
      <c r="I130" s="1280"/>
      <c r="J130" s="1280"/>
      <c r="K130" s="1280"/>
      <c r="L130" s="1496">
        <f t="shared" ref="L130:L136" si="5">TRUNC(SUM(G130:K130),2)</f>
        <v>0</v>
      </c>
      <c r="M130" s="745">
        <f t="shared" si="4"/>
        <v>0</v>
      </c>
    </row>
    <row r="131" spans="1:40" ht="21.95" hidden="1" customHeight="1">
      <c r="A131" s="2695"/>
      <c r="B131" s="2582"/>
      <c r="C131" s="2710"/>
      <c r="D131" s="1453" t="s">
        <v>1693</v>
      </c>
      <c r="E131" s="1279"/>
      <c r="F131" s="1442"/>
      <c r="G131" s="908">
        <f>G130*G129*G128</f>
        <v>0</v>
      </c>
      <c r="H131" s="908">
        <f>H130*H129*H128</f>
        <v>0</v>
      </c>
      <c r="I131" s="908">
        <f>I130*I129*I128</f>
        <v>0</v>
      </c>
      <c r="J131" s="908">
        <f>J130*J129*J128</f>
        <v>0</v>
      </c>
      <c r="K131" s="908"/>
      <c r="L131" s="1496">
        <f t="shared" si="5"/>
        <v>0</v>
      </c>
      <c r="M131" s="745">
        <f t="shared" ref="M131:M143" si="6">SUM(G131:L131)</f>
        <v>0</v>
      </c>
    </row>
    <row r="132" spans="1:40" ht="21.95" hidden="1" customHeight="1">
      <c r="A132" s="2695"/>
      <c r="B132" s="2582"/>
      <c r="C132" s="2710"/>
      <c r="D132" s="1453" t="s">
        <v>2575</v>
      </c>
      <c r="E132" s="1279"/>
      <c r="F132" s="1442"/>
      <c r="G132" s="1280"/>
      <c r="H132" s="1280"/>
      <c r="I132" s="1280"/>
      <c r="J132" s="1280"/>
      <c r="K132" s="1280"/>
      <c r="L132" s="1496">
        <f t="shared" si="5"/>
        <v>0</v>
      </c>
      <c r="M132" s="745">
        <f t="shared" si="6"/>
        <v>0</v>
      </c>
    </row>
    <row r="133" spans="1:40" ht="21.95" hidden="1" customHeight="1">
      <c r="A133" s="2695"/>
      <c r="B133" s="2582"/>
      <c r="C133" s="2710"/>
      <c r="D133" s="1453" t="s">
        <v>2587</v>
      </c>
      <c r="E133" s="1279"/>
      <c r="F133" s="1442"/>
      <c r="G133" s="1280"/>
      <c r="H133" s="1280"/>
      <c r="I133" s="1280"/>
      <c r="J133" s="1280"/>
      <c r="K133" s="1280"/>
      <c r="L133" s="1496">
        <f t="shared" si="5"/>
        <v>0</v>
      </c>
      <c r="M133" s="745">
        <f t="shared" si="6"/>
        <v>0</v>
      </c>
    </row>
    <row r="134" spans="1:40" ht="21.95" hidden="1" customHeight="1">
      <c r="A134" s="2695"/>
      <c r="B134" s="2582"/>
      <c r="C134" s="2710"/>
      <c r="D134" s="1453" t="s">
        <v>2588</v>
      </c>
      <c r="E134" s="1279"/>
      <c r="F134" s="1442"/>
      <c r="G134" s="1280"/>
      <c r="H134" s="1280"/>
      <c r="I134" s="1280"/>
      <c r="J134" s="1280"/>
      <c r="K134" s="1280"/>
      <c r="L134" s="1496">
        <f t="shared" si="5"/>
        <v>0</v>
      </c>
      <c r="M134" s="745">
        <f t="shared" si="6"/>
        <v>0</v>
      </c>
      <c r="U134" s="711"/>
      <c r="V134" s="711"/>
      <c r="W134" s="711"/>
      <c r="X134" s="711"/>
      <c r="Y134" s="711"/>
      <c r="Z134" s="711"/>
      <c r="AA134" s="711"/>
      <c r="AB134" s="711"/>
      <c r="AC134" s="711"/>
      <c r="AD134" s="711"/>
      <c r="AE134" s="711"/>
      <c r="AF134" s="711"/>
      <c r="AG134" s="711"/>
      <c r="AH134" s="711"/>
      <c r="AI134" s="711"/>
      <c r="AJ134" s="711"/>
      <c r="AK134" s="711"/>
      <c r="AL134" s="711"/>
      <c r="AM134" s="711"/>
      <c r="AN134" s="711"/>
    </row>
    <row r="135" spans="1:40" ht="21.95" hidden="1" customHeight="1">
      <c r="A135" s="2695"/>
      <c r="B135" s="2582"/>
      <c r="C135" s="2763"/>
      <c r="D135" s="1453" t="s">
        <v>2590</v>
      </c>
      <c r="E135" s="1584"/>
      <c r="F135" s="1601"/>
      <c r="G135" s="1730"/>
      <c r="H135" s="1730"/>
      <c r="I135" s="1730"/>
      <c r="J135" s="1730"/>
      <c r="K135" s="1730"/>
      <c r="L135" s="1715">
        <f t="shared" si="5"/>
        <v>0</v>
      </c>
      <c r="M135" s="745">
        <f t="shared" si="6"/>
        <v>0</v>
      </c>
      <c r="U135" s="711"/>
      <c r="V135" s="711"/>
      <c r="W135" s="711"/>
      <c r="X135" s="711"/>
      <c r="Y135" s="711"/>
      <c r="Z135" s="711"/>
      <c r="AA135" s="711"/>
      <c r="AB135" s="711"/>
      <c r="AC135" s="711"/>
      <c r="AD135" s="711"/>
      <c r="AE135" s="711"/>
      <c r="AF135" s="711"/>
      <c r="AG135" s="711"/>
      <c r="AH135" s="711"/>
      <c r="AI135" s="711"/>
      <c r="AJ135" s="711"/>
      <c r="AK135" s="711"/>
      <c r="AL135" s="711"/>
      <c r="AM135" s="711"/>
      <c r="AN135" s="711"/>
    </row>
    <row r="136" spans="1:40" ht="21.95" hidden="1" customHeight="1">
      <c r="A136" s="2695"/>
      <c r="B136" s="2582"/>
      <c r="C136" s="2710" t="s">
        <v>2605</v>
      </c>
      <c r="D136" s="1453" t="s">
        <v>1354</v>
      </c>
      <c r="E136" s="1279"/>
      <c r="F136" s="1442"/>
      <c r="G136" s="1550"/>
      <c r="H136" s="1550"/>
      <c r="I136" s="1550"/>
      <c r="J136" s="1550"/>
      <c r="K136" s="1550"/>
      <c r="L136" s="1496">
        <f t="shared" si="5"/>
        <v>0</v>
      </c>
      <c r="M136" s="745">
        <f t="shared" si="6"/>
        <v>0</v>
      </c>
      <c r="U136" s="711"/>
      <c r="V136" s="711"/>
      <c r="W136" s="711"/>
      <c r="X136" s="711"/>
      <c r="Y136" s="711"/>
      <c r="Z136" s="711"/>
      <c r="AA136" s="711"/>
      <c r="AB136" s="711"/>
      <c r="AC136" s="711"/>
      <c r="AD136" s="711"/>
      <c r="AE136" s="711"/>
      <c r="AF136" s="711"/>
      <c r="AG136" s="711"/>
      <c r="AH136" s="711"/>
      <c r="AI136" s="711"/>
      <c r="AJ136" s="711"/>
      <c r="AK136" s="711"/>
      <c r="AL136" s="711"/>
      <c r="AM136" s="711"/>
      <c r="AN136" s="711"/>
    </row>
    <row r="137" spans="1:40" ht="21.95" hidden="1" customHeight="1">
      <c r="A137" s="2695"/>
      <c r="B137" s="2582"/>
      <c r="C137" s="2710"/>
      <c r="D137" s="1453" t="s">
        <v>1355</v>
      </c>
      <c r="E137" s="1279"/>
      <c r="F137" s="1442"/>
      <c r="G137" s="1280"/>
      <c r="H137" s="1280"/>
      <c r="I137" s="1280"/>
      <c r="J137" s="1280"/>
      <c r="K137" s="1280"/>
      <c r="L137" s="1496"/>
      <c r="M137" s="745">
        <f t="shared" si="6"/>
        <v>0</v>
      </c>
      <c r="U137" s="711"/>
      <c r="V137" s="711"/>
      <c r="W137" s="711"/>
      <c r="X137" s="711"/>
      <c r="Y137" s="711"/>
      <c r="Z137" s="711"/>
      <c r="AA137" s="711"/>
      <c r="AB137" s="711"/>
      <c r="AC137" s="711"/>
      <c r="AD137" s="711"/>
      <c r="AE137" s="711"/>
      <c r="AF137" s="711"/>
      <c r="AG137" s="711"/>
      <c r="AH137" s="711"/>
      <c r="AI137" s="711"/>
      <c r="AJ137" s="711"/>
      <c r="AK137" s="711"/>
      <c r="AL137" s="711"/>
      <c r="AM137" s="711"/>
      <c r="AN137" s="711"/>
    </row>
    <row r="138" spans="1:40" ht="21.95" hidden="1" customHeight="1">
      <c r="A138" s="2695"/>
      <c r="B138" s="2582"/>
      <c r="C138" s="2710"/>
      <c r="D138" s="1453" t="s">
        <v>1539</v>
      </c>
      <c r="E138" s="1279"/>
      <c r="F138" s="1442"/>
      <c r="G138" s="1280"/>
      <c r="H138" s="1280"/>
      <c r="I138" s="1280"/>
      <c r="J138" s="1280"/>
      <c r="K138" s="1280"/>
      <c r="L138" s="1496">
        <f t="shared" ref="L138:L153" si="7">TRUNC(SUM(G138:K138),2)</f>
        <v>0</v>
      </c>
      <c r="M138" s="745">
        <f t="shared" si="6"/>
        <v>0</v>
      </c>
      <c r="U138" s="711"/>
      <c r="V138" s="711"/>
      <c r="W138" s="711"/>
      <c r="X138" s="711"/>
      <c r="Y138" s="711"/>
      <c r="Z138" s="711"/>
      <c r="AA138" s="711"/>
      <c r="AB138" s="711"/>
      <c r="AC138" s="711"/>
      <c r="AD138" s="711"/>
      <c r="AE138" s="711"/>
      <c r="AF138" s="711"/>
      <c r="AG138" s="711"/>
      <c r="AH138" s="711"/>
      <c r="AI138" s="711"/>
      <c r="AJ138" s="711"/>
      <c r="AK138" s="711"/>
      <c r="AL138" s="711"/>
      <c r="AM138" s="711"/>
      <c r="AN138" s="711"/>
    </row>
    <row r="139" spans="1:40" ht="21.95" hidden="1" customHeight="1">
      <c r="A139" s="2695"/>
      <c r="B139" s="2582"/>
      <c r="C139" s="2710"/>
      <c r="D139" s="1453" t="s">
        <v>1693</v>
      </c>
      <c r="E139" s="1279"/>
      <c r="F139" s="1442"/>
      <c r="G139" s="908">
        <f>G138*G137*G136</f>
        <v>0</v>
      </c>
      <c r="H139" s="908">
        <f>H138*H137*H136</f>
        <v>0</v>
      </c>
      <c r="I139" s="908">
        <f>I138*I137*I136</f>
        <v>0</v>
      </c>
      <c r="J139" s="908">
        <f>J138*J137*J136</f>
        <v>0</v>
      </c>
      <c r="K139" s="908"/>
      <c r="L139" s="1496">
        <f t="shared" si="7"/>
        <v>0</v>
      </c>
      <c r="M139" s="745">
        <f t="shared" si="6"/>
        <v>0</v>
      </c>
      <c r="U139" s="711"/>
      <c r="V139" s="711"/>
      <c r="W139" s="711"/>
      <c r="X139" s="711"/>
      <c r="Y139" s="711"/>
      <c r="Z139" s="711"/>
      <c r="AA139" s="711"/>
      <c r="AB139" s="711"/>
      <c r="AC139" s="711"/>
      <c r="AD139" s="711"/>
      <c r="AE139" s="711"/>
      <c r="AF139" s="711"/>
      <c r="AG139" s="711"/>
      <c r="AH139" s="711"/>
      <c r="AI139" s="711"/>
      <c r="AJ139" s="711"/>
      <c r="AK139" s="711"/>
      <c r="AL139" s="711"/>
      <c r="AM139" s="711"/>
      <c r="AN139" s="711"/>
    </row>
    <row r="140" spans="1:40" ht="21.95" hidden="1" customHeight="1">
      <c r="A140" s="2695"/>
      <c r="B140" s="2582"/>
      <c r="C140" s="2710"/>
      <c r="D140" s="1453" t="s">
        <v>2575</v>
      </c>
      <c r="E140" s="1279"/>
      <c r="F140" s="1442"/>
      <c r="G140" s="908">
        <f>G138</f>
        <v>0</v>
      </c>
      <c r="H140" s="908">
        <f>H138</f>
        <v>0</v>
      </c>
      <c r="I140" s="908">
        <f>I138</f>
        <v>0</v>
      </c>
      <c r="J140" s="908">
        <f>J138</f>
        <v>0</v>
      </c>
      <c r="K140" s="908"/>
      <c r="L140" s="1496">
        <f t="shared" si="7"/>
        <v>0</v>
      </c>
      <c r="M140" s="745">
        <f t="shared" si="6"/>
        <v>0</v>
      </c>
      <c r="U140" s="711"/>
      <c r="V140" s="711"/>
      <c r="W140" s="711"/>
      <c r="X140" s="711"/>
      <c r="Y140" s="711"/>
      <c r="Z140" s="711"/>
      <c r="AA140" s="711"/>
      <c r="AB140" s="711"/>
      <c r="AC140" s="711"/>
      <c r="AD140" s="711"/>
      <c r="AE140" s="711"/>
      <c r="AF140" s="711"/>
      <c r="AG140" s="711"/>
      <c r="AH140" s="711"/>
      <c r="AI140" s="711"/>
      <c r="AJ140" s="711"/>
      <c r="AK140" s="711"/>
      <c r="AL140" s="711"/>
      <c r="AM140" s="711"/>
      <c r="AN140" s="711"/>
    </row>
    <row r="141" spans="1:40" ht="21.95" hidden="1" customHeight="1">
      <c r="A141" s="2695"/>
      <c r="B141" s="2582"/>
      <c r="C141" s="2710"/>
      <c r="D141" s="1453" t="s">
        <v>2588</v>
      </c>
      <c r="E141" s="1279"/>
      <c r="F141" s="1442"/>
      <c r="G141" s="908">
        <f>G142*G137*2</f>
        <v>0</v>
      </c>
      <c r="H141" s="908">
        <f>H142*H137*2</f>
        <v>0</v>
      </c>
      <c r="I141" s="908">
        <f>I142*I137*2</f>
        <v>0</v>
      </c>
      <c r="J141" s="908">
        <f>J142*J137*2</f>
        <v>0</v>
      </c>
      <c r="K141" s="908"/>
      <c r="L141" s="1496">
        <f t="shared" si="7"/>
        <v>0</v>
      </c>
      <c r="M141" s="745">
        <f t="shared" si="6"/>
        <v>0</v>
      </c>
      <c r="U141" s="711"/>
      <c r="V141" s="711"/>
      <c r="W141" s="711"/>
      <c r="X141" s="711"/>
      <c r="Y141" s="711"/>
      <c r="Z141" s="711"/>
      <c r="AA141" s="711"/>
      <c r="AB141" s="711"/>
      <c r="AC141" s="711"/>
      <c r="AD141" s="711"/>
      <c r="AE141" s="711"/>
      <c r="AF141" s="711"/>
      <c r="AG141" s="711"/>
      <c r="AH141" s="711"/>
      <c r="AI141" s="711"/>
      <c r="AJ141" s="711"/>
      <c r="AK141" s="711"/>
      <c r="AL141" s="711"/>
      <c r="AM141" s="711"/>
      <c r="AN141" s="711"/>
    </row>
    <row r="142" spans="1:40" ht="21.95" hidden="1" customHeight="1" thickBot="1">
      <c r="A142" s="2695"/>
      <c r="B142" s="2583"/>
      <c r="C142" s="2701"/>
      <c r="D142" s="1526" t="s">
        <v>2590</v>
      </c>
      <c r="E142" s="1283"/>
      <c r="F142" s="1563"/>
      <c r="G142" s="1547"/>
      <c r="H142" s="1547"/>
      <c r="I142" s="1547"/>
      <c r="J142" s="1547"/>
      <c r="K142" s="1547"/>
      <c r="L142" s="1714">
        <f t="shared" si="7"/>
        <v>0</v>
      </c>
      <c r="M142" s="745">
        <f t="shared" si="6"/>
        <v>0</v>
      </c>
      <c r="U142" s="711"/>
      <c r="V142" s="711"/>
      <c r="W142" s="711"/>
      <c r="X142" s="711"/>
      <c r="Y142" s="711"/>
      <c r="Z142" s="711"/>
      <c r="AA142" s="711"/>
      <c r="AB142" s="711"/>
      <c r="AC142" s="711"/>
      <c r="AD142" s="711"/>
      <c r="AE142" s="711"/>
      <c r="AF142" s="711"/>
      <c r="AG142" s="711"/>
      <c r="AH142" s="711"/>
      <c r="AI142" s="711"/>
      <c r="AJ142" s="711"/>
      <c r="AK142" s="711"/>
      <c r="AL142" s="711"/>
      <c r="AM142" s="711"/>
      <c r="AN142" s="711"/>
    </row>
    <row r="143" spans="1:40" ht="21.95" hidden="1" customHeight="1" thickBot="1">
      <c r="A143" s="2695"/>
      <c r="B143" s="2753" t="s">
        <v>2589</v>
      </c>
      <c r="C143" s="2905"/>
      <c r="D143" s="2866"/>
      <c r="E143" s="1309"/>
      <c r="F143" s="1565"/>
      <c r="G143" s="1598">
        <f>G41+G48+G55+G62+G83+G91</f>
        <v>0</v>
      </c>
      <c r="H143" s="1598">
        <f>H41+H48+H55+H62+H83+H91</f>
        <v>0</v>
      </c>
      <c r="I143" s="1598">
        <f>I41+I48+I55+I62+I83+I91</f>
        <v>0</v>
      </c>
      <c r="J143" s="1598">
        <f>J41+J48+J55+J62+J83+J91</f>
        <v>0</v>
      </c>
      <c r="K143" s="1598"/>
      <c r="L143" s="1732">
        <f t="shared" si="7"/>
        <v>0</v>
      </c>
      <c r="M143" s="745">
        <f t="shared" si="6"/>
        <v>0</v>
      </c>
      <c r="U143" s="1733"/>
      <c r="V143" s="1734"/>
      <c r="AC143" s="1733"/>
      <c r="AD143" s="1734"/>
      <c r="AH143" s="1733"/>
    </row>
    <row r="144" spans="1:40" ht="21.95" hidden="1" customHeight="1">
      <c r="A144" s="2695"/>
      <c r="B144" s="2581" t="s">
        <v>2606</v>
      </c>
      <c r="C144" s="2913" t="s">
        <v>2607</v>
      </c>
      <c r="D144" s="2900"/>
      <c r="E144" s="1279"/>
      <c r="F144" s="1442"/>
      <c r="G144" s="1735"/>
      <c r="H144" s="1735"/>
      <c r="I144" s="1735"/>
      <c r="J144" s="1735"/>
      <c r="K144" s="1735"/>
      <c r="L144" s="1708">
        <f t="shared" si="7"/>
        <v>0</v>
      </c>
      <c r="M144" s="780">
        <f>SUM(G144:L144)+L145</f>
        <v>0</v>
      </c>
      <c r="U144" s="711"/>
      <c r="V144" s="214"/>
      <c r="W144" s="711"/>
      <c r="X144" s="711"/>
      <c r="Y144" s="711"/>
      <c r="Z144" s="711"/>
      <c r="AA144" s="711"/>
      <c r="AB144" s="711"/>
      <c r="AC144" s="711"/>
      <c r="AD144" s="711"/>
      <c r="AE144" s="711"/>
      <c r="AF144" s="711"/>
      <c r="AG144" s="711"/>
      <c r="AH144" s="711"/>
      <c r="AI144" s="711"/>
      <c r="AJ144" s="711"/>
      <c r="AK144" s="711"/>
      <c r="AL144" s="711"/>
      <c r="AM144" s="711"/>
      <c r="AN144" s="711"/>
    </row>
    <row r="145" spans="1:40" ht="21.95" hidden="1" customHeight="1" thickBot="1">
      <c r="A145" s="2695"/>
      <c r="B145" s="2583"/>
      <c r="C145" s="2764" t="s">
        <v>2608</v>
      </c>
      <c r="D145" s="2765"/>
      <c r="E145" s="1283"/>
      <c r="F145" s="1563"/>
      <c r="G145" s="1736"/>
      <c r="H145" s="1736"/>
      <c r="I145" s="1736"/>
      <c r="J145" s="1736"/>
      <c r="K145" s="1736"/>
      <c r="L145" s="1714">
        <f t="shared" si="7"/>
        <v>0</v>
      </c>
      <c r="M145" s="780">
        <f>SUM(G145:L145)+L146</f>
        <v>0</v>
      </c>
      <c r="N145" s="681">
        <v>23.4</v>
      </c>
      <c r="O145" s="681">
        <v>23.4</v>
      </c>
      <c r="P145" s="681">
        <v>23.4</v>
      </c>
      <c r="Q145" s="681">
        <v>23.4</v>
      </c>
      <c r="R145" s="681">
        <v>23.4</v>
      </c>
      <c r="S145" s="681">
        <v>23.4</v>
      </c>
      <c r="T145" s="681">
        <v>23.4</v>
      </c>
      <c r="U145" s="711">
        <v>23.4</v>
      </c>
      <c r="V145" s="711">
        <v>23.4</v>
      </c>
      <c r="W145" s="711">
        <v>23.4</v>
      </c>
      <c r="X145" s="711"/>
      <c r="Y145" s="711"/>
      <c r="Z145" s="711"/>
      <c r="AA145" s="711"/>
      <c r="AB145" s="711"/>
      <c r="AC145" s="711"/>
      <c r="AD145" s="711"/>
      <c r="AE145" s="711"/>
      <c r="AF145" s="711"/>
      <c r="AG145" s="711"/>
      <c r="AH145" s="711"/>
      <c r="AI145" s="711"/>
      <c r="AJ145" s="711"/>
      <c r="AK145" s="711"/>
      <c r="AL145" s="711"/>
      <c r="AM145" s="711"/>
      <c r="AN145" s="711"/>
    </row>
    <row r="146" spans="1:40" ht="21.95" hidden="1" customHeight="1">
      <c r="A146" s="2695"/>
      <c r="B146" s="2581" t="s">
        <v>2609</v>
      </c>
      <c r="C146" s="1737" t="s">
        <v>2610</v>
      </c>
      <c r="D146" s="1453" t="s">
        <v>2607</v>
      </c>
      <c r="E146" s="1738"/>
      <c r="F146" s="1739"/>
      <c r="G146" s="921">
        <f>G8+G11</f>
        <v>0</v>
      </c>
      <c r="H146" s="921">
        <f>H8+H11</f>
        <v>0</v>
      </c>
      <c r="I146" s="921">
        <f>I8+I11</f>
        <v>0</v>
      </c>
      <c r="J146" s="921">
        <f>J8+J11</f>
        <v>0</v>
      </c>
      <c r="K146" s="921"/>
      <c r="L146" s="1723">
        <f t="shared" si="7"/>
        <v>0</v>
      </c>
      <c r="M146" s="745">
        <f t="shared" ref="M146:M177" si="8">SUM(G146:L146)</f>
        <v>0</v>
      </c>
      <c r="U146" s="711"/>
      <c r="V146" s="711"/>
      <c r="W146" s="711"/>
      <c r="X146" s="711"/>
      <c r="Y146" s="711"/>
      <c r="Z146" s="711"/>
      <c r="AA146" s="711"/>
      <c r="AB146" s="711"/>
      <c r="AC146" s="711"/>
      <c r="AD146" s="711"/>
      <c r="AE146" s="711"/>
      <c r="AF146" s="711"/>
      <c r="AG146" s="711"/>
      <c r="AH146" s="711"/>
      <c r="AI146" s="711"/>
      <c r="AJ146" s="711"/>
      <c r="AK146" s="711"/>
      <c r="AL146" s="711"/>
      <c r="AM146" s="711"/>
      <c r="AN146" s="711"/>
    </row>
    <row r="147" spans="1:40" ht="21.95" hidden="1" customHeight="1">
      <c r="A147" s="2695"/>
      <c r="B147" s="2582"/>
      <c r="C147" s="1740" t="s">
        <v>2611</v>
      </c>
      <c r="D147" s="1089" t="s">
        <v>2608</v>
      </c>
      <c r="E147" s="1741"/>
      <c r="F147" s="1742"/>
      <c r="G147" s="908">
        <f>G12*G15+G16*G19</f>
        <v>0</v>
      </c>
      <c r="H147" s="908">
        <f>H12*H15+H16*H19</f>
        <v>0</v>
      </c>
      <c r="I147" s="908">
        <f>I12*I15+I16*I19</f>
        <v>0</v>
      </c>
      <c r="J147" s="908">
        <f>J12*J15+J16*J19</f>
        <v>0</v>
      </c>
      <c r="K147" s="908"/>
      <c r="L147" s="1496">
        <f t="shared" si="7"/>
        <v>0</v>
      </c>
      <c r="M147" s="745">
        <f t="shared" si="8"/>
        <v>0</v>
      </c>
      <c r="U147" s="711"/>
      <c r="V147" s="711"/>
      <c r="W147" s="711"/>
      <c r="X147" s="711"/>
      <c r="Y147" s="711"/>
      <c r="Z147" s="711"/>
      <c r="AA147" s="711"/>
      <c r="AB147" s="711"/>
      <c r="AC147" s="711"/>
      <c r="AD147" s="711"/>
      <c r="AE147" s="711"/>
      <c r="AF147" s="711"/>
      <c r="AG147" s="711"/>
      <c r="AH147" s="711"/>
      <c r="AI147" s="711"/>
      <c r="AJ147" s="711"/>
      <c r="AK147" s="711"/>
      <c r="AL147" s="711"/>
      <c r="AM147" s="711"/>
      <c r="AN147" s="711"/>
    </row>
    <row r="148" spans="1:40" ht="21.95" hidden="1" customHeight="1">
      <c r="A148" s="2695"/>
      <c r="B148" s="2582"/>
      <c r="C148" s="2762" t="s">
        <v>2612</v>
      </c>
      <c r="D148" s="1089" t="s">
        <v>2607</v>
      </c>
      <c r="E148" s="1741"/>
      <c r="F148" s="1742"/>
      <c r="G148" s="908">
        <f>G64*G67+G71*G74+G85*G88+G93*G96+G100*G103+G107*G110+G114*G117+G121*G124+G128*G132+G136*G140</f>
        <v>0</v>
      </c>
      <c r="H148" s="908">
        <f>H64*H67+H71*H74+H85*H88+H93*H96+H100*H103+H107*H110+H114*H117+H121*H124+H128*H132+H136*H140</f>
        <v>0</v>
      </c>
      <c r="I148" s="908">
        <f>I64*I67+I71*I74+I85*I88+I93*I96+I100*I103+I107*I110+I114*I117+I121*I124+I128*I132+I136*I140</f>
        <v>0</v>
      </c>
      <c r="J148" s="908">
        <f>J64*J67+J71*J74+J85*J88+J93*J96+J100*J103+J107*J110+J114*J117+J121*J124+J128*J132+J136*J140</f>
        <v>0</v>
      </c>
      <c r="K148" s="908"/>
      <c r="L148" s="1496">
        <f t="shared" si="7"/>
        <v>0</v>
      </c>
      <c r="M148" s="745">
        <f t="shared" si="8"/>
        <v>0</v>
      </c>
    </row>
    <row r="149" spans="1:40" ht="21.95" hidden="1" customHeight="1">
      <c r="A149" s="2695"/>
      <c r="B149" s="2582"/>
      <c r="C149" s="2763"/>
      <c r="D149" s="1089" t="s">
        <v>2608</v>
      </c>
      <c r="E149" s="1743"/>
      <c r="F149" s="1744"/>
      <c r="G149" s="1460">
        <f>G36*G39+G43*G46+G50*G53+G57*G60+G64*G68+G71*G75+G78*G81+G85*G89+G93*G97+G100*G104+G107*G111+G114*G118+G121*G125+G128*G133</f>
        <v>0</v>
      </c>
      <c r="H149" s="1460">
        <f>H36*H39+H43*H46+H50*H53+H57*H60+H64*H68+H71*H75+H78*H81+H85*H89+H93*H97+H100*H104+H107*H111+H114*H118+H121*H125+H128*H133</f>
        <v>0</v>
      </c>
      <c r="I149" s="1460">
        <f>I36*I39+I43*I46+I50*I53+I57*I60+I64*I68+I71*I75+I78*I81+I85*I89+I93*I97+I100*I104+I107*I111+I114*I118+I121*I125+I128*I133</f>
        <v>0</v>
      </c>
      <c r="J149" s="1460">
        <f>J36*J39+J43*J46+J50*J53+J57*J60+J64*J68+J71*J75+J78*J81+J85*J89+J93*J97+J100*J104+J107*J111+J114*J118+J121*J125+J128*J133</f>
        <v>0</v>
      </c>
      <c r="K149" s="1460"/>
      <c r="L149" s="1715">
        <f t="shared" si="7"/>
        <v>0</v>
      </c>
      <c r="M149" s="745">
        <f t="shared" si="8"/>
        <v>0</v>
      </c>
      <c r="N149" s="2690" t="s">
        <v>1859</v>
      </c>
      <c r="O149" s="2691"/>
      <c r="P149" s="2691"/>
      <c r="Q149" s="2691"/>
      <c r="R149" s="2691"/>
      <c r="S149" s="2691"/>
      <c r="T149" s="2691"/>
      <c r="U149" s="2908"/>
      <c r="V149" s="2909" t="s">
        <v>1860</v>
      </c>
      <c r="W149" s="2691"/>
      <c r="X149" s="2691"/>
      <c r="Y149" s="2691"/>
      <c r="Z149" s="2691"/>
      <c r="AA149" s="2691"/>
      <c r="AB149" s="2691"/>
      <c r="AC149" s="2908"/>
      <c r="AD149" s="2909" t="s">
        <v>1861</v>
      </c>
      <c r="AE149" s="2691"/>
      <c r="AF149" s="2691"/>
      <c r="AG149" s="2691"/>
      <c r="AH149" s="2908"/>
      <c r="AI149" s="2910" t="s">
        <v>1862</v>
      </c>
      <c r="AJ149" s="2911"/>
      <c r="AK149" s="2687" t="s">
        <v>1865</v>
      </c>
      <c r="AL149" s="2690" t="s">
        <v>1863</v>
      </c>
      <c r="AM149" s="2692"/>
      <c r="AN149" s="2906" t="s">
        <v>2613</v>
      </c>
    </row>
    <row r="150" spans="1:40" ht="21.95" hidden="1" customHeight="1">
      <c r="A150" s="2695"/>
      <c r="B150" s="2582"/>
      <c r="C150" s="1740" t="s">
        <v>2614</v>
      </c>
      <c r="D150" s="1089" t="s">
        <v>2607</v>
      </c>
      <c r="E150" s="1745"/>
      <c r="F150" s="1746"/>
      <c r="G150" s="930">
        <f>G136*G140</f>
        <v>0</v>
      </c>
      <c r="H150" s="930">
        <f>H136*H140</f>
        <v>0</v>
      </c>
      <c r="I150" s="930">
        <f>I136*I140</f>
        <v>0</v>
      </c>
      <c r="J150" s="930">
        <f>J136*J140</f>
        <v>0</v>
      </c>
      <c r="K150" s="930"/>
      <c r="L150" s="1747">
        <f t="shared" si="7"/>
        <v>0</v>
      </c>
      <c r="M150" s="745">
        <f t="shared" si="8"/>
        <v>0</v>
      </c>
      <c r="N150" s="1121" t="s">
        <v>1868</v>
      </c>
      <c r="O150" s="1121" t="s">
        <v>1869</v>
      </c>
      <c r="P150" s="1121" t="s">
        <v>2615</v>
      </c>
      <c r="Q150" s="1121" t="s">
        <v>2616</v>
      </c>
      <c r="R150" s="1121" t="s">
        <v>1871</v>
      </c>
      <c r="S150" s="1121" t="s">
        <v>1872</v>
      </c>
      <c r="T150" s="1121" t="s">
        <v>2617</v>
      </c>
      <c r="U150" s="1748" t="s">
        <v>1873</v>
      </c>
      <c r="V150" s="1749" t="s">
        <v>1868</v>
      </c>
      <c r="W150" s="1121" t="s">
        <v>1869</v>
      </c>
      <c r="X150" s="1121" t="s">
        <v>2615</v>
      </c>
      <c r="Y150" s="1121" t="s">
        <v>2618</v>
      </c>
      <c r="Z150" s="1121" t="s">
        <v>1871</v>
      </c>
      <c r="AA150" s="1121" t="s">
        <v>1872</v>
      </c>
      <c r="AB150" s="1121" t="s">
        <v>2617</v>
      </c>
      <c r="AC150" s="1748" t="s">
        <v>1873</v>
      </c>
      <c r="AD150" s="1749" t="s">
        <v>1868</v>
      </c>
      <c r="AE150" s="1121" t="s">
        <v>1869</v>
      </c>
      <c r="AF150" s="1121" t="s">
        <v>2615</v>
      </c>
      <c r="AG150" s="1121" t="s">
        <v>2619</v>
      </c>
      <c r="AH150" s="1748" t="s">
        <v>1876</v>
      </c>
      <c r="AI150" s="1750" t="s">
        <v>1984</v>
      </c>
      <c r="AJ150" s="1751" t="s">
        <v>2620</v>
      </c>
      <c r="AK150" s="2688"/>
      <c r="AL150" s="1122" t="s">
        <v>2621</v>
      </c>
      <c r="AM150" s="1122" t="s">
        <v>1877</v>
      </c>
      <c r="AN150" s="2907"/>
    </row>
    <row r="151" spans="1:40" ht="21.95" hidden="1" customHeight="1">
      <c r="A151" s="2695"/>
      <c r="B151" s="2582"/>
      <c r="C151" s="2762" t="s">
        <v>2622</v>
      </c>
      <c r="D151" s="1089" t="s">
        <v>2607</v>
      </c>
      <c r="E151" s="1741"/>
      <c r="F151" s="1742"/>
      <c r="G151" s="908">
        <f t="shared" ref="G151:J152" si="9">G144</f>
        <v>0</v>
      </c>
      <c r="H151" s="908">
        <f t="shared" si="9"/>
        <v>0</v>
      </c>
      <c r="I151" s="908">
        <f t="shared" si="9"/>
        <v>0</v>
      </c>
      <c r="J151" s="908">
        <f t="shared" si="9"/>
        <v>0</v>
      </c>
      <c r="K151" s="908"/>
      <c r="L151" s="1496">
        <f t="shared" si="7"/>
        <v>0</v>
      </c>
      <c r="M151" s="745">
        <f t="shared" si="8"/>
        <v>0</v>
      </c>
      <c r="N151" s="1125">
        <v>94963</v>
      </c>
      <c r="O151" s="1125">
        <v>94964</v>
      </c>
      <c r="P151" s="1125">
        <v>34495</v>
      </c>
      <c r="Q151" s="1125"/>
      <c r="R151" s="1125">
        <v>87298</v>
      </c>
      <c r="S151" s="1125">
        <v>88631</v>
      </c>
      <c r="T151" s="1125">
        <v>87335</v>
      </c>
      <c r="U151" s="1752">
        <v>87878</v>
      </c>
      <c r="V151" s="1753">
        <v>94963</v>
      </c>
      <c r="W151" s="1125">
        <v>94964</v>
      </c>
      <c r="X151" s="1125">
        <v>34495</v>
      </c>
      <c r="Y151" s="1125"/>
      <c r="Z151" s="1125">
        <v>87298</v>
      </c>
      <c r="AA151" s="1125">
        <v>88631</v>
      </c>
      <c r="AB151" s="1125">
        <v>87335</v>
      </c>
      <c r="AC151" s="1752">
        <v>87878</v>
      </c>
      <c r="AD151" s="1753">
        <v>94963</v>
      </c>
      <c r="AE151" s="1125">
        <v>94964</v>
      </c>
      <c r="AF151" s="1125">
        <v>34495</v>
      </c>
      <c r="AG151" s="1125"/>
      <c r="AH151" s="1752">
        <v>100324</v>
      </c>
      <c r="AI151" s="1754">
        <v>7156</v>
      </c>
      <c r="AJ151" s="1751">
        <v>43059</v>
      </c>
      <c r="AK151" s="2688"/>
      <c r="AL151" s="1125"/>
      <c r="AM151" s="1125">
        <v>92411</v>
      </c>
      <c r="AN151" s="1125">
        <v>1106</v>
      </c>
    </row>
    <row r="152" spans="1:40" ht="21.95" hidden="1" customHeight="1">
      <c r="A152" s="2695"/>
      <c r="B152" s="2582"/>
      <c r="C152" s="2763"/>
      <c r="D152" s="1089" t="s">
        <v>2608</v>
      </c>
      <c r="E152" s="1743"/>
      <c r="F152" s="1744"/>
      <c r="G152" s="1460">
        <f t="shared" si="9"/>
        <v>0</v>
      </c>
      <c r="H152" s="1460">
        <f t="shared" si="9"/>
        <v>0</v>
      </c>
      <c r="I152" s="1460">
        <f t="shared" si="9"/>
        <v>0</v>
      </c>
      <c r="J152" s="1460">
        <f t="shared" si="9"/>
        <v>0</v>
      </c>
      <c r="K152" s="1460"/>
      <c r="L152" s="1715">
        <f t="shared" si="7"/>
        <v>0</v>
      </c>
      <c r="M152" s="745">
        <f t="shared" si="8"/>
        <v>0</v>
      </c>
      <c r="N152" s="1130">
        <v>273.06</v>
      </c>
      <c r="O152" s="1130">
        <v>322.98</v>
      </c>
      <c r="P152" s="1130">
        <v>425.84</v>
      </c>
      <c r="Q152" s="1130">
        <v>1</v>
      </c>
      <c r="R152" s="1130">
        <v>573.61</v>
      </c>
      <c r="S152" s="1130">
        <v>362.66</v>
      </c>
      <c r="T152" s="1130">
        <v>362.66</v>
      </c>
      <c r="U152" s="1755">
        <v>422.63</v>
      </c>
      <c r="V152" s="1756">
        <v>0.80500000000000005</v>
      </c>
      <c r="W152" s="1132">
        <v>0.75580000000000003</v>
      </c>
      <c r="X152" s="1130">
        <v>0.58099999999999996</v>
      </c>
      <c r="Y152" s="1132">
        <v>1</v>
      </c>
      <c r="Z152" s="1130">
        <v>1.27</v>
      </c>
      <c r="AA152" s="1130">
        <v>1.1499999999999999</v>
      </c>
      <c r="AB152" s="1130">
        <v>362.66</v>
      </c>
      <c r="AC152" s="1755">
        <v>0.94</v>
      </c>
      <c r="AD152" s="1756">
        <v>0.57899999999999996</v>
      </c>
      <c r="AE152" s="1132">
        <v>0.58699999999999997</v>
      </c>
      <c r="AF152" s="1130">
        <v>0.66800000000000004</v>
      </c>
      <c r="AG152" s="1132">
        <v>1</v>
      </c>
      <c r="AH152" s="1757">
        <v>1.1299999999999999</v>
      </c>
      <c r="AI152" s="1758">
        <v>3.11</v>
      </c>
      <c r="AJ152" s="1130">
        <v>1</v>
      </c>
      <c r="AK152" s="1135">
        <f>2.5/1000</f>
        <v>2.5000000000000001E-3</v>
      </c>
      <c r="AL152" s="1759">
        <v>1</v>
      </c>
      <c r="AM152" s="1134">
        <v>7.1000000000000004E-3</v>
      </c>
      <c r="AN152" s="1759">
        <v>1</v>
      </c>
    </row>
    <row r="153" spans="1:40" ht="21.95" hidden="1" customHeight="1">
      <c r="A153" s="2695"/>
      <c r="B153" s="2582"/>
      <c r="C153" s="2762" t="s">
        <v>2623</v>
      </c>
      <c r="D153" s="1453" t="s">
        <v>1539</v>
      </c>
      <c r="E153" s="1741"/>
      <c r="F153" s="1742"/>
      <c r="G153" s="908">
        <f>SUM(G156:G157)</f>
        <v>0</v>
      </c>
      <c r="H153" s="908">
        <f>SUM(H156:H157)</f>
        <v>0</v>
      </c>
      <c r="I153" s="908">
        <f>SUM(I156:I157)</f>
        <v>0</v>
      </c>
      <c r="J153" s="908">
        <f>SUM(J156:J157)</f>
        <v>0</v>
      </c>
      <c r="K153" s="908"/>
      <c r="L153" s="1496">
        <f t="shared" si="7"/>
        <v>0</v>
      </c>
      <c r="M153" s="745">
        <f t="shared" si="8"/>
        <v>0</v>
      </c>
      <c r="N153" s="1760"/>
      <c r="O153" s="1760"/>
      <c r="P153" s="1760"/>
      <c r="Q153" s="1760"/>
      <c r="R153" s="1760"/>
      <c r="S153" s="1760"/>
      <c r="T153" s="1760"/>
      <c r="U153" s="1761"/>
      <c r="V153" s="1762"/>
      <c r="W153" s="1763"/>
      <c r="X153" s="1760"/>
      <c r="Y153" s="1763"/>
      <c r="Z153" s="1760"/>
      <c r="AA153" s="1760"/>
      <c r="AB153" s="1760"/>
      <c r="AC153" s="1761"/>
      <c r="AD153" s="1762"/>
      <c r="AE153" s="1763"/>
      <c r="AF153" s="1760"/>
      <c r="AG153" s="1763"/>
      <c r="AH153" s="1764"/>
      <c r="AI153" s="1765"/>
      <c r="AJ153" s="1760"/>
      <c r="AK153" s="1766"/>
      <c r="AL153" s="1767"/>
      <c r="AM153" s="1768"/>
      <c r="AN153" s="1767"/>
    </row>
    <row r="154" spans="1:40" ht="21.95" customHeight="1" thickTop="1">
      <c r="A154" s="2695"/>
      <c r="B154" s="2582"/>
      <c r="C154" s="2710"/>
      <c r="D154" s="1089" t="s">
        <v>2006</v>
      </c>
      <c r="E154" s="1741"/>
      <c r="F154" s="1742"/>
      <c r="G154" s="1328">
        <v>3</v>
      </c>
      <c r="H154" s="1328">
        <v>3</v>
      </c>
      <c r="I154" s="1328"/>
      <c r="J154" s="1328"/>
      <c r="K154" s="1328"/>
      <c r="L154" s="1496"/>
      <c r="M154" s="745">
        <f t="shared" si="8"/>
        <v>6</v>
      </c>
      <c r="N154" s="1760"/>
      <c r="O154" s="1760"/>
      <c r="P154" s="1760"/>
      <c r="Q154" s="1760"/>
      <c r="R154" s="1760"/>
      <c r="S154" s="1760"/>
      <c r="T154" s="1760"/>
      <c r="U154" s="1761"/>
      <c r="V154" s="1762"/>
      <c r="W154" s="1763"/>
      <c r="X154" s="1760"/>
      <c r="Y154" s="1763"/>
      <c r="Z154" s="1760"/>
      <c r="AA154" s="1760"/>
      <c r="AB154" s="1760"/>
      <c r="AC154" s="1761"/>
      <c r="AD154" s="1762"/>
      <c r="AE154" s="1763"/>
      <c r="AF154" s="1760"/>
      <c r="AG154" s="1763"/>
      <c r="AH154" s="1764"/>
      <c r="AI154" s="1765"/>
      <c r="AJ154" s="1760"/>
      <c r="AK154" s="1766"/>
      <c r="AL154" s="1767"/>
      <c r="AM154" s="1768"/>
      <c r="AN154" s="1767"/>
    </row>
    <row r="155" spans="1:40" ht="21.95" hidden="1" customHeight="1">
      <c r="A155" s="2695"/>
      <c r="B155" s="2582"/>
      <c r="C155" s="2763"/>
      <c r="D155" s="1089" t="s">
        <v>1923</v>
      </c>
      <c r="E155" s="1743"/>
      <c r="F155" s="1744"/>
      <c r="G155" s="1460">
        <f>G154*G153*0.4/100</f>
        <v>0</v>
      </c>
      <c r="H155" s="1460">
        <f>H154*H153*0.4/100</f>
        <v>0</v>
      </c>
      <c r="I155" s="1460">
        <f>I154*I153*0.4/100</f>
        <v>0</v>
      </c>
      <c r="J155" s="1460">
        <f>J154*J153*0.4/100</f>
        <v>0</v>
      </c>
      <c r="K155" s="1460"/>
      <c r="L155" s="1769">
        <f t="shared" ref="L155:L160" si="10">TRUNC(SUM(G155:K155),2)</f>
        <v>0</v>
      </c>
      <c r="M155" s="745">
        <f t="shared" si="8"/>
        <v>0</v>
      </c>
      <c r="N155" s="1760"/>
      <c r="O155" s="1760"/>
      <c r="P155" s="1760"/>
      <c r="Q155" s="1760"/>
      <c r="R155" s="1760"/>
      <c r="S155" s="1760"/>
      <c r="T155" s="1760"/>
      <c r="U155" s="1761"/>
      <c r="V155" s="1762"/>
      <c r="W155" s="1763"/>
      <c r="X155" s="1760"/>
      <c r="Y155" s="1763"/>
      <c r="Z155" s="1760"/>
      <c r="AA155" s="1760"/>
      <c r="AB155" s="1760"/>
      <c r="AC155" s="1761"/>
      <c r="AD155" s="1762"/>
      <c r="AE155" s="1763"/>
      <c r="AF155" s="1760"/>
      <c r="AG155" s="1763"/>
      <c r="AH155" s="1764"/>
      <c r="AI155" s="1765"/>
      <c r="AJ155" s="1760"/>
      <c r="AK155" s="1766"/>
      <c r="AL155" s="1767"/>
      <c r="AM155" s="1768"/>
      <c r="AN155" s="1767"/>
    </row>
    <row r="156" spans="1:40" ht="21.95" hidden="1" customHeight="1">
      <c r="A156" s="2695"/>
      <c r="B156" s="2582"/>
      <c r="C156" s="2868" t="s">
        <v>27</v>
      </c>
      <c r="D156" s="1453" t="s">
        <v>2607</v>
      </c>
      <c r="E156" s="1741"/>
      <c r="F156" s="1742"/>
      <c r="G156" s="908">
        <f>G146+G148+G150+G151</f>
        <v>0</v>
      </c>
      <c r="H156" s="908">
        <f>H146+H148+H150+H151</f>
        <v>0</v>
      </c>
      <c r="I156" s="908">
        <f>I146+I148+I150+I151</f>
        <v>0</v>
      </c>
      <c r="J156" s="908">
        <f>J146+J148+J150+J151</f>
        <v>0</v>
      </c>
      <c r="K156" s="908"/>
      <c r="L156" s="1720">
        <f t="shared" si="10"/>
        <v>0</v>
      </c>
      <c r="M156" s="745">
        <f t="shared" si="8"/>
        <v>0</v>
      </c>
      <c r="N156" s="1137"/>
      <c r="O156" s="1137"/>
      <c r="P156" s="1137"/>
      <c r="Q156" s="1137"/>
      <c r="R156" s="1137">
        <v>0.06</v>
      </c>
      <c r="S156" s="1137"/>
      <c r="T156" s="1137"/>
      <c r="U156" s="1770"/>
      <c r="V156" s="1771"/>
      <c r="W156" s="1137"/>
      <c r="X156" s="1137"/>
      <c r="Y156" s="1137"/>
      <c r="Z156" s="1137">
        <v>0.06</v>
      </c>
      <c r="AA156" s="1137"/>
      <c r="AB156" s="1137"/>
      <c r="AC156" s="1772"/>
      <c r="AD156" s="1771"/>
      <c r="AE156" s="1137"/>
      <c r="AF156" s="1137"/>
      <c r="AG156" s="1137"/>
      <c r="AH156" s="1772"/>
      <c r="AI156" s="1137"/>
      <c r="AJ156" s="1137"/>
      <c r="AK156" s="1137"/>
    </row>
    <row r="157" spans="1:40" ht="21.95" hidden="1" customHeight="1" thickBot="1">
      <c r="A157" s="2695"/>
      <c r="B157" s="2583"/>
      <c r="C157" s="2762"/>
      <c r="D157" s="936" t="s">
        <v>2608</v>
      </c>
      <c r="E157" s="1773"/>
      <c r="F157" s="1774"/>
      <c r="G157" s="901">
        <f>G147+G149+G152</f>
        <v>0</v>
      </c>
      <c r="H157" s="901">
        <f>H147+H149+H152</f>
        <v>0</v>
      </c>
      <c r="I157" s="901">
        <f>I147+I149+I152</f>
        <v>0</v>
      </c>
      <c r="J157" s="901">
        <f>J147+J149+J152</f>
        <v>0</v>
      </c>
      <c r="K157" s="901"/>
      <c r="L157" s="1707">
        <f t="shared" si="10"/>
        <v>0</v>
      </c>
      <c r="M157" s="745">
        <f t="shared" si="8"/>
        <v>0</v>
      </c>
      <c r="N157" s="1137"/>
      <c r="O157" s="1137"/>
      <c r="P157" s="1137"/>
      <c r="Q157" s="1137"/>
      <c r="R157" s="1137">
        <v>0.06</v>
      </c>
      <c r="S157" s="1137"/>
      <c r="T157" s="1137"/>
      <c r="U157" s="1772"/>
      <c r="V157" s="1771"/>
      <c r="W157" s="1137"/>
      <c r="X157" s="1137"/>
      <c r="Y157" s="1137"/>
      <c r="Z157" s="1137">
        <v>0.06</v>
      </c>
      <c r="AA157" s="1137"/>
      <c r="AB157" s="1137"/>
      <c r="AC157" s="1772"/>
      <c r="AD157" s="1771"/>
      <c r="AE157" s="1137"/>
      <c r="AF157" s="1137"/>
      <c r="AG157" s="1137"/>
      <c r="AH157" s="1772"/>
      <c r="AI157" s="1137"/>
      <c r="AJ157" s="1137"/>
      <c r="AK157" s="1137"/>
    </row>
    <row r="158" spans="1:40" ht="21.95" hidden="1" customHeight="1">
      <c r="A158" s="2695"/>
      <c r="B158" s="2862" t="s">
        <v>2624</v>
      </c>
      <c r="C158" s="2867" t="s">
        <v>1601</v>
      </c>
      <c r="D158" s="1453" t="s">
        <v>2625</v>
      </c>
      <c r="E158" s="1279"/>
      <c r="F158" s="1442"/>
      <c r="G158" s="908">
        <f>G20</f>
        <v>0</v>
      </c>
      <c r="H158" s="908">
        <f>H20</f>
        <v>0</v>
      </c>
      <c r="I158" s="908">
        <f>I20</f>
        <v>0</v>
      </c>
      <c r="J158" s="908">
        <f>J20</f>
        <v>0</v>
      </c>
      <c r="K158" s="908"/>
      <c r="L158" s="1496">
        <f t="shared" si="10"/>
        <v>0</v>
      </c>
      <c r="M158" s="745">
        <f t="shared" si="8"/>
        <v>0</v>
      </c>
      <c r="U158" s="1733"/>
      <c r="V158" s="1734"/>
      <c r="AC158" s="1733"/>
      <c r="AD158" s="1734"/>
      <c r="AH158" s="1733"/>
    </row>
    <row r="159" spans="1:40" ht="21.95" hidden="1" customHeight="1">
      <c r="A159" s="2695"/>
      <c r="B159" s="2863"/>
      <c r="C159" s="2868"/>
      <c r="D159" s="1089" t="s">
        <v>2626</v>
      </c>
      <c r="E159" s="1279"/>
      <c r="F159" s="1442"/>
      <c r="G159" s="908">
        <f>G36*G37+G43*G44+G50*G51+G57*G58+G64*G65+G71*G72+G78*G79+G85*G86+G93*G94+G100*G101+G107*G108+G114*G115+G121*G122+G128*G131-G160</f>
        <v>0</v>
      </c>
      <c r="H159" s="908">
        <f>H36*H37+H43*H44+H50*H51+H57*H58+H64*H65+H71*H72+H78*H79+H85*H86+H93*H94+H100*H101+H107*H108+H114*H115+H121*H122+H128*H131-H160</f>
        <v>0</v>
      </c>
      <c r="I159" s="908">
        <f>I36*I37+I43*I44+I50*I51+I57*I58+I64*I65+I71*I72+I78*I79+I85*I86+I93*I94+I100*I101+I107*I108+I114*I115+I121*I122+I128*I131-I160</f>
        <v>0</v>
      </c>
      <c r="J159" s="908">
        <f>J36*J37+J43*J44+J50*J51+J57*J58+J64*J65+J71*J72+J78*J79+J85*J86+J93*J94+J100*J101+J107*J108+J114*J115+J121*J122+J128*J131-J160</f>
        <v>0</v>
      </c>
      <c r="K159" s="908"/>
      <c r="L159" s="1496">
        <f t="shared" si="10"/>
        <v>0</v>
      </c>
      <c r="M159" s="745">
        <f t="shared" si="8"/>
        <v>0</v>
      </c>
      <c r="U159" s="1733"/>
      <c r="V159" s="1734"/>
      <c r="AC159" s="1733"/>
      <c r="AD159" s="1734"/>
      <c r="AH159" s="1733"/>
    </row>
    <row r="160" spans="1:40" ht="21.95" hidden="1" customHeight="1">
      <c r="A160" s="2695"/>
      <c r="B160" s="2863"/>
      <c r="C160" s="2868"/>
      <c r="D160" s="1089" t="s">
        <v>2627</v>
      </c>
      <c r="E160" s="1279"/>
      <c r="F160" s="1442"/>
      <c r="G160" s="908">
        <f>G42*G37+G49*G44+G56*G51+G63*G58+G70*G65+G77*G72+G84*G79+G92*G86+G99*G94+G106*G101+G113*G108+G120*G114+G127*G121+G135*G131</f>
        <v>0</v>
      </c>
      <c r="H160" s="908">
        <f>H42*H37+H49*H44+H56*H51+H63*H58+H70*H65+H77*H72+H84*H79+H92*H86+H99*H94+H106*H101+H113*H108+H120*H114+H127*H121+H135*H131</f>
        <v>0</v>
      </c>
      <c r="I160" s="908">
        <f>I42*I37+I49*I44+I56*I51+I63*I58+I70*I65+I77*I72+I84*I79+I92*I86+I99*I94+I106*I101+I113*I108+I120*I114+I127*I121+I135*I131</f>
        <v>0</v>
      </c>
      <c r="J160" s="908">
        <f>J42*J37+J49*J44+J56*J51+J63*J58+J70*J65+J77*J72+J84*J79+J92*J86+J99*J94+J106*J101+J113*J108+J120*J114+J127*J121+J135*J131</f>
        <v>0</v>
      </c>
      <c r="K160" s="908"/>
      <c r="L160" s="1496">
        <f t="shared" si="10"/>
        <v>0</v>
      </c>
      <c r="M160" s="745">
        <f t="shared" si="8"/>
        <v>0</v>
      </c>
      <c r="U160" s="1733"/>
      <c r="V160" s="1734"/>
      <c r="AC160" s="1733"/>
      <c r="AD160" s="1734"/>
      <c r="AH160" s="1733"/>
    </row>
    <row r="161" spans="1:40" ht="21.95" hidden="1" customHeight="1">
      <c r="A161" s="2695"/>
      <c r="B161" s="2863"/>
      <c r="C161" s="2868"/>
      <c r="D161" s="1089" t="s">
        <v>2628</v>
      </c>
      <c r="E161" s="1279"/>
      <c r="F161" s="1442"/>
      <c r="G161" s="908">
        <f>(G156+G157-G136*G140)*0.4</f>
        <v>0</v>
      </c>
      <c r="H161" s="908">
        <f>(H156+H157-H136*H140)*0.4</f>
        <v>0</v>
      </c>
      <c r="I161" s="908">
        <f>(I156+I157-I136*I140)*0.4</f>
        <v>0</v>
      </c>
      <c r="J161" s="908">
        <f>(J156+J157-J136*J140)*0.4</f>
        <v>0</v>
      </c>
      <c r="K161" s="908"/>
      <c r="L161" s="1496"/>
      <c r="M161" s="745">
        <f t="shared" si="8"/>
        <v>0</v>
      </c>
      <c r="O161" s="681">
        <f>+L145/2.2</f>
        <v>0</v>
      </c>
      <c r="U161" s="1733"/>
      <c r="V161" s="1734"/>
      <c r="AC161" s="1733"/>
      <c r="AD161" s="1734"/>
      <c r="AH161" s="1733"/>
    </row>
    <row r="162" spans="1:40" ht="21.95" hidden="1" customHeight="1">
      <c r="A162" s="2695"/>
      <c r="B162" s="2863"/>
      <c r="C162" s="2868"/>
      <c r="D162" s="1089" t="s">
        <v>2267</v>
      </c>
      <c r="E162" s="1741"/>
      <c r="F162" s="1742"/>
      <c r="G162" s="908">
        <f>IF(G158=0,G159+G160-G161,G158+G160-G159-G161)</f>
        <v>0</v>
      </c>
      <c r="H162" s="908">
        <f>IF(H158=0,H159+H160-H161,H158+H160-H159-H161)</f>
        <v>0</v>
      </c>
      <c r="I162" s="908">
        <f>IF(I158=0,I159+I160-I161,I158+I160-I159-I161)</f>
        <v>0</v>
      </c>
      <c r="J162" s="908">
        <f>IF(J158=0,J159+J160-J161,J158+J160-J159-J161)</f>
        <v>0</v>
      </c>
      <c r="K162" s="908"/>
      <c r="L162" s="1496">
        <f>TRUNC(SUM(G162:K162),2)</f>
        <v>0</v>
      </c>
      <c r="M162" s="745">
        <f t="shared" si="8"/>
        <v>0</v>
      </c>
      <c r="U162" s="1733"/>
      <c r="V162" s="1734"/>
      <c r="AC162" s="1733"/>
      <c r="AD162" s="1734"/>
      <c r="AH162" s="1733"/>
    </row>
    <row r="163" spans="1:40" ht="21.95" customHeight="1">
      <c r="A163" s="2695"/>
      <c r="B163" s="2863"/>
      <c r="C163" s="2868"/>
      <c r="D163" s="1089" t="s">
        <v>2006</v>
      </c>
      <c r="E163" s="1741"/>
      <c r="F163" s="1742"/>
      <c r="G163" s="1328">
        <v>7</v>
      </c>
      <c r="H163" s="1328">
        <v>7</v>
      </c>
      <c r="I163" s="1328">
        <v>7</v>
      </c>
      <c r="J163" s="1328">
        <v>7</v>
      </c>
      <c r="K163" s="1328"/>
      <c r="L163" s="1720">
        <f>TRUNC(SUM(G163:K163),2)</f>
        <v>28</v>
      </c>
      <c r="M163" s="745">
        <f t="shared" si="8"/>
        <v>56</v>
      </c>
      <c r="U163" s="1733"/>
      <c r="V163" s="1734"/>
      <c r="AC163" s="1733"/>
      <c r="AD163" s="1734"/>
      <c r="AH163" s="1733"/>
    </row>
    <row r="164" spans="1:40" ht="21.95" hidden="1" customHeight="1">
      <c r="A164" s="2695"/>
      <c r="B164" s="2863"/>
      <c r="C164" s="2868"/>
      <c r="D164" s="1089" t="s">
        <v>1827</v>
      </c>
      <c r="E164" s="1743"/>
      <c r="F164" s="1744"/>
      <c r="G164" s="1460">
        <f>G162*G163/100</f>
        <v>0</v>
      </c>
      <c r="H164" s="1460">
        <f>H162*H163/100</f>
        <v>0</v>
      </c>
      <c r="I164" s="1460">
        <f>I162*I163/100</f>
        <v>0</v>
      </c>
      <c r="J164" s="1460">
        <f>J162*J163/100</f>
        <v>0</v>
      </c>
      <c r="K164" s="1460"/>
      <c r="L164" s="1769">
        <f>TRUNC(SUM(G164:K164),2)</f>
        <v>0</v>
      </c>
      <c r="M164" s="745">
        <f t="shared" si="8"/>
        <v>0</v>
      </c>
      <c r="N164" s="1137"/>
      <c r="O164" s="1137">
        <v>1.2130000000000001</v>
      </c>
      <c r="P164" s="1137"/>
      <c r="Q164" s="1137"/>
      <c r="R164" s="1137"/>
      <c r="S164" s="1137"/>
      <c r="T164" s="1137"/>
      <c r="U164" s="1772"/>
      <c r="V164" s="1771"/>
      <c r="W164" s="1137">
        <v>1.2130000000000001</v>
      </c>
      <c r="X164" s="1137"/>
      <c r="Y164" s="1137"/>
      <c r="Z164" s="1137"/>
      <c r="AA164" s="1137"/>
      <c r="AB164" s="1137"/>
      <c r="AC164" s="1772"/>
      <c r="AD164" s="1771"/>
      <c r="AE164" s="1137">
        <v>1.2130000000000001</v>
      </c>
      <c r="AF164" s="1137"/>
      <c r="AG164" s="1137"/>
      <c r="AH164" s="1772"/>
      <c r="AI164" s="1137"/>
      <c r="AJ164" s="1137"/>
      <c r="AK164" s="1137"/>
      <c r="AL164" s="1137">
        <v>0.01</v>
      </c>
      <c r="AM164" s="1137"/>
      <c r="AN164" s="1137"/>
    </row>
    <row r="165" spans="1:40" ht="21.95" hidden="1" customHeight="1">
      <c r="A165" s="2695"/>
      <c r="B165" s="2863"/>
      <c r="C165" s="2868" t="s">
        <v>2629</v>
      </c>
      <c r="D165" s="1453" t="s">
        <v>2630</v>
      </c>
      <c r="E165" s="1741"/>
      <c r="F165" s="1742"/>
      <c r="G165" s="908">
        <f>G136*G137*G138</f>
        <v>0</v>
      </c>
      <c r="H165" s="908">
        <f>H136*H137*H138</f>
        <v>0</v>
      </c>
      <c r="I165" s="908">
        <f>I136*I137*I138</f>
        <v>0</v>
      </c>
      <c r="J165" s="908">
        <f>J136*J137*J138</f>
        <v>0</v>
      </c>
      <c r="K165" s="908"/>
      <c r="L165" s="1496">
        <f>TRUNC(SUM(G165:K165),2)</f>
        <v>0</v>
      </c>
      <c r="M165" s="745">
        <f t="shared" si="8"/>
        <v>0</v>
      </c>
      <c r="U165" s="1733"/>
      <c r="V165" s="1734"/>
      <c r="AC165" s="1733"/>
      <c r="AD165" s="1734"/>
      <c r="AH165" s="1733"/>
    </row>
    <row r="166" spans="1:40" ht="21.95" hidden="1" customHeight="1">
      <c r="A166" s="2695"/>
      <c r="B166" s="2863"/>
      <c r="C166" s="2868"/>
      <c r="D166" s="1453" t="s">
        <v>2631</v>
      </c>
      <c r="E166" s="1741"/>
      <c r="F166" s="1742"/>
      <c r="G166" s="908">
        <f>G165*0.05</f>
        <v>0</v>
      </c>
      <c r="H166" s="908">
        <f>H165*0.05</f>
        <v>0</v>
      </c>
      <c r="I166" s="908">
        <f>I165*0.05</f>
        <v>0</v>
      </c>
      <c r="J166" s="908">
        <f>J165*0.05</f>
        <v>0</v>
      </c>
      <c r="K166" s="908"/>
      <c r="L166" s="1720">
        <f>TRUNC(SUM(G166:K166),2)</f>
        <v>0</v>
      </c>
      <c r="M166" s="745">
        <f t="shared" si="8"/>
        <v>0</v>
      </c>
      <c r="N166" s="1775"/>
      <c r="O166" s="1775"/>
      <c r="P166" s="1775"/>
      <c r="Q166" s="1775"/>
      <c r="R166" s="1775"/>
      <c r="S166" s="1775"/>
      <c r="T166" s="1775"/>
      <c r="U166" s="1776"/>
      <c r="V166" s="1777"/>
      <c r="W166" s="1775"/>
      <c r="X166" s="1775"/>
      <c r="Y166" s="1775"/>
      <c r="Z166" s="1775"/>
      <c r="AA166" s="1775"/>
      <c r="AB166" s="1775"/>
      <c r="AC166" s="1776"/>
      <c r="AD166" s="1777"/>
      <c r="AE166" s="1775"/>
      <c r="AF166" s="1775"/>
      <c r="AG166" s="1775"/>
      <c r="AH166" s="1776">
        <v>1</v>
      </c>
      <c r="AI166" s="1775"/>
      <c r="AJ166" s="1775"/>
      <c r="AK166" s="1775"/>
      <c r="AL166" s="1775"/>
      <c r="AM166" s="1775"/>
      <c r="AN166" s="1775"/>
    </row>
    <row r="167" spans="1:40" ht="21.95" hidden="1" customHeight="1">
      <c r="A167" s="2695"/>
      <c r="B167" s="2863"/>
      <c r="C167" s="2868"/>
      <c r="D167" s="1089" t="s">
        <v>2628</v>
      </c>
      <c r="E167" s="1741"/>
      <c r="F167" s="1742"/>
      <c r="G167" s="908">
        <f>G136*G140*0.25</f>
        <v>0</v>
      </c>
      <c r="H167" s="908">
        <f>H136*H140*0.25</f>
        <v>0</v>
      </c>
      <c r="I167" s="908">
        <f>I136*I140*0.25</f>
        <v>0</v>
      </c>
      <c r="J167" s="908">
        <f>J136*J140*0.25</f>
        <v>0</v>
      </c>
      <c r="K167" s="908"/>
      <c r="L167" s="1496"/>
      <c r="M167" s="745">
        <f t="shared" si="8"/>
        <v>0</v>
      </c>
      <c r="U167" s="1733"/>
      <c r="V167" s="1734"/>
      <c r="AC167" s="1733"/>
      <c r="AD167" s="1734"/>
      <c r="AH167" s="1733"/>
    </row>
    <row r="168" spans="1:40" ht="21.95" hidden="1" customHeight="1">
      <c r="A168" s="2695"/>
      <c r="B168" s="2863"/>
      <c r="C168" s="2868"/>
      <c r="D168" s="1089" t="s">
        <v>2632</v>
      </c>
      <c r="E168" s="1741"/>
      <c r="F168" s="1742"/>
      <c r="G168" s="908">
        <f>(G165-G167)*0.08</f>
        <v>0</v>
      </c>
      <c r="H168" s="908">
        <f>(H165-H167)*0.08</f>
        <v>0</v>
      </c>
      <c r="I168" s="908">
        <f>(I165-I167)*0.08</f>
        <v>0</v>
      </c>
      <c r="J168" s="908">
        <f>(J165-J167)*0.08</f>
        <v>0</v>
      </c>
      <c r="K168" s="908"/>
      <c r="L168" s="1720">
        <f>TRUNC(SUM(G168:K168),2)</f>
        <v>0</v>
      </c>
      <c r="M168" s="745">
        <f t="shared" si="8"/>
        <v>0</v>
      </c>
      <c r="N168" s="1137"/>
      <c r="O168" s="1137">
        <v>9.7000000000000003E-2</v>
      </c>
      <c r="P168" s="1137"/>
      <c r="Q168" s="1137"/>
      <c r="R168" s="1137"/>
      <c r="S168" s="1137"/>
      <c r="T168" s="1137"/>
      <c r="U168" s="1772"/>
      <c r="V168" s="1771"/>
      <c r="W168" s="1137">
        <v>9.7000000000000003E-2</v>
      </c>
      <c r="X168" s="1137"/>
      <c r="Y168" s="1137"/>
      <c r="Z168" s="1137"/>
      <c r="AA168" s="1137"/>
      <c r="AB168" s="1137"/>
      <c r="AC168" s="1772"/>
      <c r="AD168" s="1771"/>
      <c r="AE168" s="1137">
        <v>9.7000000000000003E-2</v>
      </c>
      <c r="AF168" s="1137"/>
      <c r="AG168" s="1137"/>
      <c r="AH168" s="1772"/>
      <c r="AI168" s="1137"/>
      <c r="AJ168" s="1137"/>
      <c r="AK168" s="1137"/>
      <c r="AL168" s="1137">
        <v>1E-3</v>
      </c>
      <c r="AM168" s="1137"/>
      <c r="AN168" s="1137">
        <v>1E-3</v>
      </c>
    </row>
    <row r="169" spans="1:40" ht="21.95" hidden="1" customHeight="1" thickBot="1">
      <c r="A169" s="2695"/>
      <c r="B169" s="2898"/>
      <c r="C169" s="2869"/>
      <c r="D169" s="936" t="s">
        <v>2633</v>
      </c>
      <c r="E169" s="1773"/>
      <c r="F169" s="1774"/>
      <c r="G169" s="901">
        <f>G165*3.11*1.1224</f>
        <v>0</v>
      </c>
      <c r="H169" s="901">
        <f>H165*3.11*1.1224</f>
        <v>0</v>
      </c>
      <c r="I169" s="901">
        <f>I165*3.11*1.1224</f>
        <v>0</v>
      </c>
      <c r="J169" s="901">
        <f>J165*3.11*1.1224</f>
        <v>0</v>
      </c>
      <c r="K169" s="901"/>
      <c r="L169" s="1714">
        <f>TRUNC(SUM(G169:K169),2)</f>
        <v>0</v>
      </c>
      <c r="M169" s="745">
        <f t="shared" si="8"/>
        <v>0</v>
      </c>
      <c r="N169" s="1137"/>
      <c r="O169" s="1137"/>
      <c r="P169" s="1137"/>
      <c r="Q169" s="1137"/>
      <c r="R169" s="1137"/>
      <c r="S169" s="1137"/>
      <c r="T169" s="1137"/>
      <c r="U169" s="1772"/>
      <c r="V169" s="1771"/>
      <c r="W169" s="1137"/>
      <c r="X169" s="1137"/>
      <c r="Y169" s="1137"/>
      <c r="Z169" s="1137"/>
      <c r="AA169" s="1137"/>
      <c r="AB169" s="1137"/>
      <c r="AC169" s="1772"/>
      <c r="AD169" s="1771"/>
      <c r="AE169" s="1137"/>
      <c r="AF169" s="1137"/>
      <c r="AG169" s="1137"/>
      <c r="AH169" s="1772"/>
      <c r="AI169" s="1137">
        <v>1</v>
      </c>
      <c r="AJ169" s="1137"/>
      <c r="AK169" s="1137"/>
      <c r="AL169" s="1137"/>
      <c r="AM169" s="1137"/>
      <c r="AN169" s="1137"/>
    </row>
    <row r="170" spans="1:40" ht="21.95" hidden="1" customHeight="1" thickBot="1">
      <c r="A170" s="2695"/>
      <c r="B170" s="2753" t="s">
        <v>2089</v>
      </c>
      <c r="C170" s="2905"/>
      <c r="D170" s="2866"/>
      <c r="E170" s="1309"/>
      <c r="F170" s="1565"/>
      <c r="G170" s="1598">
        <f>G162+G161+G165</f>
        <v>0</v>
      </c>
      <c r="H170" s="1598">
        <f>H162+H161+H165</f>
        <v>0</v>
      </c>
      <c r="I170" s="1598">
        <f>I162+I161+I165</f>
        <v>0</v>
      </c>
      <c r="J170" s="1598">
        <f>J162+J161+J165</f>
        <v>0</v>
      </c>
      <c r="K170" s="1598"/>
      <c r="L170" s="1732">
        <f>TRUNC(SUM(G170:K170),2)</f>
        <v>0</v>
      </c>
      <c r="M170" s="745">
        <f t="shared" si="8"/>
        <v>0</v>
      </c>
      <c r="U170" s="1733"/>
      <c r="V170" s="1734"/>
      <c r="AC170" s="1733"/>
      <c r="AD170" s="1734"/>
      <c r="AH170" s="1733"/>
    </row>
    <row r="171" spans="1:40" ht="21.95" hidden="1" customHeight="1">
      <c r="A171" s="2695"/>
      <c r="B171" s="2748" t="s">
        <v>2634</v>
      </c>
      <c r="C171" s="2896" t="s">
        <v>1539</v>
      </c>
      <c r="D171" s="2897"/>
      <c r="E171" s="1279"/>
      <c r="F171" s="1442"/>
      <c r="G171" s="1589"/>
      <c r="H171" s="1589"/>
      <c r="I171" s="1589"/>
      <c r="J171" s="1589"/>
      <c r="K171" s="1589"/>
      <c r="L171" s="1496">
        <f>TRUNC(SUM(G171:K171),2)</f>
        <v>0</v>
      </c>
      <c r="M171" s="745">
        <f t="shared" si="8"/>
        <v>0</v>
      </c>
      <c r="U171" s="1733"/>
      <c r="V171" s="1734"/>
      <c r="AC171" s="1733"/>
      <c r="AD171" s="1734"/>
      <c r="AH171" s="1733"/>
    </row>
    <row r="172" spans="1:40" ht="21.95" hidden="1" customHeight="1">
      <c r="A172" s="2695"/>
      <c r="B172" s="2575"/>
      <c r="C172" s="2896" t="s">
        <v>2363</v>
      </c>
      <c r="D172" s="2897"/>
      <c r="E172" s="1279"/>
      <c r="F172" s="1442"/>
      <c r="G172" s="1589"/>
      <c r="H172" s="1589"/>
      <c r="I172" s="1589"/>
      <c r="J172" s="1589"/>
      <c r="K172" s="1589"/>
      <c r="L172" s="1778"/>
      <c r="M172" s="745">
        <f t="shared" si="8"/>
        <v>0</v>
      </c>
      <c r="U172" s="1733"/>
      <c r="V172" s="1734"/>
      <c r="AC172" s="1733"/>
      <c r="AD172" s="1734"/>
      <c r="AH172" s="1733"/>
    </row>
    <row r="173" spans="1:40" ht="21.95" hidden="1" customHeight="1">
      <c r="A173" s="2695"/>
      <c r="B173" s="2575"/>
      <c r="C173" s="2896" t="s">
        <v>2006</v>
      </c>
      <c r="D173" s="2897"/>
      <c r="E173" s="1279"/>
      <c r="F173" s="1442"/>
      <c r="G173" s="1328"/>
      <c r="H173" s="1328"/>
      <c r="I173" s="1328"/>
      <c r="J173" s="1328"/>
      <c r="K173" s="1328"/>
      <c r="L173" s="1778"/>
      <c r="M173" s="745">
        <f t="shared" si="8"/>
        <v>0</v>
      </c>
      <c r="U173" s="1733"/>
      <c r="V173" s="1734"/>
      <c r="AC173" s="1733"/>
      <c r="AD173" s="1734"/>
      <c r="AH173" s="1733"/>
    </row>
    <row r="174" spans="1:40" ht="21.95" hidden="1" customHeight="1">
      <c r="A174" s="2695"/>
      <c r="B174" s="2575"/>
      <c r="C174" s="2896" t="s">
        <v>1693</v>
      </c>
      <c r="D174" s="2897"/>
      <c r="E174" s="1279"/>
      <c r="F174" s="1442"/>
      <c r="G174" s="1570">
        <f>G172*G171</f>
        <v>0</v>
      </c>
      <c r="H174" s="1570">
        <f>H172*H171</f>
        <v>0</v>
      </c>
      <c r="I174" s="1570">
        <f>I172*I171</f>
        <v>0</v>
      </c>
      <c r="J174" s="1570">
        <f>J172*J171</f>
        <v>0</v>
      </c>
      <c r="K174" s="1570"/>
      <c r="L174" s="1720">
        <f>TRUNC(SUM(G174:K174),2)</f>
        <v>0</v>
      </c>
      <c r="M174" s="745">
        <f t="shared" si="8"/>
        <v>0</v>
      </c>
      <c r="U174" s="1733"/>
      <c r="V174" s="1734"/>
      <c r="AC174" s="1733"/>
      <c r="AD174" s="1734"/>
      <c r="AH174" s="1733"/>
    </row>
    <row r="175" spans="1:40" ht="21.95" hidden="1" customHeight="1">
      <c r="A175" s="2695"/>
      <c r="B175" s="2575"/>
      <c r="C175" s="2896" t="s">
        <v>1923</v>
      </c>
      <c r="D175" s="2897"/>
      <c r="E175" s="1279"/>
      <c r="F175" s="1442"/>
      <c r="G175" s="1570">
        <f>G173*G174/100</f>
        <v>0</v>
      </c>
      <c r="H175" s="1570">
        <f>H173*H174/100</f>
        <v>0</v>
      </c>
      <c r="I175" s="1570">
        <f>I173*I174/100</f>
        <v>0</v>
      </c>
      <c r="J175" s="1570">
        <f>J173*J174/100</f>
        <v>0</v>
      </c>
      <c r="K175" s="1570"/>
      <c r="L175" s="1720">
        <f>TRUNC(SUM(G175:K175),2)</f>
        <v>0</v>
      </c>
      <c r="M175" s="745">
        <f t="shared" si="8"/>
        <v>0</v>
      </c>
      <c r="U175" s="1733"/>
      <c r="V175" s="1734"/>
      <c r="AC175" s="1733"/>
      <c r="AD175" s="1734"/>
      <c r="AH175" s="1733"/>
    </row>
    <row r="176" spans="1:40" ht="21.95" hidden="1" customHeight="1" thickBot="1">
      <c r="A176" s="2695"/>
      <c r="B176" s="2749"/>
      <c r="C176" s="2896" t="s">
        <v>2635</v>
      </c>
      <c r="D176" s="2897"/>
      <c r="E176" s="1283"/>
      <c r="F176" s="1563"/>
      <c r="G176" s="1564">
        <f>G175*1.25</f>
        <v>0</v>
      </c>
      <c r="H176" s="1564">
        <f>H175*1.25</f>
        <v>0</v>
      </c>
      <c r="I176" s="1564">
        <f>I175*1.25</f>
        <v>0</v>
      </c>
      <c r="J176" s="1564">
        <f>J175*1.25</f>
        <v>0</v>
      </c>
      <c r="K176" s="1564"/>
      <c r="L176" s="1707">
        <f>TRUNC(SUM(G176:K176),2)</f>
        <v>0</v>
      </c>
      <c r="M176" s="745">
        <f t="shared" si="8"/>
        <v>0</v>
      </c>
      <c r="U176" s="1733"/>
      <c r="V176" s="1734"/>
      <c r="AC176" s="1733"/>
      <c r="AD176" s="1734"/>
      <c r="AH176" s="1733"/>
    </row>
    <row r="177" spans="1:34" ht="21.95" hidden="1" customHeight="1">
      <c r="A177" s="2695"/>
      <c r="B177" s="2581" t="s">
        <v>2636</v>
      </c>
      <c r="C177" s="2899" t="s">
        <v>2637</v>
      </c>
      <c r="D177" s="2900"/>
      <c r="E177" s="1279"/>
      <c r="F177" s="1442"/>
      <c r="G177" s="1570"/>
      <c r="H177" s="1570"/>
      <c r="I177" s="1570"/>
      <c r="J177" s="1570"/>
      <c r="K177" s="1570"/>
      <c r="L177" s="1496">
        <f>TRUNC(SUM(G177:K177),2)</f>
        <v>0</v>
      </c>
      <c r="M177" s="745">
        <f t="shared" si="8"/>
        <v>0</v>
      </c>
      <c r="U177" s="1733"/>
      <c r="V177" s="1734"/>
      <c r="AC177" s="1733"/>
      <c r="AD177" s="1734"/>
      <c r="AH177" s="1733"/>
    </row>
    <row r="178" spans="1:34" ht="21.95" hidden="1" customHeight="1">
      <c r="A178" s="2695"/>
      <c r="B178" s="2582"/>
      <c r="C178" s="2896" t="s">
        <v>2638</v>
      </c>
      <c r="D178" s="2897"/>
      <c r="E178" s="1279"/>
      <c r="F178" s="1442"/>
      <c r="G178" s="1570">
        <f>(G223*2+G224*3)*G222</f>
        <v>0</v>
      </c>
      <c r="H178" s="1570">
        <f>(H223*2+H224*3)*H222</f>
        <v>0</v>
      </c>
      <c r="I178" s="1570">
        <f>(I223*2+I224*3)*I222</f>
        <v>0</v>
      </c>
      <c r="J178" s="1570">
        <f>(J223*2+J224*3)*J222</f>
        <v>0</v>
      </c>
      <c r="K178" s="1570"/>
      <c r="L178" s="1496"/>
      <c r="M178" s="745"/>
      <c r="U178" s="1733"/>
      <c r="V178" s="1734"/>
      <c r="AC178" s="1733"/>
      <c r="AD178" s="1734"/>
      <c r="AH178" s="1733"/>
    </row>
    <row r="179" spans="1:34" ht="21.95" hidden="1" customHeight="1">
      <c r="A179" s="2695"/>
      <c r="B179" s="2582"/>
      <c r="C179" s="2896" t="s">
        <v>2639</v>
      </c>
      <c r="D179" s="2897"/>
      <c r="E179" s="1279"/>
      <c r="F179" s="1442"/>
      <c r="G179" s="1570">
        <f>(G144+G145)*2</f>
        <v>0</v>
      </c>
      <c r="H179" s="1570">
        <f>(H144+H145)*2</f>
        <v>0</v>
      </c>
      <c r="I179" s="1570">
        <f>(I144+I145)*2</f>
        <v>0</v>
      </c>
      <c r="J179" s="1570">
        <f>(J144+J145)*2</f>
        <v>0</v>
      </c>
      <c r="K179" s="1570"/>
      <c r="L179" s="1496">
        <f>TRUNC(SUM(G179:K179),2)</f>
        <v>0</v>
      </c>
      <c r="M179" s="745">
        <f t="shared" ref="M179:M211" si="11">SUM(G179:L179)</f>
        <v>0</v>
      </c>
      <c r="U179" s="1733"/>
      <c r="V179" s="1734"/>
      <c r="AC179" s="1733"/>
      <c r="AD179" s="1734"/>
      <c r="AH179" s="1733"/>
    </row>
    <row r="180" spans="1:34" ht="21.95" hidden="1" customHeight="1" thickBot="1">
      <c r="A180" s="2695"/>
      <c r="B180" s="2583"/>
      <c r="C180" s="2901" t="s">
        <v>1358</v>
      </c>
      <c r="D180" s="2765"/>
      <c r="E180" s="1283"/>
      <c r="F180" s="1563"/>
      <c r="G180" s="1564">
        <f>G179+G177+G178</f>
        <v>0</v>
      </c>
      <c r="H180" s="1564">
        <f>H179+H177+H178</f>
        <v>0</v>
      </c>
      <c r="I180" s="1564">
        <f>I179+I177+I178</f>
        <v>0</v>
      </c>
      <c r="J180" s="1564">
        <f>J179+J177+J178</f>
        <v>0</v>
      </c>
      <c r="K180" s="1564"/>
      <c r="L180" s="1707">
        <f>TRUNC(SUM(G180:K180),2)</f>
        <v>0</v>
      </c>
      <c r="M180" s="745">
        <f t="shared" si="11"/>
        <v>0</v>
      </c>
      <c r="U180" s="1733"/>
      <c r="V180" s="1734"/>
      <c r="AC180" s="1733"/>
      <c r="AD180" s="1734"/>
      <c r="AH180" s="1733"/>
    </row>
    <row r="181" spans="1:34" ht="21.95" hidden="1" customHeight="1">
      <c r="A181" s="2695"/>
      <c r="B181" s="2581" t="s">
        <v>2640</v>
      </c>
      <c r="C181" s="2770" t="s">
        <v>2637</v>
      </c>
      <c r="D181" s="1448" t="s">
        <v>2006</v>
      </c>
      <c r="E181" s="1273"/>
      <c r="F181" s="1560"/>
      <c r="G181" s="1343"/>
      <c r="H181" s="1343"/>
      <c r="I181" s="1343"/>
      <c r="J181" s="1343"/>
      <c r="K181" s="1343"/>
      <c r="L181" s="1708"/>
      <c r="M181" s="745">
        <f t="shared" si="11"/>
        <v>0</v>
      </c>
      <c r="U181" s="1733"/>
      <c r="V181" s="1734"/>
      <c r="AC181" s="1733"/>
      <c r="AD181" s="1734"/>
      <c r="AH181" s="1733"/>
    </row>
    <row r="182" spans="1:34" ht="21.95" hidden="1" customHeight="1">
      <c r="A182" s="2695"/>
      <c r="B182" s="2582"/>
      <c r="C182" s="2771"/>
      <c r="D182" s="1089" t="s">
        <v>1693</v>
      </c>
      <c r="E182" s="1279"/>
      <c r="F182" s="1442"/>
      <c r="G182" s="1570">
        <f>G160+G142*G137*G138</f>
        <v>0</v>
      </c>
      <c r="H182" s="1570">
        <f>H160+H142*H137*H138</f>
        <v>0</v>
      </c>
      <c r="I182" s="1570">
        <f>I160+I142*I137*I138</f>
        <v>0</v>
      </c>
      <c r="J182" s="1570">
        <f>J160+J142*J137*J138</f>
        <v>0</v>
      </c>
      <c r="K182" s="1570"/>
      <c r="L182" s="1496">
        <f>TRUNC(SUM(G182:K182),2)</f>
        <v>0</v>
      </c>
      <c r="M182" s="745">
        <f t="shared" si="11"/>
        <v>0</v>
      </c>
      <c r="U182" s="1733"/>
      <c r="V182" s="1734"/>
      <c r="AC182" s="1733"/>
      <c r="AD182" s="1734"/>
      <c r="AH182" s="1733"/>
    </row>
    <row r="183" spans="1:34" ht="21.95" hidden="1" customHeight="1">
      <c r="A183" s="2695"/>
      <c r="B183" s="2582"/>
      <c r="C183" s="2904"/>
      <c r="D183" s="1089" t="s">
        <v>2641</v>
      </c>
      <c r="E183" s="1584"/>
      <c r="F183" s="1601"/>
      <c r="G183" s="1586">
        <f>G182*G181/100</f>
        <v>0</v>
      </c>
      <c r="H183" s="1586">
        <f>H182*H181/100</f>
        <v>0</v>
      </c>
      <c r="I183" s="1586">
        <f>I182*I181/100</f>
        <v>0</v>
      </c>
      <c r="J183" s="1586">
        <f>J182*J181/100</f>
        <v>0</v>
      </c>
      <c r="K183" s="1586"/>
      <c r="L183" s="1715">
        <f>TRUNC(SUM(G183:K183),2)</f>
        <v>0</v>
      </c>
      <c r="M183" s="745">
        <f t="shared" si="11"/>
        <v>0</v>
      </c>
      <c r="O183" s="592"/>
      <c r="P183" s="592"/>
      <c r="Q183" s="592"/>
      <c r="U183" s="1733"/>
      <c r="V183" s="1734"/>
      <c r="AC183" s="1733"/>
      <c r="AD183" s="1734"/>
      <c r="AH183" s="1733"/>
    </row>
    <row r="184" spans="1:34" ht="21.95" hidden="1" customHeight="1">
      <c r="A184" s="2695"/>
      <c r="B184" s="2582"/>
      <c r="C184" s="2747" t="s">
        <v>2622</v>
      </c>
      <c r="D184" s="1089" t="s">
        <v>1539</v>
      </c>
      <c r="E184" s="1279"/>
      <c r="F184" s="1442"/>
      <c r="G184" s="1589"/>
      <c r="H184" s="1589"/>
      <c r="I184" s="1589"/>
      <c r="J184" s="1589"/>
      <c r="K184" s="1589"/>
      <c r="L184" s="1496"/>
      <c r="M184" s="745">
        <f t="shared" si="11"/>
        <v>0</v>
      </c>
      <c r="O184" s="592"/>
      <c r="P184" s="592"/>
      <c r="Q184" s="592"/>
      <c r="U184" s="1733"/>
      <c r="V184" s="1734"/>
      <c r="AC184" s="1733"/>
      <c r="AD184" s="1734"/>
      <c r="AH184" s="1733"/>
    </row>
    <row r="185" spans="1:34" ht="21.95" hidden="1" customHeight="1">
      <c r="A185" s="2695"/>
      <c r="B185" s="2582"/>
      <c r="C185" s="2747"/>
      <c r="D185" s="1089" t="s">
        <v>1355</v>
      </c>
      <c r="E185" s="1279"/>
      <c r="F185" s="1442"/>
      <c r="G185" s="1589"/>
      <c r="H185" s="1589"/>
      <c r="I185" s="1589"/>
      <c r="J185" s="1589"/>
      <c r="K185" s="1589"/>
      <c r="L185" s="1496"/>
      <c r="M185" s="745">
        <f t="shared" si="11"/>
        <v>0</v>
      </c>
      <c r="O185" s="592"/>
      <c r="P185" s="592"/>
      <c r="Q185" s="592"/>
      <c r="U185" s="1733"/>
      <c r="V185" s="1734"/>
      <c r="AC185" s="1733"/>
      <c r="AD185" s="1734"/>
      <c r="AH185" s="1733"/>
    </row>
    <row r="186" spans="1:34" ht="21.95" customHeight="1" thickBot="1">
      <c r="A186" s="2695"/>
      <c r="B186" s="2582"/>
      <c r="C186" s="2747"/>
      <c r="D186" s="1089" t="s">
        <v>2006</v>
      </c>
      <c r="E186" s="1279"/>
      <c r="F186" s="1442"/>
      <c r="G186" s="1328">
        <v>10</v>
      </c>
      <c r="H186" s="1328">
        <v>10</v>
      </c>
      <c r="I186" s="1328"/>
      <c r="J186" s="1328"/>
      <c r="K186" s="1328"/>
      <c r="L186" s="1496"/>
      <c r="M186" s="745">
        <f t="shared" si="11"/>
        <v>20</v>
      </c>
      <c r="O186" s="592"/>
      <c r="P186" s="592"/>
      <c r="Q186" s="592"/>
      <c r="U186" s="1733"/>
      <c r="V186" s="1734"/>
      <c r="AC186" s="1733"/>
      <c r="AD186" s="1734"/>
      <c r="AH186" s="1733"/>
    </row>
    <row r="187" spans="1:34" ht="21.95" hidden="1" customHeight="1">
      <c r="A187" s="2695"/>
      <c r="B187" s="2582"/>
      <c r="C187" s="2747"/>
      <c r="D187" s="1089" t="s">
        <v>2641</v>
      </c>
      <c r="E187" s="1584"/>
      <c r="F187" s="1601"/>
      <c r="G187" s="1586"/>
      <c r="H187" s="1586"/>
      <c r="I187" s="1586"/>
      <c r="J187" s="1586"/>
      <c r="K187" s="1586"/>
      <c r="L187" s="1715">
        <f>TRUNC(SUM(G187:K187),2)</f>
        <v>0</v>
      </c>
      <c r="M187" s="745">
        <f t="shared" si="11"/>
        <v>0</v>
      </c>
      <c r="O187" s="592"/>
      <c r="P187" s="592"/>
      <c r="Q187" s="592"/>
      <c r="U187" s="1733"/>
      <c r="V187" s="1734"/>
      <c r="AC187" s="1733"/>
      <c r="AD187" s="1734"/>
      <c r="AH187" s="1733"/>
    </row>
    <row r="188" spans="1:34" ht="21.95" hidden="1" customHeight="1" thickBot="1">
      <c r="A188" s="2695"/>
      <c r="B188" s="2583"/>
      <c r="C188" s="2901" t="s">
        <v>2642</v>
      </c>
      <c r="D188" s="2765"/>
      <c r="E188" s="1283"/>
      <c r="F188" s="1563"/>
      <c r="G188" s="1564">
        <f>G187+G183</f>
        <v>0</v>
      </c>
      <c r="H188" s="1564">
        <f>H187+H183</f>
        <v>0</v>
      </c>
      <c r="I188" s="1564">
        <f>I187+I183</f>
        <v>0</v>
      </c>
      <c r="J188" s="1564">
        <f>J187+J183</f>
        <v>0</v>
      </c>
      <c r="K188" s="1564"/>
      <c r="L188" s="1707">
        <f>TRUNC(SUM(G188:K188),2)</f>
        <v>0</v>
      </c>
      <c r="M188" s="745">
        <f t="shared" si="11"/>
        <v>0</v>
      </c>
      <c r="U188" s="1733"/>
      <c r="V188" s="1734"/>
      <c r="AC188" s="1733"/>
      <c r="AD188" s="1734"/>
      <c r="AH188" s="1733"/>
    </row>
    <row r="189" spans="1:34" ht="21.95" hidden="1" customHeight="1">
      <c r="A189" s="2695"/>
      <c r="B189" s="2581" t="s">
        <v>2643</v>
      </c>
      <c r="C189" s="2896" t="s">
        <v>1539</v>
      </c>
      <c r="D189" s="2897"/>
      <c r="E189" s="1273"/>
      <c r="F189" s="1560"/>
      <c r="G189" s="1709"/>
      <c r="H189" s="1709"/>
      <c r="I189" s="1709"/>
      <c r="J189" s="1709"/>
      <c r="K189" s="1709"/>
      <c r="L189" s="1708"/>
      <c r="M189" s="745">
        <f t="shared" si="11"/>
        <v>0</v>
      </c>
      <c r="O189" s="592"/>
      <c r="P189" s="592"/>
      <c r="Q189" s="592"/>
      <c r="U189" s="1733"/>
      <c r="V189" s="1734"/>
      <c r="AC189" s="1733"/>
      <c r="AD189" s="1734"/>
      <c r="AH189" s="1733"/>
    </row>
    <row r="190" spans="1:34" ht="21.95" hidden="1" customHeight="1">
      <c r="A190" s="2695"/>
      <c r="B190" s="2582"/>
      <c r="C190" s="2896" t="s">
        <v>1355</v>
      </c>
      <c r="D190" s="2897"/>
      <c r="E190" s="1279"/>
      <c r="F190" s="1442"/>
      <c r="G190" s="1589"/>
      <c r="H190" s="1589"/>
      <c r="I190" s="1589"/>
      <c r="J190" s="1589"/>
      <c r="K190" s="1589"/>
      <c r="L190" s="1778"/>
      <c r="M190" s="745">
        <f t="shared" si="11"/>
        <v>0</v>
      </c>
      <c r="O190" s="592"/>
      <c r="P190" s="592"/>
      <c r="Q190" s="592"/>
      <c r="U190" s="1733"/>
      <c r="V190" s="1734"/>
      <c r="AC190" s="1733"/>
      <c r="AD190" s="1734"/>
      <c r="AH190" s="1733"/>
    </row>
    <row r="191" spans="1:34" ht="21.95" hidden="1" customHeight="1">
      <c r="A191" s="2695"/>
      <c r="B191" s="2582"/>
      <c r="C191" s="2896" t="s">
        <v>2006</v>
      </c>
      <c r="D191" s="2897"/>
      <c r="E191" s="1279"/>
      <c r="F191" s="1442"/>
      <c r="G191" s="1550"/>
      <c r="H191" s="1550"/>
      <c r="I191" s="1550"/>
      <c r="J191" s="1550"/>
      <c r="K191" s="1550"/>
      <c r="L191" s="1778"/>
      <c r="M191" s="745">
        <f t="shared" si="11"/>
        <v>0</v>
      </c>
      <c r="O191" s="592"/>
      <c r="P191" s="592"/>
      <c r="Q191" s="592"/>
      <c r="U191" s="1733"/>
      <c r="V191" s="1734"/>
      <c r="AC191" s="1733"/>
      <c r="AD191" s="1734"/>
      <c r="AH191" s="1733"/>
    </row>
    <row r="192" spans="1:34" ht="21.95" hidden="1" customHeight="1" thickBot="1">
      <c r="A192" s="2695"/>
      <c r="B192" s="2583"/>
      <c r="C192" s="2901" t="s">
        <v>2641</v>
      </c>
      <c r="D192" s="2765"/>
      <c r="E192" s="1283"/>
      <c r="F192" s="1563"/>
      <c r="G192" s="1564">
        <f>G191*G190*G189/100</f>
        <v>0</v>
      </c>
      <c r="H192" s="1564">
        <f>H191*H190*H189/100</f>
        <v>0</v>
      </c>
      <c r="I192" s="1564">
        <f>I191*I190*I189/100</f>
        <v>0</v>
      </c>
      <c r="J192" s="1564">
        <f>J191*J190*J189/100</f>
        <v>0</v>
      </c>
      <c r="K192" s="1564"/>
      <c r="L192" s="1707">
        <f>TRUNC(SUM(G192:K192),2)</f>
        <v>0</v>
      </c>
      <c r="M192" s="745">
        <f t="shared" si="11"/>
        <v>0</v>
      </c>
      <c r="O192" s="592"/>
      <c r="P192" s="592"/>
      <c r="Q192" s="592"/>
      <c r="U192" s="1733"/>
      <c r="V192" s="1734"/>
      <c r="AC192" s="1733"/>
      <c r="AD192" s="1734"/>
      <c r="AH192" s="1733"/>
    </row>
    <row r="193" spans="1:41" ht="21.95" hidden="1" customHeight="1">
      <c r="A193" s="2695"/>
      <c r="B193" s="2581" t="s">
        <v>2644</v>
      </c>
      <c r="C193" s="2902" t="s">
        <v>1539</v>
      </c>
      <c r="D193" s="2903"/>
      <c r="E193" s="1273"/>
      <c r="F193" s="1560"/>
      <c r="G193" s="1709"/>
      <c r="H193" s="1709"/>
      <c r="I193" s="1709"/>
      <c r="J193" s="1709"/>
      <c r="K193" s="1709"/>
      <c r="L193" s="1708"/>
      <c r="M193" s="745">
        <f t="shared" si="11"/>
        <v>0</v>
      </c>
      <c r="O193" s="592"/>
      <c r="P193" s="592"/>
      <c r="Q193" s="592"/>
      <c r="U193" s="1733"/>
      <c r="V193" s="1734"/>
      <c r="AC193" s="1733"/>
      <c r="AD193" s="1734"/>
      <c r="AH193" s="1733"/>
    </row>
    <row r="194" spans="1:41" ht="21.95" hidden="1" customHeight="1">
      <c r="A194" s="2695"/>
      <c r="B194" s="2582"/>
      <c r="C194" s="2896" t="s">
        <v>1355</v>
      </c>
      <c r="D194" s="2897"/>
      <c r="E194" s="1279"/>
      <c r="F194" s="1442"/>
      <c r="G194" s="1589"/>
      <c r="H194" s="1589"/>
      <c r="I194" s="1589"/>
      <c r="J194" s="1589"/>
      <c r="K194" s="1589"/>
      <c r="L194" s="1778"/>
      <c r="M194" s="745">
        <f t="shared" si="11"/>
        <v>0</v>
      </c>
      <c r="O194" s="592"/>
      <c r="P194" s="592"/>
      <c r="Q194" s="592"/>
      <c r="U194" s="1733"/>
      <c r="V194" s="1734"/>
      <c r="AC194" s="1733"/>
      <c r="AD194" s="1734"/>
      <c r="AH194" s="1733"/>
    </row>
    <row r="195" spans="1:41" ht="21.95" hidden="1" customHeight="1">
      <c r="A195" s="2695"/>
      <c r="B195" s="2582"/>
      <c r="C195" s="2896" t="s">
        <v>2006</v>
      </c>
      <c r="D195" s="2897"/>
      <c r="E195" s="1279"/>
      <c r="F195" s="1442"/>
      <c r="G195" s="1550"/>
      <c r="H195" s="1550"/>
      <c r="I195" s="1550"/>
      <c r="J195" s="1550"/>
      <c r="K195" s="1550"/>
      <c r="L195" s="1778"/>
      <c r="M195" s="745">
        <f t="shared" si="11"/>
        <v>0</v>
      </c>
      <c r="O195" s="592"/>
      <c r="P195" s="592"/>
      <c r="Q195" s="592"/>
      <c r="U195" s="1733"/>
      <c r="V195" s="1734"/>
      <c r="AC195" s="1733"/>
      <c r="AD195" s="1734"/>
      <c r="AH195" s="1733"/>
    </row>
    <row r="196" spans="1:41" ht="21.95" hidden="1" customHeight="1">
      <c r="A196" s="2695"/>
      <c r="B196" s="2582"/>
      <c r="C196" s="2896" t="s">
        <v>1693</v>
      </c>
      <c r="D196" s="2897"/>
      <c r="E196" s="1279"/>
      <c r="F196" s="1442"/>
      <c r="G196" s="1550"/>
      <c r="H196" s="1550"/>
      <c r="I196" s="1550"/>
      <c r="J196" s="1550"/>
      <c r="K196" s="1550"/>
      <c r="L196" s="1496">
        <f t="shared" ref="L196:L223" si="12">TRUNC(SUM(G196:K196),2)</f>
        <v>0</v>
      </c>
      <c r="M196" s="745">
        <f t="shared" si="11"/>
        <v>0</v>
      </c>
      <c r="O196" s="592"/>
      <c r="P196" s="592"/>
      <c r="Q196" s="592"/>
      <c r="U196" s="1733"/>
      <c r="V196" s="1734"/>
      <c r="AC196" s="1733"/>
      <c r="AD196" s="1734"/>
      <c r="AH196" s="1733"/>
    </row>
    <row r="197" spans="1:41" ht="21.95" hidden="1" customHeight="1" thickBot="1">
      <c r="A197" s="2695"/>
      <c r="B197" s="2583"/>
      <c r="C197" s="2896" t="s">
        <v>2641</v>
      </c>
      <c r="D197" s="2897"/>
      <c r="E197" s="1283"/>
      <c r="F197" s="1563"/>
      <c r="G197" s="1564">
        <f>G195*G194*G193/100</f>
        <v>0</v>
      </c>
      <c r="H197" s="1564">
        <f>H195*H194*H193/100</f>
        <v>0</v>
      </c>
      <c r="I197" s="1564">
        <f>I195*I194*I193/100</f>
        <v>0</v>
      </c>
      <c r="J197" s="1564">
        <f>J195*J194*J193/100</f>
        <v>0</v>
      </c>
      <c r="K197" s="1564"/>
      <c r="L197" s="1707">
        <f t="shared" si="12"/>
        <v>0</v>
      </c>
      <c r="M197" s="745">
        <f t="shared" si="11"/>
        <v>0</v>
      </c>
      <c r="O197" s="592"/>
      <c r="P197" s="592"/>
      <c r="Q197" s="592"/>
      <c r="U197" s="1733"/>
      <c r="V197" s="1734"/>
      <c r="AC197" s="1733"/>
      <c r="AD197" s="1734"/>
      <c r="AH197" s="1733"/>
    </row>
    <row r="198" spans="1:41" ht="21.95" hidden="1" customHeight="1">
      <c r="A198" s="2695"/>
      <c r="B198" s="2862" t="s">
        <v>2645</v>
      </c>
      <c r="C198" s="2899" t="s">
        <v>2646</v>
      </c>
      <c r="D198" s="2900"/>
      <c r="E198" s="1279"/>
      <c r="F198" s="1442"/>
      <c r="G198" s="1550"/>
      <c r="H198" s="1550"/>
      <c r="I198" s="1550"/>
      <c r="J198" s="1550"/>
      <c r="K198" s="1550"/>
      <c r="L198" s="1720">
        <f t="shared" si="12"/>
        <v>0</v>
      </c>
      <c r="M198" s="745">
        <f t="shared" si="11"/>
        <v>0</v>
      </c>
      <c r="O198" s="592"/>
      <c r="P198" s="592"/>
      <c r="Q198" s="592"/>
      <c r="U198" s="1733"/>
      <c r="V198" s="1734"/>
      <c r="AC198" s="1733"/>
      <c r="AD198" s="1734"/>
      <c r="AH198" s="1733"/>
    </row>
    <row r="199" spans="1:41" ht="21.95" hidden="1" customHeight="1">
      <c r="A199" s="2695"/>
      <c r="B199" s="2863"/>
      <c r="C199" s="2896" t="s">
        <v>2647</v>
      </c>
      <c r="D199" s="2897"/>
      <c r="E199" s="1279"/>
      <c r="F199" s="1442"/>
      <c r="G199" s="1550"/>
      <c r="H199" s="1550"/>
      <c r="I199" s="1550"/>
      <c r="J199" s="1550"/>
      <c r="K199" s="1550"/>
      <c r="L199" s="1720">
        <f t="shared" si="12"/>
        <v>0</v>
      </c>
      <c r="M199" s="745">
        <f t="shared" si="11"/>
        <v>0</v>
      </c>
      <c r="N199" s="1137"/>
      <c r="O199" s="1137">
        <v>0.05</v>
      </c>
      <c r="P199" s="1137"/>
      <c r="Q199" s="1137">
        <v>307.77999999999997</v>
      </c>
      <c r="R199" s="1137"/>
      <c r="S199" s="1137"/>
      <c r="T199" s="1137"/>
      <c r="U199" s="1772"/>
      <c r="V199" s="1771"/>
      <c r="W199" s="1137">
        <v>0.05</v>
      </c>
      <c r="X199" s="1137"/>
      <c r="Y199" s="1137">
        <v>0.89</v>
      </c>
      <c r="Z199" s="1137"/>
      <c r="AA199" s="1137"/>
      <c r="AB199" s="1137"/>
      <c r="AC199" s="1772"/>
      <c r="AD199" s="1771"/>
      <c r="AE199" s="1137">
        <v>0.05</v>
      </c>
      <c r="AF199" s="1137"/>
      <c r="AG199" s="1137"/>
      <c r="AH199" s="1772"/>
      <c r="AI199" s="1137">
        <v>2</v>
      </c>
      <c r="AJ199" s="1137"/>
      <c r="AK199" s="1137"/>
      <c r="AL199" s="1137"/>
      <c r="AM199" s="1137">
        <v>0.2</v>
      </c>
      <c r="AN199" s="1137"/>
      <c r="AO199" s="214">
        <v>6171</v>
      </c>
    </row>
    <row r="200" spans="1:41" ht="21.95" hidden="1" customHeight="1">
      <c r="A200" s="2695"/>
      <c r="B200" s="2863"/>
      <c r="C200" s="2896" t="s">
        <v>2648</v>
      </c>
      <c r="D200" s="2897"/>
      <c r="E200" s="1279"/>
      <c r="F200" s="1779">
        <v>3.5</v>
      </c>
      <c r="G200" s="1550"/>
      <c r="H200" s="1550"/>
      <c r="I200" s="1550"/>
      <c r="J200" s="1550"/>
      <c r="K200" s="1550"/>
      <c r="L200" s="1720">
        <f t="shared" si="12"/>
        <v>0</v>
      </c>
      <c r="M200" s="745">
        <f t="shared" si="11"/>
        <v>0</v>
      </c>
      <c r="N200" s="1137"/>
      <c r="O200" s="1137"/>
      <c r="P200" s="1137"/>
      <c r="Q200" s="1137"/>
      <c r="R200" s="1137"/>
      <c r="S200" s="1137">
        <v>1.8E-3</v>
      </c>
      <c r="T200" s="1137"/>
      <c r="U200" s="1772"/>
      <c r="V200" s="1771"/>
      <c r="W200" s="1137"/>
      <c r="X200" s="1137"/>
      <c r="Y200" s="1137"/>
      <c r="Z200" s="1137"/>
      <c r="AA200" s="1137">
        <v>1.8E-3</v>
      </c>
      <c r="AB200" s="1137"/>
      <c r="AC200" s="1772"/>
      <c r="AD200" s="1771"/>
      <c r="AE200" s="1137"/>
      <c r="AF200" s="1137"/>
      <c r="AG200" s="1137"/>
      <c r="AH200" s="1772"/>
      <c r="AI200" s="1137"/>
      <c r="AJ200" s="1137"/>
      <c r="AK200" s="1137"/>
      <c r="AL200" s="1137"/>
      <c r="AM200" s="1137"/>
      <c r="AN200" s="1137"/>
      <c r="AO200" s="214" t="s">
        <v>2649</v>
      </c>
    </row>
    <row r="201" spans="1:41" ht="21.95" hidden="1" customHeight="1">
      <c r="A201" s="2695"/>
      <c r="B201" s="2863"/>
      <c r="C201" s="2896" t="s">
        <v>2650</v>
      </c>
      <c r="D201" s="2897"/>
      <c r="E201" s="1279"/>
      <c r="F201" s="1779">
        <v>5.8</v>
      </c>
      <c r="G201" s="1550"/>
      <c r="H201" s="1550"/>
      <c r="I201" s="1550"/>
      <c r="J201" s="1550"/>
      <c r="K201" s="1550"/>
      <c r="L201" s="1720">
        <f t="shared" si="12"/>
        <v>0</v>
      </c>
      <c r="M201" s="745">
        <f t="shared" si="11"/>
        <v>0</v>
      </c>
      <c r="N201" s="1137"/>
      <c r="O201" s="1137"/>
      <c r="P201" s="1137"/>
      <c r="Q201" s="1137"/>
      <c r="R201" s="1137"/>
      <c r="S201" s="1137">
        <v>2.7000000000000001E-3</v>
      </c>
      <c r="T201" s="1137"/>
      <c r="U201" s="1772"/>
      <c r="V201" s="1771"/>
      <c r="W201" s="1137"/>
      <c r="X201" s="1137"/>
      <c r="Y201" s="1137"/>
      <c r="Z201" s="1137"/>
      <c r="AA201" s="1137">
        <v>2.7000000000000001E-3</v>
      </c>
      <c r="AB201" s="1137"/>
      <c r="AC201" s="1772"/>
      <c r="AD201" s="1771"/>
      <c r="AE201" s="1137"/>
      <c r="AF201" s="1137"/>
      <c r="AG201" s="1137"/>
      <c r="AH201" s="1772"/>
      <c r="AI201" s="1137"/>
      <c r="AJ201" s="1137"/>
      <c r="AK201" s="1137"/>
      <c r="AL201" s="1137"/>
      <c r="AM201" s="1137"/>
      <c r="AN201" s="1137"/>
      <c r="AO201" s="214" t="s">
        <v>2651</v>
      </c>
    </row>
    <row r="202" spans="1:41" ht="21.95" hidden="1" customHeight="1">
      <c r="A202" s="2695"/>
      <c r="B202" s="2863"/>
      <c r="C202" s="2896" t="s">
        <v>2652</v>
      </c>
      <c r="D202" s="2897"/>
      <c r="E202" s="1279"/>
      <c r="F202" s="1779">
        <f>75*0.3*0.4</f>
        <v>9</v>
      </c>
      <c r="G202" s="1550"/>
      <c r="H202" s="1550"/>
      <c r="I202" s="1550"/>
      <c r="J202" s="1550"/>
      <c r="K202" s="1550"/>
      <c r="L202" s="1720">
        <f t="shared" si="12"/>
        <v>0</v>
      </c>
      <c r="M202" s="745">
        <f t="shared" si="11"/>
        <v>0</v>
      </c>
      <c r="N202" s="1137"/>
      <c r="O202" s="1137"/>
      <c r="P202" s="1137"/>
      <c r="Q202" s="1137"/>
      <c r="R202" s="1137"/>
      <c r="S202" s="1137">
        <v>3.15E-3</v>
      </c>
      <c r="T202" s="1137"/>
      <c r="U202" s="1772"/>
      <c r="V202" s="1771"/>
      <c r="W202" s="1137"/>
      <c r="X202" s="1137"/>
      <c r="Y202" s="1137"/>
      <c r="Z202" s="1137"/>
      <c r="AA202" s="1137">
        <v>3.15E-3</v>
      </c>
      <c r="AB202" s="1137"/>
      <c r="AC202" s="1772"/>
      <c r="AD202" s="1771"/>
      <c r="AE202" s="1137"/>
      <c r="AF202" s="1137"/>
      <c r="AG202" s="1137"/>
      <c r="AH202" s="1772"/>
      <c r="AI202" s="1137"/>
      <c r="AJ202" s="1137"/>
      <c r="AK202" s="1137"/>
      <c r="AL202" s="1137"/>
      <c r="AM202" s="1137"/>
      <c r="AN202" s="1137"/>
      <c r="AO202" s="214" t="s">
        <v>2653</v>
      </c>
    </row>
    <row r="203" spans="1:41" ht="21.95" hidden="1" customHeight="1">
      <c r="A203" s="2695"/>
      <c r="B203" s="2863"/>
      <c r="C203" s="2896" t="s">
        <v>2654</v>
      </c>
      <c r="D203" s="2897"/>
      <c r="E203" s="1279"/>
      <c r="F203" s="1779">
        <v>12</v>
      </c>
      <c r="G203" s="1550"/>
      <c r="H203" s="1550"/>
      <c r="I203" s="1550"/>
      <c r="J203" s="1550"/>
      <c r="K203" s="1550"/>
      <c r="L203" s="1720">
        <f t="shared" si="12"/>
        <v>0</v>
      </c>
      <c r="M203" s="745">
        <f t="shared" si="11"/>
        <v>0</v>
      </c>
      <c r="N203" s="1137"/>
      <c r="O203" s="1137"/>
      <c r="P203" s="1137"/>
      <c r="Q203" s="1137"/>
      <c r="R203" s="1137"/>
      <c r="S203" s="1137">
        <v>3.5999999999999999E-3</v>
      </c>
      <c r="T203" s="1137"/>
      <c r="U203" s="1772"/>
      <c r="V203" s="1771"/>
      <c r="W203" s="1137"/>
      <c r="X203" s="1137"/>
      <c r="Y203" s="1137"/>
      <c r="Z203" s="1137"/>
      <c r="AA203" s="1137">
        <v>3.5999999999999999E-3</v>
      </c>
      <c r="AB203" s="1137"/>
      <c r="AC203" s="1772"/>
      <c r="AD203" s="1771"/>
      <c r="AE203" s="1137"/>
      <c r="AF203" s="1137"/>
      <c r="AG203" s="1137"/>
      <c r="AH203" s="1772"/>
      <c r="AI203" s="1137"/>
      <c r="AJ203" s="1137"/>
      <c r="AK203" s="1137"/>
      <c r="AL203" s="1137"/>
      <c r="AM203" s="1137"/>
      <c r="AN203" s="1137"/>
      <c r="AO203" s="214" t="s">
        <v>2655</v>
      </c>
    </row>
    <row r="204" spans="1:41" ht="21.95" hidden="1" customHeight="1">
      <c r="A204" s="2695"/>
      <c r="B204" s="2863"/>
      <c r="C204" s="2896" t="s">
        <v>2656</v>
      </c>
      <c r="D204" s="2897"/>
      <c r="E204" s="1279"/>
      <c r="F204" s="1779">
        <f>75*0.4*0.5</f>
        <v>15</v>
      </c>
      <c r="G204" s="1550"/>
      <c r="H204" s="1550"/>
      <c r="I204" s="1550"/>
      <c r="J204" s="1550"/>
      <c r="K204" s="1550"/>
      <c r="L204" s="1720">
        <f t="shared" si="12"/>
        <v>0</v>
      </c>
      <c r="M204" s="745">
        <f t="shared" si="11"/>
        <v>0</v>
      </c>
      <c r="N204" s="1137"/>
      <c r="O204" s="1137"/>
      <c r="P204" s="1137"/>
      <c r="Q204" s="1137"/>
      <c r="R204" s="1137"/>
      <c r="S204" s="1137">
        <v>4.0499999999999998E-3</v>
      </c>
      <c r="T204" s="1137"/>
      <c r="U204" s="1772"/>
      <c r="V204" s="1771"/>
      <c r="W204" s="1137"/>
      <c r="X204" s="1137"/>
      <c r="Y204" s="1137"/>
      <c r="Z204" s="1137"/>
      <c r="AA204" s="1137">
        <v>4.0499999999999998E-3</v>
      </c>
      <c r="AB204" s="1137"/>
      <c r="AC204" s="1772"/>
      <c r="AD204" s="1771"/>
      <c r="AE204" s="1137"/>
      <c r="AF204" s="1137"/>
      <c r="AG204" s="1137"/>
      <c r="AH204" s="1772"/>
      <c r="AI204" s="1137"/>
      <c r="AJ204" s="1137"/>
      <c r="AK204" s="1137"/>
      <c r="AL204" s="1137"/>
      <c r="AM204" s="1137"/>
      <c r="AN204" s="1137"/>
      <c r="AO204" s="214" t="s">
        <v>2657</v>
      </c>
    </row>
    <row r="205" spans="1:41" ht="21.95" hidden="1" customHeight="1">
      <c r="A205" s="2695"/>
      <c r="B205" s="2863"/>
      <c r="C205" s="2896" t="s">
        <v>2658</v>
      </c>
      <c r="D205" s="2897"/>
      <c r="E205" s="1279"/>
      <c r="F205" s="1779">
        <f>75*0.4*0.6</f>
        <v>18</v>
      </c>
      <c r="G205" s="1550"/>
      <c r="H205" s="1550"/>
      <c r="I205" s="1550"/>
      <c r="J205" s="1550"/>
      <c r="K205" s="1550"/>
      <c r="L205" s="1720">
        <f t="shared" si="12"/>
        <v>0</v>
      </c>
      <c r="M205" s="745">
        <f t="shared" si="11"/>
        <v>0</v>
      </c>
      <c r="N205" s="1137"/>
      <c r="O205" s="1137"/>
      <c r="P205" s="1137"/>
      <c r="Q205" s="1137"/>
      <c r="R205" s="1137"/>
      <c r="S205" s="1137">
        <v>4.4999999999999997E-3</v>
      </c>
      <c r="T205" s="1137"/>
      <c r="U205" s="1772"/>
      <c r="V205" s="1771"/>
      <c r="W205" s="1137"/>
      <c r="X205" s="1137"/>
      <c r="Y205" s="1137"/>
      <c r="Z205" s="1137"/>
      <c r="AA205" s="1137">
        <v>4.4999999999999997E-3</v>
      </c>
      <c r="AB205" s="1137"/>
      <c r="AC205" s="1772"/>
      <c r="AD205" s="1771"/>
      <c r="AE205" s="1137"/>
      <c r="AF205" s="1137"/>
      <c r="AG205" s="1137"/>
      <c r="AH205" s="1772"/>
      <c r="AI205" s="1137"/>
      <c r="AJ205" s="1137"/>
      <c r="AK205" s="1137"/>
      <c r="AL205" s="1137"/>
      <c r="AM205" s="1137"/>
      <c r="AN205" s="1137"/>
      <c r="AO205" s="214">
        <v>84798</v>
      </c>
    </row>
    <row r="206" spans="1:41" ht="21.95" hidden="1" customHeight="1">
      <c r="A206" s="2695"/>
      <c r="B206" s="2863"/>
      <c r="C206" s="2896" t="s">
        <v>2659</v>
      </c>
      <c r="D206" s="2897"/>
      <c r="E206" s="1279"/>
      <c r="F206" s="1779">
        <f>75*0.55*1.1</f>
        <v>45.375000000000007</v>
      </c>
      <c r="G206" s="1550"/>
      <c r="H206" s="1550"/>
      <c r="I206" s="1550"/>
      <c r="J206" s="1550"/>
      <c r="K206" s="1550"/>
      <c r="L206" s="1720">
        <f t="shared" si="12"/>
        <v>0</v>
      </c>
      <c r="M206" s="745">
        <f t="shared" si="11"/>
        <v>0</v>
      </c>
      <c r="N206" s="1137"/>
      <c r="O206" s="1137"/>
      <c r="P206" s="1137"/>
      <c r="Q206" s="1137"/>
      <c r="R206" s="1137"/>
      <c r="S206" s="1137">
        <v>7.0000000000000001E-3</v>
      </c>
      <c r="T206" s="1137"/>
      <c r="U206" s="1772"/>
      <c r="V206" s="1771"/>
      <c r="W206" s="1137"/>
      <c r="X206" s="1137"/>
      <c r="Y206" s="1137"/>
      <c r="Z206" s="1137"/>
      <c r="AA206" s="1137">
        <v>7.0000000000000001E-3</v>
      </c>
      <c r="AB206" s="1137"/>
      <c r="AC206" s="1772"/>
      <c r="AD206" s="1771"/>
      <c r="AE206" s="1137"/>
      <c r="AF206" s="1137"/>
      <c r="AG206" s="1137"/>
      <c r="AH206" s="1772"/>
      <c r="AI206" s="1137"/>
      <c r="AJ206" s="1137"/>
      <c r="AK206" s="1137"/>
      <c r="AL206" s="1137"/>
      <c r="AM206" s="1137"/>
      <c r="AN206" s="1137"/>
      <c r="AO206" s="214">
        <v>84796</v>
      </c>
    </row>
    <row r="207" spans="1:41" ht="21.95" hidden="1" customHeight="1">
      <c r="A207" s="2695"/>
      <c r="B207" s="2863"/>
      <c r="C207" s="2896" t="s">
        <v>2660</v>
      </c>
      <c r="D207" s="2897"/>
      <c r="E207" s="1279"/>
      <c r="F207" s="1442"/>
      <c r="G207" s="1550"/>
      <c r="H207" s="1550"/>
      <c r="I207" s="1550"/>
      <c r="J207" s="1550"/>
      <c r="K207" s="1550"/>
      <c r="L207" s="1720">
        <f t="shared" si="12"/>
        <v>0</v>
      </c>
      <c r="M207" s="745">
        <f t="shared" si="11"/>
        <v>0</v>
      </c>
      <c r="O207" s="592"/>
      <c r="P207" s="592"/>
      <c r="Q207" s="592"/>
      <c r="U207" s="1733"/>
      <c r="V207" s="1734"/>
      <c r="AC207" s="1733"/>
      <c r="AD207" s="1734"/>
      <c r="AH207" s="1733"/>
      <c r="AO207" s="214"/>
    </row>
    <row r="208" spans="1:41" ht="21.95" hidden="1" customHeight="1">
      <c r="A208" s="2695"/>
      <c r="B208" s="2863"/>
      <c r="C208" s="2726" t="s">
        <v>2661</v>
      </c>
      <c r="D208" s="2736"/>
      <c r="E208" s="1279"/>
      <c r="F208" s="1442"/>
      <c r="G208" s="1589"/>
      <c r="H208" s="1589"/>
      <c r="I208" s="1589"/>
      <c r="J208" s="1589"/>
      <c r="K208" s="1589"/>
      <c r="L208" s="1720">
        <f t="shared" si="12"/>
        <v>0</v>
      </c>
      <c r="M208" s="745">
        <f t="shared" si="11"/>
        <v>0</v>
      </c>
      <c r="N208" s="1137">
        <v>1</v>
      </c>
      <c r="O208" s="1137"/>
      <c r="P208" s="1137"/>
      <c r="Q208" s="1137"/>
      <c r="R208" s="1137"/>
      <c r="S208" s="1137"/>
      <c r="T208" s="1137"/>
      <c r="U208" s="1772"/>
      <c r="V208" s="1771">
        <v>1</v>
      </c>
      <c r="W208" s="1137"/>
      <c r="X208" s="1137"/>
      <c r="Y208" s="1137"/>
      <c r="Z208" s="1137"/>
      <c r="AA208" s="1137"/>
      <c r="AB208" s="1137"/>
      <c r="AC208" s="1772"/>
      <c r="AD208" s="1771">
        <v>1</v>
      </c>
      <c r="AE208" s="1137"/>
      <c r="AF208" s="1137"/>
      <c r="AG208" s="1137"/>
      <c r="AH208" s="1772"/>
      <c r="AI208" s="1137"/>
      <c r="AJ208" s="1137"/>
      <c r="AK208" s="1137"/>
      <c r="AL208" s="1137"/>
      <c r="AM208" s="1137"/>
      <c r="AN208" s="1137"/>
      <c r="AO208" s="214"/>
    </row>
    <row r="209" spans="1:41" ht="21.95" hidden="1" customHeight="1">
      <c r="A209" s="2695"/>
      <c r="B209" s="2863"/>
      <c r="C209" s="2726" t="s">
        <v>2662</v>
      </c>
      <c r="D209" s="2736"/>
      <c r="E209" s="1279"/>
      <c r="F209" s="1442"/>
      <c r="G209" s="1589"/>
      <c r="H209" s="1589"/>
      <c r="I209" s="1589"/>
      <c r="J209" s="1589"/>
      <c r="K209" s="1589"/>
      <c r="L209" s="1720">
        <f t="shared" si="12"/>
        <v>0</v>
      </c>
      <c r="M209" s="745">
        <f t="shared" si="11"/>
        <v>0</v>
      </c>
      <c r="N209" s="1137"/>
      <c r="O209" s="1137"/>
      <c r="P209" s="1137"/>
      <c r="Q209" s="1137"/>
      <c r="R209" s="1137"/>
      <c r="S209" s="1137"/>
      <c r="T209" s="1137">
        <f>0.285*206.42</f>
        <v>58.829699999999988</v>
      </c>
      <c r="U209" s="1772"/>
      <c r="V209" s="1771"/>
      <c r="W209" s="1137"/>
      <c r="X209" s="1137"/>
      <c r="Y209" s="1137"/>
      <c r="Z209" s="1137"/>
      <c r="AA209" s="1137"/>
      <c r="AB209" s="1137">
        <f>0.285*1.15</f>
        <v>0.32774999999999993</v>
      </c>
      <c r="AC209" s="1772"/>
      <c r="AD209" s="1771"/>
      <c r="AE209" s="1137"/>
      <c r="AF209" s="1137"/>
      <c r="AG209" s="1137"/>
      <c r="AH209" s="1772"/>
      <c r="AI209" s="1137"/>
      <c r="AJ209" s="1137"/>
      <c r="AK209" s="1137">
        <v>795</v>
      </c>
      <c r="AL209" s="1137"/>
      <c r="AM209" s="1137"/>
      <c r="AN209" s="1137">
        <f>0.285*0.13761</f>
        <v>3.921885E-2</v>
      </c>
      <c r="AO209" s="214">
        <v>95474</v>
      </c>
    </row>
    <row r="210" spans="1:41" ht="21.95" hidden="1" customHeight="1">
      <c r="A210" s="2695"/>
      <c r="B210" s="2863"/>
      <c r="C210" s="2726" t="s">
        <v>2663</v>
      </c>
      <c r="D210" s="2736"/>
      <c r="E210" s="1279"/>
      <c r="F210" s="1442"/>
      <c r="G210" s="1589"/>
      <c r="H210" s="1589"/>
      <c r="I210" s="1589"/>
      <c r="J210" s="1589"/>
      <c r="K210" s="1589"/>
      <c r="L210" s="1720">
        <f t="shared" si="12"/>
        <v>0</v>
      </c>
      <c r="M210" s="745">
        <f t="shared" si="11"/>
        <v>0</v>
      </c>
      <c r="N210" s="1137"/>
      <c r="O210" s="1137"/>
      <c r="P210" s="1137"/>
      <c r="Q210" s="1137"/>
      <c r="R210" s="1137"/>
      <c r="S210" s="1137"/>
      <c r="T210" s="1137"/>
      <c r="U210" s="1772">
        <v>1</v>
      </c>
      <c r="V210" s="1771"/>
      <c r="W210" s="1137"/>
      <c r="X210" s="1137"/>
      <c r="Y210" s="1137"/>
      <c r="Z210" s="1137"/>
      <c r="AA210" s="1137"/>
      <c r="AB210" s="1137"/>
      <c r="AC210" s="1772">
        <v>1</v>
      </c>
      <c r="AD210" s="1771"/>
      <c r="AE210" s="1137"/>
      <c r="AF210" s="1137"/>
      <c r="AG210" s="1137"/>
      <c r="AH210" s="1772"/>
      <c r="AI210" s="1137"/>
      <c r="AJ210" s="1137"/>
      <c r="AK210" s="1137"/>
      <c r="AL210" s="1137"/>
      <c r="AM210" s="1137"/>
      <c r="AN210" s="1137"/>
    </row>
    <row r="211" spans="1:41" ht="21.95" hidden="1" customHeight="1" thickBot="1">
      <c r="A211" s="2695"/>
      <c r="B211" s="2898"/>
      <c r="C211" s="2728" t="s">
        <v>2664</v>
      </c>
      <c r="D211" s="2729"/>
      <c r="E211" s="1283"/>
      <c r="F211" s="1563"/>
      <c r="G211" s="1564">
        <f>G210*0.02</f>
        <v>0</v>
      </c>
      <c r="H211" s="1564">
        <f>H210*0.02</f>
        <v>0</v>
      </c>
      <c r="I211" s="1564">
        <f>I210*0.02</f>
        <v>0</v>
      </c>
      <c r="J211" s="1564">
        <f>J210*0.02</f>
        <v>0</v>
      </c>
      <c r="K211" s="1564"/>
      <c r="L211" s="1707">
        <f t="shared" si="12"/>
        <v>0</v>
      </c>
      <c r="M211" s="745">
        <f t="shared" si="11"/>
        <v>0</v>
      </c>
      <c r="N211" s="1137"/>
      <c r="O211" s="1137"/>
      <c r="P211" s="1137"/>
      <c r="Q211" s="1137"/>
      <c r="R211" s="1137">
        <v>1</v>
      </c>
      <c r="S211" s="1137"/>
      <c r="T211" s="1137"/>
      <c r="U211" s="1772"/>
      <c r="V211" s="1771"/>
      <c r="W211" s="1137"/>
      <c r="X211" s="1137"/>
      <c r="Y211" s="1137"/>
      <c r="Z211" s="1137">
        <v>1</v>
      </c>
      <c r="AA211" s="1137"/>
      <c r="AB211" s="1137"/>
      <c r="AC211" s="1772"/>
      <c r="AD211" s="1771"/>
      <c r="AE211" s="1137"/>
      <c r="AF211" s="1137"/>
      <c r="AG211" s="1137"/>
      <c r="AH211" s="1772"/>
      <c r="AI211" s="1137"/>
      <c r="AJ211" s="1137"/>
      <c r="AK211" s="1137"/>
      <c r="AL211" s="1137"/>
      <c r="AM211" s="1137"/>
      <c r="AN211" s="1137"/>
    </row>
    <row r="212" spans="1:41" ht="21.95" customHeight="1">
      <c r="A212" s="2695"/>
      <c r="B212" s="2766" t="s">
        <v>2665</v>
      </c>
      <c r="C212" s="2894" t="s">
        <v>1504</v>
      </c>
      <c r="D212" s="1534" t="s">
        <v>2666</v>
      </c>
      <c r="E212" s="1279"/>
      <c r="F212" s="749"/>
      <c r="G212" s="1780">
        <f>Pav_Dados!G11</f>
        <v>0</v>
      </c>
      <c r="H212" s="1780">
        <f>Pav_Dados!H11</f>
        <v>0</v>
      </c>
      <c r="I212" s="1780">
        <f>Pav_Dados!I11</f>
        <v>0</v>
      </c>
      <c r="J212" s="1780">
        <f>Pav_Dados!J11</f>
        <v>0</v>
      </c>
      <c r="K212" s="1780"/>
      <c r="L212" s="1720">
        <f t="shared" si="12"/>
        <v>0</v>
      </c>
      <c r="M212" s="745">
        <v>1</v>
      </c>
      <c r="O212" s="592"/>
      <c r="P212" s="592"/>
      <c r="Q212" s="592"/>
      <c r="U212" s="1733"/>
      <c r="V212" s="1734"/>
      <c r="AC212" s="1733"/>
      <c r="AD212" s="1734"/>
      <c r="AH212" s="1733"/>
    </row>
    <row r="213" spans="1:41" ht="21.95" customHeight="1">
      <c r="A213" s="2695"/>
      <c r="B213" s="2843"/>
      <c r="C213" s="2747"/>
      <c r="D213" s="1535" t="s">
        <v>2667</v>
      </c>
      <c r="E213" s="1279"/>
      <c r="F213" s="749"/>
      <c r="G213" s="1780">
        <f>Pav_Dados!G12</f>
        <v>0</v>
      </c>
      <c r="H213" s="1780">
        <f>Pav_Dados!H12</f>
        <v>0</v>
      </c>
      <c r="I213" s="1780">
        <f>Pav_Dados!I12</f>
        <v>0</v>
      </c>
      <c r="J213" s="1780">
        <f>Pav_Dados!J12</f>
        <v>0</v>
      </c>
      <c r="K213" s="1780"/>
      <c r="L213" s="1720">
        <f t="shared" si="12"/>
        <v>0</v>
      </c>
      <c r="M213" s="745">
        <v>1</v>
      </c>
      <c r="O213" s="592"/>
      <c r="P213" s="592"/>
      <c r="Q213" s="592"/>
      <c r="U213" s="1733"/>
      <c r="V213" s="1734"/>
      <c r="AC213" s="1733"/>
      <c r="AD213" s="1734"/>
      <c r="AH213" s="1733"/>
    </row>
    <row r="214" spans="1:41" ht="21.95" customHeight="1">
      <c r="A214" s="2695"/>
      <c r="B214" s="2843"/>
      <c r="C214" s="2747"/>
      <c r="D214" s="1089" t="s">
        <v>2668</v>
      </c>
      <c r="E214" s="1584"/>
      <c r="F214" s="782"/>
      <c r="G214" s="1781">
        <f>Pav_Dados!G13</f>
        <v>0</v>
      </c>
      <c r="H214" s="1781">
        <f>Pav_Dados!H13</f>
        <v>0</v>
      </c>
      <c r="I214" s="1781">
        <f>Pav_Dados!I13</f>
        <v>0</v>
      </c>
      <c r="J214" s="1781">
        <f>Pav_Dados!J13</f>
        <v>0</v>
      </c>
      <c r="K214" s="1781"/>
      <c r="L214" s="1769">
        <f t="shared" si="12"/>
        <v>0</v>
      </c>
      <c r="M214" s="745">
        <v>1</v>
      </c>
      <c r="O214" s="592"/>
      <c r="P214" s="592"/>
      <c r="Q214" s="592"/>
      <c r="U214" s="1733"/>
      <c r="V214" s="1734"/>
      <c r="AC214" s="1733"/>
      <c r="AD214" s="1734"/>
      <c r="AH214" s="1733"/>
    </row>
    <row r="215" spans="1:41" ht="21.95" customHeight="1">
      <c r="A215" s="2695"/>
      <c r="B215" s="2843"/>
      <c r="C215" s="2747" t="s">
        <v>1508</v>
      </c>
      <c r="D215" s="1089" t="s">
        <v>2666</v>
      </c>
      <c r="E215" s="1279"/>
      <c r="F215" s="749"/>
      <c r="G215" s="1225">
        <f>Pav_Dados!G14</f>
        <v>0</v>
      </c>
      <c r="H215" s="1782">
        <f>Pav_Dados!H14</f>
        <v>0</v>
      </c>
      <c r="I215" s="1782">
        <f>Pav_Dados!I14</f>
        <v>0</v>
      </c>
      <c r="J215" s="1782">
        <f>Pav_Dados!J14</f>
        <v>0</v>
      </c>
      <c r="K215" s="1780"/>
      <c r="L215" s="1783">
        <f t="shared" si="12"/>
        <v>0</v>
      </c>
      <c r="M215" s="745">
        <v>1</v>
      </c>
      <c r="O215" s="592"/>
      <c r="P215" s="592"/>
      <c r="Q215" s="592"/>
      <c r="U215" s="1733"/>
      <c r="V215" s="1734"/>
      <c r="AC215" s="1733"/>
      <c r="AD215" s="1734"/>
      <c r="AH215" s="1733"/>
    </row>
    <row r="216" spans="1:41" ht="21.95" customHeight="1">
      <c r="A216" s="2695"/>
      <c r="B216" s="2843"/>
      <c r="C216" s="2747"/>
      <c r="D216" s="1535" t="s">
        <v>2667</v>
      </c>
      <c r="E216" s="1279"/>
      <c r="F216" s="749"/>
      <c r="G216" s="1780">
        <f>Pav_Dados!G15</f>
        <v>0</v>
      </c>
      <c r="H216" s="1780">
        <f>Pav_Dados!H15</f>
        <v>0</v>
      </c>
      <c r="I216" s="1780">
        <f>Pav_Dados!I15</f>
        <v>0</v>
      </c>
      <c r="J216" s="1780">
        <f>Pav_Dados!J15</f>
        <v>0</v>
      </c>
      <c r="K216" s="1780"/>
      <c r="L216" s="1720">
        <f t="shared" si="12"/>
        <v>0</v>
      </c>
      <c r="M216" s="745">
        <v>1</v>
      </c>
      <c r="O216" s="592"/>
      <c r="P216" s="592"/>
      <c r="Q216" s="592"/>
      <c r="U216" s="1733"/>
      <c r="V216" s="1734"/>
      <c r="AC216" s="1733"/>
      <c r="AD216" s="1734"/>
      <c r="AH216" s="1733"/>
    </row>
    <row r="217" spans="1:41" ht="21.95" customHeight="1">
      <c r="A217" s="2695"/>
      <c r="B217" s="2843"/>
      <c r="C217" s="2747"/>
      <c r="D217" s="1089" t="s">
        <v>2668</v>
      </c>
      <c r="E217" s="1584"/>
      <c r="F217" s="782"/>
      <c r="G217" s="1781">
        <f>Pav_Dados!G16</f>
        <v>0</v>
      </c>
      <c r="H217" s="1781">
        <f>Pav_Dados!H16</f>
        <v>0</v>
      </c>
      <c r="I217" s="1781">
        <f>Pav_Dados!I16</f>
        <v>0</v>
      </c>
      <c r="J217" s="1781">
        <f>Pav_Dados!J16</f>
        <v>0</v>
      </c>
      <c r="K217" s="1781"/>
      <c r="L217" s="1769">
        <f t="shared" si="12"/>
        <v>0</v>
      </c>
      <c r="M217" s="745">
        <v>1</v>
      </c>
      <c r="O217" s="592"/>
      <c r="P217" s="592"/>
      <c r="Q217" s="592"/>
      <c r="U217" s="1733"/>
      <c r="V217" s="1734"/>
      <c r="AC217" s="1733"/>
      <c r="AD217" s="1734"/>
      <c r="AH217" s="1733"/>
    </row>
    <row r="218" spans="1:41" ht="21.95" customHeight="1">
      <c r="A218" s="2695"/>
      <c r="B218" s="2843"/>
      <c r="C218" s="2747" t="s">
        <v>1509</v>
      </c>
      <c r="D218" s="1089" t="s">
        <v>1510</v>
      </c>
      <c r="E218" s="1279"/>
      <c r="F218" s="749"/>
      <c r="G218" s="1225">
        <f>Pav_Dados!G17</f>
        <v>0</v>
      </c>
      <c r="H218" s="1782">
        <f>Pav_Dados!H17</f>
        <v>0</v>
      </c>
      <c r="I218" s="1782">
        <f>Pav_Dados!I17</f>
        <v>0</v>
      </c>
      <c r="J218" s="1782">
        <f>Pav_Dados!J17</f>
        <v>0</v>
      </c>
      <c r="K218" s="1780"/>
      <c r="L218" s="1783">
        <f t="shared" si="12"/>
        <v>0</v>
      </c>
      <c r="M218" s="745">
        <v>1</v>
      </c>
      <c r="O218" s="592"/>
      <c r="P218" s="592"/>
      <c r="Q218" s="592"/>
      <c r="U218" s="1733"/>
      <c r="V218" s="1734"/>
      <c r="AC218" s="1733"/>
      <c r="AD218" s="1734"/>
      <c r="AH218" s="1733"/>
    </row>
    <row r="219" spans="1:41" ht="21.95" customHeight="1">
      <c r="A219" s="2695"/>
      <c r="B219" s="2843"/>
      <c r="C219" s="2747"/>
      <c r="D219" s="1535" t="s">
        <v>2666</v>
      </c>
      <c r="E219" s="1279"/>
      <c r="F219" s="749"/>
      <c r="G219" s="1780">
        <f>Pav_Dados!G18</f>
        <v>0</v>
      </c>
      <c r="H219" s="1780">
        <f>Pav_Dados!H18</f>
        <v>0</v>
      </c>
      <c r="I219" s="1780">
        <f>Pav_Dados!I18</f>
        <v>0</v>
      </c>
      <c r="J219" s="1780">
        <f>Pav_Dados!J18</f>
        <v>0</v>
      </c>
      <c r="K219" s="1780"/>
      <c r="L219" s="1720">
        <f t="shared" si="12"/>
        <v>0</v>
      </c>
      <c r="M219" s="745">
        <v>1</v>
      </c>
      <c r="O219" s="592"/>
      <c r="P219" s="592"/>
      <c r="Q219" s="592"/>
      <c r="U219" s="1733"/>
      <c r="V219" s="1734"/>
      <c r="AC219" s="1733"/>
      <c r="AD219" s="1734"/>
      <c r="AH219" s="1733"/>
    </row>
    <row r="220" spans="1:41" ht="21.95" customHeight="1">
      <c r="A220" s="2695"/>
      <c r="B220" s="2843"/>
      <c r="C220" s="2747"/>
      <c r="D220" s="1535" t="s">
        <v>2667</v>
      </c>
      <c r="E220" s="1279"/>
      <c r="F220" s="749"/>
      <c r="G220" s="1780">
        <f>Pav_Dados!G19</f>
        <v>0</v>
      </c>
      <c r="H220" s="1780">
        <f>Pav_Dados!H19</f>
        <v>0</v>
      </c>
      <c r="I220" s="1780">
        <f>Pav_Dados!I19</f>
        <v>0</v>
      </c>
      <c r="J220" s="1780">
        <f>Pav_Dados!J19</f>
        <v>0</v>
      </c>
      <c r="K220" s="1780"/>
      <c r="L220" s="1720">
        <f t="shared" si="12"/>
        <v>0</v>
      </c>
      <c r="M220" s="745">
        <v>1</v>
      </c>
      <c r="O220" s="592"/>
      <c r="P220" s="592"/>
      <c r="Q220" s="592"/>
      <c r="U220" s="1733"/>
      <c r="V220" s="1734"/>
      <c r="AC220" s="1733"/>
      <c r="AD220" s="1734"/>
      <c r="AH220" s="1733"/>
    </row>
    <row r="221" spans="1:41" ht="21.95" customHeight="1" thickBot="1">
      <c r="A221" s="2695"/>
      <c r="B221" s="2844"/>
      <c r="C221" s="2895"/>
      <c r="D221" s="1784" t="s">
        <v>2668</v>
      </c>
      <c r="E221" s="1279"/>
      <c r="F221" s="749"/>
      <c r="G221" s="1780">
        <f>Pav_Dados!G20</f>
        <v>0</v>
      </c>
      <c r="H221" s="1780">
        <f>Pav_Dados!H20</f>
        <v>0</v>
      </c>
      <c r="I221" s="1780">
        <f>Pav_Dados!I20</f>
        <v>0</v>
      </c>
      <c r="J221" s="1780">
        <f>Pav_Dados!J20</f>
        <v>0</v>
      </c>
      <c r="K221" s="1780"/>
      <c r="L221" s="1707">
        <f t="shared" si="12"/>
        <v>0</v>
      </c>
      <c r="M221" s="745">
        <v>1</v>
      </c>
      <c r="O221" s="592"/>
      <c r="P221" s="592"/>
      <c r="Q221" s="592"/>
      <c r="U221" s="1733"/>
      <c r="V221" s="1734"/>
      <c r="AC221" s="1733"/>
      <c r="AD221" s="1734"/>
      <c r="AH221" s="1733"/>
    </row>
    <row r="222" spans="1:41" s="813" customFormat="1" ht="21.95" hidden="1" customHeight="1">
      <c r="A222" s="2695"/>
      <c r="B222" s="2581" t="s">
        <v>2638</v>
      </c>
      <c r="C222" s="2734" t="s">
        <v>1354</v>
      </c>
      <c r="D222" s="2735"/>
      <c r="E222" s="1273"/>
      <c r="F222" s="1560"/>
      <c r="G222" s="1545"/>
      <c r="H222" s="1545"/>
      <c r="I222" s="1545"/>
      <c r="J222" s="1545"/>
      <c r="K222" s="1545"/>
      <c r="L222" s="1785">
        <f t="shared" si="12"/>
        <v>0</v>
      </c>
      <c r="M222" s="745">
        <f t="shared" ref="M222:M247" si="13">SUM(G222:L222)</f>
        <v>0</v>
      </c>
      <c r="U222" s="1786"/>
      <c r="V222" s="1787"/>
      <c r="AC222" s="1786"/>
      <c r="AD222" s="1787"/>
      <c r="AH222" s="1786"/>
    </row>
    <row r="223" spans="1:41" s="813" customFormat="1" ht="21.95" hidden="1" customHeight="1">
      <c r="A223" s="2695"/>
      <c r="B223" s="2582"/>
      <c r="C223" s="2726" t="s">
        <v>2669</v>
      </c>
      <c r="D223" s="2736"/>
      <c r="E223" s="1279"/>
      <c r="F223" s="1442"/>
      <c r="G223" s="1570">
        <f>IF(G222=0,0,Pav_Dados!G6+IF(Pav_Dados!G5="dupla",2*0.3,0.3))</f>
        <v>0</v>
      </c>
      <c r="H223" s="1570">
        <f>IF(H222=0,0,Pav_Dados!H6+IF(Pav_Dados!H5="dupla",2*0.3,0.3))</f>
        <v>0</v>
      </c>
      <c r="I223" s="1570">
        <f>IF(I222=0,0,Pav_Dados!I6+IF(Pav_Dados!I5="dupla",2*0.3,0.3))</f>
        <v>0</v>
      </c>
      <c r="J223" s="1570">
        <f>IF(J222=0,0,Pav_Dados!J6+IF(Pav_Dados!J5="dupla",2*0.3,0.3))</f>
        <v>0</v>
      </c>
      <c r="K223" s="1570"/>
      <c r="L223" s="1496">
        <f t="shared" si="12"/>
        <v>0</v>
      </c>
      <c r="M223" s="745">
        <f t="shared" si="13"/>
        <v>0</v>
      </c>
      <c r="U223" s="1786"/>
      <c r="V223" s="1787"/>
      <c r="AC223" s="1786"/>
      <c r="AD223" s="1787"/>
      <c r="AH223" s="1786"/>
    </row>
    <row r="224" spans="1:41" s="813" customFormat="1" ht="21.95" hidden="1" customHeight="1">
      <c r="A224" s="2695"/>
      <c r="B224" s="2582"/>
      <c r="C224" s="2726" t="s">
        <v>2670</v>
      </c>
      <c r="D224" s="2736"/>
      <c r="E224" s="1279"/>
      <c r="F224" s="1442"/>
      <c r="G224" s="1570">
        <f>IF(G222&gt;0,8,0)</f>
        <v>0</v>
      </c>
      <c r="H224" s="1570">
        <f>IF(H222&gt;0,8,0)</f>
        <v>0</v>
      </c>
      <c r="I224" s="1570">
        <f>IF(I222&gt;0,8,0)</f>
        <v>0</v>
      </c>
      <c r="J224" s="1570">
        <f>IF(J222&gt;0,8,0)</f>
        <v>0</v>
      </c>
      <c r="K224" s="1570"/>
      <c r="L224" s="1496"/>
      <c r="M224" s="745">
        <f t="shared" si="13"/>
        <v>0</v>
      </c>
      <c r="U224" s="1786"/>
      <c r="V224" s="1787"/>
      <c r="AC224" s="1786"/>
      <c r="AD224" s="1787"/>
      <c r="AH224" s="1786"/>
    </row>
    <row r="225" spans="1:40" s="813" customFormat="1" ht="21.95" hidden="1" customHeight="1">
      <c r="A225" s="2695"/>
      <c r="B225" s="2582"/>
      <c r="C225" s="2726" t="s">
        <v>2671</v>
      </c>
      <c r="D225" s="2736"/>
      <c r="E225" s="1279"/>
      <c r="F225" s="1442"/>
      <c r="G225" s="1570">
        <f>IF(G222&gt;0,4,0)</f>
        <v>0</v>
      </c>
      <c r="H225" s="1570">
        <f>IF(H222&gt;0,4,0)</f>
        <v>0</v>
      </c>
      <c r="I225" s="1570">
        <f>IF(I222&gt;0,4,0)</f>
        <v>0</v>
      </c>
      <c r="J225" s="1570">
        <f>IF(J222&gt;0,4,0)</f>
        <v>0</v>
      </c>
      <c r="K225" s="1570"/>
      <c r="L225" s="1496"/>
      <c r="M225" s="745">
        <f t="shared" si="13"/>
        <v>0</v>
      </c>
      <c r="U225" s="1786"/>
      <c r="V225" s="1787"/>
      <c r="AC225" s="1786"/>
      <c r="AD225" s="1787"/>
      <c r="AH225" s="1786"/>
    </row>
    <row r="226" spans="1:40" s="813" customFormat="1" ht="21.95" hidden="1" customHeight="1">
      <c r="A226" s="2695"/>
      <c r="B226" s="2582"/>
      <c r="C226" s="2726" t="s">
        <v>2672</v>
      </c>
      <c r="D226" s="2736"/>
      <c r="E226" s="1279"/>
      <c r="F226" s="1442"/>
      <c r="G226" s="851">
        <f>IF(G222&gt;0,10,0)</f>
        <v>0</v>
      </c>
      <c r="H226" s="851">
        <f>IF(H222&gt;0,10,0)</f>
        <v>0</v>
      </c>
      <c r="I226" s="851">
        <f>IF(I222&gt;0,10,0)</f>
        <v>0</v>
      </c>
      <c r="J226" s="851">
        <f>IF(J222&gt;0,10,0)</f>
        <v>0</v>
      </c>
      <c r="K226" s="851"/>
      <c r="L226" s="1496"/>
      <c r="M226" s="745">
        <f t="shared" si="13"/>
        <v>0</v>
      </c>
      <c r="R226" s="1527"/>
      <c r="S226" s="1527"/>
      <c r="T226" s="1527"/>
      <c r="U226" s="1733"/>
      <c r="V226" s="1734"/>
      <c r="W226" s="681"/>
      <c r="X226" s="681"/>
      <c r="Y226" s="681"/>
      <c r="Z226" s="681"/>
      <c r="AA226" s="681"/>
      <c r="AB226" s="681"/>
      <c r="AC226" s="1788"/>
      <c r="AD226" s="1789"/>
      <c r="AH226" s="1786"/>
    </row>
    <row r="227" spans="1:40" s="813" customFormat="1" ht="21.95" hidden="1" customHeight="1">
      <c r="A227" s="2695"/>
      <c r="B227" s="2582"/>
      <c r="C227" s="2726" t="s">
        <v>2673</v>
      </c>
      <c r="D227" s="2736"/>
      <c r="E227" s="1279"/>
      <c r="F227" s="1442"/>
      <c r="G227" s="851">
        <f>IF(G222&gt;0,5,0)</f>
        <v>0</v>
      </c>
      <c r="H227" s="851">
        <f>IF(H222&gt;0,5,0)</f>
        <v>0</v>
      </c>
      <c r="I227" s="851">
        <f>IF(I222&gt;0,5,0)</f>
        <v>0</v>
      </c>
      <c r="J227" s="851">
        <f>IF(J222&gt;0,5,0)</f>
        <v>0</v>
      </c>
      <c r="K227" s="851"/>
      <c r="L227" s="1496"/>
      <c r="M227" s="745">
        <f t="shared" si="13"/>
        <v>0</v>
      </c>
      <c r="R227" s="1527"/>
      <c r="S227" s="1527"/>
      <c r="T227" s="1527"/>
      <c r="U227" s="1733"/>
      <c r="V227" s="1734"/>
      <c r="W227" s="681"/>
      <c r="X227" s="681"/>
      <c r="Y227" s="681"/>
      <c r="Z227" s="681"/>
      <c r="AA227" s="681"/>
      <c r="AB227" s="681"/>
      <c r="AC227" s="1788"/>
      <c r="AD227" s="1789"/>
      <c r="AH227" s="1786"/>
    </row>
    <row r="228" spans="1:40" s="813" customFormat="1" ht="21.95" hidden="1" customHeight="1">
      <c r="A228" s="2695"/>
      <c r="B228" s="2582"/>
      <c r="C228" s="2726" t="s">
        <v>2674</v>
      </c>
      <c r="D228" s="2736"/>
      <c r="E228" s="1279"/>
      <c r="F228" s="1442"/>
      <c r="G228" s="851">
        <f>IF(G222&gt;0,15,0)</f>
        <v>0</v>
      </c>
      <c r="H228" s="851">
        <f>IF(H222&gt;0,15,0)</f>
        <v>0</v>
      </c>
      <c r="I228" s="851">
        <f>IF(I222&gt;0,15,0)</f>
        <v>0</v>
      </c>
      <c r="J228" s="851">
        <f>IF(J222&gt;0,15,0)</f>
        <v>0</v>
      </c>
      <c r="K228" s="851"/>
      <c r="L228" s="1496"/>
      <c r="M228" s="745">
        <f t="shared" si="13"/>
        <v>0</v>
      </c>
      <c r="R228" s="1527"/>
      <c r="S228" s="1527"/>
      <c r="T228" s="1527"/>
      <c r="U228" s="1733"/>
      <c r="V228" s="1734"/>
      <c r="W228" s="681"/>
      <c r="X228" s="681"/>
      <c r="Y228" s="681"/>
      <c r="Z228" s="681"/>
      <c r="AA228" s="681"/>
      <c r="AB228" s="681"/>
      <c r="AC228" s="1788"/>
      <c r="AD228" s="1789"/>
      <c r="AH228" s="1786"/>
    </row>
    <row r="229" spans="1:40" s="813" customFormat="1" ht="21.95" hidden="1" customHeight="1">
      <c r="A229" s="2695"/>
      <c r="B229" s="2582"/>
      <c r="C229" s="2726" t="s">
        <v>1693</v>
      </c>
      <c r="D229" s="2736"/>
      <c r="E229" s="1279"/>
      <c r="F229" s="1442"/>
      <c r="G229" s="1570">
        <f>G223*G224*G222</f>
        <v>0</v>
      </c>
      <c r="H229" s="1570">
        <f>H223*H224*H222</f>
        <v>0</v>
      </c>
      <c r="I229" s="1570">
        <f>I223*I224*I222</f>
        <v>0</v>
      </c>
      <c r="J229" s="1570">
        <f>J223*J224*J222</f>
        <v>0</v>
      </c>
      <c r="K229" s="1570"/>
      <c r="L229" s="1496">
        <f t="shared" ref="L229:L247" si="14">TRUNC(SUM(G229:K229),2)</f>
        <v>0</v>
      </c>
      <c r="M229" s="745">
        <f t="shared" si="13"/>
        <v>0</v>
      </c>
      <c r="R229" s="1527"/>
      <c r="S229" s="1527"/>
      <c r="T229" s="1527"/>
      <c r="U229" s="1733"/>
      <c r="V229" s="1734"/>
      <c r="W229" s="681"/>
      <c r="X229" s="681"/>
      <c r="Y229" s="681"/>
      <c r="Z229" s="681"/>
      <c r="AA229" s="681"/>
      <c r="AB229" s="681"/>
      <c r="AC229" s="1788"/>
      <c r="AD229" s="1789"/>
      <c r="AH229" s="1786"/>
    </row>
    <row r="230" spans="1:40" s="813" customFormat="1" ht="21.95" hidden="1" customHeight="1">
      <c r="A230" s="2695"/>
      <c r="B230" s="2582"/>
      <c r="C230" s="2726" t="s">
        <v>1964</v>
      </c>
      <c r="D230" s="2736"/>
      <c r="E230" s="1279"/>
      <c r="F230" s="1442"/>
      <c r="G230" s="1570">
        <f>G222*G223*G224*(G226+G227)/100</f>
        <v>0</v>
      </c>
      <c r="H230" s="1570">
        <f>H222*H223*H224*(H226+H227)/100</f>
        <v>0</v>
      </c>
      <c r="I230" s="1570">
        <f>I222*I223*I224*(I226+I227)/100</f>
        <v>0</v>
      </c>
      <c r="J230" s="1570">
        <f>J222*J223*J224*(J226+J227)/100</f>
        <v>0</v>
      </c>
      <c r="K230" s="1570"/>
      <c r="L230" s="1720">
        <f t="shared" si="14"/>
        <v>0</v>
      </c>
      <c r="M230" s="745">
        <f t="shared" si="13"/>
        <v>0</v>
      </c>
      <c r="R230" s="1527"/>
      <c r="S230" s="1527"/>
      <c r="T230" s="1527"/>
      <c r="U230" s="1733"/>
      <c r="V230" s="1734"/>
      <c r="W230" s="681"/>
      <c r="X230" s="681"/>
      <c r="Y230" s="681"/>
      <c r="Z230" s="681"/>
      <c r="AA230" s="681"/>
      <c r="AB230" s="681"/>
      <c r="AC230" s="1788"/>
      <c r="AD230" s="1789"/>
      <c r="AH230" s="1786"/>
    </row>
    <row r="231" spans="1:40" s="813" customFormat="1" ht="21.95" hidden="1" customHeight="1">
      <c r="A231" s="2695"/>
      <c r="B231" s="2582"/>
      <c r="C231" s="2726" t="s">
        <v>2089</v>
      </c>
      <c r="D231" s="2736"/>
      <c r="E231" s="1279"/>
      <c r="F231" s="1442"/>
      <c r="G231" s="1570">
        <f>G229</f>
        <v>0</v>
      </c>
      <c r="H231" s="1570">
        <f>H229</f>
        <v>0</v>
      </c>
      <c r="I231" s="1570">
        <f>I229</f>
        <v>0</v>
      </c>
      <c r="J231" s="1570">
        <f>J229</f>
        <v>0</v>
      </c>
      <c r="K231" s="1570"/>
      <c r="L231" s="1720">
        <f t="shared" si="14"/>
        <v>0</v>
      </c>
      <c r="M231" s="745">
        <f t="shared" si="13"/>
        <v>0</v>
      </c>
      <c r="R231" s="1527"/>
      <c r="S231" s="1527"/>
      <c r="T231" s="1527"/>
      <c r="U231" s="1733"/>
      <c r="V231" s="1734"/>
      <c r="W231" s="681"/>
      <c r="X231" s="681"/>
      <c r="Y231" s="681"/>
      <c r="Z231" s="681"/>
      <c r="AA231" s="681"/>
      <c r="AB231" s="681"/>
      <c r="AC231" s="1788"/>
      <c r="AD231" s="1789"/>
      <c r="AH231" s="1786"/>
    </row>
    <row r="232" spans="1:40" s="813" customFormat="1" ht="21.95" hidden="1" customHeight="1">
      <c r="A232" s="2695"/>
      <c r="B232" s="2582"/>
      <c r="C232" s="2726" t="s">
        <v>2675</v>
      </c>
      <c r="D232" s="2736"/>
      <c r="E232" s="1279"/>
      <c r="F232" s="1442"/>
      <c r="G232" s="1570">
        <f>G229*G227/100</f>
        <v>0</v>
      </c>
      <c r="H232" s="1570">
        <f>H229*H227/100</f>
        <v>0</v>
      </c>
      <c r="I232" s="1570">
        <f>I229*I227/100</f>
        <v>0</v>
      </c>
      <c r="J232" s="1570">
        <f>J229*J227/100</f>
        <v>0</v>
      </c>
      <c r="K232" s="1570"/>
      <c r="L232" s="1720">
        <f t="shared" si="14"/>
        <v>0</v>
      </c>
      <c r="M232" s="745">
        <f t="shared" si="13"/>
        <v>0</v>
      </c>
      <c r="N232" s="1137"/>
      <c r="O232" s="1137"/>
      <c r="P232" s="1137"/>
      <c r="Q232" s="1137"/>
      <c r="R232" s="1137"/>
      <c r="S232" s="1137"/>
      <c r="T232" s="1137"/>
      <c r="U232" s="1772"/>
      <c r="V232" s="1771"/>
      <c r="W232" s="1137"/>
      <c r="X232" s="1137"/>
      <c r="Y232" s="1137"/>
      <c r="Z232" s="1137"/>
      <c r="AA232" s="1137"/>
      <c r="AB232" s="1137"/>
      <c r="AC232" s="1772"/>
      <c r="AD232" s="1771"/>
      <c r="AE232" s="1137"/>
      <c r="AF232" s="1137"/>
      <c r="AG232" s="1137"/>
      <c r="AH232" s="1772">
        <v>1</v>
      </c>
      <c r="AI232" s="1137"/>
      <c r="AJ232" s="1137"/>
      <c r="AK232" s="1137"/>
      <c r="AL232" s="1137"/>
      <c r="AM232" s="1137"/>
      <c r="AN232" s="1137"/>
    </row>
    <row r="233" spans="1:40" s="813" customFormat="1" ht="21.95" hidden="1" customHeight="1">
      <c r="A233" s="2695"/>
      <c r="B233" s="2582"/>
      <c r="C233" s="2726" t="s">
        <v>2676</v>
      </c>
      <c r="D233" s="2736"/>
      <c r="E233" s="1279"/>
      <c r="F233" s="1442"/>
      <c r="G233" s="1570">
        <f>((G224+G225)/2*G228/100+(G224*G226/100))*2*G222</f>
        <v>0</v>
      </c>
      <c r="H233" s="1570">
        <f>((H224+H225)/2*H228/100+(H224*H226/100))*2*H222</f>
        <v>0</v>
      </c>
      <c r="I233" s="1570">
        <f>((I224+I225)/2*I228/100+(I224*I226/100))*2*I222</f>
        <v>0</v>
      </c>
      <c r="J233" s="1570">
        <f>((J224+J225)/2*J228/100+(J224*J226/100))*2*J222</f>
        <v>0</v>
      </c>
      <c r="K233" s="1570"/>
      <c r="L233" s="1720">
        <f t="shared" si="14"/>
        <v>0</v>
      </c>
      <c r="M233" s="745">
        <f t="shared" si="13"/>
        <v>0</v>
      </c>
      <c r="N233" s="1137"/>
      <c r="O233" s="1137"/>
      <c r="P233" s="1137"/>
      <c r="Q233" s="1137"/>
      <c r="R233" s="1137"/>
      <c r="S233" s="1137"/>
      <c r="T233" s="1137"/>
      <c r="U233" s="1772"/>
      <c r="V233" s="1771"/>
      <c r="W233" s="1137"/>
      <c r="X233" s="1137"/>
      <c r="Y233" s="1137"/>
      <c r="Z233" s="1137"/>
      <c r="AA233" s="1137"/>
      <c r="AB233" s="1137"/>
      <c r="AC233" s="1772"/>
      <c r="AD233" s="1771"/>
      <c r="AE233" s="1137"/>
      <c r="AF233" s="1137"/>
      <c r="AG233" s="1137"/>
      <c r="AH233" s="1772"/>
      <c r="AI233" s="1137"/>
      <c r="AJ233" s="1137"/>
      <c r="AK233" s="1137"/>
      <c r="AL233" s="1137"/>
      <c r="AM233" s="1137">
        <v>1</v>
      </c>
      <c r="AN233" s="1137"/>
    </row>
    <row r="234" spans="1:40" s="813" customFormat="1" ht="21.95" hidden="1" customHeight="1">
      <c r="A234" s="2695"/>
      <c r="B234" s="2582"/>
      <c r="C234" s="2726" t="s">
        <v>2677</v>
      </c>
      <c r="D234" s="2736"/>
      <c r="E234" s="1279"/>
      <c r="F234" s="1442"/>
      <c r="G234" s="1570">
        <f>((G224+G225)/2*G228/100+(G224*G226/100))*G223*G222</f>
        <v>0</v>
      </c>
      <c r="H234" s="1570">
        <f>((H224+H225)/2*H228/100+(H224*H226/100))*H223*H222</f>
        <v>0</v>
      </c>
      <c r="I234" s="1570">
        <f>((I224+I225)/2*I228/100+(I224*I226/100))*I223*I222</f>
        <v>0</v>
      </c>
      <c r="J234" s="1570">
        <f>((J224+J225)/2*J228/100+(J224*J226/100))*J223*J222</f>
        <v>0</v>
      </c>
      <c r="K234" s="1570"/>
      <c r="L234" s="1720">
        <f t="shared" si="14"/>
        <v>0</v>
      </c>
      <c r="M234" s="745">
        <f t="shared" si="13"/>
        <v>0</v>
      </c>
      <c r="N234" s="1137"/>
      <c r="O234" s="1137"/>
      <c r="P234" s="1137"/>
      <c r="Q234" s="1137">
        <v>1</v>
      </c>
      <c r="R234" s="1137"/>
      <c r="S234" s="1137"/>
      <c r="T234" s="1137"/>
      <c r="U234" s="1772"/>
      <c r="V234" s="1771"/>
      <c r="W234" s="1137"/>
      <c r="X234" s="1137">
        <v>1</v>
      </c>
      <c r="Y234" s="1137"/>
      <c r="Z234" s="1137"/>
      <c r="AA234" s="1137"/>
      <c r="AB234" s="1137"/>
      <c r="AC234" s="1772"/>
      <c r="AD234" s="1771"/>
      <c r="AE234" s="1137"/>
      <c r="AF234" s="1137">
        <v>1</v>
      </c>
      <c r="AG234" s="1137"/>
      <c r="AH234" s="1772"/>
      <c r="AI234" s="1137"/>
      <c r="AJ234" s="1137"/>
      <c r="AK234" s="1137"/>
      <c r="AL234" s="1137"/>
      <c r="AM234" s="1137"/>
      <c r="AN234" s="1137"/>
    </row>
    <row r="235" spans="1:40" s="813" customFormat="1" ht="21.95" hidden="1" customHeight="1">
      <c r="A235" s="2695"/>
      <c r="B235" s="2582"/>
      <c r="C235" s="2726" t="s">
        <v>2678</v>
      </c>
      <c r="D235" s="2736"/>
      <c r="E235" s="1279"/>
      <c r="F235" s="1442"/>
      <c r="G235" s="1570">
        <f>G222*G223*G224*2.2</f>
        <v>0</v>
      </c>
      <c r="H235" s="1570">
        <f>H222*H223*H224*2.2</f>
        <v>0</v>
      </c>
      <c r="I235" s="1570">
        <f>I222*I223*I224*2.2</f>
        <v>0</v>
      </c>
      <c r="J235" s="1570">
        <f>J222*J223*J224*2.2</f>
        <v>0</v>
      </c>
      <c r="K235" s="1570"/>
      <c r="L235" s="1720">
        <f t="shared" si="14"/>
        <v>0</v>
      </c>
      <c r="M235" s="745">
        <f t="shared" si="13"/>
        <v>0</v>
      </c>
      <c r="N235" s="1137"/>
      <c r="O235" s="1137"/>
      <c r="P235" s="1137"/>
      <c r="Q235" s="1137"/>
      <c r="R235" s="1137"/>
      <c r="S235" s="1137"/>
      <c r="T235" s="1137"/>
      <c r="U235" s="1772"/>
      <c r="V235" s="1771"/>
      <c r="W235" s="1137"/>
      <c r="X235" s="1137"/>
      <c r="Y235" s="1137"/>
      <c r="Z235" s="1137"/>
      <c r="AA235" s="1137"/>
      <c r="AB235" s="1137"/>
      <c r="AC235" s="1772"/>
      <c r="AD235" s="1771"/>
      <c r="AE235" s="1137"/>
      <c r="AF235" s="1137"/>
      <c r="AG235" s="1137"/>
      <c r="AH235" s="1772"/>
      <c r="AI235" s="1137">
        <v>1</v>
      </c>
      <c r="AJ235" s="1137"/>
      <c r="AK235" s="1137"/>
      <c r="AL235" s="1137"/>
      <c r="AM235" s="1137"/>
      <c r="AN235" s="1137"/>
    </row>
    <row r="236" spans="1:40" s="813" customFormat="1" ht="21.95" hidden="1" customHeight="1" thickBot="1">
      <c r="A236" s="2695"/>
      <c r="B236" s="2582"/>
      <c r="C236" s="2893" t="s">
        <v>2679</v>
      </c>
      <c r="D236" s="2727"/>
      <c r="E236" s="1279"/>
      <c r="F236" s="749"/>
      <c r="G236" s="1570">
        <f>4*G222</f>
        <v>0</v>
      </c>
      <c r="H236" s="1570">
        <f>4*H222</f>
        <v>0</v>
      </c>
      <c r="I236" s="1570">
        <f>4*I222</f>
        <v>0</v>
      </c>
      <c r="J236" s="1570">
        <f>4*J222</f>
        <v>0</v>
      </c>
      <c r="K236" s="1570"/>
      <c r="L236" s="1720">
        <f t="shared" si="14"/>
        <v>0</v>
      </c>
      <c r="M236" s="745">
        <f t="shared" si="13"/>
        <v>0</v>
      </c>
      <c r="R236" s="1527"/>
      <c r="S236" s="1527"/>
      <c r="T236" s="1527"/>
      <c r="U236" s="681"/>
      <c r="V236" s="681"/>
      <c r="W236" s="681"/>
      <c r="X236" s="681"/>
      <c r="Y236" s="681"/>
      <c r="Z236" s="681"/>
      <c r="AA236" s="681"/>
      <c r="AB236" s="681"/>
    </row>
    <row r="237" spans="1:40" s="813" customFormat="1" ht="21.95" hidden="1" customHeight="1">
      <c r="A237" s="2695"/>
      <c r="B237" s="2633" t="s">
        <v>2680</v>
      </c>
      <c r="C237" s="2889" t="s">
        <v>1843</v>
      </c>
      <c r="D237" s="2890"/>
      <c r="E237" s="1273"/>
      <c r="F237" s="760"/>
      <c r="G237" s="1293">
        <f>G230*1.25</f>
        <v>0</v>
      </c>
      <c r="H237" s="1293">
        <f>H230*1.25</f>
        <v>0</v>
      </c>
      <c r="I237" s="1293">
        <f>I230*1.25</f>
        <v>0</v>
      </c>
      <c r="J237" s="1293">
        <f>J230*1.25</f>
        <v>0</v>
      </c>
      <c r="K237" s="1293"/>
      <c r="L237" s="1790">
        <f t="shared" si="14"/>
        <v>0</v>
      </c>
      <c r="M237" s="745">
        <f t="shared" si="13"/>
        <v>0</v>
      </c>
      <c r="R237" s="1527"/>
      <c r="S237" s="1527"/>
      <c r="T237" s="1527"/>
      <c r="U237" s="681"/>
      <c r="V237" s="681"/>
      <c r="W237" s="681"/>
      <c r="X237" s="681"/>
      <c r="Y237" s="681"/>
      <c r="Z237" s="681"/>
      <c r="AA237" s="681"/>
      <c r="AB237" s="681"/>
    </row>
    <row r="238" spans="1:40" s="813" customFormat="1" ht="21.95" hidden="1" customHeight="1">
      <c r="A238" s="2695"/>
      <c r="B238" s="2634"/>
      <c r="C238" s="2886" t="s">
        <v>1844</v>
      </c>
      <c r="D238" s="2887"/>
      <c r="E238" s="1279"/>
      <c r="F238" s="749"/>
      <c r="G238" s="922">
        <f>G176</f>
        <v>0</v>
      </c>
      <c r="H238" s="922">
        <f>H176</f>
        <v>0</v>
      </c>
      <c r="I238" s="922">
        <f>I176</f>
        <v>0</v>
      </c>
      <c r="J238" s="922">
        <f>J176</f>
        <v>0</v>
      </c>
      <c r="K238" s="922"/>
      <c r="L238" s="1720">
        <f t="shared" si="14"/>
        <v>0</v>
      </c>
      <c r="M238" s="745">
        <f t="shared" si="13"/>
        <v>0</v>
      </c>
      <c r="R238" s="1527"/>
      <c r="S238" s="1527"/>
      <c r="T238" s="1527"/>
      <c r="U238" s="681"/>
      <c r="V238" s="681"/>
      <c r="W238" s="681"/>
      <c r="X238" s="681"/>
      <c r="Y238" s="681"/>
      <c r="Z238" s="681"/>
      <c r="AA238" s="681"/>
      <c r="AB238" s="681"/>
    </row>
    <row r="239" spans="1:40" s="813" customFormat="1" ht="21.95" hidden="1" customHeight="1">
      <c r="A239" s="2695"/>
      <c r="B239" s="2634"/>
      <c r="C239" s="2884" t="s">
        <v>2681</v>
      </c>
      <c r="D239" s="2885"/>
      <c r="E239" s="1279"/>
      <c r="F239" s="749"/>
      <c r="G239" s="908">
        <f>(G157+G156)*0.4*0.02*2.4</f>
        <v>0</v>
      </c>
      <c r="H239" s="908">
        <f>(H157+H156)*0.4*0.02*2.4</f>
        <v>0</v>
      </c>
      <c r="I239" s="908">
        <f>(I157+I156)*0.4*0.02*2.4</f>
        <v>0</v>
      </c>
      <c r="J239" s="908">
        <f>(J157+J156)*0.4*0.02*2.4</f>
        <v>0</v>
      </c>
      <c r="K239" s="908"/>
      <c r="L239" s="1720">
        <f t="shared" si="14"/>
        <v>0</v>
      </c>
      <c r="M239" s="745">
        <f t="shared" si="13"/>
        <v>0</v>
      </c>
      <c r="R239" s="1527"/>
      <c r="S239" s="1527"/>
      <c r="T239" s="1527"/>
      <c r="U239" s="681"/>
      <c r="V239" s="681"/>
      <c r="W239" s="681"/>
      <c r="X239" s="681"/>
      <c r="Y239" s="681"/>
      <c r="Z239" s="681"/>
      <c r="AA239" s="681"/>
      <c r="AB239" s="681"/>
    </row>
    <row r="240" spans="1:40" s="813" customFormat="1" ht="21.95" hidden="1" customHeight="1">
      <c r="A240" s="2695"/>
      <c r="B240" s="2634"/>
      <c r="C240" s="2884" t="s">
        <v>2682</v>
      </c>
      <c r="D240" s="2885"/>
      <c r="E240" s="1279"/>
      <c r="F240" s="749"/>
      <c r="G240" s="922">
        <f>(G200*3.5+G201*5.8+G202*9+G203*12+G204*15+G205*18+G206*45.4)/1000</f>
        <v>0</v>
      </c>
      <c r="H240" s="922">
        <f>(H200*3.5+H201*5.8+H202*9+H203*12+H204*15+H205*18+H206*45.4)/1000</f>
        <v>0</v>
      </c>
      <c r="I240" s="922">
        <f>(I200*3.5+I201*5.8+I202*9+I203*12+I204*15+I205*18+I206*45.4)/1000</f>
        <v>0</v>
      </c>
      <c r="J240" s="922">
        <f>(J200*3.5+J201*5.8+J202*9+J203*12+J204*15+J205*18+J206*45.4)/1000</f>
        <v>0</v>
      </c>
      <c r="K240" s="922"/>
      <c r="L240" s="1720">
        <f t="shared" si="14"/>
        <v>0</v>
      </c>
      <c r="M240" s="745">
        <f t="shared" si="13"/>
        <v>0</v>
      </c>
      <c r="R240" s="1527"/>
      <c r="S240" s="1527"/>
      <c r="T240" s="1527"/>
      <c r="U240" s="681"/>
      <c r="V240" s="681"/>
      <c r="W240" s="681"/>
      <c r="X240" s="681"/>
      <c r="Y240" s="681"/>
      <c r="Z240" s="681"/>
      <c r="AA240" s="681"/>
      <c r="AB240" s="681"/>
    </row>
    <row r="241" spans="1:28" s="813" customFormat="1" ht="21.95" hidden="1" customHeight="1">
      <c r="A241" s="2695"/>
      <c r="B241" s="2634"/>
      <c r="C241" s="2884" t="s">
        <v>1847</v>
      </c>
      <c r="D241" s="2885"/>
      <c r="E241" s="1279"/>
      <c r="F241" s="749"/>
      <c r="G241" s="922">
        <f>($N$152*(G208*$N$208)+$O$152*(G164*$O$164+G168*$O$168)+$P$152*G234*$O$234+$Q$152*G199*$Q$199+$R$152*(G156*$R$156+G157*$R$157+G211*$R$211)+$S$152*SUMPRODUCT(G200:G206,$S$200:$S$206)+$T$152*G209*$T$209+$U$152*G210*$U$210)/1000</f>
        <v>0</v>
      </c>
      <c r="H241" s="922">
        <f>($N$152*(H208*$N$208)+$O$152*(H164*$O$164+H168*$O$168)+$P$152*H234*$O$234+$Q$152*H199*$Q$199+$R$152*(H156*$R$156+H157*$R$157+H211*$R$211)+$S$152*SUMPRODUCT(H200:H206,$S$200:$S$206)+$T$152*H209*$T$209+$U$152*H210*$U$210)/1000</f>
        <v>0</v>
      </c>
      <c r="I241" s="922">
        <f>($N$152*(I208*$N$208)+$O$152*(I164*$O$164+I168*$O$168)+$P$152*I234*$O$234+$Q$152*I199*$Q$199+$R$152*(I156*$R$156+I157*$R$157+I211*$R$211)+$S$152*SUMPRODUCT(I200:I206,$S$200:$S$206)+$T$152*I209*$T$209+$U$152*I210*$U$210)/1000</f>
        <v>0</v>
      </c>
      <c r="J241" s="922">
        <f>($N$152*(J208*$N$208)+$O$152*(J164*$O$164+J168*$O$168)+$P$152*J234*$O$234+$Q$152*J199*$Q$199+$R$152*(J156*$R$156+J157*$R$157+J211*$R$211)+$S$152*SUMPRODUCT(J200:J206,$S$200:$S$206)+$T$152*J209*$T$209+$U$152*J210*$U$210)/1000</f>
        <v>0</v>
      </c>
      <c r="K241" s="922"/>
      <c r="L241" s="1720">
        <f t="shared" si="14"/>
        <v>0</v>
      </c>
      <c r="M241" s="745">
        <f t="shared" si="13"/>
        <v>0</v>
      </c>
      <c r="R241" s="1527"/>
      <c r="S241" s="1527"/>
      <c r="T241" s="1527"/>
      <c r="U241" s="681"/>
      <c r="V241" s="681"/>
      <c r="W241" s="681"/>
      <c r="X241" s="681"/>
      <c r="Y241" s="681"/>
      <c r="Z241" s="681"/>
      <c r="AA241" s="681"/>
      <c r="AB241" s="681"/>
    </row>
    <row r="242" spans="1:28" s="813" customFormat="1" ht="21.95" hidden="1" customHeight="1">
      <c r="A242" s="2695"/>
      <c r="B242" s="2634"/>
      <c r="C242" s="2884" t="s">
        <v>1906</v>
      </c>
      <c r="D242" s="2885"/>
      <c r="E242" s="1279"/>
      <c r="F242" s="749"/>
      <c r="G242" s="922">
        <f>$V$152*G208*$V208+$W$152*(G164*$W164+G168*$W168)+$Y$152*G199*$Y199+$Z$152*(G156*$Z156+G157*$Z157+G211*$Z211)+$AA$152*SUMPRODUCT(G200:G206,$AA200:$AA206)+$AB$152*G209*$AB209+$AC$152*G210*AI$210+G234*AD$234*$X$152</f>
        <v>0</v>
      </c>
      <c r="H242" s="922">
        <f>$V$152*H208*$V208+$W$152*(H164*$W164+H168*$W168)+$Y$152*H199*$Y199+$Z$152*(H156*$Z156+H157*$Z157+H211*$Z211)+$AA$152*SUMPRODUCT(H200:H206,$AA200:$AA206)+$AB$152*H209*$AB209+$AC$152*H210*AJ$210+H234*AE$234*$X$152</f>
        <v>0</v>
      </c>
      <c r="I242" s="922">
        <f>$V$152*I208*$V208+$W$152*(I164*$W164+I168*$W168)+$Y$152*I199*$Y199+$Z$152*(I156*$Z156+I157*$Z157+I211*$Z211)+$AA$152*SUMPRODUCT(I200:I206,$AA200:$AA206)+$AB$152*I209*$AB209+$AC$152*I210*AK$210+I234*AF$234*$X$152</f>
        <v>0</v>
      </c>
      <c r="J242" s="922">
        <f>$V$152*J208*$V208+$W$152*(J164*$W164+J168*$W168)+$Y$152*J199*$Y199+$Z$152*(J156*$Z156+J157*$Z157+J211*$Z211)+$AA$152*SUMPRODUCT(J200:J206,$AA200:$AA206)+$AB$152*J209*$AB209+$AC$152*J210*AL$210+J234*AG$234*$X$152</f>
        <v>0</v>
      </c>
      <c r="K242" s="922"/>
      <c r="L242" s="1720">
        <f t="shared" si="14"/>
        <v>0</v>
      </c>
      <c r="M242" s="745">
        <f t="shared" si="13"/>
        <v>0</v>
      </c>
      <c r="R242" s="1527"/>
      <c r="S242" s="1527"/>
      <c r="T242" s="1527"/>
      <c r="U242" s="681"/>
      <c r="V242" s="681"/>
      <c r="W242" s="681"/>
      <c r="X242" s="681"/>
      <c r="Y242" s="681"/>
      <c r="Z242" s="681"/>
      <c r="AA242" s="681"/>
      <c r="AB242" s="681"/>
    </row>
    <row r="243" spans="1:28" s="813" customFormat="1" ht="21.95" hidden="1" customHeight="1">
      <c r="A243" s="2695"/>
      <c r="B243" s="2634"/>
      <c r="C243" s="2884" t="s">
        <v>1907</v>
      </c>
      <c r="D243" s="2885"/>
      <c r="E243" s="1279"/>
      <c r="F243" s="749"/>
      <c r="G243" s="922">
        <f>$AD$152*G208*$AD208+$AE$152*(G164*$AE164+G168*$AE168)+$AF$152*G234*$AF234+$AG$152*G199*$AG199+$AH$152*(G166*$AH166+G232*$AH232)</f>
        <v>0</v>
      </c>
      <c r="H243" s="922">
        <f>$AD$152*H208*$AD208+$AE$152*(H164*$AE164+H168*$AE168)+$AF$152*H234*$AF234+$AG$152*H199*$AG199+$AH$152*(H166*$AH166+H232*$AH232)</f>
        <v>0</v>
      </c>
      <c r="I243" s="922">
        <f>$AD$152*I208*$AD208+$AE$152*(I164*$AE164+I168*$AE168)+$AF$152*I234*$AF234+$AG$152*I199*$AG199+$AH$152*(I166*$AH166+I232*$AH232)</f>
        <v>0</v>
      </c>
      <c r="J243" s="922">
        <f>$AD$152*J208*$AD208+$AE$152*(J164*$AE164+J168*$AE168)+$AF$152*J234*$AF234+$AG$152*J199*$AG199+$AH$152*(J166*$AH166+J232*$AH232)</f>
        <v>0</v>
      </c>
      <c r="K243" s="922"/>
      <c r="L243" s="1720">
        <f t="shared" si="14"/>
        <v>0</v>
      </c>
      <c r="M243" s="745">
        <f t="shared" si="13"/>
        <v>0</v>
      </c>
      <c r="R243" s="1527"/>
      <c r="S243" s="1527"/>
      <c r="T243" s="1527"/>
      <c r="U243" s="681"/>
      <c r="V243" s="681"/>
      <c r="W243" s="681"/>
      <c r="X243" s="681"/>
      <c r="Y243" s="681"/>
      <c r="Z243" s="681"/>
      <c r="AA243" s="681"/>
      <c r="AB243" s="681"/>
    </row>
    <row r="244" spans="1:28" s="813" customFormat="1" ht="21.95" hidden="1" customHeight="1">
      <c r="A244" s="2695"/>
      <c r="B244" s="2634"/>
      <c r="C244" s="2884" t="s">
        <v>1926</v>
      </c>
      <c r="D244" s="2885"/>
      <c r="E244" s="1279"/>
      <c r="F244" s="749"/>
      <c r="G244" s="922">
        <f>($AI$152*(G169*$AI169+G235*$AI235)+$AJ$152*G199*$AJ199)/1000</f>
        <v>0</v>
      </c>
      <c r="H244" s="922">
        <f>($AI$152*(H169*$AI169+H235*$AI235)+$AJ$152*H199*$AJ199)/1000</f>
        <v>0</v>
      </c>
      <c r="I244" s="922">
        <f>($AI$152*(I169*$AI169+I235*$AI235)+$AJ$152*I199*$AJ199)/1000</f>
        <v>0</v>
      </c>
      <c r="J244" s="922">
        <f>($AI$152*(J169*$AI169+J235*$AI235)+$AJ$152*J199*$AJ199)/1000</f>
        <v>0</v>
      </c>
      <c r="K244" s="922"/>
      <c r="L244" s="1720">
        <f t="shared" si="14"/>
        <v>0</v>
      </c>
      <c r="M244" s="745">
        <f t="shared" si="13"/>
        <v>0</v>
      </c>
      <c r="R244" s="1527"/>
      <c r="S244" s="1527"/>
      <c r="T244" s="1527"/>
      <c r="U244" s="681"/>
      <c r="V244" s="681"/>
      <c r="W244" s="681"/>
      <c r="X244" s="681"/>
      <c r="Y244" s="681"/>
      <c r="Z244" s="681"/>
      <c r="AA244" s="681"/>
      <c r="AB244" s="681"/>
    </row>
    <row r="245" spans="1:28" s="813" customFormat="1" ht="21.95" hidden="1" customHeight="1">
      <c r="A245" s="2695"/>
      <c r="B245" s="2634"/>
      <c r="C245" s="2884" t="s">
        <v>1929</v>
      </c>
      <c r="D245" s="2885"/>
      <c r="E245" s="1279"/>
      <c r="F245" s="749"/>
      <c r="G245" s="922">
        <f>$AK$152*G209*$AK209</f>
        <v>0</v>
      </c>
      <c r="H245" s="922">
        <f>$AK$152*H209*$AK209</f>
        <v>0</v>
      </c>
      <c r="I245" s="922">
        <f>$AK$152*I209*$AK209</f>
        <v>0</v>
      </c>
      <c r="J245" s="922">
        <f>$AK$152*J209*$AK209</f>
        <v>0</v>
      </c>
      <c r="K245" s="922"/>
      <c r="L245" s="1720">
        <f t="shared" si="14"/>
        <v>0</v>
      </c>
      <c r="M245" s="745">
        <f t="shared" si="13"/>
        <v>0</v>
      </c>
      <c r="R245" s="1527"/>
      <c r="S245" s="1527"/>
      <c r="T245" s="1527"/>
      <c r="U245" s="681"/>
      <c r="V245" s="681"/>
      <c r="W245" s="681"/>
      <c r="X245" s="681"/>
      <c r="Y245" s="681"/>
      <c r="Z245" s="681"/>
      <c r="AA245" s="681"/>
      <c r="AB245" s="681"/>
    </row>
    <row r="246" spans="1:28" s="813" customFormat="1" ht="21.95" hidden="1" customHeight="1">
      <c r="A246" s="2695"/>
      <c r="B246" s="2634"/>
      <c r="C246" s="2884" t="s">
        <v>2683</v>
      </c>
      <c r="D246" s="2885"/>
      <c r="E246" s="1279"/>
      <c r="F246" s="749"/>
      <c r="G246" s="922">
        <f>$AL$152*(G164*$AL164+G168*$AL168+G199*$AL199)+$AM$152*G233*$AM233</f>
        <v>0</v>
      </c>
      <c r="H246" s="922">
        <f>$AL$152*(H164*$AL164+H168*$AL168+H199*$AL199)+$AM$152*H233*$AM233</f>
        <v>0</v>
      </c>
      <c r="I246" s="922">
        <f>$AL$152*(I164*$AL164+I168*$AL168+I199*$AL199)+$AM$152*I233*$AM233</f>
        <v>0</v>
      </c>
      <c r="J246" s="922">
        <f>$AL$152*(J164*$AL164+J168*$AL168+J199*$AL199)+$AM$152*J233*$AM233</f>
        <v>0</v>
      </c>
      <c r="K246" s="922"/>
      <c r="L246" s="1720">
        <f t="shared" si="14"/>
        <v>0</v>
      </c>
      <c r="M246" s="745">
        <f t="shared" si="13"/>
        <v>0</v>
      </c>
      <c r="R246" s="1527"/>
      <c r="S246" s="1527"/>
      <c r="T246" s="1527"/>
      <c r="U246" s="681"/>
      <c r="V246" s="681"/>
      <c r="W246" s="681"/>
      <c r="X246" s="681"/>
      <c r="Y246" s="681"/>
      <c r="Z246" s="681"/>
      <c r="AA246" s="681"/>
      <c r="AB246" s="681"/>
    </row>
    <row r="247" spans="1:28" s="813" customFormat="1" ht="21.95" hidden="1" customHeight="1" thickBot="1">
      <c r="A247" s="2695"/>
      <c r="B247" s="2635"/>
      <c r="C247" s="2891" t="s">
        <v>2684</v>
      </c>
      <c r="D247" s="2892"/>
      <c r="E247" s="1283"/>
      <c r="F247" s="756"/>
      <c r="G247" s="1305">
        <f>($AN$152*(G168*$AN168+G209*$AN209))/1000</f>
        <v>0</v>
      </c>
      <c r="H247" s="1305">
        <f>($AN$152*(H168*$AN168+H209*$AN209))/1000</f>
        <v>0</v>
      </c>
      <c r="I247" s="1305">
        <f>($AN$152*(I168*$AN168+I209*$AN209))/1000</f>
        <v>0</v>
      </c>
      <c r="J247" s="1305">
        <f>($AN$152*(J168*$AN168+J209*$AN209))/1000</f>
        <v>0</v>
      </c>
      <c r="K247" s="1305"/>
      <c r="L247" s="1707">
        <f t="shared" si="14"/>
        <v>0</v>
      </c>
      <c r="M247" s="745">
        <f t="shared" si="13"/>
        <v>0</v>
      </c>
      <c r="R247" s="1527"/>
      <c r="S247" s="1527"/>
      <c r="T247" s="1527"/>
      <c r="U247" s="681"/>
      <c r="V247" s="681"/>
      <c r="W247" s="681"/>
      <c r="X247" s="681"/>
      <c r="Y247" s="681"/>
      <c r="Z247" s="681"/>
      <c r="AA247" s="681"/>
      <c r="AB247" s="681"/>
    </row>
    <row r="248" spans="1:28" s="813" customFormat="1" ht="21.95" hidden="1" customHeight="1">
      <c r="A248" s="2695"/>
      <c r="B248" s="2633" t="s">
        <v>2685</v>
      </c>
      <c r="C248" s="2884" t="s">
        <v>1843</v>
      </c>
      <c r="D248" s="2885"/>
      <c r="E248" s="1279"/>
      <c r="F248" s="749"/>
      <c r="G248" s="922">
        <f t="shared" ref="G248:J258" si="15">G237</f>
        <v>0</v>
      </c>
      <c r="H248" s="922">
        <f t="shared" si="15"/>
        <v>0</v>
      </c>
      <c r="I248" s="922">
        <f t="shared" si="15"/>
        <v>0</v>
      </c>
      <c r="J248" s="922">
        <f t="shared" si="15"/>
        <v>0</v>
      </c>
      <c r="K248" s="922"/>
      <c r="L248" s="1720"/>
      <c r="M248" s="745"/>
      <c r="R248" s="1527"/>
      <c r="S248" s="1527"/>
      <c r="T248" s="1527"/>
      <c r="U248" s="681"/>
      <c r="V248" s="681"/>
      <c r="W248" s="681"/>
      <c r="X248" s="681"/>
      <c r="Y248" s="681"/>
      <c r="Z248" s="681"/>
      <c r="AA248" s="681"/>
      <c r="AB248" s="681"/>
    </row>
    <row r="249" spans="1:28" s="813" customFormat="1" ht="21.95" hidden="1" customHeight="1">
      <c r="A249" s="2695"/>
      <c r="B249" s="2634"/>
      <c r="C249" s="2884" t="s">
        <v>1844</v>
      </c>
      <c r="D249" s="2885"/>
      <c r="E249" s="1279"/>
      <c r="F249" s="749"/>
      <c r="G249" s="922">
        <f t="shared" si="15"/>
        <v>0</v>
      </c>
      <c r="H249" s="922">
        <f t="shared" si="15"/>
        <v>0</v>
      </c>
      <c r="I249" s="922">
        <f t="shared" si="15"/>
        <v>0</v>
      </c>
      <c r="J249" s="922">
        <f t="shared" si="15"/>
        <v>0</v>
      </c>
      <c r="K249" s="922"/>
      <c r="L249" s="1720"/>
      <c r="M249" s="745"/>
      <c r="R249" s="1527"/>
      <c r="S249" s="1527"/>
      <c r="T249" s="1527"/>
      <c r="U249" s="681"/>
      <c r="V249" s="681"/>
      <c r="W249" s="681"/>
      <c r="X249" s="681"/>
      <c r="Y249" s="681"/>
      <c r="Z249" s="681"/>
      <c r="AA249" s="681"/>
      <c r="AB249" s="681"/>
    </row>
    <row r="250" spans="1:28" s="813" customFormat="1" ht="21.95" hidden="1" customHeight="1">
      <c r="A250" s="2695"/>
      <c r="B250" s="2634"/>
      <c r="C250" s="2884" t="s">
        <v>2681</v>
      </c>
      <c r="D250" s="2885"/>
      <c r="E250" s="1279"/>
      <c r="F250" s="749"/>
      <c r="G250" s="922">
        <f t="shared" si="15"/>
        <v>0</v>
      </c>
      <c r="H250" s="922">
        <f t="shared" si="15"/>
        <v>0</v>
      </c>
      <c r="I250" s="922">
        <f t="shared" si="15"/>
        <v>0</v>
      </c>
      <c r="J250" s="922">
        <f t="shared" si="15"/>
        <v>0</v>
      </c>
      <c r="K250" s="922"/>
      <c r="L250" s="1720"/>
      <c r="M250" s="745"/>
      <c r="R250" s="1527"/>
      <c r="S250" s="1527"/>
      <c r="T250" s="1527"/>
      <c r="U250" s="681"/>
      <c r="V250" s="681"/>
      <c r="W250" s="681"/>
      <c r="X250" s="681"/>
      <c r="Y250" s="681"/>
      <c r="Z250" s="681"/>
      <c r="AA250" s="681"/>
      <c r="AB250" s="681"/>
    </row>
    <row r="251" spans="1:28" s="813" customFormat="1" ht="21.95" hidden="1" customHeight="1">
      <c r="A251" s="2695"/>
      <c r="B251" s="2634"/>
      <c r="C251" s="2884" t="s">
        <v>2682</v>
      </c>
      <c r="D251" s="2885"/>
      <c r="E251" s="1279"/>
      <c r="F251" s="749"/>
      <c r="G251" s="922">
        <f t="shared" si="15"/>
        <v>0</v>
      </c>
      <c r="H251" s="922">
        <f t="shared" si="15"/>
        <v>0</v>
      </c>
      <c r="I251" s="922">
        <f t="shared" si="15"/>
        <v>0</v>
      </c>
      <c r="J251" s="922">
        <f t="shared" si="15"/>
        <v>0</v>
      </c>
      <c r="K251" s="922"/>
      <c r="L251" s="1720"/>
      <c r="M251" s="745"/>
      <c r="R251" s="1527"/>
      <c r="S251" s="1527"/>
      <c r="T251" s="1527"/>
      <c r="U251" s="681"/>
      <c r="V251" s="681"/>
      <c r="W251" s="681"/>
      <c r="X251" s="681"/>
      <c r="Y251" s="681"/>
      <c r="Z251" s="681"/>
      <c r="AA251" s="681"/>
      <c r="AB251" s="681"/>
    </row>
    <row r="252" spans="1:28" s="813" customFormat="1" ht="21.95" hidden="1" customHeight="1">
      <c r="A252" s="2695"/>
      <c r="B252" s="2634"/>
      <c r="C252" s="2884" t="s">
        <v>1847</v>
      </c>
      <c r="D252" s="2885"/>
      <c r="E252" s="1279"/>
      <c r="F252" s="749"/>
      <c r="G252" s="922">
        <f t="shared" si="15"/>
        <v>0</v>
      </c>
      <c r="H252" s="922">
        <f t="shared" si="15"/>
        <v>0</v>
      </c>
      <c r="I252" s="922">
        <f t="shared" si="15"/>
        <v>0</v>
      </c>
      <c r="J252" s="922">
        <f t="shared" si="15"/>
        <v>0</v>
      </c>
      <c r="K252" s="922"/>
      <c r="L252" s="1720"/>
      <c r="M252" s="745"/>
      <c r="R252" s="1527"/>
      <c r="S252" s="1527"/>
      <c r="T252" s="1527"/>
      <c r="U252" s="681"/>
      <c r="V252" s="681"/>
      <c r="W252" s="681"/>
      <c r="X252" s="681"/>
      <c r="Y252" s="681"/>
      <c r="Z252" s="681"/>
      <c r="AA252" s="681"/>
      <c r="AB252" s="681"/>
    </row>
    <row r="253" spans="1:28" s="813" customFormat="1" ht="21.95" hidden="1" customHeight="1">
      <c r="A253" s="2695"/>
      <c r="B253" s="2634"/>
      <c r="C253" s="2884" t="s">
        <v>1906</v>
      </c>
      <c r="D253" s="2885"/>
      <c r="E253" s="1279"/>
      <c r="F253" s="749"/>
      <c r="G253" s="922">
        <f t="shared" si="15"/>
        <v>0</v>
      </c>
      <c r="H253" s="922">
        <f t="shared" si="15"/>
        <v>0</v>
      </c>
      <c r="I253" s="922">
        <f t="shared" si="15"/>
        <v>0</v>
      </c>
      <c r="J253" s="922">
        <f t="shared" si="15"/>
        <v>0</v>
      </c>
      <c r="K253" s="922"/>
      <c r="L253" s="1720"/>
      <c r="M253" s="745"/>
      <c r="R253" s="1527"/>
      <c r="S253" s="1527"/>
      <c r="T253" s="1527"/>
      <c r="U253" s="681"/>
      <c r="V253" s="681"/>
      <c r="W253" s="681"/>
      <c r="X253" s="681"/>
      <c r="Y253" s="681"/>
      <c r="Z253" s="681"/>
      <c r="AA253" s="681"/>
      <c r="AB253" s="681"/>
    </row>
    <row r="254" spans="1:28" s="813" customFormat="1" ht="21.95" hidden="1" customHeight="1">
      <c r="A254" s="2695"/>
      <c r="B254" s="2634"/>
      <c r="C254" s="2884" t="s">
        <v>1907</v>
      </c>
      <c r="D254" s="2885"/>
      <c r="E254" s="1279"/>
      <c r="F254" s="749"/>
      <c r="G254" s="922">
        <f t="shared" si="15"/>
        <v>0</v>
      </c>
      <c r="H254" s="922">
        <f t="shared" si="15"/>
        <v>0</v>
      </c>
      <c r="I254" s="922">
        <f t="shared" si="15"/>
        <v>0</v>
      </c>
      <c r="J254" s="922">
        <f t="shared" si="15"/>
        <v>0</v>
      </c>
      <c r="K254" s="922"/>
      <c r="L254" s="1720"/>
      <c r="M254" s="745"/>
      <c r="R254" s="1527"/>
      <c r="S254" s="1527"/>
      <c r="T254" s="1527"/>
      <c r="U254" s="681"/>
      <c r="V254" s="681"/>
      <c r="W254" s="681"/>
      <c r="X254" s="681"/>
      <c r="Y254" s="681"/>
      <c r="Z254" s="681"/>
      <c r="AA254" s="681"/>
      <c r="AB254" s="681"/>
    </row>
    <row r="255" spans="1:28" s="813" customFormat="1" ht="21.95" hidden="1" customHeight="1">
      <c r="A255" s="2695"/>
      <c r="B255" s="2634"/>
      <c r="C255" s="2884" t="s">
        <v>1926</v>
      </c>
      <c r="D255" s="2885"/>
      <c r="E255" s="1279"/>
      <c r="F255" s="749"/>
      <c r="G255" s="922">
        <f t="shared" si="15"/>
        <v>0</v>
      </c>
      <c r="H255" s="922">
        <f t="shared" si="15"/>
        <v>0</v>
      </c>
      <c r="I255" s="922">
        <f t="shared" si="15"/>
        <v>0</v>
      </c>
      <c r="J255" s="922">
        <f t="shared" si="15"/>
        <v>0</v>
      </c>
      <c r="K255" s="922"/>
      <c r="L255" s="1720"/>
      <c r="M255" s="745"/>
      <c r="R255" s="1527"/>
      <c r="S255" s="1527"/>
      <c r="T255" s="1527"/>
      <c r="U255" s="681"/>
      <c r="V255" s="681"/>
      <c r="W255" s="681"/>
      <c r="X255" s="681"/>
      <c r="Y255" s="681"/>
      <c r="Z255" s="681"/>
      <c r="AA255" s="681"/>
      <c r="AB255" s="681"/>
    </row>
    <row r="256" spans="1:28" s="813" customFormat="1" ht="21.95" hidden="1" customHeight="1">
      <c r="A256" s="2695"/>
      <c r="B256" s="2634"/>
      <c r="C256" s="2884" t="s">
        <v>1929</v>
      </c>
      <c r="D256" s="2885"/>
      <c r="E256" s="1279"/>
      <c r="F256" s="749"/>
      <c r="G256" s="922">
        <f t="shared" si="15"/>
        <v>0</v>
      </c>
      <c r="H256" s="922">
        <f t="shared" si="15"/>
        <v>0</v>
      </c>
      <c r="I256" s="922">
        <f t="shared" si="15"/>
        <v>0</v>
      </c>
      <c r="J256" s="922">
        <f t="shared" si="15"/>
        <v>0</v>
      </c>
      <c r="K256" s="922"/>
      <c r="L256" s="1720"/>
      <c r="M256" s="745"/>
      <c r="R256" s="1527"/>
      <c r="S256" s="1527"/>
      <c r="T256" s="1527"/>
      <c r="U256" s="681"/>
      <c r="V256" s="681"/>
      <c r="W256" s="681"/>
      <c r="X256" s="681"/>
      <c r="Y256" s="681"/>
      <c r="Z256" s="681"/>
      <c r="AA256" s="681"/>
      <c r="AB256" s="681"/>
    </row>
    <row r="257" spans="1:28" s="813" customFormat="1" ht="21.95" hidden="1" customHeight="1">
      <c r="A257" s="2695"/>
      <c r="B257" s="2634"/>
      <c r="C257" s="2884" t="s">
        <v>2683</v>
      </c>
      <c r="D257" s="2885"/>
      <c r="E257" s="1279"/>
      <c r="F257" s="749"/>
      <c r="G257" s="922">
        <f t="shared" si="15"/>
        <v>0</v>
      </c>
      <c r="H257" s="922">
        <f t="shared" si="15"/>
        <v>0</v>
      </c>
      <c r="I257" s="922">
        <f t="shared" si="15"/>
        <v>0</v>
      </c>
      <c r="J257" s="922">
        <f t="shared" si="15"/>
        <v>0</v>
      </c>
      <c r="K257" s="922"/>
      <c r="L257" s="1720"/>
      <c r="M257" s="745"/>
      <c r="R257" s="1527"/>
      <c r="S257" s="1527"/>
      <c r="T257" s="1527"/>
      <c r="U257" s="681"/>
      <c r="V257" s="681"/>
      <c r="W257" s="681"/>
      <c r="X257" s="681"/>
      <c r="Y257" s="681"/>
      <c r="Z257" s="681"/>
      <c r="AA257" s="681"/>
      <c r="AB257" s="681"/>
    </row>
    <row r="258" spans="1:28" s="813" customFormat="1" ht="21.95" hidden="1" customHeight="1" thickBot="1">
      <c r="A258" s="2695"/>
      <c r="B258" s="2634"/>
      <c r="C258" s="2886" t="s">
        <v>2684</v>
      </c>
      <c r="D258" s="2887"/>
      <c r="E258" s="1279"/>
      <c r="F258" s="749"/>
      <c r="G258" s="922">
        <f t="shared" si="15"/>
        <v>0</v>
      </c>
      <c r="H258" s="922">
        <f t="shared" si="15"/>
        <v>0</v>
      </c>
      <c r="I258" s="922">
        <f t="shared" si="15"/>
        <v>0</v>
      </c>
      <c r="J258" s="922">
        <f t="shared" si="15"/>
        <v>0</v>
      </c>
      <c r="K258" s="922"/>
      <c r="L258" s="1720"/>
      <c r="M258" s="745"/>
      <c r="R258" s="1527"/>
      <c r="S258" s="1527"/>
      <c r="T258" s="1527"/>
      <c r="U258" s="681"/>
      <c r="V258" s="681"/>
      <c r="W258" s="681"/>
      <c r="X258" s="681"/>
      <c r="Y258" s="681"/>
      <c r="Z258" s="681"/>
      <c r="AA258" s="681"/>
      <c r="AB258" s="681"/>
    </row>
    <row r="259" spans="1:28" s="710" customFormat="1" ht="60" customHeight="1" thickBot="1">
      <c r="A259" s="2696"/>
      <c r="B259" s="2859" t="s">
        <v>1400</v>
      </c>
      <c r="C259" s="2888"/>
      <c r="D259" s="2860"/>
      <c r="E259" s="1637"/>
      <c r="F259" s="1791"/>
      <c r="G259" s="1792"/>
      <c r="H259" s="1792"/>
      <c r="I259" s="1792"/>
      <c r="J259" s="1792"/>
      <c r="K259" s="1792"/>
      <c r="L259" s="1793"/>
      <c r="M259" s="794">
        <v>1</v>
      </c>
      <c r="R259" s="1527"/>
      <c r="S259" s="1527"/>
      <c r="T259" s="1527"/>
      <c r="U259" s="1527"/>
      <c r="V259" s="1527"/>
      <c r="W259" s="1527"/>
      <c r="X259" s="1527"/>
      <c r="Y259" s="1527"/>
      <c r="Z259" s="1527"/>
      <c r="AA259" s="1527"/>
      <c r="AB259" s="1527"/>
    </row>
    <row r="260" spans="1:28" ht="19.5" thickTop="1">
      <c r="R260" s="1527"/>
      <c r="S260" s="1527"/>
      <c r="T260" s="1527"/>
      <c r="U260" s="1527"/>
      <c r="V260" s="1527"/>
      <c r="W260" s="1527"/>
      <c r="X260" s="1527"/>
      <c r="Y260" s="1527"/>
      <c r="Z260" s="1527"/>
      <c r="AA260" s="1527"/>
      <c r="AB260" s="1527"/>
    </row>
    <row r="261" spans="1:28">
      <c r="R261" s="1527"/>
      <c r="S261" s="1527"/>
      <c r="T261" s="1527"/>
      <c r="U261" s="1527"/>
      <c r="V261" s="1527"/>
      <c r="W261" s="1527"/>
      <c r="X261" s="1527"/>
      <c r="Y261" s="1527"/>
      <c r="Z261" s="1527"/>
      <c r="AA261" s="1527"/>
      <c r="AB261" s="1527"/>
    </row>
  </sheetData>
  <autoFilter ref="A1:M259" xr:uid="{00000000-0001-0000-1D00-000000000000}">
    <filterColumn colId="1" showButton="0"/>
    <filterColumn colId="2" showButton="0"/>
    <filterColumn colId="12">
      <customFilters>
        <customFilter operator="notEqual" val=" "/>
      </customFilters>
    </filterColumn>
  </autoFilter>
  <dataConsolidate link="1"/>
  <mergeCells count="148">
    <mergeCell ref="A1:A259"/>
    <mergeCell ref="B1:D1"/>
    <mergeCell ref="B2:D2"/>
    <mergeCell ref="B3:D3"/>
    <mergeCell ref="B4:C5"/>
    <mergeCell ref="B6:B11"/>
    <mergeCell ref="C6:C8"/>
    <mergeCell ref="C9:C11"/>
    <mergeCell ref="B12:B19"/>
    <mergeCell ref="C12:C15"/>
    <mergeCell ref="B26:B30"/>
    <mergeCell ref="C27:C29"/>
    <mergeCell ref="C30:D30"/>
    <mergeCell ref="B31:B35"/>
    <mergeCell ref="C31:C32"/>
    <mergeCell ref="C33:C34"/>
    <mergeCell ref="C35:D35"/>
    <mergeCell ref="C16:C19"/>
    <mergeCell ref="B20:C20"/>
    <mergeCell ref="B21:B25"/>
    <mergeCell ref="C21:D21"/>
    <mergeCell ref="C22:D22"/>
    <mergeCell ref="C23:D23"/>
    <mergeCell ref="C24:D24"/>
    <mergeCell ref="C25:D25"/>
    <mergeCell ref="B143:D143"/>
    <mergeCell ref="B144:B145"/>
    <mergeCell ref="C144:D144"/>
    <mergeCell ref="C145:D145"/>
    <mergeCell ref="B146:B157"/>
    <mergeCell ref="C148:C149"/>
    <mergeCell ref="C100:C106"/>
    <mergeCell ref="C107:C113"/>
    <mergeCell ref="C114:C120"/>
    <mergeCell ref="C121:C127"/>
    <mergeCell ref="C128:C135"/>
    <mergeCell ref="C136:C142"/>
    <mergeCell ref="B36:B142"/>
    <mergeCell ref="C36:C42"/>
    <mergeCell ref="C43:C49"/>
    <mergeCell ref="C50:C56"/>
    <mergeCell ref="C57:C63"/>
    <mergeCell ref="C64:C70"/>
    <mergeCell ref="C71:C77"/>
    <mergeCell ref="C78:C84"/>
    <mergeCell ref="C85:C92"/>
    <mergeCell ref="C93:C99"/>
    <mergeCell ref="B170:D170"/>
    <mergeCell ref="B171:B176"/>
    <mergeCell ref="C171:D171"/>
    <mergeCell ref="C172:D172"/>
    <mergeCell ref="C173:D173"/>
    <mergeCell ref="C174:D174"/>
    <mergeCell ref="C175:D175"/>
    <mergeCell ref="C176:D176"/>
    <mergeCell ref="AN149:AN150"/>
    <mergeCell ref="C151:C152"/>
    <mergeCell ref="C153:C155"/>
    <mergeCell ref="C156:C157"/>
    <mergeCell ref="B158:B169"/>
    <mergeCell ref="C158:C164"/>
    <mergeCell ref="C165:C169"/>
    <mergeCell ref="N149:U149"/>
    <mergeCell ref="V149:AC149"/>
    <mergeCell ref="AD149:AH149"/>
    <mergeCell ref="AI149:AJ149"/>
    <mergeCell ref="AK149:AK151"/>
    <mergeCell ref="AL149:AM149"/>
    <mergeCell ref="B177:B180"/>
    <mergeCell ref="C177:D177"/>
    <mergeCell ref="C178:D178"/>
    <mergeCell ref="C179:D179"/>
    <mergeCell ref="C180:D180"/>
    <mergeCell ref="B181:B188"/>
    <mergeCell ref="C181:C183"/>
    <mergeCell ref="C184:C187"/>
    <mergeCell ref="C188:D188"/>
    <mergeCell ref="B189:B192"/>
    <mergeCell ref="C189:D189"/>
    <mergeCell ref="C190:D190"/>
    <mergeCell ref="C191:D191"/>
    <mergeCell ref="C192:D192"/>
    <mergeCell ref="B193:B197"/>
    <mergeCell ref="C193:D193"/>
    <mergeCell ref="C194:D194"/>
    <mergeCell ref="C195:D195"/>
    <mergeCell ref="C196:D196"/>
    <mergeCell ref="C206:D206"/>
    <mergeCell ref="C207:D207"/>
    <mergeCell ref="C208:D208"/>
    <mergeCell ref="C209:D209"/>
    <mergeCell ref="C210:D210"/>
    <mergeCell ref="C211:D211"/>
    <mergeCell ref="C197:D197"/>
    <mergeCell ref="B198:B211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B212:B221"/>
    <mergeCell ref="C212:C214"/>
    <mergeCell ref="C215:C217"/>
    <mergeCell ref="C218:C221"/>
    <mergeCell ref="B222:B236"/>
    <mergeCell ref="C222:D222"/>
    <mergeCell ref="C223:D223"/>
    <mergeCell ref="C224:D224"/>
    <mergeCell ref="C225:D225"/>
    <mergeCell ref="C226:D226"/>
    <mergeCell ref="B237:B247"/>
    <mergeCell ref="C237:D237"/>
    <mergeCell ref="C238:D238"/>
    <mergeCell ref="C239:D239"/>
    <mergeCell ref="C240:D240"/>
    <mergeCell ref="C241:D241"/>
    <mergeCell ref="C227:D227"/>
    <mergeCell ref="C228:D228"/>
    <mergeCell ref="C229:D229"/>
    <mergeCell ref="C230:D230"/>
    <mergeCell ref="C231:D231"/>
    <mergeCell ref="C232:D232"/>
    <mergeCell ref="C242:D242"/>
    <mergeCell ref="C243:D243"/>
    <mergeCell ref="C244:D244"/>
    <mergeCell ref="C245:D245"/>
    <mergeCell ref="C246:D246"/>
    <mergeCell ref="C247:D247"/>
    <mergeCell ref="C233:D233"/>
    <mergeCell ref="C234:D234"/>
    <mergeCell ref="C235:D235"/>
    <mergeCell ref="C236:D236"/>
    <mergeCell ref="C257:D257"/>
    <mergeCell ref="C258:D258"/>
    <mergeCell ref="B259:D259"/>
    <mergeCell ref="B248:B258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56:D256"/>
  </mergeCells>
  <conditionalFormatting sqref="G6:K6 G26:K26">
    <cfRule type="expression" dxfId="21" priority="18">
      <formula>G$6&gt;0</formula>
    </cfRule>
    <cfRule type="expression" dxfId="20" priority="19">
      <formula>#REF!="SIM"</formula>
    </cfRule>
  </conditionalFormatting>
  <conditionalFormatting sqref="G7:K8 G19:K19">
    <cfRule type="expression" dxfId="19" priority="12">
      <formula>G$19&gt;0</formula>
    </cfRule>
    <cfRule type="expression" dxfId="18" priority="13">
      <formula>G$17="SIM"</formula>
    </cfRule>
  </conditionalFormatting>
  <conditionalFormatting sqref="G42:K42">
    <cfRule type="expression" dxfId="17" priority="17">
      <formula>G$42&gt;G$36</formula>
    </cfRule>
  </conditionalFormatting>
  <conditionalFormatting sqref="G49:K49">
    <cfRule type="expression" dxfId="16" priority="16">
      <formula>G$49&gt;G$43</formula>
    </cfRule>
  </conditionalFormatting>
  <conditionalFormatting sqref="G56:K56">
    <cfRule type="expression" dxfId="15" priority="15">
      <formula>G$56&gt;G$50</formula>
    </cfRule>
  </conditionalFormatting>
  <conditionalFormatting sqref="G63:K63">
    <cfRule type="expression" dxfId="14" priority="14">
      <formula>G$63&gt;G$57</formula>
    </cfRule>
  </conditionalFormatting>
  <conditionalFormatting sqref="G70:K70 G77:K77 G84:K84">
    <cfRule type="expression" dxfId="13" priority="9">
      <formula>G70&gt;G64</formula>
    </cfRule>
  </conditionalFormatting>
  <conditionalFormatting sqref="G92:K92">
    <cfRule type="expression" dxfId="12" priority="8">
      <formula>G92&gt;G85</formula>
    </cfRule>
  </conditionalFormatting>
  <conditionalFormatting sqref="G99:K99">
    <cfRule type="expression" dxfId="11" priority="7">
      <formula>G$99&gt;G$93</formula>
    </cfRule>
  </conditionalFormatting>
  <conditionalFormatting sqref="G106:K106">
    <cfRule type="expression" dxfId="10" priority="6">
      <formula>G$106&gt;G$100</formula>
    </cfRule>
  </conditionalFormatting>
  <conditionalFormatting sqref="G113:K113">
    <cfRule type="expression" dxfId="9" priority="5">
      <formula>G$113&gt;G$107</formula>
    </cfRule>
  </conditionalFormatting>
  <conditionalFormatting sqref="G120:K120">
    <cfRule type="expression" dxfId="8" priority="4">
      <formula>G$120&gt;G$114</formula>
    </cfRule>
  </conditionalFormatting>
  <conditionalFormatting sqref="G127:K127">
    <cfRule type="expression" dxfId="7" priority="3">
      <formula>G$127&gt;G$121</formula>
    </cfRule>
  </conditionalFormatting>
  <conditionalFormatting sqref="G135:K135">
    <cfRule type="expression" dxfId="6" priority="2">
      <formula>G$135&gt;G$128</formula>
    </cfRule>
  </conditionalFormatting>
  <conditionalFormatting sqref="G142:K142">
    <cfRule type="expression" dxfId="5" priority="1">
      <formula>G$142&gt;G$136</formula>
    </cfRule>
  </conditionalFormatting>
  <conditionalFormatting sqref="G159:K159">
    <cfRule type="expression" dxfId="4" priority="10">
      <formula>G$160&gt;G$159</formula>
    </cfRule>
    <cfRule type="expression" dxfId="3" priority="11">
      <formula>G$159&lt;0</formula>
    </cfRule>
  </conditionalFormatting>
  <pageMargins left="0.39370078740157477" right="0.59055118110236215" top="0.39370078740157477" bottom="0.59055118110236215" header="0.31496062992125984" footer="0.23622047244094491"/>
  <pageSetup paperSize="9" scale="65" fitToWidth="10" orientation="portrait" r:id="rId1"/>
  <headerFooter>
    <oddFooter>&amp;C&amp;8Página &amp;P/&amp;N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538B6-E14E-403B-AAC7-F7DA8F898CAC}">
  <sheetPr codeName="Planilha38" filterMode="1"/>
  <dimension ref="A1:R179"/>
  <sheetViews>
    <sheetView showZeros="0" zoomScaleNormal="100" workbookViewId="0">
      <selection sqref="A1:A148"/>
    </sheetView>
  </sheetViews>
  <sheetFormatPr defaultColWidth="9" defaultRowHeight="18.75"/>
  <cols>
    <col min="1" max="1" width="9.75" style="681" customWidth="1"/>
    <col min="2" max="2" width="6.875" style="681" customWidth="1"/>
    <col min="3" max="3" width="6.75" style="681" customWidth="1"/>
    <col min="4" max="4" width="30.625" style="681" customWidth="1"/>
    <col min="5" max="5" width="4.125" style="1289" hidden="1" customWidth="1"/>
    <col min="6" max="6" width="17.125" style="681" hidden="1" customWidth="1"/>
    <col min="7" max="9" width="12.625" style="746" customWidth="1"/>
    <col min="10" max="10" width="12.625" style="681" customWidth="1"/>
    <col min="11" max="11" width="17.875" style="681" customWidth="1"/>
    <col min="12" max="16384" width="9" style="681"/>
  </cols>
  <sheetData>
    <row r="1" spans="1:12" s="673" customFormat="1" ht="47.25" customHeight="1" thickTop="1" thickBot="1">
      <c r="A1" s="2571" t="s">
        <v>2686</v>
      </c>
      <c r="B1" s="2926" t="s">
        <v>2687</v>
      </c>
      <c r="C1" s="2927"/>
      <c r="D1" s="2928"/>
      <c r="E1" s="734"/>
      <c r="F1" s="735" t="s">
        <v>1468</v>
      </c>
      <c r="G1" s="1794" t="s">
        <v>2688</v>
      </c>
      <c r="H1" s="1794"/>
      <c r="I1" s="1794"/>
      <c r="J1" s="672" t="s">
        <v>1358</v>
      </c>
      <c r="K1" s="738" t="s">
        <v>1475</v>
      </c>
      <c r="L1" s="739">
        <f>SUBTOTAL(3,J:J)</f>
        <v>1</v>
      </c>
    </row>
    <row r="2" spans="1:12" s="673" customFormat="1" ht="21.95" hidden="1" customHeight="1" thickTop="1">
      <c r="A2" s="2695"/>
      <c r="B2" s="2929" t="s">
        <v>2572</v>
      </c>
      <c r="C2" s="2930"/>
      <c r="D2" s="2931"/>
      <c r="E2" s="1795"/>
      <c r="F2" s="1796"/>
      <c r="G2" s="1797"/>
      <c r="H2" s="1797"/>
      <c r="I2" s="1797"/>
      <c r="J2" s="1790">
        <f>ROUND(SUM(G2:I2),2)</f>
        <v>0</v>
      </c>
      <c r="K2" s="745">
        <f t="shared" ref="K2:K33" si="0">SUM(G2:J2)</f>
        <v>0</v>
      </c>
    </row>
    <row r="3" spans="1:12" s="673" customFormat="1" ht="21.95" hidden="1" customHeight="1">
      <c r="A3" s="2695"/>
      <c r="B3" s="2574" t="s">
        <v>2689</v>
      </c>
      <c r="C3" s="2932"/>
      <c r="D3" s="2933"/>
      <c r="E3" s="1279"/>
      <c r="F3" s="1442"/>
      <c r="G3" s="1589"/>
      <c r="H3" s="1589"/>
      <c r="I3" s="1589"/>
      <c r="J3" s="1496">
        <f>ROUND(SUM(G3:I3),2)</f>
        <v>0</v>
      </c>
      <c r="K3" s="745">
        <f t="shared" si="0"/>
        <v>0</v>
      </c>
    </row>
    <row r="4" spans="1:12" s="673" customFormat="1" ht="21.95" hidden="1" customHeight="1">
      <c r="A4" s="2695"/>
      <c r="B4" s="2934" t="s">
        <v>2690</v>
      </c>
      <c r="C4" s="2912"/>
      <c r="D4" s="2897"/>
      <c r="E4" s="1279"/>
      <c r="F4" s="1442"/>
      <c r="G4" s="1570">
        <f>G2-G3</f>
        <v>0</v>
      </c>
      <c r="H4" s="1570"/>
      <c r="I4" s="1570"/>
      <c r="J4" s="1496">
        <f>ROUND(SUM(G4:I4),2)</f>
        <v>0</v>
      </c>
      <c r="K4" s="745">
        <f t="shared" si="0"/>
        <v>0</v>
      </c>
    </row>
    <row r="5" spans="1:12" s="673" customFormat="1" ht="21.95" hidden="1" customHeight="1">
      <c r="A5" s="2572"/>
      <c r="B5" s="2575" t="s">
        <v>2191</v>
      </c>
      <c r="C5" s="2710"/>
      <c r="D5" s="1798" t="s">
        <v>2192</v>
      </c>
      <c r="E5" s="1279"/>
      <c r="F5" s="1442"/>
      <c r="G5" s="1589"/>
      <c r="H5" s="1589"/>
      <c r="I5" s="1589"/>
      <c r="J5" s="1799">
        <f>COUNTA(G5:I5)</f>
        <v>0</v>
      </c>
      <c r="K5" s="745">
        <f t="shared" si="0"/>
        <v>0</v>
      </c>
    </row>
    <row r="6" spans="1:12" s="673" customFormat="1" ht="21.95" hidden="1" customHeight="1" thickBot="1">
      <c r="A6" s="2572"/>
      <c r="B6" s="2749"/>
      <c r="C6" s="2701"/>
      <c r="D6" s="1800" t="s">
        <v>2193</v>
      </c>
      <c r="E6" s="1291"/>
      <c r="F6" s="1563"/>
      <c r="G6" s="1713"/>
      <c r="H6" s="1713"/>
      <c r="I6" s="1713"/>
      <c r="J6" s="1801">
        <f>COUNTA(G6:I6)</f>
        <v>0</v>
      </c>
      <c r="K6" s="745">
        <f t="shared" si="0"/>
        <v>0</v>
      </c>
    </row>
    <row r="7" spans="1:12" ht="21.95" hidden="1" customHeight="1" thickBot="1">
      <c r="A7" s="2572"/>
      <c r="B7" s="2583" t="s">
        <v>2691</v>
      </c>
      <c r="C7" s="2772"/>
      <c r="D7" s="2935"/>
      <c r="E7" s="1291"/>
      <c r="F7" s="1563"/>
      <c r="G7" s="1713"/>
      <c r="H7" s="1713"/>
      <c r="I7" s="1713"/>
      <c r="J7" s="1802"/>
      <c r="K7" s="745">
        <f t="shared" si="0"/>
        <v>0</v>
      </c>
    </row>
    <row r="8" spans="1:12" ht="21.95" hidden="1" customHeight="1">
      <c r="A8" s="2572"/>
      <c r="B8" s="2748" t="s">
        <v>1684</v>
      </c>
      <c r="C8" s="2700"/>
      <c r="D8" s="740" t="s">
        <v>1685</v>
      </c>
      <c r="E8" s="1273"/>
      <c r="F8" s="1056"/>
      <c r="G8" s="1317"/>
      <c r="H8" s="1317"/>
      <c r="I8" s="1317"/>
      <c r="J8" s="1778"/>
      <c r="K8" s="745">
        <f t="shared" si="0"/>
        <v>0</v>
      </c>
    </row>
    <row r="9" spans="1:12" ht="21.95" hidden="1" customHeight="1" thickBot="1">
      <c r="A9" s="2572"/>
      <c r="B9" s="2749"/>
      <c r="C9" s="2701"/>
      <c r="D9" s="754" t="s">
        <v>1986</v>
      </c>
      <c r="E9" s="1283"/>
      <c r="F9" s="756"/>
      <c r="G9" s="1305">
        <f>G8*G4</f>
        <v>0</v>
      </c>
      <c r="H9" s="1305"/>
      <c r="I9" s="1305"/>
      <c r="J9" s="1707">
        <f>ROUND(SUM(G9:I9),2)</f>
        <v>0</v>
      </c>
      <c r="K9" s="745">
        <f t="shared" si="0"/>
        <v>0</v>
      </c>
    </row>
    <row r="10" spans="1:12" ht="21.95" hidden="1" customHeight="1">
      <c r="A10" s="2572"/>
      <c r="B10" s="2748" t="s">
        <v>2452</v>
      </c>
      <c r="C10" s="2700"/>
      <c r="D10" s="1448" t="s">
        <v>1539</v>
      </c>
      <c r="F10" s="1442"/>
      <c r="G10" s="1589"/>
      <c r="H10" s="1589"/>
      <c r="I10" s="1589"/>
      <c r="J10" s="1496">
        <f>ROUND(SUM(G10:I10),2)</f>
        <v>0</v>
      </c>
      <c r="K10" s="745">
        <f t="shared" si="0"/>
        <v>0</v>
      </c>
    </row>
    <row r="11" spans="1:12" ht="21.95" hidden="1" customHeight="1">
      <c r="A11" s="2572"/>
      <c r="B11" s="2575"/>
      <c r="C11" s="2710"/>
      <c r="D11" s="1089" t="s">
        <v>2373</v>
      </c>
      <c r="F11" s="1442"/>
      <c r="G11" s="1589"/>
      <c r="H11" s="1589"/>
      <c r="I11" s="1589"/>
      <c r="J11" s="1496"/>
      <c r="K11" s="745">
        <f t="shared" si="0"/>
        <v>0</v>
      </c>
    </row>
    <row r="12" spans="1:12" ht="21.95" hidden="1" customHeight="1">
      <c r="A12" s="2572"/>
      <c r="B12" s="2575"/>
      <c r="C12" s="2710"/>
      <c r="D12" s="1089" t="s">
        <v>2363</v>
      </c>
      <c r="F12" s="1442"/>
      <c r="G12" s="1589"/>
      <c r="H12" s="1589"/>
      <c r="I12" s="1589"/>
      <c r="J12" s="1496"/>
      <c r="K12" s="745">
        <f t="shared" si="0"/>
        <v>0</v>
      </c>
    </row>
    <row r="13" spans="1:12" ht="21.95" hidden="1" customHeight="1">
      <c r="A13" s="2572"/>
      <c r="B13" s="2575"/>
      <c r="C13" s="2710"/>
      <c r="D13" s="1089" t="s">
        <v>1693</v>
      </c>
      <c r="F13" s="1442"/>
      <c r="G13" s="1570">
        <f>G10*G12</f>
        <v>0</v>
      </c>
      <c r="H13" s="1570"/>
      <c r="I13" s="1570"/>
      <c r="J13" s="1720">
        <f>ROUND(SUM(G13:I13),2)</f>
        <v>0</v>
      </c>
      <c r="K13" s="745">
        <f t="shared" si="0"/>
        <v>0</v>
      </c>
    </row>
    <row r="14" spans="1:12" ht="21.95" hidden="1" customHeight="1">
      <c r="A14" s="2572"/>
      <c r="B14" s="2575"/>
      <c r="C14" s="2710"/>
      <c r="D14" s="1089" t="s">
        <v>1769</v>
      </c>
      <c r="F14" s="1442"/>
      <c r="G14" s="1570">
        <f>G13*G11</f>
        <v>0</v>
      </c>
      <c r="H14" s="1570"/>
      <c r="I14" s="1570"/>
      <c r="J14" s="1496">
        <f>ROUND(SUM(G14:I14),2)</f>
        <v>0</v>
      </c>
      <c r="K14" s="745">
        <f t="shared" si="0"/>
        <v>0</v>
      </c>
    </row>
    <row r="15" spans="1:12" ht="21.95" hidden="1" customHeight="1" thickBot="1">
      <c r="A15" s="2572"/>
      <c r="B15" s="2749"/>
      <c r="C15" s="2701"/>
      <c r="D15" s="936" t="s">
        <v>2104</v>
      </c>
      <c r="E15" s="1291"/>
      <c r="F15" s="1442"/>
      <c r="G15" s="1713"/>
      <c r="H15" s="1713"/>
      <c r="I15" s="1713"/>
      <c r="J15" s="1801"/>
      <c r="K15" s="745">
        <f t="shared" si="0"/>
        <v>0</v>
      </c>
    </row>
    <row r="16" spans="1:12" ht="21.95" hidden="1" customHeight="1" thickBot="1">
      <c r="A16" s="2572"/>
      <c r="B16" s="2753" t="s">
        <v>1504</v>
      </c>
      <c r="C16" s="2754"/>
      <c r="D16" s="740" t="s">
        <v>1505</v>
      </c>
      <c r="E16" s="748"/>
      <c r="F16" s="766"/>
      <c r="G16" s="1550"/>
      <c r="H16" s="1550"/>
      <c r="I16" s="1550"/>
      <c r="J16" s="1170">
        <f t="shared" ref="J16:J26" si="1">ROUND(SUM(G16:I16),2)</f>
        <v>0</v>
      </c>
      <c r="K16" s="745">
        <f t="shared" si="0"/>
        <v>0</v>
      </c>
    </row>
    <row r="17" spans="1:11" ht="21.95" hidden="1" customHeight="1" thickBot="1">
      <c r="A17" s="2572"/>
      <c r="B17" s="2753"/>
      <c r="C17" s="2754"/>
      <c r="D17" s="747" t="s">
        <v>1506</v>
      </c>
      <c r="E17" s="748"/>
      <c r="F17" s="775"/>
      <c r="G17" s="1550"/>
      <c r="H17" s="1550"/>
      <c r="I17" s="1550"/>
      <c r="J17" s="1170">
        <f t="shared" si="1"/>
        <v>0</v>
      </c>
      <c r="K17" s="745">
        <f t="shared" si="0"/>
        <v>0</v>
      </c>
    </row>
    <row r="18" spans="1:11" ht="21.95" hidden="1" customHeight="1" thickBot="1">
      <c r="A18" s="2572"/>
      <c r="B18" s="2753"/>
      <c r="C18" s="2754"/>
      <c r="D18" s="754" t="s">
        <v>1507</v>
      </c>
      <c r="E18" s="755"/>
      <c r="F18" s="768"/>
      <c r="G18" s="1547"/>
      <c r="H18" s="1547"/>
      <c r="I18" s="1547"/>
      <c r="J18" s="773">
        <f t="shared" si="1"/>
        <v>0</v>
      </c>
      <c r="K18" s="745">
        <f t="shared" si="0"/>
        <v>0</v>
      </c>
    </row>
    <row r="19" spans="1:11" ht="21.95" hidden="1" customHeight="1" thickBot="1">
      <c r="A19" s="2572"/>
      <c r="B19" s="2753" t="s">
        <v>1508</v>
      </c>
      <c r="C19" s="2754"/>
      <c r="D19" s="740" t="s">
        <v>1505</v>
      </c>
      <c r="E19" s="748"/>
      <c r="F19" s="749"/>
      <c r="G19" s="1550"/>
      <c r="H19" s="1550"/>
      <c r="I19" s="1550"/>
      <c r="J19" s="1170">
        <f t="shared" si="1"/>
        <v>0</v>
      </c>
      <c r="K19" s="745">
        <f t="shared" si="0"/>
        <v>0</v>
      </c>
    </row>
    <row r="20" spans="1:11" ht="21.95" hidden="1" customHeight="1" thickBot="1">
      <c r="A20" s="2572"/>
      <c r="B20" s="2753"/>
      <c r="C20" s="2754"/>
      <c r="D20" s="747" t="s">
        <v>1506</v>
      </c>
      <c r="E20" s="748"/>
      <c r="F20" s="749"/>
      <c r="G20" s="1550"/>
      <c r="H20" s="1550"/>
      <c r="I20" s="1550"/>
      <c r="J20" s="1170">
        <f t="shared" si="1"/>
        <v>0</v>
      </c>
      <c r="K20" s="745">
        <f t="shared" si="0"/>
        <v>0</v>
      </c>
    </row>
    <row r="21" spans="1:11" ht="21.95" hidden="1" customHeight="1" thickBot="1">
      <c r="A21" s="2572"/>
      <c r="B21" s="2753"/>
      <c r="C21" s="2754"/>
      <c r="D21" s="754" t="s">
        <v>1507</v>
      </c>
      <c r="E21" s="755"/>
      <c r="F21" s="756"/>
      <c r="G21" s="1547"/>
      <c r="H21" s="1547"/>
      <c r="I21" s="1547"/>
      <c r="J21" s="773">
        <f t="shared" si="1"/>
        <v>0</v>
      </c>
      <c r="K21" s="745">
        <f t="shared" si="0"/>
        <v>0</v>
      </c>
    </row>
    <row r="22" spans="1:11" ht="21.95" hidden="1" customHeight="1">
      <c r="A22" s="2572"/>
      <c r="B22" s="2593" t="s">
        <v>1509</v>
      </c>
      <c r="C22" s="2658"/>
      <c r="D22" s="740" t="s">
        <v>1510</v>
      </c>
      <c r="E22" s="759"/>
      <c r="F22" s="760"/>
      <c r="G22" s="1550"/>
      <c r="H22" s="1550"/>
      <c r="I22" s="1550"/>
      <c r="J22" s="1170">
        <f t="shared" si="1"/>
        <v>0</v>
      </c>
      <c r="K22" s="745">
        <f t="shared" si="0"/>
        <v>0</v>
      </c>
    </row>
    <row r="23" spans="1:11" ht="21.95" hidden="1" customHeight="1">
      <c r="A23" s="2572"/>
      <c r="B23" s="2593"/>
      <c r="C23" s="2658"/>
      <c r="D23" s="747" t="s">
        <v>1505</v>
      </c>
      <c r="E23" s="748"/>
      <c r="F23" s="749"/>
      <c r="G23" s="1550"/>
      <c r="H23" s="1550"/>
      <c r="I23" s="1550"/>
      <c r="J23" s="1170">
        <f t="shared" si="1"/>
        <v>0</v>
      </c>
      <c r="K23" s="745">
        <f t="shared" si="0"/>
        <v>0</v>
      </c>
    </row>
    <row r="24" spans="1:11" ht="21.95" hidden="1" customHeight="1">
      <c r="A24" s="2572"/>
      <c r="B24" s="2593"/>
      <c r="C24" s="2658"/>
      <c r="D24" s="747" t="s">
        <v>1506</v>
      </c>
      <c r="E24" s="748"/>
      <c r="F24" s="775"/>
      <c r="G24" s="1550"/>
      <c r="H24" s="1550"/>
      <c r="I24" s="1550"/>
      <c r="J24" s="1170">
        <f t="shared" si="1"/>
        <v>0</v>
      </c>
      <c r="K24" s="745">
        <f t="shared" si="0"/>
        <v>0</v>
      </c>
    </row>
    <row r="25" spans="1:11" ht="21.95" hidden="1" customHeight="1" thickBot="1">
      <c r="A25" s="2572"/>
      <c r="B25" s="2594"/>
      <c r="C25" s="2707"/>
      <c r="D25" s="754" t="s">
        <v>1507</v>
      </c>
      <c r="E25" s="755"/>
      <c r="F25" s="768"/>
      <c r="G25" s="1547"/>
      <c r="H25" s="1547"/>
      <c r="I25" s="1547"/>
      <c r="J25" s="773">
        <f t="shared" si="1"/>
        <v>0</v>
      </c>
      <c r="K25" s="745">
        <f t="shared" si="0"/>
        <v>0</v>
      </c>
    </row>
    <row r="26" spans="1:11" ht="21.95" hidden="1" customHeight="1">
      <c r="A26" s="2572"/>
      <c r="B26" s="2766" t="s">
        <v>2082</v>
      </c>
      <c r="C26" s="2920" t="s">
        <v>2371</v>
      </c>
      <c r="D26" s="1448" t="s">
        <v>1539</v>
      </c>
      <c r="E26" s="1287"/>
      <c r="F26" s="1560"/>
      <c r="G26" s="1589"/>
      <c r="H26" s="1589"/>
      <c r="I26" s="1589"/>
      <c r="J26" s="1496">
        <f t="shared" si="1"/>
        <v>0</v>
      </c>
      <c r="K26" s="745">
        <f t="shared" si="0"/>
        <v>0</v>
      </c>
    </row>
    <row r="27" spans="1:11" ht="21.95" hidden="1" customHeight="1">
      <c r="A27" s="2572"/>
      <c r="B27" s="2843"/>
      <c r="C27" s="2921"/>
      <c r="D27" s="1089" t="s">
        <v>2373</v>
      </c>
      <c r="F27" s="1442"/>
      <c r="G27" s="1589"/>
      <c r="H27" s="1589"/>
      <c r="I27" s="1589"/>
      <c r="J27" s="1496"/>
      <c r="K27" s="745">
        <f t="shared" si="0"/>
        <v>0</v>
      </c>
    </row>
    <row r="28" spans="1:11" ht="21.95" hidden="1" customHeight="1">
      <c r="A28" s="2572"/>
      <c r="B28" s="2843"/>
      <c r="C28" s="2921"/>
      <c r="D28" s="1089" t="s">
        <v>1477</v>
      </c>
      <c r="F28" s="1442"/>
      <c r="G28" s="1589"/>
      <c r="H28" s="1589"/>
      <c r="I28" s="1589"/>
      <c r="J28" s="1496"/>
      <c r="K28" s="745">
        <f t="shared" si="0"/>
        <v>0</v>
      </c>
    </row>
    <row r="29" spans="1:11" ht="21.95" hidden="1" customHeight="1">
      <c r="A29" s="2572"/>
      <c r="B29" s="2843"/>
      <c r="C29" s="2921"/>
      <c r="D29" s="1089" t="s">
        <v>1693</v>
      </c>
      <c r="F29" s="1442"/>
      <c r="G29" s="1570">
        <f>G26*G28</f>
        <v>0</v>
      </c>
      <c r="H29" s="1570"/>
      <c r="I29" s="1570"/>
      <c r="J29" s="1496">
        <f>ROUND(SUM(G29:I29),2)</f>
        <v>0</v>
      </c>
      <c r="K29" s="745">
        <f t="shared" si="0"/>
        <v>0</v>
      </c>
    </row>
    <row r="30" spans="1:11" ht="21.95" hidden="1" customHeight="1">
      <c r="A30" s="2572"/>
      <c r="B30" s="2843"/>
      <c r="C30" s="2921"/>
      <c r="D30" s="1089" t="s">
        <v>2455</v>
      </c>
      <c r="F30" s="1442"/>
      <c r="G30" s="1570">
        <f>G29*G27</f>
        <v>0</v>
      </c>
      <c r="H30" s="1570"/>
      <c r="I30" s="1570"/>
      <c r="J30" s="1720">
        <f>ROUND(SUM(G30:I30),2)</f>
        <v>0</v>
      </c>
      <c r="K30" s="745">
        <f t="shared" si="0"/>
        <v>0</v>
      </c>
    </row>
    <row r="31" spans="1:11" ht="32.1" hidden="1" customHeight="1">
      <c r="A31" s="2572"/>
      <c r="B31" s="2843"/>
      <c r="C31" s="2921"/>
      <c r="D31" s="1089" t="s">
        <v>2456</v>
      </c>
      <c r="F31" s="1442"/>
      <c r="G31" s="1570">
        <f>G30*0.1</f>
        <v>0</v>
      </c>
      <c r="H31" s="1570"/>
      <c r="I31" s="1570"/>
      <c r="J31" s="1496">
        <f>ROUND(SUM(G31:I31),2)</f>
        <v>0</v>
      </c>
      <c r="K31" s="745">
        <f t="shared" si="0"/>
        <v>0</v>
      </c>
    </row>
    <row r="32" spans="1:11" ht="21.95" hidden="1" customHeight="1" thickBot="1">
      <c r="A32" s="2572"/>
      <c r="B32" s="2843"/>
      <c r="C32" s="2921"/>
      <c r="D32" s="1526" t="s">
        <v>2457</v>
      </c>
      <c r="E32" s="1283"/>
      <c r="F32" s="1563"/>
      <c r="G32" s="1564">
        <f>G30*1.3</f>
        <v>0</v>
      </c>
      <c r="H32" s="1564"/>
      <c r="I32" s="1564"/>
      <c r="J32" s="1714">
        <f>ROUND(SUM(G32:I32),2)</f>
        <v>0</v>
      </c>
      <c r="K32" s="745">
        <f t="shared" si="0"/>
        <v>0</v>
      </c>
    </row>
    <row r="33" spans="1:11" ht="21.95" hidden="1" customHeight="1">
      <c r="A33" s="2572"/>
      <c r="B33" s="2843"/>
      <c r="C33" s="2923" t="s">
        <v>2458</v>
      </c>
      <c r="D33" s="1448" t="s">
        <v>1539</v>
      </c>
      <c r="E33" s="1287"/>
      <c r="F33" s="1560"/>
      <c r="G33" s="1709"/>
      <c r="H33" s="1709"/>
      <c r="I33" s="1709"/>
      <c r="J33" s="1496">
        <f>ROUND(SUM(G33:I33),2)</f>
        <v>0</v>
      </c>
      <c r="K33" s="745">
        <f t="shared" si="0"/>
        <v>0</v>
      </c>
    </row>
    <row r="34" spans="1:11" ht="21.95" hidden="1" customHeight="1">
      <c r="A34" s="2572"/>
      <c r="B34" s="2843"/>
      <c r="C34" s="2924"/>
      <c r="D34" s="1089" t="s">
        <v>2373</v>
      </c>
      <c r="F34" s="1442"/>
      <c r="G34" s="1589"/>
      <c r="H34" s="1589"/>
      <c r="I34" s="1589"/>
      <c r="J34" s="1496"/>
      <c r="K34" s="745">
        <f t="shared" ref="K34:K62" si="2">SUM(G34:J34)</f>
        <v>0</v>
      </c>
    </row>
    <row r="35" spans="1:11" ht="21.95" hidden="1" customHeight="1">
      <c r="A35" s="2572"/>
      <c r="B35" s="2843"/>
      <c r="C35" s="2924"/>
      <c r="D35" s="1089" t="s">
        <v>1477</v>
      </c>
      <c r="F35" s="1442"/>
      <c r="G35" s="1589"/>
      <c r="H35" s="1589"/>
      <c r="I35" s="1589"/>
      <c r="J35" s="1496"/>
      <c r="K35" s="745">
        <f t="shared" si="2"/>
        <v>0</v>
      </c>
    </row>
    <row r="36" spans="1:11" ht="21.95" hidden="1" customHeight="1">
      <c r="A36" s="2572"/>
      <c r="B36" s="2843"/>
      <c r="C36" s="2924"/>
      <c r="D36" s="1089" t="s">
        <v>1693</v>
      </c>
      <c r="F36" s="1442"/>
      <c r="G36" s="1570">
        <f>G33*G35</f>
        <v>0</v>
      </c>
      <c r="H36" s="1570"/>
      <c r="I36" s="1570"/>
      <c r="J36" s="1496">
        <f>ROUND(SUM(G36:I36),2)</f>
        <v>0</v>
      </c>
      <c r="K36" s="745">
        <f t="shared" si="2"/>
        <v>0</v>
      </c>
    </row>
    <row r="37" spans="1:11" ht="21.95" hidden="1" customHeight="1">
      <c r="A37" s="2572"/>
      <c r="B37" s="2843"/>
      <c r="C37" s="2924"/>
      <c r="D37" s="1089" t="s">
        <v>2455</v>
      </c>
      <c r="F37" s="1442"/>
      <c r="G37" s="1570">
        <f>G36*G34</f>
        <v>0</v>
      </c>
      <c r="H37" s="1570"/>
      <c r="I37" s="1570"/>
      <c r="J37" s="1720">
        <f>ROUND(SUM(G37:I37),2)</f>
        <v>0</v>
      </c>
      <c r="K37" s="745">
        <f t="shared" si="2"/>
        <v>0</v>
      </c>
    </row>
    <row r="38" spans="1:11" ht="21.95" hidden="1" customHeight="1" thickBot="1">
      <c r="A38" s="2572"/>
      <c r="B38" s="2843"/>
      <c r="C38" s="2925"/>
      <c r="D38" s="936" t="s">
        <v>2104</v>
      </c>
      <c r="E38" s="1291"/>
      <c r="F38" s="1563"/>
      <c r="G38" s="1713"/>
      <c r="H38" s="1713"/>
      <c r="I38" s="1713"/>
      <c r="J38" s="1714"/>
      <c r="K38" s="745">
        <f t="shared" si="2"/>
        <v>0</v>
      </c>
    </row>
    <row r="39" spans="1:11" ht="21.95" hidden="1" customHeight="1">
      <c r="A39" s="2572"/>
      <c r="B39" s="2843"/>
      <c r="C39" s="2923" t="s">
        <v>2383</v>
      </c>
      <c r="D39" s="1448" t="s">
        <v>1539</v>
      </c>
      <c r="E39" s="1287"/>
      <c r="F39" s="1560"/>
      <c r="G39" s="1709"/>
      <c r="H39" s="1709"/>
      <c r="I39" s="1709"/>
      <c r="J39" s="1496">
        <f>ROUND(SUM(G39:I39),2)</f>
        <v>0</v>
      </c>
      <c r="K39" s="745">
        <f t="shared" si="2"/>
        <v>0</v>
      </c>
    </row>
    <row r="40" spans="1:11" ht="21.95" hidden="1" customHeight="1">
      <c r="A40" s="2572"/>
      <c r="B40" s="2843"/>
      <c r="C40" s="2924"/>
      <c r="D40" s="1089" t="s">
        <v>1650</v>
      </c>
      <c r="F40" s="1442"/>
      <c r="G40" s="1589"/>
      <c r="H40" s="1589"/>
      <c r="I40" s="1589"/>
      <c r="J40" s="1496"/>
      <c r="K40" s="745">
        <f t="shared" si="2"/>
        <v>0</v>
      </c>
    </row>
    <row r="41" spans="1:11" ht="21.95" hidden="1" customHeight="1">
      <c r="A41" s="2572"/>
      <c r="B41" s="2843"/>
      <c r="C41" s="2924"/>
      <c r="D41" s="1089" t="s">
        <v>1477</v>
      </c>
      <c r="F41" s="1442"/>
      <c r="G41" s="1589"/>
      <c r="H41" s="1589"/>
      <c r="I41" s="1589"/>
      <c r="J41" s="1496"/>
      <c r="K41" s="745">
        <f t="shared" si="2"/>
        <v>0</v>
      </c>
    </row>
    <row r="42" spans="1:11" ht="21.95" hidden="1" customHeight="1">
      <c r="A42" s="2572"/>
      <c r="B42" s="2843"/>
      <c r="C42" s="2924"/>
      <c r="D42" s="1089" t="s">
        <v>1693</v>
      </c>
      <c r="F42" s="1442"/>
      <c r="G42" s="1570">
        <f>G39*G41</f>
        <v>0</v>
      </c>
      <c r="H42" s="1570"/>
      <c r="I42" s="1570"/>
      <c r="J42" s="1496">
        <f>ROUND(SUM(G42:I42),2)</f>
        <v>0</v>
      </c>
      <c r="K42" s="745">
        <f t="shared" si="2"/>
        <v>0</v>
      </c>
    </row>
    <row r="43" spans="1:11" ht="21.95" hidden="1" customHeight="1">
      <c r="A43" s="2572"/>
      <c r="B43" s="2843"/>
      <c r="C43" s="2924"/>
      <c r="D43" s="1089" t="s">
        <v>2455</v>
      </c>
      <c r="F43" s="1442"/>
      <c r="G43" s="1570">
        <f>G42*G40</f>
        <v>0</v>
      </c>
      <c r="H43" s="1570"/>
      <c r="I43" s="1570"/>
      <c r="J43" s="1720">
        <f>ROUND(SUM(G43:I43),2)</f>
        <v>0</v>
      </c>
      <c r="K43" s="745">
        <f t="shared" si="2"/>
        <v>0</v>
      </c>
    </row>
    <row r="44" spans="1:11" ht="21.95" hidden="1" customHeight="1" thickBot="1">
      <c r="A44" s="2572"/>
      <c r="B44" s="2843"/>
      <c r="C44" s="2925"/>
      <c r="D44" s="936" t="s">
        <v>2104</v>
      </c>
      <c r="E44" s="1291"/>
      <c r="F44" s="1563"/>
      <c r="G44" s="1713"/>
      <c r="H44" s="1713"/>
      <c r="I44" s="1713"/>
      <c r="J44" s="1714"/>
      <c r="K44" s="745">
        <f t="shared" si="2"/>
        <v>0</v>
      </c>
    </row>
    <row r="45" spans="1:11" ht="21.95" hidden="1" customHeight="1">
      <c r="A45" s="2572"/>
      <c r="B45" s="2843"/>
      <c r="C45" s="2923" t="s">
        <v>2385</v>
      </c>
      <c r="D45" s="1448" t="s">
        <v>1539</v>
      </c>
      <c r="F45" s="1442"/>
      <c r="G45" s="1709"/>
      <c r="H45" s="1709"/>
      <c r="I45" s="1709"/>
      <c r="J45" s="1496">
        <f>ROUND(SUM(G45:I45),2)</f>
        <v>0</v>
      </c>
      <c r="K45" s="745">
        <f t="shared" si="2"/>
        <v>0</v>
      </c>
    </row>
    <row r="46" spans="1:11" ht="21.95" hidden="1" customHeight="1">
      <c r="A46" s="2572"/>
      <c r="B46" s="2843"/>
      <c r="C46" s="2924"/>
      <c r="D46" s="1089" t="s">
        <v>1650</v>
      </c>
      <c r="F46" s="1442"/>
      <c r="G46" s="1589"/>
      <c r="H46" s="1589"/>
      <c r="I46" s="1589"/>
      <c r="J46" s="1496"/>
      <c r="K46" s="745">
        <f t="shared" si="2"/>
        <v>0</v>
      </c>
    </row>
    <row r="47" spans="1:11" ht="21.95" hidden="1" customHeight="1">
      <c r="A47" s="2572"/>
      <c r="B47" s="2843"/>
      <c r="C47" s="2924"/>
      <c r="D47" s="1089" t="s">
        <v>2692</v>
      </c>
      <c r="F47" s="1442"/>
      <c r="G47" s="1589"/>
      <c r="H47" s="1589"/>
      <c r="I47" s="1589"/>
      <c r="J47" s="1496"/>
      <c r="K47" s="745">
        <f t="shared" si="2"/>
        <v>0</v>
      </c>
    </row>
    <row r="48" spans="1:11" ht="21.95" hidden="1" customHeight="1">
      <c r="A48" s="2572"/>
      <c r="B48" s="2843"/>
      <c r="C48" s="2924"/>
      <c r="D48" s="1089" t="s">
        <v>2475</v>
      </c>
      <c r="F48" s="1442"/>
      <c r="G48" s="1570">
        <f>G47*G45</f>
        <v>0</v>
      </c>
      <c r="H48" s="1570"/>
      <c r="I48" s="1570"/>
      <c r="J48" s="1496">
        <f t="shared" ref="J48:J53" si="3">ROUND(SUM(G48:I48),2)</f>
        <v>0</v>
      </c>
      <c r="K48" s="745">
        <f t="shared" si="2"/>
        <v>0</v>
      </c>
    </row>
    <row r="49" spans="1:11" ht="21.95" hidden="1" customHeight="1">
      <c r="A49" s="2572"/>
      <c r="B49" s="2843"/>
      <c r="C49" s="2924"/>
      <c r="D49" s="1089" t="s">
        <v>2476</v>
      </c>
      <c r="F49" s="1442"/>
      <c r="G49" s="1570">
        <f>(G46*3+G47)*G45</f>
        <v>0</v>
      </c>
      <c r="H49" s="1570"/>
      <c r="I49" s="1570"/>
      <c r="J49" s="1496">
        <f t="shared" si="3"/>
        <v>0</v>
      </c>
      <c r="K49" s="745">
        <f t="shared" si="2"/>
        <v>0</v>
      </c>
    </row>
    <row r="50" spans="1:11" ht="21.95" hidden="1" customHeight="1">
      <c r="A50" s="2572"/>
      <c r="B50" s="2843"/>
      <c r="C50" s="2924"/>
      <c r="D50" s="1089" t="s">
        <v>1923</v>
      </c>
      <c r="F50" s="1442"/>
      <c r="G50" s="1570">
        <f>(G49+G48)/2*G46</f>
        <v>0</v>
      </c>
      <c r="H50" s="1570"/>
      <c r="I50" s="1570"/>
      <c r="J50" s="1720">
        <f t="shared" si="3"/>
        <v>0</v>
      </c>
      <c r="K50" s="745">
        <f t="shared" si="2"/>
        <v>0</v>
      </c>
    </row>
    <row r="51" spans="1:11" ht="21.95" hidden="1" customHeight="1" thickBot="1">
      <c r="A51" s="2572"/>
      <c r="B51" s="2843"/>
      <c r="C51" s="2925"/>
      <c r="D51" s="936" t="s">
        <v>2103</v>
      </c>
      <c r="G51" s="1570">
        <f>G50*1.25</f>
        <v>0</v>
      </c>
      <c r="H51" s="1570"/>
      <c r="I51" s="1570"/>
      <c r="J51" s="1707">
        <f t="shared" si="3"/>
        <v>0</v>
      </c>
      <c r="K51" s="745">
        <f t="shared" si="2"/>
        <v>0</v>
      </c>
    </row>
    <row r="52" spans="1:11" ht="21.95" hidden="1" customHeight="1" thickBot="1">
      <c r="A52" s="2572"/>
      <c r="B52" s="2783" t="s">
        <v>2693</v>
      </c>
      <c r="C52" s="2784"/>
      <c r="D52" s="2785"/>
      <c r="E52" s="1803"/>
      <c r="F52" s="1565"/>
      <c r="G52" s="1598">
        <f>G77+G93+G98</f>
        <v>0</v>
      </c>
      <c r="H52" s="1598"/>
      <c r="I52" s="1598"/>
      <c r="J52" s="1732">
        <f t="shared" si="3"/>
        <v>0</v>
      </c>
      <c r="K52" s="745">
        <f t="shared" si="2"/>
        <v>0</v>
      </c>
    </row>
    <row r="53" spans="1:11" ht="21.95" hidden="1" customHeight="1">
      <c r="A53" s="2572"/>
      <c r="B53" s="2862" t="s">
        <v>2513</v>
      </c>
      <c r="C53" s="2894"/>
      <c r="D53" s="1448" t="s">
        <v>1539</v>
      </c>
      <c r="E53" s="1287"/>
      <c r="F53" s="1804"/>
      <c r="G53" s="1709">
        <f>G4</f>
        <v>0</v>
      </c>
      <c r="H53" s="1709"/>
      <c r="I53" s="1709"/>
      <c r="J53" s="1496">
        <f t="shared" si="3"/>
        <v>0</v>
      </c>
      <c r="K53" s="745">
        <f t="shared" si="2"/>
        <v>0</v>
      </c>
    </row>
    <row r="54" spans="1:11" ht="21.95" hidden="1" customHeight="1">
      <c r="A54" s="2572"/>
      <c r="B54" s="2861"/>
      <c r="C54" s="2904"/>
      <c r="D54" s="1089" t="s">
        <v>1477</v>
      </c>
      <c r="E54" s="1279"/>
      <c r="F54" s="1442"/>
      <c r="G54" s="1589">
        <f>G7</f>
        <v>0</v>
      </c>
      <c r="H54" s="1589"/>
      <c r="I54" s="1589"/>
      <c r="J54" s="1496"/>
      <c r="K54" s="745">
        <f t="shared" si="2"/>
        <v>0</v>
      </c>
    </row>
    <row r="55" spans="1:11" ht="21.95" customHeight="1" thickTop="1">
      <c r="A55" s="2572"/>
      <c r="B55" s="2861"/>
      <c r="C55" s="2904"/>
      <c r="D55" s="1481" t="s">
        <v>2006</v>
      </c>
      <c r="E55" s="1279"/>
      <c r="F55" s="1442"/>
      <c r="G55" s="1805">
        <v>10</v>
      </c>
      <c r="H55" s="1805"/>
      <c r="I55" s="1805"/>
      <c r="J55" s="1496"/>
      <c r="K55" s="745">
        <f t="shared" si="2"/>
        <v>10</v>
      </c>
    </row>
    <row r="56" spans="1:11" ht="21.95" hidden="1" customHeight="1">
      <c r="A56" s="2572"/>
      <c r="B56" s="2863"/>
      <c r="C56" s="2747"/>
      <c r="D56" s="1806" t="s">
        <v>1693</v>
      </c>
      <c r="F56" s="1442"/>
      <c r="G56" s="1570">
        <f>G53*G54</f>
        <v>0</v>
      </c>
      <c r="H56" s="1570"/>
      <c r="I56" s="1570"/>
      <c r="J56" s="1496">
        <f>ROUND(SUM(G56:I56),2)</f>
        <v>0</v>
      </c>
      <c r="K56" s="745">
        <f t="shared" si="2"/>
        <v>0</v>
      </c>
    </row>
    <row r="57" spans="1:11" ht="21.95" hidden="1" customHeight="1">
      <c r="A57" s="2572"/>
      <c r="B57" s="2863"/>
      <c r="C57" s="2747"/>
      <c r="D57" s="1481" t="s">
        <v>1831</v>
      </c>
      <c r="E57" s="1623"/>
      <c r="F57" s="1601"/>
      <c r="G57" s="1586">
        <f>G56*G55/100</f>
        <v>0</v>
      </c>
      <c r="H57" s="1586"/>
      <c r="I57" s="1586"/>
      <c r="J57" s="1715">
        <f>ROUND(SUM(G57:I57),2)</f>
        <v>0</v>
      </c>
      <c r="K57" s="745">
        <f t="shared" si="2"/>
        <v>0</v>
      </c>
    </row>
    <row r="58" spans="1:11" ht="21.95" hidden="1" customHeight="1">
      <c r="A58" s="2572"/>
      <c r="B58" s="2863"/>
      <c r="C58" s="2747"/>
      <c r="D58" s="1798" t="s">
        <v>2503</v>
      </c>
      <c r="F58" s="1442"/>
      <c r="G58" s="1296"/>
      <c r="H58" s="1296"/>
      <c r="I58" s="1296"/>
      <c r="J58" s="962"/>
      <c r="K58" s="745">
        <f t="shared" si="2"/>
        <v>0</v>
      </c>
    </row>
    <row r="59" spans="1:11" ht="21.95" hidden="1" customHeight="1">
      <c r="A59" s="2572"/>
      <c r="B59" s="2863"/>
      <c r="C59" s="2747"/>
      <c r="D59" s="1806" t="s">
        <v>1577</v>
      </c>
      <c r="F59" s="1442"/>
      <c r="G59" s="1296"/>
      <c r="H59" s="1296"/>
      <c r="I59" s="1296"/>
      <c r="J59" s="962"/>
      <c r="K59" s="745">
        <f t="shared" si="2"/>
        <v>0</v>
      </c>
    </row>
    <row r="60" spans="1:11" ht="21.95" hidden="1" customHeight="1">
      <c r="A60" s="2572"/>
      <c r="B60" s="2863"/>
      <c r="C60" s="2747"/>
      <c r="D60" s="1806" t="s">
        <v>2407</v>
      </c>
      <c r="F60" s="1442"/>
      <c r="G60" s="1296"/>
      <c r="H60" s="1296"/>
      <c r="I60" s="1296"/>
      <c r="J60" s="962"/>
      <c r="K60" s="745">
        <f t="shared" si="2"/>
        <v>0</v>
      </c>
    </row>
    <row r="61" spans="1:11" ht="21.95" customHeight="1" thickBot="1">
      <c r="A61" s="2572"/>
      <c r="B61" s="2863"/>
      <c r="C61" s="2747"/>
      <c r="D61" s="1806" t="s">
        <v>1579</v>
      </c>
      <c r="F61" s="1442"/>
      <c r="G61" s="1296">
        <v>1</v>
      </c>
      <c r="H61" s="1296"/>
      <c r="I61" s="1296"/>
      <c r="J61" s="962"/>
      <c r="K61" s="745">
        <f t="shared" si="2"/>
        <v>1</v>
      </c>
    </row>
    <row r="62" spans="1:11" ht="21.95" hidden="1" customHeight="1">
      <c r="A62" s="2572"/>
      <c r="B62" s="2863"/>
      <c r="C62" s="2747"/>
      <c r="D62" s="1481" t="s">
        <v>2403</v>
      </c>
      <c r="E62" s="1623"/>
      <c r="F62" s="1601" t="s">
        <v>2694</v>
      </c>
      <c r="G62" s="1807"/>
      <c r="H62" s="1807"/>
      <c r="I62" s="1807"/>
      <c r="J62" s="1808"/>
      <c r="K62" s="745">
        <f t="shared" si="2"/>
        <v>0</v>
      </c>
    </row>
    <row r="63" spans="1:11" ht="21.95" hidden="1" customHeight="1">
      <c r="A63" s="2572"/>
      <c r="B63" s="2863"/>
      <c r="C63" s="2747"/>
      <c r="D63" s="1453" t="s">
        <v>2515</v>
      </c>
      <c r="F63" s="1442"/>
      <c r="G63" s="1296"/>
      <c r="H63" s="1296"/>
      <c r="I63" s="1296"/>
      <c r="J63" s="1720">
        <f t="shared" ref="J63:J75" si="4">ROUND(SUM(G63:I63),2)</f>
        <v>0</v>
      </c>
      <c r="K63" s="745"/>
    </row>
    <row r="64" spans="1:11" ht="21.95" hidden="1" customHeight="1">
      <c r="A64" s="2572"/>
      <c r="B64" s="2863"/>
      <c r="C64" s="2747"/>
      <c r="D64" s="1089" t="s">
        <v>2516</v>
      </c>
      <c r="F64" s="1442"/>
      <c r="G64" s="1296"/>
      <c r="H64" s="1296"/>
      <c r="I64" s="1296"/>
      <c r="J64" s="1720">
        <f t="shared" si="4"/>
        <v>0</v>
      </c>
      <c r="K64" s="745"/>
    </row>
    <row r="65" spans="1:11" ht="21.95" hidden="1" customHeight="1">
      <c r="A65" s="2572"/>
      <c r="B65" s="2863"/>
      <c r="C65" s="2747"/>
      <c r="D65" s="1089" t="s">
        <v>2517</v>
      </c>
      <c r="F65" s="1442"/>
      <c r="G65" s="1296"/>
      <c r="H65" s="1296"/>
      <c r="I65" s="1296"/>
      <c r="J65" s="1720">
        <f t="shared" si="4"/>
        <v>0</v>
      </c>
      <c r="K65" s="745"/>
    </row>
    <row r="66" spans="1:11" ht="21.95" hidden="1" customHeight="1">
      <c r="A66" s="2572"/>
      <c r="B66" s="2863"/>
      <c r="C66" s="2747"/>
      <c r="D66" s="1089" t="s">
        <v>2518</v>
      </c>
      <c r="F66" s="1442"/>
      <c r="G66" s="1296"/>
      <c r="H66" s="1296"/>
      <c r="I66" s="1296"/>
      <c r="J66" s="1720">
        <f t="shared" si="4"/>
        <v>0</v>
      </c>
      <c r="K66" s="745"/>
    </row>
    <row r="67" spans="1:11" ht="21.95" hidden="1" customHeight="1">
      <c r="A67" s="2572"/>
      <c r="B67" s="2863"/>
      <c r="C67" s="2747"/>
      <c r="D67" s="1089" t="s">
        <v>2032</v>
      </c>
      <c r="F67" s="1442"/>
      <c r="G67" s="1570">
        <f>IF(COUNTA(G58:G61)&gt;1,G57,0)</f>
        <v>0</v>
      </c>
      <c r="H67" s="1570"/>
      <c r="I67" s="1570"/>
      <c r="J67" s="1720">
        <f t="shared" si="4"/>
        <v>0</v>
      </c>
      <c r="K67" s="745">
        <f>SUM(G67:J67)</f>
        <v>0</v>
      </c>
    </row>
    <row r="68" spans="1:11" ht="21.95" hidden="1" customHeight="1">
      <c r="A68" s="2572"/>
      <c r="B68" s="2863"/>
      <c r="C68" s="2747"/>
      <c r="D68" s="1089" t="s">
        <v>2034</v>
      </c>
      <c r="F68" s="1442"/>
      <c r="G68" s="1570">
        <f>IF(G60=100%,G57,0)</f>
        <v>0</v>
      </c>
      <c r="H68" s="1570"/>
      <c r="I68" s="1570"/>
      <c r="J68" s="1720">
        <f t="shared" si="4"/>
        <v>0</v>
      </c>
      <c r="K68" s="745"/>
    </row>
    <row r="69" spans="1:11" ht="21.95" hidden="1" customHeight="1">
      <c r="A69" s="2572"/>
      <c r="B69" s="2863"/>
      <c r="C69" s="2747"/>
      <c r="D69" s="1089" t="s">
        <v>2519</v>
      </c>
      <c r="E69" s="1623"/>
      <c r="F69" s="1601"/>
      <c r="G69" s="1586">
        <f>IF(G61=100%,G57,0)</f>
        <v>0</v>
      </c>
      <c r="H69" s="1586"/>
      <c r="I69" s="1586"/>
      <c r="J69" s="1769">
        <f t="shared" si="4"/>
        <v>0</v>
      </c>
      <c r="K69" s="745"/>
    </row>
    <row r="70" spans="1:11" ht="21.95" hidden="1" customHeight="1">
      <c r="A70" s="2572"/>
      <c r="B70" s="2863"/>
      <c r="C70" s="2747"/>
      <c r="D70" s="1798" t="s">
        <v>1847</v>
      </c>
      <c r="F70" s="1442"/>
      <c r="G70" s="1570">
        <f>G62*G57*1.4</f>
        <v>0</v>
      </c>
      <c r="H70" s="1570"/>
      <c r="I70" s="1570"/>
      <c r="J70" s="1720">
        <f t="shared" si="4"/>
        <v>0</v>
      </c>
      <c r="K70" s="745">
        <f t="shared" ref="K70:K101" si="5">SUM(G70:J70)</f>
        <v>0</v>
      </c>
    </row>
    <row r="71" spans="1:11" ht="21.95" hidden="1" customHeight="1">
      <c r="A71" s="2572"/>
      <c r="B71" s="2863"/>
      <c r="C71" s="2747"/>
      <c r="D71" s="1806" t="s">
        <v>2035</v>
      </c>
      <c r="F71" s="1442"/>
      <c r="G71" s="1570">
        <f>G57*G58*1.25</f>
        <v>0</v>
      </c>
      <c r="H71" s="1570"/>
      <c r="I71" s="1570"/>
      <c r="J71" s="1720">
        <f t="shared" si="4"/>
        <v>0</v>
      </c>
      <c r="K71" s="745">
        <f t="shared" si="5"/>
        <v>0</v>
      </c>
    </row>
    <row r="72" spans="1:11" ht="32.1" hidden="1" customHeight="1">
      <c r="A72" s="2572"/>
      <c r="B72" s="2863"/>
      <c r="C72" s="2747"/>
      <c r="D72" s="1806" t="s">
        <v>2695</v>
      </c>
      <c r="F72" s="1442"/>
      <c r="G72" s="1570">
        <f>G57*G59*1.375</f>
        <v>0</v>
      </c>
      <c r="H72" s="1570"/>
      <c r="I72" s="1570"/>
      <c r="J72" s="1720">
        <f t="shared" si="4"/>
        <v>0</v>
      </c>
      <c r="K72" s="745">
        <f t="shared" si="5"/>
        <v>0</v>
      </c>
    </row>
    <row r="73" spans="1:11" ht="21.95" hidden="1" customHeight="1">
      <c r="A73" s="2572"/>
      <c r="B73" s="2863"/>
      <c r="C73" s="2747"/>
      <c r="D73" s="1806" t="s">
        <v>2010</v>
      </c>
      <c r="F73" s="1442"/>
      <c r="G73" s="1570">
        <f>G57*G60*1.25</f>
        <v>0</v>
      </c>
      <c r="H73" s="1570"/>
      <c r="I73" s="1570"/>
      <c r="J73" s="1720">
        <f t="shared" si="4"/>
        <v>0</v>
      </c>
      <c r="K73" s="745">
        <f t="shared" si="5"/>
        <v>0</v>
      </c>
    </row>
    <row r="74" spans="1:11" ht="21.95" hidden="1" customHeight="1" thickBot="1">
      <c r="A74" s="2572"/>
      <c r="B74" s="2898"/>
      <c r="C74" s="2895"/>
      <c r="D74" s="936" t="s">
        <v>2012</v>
      </c>
      <c r="E74" s="1291"/>
      <c r="F74" s="1563"/>
      <c r="G74" s="1564">
        <f>G57*G61*1.375</f>
        <v>0</v>
      </c>
      <c r="H74" s="1564"/>
      <c r="I74" s="1564"/>
      <c r="J74" s="1707">
        <f t="shared" si="4"/>
        <v>0</v>
      </c>
      <c r="K74" s="745">
        <f t="shared" si="5"/>
        <v>0</v>
      </c>
    </row>
    <row r="75" spans="1:11" ht="21.95" hidden="1" customHeight="1">
      <c r="A75" s="2572"/>
      <c r="B75" s="2575" t="s">
        <v>2015</v>
      </c>
      <c r="C75" s="2710"/>
      <c r="D75" s="1453" t="s">
        <v>1539</v>
      </c>
      <c r="E75" s="1273"/>
      <c r="F75" s="1464" t="s">
        <v>2696</v>
      </c>
      <c r="G75" s="1709">
        <f>G4</f>
        <v>0</v>
      </c>
      <c r="H75" s="1709"/>
      <c r="I75" s="1709"/>
      <c r="J75" s="1496">
        <f t="shared" si="4"/>
        <v>0</v>
      </c>
      <c r="K75" s="745">
        <f t="shared" si="5"/>
        <v>0</v>
      </c>
    </row>
    <row r="76" spans="1:11" ht="21.95" hidden="1" customHeight="1">
      <c r="A76" s="2572"/>
      <c r="B76" s="2575"/>
      <c r="C76" s="2710"/>
      <c r="D76" s="1089" t="s">
        <v>2697</v>
      </c>
      <c r="E76" s="1279"/>
      <c r="F76" s="1442"/>
      <c r="G76" s="1570">
        <f>IF(G75=0,0,G7)</f>
        <v>0</v>
      </c>
      <c r="H76" s="1570"/>
      <c r="I76" s="1570"/>
      <c r="J76" s="1496"/>
      <c r="K76" s="745">
        <f t="shared" si="5"/>
        <v>0</v>
      </c>
    </row>
    <row r="77" spans="1:11" ht="21.95" hidden="1" customHeight="1">
      <c r="A77" s="2572"/>
      <c r="B77" s="2575"/>
      <c r="C77" s="2710"/>
      <c r="D77" s="1631" t="s">
        <v>1693</v>
      </c>
      <c r="E77" s="1279"/>
      <c r="F77" s="1442"/>
      <c r="G77" s="1570">
        <f>G76*G75</f>
        <v>0</v>
      </c>
      <c r="H77" s="1570"/>
      <c r="I77" s="1570"/>
      <c r="J77" s="1720">
        <f>ROUND(SUM(G77:I77),2)</f>
        <v>0</v>
      </c>
      <c r="K77" s="745">
        <f t="shared" si="5"/>
        <v>0</v>
      </c>
    </row>
    <row r="78" spans="1:11" ht="21.95" hidden="1" customHeight="1" thickBot="1">
      <c r="A78" s="2572"/>
      <c r="B78" s="2749"/>
      <c r="C78" s="2701"/>
      <c r="D78" s="936" t="s">
        <v>2698</v>
      </c>
      <c r="E78" s="1283"/>
      <c r="F78" s="1563"/>
      <c r="G78" s="1564">
        <f>G77*0.0013</f>
        <v>0</v>
      </c>
      <c r="H78" s="1564"/>
      <c r="I78" s="1564"/>
      <c r="J78" s="1707">
        <f>ROUND(SUM(G78:I78),2)</f>
        <v>0</v>
      </c>
      <c r="K78" s="745">
        <f t="shared" si="5"/>
        <v>0</v>
      </c>
    </row>
    <row r="79" spans="1:11" ht="21.95" hidden="1" customHeight="1">
      <c r="A79" s="2572"/>
      <c r="B79" s="2748" t="s">
        <v>2268</v>
      </c>
      <c r="C79" s="2700"/>
      <c r="D79" s="1806" t="s">
        <v>1539</v>
      </c>
      <c r="F79" s="1442"/>
      <c r="G79" s="1589"/>
      <c r="H79" s="1589"/>
      <c r="I79" s="1589"/>
      <c r="J79" s="1496">
        <f>ROUND(SUM(G79:I79),2)</f>
        <v>0</v>
      </c>
      <c r="K79" s="745">
        <f t="shared" si="5"/>
        <v>0</v>
      </c>
    </row>
    <row r="80" spans="1:11" ht="21.95" hidden="1" customHeight="1">
      <c r="A80" s="2572"/>
      <c r="B80" s="2575"/>
      <c r="C80" s="2710"/>
      <c r="D80" s="1089" t="s">
        <v>1477</v>
      </c>
      <c r="F80" s="1442"/>
      <c r="G80" s="1589"/>
      <c r="H80" s="1589"/>
      <c r="I80" s="1589"/>
      <c r="J80" s="1496"/>
      <c r="K80" s="745">
        <f t="shared" si="5"/>
        <v>0</v>
      </c>
    </row>
    <row r="81" spans="1:18" ht="21.95" hidden="1" customHeight="1">
      <c r="A81" s="2572"/>
      <c r="B81" s="2575"/>
      <c r="C81" s="2710"/>
      <c r="D81" s="1809" t="s">
        <v>1693</v>
      </c>
      <c r="F81" s="1442"/>
      <c r="G81" s="1570">
        <f>G80*G79</f>
        <v>0</v>
      </c>
      <c r="H81" s="1570"/>
      <c r="I81" s="1570"/>
      <c r="J81" s="1720">
        <f>ROUND(SUM(G81:I81),2)</f>
        <v>0</v>
      </c>
      <c r="K81" s="745">
        <f t="shared" si="5"/>
        <v>0</v>
      </c>
    </row>
    <row r="82" spans="1:18" ht="21.95" hidden="1" customHeight="1" thickBot="1">
      <c r="A82" s="2572"/>
      <c r="B82" s="2749"/>
      <c r="C82" s="2701"/>
      <c r="D82" s="936" t="s">
        <v>2699</v>
      </c>
      <c r="E82" s="1291"/>
      <c r="F82" s="1563"/>
      <c r="G82" s="1564">
        <f>G81*0.0005</f>
        <v>0</v>
      </c>
      <c r="H82" s="1564"/>
      <c r="I82" s="1564"/>
      <c r="J82" s="1707">
        <f>ROUND(SUM(G82:I82),2)</f>
        <v>0</v>
      </c>
      <c r="K82" s="745">
        <f t="shared" si="5"/>
        <v>0</v>
      </c>
    </row>
    <row r="83" spans="1:18" ht="21.95" customHeight="1" thickBot="1">
      <c r="A83" s="2572"/>
      <c r="B83" s="2766" t="s">
        <v>2412</v>
      </c>
      <c r="C83" s="2920" t="s">
        <v>2700</v>
      </c>
      <c r="D83" s="1480" t="s">
        <v>2006</v>
      </c>
      <c r="F83" s="1442"/>
      <c r="G83" s="1810">
        <v>2</v>
      </c>
      <c r="H83" s="1810"/>
      <c r="I83" s="1810"/>
      <c r="J83" s="1778"/>
      <c r="K83" s="745">
        <f t="shared" si="5"/>
        <v>2</v>
      </c>
    </row>
    <row r="84" spans="1:18" ht="21.95" hidden="1" customHeight="1">
      <c r="A84" s="2572"/>
      <c r="B84" s="2767"/>
      <c r="C84" s="2921"/>
      <c r="D84" s="1089" t="s">
        <v>1693</v>
      </c>
      <c r="F84" s="1442"/>
      <c r="G84" s="1570">
        <f>IF(G83=0,0,G77+G81)</f>
        <v>0</v>
      </c>
      <c r="H84" s="1570"/>
      <c r="I84" s="1570"/>
      <c r="J84" s="1496">
        <f t="shared" ref="J84:J90" si="6">ROUND(SUM(G84:I84),2)</f>
        <v>0</v>
      </c>
      <c r="K84" s="745">
        <f t="shared" si="5"/>
        <v>0</v>
      </c>
    </row>
    <row r="85" spans="1:18" ht="21.95" hidden="1" customHeight="1">
      <c r="A85" s="2572"/>
      <c r="B85" s="2767"/>
      <c r="C85" s="2921"/>
      <c r="D85" s="1089" t="s">
        <v>2701</v>
      </c>
      <c r="F85" s="1442"/>
      <c r="G85" s="1570">
        <f>G84*G83/100</f>
        <v>0</v>
      </c>
      <c r="H85" s="1570"/>
      <c r="I85" s="1570"/>
      <c r="J85" s="1720">
        <f t="shared" si="6"/>
        <v>0</v>
      </c>
      <c r="K85" s="745">
        <f t="shared" si="5"/>
        <v>0</v>
      </c>
    </row>
    <row r="86" spans="1:18" ht="21.95" hidden="1" customHeight="1">
      <c r="A86" s="2572"/>
      <c r="B86" s="2767"/>
      <c r="C86" s="2921"/>
      <c r="D86" s="1089" t="s">
        <v>2702</v>
      </c>
      <c r="F86" s="1442"/>
      <c r="G86" s="1570">
        <f>G85*2.5548</f>
        <v>0</v>
      </c>
      <c r="H86" s="1570"/>
      <c r="I86" s="1570"/>
      <c r="J86" s="1496">
        <f t="shared" si="6"/>
        <v>0</v>
      </c>
      <c r="K86" s="745">
        <f t="shared" si="5"/>
        <v>0</v>
      </c>
    </row>
    <row r="87" spans="1:18" ht="21.95" hidden="1" customHeight="1">
      <c r="A87" s="2572"/>
      <c r="B87" s="2767"/>
      <c r="C87" s="2921"/>
      <c r="D87" s="747" t="s">
        <v>2703</v>
      </c>
      <c r="F87" s="1442"/>
      <c r="G87" s="1570">
        <f>G86*0.06</f>
        <v>0</v>
      </c>
      <c r="H87" s="1570"/>
      <c r="I87" s="1570"/>
      <c r="J87" s="1720">
        <f t="shared" si="6"/>
        <v>0</v>
      </c>
      <c r="K87" s="745">
        <f t="shared" si="5"/>
        <v>0</v>
      </c>
    </row>
    <row r="88" spans="1:18" ht="21.95" hidden="1" customHeight="1">
      <c r="A88" s="2572"/>
      <c r="B88" s="2767"/>
      <c r="C88" s="2921"/>
      <c r="D88" s="1345" t="s">
        <v>2021</v>
      </c>
      <c r="F88" s="1442"/>
      <c r="G88" s="1570">
        <f>G86*0.161</f>
        <v>0</v>
      </c>
      <c r="H88" s="1570"/>
      <c r="I88" s="1570"/>
      <c r="J88" s="1720">
        <f t="shared" si="6"/>
        <v>0</v>
      </c>
      <c r="K88" s="745">
        <f t="shared" si="5"/>
        <v>0</v>
      </c>
    </row>
    <row r="89" spans="1:18" ht="21.95" hidden="1" customHeight="1" thickBot="1">
      <c r="A89" s="2572"/>
      <c r="B89" s="2767"/>
      <c r="C89" s="2922"/>
      <c r="D89" s="1346" t="s">
        <v>2022</v>
      </c>
      <c r="E89" s="1291"/>
      <c r="F89" s="1563"/>
      <c r="G89" s="1564">
        <f>G86*0.447</f>
        <v>0</v>
      </c>
      <c r="H89" s="1564"/>
      <c r="I89" s="1564"/>
      <c r="J89" s="1707">
        <f t="shared" si="6"/>
        <v>0</v>
      </c>
      <c r="K89" s="745">
        <f t="shared" si="5"/>
        <v>0</v>
      </c>
    </row>
    <row r="90" spans="1:18" ht="21.95" hidden="1" customHeight="1">
      <c r="A90" s="2572"/>
      <c r="B90" s="2767"/>
      <c r="C90" s="2920" t="s">
        <v>2704</v>
      </c>
      <c r="D90" s="1448" t="s">
        <v>1539</v>
      </c>
      <c r="F90" s="1804"/>
      <c r="G90" s="1589"/>
      <c r="H90" s="1589"/>
      <c r="I90" s="1589"/>
      <c r="J90" s="1496">
        <f t="shared" si="6"/>
        <v>0</v>
      </c>
      <c r="K90" s="745">
        <f t="shared" si="5"/>
        <v>0</v>
      </c>
      <c r="L90" s="2690" t="s">
        <v>1859</v>
      </c>
      <c r="M90" s="2691"/>
      <c r="N90" s="2909" t="s">
        <v>1860</v>
      </c>
      <c r="O90" s="2691"/>
      <c r="P90" s="2909" t="s">
        <v>1861</v>
      </c>
      <c r="Q90" s="2908"/>
      <c r="R90" s="1811" t="s">
        <v>1863</v>
      </c>
    </row>
    <row r="91" spans="1:18" ht="21.95" hidden="1" customHeight="1">
      <c r="A91" s="2572"/>
      <c r="B91" s="2767"/>
      <c r="C91" s="2921"/>
      <c r="D91" s="1089" t="s">
        <v>2697</v>
      </c>
      <c r="E91" s="1279"/>
      <c r="F91" s="1442"/>
      <c r="G91" s="1570">
        <f>IF(G90=0,0,G7)</f>
        <v>0</v>
      </c>
      <c r="H91" s="1570"/>
      <c r="I91" s="1570"/>
      <c r="J91" s="1496"/>
      <c r="K91" s="745">
        <f t="shared" si="5"/>
        <v>0</v>
      </c>
      <c r="L91" s="1121" t="s">
        <v>1868</v>
      </c>
      <c r="M91" s="1121" t="s">
        <v>1869</v>
      </c>
      <c r="N91" s="1749" t="s">
        <v>1868</v>
      </c>
      <c r="O91" s="1121" t="s">
        <v>1869</v>
      </c>
      <c r="P91" s="1749" t="s">
        <v>1868</v>
      </c>
      <c r="Q91" s="1748" t="s">
        <v>1869</v>
      </c>
      <c r="R91" s="1812" t="s">
        <v>2621</v>
      </c>
    </row>
    <row r="92" spans="1:18" ht="21.95" hidden="1" customHeight="1">
      <c r="A92" s="2572"/>
      <c r="B92" s="2767"/>
      <c r="C92" s="2921"/>
      <c r="D92" s="1481" t="s">
        <v>2006</v>
      </c>
      <c r="E92" s="1279"/>
      <c r="F92" s="1442"/>
      <c r="G92" s="1805"/>
      <c r="H92" s="1805"/>
      <c r="I92" s="1805"/>
      <c r="J92" s="1496"/>
      <c r="K92" s="745">
        <f t="shared" si="5"/>
        <v>0</v>
      </c>
      <c r="L92" s="1125">
        <v>94963</v>
      </c>
      <c r="M92" s="1125">
        <v>94964</v>
      </c>
      <c r="N92" s="1753">
        <v>94963</v>
      </c>
      <c r="O92" s="1125">
        <v>94964</v>
      </c>
      <c r="P92" s="1753">
        <v>94963</v>
      </c>
      <c r="Q92" s="1752">
        <v>94964</v>
      </c>
      <c r="R92" s="1813"/>
    </row>
    <row r="93" spans="1:18" ht="21.95" hidden="1" customHeight="1">
      <c r="A93" s="2572"/>
      <c r="B93" s="2767"/>
      <c r="C93" s="2921"/>
      <c r="D93" s="1490" t="s">
        <v>1693</v>
      </c>
      <c r="F93" s="1442"/>
      <c r="G93" s="1570">
        <f>IF(G90=0,0,G91*G90)</f>
        <v>0</v>
      </c>
      <c r="H93" s="1570"/>
      <c r="I93" s="1570"/>
      <c r="J93" s="1720">
        <f>ROUND(SUM(G93:I93),2)</f>
        <v>0</v>
      </c>
      <c r="K93" s="745">
        <f t="shared" si="5"/>
        <v>0</v>
      </c>
      <c r="L93" s="1130">
        <v>273.06</v>
      </c>
      <c r="M93" s="1130">
        <v>322.98</v>
      </c>
      <c r="N93" s="1756">
        <v>0.80500000000000005</v>
      </c>
      <c r="O93" s="1132">
        <v>0.75580000000000003</v>
      </c>
      <c r="P93" s="1756">
        <v>0.57899999999999996</v>
      </c>
      <c r="Q93" s="1757">
        <v>0.58699999999999997</v>
      </c>
      <c r="R93" s="1814">
        <v>1</v>
      </c>
    </row>
    <row r="94" spans="1:18" ht="21.95" hidden="1" customHeight="1" thickBot="1">
      <c r="A94" s="2572"/>
      <c r="B94" s="2767"/>
      <c r="C94" s="2922"/>
      <c r="D94" s="936" t="s">
        <v>1923</v>
      </c>
      <c r="E94" s="1291"/>
      <c r="F94" s="1563"/>
      <c r="G94" s="1564">
        <f>G93*G92/100</f>
        <v>0</v>
      </c>
      <c r="H94" s="1564"/>
      <c r="I94" s="1564"/>
      <c r="J94" s="1707">
        <f>ROUND(SUM(G94:I94),2)</f>
        <v>0</v>
      </c>
      <c r="K94" s="745">
        <f t="shared" si="5"/>
        <v>0</v>
      </c>
      <c r="L94" s="1137"/>
      <c r="M94" s="1137">
        <v>1.2130000000000001</v>
      </c>
      <c r="N94" s="1771"/>
      <c r="O94" s="1137">
        <v>1.2130000000000001</v>
      </c>
      <c r="P94" s="1771"/>
      <c r="Q94" s="1137">
        <v>1.2130000000000001</v>
      </c>
      <c r="R94" s="1815">
        <v>0.01</v>
      </c>
    </row>
    <row r="95" spans="1:18" ht="21.95" hidden="1" customHeight="1">
      <c r="A95" s="2572"/>
      <c r="B95" s="2767"/>
      <c r="C95" s="2920" t="s">
        <v>2705</v>
      </c>
      <c r="D95" s="1480" t="s">
        <v>2706</v>
      </c>
      <c r="E95" s="1273"/>
      <c r="F95" s="1560"/>
      <c r="G95" s="1816"/>
      <c r="H95" s="1816"/>
      <c r="I95" s="1816"/>
      <c r="J95" s="1710"/>
      <c r="K95" s="745">
        <f t="shared" si="5"/>
        <v>0</v>
      </c>
    </row>
    <row r="96" spans="1:18" ht="21.95" hidden="1" customHeight="1">
      <c r="A96" s="2572"/>
      <c r="B96" s="2767"/>
      <c r="C96" s="2921"/>
      <c r="D96" s="1089" t="s">
        <v>1539</v>
      </c>
      <c r="F96" s="1442"/>
      <c r="G96" s="1589"/>
      <c r="H96" s="1589"/>
      <c r="I96" s="1589"/>
      <c r="J96" s="1496">
        <f>ROUND(SUM(G96:I96),2)</f>
        <v>0</v>
      </c>
      <c r="K96" s="745">
        <f t="shared" si="5"/>
        <v>0</v>
      </c>
    </row>
    <row r="97" spans="1:18" ht="21.95" hidden="1" customHeight="1">
      <c r="A97" s="2572"/>
      <c r="B97" s="2767"/>
      <c r="C97" s="2921"/>
      <c r="D97" s="1089" t="s">
        <v>2697</v>
      </c>
      <c r="F97" s="1442"/>
      <c r="G97" s="1570">
        <f>IF(G96=0,0,G7)</f>
        <v>0</v>
      </c>
      <c r="H97" s="1570"/>
      <c r="I97" s="1570"/>
      <c r="J97" s="1778"/>
      <c r="K97" s="745">
        <f t="shared" si="5"/>
        <v>0</v>
      </c>
    </row>
    <row r="98" spans="1:18" ht="21.95" hidden="1" customHeight="1">
      <c r="A98" s="2572"/>
      <c r="B98" s="2767"/>
      <c r="C98" s="2921"/>
      <c r="D98" s="1089" t="s">
        <v>2707</v>
      </c>
      <c r="F98" s="1442"/>
      <c r="G98" s="1570">
        <f>G97*G96</f>
        <v>0</v>
      </c>
      <c r="H98" s="1570"/>
      <c r="I98" s="1570"/>
      <c r="J98" s="1720">
        <f t="shared" ref="J98:J130" si="7">ROUND(SUM(G98:I98),2)</f>
        <v>0</v>
      </c>
      <c r="K98" s="745">
        <f t="shared" si="5"/>
        <v>0</v>
      </c>
    </row>
    <row r="99" spans="1:18" ht="21.95" hidden="1" customHeight="1" thickBot="1">
      <c r="A99" s="2572"/>
      <c r="B99" s="2768"/>
      <c r="C99" s="2922"/>
      <c r="D99" s="936" t="s">
        <v>2708</v>
      </c>
      <c r="E99" s="1291"/>
      <c r="F99" s="1563"/>
      <c r="G99" s="1564">
        <f>G98*0.0633</f>
        <v>0</v>
      </c>
      <c r="H99" s="1564"/>
      <c r="I99" s="1564"/>
      <c r="J99" s="1707">
        <f t="shared" si="7"/>
        <v>0</v>
      </c>
      <c r="K99" s="745">
        <f t="shared" si="5"/>
        <v>0</v>
      </c>
    </row>
    <row r="100" spans="1:18" ht="21.95" hidden="1" customHeight="1" thickBot="1">
      <c r="A100" s="2572"/>
      <c r="B100" s="2919" t="s">
        <v>2709</v>
      </c>
      <c r="C100" s="2867"/>
      <c r="D100" s="1717" t="s">
        <v>2710</v>
      </c>
      <c r="F100" s="1442"/>
      <c r="G100" s="1817">
        <f>2*G4</f>
        <v>0</v>
      </c>
      <c r="H100" s="1817"/>
      <c r="I100" s="1817"/>
      <c r="J100" s="1732">
        <f t="shared" si="7"/>
        <v>0</v>
      </c>
      <c r="K100" s="745">
        <f t="shared" si="5"/>
        <v>0</v>
      </c>
      <c r="L100" s="1137">
        <v>1.4999999999999999E-2</v>
      </c>
      <c r="M100" s="1137"/>
      <c r="N100" s="1771">
        <v>1.4999999999999999E-2</v>
      </c>
      <c r="O100" s="1137"/>
      <c r="P100" s="1771">
        <v>1.4999999999999999E-2</v>
      </c>
      <c r="Q100" s="1772"/>
      <c r="R100" s="1815"/>
    </row>
    <row r="101" spans="1:18" ht="21.95" hidden="1" customHeight="1">
      <c r="A101" s="2572"/>
      <c r="B101" s="2575"/>
      <c r="C101" s="2710"/>
      <c r="D101" s="1453" t="s">
        <v>2394</v>
      </c>
      <c r="F101" s="1442"/>
      <c r="G101" s="1589"/>
      <c r="H101" s="1589"/>
      <c r="I101" s="1589"/>
      <c r="J101" s="1720">
        <f t="shared" si="7"/>
        <v>0</v>
      </c>
      <c r="K101" s="745">
        <f t="shared" si="5"/>
        <v>0</v>
      </c>
      <c r="L101" s="1137">
        <v>3.3000000000000002E-2</v>
      </c>
      <c r="M101" s="1137"/>
      <c r="N101" s="1771">
        <v>3.3000000000000002E-2</v>
      </c>
      <c r="O101" s="1137"/>
      <c r="P101" s="1771">
        <v>3.3000000000000002E-2</v>
      </c>
      <c r="Q101" s="1772"/>
      <c r="R101" s="1815"/>
    </row>
    <row r="102" spans="1:18" ht="21.95" hidden="1" customHeight="1">
      <c r="A102" s="2572"/>
      <c r="B102" s="2575"/>
      <c r="C102" s="2710"/>
      <c r="D102" s="1089" t="s">
        <v>2047</v>
      </c>
      <c r="F102" s="1442"/>
      <c r="G102" s="1589"/>
      <c r="H102" s="1589"/>
      <c r="I102" s="1589"/>
      <c r="J102" s="1720">
        <f t="shared" si="7"/>
        <v>0</v>
      </c>
      <c r="K102" s="745">
        <f t="shared" ref="K102:K130" si="8">SUM(G102:J102)</f>
        <v>0</v>
      </c>
      <c r="L102" s="1137">
        <v>6.4500000000000002E-2</v>
      </c>
      <c r="M102" s="1137"/>
      <c r="N102" s="1771">
        <v>6.4500000000000002E-2</v>
      </c>
      <c r="O102" s="1137"/>
      <c r="P102" s="1771">
        <v>6.4500000000000002E-2</v>
      </c>
      <c r="Q102" s="1772"/>
      <c r="R102" s="1815"/>
    </row>
    <row r="103" spans="1:18" ht="21.95" hidden="1" customHeight="1">
      <c r="A103" s="2572"/>
      <c r="B103" s="2575"/>
      <c r="C103" s="2710"/>
      <c r="D103" s="1089" t="s">
        <v>2370</v>
      </c>
      <c r="F103" s="1442"/>
      <c r="G103" s="1589"/>
      <c r="H103" s="1589"/>
      <c r="I103" s="1589"/>
      <c r="J103" s="1720">
        <f t="shared" si="7"/>
        <v>0</v>
      </c>
      <c r="K103" s="745">
        <f t="shared" si="8"/>
        <v>0</v>
      </c>
      <c r="L103" s="1137">
        <v>2.8500000000000001E-2</v>
      </c>
      <c r="M103" s="1137"/>
      <c r="N103" s="1771">
        <v>2.8500000000000001E-2</v>
      </c>
      <c r="O103" s="1137"/>
      <c r="P103" s="1771">
        <v>2.8500000000000001E-2</v>
      </c>
      <c r="Q103" s="1772"/>
      <c r="R103" s="1815"/>
    </row>
    <row r="104" spans="1:18" ht="21.95" hidden="1" customHeight="1" thickBot="1">
      <c r="A104" s="2572"/>
      <c r="B104" s="2749"/>
      <c r="C104" s="2701"/>
      <c r="D104" s="936" t="s">
        <v>2049</v>
      </c>
      <c r="E104" s="1291"/>
      <c r="F104" s="1563"/>
      <c r="G104" s="1713"/>
      <c r="H104" s="1713"/>
      <c r="I104" s="1713"/>
      <c r="J104" s="1707">
        <f t="shared" si="7"/>
        <v>0</v>
      </c>
      <c r="K104" s="745">
        <f t="shared" si="8"/>
        <v>0</v>
      </c>
      <c r="L104" s="1137">
        <v>3.3000000000000002E-2</v>
      </c>
      <c r="M104" s="1137"/>
      <c r="N104" s="1771">
        <v>3.3000000000000002E-2</v>
      </c>
      <c r="O104" s="1137"/>
      <c r="P104" s="1771">
        <v>3.3000000000000002E-2</v>
      </c>
      <c r="Q104" s="1772"/>
      <c r="R104" s="1815"/>
    </row>
    <row r="105" spans="1:18" ht="21.95" hidden="1" customHeight="1">
      <c r="A105" s="2572"/>
      <c r="B105" s="2748" t="s">
        <v>2338</v>
      </c>
      <c r="C105" s="2794"/>
      <c r="D105" s="1448" t="s">
        <v>1696</v>
      </c>
      <c r="F105" s="1442"/>
      <c r="G105" s="1589"/>
      <c r="H105" s="1589"/>
      <c r="I105" s="1589"/>
      <c r="J105" s="1720">
        <f t="shared" si="7"/>
        <v>0</v>
      </c>
      <c r="K105" s="745">
        <f t="shared" si="8"/>
        <v>0</v>
      </c>
    </row>
    <row r="106" spans="1:18" ht="21.95" hidden="1" customHeight="1">
      <c r="A106" s="2572"/>
      <c r="B106" s="2575"/>
      <c r="C106" s="2795"/>
      <c r="D106" s="1453" t="s">
        <v>2369</v>
      </c>
      <c r="F106" s="1442"/>
      <c r="G106" s="1589"/>
      <c r="H106" s="1589"/>
      <c r="I106" s="1589"/>
      <c r="J106" s="1720">
        <f t="shared" si="7"/>
        <v>0</v>
      </c>
      <c r="K106" s="745">
        <f t="shared" si="8"/>
        <v>0</v>
      </c>
    </row>
    <row r="107" spans="1:18" ht="21.95" hidden="1" customHeight="1">
      <c r="A107" s="2572"/>
      <c r="B107" s="2575"/>
      <c r="C107" s="2795"/>
      <c r="D107" s="1089" t="s">
        <v>2370</v>
      </c>
      <c r="F107" s="1442"/>
      <c r="G107" s="1589"/>
      <c r="H107" s="1589"/>
      <c r="I107" s="1589"/>
      <c r="J107" s="1720">
        <f t="shared" si="7"/>
        <v>0</v>
      </c>
      <c r="K107" s="745">
        <f t="shared" si="8"/>
        <v>0</v>
      </c>
    </row>
    <row r="108" spans="1:18" ht="21.95" hidden="1" customHeight="1">
      <c r="A108" s="2572"/>
      <c r="B108" s="2575"/>
      <c r="C108" s="2795"/>
      <c r="D108" s="1089" t="s">
        <v>2049</v>
      </c>
      <c r="F108" s="1442"/>
      <c r="G108" s="1589"/>
      <c r="H108" s="1589"/>
      <c r="I108" s="1589"/>
      <c r="J108" s="1720">
        <f t="shared" si="7"/>
        <v>0</v>
      </c>
      <c r="K108" s="745">
        <f t="shared" si="8"/>
        <v>0</v>
      </c>
    </row>
    <row r="109" spans="1:18" ht="21.95" hidden="1" customHeight="1" thickBot="1">
      <c r="A109" s="2572"/>
      <c r="B109" s="2749"/>
      <c r="C109" s="2879"/>
      <c r="D109" s="936" t="s">
        <v>2342</v>
      </c>
      <c r="E109" s="1291"/>
      <c r="F109" s="1563"/>
      <c r="G109" s="1570">
        <f>G107*0.0285+G108*0.033</f>
        <v>0</v>
      </c>
      <c r="H109" s="1570"/>
      <c r="I109" s="1570"/>
      <c r="J109" s="1707">
        <f t="shared" si="7"/>
        <v>0</v>
      </c>
      <c r="K109" s="745">
        <f t="shared" si="8"/>
        <v>0</v>
      </c>
    </row>
    <row r="110" spans="1:18" ht="21.95" hidden="1" customHeight="1">
      <c r="A110" s="2572"/>
      <c r="B110" s="2595" t="s">
        <v>1837</v>
      </c>
      <c r="C110" s="2708"/>
      <c r="D110" s="740" t="s">
        <v>2032</v>
      </c>
      <c r="E110" s="1287"/>
      <c r="F110" s="1560"/>
      <c r="G110" s="1561">
        <f>G67</f>
        <v>0</v>
      </c>
      <c r="H110" s="1561"/>
      <c r="I110" s="1561"/>
      <c r="J110" s="1720">
        <f t="shared" si="7"/>
        <v>0</v>
      </c>
      <c r="K110" s="745">
        <f t="shared" si="8"/>
        <v>0</v>
      </c>
    </row>
    <row r="111" spans="1:18" ht="21.95" hidden="1" customHeight="1">
      <c r="A111" s="2572"/>
      <c r="B111" s="2593"/>
      <c r="C111" s="2720"/>
      <c r="D111" s="1089" t="s">
        <v>1769</v>
      </c>
      <c r="F111" s="1442"/>
      <c r="G111" s="1570">
        <f>G14</f>
        <v>0</v>
      </c>
      <c r="H111" s="1570"/>
      <c r="I111" s="1570"/>
      <c r="J111" s="1720">
        <f t="shared" si="7"/>
        <v>0</v>
      </c>
      <c r="K111" s="745">
        <f t="shared" si="8"/>
        <v>0</v>
      </c>
    </row>
    <row r="112" spans="1:18" ht="21.95" hidden="1" customHeight="1" thickBot="1">
      <c r="A112" s="2572"/>
      <c r="B112" s="2594"/>
      <c r="C112" s="2709"/>
      <c r="D112" s="1526" t="s">
        <v>2347</v>
      </c>
      <c r="E112" s="1291"/>
      <c r="F112" s="1563"/>
      <c r="G112" s="1564">
        <f>G109*1.25</f>
        <v>0</v>
      </c>
      <c r="H112" s="1564"/>
      <c r="I112" s="1564"/>
      <c r="J112" s="1707">
        <f t="shared" si="7"/>
        <v>0</v>
      </c>
      <c r="K112" s="745">
        <f t="shared" si="8"/>
        <v>0</v>
      </c>
    </row>
    <row r="113" spans="1:11" ht="21.95" hidden="1" customHeight="1">
      <c r="A113" s="2572"/>
      <c r="B113" s="2748" t="s">
        <v>2711</v>
      </c>
      <c r="C113" s="2700"/>
      <c r="D113" s="740" t="s">
        <v>2348</v>
      </c>
      <c r="E113" s="1287"/>
      <c r="F113" s="1560"/>
      <c r="G113" s="1561">
        <f>G112</f>
        <v>0</v>
      </c>
      <c r="H113" s="1561"/>
      <c r="I113" s="1561"/>
      <c r="J113" s="1720">
        <f t="shared" si="7"/>
        <v>0</v>
      </c>
      <c r="K113" s="745">
        <f t="shared" si="8"/>
        <v>0</v>
      </c>
    </row>
    <row r="114" spans="1:11" ht="21.95" hidden="1" customHeight="1">
      <c r="A114" s="2572"/>
      <c r="B114" s="2575"/>
      <c r="C114" s="2710"/>
      <c r="D114" s="1089" t="s">
        <v>1769</v>
      </c>
      <c r="F114" s="1442"/>
      <c r="G114" s="1570">
        <f>(G14+G37+G44)*1.25</f>
        <v>0</v>
      </c>
      <c r="H114" s="1570"/>
      <c r="I114" s="1570"/>
      <c r="J114" s="1720">
        <f t="shared" si="7"/>
        <v>0</v>
      </c>
      <c r="K114" s="745">
        <f t="shared" si="8"/>
        <v>0</v>
      </c>
    </row>
    <row r="115" spans="1:11" ht="21.95" hidden="1" customHeight="1" thickBot="1">
      <c r="A115" s="2572"/>
      <c r="B115" s="2575"/>
      <c r="C115" s="2710"/>
      <c r="D115" s="1089" t="s">
        <v>1844</v>
      </c>
      <c r="F115" s="1442"/>
      <c r="G115" s="1570">
        <f>G50*1.25+G71</f>
        <v>0</v>
      </c>
      <c r="H115" s="1570"/>
      <c r="I115" s="1570"/>
      <c r="J115" s="1720">
        <f t="shared" si="7"/>
        <v>0</v>
      </c>
      <c r="K115" s="745">
        <f t="shared" si="8"/>
        <v>0</v>
      </c>
    </row>
    <row r="116" spans="1:11" ht="21.95" hidden="1" customHeight="1">
      <c r="A116" s="2572"/>
      <c r="B116" s="2748"/>
      <c r="C116" s="2700"/>
      <c r="D116" s="763" t="s">
        <v>1847</v>
      </c>
      <c r="F116" s="1442"/>
      <c r="G116" s="1570">
        <f>(G94*$M94*$M$93+SUMPRODUCT(G100:G104,$L100:$L104)*$L$93)/1000+G70</f>
        <v>0</v>
      </c>
      <c r="H116" s="1570"/>
      <c r="I116" s="1570"/>
      <c r="J116" s="1720">
        <f t="shared" si="7"/>
        <v>0</v>
      </c>
      <c r="K116" s="745">
        <f t="shared" si="8"/>
        <v>0</v>
      </c>
    </row>
    <row r="117" spans="1:11" ht="21.95" hidden="1" customHeight="1" thickBot="1">
      <c r="A117" s="2572"/>
      <c r="B117" s="2575"/>
      <c r="C117" s="2710"/>
      <c r="D117" s="763" t="s">
        <v>2712</v>
      </c>
      <c r="F117" s="1442"/>
      <c r="G117" s="1570">
        <f>G99</f>
        <v>0</v>
      </c>
      <c r="H117" s="1570"/>
      <c r="I117" s="1570"/>
      <c r="J117" s="1720">
        <f t="shared" si="7"/>
        <v>0</v>
      </c>
      <c r="K117" s="745">
        <f t="shared" si="8"/>
        <v>0</v>
      </c>
    </row>
    <row r="118" spans="1:11" ht="21.95" hidden="1" customHeight="1">
      <c r="A118" s="2572"/>
      <c r="B118" s="2748"/>
      <c r="C118" s="2700"/>
      <c r="D118" s="763" t="s">
        <v>2713</v>
      </c>
      <c r="F118" s="1442"/>
      <c r="G118" s="1570">
        <f>G94*$O94*$O$93+SUMPRODUCT(G100:G104,$N100:$N104)*$N$93</f>
        <v>0</v>
      </c>
      <c r="H118" s="1570"/>
      <c r="I118" s="1570"/>
      <c r="J118" s="1720">
        <f t="shared" si="7"/>
        <v>0</v>
      </c>
      <c r="K118" s="745">
        <f t="shared" si="8"/>
        <v>0</v>
      </c>
    </row>
    <row r="119" spans="1:11" ht="21.95" hidden="1" customHeight="1">
      <c r="A119" s="2572"/>
      <c r="B119" s="2575"/>
      <c r="C119" s="2710"/>
      <c r="D119" s="763" t="s">
        <v>2053</v>
      </c>
      <c r="F119" s="1442"/>
      <c r="G119" s="1570">
        <f>G88</f>
        <v>0</v>
      </c>
      <c r="H119" s="1570"/>
      <c r="I119" s="1570"/>
      <c r="J119" s="1720">
        <f t="shared" si="7"/>
        <v>0</v>
      </c>
      <c r="K119" s="745">
        <f t="shared" si="8"/>
        <v>0</v>
      </c>
    </row>
    <row r="120" spans="1:11" ht="21.95" hidden="1" customHeight="1">
      <c r="A120" s="2572"/>
      <c r="B120" s="2575"/>
      <c r="C120" s="2710"/>
      <c r="D120" s="763" t="s">
        <v>2527</v>
      </c>
      <c r="F120" s="1442"/>
      <c r="G120" s="1570">
        <f>G98*0.14</f>
        <v>0</v>
      </c>
      <c r="H120" s="1570"/>
      <c r="I120" s="1570"/>
      <c r="J120" s="1720">
        <f t="shared" si="7"/>
        <v>0</v>
      </c>
      <c r="K120" s="745">
        <f t="shared" si="8"/>
        <v>0</v>
      </c>
    </row>
    <row r="121" spans="1:11" ht="21.95" hidden="1" customHeight="1">
      <c r="A121" s="2572"/>
      <c r="B121" s="2575"/>
      <c r="C121" s="2710"/>
      <c r="D121" s="763" t="s">
        <v>2055</v>
      </c>
      <c r="F121" s="1442"/>
      <c r="G121" s="1570">
        <f>G73</f>
        <v>0</v>
      </c>
      <c r="H121" s="1570"/>
      <c r="I121" s="1570"/>
      <c r="J121" s="1720">
        <f t="shared" si="7"/>
        <v>0</v>
      </c>
      <c r="K121" s="745">
        <f t="shared" si="8"/>
        <v>0</v>
      </c>
    </row>
    <row r="122" spans="1:11" ht="21.95" hidden="1" customHeight="1" thickBot="1">
      <c r="A122" s="2572"/>
      <c r="B122" s="2575"/>
      <c r="C122" s="2710"/>
      <c r="D122" s="747" t="s">
        <v>2056</v>
      </c>
      <c r="F122" s="1442"/>
      <c r="G122" s="1570">
        <f>G72</f>
        <v>0</v>
      </c>
      <c r="H122" s="1570"/>
      <c r="I122" s="1570"/>
      <c r="J122" s="1720">
        <f t="shared" si="7"/>
        <v>0</v>
      </c>
      <c r="K122" s="745">
        <f t="shared" si="8"/>
        <v>0</v>
      </c>
    </row>
    <row r="123" spans="1:11" ht="21.95" hidden="1" customHeight="1">
      <c r="A123" s="2572"/>
      <c r="B123" s="2748"/>
      <c r="C123" s="2700"/>
      <c r="D123" s="747" t="s">
        <v>2057</v>
      </c>
      <c r="F123" s="1442"/>
      <c r="G123" s="1570">
        <f>G74</f>
        <v>0</v>
      </c>
      <c r="H123" s="1570"/>
      <c r="I123" s="1570"/>
      <c r="J123" s="1720">
        <f t="shared" si="7"/>
        <v>0</v>
      </c>
      <c r="K123" s="745">
        <f t="shared" si="8"/>
        <v>0</v>
      </c>
    </row>
    <row r="124" spans="1:11" ht="21.95" hidden="1" customHeight="1">
      <c r="A124" s="2572"/>
      <c r="B124" s="2575"/>
      <c r="C124" s="2710"/>
      <c r="D124" s="747" t="s">
        <v>1999</v>
      </c>
      <c r="F124" s="1442"/>
      <c r="G124" s="1570">
        <f>G94*$Q94*$Q$93+SUMPRODUCT(G100:G104,$P100:$P104)*$P$93</f>
        <v>0</v>
      </c>
      <c r="H124" s="1570"/>
      <c r="I124" s="1570"/>
      <c r="J124" s="1720">
        <f t="shared" si="7"/>
        <v>0</v>
      </c>
      <c r="K124" s="745">
        <f t="shared" si="8"/>
        <v>0</v>
      </c>
    </row>
    <row r="125" spans="1:11" ht="21.95" hidden="1" customHeight="1">
      <c r="A125" s="2572"/>
      <c r="B125" s="2575"/>
      <c r="C125" s="2710"/>
      <c r="D125" s="747" t="s">
        <v>2060</v>
      </c>
      <c r="F125" s="1442"/>
      <c r="G125" s="1570">
        <f>G89</f>
        <v>0</v>
      </c>
      <c r="H125" s="1570"/>
      <c r="I125" s="1570"/>
      <c r="J125" s="1720">
        <f t="shared" si="7"/>
        <v>0</v>
      </c>
      <c r="K125" s="745">
        <f t="shared" si="8"/>
        <v>0</v>
      </c>
    </row>
    <row r="126" spans="1:11" ht="21.95" hidden="1" customHeight="1" thickBot="1">
      <c r="A126" s="2572"/>
      <c r="B126" s="2575"/>
      <c r="C126" s="2710"/>
      <c r="D126" s="747" t="s">
        <v>2032</v>
      </c>
      <c r="F126" s="1442"/>
      <c r="G126" s="1570">
        <f>G67*1.25</f>
        <v>0</v>
      </c>
      <c r="H126" s="1570"/>
      <c r="I126" s="1570"/>
      <c r="J126" s="1720">
        <f t="shared" si="7"/>
        <v>0</v>
      </c>
      <c r="K126" s="745">
        <f t="shared" si="8"/>
        <v>0</v>
      </c>
    </row>
    <row r="127" spans="1:11" ht="21.95" hidden="1" customHeight="1">
      <c r="A127" s="2572"/>
      <c r="B127" s="2748"/>
      <c r="C127" s="2700"/>
      <c r="D127" s="747" t="s">
        <v>2714</v>
      </c>
      <c r="F127" s="1442"/>
      <c r="G127" s="1570">
        <f>G87</f>
        <v>0</v>
      </c>
      <c r="H127" s="1570"/>
      <c r="I127" s="1570"/>
      <c r="J127" s="1720">
        <f t="shared" si="7"/>
        <v>0</v>
      </c>
      <c r="K127" s="745">
        <f t="shared" si="8"/>
        <v>0</v>
      </c>
    </row>
    <row r="128" spans="1:11" ht="21.95" hidden="1" customHeight="1">
      <c r="A128" s="2572"/>
      <c r="B128" s="2575"/>
      <c r="C128" s="2710"/>
      <c r="D128" s="747" t="s">
        <v>2063</v>
      </c>
      <c r="F128" s="1442"/>
      <c r="G128" s="1570">
        <f>G78</f>
        <v>0</v>
      </c>
      <c r="H128" s="1570"/>
      <c r="I128" s="1570"/>
      <c r="J128" s="1720">
        <f t="shared" si="7"/>
        <v>0</v>
      </c>
      <c r="K128" s="745">
        <f t="shared" si="8"/>
        <v>0</v>
      </c>
    </row>
    <row r="129" spans="1:11" ht="21.95" hidden="1" customHeight="1" thickBot="1">
      <c r="A129" s="2572"/>
      <c r="B129" s="2575"/>
      <c r="C129" s="2710"/>
      <c r="D129" s="747" t="s">
        <v>2280</v>
      </c>
      <c r="F129" s="1442"/>
      <c r="G129" s="1570">
        <f>G82</f>
        <v>0</v>
      </c>
      <c r="H129" s="1570"/>
      <c r="I129" s="1570"/>
      <c r="J129" s="1720">
        <f t="shared" si="7"/>
        <v>0</v>
      </c>
      <c r="K129" s="745">
        <f t="shared" si="8"/>
        <v>0</v>
      </c>
    </row>
    <row r="130" spans="1:11" ht="21.95" hidden="1" customHeight="1" thickBot="1">
      <c r="A130" s="2572"/>
      <c r="B130" s="2748"/>
      <c r="C130" s="2700"/>
      <c r="D130" s="747" t="s">
        <v>2066</v>
      </c>
      <c r="F130" s="1442"/>
      <c r="G130" s="1570">
        <f>G86</f>
        <v>0</v>
      </c>
      <c r="H130" s="1570"/>
      <c r="I130" s="1570"/>
      <c r="J130" s="1707">
        <f t="shared" si="7"/>
        <v>0</v>
      </c>
      <c r="K130" s="745">
        <f t="shared" si="8"/>
        <v>0</v>
      </c>
    </row>
    <row r="131" spans="1:11" ht="21.95" hidden="1" customHeight="1">
      <c r="A131" s="2572"/>
      <c r="B131" s="2748" t="s">
        <v>1932</v>
      </c>
      <c r="C131" s="2700"/>
      <c r="D131" s="740" t="s">
        <v>2348</v>
      </c>
      <c r="E131" s="1287"/>
      <c r="F131" s="1560"/>
      <c r="G131" s="1561">
        <f t="shared" ref="G131:G140" si="9">G113</f>
        <v>0</v>
      </c>
      <c r="H131" s="1561"/>
      <c r="I131" s="1561"/>
      <c r="J131" s="1720"/>
      <c r="K131" s="745"/>
    </row>
    <row r="132" spans="1:11" ht="21.95" hidden="1" customHeight="1">
      <c r="A132" s="2572"/>
      <c r="B132" s="2575"/>
      <c r="C132" s="2710"/>
      <c r="D132" s="1089" t="s">
        <v>1769</v>
      </c>
      <c r="E132" s="1279"/>
      <c r="F132" s="1442"/>
      <c r="G132" s="1570">
        <f t="shared" si="9"/>
        <v>0</v>
      </c>
      <c r="H132" s="1570"/>
      <c r="I132" s="1570"/>
      <c r="J132" s="1720"/>
      <c r="K132" s="745"/>
    </row>
    <row r="133" spans="1:11" ht="21.95" hidden="1" customHeight="1">
      <c r="A133" s="2572"/>
      <c r="B133" s="2575"/>
      <c r="C133" s="2710"/>
      <c r="D133" s="763" t="s">
        <v>1995</v>
      </c>
      <c r="E133" s="1279"/>
      <c r="F133" s="1442"/>
      <c r="G133" s="1570">
        <f t="shared" si="9"/>
        <v>0</v>
      </c>
      <c r="H133" s="1570"/>
      <c r="I133" s="1570"/>
      <c r="J133" s="1720"/>
      <c r="K133" s="745"/>
    </row>
    <row r="134" spans="1:11" ht="21.95" hidden="1" customHeight="1">
      <c r="A134" s="2572"/>
      <c r="B134" s="2575"/>
      <c r="C134" s="2710"/>
      <c r="D134" s="763" t="s">
        <v>1847</v>
      </c>
      <c r="E134" s="1279"/>
      <c r="F134" s="1442"/>
      <c r="G134" s="1570">
        <f t="shared" si="9"/>
        <v>0</v>
      </c>
      <c r="H134" s="1570"/>
      <c r="I134" s="1570"/>
      <c r="J134" s="1720"/>
      <c r="K134" s="745"/>
    </row>
    <row r="135" spans="1:11" ht="21.95" hidden="1" customHeight="1">
      <c r="A135" s="2572"/>
      <c r="B135" s="2575"/>
      <c r="C135" s="2710"/>
      <c r="D135" s="763" t="s">
        <v>2712</v>
      </c>
      <c r="E135" s="1279"/>
      <c r="F135" s="1442"/>
      <c r="G135" s="1570">
        <f t="shared" si="9"/>
        <v>0</v>
      </c>
      <c r="H135" s="1570"/>
      <c r="I135" s="1570"/>
      <c r="J135" s="1720"/>
      <c r="K135" s="745"/>
    </row>
    <row r="136" spans="1:11" ht="21.95" hidden="1" customHeight="1">
      <c r="A136" s="2572"/>
      <c r="B136" s="2575"/>
      <c r="C136" s="2710"/>
      <c r="D136" s="763" t="s">
        <v>2713</v>
      </c>
      <c r="E136" s="1279"/>
      <c r="F136" s="1442"/>
      <c r="G136" s="1570">
        <f t="shared" si="9"/>
        <v>0</v>
      </c>
      <c r="H136" s="1570"/>
      <c r="I136" s="1570"/>
      <c r="J136" s="1720"/>
      <c r="K136" s="745"/>
    </row>
    <row r="137" spans="1:11" ht="21.95" hidden="1" customHeight="1">
      <c r="A137" s="2572"/>
      <c r="B137" s="2575"/>
      <c r="C137" s="2710"/>
      <c r="D137" s="763" t="s">
        <v>2053</v>
      </c>
      <c r="E137" s="1279"/>
      <c r="F137" s="1442"/>
      <c r="G137" s="1570">
        <f t="shared" si="9"/>
        <v>0</v>
      </c>
      <c r="H137" s="1570"/>
      <c r="I137" s="1570"/>
      <c r="J137" s="1720"/>
      <c r="K137" s="745"/>
    </row>
    <row r="138" spans="1:11" ht="21.95" hidden="1" customHeight="1">
      <c r="A138" s="2572"/>
      <c r="B138" s="2575"/>
      <c r="C138" s="2710"/>
      <c r="D138" s="763" t="s">
        <v>2527</v>
      </c>
      <c r="E138" s="1279"/>
      <c r="F138" s="1442"/>
      <c r="G138" s="1570">
        <f t="shared" si="9"/>
        <v>0</v>
      </c>
      <c r="H138" s="1570"/>
      <c r="I138" s="1570"/>
      <c r="J138" s="1720"/>
      <c r="K138" s="745"/>
    </row>
    <row r="139" spans="1:11" ht="21.95" hidden="1" customHeight="1">
      <c r="A139" s="2572"/>
      <c r="B139" s="2575"/>
      <c r="C139" s="2710"/>
      <c r="D139" s="763" t="s">
        <v>2055</v>
      </c>
      <c r="E139" s="1279"/>
      <c r="F139" s="1442"/>
      <c r="G139" s="1570">
        <f t="shared" si="9"/>
        <v>0</v>
      </c>
      <c r="H139" s="1570"/>
      <c r="I139" s="1570"/>
      <c r="J139" s="1720"/>
      <c r="K139" s="745"/>
    </row>
    <row r="140" spans="1:11" ht="21.95" hidden="1" customHeight="1">
      <c r="A140" s="2572"/>
      <c r="B140" s="2575"/>
      <c r="C140" s="2710"/>
      <c r="D140" s="747" t="s">
        <v>2715</v>
      </c>
      <c r="E140" s="1279"/>
      <c r="F140" s="1442"/>
      <c r="G140" s="1570">
        <f t="shared" si="9"/>
        <v>0</v>
      </c>
      <c r="H140" s="1570"/>
      <c r="I140" s="1570"/>
      <c r="J140" s="1720"/>
      <c r="K140" s="745"/>
    </row>
    <row r="141" spans="1:11" ht="21.95" hidden="1" customHeight="1">
      <c r="A141" s="2572"/>
      <c r="B141" s="2575"/>
      <c r="C141" s="2710"/>
      <c r="D141" s="747" t="s">
        <v>1999</v>
      </c>
      <c r="E141" s="1279"/>
      <c r="F141" s="1442"/>
      <c r="G141" s="1570">
        <f t="shared" ref="G141:G147" si="10">G124</f>
        <v>0</v>
      </c>
      <c r="H141" s="1570"/>
      <c r="I141" s="1570"/>
      <c r="J141" s="1720"/>
      <c r="K141" s="745"/>
    </row>
    <row r="142" spans="1:11" ht="21.95" hidden="1" customHeight="1">
      <c r="A142" s="2572"/>
      <c r="B142" s="2575"/>
      <c r="C142" s="2710"/>
      <c r="D142" s="747" t="s">
        <v>2060</v>
      </c>
      <c r="E142" s="1279"/>
      <c r="F142" s="1442"/>
      <c r="G142" s="1570">
        <f t="shared" si="10"/>
        <v>0</v>
      </c>
      <c r="H142" s="1570"/>
      <c r="I142" s="1570"/>
      <c r="J142" s="1720"/>
      <c r="K142" s="745"/>
    </row>
    <row r="143" spans="1:11" ht="21.95" hidden="1" customHeight="1">
      <c r="A143" s="2572"/>
      <c r="B143" s="2575"/>
      <c r="C143" s="2710"/>
      <c r="D143" s="747" t="s">
        <v>2032</v>
      </c>
      <c r="E143" s="1279"/>
      <c r="F143" s="1442"/>
      <c r="G143" s="1570">
        <f t="shared" si="10"/>
        <v>0</v>
      </c>
      <c r="H143" s="1570"/>
      <c r="I143" s="1570"/>
      <c r="J143" s="1720"/>
      <c r="K143" s="745"/>
    </row>
    <row r="144" spans="1:11" ht="21.95" hidden="1" customHeight="1">
      <c r="A144" s="2572"/>
      <c r="B144" s="2575"/>
      <c r="C144" s="2710"/>
      <c r="D144" s="747" t="s">
        <v>2714</v>
      </c>
      <c r="E144" s="1279"/>
      <c r="F144" s="1442"/>
      <c r="G144" s="1570">
        <f t="shared" si="10"/>
        <v>0</v>
      </c>
      <c r="H144" s="1570"/>
      <c r="I144" s="1570"/>
      <c r="J144" s="1720"/>
      <c r="K144" s="745"/>
    </row>
    <row r="145" spans="1:11" ht="21.95" hidden="1" customHeight="1">
      <c r="A145" s="2572"/>
      <c r="B145" s="2575"/>
      <c r="C145" s="2710"/>
      <c r="D145" s="747" t="s">
        <v>2063</v>
      </c>
      <c r="E145" s="1279"/>
      <c r="F145" s="1442"/>
      <c r="G145" s="1570">
        <f t="shared" si="10"/>
        <v>0</v>
      </c>
      <c r="H145" s="1570"/>
      <c r="I145" s="1570"/>
      <c r="J145" s="1720"/>
      <c r="K145" s="745"/>
    </row>
    <row r="146" spans="1:11" ht="21.95" hidden="1" customHeight="1">
      <c r="A146" s="2572"/>
      <c r="B146" s="2575"/>
      <c r="C146" s="2710"/>
      <c r="D146" s="747" t="s">
        <v>2716</v>
      </c>
      <c r="E146" s="1279"/>
      <c r="F146" s="1442"/>
      <c r="G146" s="1570">
        <f t="shared" si="10"/>
        <v>0</v>
      </c>
      <c r="H146" s="1570"/>
      <c r="I146" s="1570"/>
      <c r="J146" s="1720"/>
      <c r="K146" s="745"/>
    </row>
    <row r="147" spans="1:11" ht="21.95" hidden="1" customHeight="1" thickBot="1">
      <c r="A147" s="2572"/>
      <c r="B147" s="2749"/>
      <c r="C147" s="2701"/>
      <c r="D147" s="747" t="s">
        <v>2066</v>
      </c>
      <c r="E147" s="1283"/>
      <c r="F147" s="1563"/>
      <c r="G147" s="1564">
        <f t="shared" si="10"/>
        <v>0</v>
      </c>
      <c r="H147" s="1564"/>
      <c r="I147" s="1564"/>
      <c r="J147" s="1707"/>
      <c r="K147" s="745"/>
    </row>
    <row r="148" spans="1:11" s="710" customFormat="1" ht="50.1" customHeight="1" thickBot="1">
      <c r="A148" s="2573"/>
      <c r="B148" s="2859" t="s">
        <v>1400</v>
      </c>
      <c r="C148" s="2888"/>
      <c r="D148" s="2860"/>
      <c r="E148" s="1637"/>
      <c r="F148" s="1818"/>
      <c r="G148" s="1819"/>
      <c r="H148" s="1819"/>
      <c r="I148" s="1819"/>
      <c r="J148" s="1820"/>
      <c r="K148" s="794">
        <v>1</v>
      </c>
    </row>
    <row r="149" spans="1:11" ht="19.5" thickTop="1"/>
    <row r="152" spans="1:11" ht="12.75">
      <c r="B152" s="746"/>
      <c r="C152" s="746"/>
      <c r="D152" s="746"/>
      <c r="E152" s="746"/>
      <c r="F152" s="746"/>
    </row>
    <row r="153" spans="1:11" ht="12.75">
      <c r="B153" s="746"/>
      <c r="C153" s="746"/>
      <c r="D153" s="746"/>
      <c r="E153" s="746"/>
      <c r="F153" s="746"/>
    </row>
    <row r="154" spans="1:11" ht="12.75">
      <c r="B154" s="746"/>
      <c r="C154" s="746"/>
      <c r="D154" s="746"/>
      <c r="E154" s="746"/>
      <c r="F154" s="746"/>
    </row>
    <row r="155" spans="1:11" ht="12.75">
      <c r="B155" s="746"/>
      <c r="C155" s="746"/>
      <c r="D155" s="746"/>
      <c r="E155" s="746"/>
      <c r="F155" s="746"/>
    </row>
    <row r="156" spans="1:11" ht="12.75">
      <c r="B156" s="746"/>
      <c r="C156" s="746"/>
      <c r="D156" s="746"/>
      <c r="E156" s="746"/>
      <c r="F156" s="746"/>
    </row>
    <row r="157" spans="1:11" ht="12.75">
      <c r="B157" s="746"/>
      <c r="C157" s="746"/>
      <c r="D157" s="746"/>
      <c r="E157" s="746"/>
      <c r="F157" s="746"/>
    </row>
    <row r="158" spans="1:11" ht="12.75">
      <c r="B158" s="746"/>
      <c r="C158" s="746"/>
      <c r="D158" s="746"/>
      <c r="E158" s="746"/>
      <c r="F158" s="746"/>
    </row>
    <row r="159" spans="1:11" ht="12.75">
      <c r="B159" s="746"/>
      <c r="C159" s="746"/>
      <c r="D159" s="746"/>
      <c r="E159" s="746"/>
      <c r="F159" s="746"/>
    </row>
    <row r="160" spans="1:11" ht="12.75">
      <c r="B160" s="746"/>
      <c r="C160" s="746"/>
      <c r="D160" s="746"/>
      <c r="E160" s="746"/>
      <c r="F160" s="746"/>
    </row>
    <row r="161" spans="2:6" ht="12.75">
      <c r="B161" s="746"/>
      <c r="C161" s="746"/>
      <c r="D161" s="746"/>
      <c r="E161" s="746"/>
      <c r="F161" s="746"/>
    </row>
    <row r="162" spans="2:6" ht="12.75">
      <c r="B162" s="746"/>
      <c r="C162" s="746"/>
      <c r="D162" s="746"/>
      <c r="E162" s="746"/>
      <c r="F162" s="746"/>
    </row>
    <row r="163" spans="2:6" ht="12.75">
      <c r="B163" s="746"/>
      <c r="C163" s="746"/>
      <c r="D163" s="746"/>
      <c r="E163" s="746"/>
      <c r="F163" s="746"/>
    </row>
    <row r="164" spans="2:6" ht="12.75">
      <c r="B164" s="746"/>
      <c r="C164" s="746"/>
      <c r="D164" s="746"/>
      <c r="E164" s="746"/>
      <c r="F164" s="746"/>
    </row>
    <row r="165" spans="2:6" ht="12.75">
      <c r="B165" s="746"/>
      <c r="C165" s="746"/>
      <c r="D165" s="746"/>
      <c r="E165" s="746"/>
      <c r="F165" s="746"/>
    </row>
    <row r="166" spans="2:6" ht="12.75">
      <c r="B166" s="746"/>
      <c r="C166" s="746"/>
      <c r="D166" s="746"/>
      <c r="E166" s="746"/>
      <c r="F166" s="746"/>
    </row>
    <row r="167" spans="2:6" ht="12.75">
      <c r="B167" s="746"/>
      <c r="C167" s="746"/>
      <c r="D167" s="746"/>
      <c r="E167" s="746"/>
      <c r="F167" s="746"/>
    </row>
    <row r="168" spans="2:6" ht="12.75">
      <c r="B168" s="746"/>
      <c r="C168" s="746"/>
      <c r="D168" s="746"/>
      <c r="E168" s="746"/>
      <c r="F168" s="746"/>
    </row>
    <row r="169" spans="2:6" ht="12.75">
      <c r="B169" s="746"/>
      <c r="C169" s="746"/>
      <c r="D169" s="746"/>
      <c r="E169" s="746"/>
      <c r="F169" s="746"/>
    </row>
    <row r="170" spans="2:6" ht="12.75">
      <c r="B170" s="746"/>
      <c r="C170" s="746"/>
      <c r="D170" s="746"/>
      <c r="E170" s="746"/>
      <c r="F170" s="746"/>
    </row>
    <row r="171" spans="2:6" ht="12.75">
      <c r="B171" s="746"/>
      <c r="C171" s="746"/>
      <c r="D171" s="746"/>
      <c r="E171" s="746"/>
      <c r="F171" s="746"/>
    </row>
    <row r="172" spans="2:6" ht="12.75">
      <c r="B172" s="746"/>
      <c r="C172" s="746"/>
      <c r="D172" s="746"/>
      <c r="E172" s="746"/>
      <c r="F172" s="746"/>
    </row>
    <row r="173" spans="2:6" ht="12.75">
      <c r="B173" s="746"/>
      <c r="C173" s="746"/>
      <c r="D173" s="746"/>
      <c r="E173" s="746"/>
      <c r="F173" s="746"/>
    </row>
    <row r="174" spans="2:6" ht="12.75">
      <c r="B174" s="746"/>
      <c r="C174" s="746"/>
      <c r="D174" s="746"/>
      <c r="E174" s="746"/>
      <c r="F174" s="746"/>
    </row>
    <row r="175" spans="2:6" ht="12.75">
      <c r="B175" s="746"/>
      <c r="C175" s="746"/>
      <c r="D175" s="746"/>
      <c r="E175" s="746"/>
      <c r="F175" s="746"/>
    </row>
    <row r="176" spans="2:6" ht="12.75">
      <c r="B176" s="746"/>
      <c r="C176" s="746"/>
      <c r="D176" s="746"/>
      <c r="E176" s="746"/>
      <c r="F176" s="746"/>
    </row>
    <row r="177" spans="2:6" ht="12.75">
      <c r="B177" s="746"/>
      <c r="C177" s="746"/>
      <c r="D177" s="746"/>
      <c r="E177" s="746"/>
      <c r="F177" s="746"/>
    </row>
    <row r="178" spans="2:6" ht="12.75">
      <c r="B178" s="746"/>
      <c r="C178" s="746"/>
      <c r="D178" s="746"/>
      <c r="E178" s="746"/>
      <c r="F178" s="746"/>
    </row>
    <row r="179" spans="2:6" ht="12.75">
      <c r="B179" s="746"/>
      <c r="C179" s="746"/>
      <c r="D179" s="746"/>
      <c r="E179" s="746"/>
      <c r="F179" s="746"/>
    </row>
  </sheetData>
  <autoFilter ref="A1:K148" xr:uid="{00000000-0001-0000-1E00-000000000000}">
    <filterColumn colId="1" showButton="0"/>
    <filterColumn colId="2" showButton="0"/>
    <filterColumn colId="10">
      <customFilters>
        <customFilter operator="notEqual" val=" "/>
      </customFilters>
    </filterColumn>
  </autoFilter>
  <mergeCells count="34">
    <mergeCell ref="A1:A148"/>
    <mergeCell ref="B1:D1"/>
    <mergeCell ref="B2:D2"/>
    <mergeCell ref="B3:D3"/>
    <mergeCell ref="B4:D4"/>
    <mergeCell ref="B5:C6"/>
    <mergeCell ref="B7:D7"/>
    <mergeCell ref="B8:C9"/>
    <mergeCell ref="B10:C15"/>
    <mergeCell ref="B16:C18"/>
    <mergeCell ref="B19:C21"/>
    <mergeCell ref="B22:C25"/>
    <mergeCell ref="B26:B51"/>
    <mergeCell ref="C26:C32"/>
    <mergeCell ref="C33:C38"/>
    <mergeCell ref="C39:C44"/>
    <mergeCell ref="N90:O90"/>
    <mergeCell ref="P90:Q90"/>
    <mergeCell ref="C95:C99"/>
    <mergeCell ref="C45:C51"/>
    <mergeCell ref="B52:D52"/>
    <mergeCell ref="B53:C74"/>
    <mergeCell ref="B75:C78"/>
    <mergeCell ref="B79:C82"/>
    <mergeCell ref="B148:D148"/>
    <mergeCell ref="L90:M90"/>
    <mergeCell ref="B100:C104"/>
    <mergeCell ref="B105:C109"/>
    <mergeCell ref="B110:C112"/>
    <mergeCell ref="B113:C130"/>
    <mergeCell ref="B131:C147"/>
    <mergeCell ref="B83:B99"/>
    <mergeCell ref="C83:C89"/>
    <mergeCell ref="C90:C94"/>
  </mergeCells>
  <conditionalFormatting sqref="G75:I75">
    <cfRule type="expression" dxfId="2" priority="1">
      <formula>G$75+G$79&lt;&gt;G$53</formula>
    </cfRule>
  </conditionalFormatting>
  <printOptions horizontalCentered="1"/>
  <pageMargins left="0.39370078740157477" right="0.59055118110236215" top="0.39370078740157477" bottom="0.59055118110236215" header="0.31496062992125984" footer="0.31496062992125984"/>
  <pageSetup paperSize="9" scale="65" orientation="landscape" r:id="rId1"/>
  <headerFooter>
    <oddFooter>&amp;C&amp;8Página &amp;P/&amp;N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92956-1D15-4F70-B4A0-85B732845ACA}">
  <sheetPr codeName="Planilha14">
    <pageSetUpPr fitToPage="1"/>
  </sheetPr>
  <dimension ref="A1:K44"/>
  <sheetViews>
    <sheetView showZeros="0" topLeftCell="B1" zoomScaleNormal="100" workbookViewId="0"/>
  </sheetViews>
  <sheetFormatPr defaultColWidth="9" defaultRowHeight="15"/>
  <cols>
    <col min="1" max="1" width="0" style="1821" hidden="1" customWidth="1"/>
    <col min="2" max="6" width="10.625" style="1821" customWidth="1"/>
    <col min="7" max="8" width="12.5" style="1821" customWidth="1"/>
    <col min="9" max="10" width="13.125" style="1821" customWidth="1"/>
    <col min="11" max="16384" width="9" style="1821"/>
  </cols>
  <sheetData>
    <row r="1" spans="1:10" ht="20.25" customHeight="1" thickBot="1">
      <c r="B1" s="2936" t="s">
        <v>2717</v>
      </c>
      <c r="C1" s="2937"/>
      <c r="D1" s="2937"/>
      <c r="E1" s="2937"/>
      <c r="F1" s="2937"/>
      <c r="G1" s="2937"/>
      <c r="H1" s="2937"/>
      <c r="I1" s="2937"/>
      <c r="J1" s="2938"/>
    </row>
    <row r="2" spans="1:10" ht="24.75" customHeight="1" thickTop="1">
      <c r="A2" s="2939"/>
      <c r="B2" s="2942" t="s">
        <v>2191</v>
      </c>
      <c r="C2" s="2943"/>
      <c r="D2" s="2944" t="s">
        <v>2718</v>
      </c>
      <c r="E2" s="2943"/>
      <c r="F2" s="2945" t="s">
        <v>2719</v>
      </c>
      <c r="G2" s="2944" t="s">
        <v>2720</v>
      </c>
      <c r="H2" s="2943"/>
      <c r="I2" s="2944" t="s">
        <v>2721</v>
      </c>
      <c r="J2" s="2947"/>
    </row>
    <row r="3" spans="1:10" ht="43.5" customHeight="1" thickBot="1">
      <c r="A3" s="2940"/>
      <c r="B3" s="1822" t="s">
        <v>2722</v>
      </c>
      <c r="C3" s="1823" t="s">
        <v>2723</v>
      </c>
      <c r="D3" s="1824" t="s">
        <v>2383</v>
      </c>
      <c r="E3" s="1824" t="s">
        <v>2385</v>
      </c>
      <c r="F3" s="2946"/>
      <c r="G3" s="1824" t="s">
        <v>2383</v>
      </c>
      <c r="H3" s="1824" t="s">
        <v>2385</v>
      </c>
      <c r="I3" s="1824" t="s">
        <v>2383</v>
      </c>
      <c r="J3" s="1824" t="s">
        <v>2385</v>
      </c>
    </row>
    <row r="4" spans="1:10" ht="24.75" hidden="1" customHeight="1">
      <c r="A4" s="2940"/>
      <c r="B4" s="1825">
        <v>0</v>
      </c>
      <c r="C4" s="1826"/>
      <c r="D4" s="1827"/>
      <c r="E4" s="1828">
        <v>0</v>
      </c>
      <c r="F4" s="1829"/>
      <c r="G4" s="1829"/>
      <c r="H4" s="1829"/>
      <c r="I4" s="1829"/>
      <c r="J4" s="1830"/>
    </row>
    <row r="5" spans="1:10" ht="24.75" hidden="1" customHeight="1">
      <c r="A5" s="2940"/>
      <c r="B5" s="1831">
        <v>1</v>
      </c>
      <c r="C5" s="1832"/>
      <c r="D5" s="1827"/>
      <c r="E5" s="1827"/>
      <c r="F5" s="1827">
        <f>+(B5*10+C5-(B4*10+C4))/2</f>
        <v>5</v>
      </c>
      <c r="G5" s="1833">
        <f t="shared" ref="G5:H42" si="0">+(D5+D4)*$F5</f>
        <v>0</v>
      </c>
      <c r="H5" s="1833">
        <f t="shared" si="0"/>
        <v>0</v>
      </c>
      <c r="I5" s="1833">
        <f t="shared" ref="I5:J20" si="1">+I4+G5</f>
        <v>0</v>
      </c>
      <c r="J5" s="1834">
        <f t="shared" si="1"/>
        <v>0</v>
      </c>
    </row>
    <row r="6" spans="1:10" ht="24.75" hidden="1" customHeight="1">
      <c r="A6" s="2940"/>
      <c r="B6" s="1831">
        <v>1</v>
      </c>
      <c r="C6" s="1832"/>
      <c r="D6" s="1827"/>
      <c r="E6" s="1827"/>
      <c r="F6" s="1827">
        <f>+(B6*10+C6-(B5*10+C5))/2</f>
        <v>0</v>
      </c>
      <c r="G6" s="1833">
        <f t="shared" si="0"/>
        <v>0</v>
      </c>
      <c r="H6" s="1833">
        <f t="shared" si="0"/>
        <v>0</v>
      </c>
      <c r="I6" s="1833">
        <f t="shared" si="1"/>
        <v>0</v>
      </c>
      <c r="J6" s="1834">
        <f t="shared" si="1"/>
        <v>0</v>
      </c>
    </row>
    <row r="7" spans="1:10" ht="24.75" hidden="1" customHeight="1">
      <c r="A7" s="2940"/>
      <c r="B7" s="1831">
        <v>2</v>
      </c>
      <c r="C7" s="1835"/>
      <c r="D7" s="1827"/>
      <c r="E7" s="1827"/>
      <c r="F7" s="1827">
        <f>+(B7*10+C7-(B6*10+C6))/2</f>
        <v>5</v>
      </c>
      <c r="G7" s="1833">
        <f t="shared" si="0"/>
        <v>0</v>
      </c>
      <c r="H7" s="1833">
        <f t="shared" si="0"/>
        <v>0</v>
      </c>
      <c r="I7" s="1833">
        <f t="shared" si="1"/>
        <v>0</v>
      </c>
      <c r="J7" s="1834">
        <f t="shared" si="1"/>
        <v>0</v>
      </c>
    </row>
    <row r="8" spans="1:10" ht="24.75" hidden="1" customHeight="1">
      <c r="A8" s="2940"/>
      <c r="B8" s="1831">
        <v>3</v>
      </c>
      <c r="C8" s="1835"/>
      <c r="D8" s="1827"/>
      <c r="E8" s="1827"/>
      <c r="F8" s="1827">
        <f>+(B8*10+C8-(B7*10+C7))/2</f>
        <v>5</v>
      </c>
      <c r="G8" s="1833">
        <f t="shared" si="0"/>
        <v>0</v>
      </c>
      <c r="H8" s="1833">
        <f t="shared" si="0"/>
        <v>0</v>
      </c>
      <c r="I8" s="1833">
        <f t="shared" si="1"/>
        <v>0</v>
      </c>
      <c r="J8" s="1834">
        <f t="shared" si="1"/>
        <v>0</v>
      </c>
    </row>
    <row r="9" spans="1:10" ht="24.75" hidden="1" customHeight="1">
      <c r="A9" s="2940"/>
      <c r="B9" s="1831">
        <v>4</v>
      </c>
      <c r="C9" s="1835"/>
      <c r="D9" s="1836"/>
      <c r="E9" s="1827"/>
      <c r="F9" s="1827">
        <f>+(B9*10+C9-(B8*10+C8))/2</f>
        <v>5</v>
      </c>
      <c r="G9" s="1833">
        <f t="shared" si="0"/>
        <v>0</v>
      </c>
      <c r="H9" s="1833">
        <f t="shared" si="0"/>
        <v>0</v>
      </c>
      <c r="I9" s="1833">
        <f t="shared" si="1"/>
        <v>0</v>
      </c>
      <c r="J9" s="1834">
        <f t="shared" si="1"/>
        <v>0</v>
      </c>
    </row>
    <row r="10" spans="1:10" ht="24.75" customHeight="1">
      <c r="A10" s="2940"/>
      <c r="B10" s="1831">
        <v>5</v>
      </c>
      <c r="C10" s="1835"/>
      <c r="D10" s="1837">
        <v>1.1100000000000001</v>
      </c>
      <c r="E10" s="1827">
        <v>0.25</v>
      </c>
      <c r="F10" s="1827">
        <f t="shared" ref="F10:F42" si="2">+(B10*20+C10-(B9*20+C9))/2</f>
        <v>10</v>
      </c>
      <c r="G10" s="1833">
        <f t="shared" si="0"/>
        <v>11.100000000000001</v>
      </c>
      <c r="H10" s="1833">
        <f t="shared" si="0"/>
        <v>2.5</v>
      </c>
      <c r="I10" s="1833">
        <f t="shared" si="1"/>
        <v>11.100000000000001</v>
      </c>
      <c r="J10" s="1834">
        <f t="shared" si="1"/>
        <v>2.5</v>
      </c>
    </row>
    <row r="11" spans="1:10" ht="24.75" customHeight="1">
      <c r="A11" s="2940"/>
      <c r="B11" s="1831">
        <v>6</v>
      </c>
      <c r="C11" s="1835"/>
      <c r="D11" s="1837">
        <v>0.66</v>
      </c>
      <c r="E11" s="1827">
        <v>3.28</v>
      </c>
      <c r="F11" s="1827">
        <f t="shared" si="2"/>
        <v>10</v>
      </c>
      <c r="G11" s="1833">
        <f t="shared" si="0"/>
        <v>17.7</v>
      </c>
      <c r="H11" s="1833">
        <f t="shared" si="0"/>
        <v>35.299999999999997</v>
      </c>
      <c r="I11" s="1833">
        <f t="shared" si="1"/>
        <v>28.8</v>
      </c>
      <c r="J11" s="1834">
        <f t="shared" si="1"/>
        <v>37.799999999999997</v>
      </c>
    </row>
    <row r="12" spans="1:10" ht="24.75" customHeight="1">
      <c r="A12" s="2940"/>
      <c r="B12" s="1831">
        <v>7</v>
      </c>
      <c r="C12" s="1835"/>
      <c r="D12" s="1827"/>
      <c r="E12" s="1837">
        <v>10.16</v>
      </c>
      <c r="F12" s="1827">
        <f t="shared" si="2"/>
        <v>10</v>
      </c>
      <c r="G12" s="1833">
        <f t="shared" si="0"/>
        <v>6.6000000000000005</v>
      </c>
      <c r="H12" s="1833">
        <f t="shared" si="0"/>
        <v>134.4</v>
      </c>
      <c r="I12" s="1833">
        <f t="shared" si="1"/>
        <v>35.4</v>
      </c>
      <c r="J12" s="1834">
        <f t="shared" si="1"/>
        <v>172.2</v>
      </c>
    </row>
    <row r="13" spans="1:10" ht="24.75" customHeight="1">
      <c r="A13" s="2940"/>
      <c r="B13" s="1831">
        <v>8</v>
      </c>
      <c r="C13" s="1835"/>
      <c r="D13" s="1827">
        <v>0.99</v>
      </c>
      <c r="E13" s="1827">
        <v>8.99</v>
      </c>
      <c r="F13" s="1827">
        <f t="shared" si="2"/>
        <v>10</v>
      </c>
      <c r="G13" s="1833">
        <f t="shared" si="0"/>
        <v>9.9</v>
      </c>
      <c r="H13" s="1833">
        <f t="shared" si="0"/>
        <v>191.5</v>
      </c>
      <c r="I13" s="1833">
        <f t="shared" si="1"/>
        <v>45.3</v>
      </c>
      <c r="J13" s="1834">
        <f t="shared" si="1"/>
        <v>363.7</v>
      </c>
    </row>
    <row r="14" spans="1:10" ht="24.75" customHeight="1">
      <c r="A14" s="2940"/>
      <c r="B14" s="1831">
        <v>9</v>
      </c>
      <c r="C14" s="1835"/>
      <c r="D14" s="1827">
        <v>1.1100000000000001</v>
      </c>
      <c r="E14" s="1827">
        <v>16.43</v>
      </c>
      <c r="F14" s="1827">
        <f t="shared" si="2"/>
        <v>10</v>
      </c>
      <c r="G14" s="1833">
        <f t="shared" si="0"/>
        <v>21</v>
      </c>
      <c r="H14" s="1833">
        <f t="shared" si="0"/>
        <v>254.20000000000002</v>
      </c>
      <c r="I14" s="1833">
        <f t="shared" si="1"/>
        <v>66.3</v>
      </c>
      <c r="J14" s="1834">
        <f t="shared" si="1"/>
        <v>617.9</v>
      </c>
    </row>
    <row r="15" spans="1:10" ht="24.75" customHeight="1">
      <c r="A15" s="2940"/>
      <c r="B15" s="1831">
        <v>10</v>
      </c>
      <c r="C15" s="1835"/>
      <c r="D15" s="1827">
        <v>0.48</v>
      </c>
      <c r="E15" s="1827">
        <v>20.45</v>
      </c>
      <c r="F15" s="1827">
        <f t="shared" si="2"/>
        <v>10</v>
      </c>
      <c r="G15" s="1833">
        <f t="shared" si="0"/>
        <v>15.9</v>
      </c>
      <c r="H15" s="1833">
        <f t="shared" si="0"/>
        <v>368.79999999999995</v>
      </c>
      <c r="I15" s="1833">
        <f t="shared" si="1"/>
        <v>82.2</v>
      </c>
      <c r="J15" s="1834">
        <f t="shared" si="1"/>
        <v>986.69999999999993</v>
      </c>
    </row>
    <row r="16" spans="1:10" ht="24.75" customHeight="1">
      <c r="A16" s="2940"/>
      <c r="B16" s="1831">
        <v>11</v>
      </c>
      <c r="C16" s="1835"/>
      <c r="D16" s="1827">
        <v>0.19</v>
      </c>
      <c r="E16" s="1827">
        <v>25.99</v>
      </c>
      <c r="F16" s="1827">
        <f t="shared" si="2"/>
        <v>10</v>
      </c>
      <c r="G16" s="1833">
        <f t="shared" si="0"/>
        <v>6.6999999999999993</v>
      </c>
      <c r="H16" s="1833">
        <f t="shared" si="0"/>
        <v>464.4</v>
      </c>
      <c r="I16" s="1833">
        <f t="shared" si="1"/>
        <v>88.9</v>
      </c>
      <c r="J16" s="1834">
        <f t="shared" si="1"/>
        <v>1451.1</v>
      </c>
    </row>
    <row r="17" spans="1:10" ht="24.75" customHeight="1">
      <c r="A17" s="2940"/>
      <c r="B17" s="1831">
        <v>12</v>
      </c>
      <c r="C17" s="1838"/>
      <c r="D17" s="1827"/>
      <c r="E17" s="1827"/>
      <c r="F17" s="1827">
        <f t="shared" si="2"/>
        <v>10</v>
      </c>
      <c r="G17" s="1833">
        <f t="shared" si="0"/>
        <v>1.9</v>
      </c>
      <c r="H17" s="1833">
        <f t="shared" si="0"/>
        <v>259.89999999999998</v>
      </c>
      <c r="I17" s="1833">
        <f t="shared" si="1"/>
        <v>90.800000000000011</v>
      </c>
      <c r="J17" s="1834">
        <f t="shared" si="1"/>
        <v>1711</v>
      </c>
    </row>
    <row r="18" spans="1:10" ht="24.75" customHeight="1">
      <c r="A18" s="2940"/>
      <c r="B18" s="1831">
        <v>13</v>
      </c>
      <c r="C18" s="1835"/>
      <c r="D18" s="1837">
        <v>0.18</v>
      </c>
      <c r="E18" s="1837">
        <v>7.2122999999999999</v>
      </c>
      <c r="F18" s="1827">
        <f t="shared" si="2"/>
        <v>10</v>
      </c>
      <c r="G18" s="1833">
        <f t="shared" si="0"/>
        <v>1.7999999999999998</v>
      </c>
      <c r="H18" s="1833">
        <f t="shared" si="0"/>
        <v>72.123000000000005</v>
      </c>
      <c r="I18" s="1833">
        <f t="shared" si="1"/>
        <v>92.600000000000009</v>
      </c>
      <c r="J18" s="1834">
        <f t="shared" si="1"/>
        <v>1783.123</v>
      </c>
    </row>
    <row r="19" spans="1:10" ht="24.75" customHeight="1">
      <c r="A19" s="2940"/>
      <c r="B19" s="1831">
        <v>14</v>
      </c>
      <c r="C19" s="1835"/>
      <c r="D19" s="1837">
        <v>1.49</v>
      </c>
      <c r="E19" s="1837">
        <v>5.0789999999999997</v>
      </c>
      <c r="F19" s="1827">
        <f t="shared" si="2"/>
        <v>10</v>
      </c>
      <c r="G19" s="1833">
        <f t="shared" si="0"/>
        <v>16.7</v>
      </c>
      <c r="H19" s="1833">
        <f t="shared" si="0"/>
        <v>122.913</v>
      </c>
      <c r="I19" s="1833">
        <f t="shared" si="1"/>
        <v>109.30000000000001</v>
      </c>
      <c r="J19" s="1834">
        <f t="shared" si="1"/>
        <v>1906.0360000000001</v>
      </c>
    </row>
    <row r="20" spans="1:10" ht="24.75" customHeight="1">
      <c r="A20" s="2940"/>
      <c r="B20" s="1831">
        <v>15</v>
      </c>
      <c r="C20" s="1835"/>
      <c r="D20" s="1827">
        <v>0.11</v>
      </c>
      <c r="E20" s="1837">
        <v>11.05</v>
      </c>
      <c r="F20" s="1827">
        <f t="shared" si="2"/>
        <v>10</v>
      </c>
      <c r="G20" s="1833">
        <f t="shared" si="0"/>
        <v>16</v>
      </c>
      <c r="H20" s="1833">
        <f t="shared" si="0"/>
        <v>161.29000000000002</v>
      </c>
      <c r="I20" s="1833">
        <f t="shared" si="1"/>
        <v>125.30000000000001</v>
      </c>
      <c r="J20" s="1834">
        <f t="shared" si="1"/>
        <v>2067.326</v>
      </c>
    </row>
    <row r="21" spans="1:10" ht="24.75" customHeight="1">
      <c r="A21" s="2940"/>
      <c r="B21" s="1831">
        <v>16</v>
      </c>
      <c r="C21" s="1835"/>
      <c r="D21" s="1827"/>
      <c r="E21" s="1837">
        <v>16.25</v>
      </c>
      <c r="F21" s="1827">
        <f t="shared" si="2"/>
        <v>10</v>
      </c>
      <c r="G21" s="1833">
        <f t="shared" si="0"/>
        <v>1.1000000000000001</v>
      </c>
      <c r="H21" s="1833">
        <f t="shared" si="0"/>
        <v>273</v>
      </c>
      <c r="I21" s="1833">
        <f t="shared" ref="I21:J36" si="3">+I20+G21</f>
        <v>126.4</v>
      </c>
      <c r="J21" s="1834">
        <f t="shared" si="3"/>
        <v>2340.326</v>
      </c>
    </row>
    <row r="22" spans="1:10" ht="24.75" customHeight="1">
      <c r="A22" s="2940"/>
      <c r="B22" s="1831">
        <v>17</v>
      </c>
      <c r="C22" s="1835"/>
      <c r="D22" s="1837"/>
      <c r="E22" s="1827">
        <v>16.71</v>
      </c>
      <c r="F22" s="1827">
        <f t="shared" si="2"/>
        <v>10</v>
      </c>
      <c r="G22" s="1833">
        <f t="shared" si="0"/>
        <v>0</v>
      </c>
      <c r="H22" s="1833">
        <f t="shared" si="0"/>
        <v>329.6</v>
      </c>
      <c r="I22" s="1833">
        <f t="shared" si="3"/>
        <v>126.4</v>
      </c>
      <c r="J22" s="1834">
        <f t="shared" si="3"/>
        <v>2669.9259999999999</v>
      </c>
    </row>
    <row r="23" spans="1:10" ht="24.75" customHeight="1">
      <c r="A23" s="2940"/>
      <c r="B23" s="1831">
        <v>18</v>
      </c>
      <c r="C23" s="1835"/>
      <c r="D23" s="1827"/>
      <c r="E23" s="1827">
        <v>16.55</v>
      </c>
      <c r="F23" s="1827">
        <f t="shared" si="2"/>
        <v>10</v>
      </c>
      <c r="G23" s="1833">
        <f t="shared" si="0"/>
        <v>0</v>
      </c>
      <c r="H23" s="1833">
        <f t="shared" si="0"/>
        <v>332.6</v>
      </c>
      <c r="I23" s="1833">
        <f t="shared" si="3"/>
        <v>126.4</v>
      </c>
      <c r="J23" s="1834">
        <f t="shared" si="3"/>
        <v>3002.5259999999998</v>
      </c>
    </row>
    <row r="24" spans="1:10" ht="24.75" customHeight="1">
      <c r="A24" s="2940"/>
      <c r="B24" s="1831">
        <v>19</v>
      </c>
      <c r="C24" s="1835"/>
      <c r="D24" s="1827"/>
      <c r="E24" s="1827">
        <v>16.82</v>
      </c>
      <c r="F24" s="1827">
        <f t="shared" si="2"/>
        <v>10</v>
      </c>
      <c r="G24" s="1833">
        <f t="shared" si="0"/>
        <v>0</v>
      </c>
      <c r="H24" s="1833">
        <f t="shared" si="0"/>
        <v>333.70000000000005</v>
      </c>
      <c r="I24" s="1833">
        <f t="shared" si="3"/>
        <v>126.4</v>
      </c>
      <c r="J24" s="1834">
        <f t="shared" si="3"/>
        <v>3336.2259999999997</v>
      </c>
    </row>
    <row r="25" spans="1:10" ht="24.75" customHeight="1">
      <c r="A25" s="2940"/>
      <c r="B25" s="1831">
        <v>20</v>
      </c>
      <c r="C25" s="1835"/>
      <c r="D25" s="1827"/>
      <c r="E25" s="1837">
        <v>17.66</v>
      </c>
      <c r="F25" s="1827">
        <f t="shared" si="2"/>
        <v>10</v>
      </c>
      <c r="G25" s="1833">
        <f t="shared" si="0"/>
        <v>0</v>
      </c>
      <c r="H25" s="1833">
        <f t="shared" si="0"/>
        <v>344.80000000000007</v>
      </c>
      <c r="I25" s="1833">
        <f t="shared" si="3"/>
        <v>126.4</v>
      </c>
      <c r="J25" s="1834">
        <f t="shared" si="3"/>
        <v>3681.0259999999998</v>
      </c>
    </row>
    <row r="26" spans="1:10" ht="24.75" customHeight="1">
      <c r="A26" s="2940"/>
      <c r="B26" s="1831">
        <v>21</v>
      </c>
      <c r="C26" s="1835"/>
      <c r="D26" s="1827">
        <v>0.27</v>
      </c>
      <c r="E26" s="1827">
        <v>17.940000000000001</v>
      </c>
      <c r="F26" s="1827">
        <f t="shared" si="2"/>
        <v>10</v>
      </c>
      <c r="G26" s="1833">
        <f t="shared" si="0"/>
        <v>2.7</v>
      </c>
      <c r="H26" s="1833">
        <f t="shared" si="0"/>
        <v>356</v>
      </c>
      <c r="I26" s="1833">
        <f t="shared" si="3"/>
        <v>129.1</v>
      </c>
      <c r="J26" s="1834">
        <f t="shared" si="3"/>
        <v>4037.0259999999998</v>
      </c>
    </row>
    <row r="27" spans="1:10" ht="24.75" customHeight="1">
      <c r="A27" s="2940"/>
      <c r="B27" s="1831">
        <v>22</v>
      </c>
      <c r="C27" s="1838"/>
      <c r="D27" s="1827"/>
      <c r="E27" s="1827">
        <v>18.45</v>
      </c>
      <c r="F27" s="1827">
        <f t="shared" si="2"/>
        <v>10</v>
      </c>
      <c r="G27" s="1833">
        <f t="shared" si="0"/>
        <v>2.7</v>
      </c>
      <c r="H27" s="1833">
        <f t="shared" si="0"/>
        <v>363.9</v>
      </c>
      <c r="I27" s="1833">
        <f t="shared" si="3"/>
        <v>131.79999999999998</v>
      </c>
      <c r="J27" s="1834">
        <f t="shared" si="3"/>
        <v>4400.9259999999995</v>
      </c>
    </row>
    <row r="28" spans="1:10" ht="24.75" customHeight="1">
      <c r="A28" s="2940"/>
      <c r="B28" s="1831">
        <v>23</v>
      </c>
      <c r="C28" s="1835"/>
      <c r="D28" s="1827"/>
      <c r="E28" s="1827">
        <v>14.86</v>
      </c>
      <c r="F28" s="1827">
        <f t="shared" si="2"/>
        <v>10</v>
      </c>
      <c r="G28" s="1833">
        <f t="shared" si="0"/>
        <v>0</v>
      </c>
      <c r="H28" s="1833">
        <f t="shared" si="0"/>
        <v>333.1</v>
      </c>
      <c r="I28" s="1833">
        <f t="shared" si="3"/>
        <v>131.79999999999998</v>
      </c>
      <c r="J28" s="1834">
        <f t="shared" si="3"/>
        <v>4734.0259999999998</v>
      </c>
    </row>
    <row r="29" spans="1:10" ht="24.75" customHeight="1">
      <c r="A29" s="2940"/>
      <c r="B29" s="1831">
        <v>24</v>
      </c>
      <c r="C29" s="1835"/>
      <c r="D29" s="1827"/>
      <c r="E29" s="1827">
        <v>18.059999999999999</v>
      </c>
      <c r="F29" s="1827">
        <f t="shared" si="2"/>
        <v>10</v>
      </c>
      <c r="G29" s="1833">
        <f t="shared" si="0"/>
        <v>0</v>
      </c>
      <c r="H29" s="1833">
        <f t="shared" si="0"/>
        <v>329.20000000000005</v>
      </c>
      <c r="I29" s="1833">
        <f t="shared" si="3"/>
        <v>131.79999999999998</v>
      </c>
      <c r="J29" s="1834">
        <f t="shared" si="3"/>
        <v>5063.2259999999997</v>
      </c>
    </row>
    <row r="30" spans="1:10" ht="24.75" customHeight="1">
      <c r="A30" s="2940"/>
      <c r="B30" s="1831">
        <v>25</v>
      </c>
      <c r="C30" s="1835"/>
      <c r="D30" s="1827"/>
      <c r="E30" s="1837">
        <v>18.41</v>
      </c>
      <c r="F30" s="1827">
        <f t="shared" si="2"/>
        <v>10</v>
      </c>
      <c r="G30" s="1833">
        <f t="shared" si="0"/>
        <v>0</v>
      </c>
      <c r="H30" s="1833">
        <f t="shared" si="0"/>
        <v>364.7</v>
      </c>
      <c r="I30" s="1833">
        <f t="shared" si="3"/>
        <v>131.79999999999998</v>
      </c>
      <c r="J30" s="1834">
        <f t="shared" si="3"/>
        <v>5427.9259999999995</v>
      </c>
    </row>
    <row r="31" spans="1:10" ht="24.75" customHeight="1">
      <c r="A31" s="2940"/>
      <c r="B31" s="1831">
        <v>26</v>
      </c>
      <c r="C31" s="1835"/>
      <c r="D31" s="1827"/>
      <c r="E31" s="1827">
        <v>17.29</v>
      </c>
      <c r="F31" s="1827">
        <f t="shared" si="2"/>
        <v>10</v>
      </c>
      <c r="G31" s="1833">
        <f t="shared" si="0"/>
        <v>0</v>
      </c>
      <c r="H31" s="1833">
        <f t="shared" si="0"/>
        <v>357</v>
      </c>
      <c r="I31" s="1833">
        <f t="shared" si="3"/>
        <v>131.79999999999998</v>
      </c>
      <c r="J31" s="1834">
        <f t="shared" si="3"/>
        <v>5784.9259999999995</v>
      </c>
    </row>
    <row r="32" spans="1:10" ht="24.75" customHeight="1">
      <c r="A32" s="2940"/>
      <c r="B32" s="1831">
        <v>27</v>
      </c>
      <c r="C32" s="1838"/>
      <c r="D32" s="1827"/>
      <c r="E32" s="1827">
        <v>15.06</v>
      </c>
      <c r="F32" s="1827">
        <f t="shared" si="2"/>
        <v>10</v>
      </c>
      <c r="G32" s="1833">
        <f t="shared" si="0"/>
        <v>0</v>
      </c>
      <c r="H32" s="1833">
        <f t="shared" si="0"/>
        <v>323.5</v>
      </c>
      <c r="I32" s="1833">
        <f t="shared" si="3"/>
        <v>131.79999999999998</v>
      </c>
      <c r="J32" s="1834">
        <f t="shared" si="3"/>
        <v>6108.4259999999995</v>
      </c>
    </row>
    <row r="33" spans="1:11" ht="24.75" customHeight="1">
      <c r="A33" s="2940"/>
      <c r="B33" s="1831">
        <v>28</v>
      </c>
      <c r="C33" s="1835"/>
      <c r="D33" s="1827"/>
      <c r="E33" s="1827">
        <v>15.18</v>
      </c>
      <c r="F33" s="1827">
        <f t="shared" si="2"/>
        <v>10</v>
      </c>
      <c r="G33" s="1833">
        <f t="shared" si="0"/>
        <v>0</v>
      </c>
      <c r="H33" s="1833">
        <f t="shared" si="0"/>
        <v>302.40000000000003</v>
      </c>
      <c r="I33" s="1833">
        <f t="shared" si="3"/>
        <v>131.79999999999998</v>
      </c>
      <c r="J33" s="1834">
        <f t="shared" si="3"/>
        <v>6410.8259999999991</v>
      </c>
    </row>
    <row r="34" spans="1:11" ht="24.75" customHeight="1">
      <c r="A34" s="2940"/>
      <c r="B34" s="1831">
        <v>28</v>
      </c>
      <c r="C34" s="1835">
        <v>10.362</v>
      </c>
      <c r="D34" s="1827">
        <v>7.0000000000000007E-2</v>
      </c>
      <c r="E34" s="1827">
        <v>9.66</v>
      </c>
      <c r="F34" s="1827">
        <f t="shared" si="2"/>
        <v>5.1809999999999832</v>
      </c>
      <c r="G34" s="1833">
        <f t="shared" si="0"/>
        <v>0.36266999999999888</v>
      </c>
      <c r="H34" s="1833">
        <f t="shared" si="0"/>
        <v>128.69603999999958</v>
      </c>
      <c r="I34" s="1833">
        <f t="shared" si="3"/>
        <v>132.16266999999999</v>
      </c>
      <c r="J34" s="1834">
        <f t="shared" si="3"/>
        <v>6539.5220399999989</v>
      </c>
    </row>
    <row r="35" spans="1:11" ht="24.75" customHeight="1">
      <c r="A35" s="2940"/>
      <c r="B35" s="1831">
        <v>29</v>
      </c>
      <c r="C35" s="1835"/>
      <c r="D35" s="1827">
        <v>0</v>
      </c>
      <c r="E35" s="1837"/>
      <c r="F35" s="1827">
        <f t="shared" si="2"/>
        <v>4.8190000000000168</v>
      </c>
      <c r="G35" s="1833">
        <f t="shared" si="0"/>
        <v>0.33733000000000118</v>
      </c>
      <c r="H35" s="1833">
        <f t="shared" si="0"/>
        <v>46.551540000000166</v>
      </c>
      <c r="I35" s="1833">
        <f t="shared" si="3"/>
        <v>132.5</v>
      </c>
      <c r="J35" s="1834">
        <f t="shared" si="3"/>
        <v>6586.0735799999993</v>
      </c>
    </row>
    <row r="36" spans="1:11" ht="24.75" customHeight="1">
      <c r="A36" s="2940"/>
      <c r="B36" s="1831">
        <v>30</v>
      </c>
      <c r="C36" s="1835"/>
      <c r="D36" s="1827">
        <v>1.9</v>
      </c>
      <c r="E36" s="1827">
        <v>11.56</v>
      </c>
      <c r="F36" s="1827">
        <f t="shared" si="2"/>
        <v>10</v>
      </c>
      <c r="G36" s="1833">
        <f t="shared" si="0"/>
        <v>19</v>
      </c>
      <c r="H36" s="1833">
        <f t="shared" si="0"/>
        <v>115.60000000000001</v>
      </c>
      <c r="I36" s="1833">
        <f t="shared" si="3"/>
        <v>151.5</v>
      </c>
      <c r="J36" s="1834">
        <f t="shared" si="3"/>
        <v>6701.6735799999997</v>
      </c>
    </row>
    <row r="37" spans="1:11" ht="24.75" customHeight="1">
      <c r="A37" s="2940"/>
      <c r="B37" s="1831">
        <v>31</v>
      </c>
      <c r="C37" s="1835"/>
      <c r="D37" s="1827">
        <v>0.67</v>
      </c>
      <c r="E37" s="1827">
        <v>22.27</v>
      </c>
      <c r="F37" s="1827">
        <f t="shared" si="2"/>
        <v>10</v>
      </c>
      <c r="G37" s="1833">
        <f t="shared" si="0"/>
        <v>25.7</v>
      </c>
      <c r="H37" s="1833">
        <f t="shared" si="0"/>
        <v>338.29999999999995</v>
      </c>
      <c r="I37" s="1833">
        <f t="shared" ref="I37:J42" si="4">+I36+G37</f>
        <v>177.2</v>
      </c>
      <c r="J37" s="1834">
        <f t="shared" si="4"/>
        <v>7039.9735799999999</v>
      </c>
    </row>
    <row r="38" spans="1:11" ht="24.75" customHeight="1">
      <c r="A38" s="2940"/>
      <c r="B38" s="1831">
        <v>32</v>
      </c>
      <c r="C38" s="1835"/>
      <c r="D38" s="1827">
        <v>1.34</v>
      </c>
      <c r="E38" s="1827">
        <v>15.86</v>
      </c>
      <c r="F38" s="1827">
        <f t="shared" si="2"/>
        <v>10</v>
      </c>
      <c r="G38" s="1833">
        <f t="shared" si="0"/>
        <v>20.100000000000001</v>
      </c>
      <c r="H38" s="1833">
        <f t="shared" si="0"/>
        <v>381.29999999999995</v>
      </c>
      <c r="I38" s="1833">
        <f t="shared" si="4"/>
        <v>197.29999999999998</v>
      </c>
      <c r="J38" s="1834">
        <f t="shared" si="4"/>
        <v>7421.27358</v>
      </c>
    </row>
    <row r="39" spans="1:11" ht="24.75" customHeight="1">
      <c r="A39" s="2940"/>
      <c r="B39" s="1831">
        <v>33</v>
      </c>
      <c r="C39" s="1835"/>
      <c r="D39" s="1827">
        <v>0.87</v>
      </c>
      <c r="E39" s="1827">
        <v>17.079999999999998</v>
      </c>
      <c r="F39" s="1827">
        <f t="shared" si="2"/>
        <v>10</v>
      </c>
      <c r="G39" s="1833">
        <f t="shared" si="0"/>
        <v>22.1</v>
      </c>
      <c r="H39" s="1833">
        <f t="shared" si="0"/>
        <v>329.4</v>
      </c>
      <c r="I39" s="1833">
        <f t="shared" si="4"/>
        <v>219.39999999999998</v>
      </c>
      <c r="J39" s="1834">
        <f t="shared" si="4"/>
        <v>7750.6735799999997</v>
      </c>
    </row>
    <row r="40" spans="1:11" ht="24.75" customHeight="1">
      <c r="A40" s="2940"/>
      <c r="B40" s="1831">
        <v>34</v>
      </c>
      <c r="C40" s="1835"/>
      <c r="D40" s="1827">
        <v>0.4</v>
      </c>
      <c r="E40" s="1827">
        <v>12.02</v>
      </c>
      <c r="F40" s="1827">
        <f t="shared" si="2"/>
        <v>10</v>
      </c>
      <c r="G40" s="1833">
        <f t="shared" si="0"/>
        <v>12.7</v>
      </c>
      <c r="H40" s="1833">
        <f t="shared" si="0"/>
        <v>291</v>
      </c>
      <c r="I40" s="1833">
        <f t="shared" si="4"/>
        <v>232.09999999999997</v>
      </c>
      <c r="J40" s="1834">
        <f t="shared" si="4"/>
        <v>8041.6735799999997</v>
      </c>
    </row>
    <row r="41" spans="1:11" ht="24.75" customHeight="1">
      <c r="A41" s="2940"/>
      <c r="B41" s="1831">
        <v>35</v>
      </c>
      <c r="C41" s="1838"/>
      <c r="D41" s="1827"/>
      <c r="E41" s="1827">
        <v>4.09</v>
      </c>
      <c r="F41" s="1827">
        <f t="shared" si="2"/>
        <v>10</v>
      </c>
      <c r="G41" s="1833">
        <f t="shared" si="0"/>
        <v>4</v>
      </c>
      <c r="H41" s="1833">
        <f t="shared" si="0"/>
        <v>161.1</v>
      </c>
      <c r="I41" s="1833">
        <f t="shared" si="4"/>
        <v>236.09999999999997</v>
      </c>
      <c r="J41" s="1834">
        <f t="shared" si="4"/>
        <v>8202.7735799999991</v>
      </c>
    </row>
    <row r="42" spans="1:11" ht="24.75" customHeight="1">
      <c r="A42" s="2940"/>
      <c r="B42" s="1831">
        <v>36</v>
      </c>
      <c r="C42" s="1838"/>
      <c r="D42" s="1827"/>
      <c r="E42" s="1827">
        <v>1.34</v>
      </c>
      <c r="F42" s="1827">
        <f t="shared" si="2"/>
        <v>10</v>
      </c>
      <c r="G42" s="1833">
        <f t="shared" si="0"/>
        <v>0</v>
      </c>
      <c r="H42" s="1833">
        <f t="shared" si="0"/>
        <v>54.3</v>
      </c>
      <c r="I42" s="1839">
        <f t="shared" si="4"/>
        <v>236.09999999999997</v>
      </c>
      <c r="J42" s="1840">
        <f t="shared" si="4"/>
        <v>8257.0735799999984</v>
      </c>
    </row>
    <row r="43" spans="1:11" ht="23.25" customHeight="1" thickBot="1">
      <c r="A43" s="2941"/>
      <c r="B43" s="1841" t="s">
        <v>2724</v>
      </c>
      <c r="C43" s="1842"/>
      <c r="D43" s="1842"/>
      <c r="E43" s="1842"/>
      <c r="F43" s="1842"/>
      <c r="G43" s="1842"/>
      <c r="H43" s="1842"/>
      <c r="I43" s="1842"/>
      <c r="J43" s="1843"/>
      <c r="K43" s="1844"/>
    </row>
    <row r="44" spans="1:11" ht="15.75" thickTop="1"/>
  </sheetData>
  <mergeCells count="7">
    <mergeCell ref="B1:J1"/>
    <mergeCell ref="A2:A43"/>
    <mergeCell ref="B2:C2"/>
    <mergeCell ref="D2:E2"/>
    <mergeCell ref="F2:F3"/>
    <mergeCell ref="G2:H2"/>
    <mergeCell ref="I2:J2"/>
  </mergeCells>
  <printOptions horizontalCentered="1"/>
  <pageMargins left="0.39370078740157477" right="0.59055118110236215" top="0.39370078740157477" bottom="0.59055118110236215" header="0.31496062992125984" footer="0.23622047244094491"/>
  <pageSetup paperSize="9" scale="55" fitToWidth="5" orientation="landscape" r:id="rId1"/>
  <headerFooter>
    <oddFooter>&amp;C&amp;8Página &amp;P/&amp;N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ABB26-2453-4FD7-A6D4-0578A4AF3E6F}">
  <dimension ref="A1:F19"/>
  <sheetViews>
    <sheetView showZeros="0" zoomScaleNormal="100" workbookViewId="0"/>
  </sheetViews>
  <sheetFormatPr defaultColWidth="8.625" defaultRowHeight="12.75"/>
  <cols>
    <col min="1" max="1" width="22.875" style="1846" customWidth="1"/>
    <col min="2" max="2" width="24.375" style="1846" customWidth="1"/>
    <col min="3" max="3" width="43.75" style="1846" customWidth="1"/>
    <col min="4" max="4" width="30.5" style="1846" customWidth="1"/>
    <col min="5" max="5" width="17.625" style="1846" customWidth="1"/>
    <col min="6" max="6" width="26.125" style="1846" customWidth="1"/>
    <col min="7" max="16384" width="8.625" style="1846"/>
  </cols>
  <sheetData>
    <row r="1" spans="1:6" ht="23.25">
      <c r="A1" s="1845" t="s">
        <v>2725</v>
      </c>
    </row>
    <row r="3" spans="1:6" ht="20.25">
      <c r="A3" s="1847" t="s">
        <v>2726</v>
      </c>
      <c r="B3" s="1847" t="s">
        <v>2727</v>
      </c>
      <c r="C3" s="1847" t="s">
        <v>2728</v>
      </c>
      <c r="D3" s="1847" t="s">
        <v>2729</v>
      </c>
      <c r="E3" s="1847" t="s">
        <v>2730</v>
      </c>
      <c r="F3" s="1847" t="s">
        <v>2731</v>
      </c>
    </row>
    <row r="4" spans="1:6">
      <c r="A4" s="1846" t="s">
        <v>2732</v>
      </c>
      <c r="B4" s="1846">
        <v>0.3</v>
      </c>
      <c r="C4" s="1846">
        <v>1</v>
      </c>
      <c r="D4" s="1846" t="str">
        <f t="shared" ref="D4:D19" si="0">A4&amp; " d=" &amp;TEXT(B4,"0,00")&amp;"m - L=" &amp; TEXT(C4,"0,00")&amp;"m"</f>
        <v>PA1 d=0,30m - L=1,00m</v>
      </c>
      <c r="E4" s="1846" t="s">
        <v>2733</v>
      </c>
      <c r="F4" s="1846">
        <v>104.9</v>
      </c>
    </row>
    <row r="5" spans="1:6">
      <c r="A5" s="1846" t="s">
        <v>2732</v>
      </c>
      <c r="B5" s="1846">
        <v>0.4</v>
      </c>
      <c r="C5" s="1846">
        <v>1.5</v>
      </c>
      <c r="D5" s="1846" t="str">
        <f t="shared" si="0"/>
        <v>PA1 d=0,40m - L=1,50m</v>
      </c>
      <c r="E5" s="1846" t="s">
        <v>2733</v>
      </c>
      <c r="F5" s="1846">
        <v>175.5</v>
      </c>
    </row>
    <row r="6" spans="1:6">
      <c r="A6" s="1846" t="s">
        <v>2732</v>
      </c>
      <c r="B6" s="1846">
        <v>0.6</v>
      </c>
      <c r="C6" s="1846">
        <v>1.5</v>
      </c>
      <c r="D6" s="1846" t="str">
        <f t="shared" si="0"/>
        <v>PA1 d=0,60m - L=1,50m</v>
      </c>
      <c r="E6" s="1846" t="s">
        <v>2733</v>
      </c>
      <c r="F6" s="1846">
        <v>373</v>
      </c>
    </row>
    <row r="7" spans="1:6">
      <c r="A7" s="1846" t="s">
        <v>2732</v>
      </c>
      <c r="B7" s="1846">
        <v>0.8</v>
      </c>
      <c r="C7" s="1846">
        <v>1.5</v>
      </c>
      <c r="D7" s="1846" t="str">
        <f t="shared" si="0"/>
        <v>PA1 d=0,80m - L=1,50m</v>
      </c>
      <c r="E7" s="1846" t="s">
        <v>2733</v>
      </c>
      <c r="F7" s="1846">
        <v>627</v>
      </c>
    </row>
    <row r="8" spans="1:6">
      <c r="A8" s="1846" t="s">
        <v>2732</v>
      </c>
      <c r="B8" s="1846">
        <v>1</v>
      </c>
      <c r="C8" s="1846">
        <v>1.5</v>
      </c>
      <c r="D8" s="1846" t="str">
        <f t="shared" si="0"/>
        <v>PA1 d=1,00m - L=1,50m</v>
      </c>
      <c r="E8" s="1846" t="s">
        <v>2733</v>
      </c>
      <c r="F8" s="1846">
        <v>789</v>
      </c>
    </row>
    <row r="9" spans="1:6">
      <c r="A9" s="1846" t="s">
        <v>2732</v>
      </c>
      <c r="B9" s="1846">
        <v>1.2</v>
      </c>
      <c r="C9" s="1846">
        <v>1.5</v>
      </c>
      <c r="D9" s="1846" t="str">
        <f t="shared" si="0"/>
        <v>PA1 d=1,20m - L=1,50m</v>
      </c>
      <c r="E9" s="1846" t="s">
        <v>2733</v>
      </c>
      <c r="F9" s="1846">
        <v>1200</v>
      </c>
    </row>
    <row r="10" spans="1:6">
      <c r="A10" s="1846" t="s">
        <v>2732</v>
      </c>
      <c r="B10" s="1846">
        <v>1.5</v>
      </c>
      <c r="C10" s="1846">
        <v>1.5</v>
      </c>
      <c r="D10" s="1846" t="str">
        <f t="shared" si="0"/>
        <v>PA1 d=1,50m - L=1,50m</v>
      </c>
      <c r="E10" s="1846" t="s">
        <v>2733</v>
      </c>
      <c r="F10" s="1846">
        <v>1740</v>
      </c>
    </row>
    <row r="11" spans="1:6">
      <c r="A11" s="1846" t="s">
        <v>2734</v>
      </c>
      <c r="B11" s="1846">
        <v>0.4</v>
      </c>
      <c r="C11" s="1846">
        <v>1.5</v>
      </c>
      <c r="D11" s="1846" t="str">
        <f t="shared" si="0"/>
        <v>PA2 d=0,40m - L=1,50m</v>
      </c>
      <c r="E11" s="1846" t="s">
        <v>2733</v>
      </c>
      <c r="F11" s="1846">
        <v>176</v>
      </c>
    </row>
    <row r="12" spans="1:6">
      <c r="A12" s="1846" t="s">
        <v>2734</v>
      </c>
      <c r="B12" s="1846">
        <v>0.6</v>
      </c>
      <c r="C12" s="1846">
        <v>1.5</v>
      </c>
      <c r="D12" s="1846" t="str">
        <f t="shared" si="0"/>
        <v>PA2 d=0,60m - L=1,50m</v>
      </c>
      <c r="E12" s="1846" t="s">
        <v>2733</v>
      </c>
      <c r="F12" s="1846">
        <v>373.34</v>
      </c>
    </row>
    <row r="13" spans="1:6">
      <c r="A13" s="1846" t="s">
        <v>2734</v>
      </c>
      <c r="B13" s="1846">
        <v>0.8</v>
      </c>
      <c r="C13" s="1846">
        <v>1.5</v>
      </c>
      <c r="D13" s="1846" t="str">
        <f t="shared" si="0"/>
        <v>PA2 d=0,80m - L=1,50m</v>
      </c>
      <c r="E13" s="1846" t="s">
        <v>2733</v>
      </c>
      <c r="F13" s="1846">
        <v>734</v>
      </c>
    </row>
    <row r="14" spans="1:6">
      <c r="A14" s="1846" t="s">
        <v>2734</v>
      </c>
      <c r="B14" s="1846">
        <v>1</v>
      </c>
      <c r="C14" s="1846">
        <v>1.5</v>
      </c>
      <c r="D14" s="1846" t="str">
        <f t="shared" si="0"/>
        <v>PA2 d=1,00m - L=1,50m</v>
      </c>
      <c r="E14" s="1846" t="s">
        <v>2733</v>
      </c>
      <c r="F14" s="1846">
        <v>800</v>
      </c>
    </row>
    <row r="15" spans="1:6">
      <c r="A15" s="1846" t="s">
        <v>2734</v>
      </c>
      <c r="B15" s="1846">
        <v>1.2</v>
      </c>
      <c r="C15" s="1846">
        <v>1.5</v>
      </c>
      <c r="D15" s="1846" t="str">
        <f t="shared" si="0"/>
        <v>PA2 d=1,20m - L=1,50m</v>
      </c>
      <c r="E15" s="1846" t="s">
        <v>2733</v>
      </c>
      <c r="F15" s="1846">
        <v>1200</v>
      </c>
    </row>
    <row r="16" spans="1:6">
      <c r="A16" s="1846" t="s">
        <v>2734</v>
      </c>
      <c r="B16" s="1846">
        <v>1.5</v>
      </c>
      <c r="C16" s="1846">
        <v>1.5</v>
      </c>
      <c r="D16" s="1846" t="str">
        <f t="shared" si="0"/>
        <v>PA2 d=1,50m - L=1,50m</v>
      </c>
      <c r="E16" s="1846" t="s">
        <v>2733</v>
      </c>
      <c r="F16" s="1846">
        <v>1740.67</v>
      </c>
    </row>
    <row r="17" spans="1:6">
      <c r="A17" s="1846" t="s">
        <v>2735</v>
      </c>
      <c r="B17" s="1846">
        <v>0.3</v>
      </c>
      <c r="C17" s="1846">
        <v>1</v>
      </c>
      <c r="D17" s="1846" t="str">
        <f t="shared" si="0"/>
        <v>PS1 d=0,30m - L=1,00m</v>
      </c>
      <c r="E17" s="1846" t="s">
        <v>2733</v>
      </c>
      <c r="F17" s="1846">
        <v>104.9</v>
      </c>
    </row>
    <row r="18" spans="1:6">
      <c r="A18" s="1846" t="s">
        <v>2735</v>
      </c>
      <c r="B18" s="1846">
        <v>0.4</v>
      </c>
      <c r="C18" s="1846">
        <v>1.5</v>
      </c>
      <c r="D18" s="1846" t="str">
        <f t="shared" si="0"/>
        <v>PS1 d=0,40m - L=1,50m</v>
      </c>
      <c r="E18" s="1846" t="s">
        <v>2733</v>
      </c>
      <c r="F18" s="1846">
        <v>176</v>
      </c>
    </row>
    <row r="19" spans="1:6">
      <c r="A19" s="1846" t="s">
        <v>2735</v>
      </c>
      <c r="B19" s="1846">
        <v>0.6</v>
      </c>
      <c r="C19" s="1846">
        <v>1.5</v>
      </c>
      <c r="D19" s="1846" t="str">
        <f t="shared" si="0"/>
        <v>PS1 d=0,60m - L=1,50m</v>
      </c>
      <c r="E19" s="1846" t="s">
        <v>2733</v>
      </c>
      <c r="F19" s="1846">
        <v>336</v>
      </c>
    </row>
  </sheetData>
  <pageMargins left="0.511811024" right="0.511811024" top="0.78740157499999996" bottom="0.78740157499999996" header="0.31496062000000002" footer="0.31496062000000002"/>
  <pageSetup paperSize="0" orientation="portrait" r:id="rId1"/>
  <headerFooter>
    <oddFooter>&amp;C&amp;8Página &amp;P/&amp;N</oddFooter>
  </headerFooter>
  <tableParts count="1">
    <tablePart r:id="rId2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68B54-8B3C-4ABA-8215-6D69A1DE8D2D}">
  <sheetPr codeName="Planilha39" filterMode="1"/>
  <dimension ref="A1:P403"/>
  <sheetViews>
    <sheetView showZeros="0" zoomScaleNormal="100" workbookViewId="0">
      <selection sqref="A1:A402"/>
    </sheetView>
  </sheetViews>
  <sheetFormatPr defaultColWidth="9" defaultRowHeight="12.75"/>
  <cols>
    <col min="1" max="1" width="9.75" style="1855" customWidth="1"/>
    <col min="2" max="3" width="22.625" style="1855" customWidth="1"/>
    <col min="4" max="4" width="31.125" style="1935" customWidth="1"/>
    <col min="5" max="5" width="6.125" style="1936" hidden="1" customWidth="1"/>
    <col min="6" max="6" width="20.375" style="1855" hidden="1" customWidth="1"/>
    <col min="7" max="10" width="12.625" style="1855" customWidth="1"/>
    <col min="11" max="11" width="12.625" style="1938" customWidth="1"/>
    <col min="12" max="12" width="13.25" style="1855" customWidth="1"/>
    <col min="13" max="16384" width="9" style="1855"/>
  </cols>
  <sheetData>
    <row r="1" spans="1:16" s="1850" customFormat="1" ht="60" customHeight="1" thickTop="1" thickBot="1">
      <c r="A1" s="3016" t="s">
        <v>2736</v>
      </c>
      <c r="B1" s="2743" t="s">
        <v>2188</v>
      </c>
      <c r="C1" s="2743"/>
      <c r="D1" s="2743"/>
      <c r="E1" s="3019" t="s">
        <v>1468</v>
      </c>
      <c r="F1" s="3019"/>
      <c r="G1" s="1848">
        <f>+Pav_Dados!G1</f>
        <v>0</v>
      </c>
      <c r="H1" s="1848">
        <f>+Pav_Dados!H1</f>
        <v>0</v>
      </c>
      <c r="I1" s="1848">
        <f>+Pav_Dados!I1</f>
        <v>0</v>
      </c>
      <c r="J1" s="1848"/>
      <c r="K1" s="1849" t="s">
        <v>1358</v>
      </c>
      <c r="L1" s="738" t="s">
        <v>1475</v>
      </c>
      <c r="M1" s="739">
        <f>SUBTOTAL(3,L:L)</f>
        <v>2</v>
      </c>
    </row>
    <row r="2" spans="1:16" ht="19.5" hidden="1" customHeight="1" thickTop="1">
      <c r="A2" s="3017"/>
      <c r="B2" s="3020" t="s">
        <v>2737</v>
      </c>
      <c r="C2" s="1851" t="s">
        <v>2738</v>
      </c>
      <c r="D2" s="1852">
        <v>0.28000000000000003</v>
      </c>
      <c r="E2" s="1853" t="s">
        <v>2739</v>
      </c>
      <c r="F2" s="1854"/>
      <c r="G2" s="3014"/>
      <c r="H2" s="3014"/>
      <c r="I2" s="3014"/>
      <c r="J2" s="3014"/>
      <c r="K2" s="3015">
        <f>+TRUNC(+SUM(G2:J3),2)</f>
        <v>0</v>
      </c>
      <c r="L2" s="745">
        <f>SUM(G2:K2)</f>
        <v>0</v>
      </c>
      <c r="N2" s="1850"/>
      <c r="O2" s="1850"/>
      <c r="P2" s="1850"/>
    </row>
    <row r="3" spans="1:16" ht="51" hidden="1" thickTop="1" thickBot="1">
      <c r="A3" s="3017"/>
      <c r="B3" s="3021"/>
      <c r="C3" s="1856" t="s">
        <v>2740</v>
      </c>
      <c r="D3" s="1857"/>
      <c r="E3" s="1858" t="s">
        <v>2739</v>
      </c>
      <c r="F3" s="1859"/>
      <c r="G3" s="2984"/>
      <c r="H3" s="2984"/>
      <c r="I3" s="2984"/>
      <c r="J3" s="2984"/>
      <c r="K3" s="2981"/>
      <c r="L3" s="1520">
        <f>+L2</f>
        <v>0</v>
      </c>
      <c r="N3" s="1850"/>
      <c r="O3" s="1850"/>
      <c r="P3" s="1850"/>
    </row>
    <row r="4" spans="1:16" ht="20.25" hidden="1" thickTop="1" thickBot="1">
      <c r="A4" s="3017"/>
      <c r="B4" s="3022"/>
      <c r="C4" s="1860" t="s">
        <v>2738</v>
      </c>
      <c r="D4" s="1861">
        <v>0.25</v>
      </c>
      <c r="E4" s="1853" t="s">
        <v>2739</v>
      </c>
      <c r="F4" s="1859"/>
      <c r="G4" s="2983"/>
      <c r="H4" s="2983"/>
      <c r="I4" s="2983"/>
      <c r="J4" s="2983"/>
      <c r="K4" s="2991">
        <f>+TRUNC(+SUM(G4:J5),2)</f>
        <v>0</v>
      </c>
      <c r="L4" s="745">
        <f>SUM(G4:K4)</f>
        <v>0</v>
      </c>
      <c r="N4" s="1850"/>
      <c r="O4" s="1850"/>
      <c r="P4" s="1850"/>
    </row>
    <row r="5" spans="1:16" ht="51" hidden="1" thickTop="1" thickBot="1">
      <c r="A5" s="3017"/>
      <c r="B5" s="3022"/>
      <c r="C5" s="1856" t="s">
        <v>2741</v>
      </c>
      <c r="D5" s="1857"/>
      <c r="E5" s="1858" t="s">
        <v>2739</v>
      </c>
      <c r="F5" s="1854"/>
      <c r="G5" s="2984"/>
      <c r="H5" s="2984"/>
      <c r="I5" s="2984"/>
      <c r="J5" s="2984"/>
      <c r="K5" s="2981"/>
      <c r="L5" s="1520">
        <f>+L4</f>
        <v>0</v>
      </c>
      <c r="N5" s="1850"/>
      <c r="O5" s="1850"/>
      <c r="P5" s="1850"/>
    </row>
    <row r="6" spans="1:16" ht="20.25" hidden="1" thickTop="1" thickBot="1">
      <c r="A6" s="3017"/>
      <c r="B6" s="3022"/>
      <c r="C6" s="1860" t="s">
        <v>2738</v>
      </c>
      <c r="D6" s="1861">
        <v>0.28000000000000003</v>
      </c>
      <c r="E6" s="1853" t="s">
        <v>2739</v>
      </c>
      <c r="F6" s="1859"/>
      <c r="G6" s="2983"/>
      <c r="H6" s="2983"/>
      <c r="I6" s="2983"/>
      <c r="J6" s="2983"/>
      <c r="K6" s="2991">
        <f>+TRUNC(+SUM(G6:J7),2)</f>
        <v>0</v>
      </c>
      <c r="L6" s="745">
        <f>SUM(G6:K6)</f>
        <v>0</v>
      </c>
      <c r="N6" s="1850"/>
      <c r="O6" s="1850"/>
      <c r="P6" s="1850"/>
    </row>
    <row r="7" spans="1:16" ht="51" hidden="1" thickTop="1" thickBot="1">
      <c r="A7" s="3017"/>
      <c r="B7" s="3022"/>
      <c r="C7" s="1856" t="s">
        <v>2742</v>
      </c>
      <c r="D7" s="1857"/>
      <c r="E7" s="1858" t="s">
        <v>2739</v>
      </c>
      <c r="F7" s="1854"/>
      <c r="G7" s="2984"/>
      <c r="H7" s="2984"/>
      <c r="I7" s="2984"/>
      <c r="J7" s="2984"/>
      <c r="K7" s="2981"/>
      <c r="L7" s="1520">
        <f>+L6</f>
        <v>0</v>
      </c>
      <c r="N7" s="1850"/>
      <c r="O7" s="1850"/>
      <c r="P7" s="1850"/>
    </row>
    <row r="8" spans="1:16" ht="20.25" hidden="1" thickTop="1" thickBot="1">
      <c r="A8" s="3017"/>
      <c r="B8" s="3022"/>
      <c r="C8" s="1860" t="s">
        <v>2738</v>
      </c>
      <c r="D8" s="1861">
        <v>0.28000000000000003</v>
      </c>
      <c r="E8" s="1853" t="s">
        <v>2739</v>
      </c>
      <c r="F8" s="1859"/>
      <c r="G8" s="2983"/>
      <c r="H8" s="2983"/>
      <c r="I8" s="2983"/>
      <c r="J8" s="2983"/>
      <c r="K8" s="2991">
        <f>+TRUNC(+SUM(G8:J9),2)</f>
        <v>0</v>
      </c>
      <c r="L8" s="745">
        <f>SUM(G8:K8)</f>
        <v>0</v>
      </c>
      <c r="N8" s="1850"/>
      <c r="O8" s="1850"/>
      <c r="P8" s="1850"/>
    </row>
    <row r="9" spans="1:16" ht="51" hidden="1" thickTop="1" thickBot="1">
      <c r="A9" s="3017"/>
      <c r="B9" s="3022"/>
      <c r="C9" s="1856" t="s">
        <v>2743</v>
      </c>
      <c r="D9" s="1857"/>
      <c r="E9" s="1858" t="s">
        <v>2739</v>
      </c>
      <c r="F9" s="1854"/>
      <c r="G9" s="2984"/>
      <c r="H9" s="2984"/>
      <c r="I9" s="2984"/>
      <c r="J9" s="2984"/>
      <c r="K9" s="2981"/>
      <c r="L9" s="1520">
        <f>+L8</f>
        <v>0</v>
      </c>
      <c r="N9" s="1850"/>
      <c r="O9" s="1850"/>
      <c r="P9" s="1850"/>
    </row>
    <row r="10" spans="1:16" ht="20.25" hidden="1" thickTop="1" thickBot="1">
      <c r="A10" s="3017"/>
      <c r="B10" s="3022"/>
      <c r="C10" s="1860" t="s">
        <v>2738</v>
      </c>
      <c r="D10" s="1861">
        <v>0.28000000000000003</v>
      </c>
      <c r="E10" s="1853" t="s">
        <v>2739</v>
      </c>
      <c r="F10" s="1859"/>
      <c r="G10" s="2983"/>
      <c r="H10" s="2983"/>
      <c r="I10" s="2983"/>
      <c r="J10" s="2983"/>
      <c r="K10" s="2991">
        <f>+TRUNC(+SUM(G10:J11),2)</f>
        <v>0</v>
      </c>
      <c r="L10" s="745">
        <f>SUM(G10:K10)</f>
        <v>0</v>
      </c>
      <c r="N10" s="1850"/>
      <c r="O10" s="1850"/>
      <c r="P10" s="1850"/>
    </row>
    <row r="11" spans="1:16" ht="51" hidden="1" thickTop="1" thickBot="1">
      <c r="A11" s="3017"/>
      <c r="B11" s="3022"/>
      <c r="C11" s="1856" t="s">
        <v>2744</v>
      </c>
      <c r="D11" s="1857"/>
      <c r="E11" s="1858" t="s">
        <v>2739</v>
      </c>
      <c r="F11" s="1854"/>
      <c r="G11" s="2984"/>
      <c r="H11" s="2984"/>
      <c r="I11" s="2984"/>
      <c r="J11" s="2984"/>
      <c r="K11" s="2981"/>
      <c r="L11" s="1520">
        <f>+L10</f>
        <v>0</v>
      </c>
      <c r="N11" s="1850"/>
      <c r="O11" s="1850"/>
      <c r="P11" s="1850"/>
    </row>
    <row r="12" spans="1:16" ht="20.25" hidden="1" thickTop="1" thickBot="1">
      <c r="A12" s="3017"/>
      <c r="B12" s="3022"/>
      <c r="C12" s="1860" t="s">
        <v>2738</v>
      </c>
      <c r="D12" s="1861">
        <v>0.28000000000000003</v>
      </c>
      <c r="E12" s="1853" t="s">
        <v>2739</v>
      </c>
      <c r="F12" s="1859"/>
      <c r="G12" s="2983"/>
      <c r="H12" s="2983"/>
      <c r="I12" s="2983"/>
      <c r="J12" s="2983"/>
      <c r="K12" s="2991">
        <f>+TRUNC(+SUM(G12:J13),2)</f>
        <v>0</v>
      </c>
      <c r="L12" s="745">
        <f>SUM(G12:K12)</f>
        <v>0</v>
      </c>
      <c r="N12" s="1850"/>
      <c r="O12" s="1850"/>
      <c r="P12" s="1850"/>
    </row>
    <row r="13" spans="1:16" ht="51" hidden="1" thickTop="1" thickBot="1">
      <c r="A13" s="3017"/>
      <c r="B13" s="3022"/>
      <c r="C13" s="1856" t="s">
        <v>2745</v>
      </c>
      <c r="D13" s="1857"/>
      <c r="E13" s="1858" t="s">
        <v>2739</v>
      </c>
      <c r="F13" s="1854"/>
      <c r="G13" s="2984"/>
      <c r="H13" s="2984"/>
      <c r="I13" s="2984"/>
      <c r="J13" s="2984"/>
      <c r="K13" s="2981"/>
      <c r="L13" s="1520">
        <f>+L12</f>
        <v>0</v>
      </c>
      <c r="N13" s="1850"/>
      <c r="O13" s="1850"/>
      <c r="P13" s="1850"/>
    </row>
    <row r="14" spans="1:16" ht="20.25" hidden="1" thickTop="1" thickBot="1">
      <c r="A14" s="3017"/>
      <c r="B14" s="3022"/>
      <c r="C14" s="1860" t="s">
        <v>2738</v>
      </c>
      <c r="D14" s="1861">
        <v>0.28000000000000003</v>
      </c>
      <c r="E14" s="1853" t="s">
        <v>2739</v>
      </c>
      <c r="F14" s="1859"/>
      <c r="G14" s="2983"/>
      <c r="H14" s="2983"/>
      <c r="I14" s="2983"/>
      <c r="J14" s="2983"/>
      <c r="K14" s="2991">
        <f>+TRUNC(+SUM(G14:J15),2)</f>
        <v>0</v>
      </c>
      <c r="L14" s="745">
        <f>SUM(G14:K14)</f>
        <v>0</v>
      </c>
      <c r="N14" s="1850"/>
      <c r="O14" s="1850"/>
      <c r="P14" s="1850"/>
    </row>
    <row r="15" spans="1:16" ht="51" hidden="1" thickTop="1" thickBot="1">
      <c r="A15" s="3017"/>
      <c r="B15" s="3022"/>
      <c r="C15" s="1856" t="s">
        <v>2746</v>
      </c>
      <c r="D15" s="1857"/>
      <c r="E15" s="1858" t="s">
        <v>2739</v>
      </c>
      <c r="F15" s="1854"/>
      <c r="G15" s="2984"/>
      <c r="H15" s="2984"/>
      <c r="I15" s="2984"/>
      <c r="J15" s="2984"/>
      <c r="K15" s="2981"/>
      <c r="L15" s="1520">
        <f>+L14</f>
        <v>0</v>
      </c>
      <c r="N15" s="1850"/>
      <c r="O15" s="1850"/>
      <c r="P15" s="1850"/>
    </row>
    <row r="16" spans="1:16" ht="20.25" hidden="1" thickTop="1" thickBot="1">
      <c r="A16" s="3017"/>
      <c r="B16" s="3022"/>
      <c r="C16" s="1860" t="s">
        <v>2738</v>
      </c>
      <c r="D16" s="1861">
        <v>0.28000000000000003</v>
      </c>
      <c r="E16" s="1853" t="s">
        <v>2739</v>
      </c>
      <c r="F16" s="1859"/>
      <c r="G16" s="2983"/>
      <c r="H16" s="2983"/>
      <c r="I16" s="2983"/>
      <c r="J16" s="2983"/>
      <c r="K16" s="2991">
        <f>+TRUNC(+SUM(G16:J17),2)</f>
        <v>0</v>
      </c>
      <c r="L16" s="745">
        <f>SUM(G16:K16)</f>
        <v>0</v>
      </c>
      <c r="N16" s="1850"/>
      <c r="O16" s="1850"/>
      <c r="P16" s="1850"/>
    </row>
    <row r="17" spans="1:16" ht="51" hidden="1" thickTop="1" thickBot="1">
      <c r="A17" s="3017"/>
      <c r="B17" s="3022"/>
      <c r="C17" s="1856" t="s">
        <v>2747</v>
      </c>
      <c r="D17" s="1857"/>
      <c r="E17" s="1858" t="s">
        <v>2739</v>
      </c>
      <c r="F17" s="1854"/>
      <c r="G17" s="2984"/>
      <c r="H17" s="2984"/>
      <c r="I17" s="2984"/>
      <c r="J17" s="2984"/>
      <c r="K17" s="2981"/>
      <c r="L17" s="1520">
        <f>+L16</f>
        <v>0</v>
      </c>
      <c r="N17" s="1850"/>
      <c r="O17" s="1850"/>
      <c r="P17" s="1850"/>
    </row>
    <row r="18" spans="1:16" ht="20.25" hidden="1" thickTop="1" thickBot="1">
      <c r="A18" s="3017"/>
      <c r="B18" s="3022"/>
      <c r="C18" s="1860" t="s">
        <v>2738</v>
      </c>
      <c r="D18" s="1861">
        <v>0.28000000000000003</v>
      </c>
      <c r="E18" s="1853" t="s">
        <v>2739</v>
      </c>
      <c r="F18" s="1859"/>
      <c r="G18" s="2983"/>
      <c r="H18" s="2983"/>
      <c r="I18" s="2983"/>
      <c r="J18" s="2983"/>
      <c r="K18" s="2991">
        <f>+TRUNC(+SUM(G18:J19),2)</f>
        <v>0</v>
      </c>
      <c r="L18" s="745">
        <f>SUM(G18:K18)</f>
        <v>0</v>
      </c>
      <c r="N18" s="1850"/>
      <c r="O18" s="1850"/>
      <c r="P18" s="1850"/>
    </row>
    <row r="19" spans="1:16" ht="51" hidden="1" thickTop="1" thickBot="1">
      <c r="A19" s="3017"/>
      <c r="B19" s="3022"/>
      <c r="C19" s="1856" t="s">
        <v>2748</v>
      </c>
      <c r="D19" s="1857"/>
      <c r="E19" s="1858" t="s">
        <v>2739</v>
      </c>
      <c r="F19" s="1854"/>
      <c r="G19" s="2984"/>
      <c r="H19" s="2984"/>
      <c r="I19" s="2984"/>
      <c r="J19" s="2984"/>
      <c r="K19" s="2981"/>
      <c r="L19" s="1520">
        <f>+L18</f>
        <v>0</v>
      </c>
      <c r="N19" s="1850"/>
      <c r="O19" s="1850"/>
      <c r="P19" s="1850"/>
    </row>
    <row r="20" spans="1:16" ht="20.25" hidden="1" thickTop="1" thickBot="1">
      <c r="A20" s="3017"/>
      <c r="B20" s="3022"/>
      <c r="C20" s="1860" t="s">
        <v>2738</v>
      </c>
      <c r="D20" s="1861">
        <v>0.28000000000000003</v>
      </c>
      <c r="E20" s="1853" t="s">
        <v>2739</v>
      </c>
      <c r="F20" s="1859"/>
      <c r="G20" s="2983"/>
      <c r="H20" s="2983"/>
      <c r="I20" s="2983"/>
      <c r="J20" s="2983"/>
      <c r="K20" s="2991">
        <f>+TRUNC(+SUM(G20:J21),2)</f>
        <v>0</v>
      </c>
      <c r="L20" s="745">
        <f>SUM(G20:K20)</f>
        <v>0</v>
      </c>
      <c r="N20" s="1850"/>
      <c r="O20" s="1850"/>
      <c r="P20" s="1850"/>
    </row>
    <row r="21" spans="1:16" ht="51" hidden="1" thickTop="1" thickBot="1">
      <c r="A21" s="3017"/>
      <c r="B21" s="3022"/>
      <c r="C21" s="1856" t="s">
        <v>2749</v>
      </c>
      <c r="D21" s="1857"/>
      <c r="E21" s="1858" t="s">
        <v>2739</v>
      </c>
      <c r="F21" s="1854"/>
      <c r="G21" s="2984"/>
      <c r="H21" s="2984"/>
      <c r="I21" s="2984"/>
      <c r="J21" s="2984"/>
      <c r="K21" s="2981"/>
      <c r="L21" s="1520">
        <f>+L20</f>
        <v>0</v>
      </c>
      <c r="N21" s="1850"/>
      <c r="O21" s="1850"/>
      <c r="P21" s="1850"/>
    </row>
    <row r="22" spans="1:16" ht="20.25" hidden="1" thickTop="1" thickBot="1">
      <c r="A22" s="3017"/>
      <c r="B22" s="3022"/>
      <c r="C22" s="1860" t="s">
        <v>2738</v>
      </c>
      <c r="D22" s="1861">
        <v>0.28000000000000003</v>
      </c>
      <c r="E22" s="1853" t="s">
        <v>2739</v>
      </c>
      <c r="F22" s="1859"/>
      <c r="G22" s="2983"/>
      <c r="H22" s="2983"/>
      <c r="I22" s="2983"/>
      <c r="J22" s="2983"/>
      <c r="K22" s="2991">
        <f>+TRUNC(+SUM(G22:J23),2)</f>
        <v>0</v>
      </c>
      <c r="L22" s="745">
        <f>SUM(G22:K22)</f>
        <v>0</v>
      </c>
      <c r="N22" s="1850"/>
      <c r="O22" s="1850"/>
      <c r="P22" s="1850"/>
    </row>
    <row r="23" spans="1:16" ht="51" hidden="1" thickTop="1" thickBot="1">
      <c r="A23" s="3017"/>
      <c r="B23" s="3022"/>
      <c r="C23" s="1856" t="s">
        <v>2750</v>
      </c>
      <c r="D23" s="1857"/>
      <c r="E23" s="1858" t="s">
        <v>2739</v>
      </c>
      <c r="F23" s="1854"/>
      <c r="G23" s="2984"/>
      <c r="H23" s="2984"/>
      <c r="I23" s="2984"/>
      <c r="J23" s="2984"/>
      <c r="K23" s="2981"/>
      <c r="L23" s="1520">
        <f>+L22</f>
        <v>0</v>
      </c>
      <c r="N23" s="1850"/>
      <c r="O23" s="1850"/>
      <c r="P23" s="1850"/>
    </row>
    <row r="24" spans="1:16" ht="20.25" hidden="1" thickTop="1" thickBot="1">
      <c r="A24" s="3017"/>
      <c r="B24" s="3022"/>
      <c r="C24" s="1860" t="s">
        <v>2738</v>
      </c>
      <c r="D24" s="1861">
        <v>0.28000000000000003</v>
      </c>
      <c r="E24" s="1853" t="s">
        <v>2739</v>
      </c>
      <c r="F24" s="1859"/>
      <c r="G24" s="2983"/>
      <c r="H24" s="2983"/>
      <c r="I24" s="2983"/>
      <c r="J24" s="2983"/>
      <c r="K24" s="2991">
        <f>+TRUNC(+SUM(G24:J25),2)</f>
        <v>0</v>
      </c>
      <c r="L24" s="745">
        <f>SUM(G24:K24)</f>
        <v>0</v>
      </c>
      <c r="N24" s="1850"/>
      <c r="O24" s="1850"/>
      <c r="P24" s="1850"/>
    </row>
    <row r="25" spans="1:16" ht="49.5" hidden="1" customHeight="1">
      <c r="A25" s="3017"/>
      <c r="B25" s="3022"/>
      <c r="C25" s="1856" t="s">
        <v>2751</v>
      </c>
      <c r="D25" s="1857"/>
      <c r="E25" s="1858" t="s">
        <v>2739</v>
      </c>
      <c r="F25" s="1854"/>
      <c r="G25" s="2984"/>
      <c r="H25" s="2984"/>
      <c r="I25" s="2984"/>
      <c r="J25" s="2984"/>
      <c r="K25" s="2981"/>
      <c r="L25" s="1520">
        <f>+L24</f>
        <v>0</v>
      </c>
      <c r="N25" s="1850"/>
      <c r="O25" s="1850"/>
      <c r="P25" s="1850"/>
    </row>
    <row r="26" spans="1:16" ht="20.25" hidden="1" thickTop="1" thickBot="1">
      <c r="A26" s="3017"/>
      <c r="B26" s="3022"/>
      <c r="C26" s="1860" t="s">
        <v>2738</v>
      </c>
      <c r="D26" s="1861">
        <v>0.28000000000000003</v>
      </c>
      <c r="E26" s="1853" t="s">
        <v>2739</v>
      </c>
      <c r="F26" s="1859"/>
      <c r="G26" s="2983"/>
      <c r="H26" s="2983"/>
      <c r="I26" s="2983"/>
      <c r="J26" s="2983"/>
      <c r="K26" s="2991">
        <f>+TRUNC(+SUM(G26:J27),2)</f>
        <v>0</v>
      </c>
      <c r="L26" s="745">
        <f>SUM(G26:K26)</f>
        <v>0</v>
      </c>
      <c r="N26" s="1850"/>
      <c r="O26" s="1850"/>
      <c r="P26" s="1850"/>
    </row>
    <row r="27" spans="1:16" ht="49.5" hidden="1" customHeight="1">
      <c r="A27" s="3017"/>
      <c r="B27" s="3022"/>
      <c r="C27" s="1856" t="s">
        <v>2752</v>
      </c>
      <c r="D27" s="1857"/>
      <c r="E27" s="1858" t="s">
        <v>2739</v>
      </c>
      <c r="F27" s="1854"/>
      <c r="G27" s="2984"/>
      <c r="H27" s="2984"/>
      <c r="I27" s="2984"/>
      <c r="J27" s="2984"/>
      <c r="K27" s="2981"/>
      <c r="L27" s="1520">
        <f>+L26</f>
        <v>0</v>
      </c>
      <c r="N27" s="1850"/>
      <c r="O27" s="1850"/>
      <c r="P27" s="1850"/>
    </row>
    <row r="28" spans="1:16" ht="20.25" hidden="1" thickTop="1" thickBot="1">
      <c r="A28" s="3017"/>
      <c r="B28" s="3022"/>
      <c r="C28" s="1860" t="s">
        <v>2738</v>
      </c>
      <c r="D28" s="1861">
        <v>0.28000000000000003</v>
      </c>
      <c r="E28" s="1853" t="s">
        <v>2739</v>
      </c>
      <c r="F28" s="1859"/>
      <c r="G28" s="2983"/>
      <c r="H28" s="2983"/>
      <c r="I28" s="2983"/>
      <c r="J28" s="2983"/>
      <c r="K28" s="2991">
        <f>+TRUNC(+SUM(G28:J29),2)</f>
        <v>0</v>
      </c>
      <c r="L28" s="745">
        <f>SUM(G28:K28)</f>
        <v>0</v>
      </c>
      <c r="N28" s="1850"/>
      <c r="O28" s="1850"/>
      <c r="P28" s="1850"/>
    </row>
    <row r="29" spans="1:16" ht="51" hidden="1" thickTop="1" thickBot="1">
      <c r="A29" s="3017"/>
      <c r="B29" s="3022"/>
      <c r="C29" s="1856" t="s">
        <v>2753</v>
      </c>
      <c r="D29" s="1857"/>
      <c r="E29" s="1858" t="s">
        <v>2739</v>
      </c>
      <c r="F29" s="1854"/>
      <c r="G29" s="2984"/>
      <c r="H29" s="2984"/>
      <c r="I29" s="2984"/>
      <c r="J29" s="2984"/>
      <c r="K29" s="2981"/>
      <c r="L29" s="1520">
        <f>+L28</f>
        <v>0</v>
      </c>
      <c r="N29" s="1850"/>
      <c r="O29" s="1850"/>
      <c r="P29" s="1850"/>
    </row>
    <row r="30" spans="1:16" ht="20.25" hidden="1" thickTop="1" thickBot="1">
      <c r="A30" s="3017"/>
      <c r="B30" s="3022"/>
      <c r="C30" s="1860" t="s">
        <v>2738</v>
      </c>
      <c r="D30" s="1861">
        <v>0.28000000000000003</v>
      </c>
      <c r="E30" s="1853" t="s">
        <v>2739</v>
      </c>
      <c r="F30" s="1859"/>
      <c r="G30" s="2983"/>
      <c r="H30" s="2983"/>
      <c r="I30" s="2983"/>
      <c r="J30" s="2983"/>
      <c r="K30" s="2991">
        <f>+TRUNC(+SUM(G30:J31),2)</f>
        <v>0</v>
      </c>
      <c r="L30" s="745">
        <f>SUM(G30:K30)</f>
        <v>0</v>
      </c>
      <c r="N30" s="1850"/>
      <c r="O30" s="1850"/>
      <c r="P30" s="1850"/>
    </row>
    <row r="31" spans="1:16" ht="51" hidden="1" thickTop="1" thickBot="1">
      <c r="A31" s="3017"/>
      <c r="B31" s="3022"/>
      <c r="C31" s="1856" t="s">
        <v>2754</v>
      </c>
      <c r="D31" s="1857"/>
      <c r="E31" s="1858" t="s">
        <v>2739</v>
      </c>
      <c r="F31" s="1854"/>
      <c r="G31" s="2984"/>
      <c r="H31" s="2984"/>
      <c r="I31" s="2984"/>
      <c r="J31" s="2984"/>
      <c r="K31" s="2981"/>
      <c r="L31" s="1520">
        <f>+L30</f>
        <v>0</v>
      </c>
      <c r="N31" s="1850"/>
      <c r="O31" s="1850"/>
      <c r="P31" s="1850"/>
    </row>
    <row r="32" spans="1:16" ht="20.25" hidden="1" thickTop="1" thickBot="1">
      <c r="A32" s="3017"/>
      <c r="B32" s="3022"/>
      <c r="C32" s="1860" t="s">
        <v>2738</v>
      </c>
      <c r="D32" s="1861">
        <v>0.28000000000000003</v>
      </c>
      <c r="E32" s="1853" t="s">
        <v>2739</v>
      </c>
      <c r="F32" s="1859"/>
      <c r="G32" s="2983"/>
      <c r="H32" s="2983"/>
      <c r="I32" s="2983"/>
      <c r="J32" s="2983"/>
      <c r="K32" s="2991">
        <f>+TRUNC(+SUM(G32:J33),2)</f>
        <v>0</v>
      </c>
      <c r="L32" s="745">
        <f>SUM(G32:K32)</f>
        <v>0</v>
      </c>
      <c r="N32" s="1850"/>
      <c r="O32" s="1850"/>
      <c r="P32" s="1850"/>
    </row>
    <row r="33" spans="1:16" ht="51" hidden="1" thickTop="1" thickBot="1">
      <c r="A33" s="3017"/>
      <c r="B33" s="3022"/>
      <c r="C33" s="1856" t="s">
        <v>2755</v>
      </c>
      <c r="D33" s="1857"/>
      <c r="E33" s="1858" t="s">
        <v>2739</v>
      </c>
      <c r="F33" s="1854"/>
      <c r="G33" s="2984"/>
      <c r="H33" s="2984"/>
      <c r="I33" s="2984"/>
      <c r="J33" s="2984"/>
      <c r="K33" s="2981"/>
      <c r="L33" s="1520">
        <f>+L32</f>
        <v>0</v>
      </c>
      <c r="N33" s="1850"/>
      <c r="O33" s="1850"/>
      <c r="P33" s="1850"/>
    </row>
    <row r="34" spans="1:16" ht="20.25" hidden="1" thickTop="1" thickBot="1">
      <c r="A34" s="3017"/>
      <c r="B34" s="3022"/>
      <c r="C34" s="1860" t="s">
        <v>2738</v>
      </c>
      <c r="D34" s="1861">
        <v>0.28000000000000003</v>
      </c>
      <c r="E34" s="1853" t="s">
        <v>2739</v>
      </c>
      <c r="F34" s="1859"/>
      <c r="G34" s="2983"/>
      <c r="H34" s="2983"/>
      <c r="I34" s="2983"/>
      <c r="J34" s="2983"/>
      <c r="K34" s="2991">
        <f>+TRUNC(+SUM(G34:J35),2)</f>
        <v>0</v>
      </c>
      <c r="L34" s="745">
        <f>SUM(G34:K34)</f>
        <v>0</v>
      </c>
      <c r="N34" s="1850"/>
      <c r="O34" s="1850"/>
      <c r="P34" s="1850"/>
    </row>
    <row r="35" spans="1:16" ht="51" hidden="1" thickTop="1" thickBot="1">
      <c r="A35" s="3017"/>
      <c r="B35" s="3022"/>
      <c r="C35" s="1856" t="s">
        <v>2756</v>
      </c>
      <c r="D35" s="1857"/>
      <c r="E35" s="1858" t="s">
        <v>2739</v>
      </c>
      <c r="F35" s="1854"/>
      <c r="G35" s="2984"/>
      <c r="H35" s="2984"/>
      <c r="I35" s="2984"/>
      <c r="J35" s="2984"/>
      <c r="K35" s="2981"/>
      <c r="L35" s="1520">
        <f>+L34</f>
        <v>0</v>
      </c>
      <c r="N35" s="1850"/>
      <c r="O35" s="1850"/>
      <c r="P35" s="1850"/>
    </row>
    <row r="36" spans="1:16" ht="20.25" hidden="1" thickTop="1" thickBot="1">
      <c r="A36" s="3017"/>
      <c r="B36" s="3022"/>
      <c r="C36" s="1860" t="s">
        <v>2738</v>
      </c>
      <c r="D36" s="1861">
        <v>0.28000000000000003</v>
      </c>
      <c r="E36" s="1853" t="s">
        <v>2739</v>
      </c>
      <c r="F36" s="1859"/>
      <c r="G36" s="2983"/>
      <c r="H36" s="2983"/>
      <c r="I36" s="2983"/>
      <c r="J36" s="2983"/>
      <c r="K36" s="2991">
        <f>+TRUNC(+SUM(G36:J37),2)</f>
        <v>0</v>
      </c>
      <c r="L36" s="745">
        <f>SUM(G36:K36)</f>
        <v>0</v>
      </c>
      <c r="N36" s="1850"/>
      <c r="O36" s="1850"/>
      <c r="P36" s="1850"/>
    </row>
    <row r="37" spans="1:16" ht="51" hidden="1" thickTop="1" thickBot="1">
      <c r="A37" s="3017"/>
      <c r="B37" s="3022"/>
      <c r="C37" s="1856" t="s">
        <v>2757</v>
      </c>
      <c r="D37" s="1857"/>
      <c r="E37" s="1858" t="s">
        <v>2739</v>
      </c>
      <c r="F37" s="1854"/>
      <c r="G37" s="2984"/>
      <c r="H37" s="2984"/>
      <c r="I37" s="2984"/>
      <c r="J37" s="2984"/>
      <c r="K37" s="2981"/>
      <c r="L37" s="1520">
        <f>+L36</f>
        <v>0</v>
      </c>
      <c r="N37" s="1850"/>
      <c r="O37" s="1850"/>
      <c r="P37" s="1850"/>
    </row>
    <row r="38" spans="1:16" ht="20.25" hidden="1" thickTop="1" thickBot="1">
      <c r="A38" s="3017"/>
      <c r="B38" s="3022"/>
      <c r="C38" s="1860" t="s">
        <v>2738</v>
      </c>
      <c r="D38" s="1861">
        <v>0.28000000000000003</v>
      </c>
      <c r="E38" s="1853" t="s">
        <v>2739</v>
      </c>
      <c r="F38" s="1859"/>
      <c r="G38" s="2983"/>
      <c r="H38" s="2983"/>
      <c r="I38" s="2983"/>
      <c r="J38" s="2983"/>
      <c r="K38" s="2991">
        <f>+TRUNC(+SUM(G38:J39),2)</f>
        <v>0</v>
      </c>
      <c r="L38" s="745">
        <f>SUM(G38:K38)</f>
        <v>0</v>
      </c>
      <c r="N38" s="1850"/>
      <c r="O38" s="1850"/>
      <c r="P38" s="1850"/>
    </row>
    <row r="39" spans="1:16" ht="51" hidden="1" thickTop="1" thickBot="1">
      <c r="A39" s="3017"/>
      <c r="B39" s="3022"/>
      <c r="C39" s="1856" t="s">
        <v>2758</v>
      </c>
      <c r="D39" s="1857"/>
      <c r="E39" s="1858" t="s">
        <v>2739</v>
      </c>
      <c r="F39" s="1854"/>
      <c r="G39" s="2984"/>
      <c r="H39" s="2984"/>
      <c r="I39" s="2984"/>
      <c r="J39" s="2984"/>
      <c r="K39" s="2981"/>
      <c r="L39" s="1520">
        <f>+L38</f>
        <v>0</v>
      </c>
      <c r="N39" s="1850"/>
      <c r="O39" s="1850"/>
      <c r="P39" s="1850"/>
    </row>
    <row r="40" spans="1:16" ht="20.25" hidden="1" thickTop="1" thickBot="1">
      <c r="A40" s="3017"/>
      <c r="B40" s="3022"/>
      <c r="C40" s="1860" t="s">
        <v>2738</v>
      </c>
      <c r="D40" s="1861">
        <v>0.28000000000000003</v>
      </c>
      <c r="E40" s="1853" t="s">
        <v>2739</v>
      </c>
      <c r="F40" s="1859"/>
      <c r="G40" s="2983"/>
      <c r="H40" s="2983"/>
      <c r="I40" s="2983"/>
      <c r="J40" s="2983"/>
      <c r="K40" s="2991">
        <f>+TRUNC(+SUM(G40:J41),2)</f>
        <v>0</v>
      </c>
      <c r="L40" s="745">
        <f>SUM(G40:K40)</f>
        <v>0</v>
      </c>
      <c r="N40" s="1850"/>
      <c r="O40" s="1850"/>
      <c r="P40" s="1850"/>
    </row>
    <row r="41" spans="1:16" ht="51" hidden="1" thickTop="1" thickBot="1">
      <c r="A41" s="3017"/>
      <c r="B41" s="3022"/>
      <c r="C41" s="1856" t="s">
        <v>2759</v>
      </c>
      <c r="D41" s="1857"/>
      <c r="E41" s="1858" t="s">
        <v>2739</v>
      </c>
      <c r="F41" s="1854"/>
      <c r="G41" s="2984"/>
      <c r="H41" s="2984"/>
      <c r="I41" s="2984"/>
      <c r="J41" s="2984"/>
      <c r="K41" s="2981"/>
      <c r="L41" s="1520">
        <f>+L40</f>
        <v>0</v>
      </c>
      <c r="N41" s="1850"/>
      <c r="O41" s="1850"/>
      <c r="P41" s="1850"/>
    </row>
    <row r="42" spans="1:16" ht="20.25" hidden="1" thickTop="1" thickBot="1">
      <c r="A42" s="3017"/>
      <c r="B42" s="3022"/>
      <c r="C42" s="1860" t="s">
        <v>2738</v>
      </c>
      <c r="D42" s="1861">
        <v>0.28000000000000003</v>
      </c>
      <c r="E42" s="1853" t="s">
        <v>2739</v>
      </c>
      <c r="F42" s="1859"/>
      <c r="G42" s="2983"/>
      <c r="H42" s="2983"/>
      <c r="I42" s="2983"/>
      <c r="J42" s="2983"/>
      <c r="K42" s="2991">
        <f>+TRUNC(+SUM(G42:J43),2)</f>
        <v>0</v>
      </c>
      <c r="L42" s="745">
        <f>SUM(G42:K42)</f>
        <v>0</v>
      </c>
      <c r="N42" s="1850"/>
      <c r="O42" s="1850"/>
      <c r="P42" s="1850"/>
    </row>
    <row r="43" spans="1:16" ht="51" hidden="1" thickTop="1" thickBot="1">
      <c r="A43" s="3017"/>
      <c r="B43" s="3022"/>
      <c r="C43" s="1856" t="s">
        <v>2760</v>
      </c>
      <c r="D43" s="1857"/>
      <c r="E43" s="1858" t="s">
        <v>2739</v>
      </c>
      <c r="F43" s="1854"/>
      <c r="G43" s="2984"/>
      <c r="H43" s="2984"/>
      <c r="I43" s="2984"/>
      <c r="J43" s="2984"/>
      <c r="K43" s="2981"/>
      <c r="L43" s="1520">
        <f>+L42</f>
        <v>0</v>
      </c>
      <c r="N43" s="1850"/>
      <c r="O43" s="1850"/>
      <c r="P43" s="1850"/>
    </row>
    <row r="44" spans="1:16" ht="20.25" hidden="1" thickTop="1" thickBot="1">
      <c r="A44" s="3017"/>
      <c r="B44" s="3022"/>
      <c r="C44" s="1860" t="s">
        <v>2738</v>
      </c>
      <c r="D44" s="1861">
        <v>0.28000000000000003</v>
      </c>
      <c r="E44" s="1853" t="s">
        <v>2739</v>
      </c>
      <c r="F44" s="1859"/>
      <c r="G44" s="2983"/>
      <c r="H44" s="2983"/>
      <c r="I44" s="2983"/>
      <c r="J44" s="2983"/>
      <c r="K44" s="2991">
        <f>+TRUNC(+SUM(G44:J45),2)</f>
        <v>0</v>
      </c>
      <c r="L44" s="745">
        <f>SUM(G44:K44)</f>
        <v>0</v>
      </c>
      <c r="N44" s="1850"/>
      <c r="O44" s="1850"/>
      <c r="P44" s="1850"/>
    </row>
    <row r="45" spans="1:16" ht="51" hidden="1" thickTop="1" thickBot="1">
      <c r="A45" s="3017"/>
      <c r="B45" s="3022"/>
      <c r="C45" s="1856" t="s">
        <v>2761</v>
      </c>
      <c r="D45" s="1857"/>
      <c r="E45" s="1858" t="s">
        <v>2739</v>
      </c>
      <c r="F45" s="1854"/>
      <c r="G45" s="2984"/>
      <c r="H45" s="2984"/>
      <c r="I45" s="2984"/>
      <c r="J45" s="2984"/>
      <c r="K45" s="2981"/>
      <c r="L45" s="1520">
        <f>+L44</f>
        <v>0</v>
      </c>
      <c r="N45" s="1850"/>
      <c r="O45" s="1850"/>
      <c r="P45" s="1850"/>
    </row>
    <row r="46" spans="1:16" ht="20.25" hidden="1" thickTop="1" thickBot="1">
      <c r="A46" s="3017"/>
      <c r="B46" s="3022"/>
      <c r="C46" s="1860" t="s">
        <v>2738</v>
      </c>
      <c r="D46" s="1861">
        <v>0.28000000000000003</v>
      </c>
      <c r="E46" s="1853" t="s">
        <v>2739</v>
      </c>
      <c r="F46" s="1859"/>
      <c r="G46" s="2983"/>
      <c r="H46" s="2983"/>
      <c r="I46" s="2983"/>
      <c r="J46" s="2983"/>
      <c r="K46" s="2991">
        <f>+TRUNC(+SUM(G46:J47),2)</f>
        <v>0</v>
      </c>
      <c r="L46" s="745">
        <f>SUM(G46:K46)</f>
        <v>0</v>
      </c>
      <c r="N46" s="1850"/>
      <c r="O46" s="1850"/>
      <c r="P46" s="1850"/>
    </row>
    <row r="47" spans="1:16" ht="51" hidden="1" thickTop="1" thickBot="1">
      <c r="A47" s="3017"/>
      <c r="B47" s="3022"/>
      <c r="C47" s="1856" t="s">
        <v>2762</v>
      </c>
      <c r="D47" s="1857"/>
      <c r="E47" s="1858" t="s">
        <v>2739</v>
      </c>
      <c r="F47" s="1854"/>
      <c r="G47" s="2984"/>
      <c r="H47" s="2984"/>
      <c r="I47" s="2984"/>
      <c r="J47" s="2984"/>
      <c r="K47" s="2981"/>
      <c r="L47" s="1520">
        <f>+L46</f>
        <v>0</v>
      </c>
      <c r="N47" s="1850"/>
      <c r="O47" s="1850"/>
      <c r="P47" s="1850"/>
    </row>
    <row r="48" spans="1:16" ht="20.25" hidden="1" thickTop="1" thickBot="1">
      <c r="A48" s="3017"/>
      <c r="B48" s="3021"/>
      <c r="C48" s="1860" t="s">
        <v>2738</v>
      </c>
      <c r="D48" s="1861">
        <v>0.28000000000000003</v>
      </c>
      <c r="E48" s="1853" t="s">
        <v>2739</v>
      </c>
      <c r="F48" s="1859"/>
      <c r="G48" s="2983"/>
      <c r="H48" s="2983"/>
      <c r="I48" s="2983"/>
      <c r="J48" s="2983"/>
      <c r="K48" s="2991">
        <f>+TRUNC(+SUM(G48:J49),2)</f>
        <v>0</v>
      </c>
      <c r="L48" s="745">
        <f>SUM(G48:K48)</f>
        <v>0</v>
      </c>
      <c r="N48" s="1850"/>
      <c r="O48" s="1850"/>
      <c r="P48" s="1850"/>
    </row>
    <row r="49" spans="1:16" ht="51" hidden="1" thickTop="1" thickBot="1">
      <c r="A49" s="3017"/>
      <c r="B49" s="3021"/>
      <c r="C49" s="1862" t="s">
        <v>2763</v>
      </c>
      <c r="D49" s="1857"/>
      <c r="E49" s="1858" t="s">
        <v>2739</v>
      </c>
      <c r="F49" s="1854"/>
      <c r="G49" s="2984"/>
      <c r="H49" s="2984"/>
      <c r="I49" s="2984"/>
      <c r="J49" s="2984"/>
      <c r="K49" s="2981"/>
      <c r="L49" s="1520">
        <f>+L48</f>
        <v>0</v>
      </c>
      <c r="N49" s="1850"/>
      <c r="O49" s="1850"/>
      <c r="P49" s="1850"/>
    </row>
    <row r="50" spans="1:16" ht="20.25" hidden="1" thickTop="1" thickBot="1">
      <c r="A50" s="3017"/>
      <c r="B50" s="3022"/>
      <c r="C50" s="1860" t="s">
        <v>2738</v>
      </c>
      <c r="D50" s="1861">
        <v>0.28000000000000003</v>
      </c>
      <c r="E50" s="1853" t="s">
        <v>2739</v>
      </c>
      <c r="F50" s="1859"/>
      <c r="G50" s="2983"/>
      <c r="H50" s="2983"/>
      <c r="I50" s="2983"/>
      <c r="J50" s="2983"/>
      <c r="K50" s="2991">
        <f>+TRUNC(+SUM(G50:J51),2)</f>
        <v>0</v>
      </c>
      <c r="L50" s="745">
        <f>SUM(G50:K50)</f>
        <v>0</v>
      </c>
      <c r="N50" s="1850"/>
      <c r="O50" s="1850"/>
      <c r="P50" s="1850"/>
    </row>
    <row r="51" spans="1:16" ht="51" hidden="1" thickTop="1" thickBot="1">
      <c r="A51" s="3017"/>
      <c r="B51" s="3022"/>
      <c r="C51" s="1862" t="s">
        <v>2764</v>
      </c>
      <c r="D51" s="1857"/>
      <c r="E51" s="1858" t="s">
        <v>2739</v>
      </c>
      <c r="F51" s="1854"/>
      <c r="G51" s="2984"/>
      <c r="H51" s="2984"/>
      <c r="I51" s="2984"/>
      <c r="J51" s="2984"/>
      <c r="K51" s="2981"/>
      <c r="L51" s="1520">
        <f>+L50</f>
        <v>0</v>
      </c>
      <c r="N51" s="1850"/>
      <c r="O51" s="1850"/>
      <c r="P51" s="1850"/>
    </row>
    <row r="52" spans="1:16" ht="20.25" hidden="1" thickTop="1" thickBot="1">
      <c r="A52" s="3017"/>
      <c r="B52" s="3022"/>
      <c r="C52" s="1860" t="s">
        <v>2738</v>
      </c>
      <c r="D52" s="1861">
        <v>0.28000000000000003</v>
      </c>
      <c r="E52" s="1853" t="s">
        <v>2739</v>
      </c>
      <c r="F52" s="1859"/>
      <c r="G52" s="2983"/>
      <c r="H52" s="2983"/>
      <c r="I52" s="2983"/>
      <c r="J52" s="2983"/>
      <c r="K52" s="2991">
        <f>+TRUNC(+SUM(G52:J53),2)</f>
        <v>0</v>
      </c>
      <c r="L52" s="745">
        <f>SUM(G52:K52)</f>
        <v>0</v>
      </c>
      <c r="N52" s="1850"/>
      <c r="O52" s="1850"/>
      <c r="P52" s="1850"/>
    </row>
    <row r="53" spans="1:16" ht="51" hidden="1" thickTop="1" thickBot="1">
      <c r="A53" s="3017"/>
      <c r="B53" s="3022"/>
      <c r="C53" s="1862" t="s">
        <v>2765</v>
      </c>
      <c r="D53" s="1857"/>
      <c r="E53" s="1858" t="s">
        <v>2739</v>
      </c>
      <c r="F53" s="1854"/>
      <c r="G53" s="2984"/>
      <c r="H53" s="2984"/>
      <c r="I53" s="2984"/>
      <c r="J53" s="2984"/>
      <c r="K53" s="2981"/>
      <c r="L53" s="1520">
        <f>+L52</f>
        <v>0</v>
      </c>
      <c r="N53" s="1850"/>
      <c r="O53" s="1850"/>
      <c r="P53" s="1850"/>
    </row>
    <row r="54" spans="1:16" ht="20.25" hidden="1" thickTop="1" thickBot="1">
      <c r="A54" s="3017"/>
      <c r="B54" s="3022"/>
      <c r="C54" s="1860" t="s">
        <v>2738</v>
      </c>
      <c r="D54" s="1861">
        <v>0.78500000000000003</v>
      </c>
      <c r="E54" s="1853" t="s">
        <v>2739</v>
      </c>
      <c r="F54" s="1859"/>
      <c r="G54" s="2983"/>
      <c r="H54" s="2983"/>
      <c r="I54" s="2983"/>
      <c r="J54" s="2983"/>
      <c r="K54" s="2991">
        <f>+TRUNC(+SUM(G54:J55),2)</f>
        <v>0</v>
      </c>
      <c r="L54" s="745">
        <f>SUM(G54:K54)</f>
        <v>0</v>
      </c>
      <c r="N54" s="1850"/>
      <c r="O54" s="1850"/>
      <c r="P54" s="1850"/>
    </row>
    <row r="55" spans="1:16" ht="51" hidden="1" thickTop="1" thickBot="1">
      <c r="A55" s="3017"/>
      <c r="B55" s="3022"/>
      <c r="C55" s="1862" t="s">
        <v>2766</v>
      </c>
      <c r="D55" s="1857"/>
      <c r="E55" s="1858" t="s">
        <v>2739</v>
      </c>
      <c r="F55" s="1854"/>
      <c r="G55" s="2984"/>
      <c r="H55" s="2984"/>
      <c r="I55" s="2984"/>
      <c r="J55" s="2984"/>
      <c r="K55" s="2981"/>
      <c r="L55" s="1520">
        <f>+L54</f>
        <v>0</v>
      </c>
      <c r="O55" s="1850"/>
      <c r="P55" s="1850"/>
    </row>
    <row r="56" spans="1:16" ht="20.25" hidden="1" thickTop="1" thickBot="1">
      <c r="A56" s="3017"/>
      <c r="B56" s="3022"/>
      <c r="C56" s="1860" t="s">
        <v>2738</v>
      </c>
      <c r="D56" s="1861">
        <v>0.78500000000000003</v>
      </c>
      <c r="E56" s="1853" t="s">
        <v>2739</v>
      </c>
      <c r="F56" s="1859"/>
      <c r="G56" s="2983"/>
      <c r="H56" s="2983"/>
      <c r="I56" s="2983"/>
      <c r="J56" s="2983"/>
      <c r="K56" s="2991">
        <f>+TRUNC(+SUM(G56:J57),2)</f>
        <v>0</v>
      </c>
      <c r="L56" s="745">
        <f>SUM(G56:K56)</f>
        <v>0</v>
      </c>
      <c r="N56" s="1850"/>
      <c r="O56" s="1850"/>
      <c r="P56" s="1850"/>
    </row>
    <row r="57" spans="1:16" ht="51" hidden="1" thickTop="1" thickBot="1">
      <c r="A57" s="3017"/>
      <c r="B57" s="3022"/>
      <c r="C57" s="1862" t="s">
        <v>2767</v>
      </c>
      <c r="D57" s="1857"/>
      <c r="E57" s="1858" t="s">
        <v>2739</v>
      </c>
      <c r="F57" s="1854"/>
      <c r="G57" s="2984"/>
      <c r="H57" s="2984"/>
      <c r="I57" s="2984"/>
      <c r="J57" s="2984"/>
      <c r="K57" s="2981"/>
      <c r="L57" s="1520">
        <f>+L56</f>
        <v>0</v>
      </c>
      <c r="O57" s="1850"/>
      <c r="P57" s="1850"/>
    </row>
    <row r="58" spans="1:16" ht="20.25" hidden="1" thickTop="1" thickBot="1">
      <c r="A58" s="3017"/>
      <c r="B58" s="3022"/>
      <c r="C58" s="1860" t="s">
        <v>2738</v>
      </c>
      <c r="D58" s="1861">
        <v>0.28000000000000003</v>
      </c>
      <c r="E58" s="1853" t="s">
        <v>2739</v>
      </c>
      <c r="F58" s="1859"/>
      <c r="G58" s="2983"/>
      <c r="H58" s="2983"/>
      <c r="I58" s="2983"/>
      <c r="J58" s="2983"/>
      <c r="K58" s="2991">
        <f>+TRUNC(+SUM(G58:J59),2)</f>
        <v>0</v>
      </c>
      <c r="L58" s="745">
        <f>SUM(G58:K58)</f>
        <v>0</v>
      </c>
      <c r="N58" s="1850"/>
      <c r="O58" s="1850"/>
      <c r="P58" s="1850"/>
    </row>
    <row r="59" spans="1:16" ht="51" hidden="1" thickTop="1" thickBot="1">
      <c r="A59" s="3017"/>
      <c r="B59" s="3022"/>
      <c r="C59" s="1856" t="s">
        <v>2768</v>
      </c>
      <c r="D59" s="1857"/>
      <c r="E59" s="1858" t="s">
        <v>2739</v>
      </c>
      <c r="F59" s="1854"/>
      <c r="G59" s="2984"/>
      <c r="H59" s="2984"/>
      <c r="I59" s="2984"/>
      <c r="J59" s="2984"/>
      <c r="K59" s="2981"/>
      <c r="L59" s="1520">
        <f>+L58</f>
        <v>0</v>
      </c>
      <c r="O59" s="1850"/>
      <c r="P59" s="1850"/>
    </row>
    <row r="60" spans="1:16" ht="20.25" hidden="1" thickTop="1" thickBot="1">
      <c r="A60" s="3017"/>
      <c r="B60" s="3022"/>
      <c r="C60" s="1860" t="s">
        <v>2738</v>
      </c>
      <c r="D60" s="1861">
        <v>0.28000000000000003</v>
      </c>
      <c r="E60" s="1853" t="s">
        <v>2739</v>
      </c>
      <c r="F60" s="1859"/>
      <c r="G60" s="2983"/>
      <c r="H60" s="2983"/>
      <c r="I60" s="2983"/>
      <c r="J60" s="2983"/>
      <c r="K60" s="2991">
        <f>+TRUNC(+SUM(G60:J61),2)</f>
        <v>0</v>
      </c>
      <c r="L60" s="745">
        <f>SUM(G60:K60)</f>
        <v>0</v>
      </c>
      <c r="N60" s="1850"/>
      <c r="O60" s="1850"/>
      <c r="P60" s="1850"/>
    </row>
    <row r="61" spans="1:16" ht="51" hidden="1" thickTop="1" thickBot="1">
      <c r="A61" s="3017"/>
      <c r="B61" s="3022"/>
      <c r="C61" s="1856" t="s">
        <v>2769</v>
      </c>
      <c r="D61" s="1857"/>
      <c r="E61" s="1858" t="s">
        <v>2739</v>
      </c>
      <c r="F61" s="1854"/>
      <c r="G61" s="2984"/>
      <c r="H61" s="2984"/>
      <c r="I61" s="2984"/>
      <c r="J61" s="2984"/>
      <c r="K61" s="2981"/>
      <c r="L61" s="1520">
        <f>+L60</f>
        <v>0</v>
      </c>
      <c r="O61" s="1850"/>
      <c r="P61" s="1850"/>
    </row>
    <row r="62" spans="1:16" ht="20.25" hidden="1" thickTop="1" thickBot="1">
      <c r="A62" s="3017"/>
      <c r="B62" s="3022"/>
      <c r="C62" s="1860" t="s">
        <v>2738</v>
      </c>
      <c r="D62" s="1861">
        <v>0.28000000000000003</v>
      </c>
      <c r="E62" s="1853" t="s">
        <v>2739</v>
      </c>
      <c r="F62" s="1859"/>
      <c r="G62" s="2983"/>
      <c r="H62" s="2983"/>
      <c r="I62" s="2983"/>
      <c r="J62" s="2983"/>
      <c r="K62" s="2991">
        <f>+TRUNC(+SUM(G62:J63),2)</f>
        <v>0</v>
      </c>
      <c r="L62" s="745">
        <f>SUM(G62:K62)</f>
        <v>0</v>
      </c>
      <c r="N62" s="1850"/>
      <c r="O62" s="1850"/>
      <c r="P62" s="1850"/>
    </row>
    <row r="63" spans="1:16" ht="51" hidden="1" thickTop="1" thickBot="1">
      <c r="A63" s="3017"/>
      <c r="B63" s="3022"/>
      <c r="C63" s="1856" t="s">
        <v>2770</v>
      </c>
      <c r="D63" s="1857"/>
      <c r="E63" s="1858" t="s">
        <v>2739</v>
      </c>
      <c r="F63" s="1854"/>
      <c r="G63" s="2984"/>
      <c r="H63" s="2984"/>
      <c r="I63" s="2984"/>
      <c r="J63" s="2984"/>
      <c r="K63" s="2981"/>
      <c r="L63" s="1520">
        <f>+L62</f>
        <v>0</v>
      </c>
      <c r="O63" s="1850"/>
      <c r="P63" s="1850"/>
    </row>
    <row r="64" spans="1:16" ht="20.25" hidden="1" thickTop="1" thickBot="1">
      <c r="A64" s="3017"/>
      <c r="B64" s="3022"/>
      <c r="C64" s="1860" t="s">
        <v>2738</v>
      </c>
      <c r="D64" s="1861">
        <v>0.28000000000000003</v>
      </c>
      <c r="E64" s="1853" t="s">
        <v>2739</v>
      </c>
      <c r="F64" s="1859"/>
      <c r="G64" s="2983"/>
      <c r="H64" s="2983"/>
      <c r="I64" s="2983"/>
      <c r="J64" s="2983"/>
      <c r="K64" s="2991">
        <f>+TRUNC(+SUM(G64:J65),2)</f>
        <v>0</v>
      </c>
      <c r="L64" s="745">
        <f>SUM(G64:K64)</f>
        <v>0</v>
      </c>
      <c r="N64" s="1850"/>
      <c r="O64" s="1850"/>
      <c r="P64" s="1850"/>
    </row>
    <row r="65" spans="1:16" ht="51" hidden="1" thickTop="1" thickBot="1">
      <c r="A65" s="3017"/>
      <c r="B65" s="3022"/>
      <c r="C65" s="1856" t="s">
        <v>2771</v>
      </c>
      <c r="D65" s="1857"/>
      <c r="E65" s="1858" t="s">
        <v>2739</v>
      </c>
      <c r="F65" s="1854"/>
      <c r="G65" s="2984"/>
      <c r="H65" s="2984"/>
      <c r="I65" s="2984"/>
      <c r="J65" s="2984"/>
      <c r="K65" s="2981"/>
      <c r="L65" s="1520">
        <f>+L64</f>
        <v>0</v>
      </c>
      <c r="O65" s="1850"/>
      <c r="P65" s="1850"/>
    </row>
    <row r="66" spans="1:16" ht="20.25" hidden="1" thickTop="1" thickBot="1">
      <c r="A66" s="3017"/>
      <c r="B66" s="3022"/>
      <c r="C66" s="1860" t="s">
        <v>2738</v>
      </c>
      <c r="D66" s="1861">
        <v>0.28000000000000003</v>
      </c>
      <c r="E66" s="1853" t="s">
        <v>2739</v>
      </c>
      <c r="F66" s="1859"/>
      <c r="G66" s="2983"/>
      <c r="H66" s="2983"/>
      <c r="I66" s="2983"/>
      <c r="J66" s="2983"/>
      <c r="K66" s="2991">
        <f>+TRUNC(+SUM(G66:J67),2)</f>
        <v>0</v>
      </c>
      <c r="L66" s="745">
        <f>SUM(G66:K66)</f>
        <v>0</v>
      </c>
      <c r="N66" s="1850"/>
      <c r="O66" s="1850"/>
      <c r="P66" s="1850"/>
    </row>
    <row r="67" spans="1:16" ht="51" hidden="1" thickTop="1" thickBot="1">
      <c r="A67" s="3017"/>
      <c r="B67" s="3022"/>
      <c r="C67" s="1862" t="s">
        <v>2772</v>
      </c>
      <c r="D67" s="1857"/>
      <c r="E67" s="1858" t="s">
        <v>2739</v>
      </c>
      <c r="F67" s="1854"/>
      <c r="G67" s="2984"/>
      <c r="H67" s="2984"/>
      <c r="I67" s="2984"/>
      <c r="J67" s="2984"/>
      <c r="K67" s="2981"/>
      <c r="L67" s="1520">
        <f>+L66</f>
        <v>0</v>
      </c>
      <c r="O67" s="1850"/>
      <c r="P67" s="1850"/>
    </row>
    <row r="68" spans="1:16" ht="20.25" hidden="1" thickTop="1" thickBot="1">
      <c r="A68" s="3017"/>
      <c r="B68" s="3022"/>
      <c r="C68" s="1860" t="s">
        <v>2738</v>
      </c>
      <c r="D68" s="1861">
        <v>0.28000000000000003</v>
      </c>
      <c r="E68" s="1853" t="s">
        <v>2739</v>
      </c>
      <c r="F68" s="1859"/>
      <c r="G68" s="2983"/>
      <c r="H68" s="2983"/>
      <c r="I68" s="2983"/>
      <c r="J68" s="2983"/>
      <c r="K68" s="2991">
        <f>+TRUNC(+SUM(G68:J69),2)</f>
        <v>0</v>
      </c>
      <c r="L68" s="745">
        <f>SUM(G68:K68)</f>
        <v>0</v>
      </c>
      <c r="N68" s="1850"/>
      <c r="O68" s="1850"/>
      <c r="P68" s="1850"/>
    </row>
    <row r="69" spans="1:16" ht="51" hidden="1" thickTop="1" thickBot="1">
      <c r="A69" s="3017"/>
      <c r="B69" s="3022"/>
      <c r="C69" s="1862" t="s">
        <v>2773</v>
      </c>
      <c r="D69" s="1857"/>
      <c r="E69" s="1858" t="s">
        <v>2739</v>
      </c>
      <c r="F69" s="1854"/>
      <c r="G69" s="2984"/>
      <c r="H69" s="2984"/>
      <c r="I69" s="2984"/>
      <c r="J69" s="2984"/>
      <c r="K69" s="2981"/>
      <c r="L69" s="1520">
        <f>+L68</f>
        <v>0</v>
      </c>
      <c r="O69" s="1850"/>
      <c r="P69" s="1850"/>
    </row>
    <row r="70" spans="1:16" ht="20.25" hidden="1" thickTop="1" thickBot="1">
      <c r="A70" s="3017"/>
      <c r="B70" s="3022"/>
      <c r="C70" s="1860" t="s">
        <v>2738</v>
      </c>
      <c r="D70" s="1861">
        <v>0.28000000000000003</v>
      </c>
      <c r="E70" s="1853" t="s">
        <v>2739</v>
      </c>
      <c r="F70" s="1859"/>
      <c r="G70" s="2983"/>
      <c r="H70" s="2983"/>
      <c r="I70" s="2983"/>
      <c r="J70" s="2983"/>
      <c r="K70" s="2991">
        <f>+TRUNC(+SUM(G70:J71),2)</f>
        <v>0</v>
      </c>
      <c r="L70" s="745">
        <f>SUM(G70:K70)</f>
        <v>0</v>
      </c>
      <c r="N70" s="1850"/>
      <c r="O70" s="1850"/>
      <c r="P70" s="1850"/>
    </row>
    <row r="71" spans="1:16" ht="51" hidden="1" thickTop="1" thickBot="1">
      <c r="A71" s="3017"/>
      <c r="B71" s="3022"/>
      <c r="C71" s="1856" t="s">
        <v>2774</v>
      </c>
      <c r="D71" s="1857"/>
      <c r="E71" s="1858" t="s">
        <v>2739</v>
      </c>
      <c r="F71" s="1854"/>
      <c r="G71" s="2984"/>
      <c r="H71" s="2984"/>
      <c r="I71" s="2984"/>
      <c r="J71" s="2984"/>
      <c r="K71" s="2981"/>
      <c r="L71" s="1520">
        <f>+L70</f>
        <v>0</v>
      </c>
      <c r="O71" s="1850"/>
      <c r="P71" s="1850"/>
    </row>
    <row r="72" spans="1:16" ht="20.25" hidden="1" thickTop="1" thickBot="1">
      <c r="A72" s="3017"/>
      <c r="B72" s="3022"/>
      <c r="C72" s="1860" t="s">
        <v>2738</v>
      </c>
      <c r="D72" s="1861">
        <v>0.28000000000000003</v>
      </c>
      <c r="E72" s="1853" t="s">
        <v>2739</v>
      </c>
      <c r="F72" s="1859"/>
      <c r="G72" s="2983"/>
      <c r="H72" s="2983"/>
      <c r="I72" s="2983"/>
      <c r="J72" s="2983"/>
      <c r="K72" s="2991">
        <f>+TRUNC(+SUM(G72:J73),2)</f>
        <v>0</v>
      </c>
      <c r="L72" s="745">
        <f>SUM(G72:K72)</f>
        <v>0</v>
      </c>
      <c r="N72" s="1850"/>
      <c r="O72" s="1850"/>
      <c r="P72" s="1850"/>
    </row>
    <row r="73" spans="1:16" ht="51" hidden="1" thickTop="1" thickBot="1">
      <c r="A73" s="3017"/>
      <c r="B73" s="3022"/>
      <c r="C73" s="1856" t="s">
        <v>2775</v>
      </c>
      <c r="D73" s="1857"/>
      <c r="E73" s="1858" t="s">
        <v>2739</v>
      </c>
      <c r="F73" s="1854"/>
      <c r="G73" s="2984"/>
      <c r="H73" s="2984"/>
      <c r="I73" s="2984"/>
      <c r="J73" s="2984"/>
      <c r="K73" s="2981"/>
      <c r="L73" s="1520">
        <f>+L72</f>
        <v>0</v>
      </c>
      <c r="O73" s="1850"/>
      <c r="P73" s="1850"/>
    </row>
    <row r="74" spans="1:16" ht="20.25" hidden="1" thickTop="1" thickBot="1">
      <c r="A74" s="3017"/>
      <c r="B74" s="3022"/>
      <c r="C74" s="1860" t="s">
        <v>2738</v>
      </c>
      <c r="D74" s="1861">
        <v>0.28000000000000003</v>
      </c>
      <c r="E74" s="1853" t="s">
        <v>2739</v>
      </c>
      <c r="F74" s="1859"/>
      <c r="G74" s="2983"/>
      <c r="H74" s="2983"/>
      <c r="I74" s="2983"/>
      <c r="J74" s="2983"/>
      <c r="K74" s="2991">
        <f>+TRUNC(+SUM(G74:J75),2)</f>
        <v>0</v>
      </c>
      <c r="L74" s="745">
        <f>SUM(G74:K74)</f>
        <v>0</v>
      </c>
      <c r="N74" s="1850"/>
      <c r="O74" s="1850"/>
      <c r="P74" s="1850"/>
    </row>
    <row r="75" spans="1:16" ht="51" hidden="1" thickTop="1" thickBot="1">
      <c r="A75" s="3017"/>
      <c r="B75" s="3022"/>
      <c r="C75" s="1856" t="s">
        <v>2776</v>
      </c>
      <c r="D75" s="1857"/>
      <c r="E75" s="1858" t="s">
        <v>2739</v>
      </c>
      <c r="F75" s="1854"/>
      <c r="G75" s="2984"/>
      <c r="H75" s="2984"/>
      <c r="I75" s="2984"/>
      <c r="J75" s="2984"/>
      <c r="K75" s="2981"/>
      <c r="L75" s="1520">
        <f>+L74</f>
        <v>0</v>
      </c>
      <c r="O75" s="1850"/>
      <c r="P75" s="1850"/>
    </row>
    <row r="76" spans="1:16" ht="20.25" hidden="1" thickTop="1" thickBot="1">
      <c r="A76" s="3017"/>
      <c r="B76" s="3022"/>
      <c r="C76" s="1860" t="s">
        <v>2738</v>
      </c>
      <c r="D76" s="1861">
        <v>0.28000000000000003</v>
      </c>
      <c r="E76" s="1853" t="s">
        <v>2739</v>
      </c>
      <c r="F76" s="1859"/>
      <c r="G76" s="2983"/>
      <c r="H76" s="2983"/>
      <c r="I76" s="2983"/>
      <c r="J76" s="2983"/>
      <c r="K76" s="2991">
        <f>+TRUNC(+SUM(G76:J77),2)</f>
        <v>0</v>
      </c>
      <c r="L76" s="745">
        <f>SUM(G76:K76)</f>
        <v>0</v>
      </c>
      <c r="N76" s="1850"/>
      <c r="O76" s="1850"/>
      <c r="P76" s="1850"/>
    </row>
    <row r="77" spans="1:16" ht="51" hidden="1" thickTop="1" thickBot="1">
      <c r="A77" s="3017"/>
      <c r="B77" s="3022"/>
      <c r="C77" s="1856" t="s">
        <v>2777</v>
      </c>
      <c r="D77" s="1857"/>
      <c r="E77" s="1858" t="s">
        <v>2739</v>
      </c>
      <c r="F77" s="1854"/>
      <c r="G77" s="2984"/>
      <c r="H77" s="2984"/>
      <c r="I77" s="2984"/>
      <c r="J77" s="2984"/>
      <c r="K77" s="2981"/>
      <c r="L77" s="1520">
        <f>+L76</f>
        <v>0</v>
      </c>
      <c r="O77" s="1850"/>
      <c r="P77" s="1850"/>
    </row>
    <row r="78" spans="1:16" ht="20.25" hidden="1" thickTop="1" thickBot="1">
      <c r="A78" s="3017"/>
      <c r="B78" s="3022"/>
      <c r="C78" s="1860" t="s">
        <v>2738</v>
      </c>
      <c r="D78" s="1861">
        <v>0.28000000000000003</v>
      </c>
      <c r="E78" s="1853" t="s">
        <v>2739</v>
      </c>
      <c r="F78" s="1859"/>
      <c r="G78" s="2983"/>
      <c r="H78" s="2983"/>
      <c r="I78" s="2983"/>
      <c r="J78" s="2983"/>
      <c r="K78" s="2991">
        <f>+TRUNC(+SUM(G78:J79),2)</f>
        <v>0</v>
      </c>
      <c r="L78" s="745">
        <f>SUM(G78:K78)</f>
        <v>0</v>
      </c>
      <c r="N78" s="1850"/>
      <c r="O78" s="1850"/>
      <c r="P78" s="1850"/>
    </row>
    <row r="79" spans="1:16" ht="51" hidden="1" thickTop="1" thickBot="1">
      <c r="A79" s="3017"/>
      <c r="B79" s="3022"/>
      <c r="C79" s="1856" t="s">
        <v>2778</v>
      </c>
      <c r="D79" s="1857"/>
      <c r="E79" s="1858" t="s">
        <v>2739</v>
      </c>
      <c r="F79" s="1854"/>
      <c r="G79" s="2984"/>
      <c r="H79" s="2984"/>
      <c r="I79" s="2984"/>
      <c r="J79" s="2984"/>
      <c r="K79" s="2981"/>
      <c r="L79" s="1520">
        <f>+L78</f>
        <v>0</v>
      </c>
      <c r="O79" s="1850"/>
      <c r="P79" s="1850"/>
    </row>
    <row r="80" spans="1:16" ht="20.25" hidden="1" thickTop="1" thickBot="1">
      <c r="A80" s="3017"/>
      <c r="B80" s="3022"/>
      <c r="C80" s="1860" t="s">
        <v>2738</v>
      </c>
      <c r="D80" s="1861">
        <v>0.28000000000000003</v>
      </c>
      <c r="E80" s="1853" t="s">
        <v>2739</v>
      </c>
      <c r="F80" s="1859"/>
      <c r="G80" s="2983"/>
      <c r="H80" s="2983"/>
      <c r="I80" s="2983"/>
      <c r="J80" s="2983"/>
      <c r="K80" s="2991">
        <f>+TRUNC(+SUM(G80:J81),2)</f>
        <v>0</v>
      </c>
      <c r="L80" s="745">
        <f>SUM(G80:K80)</f>
        <v>0</v>
      </c>
      <c r="N80" s="1850"/>
      <c r="O80" s="1850"/>
      <c r="P80" s="1850"/>
    </row>
    <row r="81" spans="1:16" ht="51" hidden="1" thickTop="1" thickBot="1">
      <c r="A81" s="3017"/>
      <c r="B81" s="3022"/>
      <c r="C81" s="1856" t="s">
        <v>2779</v>
      </c>
      <c r="D81" s="1857"/>
      <c r="E81" s="1858" t="s">
        <v>2739</v>
      </c>
      <c r="F81" s="1854"/>
      <c r="G81" s="2984"/>
      <c r="H81" s="2984"/>
      <c r="I81" s="2984"/>
      <c r="J81" s="2984"/>
      <c r="K81" s="2981"/>
      <c r="L81" s="1520">
        <f>+L80</f>
        <v>0</v>
      </c>
      <c r="O81" s="1850"/>
      <c r="P81" s="1850"/>
    </row>
    <row r="82" spans="1:16" ht="20.25" hidden="1" thickTop="1" thickBot="1">
      <c r="A82" s="3017"/>
      <c r="B82" s="3022"/>
      <c r="C82" s="1860" t="s">
        <v>2738</v>
      </c>
      <c r="D82" s="1861">
        <v>0.28000000000000003</v>
      </c>
      <c r="E82" s="1853" t="s">
        <v>2739</v>
      </c>
      <c r="F82" s="1859"/>
      <c r="G82" s="2983"/>
      <c r="H82" s="2983"/>
      <c r="I82" s="2983"/>
      <c r="J82" s="2983"/>
      <c r="K82" s="2991">
        <f>+TRUNC(+SUM(G82:J83),2)</f>
        <v>0</v>
      </c>
      <c r="L82" s="745">
        <f>SUM(G82:K82)</f>
        <v>0</v>
      </c>
      <c r="N82" s="1850"/>
      <c r="O82" s="1850"/>
      <c r="P82" s="1850"/>
    </row>
    <row r="83" spans="1:16" ht="51" hidden="1" thickTop="1" thickBot="1">
      <c r="A83" s="3017"/>
      <c r="B83" s="3022"/>
      <c r="C83" s="1856" t="s">
        <v>2780</v>
      </c>
      <c r="D83" s="1857"/>
      <c r="E83" s="1858" t="s">
        <v>2739</v>
      </c>
      <c r="F83" s="1854"/>
      <c r="G83" s="2984"/>
      <c r="H83" s="2984"/>
      <c r="I83" s="2984"/>
      <c r="J83" s="2984"/>
      <c r="K83" s="2981"/>
      <c r="L83" s="1520">
        <f>+L82</f>
        <v>0</v>
      </c>
      <c r="O83" s="1850"/>
      <c r="P83" s="1850"/>
    </row>
    <row r="84" spans="1:16" ht="20.25" hidden="1" thickTop="1" thickBot="1">
      <c r="A84" s="3017"/>
      <c r="B84" s="3022"/>
      <c r="C84" s="1860" t="s">
        <v>2738</v>
      </c>
      <c r="D84" s="1861">
        <v>0.28000000000000003</v>
      </c>
      <c r="E84" s="1853" t="s">
        <v>2739</v>
      </c>
      <c r="F84" s="1859"/>
      <c r="G84" s="2983"/>
      <c r="H84" s="2983"/>
      <c r="I84" s="2983"/>
      <c r="J84" s="2983"/>
      <c r="K84" s="2991">
        <f>+TRUNC(+SUM(G84:J85),2)</f>
        <v>0</v>
      </c>
      <c r="L84" s="745">
        <f>SUM(G84:K84)</f>
        <v>0</v>
      </c>
      <c r="N84" s="1850"/>
      <c r="O84" s="1850"/>
      <c r="P84" s="1850"/>
    </row>
    <row r="85" spans="1:16" ht="51" hidden="1" thickTop="1" thickBot="1">
      <c r="A85" s="3017"/>
      <c r="B85" s="3022"/>
      <c r="C85" s="1856" t="s">
        <v>2781</v>
      </c>
      <c r="D85" s="1857"/>
      <c r="E85" s="1858" t="s">
        <v>2739</v>
      </c>
      <c r="F85" s="1854"/>
      <c r="G85" s="2984"/>
      <c r="H85" s="2984"/>
      <c r="I85" s="2984"/>
      <c r="J85" s="2984"/>
      <c r="K85" s="2981"/>
      <c r="L85" s="1520">
        <f>+L84</f>
        <v>0</v>
      </c>
      <c r="O85" s="1850"/>
      <c r="P85" s="1850"/>
    </row>
    <row r="86" spans="1:16" ht="20.25" hidden="1" thickTop="1" thickBot="1">
      <c r="A86" s="3017"/>
      <c r="B86" s="3022"/>
      <c r="C86" s="1860" t="s">
        <v>2738</v>
      </c>
      <c r="D86" s="1861">
        <v>0.28000000000000003</v>
      </c>
      <c r="E86" s="1853" t="s">
        <v>2739</v>
      </c>
      <c r="F86" s="1859"/>
      <c r="G86" s="2983"/>
      <c r="H86" s="2983"/>
      <c r="I86" s="2983"/>
      <c r="J86" s="2983"/>
      <c r="K86" s="2991">
        <f>+TRUNC(+SUM(G86:J87),2)</f>
        <v>0</v>
      </c>
      <c r="L86" s="745">
        <f>SUM(G86:K86)</f>
        <v>0</v>
      </c>
      <c r="N86" s="1850"/>
      <c r="O86" s="1850"/>
      <c r="P86" s="1850"/>
    </row>
    <row r="87" spans="1:16" ht="51" hidden="1" thickTop="1" thickBot="1">
      <c r="A87" s="3017"/>
      <c r="B87" s="3022"/>
      <c r="C87" s="1856" t="s">
        <v>2782</v>
      </c>
      <c r="D87" s="1857"/>
      <c r="E87" s="1858" t="s">
        <v>2739</v>
      </c>
      <c r="F87" s="1854"/>
      <c r="G87" s="2984"/>
      <c r="H87" s="2984"/>
      <c r="I87" s="2984"/>
      <c r="J87" s="2984"/>
      <c r="K87" s="2981"/>
      <c r="L87" s="1520">
        <f>+L86</f>
        <v>0</v>
      </c>
      <c r="O87" s="1850"/>
      <c r="P87" s="1850"/>
    </row>
    <row r="88" spans="1:16" ht="20.25" hidden="1" thickTop="1" thickBot="1">
      <c r="A88" s="3017"/>
      <c r="B88" s="3022"/>
      <c r="C88" s="1860" t="s">
        <v>2738</v>
      </c>
      <c r="D88" s="1861">
        <v>0.28000000000000003</v>
      </c>
      <c r="E88" s="1853" t="s">
        <v>2739</v>
      </c>
      <c r="F88" s="1859"/>
      <c r="G88" s="2983"/>
      <c r="H88" s="2983"/>
      <c r="I88" s="2983"/>
      <c r="J88" s="2983"/>
      <c r="K88" s="2991">
        <f>+TRUNC(+SUM(G88:J89),2)</f>
        <v>0</v>
      </c>
      <c r="L88" s="745">
        <f>SUM(G88:K88)</f>
        <v>0</v>
      </c>
      <c r="N88" s="1850"/>
      <c r="O88" s="1850"/>
      <c r="P88" s="1850"/>
    </row>
    <row r="89" spans="1:16" ht="51" hidden="1" thickTop="1" thickBot="1">
      <c r="A89" s="3017"/>
      <c r="B89" s="3022"/>
      <c r="C89" s="1856" t="s">
        <v>2783</v>
      </c>
      <c r="D89" s="1857"/>
      <c r="E89" s="1858" t="s">
        <v>2739</v>
      </c>
      <c r="F89" s="1854"/>
      <c r="G89" s="2984"/>
      <c r="H89" s="2984"/>
      <c r="I89" s="2984"/>
      <c r="J89" s="2984"/>
      <c r="K89" s="2981"/>
      <c r="L89" s="1520">
        <f>+L88</f>
        <v>0</v>
      </c>
      <c r="O89" s="1850"/>
      <c r="P89" s="1850"/>
    </row>
    <row r="90" spans="1:16" ht="20.25" hidden="1" thickTop="1" thickBot="1">
      <c r="A90" s="3017"/>
      <c r="B90" s="3022"/>
      <c r="C90" s="1860" t="s">
        <v>2738</v>
      </c>
      <c r="D90" s="1861">
        <v>0.28000000000000003</v>
      </c>
      <c r="E90" s="1853" t="s">
        <v>2739</v>
      </c>
      <c r="F90" s="1859"/>
      <c r="G90" s="2983"/>
      <c r="H90" s="2983"/>
      <c r="I90" s="2983"/>
      <c r="J90" s="2983"/>
      <c r="K90" s="2991">
        <f>+TRUNC(+SUM(G90:J91),2)</f>
        <v>0</v>
      </c>
      <c r="L90" s="745">
        <f>SUM(G90:K90)</f>
        <v>0</v>
      </c>
      <c r="N90" s="1850"/>
      <c r="O90" s="1850"/>
      <c r="P90" s="1850"/>
    </row>
    <row r="91" spans="1:16" ht="51" hidden="1" thickTop="1" thickBot="1">
      <c r="A91" s="3017"/>
      <c r="B91" s="3022"/>
      <c r="C91" s="1856" t="s">
        <v>2784</v>
      </c>
      <c r="D91" s="1857"/>
      <c r="E91" s="1858" t="s">
        <v>2739</v>
      </c>
      <c r="F91" s="1854"/>
      <c r="G91" s="2984"/>
      <c r="H91" s="2984"/>
      <c r="I91" s="2984"/>
      <c r="J91" s="2984"/>
      <c r="K91" s="2981"/>
      <c r="L91" s="1520">
        <f>+L90</f>
        <v>0</v>
      </c>
      <c r="O91" s="1850"/>
      <c r="P91" s="1850"/>
    </row>
    <row r="92" spans="1:16" ht="20.25" hidden="1" thickTop="1" thickBot="1">
      <c r="A92" s="3017"/>
      <c r="B92" s="3022"/>
      <c r="C92" s="1860" t="s">
        <v>2738</v>
      </c>
      <c r="D92" s="1861">
        <v>0.28000000000000003</v>
      </c>
      <c r="E92" s="1853" t="s">
        <v>2739</v>
      </c>
      <c r="F92" s="1859"/>
      <c r="G92" s="2983"/>
      <c r="H92" s="2983"/>
      <c r="I92" s="2983"/>
      <c r="J92" s="2983"/>
      <c r="K92" s="2991">
        <f>+TRUNC(+SUM(G92:J93),2)</f>
        <v>0</v>
      </c>
      <c r="L92" s="745">
        <f>SUM(G92:K92)</f>
        <v>0</v>
      </c>
      <c r="N92" s="1850"/>
      <c r="O92" s="1850"/>
      <c r="P92" s="1850"/>
    </row>
    <row r="93" spans="1:16" ht="51" hidden="1" thickTop="1" thickBot="1">
      <c r="A93" s="3017"/>
      <c r="B93" s="3022"/>
      <c r="C93" s="1856" t="s">
        <v>2785</v>
      </c>
      <c r="D93" s="1857"/>
      <c r="E93" s="1858" t="s">
        <v>2739</v>
      </c>
      <c r="F93" s="1854"/>
      <c r="G93" s="2984"/>
      <c r="H93" s="2984"/>
      <c r="I93" s="2984"/>
      <c r="J93" s="2984"/>
      <c r="K93" s="2981"/>
      <c r="L93" s="1520">
        <f>+L92</f>
        <v>0</v>
      </c>
      <c r="O93" s="1850"/>
      <c r="P93" s="1850"/>
    </row>
    <row r="94" spans="1:16" ht="20.25" hidden="1" thickTop="1" thickBot="1">
      <c r="A94" s="3017"/>
      <c r="B94" s="3022"/>
      <c r="C94" s="1860" t="s">
        <v>2738</v>
      </c>
      <c r="D94" s="1861">
        <v>0.28000000000000003</v>
      </c>
      <c r="E94" s="1853" t="s">
        <v>2739</v>
      </c>
      <c r="F94" s="1859"/>
      <c r="G94" s="2983"/>
      <c r="H94" s="2983"/>
      <c r="I94" s="2983"/>
      <c r="J94" s="2983"/>
      <c r="K94" s="2991">
        <f>+TRUNC(+SUM(G94:J95),2)</f>
        <v>0</v>
      </c>
      <c r="L94" s="745">
        <f>SUM(G94:K94)</f>
        <v>0</v>
      </c>
      <c r="N94" s="1850"/>
      <c r="O94" s="1850"/>
      <c r="P94" s="1850"/>
    </row>
    <row r="95" spans="1:16" ht="51" hidden="1" thickTop="1" thickBot="1">
      <c r="A95" s="3017"/>
      <c r="B95" s="3022"/>
      <c r="C95" s="1856" t="s">
        <v>2786</v>
      </c>
      <c r="D95" s="1857"/>
      <c r="E95" s="1858" t="s">
        <v>2739</v>
      </c>
      <c r="F95" s="1854"/>
      <c r="G95" s="2984"/>
      <c r="H95" s="2984"/>
      <c r="I95" s="2984"/>
      <c r="J95" s="2984"/>
      <c r="K95" s="2981"/>
      <c r="L95" s="1520">
        <f>+L94</f>
        <v>0</v>
      </c>
      <c r="O95" s="1850"/>
      <c r="P95" s="1850"/>
    </row>
    <row r="96" spans="1:16" ht="20.25" hidden="1" thickTop="1" thickBot="1">
      <c r="A96" s="3017"/>
      <c r="B96" s="3022"/>
      <c r="C96" s="1860" t="s">
        <v>2738</v>
      </c>
      <c r="D96" s="1861">
        <v>0.28000000000000003</v>
      </c>
      <c r="E96" s="1853" t="s">
        <v>2739</v>
      </c>
      <c r="F96" s="1859"/>
      <c r="G96" s="2983"/>
      <c r="H96" s="2983"/>
      <c r="I96" s="2983"/>
      <c r="J96" s="2983"/>
      <c r="K96" s="2991">
        <f>+TRUNC(+SUM(G96:J97),2)</f>
        <v>0</v>
      </c>
      <c r="L96" s="745">
        <f>SUM(G96:K96)</f>
        <v>0</v>
      </c>
      <c r="N96" s="1850"/>
      <c r="O96" s="1850"/>
      <c r="P96" s="1850"/>
    </row>
    <row r="97" spans="1:16" ht="51" hidden="1" thickTop="1" thickBot="1">
      <c r="A97" s="3017"/>
      <c r="B97" s="3022"/>
      <c r="C97" s="1856" t="s">
        <v>2787</v>
      </c>
      <c r="D97" s="1857"/>
      <c r="E97" s="1858" t="s">
        <v>2739</v>
      </c>
      <c r="F97" s="1854"/>
      <c r="G97" s="2984"/>
      <c r="H97" s="2984"/>
      <c r="I97" s="2984"/>
      <c r="J97" s="2984"/>
      <c r="K97" s="2981"/>
      <c r="L97" s="1520">
        <f>+L96</f>
        <v>0</v>
      </c>
      <c r="O97" s="1850"/>
      <c r="P97" s="1850"/>
    </row>
    <row r="98" spans="1:16" ht="20.25" hidden="1" thickTop="1" thickBot="1">
      <c r="A98" s="3017"/>
      <c r="B98" s="3022"/>
      <c r="C98" s="1860" t="s">
        <v>2738</v>
      </c>
      <c r="D98" s="1861">
        <v>0.28000000000000003</v>
      </c>
      <c r="E98" s="1853" t="s">
        <v>2739</v>
      </c>
      <c r="F98" s="1859"/>
      <c r="G98" s="2983"/>
      <c r="H98" s="2983"/>
      <c r="I98" s="2983"/>
      <c r="J98" s="2983"/>
      <c r="K98" s="2991">
        <f>+TRUNC(+SUM(G98:J99),2)</f>
        <v>0</v>
      </c>
      <c r="L98" s="745">
        <f>SUM(G98:K98)</f>
        <v>0</v>
      </c>
      <c r="N98" s="1850"/>
      <c r="O98" s="1850"/>
      <c r="P98" s="1850"/>
    </row>
    <row r="99" spans="1:16" ht="51" hidden="1" thickTop="1" thickBot="1">
      <c r="A99" s="3017"/>
      <c r="B99" s="3022"/>
      <c r="C99" s="1856" t="s">
        <v>2788</v>
      </c>
      <c r="D99" s="1857"/>
      <c r="E99" s="1858" t="s">
        <v>2739</v>
      </c>
      <c r="F99" s="1854"/>
      <c r="G99" s="2984"/>
      <c r="H99" s="2984"/>
      <c r="I99" s="2984"/>
      <c r="J99" s="2984"/>
      <c r="K99" s="2981"/>
      <c r="L99" s="1520">
        <f>+L98</f>
        <v>0</v>
      </c>
      <c r="O99" s="1850"/>
      <c r="P99" s="1850"/>
    </row>
    <row r="100" spans="1:16" ht="20.25" hidden="1" thickTop="1" thickBot="1">
      <c r="A100" s="3017"/>
      <c r="B100" s="3022"/>
      <c r="C100" s="1860" t="s">
        <v>2738</v>
      </c>
      <c r="D100" s="1861">
        <v>0.28000000000000003</v>
      </c>
      <c r="E100" s="1853" t="s">
        <v>2739</v>
      </c>
      <c r="F100" s="1859"/>
      <c r="G100" s="2983"/>
      <c r="H100" s="2983"/>
      <c r="I100" s="2983"/>
      <c r="J100" s="2983"/>
      <c r="K100" s="2991">
        <f>+TRUNC(+SUM(G100:J101),2)</f>
        <v>0</v>
      </c>
      <c r="L100" s="745">
        <f>SUM(G100:K100)</f>
        <v>0</v>
      </c>
      <c r="N100" s="1850"/>
      <c r="O100" s="1850"/>
      <c r="P100" s="1850"/>
    </row>
    <row r="101" spans="1:16" ht="51" hidden="1" thickTop="1" thickBot="1">
      <c r="A101" s="3017"/>
      <c r="B101" s="3022"/>
      <c r="C101" s="1856" t="s">
        <v>2789</v>
      </c>
      <c r="D101" s="1857"/>
      <c r="E101" s="1858" t="s">
        <v>2739</v>
      </c>
      <c r="F101" s="1854"/>
      <c r="G101" s="2984"/>
      <c r="H101" s="2984"/>
      <c r="I101" s="2984"/>
      <c r="J101" s="2984"/>
      <c r="K101" s="2981"/>
      <c r="L101" s="1520">
        <f>+L100</f>
        <v>0</v>
      </c>
      <c r="O101" s="1850"/>
      <c r="P101" s="1850"/>
    </row>
    <row r="102" spans="1:16" ht="20.25" hidden="1" thickTop="1" thickBot="1">
      <c r="A102" s="3017"/>
      <c r="B102" s="3022"/>
      <c r="C102" s="1860" t="s">
        <v>2738</v>
      </c>
      <c r="D102" s="1861">
        <v>0.28000000000000003</v>
      </c>
      <c r="E102" s="1853" t="s">
        <v>2739</v>
      </c>
      <c r="F102" s="1859"/>
      <c r="G102" s="2983"/>
      <c r="H102" s="2983"/>
      <c r="I102" s="2983"/>
      <c r="J102" s="2983"/>
      <c r="K102" s="2991">
        <f>+TRUNC(+SUM(G102:J103),2)</f>
        <v>0</v>
      </c>
      <c r="L102" s="745">
        <f>SUM(G102:K102)</f>
        <v>0</v>
      </c>
      <c r="N102" s="1850"/>
      <c r="O102" s="1850"/>
      <c r="P102" s="1850"/>
    </row>
    <row r="103" spans="1:16" ht="51" hidden="1" thickTop="1" thickBot="1">
      <c r="A103" s="3017"/>
      <c r="B103" s="3022"/>
      <c r="C103" s="1856" t="s">
        <v>2790</v>
      </c>
      <c r="D103" s="1857"/>
      <c r="E103" s="1858" t="s">
        <v>2739</v>
      </c>
      <c r="F103" s="1854"/>
      <c r="G103" s="2984"/>
      <c r="H103" s="2984"/>
      <c r="I103" s="2984"/>
      <c r="J103" s="2984"/>
      <c r="K103" s="2981"/>
      <c r="L103" s="1520">
        <f>+L102</f>
        <v>0</v>
      </c>
      <c r="O103" s="1850"/>
      <c r="P103" s="1850"/>
    </row>
    <row r="104" spans="1:16" ht="20.25" hidden="1" thickTop="1" thickBot="1">
      <c r="A104" s="3017"/>
      <c r="B104" s="3022"/>
      <c r="C104" s="1860" t="s">
        <v>2738</v>
      </c>
      <c r="D104" s="1861">
        <v>0.28000000000000003</v>
      </c>
      <c r="E104" s="1853" t="s">
        <v>2739</v>
      </c>
      <c r="F104" s="1859"/>
      <c r="G104" s="2983"/>
      <c r="H104" s="2983"/>
      <c r="I104" s="2983"/>
      <c r="J104" s="2983"/>
      <c r="K104" s="2991">
        <f>+TRUNC(+SUM(G104:J105),2)</f>
        <v>0</v>
      </c>
      <c r="L104" s="745">
        <f>SUM(G104:K104)</f>
        <v>0</v>
      </c>
      <c r="N104" s="1850"/>
      <c r="O104" s="1850"/>
      <c r="P104" s="1850"/>
    </row>
    <row r="105" spans="1:16" ht="51" hidden="1" thickTop="1" thickBot="1">
      <c r="A105" s="3017"/>
      <c r="B105" s="3022"/>
      <c r="C105" s="1856" t="s">
        <v>2791</v>
      </c>
      <c r="D105" s="1857"/>
      <c r="E105" s="1858" t="s">
        <v>2739</v>
      </c>
      <c r="F105" s="1854"/>
      <c r="G105" s="2984"/>
      <c r="H105" s="2984"/>
      <c r="I105" s="2984"/>
      <c r="J105" s="2984"/>
      <c r="K105" s="2981"/>
      <c r="L105" s="1520">
        <f>+L104</f>
        <v>0</v>
      </c>
      <c r="O105" s="1850"/>
      <c r="P105" s="1850"/>
    </row>
    <row r="106" spans="1:16" ht="20.25" hidden="1" thickTop="1" thickBot="1">
      <c r="A106" s="3017"/>
      <c r="B106" s="3022"/>
      <c r="C106" s="1860" t="s">
        <v>2738</v>
      </c>
      <c r="D106" s="1861">
        <v>0.28000000000000003</v>
      </c>
      <c r="E106" s="1853" t="s">
        <v>2739</v>
      </c>
      <c r="F106" s="1859"/>
      <c r="G106" s="2983"/>
      <c r="H106" s="2983"/>
      <c r="I106" s="2983"/>
      <c r="J106" s="2983"/>
      <c r="K106" s="2991">
        <f>+TRUNC(+SUM(G106:J107),2)</f>
        <v>0</v>
      </c>
      <c r="L106" s="745">
        <f>SUM(G106:K106)</f>
        <v>0</v>
      </c>
      <c r="N106" s="1850"/>
      <c r="O106" s="1850"/>
      <c r="P106" s="1850"/>
    </row>
    <row r="107" spans="1:16" ht="51" hidden="1" thickTop="1" thickBot="1">
      <c r="A107" s="3017"/>
      <c r="B107" s="3022"/>
      <c r="C107" s="1856" t="s">
        <v>2792</v>
      </c>
      <c r="D107" s="1857"/>
      <c r="E107" s="1858" t="s">
        <v>2739</v>
      </c>
      <c r="F107" s="1854"/>
      <c r="G107" s="2984"/>
      <c r="H107" s="2984"/>
      <c r="I107" s="2984"/>
      <c r="J107" s="2984"/>
      <c r="K107" s="2981"/>
      <c r="L107" s="1520">
        <f>+L106</f>
        <v>0</v>
      </c>
      <c r="O107" s="1850"/>
      <c r="P107" s="1850"/>
    </row>
    <row r="108" spans="1:16" ht="20.25" hidden="1" thickTop="1" thickBot="1">
      <c r="A108" s="3017"/>
      <c r="B108" s="3022"/>
      <c r="C108" s="1860" t="s">
        <v>2738</v>
      </c>
      <c r="D108" s="1861">
        <v>0.28000000000000003</v>
      </c>
      <c r="E108" s="1853" t="s">
        <v>2739</v>
      </c>
      <c r="F108" s="1859"/>
      <c r="G108" s="2983"/>
      <c r="H108" s="2983"/>
      <c r="I108" s="2983"/>
      <c r="J108" s="2983"/>
      <c r="K108" s="2991">
        <f>+TRUNC(+SUM(G108:J109),2)</f>
        <v>0</v>
      </c>
      <c r="L108" s="745">
        <f>SUM(G108:K108)</f>
        <v>0</v>
      </c>
      <c r="N108" s="1850"/>
      <c r="O108" s="1850"/>
      <c r="P108" s="1850"/>
    </row>
    <row r="109" spans="1:16" ht="51" hidden="1" thickTop="1" thickBot="1">
      <c r="A109" s="3017"/>
      <c r="B109" s="3022"/>
      <c r="C109" s="1856" t="s">
        <v>2793</v>
      </c>
      <c r="D109" s="1857"/>
      <c r="E109" s="1858" t="s">
        <v>2739</v>
      </c>
      <c r="F109" s="1854"/>
      <c r="G109" s="2984"/>
      <c r="H109" s="2984"/>
      <c r="I109" s="2984"/>
      <c r="J109" s="2984"/>
      <c r="K109" s="2981"/>
      <c r="L109" s="1520">
        <f>+L108</f>
        <v>0</v>
      </c>
      <c r="O109" s="1850"/>
      <c r="P109" s="1850"/>
    </row>
    <row r="110" spans="1:16" ht="20.25" hidden="1" thickTop="1" thickBot="1">
      <c r="A110" s="3017"/>
      <c r="B110" s="3022"/>
      <c r="C110" s="1860" t="s">
        <v>2738</v>
      </c>
      <c r="D110" s="1861">
        <v>0.28000000000000003</v>
      </c>
      <c r="E110" s="1853" t="s">
        <v>2739</v>
      </c>
      <c r="F110" s="1859"/>
      <c r="G110" s="2983"/>
      <c r="H110" s="2983"/>
      <c r="I110" s="2983"/>
      <c r="J110" s="2983"/>
      <c r="K110" s="2991">
        <f>+TRUNC(+SUM(G110:J111),2)</f>
        <v>0</v>
      </c>
      <c r="L110" s="745">
        <f>SUM(G110:K110)</f>
        <v>0</v>
      </c>
      <c r="N110" s="1850"/>
      <c r="O110" s="1850"/>
      <c r="P110" s="1850"/>
    </row>
    <row r="111" spans="1:16" ht="51" hidden="1" thickTop="1" thickBot="1">
      <c r="A111" s="3017"/>
      <c r="B111" s="3022"/>
      <c r="C111" s="1856" t="s">
        <v>2794</v>
      </c>
      <c r="D111" s="1857"/>
      <c r="E111" s="1858" t="s">
        <v>2739</v>
      </c>
      <c r="F111" s="1854"/>
      <c r="G111" s="2984"/>
      <c r="H111" s="2984"/>
      <c r="I111" s="2984"/>
      <c r="J111" s="2984"/>
      <c r="K111" s="2981"/>
      <c r="L111" s="1520">
        <f>+L110</f>
        <v>0</v>
      </c>
      <c r="O111" s="1850"/>
      <c r="P111" s="1850"/>
    </row>
    <row r="112" spans="1:16" ht="20.25" hidden="1" thickTop="1" thickBot="1">
      <c r="A112" s="3017"/>
      <c r="B112" s="3022"/>
      <c r="C112" s="1860" t="s">
        <v>2738</v>
      </c>
      <c r="D112" s="1861">
        <v>0.28000000000000003</v>
      </c>
      <c r="E112" s="1853" t="s">
        <v>2739</v>
      </c>
      <c r="F112" s="1859"/>
      <c r="G112" s="2983"/>
      <c r="H112" s="2983"/>
      <c r="I112" s="2983"/>
      <c r="J112" s="2983"/>
      <c r="K112" s="2991">
        <f>+TRUNC(+SUM(G112:J113),2)</f>
        <v>0</v>
      </c>
      <c r="L112" s="745">
        <f>SUM(G112:K112)</f>
        <v>0</v>
      </c>
      <c r="N112" s="1850"/>
      <c r="O112" s="1850"/>
      <c r="P112" s="1850"/>
    </row>
    <row r="113" spans="1:16" ht="51" hidden="1" thickTop="1" thickBot="1">
      <c r="A113" s="3017"/>
      <c r="B113" s="3022"/>
      <c r="C113" s="1856" t="s">
        <v>2795</v>
      </c>
      <c r="D113" s="1857"/>
      <c r="E113" s="1858" t="s">
        <v>2739</v>
      </c>
      <c r="F113" s="1854"/>
      <c r="G113" s="2984"/>
      <c r="H113" s="2984"/>
      <c r="I113" s="2984"/>
      <c r="J113" s="2984"/>
      <c r="K113" s="2981"/>
      <c r="L113" s="1520">
        <f>+L112</f>
        <v>0</v>
      </c>
      <c r="O113" s="1850"/>
      <c r="P113" s="1850"/>
    </row>
    <row r="114" spans="1:16" ht="20.25" hidden="1" thickTop="1" thickBot="1">
      <c r="A114" s="3017"/>
      <c r="B114" s="3022"/>
      <c r="C114" s="1860" t="s">
        <v>2738</v>
      </c>
      <c r="D114" s="1861">
        <v>0.36</v>
      </c>
      <c r="E114" s="1853" t="s">
        <v>2739</v>
      </c>
      <c r="F114" s="1859"/>
      <c r="G114" s="2983"/>
      <c r="H114" s="2983"/>
      <c r="I114" s="2983"/>
      <c r="J114" s="2983"/>
      <c r="K114" s="2991">
        <f>+TRUNC(+SUM(G114:J115),2)</f>
        <v>0</v>
      </c>
      <c r="L114" s="745">
        <f>SUM(G114:K114)</f>
        <v>0</v>
      </c>
      <c r="O114" s="1850"/>
      <c r="P114" s="1850"/>
    </row>
    <row r="115" spans="1:16" ht="51" hidden="1" thickTop="1" thickBot="1">
      <c r="A115" s="3017"/>
      <c r="B115" s="3022"/>
      <c r="C115" s="1856" t="s">
        <v>2796</v>
      </c>
      <c r="D115" s="1857"/>
      <c r="E115" s="1858" t="s">
        <v>2739</v>
      </c>
      <c r="F115" s="1854"/>
      <c r="G115" s="2984"/>
      <c r="H115" s="2984"/>
      <c r="I115" s="2984"/>
      <c r="J115" s="2984"/>
      <c r="K115" s="2981"/>
      <c r="L115" s="1520">
        <f>+L114</f>
        <v>0</v>
      </c>
      <c r="O115" s="1850"/>
      <c r="P115" s="1850"/>
    </row>
    <row r="116" spans="1:16" ht="20.25" hidden="1" thickTop="1" thickBot="1">
      <c r="A116" s="3017"/>
      <c r="B116" s="3022"/>
      <c r="C116" s="1860" t="s">
        <v>2738</v>
      </c>
      <c r="D116" s="1861">
        <v>0.36</v>
      </c>
      <c r="E116" s="1853" t="s">
        <v>2739</v>
      </c>
      <c r="F116" s="1859"/>
      <c r="G116" s="2983"/>
      <c r="H116" s="2983"/>
      <c r="I116" s="2983"/>
      <c r="J116" s="2983"/>
      <c r="K116" s="2991">
        <f>+TRUNC(+SUM(G116:J117),2)</f>
        <v>0</v>
      </c>
      <c r="L116" s="745">
        <f>SUM(G116:K116)</f>
        <v>0</v>
      </c>
      <c r="O116" s="1850"/>
      <c r="P116" s="1850"/>
    </row>
    <row r="117" spans="1:16" ht="51" hidden="1" thickTop="1" thickBot="1">
      <c r="A117" s="3017"/>
      <c r="B117" s="3022"/>
      <c r="C117" s="1856" t="s">
        <v>2797</v>
      </c>
      <c r="D117" s="1857"/>
      <c r="E117" s="1858" t="s">
        <v>2739</v>
      </c>
      <c r="F117" s="1854"/>
      <c r="G117" s="2984"/>
      <c r="H117" s="2984"/>
      <c r="I117" s="2984"/>
      <c r="J117" s="2984"/>
      <c r="K117" s="2981"/>
      <c r="L117" s="1520">
        <f>+L116</f>
        <v>0</v>
      </c>
      <c r="O117" s="1850"/>
      <c r="P117" s="1850"/>
    </row>
    <row r="118" spans="1:16" ht="20.25" hidden="1" thickTop="1" thickBot="1">
      <c r="A118" s="3017"/>
      <c r="B118" s="3022"/>
      <c r="C118" s="1860" t="s">
        <v>2738</v>
      </c>
      <c r="D118" s="1861">
        <v>0.36</v>
      </c>
      <c r="E118" s="1853" t="s">
        <v>2739</v>
      </c>
      <c r="F118" s="1859"/>
      <c r="G118" s="2983"/>
      <c r="H118" s="2983"/>
      <c r="I118" s="2983"/>
      <c r="J118" s="2983"/>
      <c r="K118" s="2991">
        <f>+TRUNC(+SUM(G118:J119),2)</f>
        <v>0</v>
      </c>
      <c r="L118" s="745">
        <f>SUM(G118:K118)</f>
        <v>0</v>
      </c>
      <c r="O118" s="1850"/>
      <c r="P118" s="1850"/>
    </row>
    <row r="119" spans="1:16" ht="51" hidden="1" thickTop="1" thickBot="1">
      <c r="A119" s="3017"/>
      <c r="B119" s="3022"/>
      <c r="C119" s="1856" t="s">
        <v>2798</v>
      </c>
      <c r="D119" s="1857"/>
      <c r="E119" s="1858" t="s">
        <v>2739</v>
      </c>
      <c r="F119" s="1854"/>
      <c r="G119" s="2984"/>
      <c r="H119" s="2984"/>
      <c r="I119" s="2984"/>
      <c r="J119" s="2984"/>
      <c r="K119" s="2981"/>
      <c r="L119" s="1520">
        <f>+L118</f>
        <v>0</v>
      </c>
      <c r="O119" s="1850"/>
      <c r="P119" s="1850"/>
    </row>
    <row r="120" spans="1:16" ht="20.25" hidden="1" thickTop="1" thickBot="1">
      <c r="A120" s="3017"/>
      <c r="B120" s="3022"/>
      <c r="C120" s="1860" t="s">
        <v>2738</v>
      </c>
      <c r="D120" s="1861">
        <v>0.36</v>
      </c>
      <c r="E120" s="1853" t="s">
        <v>2739</v>
      </c>
      <c r="F120" s="1859"/>
      <c r="G120" s="2983"/>
      <c r="H120" s="2983"/>
      <c r="I120" s="2983"/>
      <c r="J120" s="2983"/>
      <c r="K120" s="2991">
        <f>+TRUNC(+SUM(G120:J121),2)</f>
        <v>0</v>
      </c>
      <c r="L120" s="745">
        <f>SUM(G120:K120)</f>
        <v>0</v>
      </c>
      <c r="O120" s="1850"/>
      <c r="P120" s="1850"/>
    </row>
    <row r="121" spans="1:16" ht="51" hidden="1" thickTop="1" thickBot="1">
      <c r="A121" s="3017"/>
      <c r="B121" s="3022"/>
      <c r="C121" s="1856" t="s">
        <v>2799</v>
      </c>
      <c r="D121" s="1857"/>
      <c r="E121" s="1858" t="s">
        <v>2739</v>
      </c>
      <c r="F121" s="1854"/>
      <c r="G121" s="2984"/>
      <c r="H121" s="2984"/>
      <c r="I121" s="2984"/>
      <c r="J121" s="2984"/>
      <c r="K121" s="2981"/>
      <c r="L121" s="1520">
        <f>+L120</f>
        <v>0</v>
      </c>
      <c r="O121" s="1850"/>
      <c r="P121" s="1850"/>
    </row>
    <row r="122" spans="1:16" ht="20.25" hidden="1" thickTop="1" thickBot="1">
      <c r="A122" s="3017"/>
      <c r="B122" s="3022"/>
      <c r="C122" s="1860" t="s">
        <v>2738</v>
      </c>
      <c r="D122" s="1861">
        <v>0.36</v>
      </c>
      <c r="E122" s="1853" t="s">
        <v>2739</v>
      </c>
      <c r="F122" s="1859"/>
      <c r="G122" s="2983"/>
      <c r="H122" s="2983"/>
      <c r="I122" s="2983"/>
      <c r="J122" s="2983"/>
      <c r="K122" s="2991">
        <f>+TRUNC(+SUM(G122:J123),2)</f>
        <v>0</v>
      </c>
      <c r="L122" s="745">
        <f>SUM(G122:K122)</f>
        <v>0</v>
      </c>
      <c r="O122" s="1850"/>
      <c r="P122" s="1850"/>
    </row>
    <row r="123" spans="1:16" ht="51" hidden="1" thickTop="1" thickBot="1">
      <c r="A123" s="3017"/>
      <c r="B123" s="3022"/>
      <c r="C123" s="1856" t="s">
        <v>2800</v>
      </c>
      <c r="D123" s="1857"/>
      <c r="E123" s="1858" t="s">
        <v>2739</v>
      </c>
      <c r="F123" s="1854"/>
      <c r="G123" s="2984"/>
      <c r="H123" s="2984"/>
      <c r="I123" s="2984"/>
      <c r="J123" s="2984"/>
      <c r="K123" s="2981"/>
      <c r="L123" s="1520">
        <f>+L122</f>
        <v>0</v>
      </c>
      <c r="O123" s="1850"/>
      <c r="P123" s="1850"/>
    </row>
    <row r="124" spans="1:16" ht="20.25" hidden="1" thickTop="1" thickBot="1">
      <c r="A124" s="3017"/>
      <c r="B124" s="3022"/>
      <c r="C124" s="1860" t="s">
        <v>2738</v>
      </c>
      <c r="D124" s="1861">
        <v>0.36</v>
      </c>
      <c r="E124" s="1853" t="s">
        <v>2739</v>
      </c>
      <c r="F124" s="1859"/>
      <c r="G124" s="2983"/>
      <c r="H124" s="2983"/>
      <c r="I124" s="2983"/>
      <c r="J124" s="2983"/>
      <c r="K124" s="2991">
        <f>+TRUNC(+SUM(G124:J125),2)</f>
        <v>0</v>
      </c>
      <c r="L124" s="745">
        <f>SUM(G124:K124)</f>
        <v>0</v>
      </c>
      <c r="O124" s="1850"/>
      <c r="P124" s="1850"/>
    </row>
    <row r="125" spans="1:16" ht="51" hidden="1" thickTop="1" thickBot="1">
      <c r="A125" s="3017"/>
      <c r="B125" s="3022"/>
      <c r="C125" s="1856" t="s">
        <v>2801</v>
      </c>
      <c r="D125" s="1857"/>
      <c r="E125" s="1858" t="s">
        <v>2739</v>
      </c>
      <c r="F125" s="1854"/>
      <c r="G125" s="2984"/>
      <c r="H125" s="2984"/>
      <c r="I125" s="2984"/>
      <c r="J125" s="2984"/>
      <c r="K125" s="2981"/>
      <c r="L125" s="1520">
        <f>+L124</f>
        <v>0</v>
      </c>
      <c r="O125" s="1850"/>
      <c r="P125" s="1850"/>
    </row>
    <row r="126" spans="1:16" ht="20.25" hidden="1" thickTop="1" thickBot="1">
      <c r="A126" s="3017"/>
      <c r="B126" s="3022"/>
      <c r="C126" s="1860" t="s">
        <v>2738</v>
      </c>
      <c r="D126" s="1861">
        <v>0.36</v>
      </c>
      <c r="E126" s="1853" t="s">
        <v>2739</v>
      </c>
      <c r="F126" s="1859"/>
      <c r="G126" s="2983"/>
      <c r="H126" s="2983"/>
      <c r="I126" s="2983"/>
      <c r="J126" s="2983"/>
      <c r="K126" s="2991">
        <f>+TRUNC(+SUM(G126:J127),2)</f>
        <v>0</v>
      </c>
      <c r="L126" s="745">
        <f>SUM(G126:K126)</f>
        <v>0</v>
      </c>
      <c r="O126" s="1850"/>
      <c r="P126" s="1850"/>
    </row>
    <row r="127" spans="1:16" ht="51" hidden="1" thickTop="1" thickBot="1">
      <c r="A127" s="3017"/>
      <c r="B127" s="3022"/>
      <c r="C127" s="1856" t="s">
        <v>2802</v>
      </c>
      <c r="D127" s="1857"/>
      <c r="E127" s="1858" t="s">
        <v>2739</v>
      </c>
      <c r="F127" s="1854"/>
      <c r="G127" s="2984"/>
      <c r="H127" s="2984"/>
      <c r="I127" s="2984"/>
      <c r="J127" s="2984"/>
      <c r="K127" s="2981"/>
      <c r="L127" s="1520">
        <f>+L126</f>
        <v>0</v>
      </c>
      <c r="O127" s="1850"/>
      <c r="P127" s="1850"/>
    </row>
    <row r="128" spans="1:16" ht="20.25" hidden="1" thickTop="1" thickBot="1">
      <c r="A128" s="3017"/>
      <c r="B128" s="3022"/>
      <c r="C128" s="1860" t="s">
        <v>2738</v>
      </c>
      <c r="D128" s="1861">
        <v>0.36</v>
      </c>
      <c r="E128" s="1853" t="s">
        <v>2739</v>
      </c>
      <c r="F128" s="1859"/>
      <c r="G128" s="2983"/>
      <c r="H128" s="2983"/>
      <c r="I128" s="2983"/>
      <c r="J128" s="2983"/>
      <c r="K128" s="2991">
        <f>+TRUNC(+SUM(G128:J129),2)</f>
        <v>0</v>
      </c>
      <c r="L128" s="745">
        <f>SUM(G128:K128)</f>
        <v>0</v>
      </c>
      <c r="O128" s="1850"/>
      <c r="P128" s="1850"/>
    </row>
    <row r="129" spans="1:16" ht="51" hidden="1" thickTop="1" thickBot="1">
      <c r="A129" s="3017"/>
      <c r="B129" s="3022"/>
      <c r="C129" s="1856" t="s">
        <v>2803</v>
      </c>
      <c r="D129" s="1857"/>
      <c r="E129" s="1858" t="s">
        <v>2739</v>
      </c>
      <c r="F129" s="1854"/>
      <c r="G129" s="2984"/>
      <c r="H129" s="2984"/>
      <c r="I129" s="2984"/>
      <c r="J129" s="2984"/>
      <c r="K129" s="2981"/>
      <c r="L129" s="1520">
        <f>+L128</f>
        <v>0</v>
      </c>
      <c r="O129" s="1850"/>
      <c r="P129" s="1850"/>
    </row>
    <row r="130" spans="1:16" ht="20.25" hidden="1" thickTop="1" thickBot="1">
      <c r="A130" s="3017"/>
      <c r="B130" s="3022"/>
      <c r="C130" s="1860" t="s">
        <v>2738</v>
      </c>
      <c r="D130" s="1861">
        <v>0.36</v>
      </c>
      <c r="E130" s="1853" t="s">
        <v>2739</v>
      </c>
      <c r="F130" s="1859"/>
      <c r="G130" s="2983"/>
      <c r="H130" s="2983"/>
      <c r="I130" s="2983"/>
      <c r="J130" s="2983"/>
      <c r="K130" s="2991">
        <f>+TRUNC(+SUM(G130:J131),2)</f>
        <v>0</v>
      </c>
      <c r="L130" s="745">
        <f>SUM(G130:K130)</f>
        <v>0</v>
      </c>
      <c r="O130" s="1850"/>
      <c r="P130" s="1850"/>
    </row>
    <row r="131" spans="1:16" ht="51" hidden="1" thickTop="1" thickBot="1">
      <c r="A131" s="3017"/>
      <c r="B131" s="3022"/>
      <c r="C131" s="1856" t="s">
        <v>2804</v>
      </c>
      <c r="D131" s="1857"/>
      <c r="E131" s="1858" t="s">
        <v>2739</v>
      </c>
      <c r="F131" s="1854"/>
      <c r="G131" s="2984"/>
      <c r="H131" s="2984"/>
      <c r="I131" s="2984"/>
      <c r="J131" s="2984"/>
      <c r="K131" s="2981"/>
      <c r="L131" s="1520">
        <f>+L130</f>
        <v>0</v>
      </c>
      <c r="O131" s="1850"/>
      <c r="P131" s="1850"/>
    </row>
    <row r="132" spans="1:16" ht="20.25" hidden="1" thickTop="1" thickBot="1">
      <c r="A132" s="3017"/>
      <c r="B132" s="3022"/>
      <c r="C132" s="1860" t="s">
        <v>2738</v>
      </c>
      <c r="D132" s="1861">
        <v>0.36</v>
      </c>
      <c r="E132" s="1853" t="s">
        <v>2739</v>
      </c>
      <c r="F132" s="1859"/>
      <c r="G132" s="2983"/>
      <c r="H132" s="2983"/>
      <c r="I132" s="2983"/>
      <c r="J132" s="2983"/>
      <c r="K132" s="2991">
        <f>+TRUNC(+SUM(G132:J133),2)</f>
        <v>0</v>
      </c>
      <c r="L132" s="745">
        <f>SUM(G132:K132)</f>
        <v>0</v>
      </c>
      <c r="O132" s="1850"/>
      <c r="P132" s="1850"/>
    </row>
    <row r="133" spans="1:16" ht="51" hidden="1" thickTop="1" thickBot="1">
      <c r="A133" s="3017"/>
      <c r="B133" s="3022"/>
      <c r="C133" s="1856" t="s">
        <v>2805</v>
      </c>
      <c r="D133" s="1857"/>
      <c r="E133" s="1858" t="s">
        <v>2739</v>
      </c>
      <c r="F133" s="1854"/>
      <c r="G133" s="2984"/>
      <c r="H133" s="2984"/>
      <c r="I133" s="2984"/>
      <c r="J133" s="2984"/>
      <c r="K133" s="2981"/>
      <c r="L133" s="1520">
        <f>+L132</f>
        <v>0</v>
      </c>
      <c r="O133" s="1850"/>
      <c r="P133" s="1850"/>
    </row>
    <row r="134" spans="1:16" ht="20.25" hidden="1" thickTop="1" thickBot="1">
      <c r="A134" s="3017"/>
      <c r="B134" s="3022"/>
      <c r="C134" s="1860" t="s">
        <v>2738</v>
      </c>
      <c r="D134" s="1861">
        <v>0.36</v>
      </c>
      <c r="E134" s="1853" t="s">
        <v>2739</v>
      </c>
      <c r="F134" s="1859"/>
      <c r="G134" s="2983"/>
      <c r="H134" s="2983"/>
      <c r="I134" s="2983"/>
      <c r="J134" s="2983"/>
      <c r="K134" s="2991">
        <f>+TRUNC(+SUM(G134:J135),2)</f>
        <v>0</v>
      </c>
      <c r="L134" s="745">
        <f>SUM(G134:K134)</f>
        <v>0</v>
      </c>
      <c r="O134" s="1850"/>
      <c r="P134" s="1850"/>
    </row>
    <row r="135" spans="1:16" ht="51" hidden="1" thickTop="1" thickBot="1">
      <c r="A135" s="3017"/>
      <c r="B135" s="3022"/>
      <c r="C135" s="1856" t="s">
        <v>2806</v>
      </c>
      <c r="D135" s="1857"/>
      <c r="E135" s="1858" t="s">
        <v>2739</v>
      </c>
      <c r="F135" s="1854"/>
      <c r="G135" s="2984"/>
      <c r="H135" s="2984"/>
      <c r="I135" s="2984"/>
      <c r="J135" s="2984"/>
      <c r="K135" s="2981"/>
      <c r="L135" s="1520">
        <f>+L134</f>
        <v>0</v>
      </c>
      <c r="O135" s="1850"/>
      <c r="P135" s="1850"/>
    </row>
    <row r="136" spans="1:16" ht="20.25" hidden="1" thickTop="1" thickBot="1">
      <c r="A136" s="3017"/>
      <c r="B136" s="3022"/>
      <c r="C136" s="1860" t="s">
        <v>2738</v>
      </c>
      <c r="D136" s="1861">
        <v>0.36</v>
      </c>
      <c r="E136" s="1853" t="s">
        <v>2739</v>
      </c>
      <c r="F136" s="1859"/>
      <c r="G136" s="2983"/>
      <c r="H136" s="2983"/>
      <c r="I136" s="2983"/>
      <c r="J136" s="2983"/>
      <c r="K136" s="2991">
        <f>+TRUNC(+SUM(G136:J137),2)</f>
        <v>0</v>
      </c>
      <c r="L136" s="745">
        <f>SUM(G136:K136)</f>
        <v>0</v>
      </c>
      <c r="O136" s="1850"/>
      <c r="P136" s="1850"/>
    </row>
    <row r="137" spans="1:16" ht="51" hidden="1" thickTop="1" thickBot="1">
      <c r="A137" s="3017"/>
      <c r="B137" s="3022"/>
      <c r="C137" s="1856" t="s">
        <v>2807</v>
      </c>
      <c r="D137" s="1857"/>
      <c r="E137" s="1858" t="s">
        <v>2739</v>
      </c>
      <c r="F137" s="1854"/>
      <c r="G137" s="2984"/>
      <c r="H137" s="2984"/>
      <c r="I137" s="2984"/>
      <c r="J137" s="2984"/>
      <c r="K137" s="2981"/>
      <c r="L137" s="1520">
        <f>+L136</f>
        <v>0</v>
      </c>
      <c r="O137" s="1850"/>
      <c r="P137" s="1850"/>
    </row>
    <row r="138" spans="1:16" ht="20.25" hidden="1" thickTop="1" thickBot="1">
      <c r="A138" s="3017"/>
      <c r="B138" s="3022"/>
      <c r="C138" s="1860" t="s">
        <v>2738</v>
      </c>
      <c r="D138" s="1861">
        <v>0.36</v>
      </c>
      <c r="E138" s="1853" t="s">
        <v>2739</v>
      </c>
      <c r="F138" s="1859"/>
      <c r="G138" s="2983"/>
      <c r="H138" s="2983"/>
      <c r="I138" s="2983"/>
      <c r="J138" s="2983"/>
      <c r="K138" s="2991">
        <f>+TRUNC(+SUM(G138:J139),2)</f>
        <v>0</v>
      </c>
      <c r="L138" s="745">
        <f>SUM(G138:K138)</f>
        <v>0</v>
      </c>
      <c r="O138" s="1850"/>
      <c r="P138" s="1850"/>
    </row>
    <row r="139" spans="1:16" ht="51" hidden="1" thickTop="1" thickBot="1">
      <c r="A139" s="3017"/>
      <c r="B139" s="3022"/>
      <c r="C139" s="1856" t="s">
        <v>2808</v>
      </c>
      <c r="D139" s="1857"/>
      <c r="E139" s="1858" t="s">
        <v>2739</v>
      </c>
      <c r="F139" s="1854"/>
      <c r="G139" s="2984"/>
      <c r="H139" s="2984"/>
      <c r="I139" s="2984"/>
      <c r="J139" s="2984"/>
      <c r="K139" s="2981"/>
      <c r="L139" s="1520">
        <f>+L138</f>
        <v>0</v>
      </c>
      <c r="O139" s="1850"/>
      <c r="P139" s="1850"/>
    </row>
    <row r="140" spans="1:16" ht="20.25" hidden="1" thickTop="1" thickBot="1">
      <c r="A140" s="3017"/>
      <c r="B140" s="3022"/>
      <c r="C140" s="1860" t="s">
        <v>2738</v>
      </c>
      <c r="D140" s="1861">
        <v>0.36</v>
      </c>
      <c r="E140" s="1853" t="s">
        <v>2739</v>
      </c>
      <c r="F140" s="1859"/>
      <c r="G140" s="2983"/>
      <c r="H140" s="2983"/>
      <c r="I140" s="2983"/>
      <c r="J140" s="2983"/>
      <c r="K140" s="2991">
        <f>+TRUNC(+SUM(G140:J141),2)</f>
        <v>0</v>
      </c>
      <c r="L140" s="745">
        <f>SUM(G140:K140)</f>
        <v>0</v>
      </c>
      <c r="O140" s="1850"/>
      <c r="P140" s="1850"/>
    </row>
    <row r="141" spans="1:16" ht="51" hidden="1" thickTop="1" thickBot="1">
      <c r="A141" s="3017"/>
      <c r="B141" s="3022"/>
      <c r="C141" s="1856" t="s">
        <v>2809</v>
      </c>
      <c r="D141" s="1857"/>
      <c r="E141" s="1858" t="s">
        <v>2739</v>
      </c>
      <c r="F141" s="1854"/>
      <c r="G141" s="2984"/>
      <c r="H141" s="2984"/>
      <c r="I141" s="2984"/>
      <c r="J141" s="2984"/>
      <c r="K141" s="2981"/>
      <c r="L141" s="1520">
        <f>+L140</f>
        <v>0</v>
      </c>
      <c r="O141" s="1850"/>
      <c r="P141" s="1850"/>
    </row>
    <row r="142" spans="1:16" ht="20.25" hidden="1" thickTop="1" thickBot="1">
      <c r="A142" s="3017"/>
      <c r="B142" s="3022"/>
      <c r="C142" s="1860" t="s">
        <v>2738</v>
      </c>
      <c r="D142" s="1861">
        <v>0.36</v>
      </c>
      <c r="E142" s="1853" t="s">
        <v>2739</v>
      </c>
      <c r="F142" s="1859"/>
      <c r="G142" s="2983"/>
      <c r="H142" s="2983"/>
      <c r="I142" s="2983"/>
      <c r="J142" s="2983"/>
      <c r="K142" s="2991">
        <f>+TRUNC(+SUM(G142:J143),2)</f>
        <v>0</v>
      </c>
      <c r="L142" s="745">
        <f>SUM(G142:K142)</f>
        <v>0</v>
      </c>
      <c r="O142" s="1850"/>
      <c r="P142" s="1850"/>
    </row>
    <row r="143" spans="1:16" ht="51" hidden="1" thickTop="1" thickBot="1">
      <c r="A143" s="3017"/>
      <c r="B143" s="3022"/>
      <c r="C143" s="1856" t="s">
        <v>2810</v>
      </c>
      <c r="D143" s="1857"/>
      <c r="E143" s="1858" t="s">
        <v>2739</v>
      </c>
      <c r="F143" s="1854"/>
      <c r="G143" s="2984"/>
      <c r="H143" s="2984"/>
      <c r="I143" s="2984"/>
      <c r="J143" s="2984"/>
      <c r="K143" s="2981"/>
      <c r="L143" s="1520">
        <f>+L142</f>
        <v>0</v>
      </c>
      <c r="O143" s="1850"/>
      <c r="P143" s="1850"/>
    </row>
    <row r="144" spans="1:16" ht="20.25" hidden="1" thickTop="1" thickBot="1">
      <c r="A144" s="3017"/>
      <c r="B144" s="3022"/>
      <c r="C144" s="1860" t="s">
        <v>2738</v>
      </c>
      <c r="D144" s="1861">
        <v>0.36</v>
      </c>
      <c r="E144" s="1853" t="s">
        <v>2739</v>
      </c>
      <c r="F144" s="1859"/>
      <c r="G144" s="2983"/>
      <c r="H144" s="2983"/>
      <c r="I144" s="2983"/>
      <c r="J144" s="2983"/>
      <c r="K144" s="2991">
        <f>+TRUNC(+SUM(G144:J145),2)</f>
        <v>0</v>
      </c>
      <c r="L144" s="745">
        <f>SUM(G144:K144)</f>
        <v>0</v>
      </c>
      <c r="O144" s="1850"/>
      <c r="P144" s="1850"/>
    </row>
    <row r="145" spans="1:16" ht="51" hidden="1" thickTop="1" thickBot="1">
      <c r="A145" s="3017"/>
      <c r="B145" s="3022"/>
      <c r="C145" s="1856" t="s">
        <v>2811</v>
      </c>
      <c r="D145" s="1857"/>
      <c r="E145" s="1858" t="s">
        <v>2739</v>
      </c>
      <c r="F145" s="1854"/>
      <c r="G145" s="2984"/>
      <c r="H145" s="2984"/>
      <c r="I145" s="2984"/>
      <c r="J145" s="2984"/>
      <c r="K145" s="2981"/>
      <c r="L145" s="1520">
        <f>+L144</f>
        <v>0</v>
      </c>
      <c r="O145" s="1850"/>
      <c r="P145" s="1850"/>
    </row>
    <row r="146" spans="1:16" ht="20.25" hidden="1" thickTop="1" thickBot="1">
      <c r="A146" s="3017"/>
      <c r="B146" s="3022"/>
      <c r="C146" s="1860" t="s">
        <v>2738</v>
      </c>
      <c r="D146" s="1861">
        <v>0.36</v>
      </c>
      <c r="E146" s="1853" t="s">
        <v>2739</v>
      </c>
      <c r="F146" s="1859"/>
      <c r="G146" s="2983"/>
      <c r="H146" s="2983"/>
      <c r="I146" s="2983"/>
      <c r="J146" s="2983"/>
      <c r="K146" s="2991">
        <f>+TRUNC(+SUM(G146:J147),2)</f>
        <v>0</v>
      </c>
      <c r="L146" s="745">
        <f>SUM(G146:K146)</f>
        <v>0</v>
      </c>
      <c r="O146" s="1850"/>
      <c r="P146" s="1850"/>
    </row>
    <row r="147" spans="1:16" ht="51" hidden="1" thickTop="1" thickBot="1">
      <c r="A147" s="3017"/>
      <c r="B147" s="3022"/>
      <c r="C147" s="1856" t="s">
        <v>2812</v>
      </c>
      <c r="D147" s="1857"/>
      <c r="E147" s="1858" t="s">
        <v>2739</v>
      </c>
      <c r="F147" s="1854"/>
      <c r="G147" s="2984"/>
      <c r="H147" s="2984"/>
      <c r="I147" s="2984"/>
      <c r="J147" s="2984"/>
      <c r="K147" s="2981"/>
      <c r="L147" s="1520">
        <f>+L146</f>
        <v>0</v>
      </c>
      <c r="O147" s="1850"/>
      <c r="P147" s="1850"/>
    </row>
    <row r="148" spans="1:16" ht="20.25" hidden="1" thickTop="1" thickBot="1">
      <c r="A148" s="3017"/>
      <c r="B148" s="3022"/>
      <c r="C148" s="1860" t="s">
        <v>2738</v>
      </c>
      <c r="D148" s="1861">
        <v>0.36</v>
      </c>
      <c r="E148" s="1853" t="s">
        <v>2739</v>
      </c>
      <c r="F148" s="1859"/>
      <c r="G148" s="2983"/>
      <c r="H148" s="2983"/>
      <c r="I148" s="2983"/>
      <c r="J148" s="2983"/>
      <c r="K148" s="2991">
        <f>+TRUNC(+SUM(G148:J149),2)</f>
        <v>0</v>
      </c>
      <c r="L148" s="745">
        <f>SUM(G148:K148)</f>
        <v>0</v>
      </c>
      <c r="O148" s="1850"/>
      <c r="P148" s="1850"/>
    </row>
    <row r="149" spans="1:16" ht="51" hidden="1" thickTop="1" thickBot="1">
      <c r="A149" s="3017"/>
      <c r="B149" s="3022"/>
      <c r="C149" s="1856" t="s">
        <v>2813</v>
      </c>
      <c r="D149" s="1857"/>
      <c r="E149" s="1858" t="s">
        <v>2739</v>
      </c>
      <c r="F149" s="1854"/>
      <c r="G149" s="2984"/>
      <c r="H149" s="2984"/>
      <c r="I149" s="2984"/>
      <c r="J149" s="2984"/>
      <c r="K149" s="2981"/>
      <c r="L149" s="1520">
        <f>+L148</f>
        <v>0</v>
      </c>
      <c r="O149" s="1850"/>
      <c r="P149" s="1850"/>
    </row>
    <row r="150" spans="1:16" ht="20.25" hidden="1" thickTop="1" thickBot="1">
      <c r="A150" s="3017"/>
      <c r="B150" s="3022"/>
      <c r="C150" s="1860" t="s">
        <v>2738</v>
      </c>
      <c r="D150" s="1861">
        <v>0.36</v>
      </c>
      <c r="E150" s="1853" t="s">
        <v>2739</v>
      </c>
      <c r="F150" s="1859"/>
      <c r="G150" s="2983"/>
      <c r="H150" s="2983"/>
      <c r="I150" s="2983"/>
      <c r="J150" s="2983"/>
      <c r="K150" s="2991">
        <f>+TRUNC(+SUM(G150:J151),2)</f>
        <v>0</v>
      </c>
      <c r="L150" s="745">
        <f>SUM(G150:K150)</f>
        <v>0</v>
      </c>
      <c r="O150" s="1850"/>
      <c r="P150" s="1850"/>
    </row>
    <row r="151" spans="1:16" ht="51" hidden="1" thickTop="1" thickBot="1">
      <c r="A151" s="3017"/>
      <c r="B151" s="3022"/>
      <c r="C151" s="1856" t="s">
        <v>2814</v>
      </c>
      <c r="D151" s="1857"/>
      <c r="E151" s="1858" t="s">
        <v>2739</v>
      </c>
      <c r="F151" s="1854"/>
      <c r="G151" s="2984"/>
      <c r="H151" s="2984"/>
      <c r="I151" s="2984"/>
      <c r="J151" s="2984"/>
      <c r="K151" s="2981"/>
      <c r="L151" s="1520">
        <f>+L150</f>
        <v>0</v>
      </c>
      <c r="O151" s="1850"/>
      <c r="P151" s="1850"/>
    </row>
    <row r="152" spans="1:16" ht="20.25" hidden="1" thickTop="1" thickBot="1">
      <c r="A152" s="3017"/>
      <c r="B152" s="3022"/>
      <c r="C152" s="1860" t="s">
        <v>2738</v>
      </c>
      <c r="D152" s="1861">
        <v>0.36</v>
      </c>
      <c r="E152" s="1853" t="s">
        <v>2739</v>
      </c>
      <c r="F152" s="1859"/>
      <c r="G152" s="2983"/>
      <c r="H152" s="2983"/>
      <c r="I152" s="2983"/>
      <c r="J152" s="2983"/>
      <c r="K152" s="2991">
        <f>+TRUNC(+SUM(G152:J153),2)</f>
        <v>0</v>
      </c>
      <c r="L152" s="745">
        <f>SUM(G152:K152)</f>
        <v>0</v>
      </c>
      <c r="O152" s="1850"/>
      <c r="P152" s="1850"/>
    </row>
    <row r="153" spans="1:16" ht="51" hidden="1" thickTop="1" thickBot="1">
      <c r="A153" s="3017"/>
      <c r="B153" s="3022"/>
      <c r="C153" s="1856" t="s">
        <v>2815</v>
      </c>
      <c r="D153" s="1857"/>
      <c r="E153" s="1858" t="s">
        <v>2739</v>
      </c>
      <c r="F153" s="1854"/>
      <c r="G153" s="2984"/>
      <c r="H153" s="2984"/>
      <c r="I153" s="2984"/>
      <c r="J153" s="2984"/>
      <c r="K153" s="2981"/>
      <c r="L153" s="1520">
        <f>+L152</f>
        <v>0</v>
      </c>
      <c r="O153" s="1850"/>
      <c r="P153" s="1850"/>
    </row>
    <row r="154" spans="1:16" ht="20.25" hidden="1" thickTop="1" thickBot="1">
      <c r="A154" s="3017"/>
      <c r="B154" s="3022"/>
      <c r="C154" s="1860" t="s">
        <v>2738</v>
      </c>
      <c r="D154" s="1861">
        <v>0.36</v>
      </c>
      <c r="E154" s="1853" t="s">
        <v>2739</v>
      </c>
      <c r="F154" s="1859"/>
      <c r="G154" s="2983"/>
      <c r="H154" s="2983"/>
      <c r="I154" s="2983"/>
      <c r="J154" s="2983"/>
      <c r="K154" s="2991">
        <f>+TRUNC(+SUM(G154:J155),2)</f>
        <v>0</v>
      </c>
      <c r="L154" s="745">
        <f>SUM(G154:K154)</f>
        <v>0</v>
      </c>
      <c r="O154" s="1850"/>
      <c r="P154" s="1850"/>
    </row>
    <row r="155" spans="1:16" ht="51" hidden="1" thickTop="1" thickBot="1">
      <c r="A155" s="3017"/>
      <c r="B155" s="3022"/>
      <c r="C155" s="1856" t="s">
        <v>2816</v>
      </c>
      <c r="D155" s="1857"/>
      <c r="E155" s="1858" t="s">
        <v>2739</v>
      </c>
      <c r="F155" s="1854"/>
      <c r="G155" s="2984"/>
      <c r="H155" s="2984"/>
      <c r="I155" s="2984"/>
      <c r="J155" s="2984"/>
      <c r="K155" s="2981"/>
      <c r="L155" s="1520">
        <f>+L154</f>
        <v>0</v>
      </c>
      <c r="O155" s="1850"/>
      <c r="P155" s="1850"/>
    </row>
    <row r="156" spans="1:16" ht="20.25" hidden="1" thickTop="1" thickBot="1">
      <c r="A156" s="3017"/>
      <c r="B156" s="3022"/>
      <c r="C156" s="1860" t="s">
        <v>2738</v>
      </c>
      <c r="D156" s="1861">
        <v>0.36</v>
      </c>
      <c r="E156" s="1853" t="s">
        <v>2739</v>
      </c>
      <c r="F156" s="1859"/>
      <c r="G156" s="2983"/>
      <c r="H156" s="2983"/>
      <c r="I156" s="2983"/>
      <c r="J156" s="2983"/>
      <c r="K156" s="2991">
        <f>+TRUNC(+SUM(G156:J157),2)</f>
        <v>0</v>
      </c>
      <c r="L156" s="745">
        <f>SUM(G156:K156)</f>
        <v>0</v>
      </c>
      <c r="O156" s="1850"/>
      <c r="P156" s="1850"/>
    </row>
    <row r="157" spans="1:16" ht="51" hidden="1" thickTop="1" thickBot="1">
      <c r="A157" s="3017"/>
      <c r="B157" s="3022"/>
      <c r="C157" s="1856" t="s">
        <v>2817</v>
      </c>
      <c r="D157" s="1857"/>
      <c r="E157" s="1858" t="s">
        <v>2739</v>
      </c>
      <c r="F157" s="1854"/>
      <c r="G157" s="2984"/>
      <c r="H157" s="2984"/>
      <c r="I157" s="2984"/>
      <c r="J157" s="2984"/>
      <c r="K157" s="2981"/>
      <c r="L157" s="1520">
        <f>+L156</f>
        <v>0</v>
      </c>
      <c r="O157" s="1850"/>
      <c r="P157" s="1850"/>
    </row>
    <row r="158" spans="1:16" ht="20.25" hidden="1" thickTop="1" thickBot="1">
      <c r="A158" s="3017"/>
      <c r="B158" s="3022"/>
      <c r="C158" s="1860" t="s">
        <v>2738</v>
      </c>
      <c r="D158" s="1861">
        <v>0.36</v>
      </c>
      <c r="E158" s="1853" t="s">
        <v>2739</v>
      </c>
      <c r="F158" s="1859"/>
      <c r="G158" s="2983"/>
      <c r="H158" s="2983"/>
      <c r="I158" s="2983"/>
      <c r="J158" s="2983"/>
      <c r="K158" s="2991">
        <f>+TRUNC(+SUM(G158:J159),2)</f>
        <v>0</v>
      </c>
      <c r="L158" s="745">
        <f>SUM(G158:K158)</f>
        <v>0</v>
      </c>
      <c r="O158" s="1850"/>
      <c r="P158" s="1850"/>
    </row>
    <row r="159" spans="1:16" ht="51" hidden="1" thickTop="1" thickBot="1">
      <c r="A159" s="3017"/>
      <c r="B159" s="3022"/>
      <c r="C159" s="1856" t="s">
        <v>2818</v>
      </c>
      <c r="D159" s="1857"/>
      <c r="E159" s="1858" t="s">
        <v>2739</v>
      </c>
      <c r="F159" s="1854"/>
      <c r="G159" s="2984"/>
      <c r="H159" s="2984"/>
      <c r="I159" s="2984"/>
      <c r="J159" s="2984"/>
      <c r="K159" s="2981"/>
      <c r="L159" s="1520">
        <f>+L158</f>
        <v>0</v>
      </c>
      <c r="O159" s="1850"/>
      <c r="P159" s="1850"/>
    </row>
    <row r="160" spans="1:16" ht="20.25" hidden="1" thickTop="1" thickBot="1">
      <c r="A160" s="3017"/>
      <c r="B160" s="3022"/>
      <c r="C160" s="1860" t="s">
        <v>2738</v>
      </c>
      <c r="D160" s="1861">
        <v>0.36</v>
      </c>
      <c r="E160" s="1853" t="s">
        <v>2739</v>
      </c>
      <c r="F160" s="1859"/>
      <c r="G160" s="2983"/>
      <c r="H160" s="2983"/>
      <c r="I160" s="2983"/>
      <c r="J160" s="2983"/>
      <c r="K160" s="2991">
        <f>+TRUNC(+SUM(G160:J161),2)</f>
        <v>0</v>
      </c>
      <c r="L160" s="745">
        <f>SUM(G160:K160)</f>
        <v>0</v>
      </c>
      <c r="O160" s="1850"/>
      <c r="P160" s="1850"/>
    </row>
    <row r="161" spans="1:16" ht="51" hidden="1" thickTop="1" thickBot="1">
      <c r="A161" s="3017"/>
      <c r="B161" s="3022"/>
      <c r="C161" s="1856" t="s">
        <v>2819</v>
      </c>
      <c r="D161" s="1857"/>
      <c r="E161" s="1858" t="s">
        <v>2739</v>
      </c>
      <c r="F161" s="1854"/>
      <c r="G161" s="2984"/>
      <c r="H161" s="2984"/>
      <c r="I161" s="2984"/>
      <c r="J161" s="2984"/>
      <c r="K161" s="2981"/>
      <c r="L161" s="1520">
        <f>+L160</f>
        <v>0</v>
      </c>
      <c r="O161" s="1850"/>
      <c r="P161" s="1850"/>
    </row>
    <row r="162" spans="1:16" ht="20.25" hidden="1" thickTop="1" thickBot="1">
      <c r="A162" s="3017"/>
      <c r="B162" s="3022"/>
      <c r="C162" s="1860" t="s">
        <v>2738</v>
      </c>
      <c r="D162" s="1861">
        <v>0.36</v>
      </c>
      <c r="E162" s="1853" t="s">
        <v>2739</v>
      </c>
      <c r="F162" s="1859"/>
      <c r="G162" s="2983"/>
      <c r="H162" s="2983"/>
      <c r="I162" s="2983"/>
      <c r="J162" s="2983"/>
      <c r="K162" s="2991">
        <f>+TRUNC(+SUM(G162:J163),2)</f>
        <v>0</v>
      </c>
      <c r="L162" s="745">
        <f>SUM(G162:K162)</f>
        <v>0</v>
      </c>
      <c r="O162" s="1850"/>
      <c r="P162" s="1850"/>
    </row>
    <row r="163" spans="1:16" ht="51" hidden="1" thickTop="1" thickBot="1">
      <c r="A163" s="3017"/>
      <c r="B163" s="3022"/>
      <c r="C163" s="1856" t="s">
        <v>2820</v>
      </c>
      <c r="D163" s="1857"/>
      <c r="E163" s="1858" t="s">
        <v>2739</v>
      </c>
      <c r="F163" s="1854"/>
      <c r="G163" s="2984"/>
      <c r="H163" s="2984"/>
      <c r="I163" s="2984"/>
      <c r="J163" s="2984"/>
      <c r="K163" s="2981"/>
      <c r="L163" s="1520">
        <f>+L162</f>
        <v>0</v>
      </c>
      <c r="O163" s="1850"/>
      <c r="P163" s="1850"/>
    </row>
    <row r="164" spans="1:16" ht="20.25" hidden="1" thickTop="1" thickBot="1">
      <c r="A164" s="3017"/>
      <c r="B164" s="3022"/>
      <c r="C164" s="1860" t="s">
        <v>2738</v>
      </c>
      <c r="D164" s="1861">
        <v>0.36</v>
      </c>
      <c r="E164" s="1853" t="s">
        <v>2739</v>
      </c>
      <c r="F164" s="1859"/>
      <c r="G164" s="2983"/>
      <c r="H164" s="2983"/>
      <c r="I164" s="2983"/>
      <c r="J164" s="2983"/>
      <c r="K164" s="2991">
        <f>+TRUNC(+SUM(G164:J165),2)</f>
        <v>0</v>
      </c>
      <c r="L164" s="745">
        <f>SUM(G164:K164)</f>
        <v>0</v>
      </c>
      <c r="O164" s="1850"/>
      <c r="P164" s="1850"/>
    </row>
    <row r="165" spans="1:16" ht="51" hidden="1" thickTop="1" thickBot="1">
      <c r="A165" s="3017"/>
      <c r="B165" s="3022"/>
      <c r="C165" s="1856" t="s">
        <v>2821</v>
      </c>
      <c r="D165" s="1857"/>
      <c r="E165" s="1858" t="s">
        <v>2739</v>
      </c>
      <c r="F165" s="1854"/>
      <c r="G165" s="2984"/>
      <c r="H165" s="2984"/>
      <c r="I165" s="2984"/>
      <c r="J165" s="2984"/>
      <c r="K165" s="2981"/>
      <c r="L165" s="1520">
        <f>+L164</f>
        <v>0</v>
      </c>
      <c r="O165" s="1850"/>
      <c r="P165" s="1850"/>
    </row>
    <row r="166" spans="1:16" ht="20.25" hidden="1" thickTop="1" thickBot="1">
      <c r="A166" s="3017"/>
      <c r="B166" s="3022"/>
      <c r="C166" s="1860" t="s">
        <v>2738</v>
      </c>
      <c r="D166" s="1861">
        <v>0.36</v>
      </c>
      <c r="E166" s="1853" t="s">
        <v>2739</v>
      </c>
      <c r="F166" s="1859"/>
      <c r="G166" s="2983"/>
      <c r="H166" s="2983"/>
      <c r="I166" s="2983"/>
      <c r="J166" s="2983"/>
      <c r="K166" s="2991">
        <f>+TRUNC(+SUM(G166:J167),2)</f>
        <v>0</v>
      </c>
      <c r="L166" s="745">
        <f>SUM(G166:K166)</f>
        <v>0</v>
      </c>
      <c r="O166" s="1850"/>
      <c r="P166" s="1850"/>
    </row>
    <row r="167" spans="1:16" ht="51" hidden="1" thickTop="1" thickBot="1">
      <c r="A167" s="3017"/>
      <c r="B167" s="3022"/>
      <c r="C167" s="1856" t="s">
        <v>2822</v>
      </c>
      <c r="D167" s="1857"/>
      <c r="E167" s="1858" t="s">
        <v>2739</v>
      </c>
      <c r="F167" s="1854"/>
      <c r="G167" s="2984"/>
      <c r="H167" s="2984"/>
      <c r="I167" s="2984"/>
      <c r="J167" s="2984"/>
      <c r="K167" s="2981"/>
      <c r="L167" s="1520">
        <f>+L166</f>
        <v>0</v>
      </c>
      <c r="O167" s="1850"/>
      <c r="P167" s="1850"/>
    </row>
    <row r="168" spans="1:16" ht="20.25" hidden="1" thickTop="1" thickBot="1">
      <c r="A168" s="3017"/>
      <c r="B168" s="3022"/>
      <c r="C168" s="1860" t="s">
        <v>2738</v>
      </c>
      <c r="D168" s="1861">
        <v>0.96</v>
      </c>
      <c r="E168" s="1853" t="s">
        <v>2739</v>
      </c>
      <c r="F168" s="1859"/>
      <c r="G168" s="2983"/>
      <c r="H168" s="2983"/>
      <c r="I168" s="2983"/>
      <c r="J168" s="2983"/>
      <c r="K168" s="2991">
        <f>+TRUNC(+SUM(G168:J169),2)</f>
        <v>0</v>
      </c>
      <c r="L168" s="745">
        <f>SUM(G168:K168)</f>
        <v>0</v>
      </c>
      <c r="O168" s="1850"/>
      <c r="P168" s="1850"/>
    </row>
    <row r="169" spans="1:16" ht="51" hidden="1" thickTop="1" thickBot="1">
      <c r="A169" s="3017"/>
      <c r="B169" s="3022"/>
      <c r="C169" s="1856" t="s">
        <v>2823</v>
      </c>
      <c r="D169" s="1857"/>
      <c r="E169" s="1858" t="s">
        <v>2739</v>
      </c>
      <c r="F169" s="1863"/>
      <c r="G169" s="2984"/>
      <c r="H169" s="2984"/>
      <c r="I169" s="2984"/>
      <c r="J169" s="2984"/>
      <c r="K169" s="2981"/>
      <c r="L169" s="1520">
        <f>+L168</f>
        <v>0</v>
      </c>
      <c r="O169" s="1850"/>
      <c r="P169" s="1850"/>
    </row>
    <row r="170" spans="1:16" ht="20.25" hidden="1" thickTop="1" thickBot="1">
      <c r="A170" s="3017"/>
      <c r="B170" s="3022"/>
      <c r="C170" s="1860" t="s">
        <v>2738</v>
      </c>
      <c r="D170" s="1861">
        <v>0.36</v>
      </c>
      <c r="E170" s="1853" t="s">
        <v>2739</v>
      </c>
      <c r="F170" s="1859"/>
      <c r="G170" s="2983"/>
      <c r="H170" s="2983"/>
      <c r="I170" s="2983"/>
      <c r="J170" s="2983"/>
      <c r="K170" s="2991">
        <f>+TRUNC(+SUM(G170:J171),2)</f>
        <v>0</v>
      </c>
      <c r="L170" s="745">
        <f>SUM(G170:K170)</f>
        <v>0</v>
      </c>
      <c r="O170" s="1850"/>
      <c r="P170" s="1850"/>
    </row>
    <row r="171" spans="1:16" ht="51" hidden="1" thickTop="1" thickBot="1">
      <c r="A171" s="3017"/>
      <c r="B171" s="3022"/>
      <c r="C171" s="1856" t="s">
        <v>2824</v>
      </c>
      <c r="D171" s="1857"/>
      <c r="E171" s="1858" t="s">
        <v>2739</v>
      </c>
      <c r="F171" s="1854"/>
      <c r="G171" s="2984"/>
      <c r="H171" s="2984"/>
      <c r="I171" s="2984"/>
      <c r="J171" s="2984"/>
      <c r="K171" s="2981"/>
      <c r="L171" s="1520">
        <f>+L170</f>
        <v>0</v>
      </c>
      <c r="O171" s="1850"/>
      <c r="P171" s="1850"/>
    </row>
    <row r="172" spans="1:16" ht="20.25" hidden="1" thickTop="1" thickBot="1">
      <c r="A172" s="3017"/>
      <c r="B172" s="3022"/>
      <c r="C172" s="1860" t="s">
        <v>2738</v>
      </c>
      <c r="D172" s="1861">
        <v>0.36</v>
      </c>
      <c r="E172" s="1853" t="s">
        <v>2739</v>
      </c>
      <c r="F172" s="1859"/>
      <c r="G172" s="2983"/>
      <c r="H172" s="2983"/>
      <c r="I172" s="2983"/>
      <c r="J172" s="2983"/>
      <c r="K172" s="2991">
        <f>+TRUNC(+SUM(G172:J173),2)</f>
        <v>0</v>
      </c>
      <c r="L172" s="745">
        <f>SUM(G172:K172)</f>
        <v>0</v>
      </c>
      <c r="O172" s="1850"/>
      <c r="P172" s="1850"/>
    </row>
    <row r="173" spans="1:16" ht="51" hidden="1" thickTop="1" thickBot="1">
      <c r="A173" s="3017"/>
      <c r="B173" s="3022"/>
      <c r="C173" s="1856" t="s">
        <v>2825</v>
      </c>
      <c r="D173" s="1857"/>
      <c r="E173" s="1858" t="s">
        <v>2739</v>
      </c>
      <c r="F173" s="1854"/>
      <c r="G173" s="2984"/>
      <c r="H173" s="2984"/>
      <c r="I173" s="2984"/>
      <c r="J173" s="2984"/>
      <c r="K173" s="2981"/>
      <c r="L173" s="1520">
        <f>+L172</f>
        <v>0</v>
      </c>
      <c r="O173" s="1850"/>
      <c r="P173" s="1850"/>
    </row>
    <row r="174" spans="1:16" ht="20.25" hidden="1" thickTop="1" thickBot="1">
      <c r="A174" s="3017"/>
      <c r="B174" s="3022"/>
      <c r="C174" s="1860" t="s">
        <v>2738</v>
      </c>
      <c r="D174" s="1861">
        <v>0.36</v>
      </c>
      <c r="E174" s="1853" t="s">
        <v>2739</v>
      </c>
      <c r="F174" s="1859"/>
      <c r="G174" s="2983"/>
      <c r="H174" s="2983"/>
      <c r="I174" s="2983"/>
      <c r="J174" s="2983"/>
      <c r="K174" s="2991">
        <f>+TRUNC(+SUM(G174:J175),2)</f>
        <v>0</v>
      </c>
      <c r="L174" s="745">
        <f>SUM(G174:K174)</f>
        <v>0</v>
      </c>
      <c r="O174" s="1850"/>
      <c r="P174" s="1850"/>
    </row>
    <row r="175" spans="1:16" ht="51" hidden="1" thickTop="1" thickBot="1">
      <c r="A175" s="3017"/>
      <c r="B175" s="3022"/>
      <c r="C175" s="1856" t="s">
        <v>2826</v>
      </c>
      <c r="D175" s="1857"/>
      <c r="E175" s="1858" t="s">
        <v>2739</v>
      </c>
      <c r="F175" s="1854"/>
      <c r="G175" s="2984"/>
      <c r="H175" s="2984"/>
      <c r="I175" s="2984"/>
      <c r="J175" s="2984"/>
      <c r="K175" s="2981"/>
      <c r="L175" s="1520">
        <f>+L174</f>
        <v>0</v>
      </c>
      <c r="O175" s="1850"/>
      <c r="P175" s="1850"/>
    </row>
    <row r="176" spans="1:16" ht="20.25" hidden="1" thickTop="1" thickBot="1">
      <c r="A176" s="3017"/>
      <c r="B176" s="3022"/>
      <c r="C176" s="1860" t="s">
        <v>2738</v>
      </c>
      <c r="D176" s="1861">
        <v>0.36</v>
      </c>
      <c r="E176" s="1853" t="s">
        <v>2739</v>
      </c>
      <c r="F176" s="1859"/>
      <c r="G176" s="2983"/>
      <c r="H176" s="2983"/>
      <c r="I176" s="2983"/>
      <c r="J176" s="2983"/>
      <c r="K176" s="2991">
        <f>+TRUNC(+SUM(G176:J177),2)</f>
        <v>0</v>
      </c>
      <c r="L176" s="745">
        <f>SUM(G176:K176)</f>
        <v>0</v>
      </c>
      <c r="O176" s="1850"/>
      <c r="P176" s="1850"/>
    </row>
    <row r="177" spans="1:16" ht="51" hidden="1" thickTop="1" thickBot="1">
      <c r="A177" s="3017"/>
      <c r="B177" s="3022"/>
      <c r="C177" s="1856" t="s">
        <v>2827</v>
      </c>
      <c r="D177" s="1857"/>
      <c r="E177" s="1858" t="s">
        <v>2739</v>
      </c>
      <c r="F177" s="1854"/>
      <c r="G177" s="2984"/>
      <c r="H177" s="2984"/>
      <c r="I177" s="2984"/>
      <c r="J177" s="2984"/>
      <c r="K177" s="2981"/>
      <c r="L177" s="1520">
        <f>+L176</f>
        <v>0</v>
      </c>
      <c r="O177" s="1850"/>
      <c r="P177" s="1850"/>
    </row>
    <row r="178" spans="1:16" ht="20.25" hidden="1" thickTop="1" thickBot="1">
      <c r="A178" s="3017"/>
      <c r="B178" s="3022"/>
      <c r="C178" s="1860" t="s">
        <v>2738</v>
      </c>
      <c r="D178" s="1861">
        <v>0.36</v>
      </c>
      <c r="E178" s="1853" t="s">
        <v>2739</v>
      </c>
      <c r="F178" s="1859"/>
      <c r="G178" s="2983"/>
      <c r="H178" s="2983"/>
      <c r="I178" s="2983"/>
      <c r="J178" s="2983"/>
      <c r="K178" s="2991">
        <f>+TRUNC(+SUM(G178:J179),2)</f>
        <v>0</v>
      </c>
      <c r="L178" s="745">
        <f>SUM(G178:K178)</f>
        <v>0</v>
      </c>
      <c r="O178" s="1850"/>
      <c r="P178" s="1850"/>
    </row>
    <row r="179" spans="1:16" ht="51" hidden="1" thickTop="1" thickBot="1">
      <c r="A179" s="3017"/>
      <c r="B179" s="3022"/>
      <c r="C179" s="1856" t="s">
        <v>2828</v>
      </c>
      <c r="D179" s="1857"/>
      <c r="E179" s="1858" t="s">
        <v>2739</v>
      </c>
      <c r="F179" s="1854"/>
      <c r="G179" s="2984"/>
      <c r="H179" s="2984"/>
      <c r="I179" s="2984"/>
      <c r="J179" s="2984"/>
      <c r="K179" s="2981"/>
      <c r="L179" s="1520">
        <f>+L178</f>
        <v>0</v>
      </c>
      <c r="O179" s="1850"/>
      <c r="P179" s="1850"/>
    </row>
    <row r="180" spans="1:16" ht="20.25" hidden="1" thickTop="1" thickBot="1">
      <c r="A180" s="3017"/>
      <c r="B180" s="3022"/>
      <c r="C180" s="1860" t="s">
        <v>2738</v>
      </c>
      <c r="D180" s="1861">
        <v>0.36</v>
      </c>
      <c r="E180" s="1853" t="s">
        <v>2739</v>
      </c>
      <c r="F180" s="1859"/>
      <c r="G180" s="2983"/>
      <c r="H180" s="2983"/>
      <c r="I180" s="2983"/>
      <c r="J180" s="2983"/>
      <c r="K180" s="2991">
        <f>+TRUNC(+SUM(G180:J181),2)</f>
        <v>0</v>
      </c>
      <c r="L180" s="745">
        <f>SUM(G180:K180)</f>
        <v>0</v>
      </c>
      <c r="O180" s="1850"/>
      <c r="P180" s="1850"/>
    </row>
    <row r="181" spans="1:16" ht="51" hidden="1" thickTop="1" thickBot="1">
      <c r="A181" s="3017"/>
      <c r="B181" s="3022"/>
      <c r="C181" s="1856" t="s">
        <v>2829</v>
      </c>
      <c r="D181" s="1857"/>
      <c r="E181" s="1858" t="s">
        <v>2739</v>
      </c>
      <c r="F181" s="1854"/>
      <c r="G181" s="2984"/>
      <c r="H181" s="2984"/>
      <c r="I181" s="2984"/>
      <c r="J181" s="2984"/>
      <c r="K181" s="2981"/>
      <c r="L181" s="1520">
        <f>+L180</f>
        <v>0</v>
      </c>
      <c r="O181" s="1850"/>
      <c r="P181" s="1850"/>
    </row>
    <row r="182" spans="1:16" ht="20.25" hidden="1" thickTop="1" thickBot="1">
      <c r="A182" s="3017"/>
      <c r="B182" s="3022"/>
      <c r="C182" s="1860" t="s">
        <v>2738</v>
      </c>
      <c r="D182" s="1861">
        <v>0.36</v>
      </c>
      <c r="E182" s="1853" t="s">
        <v>2739</v>
      </c>
      <c r="F182" s="1859"/>
      <c r="G182" s="2983"/>
      <c r="H182" s="2983"/>
      <c r="I182" s="2983"/>
      <c r="J182" s="2983"/>
      <c r="K182" s="2991">
        <f>+TRUNC(+SUM(G182:J183),2)</f>
        <v>0</v>
      </c>
      <c r="L182" s="745">
        <f>SUM(G182:K182)</f>
        <v>0</v>
      </c>
      <c r="O182" s="1850"/>
      <c r="P182" s="1850"/>
    </row>
    <row r="183" spans="1:16" ht="51" hidden="1" thickTop="1" thickBot="1">
      <c r="A183" s="3017"/>
      <c r="B183" s="3022"/>
      <c r="C183" s="1856" t="s">
        <v>2830</v>
      </c>
      <c r="D183" s="1857"/>
      <c r="E183" s="1858" t="s">
        <v>2739</v>
      </c>
      <c r="F183" s="1854"/>
      <c r="G183" s="2984"/>
      <c r="H183" s="2984"/>
      <c r="I183" s="2984"/>
      <c r="J183" s="2984"/>
      <c r="K183" s="2981"/>
      <c r="L183" s="1520">
        <f>+L182</f>
        <v>0</v>
      </c>
      <c r="O183" s="1850"/>
      <c r="P183" s="1850"/>
    </row>
    <row r="184" spans="1:16" ht="20.25" hidden="1" thickTop="1" thickBot="1">
      <c r="A184" s="3017"/>
      <c r="B184" s="3022"/>
      <c r="C184" s="1860" t="s">
        <v>2738</v>
      </c>
      <c r="D184" s="1861">
        <v>0.36</v>
      </c>
      <c r="E184" s="1853" t="s">
        <v>2739</v>
      </c>
      <c r="F184" s="1859"/>
      <c r="G184" s="2983"/>
      <c r="H184" s="2983"/>
      <c r="I184" s="2983"/>
      <c r="J184" s="2983"/>
      <c r="K184" s="2991">
        <f>+TRUNC(+SUM(G184:J185),2)</f>
        <v>0</v>
      </c>
      <c r="L184" s="745">
        <f>SUM(G184:K184)</f>
        <v>0</v>
      </c>
      <c r="O184" s="1850"/>
      <c r="P184" s="1850"/>
    </row>
    <row r="185" spans="1:16" ht="51" hidden="1" thickTop="1" thickBot="1">
      <c r="A185" s="3017"/>
      <c r="B185" s="3022"/>
      <c r="C185" s="1856" t="s">
        <v>2831</v>
      </c>
      <c r="D185" s="1857"/>
      <c r="E185" s="1858" t="s">
        <v>2739</v>
      </c>
      <c r="F185" s="1854"/>
      <c r="G185" s="2984"/>
      <c r="H185" s="2984"/>
      <c r="I185" s="2984"/>
      <c r="J185" s="2984"/>
      <c r="K185" s="2981"/>
      <c r="L185" s="1520">
        <f>+L184</f>
        <v>0</v>
      </c>
      <c r="O185" s="1850"/>
      <c r="P185" s="1850"/>
    </row>
    <row r="186" spans="1:16" ht="20.25" hidden="1" thickTop="1" thickBot="1">
      <c r="A186" s="3017"/>
      <c r="B186" s="3022"/>
      <c r="C186" s="1860" t="s">
        <v>2738</v>
      </c>
      <c r="D186" s="1861">
        <v>0.36</v>
      </c>
      <c r="E186" s="1853" t="s">
        <v>2739</v>
      </c>
      <c r="F186" s="1859"/>
      <c r="G186" s="2983"/>
      <c r="H186" s="2983"/>
      <c r="I186" s="2983"/>
      <c r="J186" s="2983"/>
      <c r="K186" s="2991">
        <f>+TRUNC(+SUM(G186:J187),2)</f>
        <v>0</v>
      </c>
      <c r="L186" s="745">
        <f>SUM(G186:K186)</f>
        <v>0</v>
      </c>
      <c r="O186" s="1850"/>
      <c r="P186" s="1850"/>
    </row>
    <row r="187" spans="1:16" ht="51" hidden="1" thickTop="1" thickBot="1">
      <c r="A187" s="3017"/>
      <c r="B187" s="3022"/>
      <c r="C187" s="1856" t="s">
        <v>2832</v>
      </c>
      <c r="D187" s="1857"/>
      <c r="E187" s="1858" t="s">
        <v>2739</v>
      </c>
      <c r="F187" s="1854"/>
      <c r="G187" s="2984"/>
      <c r="H187" s="2984"/>
      <c r="I187" s="2984"/>
      <c r="J187" s="2984"/>
      <c r="K187" s="2981"/>
      <c r="L187" s="1520">
        <f>+L186</f>
        <v>0</v>
      </c>
      <c r="O187" s="1850"/>
      <c r="P187" s="1850"/>
    </row>
    <row r="188" spans="1:16" ht="20.25" hidden="1" thickTop="1" thickBot="1">
      <c r="A188" s="3017"/>
      <c r="B188" s="3022"/>
      <c r="C188" s="1860" t="s">
        <v>2738</v>
      </c>
      <c r="D188" s="1861">
        <v>0.36</v>
      </c>
      <c r="E188" s="1853" t="s">
        <v>2739</v>
      </c>
      <c r="F188" s="1859"/>
      <c r="G188" s="2983"/>
      <c r="H188" s="2983"/>
      <c r="I188" s="2983"/>
      <c r="J188" s="2983"/>
      <c r="K188" s="2991">
        <f>+TRUNC(+SUM(G188:J189),2)</f>
        <v>0</v>
      </c>
      <c r="L188" s="745">
        <f>SUM(G188:K188)</f>
        <v>0</v>
      </c>
      <c r="O188" s="1850"/>
      <c r="P188" s="1850"/>
    </row>
    <row r="189" spans="1:16" ht="51" hidden="1" thickTop="1" thickBot="1">
      <c r="A189" s="3017"/>
      <c r="B189" s="3022"/>
      <c r="C189" s="1856" t="s">
        <v>2833</v>
      </c>
      <c r="D189" s="1857"/>
      <c r="E189" s="1858" t="s">
        <v>2739</v>
      </c>
      <c r="F189" s="1854"/>
      <c r="G189" s="2984"/>
      <c r="H189" s="2984"/>
      <c r="I189" s="2984"/>
      <c r="J189" s="2984"/>
      <c r="K189" s="2981"/>
      <c r="L189" s="1520">
        <f>+L188</f>
        <v>0</v>
      </c>
      <c r="O189" s="1850"/>
      <c r="P189" s="1850"/>
    </row>
    <row r="190" spans="1:16" ht="20.25" hidden="1" thickTop="1" thickBot="1">
      <c r="A190" s="3017"/>
      <c r="B190" s="3022"/>
      <c r="C190" s="1860" t="s">
        <v>2738</v>
      </c>
      <c r="D190" s="1861">
        <v>0.36</v>
      </c>
      <c r="E190" s="1853" t="s">
        <v>2739</v>
      </c>
      <c r="F190" s="1859"/>
      <c r="G190" s="2983"/>
      <c r="H190" s="2983"/>
      <c r="I190" s="2983"/>
      <c r="J190" s="2983"/>
      <c r="K190" s="2991">
        <f>+TRUNC(+SUM(G190:J191),2)</f>
        <v>0</v>
      </c>
      <c r="L190" s="745">
        <f>SUM(G190:K190)</f>
        <v>0</v>
      </c>
      <c r="O190" s="1850"/>
      <c r="P190" s="1850"/>
    </row>
    <row r="191" spans="1:16" ht="51" hidden="1" thickTop="1" thickBot="1">
      <c r="A191" s="3017"/>
      <c r="B191" s="3022"/>
      <c r="C191" s="1856" t="s">
        <v>2834</v>
      </c>
      <c r="D191" s="1857"/>
      <c r="E191" s="1858" t="s">
        <v>2739</v>
      </c>
      <c r="F191" s="1854"/>
      <c r="G191" s="2984"/>
      <c r="H191" s="2984"/>
      <c r="I191" s="2984"/>
      <c r="J191" s="2984"/>
      <c r="K191" s="2981"/>
      <c r="L191" s="1520">
        <f>+L190</f>
        <v>0</v>
      </c>
      <c r="O191" s="1850"/>
      <c r="P191" s="1850"/>
    </row>
    <row r="192" spans="1:16" ht="20.25" hidden="1" thickTop="1" thickBot="1">
      <c r="A192" s="3017"/>
      <c r="B192" s="3022"/>
      <c r="C192" s="1860" t="s">
        <v>2738</v>
      </c>
      <c r="D192" s="1861">
        <v>0.36</v>
      </c>
      <c r="E192" s="1853" t="s">
        <v>2739</v>
      </c>
      <c r="F192" s="1859"/>
      <c r="G192" s="2983"/>
      <c r="H192" s="2983"/>
      <c r="I192" s="2983"/>
      <c r="J192" s="2983"/>
      <c r="K192" s="2991">
        <f>+TRUNC(+SUM(G192:J193),2)</f>
        <v>0</v>
      </c>
      <c r="L192" s="745">
        <f>SUM(G192:K192)</f>
        <v>0</v>
      </c>
      <c r="O192" s="1850"/>
      <c r="P192" s="1850"/>
    </row>
    <row r="193" spans="1:16" ht="51" hidden="1" thickTop="1" thickBot="1">
      <c r="A193" s="3017"/>
      <c r="B193" s="3022"/>
      <c r="C193" s="1856" t="s">
        <v>2835</v>
      </c>
      <c r="D193" s="1857"/>
      <c r="E193" s="1858" t="s">
        <v>2739</v>
      </c>
      <c r="F193" s="1854"/>
      <c r="G193" s="2984"/>
      <c r="H193" s="2984"/>
      <c r="I193" s="2984"/>
      <c r="J193" s="2984"/>
      <c r="K193" s="2981"/>
      <c r="L193" s="1520">
        <f>+L192</f>
        <v>0</v>
      </c>
      <c r="O193" s="1850"/>
      <c r="P193" s="1850"/>
    </row>
    <row r="194" spans="1:16" ht="20.25" hidden="1" thickTop="1" thickBot="1">
      <c r="A194" s="3017"/>
      <c r="B194" s="3022"/>
      <c r="C194" s="1860" t="s">
        <v>2738</v>
      </c>
      <c r="D194" s="1861">
        <v>0.15</v>
      </c>
      <c r="E194" s="1853" t="s">
        <v>2739</v>
      </c>
      <c r="F194" s="1859"/>
      <c r="G194" s="2983"/>
      <c r="H194" s="2983"/>
      <c r="I194" s="2983"/>
      <c r="J194" s="2983"/>
      <c r="K194" s="2991">
        <f>+TRUNC(+SUM(G194:J195),2)</f>
        <v>0</v>
      </c>
      <c r="L194" s="745">
        <f>SUM(G194:K194)</f>
        <v>0</v>
      </c>
      <c r="O194" s="1850"/>
      <c r="P194" s="1850"/>
    </row>
    <row r="195" spans="1:16" ht="51" hidden="1" thickTop="1" thickBot="1">
      <c r="A195" s="3017"/>
      <c r="B195" s="3022"/>
      <c r="C195" s="1856" t="s">
        <v>2836</v>
      </c>
      <c r="D195" s="1857"/>
      <c r="E195" s="1858" t="s">
        <v>2739</v>
      </c>
      <c r="F195" s="1863"/>
      <c r="G195" s="2984"/>
      <c r="H195" s="2984"/>
      <c r="I195" s="2984"/>
      <c r="J195" s="2984"/>
      <c r="K195" s="2981"/>
      <c r="L195" s="1520">
        <f>+L194</f>
        <v>0</v>
      </c>
      <c r="O195" s="1850"/>
      <c r="P195" s="1850"/>
    </row>
    <row r="196" spans="1:16" ht="20.25" hidden="1" thickTop="1" thickBot="1">
      <c r="A196" s="3017"/>
      <c r="B196" s="3022"/>
      <c r="C196" s="1860" t="s">
        <v>2738</v>
      </c>
      <c r="D196" s="1861">
        <v>0.15</v>
      </c>
      <c r="E196" s="1853" t="s">
        <v>2739</v>
      </c>
      <c r="F196" s="1859"/>
      <c r="G196" s="2983"/>
      <c r="H196" s="2983"/>
      <c r="I196" s="2983"/>
      <c r="J196" s="2983"/>
      <c r="K196" s="2991">
        <f>+TRUNC(+SUM(G196:J197),2)</f>
        <v>0</v>
      </c>
      <c r="L196" s="745">
        <f>SUM(G196:K196)</f>
        <v>0</v>
      </c>
      <c r="O196" s="1850"/>
      <c r="P196" s="1850"/>
    </row>
    <row r="197" spans="1:16" ht="51" hidden="1" thickTop="1" thickBot="1">
      <c r="A197" s="3017"/>
      <c r="B197" s="3022"/>
      <c r="C197" s="1856" t="s">
        <v>2837</v>
      </c>
      <c r="D197" s="1857"/>
      <c r="E197" s="1858" t="s">
        <v>2739</v>
      </c>
      <c r="F197" s="1863"/>
      <c r="G197" s="2984"/>
      <c r="H197" s="2984"/>
      <c r="I197" s="2984"/>
      <c r="J197" s="2984"/>
      <c r="K197" s="2981"/>
      <c r="L197" s="1520">
        <f>+L196</f>
        <v>0</v>
      </c>
      <c r="O197" s="1850"/>
      <c r="P197" s="1850"/>
    </row>
    <row r="198" spans="1:16" ht="20.25" hidden="1" thickTop="1" thickBot="1">
      <c r="A198" s="3017"/>
      <c r="B198" s="3022"/>
      <c r="C198" s="1860" t="s">
        <v>2738</v>
      </c>
      <c r="D198" s="1861">
        <v>0.36</v>
      </c>
      <c r="E198" s="1853" t="s">
        <v>2739</v>
      </c>
      <c r="F198" s="1859"/>
      <c r="G198" s="2983"/>
      <c r="H198" s="2983"/>
      <c r="I198" s="2983"/>
      <c r="J198" s="2983"/>
      <c r="K198" s="2991">
        <f>+TRUNC(+SUM(G198:J199),2)</f>
        <v>0</v>
      </c>
      <c r="L198" s="745">
        <f>SUM(G198:K198)</f>
        <v>0</v>
      </c>
      <c r="O198" s="1850"/>
      <c r="P198" s="1850"/>
    </row>
    <row r="199" spans="1:16" ht="51" hidden="1" thickTop="1" thickBot="1">
      <c r="A199" s="3017"/>
      <c r="B199" s="3022"/>
      <c r="C199" s="1856" t="s">
        <v>2838</v>
      </c>
      <c r="D199" s="1857"/>
      <c r="E199" s="1858" t="s">
        <v>2739</v>
      </c>
      <c r="F199" s="1854"/>
      <c r="G199" s="2984"/>
      <c r="H199" s="2984"/>
      <c r="I199" s="2984"/>
      <c r="J199" s="2984"/>
      <c r="K199" s="2981"/>
      <c r="L199" s="1520">
        <f>+L198</f>
        <v>0</v>
      </c>
      <c r="O199" s="1850"/>
      <c r="P199" s="1850"/>
    </row>
    <row r="200" spans="1:16" ht="20.25" hidden="1" thickTop="1" thickBot="1">
      <c r="A200" s="3017"/>
      <c r="B200" s="3022"/>
      <c r="C200" s="1860" t="s">
        <v>2738</v>
      </c>
      <c r="D200" s="1861">
        <v>0.36</v>
      </c>
      <c r="E200" s="1853" t="s">
        <v>2739</v>
      </c>
      <c r="F200" s="1859"/>
      <c r="G200" s="2983"/>
      <c r="H200" s="2983"/>
      <c r="I200" s="2983"/>
      <c r="J200" s="2983"/>
      <c r="K200" s="2991">
        <f>+TRUNC(+SUM(G200:J201),2)</f>
        <v>0</v>
      </c>
      <c r="L200" s="745">
        <f>SUM(G200:K200)</f>
        <v>0</v>
      </c>
      <c r="O200" s="1850"/>
      <c r="P200" s="1850"/>
    </row>
    <row r="201" spans="1:16" ht="51" hidden="1" thickTop="1" thickBot="1">
      <c r="A201" s="3017"/>
      <c r="B201" s="3022"/>
      <c r="C201" s="1856" t="s">
        <v>2839</v>
      </c>
      <c r="D201" s="1857"/>
      <c r="E201" s="1858" t="s">
        <v>2739</v>
      </c>
      <c r="F201" s="1854"/>
      <c r="G201" s="2984"/>
      <c r="H201" s="2984"/>
      <c r="I201" s="2984"/>
      <c r="J201" s="2984"/>
      <c r="K201" s="2981"/>
      <c r="L201" s="1520">
        <f>+L200</f>
        <v>0</v>
      </c>
      <c r="O201" s="1850"/>
      <c r="P201" s="1850"/>
    </row>
    <row r="202" spans="1:16" ht="20.25" hidden="1" thickTop="1" thickBot="1">
      <c r="A202" s="3017"/>
      <c r="B202" s="3022"/>
      <c r="C202" s="1860" t="s">
        <v>2738</v>
      </c>
      <c r="D202" s="1861">
        <v>0.36</v>
      </c>
      <c r="E202" s="1853" t="s">
        <v>2739</v>
      </c>
      <c r="F202" s="1859"/>
      <c r="G202" s="2983"/>
      <c r="H202" s="2983"/>
      <c r="I202" s="2983"/>
      <c r="J202" s="2983"/>
      <c r="K202" s="2991">
        <f>+TRUNC(+SUM(G202:J203),2)</f>
        <v>0</v>
      </c>
      <c r="L202" s="745">
        <f>SUM(G202:K202)</f>
        <v>0</v>
      </c>
      <c r="O202" s="1850"/>
      <c r="P202" s="1850"/>
    </row>
    <row r="203" spans="1:16" ht="51" hidden="1" thickTop="1" thickBot="1">
      <c r="A203" s="3017"/>
      <c r="B203" s="3022"/>
      <c r="C203" s="1856" t="s">
        <v>2840</v>
      </c>
      <c r="D203" s="1857"/>
      <c r="E203" s="1858" t="s">
        <v>2739</v>
      </c>
      <c r="F203" s="1854"/>
      <c r="G203" s="2984"/>
      <c r="H203" s="2984"/>
      <c r="I203" s="2984"/>
      <c r="J203" s="2984"/>
      <c r="K203" s="2981"/>
      <c r="L203" s="1520">
        <f>+L202</f>
        <v>0</v>
      </c>
      <c r="O203" s="1850"/>
      <c r="P203" s="1850"/>
    </row>
    <row r="204" spans="1:16" ht="20.25" hidden="1" thickTop="1" thickBot="1">
      <c r="A204" s="3017"/>
      <c r="B204" s="3022"/>
      <c r="C204" s="1860" t="s">
        <v>2738</v>
      </c>
      <c r="D204" s="1861">
        <v>0.36</v>
      </c>
      <c r="E204" s="1853" t="s">
        <v>2739</v>
      </c>
      <c r="F204" s="1859"/>
      <c r="G204" s="2983"/>
      <c r="H204" s="2983"/>
      <c r="I204" s="2983"/>
      <c r="J204" s="2983"/>
      <c r="K204" s="2991">
        <f>+TRUNC(+SUM(G204:J205),2)</f>
        <v>0</v>
      </c>
      <c r="L204" s="745">
        <f>SUM(G204:K204)</f>
        <v>0</v>
      </c>
      <c r="O204" s="1850"/>
      <c r="P204" s="1850"/>
    </row>
    <row r="205" spans="1:16" ht="51" hidden="1" thickTop="1" thickBot="1">
      <c r="A205" s="3017"/>
      <c r="B205" s="3022"/>
      <c r="C205" s="1856" t="s">
        <v>2841</v>
      </c>
      <c r="D205" s="1857"/>
      <c r="E205" s="1858" t="s">
        <v>2739</v>
      </c>
      <c r="F205" s="1854"/>
      <c r="G205" s="2984"/>
      <c r="H205" s="2984"/>
      <c r="I205" s="2984"/>
      <c r="J205" s="2984"/>
      <c r="K205" s="2981"/>
      <c r="L205" s="1520">
        <f>+L204</f>
        <v>0</v>
      </c>
      <c r="O205" s="1850"/>
      <c r="P205" s="1850"/>
    </row>
    <row r="206" spans="1:16" ht="20.25" hidden="1" thickTop="1" thickBot="1">
      <c r="A206" s="3017"/>
      <c r="B206" s="3022"/>
      <c r="C206" s="1860" t="s">
        <v>2738</v>
      </c>
      <c r="D206" s="1861">
        <v>0.36</v>
      </c>
      <c r="E206" s="1853" t="s">
        <v>2739</v>
      </c>
      <c r="F206" s="1859"/>
      <c r="G206" s="2983"/>
      <c r="H206" s="2983"/>
      <c r="I206" s="2983"/>
      <c r="J206" s="2983"/>
      <c r="K206" s="2991">
        <f>+TRUNC(+SUM(G206:J207),2)</f>
        <v>0</v>
      </c>
      <c r="L206" s="745">
        <f>SUM(G206:K206)</f>
        <v>0</v>
      </c>
      <c r="O206" s="1850"/>
      <c r="P206" s="1850"/>
    </row>
    <row r="207" spans="1:16" ht="51" hidden="1" thickTop="1" thickBot="1">
      <c r="A207" s="3017"/>
      <c r="B207" s="3022"/>
      <c r="C207" s="1856" t="s">
        <v>2842</v>
      </c>
      <c r="D207" s="1857"/>
      <c r="E207" s="1858" t="s">
        <v>2739</v>
      </c>
      <c r="F207" s="1854"/>
      <c r="G207" s="2984"/>
      <c r="H207" s="2984"/>
      <c r="I207" s="2984"/>
      <c r="J207" s="2984"/>
      <c r="K207" s="2981"/>
      <c r="L207" s="1520">
        <f>+L206</f>
        <v>0</v>
      </c>
      <c r="O207" s="1850"/>
      <c r="P207" s="1850"/>
    </row>
    <row r="208" spans="1:16" ht="20.25" hidden="1" thickTop="1" thickBot="1">
      <c r="A208" s="3017"/>
      <c r="B208" s="3022"/>
      <c r="C208" s="1860" t="s">
        <v>2738</v>
      </c>
      <c r="D208" s="1861">
        <v>0.36</v>
      </c>
      <c r="E208" s="1853" t="s">
        <v>2739</v>
      </c>
      <c r="F208" s="1859"/>
      <c r="G208" s="2983"/>
      <c r="H208" s="2983"/>
      <c r="I208" s="2983"/>
      <c r="J208" s="2983"/>
      <c r="K208" s="2991">
        <f>+TRUNC(+SUM(G208:J209),2)</f>
        <v>0</v>
      </c>
      <c r="L208" s="745">
        <f>SUM(G208:K208)</f>
        <v>0</v>
      </c>
      <c r="O208" s="1850"/>
      <c r="P208" s="1850"/>
    </row>
    <row r="209" spans="1:16" ht="51" hidden="1" thickTop="1" thickBot="1">
      <c r="A209" s="3017"/>
      <c r="B209" s="3022"/>
      <c r="C209" s="1856" t="s">
        <v>2843</v>
      </c>
      <c r="D209" s="1857"/>
      <c r="E209" s="1858" t="s">
        <v>2739</v>
      </c>
      <c r="F209" s="1854"/>
      <c r="G209" s="2984"/>
      <c r="H209" s="2984"/>
      <c r="I209" s="2984"/>
      <c r="J209" s="2984"/>
      <c r="K209" s="2981"/>
      <c r="L209" s="1520">
        <f>+L208</f>
        <v>0</v>
      </c>
      <c r="O209" s="1850"/>
      <c r="P209" s="1850"/>
    </row>
    <row r="210" spans="1:16" ht="20.25" hidden="1" thickTop="1" thickBot="1">
      <c r="A210" s="3017"/>
      <c r="B210" s="3022"/>
      <c r="C210" s="1860" t="s">
        <v>2738</v>
      </c>
      <c r="D210" s="1861">
        <v>0.36</v>
      </c>
      <c r="E210" s="1853" t="s">
        <v>2739</v>
      </c>
      <c r="F210" s="1859"/>
      <c r="G210" s="2983"/>
      <c r="H210" s="2983"/>
      <c r="I210" s="2983"/>
      <c r="J210" s="2983"/>
      <c r="K210" s="2991">
        <f>+TRUNC(+SUM(G210:J211),2)</f>
        <v>0</v>
      </c>
      <c r="L210" s="745">
        <f>SUM(G210:K210)</f>
        <v>0</v>
      </c>
      <c r="O210" s="1850"/>
      <c r="P210" s="1850"/>
    </row>
    <row r="211" spans="1:16" ht="51" hidden="1" thickTop="1" thickBot="1">
      <c r="A211" s="3017"/>
      <c r="B211" s="3022"/>
      <c r="C211" s="1856" t="s">
        <v>2844</v>
      </c>
      <c r="D211" s="1857"/>
      <c r="E211" s="1858" t="s">
        <v>2739</v>
      </c>
      <c r="F211" s="1854"/>
      <c r="G211" s="2984"/>
      <c r="H211" s="2984"/>
      <c r="I211" s="2984"/>
      <c r="J211" s="2984"/>
      <c r="K211" s="2981"/>
      <c r="L211" s="1520">
        <f>+L210</f>
        <v>0</v>
      </c>
      <c r="O211" s="1850"/>
      <c r="P211" s="1850"/>
    </row>
    <row r="212" spans="1:16" ht="20.25" hidden="1" thickTop="1" thickBot="1">
      <c r="A212" s="3017"/>
      <c r="B212" s="3022"/>
      <c r="C212" s="1860" t="s">
        <v>2738</v>
      </c>
      <c r="D212" s="1861">
        <v>0.36</v>
      </c>
      <c r="E212" s="1853" t="s">
        <v>2739</v>
      </c>
      <c r="F212" s="1859"/>
      <c r="G212" s="2983"/>
      <c r="H212" s="2983"/>
      <c r="I212" s="2983"/>
      <c r="J212" s="2983"/>
      <c r="K212" s="2991">
        <f>+TRUNC(+SUM(G212:J213),2)</f>
        <v>0</v>
      </c>
      <c r="L212" s="745">
        <f>SUM(G212:K212)</f>
        <v>0</v>
      </c>
      <c r="O212" s="1850"/>
      <c r="P212" s="1850"/>
    </row>
    <row r="213" spans="1:16" ht="51" hidden="1" thickTop="1" thickBot="1">
      <c r="A213" s="3017"/>
      <c r="B213" s="3022"/>
      <c r="C213" s="1856" t="s">
        <v>2845</v>
      </c>
      <c r="D213" s="1857"/>
      <c r="E213" s="1858" t="s">
        <v>2739</v>
      </c>
      <c r="F213" s="1854"/>
      <c r="G213" s="2984"/>
      <c r="H213" s="2984"/>
      <c r="I213" s="2984"/>
      <c r="J213" s="2984"/>
      <c r="K213" s="2981"/>
      <c r="L213" s="1520">
        <f>+L212</f>
        <v>0</v>
      </c>
      <c r="O213" s="1850"/>
      <c r="P213" s="1850"/>
    </row>
    <row r="214" spans="1:16" ht="20.25" hidden="1" thickTop="1" thickBot="1">
      <c r="A214" s="3017"/>
      <c r="B214" s="3022"/>
      <c r="C214" s="1860" t="s">
        <v>2738</v>
      </c>
      <c r="D214" s="1861">
        <v>0.36</v>
      </c>
      <c r="E214" s="1853" t="s">
        <v>2739</v>
      </c>
      <c r="F214" s="1859"/>
      <c r="G214" s="2983"/>
      <c r="H214" s="2983"/>
      <c r="I214" s="2983"/>
      <c r="J214" s="2983"/>
      <c r="K214" s="2991">
        <f>+TRUNC(+SUM(G214:J215),2)</f>
        <v>0</v>
      </c>
      <c r="L214" s="745">
        <f>SUM(G214:K214)</f>
        <v>0</v>
      </c>
      <c r="O214" s="1850"/>
      <c r="P214" s="1850"/>
    </row>
    <row r="215" spans="1:16" ht="51" hidden="1" thickTop="1" thickBot="1">
      <c r="A215" s="3017"/>
      <c r="B215" s="3022"/>
      <c r="C215" s="1856" t="s">
        <v>2846</v>
      </c>
      <c r="D215" s="1857"/>
      <c r="E215" s="1858" t="s">
        <v>2739</v>
      </c>
      <c r="F215" s="1854"/>
      <c r="G215" s="2984"/>
      <c r="H215" s="2984"/>
      <c r="I215" s="2984"/>
      <c r="J215" s="2984"/>
      <c r="K215" s="2981"/>
      <c r="L215" s="1520">
        <f>+L214</f>
        <v>0</v>
      </c>
      <c r="O215" s="1850"/>
      <c r="P215" s="1850"/>
    </row>
    <row r="216" spans="1:16" ht="20.25" hidden="1" thickTop="1" thickBot="1">
      <c r="A216" s="3017"/>
      <c r="B216" s="3022"/>
      <c r="C216" s="1860" t="s">
        <v>2738</v>
      </c>
      <c r="D216" s="1861">
        <v>0.96</v>
      </c>
      <c r="E216" s="1853" t="s">
        <v>2739</v>
      </c>
      <c r="F216" s="1859"/>
      <c r="G216" s="2983"/>
      <c r="H216" s="2983"/>
      <c r="I216" s="2983"/>
      <c r="J216" s="2983"/>
      <c r="K216" s="2991">
        <f>+TRUNC(+SUM(G216:J217),2)</f>
        <v>0</v>
      </c>
      <c r="L216" s="745">
        <f>SUM(G216:K216)</f>
        <v>0</v>
      </c>
      <c r="O216" s="1850"/>
      <c r="P216" s="1850"/>
    </row>
    <row r="217" spans="1:16" ht="51" hidden="1" thickTop="1" thickBot="1">
      <c r="A217" s="3017"/>
      <c r="B217" s="3022"/>
      <c r="C217" s="1856" t="s">
        <v>2847</v>
      </c>
      <c r="D217" s="1857"/>
      <c r="E217" s="1858" t="s">
        <v>2739</v>
      </c>
      <c r="F217" s="1863"/>
      <c r="G217" s="2984"/>
      <c r="H217" s="2984"/>
      <c r="I217" s="2984"/>
      <c r="J217" s="2984"/>
      <c r="K217" s="2981"/>
      <c r="L217" s="1520">
        <f>+L216</f>
        <v>0</v>
      </c>
      <c r="O217" s="1850"/>
      <c r="P217" s="1850"/>
    </row>
    <row r="218" spans="1:16" ht="20.25" hidden="1" thickTop="1" thickBot="1">
      <c r="A218" s="3017"/>
      <c r="B218" s="3022"/>
      <c r="C218" s="1860" t="s">
        <v>2738</v>
      </c>
      <c r="D218" s="1861">
        <v>0.36</v>
      </c>
      <c r="E218" s="1853" t="s">
        <v>2739</v>
      </c>
      <c r="F218" s="1859"/>
      <c r="G218" s="2983"/>
      <c r="H218" s="2983"/>
      <c r="I218" s="2983"/>
      <c r="J218" s="2983"/>
      <c r="K218" s="2991">
        <f>+TRUNC(+SUM(G218:J219),2)</f>
        <v>0</v>
      </c>
      <c r="L218" s="745">
        <f>SUM(G218:K218)</f>
        <v>0</v>
      </c>
      <c r="O218" s="1850"/>
      <c r="P218" s="1850"/>
    </row>
    <row r="219" spans="1:16" ht="51" hidden="1" thickTop="1" thickBot="1">
      <c r="A219" s="3017"/>
      <c r="B219" s="3022"/>
      <c r="C219" s="1856" t="s">
        <v>2848</v>
      </c>
      <c r="D219" s="1857"/>
      <c r="E219" s="1858" t="s">
        <v>2739</v>
      </c>
      <c r="F219" s="1854"/>
      <c r="G219" s="2984"/>
      <c r="H219" s="2984"/>
      <c r="I219" s="2984"/>
      <c r="J219" s="2984"/>
      <c r="K219" s="2981"/>
      <c r="L219" s="1520">
        <f>+L218</f>
        <v>0</v>
      </c>
      <c r="O219" s="1850"/>
      <c r="P219" s="1850"/>
    </row>
    <row r="220" spans="1:16" ht="20.25" hidden="1" thickTop="1" thickBot="1">
      <c r="A220" s="3017"/>
      <c r="B220" s="3022"/>
      <c r="C220" s="1860" t="s">
        <v>2738</v>
      </c>
      <c r="D220" s="1861">
        <v>0.36</v>
      </c>
      <c r="E220" s="1853" t="s">
        <v>2739</v>
      </c>
      <c r="F220" s="1859"/>
      <c r="G220" s="2983"/>
      <c r="H220" s="2983"/>
      <c r="I220" s="2983"/>
      <c r="J220" s="2983"/>
      <c r="K220" s="2991">
        <f>+TRUNC(+SUM(G220:J221),2)</f>
        <v>0</v>
      </c>
      <c r="L220" s="745">
        <f>SUM(G220:K220)</f>
        <v>0</v>
      </c>
      <c r="O220" s="1850"/>
      <c r="P220" s="1850"/>
    </row>
    <row r="221" spans="1:16" ht="51" hidden="1" thickTop="1" thickBot="1">
      <c r="A221" s="3017"/>
      <c r="B221" s="3022"/>
      <c r="C221" s="1856" t="s">
        <v>2849</v>
      </c>
      <c r="D221" s="1857"/>
      <c r="E221" s="1858" t="s">
        <v>2739</v>
      </c>
      <c r="F221" s="1854"/>
      <c r="G221" s="2984"/>
      <c r="H221" s="2984"/>
      <c r="I221" s="2984"/>
      <c r="J221" s="2984"/>
      <c r="K221" s="2981"/>
      <c r="L221" s="1520">
        <f>+L220</f>
        <v>0</v>
      </c>
      <c r="O221" s="1850"/>
      <c r="P221" s="1850"/>
    </row>
    <row r="222" spans="1:16" ht="20.25" hidden="1" thickTop="1" thickBot="1">
      <c r="A222" s="3017"/>
      <c r="B222" s="3022"/>
      <c r="C222" s="1860" t="s">
        <v>2738</v>
      </c>
      <c r="D222" s="1861">
        <v>0.36</v>
      </c>
      <c r="E222" s="1853" t="s">
        <v>2739</v>
      </c>
      <c r="F222" s="1859"/>
      <c r="G222" s="2983"/>
      <c r="H222" s="2983"/>
      <c r="I222" s="2983"/>
      <c r="J222" s="2983"/>
      <c r="K222" s="2991">
        <f>+TRUNC(+SUM(G222:J223),2)</f>
        <v>0</v>
      </c>
      <c r="L222" s="745">
        <f>SUM(G222:K222)</f>
        <v>0</v>
      </c>
      <c r="O222" s="1850"/>
      <c r="P222" s="1850"/>
    </row>
    <row r="223" spans="1:16" ht="51" hidden="1" thickTop="1" thickBot="1">
      <c r="A223" s="3017"/>
      <c r="B223" s="3022"/>
      <c r="C223" s="1856" t="s">
        <v>2850</v>
      </c>
      <c r="D223" s="1857"/>
      <c r="E223" s="1858" t="s">
        <v>2739</v>
      </c>
      <c r="F223" s="1854"/>
      <c r="G223" s="2984"/>
      <c r="H223" s="2984"/>
      <c r="I223" s="2984"/>
      <c r="J223" s="2984"/>
      <c r="K223" s="2981"/>
      <c r="L223" s="1520">
        <f>+L222</f>
        <v>0</v>
      </c>
      <c r="O223" s="1850"/>
      <c r="P223" s="1850"/>
    </row>
    <row r="224" spans="1:16" ht="20.25" hidden="1" thickTop="1" thickBot="1">
      <c r="A224" s="3017"/>
      <c r="B224" s="3022"/>
      <c r="C224" s="1860" t="s">
        <v>2738</v>
      </c>
      <c r="D224" s="1861">
        <v>0.36</v>
      </c>
      <c r="E224" s="1853" t="s">
        <v>2739</v>
      </c>
      <c r="F224" s="1859"/>
      <c r="G224" s="2983"/>
      <c r="H224" s="2983"/>
      <c r="I224" s="2983"/>
      <c r="J224" s="2983"/>
      <c r="K224" s="2991">
        <f>+TRUNC(+SUM(G224:J225),2)</f>
        <v>0</v>
      </c>
      <c r="L224" s="745">
        <f>SUM(G224:K224)</f>
        <v>0</v>
      </c>
      <c r="O224" s="1850"/>
      <c r="P224" s="1850"/>
    </row>
    <row r="225" spans="1:16" ht="51" hidden="1" thickTop="1" thickBot="1">
      <c r="A225" s="3017"/>
      <c r="B225" s="3022"/>
      <c r="C225" s="1856" t="s">
        <v>2851</v>
      </c>
      <c r="D225" s="1857"/>
      <c r="E225" s="1858" t="s">
        <v>2739</v>
      </c>
      <c r="F225" s="1854"/>
      <c r="G225" s="2984"/>
      <c r="H225" s="2984"/>
      <c r="I225" s="2984"/>
      <c r="J225" s="2984"/>
      <c r="K225" s="2981"/>
      <c r="L225" s="1520">
        <f>+L224</f>
        <v>0</v>
      </c>
      <c r="O225" s="1850"/>
      <c r="P225" s="1850"/>
    </row>
    <row r="226" spans="1:16" ht="20.25" hidden="1" thickTop="1" thickBot="1">
      <c r="A226" s="3017"/>
      <c r="B226" s="3022"/>
      <c r="C226" s="1860" t="s">
        <v>2738</v>
      </c>
      <c r="D226" s="1861">
        <v>0.36</v>
      </c>
      <c r="E226" s="1853" t="s">
        <v>2739</v>
      </c>
      <c r="F226" s="1859"/>
      <c r="G226" s="2983"/>
      <c r="H226" s="2983"/>
      <c r="I226" s="2983"/>
      <c r="J226" s="2983"/>
      <c r="K226" s="2991">
        <f>+TRUNC(+SUM(G226:J227),2)</f>
        <v>0</v>
      </c>
      <c r="L226" s="745">
        <f>SUM(G226:K226)</f>
        <v>0</v>
      </c>
      <c r="O226" s="1850"/>
      <c r="P226" s="1850"/>
    </row>
    <row r="227" spans="1:16" ht="51" hidden="1" thickTop="1" thickBot="1">
      <c r="A227" s="3017"/>
      <c r="B227" s="3022"/>
      <c r="C227" s="1856" t="s">
        <v>2852</v>
      </c>
      <c r="D227" s="1857"/>
      <c r="E227" s="1858" t="s">
        <v>2739</v>
      </c>
      <c r="F227" s="1854"/>
      <c r="G227" s="2984"/>
      <c r="H227" s="2984"/>
      <c r="I227" s="2984"/>
      <c r="J227" s="2984"/>
      <c r="K227" s="2981"/>
      <c r="L227" s="1520">
        <f>+L226</f>
        <v>0</v>
      </c>
      <c r="O227" s="1850"/>
      <c r="P227" s="1850"/>
    </row>
    <row r="228" spans="1:16" ht="20.25" hidden="1" thickTop="1" thickBot="1">
      <c r="A228" s="3017"/>
      <c r="B228" s="3022"/>
      <c r="C228" s="1860" t="s">
        <v>2738</v>
      </c>
      <c r="D228" s="1861">
        <v>0.36</v>
      </c>
      <c r="E228" s="1853" t="s">
        <v>2739</v>
      </c>
      <c r="F228" s="1859"/>
      <c r="G228" s="2983"/>
      <c r="H228" s="2983"/>
      <c r="I228" s="2983"/>
      <c r="J228" s="2983"/>
      <c r="K228" s="2991">
        <f>+TRUNC(+SUM(G228:J229),2)</f>
        <v>0</v>
      </c>
      <c r="L228" s="745">
        <f>SUM(G228:K228)</f>
        <v>0</v>
      </c>
      <c r="O228" s="1850"/>
      <c r="P228" s="1850"/>
    </row>
    <row r="229" spans="1:16" ht="51" hidden="1" thickTop="1" thickBot="1">
      <c r="A229" s="3017"/>
      <c r="B229" s="3022"/>
      <c r="C229" s="1856" t="s">
        <v>2853</v>
      </c>
      <c r="D229" s="1857"/>
      <c r="E229" s="1858" t="s">
        <v>2739</v>
      </c>
      <c r="F229" s="1854"/>
      <c r="G229" s="2984"/>
      <c r="H229" s="2984"/>
      <c r="I229" s="2984"/>
      <c r="J229" s="2984"/>
      <c r="K229" s="2981"/>
      <c r="L229" s="1520">
        <f>+L228</f>
        <v>0</v>
      </c>
      <c r="O229" s="1850"/>
      <c r="P229" s="1850"/>
    </row>
    <row r="230" spans="1:16" ht="20.25" hidden="1" thickTop="1" thickBot="1">
      <c r="A230" s="3017"/>
      <c r="B230" s="3022"/>
      <c r="C230" s="1860" t="s">
        <v>2738</v>
      </c>
      <c r="D230" s="1861">
        <v>0.36</v>
      </c>
      <c r="E230" s="1853" t="s">
        <v>2739</v>
      </c>
      <c r="F230" s="1859"/>
      <c r="G230" s="2983"/>
      <c r="H230" s="2983"/>
      <c r="I230" s="2983"/>
      <c r="J230" s="2983"/>
      <c r="K230" s="2991">
        <f>+TRUNC(+SUM(G230:J231),2)</f>
        <v>0</v>
      </c>
      <c r="L230" s="745">
        <f>SUM(G230:K230)</f>
        <v>0</v>
      </c>
      <c r="O230" s="1850"/>
      <c r="P230" s="1850"/>
    </row>
    <row r="231" spans="1:16" ht="51" hidden="1" thickTop="1" thickBot="1">
      <c r="A231" s="3017"/>
      <c r="B231" s="3022"/>
      <c r="C231" s="1856" t="s">
        <v>2854</v>
      </c>
      <c r="D231" s="1857"/>
      <c r="E231" s="1858" t="s">
        <v>2739</v>
      </c>
      <c r="F231" s="1854"/>
      <c r="G231" s="2984"/>
      <c r="H231" s="2984"/>
      <c r="I231" s="2984"/>
      <c r="J231" s="2984"/>
      <c r="K231" s="2981"/>
      <c r="L231" s="1520">
        <f>+L230</f>
        <v>0</v>
      </c>
      <c r="O231" s="1850"/>
      <c r="P231" s="1850"/>
    </row>
    <row r="232" spans="1:16" ht="20.25" hidden="1" thickTop="1" thickBot="1">
      <c r="A232" s="3017"/>
      <c r="B232" s="3022"/>
      <c r="C232" s="1860" t="s">
        <v>2738</v>
      </c>
      <c r="D232" s="1861">
        <v>0.36</v>
      </c>
      <c r="E232" s="1853" t="s">
        <v>2739</v>
      </c>
      <c r="F232" s="1859"/>
      <c r="G232" s="2983"/>
      <c r="H232" s="2983"/>
      <c r="I232" s="2983"/>
      <c r="J232" s="2983"/>
      <c r="K232" s="2991">
        <f>+TRUNC(+SUM(G232:J233),2)</f>
        <v>0</v>
      </c>
      <c r="L232" s="745">
        <f>SUM(G232:K232)</f>
        <v>0</v>
      </c>
      <c r="O232" s="1850"/>
      <c r="P232" s="1850"/>
    </row>
    <row r="233" spans="1:16" ht="51" hidden="1" thickTop="1" thickBot="1">
      <c r="A233" s="3017"/>
      <c r="B233" s="3022"/>
      <c r="C233" s="1856" t="s">
        <v>2855</v>
      </c>
      <c r="D233" s="1857"/>
      <c r="E233" s="1858" t="s">
        <v>2739</v>
      </c>
      <c r="F233" s="1854"/>
      <c r="G233" s="2984"/>
      <c r="H233" s="2984"/>
      <c r="I233" s="2984"/>
      <c r="J233" s="2984"/>
      <c r="K233" s="2981"/>
      <c r="L233" s="1520">
        <f>+L232</f>
        <v>0</v>
      </c>
      <c r="O233" s="1850"/>
      <c r="P233" s="1850"/>
    </row>
    <row r="234" spans="1:16" ht="20.25" hidden="1" thickTop="1" thickBot="1">
      <c r="A234" s="3017"/>
      <c r="B234" s="3022"/>
      <c r="C234" s="1860" t="s">
        <v>2738</v>
      </c>
      <c r="D234" s="1861">
        <v>0.36</v>
      </c>
      <c r="E234" s="1853" t="s">
        <v>2739</v>
      </c>
      <c r="F234" s="1859"/>
      <c r="G234" s="2983"/>
      <c r="H234" s="2983"/>
      <c r="I234" s="2983"/>
      <c r="J234" s="2983"/>
      <c r="K234" s="2991">
        <f>+TRUNC(+SUM(G234:J235),2)</f>
        <v>0</v>
      </c>
      <c r="L234" s="745">
        <f>SUM(G234:K234)</f>
        <v>0</v>
      </c>
      <c r="O234" s="1850"/>
      <c r="P234" s="1850"/>
    </row>
    <row r="235" spans="1:16" ht="51" hidden="1" thickTop="1" thickBot="1">
      <c r="A235" s="3017"/>
      <c r="B235" s="3022"/>
      <c r="C235" s="1856" t="s">
        <v>2856</v>
      </c>
      <c r="D235" s="1857"/>
      <c r="E235" s="1858" t="s">
        <v>2739</v>
      </c>
      <c r="F235" s="1854"/>
      <c r="G235" s="2984"/>
      <c r="H235" s="2984"/>
      <c r="I235" s="2984"/>
      <c r="J235" s="2984"/>
      <c r="K235" s="2981"/>
      <c r="L235" s="1520">
        <f>+L234</f>
        <v>0</v>
      </c>
      <c r="O235" s="1850"/>
      <c r="P235" s="1850"/>
    </row>
    <row r="236" spans="1:16" ht="20.25" hidden="1" thickTop="1" thickBot="1">
      <c r="A236" s="3017"/>
      <c r="B236" s="3022"/>
      <c r="C236" s="1860" t="s">
        <v>2738</v>
      </c>
      <c r="D236" s="1861">
        <v>0.28399999999999997</v>
      </c>
      <c r="E236" s="1853" t="s">
        <v>2739</v>
      </c>
      <c r="F236" s="1859"/>
      <c r="G236" s="2983"/>
      <c r="H236" s="2983"/>
      <c r="I236" s="2983"/>
      <c r="J236" s="2983"/>
      <c r="K236" s="2991">
        <f>+TRUNC(+SUM(G236:J237),2)</f>
        <v>0</v>
      </c>
      <c r="L236" s="745">
        <f>SUM(G236:K236)</f>
        <v>0</v>
      </c>
      <c r="O236" s="1850"/>
      <c r="P236" s="1850"/>
    </row>
    <row r="237" spans="1:16" ht="51" hidden="1" thickTop="1" thickBot="1">
      <c r="A237" s="3017"/>
      <c r="B237" s="3022"/>
      <c r="C237" s="1856" t="s">
        <v>2857</v>
      </c>
      <c r="D237" s="1857"/>
      <c r="E237" s="1858" t="s">
        <v>2739</v>
      </c>
      <c r="F237" s="1863"/>
      <c r="G237" s="2984"/>
      <c r="H237" s="2984"/>
      <c r="I237" s="2984"/>
      <c r="J237" s="2984"/>
      <c r="K237" s="2981"/>
      <c r="L237" s="1520">
        <f>+L236</f>
        <v>0</v>
      </c>
      <c r="O237" s="1850"/>
      <c r="P237" s="1850"/>
    </row>
    <row r="238" spans="1:16" ht="20.25" hidden="1" thickTop="1" thickBot="1">
      <c r="A238" s="3017"/>
      <c r="B238" s="3022"/>
      <c r="C238" s="1860" t="s">
        <v>2738</v>
      </c>
      <c r="D238" s="1861">
        <v>0.36</v>
      </c>
      <c r="E238" s="1853" t="s">
        <v>2739</v>
      </c>
      <c r="F238" s="1859"/>
      <c r="G238" s="2983"/>
      <c r="H238" s="2983"/>
      <c r="I238" s="2983"/>
      <c r="J238" s="2983"/>
      <c r="K238" s="2991">
        <f>+TRUNC(+SUM(G238:J239),2)</f>
        <v>0</v>
      </c>
      <c r="L238" s="745">
        <f>SUM(G238:K238)</f>
        <v>0</v>
      </c>
      <c r="O238" s="1850"/>
      <c r="P238" s="1850"/>
    </row>
    <row r="239" spans="1:16" ht="51" hidden="1" thickTop="1" thickBot="1">
      <c r="A239" s="3017"/>
      <c r="B239" s="3022"/>
      <c r="C239" s="1856" t="s">
        <v>2858</v>
      </c>
      <c r="D239" s="1857"/>
      <c r="E239" s="1858" t="s">
        <v>2739</v>
      </c>
      <c r="F239" s="1854"/>
      <c r="G239" s="2984"/>
      <c r="H239" s="2984"/>
      <c r="I239" s="2984"/>
      <c r="J239" s="2984"/>
      <c r="K239" s="2981"/>
      <c r="L239" s="1520">
        <f>+L238</f>
        <v>0</v>
      </c>
      <c r="O239" s="1850"/>
      <c r="P239" s="1850"/>
    </row>
    <row r="240" spans="1:16" ht="20.25" hidden="1" thickTop="1" thickBot="1">
      <c r="A240" s="3017"/>
      <c r="B240" s="3022"/>
      <c r="C240" s="1860" t="s">
        <v>2738</v>
      </c>
      <c r="D240" s="1861">
        <v>0.36</v>
      </c>
      <c r="E240" s="1853" t="s">
        <v>2739</v>
      </c>
      <c r="F240" s="1859"/>
      <c r="G240" s="2983"/>
      <c r="H240" s="2983"/>
      <c r="I240" s="2983"/>
      <c r="J240" s="2983"/>
      <c r="K240" s="2991">
        <f>+TRUNC(+SUM(G240:J241),2)</f>
        <v>0</v>
      </c>
      <c r="L240" s="745">
        <f>SUM(G240:K240)</f>
        <v>0</v>
      </c>
      <c r="O240" s="1850"/>
      <c r="P240" s="1850"/>
    </row>
    <row r="241" spans="1:16" ht="51" hidden="1" thickTop="1" thickBot="1">
      <c r="A241" s="3017"/>
      <c r="B241" s="3022"/>
      <c r="C241" s="1856" t="s">
        <v>2859</v>
      </c>
      <c r="D241" s="1857"/>
      <c r="E241" s="1858" t="s">
        <v>2739</v>
      </c>
      <c r="F241" s="1854"/>
      <c r="G241" s="2984"/>
      <c r="H241" s="2984"/>
      <c r="I241" s="2984"/>
      <c r="J241" s="2984"/>
      <c r="K241" s="2981"/>
      <c r="L241" s="1520">
        <f>+L240</f>
        <v>0</v>
      </c>
      <c r="O241" s="1850"/>
      <c r="P241" s="1850"/>
    </row>
    <row r="242" spans="1:16" ht="20.25" hidden="1" thickTop="1" thickBot="1">
      <c r="A242" s="3017"/>
      <c r="B242" s="3022"/>
      <c r="C242" s="1860" t="s">
        <v>2738</v>
      </c>
      <c r="D242" s="1861">
        <v>0.36</v>
      </c>
      <c r="E242" s="1853" t="s">
        <v>2739</v>
      </c>
      <c r="F242" s="1859"/>
      <c r="G242" s="2983"/>
      <c r="H242" s="2983"/>
      <c r="I242" s="2983"/>
      <c r="J242" s="2983"/>
      <c r="K242" s="2991">
        <f>+TRUNC(+SUM(G242:J243),2)</f>
        <v>0</v>
      </c>
      <c r="L242" s="745">
        <f>SUM(G242:K242)</f>
        <v>0</v>
      </c>
      <c r="O242" s="1850"/>
      <c r="P242" s="1850"/>
    </row>
    <row r="243" spans="1:16" ht="51" hidden="1" thickTop="1" thickBot="1">
      <c r="A243" s="3017"/>
      <c r="B243" s="3022"/>
      <c r="C243" s="1856" t="s">
        <v>2860</v>
      </c>
      <c r="D243" s="1857"/>
      <c r="E243" s="1858" t="s">
        <v>2739</v>
      </c>
      <c r="F243" s="1854"/>
      <c r="G243" s="2984"/>
      <c r="H243" s="2984"/>
      <c r="I243" s="2984"/>
      <c r="J243" s="2984"/>
      <c r="K243" s="2981"/>
      <c r="L243" s="1520">
        <f>+L242</f>
        <v>0</v>
      </c>
      <c r="O243" s="1850"/>
      <c r="P243" s="1850"/>
    </row>
    <row r="244" spans="1:16" ht="20.25" hidden="1" thickTop="1" thickBot="1">
      <c r="A244" s="3017"/>
      <c r="B244" s="3022"/>
      <c r="C244" s="1860" t="s">
        <v>2738</v>
      </c>
      <c r="D244" s="1861">
        <v>0.36</v>
      </c>
      <c r="E244" s="1853" t="s">
        <v>2739</v>
      </c>
      <c r="F244" s="1859"/>
      <c r="G244" s="2983"/>
      <c r="H244" s="2983"/>
      <c r="I244" s="2983"/>
      <c r="J244" s="2983"/>
      <c r="K244" s="2991">
        <f>+TRUNC(+SUM(G244:J245),2)</f>
        <v>0</v>
      </c>
      <c r="L244" s="745">
        <f>SUM(G244:K244)</f>
        <v>0</v>
      </c>
      <c r="O244" s="1850"/>
      <c r="P244" s="1850"/>
    </row>
    <row r="245" spans="1:16" ht="51" hidden="1" thickTop="1" thickBot="1">
      <c r="A245" s="3017"/>
      <c r="B245" s="3022"/>
      <c r="C245" s="1856" t="s">
        <v>2861</v>
      </c>
      <c r="D245" s="1857"/>
      <c r="E245" s="1858" t="s">
        <v>2739</v>
      </c>
      <c r="F245" s="1854"/>
      <c r="G245" s="2984"/>
      <c r="H245" s="2984"/>
      <c r="I245" s="2984"/>
      <c r="J245" s="2984"/>
      <c r="K245" s="2981"/>
      <c r="L245" s="1520">
        <f>+L244</f>
        <v>0</v>
      </c>
      <c r="O245" s="1850"/>
      <c r="P245" s="1850"/>
    </row>
    <row r="246" spans="1:16" ht="20.25" hidden="1" thickTop="1" thickBot="1">
      <c r="A246" s="3017"/>
      <c r="B246" s="3022"/>
      <c r="C246" s="1860" t="s">
        <v>2738</v>
      </c>
      <c r="D246" s="1861">
        <v>0.36</v>
      </c>
      <c r="E246" s="1853" t="s">
        <v>2739</v>
      </c>
      <c r="F246" s="1859"/>
      <c r="G246" s="2983"/>
      <c r="H246" s="2983"/>
      <c r="I246" s="2983"/>
      <c r="J246" s="2983"/>
      <c r="K246" s="2991">
        <f>+TRUNC(+SUM(G246:J247),2)</f>
        <v>0</v>
      </c>
      <c r="L246" s="745">
        <f>SUM(G246:K246)</f>
        <v>0</v>
      </c>
      <c r="O246" s="1850"/>
      <c r="P246" s="1850"/>
    </row>
    <row r="247" spans="1:16" ht="51" hidden="1" thickTop="1" thickBot="1">
      <c r="A247" s="3017"/>
      <c r="B247" s="3022"/>
      <c r="C247" s="1856" t="s">
        <v>2862</v>
      </c>
      <c r="D247" s="1857"/>
      <c r="E247" s="1858" t="s">
        <v>2739</v>
      </c>
      <c r="F247" s="1854"/>
      <c r="G247" s="2984"/>
      <c r="H247" s="2984"/>
      <c r="I247" s="2984"/>
      <c r="J247" s="2984"/>
      <c r="K247" s="2981"/>
      <c r="L247" s="1520">
        <f>+L246</f>
        <v>0</v>
      </c>
      <c r="O247" s="1850"/>
      <c r="P247" s="1850"/>
    </row>
    <row r="248" spans="1:16" ht="20.25" hidden="1" thickTop="1" thickBot="1">
      <c r="A248" s="3017"/>
      <c r="B248" s="3021"/>
      <c r="C248" s="1860" t="s">
        <v>2738</v>
      </c>
      <c r="D248" s="1861">
        <v>0.36</v>
      </c>
      <c r="E248" s="1853" t="s">
        <v>2739</v>
      </c>
      <c r="F248" s="1859"/>
      <c r="G248" s="2983"/>
      <c r="H248" s="2983"/>
      <c r="I248" s="2983"/>
      <c r="J248" s="2983"/>
      <c r="K248" s="2991">
        <f>+TRUNC(+SUM(G248:J249),2)</f>
        <v>0</v>
      </c>
      <c r="L248" s="745">
        <f>SUM(G248:K248)</f>
        <v>0</v>
      </c>
      <c r="O248" s="1850"/>
      <c r="P248" s="1850"/>
    </row>
    <row r="249" spans="1:16" ht="51" hidden="1" thickTop="1" thickBot="1">
      <c r="A249" s="3017"/>
      <c r="B249" s="3021"/>
      <c r="C249" s="1856" t="s">
        <v>2863</v>
      </c>
      <c r="D249" s="1857"/>
      <c r="E249" s="1858" t="s">
        <v>2739</v>
      </c>
      <c r="F249" s="1854"/>
      <c r="G249" s="2984"/>
      <c r="H249" s="2984"/>
      <c r="I249" s="2984"/>
      <c r="J249" s="2984"/>
      <c r="K249" s="2981"/>
      <c r="L249" s="1520">
        <f>+L248</f>
        <v>0</v>
      </c>
      <c r="O249" s="1850"/>
      <c r="P249" s="1850"/>
    </row>
    <row r="250" spans="1:16" ht="20.25" hidden="1" thickTop="1" thickBot="1">
      <c r="A250" s="3017"/>
      <c r="B250" s="3022"/>
      <c r="C250" s="1860" t="s">
        <v>2738</v>
      </c>
      <c r="D250" s="1861">
        <v>0.36</v>
      </c>
      <c r="E250" s="1853" t="s">
        <v>2739</v>
      </c>
      <c r="F250" s="1859"/>
      <c r="G250" s="2983"/>
      <c r="H250" s="2983"/>
      <c r="I250" s="2983"/>
      <c r="J250" s="2983"/>
      <c r="K250" s="2991">
        <f>+TRUNC(+SUM(G250:J251),2)</f>
        <v>0</v>
      </c>
      <c r="L250" s="745">
        <f>SUM(G250:K250)</f>
        <v>0</v>
      </c>
      <c r="O250" s="1850"/>
      <c r="P250" s="1850"/>
    </row>
    <row r="251" spans="1:16" ht="51" hidden="1" thickTop="1" thickBot="1">
      <c r="A251" s="3017"/>
      <c r="B251" s="3022"/>
      <c r="C251" s="1856" t="s">
        <v>2864</v>
      </c>
      <c r="D251" s="1857"/>
      <c r="E251" s="1858" t="s">
        <v>2739</v>
      </c>
      <c r="F251" s="1854"/>
      <c r="G251" s="2984"/>
      <c r="H251" s="2984"/>
      <c r="I251" s="2984"/>
      <c r="J251" s="2984"/>
      <c r="K251" s="2981"/>
      <c r="L251" s="1520">
        <f>+L250</f>
        <v>0</v>
      </c>
      <c r="O251" s="1850"/>
      <c r="P251" s="1850"/>
    </row>
    <row r="252" spans="1:16" ht="20.25" hidden="1" thickTop="1" thickBot="1">
      <c r="A252" s="3017"/>
      <c r="B252" s="3022"/>
      <c r="C252" s="1860" t="s">
        <v>2738</v>
      </c>
      <c r="D252" s="1861">
        <v>0.36</v>
      </c>
      <c r="E252" s="1853" t="s">
        <v>2739</v>
      </c>
      <c r="F252" s="1859"/>
      <c r="G252" s="2983"/>
      <c r="H252" s="2983"/>
      <c r="I252" s="2983"/>
      <c r="J252" s="2983"/>
      <c r="K252" s="2991">
        <f>+TRUNC(+SUM(G252:J253),2)</f>
        <v>0</v>
      </c>
      <c r="L252" s="745">
        <f>SUM(G252:K252)</f>
        <v>0</v>
      </c>
      <c r="O252" s="1850"/>
      <c r="P252" s="1850"/>
    </row>
    <row r="253" spans="1:16" ht="51" hidden="1" thickTop="1" thickBot="1">
      <c r="A253" s="3017"/>
      <c r="B253" s="3022"/>
      <c r="C253" s="1856" t="s">
        <v>2865</v>
      </c>
      <c r="D253" s="1857"/>
      <c r="E253" s="1858" t="s">
        <v>2739</v>
      </c>
      <c r="F253" s="1854"/>
      <c r="G253" s="2984"/>
      <c r="H253" s="2984"/>
      <c r="I253" s="2984"/>
      <c r="J253" s="2984"/>
      <c r="K253" s="2981"/>
      <c r="L253" s="1520">
        <f>+L252</f>
        <v>0</v>
      </c>
      <c r="O253" s="1850"/>
      <c r="P253" s="1850"/>
    </row>
    <row r="254" spans="1:16" ht="20.25" hidden="1" thickTop="1" thickBot="1">
      <c r="A254" s="3017"/>
      <c r="B254" s="3022"/>
      <c r="C254" s="1860" t="s">
        <v>2738</v>
      </c>
      <c r="D254" s="1861">
        <v>0.36</v>
      </c>
      <c r="E254" s="1853" t="s">
        <v>2739</v>
      </c>
      <c r="F254" s="1859"/>
      <c r="G254" s="2983"/>
      <c r="H254" s="2983"/>
      <c r="I254" s="2983"/>
      <c r="J254" s="2983"/>
      <c r="K254" s="2991">
        <f>+TRUNC(+SUM(G254:J255),2)</f>
        <v>0</v>
      </c>
      <c r="L254" s="745">
        <f>SUM(G254:K254)</f>
        <v>0</v>
      </c>
      <c r="O254" s="1850"/>
      <c r="P254" s="1850"/>
    </row>
    <row r="255" spans="1:16" ht="51" hidden="1" thickTop="1" thickBot="1">
      <c r="A255" s="3017"/>
      <c r="B255" s="3022"/>
      <c r="C255" s="1856" t="s">
        <v>2866</v>
      </c>
      <c r="D255" s="1857"/>
      <c r="E255" s="1858" t="s">
        <v>2739</v>
      </c>
      <c r="F255" s="1854"/>
      <c r="G255" s="2984"/>
      <c r="H255" s="2984"/>
      <c r="I255" s="2984"/>
      <c r="J255" s="2984"/>
      <c r="K255" s="2981"/>
      <c r="L255" s="1520">
        <f>+L254</f>
        <v>0</v>
      </c>
      <c r="O255" s="1850"/>
      <c r="P255" s="1850"/>
    </row>
    <row r="256" spans="1:16" ht="20.25" hidden="1" thickTop="1" thickBot="1">
      <c r="A256" s="3017"/>
      <c r="B256" s="3022"/>
      <c r="C256" s="1860" t="s">
        <v>2738</v>
      </c>
      <c r="D256" s="1861">
        <v>0.15</v>
      </c>
      <c r="E256" s="1853" t="s">
        <v>2739</v>
      </c>
      <c r="F256" s="1859"/>
      <c r="G256" s="2983"/>
      <c r="H256" s="2983"/>
      <c r="I256" s="2983"/>
      <c r="J256" s="2983"/>
      <c r="K256" s="2991">
        <f>+TRUNC(+SUM(G256:J257),2)</f>
        <v>0</v>
      </c>
      <c r="L256" s="745">
        <f>SUM(G256:K256)</f>
        <v>0</v>
      </c>
      <c r="O256" s="1850"/>
      <c r="P256" s="1850"/>
    </row>
    <row r="257" spans="1:16" ht="51" hidden="1" thickTop="1" thickBot="1">
      <c r="A257" s="3017"/>
      <c r="B257" s="3022"/>
      <c r="C257" s="1856" t="s">
        <v>2867</v>
      </c>
      <c r="D257" s="1857"/>
      <c r="E257" s="1858" t="s">
        <v>2739</v>
      </c>
      <c r="F257" s="1863"/>
      <c r="G257" s="2984"/>
      <c r="H257" s="2984"/>
      <c r="I257" s="2984"/>
      <c r="J257" s="2984"/>
      <c r="K257" s="2981"/>
      <c r="L257" s="1520">
        <f>+L256</f>
        <v>0</v>
      </c>
      <c r="O257" s="1850"/>
      <c r="P257" s="1850"/>
    </row>
    <row r="258" spans="1:16" ht="20.25" hidden="1" thickTop="1" thickBot="1">
      <c r="A258" s="3017"/>
      <c r="B258" s="3022"/>
      <c r="C258" s="1860" t="s">
        <v>2738</v>
      </c>
      <c r="D258" s="1861">
        <v>0.3</v>
      </c>
      <c r="E258" s="1853" t="s">
        <v>2739</v>
      </c>
      <c r="F258" s="1859"/>
      <c r="G258" s="2983"/>
      <c r="H258" s="2983"/>
      <c r="I258" s="2983"/>
      <c r="J258" s="2983"/>
      <c r="K258" s="2991">
        <f>+TRUNC(+SUM(G258:J259),2)</f>
        <v>0</v>
      </c>
      <c r="L258" s="745">
        <f>SUM(G258:K258)</f>
        <v>0</v>
      </c>
      <c r="O258" s="1850"/>
      <c r="P258" s="1850"/>
    </row>
    <row r="259" spans="1:16" ht="51" hidden="1" thickTop="1" thickBot="1">
      <c r="A259" s="3017"/>
      <c r="B259" s="3022"/>
      <c r="C259" s="1856" t="s">
        <v>2868</v>
      </c>
      <c r="D259" s="1857"/>
      <c r="E259" s="1858" t="s">
        <v>2739</v>
      </c>
      <c r="F259" s="1863"/>
      <c r="G259" s="2984"/>
      <c r="H259" s="2984"/>
      <c r="I259" s="2984"/>
      <c r="J259" s="2984"/>
      <c r="K259" s="2981"/>
      <c r="L259" s="1520">
        <f>+L258</f>
        <v>0</v>
      </c>
      <c r="O259" s="1850"/>
      <c r="P259" s="1850"/>
    </row>
    <row r="260" spans="1:16" ht="20.25" hidden="1" thickTop="1" thickBot="1">
      <c r="A260" s="3017"/>
      <c r="B260" s="3022"/>
      <c r="C260" s="1860" t="s">
        <v>2738</v>
      </c>
      <c r="D260" s="1861">
        <v>0.12</v>
      </c>
      <c r="E260" s="1853" t="s">
        <v>2739</v>
      </c>
      <c r="F260" s="1859"/>
      <c r="G260" s="2983"/>
      <c r="H260" s="2983"/>
      <c r="I260" s="2983"/>
      <c r="J260" s="2983"/>
      <c r="K260" s="2991">
        <f>+TRUNC(+SUM(G260:J261),2)</f>
        <v>0</v>
      </c>
      <c r="L260" s="745">
        <f>SUM(G260:K260)</f>
        <v>0</v>
      </c>
      <c r="N260" s="1850"/>
      <c r="O260" s="1850"/>
      <c r="P260" s="1850"/>
    </row>
    <row r="261" spans="1:16" ht="51" hidden="1" thickTop="1" thickBot="1">
      <c r="A261" s="3017"/>
      <c r="B261" s="3022"/>
      <c r="C261" s="1862" t="s">
        <v>2869</v>
      </c>
      <c r="D261" s="1857"/>
      <c r="E261" s="1858" t="s">
        <v>2739</v>
      </c>
      <c r="F261" s="1863"/>
      <c r="G261" s="2984"/>
      <c r="H261" s="2984"/>
      <c r="I261" s="2984"/>
      <c r="J261" s="2984"/>
      <c r="K261" s="2981"/>
      <c r="L261" s="1520">
        <f>+L260</f>
        <v>0</v>
      </c>
      <c r="N261" s="1850"/>
      <c r="O261" s="1850"/>
      <c r="P261" s="1850"/>
    </row>
    <row r="262" spans="1:16" ht="20.25" hidden="1" thickTop="1" thickBot="1">
      <c r="A262" s="3017"/>
      <c r="B262" s="3022"/>
      <c r="C262" s="1860" t="s">
        <v>2738</v>
      </c>
      <c r="D262" s="1861">
        <v>0.12</v>
      </c>
      <c r="E262" s="1853" t="s">
        <v>2739</v>
      </c>
      <c r="F262" s="1859"/>
      <c r="G262" s="2983"/>
      <c r="H262" s="2983"/>
      <c r="I262" s="2983"/>
      <c r="J262" s="2983"/>
      <c r="K262" s="2991">
        <f>+TRUNC(+SUM(G262:J263),2)</f>
        <v>0</v>
      </c>
      <c r="L262" s="745">
        <f>SUM(G262:K262)</f>
        <v>0</v>
      </c>
      <c r="N262" s="1850"/>
      <c r="O262" s="1850"/>
      <c r="P262" s="1850"/>
    </row>
    <row r="263" spans="1:16" ht="51" hidden="1" thickTop="1" thickBot="1">
      <c r="A263" s="3017"/>
      <c r="B263" s="3022"/>
      <c r="C263" s="1862" t="s">
        <v>2870</v>
      </c>
      <c r="D263" s="1857"/>
      <c r="E263" s="1858" t="s">
        <v>2739</v>
      </c>
      <c r="F263" s="1863"/>
      <c r="G263" s="2984"/>
      <c r="H263" s="2984"/>
      <c r="I263" s="2984"/>
      <c r="J263" s="2984"/>
      <c r="K263" s="2981"/>
      <c r="L263" s="1520">
        <f>+L262</f>
        <v>0</v>
      </c>
      <c r="N263" s="1850"/>
      <c r="O263" s="1850"/>
      <c r="P263" s="1850"/>
    </row>
    <row r="264" spans="1:16" ht="20.25" hidden="1" thickTop="1" thickBot="1">
      <c r="A264" s="3017"/>
      <c r="B264" s="3022"/>
      <c r="C264" s="1860" t="s">
        <v>2738</v>
      </c>
      <c r="D264" s="1861">
        <v>0.96</v>
      </c>
      <c r="E264" s="1853" t="s">
        <v>2739</v>
      </c>
      <c r="F264" s="1859"/>
      <c r="G264" s="2983"/>
      <c r="H264" s="2983"/>
      <c r="I264" s="2983"/>
      <c r="J264" s="2983"/>
      <c r="K264" s="2991">
        <f>+TRUNC(+SUM(G264:J265),2)</f>
        <v>0</v>
      </c>
      <c r="L264" s="745">
        <f>SUM(G264:K264)</f>
        <v>0</v>
      </c>
      <c r="N264" s="1850"/>
      <c r="O264" s="1850"/>
      <c r="P264" s="1850"/>
    </row>
    <row r="265" spans="1:16" ht="51" hidden="1" thickTop="1" thickBot="1">
      <c r="A265" s="3017"/>
      <c r="B265" s="3022"/>
      <c r="C265" s="1862" t="s">
        <v>2871</v>
      </c>
      <c r="D265" s="1857"/>
      <c r="E265" s="1858" t="s">
        <v>2739</v>
      </c>
      <c r="F265" s="1863"/>
      <c r="G265" s="2984"/>
      <c r="H265" s="2984"/>
      <c r="I265" s="2984"/>
      <c r="J265" s="2984"/>
      <c r="K265" s="2981"/>
      <c r="L265" s="1520">
        <f>+L264</f>
        <v>0</v>
      </c>
      <c r="N265" s="1850"/>
      <c r="O265" s="1850"/>
      <c r="P265" s="1850"/>
    </row>
    <row r="266" spans="1:16" ht="20.25" hidden="1" thickTop="1" thickBot="1">
      <c r="A266" s="3017"/>
      <c r="B266" s="3022"/>
      <c r="C266" s="1860" t="s">
        <v>2738</v>
      </c>
      <c r="D266" s="1861">
        <v>0.375</v>
      </c>
      <c r="E266" s="1853" t="s">
        <v>2739</v>
      </c>
      <c r="F266" s="1859"/>
      <c r="G266" s="2983"/>
      <c r="H266" s="2983"/>
      <c r="I266" s="2983"/>
      <c r="J266" s="2983"/>
      <c r="K266" s="2991">
        <f>+TRUNC(+SUM(G266:J267),2)</f>
        <v>0</v>
      </c>
      <c r="L266" s="745">
        <f>SUM(G266:K266)</f>
        <v>0</v>
      </c>
      <c r="N266" s="1850"/>
      <c r="O266" s="1850"/>
      <c r="P266" s="1850"/>
    </row>
    <row r="267" spans="1:16" ht="51" hidden="1" thickTop="1" thickBot="1">
      <c r="A267" s="3017"/>
      <c r="B267" s="3022"/>
      <c r="C267" s="1862" t="s">
        <v>2872</v>
      </c>
      <c r="D267" s="1857"/>
      <c r="E267" s="1858" t="s">
        <v>2739</v>
      </c>
      <c r="F267" s="1863"/>
      <c r="G267" s="2984"/>
      <c r="H267" s="2984"/>
      <c r="I267" s="2984"/>
      <c r="J267" s="2984"/>
      <c r="K267" s="2981"/>
      <c r="L267" s="1520">
        <f>+L266</f>
        <v>0</v>
      </c>
      <c r="N267" s="1850"/>
      <c r="O267" s="1850"/>
      <c r="P267" s="1850"/>
    </row>
    <row r="268" spans="1:16" ht="20.25" hidden="1" thickTop="1" thickBot="1">
      <c r="A268" s="3017"/>
      <c r="B268" s="3022"/>
      <c r="C268" s="1860" t="s">
        <v>2738</v>
      </c>
      <c r="D268" s="1861">
        <v>2</v>
      </c>
      <c r="E268" s="1853" t="s">
        <v>2739</v>
      </c>
      <c r="F268" s="1859"/>
      <c r="G268" s="2983"/>
      <c r="H268" s="2983"/>
      <c r="I268" s="2983"/>
      <c r="J268" s="2983"/>
      <c r="K268" s="2991">
        <f>+TRUNC(+SUM(G268:J269),2)</f>
        <v>0</v>
      </c>
      <c r="L268" s="745">
        <f>SUM(G268:K268)</f>
        <v>0</v>
      </c>
      <c r="N268" s="1850"/>
      <c r="O268" s="1850"/>
      <c r="P268" s="1850"/>
    </row>
    <row r="269" spans="1:16" ht="51" hidden="1" thickTop="1" thickBot="1">
      <c r="A269" s="3017"/>
      <c r="B269" s="3022"/>
      <c r="C269" s="1862" t="s">
        <v>2873</v>
      </c>
      <c r="D269" s="1857"/>
      <c r="E269" s="1858" t="s">
        <v>2739</v>
      </c>
      <c r="F269" s="1863"/>
      <c r="G269" s="2984"/>
      <c r="H269" s="2984"/>
      <c r="I269" s="2984"/>
      <c r="J269" s="2984"/>
      <c r="K269" s="2981"/>
      <c r="L269" s="1520">
        <f>+L268</f>
        <v>0</v>
      </c>
      <c r="N269" s="1850"/>
      <c r="O269" s="1850"/>
      <c r="P269" s="1850"/>
    </row>
    <row r="270" spans="1:16" ht="20.25" hidden="1" thickTop="1" thickBot="1">
      <c r="A270" s="3017"/>
      <c r="B270" s="3022"/>
      <c r="C270" s="1860" t="s">
        <v>2738</v>
      </c>
      <c r="D270" s="1861">
        <v>0.375</v>
      </c>
      <c r="E270" s="1853" t="s">
        <v>2739</v>
      </c>
      <c r="F270" s="1859"/>
      <c r="G270" s="2983"/>
      <c r="H270" s="2983"/>
      <c r="I270" s="2983"/>
      <c r="J270" s="2983"/>
      <c r="K270" s="2991">
        <f>+TRUNC(+SUM(G270:J271),2)</f>
        <v>0</v>
      </c>
      <c r="L270" s="745">
        <f>SUM(G270:K270)</f>
        <v>0</v>
      </c>
      <c r="N270" s="1850"/>
      <c r="O270" s="1850"/>
      <c r="P270" s="1850"/>
    </row>
    <row r="271" spans="1:16" ht="51" hidden="1" thickTop="1" thickBot="1">
      <c r="A271" s="3017"/>
      <c r="B271" s="3022"/>
      <c r="C271" s="1862" t="s">
        <v>2874</v>
      </c>
      <c r="D271" s="1857"/>
      <c r="E271" s="1858" t="s">
        <v>2739</v>
      </c>
      <c r="F271" s="1863"/>
      <c r="G271" s="2984"/>
      <c r="H271" s="2984"/>
      <c r="I271" s="2984"/>
      <c r="J271" s="2984"/>
      <c r="K271" s="2981"/>
      <c r="L271" s="1520">
        <f>+L270</f>
        <v>0</v>
      </c>
      <c r="N271" s="1850"/>
      <c r="O271" s="1850"/>
      <c r="P271" s="1850"/>
    </row>
    <row r="272" spans="1:16" ht="20.25" hidden="1" thickTop="1" thickBot="1">
      <c r="A272" s="3017"/>
      <c r="B272" s="3022"/>
      <c r="C272" s="1860" t="s">
        <v>2738</v>
      </c>
      <c r="D272" s="1861">
        <v>0.375</v>
      </c>
      <c r="E272" s="1853" t="s">
        <v>2739</v>
      </c>
      <c r="F272" s="1859"/>
      <c r="G272" s="2983"/>
      <c r="H272" s="2983"/>
      <c r="I272" s="2983"/>
      <c r="J272" s="2983"/>
      <c r="K272" s="2991">
        <f>+TRUNC(+SUM(G272:J273),2)</f>
        <v>0</v>
      </c>
      <c r="L272" s="745">
        <f>SUM(G272:K272)</f>
        <v>0</v>
      </c>
      <c r="N272" s="1850"/>
      <c r="O272" s="1850"/>
      <c r="P272" s="1850"/>
    </row>
    <row r="273" spans="1:16" ht="51" hidden="1" thickTop="1" thickBot="1">
      <c r="A273" s="3017"/>
      <c r="B273" s="3022"/>
      <c r="C273" s="1862" t="s">
        <v>2875</v>
      </c>
      <c r="D273" s="1857"/>
      <c r="E273" s="1858" t="s">
        <v>2739</v>
      </c>
      <c r="F273" s="1863"/>
      <c r="G273" s="2984"/>
      <c r="H273" s="2984"/>
      <c r="I273" s="2984"/>
      <c r="J273" s="2984"/>
      <c r="K273" s="2981"/>
      <c r="L273" s="1520">
        <f>+L272</f>
        <v>0</v>
      </c>
      <c r="N273" s="1850"/>
      <c r="O273" s="1850"/>
      <c r="P273" s="1850"/>
    </row>
    <row r="274" spans="1:16" ht="20.25" hidden="1" thickTop="1" thickBot="1">
      <c r="A274" s="3017"/>
      <c r="B274" s="3022"/>
      <c r="C274" s="1860" t="s">
        <v>2738</v>
      </c>
      <c r="D274" s="1861">
        <v>0.375</v>
      </c>
      <c r="E274" s="1853" t="s">
        <v>2739</v>
      </c>
      <c r="F274" s="1859"/>
      <c r="G274" s="2983"/>
      <c r="H274" s="2983"/>
      <c r="I274" s="2983"/>
      <c r="J274" s="2983"/>
      <c r="K274" s="2991">
        <f>+TRUNC(+SUM(G274:J275),2)</f>
        <v>0</v>
      </c>
      <c r="L274" s="745">
        <f>SUM(G274:K274)</f>
        <v>0</v>
      </c>
      <c r="N274" s="1850"/>
      <c r="O274" s="1850"/>
      <c r="P274" s="1850"/>
    </row>
    <row r="275" spans="1:16" ht="51" hidden="1" thickTop="1" thickBot="1">
      <c r="A275" s="3017"/>
      <c r="B275" s="3022"/>
      <c r="C275" s="1862" t="s">
        <v>2876</v>
      </c>
      <c r="D275" s="1857"/>
      <c r="E275" s="1858" t="s">
        <v>2739</v>
      </c>
      <c r="F275" s="1863"/>
      <c r="G275" s="2984"/>
      <c r="H275" s="2984"/>
      <c r="I275" s="2984"/>
      <c r="J275" s="2984"/>
      <c r="K275" s="2981"/>
      <c r="L275" s="1520">
        <f>+L274</f>
        <v>0</v>
      </c>
      <c r="N275" s="1850"/>
      <c r="O275" s="1850"/>
      <c r="P275" s="1850"/>
    </row>
    <row r="276" spans="1:16" ht="20.25" hidden="1" thickTop="1" thickBot="1">
      <c r="A276" s="3017"/>
      <c r="B276" s="3022"/>
      <c r="C276" s="1860" t="s">
        <v>2738</v>
      </c>
      <c r="D276" s="1861">
        <v>0.375</v>
      </c>
      <c r="E276" s="1853" t="s">
        <v>2739</v>
      </c>
      <c r="F276" s="1859"/>
      <c r="G276" s="2983"/>
      <c r="H276" s="2983"/>
      <c r="I276" s="2983"/>
      <c r="J276" s="2983"/>
      <c r="K276" s="2991">
        <f>+TRUNC(+SUM(G276:J277),2)</f>
        <v>0</v>
      </c>
      <c r="L276" s="745">
        <f>SUM(G276:K276)</f>
        <v>0</v>
      </c>
      <c r="N276" s="1850"/>
      <c r="O276" s="1850"/>
      <c r="P276" s="1850"/>
    </row>
    <row r="277" spans="1:16" ht="51" hidden="1" thickTop="1" thickBot="1">
      <c r="A277" s="3017"/>
      <c r="B277" s="3022"/>
      <c r="C277" s="1862" t="s">
        <v>2877</v>
      </c>
      <c r="D277" s="1857"/>
      <c r="E277" s="1858" t="s">
        <v>2739</v>
      </c>
      <c r="F277" s="1863"/>
      <c r="G277" s="2984"/>
      <c r="H277" s="2984"/>
      <c r="I277" s="2984"/>
      <c r="J277" s="2984"/>
      <c r="K277" s="2981"/>
      <c r="L277" s="1520">
        <f>+L276</f>
        <v>0</v>
      </c>
      <c r="N277" s="1850"/>
      <c r="O277" s="1850"/>
      <c r="P277" s="1850"/>
    </row>
    <row r="278" spans="1:16" ht="27" hidden="1" thickTop="1" thickBot="1">
      <c r="A278" s="3017"/>
      <c r="B278" s="3021"/>
      <c r="C278" s="3004" t="s">
        <v>2878</v>
      </c>
      <c r="D278" s="3005"/>
      <c r="E278" s="1864" t="s">
        <v>2739</v>
      </c>
      <c r="F278" s="1865"/>
      <c r="G278" s="1866">
        <f>SUM(G2:G277)</f>
        <v>0</v>
      </c>
      <c r="H278" s="1866">
        <f>SUM(H2:H277)</f>
        <v>0</v>
      </c>
      <c r="I278" s="1866">
        <f>SUM(I2:I277)</f>
        <v>0</v>
      </c>
      <c r="J278" s="1866"/>
      <c r="K278" s="1867">
        <f>+TRUNC(+SUM(G278:J278),2)</f>
        <v>0</v>
      </c>
      <c r="L278" s="745">
        <f>SUM(G278:K278)</f>
        <v>0</v>
      </c>
      <c r="N278" s="1850"/>
      <c r="O278" s="1850"/>
    </row>
    <row r="279" spans="1:16" ht="27" hidden="1" thickTop="1" thickBot="1">
      <c r="A279" s="3017"/>
      <c r="B279" s="3021"/>
      <c r="C279" s="3004" t="s">
        <v>2879</v>
      </c>
      <c r="D279" s="3005"/>
      <c r="E279" s="1864" t="s">
        <v>2739</v>
      </c>
      <c r="F279" s="1865"/>
      <c r="G279" s="1866">
        <f>SUM(G2:G277)</f>
        <v>0</v>
      </c>
      <c r="H279" s="1866">
        <f>SUM(H2:H277)</f>
        <v>0</v>
      </c>
      <c r="I279" s="1866">
        <f>SUM(I2:I277)</f>
        <v>0</v>
      </c>
      <c r="J279" s="1866"/>
      <c r="K279" s="1868">
        <f>+TRUNC(+SUM(G279:J279),2)</f>
        <v>0</v>
      </c>
      <c r="L279" s="745">
        <f>SUM(G279:K279)</f>
        <v>0</v>
      </c>
      <c r="N279" s="1850"/>
      <c r="O279" s="1850"/>
    </row>
    <row r="280" spans="1:16" ht="27" hidden="1" thickTop="1" thickBot="1">
      <c r="A280" s="3017"/>
      <c r="B280" s="3023"/>
      <c r="C280" s="3006" t="s">
        <v>2880</v>
      </c>
      <c r="D280" s="3007"/>
      <c r="E280" s="1864" t="s">
        <v>2739</v>
      </c>
      <c r="F280" s="1869" t="s">
        <v>2881</v>
      </c>
      <c r="G280" s="1870" cm="1">
        <f t="array" ref="G280">SUMPRODUCT(($D2:$D277)*(G2:G277))</f>
        <v>0</v>
      </c>
      <c r="H280" s="1870" cm="1">
        <f t="array" ref="H280">SUMPRODUCT(($D2:$D277)*(H2:H277))</f>
        <v>0</v>
      </c>
      <c r="I280" s="1870" cm="1">
        <f t="array" ref="I280">SUMPRODUCT(($D2:$D277)*(I2:I277))</f>
        <v>0</v>
      </c>
      <c r="J280" s="1870"/>
      <c r="K280" s="1871">
        <f>+TRUNC(+SUM(G280:J280),2)</f>
        <v>0</v>
      </c>
      <c r="L280" s="745">
        <f>SUM(G280:K280)</f>
        <v>0</v>
      </c>
      <c r="N280" s="1850"/>
      <c r="O280" s="1850"/>
    </row>
    <row r="281" spans="1:16" ht="27" hidden="1" thickTop="1" thickBot="1">
      <c r="A281" s="3017"/>
      <c r="B281" s="3008" t="s">
        <v>2882</v>
      </c>
      <c r="C281" s="3011" t="s">
        <v>2883</v>
      </c>
      <c r="D281" s="3012"/>
      <c r="E281" s="1864" t="s">
        <v>2739</v>
      </c>
      <c r="F281" s="1872"/>
      <c r="G281" s="1873" t="s">
        <v>2884</v>
      </c>
      <c r="H281" s="1873" t="s">
        <v>2884</v>
      </c>
      <c r="I281" s="1873" t="s">
        <v>2884</v>
      </c>
      <c r="J281" s="1873"/>
      <c r="K281" s="1874"/>
      <c r="L281" s="1875">
        <f>SUM(L282:L284)</f>
        <v>0</v>
      </c>
      <c r="N281" s="1850"/>
      <c r="O281" s="1850"/>
    </row>
    <row r="282" spans="1:16" ht="51" hidden="1" thickTop="1" thickBot="1">
      <c r="A282" s="3017"/>
      <c r="B282" s="3009"/>
      <c r="C282" s="1876">
        <v>2.4</v>
      </c>
      <c r="D282" s="1877" t="s">
        <v>2885</v>
      </c>
      <c r="E282" s="1858" t="s">
        <v>2739</v>
      </c>
      <c r="F282" s="1865"/>
      <c r="G282" s="1878"/>
      <c r="H282" s="1878"/>
      <c r="I282" s="1878"/>
      <c r="J282" s="1878"/>
      <c r="K282" s="1868">
        <f>+TRUNC(+SUM(G282:J282),2)</f>
        <v>0</v>
      </c>
      <c r="L282" s="745">
        <f>SUM(G282:K282)</f>
        <v>0</v>
      </c>
      <c r="N282" s="1850"/>
      <c r="O282" s="1850"/>
    </row>
    <row r="283" spans="1:16" ht="51" hidden="1" thickTop="1" thickBot="1">
      <c r="A283" s="3017"/>
      <c r="B283" s="3009"/>
      <c r="C283" s="1876">
        <v>2</v>
      </c>
      <c r="D283" s="1877" t="s">
        <v>2886</v>
      </c>
      <c r="E283" s="1858" t="s">
        <v>2739</v>
      </c>
      <c r="F283" s="1865"/>
      <c r="G283" s="1878"/>
      <c r="H283" s="1878"/>
      <c r="I283" s="1878"/>
      <c r="J283" s="1878"/>
      <c r="K283" s="1868">
        <f>+TRUNC(+SUM(G283:J283),2)</f>
        <v>0</v>
      </c>
      <c r="L283" s="745">
        <f>SUM(G283:K283)</f>
        <v>0</v>
      </c>
      <c r="N283" s="1850"/>
      <c r="O283" s="1850"/>
    </row>
    <row r="284" spans="1:16" ht="51" hidden="1" thickTop="1" thickBot="1">
      <c r="A284" s="3017"/>
      <c r="B284" s="3009"/>
      <c r="C284" s="1876">
        <v>3</v>
      </c>
      <c r="D284" s="1877" t="s">
        <v>2887</v>
      </c>
      <c r="E284" s="1858" t="s">
        <v>2739</v>
      </c>
      <c r="F284" s="1865"/>
      <c r="G284" s="1879"/>
      <c r="H284" s="1879"/>
      <c r="I284" s="1879"/>
      <c r="J284" s="1879"/>
      <c r="K284" s="1868">
        <f>+TRUNC(+SUM(G284:J284),2)</f>
        <v>0</v>
      </c>
      <c r="L284" s="745">
        <f>SUM(G284:K284)</f>
        <v>0</v>
      </c>
      <c r="N284" s="1850"/>
      <c r="O284" s="1850"/>
    </row>
    <row r="285" spans="1:16" ht="27" hidden="1" thickTop="1" thickBot="1">
      <c r="A285" s="3017"/>
      <c r="B285" s="3009"/>
      <c r="C285" s="3013" t="s">
        <v>2888</v>
      </c>
      <c r="D285" s="3005"/>
      <c r="E285" s="1864" t="s">
        <v>2739</v>
      </c>
      <c r="F285" s="1865"/>
      <c r="G285" s="1866" t="s">
        <v>2884</v>
      </c>
      <c r="H285" s="1866" t="s">
        <v>2884</v>
      </c>
      <c r="I285" s="1866" t="s">
        <v>2884</v>
      </c>
      <c r="J285" s="1866"/>
      <c r="K285" s="1880"/>
      <c r="L285" s="1875">
        <f>SUM(L286:L288)</f>
        <v>0</v>
      </c>
      <c r="N285" s="1850"/>
      <c r="O285" s="1850"/>
    </row>
    <row r="286" spans="1:16" ht="51" hidden="1" thickTop="1" thickBot="1">
      <c r="A286" s="3017"/>
      <c r="B286" s="3009"/>
      <c r="C286" s="1876">
        <v>2.4</v>
      </c>
      <c r="D286" s="1877" t="s">
        <v>2885</v>
      </c>
      <c r="E286" s="1858" t="s">
        <v>2739</v>
      </c>
      <c r="F286" s="1865"/>
      <c r="G286" s="1881"/>
      <c r="H286" s="1881"/>
      <c r="I286" s="1881"/>
      <c r="J286" s="1881"/>
      <c r="K286" s="1868">
        <f>+TRUNC(+SUM(G286:J286),2)</f>
        <v>0</v>
      </c>
      <c r="L286" s="745">
        <f t="shared" ref="L286:L296" si="0">SUM(G286:K286)</f>
        <v>0</v>
      </c>
      <c r="N286" s="1850"/>
      <c r="O286" s="1850"/>
    </row>
    <row r="287" spans="1:16" ht="51" hidden="1" thickTop="1" thickBot="1">
      <c r="A287" s="3017"/>
      <c r="B287" s="3009"/>
      <c r="C287" s="1876">
        <v>2</v>
      </c>
      <c r="D287" s="1877" t="s">
        <v>2886</v>
      </c>
      <c r="E287" s="1858" t="s">
        <v>2739</v>
      </c>
      <c r="F287" s="1865"/>
      <c r="G287" s="1866"/>
      <c r="H287" s="1866"/>
      <c r="I287" s="1866"/>
      <c r="J287" s="1866"/>
      <c r="K287" s="1868">
        <f>+TRUNC(+SUM(G287:J287),2)</f>
        <v>0</v>
      </c>
      <c r="L287" s="745">
        <f t="shared" si="0"/>
        <v>0</v>
      </c>
      <c r="N287" s="1850"/>
      <c r="O287" s="1850"/>
    </row>
    <row r="288" spans="1:16" ht="51" hidden="1" thickTop="1" thickBot="1">
      <c r="A288" s="3017"/>
      <c r="B288" s="3009"/>
      <c r="C288" s="1876">
        <v>3</v>
      </c>
      <c r="D288" s="1877" t="s">
        <v>2887</v>
      </c>
      <c r="E288" s="1858" t="s">
        <v>2739</v>
      </c>
      <c r="F288" s="1865"/>
      <c r="G288" s="1866"/>
      <c r="H288" s="1866"/>
      <c r="I288" s="1866"/>
      <c r="J288" s="1866"/>
      <c r="K288" s="1868">
        <f>+TRUNC(+SUM(G288:J288),2)</f>
        <v>0</v>
      </c>
      <c r="L288" s="745">
        <f t="shared" si="0"/>
        <v>0</v>
      </c>
      <c r="N288" s="1850"/>
      <c r="O288" s="1850"/>
    </row>
    <row r="289" spans="1:15" ht="27" hidden="1" thickTop="1" thickBot="1">
      <c r="A289" s="3017"/>
      <c r="B289" s="3009"/>
      <c r="C289" s="3013" t="s">
        <v>2879</v>
      </c>
      <c r="D289" s="3005"/>
      <c r="E289" s="1864" t="s">
        <v>2739</v>
      </c>
      <c r="F289" s="1865"/>
      <c r="G289" s="1866">
        <f>SUM(G282:G284)*2</f>
        <v>0</v>
      </c>
      <c r="H289" s="1866">
        <f>SUM(H282:H284)*2</f>
        <v>0</v>
      </c>
      <c r="I289" s="1866">
        <f>SUM(I282:I284)*2</f>
        <v>0</v>
      </c>
      <c r="J289" s="1866"/>
      <c r="K289" s="1868">
        <f>+TRUNC(+SUM(G289:J289),2)</f>
        <v>0</v>
      </c>
      <c r="L289" s="745">
        <f t="shared" si="0"/>
        <v>0</v>
      </c>
      <c r="N289" s="1850"/>
      <c r="O289" s="1850"/>
    </row>
    <row r="290" spans="1:15" ht="27" hidden="1" thickTop="1" thickBot="1">
      <c r="A290" s="3017"/>
      <c r="B290" s="3010"/>
      <c r="C290" s="2969" t="s">
        <v>2889</v>
      </c>
      <c r="D290" s="2970"/>
      <c r="E290" s="1864" t="s">
        <v>2739</v>
      </c>
      <c r="F290" s="1872"/>
      <c r="G290" s="1870" cm="1">
        <f t="array" ref="G290">SUMPRODUCT(($C282:$C284)*(G282:G284))+SUMPRODUCT(($C286:$C288)*(G286:G288))</f>
        <v>0</v>
      </c>
      <c r="H290" s="1870" cm="1">
        <f t="array" ref="H290">SUMPRODUCT(($C282:$C284)*(H282:H284))+SUMPRODUCT(($C286:$C288)*(H286:H288))</f>
        <v>0</v>
      </c>
      <c r="I290" s="1870" cm="1">
        <f t="array" ref="I290">SUMPRODUCT(($C282:$C284)*(I282:I284))+SUMPRODUCT(($C286:$C288)*(I286:I288))</f>
        <v>0</v>
      </c>
      <c r="J290" s="1870"/>
      <c r="K290" s="1871">
        <f>+TRUNC(+SUM(G290:J290),2)</f>
        <v>0</v>
      </c>
      <c r="L290" s="745">
        <f t="shared" si="0"/>
        <v>0</v>
      </c>
      <c r="N290" s="1850"/>
      <c r="O290" s="1850"/>
    </row>
    <row r="291" spans="1:15" ht="27" hidden="1" thickTop="1" thickBot="1">
      <c r="A291" s="3017"/>
      <c r="B291" s="2993" t="s">
        <v>2890</v>
      </c>
      <c r="C291" s="2994"/>
      <c r="D291" s="2995"/>
      <c r="E291" s="1864" t="s">
        <v>2739</v>
      </c>
      <c r="F291" s="1882"/>
      <c r="G291" s="1883">
        <f>G289+G278</f>
        <v>0</v>
      </c>
      <c r="H291" s="1883">
        <f>H289+H278</f>
        <v>0</v>
      </c>
      <c r="I291" s="1883">
        <f>I289+I278</f>
        <v>0</v>
      </c>
      <c r="J291" s="1883"/>
      <c r="K291" s="1884">
        <f>SUM(G291:J291)</f>
        <v>0</v>
      </c>
      <c r="L291" s="745">
        <f t="shared" si="0"/>
        <v>0</v>
      </c>
      <c r="N291" s="1850"/>
      <c r="O291" s="1850"/>
    </row>
    <row r="292" spans="1:15" ht="27" hidden="1" thickTop="1" thickBot="1">
      <c r="A292" s="3017"/>
      <c r="B292" s="2996" t="s">
        <v>2891</v>
      </c>
      <c r="C292" s="2997"/>
      <c r="D292" s="2998"/>
      <c r="E292" s="1864" t="s">
        <v>2739</v>
      </c>
      <c r="F292" s="1882"/>
      <c r="G292" s="1885">
        <f>SUM(G286:G288)</f>
        <v>0</v>
      </c>
      <c r="H292" s="1885">
        <f>SUM(H286:H288)</f>
        <v>0</v>
      </c>
      <c r="I292" s="1885">
        <f>SUM(I286:I288)</f>
        <v>0</v>
      </c>
      <c r="J292" s="1885"/>
      <c r="K292" s="1884">
        <f>SUM(G292:J292)</f>
        <v>0</v>
      </c>
      <c r="L292" s="745">
        <f t="shared" si="0"/>
        <v>0</v>
      </c>
      <c r="N292" s="1850"/>
      <c r="O292" s="1850"/>
    </row>
    <row r="293" spans="1:15" ht="27" hidden="1" thickTop="1" thickBot="1">
      <c r="A293" s="3017"/>
      <c r="B293" s="2999" t="s">
        <v>2892</v>
      </c>
      <c r="C293" s="3000"/>
      <c r="D293" s="3001"/>
      <c r="E293" s="1864" t="s">
        <v>2739</v>
      </c>
      <c r="F293" s="1859"/>
      <c r="G293" s="1886">
        <f>+G292</f>
        <v>0</v>
      </c>
      <c r="H293" s="1886">
        <f>+H292</f>
        <v>0</v>
      </c>
      <c r="I293" s="1886">
        <f>+I292</f>
        <v>0</v>
      </c>
      <c r="J293" s="1886"/>
      <c r="K293" s="1887">
        <f>SUM(G293:J293)</f>
        <v>0</v>
      </c>
      <c r="L293" s="745">
        <f t="shared" si="0"/>
        <v>0</v>
      </c>
      <c r="N293" s="1850"/>
      <c r="O293" s="1850"/>
    </row>
    <row r="294" spans="1:15" ht="25.5" hidden="1" customHeight="1">
      <c r="A294" s="3017"/>
      <c r="B294" s="2948" t="s">
        <v>2893</v>
      </c>
      <c r="C294" s="2994" t="s">
        <v>2894</v>
      </c>
      <c r="D294" s="2995"/>
      <c r="E294" s="1888" t="s">
        <v>2739</v>
      </c>
      <c r="F294" s="1889"/>
      <c r="G294" s="1883"/>
      <c r="H294" s="1883"/>
      <c r="I294" s="1883"/>
      <c r="J294" s="1883"/>
      <c r="K294" s="1890">
        <f>SUM(G294:J294)</f>
        <v>0</v>
      </c>
      <c r="L294" s="745">
        <f t="shared" si="0"/>
        <v>0</v>
      </c>
      <c r="N294" s="1850"/>
      <c r="O294" s="1850"/>
    </row>
    <row r="295" spans="1:15" ht="27" hidden="1" thickTop="1" thickBot="1">
      <c r="A295" s="3017"/>
      <c r="B295" s="2950"/>
      <c r="C295" s="3002" t="s">
        <v>2895</v>
      </c>
      <c r="D295" s="3003"/>
      <c r="E295" s="1891"/>
      <c r="F295" s="1892"/>
      <c r="G295" s="1886">
        <f>G294/2</f>
        <v>0</v>
      </c>
      <c r="H295" s="1886">
        <f>H294/2</f>
        <v>0</v>
      </c>
      <c r="I295" s="1886">
        <f>I294/2</f>
        <v>0</v>
      </c>
      <c r="J295" s="1886"/>
      <c r="K295" s="1893">
        <f>SUM(G295:J295)</f>
        <v>0</v>
      </c>
      <c r="L295" s="745">
        <f t="shared" si="0"/>
        <v>0</v>
      </c>
      <c r="N295" s="1850"/>
      <c r="O295" s="1850"/>
    </row>
    <row r="296" spans="1:15" ht="20.25" hidden="1" thickTop="1" thickBot="1">
      <c r="A296" s="3017"/>
      <c r="B296" s="2976" t="s">
        <v>2896</v>
      </c>
      <c r="C296" s="1894" t="s">
        <v>2897</v>
      </c>
      <c r="D296" s="1895">
        <v>0.1</v>
      </c>
      <c r="E296" s="1853" t="s">
        <v>2739</v>
      </c>
      <c r="F296" s="1896"/>
      <c r="G296" s="2973"/>
      <c r="H296" s="2973"/>
      <c r="I296" s="2973"/>
      <c r="J296" s="2973"/>
      <c r="K296" s="2989">
        <f>+TRUNC((+SUM(G296:J297)),2)</f>
        <v>0</v>
      </c>
      <c r="L296" s="745">
        <f t="shared" si="0"/>
        <v>0</v>
      </c>
      <c r="N296" s="1850"/>
      <c r="O296" s="1850"/>
    </row>
    <row r="297" spans="1:15" ht="51" hidden="1" thickTop="1" thickBot="1">
      <c r="A297" s="3017"/>
      <c r="B297" s="2977"/>
      <c r="C297" s="1897" t="s">
        <v>2898</v>
      </c>
      <c r="D297" s="1898"/>
      <c r="E297" s="1858" t="s">
        <v>2739</v>
      </c>
      <c r="F297" s="1865"/>
      <c r="G297" s="2974"/>
      <c r="H297" s="2974"/>
      <c r="I297" s="2974"/>
      <c r="J297" s="2974"/>
      <c r="K297" s="2981"/>
      <c r="L297" s="1520">
        <f>+L296</f>
        <v>0</v>
      </c>
    </row>
    <row r="298" spans="1:15" ht="22.5" hidden="1" customHeight="1">
      <c r="A298" s="3017"/>
      <c r="B298" s="2992"/>
      <c r="C298" s="1899" t="s">
        <v>2899</v>
      </c>
      <c r="D298" s="1900"/>
      <c r="E298" s="1853" t="s">
        <v>2739</v>
      </c>
      <c r="F298" s="1865"/>
      <c r="G298" s="1901"/>
      <c r="H298" s="1901"/>
      <c r="I298" s="1901"/>
      <c r="J298" s="1901"/>
      <c r="K298" s="2991">
        <f>TRUNC((SUM(G299:J300)),2)</f>
        <v>0</v>
      </c>
      <c r="L298" s="1902"/>
    </row>
    <row r="299" spans="1:15" ht="20.25" hidden="1" thickTop="1" thickBot="1">
      <c r="A299" s="3017"/>
      <c r="B299" s="2977"/>
      <c r="C299" s="1903" t="s">
        <v>2897</v>
      </c>
      <c r="D299" s="1904">
        <v>0.1</v>
      </c>
      <c r="E299" s="1853" t="s">
        <v>2739</v>
      </c>
      <c r="F299" s="1865"/>
      <c r="G299" s="2975">
        <f>(INT(G298/8)*2)+IF(MOD(G298,8)&gt;2,2,MOD(G298,8))</f>
        <v>0</v>
      </c>
      <c r="H299" s="2975">
        <f>(INT(H298/8)*2)+IF(MOD(H298,8)&gt;2,2,MOD(H298,8))</f>
        <v>0</v>
      </c>
      <c r="I299" s="2975">
        <f>(INT(I298/8)*2)+IF(MOD(I298,8)&gt;2,2,MOD(I298,8))</f>
        <v>0</v>
      </c>
      <c r="J299" s="2975"/>
      <c r="K299" s="2982"/>
      <c r="L299" s="745">
        <f>SUM(G299:K299)</f>
        <v>0</v>
      </c>
    </row>
    <row r="300" spans="1:15" ht="57" hidden="1" thickTop="1" thickBot="1">
      <c r="A300" s="3017"/>
      <c r="B300" s="2977"/>
      <c r="C300" s="1897" t="s">
        <v>2900</v>
      </c>
      <c r="D300" s="1905" t="s">
        <v>2901</v>
      </c>
      <c r="E300" s="1906" t="s">
        <v>2739</v>
      </c>
      <c r="F300" s="1865"/>
      <c r="G300" s="2974"/>
      <c r="H300" s="2974"/>
      <c r="I300" s="2974"/>
      <c r="J300" s="2974"/>
      <c r="K300" s="2981"/>
      <c r="L300" s="1520">
        <f>+L299</f>
        <v>0</v>
      </c>
    </row>
    <row r="301" spans="1:15" ht="20.25" hidden="1" thickTop="1" thickBot="1">
      <c r="A301" s="3017"/>
      <c r="B301" s="2992"/>
      <c r="C301" s="1899" t="s">
        <v>2899</v>
      </c>
      <c r="D301" s="1907"/>
      <c r="E301" s="1853" t="s">
        <v>2739</v>
      </c>
      <c r="F301" s="1865"/>
      <c r="G301" s="1901"/>
      <c r="H301" s="1901"/>
      <c r="I301" s="1901"/>
      <c r="J301" s="1901"/>
      <c r="K301" s="2991">
        <f>TRUNC((SUM(G302:J303)),2)</f>
        <v>0</v>
      </c>
      <c r="L301" s="1902"/>
    </row>
    <row r="302" spans="1:15" ht="20.25" hidden="1" thickTop="1" thickBot="1">
      <c r="A302" s="3017"/>
      <c r="B302" s="2992"/>
      <c r="C302" s="1903" t="s">
        <v>2897</v>
      </c>
      <c r="D302" s="1904">
        <v>0.1</v>
      </c>
      <c r="E302" s="1853" t="s">
        <v>2739</v>
      </c>
      <c r="F302" s="1865"/>
      <c r="G302" s="2975">
        <f>(INT(G301/2)*1)+IF(MOD(G301,2)&gt;1,1,MOD(G301,2))</f>
        <v>0</v>
      </c>
      <c r="H302" s="2975">
        <f>(INT(H301/2)*1)+IF(MOD(H301,2)&gt;1,1,MOD(H301,2))</f>
        <v>0</v>
      </c>
      <c r="I302" s="2975">
        <f>(INT(I301/2)*1)+IF(MOD(I301,2)&gt;1,1,MOD(I301,2))</f>
        <v>0</v>
      </c>
      <c r="J302" s="2975"/>
      <c r="K302" s="2982"/>
      <c r="L302" s="745">
        <f>SUM(G302:K302)</f>
        <v>0</v>
      </c>
    </row>
    <row r="303" spans="1:15" ht="57" hidden="1" thickTop="1" thickBot="1">
      <c r="A303" s="3017"/>
      <c r="B303" s="2992"/>
      <c r="C303" s="1897" t="s">
        <v>2902</v>
      </c>
      <c r="D303" s="1905" t="s">
        <v>2903</v>
      </c>
      <c r="E303" s="1906" t="s">
        <v>2739</v>
      </c>
      <c r="F303" s="1865"/>
      <c r="G303" s="2974"/>
      <c r="H303" s="2974"/>
      <c r="I303" s="2974"/>
      <c r="J303" s="2974"/>
      <c r="K303" s="2981"/>
      <c r="L303" s="1520">
        <f>+L302</f>
        <v>0</v>
      </c>
    </row>
    <row r="304" spans="1:15" ht="27" hidden="1" thickTop="1" thickBot="1">
      <c r="A304" s="3017"/>
      <c r="B304" s="2978"/>
      <c r="C304" s="2969" t="s">
        <v>2904</v>
      </c>
      <c r="D304" s="2970"/>
      <c r="E304" s="1864" t="s">
        <v>2739</v>
      </c>
      <c r="F304" s="1865"/>
      <c r="G304" s="1908">
        <f>$D296*G296+$D299*G299+$D302*G302</f>
        <v>0</v>
      </c>
      <c r="H304" s="1908">
        <f>$D296*H296+$D299*H299+$D302*H302</f>
        <v>0</v>
      </c>
      <c r="I304" s="1908">
        <f>$D296*I296+$D299*I299+$D302*I302</f>
        <v>0</v>
      </c>
      <c r="J304" s="1908"/>
      <c r="K304" s="1871">
        <f>+TRUNC(+SUM(G304:J304),2)</f>
        <v>0</v>
      </c>
      <c r="L304" s="745">
        <f>SUM(G304:K304)</f>
        <v>0</v>
      </c>
    </row>
    <row r="305" spans="1:15" ht="20.25" hidden="1" thickTop="1" thickBot="1">
      <c r="A305" s="3017"/>
      <c r="B305" s="2976" t="s">
        <v>2905</v>
      </c>
      <c r="C305" s="1899" t="s">
        <v>2899</v>
      </c>
      <c r="D305" s="1907"/>
      <c r="E305" s="1853" t="s">
        <v>2739</v>
      </c>
      <c r="F305" s="1865"/>
      <c r="G305" s="1901"/>
      <c r="H305" s="1901"/>
      <c r="I305" s="1901"/>
      <c r="J305" s="1901"/>
      <c r="K305" s="2991">
        <f>TRUNC((SUM(G306:J307)),2)</f>
        <v>0</v>
      </c>
      <c r="L305" s="1902"/>
    </row>
    <row r="306" spans="1:15" ht="20.25" hidden="1" thickTop="1" thickBot="1">
      <c r="A306" s="3017"/>
      <c r="B306" s="2977"/>
      <c r="C306" s="1903" t="s">
        <v>2897</v>
      </c>
      <c r="D306" s="1904">
        <v>0.1</v>
      </c>
      <c r="E306" s="1853" t="s">
        <v>2739</v>
      </c>
      <c r="F306" s="1865"/>
      <c r="G306" s="2975">
        <f>TRUNC((G305/2),2)</f>
        <v>0</v>
      </c>
      <c r="H306" s="2975">
        <f>TRUNC((H305/2),2)</f>
        <v>0</v>
      </c>
      <c r="I306" s="2975">
        <f>TRUNC((I305/2),2)</f>
        <v>0</v>
      </c>
      <c r="J306" s="2975"/>
      <c r="K306" s="2982"/>
      <c r="L306" s="745">
        <f>SUM(G306:K306)</f>
        <v>0</v>
      </c>
    </row>
    <row r="307" spans="1:15" ht="57" hidden="1" thickTop="1" thickBot="1">
      <c r="A307" s="3017"/>
      <c r="B307" s="2977"/>
      <c r="C307" s="1897" t="s">
        <v>2906</v>
      </c>
      <c r="D307" s="1905" t="s">
        <v>2907</v>
      </c>
      <c r="E307" s="1906" t="s">
        <v>2739</v>
      </c>
      <c r="F307" s="1865"/>
      <c r="G307" s="2974"/>
      <c r="H307" s="2974"/>
      <c r="I307" s="2974"/>
      <c r="J307" s="2974"/>
      <c r="K307" s="2981"/>
      <c r="L307" s="1520">
        <f>+L306</f>
        <v>0</v>
      </c>
    </row>
    <row r="308" spans="1:15" ht="20.25" hidden="1" thickTop="1" thickBot="1">
      <c r="A308" s="3017"/>
      <c r="B308" s="2977"/>
      <c r="C308" s="1894" t="s">
        <v>2897</v>
      </c>
      <c r="D308" s="1895">
        <v>0.1</v>
      </c>
      <c r="E308" s="1853" t="s">
        <v>2739</v>
      </c>
      <c r="F308" s="1896"/>
      <c r="G308" s="2973"/>
      <c r="H308" s="2973"/>
      <c r="I308" s="2973"/>
      <c r="J308" s="2973"/>
      <c r="K308" s="2989">
        <f>+TRUNC((+SUM(G308:J309)),2)</f>
        <v>0</v>
      </c>
      <c r="L308" s="745">
        <f>SUM(G308:K308)</f>
        <v>0</v>
      </c>
      <c r="N308" s="1850"/>
      <c r="O308" s="1850"/>
    </row>
    <row r="309" spans="1:15" ht="51" hidden="1" thickTop="1" thickBot="1">
      <c r="A309" s="3017"/>
      <c r="B309" s="2977"/>
      <c r="C309" s="1897" t="s">
        <v>2908</v>
      </c>
      <c r="D309" s="1898"/>
      <c r="E309" s="1858" t="s">
        <v>2739</v>
      </c>
      <c r="F309" s="1865"/>
      <c r="G309" s="2990"/>
      <c r="H309" s="2990"/>
      <c r="I309" s="2990"/>
      <c r="J309" s="2990"/>
      <c r="K309" s="2981"/>
      <c r="L309" s="1520">
        <f>+L308</f>
        <v>0</v>
      </c>
    </row>
    <row r="310" spans="1:15" ht="20.25" hidden="1" thickTop="1" thickBot="1">
      <c r="A310" s="3017"/>
      <c r="B310" s="2977"/>
      <c r="C310" s="1894" t="s">
        <v>2897</v>
      </c>
      <c r="D310" s="1895">
        <v>0.2</v>
      </c>
      <c r="E310" s="1853" t="s">
        <v>2739</v>
      </c>
      <c r="F310" s="1896"/>
      <c r="G310" s="2973"/>
      <c r="H310" s="2973"/>
      <c r="I310" s="2973"/>
      <c r="J310" s="2973"/>
      <c r="K310" s="2989">
        <f>+TRUNC((+SUM(G310:J311)),2)</f>
        <v>0</v>
      </c>
      <c r="L310" s="745">
        <f>SUM(G310:K310)</f>
        <v>0</v>
      </c>
      <c r="N310" s="1850"/>
      <c r="O310" s="1850"/>
    </row>
    <row r="311" spans="1:15" ht="51" hidden="1" thickTop="1" thickBot="1">
      <c r="A311" s="3017"/>
      <c r="B311" s="2977"/>
      <c r="C311" s="1897" t="s">
        <v>2909</v>
      </c>
      <c r="D311" s="1898"/>
      <c r="E311" s="1858" t="s">
        <v>2739</v>
      </c>
      <c r="F311" s="1865"/>
      <c r="G311" s="2974"/>
      <c r="H311" s="2974"/>
      <c r="I311" s="2974"/>
      <c r="J311" s="2974"/>
      <c r="K311" s="2981"/>
      <c r="L311" s="1520">
        <f>+L310</f>
        <v>0</v>
      </c>
    </row>
    <row r="312" spans="1:15" ht="27" hidden="1" thickTop="1" thickBot="1">
      <c r="A312" s="3017"/>
      <c r="B312" s="2978"/>
      <c r="C312" s="2969" t="s">
        <v>2904</v>
      </c>
      <c r="D312" s="2970"/>
      <c r="E312" s="1864" t="s">
        <v>2739</v>
      </c>
      <c r="F312" s="1865"/>
      <c r="G312" s="1908">
        <f>$D$306*G306+$D$308*G308+$D$310*G310</f>
        <v>0</v>
      </c>
      <c r="H312" s="1908">
        <f>$D$306*H306+$D$308*H308+$D$310*H310</f>
        <v>0</v>
      </c>
      <c r="I312" s="1908">
        <f>$D$306*I306+$D$308*I308+$D$310*I310</f>
        <v>0</v>
      </c>
      <c r="J312" s="1908"/>
      <c r="K312" s="1871">
        <f>+TRUNC(+SUM(G312:J312),2)</f>
        <v>0</v>
      </c>
      <c r="L312" s="745">
        <f>SUM(G312:K312)</f>
        <v>0</v>
      </c>
    </row>
    <row r="313" spans="1:15" ht="20.25" hidden="1" thickTop="1" thickBot="1">
      <c r="A313" s="3017"/>
      <c r="B313" s="2976" t="s">
        <v>2910</v>
      </c>
      <c r="C313" s="1909" t="s">
        <v>2897</v>
      </c>
      <c r="D313" s="1895">
        <v>0.3</v>
      </c>
      <c r="E313" s="1853" t="s">
        <v>2739</v>
      </c>
      <c r="F313" s="1910"/>
      <c r="G313" s="2973"/>
      <c r="H313" s="2973"/>
      <c r="I313" s="2973"/>
      <c r="J313" s="1911"/>
      <c r="K313" s="2989">
        <f>+TRUNC((+SUM(G313:J314)),2)</f>
        <v>0</v>
      </c>
      <c r="L313" s="745">
        <f>SUM(G313:K313)</f>
        <v>0</v>
      </c>
    </row>
    <row r="314" spans="1:15" ht="51" hidden="1" thickTop="1" thickBot="1">
      <c r="A314" s="3017"/>
      <c r="B314" s="2977"/>
      <c r="C314" s="1897" t="s">
        <v>2911</v>
      </c>
      <c r="D314" s="1898"/>
      <c r="E314" s="1858" t="s">
        <v>2739</v>
      </c>
      <c r="F314" s="1859"/>
      <c r="G314" s="2974"/>
      <c r="H314" s="2974"/>
      <c r="I314" s="2974"/>
      <c r="J314" s="1912"/>
      <c r="K314" s="2981"/>
      <c r="L314" s="1520">
        <f>+L313</f>
        <v>0</v>
      </c>
    </row>
    <row r="315" spans="1:15" ht="27" hidden="1" thickTop="1" thickBot="1">
      <c r="A315" s="3017"/>
      <c r="B315" s="2978"/>
      <c r="C315" s="2969" t="s">
        <v>2904</v>
      </c>
      <c r="D315" s="2970"/>
      <c r="E315" s="1864" t="s">
        <v>2739</v>
      </c>
      <c r="F315" s="1859"/>
      <c r="G315" s="1913">
        <f>$D313*G313</f>
        <v>0</v>
      </c>
      <c r="H315" s="1913">
        <f>$D313*H313</f>
        <v>0</v>
      </c>
      <c r="I315" s="1913">
        <f>$D313*I313</f>
        <v>0</v>
      </c>
      <c r="J315" s="1913"/>
      <c r="K315" s="1871">
        <f>+TRUNC(+SUM(G315:J315),2)</f>
        <v>0</v>
      </c>
      <c r="L315" s="745"/>
    </row>
    <row r="316" spans="1:15" ht="20.25" hidden="1" thickTop="1" thickBot="1">
      <c r="A316" s="3017"/>
      <c r="B316" s="2976" t="s">
        <v>2912</v>
      </c>
      <c r="C316" s="1859" t="s">
        <v>2913</v>
      </c>
      <c r="D316" s="1861">
        <v>2.92</v>
      </c>
      <c r="E316" s="1853" t="s">
        <v>2739</v>
      </c>
      <c r="F316" s="1850"/>
      <c r="G316" s="2985"/>
      <c r="H316" s="2985"/>
      <c r="I316" s="2985"/>
      <c r="J316" s="2985"/>
      <c r="K316" s="2982">
        <f>+TRUNC((+SUM(G316:J317)),2)</f>
        <v>0</v>
      </c>
      <c r="L316" s="745">
        <f>SUM(G316:K316)</f>
        <v>0</v>
      </c>
    </row>
    <row r="317" spans="1:15" ht="51" hidden="1" thickTop="1" thickBot="1">
      <c r="A317" s="3017"/>
      <c r="B317" s="2977"/>
      <c r="C317" s="1897" t="s">
        <v>2914</v>
      </c>
      <c r="D317" s="1914"/>
      <c r="E317" s="1858" t="s">
        <v>2739</v>
      </c>
      <c r="F317" s="1850"/>
      <c r="G317" s="2984"/>
      <c r="H317" s="2984"/>
      <c r="I317" s="2984"/>
      <c r="J317" s="2984"/>
      <c r="K317" s="2981"/>
      <c r="L317" s="1520">
        <f>+L316</f>
        <v>0</v>
      </c>
    </row>
    <row r="318" spans="1:15" ht="20.25" hidden="1" thickTop="1" thickBot="1">
      <c r="A318" s="3017"/>
      <c r="B318" s="2977"/>
      <c r="C318" s="1859" t="s">
        <v>2913</v>
      </c>
      <c r="D318" s="1861">
        <v>4.8899999999999997</v>
      </c>
      <c r="E318" s="1853" t="s">
        <v>2739</v>
      </c>
      <c r="F318" s="1850"/>
      <c r="G318" s="2983"/>
      <c r="H318" s="2983"/>
      <c r="I318" s="2983"/>
      <c r="J318" s="2983"/>
      <c r="K318" s="2968">
        <f>+TRUNC((+SUM(G318:J319)),2)</f>
        <v>0</v>
      </c>
      <c r="L318" s="745">
        <f>SUM(G318:K318)</f>
        <v>0</v>
      </c>
    </row>
    <row r="319" spans="1:15" ht="51" hidden="1" thickTop="1" thickBot="1">
      <c r="A319" s="3017"/>
      <c r="B319" s="2977"/>
      <c r="C319" s="1897" t="s">
        <v>2915</v>
      </c>
      <c r="D319" s="1914"/>
      <c r="E319" s="1858" t="s">
        <v>2739</v>
      </c>
      <c r="F319" s="1850"/>
      <c r="G319" s="2984"/>
      <c r="H319" s="2984"/>
      <c r="I319" s="2984"/>
      <c r="J319" s="2984"/>
      <c r="K319" s="2968"/>
      <c r="L319" s="1520">
        <f>+L318</f>
        <v>0</v>
      </c>
    </row>
    <row r="320" spans="1:15" ht="20.25" hidden="1" thickTop="1" thickBot="1">
      <c r="A320" s="3017"/>
      <c r="B320" s="2977"/>
      <c r="C320" s="1859" t="s">
        <v>2913</v>
      </c>
      <c r="D320" s="1861">
        <v>3.99</v>
      </c>
      <c r="E320" s="1853" t="s">
        <v>2739</v>
      </c>
      <c r="F320" s="1850"/>
      <c r="G320" s="2983"/>
      <c r="H320" s="2983"/>
      <c r="I320" s="2983"/>
      <c r="J320" s="2983"/>
      <c r="K320" s="2968">
        <f>+TRUNC((+SUM(G320:J321)),2)</f>
        <v>0</v>
      </c>
      <c r="L320" s="745">
        <f>SUM(G320:K320)</f>
        <v>0</v>
      </c>
    </row>
    <row r="321" spans="1:12" ht="51" hidden="1" thickTop="1" thickBot="1">
      <c r="A321" s="3017"/>
      <c r="B321" s="2977"/>
      <c r="C321" s="1897" t="s">
        <v>2916</v>
      </c>
      <c r="D321" s="1914"/>
      <c r="E321" s="1858" t="s">
        <v>2739</v>
      </c>
      <c r="F321" s="1850"/>
      <c r="G321" s="2984"/>
      <c r="H321" s="2984"/>
      <c r="I321" s="2984"/>
      <c r="J321" s="2984"/>
      <c r="K321" s="2968"/>
      <c r="L321" s="1520">
        <f>+L320</f>
        <v>0</v>
      </c>
    </row>
    <row r="322" spans="1:12" ht="20.25" hidden="1" thickTop="1" thickBot="1">
      <c r="A322" s="3017"/>
      <c r="B322" s="2977"/>
      <c r="C322" s="1859" t="s">
        <v>2913</v>
      </c>
      <c r="D322" s="1861">
        <v>3.74</v>
      </c>
      <c r="E322" s="1853" t="s">
        <v>2739</v>
      </c>
      <c r="F322" s="1850"/>
      <c r="G322" s="2983"/>
      <c r="H322" s="2983"/>
      <c r="I322" s="2983"/>
      <c r="J322" s="2983"/>
      <c r="K322" s="2968">
        <f>+TRUNC((+SUM(G322:J323)),2)</f>
        <v>0</v>
      </c>
      <c r="L322" s="745">
        <f>SUM(G322:K322)</f>
        <v>0</v>
      </c>
    </row>
    <row r="323" spans="1:12" ht="51" hidden="1" thickTop="1" thickBot="1">
      <c r="A323" s="3017"/>
      <c r="B323" s="2977"/>
      <c r="C323" s="1897" t="s">
        <v>2917</v>
      </c>
      <c r="D323" s="1914"/>
      <c r="E323" s="1858" t="s">
        <v>2739</v>
      </c>
      <c r="F323" s="1850"/>
      <c r="G323" s="2984"/>
      <c r="H323" s="2984"/>
      <c r="I323" s="2984"/>
      <c r="J323" s="2984"/>
      <c r="K323" s="2968"/>
      <c r="L323" s="1520">
        <f>+L322</f>
        <v>0</v>
      </c>
    </row>
    <row r="324" spans="1:12" ht="20.25" hidden="1" thickTop="1" thickBot="1">
      <c r="A324" s="3017"/>
      <c r="B324" s="2977"/>
      <c r="C324" s="1859" t="s">
        <v>2913</v>
      </c>
      <c r="D324" s="1861">
        <v>3.66</v>
      </c>
      <c r="E324" s="1853" t="s">
        <v>2739</v>
      </c>
      <c r="F324" s="1850"/>
      <c r="G324" s="2983"/>
      <c r="H324" s="2983"/>
      <c r="I324" s="2983"/>
      <c r="J324" s="2983"/>
      <c r="K324" s="2968">
        <f>+TRUNC((+SUM(G324:J325)),2)</f>
        <v>0</v>
      </c>
      <c r="L324" s="745">
        <f>SUM(G324:K324)</f>
        <v>0</v>
      </c>
    </row>
    <row r="325" spans="1:12" ht="51" hidden="1" thickTop="1" thickBot="1">
      <c r="A325" s="3017"/>
      <c r="B325" s="2977"/>
      <c r="C325" s="1897" t="s">
        <v>2918</v>
      </c>
      <c r="D325" s="1914"/>
      <c r="E325" s="1858" t="s">
        <v>2739</v>
      </c>
      <c r="F325" s="1850"/>
      <c r="G325" s="2984"/>
      <c r="H325" s="2984"/>
      <c r="I325" s="2984"/>
      <c r="J325" s="2984"/>
      <c r="K325" s="2968"/>
      <c r="L325" s="1520">
        <f>+L324</f>
        <v>0</v>
      </c>
    </row>
    <row r="326" spans="1:12" ht="20.25" hidden="1" thickTop="1" thickBot="1">
      <c r="A326" s="3017"/>
      <c r="B326" s="2977"/>
      <c r="C326" s="1859" t="s">
        <v>2913</v>
      </c>
      <c r="D326" s="1861">
        <v>3.5</v>
      </c>
      <c r="E326" s="1853" t="s">
        <v>2739</v>
      </c>
      <c r="F326" s="1850"/>
      <c r="G326" s="2983"/>
      <c r="H326" s="2983"/>
      <c r="I326" s="2983"/>
      <c r="J326" s="2983"/>
      <c r="K326" s="2968">
        <f>+TRUNC((+SUM(G326:J327)),2)</f>
        <v>0</v>
      </c>
      <c r="L326" s="745">
        <f>SUM(G326:K326)</f>
        <v>0</v>
      </c>
    </row>
    <row r="327" spans="1:12" ht="51" hidden="1" thickTop="1" thickBot="1">
      <c r="A327" s="3017"/>
      <c r="B327" s="2977"/>
      <c r="C327" s="1897" t="s">
        <v>2919</v>
      </c>
      <c r="D327" s="1915"/>
      <c r="E327" s="1858" t="s">
        <v>2739</v>
      </c>
      <c r="F327" s="1850"/>
      <c r="G327" s="2984"/>
      <c r="H327" s="2984"/>
      <c r="I327" s="2984"/>
      <c r="J327" s="2984"/>
      <c r="K327" s="2968"/>
      <c r="L327" s="1520">
        <f>+L326</f>
        <v>0</v>
      </c>
    </row>
    <row r="328" spans="1:12" ht="20.25" hidden="1" thickTop="1" thickBot="1">
      <c r="A328" s="3017"/>
      <c r="B328" s="2977"/>
      <c r="C328" s="1859" t="s">
        <v>2913</v>
      </c>
      <c r="D328" s="1861">
        <v>3.5</v>
      </c>
      <c r="E328" s="1853" t="s">
        <v>2739</v>
      </c>
      <c r="F328" s="1850"/>
      <c r="G328" s="2983"/>
      <c r="H328" s="2983"/>
      <c r="I328" s="2983"/>
      <c r="J328" s="2983"/>
      <c r="K328" s="2968">
        <f>+TRUNC((+SUM(G328:J329)),2)</f>
        <v>0</v>
      </c>
      <c r="L328" s="745">
        <f>SUM(G328:K328)</f>
        <v>0</v>
      </c>
    </row>
    <row r="329" spans="1:12" ht="51" hidden="1" thickTop="1" thickBot="1">
      <c r="A329" s="3017"/>
      <c r="B329" s="2977"/>
      <c r="C329" s="1897" t="s">
        <v>2920</v>
      </c>
      <c r="D329" s="1915"/>
      <c r="E329" s="1858" t="s">
        <v>2739</v>
      </c>
      <c r="F329" s="1850"/>
      <c r="G329" s="2984"/>
      <c r="H329" s="2984"/>
      <c r="I329" s="2984"/>
      <c r="J329" s="2984"/>
      <c r="K329" s="2968"/>
      <c r="L329" s="1520">
        <f>+L328</f>
        <v>0</v>
      </c>
    </row>
    <row r="330" spans="1:12" ht="20.25" hidden="1" thickTop="1" thickBot="1">
      <c r="A330" s="3017"/>
      <c r="B330" s="2977"/>
      <c r="C330" s="1859" t="s">
        <v>2913</v>
      </c>
      <c r="D330" s="1861">
        <v>3.57</v>
      </c>
      <c r="E330" s="1853" t="s">
        <v>2739</v>
      </c>
      <c r="F330" s="1850"/>
      <c r="G330" s="2983"/>
      <c r="H330" s="2983"/>
      <c r="I330" s="2983"/>
      <c r="J330" s="2983"/>
      <c r="K330" s="2968">
        <f>+TRUNC((+SUM(G330:J331)),2)</f>
        <v>0</v>
      </c>
      <c r="L330" s="745">
        <f>SUM(G330:K330)</f>
        <v>0</v>
      </c>
    </row>
    <row r="331" spans="1:12" ht="51" hidden="1" thickTop="1" thickBot="1">
      <c r="A331" s="3017"/>
      <c r="B331" s="2977"/>
      <c r="C331" s="1897" t="s">
        <v>2921</v>
      </c>
      <c r="D331" s="1915"/>
      <c r="E331" s="1858" t="s">
        <v>2739</v>
      </c>
      <c r="F331" s="1850"/>
      <c r="G331" s="2984"/>
      <c r="H331" s="2984"/>
      <c r="I331" s="2984"/>
      <c r="J331" s="2984"/>
      <c r="K331" s="2968"/>
      <c r="L331" s="1520">
        <f>+L330</f>
        <v>0</v>
      </c>
    </row>
    <row r="332" spans="1:12" ht="20.25" hidden="1" thickTop="1" thickBot="1">
      <c r="A332" s="3017"/>
      <c r="B332" s="2977"/>
      <c r="C332" s="1859" t="s">
        <v>2913</v>
      </c>
      <c r="D332" s="1861">
        <v>2.12</v>
      </c>
      <c r="E332" s="1853" t="s">
        <v>2739</v>
      </c>
      <c r="F332" s="1850"/>
      <c r="G332" s="2983"/>
      <c r="H332" s="2983"/>
      <c r="I332" s="2983"/>
      <c r="J332" s="2983"/>
      <c r="K332" s="2968">
        <f>+TRUNC((+SUM(G332:J333)),2)</f>
        <v>0</v>
      </c>
      <c r="L332" s="745">
        <f>SUM(G332:K332)</f>
        <v>0</v>
      </c>
    </row>
    <row r="333" spans="1:12" ht="51" hidden="1" thickTop="1" thickBot="1">
      <c r="A333" s="3017"/>
      <c r="B333" s="2977"/>
      <c r="C333" s="1897" t="s">
        <v>2922</v>
      </c>
      <c r="D333" s="1914"/>
      <c r="E333" s="1858" t="s">
        <v>2739</v>
      </c>
      <c r="F333" s="1850"/>
      <c r="G333" s="2984"/>
      <c r="H333" s="2984"/>
      <c r="I333" s="2984"/>
      <c r="J333" s="2984"/>
      <c r="K333" s="2968"/>
      <c r="L333" s="1520">
        <f>+L332</f>
        <v>0</v>
      </c>
    </row>
    <row r="334" spans="1:12" ht="20.25" hidden="1" thickTop="1" thickBot="1">
      <c r="A334" s="3017"/>
      <c r="B334" s="2977"/>
      <c r="C334" s="1859" t="s">
        <v>2913</v>
      </c>
      <c r="D334" s="1861">
        <v>1.0900000000000001</v>
      </c>
      <c r="E334" s="1853" t="s">
        <v>2739</v>
      </c>
      <c r="F334" s="1850"/>
      <c r="G334" s="2983"/>
      <c r="H334" s="2983"/>
      <c r="I334" s="2983"/>
      <c r="J334" s="2983"/>
      <c r="K334" s="2968">
        <f>+TRUNC((+SUM(G334:J335)),2)</f>
        <v>0</v>
      </c>
      <c r="L334" s="745">
        <f>SUM(G334:K334)</f>
        <v>0</v>
      </c>
    </row>
    <row r="335" spans="1:12" ht="51" hidden="1" thickTop="1" thickBot="1">
      <c r="A335" s="3017"/>
      <c r="B335" s="2977"/>
      <c r="C335" s="1897" t="s">
        <v>2923</v>
      </c>
      <c r="D335" s="1914"/>
      <c r="E335" s="1858" t="s">
        <v>2739</v>
      </c>
      <c r="F335" s="1850"/>
      <c r="G335" s="2984"/>
      <c r="H335" s="2984"/>
      <c r="I335" s="2984"/>
      <c r="J335" s="2984"/>
      <c r="K335" s="2968"/>
      <c r="L335" s="1520">
        <f>+L334</f>
        <v>0</v>
      </c>
    </row>
    <row r="336" spans="1:12" ht="20.25" hidden="1" thickTop="1" thickBot="1">
      <c r="A336" s="3017"/>
      <c r="B336" s="2977"/>
      <c r="C336" s="1859" t="s">
        <v>2913</v>
      </c>
      <c r="D336" s="1861">
        <v>1.87</v>
      </c>
      <c r="E336" s="1853" t="s">
        <v>2739</v>
      </c>
      <c r="F336" s="1850"/>
      <c r="G336" s="2983"/>
      <c r="H336" s="2983"/>
      <c r="I336" s="2983"/>
      <c r="J336" s="2983"/>
      <c r="K336" s="2968">
        <f>+TRUNC((+SUM(G336:J337)),2)</f>
        <v>0</v>
      </c>
      <c r="L336" s="745">
        <f>SUM(G336:K336)</f>
        <v>0</v>
      </c>
    </row>
    <row r="337" spans="1:12" ht="51" hidden="1" thickTop="1" thickBot="1">
      <c r="A337" s="3017"/>
      <c r="B337" s="2977"/>
      <c r="C337" s="1897" t="s">
        <v>2923</v>
      </c>
      <c r="D337" s="1914"/>
      <c r="E337" s="1858" t="s">
        <v>2739</v>
      </c>
      <c r="F337" s="1850"/>
      <c r="G337" s="2984"/>
      <c r="H337" s="2984"/>
      <c r="I337" s="2984"/>
      <c r="J337" s="2984"/>
      <c r="K337" s="2968"/>
      <c r="L337" s="1520">
        <f>+L336</f>
        <v>0</v>
      </c>
    </row>
    <row r="338" spans="1:12" ht="20.25" hidden="1" thickTop="1" thickBot="1">
      <c r="A338" s="3017"/>
      <c r="B338" s="2977"/>
      <c r="C338" s="1859" t="s">
        <v>2913</v>
      </c>
      <c r="D338" s="1861">
        <v>1.1499999999999999</v>
      </c>
      <c r="E338" s="1853" t="s">
        <v>2739</v>
      </c>
      <c r="F338" s="1850"/>
      <c r="G338" s="2983"/>
      <c r="H338" s="2983"/>
      <c r="I338" s="2983"/>
      <c r="J338" s="2983"/>
      <c r="K338" s="2968">
        <f>+TRUNC((+SUM(G338:J339)),2)</f>
        <v>0</v>
      </c>
      <c r="L338" s="745">
        <f>SUM(G338:K338)</f>
        <v>0</v>
      </c>
    </row>
    <row r="339" spans="1:12" ht="51" hidden="1" thickTop="1" thickBot="1">
      <c r="A339" s="3017"/>
      <c r="B339" s="2977"/>
      <c r="C339" s="1897" t="s">
        <v>2923</v>
      </c>
      <c r="D339" s="1914"/>
      <c r="E339" s="1858" t="s">
        <v>2739</v>
      </c>
      <c r="F339" s="1850"/>
      <c r="G339" s="2984"/>
      <c r="H339" s="2984"/>
      <c r="I339" s="2984"/>
      <c r="J339" s="2984"/>
      <c r="K339" s="2968"/>
      <c r="L339" s="1520">
        <f>+L338</f>
        <v>0</v>
      </c>
    </row>
    <row r="340" spans="1:12" ht="20.25" hidden="1" thickTop="1" thickBot="1">
      <c r="A340" s="3017"/>
      <c r="B340" s="2977"/>
      <c r="C340" s="1859" t="s">
        <v>2913</v>
      </c>
      <c r="D340" s="1861">
        <v>1.38</v>
      </c>
      <c r="E340" s="1853" t="s">
        <v>2739</v>
      </c>
      <c r="F340" s="1850"/>
      <c r="G340" s="2983"/>
      <c r="H340" s="2983"/>
      <c r="I340" s="2983"/>
      <c r="J340" s="2983"/>
      <c r="K340" s="2968">
        <f>+TRUNC((+SUM(G340:J341)),2)</f>
        <v>0</v>
      </c>
      <c r="L340" s="745">
        <f>SUM(G340:K340)</f>
        <v>0</v>
      </c>
    </row>
    <row r="341" spans="1:12" ht="51" hidden="1" thickTop="1" thickBot="1">
      <c r="A341" s="3017"/>
      <c r="B341" s="2977"/>
      <c r="C341" s="1897" t="s">
        <v>2923</v>
      </c>
      <c r="D341" s="1914"/>
      <c r="E341" s="1858" t="s">
        <v>2739</v>
      </c>
      <c r="F341" s="1850"/>
      <c r="G341" s="2984"/>
      <c r="H341" s="2984"/>
      <c r="I341" s="2984"/>
      <c r="J341" s="2984"/>
      <c r="K341" s="2968"/>
      <c r="L341" s="1520">
        <f>+L340</f>
        <v>0</v>
      </c>
    </row>
    <row r="342" spans="1:12" ht="20.25" hidden="1" thickTop="1" thickBot="1">
      <c r="A342" s="3017"/>
      <c r="B342" s="2977"/>
      <c r="C342" s="1859" t="s">
        <v>2913</v>
      </c>
      <c r="D342" s="1861">
        <v>2.61</v>
      </c>
      <c r="E342" s="1853" t="s">
        <v>2739</v>
      </c>
      <c r="F342" s="1850"/>
      <c r="G342" s="2983"/>
      <c r="H342" s="2983"/>
      <c r="I342" s="2983"/>
      <c r="J342" s="2983"/>
      <c r="K342" s="2968">
        <f>+TRUNC((+SUM(G342:J343)),2)</f>
        <v>0</v>
      </c>
      <c r="L342" s="745">
        <f>SUM(G342:K342)</f>
        <v>0</v>
      </c>
    </row>
    <row r="343" spans="1:12" ht="51" hidden="1" thickTop="1" thickBot="1">
      <c r="A343" s="3017"/>
      <c r="B343" s="2977"/>
      <c r="C343" s="1897" t="s">
        <v>2923</v>
      </c>
      <c r="D343" s="1916"/>
      <c r="E343" s="1858" t="s">
        <v>2739</v>
      </c>
      <c r="F343" s="1850"/>
      <c r="G343" s="2984"/>
      <c r="H343" s="2984"/>
      <c r="I343" s="2984"/>
      <c r="J343" s="2984"/>
      <c r="K343" s="2968"/>
      <c r="L343" s="1520">
        <f>+L342</f>
        <v>0</v>
      </c>
    </row>
    <row r="344" spans="1:12" ht="20.25" hidden="1" thickTop="1" thickBot="1">
      <c r="A344" s="3017"/>
      <c r="B344" s="2977"/>
      <c r="C344" s="1859" t="s">
        <v>2913</v>
      </c>
      <c r="D344" s="1861">
        <v>3.87</v>
      </c>
      <c r="E344" s="1853" t="s">
        <v>2739</v>
      </c>
      <c r="F344" s="1850"/>
      <c r="G344" s="2983"/>
      <c r="H344" s="2983"/>
      <c r="I344" s="2983"/>
      <c r="J344" s="2983"/>
      <c r="K344" s="2968">
        <f>+TRUNC((+SUM(G344:J345)),2)</f>
        <v>0</v>
      </c>
      <c r="L344" s="745">
        <f>SUM(G344:K344)</f>
        <v>0</v>
      </c>
    </row>
    <row r="345" spans="1:12" ht="51" hidden="1" thickTop="1" thickBot="1">
      <c r="A345" s="3017"/>
      <c r="B345" s="2977"/>
      <c r="C345" s="1897" t="s">
        <v>2923</v>
      </c>
      <c r="D345" s="1914"/>
      <c r="E345" s="1858" t="s">
        <v>2739</v>
      </c>
      <c r="F345" s="1850"/>
      <c r="G345" s="2984"/>
      <c r="H345" s="2984"/>
      <c r="I345" s="2984"/>
      <c r="J345" s="2984"/>
      <c r="K345" s="2968"/>
      <c r="L345" s="1520">
        <f>+L344</f>
        <v>0</v>
      </c>
    </row>
    <row r="346" spans="1:12" ht="20.25" hidden="1" thickTop="1" thickBot="1">
      <c r="A346" s="3017"/>
      <c r="B346" s="2977"/>
      <c r="C346" s="1859" t="s">
        <v>2913</v>
      </c>
      <c r="D346" s="1861">
        <v>0.7</v>
      </c>
      <c r="E346" s="1853" t="s">
        <v>2739</v>
      </c>
      <c r="F346" s="1850"/>
      <c r="G346" s="2983"/>
      <c r="H346" s="2983"/>
      <c r="I346" s="2983"/>
      <c r="J346" s="2983"/>
      <c r="K346" s="2968">
        <f>+TRUNC((+SUM(G346:J347)),2)</f>
        <v>0</v>
      </c>
      <c r="L346" s="745">
        <f>SUM(G346:K346)</f>
        <v>0</v>
      </c>
    </row>
    <row r="347" spans="1:12" ht="51" hidden="1" thickTop="1" thickBot="1">
      <c r="A347" s="3017"/>
      <c r="B347" s="2977"/>
      <c r="C347" s="1897" t="s">
        <v>2918</v>
      </c>
      <c r="D347" s="1914"/>
      <c r="E347" s="1858" t="s">
        <v>2739</v>
      </c>
      <c r="F347" s="1850"/>
      <c r="G347" s="2984"/>
      <c r="H347" s="2984"/>
      <c r="I347" s="2984"/>
      <c r="J347" s="2984"/>
      <c r="K347" s="2968"/>
      <c r="L347" s="1520">
        <f>+L346</f>
        <v>0</v>
      </c>
    </row>
    <row r="348" spans="1:12" ht="27" hidden="1" thickTop="1" thickBot="1">
      <c r="A348" s="3017"/>
      <c r="B348" s="2978"/>
      <c r="C348" s="2969" t="s">
        <v>2924</v>
      </c>
      <c r="D348" s="2970"/>
      <c r="E348" s="1864" t="s">
        <v>2739</v>
      </c>
      <c r="F348" s="1865"/>
      <c r="G348" s="1870" cm="1">
        <f t="array" ref="G348">SUMPRODUCT(($D316:$D347)*(G316:G347))</f>
        <v>0</v>
      </c>
      <c r="H348" s="1870" cm="1">
        <f t="array" ref="H348">SUMPRODUCT(($D316:$D347)*(H316:H347))</f>
        <v>0</v>
      </c>
      <c r="I348" s="1870" cm="1">
        <f t="array" ref="I348">SUMPRODUCT(($D316:$D347)*(I316:I347))</f>
        <v>0</v>
      </c>
      <c r="J348" s="1870"/>
      <c r="K348" s="1871">
        <f>+TRUNC(+SUM(G348:J348),2)</f>
        <v>0</v>
      </c>
      <c r="L348" s="745">
        <f>SUM(G348:K348)</f>
        <v>0</v>
      </c>
    </row>
    <row r="349" spans="1:12" ht="20.25" hidden="1" thickTop="1" thickBot="1">
      <c r="A349" s="3017"/>
      <c r="B349" s="2986" t="s">
        <v>2925</v>
      </c>
      <c r="C349" s="1859" t="s">
        <v>2913</v>
      </c>
      <c r="D349" s="1861">
        <v>1.1299999999999999</v>
      </c>
      <c r="E349" s="1853" t="s">
        <v>2739</v>
      </c>
      <c r="F349" s="1850"/>
      <c r="G349" s="2985"/>
      <c r="H349" s="2985"/>
      <c r="I349" s="2985"/>
      <c r="J349" s="2985"/>
      <c r="K349" s="2968">
        <f>+TRUNC((+SUM(G349:J350)),2)</f>
        <v>0</v>
      </c>
      <c r="L349" s="745">
        <f>SUM(G349:K349)</f>
        <v>0</v>
      </c>
    </row>
    <row r="350" spans="1:12" ht="51" hidden="1" thickTop="1" thickBot="1">
      <c r="A350" s="3017"/>
      <c r="B350" s="2987"/>
      <c r="C350" s="1897" t="s">
        <v>2926</v>
      </c>
      <c r="D350" s="1917"/>
      <c r="E350" s="1858" t="s">
        <v>2739</v>
      </c>
      <c r="F350" s="1850"/>
      <c r="G350" s="2984"/>
      <c r="H350" s="2984"/>
      <c r="I350" s="2984"/>
      <c r="J350" s="2984"/>
      <c r="K350" s="2968"/>
      <c r="L350" s="1520">
        <f>+L349</f>
        <v>0</v>
      </c>
    </row>
    <row r="351" spans="1:12" ht="20.25" hidden="1" thickTop="1" thickBot="1">
      <c r="A351" s="3017"/>
      <c r="B351" s="2987"/>
      <c r="C351" s="1859" t="s">
        <v>2913</v>
      </c>
      <c r="D351" s="1861">
        <v>1.1299999999999999</v>
      </c>
      <c r="E351" s="1853" t="s">
        <v>2739</v>
      </c>
      <c r="F351" s="1850"/>
      <c r="G351" s="2983"/>
      <c r="H351" s="2983"/>
      <c r="I351" s="2983"/>
      <c r="J351" s="2983"/>
      <c r="K351" s="2968">
        <f>+TRUNC((+SUM(G351:J352)),2)</f>
        <v>0</v>
      </c>
      <c r="L351" s="745">
        <f>SUM(G351:K351)</f>
        <v>0</v>
      </c>
    </row>
    <row r="352" spans="1:12" ht="51" hidden="1" thickTop="1" thickBot="1">
      <c r="A352" s="3017"/>
      <c r="B352" s="2987"/>
      <c r="C352" s="1897" t="s">
        <v>2927</v>
      </c>
      <c r="D352" s="1917"/>
      <c r="E352" s="1858" t="s">
        <v>2739</v>
      </c>
      <c r="F352" s="1850"/>
      <c r="G352" s="2984"/>
      <c r="H352" s="2984"/>
      <c r="I352" s="2984"/>
      <c r="J352" s="2984"/>
      <c r="K352" s="2968"/>
      <c r="L352" s="1520">
        <f>+L351</f>
        <v>0</v>
      </c>
    </row>
    <row r="353" spans="1:12" ht="20.25" hidden="1" thickTop="1" thickBot="1">
      <c r="A353" s="3017"/>
      <c r="B353" s="2987"/>
      <c r="C353" s="1859" t="s">
        <v>2913</v>
      </c>
      <c r="D353" s="1861">
        <v>1.44</v>
      </c>
      <c r="E353" s="1853" t="s">
        <v>2739</v>
      </c>
      <c r="F353" s="1850"/>
      <c r="G353" s="2983"/>
      <c r="H353" s="2983"/>
      <c r="I353" s="2983"/>
      <c r="J353" s="2983"/>
      <c r="K353" s="2968">
        <f>+TRUNC((+SUM(G353:J354)),2)</f>
        <v>0</v>
      </c>
      <c r="L353" s="745">
        <f>SUM(G353:K353)</f>
        <v>0</v>
      </c>
    </row>
    <row r="354" spans="1:12" ht="51" hidden="1" thickTop="1" thickBot="1">
      <c r="A354" s="3017"/>
      <c r="B354" s="2987"/>
      <c r="C354" s="1897" t="s">
        <v>2928</v>
      </c>
      <c r="D354" s="1917"/>
      <c r="E354" s="1858" t="s">
        <v>2739</v>
      </c>
      <c r="F354" s="1850"/>
      <c r="G354" s="2984"/>
      <c r="H354" s="2984"/>
      <c r="I354" s="2984"/>
      <c r="J354" s="2984"/>
      <c r="K354" s="2968"/>
      <c r="L354" s="1520">
        <f>+L353</f>
        <v>0</v>
      </c>
    </row>
    <row r="355" spans="1:12" ht="27" hidden="1" thickTop="1" thickBot="1">
      <c r="A355" s="3017"/>
      <c r="B355" s="2988"/>
      <c r="C355" s="2969" t="s">
        <v>2924</v>
      </c>
      <c r="D355" s="2970"/>
      <c r="E355" s="1864" t="s">
        <v>2739</v>
      </c>
      <c r="F355" s="1865"/>
      <c r="G355" s="1870" cm="1">
        <f t="array" ref="G355">SUMPRODUCT(($D349:$D354)*(G349:G354))</f>
        <v>0</v>
      </c>
      <c r="H355" s="1870" cm="1">
        <f t="array" ref="H355">SUMPRODUCT(($D349:$D354)*(H349:H354))</f>
        <v>0</v>
      </c>
      <c r="I355" s="1870" cm="1">
        <f t="array" ref="I355">SUMPRODUCT(($D349:$D354)*(I349:I354))</f>
        <v>0</v>
      </c>
      <c r="J355" s="1870"/>
      <c r="K355" s="1871">
        <f>+TRUNC(+SUM(G355:J355),2)</f>
        <v>0</v>
      </c>
      <c r="L355" s="745">
        <f>SUM(G355:K355)</f>
        <v>0</v>
      </c>
    </row>
    <row r="356" spans="1:12" ht="20.25" hidden="1" thickTop="1" thickBot="1">
      <c r="A356" s="3017"/>
      <c r="B356" s="2976" t="s">
        <v>2929</v>
      </c>
      <c r="C356" s="1859" t="s">
        <v>2913</v>
      </c>
      <c r="D356" s="1861">
        <v>0.7</v>
      </c>
      <c r="E356" s="1853" t="s">
        <v>2739</v>
      </c>
      <c r="F356" s="1850"/>
      <c r="G356" s="2985"/>
      <c r="H356" s="2985"/>
      <c r="I356" s="2985"/>
      <c r="J356" s="2985"/>
      <c r="K356" s="2982">
        <f>+TRUNC((+SUM(G356:J357)),2)</f>
        <v>0</v>
      </c>
      <c r="L356" s="745">
        <f>SUM(G356:K356)</f>
        <v>0</v>
      </c>
    </row>
    <row r="357" spans="1:12" ht="51" hidden="1" thickTop="1" thickBot="1">
      <c r="A357" s="3017"/>
      <c r="B357" s="2977"/>
      <c r="C357" s="1918" t="s">
        <v>2930</v>
      </c>
      <c r="D357" s="1914"/>
      <c r="E357" s="1858" t="s">
        <v>2739</v>
      </c>
      <c r="F357" s="1850"/>
      <c r="G357" s="2984"/>
      <c r="H357" s="2984"/>
      <c r="I357" s="2984"/>
      <c r="J357" s="2984"/>
      <c r="K357" s="2981"/>
      <c r="L357" s="1520">
        <f>+L356</f>
        <v>0</v>
      </c>
    </row>
    <row r="358" spans="1:12" ht="20.25" hidden="1" thickTop="1" thickBot="1">
      <c r="A358" s="3017"/>
      <c r="B358" s="2977"/>
      <c r="C358" s="1859" t="s">
        <v>2913</v>
      </c>
      <c r="D358" s="1861">
        <v>0.2</v>
      </c>
      <c r="E358" s="1853" t="s">
        <v>2739</v>
      </c>
      <c r="F358" s="1850"/>
      <c r="G358" s="2983"/>
      <c r="H358" s="2983"/>
      <c r="I358" s="2983"/>
      <c r="J358" s="2983"/>
      <c r="K358" s="2968">
        <f>+TRUNC((+SUM(G358:J359)),2)</f>
        <v>0</v>
      </c>
      <c r="L358" s="745">
        <f>SUM(G358:K358)</f>
        <v>0</v>
      </c>
    </row>
    <row r="359" spans="1:12" ht="51" hidden="1" thickTop="1" thickBot="1">
      <c r="A359" s="3017"/>
      <c r="B359" s="2977"/>
      <c r="C359" s="1897" t="s">
        <v>2931</v>
      </c>
      <c r="D359" s="1914"/>
      <c r="E359" s="1858" t="s">
        <v>2739</v>
      </c>
      <c r="F359" s="1850"/>
      <c r="G359" s="2984"/>
      <c r="H359" s="2984"/>
      <c r="I359" s="2984"/>
      <c r="J359" s="2984"/>
      <c r="K359" s="2968"/>
      <c r="L359" s="1520">
        <f>+L358</f>
        <v>0</v>
      </c>
    </row>
    <row r="360" spans="1:12" ht="20.25" hidden="1" thickTop="1" thickBot="1">
      <c r="A360" s="3017"/>
      <c r="B360" s="2977"/>
      <c r="C360" s="1859" t="s">
        <v>2913</v>
      </c>
      <c r="D360" s="1861">
        <v>0.78</v>
      </c>
      <c r="E360" s="1853" t="s">
        <v>2739</v>
      </c>
      <c r="F360" s="1850"/>
      <c r="G360" s="2983"/>
      <c r="H360" s="2983"/>
      <c r="I360" s="2983"/>
      <c r="J360" s="2983"/>
      <c r="K360" s="2968">
        <f>+TRUNC((+SUM(G360:J361)),2)</f>
        <v>0</v>
      </c>
      <c r="L360" s="745">
        <f>SUM(G360:K360)</f>
        <v>0</v>
      </c>
    </row>
    <row r="361" spans="1:12" ht="51" hidden="1" thickTop="1" thickBot="1">
      <c r="A361" s="3017"/>
      <c r="B361" s="2977"/>
      <c r="C361" s="1897" t="s">
        <v>2932</v>
      </c>
      <c r="D361" s="1914"/>
      <c r="E361" s="1858" t="s">
        <v>2739</v>
      </c>
      <c r="F361" s="1850"/>
      <c r="G361" s="2984"/>
      <c r="H361" s="2984"/>
      <c r="I361" s="2984"/>
      <c r="J361" s="2984"/>
      <c r="K361" s="2968"/>
      <c r="L361" s="1520">
        <f>+L360</f>
        <v>0</v>
      </c>
    </row>
    <row r="362" spans="1:12" ht="27" hidden="1" thickTop="1" thickBot="1">
      <c r="A362" s="3017"/>
      <c r="B362" s="2978"/>
      <c r="C362" s="2969" t="s">
        <v>2924</v>
      </c>
      <c r="D362" s="2970"/>
      <c r="E362" s="1864" t="s">
        <v>2739</v>
      </c>
      <c r="F362" s="1865"/>
      <c r="G362" s="1870" cm="1">
        <f t="array" ref="G362">SUMPRODUCT(($D356:$D361)*(G356:G361))</f>
        <v>0</v>
      </c>
      <c r="H362" s="1870" cm="1">
        <f t="array" ref="H362">SUMPRODUCT(($D356:$D361)*(H356:H361))</f>
        <v>0</v>
      </c>
      <c r="I362" s="1870" cm="1">
        <f t="array" ref="I362">SUMPRODUCT(($D356:$D361)*(I356:I361))</f>
        <v>0</v>
      </c>
      <c r="J362" s="1870"/>
      <c r="K362" s="1871">
        <f>+TRUNC(+SUM(G362:J362),2)</f>
        <v>0</v>
      </c>
      <c r="L362" s="745">
        <f>SUM(G362:K362)</f>
        <v>0</v>
      </c>
    </row>
    <row r="363" spans="1:12" ht="20.25" hidden="1" thickTop="1" thickBot="1">
      <c r="A363" s="3017"/>
      <c r="B363" s="2976" t="s">
        <v>2933</v>
      </c>
      <c r="C363" s="1919" t="s">
        <v>2897</v>
      </c>
      <c r="D363" s="1920">
        <v>0.4</v>
      </c>
      <c r="E363" s="1853" t="s">
        <v>2739</v>
      </c>
      <c r="F363" s="1850"/>
      <c r="G363" s="2973"/>
      <c r="H363" s="2973"/>
      <c r="I363" s="2973"/>
      <c r="J363" s="2973"/>
      <c r="K363" s="2979">
        <f>+TRUNC((+SUM(G363:J364)),2)</f>
        <v>0</v>
      </c>
      <c r="L363" s="745">
        <f>SUM(G363:K363)</f>
        <v>0</v>
      </c>
    </row>
    <row r="364" spans="1:12" ht="51" hidden="1" thickTop="1" thickBot="1">
      <c r="A364" s="3017"/>
      <c r="B364" s="2977"/>
      <c r="C364" s="1897" t="s">
        <v>2934</v>
      </c>
      <c r="D364" s="1898"/>
      <c r="E364" s="1858" t="s">
        <v>2739</v>
      </c>
      <c r="F364" s="1865"/>
      <c r="G364" s="2974"/>
      <c r="H364" s="2974"/>
      <c r="I364" s="2974"/>
      <c r="J364" s="2974"/>
      <c r="K364" s="2968"/>
      <c r="L364" s="1520">
        <f>+L363</f>
        <v>0</v>
      </c>
    </row>
    <row r="365" spans="1:12" ht="20.25" hidden="1" thickTop="1" thickBot="1">
      <c r="A365" s="3017"/>
      <c r="B365" s="2977"/>
      <c r="C365" s="1859" t="s">
        <v>2897</v>
      </c>
      <c r="D365" s="1920">
        <v>0.4</v>
      </c>
      <c r="E365" s="1853" t="s">
        <v>2739</v>
      </c>
      <c r="F365" s="1850"/>
      <c r="G365" s="2980"/>
      <c r="H365" s="2980"/>
      <c r="I365" s="2980"/>
      <c r="J365" s="2980"/>
      <c r="K365" s="2981">
        <f>+TRUNC((+SUM(G365:J366)),2)</f>
        <v>0</v>
      </c>
      <c r="L365" s="745">
        <f>SUM(G365:K365)</f>
        <v>0</v>
      </c>
    </row>
    <row r="366" spans="1:12" ht="51" hidden="1" thickTop="1" thickBot="1">
      <c r="A366" s="3017"/>
      <c r="B366" s="2977"/>
      <c r="C366" s="1897" t="s">
        <v>2935</v>
      </c>
      <c r="D366" s="1898"/>
      <c r="E366" s="1858" t="s">
        <v>2739</v>
      </c>
      <c r="F366" s="1865"/>
      <c r="G366" s="2974"/>
      <c r="H366" s="2974"/>
      <c r="I366" s="2974"/>
      <c r="J366" s="2974"/>
      <c r="K366" s="2968"/>
      <c r="L366" s="1520">
        <f>+L365</f>
        <v>0</v>
      </c>
    </row>
    <row r="367" spans="1:12" ht="20.25" hidden="1" thickTop="1" thickBot="1">
      <c r="A367" s="3017"/>
      <c r="B367" s="2977"/>
      <c r="C367" s="1859" t="s">
        <v>2897</v>
      </c>
      <c r="D367" s="1920">
        <v>0.4</v>
      </c>
      <c r="E367" s="1853" t="s">
        <v>2739</v>
      </c>
      <c r="F367" s="1850"/>
      <c r="G367" s="2975"/>
      <c r="H367" s="2975"/>
      <c r="I367" s="2975"/>
      <c r="J367" s="2975"/>
      <c r="K367" s="2968">
        <f>+TRUNC((+SUM(G367:J368)),2)</f>
        <v>0</v>
      </c>
      <c r="L367" s="745">
        <f>SUM(G367:K367)</f>
        <v>0</v>
      </c>
    </row>
    <row r="368" spans="1:12" ht="51" hidden="1" thickTop="1" thickBot="1">
      <c r="A368" s="3017"/>
      <c r="B368" s="2977"/>
      <c r="C368" s="1897" t="s">
        <v>2936</v>
      </c>
      <c r="D368" s="1898"/>
      <c r="E368" s="1858" t="s">
        <v>2739</v>
      </c>
      <c r="F368" s="1865"/>
      <c r="G368" s="2974"/>
      <c r="H368" s="2974"/>
      <c r="I368" s="2974"/>
      <c r="J368" s="2974"/>
      <c r="K368" s="2968"/>
      <c r="L368" s="1520">
        <f>+L367</f>
        <v>0</v>
      </c>
    </row>
    <row r="369" spans="1:12" ht="20.25" hidden="1" thickTop="1" thickBot="1">
      <c r="A369" s="3017"/>
      <c r="B369" s="2977"/>
      <c r="C369" s="1859" t="s">
        <v>2897</v>
      </c>
      <c r="D369" s="1920">
        <v>0.2</v>
      </c>
      <c r="E369" s="1853" t="s">
        <v>2739</v>
      </c>
      <c r="F369" s="1850"/>
      <c r="G369" s="2975"/>
      <c r="H369" s="2975"/>
      <c r="I369" s="2975"/>
      <c r="J369" s="2975"/>
      <c r="K369" s="2968">
        <f>+TRUNC((+SUM(G369:J370)),2)</f>
        <v>0</v>
      </c>
      <c r="L369" s="745">
        <f>SUM(G369:K369)</f>
        <v>0</v>
      </c>
    </row>
    <row r="370" spans="1:12" ht="51" hidden="1" thickTop="1" thickBot="1">
      <c r="A370" s="3017"/>
      <c r="B370" s="2977"/>
      <c r="C370" s="1897" t="s">
        <v>2937</v>
      </c>
      <c r="D370" s="1898"/>
      <c r="E370" s="1858" t="s">
        <v>2739</v>
      </c>
      <c r="F370" s="1865"/>
      <c r="G370" s="2974"/>
      <c r="H370" s="2974"/>
      <c r="I370" s="2974"/>
      <c r="J370" s="2974"/>
      <c r="K370" s="2968"/>
      <c r="L370" s="1520">
        <f>+L369</f>
        <v>0</v>
      </c>
    </row>
    <row r="371" spans="1:12" ht="20.25" hidden="1" thickTop="1" thickBot="1">
      <c r="A371" s="3017"/>
      <c r="B371" s="2977"/>
      <c r="C371" s="1859" t="s">
        <v>2897</v>
      </c>
      <c r="D371" s="1920">
        <v>0.4</v>
      </c>
      <c r="E371" s="1853" t="s">
        <v>2739</v>
      </c>
      <c r="F371" s="1850"/>
      <c r="G371" s="2975"/>
      <c r="H371" s="2975"/>
      <c r="I371" s="2975"/>
      <c r="J371" s="2975"/>
      <c r="K371" s="2968">
        <f>+TRUNC((+SUM(G371:J372)),2)</f>
        <v>0</v>
      </c>
      <c r="L371" s="745">
        <f>SUM(G371:K371)</f>
        <v>0</v>
      </c>
    </row>
    <row r="372" spans="1:12" ht="51" hidden="1" thickTop="1" thickBot="1">
      <c r="A372" s="3017"/>
      <c r="B372" s="2977"/>
      <c r="C372" s="1897" t="s">
        <v>2938</v>
      </c>
      <c r="D372" s="1898"/>
      <c r="E372" s="1858" t="s">
        <v>2739</v>
      </c>
      <c r="F372" s="1865"/>
      <c r="G372" s="2974"/>
      <c r="H372" s="2974"/>
      <c r="I372" s="2974"/>
      <c r="J372" s="2974"/>
      <c r="K372" s="2968"/>
      <c r="L372" s="1520">
        <f>+L371</f>
        <v>0</v>
      </c>
    </row>
    <row r="373" spans="1:12" ht="20.25" hidden="1" thickTop="1" thickBot="1">
      <c r="A373" s="3017"/>
      <c r="B373" s="2977"/>
      <c r="C373" s="1859" t="s">
        <v>2897</v>
      </c>
      <c r="D373" s="1920">
        <v>0.2</v>
      </c>
      <c r="E373" s="1853" t="s">
        <v>2739</v>
      </c>
      <c r="F373" s="1850"/>
      <c r="G373" s="2975"/>
      <c r="H373" s="2975"/>
      <c r="I373" s="2975"/>
      <c r="J373" s="2975"/>
      <c r="K373" s="2968">
        <f>+TRUNC((+SUM(G373:J374)),2)</f>
        <v>0</v>
      </c>
      <c r="L373" s="745">
        <f>SUM(G373:K373)</f>
        <v>0</v>
      </c>
    </row>
    <row r="374" spans="1:12" ht="51" hidden="1" thickTop="1" thickBot="1">
      <c r="A374" s="3017"/>
      <c r="B374" s="2977"/>
      <c r="C374" s="1897" t="s">
        <v>2937</v>
      </c>
      <c r="D374" s="1898"/>
      <c r="E374" s="1858" t="s">
        <v>2739</v>
      </c>
      <c r="F374" s="1865"/>
      <c r="G374" s="2974"/>
      <c r="H374" s="2974"/>
      <c r="I374" s="2974"/>
      <c r="J374" s="2974"/>
      <c r="K374" s="2968"/>
      <c r="L374" s="1520">
        <f>+L373</f>
        <v>0</v>
      </c>
    </row>
    <row r="375" spans="1:12" ht="20.25" hidden="1" thickTop="1" thickBot="1">
      <c r="A375" s="3017"/>
      <c r="B375" s="2977"/>
      <c r="C375" s="1859" t="s">
        <v>2897</v>
      </c>
      <c r="D375" s="1920">
        <v>0.4</v>
      </c>
      <c r="E375" s="1853" t="s">
        <v>2739</v>
      </c>
      <c r="F375" s="1850"/>
      <c r="G375" s="2975"/>
      <c r="H375" s="2975"/>
      <c r="I375" s="2975"/>
      <c r="J375" s="2975"/>
      <c r="K375" s="2968">
        <f>+TRUNC((+SUM(G375:J376)),2)</f>
        <v>0</v>
      </c>
      <c r="L375" s="745">
        <f>SUM(G375:K375)</f>
        <v>0</v>
      </c>
    </row>
    <row r="376" spans="1:12" ht="51" hidden="1" thickTop="1" thickBot="1">
      <c r="A376" s="3017"/>
      <c r="B376" s="2977"/>
      <c r="C376" s="1897" t="s">
        <v>2938</v>
      </c>
      <c r="D376" s="1898"/>
      <c r="E376" s="1858" t="s">
        <v>2739</v>
      </c>
      <c r="F376" s="1865"/>
      <c r="G376" s="2974"/>
      <c r="H376" s="2974"/>
      <c r="I376" s="2974"/>
      <c r="J376" s="2974"/>
      <c r="K376" s="2968"/>
      <c r="L376" s="1520">
        <f>+L375</f>
        <v>0</v>
      </c>
    </row>
    <row r="377" spans="1:12" ht="20.25" hidden="1" thickTop="1" thickBot="1">
      <c r="A377" s="3017"/>
      <c r="B377" s="2977"/>
      <c r="C377" s="1859" t="s">
        <v>2897</v>
      </c>
      <c r="D377" s="1920">
        <v>0.15</v>
      </c>
      <c r="E377" s="1853" t="s">
        <v>2739</v>
      </c>
      <c r="F377" s="1850"/>
      <c r="G377" s="2975"/>
      <c r="H377" s="2975"/>
      <c r="I377" s="2975"/>
      <c r="J377" s="2975"/>
      <c r="K377" s="2968">
        <f>+TRUNC((+SUM(G377:J378)),2)</f>
        <v>0</v>
      </c>
      <c r="L377" s="745">
        <f>SUM(G377:K377)</f>
        <v>0</v>
      </c>
    </row>
    <row r="378" spans="1:12" ht="51" hidden="1" thickTop="1" thickBot="1">
      <c r="A378" s="3017"/>
      <c r="B378" s="2977"/>
      <c r="C378" s="1897" t="s">
        <v>2939</v>
      </c>
      <c r="D378" s="1898"/>
      <c r="E378" s="1858" t="s">
        <v>2739</v>
      </c>
      <c r="F378" s="1865"/>
      <c r="G378" s="2974"/>
      <c r="H378" s="2974"/>
      <c r="I378" s="2974"/>
      <c r="J378" s="2974"/>
      <c r="K378" s="2968"/>
      <c r="L378" s="1520">
        <f>+L377</f>
        <v>0</v>
      </c>
    </row>
    <row r="379" spans="1:12" ht="20.25" hidden="1" thickTop="1" thickBot="1">
      <c r="A379" s="3017"/>
      <c r="B379" s="2977"/>
      <c r="C379" s="1859" t="s">
        <v>2897</v>
      </c>
      <c r="D379" s="1920">
        <v>0.1</v>
      </c>
      <c r="E379" s="1853" t="s">
        <v>2739</v>
      </c>
      <c r="F379" s="1850"/>
      <c r="G379" s="2975"/>
      <c r="H379" s="2975"/>
      <c r="I379" s="2975"/>
      <c r="J379" s="2975"/>
      <c r="K379" s="2968">
        <f>+TRUNC((+SUM(G379:J380)),2)</f>
        <v>0</v>
      </c>
      <c r="L379" s="745">
        <f>SUM(G379:K379)</f>
        <v>0</v>
      </c>
    </row>
    <row r="380" spans="1:12" ht="51" hidden="1" thickTop="1" thickBot="1">
      <c r="A380" s="3017"/>
      <c r="B380" s="2977"/>
      <c r="C380" s="1897" t="s">
        <v>2940</v>
      </c>
      <c r="D380" s="1898"/>
      <c r="E380" s="1858" t="s">
        <v>2739</v>
      </c>
      <c r="F380" s="1865"/>
      <c r="G380" s="2974"/>
      <c r="H380" s="2974"/>
      <c r="I380" s="2974"/>
      <c r="J380" s="2974"/>
      <c r="K380" s="2968"/>
      <c r="L380" s="1520">
        <f>+L379</f>
        <v>0</v>
      </c>
    </row>
    <row r="381" spans="1:12" ht="20.25" hidden="1" thickTop="1" thickBot="1">
      <c r="A381" s="3017"/>
      <c r="B381" s="2977"/>
      <c r="C381" s="1859" t="s">
        <v>2897</v>
      </c>
      <c r="D381" s="1920">
        <v>0.4</v>
      </c>
      <c r="E381" s="1853" t="s">
        <v>2739</v>
      </c>
      <c r="F381" s="1850"/>
      <c r="G381" s="2975"/>
      <c r="H381" s="2975"/>
      <c r="I381" s="2975"/>
      <c r="J381" s="2975"/>
      <c r="K381" s="2968">
        <f>+TRUNC((+SUM(G381:J382)),2)</f>
        <v>0</v>
      </c>
      <c r="L381" s="745">
        <f>SUM(G381:K381)</f>
        <v>0</v>
      </c>
    </row>
    <row r="382" spans="1:12" ht="63.75" hidden="1" thickTop="1" thickBot="1">
      <c r="A382" s="3017"/>
      <c r="B382" s="2977"/>
      <c r="C382" s="1897" t="s">
        <v>2941</v>
      </c>
      <c r="D382" s="1905" t="s">
        <v>2942</v>
      </c>
      <c r="E382" s="1921" t="s">
        <v>2739</v>
      </c>
      <c r="F382" s="1872"/>
      <c r="G382" s="2974"/>
      <c r="H382" s="2974"/>
      <c r="I382" s="2974"/>
      <c r="J382" s="2974"/>
      <c r="K382" s="2968"/>
      <c r="L382" s="1520">
        <f>+L381</f>
        <v>0</v>
      </c>
    </row>
    <row r="383" spans="1:12" ht="26.25" hidden="1" customHeight="1" thickBot="1">
      <c r="A383" s="3017"/>
      <c r="B383" s="2978"/>
      <c r="C383" s="2969" t="s">
        <v>2924</v>
      </c>
      <c r="D383" s="2970"/>
      <c r="E383" s="1864" t="s">
        <v>2739</v>
      </c>
      <c r="F383" s="1872"/>
      <c r="G383" s="1870" cm="1">
        <f t="array" ref="G383">SUMPRODUCT(($D363:$D380)*(G363:G380))+($D381*G381/2)</f>
        <v>0</v>
      </c>
      <c r="H383" s="1870" cm="1">
        <f t="array" ref="H383">SUMPRODUCT(($D363:$D380)*(H363:H380))+($D381*H381/2)</f>
        <v>0</v>
      </c>
      <c r="I383" s="1870" cm="1">
        <f t="array" ref="I383">SUMPRODUCT(($D363:$D380)*(I363:I380))+($D381*I381/2)</f>
        <v>0</v>
      </c>
      <c r="J383" s="1870"/>
      <c r="K383" s="1893">
        <f>+TRUNC(+SUM(G383:J383),2)</f>
        <v>0</v>
      </c>
      <c r="L383" s="745">
        <f>SUM(G383:K383)</f>
        <v>0</v>
      </c>
    </row>
    <row r="384" spans="1:12" ht="18.75" hidden="1" customHeight="1">
      <c r="A384" s="3017"/>
      <c r="B384" s="2948" t="s">
        <v>2943</v>
      </c>
      <c r="C384" s="1919" t="s">
        <v>2897</v>
      </c>
      <c r="D384" s="2971"/>
      <c r="E384" s="1853" t="s">
        <v>2739</v>
      </c>
      <c r="F384" s="1872"/>
      <c r="G384" s="2973"/>
      <c r="H384" s="2973"/>
      <c r="I384" s="2973"/>
      <c r="J384" s="2973"/>
      <c r="K384" s="2968">
        <f>+TRUNC((+SUM(G384:J385)),2)</f>
        <v>0</v>
      </c>
      <c r="L384" s="745">
        <f>SUM(G384:K384)</f>
        <v>0</v>
      </c>
    </row>
    <row r="385" spans="1:12" ht="63.75" hidden="1" thickTop="1" thickBot="1">
      <c r="A385" s="3017"/>
      <c r="B385" s="2949"/>
      <c r="C385" s="1897" t="s">
        <v>2944</v>
      </c>
      <c r="D385" s="2972"/>
      <c r="E385" s="1921" t="s">
        <v>2739</v>
      </c>
      <c r="F385" s="1872"/>
      <c r="G385" s="2974"/>
      <c r="H385" s="2974"/>
      <c r="I385" s="2974"/>
      <c r="J385" s="2974"/>
      <c r="K385" s="2968"/>
      <c r="L385" s="1520">
        <f>+L384</f>
        <v>0</v>
      </c>
    </row>
    <row r="386" spans="1:12" ht="26.25" hidden="1" customHeight="1" thickBot="1">
      <c r="A386" s="3017"/>
      <c r="B386" s="2950"/>
      <c r="C386" s="2969" t="s">
        <v>2945</v>
      </c>
      <c r="D386" s="2970"/>
      <c r="E386" s="1864" t="s">
        <v>2739</v>
      </c>
      <c r="F386" s="1872"/>
      <c r="G386" s="1870">
        <f>+G384</f>
        <v>0</v>
      </c>
      <c r="H386" s="1870">
        <f>+H384</f>
        <v>0</v>
      </c>
      <c r="I386" s="1870">
        <f>+I384</f>
        <v>0</v>
      </c>
      <c r="J386" s="1870"/>
      <c r="K386" s="1893">
        <f>+TRUNC(+SUM(G386:J386),2)</f>
        <v>0</v>
      </c>
      <c r="L386" s="745">
        <f>SUM(G386:K386)</f>
        <v>0</v>
      </c>
    </row>
    <row r="387" spans="1:12" ht="18.75" hidden="1" customHeight="1">
      <c r="A387" s="3017"/>
      <c r="B387" s="2948" t="s">
        <v>2946</v>
      </c>
      <c r="C387" s="1919" t="s">
        <v>2897</v>
      </c>
      <c r="D387" s="2971"/>
      <c r="E387" s="1853" t="s">
        <v>2739</v>
      </c>
      <c r="F387" s="1850"/>
      <c r="G387" s="2973"/>
      <c r="H387" s="2973"/>
      <c r="I387" s="2973"/>
      <c r="J387" s="2973"/>
      <c r="K387" s="2968">
        <f>+TRUNC((+SUM(G387:J388)),2)</f>
        <v>0</v>
      </c>
      <c r="L387" s="745">
        <f>SUM(G387:K387)</f>
        <v>0</v>
      </c>
    </row>
    <row r="388" spans="1:12" ht="63.75" hidden="1" thickTop="1" thickBot="1">
      <c r="A388" s="3017"/>
      <c r="B388" s="2949"/>
      <c r="C388" s="1897" t="s">
        <v>2947</v>
      </c>
      <c r="D388" s="2972"/>
      <c r="E388" s="1921" t="s">
        <v>2739</v>
      </c>
      <c r="F388" s="1872"/>
      <c r="G388" s="2974"/>
      <c r="H388" s="2974"/>
      <c r="I388" s="2974"/>
      <c r="J388" s="2974"/>
      <c r="K388" s="2968"/>
      <c r="L388" s="1520">
        <f>+L387</f>
        <v>0</v>
      </c>
    </row>
    <row r="389" spans="1:12" ht="26.25" hidden="1" customHeight="1" thickBot="1">
      <c r="A389" s="3017"/>
      <c r="B389" s="2950"/>
      <c r="C389" s="2969" t="s">
        <v>2945</v>
      </c>
      <c r="D389" s="2970"/>
      <c r="E389" s="1864" t="s">
        <v>2739</v>
      </c>
      <c r="F389" s="1872"/>
      <c r="G389" s="1870">
        <f>+G387</f>
        <v>0</v>
      </c>
      <c r="H389" s="1870">
        <f>+H387</f>
        <v>0</v>
      </c>
      <c r="I389" s="1870">
        <f>+I387</f>
        <v>0</v>
      </c>
      <c r="J389" s="1870"/>
      <c r="K389" s="1893">
        <f>+TRUNC(+SUM(G389:J389),2)</f>
        <v>0</v>
      </c>
      <c r="L389" s="745">
        <f t="shared" ref="L389:L401" si="1">SUM(G389:K389)</f>
        <v>0</v>
      </c>
    </row>
    <row r="390" spans="1:12" ht="24" hidden="1" customHeight="1">
      <c r="A390" s="3017"/>
      <c r="B390" s="2948" t="s">
        <v>2948</v>
      </c>
      <c r="C390" s="2951" t="s">
        <v>2949</v>
      </c>
      <c r="D390" s="1922" t="s">
        <v>2950</v>
      </c>
      <c r="E390" s="1864" t="s">
        <v>2739</v>
      </c>
      <c r="F390" s="1865"/>
      <c r="G390" s="1873"/>
      <c r="H390" s="1873"/>
      <c r="I390" s="1873"/>
      <c r="J390" s="1873"/>
      <c r="K390" s="1890">
        <f t="shared" ref="K390:K397" si="2">SUM(G390:J390)</f>
        <v>0</v>
      </c>
      <c r="L390" s="745">
        <f t="shared" si="1"/>
        <v>0</v>
      </c>
    </row>
    <row r="391" spans="1:12" ht="24" hidden="1" customHeight="1">
      <c r="A391" s="3017"/>
      <c r="B391" s="2949"/>
      <c r="C391" s="2952"/>
      <c r="D391" s="1923" t="s">
        <v>2951</v>
      </c>
      <c r="E391" s="1864"/>
      <c r="F391" s="1865"/>
      <c r="G391" s="1878"/>
      <c r="H391" s="1878"/>
      <c r="I391" s="1878"/>
      <c r="J391" s="1878"/>
      <c r="K391" s="1867">
        <f t="shared" si="2"/>
        <v>0</v>
      </c>
      <c r="L391" s="745">
        <f t="shared" si="1"/>
        <v>0</v>
      </c>
    </row>
    <row r="392" spans="1:12" ht="24" hidden="1" customHeight="1">
      <c r="A392" s="3017"/>
      <c r="B392" s="2949"/>
      <c r="C392" s="2952"/>
      <c r="D392" s="1923" t="s">
        <v>2952</v>
      </c>
      <c r="E392" s="1864"/>
      <c r="F392" s="1865"/>
      <c r="G392" s="1866"/>
      <c r="H392" s="1866"/>
      <c r="I392" s="1866"/>
      <c r="J392" s="1866"/>
      <c r="K392" s="1887">
        <f t="shared" si="2"/>
        <v>0</v>
      </c>
      <c r="L392" s="745">
        <f t="shared" si="1"/>
        <v>0</v>
      </c>
    </row>
    <row r="393" spans="1:12" ht="24" hidden="1" customHeight="1">
      <c r="A393" s="3017"/>
      <c r="B393" s="2949"/>
      <c r="C393" s="2953"/>
      <c r="D393" s="1924" t="s">
        <v>2953</v>
      </c>
      <c r="E393" s="1864" t="s">
        <v>2739</v>
      </c>
      <c r="F393" s="1865"/>
      <c r="G393" s="1878"/>
      <c r="H393" s="1878"/>
      <c r="I393" s="1878"/>
      <c r="J393" s="1878"/>
      <c r="K393" s="1867">
        <f t="shared" si="2"/>
        <v>0</v>
      </c>
      <c r="L393" s="745">
        <f t="shared" si="1"/>
        <v>0</v>
      </c>
    </row>
    <row r="394" spans="1:12" ht="24" hidden="1" customHeight="1">
      <c r="A394" s="3017"/>
      <c r="B394" s="2949"/>
      <c r="C394" s="2954" t="s">
        <v>2954</v>
      </c>
      <c r="D394" s="1923" t="s">
        <v>2950</v>
      </c>
      <c r="E394" s="1864" t="s">
        <v>2739</v>
      </c>
      <c r="F394" s="1865"/>
      <c r="G394" s="1866"/>
      <c r="H394" s="1866"/>
      <c r="I394" s="1866"/>
      <c r="J394" s="1866"/>
      <c r="K394" s="1887">
        <f t="shared" si="2"/>
        <v>0</v>
      </c>
      <c r="L394" s="745">
        <f t="shared" si="1"/>
        <v>0</v>
      </c>
    </row>
    <row r="395" spans="1:12" ht="24" hidden="1" customHeight="1">
      <c r="A395" s="3017"/>
      <c r="B395" s="2949"/>
      <c r="C395" s="2952"/>
      <c r="D395" s="1923" t="s">
        <v>2951</v>
      </c>
      <c r="E395" s="1864"/>
      <c r="F395" s="1865"/>
      <c r="G395" s="1878"/>
      <c r="H395" s="1878"/>
      <c r="I395" s="1878"/>
      <c r="J395" s="1878"/>
      <c r="K395" s="1867">
        <f t="shared" si="2"/>
        <v>0</v>
      </c>
      <c r="L395" s="745">
        <f t="shared" si="1"/>
        <v>0</v>
      </c>
    </row>
    <row r="396" spans="1:12" ht="24" hidden="1" customHeight="1">
      <c r="A396" s="3017"/>
      <c r="B396" s="2949"/>
      <c r="C396" s="2952"/>
      <c r="D396" s="1923" t="s">
        <v>2952</v>
      </c>
      <c r="E396" s="1864"/>
      <c r="F396" s="1865"/>
      <c r="G396" s="1866"/>
      <c r="H396" s="1866"/>
      <c r="I396" s="1866"/>
      <c r="J396" s="1866"/>
      <c r="K396" s="1887">
        <f t="shared" si="2"/>
        <v>0</v>
      </c>
      <c r="L396" s="745">
        <f t="shared" si="1"/>
        <v>0</v>
      </c>
    </row>
    <row r="397" spans="1:12" ht="24" hidden="1" customHeight="1" thickBot="1">
      <c r="A397" s="3017"/>
      <c r="B397" s="2950"/>
      <c r="C397" s="2955"/>
      <c r="D397" s="1925" t="s">
        <v>2953</v>
      </c>
      <c r="E397" s="1864" t="s">
        <v>2739</v>
      </c>
      <c r="F397" s="1865"/>
      <c r="G397" s="1878"/>
      <c r="H397" s="1878"/>
      <c r="I397" s="1878"/>
      <c r="J397" s="1878"/>
      <c r="K397" s="1867">
        <f t="shared" si="2"/>
        <v>0</v>
      </c>
      <c r="L397" s="745">
        <f t="shared" si="1"/>
        <v>0</v>
      </c>
    </row>
    <row r="398" spans="1:12" ht="25.5" hidden="1" customHeight="1" thickBot="1">
      <c r="A398" s="3017"/>
      <c r="B398" s="2956" t="s">
        <v>2955</v>
      </c>
      <c r="C398" s="2957"/>
      <c r="D398" s="2958"/>
      <c r="E398" s="1864"/>
      <c r="F398" s="1865"/>
      <c r="G398" s="1873"/>
      <c r="H398" s="1873"/>
      <c r="I398" s="1873"/>
      <c r="J398" s="1873"/>
      <c r="K398" s="1890">
        <f>+SUM(G398:J398)</f>
        <v>0</v>
      </c>
      <c r="L398" s="745">
        <f t="shared" si="1"/>
        <v>0</v>
      </c>
    </row>
    <row r="399" spans="1:12" ht="25.5" hidden="1" customHeight="1">
      <c r="A399" s="3017"/>
      <c r="B399" s="2959" t="s">
        <v>2956</v>
      </c>
      <c r="C399" s="2960"/>
      <c r="D399" s="1926" t="s">
        <v>2957</v>
      </c>
      <c r="E399" s="1864" t="s">
        <v>2739</v>
      </c>
      <c r="F399" s="1865"/>
      <c r="G399" s="1927"/>
      <c r="H399" s="1927"/>
      <c r="I399" s="1927"/>
      <c r="J399" s="1927"/>
      <c r="K399" s="1890">
        <f>+TRUNC(+SUM(G399:J399),2)</f>
        <v>0</v>
      </c>
      <c r="L399" s="745">
        <f t="shared" si="1"/>
        <v>0</v>
      </c>
    </row>
    <row r="400" spans="1:12" ht="25.5" hidden="1" customHeight="1">
      <c r="A400" s="3017"/>
      <c r="B400" s="2961"/>
      <c r="C400" s="2962"/>
      <c r="D400" s="1928" t="s">
        <v>2958</v>
      </c>
      <c r="E400" s="1864"/>
      <c r="F400" s="1865"/>
      <c r="G400" s="1881"/>
      <c r="H400" s="1881"/>
      <c r="I400" s="1881"/>
      <c r="J400" s="1881"/>
      <c r="K400" s="1929">
        <f>+TRUNC(+SUM(G400:J400),2)</f>
        <v>0</v>
      </c>
      <c r="L400" s="745">
        <f t="shared" si="1"/>
        <v>0</v>
      </c>
    </row>
    <row r="401" spans="1:12" ht="27" hidden="1" thickTop="1" thickBot="1">
      <c r="A401" s="3017"/>
      <c r="B401" s="2963"/>
      <c r="C401" s="2964"/>
      <c r="D401" s="1930" t="s">
        <v>2959</v>
      </c>
      <c r="E401" s="1864" t="s">
        <v>2739</v>
      </c>
      <c r="F401" s="1865"/>
      <c r="G401" s="1931"/>
      <c r="H401" s="1931"/>
      <c r="I401" s="1931"/>
      <c r="J401" s="1931"/>
      <c r="K401" s="1871">
        <f>+TRUNC(+SUM(G401:J401),2)</f>
        <v>0</v>
      </c>
      <c r="L401" s="745">
        <f t="shared" si="1"/>
        <v>0</v>
      </c>
    </row>
    <row r="402" spans="1:12" ht="50.1" customHeight="1" thickTop="1" thickBot="1">
      <c r="A402" s="3018"/>
      <c r="B402" s="2965" t="s">
        <v>1400</v>
      </c>
      <c r="C402" s="2966"/>
      <c r="D402" s="2967"/>
      <c r="E402" s="1932" t="s">
        <v>2739</v>
      </c>
      <c r="F402" s="1933"/>
      <c r="G402" s="1792"/>
      <c r="H402" s="1792"/>
      <c r="I402" s="1792"/>
      <c r="J402" s="1792"/>
      <c r="K402" s="1934"/>
      <c r="L402" s="794">
        <v>1</v>
      </c>
    </row>
    <row r="403" spans="1:12" ht="13.5" thickTop="1">
      <c r="G403" s="1937"/>
      <c r="H403" s="1937"/>
      <c r="I403" s="1937"/>
      <c r="J403" s="1937"/>
    </row>
  </sheetData>
  <autoFilter ref="A1:L402" xr:uid="{00000000-0001-0000-1F00-000000000000}">
    <filterColumn colId="1" showButton="0"/>
    <filterColumn colId="2" showButton="0"/>
    <filterColumn colId="4" showButton="0"/>
    <filterColumn colId="11">
      <customFilters>
        <customFilter operator="notEqual" val=" "/>
      </customFilters>
    </filterColumn>
  </autoFilter>
  <mergeCells count="938">
    <mergeCell ref="I2:I3"/>
    <mergeCell ref="J2:J3"/>
    <mergeCell ref="K2:K3"/>
    <mergeCell ref="G4:G5"/>
    <mergeCell ref="H4:H5"/>
    <mergeCell ref="I4:I5"/>
    <mergeCell ref="J4:J5"/>
    <mergeCell ref="K4:K5"/>
    <mergeCell ref="A1:A402"/>
    <mergeCell ref="B1:D1"/>
    <mergeCell ref="E1:F1"/>
    <mergeCell ref="B2:B280"/>
    <mergeCell ref="G2:G3"/>
    <mergeCell ref="H2:H3"/>
    <mergeCell ref="G6:G7"/>
    <mergeCell ref="H6:H7"/>
    <mergeCell ref="G10:G11"/>
    <mergeCell ref="H10:H11"/>
    <mergeCell ref="I10:I11"/>
    <mergeCell ref="J10:J11"/>
    <mergeCell ref="K10:K11"/>
    <mergeCell ref="G12:G13"/>
    <mergeCell ref="H12:H13"/>
    <mergeCell ref="I12:I13"/>
    <mergeCell ref="J12:J13"/>
    <mergeCell ref="K12:K13"/>
    <mergeCell ref="I6:I7"/>
    <mergeCell ref="J6:J7"/>
    <mergeCell ref="K6:K7"/>
    <mergeCell ref="G8:G9"/>
    <mergeCell ref="H8:H9"/>
    <mergeCell ref="I8:I9"/>
    <mergeCell ref="J8:J9"/>
    <mergeCell ref="K8:K9"/>
    <mergeCell ref="G14:G15"/>
    <mergeCell ref="H14:H15"/>
    <mergeCell ref="I14:I15"/>
    <mergeCell ref="J14:J15"/>
    <mergeCell ref="K14:K15"/>
    <mergeCell ref="G16:G17"/>
    <mergeCell ref="H16:H17"/>
    <mergeCell ref="I16:I17"/>
    <mergeCell ref="J16:J17"/>
    <mergeCell ref="K16:K17"/>
    <mergeCell ref="G18:G19"/>
    <mergeCell ref="H18:H19"/>
    <mergeCell ref="I18:I19"/>
    <mergeCell ref="J18:J19"/>
    <mergeCell ref="K18:K19"/>
    <mergeCell ref="G20:G21"/>
    <mergeCell ref="H20:H21"/>
    <mergeCell ref="I20:I21"/>
    <mergeCell ref="J20:J21"/>
    <mergeCell ref="K20:K21"/>
    <mergeCell ref="G22:G23"/>
    <mergeCell ref="H22:H23"/>
    <mergeCell ref="I22:I23"/>
    <mergeCell ref="J22:J23"/>
    <mergeCell ref="K22:K23"/>
    <mergeCell ref="G24:G25"/>
    <mergeCell ref="H24:H25"/>
    <mergeCell ref="I24:I25"/>
    <mergeCell ref="J24:J25"/>
    <mergeCell ref="K24:K25"/>
    <mergeCell ref="G26:G27"/>
    <mergeCell ref="H26:H27"/>
    <mergeCell ref="I26:I27"/>
    <mergeCell ref="J26:J27"/>
    <mergeCell ref="K26:K27"/>
    <mergeCell ref="G28:G29"/>
    <mergeCell ref="H28:H29"/>
    <mergeCell ref="I28:I29"/>
    <mergeCell ref="J28:J29"/>
    <mergeCell ref="K28:K29"/>
    <mergeCell ref="G30:G31"/>
    <mergeCell ref="H30:H31"/>
    <mergeCell ref="I30:I31"/>
    <mergeCell ref="J30:J31"/>
    <mergeCell ref="K30:K31"/>
    <mergeCell ref="G32:G33"/>
    <mergeCell ref="H32:H33"/>
    <mergeCell ref="I32:I33"/>
    <mergeCell ref="J32:J33"/>
    <mergeCell ref="K32:K33"/>
    <mergeCell ref="G34:G35"/>
    <mergeCell ref="H34:H35"/>
    <mergeCell ref="I34:I35"/>
    <mergeCell ref="J34:J35"/>
    <mergeCell ref="K34:K35"/>
    <mergeCell ref="G36:G37"/>
    <mergeCell ref="H36:H37"/>
    <mergeCell ref="I36:I37"/>
    <mergeCell ref="J36:J37"/>
    <mergeCell ref="K36:K37"/>
    <mergeCell ref="G38:G39"/>
    <mergeCell ref="H38:H39"/>
    <mergeCell ref="I38:I39"/>
    <mergeCell ref="J38:J39"/>
    <mergeCell ref="K38:K39"/>
    <mergeCell ref="G40:G41"/>
    <mergeCell ref="H40:H41"/>
    <mergeCell ref="I40:I41"/>
    <mergeCell ref="J40:J41"/>
    <mergeCell ref="K40:K41"/>
    <mergeCell ref="G42:G43"/>
    <mergeCell ref="H42:H43"/>
    <mergeCell ref="I42:I43"/>
    <mergeCell ref="J42:J43"/>
    <mergeCell ref="K42:K43"/>
    <mergeCell ref="G44:G45"/>
    <mergeCell ref="H44:H45"/>
    <mergeCell ref="I44:I45"/>
    <mergeCell ref="J44:J45"/>
    <mergeCell ref="K44:K45"/>
    <mergeCell ref="G46:G47"/>
    <mergeCell ref="H46:H47"/>
    <mergeCell ref="I46:I47"/>
    <mergeCell ref="J46:J47"/>
    <mergeCell ref="K46:K47"/>
    <mergeCell ref="G48:G49"/>
    <mergeCell ref="H48:H49"/>
    <mergeCell ref="I48:I49"/>
    <mergeCell ref="J48:J49"/>
    <mergeCell ref="K48:K49"/>
    <mergeCell ref="G50:G51"/>
    <mergeCell ref="H50:H51"/>
    <mergeCell ref="I50:I51"/>
    <mergeCell ref="J50:J51"/>
    <mergeCell ref="K50:K51"/>
    <mergeCell ref="G52:G53"/>
    <mergeCell ref="H52:H53"/>
    <mergeCell ref="I52:I53"/>
    <mergeCell ref="J52:J53"/>
    <mergeCell ref="K52:K53"/>
    <mergeCell ref="G54:G55"/>
    <mergeCell ref="H54:H55"/>
    <mergeCell ref="I54:I55"/>
    <mergeCell ref="J54:J55"/>
    <mergeCell ref="K54:K55"/>
    <mergeCell ref="G56:G57"/>
    <mergeCell ref="H56:H57"/>
    <mergeCell ref="I56:I57"/>
    <mergeCell ref="J56:J57"/>
    <mergeCell ref="K56:K57"/>
    <mergeCell ref="G58:G59"/>
    <mergeCell ref="H58:H59"/>
    <mergeCell ref="I58:I59"/>
    <mergeCell ref="J58:J59"/>
    <mergeCell ref="K58:K59"/>
    <mergeCell ref="G60:G61"/>
    <mergeCell ref="H60:H61"/>
    <mergeCell ref="I60:I61"/>
    <mergeCell ref="J60:J61"/>
    <mergeCell ref="K60:K61"/>
    <mergeCell ref="G62:G63"/>
    <mergeCell ref="H62:H63"/>
    <mergeCell ref="I62:I63"/>
    <mergeCell ref="J62:J63"/>
    <mergeCell ref="K62:K63"/>
    <mergeCell ref="G64:G65"/>
    <mergeCell ref="H64:H65"/>
    <mergeCell ref="I64:I65"/>
    <mergeCell ref="J64:J65"/>
    <mergeCell ref="K64:K65"/>
    <mergeCell ref="G66:G67"/>
    <mergeCell ref="H66:H67"/>
    <mergeCell ref="I66:I67"/>
    <mergeCell ref="J66:J67"/>
    <mergeCell ref="K66:K67"/>
    <mergeCell ref="G68:G69"/>
    <mergeCell ref="H68:H69"/>
    <mergeCell ref="I68:I69"/>
    <mergeCell ref="J68:J69"/>
    <mergeCell ref="K68:K69"/>
    <mergeCell ref="G70:G71"/>
    <mergeCell ref="H70:H71"/>
    <mergeCell ref="I70:I71"/>
    <mergeCell ref="J70:J71"/>
    <mergeCell ref="K70:K71"/>
    <mergeCell ref="G72:G73"/>
    <mergeCell ref="H72:H73"/>
    <mergeCell ref="I72:I73"/>
    <mergeCell ref="J72:J73"/>
    <mergeCell ref="K72:K73"/>
    <mergeCell ref="G74:G75"/>
    <mergeCell ref="H74:H75"/>
    <mergeCell ref="I74:I75"/>
    <mergeCell ref="J74:J75"/>
    <mergeCell ref="K74:K75"/>
    <mergeCell ref="G76:G77"/>
    <mergeCell ref="H76:H77"/>
    <mergeCell ref="I76:I77"/>
    <mergeCell ref="J76:J77"/>
    <mergeCell ref="K76:K77"/>
    <mergeCell ref="G78:G79"/>
    <mergeCell ref="H78:H79"/>
    <mergeCell ref="I78:I79"/>
    <mergeCell ref="J78:J79"/>
    <mergeCell ref="K78:K79"/>
    <mergeCell ref="G80:G81"/>
    <mergeCell ref="H80:H81"/>
    <mergeCell ref="I80:I81"/>
    <mergeCell ref="J80:J81"/>
    <mergeCell ref="K80:K81"/>
    <mergeCell ref="G82:G83"/>
    <mergeCell ref="H82:H83"/>
    <mergeCell ref="I82:I83"/>
    <mergeCell ref="J82:J83"/>
    <mergeCell ref="K82:K83"/>
    <mergeCell ref="G84:G85"/>
    <mergeCell ref="H84:H85"/>
    <mergeCell ref="I84:I85"/>
    <mergeCell ref="J84:J85"/>
    <mergeCell ref="K84:K85"/>
    <mergeCell ref="G86:G87"/>
    <mergeCell ref="H86:H87"/>
    <mergeCell ref="I86:I87"/>
    <mergeCell ref="J86:J87"/>
    <mergeCell ref="K86:K87"/>
    <mergeCell ref="G88:G89"/>
    <mergeCell ref="H88:H89"/>
    <mergeCell ref="I88:I89"/>
    <mergeCell ref="J88:J89"/>
    <mergeCell ref="K88:K89"/>
    <mergeCell ref="G90:G91"/>
    <mergeCell ref="H90:H91"/>
    <mergeCell ref="I90:I91"/>
    <mergeCell ref="J90:J91"/>
    <mergeCell ref="K90:K91"/>
    <mergeCell ref="G92:G93"/>
    <mergeCell ref="H92:H93"/>
    <mergeCell ref="I92:I93"/>
    <mergeCell ref="J92:J93"/>
    <mergeCell ref="K92:K93"/>
    <mergeCell ref="G94:G95"/>
    <mergeCell ref="H94:H95"/>
    <mergeCell ref="I94:I95"/>
    <mergeCell ref="J94:J95"/>
    <mergeCell ref="K94:K95"/>
    <mergeCell ref="G96:G97"/>
    <mergeCell ref="H96:H97"/>
    <mergeCell ref="I96:I97"/>
    <mergeCell ref="J96:J97"/>
    <mergeCell ref="K96:K97"/>
    <mergeCell ref="G98:G99"/>
    <mergeCell ref="H98:H99"/>
    <mergeCell ref="I98:I99"/>
    <mergeCell ref="J98:J99"/>
    <mergeCell ref="K98:K99"/>
    <mergeCell ref="G100:G101"/>
    <mergeCell ref="H100:H101"/>
    <mergeCell ref="I100:I101"/>
    <mergeCell ref="J100:J101"/>
    <mergeCell ref="K100:K101"/>
    <mergeCell ref="G102:G103"/>
    <mergeCell ref="H102:H103"/>
    <mergeCell ref="I102:I103"/>
    <mergeCell ref="J102:J103"/>
    <mergeCell ref="K102:K103"/>
    <mergeCell ref="G104:G105"/>
    <mergeCell ref="H104:H105"/>
    <mergeCell ref="I104:I105"/>
    <mergeCell ref="J104:J105"/>
    <mergeCell ref="K104:K105"/>
    <mergeCell ref="G106:G107"/>
    <mergeCell ref="H106:H107"/>
    <mergeCell ref="I106:I107"/>
    <mergeCell ref="J106:J107"/>
    <mergeCell ref="K106:K107"/>
    <mergeCell ref="G108:G109"/>
    <mergeCell ref="H108:H109"/>
    <mergeCell ref="I108:I109"/>
    <mergeCell ref="J108:J109"/>
    <mergeCell ref="K108:K109"/>
    <mergeCell ref="G110:G111"/>
    <mergeCell ref="H110:H111"/>
    <mergeCell ref="I110:I111"/>
    <mergeCell ref="J110:J111"/>
    <mergeCell ref="K110:K111"/>
    <mergeCell ref="G112:G113"/>
    <mergeCell ref="H112:H113"/>
    <mergeCell ref="I112:I113"/>
    <mergeCell ref="J112:J113"/>
    <mergeCell ref="K112:K113"/>
    <mergeCell ref="G114:G115"/>
    <mergeCell ref="H114:H115"/>
    <mergeCell ref="I114:I115"/>
    <mergeCell ref="J114:J115"/>
    <mergeCell ref="K114:K115"/>
    <mergeCell ref="G116:G117"/>
    <mergeCell ref="H116:H117"/>
    <mergeCell ref="I116:I117"/>
    <mergeCell ref="J116:J117"/>
    <mergeCell ref="K116:K117"/>
    <mergeCell ref="G118:G119"/>
    <mergeCell ref="H118:H119"/>
    <mergeCell ref="I118:I119"/>
    <mergeCell ref="J118:J119"/>
    <mergeCell ref="K118:K119"/>
    <mergeCell ref="G120:G121"/>
    <mergeCell ref="H120:H121"/>
    <mergeCell ref="I120:I121"/>
    <mergeCell ref="J120:J121"/>
    <mergeCell ref="K120:K121"/>
    <mergeCell ref="G122:G123"/>
    <mergeCell ref="H122:H123"/>
    <mergeCell ref="I122:I123"/>
    <mergeCell ref="J122:J123"/>
    <mergeCell ref="K122:K123"/>
    <mergeCell ref="G124:G125"/>
    <mergeCell ref="H124:H125"/>
    <mergeCell ref="I124:I125"/>
    <mergeCell ref="J124:J125"/>
    <mergeCell ref="K124:K125"/>
    <mergeCell ref="G126:G127"/>
    <mergeCell ref="H126:H127"/>
    <mergeCell ref="I126:I127"/>
    <mergeCell ref="J126:J127"/>
    <mergeCell ref="K126:K127"/>
    <mergeCell ref="G128:G129"/>
    <mergeCell ref="H128:H129"/>
    <mergeCell ref="I128:I129"/>
    <mergeCell ref="J128:J129"/>
    <mergeCell ref="K128:K129"/>
    <mergeCell ref="G130:G131"/>
    <mergeCell ref="H130:H131"/>
    <mergeCell ref="I130:I131"/>
    <mergeCell ref="J130:J131"/>
    <mergeCell ref="K130:K131"/>
    <mergeCell ref="G132:G133"/>
    <mergeCell ref="H132:H133"/>
    <mergeCell ref="I132:I133"/>
    <mergeCell ref="J132:J133"/>
    <mergeCell ref="K132:K133"/>
    <mergeCell ref="G134:G135"/>
    <mergeCell ref="H134:H135"/>
    <mergeCell ref="I134:I135"/>
    <mergeCell ref="J134:J135"/>
    <mergeCell ref="K134:K135"/>
    <mergeCell ref="G136:G137"/>
    <mergeCell ref="H136:H137"/>
    <mergeCell ref="I136:I137"/>
    <mergeCell ref="J136:J137"/>
    <mergeCell ref="K136:K137"/>
    <mergeCell ref="G138:G139"/>
    <mergeCell ref="H138:H139"/>
    <mergeCell ref="I138:I139"/>
    <mergeCell ref="J138:J139"/>
    <mergeCell ref="K138:K139"/>
    <mergeCell ref="G140:G141"/>
    <mergeCell ref="H140:H141"/>
    <mergeCell ref="I140:I141"/>
    <mergeCell ref="J140:J141"/>
    <mergeCell ref="K140:K141"/>
    <mergeCell ref="G142:G143"/>
    <mergeCell ref="H142:H143"/>
    <mergeCell ref="I142:I143"/>
    <mergeCell ref="J142:J143"/>
    <mergeCell ref="K142:K143"/>
    <mergeCell ref="G144:G145"/>
    <mergeCell ref="H144:H145"/>
    <mergeCell ref="I144:I145"/>
    <mergeCell ref="J144:J145"/>
    <mergeCell ref="K144:K145"/>
    <mergeCell ref="G146:G147"/>
    <mergeCell ref="H146:H147"/>
    <mergeCell ref="I146:I147"/>
    <mergeCell ref="J146:J147"/>
    <mergeCell ref="K146:K147"/>
    <mergeCell ref="G148:G149"/>
    <mergeCell ref="H148:H149"/>
    <mergeCell ref="I148:I149"/>
    <mergeCell ref="J148:J149"/>
    <mergeCell ref="K148:K149"/>
    <mergeCell ref="G150:G151"/>
    <mergeCell ref="H150:H151"/>
    <mergeCell ref="I150:I151"/>
    <mergeCell ref="J150:J151"/>
    <mergeCell ref="K150:K151"/>
    <mergeCell ref="G152:G153"/>
    <mergeCell ref="H152:H153"/>
    <mergeCell ref="I152:I153"/>
    <mergeCell ref="J152:J153"/>
    <mergeCell ref="K152:K153"/>
    <mergeCell ref="G154:G155"/>
    <mergeCell ref="H154:H155"/>
    <mergeCell ref="I154:I155"/>
    <mergeCell ref="J154:J155"/>
    <mergeCell ref="K154:K155"/>
    <mergeCell ref="G156:G157"/>
    <mergeCell ref="H156:H157"/>
    <mergeCell ref="I156:I157"/>
    <mergeCell ref="J156:J157"/>
    <mergeCell ref="K156:K157"/>
    <mergeCell ref="G158:G159"/>
    <mergeCell ref="H158:H159"/>
    <mergeCell ref="I158:I159"/>
    <mergeCell ref="J158:J159"/>
    <mergeCell ref="K158:K159"/>
    <mergeCell ref="G160:G161"/>
    <mergeCell ref="H160:H161"/>
    <mergeCell ref="I160:I161"/>
    <mergeCell ref="J160:J161"/>
    <mergeCell ref="K160:K161"/>
    <mergeCell ref="G162:G163"/>
    <mergeCell ref="H162:H163"/>
    <mergeCell ref="I162:I163"/>
    <mergeCell ref="J162:J163"/>
    <mergeCell ref="K162:K163"/>
    <mergeCell ref="G164:G165"/>
    <mergeCell ref="H164:H165"/>
    <mergeCell ref="I164:I165"/>
    <mergeCell ref="J164:J165"/>
    <mergeCell ref="K164:K165"/>
    <mergeCell ref="G166:G167"/>
    <mergeCell ref="H166:H167"/>
    <mergeCell ref="I166:I167"/>
    <mergeCell ref="J166:J167"/>
    <mergeCell ref="K166:K167"/>
    <mergeCell ref="G168:G169"/>
    <mergeCell ref="H168:H169"/>
    <mergeCell ref="I168:I169"/>
    <mergeCell ref="J168:J169"/>
    <mergeCell ref="K168:K169"/>
    <mergeCell ref="G170:G171"/>
    <mergeCell ref="H170:H171"/>
    <mergeCell ref="I170:I171"/>
    <mergeCell ref="J170:J171"/>
    <mergeCell ref="K170:K171"/>
    <mergeCell ref="G172:G173"/>
    <mergeCell ref="H172:H173"/>
    <mergeCell ref="I172:I173"/>
    <mergeCell ref="J172:J173"/>
    <mergeCell ref="K172:K173"/>
    <mergeCell ref="G174:G175"/>
    <mergeCell ref="H174:H175"/>
    <mergeCell ref="I174:I175"/>
    <mergeCell ref="J174:J175"/>
    <mergeCell ref="K174:K175"/>
    <mergeCell ref="G176:G177"/>
    <mergeCell ref="H176:H177"/>
    <mergeCell ref="I176:I177"/>
    <mergeCell ref="J176:J177"/>
    <mergeCell ref="K176:K177"/>
    <mergeCell ref="G178:G179"/>
    <mergeCell ref="H178:H179"/>
    <mergeCell ref="I178:I179"/>
    <mergeCell ref="J178:J179"/>
    <mergeCell ref="K178:K179"/>
    <mergeCell ref="G180:G181"/>
    <mergeCell ref="H180:H181"/>
    <mergeCell ref="I180:I181"/>
    <mergeCell ref="J180:J181"/>
    <mergeCell ref="K180:K181"/>
    <mergeCell ref="G182:G183"/>
    <mergeCell ref="H182:H183"/>
    <mergeCell ref="I182:I183"/>
    <mergeCell ref="J182:J183"/>
    <mergeCell ref="K182:K183"/>
    <mergeCell ref="G184:G185"/>
    <mergeCell ref="H184:H185"/>
    <mergeCell ref="I184:I185"/>
    <mergeCell ref="J184:J185"/>
    <mergeCell ref="K184:K185"/>
    <mergeCell ref="G186:G187"/>
    <mergeCell ref="H186:H187"/>
    <mergeCell ref="I186:I187"/>
    <mergeCell ref="J186:J187"/>
    <mergeCell ref="K186:K187"/>
    <mergeCell ref="G188:G189"/>
    <mergeCell ref="H188:H189"/>
    <mergeCell ref="I188:I189"/>
    <mergeCell ref="J188:J189"/>
    <mergeCell ref="K188:K189"/>
    <mergeCell ref="G190:G191"/>
    <mergeCell ref="H190:H191"/>
    <mergeCell ref="I190:I191"/>
    <mergeCell ref="J190:J191"/>
    <mergeCell ref="K190:K191"/>
    <mergeCell ref="G192:G193"/>
    <mergeCell ref="H192:H193"/>
    <mergeCell ref="I192:I193"/>
    <mergeCell ref="J192:J193"/>
    <mergeCell ref="K192:K193"/>
    <mergeCell ref="G194:G195"/>
    <mergeCell ref="H194:H195"/>
    <mergeCell ref="I194:I195"/>
    <mergeCell ref="J194:J195"/>
    <mergeCell ref="K194:K195"/>
    <mergeCell ref="G196:G197"/>
    <mergeCell ref="H196:H197"/>
    <mergeCell ref="I196:I197"/>
    <mergeCell ref="J196:J197"/>
    <mergeCell ref="K196:K197"/>
    <mergeCell ref="G198:G199"/>
    <mergeCell ref="H198:H199"/>
    <mergeCell ref="I198:I199"/>
    <mergeCell ref="J198:J199"/>
    <mergeCell ref="K198:K199"/>
    <mergeCell ref="G200:G201"/>
    <mergeCell ref="H200:H201"/>
    <mergeCell ref="I200:I201"/>
    <mergeCell ref="J200:J201"/>
    <mergeCell ref="K200:K201"/>
    <mergeCell ref="G202:G203"/>
    <mergeCell ref="H202:H203"/>
    <mergeCell ref="I202:I203"/>
    <mergeCell ref="J202:J203"/>
    <mergeCell ref="K202:K203"/>
    <mergeCell ref="G204:G205"/>
    <mergeCell ref="H204:H205"/>
    <mergeCell ref="I204:I205"/>
    <mergeCell ref="J204:J205"/>
    <mergeCell ref="K204:K205"/>
    <mergeCell ref="G206:G207"/>
    <mergeCell ref="H206:H207"/>
    <mergeCell ref="I206:I207"/>
    <mergeCell ref="J206:J207"/>
    <mergeCell ref="K206:K207"/>
    <mergeCell ref="G208:G209"/>
    <mergeCell ref="H208:H209"/>
    <mergeCell ref="I208:I209"/>
    <mergeCell ref="J208:J209"/>
    <mergeCell ref="K208:K209"/>
    <mergeCell ref="G210:G211"/>
    <mergeCell ref="H210:H211"/>
    <mergeCell ref="I210:I211"/>
    <mergeCell ref="J210:J211"/>
    <mergeCell ref="K210:K211"/>
    <mergeCell ref="G212:G213"/>
    <mergeCell ref="H212:H213"/>
    <mergeCell ref="I212:I213"/>
    <mergeCell ref="J212:J213"/>
    <mergeCell ref="K212:K213"/>
    <mergeCell ref="G214:G215"/>
    <mergeCell ref="H214:H215"/>
    <mergeCell ref="I214:I215"/>
    <mergeCell ref="J214:J215"/>
    <mergeCell ref="K214:K215"/>
    <mergeCell ref="G216:G217"/>
    <mergeCell ref="H216:H217"/>
    <mergeCell ref="I216:I217"/>
    <mergeCell ref="J216:J217"/>
    <mergeCell ref="K216:K217"/>
    <mergeCell ref="G218:G219"/>
    <mergeCell ref="H218:H219"/>
    <mergeCell ref="I218:I219"/>
    <mergeCell ref="J218:J219"/>
    <mergeCell ref="K218:K219"/>
    <mergeCell ref="G220:G221"/>
    <mergeCell ref="H220:H221"/>
    <mergeCell ref="I220:I221"/>
    <mergeCell ref="J220:J221"/>
    <mergeCell ref="K220:K221"/>
    <mergeCell ref="G222:G223"/>
    <mergeCell ref="H222:H223"/>
    <mergeCell ref="I222:I223"/>
    <mergeCell ref="J222:J223"/>
    <mergeCell ref="K222:K223"/>
    <mergeCell ref="G224:G225"/>
    <mergeCell ref="H224:H225"/>
    <mergeCell ref="I224:I225"/>
    <mergeCell ref="J224:J225"/>
    <mergeCell ref="K224:K225"/>
    <mergeCell ref="G226:G227"/>
    <mergeCell ref="H226:H227"/>
    <mergeCell ref="I226:I227"/>
    <mergeCell ref="J226:J227"/>
    <mergeCell ref="K226:K227"/>
    <mergeCell ref="G228:G229"/>
    <mergeCell ref="H228:H229"/>
    <mergeCell ref="I228:I229"/>
    <mergeCell ref="J228:J229"/>
    <mergeCell ref="K228:K229"/>
    <mergeCell ref="G230:G231"/>
    <mergeCell ref="H230:H231"/>
    <mergeCell ref="I230:I231"/>
    <mergeCell ref="J230:J231"/>
    <mergeCell ref="K230:K231"/>
    <mergeCell ref="G232:G233"/>
    <mergeCell ref="H232:H233"/>
    <mergeCell ref="I232:I233"/>
    <mergeCell ref="J232:J233"/>
    <mergeCell ref="K232:K233"/>
    <mergeCell ref="G234:G235"/>
    <mergeCell ref="H234:H235"/>
    <mergeCell ref="I234:I235"/>
    <mergeCell ref="J234:J235"/>
    <mergeCell ref="K234:K235"/>
    <mergeCell ref="G236:G237"/>
    <mergeCell ref="H236:H237"/>
    <mergeCell ref="I236:I237"/>
    <mergeCell ref="J236:J237"/>
    <mergeCell ref="K236:K237"/>
    <mergeCell ref="G238:G239"/>
    <mergeCell ref="H238:H239"/>
    <mergeCell ref="I238:I239"/>
    <mergeCell ref="J238:J239"/>
    <mergeCell ref="K238:K239"/>
    <mergeCell ref="G240:G241"/>
    <mergeCell ref="H240:H241"/>
    <mergeCell ref="I240:I241"/>
    <mergeCell ref="J240:J241"/>
    <mergeCell ref="K240:K241"/>
    <mergeCell ref="G242:G243"/>
    <mergeCell ref="H242:H243"/>
    <mergeCell ref="I242:I243"/>
    <mergeCell ref="J242:J243"/>
    <mergeCell ref="K242:K243"/>
    <mergeCell ref="G244:G245"/>
    <mergeCell ref="H244:H245"/>
    <mergeCell ref="I244:I245"/>
    <mergeCell ref="J244:J245"/>
    <mergeCell ref="K244:K245"/>
    <mergeCell ref="G246:G247"/>
    <mergeCell ref="H246:H247"/>
    <mergeCell ref="I246:I247"/>
    <mergeCell ref="J246:J247"/>
    <mergeCell ref="K246:K247"/>
    <mergeCell ref="G248:G249"/>
    <mergeCell ref="H248:H249"/>
    <mergeCell ref="I248:I249"/>
    <mergeCell ref="J248:J249"/>
    <mergeCell ref="K248:K249"/>
    <mergeCell ref="G250:G251"/>
    <mergeCell ref="H250:H251"/>
    <mergeCell ref="I250:I251"/>
    <mergeCell ref="J250:J251"/>
    <mergeCell ref="K250:K251"/>
    <mergeCell ref="G252:G253"/>
    <mergeCell ref="H252:H253"/>
    <mergeCell ref="I252:I253"/>
    <mergeCell ref="J252:J253"/>
    <mergeCell ref="K252:K253"/>
    <mergeCell ref="G254:G255"/>
    <mergeCell ref="H254:H255"/>
    <mergeCell ref="I254:I255"/>
    <mergeCell ref="J254:J255"/>
    <mergeCell ref="K254:K255"/>
    <mergeCell ref="G256:G257"/>
    <mergeCell ref="H256:H257"/>
    <mergeCell ref="I256:I257"/>
    <mergeCell ref="J256:J257"/>
    <mergeCell ref="K256:K257"/>
    <mergeCell ref="G258:G259"/>
    <mergeCell ref="H258:H259"/>
    <mergeCell ref="I258:I259"/>
    <mergeCell ref="J258:J259"/>
    <mergeCell ref="K258:K259"/>
    <mergeCell ref="G260:G261"/>
    <mergeCell ref="H260:H261"/>
    <mergeCell ref="I260:I261"/>
    <mergeCell ref="J260:J261"/>
    <mergeCell ref="K260:K261"/>
    <mergeCell ref="G262:G263"/>
    <mergeCell ref="H262:H263"/>
    <mergeCell ref="I262:I263"/>
    <mergeCell ref="J262:J263"/>
    <mergeCell ref="K262:K263"/>
    <mergeCell ref="G264:G265"/>
    <mergeCell ref="H264:H265"/>
    <mergeCell ref="I264:I265"/>
    <mergeCell ref="J264:J265"/>
    <mergeCell ref="K264:K265"/>
    <mergeCell ref="G266:G267"/>
    <mergeCell ref="H266:H267"/>
    <mergeCell ref="I266:I267"/>
    <mergeCell ref="J266:J267"/>
    <mergeCell ref="K266:K267"/>
    <mergeCell ref="G268:G269"/>
    <mergeCell ref="H268:H269"/>
    <mergeCell ref="I268:I269"/>
    <mergeCell ref="J268:J269"/>
    <mergeCell ref="K268:K269"/>
    <mergeCell ref="G270:G271"/>
    <mergeCell ref="H270:H271"/>
    <mergeCell ref="I270:I271"/>
    <mergeCell ref="J270:J271"/>
    <mergeCell ref="K270:K271"/>
    <mergeCell ref="G272:G273"/>
    <mergeCell ref="H272:H273"/>
    <mergeCell ref="I272:I273"/>
    <mergeCell ref="J272:J273"/>
    <mergeCell ref="K272:K273"/>
    <mergeCell ref="G274:G275"/>
    <mergeCell ref="H274:H275"/>
    <mergeCell ref="I274:I275"/>
    <mergeCell ref="J274:J275"/>
    <mergeCell ref="K274:K275"/>
    <mergeCell ref="G276:G277"/>
    <mergeCell ref="H276:H277"/>
    <mergeCell ref="I276:I277"/>
    <mergeCell ref="J276:J277"/>
    <mergeCell ref="K276:K277"/>
    <mergeCell ref="B291:D291"/>
    <mergeCell ref="B292:D292"/>
    <mergeCell ref="B293:D293"/>
    <mergeCell ref="B294:B295"/>
    <mergeCell ref="C294:D294"/>
    <mergeCell ref="C295:D295"/>
    <mergeCell ref="C278:D278"/>
    <mergeCell ref="C279:D279"/>
    <mergeCell ref="C280:D280"/>
    <mergeCell ref="B281:B290"/>
    <mergeCell ref="C281:D281"/>
    <mergeCell ref="C285:D285"/>
    <mergeCell ref="C289:D289"/>
    <mergeCell ref="C290:D290"/>
    <mergeCell ref="J299:J300"/>
    <mergeCell ref="K301:K303"/>
    <mergeCell ref="G302:G303"/>
    <mergeCell ref="H302:H303"/>
    <mergeCell ref="I302:I303"/>
    <mergeCell ref="J302:J303"/>
    <mergeCell ref="B296:B304"/>
    <mergeCell ref="G296:G297"/>
    <mergeCell ref="H296:H297"/>
    <mergeCell ref="I296:I297"/>
    <mergeCell ref="J296:J297"/>
    <mergeCell ref="K296:K297"/>
    <mergeCell ref="K298:K300"/>
    <mergeCell ref="G299:G300"/>
    <mergeCell ref="H299:H300"/>
    <mergeCell ref="I299:I300"/>
    <mergeCell ref="C304:D304"/>
    <mergeCell ref="B313:B315"/>
    <mergeCell ref="G313:G314"/>
    <mergeCell ref="H313:H314"/>
    <mergeCell ref="I313:I314"/>
    <mergeCell ref="K313:K314"/>
    <mergeCell ref="C315:D315"/>
    <mergeCell ref="J308:J309"/>
    <mergeCell ref="K308:K309"/>
    <mergeCell ref="G310:G311"/>
    <mergeCell ref="H310:H311"/>
    <mergeCell ref="I310:I311"/>
    <mergeCell ref="J310:J311"/>
    <mergeCell ref="K310:K311"/>
    <mergeCell ref="B305:B312"/>
    <mergeCell ref="K305:K307"/>
    <mergeCell ref="G306:G307"/>
    <mergeCell ref="H306:H307"/>
    <mergeCell ref="I306:I307"/>
    <mergeCell ref="J306:J307"/>
    <mergeCell ref="G308:G309"/>
    <mergeCell ref="H308:H309"/>
    <mergeCell ref="I308:I309"/>
    <mergeCell ref="C312:D312"/>
    <mergeCell ref="K318:K319"/>
    <mergeCell ref="G320:G321"/>
    <mergeCell ref="H320:H321"/>
    <mergeCell ref="I320:I321"/>
    <mergeCell ref="J320:J321"/>
    <mergeCell ref="K320:K321"/>
    <mergeCell ref="B316:B348"/>
    <mergeCell ref="G316:G317"/>
    <mergeCell ref="H316:H317"/>
    <mergeCell ref="I316:I317"/>
    <mergeCell ref="J316:J317"/>
    <mergeCell ref="K316:K317"/>
    <mergeCell ref="G318:G319"/>
    <mergeCell ref="H318:H319"/>
    <mergeCell ref="I318:I319"/>
    <mergeCell ref="J318:J319"/>
    <mergeCell ref="G322:G323"/>
    <mergeCell ref="H322:H323"/>
    <mergeCell ref="I322:I323"/>
    <mergeCell ref="J322:J323"/>
    <mergeCell ref="K322:K323"/>
    <mergeCell ref="G324:G325"/>
    <mergeCell ref="H324:H325"/>
    <mergeCell ref="I324:I325"/>
    <mergeCell ref="J324:J325"/>
    <mergeCell ref="K324:K325"/>
    <mergeCell ref="G326:G327"/>
    <mergeCell ref="H326:H327"/>
    <mergeCell ref="I326:I327"/>
    <mergeCell ref="J326:J327"/>
    <mergeCell ref="K326:K327"/>
    <mergeCell ref="G328:G329"/>
    <mergeCell ref="H328:H329"/>
    <mergeCell ref="I328:I329"/>
    <mergeCell ref="J328:J329"/>
    <mergeCell ref="K328:K329"/>
    <mergeCell ref="G330:G331"/>
    <mergeCell ref="H330:H331"/>
    <mergeCell ref="I330:I331"/>
    <mergeCell ref="J330:J331"/>
    <mergeCell ref="K330:K331"/>
    <mergeCell ref="G332:G333"/>
    <mergeCell ref="H332:H333"/>
    <mergeCell ref="I332:I333"/>
    <mergeCell ref="J332:J333"/>
    <mergeCell ref="K332:K333"/>
    <mergeCell ref="G334:G335"/>
    <mergeCell ref="H334:H335"/>
    <mergeCell ref="I334:I335"/>
    <mergeCell ref="J334:J335"/>
    <mergeCell ref="K334:K335"/>
    <mergeCell ref="G336:G337"/>
    <mergeCell ref="H336:H337"/>
    <mergeCell ref="I336:I337"/>
    <mergeCell ref="J336:J337"/>
    <mergeCell ref="K336:K337"/>
    <mergeCell ref="G338:G339"/>
    <mergeCell ref="H338:H339"/>
    <mergeCell ref="I338:I339"/>
    <mergeCell ref="J338:J339"/>
    <mergeCell ref="K338:K339"/>
    <mergeCell ref="G340:G341"/>
    <mergeCell ref="H340:H341"/>
    <mergeCell ref="I340:I341"/>
    <mergeCell ref="J340:J341"/>
    <mergeCell ref="K340:K341"/>
    <mergeCell ref="G346:G347"/>
    <mergeCell ref="H346:H347"/>
    <mergeCell ref="I346:I347"/>
    <mergeCell ref="J346:J347"/>
    <mergeCell ref="K346:K347"/>
    <mergeCell ref="C348:D348"/>
    <mergeCell ref="G342:G343"/>
    <mergeCell ref="H342:H343"/>
    <mergeCell ref="I342:I343"/>
    <mergeCell ref="J342:J343"/>
    <mergeCell ref="K342:K343"/>
    <mergeCell ref="G344:G345"/>
    <mergeCell ref="H344:H345"/>
    <mergeCell ref="I344:I345"/>
    <mergeCell ref="J344:J345"/>
    <mergeCell ref="K344:K345"/>
    <mergeCell ref="K351:K352"/>
    <mergeCell ref="G353:G354"/>
    <mergeCell ref="H353:H354"/>
    <mergeCell ref="I353:I354"/>
    <mergeCell ref="J353:J354"/>
    <mergeCell ref="K353:K354"/>
    <mergeCell ref="B349:B355"/>
    <mergeCell ref="G349:G350"/>
    <mergeCell ref="H349:H350"/>
    <mergeCell ref="I349:I350"/>
    <mergeCell ref="J349:J350"/>
    <mergeCell ref="K349:K350"/>
    <mergeCell ref="G351:G352"/>
    <mergeCell ref="H351:H352"/>
    <mergeCell ref="I351:I352"/>
    <mergeCell ref="J351:J352"/>
    <mergeCell ref="K356:K357"/>
    <mergeCell ref="G358:G359"/>
    <mergeCell ref="H358:H359"/>
    <mergeCell ref="I358:I359"/>
    <mergeCell ref="J358:J359"/>
    <mergeCell ref="K358:K359"/>
    <mergeCell ref="C355:D355"/>
    <mergeCell ref="B356:B362"/>
    <mergeCell ref="G356:G357"/>
    <mergeCell ref="H356:H357"/>
    <mergeCell ref="I356:I357"/>
    <mergeCell ref="J356:J357"/>
    <mergeCell ref="G360:G361"/>
    <mergeCell ref="H360:H361"/>
    <mergeCell ref="I360:I361"/>
    <mergeCell ref="J360:J361"/>
    <mergeCell ref="C362:D362"/>
    <mergeCell ref="K360:K361"/>
    <mergeCell ref="B363:B383"/>
    <mergeCell ref="G363:G364"/>
    <mergeCell ref="H363:H364"/>
    <mergeCell ref="I363:I364"/>
    <mergeCell ref="J363:J364"/>
    <mergeCell ref="K363:K364"/>
    <mergeCell ref="G365:G366"/>
    <mergeCell ref="H365:H366"/>
    <mergeCell ref="I365:I366"/>
    <mergeCell ref="J365:J366"/>
    <mergeCell ref="K365:K366"/>
    <mergeCell ref="G367:G368"/>
    <mergeCell ref="H367:H368"/>
    <mergeCell ref="I367:I368"/>
    <mergeCell ref="J367:J368"/>
    <mergeCell ref="K367:K368"/>
    <mergeCell ref="G369:G370"/>
    <mergeCell ref="H369:H370"/>
    <mergeCell ref="I369:I370"/>
    <mergeCell ref="J369:J370"/>
    <mergeCell ref="K369:K370"/>
    <mergeCell ref="G371:G372"/>
    <mergeCell ref="H371:H372"/>
    <mergeCell ref="I371:I372"/>
    <mergeCell ref="J371:J372"/>
    <mergeCell ref="K371:K372"/>
    <mergeCell ref="G373:G374"/>
    <mergeCell ref="H373:H374"/>
    <mergeCell ref="I373:I374"/>
    <mergeCell ref="J373:J374"/>
    <mergeCell ref="K373:K374"/>
    <mergeCell ref="G375:G376"/>
    <mergeCell ref="H375:H376"/>
    <mergeCell ref="I375:I376"/>
    <mergeCell ref="J375:J376"/>
    <mergeCell ref="K375:K376"/>
    <mergeCell ref="G381:G382"/>
    <mergeCell ref="H381:H382"/>
    <mergeCell ref="I381:I382"/>
    <mergeCell ref="J381:J382"/>
    <mergeCell ref="K381:K382"/>
    <mergeCell ref="C383:D383"/>
    <mergeCell ref="G377:G378"/>
    <mergeCell ref="H377:H378"/>
    <mergeCell ref="I377:I378"/>
    <mergeCell ref="J377:J378"/>
    <mergeCell ref="K377:K378"/>
    <mergeCell ref="G379:G380"/>
    <mergeCell ref="H379:H380"/>
    <mergeCell ref="I379:I380"/>
    <mergeCell ref="J379:J380"/>
    <mergeCell ref="K379:K380"/>
    <mergeCell ref="B390:B397"/>
    <mergeCell ref="C390:C393"/>
    <mergeCell ref="C394:C397"/>
    <mergeCell ref="B398:D398"/>
    <mergeCell ref="B399:C401"/>
    <mergeCell ref="B402:D402"/>
    <mergeCell ref="K384:K385"/>
    <mergeCell ref="C386:D386"/>
    <mergeCell ref="B387:B389"/>
    <mergeCell ref="D387:D388"/>
    <mergeCell ref="G387:G388"/>
    <mergeCell ref="H387:H388"/>
    <mergeCell ref="I387:I388"/>
    <mergeCell ref="J387:J388"/>
    <mergeCell ref="K387:K388"/>
    <mergeCell ref="C389:D389"/>
    <mergeCell ref="B384:B386"/>
    <mergeCell ref="D384:D385"/>
    <mergeCell ref="G384:G385"/>
    <mergeCell ref="H384:H385"/>
    <mergeCell ref="I384:I385"/>
    <mergeCell ref="J384:J385"/>
  </mergeCells>
  <hyperlinks>
    <hyperlink ref="B1:D1" location="PAINEL!A1" display="TRECHO" xr:uid="{21993A16-D27A-4360-A8A4-5E072CB0371B}"/>
  </hyperlinks>
  <printOptions horizontalCentered="1"/>
  <pageMargins left="0.39370078740157477" right="0.59055118110236215" top="0.39370078740157477" bottom="0.59055118110236215" header="0.31496062992125984" footer="0.23622047244094491"/>
  <pageSetup paperSize="9" scale="40" fitToHeight="47" orientation="portrait" r:id="rId1"/>
  <headerFooter>
    <oddFooter>&amp;C&amp;8Página &amp;P/&amp;N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C36FB-D353-4C90-856E-5607BF0770CA}">
  <sheetPr codeName="Planilha20" filterMode="1">
    <tabColor rgb="FF92D050"/>
    <pageSetUpPr fitToPage="1"/>
  </sheetPr>
  <dimension ref="A2:F802"/>
  <sheetViews>
    <sheetView showZeros="0" zoomScaleNormal="100" workbookViewId="0"/>
  </sheetViews>
  <sheetFormatPr defaultColWidth="8.625" defaultRowHeight="15"/>
  <cols>
    <col min="1" max="1" width="20.5" style="245" customWidth="1"/>
    <col min="2" max="2" width="14.5" style="245" customWidth="1"/>
    <col min="3" max="6" width="20.375" style="245" customWidth="1"/>
    <col min="7" max="16384" width="8.625" style="245"/>
  </cols>
  <sheetData>
    <row r="2" spans="1:6" ht="21">
      <c r="A2" s="2478" t="s">
        <v>452</v>
      </c>
      <c r="B2" s="2478"/>
      <c r="C2" s="2478"/>
      <c r="D2" s="2478"/>
      <c r="E2" s="2478"/>
      <c r="F2" s="2478"/>
    </row>
    <row r="4" spans="1:6">
      <c r="A4" s="2479" t="s">
        <v>453</v>
      </c>
      <c r="B4" s="2480"/>
      <c r="C4" s="246" t="s">
        <v>454</v>
      </c>
      <c r="D4" s="246" t="s">
        <v>455</v>
      </c>
      <c r="E4" s="246" t="s">
        <v>456</v>
      </c>
      <c r="F4" s="246" t="s">
        <v>457</v>
      </c>
    </row>
    <row r="5" spans="1:6" ht="47.65" customHeight="1">
      <c r="A5" s="2481" t="s">
        <v>458</v>
      </c>
      <c r="B5" s="2482"/>
      <c r="C5" s="247" t="s">
        <v>459</v>
      </c>
      <c r="D5" s="247" t="s">
        <v>460</v>
      </c>
      <c r="E5" s="247" t="s">
        <v>461</v>
      </c>
      <c r="F5" s="247" t="s">
        <v>462</v>
      </c>
    </row>
    <row r="6" spans="1:6">
      <c r="A6" s="2481" t="s">
        <v>463</v>
      </c>
      <c r="B6" s="2482"/>
      <c r="C6" s="247" t="s">
        <v>464</v>
      </c>
      <c r="D6" s="247" t="s">
        <v>464</v>
      </c>
      <c r="E6" s="247" t="s">
        <v>464</v>
      </c>
      <c r="F6" s="247" t="s">
        <v>464</v>
      </c>
    </row>
    <row r="7" spans="1:6" ht="27" customHeight="1">
      <c r="A7" s="248" t="s">
        <v>465</v>
      </c>
      <c r="B7" s="248" t="s">
        <v>466</v>
      </c>
      <c r="C7" s="248" t="s">
        <v>467</v>
      </c>
      <c r="D7" s="248" t="s">
        <v>467</v>
      </c>
      <c r="E7" s="248" t="s">
        <v>467</v>
      </c>
      <c r="F7" s="248" t="s">
        <v>467</v>
      </c>
    </row>
    <row r="8" spans="1:6" hidden="1">
      <c r="A8" s="249" t="s">
        <v>468</v>
      </c>
      <c r="B8" s="249">
        <f>SUMIFS(Orcamento!$K$205:$K$349,Orcamento!$C$205:$C$349,Memoria_Insumos!$A8)</f>
        <v>0</v>
      </c>
      <c r="C8" s="249">
        <v>2.6676693420000001E-2</v>
      </c>
      <c r="D8" s="249"/>
      <c r="E8" s="249"/>
      <c r="F8" s="249"/>
    </row>
    <row r="9" spans="1:6" hidden="1">
      <c r="A9" s="250" t="s">
        <v>163</v>
      </c>
      <c r="B9" s="250">
        <f>SUMIFS(Orcamento!$K$205:$K$349,Orcamento!$C$205:$C$349,Memoria_Insumos!$A9)</f>
        <v>0</v>
      </c>
      <c r="C9" s="250">
        <v>0.13869050159999999</v>
      </c>
      <c r="D9" s="250">
        <v>3.2913822420000001</v>
      </c>
      <c r="E9" s="250">
        <v>0.51765000000000005</v>
      </c>
      <c r="F9" s="250"/>
    </row>
    <row r="10" spans="1:6" hidden="1">
      <c r="A10" s="250" t="s">
        <v>164</v>
      </c>
      <c r="B10" s="250">
        <f>SUMIFS(Orcamento!$K$205:$K$349,Orcamento!$C$205:$C$349,Memoria_Insumos!$A10)</f>
        <v>0</v>
      </c>
      <c r="C10" s="250">
        <v>0.24341598240000001</v>
      </c>
      <c r="D10" s="250">
        <v>4.713777672</v>
      </c>
      <c r="E10" s="250">
        <v>0.73185</v>
      </c>
      <c r="F10" s="250"/>
    </row>
    <row r="11" spans="1:6" hidden="1">
      <c r="A11" s="250" t="s">
        <v>165</v>
      </c>
      <c r="B11" s="250">
        <f>SUMIFS(Orcamento!$K$205:$K$349,Orcamento!$C$205:$C$349,Memoria_Insumos!$A11)</f>
        <v>0</v>
      </c>
      <c r="C11" s="250">
        <v>0.26039849279999999</v>
      </c>
      <c r="D11" s="250">
        <v>5.6545454580000003</v>
      </c>
      <c r="E11" s="250">
        <v>0.87465000000000004</v>
      </c>
      <c r="F11" s="250"/>
    </row>
    <row r="12" spans="1:6" hidden="1">
      <c r="A12" s="250" t="s">
        <v>166</v>
      </c>
      <c r="B12" s="250">
        <f>SUMIFS(Orcamento!$K$205:$K$349,Orcamento!$C$205:$C$349,Memoria_Insumos!$A12)</f>
        <v>0</v>
      </c>
      <c r="C12" s="250">
        <v>0.28657986299999999</v>
      </c>
      <c r="D12" s="250">
        <v>8.0998378300000002</v>
      </c>
      <c r="E12" s="250">
        <v>1.16025</v>
      </c>
      <c r="F12" s="250"/>
    </row>
    <row r="13" spans="1:6" hidden="1">
      <c r="A13" s="250" t="s">
        <v>167</v>
      </c>
      <c r="B13" s="250">
        <f>SUMIFS(Orcamento!$K$205:$K$349,Orcamento!$C$205:$C$349,Memoria_Insumos!$A13)</f>
        <v>0</v>
      </c>
      <c r="C13" s="250">
        <v>0.16133384880000001</v>
      </c>
      <c r="D13" s="250">
        <v>11.517343489999998</v>
      </c>
      <c r="E13" s="250">
        <v>1.5886499999999999</v>
      </c>
      <c r="F13" s="250"/>
    </row>
    <row r="14" spans="1:6" hidden="1">
      <c r="A14" s="250" t="s">
        <v>168</v>
      </c>
      <c r="B14" s="250">
        <f>SUMIFS(Orcamento!$K$205:$K$349,Orcamento!$C$205:$C$349,Memoria_Insumos!$A14)</f>
        <v>0</v>
      </c>
      <c r="C14" s="250">
        <v>0.16133384880000001</v>
      </c>
      <c r="D14" s="250">
        <v>14.394098705999999</v>
      </c>
      <c r="E14" s="250">
        <v>1.9456500000000001</v>
      </c>
      <c r="F14" s="250"/>
    </row>
    <row r="15" spans="1:6" hidden="1">
      <c r="A15" s="250" t="s">
        <v>162</v>
      </c>
      <c r="B15" s="250">
        <f>SUMIFS(Orcamento!$K$205:$K$349,Orcamento!$C$205:$C$349,Memoria_Insumos!$A15)</f>
        <v>0</v>
      </c>
      <c r="C15" s="250">
        <v>7.8544110599999994E-2</v>
      </c>
      <c r="D15" s="250">
        <v>1.209012</v>
      </c>
      <c r="E15" s="250">
        <v>0.24751999999999999</v>
      </c>
      <c r="F15" s="250"/>
    </row>
    <row r="16" spans="1:6" hidden="1">
      <c r="A16" s="250" t="s">
        <v>169</v>
      </c>
      <c r="B16" s="250">
        <f>SUMIFS(Orcamento!$K$205:$K$349,Orcamento!$C$205:$C$349,Memoria_Insumos!$A16)</f>
        <v>0</v>
      </c>
      <c r="C16" s="250">
        <v>1.62749058E-2</v>
      </c>
      <c r="D16" s="250"/>
      <c r="E16" s="250"/>
      <c r="F16" s="250"/>
    </row>
    <row r="17" spans="1:6" hidden="1">
      <c r="A17" s="250" t="s">
        <v>170</v>
      </c>
      <c r="B17" s="250">
        <f>SUMIFS(Orcamento!$K$205:$K$349,Orcamento!$C$205:$C$349,Memoria_Insumos!$A17)</f>
        <v>0</v>
      </c>
      <c r="C17" s="250">
        <v>1.62749058E-2</v>
      </c>
      <c r="D17" s="250"/>
      <c r="E17" s="250"/>
      <c r="F17" s="250"/>
    </row>
    <row r="18" spans="1:6" hidden="1">
      <c r="A18" s="250" t="s">
        <v>171</v>
      </c>
      <c r="B18" s="250">
        <f>SUMIFS(Orcamento!$K$205:$K$349,Orcamento!$C$205:$C$349,Memoria_Insumos!$A18)</f>
        <v>0</v>
      </c>
      <c r="C18" s="250">
        <v>1.62749058E-2</v>
      </c>
      <c r="D18" s="250"/>
      <c r="E18" s="250"/>
      <c r="F18" s="250"/>
    </row>
    <row r="19" spans="1:6" hidden="1">
      <c r="A19" s="250" t="s">
        <v>172</v>
      </c>
      <c r="B19" s="250">
        <f>SUMIFS(Orcamento!$K$205:$K$349,Orcamento!$C$205:$C$349,Memoria_Insumos!$A19)</f>
        <v>0</v>
      </c>
      <c r="C19" s="250">
        <v>1.62749058E-2</v>
      </c>
      <c r="D19" s="250"/>
      <c r="E19" s="250"/>
      <c r="F19" s="250"/>
    </row>
    <row r="20" spans="1:6" hidden="1">
      <c r="A20" s="250" t="s">
        <v>173</v>
      </c>
      <c r="B20" s="250">
        <f>SUMIFS(Orcamento!$K$205:$K$349,Orcamento!$C$205:$C$349,Memoria_Insumos!$A20)</f>
        <v>0</v>
      </c>
      <c r="C20" s="250">
        <v>1.62749058E-2</v>
      </c>
      <c r="D20" s="250"/>
      <c r="E20" s="250"/>
      <c r="F20" s="250"/>
    </row>
    <row r="21" spans="1:6" hidden="1">
      <c r="A21" s="250" t="s">
        <v>174</v>
      </c>
      <c r="B21" s="250">
        <f>SUMIFS(Orcamento!$K$205:$K$349,Orcamento!$C$205:$C$349,Memoria_Insumos!$A21)</f>
        <v>0</v>
      </c>
      <c r="C21" s="250">
        <v>1.62749058E-2</v>
      </c>
      <c r="D21" s="250"/>
      <c r="E21" s="250"/>
      <c r="F21" s="250"/>
    </row>
    <row r="22" spans="1:6" hidden="1">
      <c r="A22" s="250" t="s">
        <v>175</v>
      </c>
      <c r="B22" s="250">
        <f>SUMIFS(Orcamento!$K$205:$K$349,Orcamento!$C$205:$C$349,Memoria_Insumos!$A22)</f>
        <v>0</v>
      </c>
      <c r="C22" s="250">
        <v>0.1669946856</v>
      </c>
      <c r="D22" s="250">
        <v>0.37623600000000001</v>
      </c>
      <c r="E22" s="250"/>
      <c r="F22" s="250"/>
    </row>
    <row r="23" spans="1:6" hidden="1">
      <c r="A23" s="250" t="s">
        <v>177</v>
      </c>
      <c r="B23" s="250">
        <f>SUMIFS(Orcamento!$K$205:$K$349,Orcamento!$C$205:$C$349,Memoria_Insumos!$A23)</f>
        <v>0</v>
      </c>
      <c r="C23" s="250">
        <v>0.12878403719999998</v>
      </c>
      <c r="D23" s="250">
        <v>2.0732513940000001</v>
      </c>
      <c r="E23" s="250">
        <v>0.35581000000000002</v>
      </c>
      <c r="F23" s="250"/>
    </row>
    <row r="24" spans="1:6" hidden="1">
      <c r="A24" s="250" t="s">
        <v>178</v>
      </c>
      <c r="B24" s="250">
        <f>SUMIFS(Orcamento!$K$205:$K$349,Orcamento!$C$205:$C$349,Memoria_Insumos!$A24)</f>
        <v>0</v>
      </c>
      <c r="C24" s="250">
        <v>0.12878403719999998</v>
      </c>
      <c r="D24" s="250">
        <v>2.2089334279999999</v>
      </c>
      <c r="E24" s="250">
        <v>0.38674999999999998</v>
      </c>
      <c r="F24" s="250"/>
    </row>
    <row r="25" spans="1:6" hidden="1">
      <c r="A25" s="250" t="s">
        <v>179</v>
      </c>
      <c r="B25" s="250">
        <f>SUMIFS(Orcamento!$K$205:$K$349,Orcamento!$C$205:$C$349,Memoria_Insumos!$A25)</f>
        <v>0</v>
      </c>
      <c r="C25" s="250">
        <v>0.12878403719999998</v>
      </c>
      <c r="D25" s="250">
        <v>2.6276208919999999</v>
      </c>
      <c r="E25" s="250">
        <v>0.44862999999999997</v>
      </c>
      <c r="F25" s="250"/>
    </row>
    <row r="26" spans="1:6" hidden="1">
      <c r="A26" s="250" t="s">
        <v>180</v>
      </c>
      <c r="B26" s="250">
        <f>SUMIFS(Orcamento!$K$205:$K$349,Orcamento!$C$205:$C$349,Memoria_Insumos!$A26)</f>
        <v>0</v>
      </c>
      <c r="C26" s="250"/>
      <c r="D26" s="250">
        <v>1.281828</v>
      </c>
      <c r="E26" s="250">
        <v>0.32129999999999997</v>
      </c>
      <c r="F26" s="250"/>
    </row>
    <row r="27" spans="1:6" hidden="1">
      <c r="A27" s="250" t="s">
        <v>182</v>
      </c>
      <c r="B27" s="250">
        <f>SUMIFS(Orcamento!$K$205:$K$349,Orcamento!$C$205:$C$349,Memoria_Insumos!$A27)</f>
        <v>0</v>
      </c>
      <c r="C27" s="250"/>
      <c r="D27" s="250">
        <v>0.39635999999999999</v>
      </c>
      <c r="E27" s="250"/>
      <c r="F27" s="250"/>
    </row>
    <row r="28" spans="1:6" hidden="1">
      <c r="A28" s="250" t="s">
        <v>183</v>
      </c>
      <c r="B28" s="250">
        <f>SUMIFS(Orcamento!$K$205:$K$349,Orcamento!$C$205:$C$349,Memoria_Insumos!$A28)</f>
        <v>0</v>
      </c>
      <c r="C28" s="250"/>
      <c r="D28" s="250">
        <v>0.75983679999999998</v>
      </c>
      <c r="E28" s="250"/>
      <c r="F28" s="250"/>
    </row>
    <row r="29" spans="1:6" hidden="1">
      <c r="A29" s="250" t="s">
        <v>184</v>
      </c>
      <c r="B29" s="250">
        <f>SUMIFS(Orcamento!$K$205:$K$349,Orcamento!$C$205:$C$349,Memoria_Insumos!$A29)</f>
        <v>0</v>
      </c>
      <c r="C29" s="250"/>
      <c r="D29" s="250">
        <v>1.1233135999999999</v>
      </c>
      <c r="E29" s="250"/>
      <c r="F29" s="250"/>
    </row>
    <row r="30" spans="1:6" hidden="1">
      <c r="A30" s="250" t="s">
        <v>185</v>
      </c>
      <c r="B30" s="250">
        <f>SUMIFS(Orcamento!$K$205:$K$349,Orcamento!$C$205:$C$349,Memoria_Insumos!$A30)</f>
        <v>0</v>
      </c>
      <c r="C30" s="250"/>
      <c r="D30" s="250">
        <v>0.42806880000000003</v>
      </c>
      <c r="E30" s="250"/>
      <c r="F30" s="250"/>
    </row>
    <row r="31" spans="1:6" hidden="1">
      <c r="A31" s="250" t="s">
        <v>186</v>
      </c>
      <c r="B31" s="250">
        <f>SUMIFS(Orcamento!$K$205:$K$349,Orcamento!$C$205:$C$349,Memoria_Insumos!$A31)</f>
        <v>0</v>
      </c>
      <c r="C31" s="250"/>
      <c r="D31" s="250">
        <v>0.74691839999999998</v>
      </c>
      <c r="E31" s="250"/>
      <c r="F31" s="250"/>
    </row>
    <row r="32" spans="1:6" hidden="1">
      <c r="A32" s="250" t="s">
        <v>187</v>
      </c>
      <c r="B32" s="250">
        <f>SUMIFS(Orcamento!$K$205:$K$349,Orcamento!$C$205:$C$349,Memoria_Insumos!$A32)</f>
        <v>0</v>
      </c>
      <c r="C32" s="250"/>
      <c r="D32" s="250">
        <v>1.065768</v>
      </c>
      <c r="E32" s="250"/>
      <c r="F32" s="250"/>
    </row>
    <row r="33" spans="1:6" hidden="1">
      <c r="A33" s="250" t="s">
        <v>198</v>
      </c>
      <c r="B33" s="250">
        <f>SUMIFS(Orcamento!$K$205:$K$349,Orcamento!$C$205:$C$349,Memoria_Insumos!$A33)</f>
        <v>0</v>
      </c>
      <c r="C33" s="250"/>
      <c r="D33" s="250">
        <v>0.13922512000000001</v>
      </c>
      <c r="E33" s="250"/>
      <c r="F33" s="250"/>
    </row>
    <row r="34" spans="1:6" hidden="1">
      <c r="A34" s="250" t="s">
        <v>199</v>
      </c>
      <c r="B34" s="250">
        <f>SUMIFS(Orcamento!$K$205:$K$349,Orcamento!$C$205:$C$349,Memoria_Insumos!$A34)</f>
        <v>0</v>
      </c>
      <c r="C34" s="250"/>
      <c r="D34" s="250">
        <v>0.21386998400000001</v>
      </c>
      <c r="E34" s="250"/>
      <c r="F34" s="250"/>
    </row>
    <row r="35" spans="1:6" hidden="1">
      <c r="A35" s="250" t="s">
        <v>200</v>
      </c>
      <c r="B35" s="250">
        <f>SUMIFS(Orcamento!$K$205:$K$349,Orcamento!$C$205:$C$349,Memoria_Insumos!$A35)</f>
        <v>0</v>
      </c>
      <c r="C35" s="250"/>
      <c r="D35" s="250">
        <v>0.288462</v>
      </c>
      <c r="E35" s="250"/>
      <c r="F35" s="250"/>
    </row>
    <row r="36" spans="1:6" hidden="1">
      <c r="A36" s="250" t="s">
        <v>188</v>
      </c>
      <c r="B36" s="250">
        <f>SUMIFS(Orcamento!$K$205:$K$349,Orcamento!$C$205:$C$349,Memoria_Insumos!$A36)</f>
        <v>0</v>
      </c>
      <c r="C36" s="250"/>
      <c r="D36" s="250">
        <v>0.30791546240000001</v>
      </c>
      <c r="E36" s="250"/>
      <c r="F36" s="250">
        <v>0.30001971999999999</v>
      </c>
    </row>
    <row r="37" spans="1:6" hidden="1">
      <c r="A37" s="250" t="s">
        <v>189</v>
      </c>
      <c r="B37" s="250">
        <f>SUMIFS(Orcamento!$K$205:$K$349,Orcamento!$C$205:$C$349,Memoria_Insumos!$A37)</f>
        <v>0</v>
      </c>
      <c r="C37" s="250"/>
      <c r="D37" s="250">
        <v>0.57750468160000001</v>
      </c>
      <c r="E37" s="250"/>
      <c r="F37" s="250">
        <v>0.56269597999999998</v>
      </c>
    </row>
    <row r="38" spans="1:6" hidden="1">
      <c r="A38" s="250" t="s">
        <v>190</v>
      </c>
      <c r="B38" s="250">
        <f>SUMIFS(Orcamento!$K$205:$K$349,Orcamento!$C$205:$C$349,Memoria_Insumos!$A38)</f>
        <v>0</v>
      </c>
      <c r="C38" s="250"/>
      <c r="D38" s="250">
        <v>1.040683392</v>
      </c>
      <c r="E38" s="250"/>
      <c r="F38" s="250">
        <v>1.0139975999999999</v>
      </c>
    </row>
    <row r="39" spans="1:6" hidden="1">
      <c r="A39" s="250" t="s">
        <v>191</v>
      </c>
      <c r="B39" s="250">
        <f>SUMIFS(Orcamento!$K$205:$K$349,Orcamento!$C$205:$C$349,Memoria_Insumos!$A39)</f>
        <v>0</v>
      </c>
      <c r="C39" s="250"/>
      <c r="D39" s="250">
        <v>1.692043024</v>
      </c>
      <c r="E39" s="250"/>
      <c r="F39" s="250">
        <v>1.6486547</v>
      </c>
    </row>
    <row r="40" spans="1:6" hidden="1">
      <c r="A40" s="250" t="s">
        <v>192</v>
      </c>
      <c r="B40" s="250">
        <f>SUMIFS(Orcamento!$K$205:$K$349,Orcamento!$C$205:$C$349,Memoria_Insumos!$A40)</f>
        <v>0</v>
      </c>
      <c r="C40" s="250"/>
      <c r="D40" s="250">
        <v>2.5185750352</v>
      </c>
      <c r="E40" s="250"/>
      <c r="F40" s="250">
        <v>2.4539923099999998</v>
      </c>
    </row>
    <row r="41" spans="1:6" hidden="1">
      <c r="A41" s="250" t="s">
        <v>193</v>
      </c>
      <c r="B41" s="250">
        <f>SUMIFS(Orcamento!$K$205:$K$349,Orcamento!$C$205:$C$349,Memoria_Insumos!$A41)</f>
        <v>0</v>
      </c>
      <c r="C41" s="250"/>
      <c r="D41" s="250">
        <v>4.1729912000000002</v>
      </c>
      <c r="E41" s="250"/>
      <c r="F41" s="250">
        <v>4.0659850000000004</v>
      </c>
    </row>
    <row r="42" spans="1:6" hidden="1">
      <c r="A42" s="250" t="s">
        <v>194</v>
      </c>
      <c r="B42" s="250">
        <f>SUMIFS(Orcamento!$K$205:$K$349,Orcamento!$C$205:$C$349,Memoria_Insumos!$A42)</f>
        <v>0</v>
      </c>
      <c r="C42" s="250"/>
      <c r="D42" s="250">
        <v>4.4453200000000006</v>
      </c>
      <c r="E42" s="250"/>
      <c r="F42" s="250"/>
    </row>
    <row r="43" spans="1:6" hidden="1">
      <c r="A43" s="250" t="s">
        <v>195</v>
      </c>
      <c r="B43" s="250">
        <f>SUMIFS(Orcamento!$K$205:$K$349,Orcamento!$C$205:$C$349,Memoria_Insumos!$A43)</f>
        <v>0</v>
      </c>
      <c r="C43" s="250"/>
      <c r="D43" s="250">
        <v>7.0681760000000002</v>
      </c>
      <c r="E43" s="250"/>
      <c r="F43" s="250"/>
    </row>
    <row r="44" spans="1:6" hidden="1">
      <c r="A44" s="250" t="s">
        <v>196</v>
      </c>
      <c r="B44" s="250">
        <f>SUMIFS(Orcamento!$K$205:$K$349,Orcamento!$C$205:$C$349,Memoria_Insumos!$A44)</f>
        <v>0</v>
      </c>
      <c r="C44" s="250"/>
      <c r="D44" s="250">
        <v>9.6686800000000002</v>
      </c>
      <c r="E44" s="250"/>
      <c r="F44" s="250"/>
    </row>
    <row r="45" spans="1:6" hidden="1">
      <c r="A45" s="250" t="s">
        <v>197</v>
      </c>
      <c r="B45" s="250">
        <f>SUMIFS(Orcamento!$K$205:$K$349,Orcamento!$C$205:$C$349,Memoria_Insumos!$A45)</f>
        <v>0</v>
      </c>
      <c r="C45" s="250"/>
      <c r="D45" s="250">
        <v>14.070088</v>
      </c>
      <c r="E45" s="250"/>
      <c r="F45" s="250"/>
    </row>
    <row r="46" spans="1:6" hidden="1">
      <c r="A46" s="250" t="s">
        <v>176</v>
      </c>
      <c r="B46" s="250">
        <f>SUMIFS(Orcamento!$K$205:$K$349,Orcamento!$C$205:$C$349,Memoria_Insumos!$A46)</f>
        <v>0</v>
      </c>
      <c r="C46" s="250"/>
      <c r="D46" s="250">
        <v>7.2243803199999998E-2</v>
      </c>
      <c r="E46" s="250"/>
      <c r="F46" s="250"/>
    </row>
    <row r="47" spans="1:6" hidden="1">
      <c r="A47" s="250" t="s">
        <v>203</v>
      </c>
      <c r="B47" s="250">
        <f>SUMIFS(Orcamento!$K$205:$K$349,Orcamento!$C$205:$C$349,Memoria_Insumos!$A47)</f>
        <v>0</v>
      </c>
      <c r="C47" s="250"/>
      <c r="D47" s="250">
        <v>7.2243803199999998E-2</v>
      </c>
      <c r="E47" s="250"/>
      <c r="F47" s="250"/>
    </row>
    <row r="48" spans="1:6" hidden="1">
      <c r="A48" s="250" t="s">
        <v>204</v>
      </c>
      <c r="B48" s="250">
        <f>SUMIFS(Orcamento!$K$205:$K$349,Orcamento!$C$205:$C$349,Memoria_Insumos!$A48)</f>
        <v>0</v>
      </c>
      <c r="C48" s="250"/>
      <c r="D48" s="250">
        <v>7.2243803199999998E-2</v>
      </c>
      <c r="E48" s="250"/>
      <c r="F48" s="250"/>
    </row>
    <row r="49" spans="1:6" hidden="1">
      <c r="A49" s="250" t="s">
        <v>201</v>
      </c>
      <c r="B49" s="250">
        <f>SUMIFS(Orcamento!$K$205:$K$349,Orcamento!$C$205:$C$349,Memoria_Insumos!$A49)</f>
        <v>0</v>
      </c>
      <c r="C49" s="250"/>
      <c r="D49" s="250">
        <v>4.0869120000000002E-2</v>
      </c>
      <c r="E49" s="250"/>
      <c r="F49" s="250"/>
    </row>
    <row r="50" spans="1:6" hidden="1">
      <c r="A50" s="250" t="s">
        <v>202</v>
      </c>
      <c r="B50" s="250">
        <f>SUMIFS(Orcamento!$K$205:$K$349,Orcamento!$C$205:$C$349,Memoria_Insumos!$A50)</f>
        <v>0</v>
      </c>
      <c r="C50" s="250"/>
      <c r="D50" s="250">
        <v>4.0869120000000002E-2</v>
      </c>
      <c r="E50" s="250"/>
      <c r="F50" s="250"/>
    </row>
    <row r="51" spans="1:6" hidden="1">
      <c r="A51" s="250" t="s">
        <v>469</v>
      </c>
      <c r="B51" s="250">
        <f>SUMIFS(Orcamento!$K$205:$K$349,Orcamento!$C$205:$C$349,Memoria_Insumos!$A51)</f>
        <v>0</v>
      </c>
      <c r="C51" s="250"/>
      <c r="D51" s="250">
        <v>7.5605520000000004</v>
      </c>
      <c r="E51" s="250"/>
      <c r="F51" s="250"/>
    </row>
    <row r="52" spans="1:6" hidden="1">
      <c r="A52" s="250" t="s">
        <v>409</v>
      </c>
      <c r="B52" s="250">
        <f>SUMIFS(Orcamento!$K$205:$K$349,Orcamento!$C$205:$C$349,Memoria_Insumos!$A52)</f>
        <v>0</v>
      </c>
      <c r="C52" s="250"/>
      <c r="D52" s="250">
        <v>9.2672000000000004E-2</v>
      </c>
      <c r="E52" s="250"/>
      <c r="F52" s="250"/>
    </row>
    <row r="53" spans="1:6" hidden="1">
      <c r="A53" s="250" t="s">
        <v>405</v>
      </c>
      <c r="B53" s="250">
        <f>SUMIFS(Orcamento!$K$205:$K$349,Orcamento!$C$205:$C$349,Memoria_Insumos!$A53)</f>
        <v>0</v>
      </c>
      <c r="C53" s="250"/>
      <c r="D53" s="250">
        <v>2.9536159999999999E-2</v>
      </c>
      <c r="E53" s="250"/>
      <c r="F53" s="250"/>
    </row>
    <row r="54" spans="1:6" hidden="1">
      <c r="A54" s="250" t="s">
        <v>404</v>
      </c>
      <c r="B54" s="250">
        <f>SUMIFS(Orcamento!$K$205:$K$349,Orcamento!$C$205:$C$349,Memoria_Insumos!$A54)</f>
        <v>0</v>
      </c>
      <c r="C54" s="250"/>
      <c r="D54" s="250">
        <v>1.5429887999999999E-2</v>
      </c>
      <c r="E54" s="250"/>
      <c r="F54" s="250"/>
    </row>
    <row r="55" spans="1:6" hidden="1">
      <c r="A55" s="250" t="s">
        <v>402</v>
      </c>
      <c r="B55" s="250">
        <f>SUMIFS(Orcamento!$K$205:$K$349,Orcamento!$C$205:$C$349,Memoria_Insumos!$A55)</f>
        <v>0</v>
      </c>
      <c r="C55" s="250"/>
      <c r="D55" s="250">
        <v>9.4557386076979194E-2</v>
      </c>
      <c r="E55" s="250"/>
      <c r="F55" s="250"/>
    </row>
    <row r="56" spans="1:6" hidden="1">
      <c r="A56" s="250" t="s">
        <v>470</v>
      </c>
      <c r="B56" s="250">
        <f>SUMIFS(Orcamento!$K$205:$K$349,Orcamento!$C$205:$C$349,Memoria_Insumos!$A56)</f>
        <v>0</v>
      </c>
      <c r="C56" s="250"/>
      <c r="D56" s="250">
        <v>7.1652E-4</v>
      </c>
      <c r="E56" s="250"/>
      <c r="F56" s="250"/>
    </row>
    <row r="57" spans="1:6" hidden="1">
      <c r="A57" s="250" t="s">
        <v>471</v>
      </c>
      <c r="B57" s="250">
        <f>SUMIFS(Orcamento!$K$205:$K$349,Orcamento!$C$205:$C$349,Memoria_Insumos!$A57)</f>
        <v>0</v>
      </c>
      <c r="C57" s="250"/>
      <c r="D57" s="250">
        <v>1.4459364000000001E-2</v>
      </c>
      <c r="E57" s="250"/>
      <c r="F57" s="250"/>
    </row>
    <row r="58" spans="1:6" hidden="1">
      <c r="A58" s="250" t="s">
        <v>472</v>
      </c>
      <c r="B58" s="250">
        <f>SUMIFS(Orcamento!$K$205:$K$349,Orcamento!$C$205:$C$349,Memoria_Insumos!$A58)</f>
        <v>0</v>
      </c>
      <c r="C58" s="250"/>
      <c r="D58" s="250">
        <v>6.0097056320000002</v>
      </c>
      <c r="E58" s="250"/>
      <c r="F58" s="250"/>
    </row>
    <row r="59" spans="1:6" hidden="1">
      <c r="A59" s="250" t="s">
        <v>473</v>
      </c>
      <c r="B59" s="250">
        <f>SUMIFS(Orcamento!$K$205:$K$349,Orcamento!$C$205:$C$349,Memoria_Insumos!$A59)</f>
        <v>0</v>
      </c>
      <c r="C59" s="250"/>
      <c r="D59" s="250">
        <v>5.6389469999999997E-2</v>
      </c>
      <c r="E59" s="250"/>
      <c r="F59" s="250"/>
    </row>
    <row r="60" spans="1:6" hidden="1">
      <c r="A60" s="250" t="s">
        <v>474</v>
      </c>
      <c r="B60" s="250">
        <f>SUMIFS(Orcamento!$K$205:$K$349,Orcamento!$C$205:$C$349,Memoria_Insumos!$A60)</f>
        <v>0</v>
      </c>
      <c r="C60" s="250"/>
      <c r="D60" s="250">
        <v>9.9284900000000009E-2</v>
      </c>
      <c r="E60" s="250"/>
      <c r="F60" s="250"/>
    </row>
    <row r="61" spans="1:6" hidden="1">
      <c r="A61" s="250" t="s">
        <v>475</v>
      </c>
      <c r="B61" s="250">
        <f>SUMIFS(Orcamento!$K$205:$K$349,Orcamento!$C$205:$C$349,Memoria_Insumos!$A61)</f>
        <v>0</v>
      </c>
      <c r="C61" s="250"/>
      <c r="D61" s="250">
        <v>60.085652694300002</v>
      </c>
      <c r="E61" s="250"/>
      <c r="F61" s="250"/>
    </row>
    <row r="62" spans="1:6" hidden="1">
      <c r="A62" s="250" t="s">
        <v>476</v>
      </c>
      <c r="B62" s="250">
        <f>SUMIFS(Orcamento!$K$205:$K$349,Orcamento!$C$205:$C$349,Memoria_Insumos!$A62)</f>
        <v>0</v>
      </c>
      <c r="C62" s="250"/>
      <c r="D62" s="250">
        <v>2.202E-3</v>
      </c>
      <c r="E62" s="250"/>
      <c r="F62" s="250"/>
    </row>
    <row r="63" spans="1:6" hidden="1">
      <c r="A63" s="250" t="s">
        <v>97</v>
      </c>
      <c r="B63" s="250">
        <f>SUMIFS(Orcamento!$K$205:$K$349,Orcamento!$C$205:$C$349,Memoria_Insumos!$A63)</f>
        <v>0</v>
      </c>
      <c r="C63" s="250"/>
      <c r="D63" s="250">
        <v>8.0948000000000001E-4</v>
      </c>
      <c r="E63" s="250"/>
      <c r="F63" s="250"/>
    </row>
    <row r="64" spans="1:6" hidden="1">
      <c r="A64" s="250" t="s">
        <v>96</v>
      </c>
      <c r="B64" s="250">
        <f>SUMIFS(Orcamento!$K$205:$K$349,Orcamento!$C$205:$C$349,Memoria_Insumos!$A64)</f>
        <v>0</v>
      </c>
      <c r="C64" s="250"/>
      <c r="D64" s="250">
        <v>1.1575564E-4</v>
      </c>
      <c r="E64" s="250"/>
      <c r="F64" s="250"/>
    </row>
    <row r="65" spans="1:6" hidden="1">
      <c r="A65" s="250" t="s">
        <v>95</v>
      </c>
      <c r="B65" s="250">
        <f>SUMIFS(Orcamento!$K$205:$K$349,Orcamento!$C$205:$C$349,Memoria_Insumos!$A65)</f>
        <v>0</v>
      </c>
      <c r="C65" s="250"/>
      <c r="D65" s="250">
        <v>1.4459364000000001E-2</v>
      </c>
      <c r="E65" s="250"/>
      <c r="F65" s="250"/>
    </row>
    <row r="66" spans="1:6" hidden="1">
      <c r="A66" s="250" t="s">
        <v>477</v>
      </c>
      <c r="B66" s="250">
        <f>SUMIFS(Orcamento!$K$205:$K$349,Orcamento!$C$205:$C$349,Memoria_Insumos!$A66)</f>
        <v>0</v>
      </c>
      <c r="C66" s="250"/>
      <c r="D66" s="250">
        <v>60.085652694300002</v>
      </c>
      <c r="E66" s="250">
        <v>143.823015</v>
      </c>
      <c r="F66" s="250"/>
    </row>
    <row r="67" spans="1:6" hidden="1">
      <c r="A67" s="250" t="s">
        <v>82</v>
      </c>
      <c r="B67" s="250">
        <f>SUMIFS(Orcamento!$K$205:$K$349,Orcamento!$C$205:$C$349,Memoria_Insumos!$A67)</f>
        <v>0</v>
      </c>
      <c r="C67" s="250"/>
      <c r="D67" s="250">
        <v>5.7819999999999998E-3</v>
      </c>
      <c r="E67" s="250"/>
      <c r="F67" s="250"/>
    </row>
    <row r="68" spans="1:6" hidden="1">
      <c r="A68" s="250" t="s">
        <v>478</v>
      </c>
      <c r="B68" s="250">
        <f>SUMIFS(Orcamento!$K$205:$K$349,Orcamento!$C$205:$C$349,Memoria_Insumos!$A68)</f>
        <v>0</v>
      </c>
      <c r="C68" s="250">
        <v>6.9827999999999999E-3</v>
      </c>
      <c r="D68" s="250">
        <v>2.8267321599999999E-2</v>
      </c>
      <c r="E68" s="250"/>
      <c r="F68" s="250"/>
    </row>
    <row r="69" spans="1:6" hidden="1">
      <c r="A69" s="250" t="s">
        <v>479</v>
      </c>
      <c r="B69" s="250">
        <f>SUMIFS(Orcamento!$K$205:$K$349,Orcamento!$C$205:$C$349,Memoria_Insumos!$A69)</f>
        <v>0</v>
      </c>
      <c r="C69" s="250"/>
      <c r="D69" s="250">
        <v>6.5074880000000002E-2</v>
      </c>
      <c r="E69" s="250"/>
      <c r="F69" s="250"/>
    </row>
    <row r="70" spans="1:6" hidden="1">
      <c r="A70" s="250" t="s">
        <v>480</v>
      </c>
      <c r="B70" s="250">
        <f>SUMIFS(Orcamento!$K$205:$K$349,Orcamento!$C$205:$C$349,Memoria_Insumos!$A70)</f>
        <v>0</v>
      </c>
      <c r="C70" s="250"/>
      <c r="D70" s="250">
        <v>4.6704800000000003E-3</v>
      </c>
      <c r="E70" s="250"/>
      <c r="F70" s="250"/>
    </row>
    <row r="71" spans="1:6" hidden="1">
      <c r="A71" s="250" t="s">
        <v>481</v>
      </c>
      <c r="B71" s="250">
        <f>SUMIFS(Orcamento!$K$205:$K$349,Orcamento!$C$205:$C$349,Memoria_Insumos!$A71)</f>
        <v>0</v>
      </c>
      <c r="C71" s="250"/>
      <c r="D71" s="250">
        <v>4.6704800000000003E-3</v>
      </c>
      <c r="E71" s="250"/>
      <c r="F71" s="250"/>
    </row>
    <row r="72" spans="1:6" hidden="1">
      <c r="A72" s="250" t="s">
        <v>336</v>
      </c>
      <c r="B72" s="250">
        <f>SUMIFS(Orcamento!$K$205:$K$349,Orcamento!$C$205:$C$349,Memoria_Insumos!$A72)</f>
        <v>0</v>
      </c>
      <c r="C72" s="250"/>
      <c r="D72" s="250">
        <v>2.9360000000000001E-2</v>
      </c>
      <c r="E72" s="250"/>
      <c r="F72" s="250"/>
    </row>
    <row r="73" spans="1:6" hidden="1">
      <c r="A73" s="250" t="s">
        <v>226</v>
      </c>
      <c r="B73" s="250">
        <f>SUMIFS(Orcamento!$K$205:$K$349,Orcamento!$C$205:$C$349,Memoria_Insumos!$A73)</f>
        <v>0</v>
      </c>
      <c r="C73" s="250"/>
      <c r="D73" s="250">
        <v>3.0899925000000002E-2</v>
      </c>
      <c r="E73" s="250"/>
      <c r="F73" s="250"/>
    </row>
    <row r="74" spans="1:6" hidden="1">
      <c r="A74" s="250" t="s">
        <v>337</v>
      </c>
      <c r="B74" s="250">
        <f>SUMIFS(Orcamento!$K$205:$K$349,Orcamento!$C$205:$C$349,Memoria_Insumos!$A74)</f>
        <v>0</v>
      </c>
      <c r="C74" s="250"/>
      <c r="D74" s="250">
        <v>2.5421599999999999E-2</v>
      </c>
      <c r="E74" s="250"/>
      <c r="F74" s="250"/>
    </row>
    <row r="75" spans="1:6" hidden="1">
      <c r="A75" s="250" t="s">
        <v>482</v>
      </c>
      <c r="B75" s="250">
        <f>SUMIFS(Orcamento!$K$205:$K$349,Orcamento!$C$205:$C$349,Memoria_Insumos!$A75)</f>
        <v>0</v>
      </c>
      <c r="C75" s="250"/>
      <c r="D75" s="250"/>
      <c r="E75" s="250">
        <v>1.05</v>
      </c>
      <c r="F75" s="250"/>
    </row>
    <row r="76" spans="1:6" hidden="1">
      <c r="A76" s="250" t="s">
        <v>483</v>
      </c>
      <c r="B76" s="250">
        <f>SUMIFS(Orcamento!$K$205:$K$349,Orcamento!$C$205:$C$349,Memoria_Insumos!$A76)</f>
        <v>0</v>
      </c>
      <c r="C76" s="250"/>
      <c r="D76" s="250">
        <v>5.2317000000000002E-2</v>
      </c>
      <c r="E76" s="250"/>
      <c r="F76" s="250"/>
    </row>
    <row r="77" spans="1:6" hidden="1">
      <c r="A77" s="250" t="s">
        <v>325</v>
      </c>
      <c r="B77" s="250">
        <f>SUMIFS(Orcamento!$K$205:$K$349,Orcamento!$C$205:$C$349,Memoria_Insumos!$A77)</f>
        <v>0</v>
      </c>
      <c r="C77" s="250"/>
      <c r="D77" s="250">
        <v>2.6158500000000001E-2</v>
      </c>
      <c r="E77" s="250"/>
      <c r="F77" s="250"/>
    </row>
    <row r="78" spans="1:6" hidden="1">
      <c r="A78" s="250" t="s">
        <v>324</v>
      </c>
      <c r="B78" s="250">
        <f>SUMIFS(Orcamento!$K$205:$K$349,Orcamento!$C$205:$C$349,Memoria_Insumos!$A78)</f>
        <v>0</v>
      </c>
      <c r="C78" s="250"/>
      <c r="D78" s="250">
        <v>1.9182899999999999E-2</v>
      </c>
      <c r="E78" s="250"/>
      <c r="F78" s="250"/>
    </row>
    <row r="79" spans="1:6" hidden="1">
      <c r="A79" s="250" t="s">
        <v>484</v>
      </c>
      <c r="B79" s="250">
        <f>SUMIFS(Orcamento!$K$205:$K$349,Orcamento!$C$205:$C$349,Memoria_Insumos!$A79)</f>
        <v>0</v>
      </c>
      <c r="C79" s="250"/>
      <c r="D79" s="250">
        <v>2.8005075000000001E-2</v>
      </c>
      <c r="E79" s="250"/>
      <c r="F79" s="250"/>
    </row>
    <row r="80" spans="1:6" hidden="1">
      <c r="A80" s="250" t="s">
        <v>485</v>
      </c>
      <c r="B80" s="250">
        <f>SUMIFS(Orcamento!$K$205:$K$349,Orcamento!$C$205:$C$349,Memoria_Insumos!$A80)</f>
        <v>0</v>
      </c>
      <c r="C80" s="250"/>
      <c r="D80" s="250">
        <v>2.8005075000000001E-2</v>
      </c>
      <c r="E80" s="250"/>
      <c r="F80" s="250"/>
    </row>
    <row r="81" spans="1:6" hidden="1">
      <c r="A81" s="250" t="s">
        <v>323</v>
      </c>
      <c r="B81" s="250">
        <f>SUMIFS(Orcamento!$K$205:$K$349,Orcamento!$C$205:$C$349,Memoria_Insumos!$A81)</f>
        <v>0</v>
      </c>
      <c r="C81" s="250"/>
      <c r="D81" s="250">
        <v>1.9182899999999999E-2</v>
      </c>
      <c r="E81" s="250"/>
      <c r="F81" s="250"/>
    </row>
    <row r="82" spans="1:6" hidden="1">
      <c r="A82" s="250" t="s">
        <v>486</v>
      </c>
      <c r="B82" s="250">
        <f>SUMIFS(Orcamento!$K$205:$K$349,Orcamento!$C$205:$C$349,Memoria_Insumos!$A82)</f>
        <v>0</v>
      </c>
      <c r="C82" s="250"/>
      <c r="D82" s="250">
        <v>8.7194999999999998E-3</v>
      </c>
      <c r="E82" s="250"/>
      <c r="F82" s="250"/>
    </row>
    <row r="83" spans="1:6" hidden="1">
      <c r="A83" s="250" t="s">
        <v>322</v>
      </c>
      <c r="B83" s="250">
        <f>SUMIFS(Orcamento!$K$205:$K$349,Orcamento!$C$205:$C$349,Memoria_Insumos!$A83)</f>
        <v>0</v>
      </c>
      <c r="C83" s="250"/>
      <c r="D83" s="250">
        <v>5.0863749999999999E-2</v>
      </c>
      <c r="E83" s="250"/>
      <c r="F83" s="250"/>
    </row>
    <row r="84" spans="1:6" hidden="1">
      <c r="A84" s="250" t="s">
        <v>340</v>
      </c>
      <c r="B84" s="250">
        <f>SUMIFS(Orcamento!$K$205:$K$349,Orcamento!$C$205:$C$349,Memoria_Insumos!$A84)</f>
        <v>0</v>
      </c>
      <c r="C84" s="250"/>
      <c r="D84" s="250">
        <v>2.9065000000000001E-2</v>
      </c>
      <c r="E84" s="250"/>
      <c r="F84" s="250"/>
    </row>
    <row r="85" spans="1:6" hidden="1">
      <c r="A85" s="250" t="s">
        <v>487</v>
      </c>
      <c r="B85" s="250">
        <f>SUMIFS(Orcamento!$K$205:$K$349,Orcamento!$C$205:$C$349,Memoria_Insumos!$A85)</f>
        <v>0</v>
      </c>
      <c r="C85" s="250"/>
      <c r="D85" s="250">
        <v>2.0537054999999999E-2</v>
      </c>
      <c r="E85" s="250"/>
      <c r="F85" s="250"/>
    </row>
    <row r="86" spans="1:6" hidden="1">
      <c r="A86" s="250" t="s">
        <v>320</v>
      </c>
      <c r="B86" s="250">
        <f>SUMIFS(Orcamento!$K$205:$K$349,Orcamento!$C$205:$C$349,Memoria_Insumos!$A86)</f>
        <v>0</v>
      </c>
      <c r="C86" s="250"/>
      <c r="D86" s="250">
        <v>1.656705E-2</v>
      </c>
      <c r="E86" s="250"/>
      <c r="F86" s="250"/>
    </row>
    <row r="87" spans="1:6" hidden="1">
      <c r="A87" s="250" t="s">
        <v>488</v>
      </c>
      <c r="B87" s="250">
        <f>SUMIFS(Orcamento!$K$205:$K$349,Orcamento!$C$205:$C$349,Memoria_Insumos!$A87)</f>
        <v>0</v>
      </c>
      <c r="C87" s="250"/>
      <c r="D87" s="250">
        <v>2.7321100000000001E-2</v>
      </c>
      <c r="E87" s="250"/>
      <c r="F87" s="250"/>
    </row>
    <row r="88" spans="1:6" hidden="1">
      <c r="A88" s="250" t="s">
        <v>318</v>
      </c>
      <c r="B88" s="250">
        <f>SUMIFS(Orcamento!$K$205:$K$349,Orcamento!$C$205:$C$349,Memoria_Insumos!$A88)</f>
        <v>0</v>
      </c>
      <c r="C88" s="250"/>
      <c r="D88" s="250">
        <v>3.6358799999999997E-2</v>
      </c>
      <c r="E88" s="250"/>
      <c r="F88" s="250"/>
    </row>
    <row r="89" spans="1:6" hidden="1">
      <c r="A89" s="250" t="s">
        <v>489</v>
      </c>
      <c r="B89" s="250">
        <f>SUMIFS(Orcamento!$K$205:$K$349,Orcamento!$C$205:$C$349,Memoria_Insumos!$A89)</f>
        <v>0</v>
      </c>
      <c r="C89" s="250"/>
      <c r="D89" s="250">
        <v>4.1074109999999997E-2</v>
      </c>
      <c r="E89" s="250"/>
      <c r="F89" s="250"/>
    </row>
    <row r="90" spans="1:6" hidden="1">
      <c r="A90" s="250" t="s">
        <v>490</v>
      </c>
      <c r="B90" s="250">
        <f>SUMIFS(Orcamento!$K$205:$K$349,Orcamento!$C$205:$C$349,Memoria_Insumos!$A90)</f>
        <v>0</v>
      </c>
      <c r="C90" s="250"/>
      <c r="D90" s="250">
        <v>2.0537054999999999E-2</v>
      </c>
      <c r="E90" s="250"/>
      <c r="F90" s="250"/>
    </row>
    <row r="91" spans="1:6" hidden="1">
      <c r="A91" s="250" t="s">
        <v>491</v>
      </c>
      <c r="B91" s="250">
        <f>SUMIFS(Orcamento!$K$205:$K$349,Orcamento!$C$205:$C$349,Memoria_Insumos!$A91)</f>
        <v>0</v>
      </c>
      <c r="C91" s="250"/>
      <c r="D91" s="250">
        <v>0.5927</v>
      </c>
      <c r="E91" s="250"/>
      <c r="F91" s="250"/>
    </row>
    <row r="92" spans="1:6" hidden="1">
      <c r="A92" s="250" t="s">
        <v>492</v>
      </c>
      <c r="B92" s="250">
        <f>SUMIFS(Orcamento!$K$205:$K$349,Orcamento!$C$205:$C$349,Memoria_Insumos!$A92)</f>
        <v>0</v>
      </c>
      <c r="C92" s="250"/>
      <c r="D92" s="250">
        <v>2.0537054999999999E-2</v>
      </c>
      <c r="E92" s="250"/>
      <c r="F92" s="250"/>
    </row>
    <row r="93" spans="1:6" hidden="1">
      <c r="A93" s="250" t="s">
        <v>286</v>
      </c>
      <c r="B93" s="250">
        <f>SUMIFS(Orcamento!$K$205:$K$349,Orcamento!$C$205:$C$349,Memoria_Insumos!$A93)</f>
        <v>0</v>
      </c>
      <c r="C93" s="250"/>
      <c r="D93" s="250">
        <v>0.25</v>
      </c>
      <c r="E93" s="250"/>
      <c r="F93" s="250"/>
    </row>
    <row r="94" spans="1:6" hidden="1">
      <c r="A94" s="250" t="s">
        <v>493</v>
      </c>
      <c r="B94" s="250">
        <f>SUMIFS(Orcamento!$K$205:$K$349,Orcamento!$C$205:$C$349,Memoria_Insumos!$A94)</f>
        <v>0</v>
      </c>
      <c r="C94" s="250">
        <v>0.51044904000000002</v>
      </c>
      <c r="D94" s="250">
        <v>0.15967500000000001</v>
      </c>
      <c r="E94" s="250"/>
      <c r="F94" s="250"/>
    </row>
    <row r="95" spans="1:6" hidden="1">
      <c r="A95" s="250" t="s">
        <v>494</v>
      </c>
      <c r="B95" s="250">
        <f>SUMIFS(Orcamento!$K$205:$K$349,Orcamento!$C$205:$C$349,Memoria_Insumos!$A95)</f>
        <v>0</v>
      </c>
      <c r="C95" s="250">
        <v>0.51044904000000002</v>
      </c>
      <c r="D95" s="250">
        <v>0.15967500000000001</v>
      </c>
      <c r="E95" s="250"/>
      <c r="F95" s="250"/>
    </row>
    <row r="96" spans="1:6" hidden="1">
      <c r="A96" s="250" t="s">
        <v>495</v>
      </c>
      <c r="B96" s="250">
        <f>SUMIFS(Orcamento!$K$205:$K$349,Orcamento!$C$205:$C$349,Memoria_Insumos!$A96)</f>
        <v>0</v>
      </c>
      <c r="C96" s="250">
        <v>0.51044904000000002</v>
      </c>
      <c r="D96" s="250">
        <v>0.15967500000000001</v>
      </c>
      <c r="E96" s="250"/>
      <c r="F96" s="250"/>
    </row>
    <row r="97" spans="1:6" hidden="1">
      <c r="A97" s="250" t="s">
        <v>496</v>
      </c>
      <c r="B97" s="250">
        <f>SUMIFS(Orcamento!$K$205:$K$349,Orcamento!$C$205:$C$349,Memoria_Insumos!$A97)</f>
        <v>0</v>
      </c>
      <c r="C97" s="250"/>
      <c r="D97" s="250">
        <v>0.66</v>
      </c>
      <c r="E97" s="250"/>
      <c r="F97" s="250"/>
    </row>
    <row r="98" spans="1:6" hidden="1">
      <c r="A98" s="250" t="s">
        <v>497</v>
      </c>
      <c r="B98" s="250">
        <f>SUMIFS(Orcamento!$K$205:$K$349,Orcamento!$C$205:$C$349,Memoria_Insumos!$A98)</f>
        <v>0</v>
      </c>
      <c r="C98" s="250"/>
      <c r="D98" s="250">
        <v>0.92400000000000004</v>
      </c>
      <c r="E98" s="250"/>
      <c r="F98" s="250"/>
    </row>
    <row r="99" spans="1:6" hidden="1">
      <c r="A99" s="250" t="s">
        <v>498</v>
      </c>
      <c r="B99" s="250">
        <f>SUMIFS(Orcamento!$K$205:$K$349,Orcamento!$C$205:$C$349,Memoria_Insumos!$A99)</f>
        <v>0</v>
      </c>
      <c r="C99" s="250"/>
      <c r="D99" s="250">
        <v>0.92400000000000004</v>
      </c>
      <c r="E99" s="250"/>
      <c r="F99" s="250"/>
    </row>
    <row r="100" spans="1:6" hidden="1">
      <c r="A100" s="250" t="s">
        <v>499</v>
      </c>
      <c r="B100" s="250">
        <f>SUMIFS(Orcamento!$K$205:$K$349,Orcamento!$C$205:$C$349,Memoria_Insumos!$A100)</f>
        <v>0</v>
      </c>
      <c r="C100" s="250">
        <v>4.0000000000000001E-3</v>
      </c>
      <c r="D100" s="250">
        <v>7.3000000000000001E-3</v>
      </c>
      <c r="E100" s="250">
        <v>1.4999999999999999E-2</v>
      </c>
      <c r="F100" s="250"/>
    </row>
    <row r="101" spans="1:6" hidden="1">
      <c r="A101" s="250" t="s">
        <v>500</v>
      </c>
      <c r="B101" s="250">
        <f>SUMIFS(Orcamento!$K$205:$K$349,Orcamento!$C$205:$C$349,Memoria_Insumos!$A101)</f>
        <v>0</v>
      </c>
      <c r="C101" s="250">
        <v>7.3000000000000001E-3</v>
      </c>
      <c r="D101" s="250">
        <v>1.4999999999999999E-2</v>
      </c>
      <c r="E101" s="250"/>
      <c r="F101" s="250"/>
    </row>
    <row r="102" spans="1:6" hidden="1">
      <c r="A102" s="250" t="s">
        <v>501</v>
      </c>
      <c r="B102" s="250">
        <f>SUMIFS(Orcamento!$K$205:$K$349,Orcamento!$C$205:$C$349,Memoria_Insumos!$A102)</f>
        <v>0</v>
      </c>
      <c r="C102" s="250">
        <v>7.3000000000000001E-3</v>
      </c>
      <c r="D102" s="250">
        <v>1.4999999999999999E-2</v>
      </c>
      <c r="E102" s="250"/>
      <c r="F102" s="250"/>
    </row>
    <row r="103" spans="1:6" hidden="1">
      <c r="A103" s="250" t="s">
        <v>502</v>
      </c>
      <c r="B103" s="250">
        <f>SUMIFS(Orcamento!$K$205:$K$349,Orcamento!$C$205:$C$349,Memoria_Insumos!$A103)</f>
        <v>0</v>
      </c>
      <c r="C103" s="250">
        <v>7.3000000000000001E-3</v>
      </c>
      <c r="D103" s="250">
        <v>1.4999999999999999E-2</v>
      </c>
      <c r="E103" s="250"/>
      <c r="F103" s="250"/>
    </row>
    <row r="104" spans="1:6" hidden="1">
      <c r="A104" s="250" t="s">
        <v>251</v>
      </c>
      <c r="B104" s="250">
        <f>SUMIFS(Orcamento!$K$205:$K$349,Orcamento!$C$205:$C$349,Memoria_Insumos!$A104)</f>
        <v>0</v>
      </c>
      <c r="C104" s="250">
        <v>7.3000000000000001E-3</v>
      </c>
      <c r="D104" s="250">
        <v>1.4999999999999999E-2</v>
      </c>
      <c r="E104" s="250"/>
      <c r="F104" s="250"/>
    </row>
    <row r="105" spans="1:6" hidden="1">
      <c r="A105" s="250" t="s">
        <v>503</v>
      </c>
      <c r="B105" s="250">
        <f>SUMIFS(Orcamento!$K$205:$K$349,Orcamento!$C$205:$C$349,Memoria_Insumos!$A105)</f>
        <v>0</v>
      </c>
      <c r="C105" s="250">
        <v>6.7000000000000002E-3</v>
      </c>
      <c r="D105" s="250"/>
      <c r="E105" s="250"/>
      <c r="F105" s="250"/>
    </row>
    <row r="106" spans="1:6" hidden="1">
      <c r="A106" s="250" t="s">
        <v>504</v>
      </c>
      <c r="B106" s="250">
        <f>SUMIFS(Orcamento!$K$205:$K$349,Orcamento!$C$205:$C$349,Memoria_Insumos!$A106)</f>
        <v>0</v>
      </c>
      <c r="C106" s="250">
        <v>6.7000000000000002E-3</v>
      </c>
      <c r="D106" s="250"/>
      <c r="E106" s="250"/>
      <c r="F106" s="250"/>
    </row>
    <row r="107" spans="1:6" hidden="1">
      <c r="A107" s="250" t="s">
        <v>505</v>
      </c>
      <c r="B107" s="250">
        <f>SUMIFS(Orcamento!$K$205:$K$349,Orcamento!$C$205:$C$349,Memoria_Insumos!$A107)</f>
        <v>0</v>
      </c>
      <c r="C107" s="250">
        <v>0.17483000000000001</v>
      </c>
      <c r="D107" s="250">
        <v>0.17902999999999999</v>
      </c>
      <c r="E107" s="250"/>
      <c r="F107" s="250"/>
    </row>
    <row r="108" spans="1:6" hidden="1">
      <c r="A108" s="250" t="s">
        <v>506</v>
      </c>
      <c r="B108" s="250">
        <f>SUMIFS(Orcamento!$K$205:$K$349,Orcamento!$C$205:$C$349,Memoria_Insumos!$A108)</f>
        <v>0</v>
      </c>
      <c r="C108" s="250">
        <v>0.17483000000000001</v>
      </c>
      <c r="D108" s="250">
        <v>0.17902999999999999</v>
      </c>
      <c r="E108" s="250"/>
      <c r="F108" s="250"/>
    </row>
    <row r="109" spans="1:6" hidden="1">
      <c r="A109" s="250" t="s">
        <v>507</v>
      </c>
      <c r="B109" s="250">
        <f>SUMIFS(Orcamento!$K$205:$K$349,Orcamento!$C$205:$C$349,Memoria_Insumos!$A109)</f>
        <v>0</v>
      </c>
      <c r="C109" s="250">
        <v>0.17399999999999999</v>
      </c>
      <c r="D109" s="250">
        <v>0.1782</v>
      </c>
      <c r="E109" s="250"/>
      <c r="F109" s="250"/>
    </row>
    <row r="110" spans="1:6" hidden="1">
      <c r="A110" s="250" t="s">
        <v>508</v>
      </c>
      <c r="B110" s="250">
        <f>SUMIFS(Orcamento!$K$205:$K$349,Orcamento!$C$205:$C$349,Memoria_Insumos!$A110)</f>
        <v>0</v>
      </c>
      <c r="C110" s="250">
        <v>0.17399999999999999</v>
      </c>
      <c r="D110" s="250">
        <v>0.1782</v>
      </c>
      <c r="E110" s="250"/>
      <c r="F110" s="250"/>
    </row>
    <row r="111" spans="1:6" hidden="1">
      <c r="A111" s="250" t="s">
        <v>509</v>
      </c>
      <c r="B111" s="250">
        <f>SUMIFS(Orcamento!$K$205:$K$349,Orcamento!$C$205:$C$349,Memoria_Insumos!$A111)</f>
        <v>0</v>
      </c>
      <c r="C111" s="250">
        <v>0.17748</v>
      </c>
      <c r="D111" s="250">
        <v>0.18176400000000001</v>
      </c>
      <c r="E111" s="250"/>
      <c r="F111" s="250"/>
    </row>
    <row r="112" spans="1:6" hidden="1">
      <c r="A112" s="250" t="s">
        <v>510</v>
      </c>
      <c r="B112" s="250">
        <f>SUMIFS(Orcamento!$K$205:$K$349,Orcamento!$C$205:$C$349,Memoria_Insumos!$A112)</f>
        <v>0</v>
      </c>
      <c r="C112" s="250">
        <v>0.19980000000000001</v>
      </c>
      <c r="D112" s="250">
        <v>6.25E-2</v>
      </c>
      <c r="E112" s="250"/>
      <c r="F112" s="250"/>
    </row>
    <row r="113" spans="1:6" hidden="1">
      <c r="A113" s="250" t="s">
        <v>511</v>
      </c>
      <c r="B113" s="250">
        <f>SUMIFS(Orcamento!$K$205:$K$349,Orcamento!$C$205:$C$349,Memoria_Insumos!$A113)</f>
        <v>0</v>
      </c>
      <c r="C113" s="250">
        <v>0.19980000000000001</v>
      </c>
      <c r="D113" s="250">
        <v>6.25E-2</v>
      </c>
      <c r="E113" s="250"/>
      <c r="F113" s="250"/>
    </row>
    <row r="114" spans="1:6" hidden="1">
      <c r="A114" s="250" t="s">
        <v>512</v>
      </c>
      <c r="B114" s="250">
        <f>SUMIFS(Orcamento!$K$205:$K$349,Orcamento!$C$205:$C$349,Memoria_Insumos!$A114)</f>
        <v>0</v>
      </c>
      <c r="C114" s="250">
        <v>0.19980000000000001</v>
      </c>
      <c r="D114" s="250">
        <v>6.25E-2</v>
      </c>
      <c r="E114" s="250"/>
      <c r="F114" s="250"/>
    </row>
    <row r="115" spans="1:6" hidden="1">
      <c r="A115" s="250" t="s">
        <v>513</v>
      </c>
      <c r="B115" s="250">
        <f>SUMIFS(Orcamento!$K$205:$K$349,Orcamento!$C$205:$C$349,Memoria_Insumos!$A115)</f>
        <v>0</v>
      </c>
      <c r="C115" s="250">
        <v>0.19980000000000001</v>
      </c>
      <c r="D115" s="250">
        <v>6.25E-2</v>
      </c>
      <c r="E115" s="250"/>
      <c r="F115" s="250"/>
    </row>
    <row r="116" spans="1:6" hidden="1">
      <c r="A116" s="250" t="s">
        <v>514</v>
      </c>
      <c r="B116" s="250">
        <f>SUMIFS(Orcamento!$K$205:$K$349,Orcamento!$C$205:$C$349,Memoria_Insumos!$A116)</f>
        <v>0</v>
      </c>
      <c r="C116" s="250">
        <v>0.19980000000000001</v>
      </c>
      <c r="D116" s="250">
        <v>6.25E-2</v>
      </c>
      <c r="E116" s="250"/>
      <c r="F116" s="250"/>
    </row>
    <row r="117" spans="1:6" hidden="1">
      <c r="A117" s="250" t="s">
        <v>299</v>
      </c>
      <c r="B117" s="250">
        <f>SUMIFS(Orcamento!$K$205:$K$349,Orcamento!$C$205:$C$349,Memoria_Insumos!$A117)</f>
        <v>0</v>
      </c>
      <c r="C117" s="250">
        <v>2.8999999999999998E-3</v>
      </c>
      <c r="D117" s="250"/>
      <c r="E117" s="250"/>
      <c r="F117" s="250"/>
    </row>
    <row r="118" spans="1:6" hidden="1">
      <c r="A118" s="250" t="s">
        <v>515</v>
      </c>
      <c r="B118" s="250">
        <f>SUMIFS(Orcamento!$K$205:$K$349,Orcamento!$C$205:$C$349,Memoria_Insumos!$A118)</f>
        <v>0</v>
      </c>
      <c r="C118" s="250">
        <v>2.8999999999999998E-3</v>
      </c>
      <c r="D118" s="250"/>
      <c r="E118" s="250"/>
      <c r="F118" s="250"/>
    </row>
    <row r="119" spans="1:6" hidden="1">
      <c r="A119" s="250" t="s">
        <v>279</v>
      </c>
      <c r="B119" s="250">
        <f>SUMIFS(Orcamento!$K$205:$K$349,Orcamento!$C$205:$C$349,Memoria_Insumos!$A119)</f>
        <v>0</v>
      </c>
      <c r="C119" s="250"/>
      <c r="D119" s="250"/>
      <c r="E119" s="250"/>
      <c r="F119" s="250">
        <v>1.3</v>
      </c>
    </row>
    <row r="120" spans="1:6" hidden="1">
      <c r="A120" s="250" t="s">
        <v>240</v>
      </c>
      <c r="B120" s="250">
        <f>SUMIFS(Orcamento!$K$205:$K$349,Orcamento!$C$205:$C$349,Memoria_Insumos!$A120)</f>
        <v>0</v>
      </c>
      <c r="C120" s="250"/>
      <c r="D120" s="250"/>
      <c r="E120" s="250">
        <v>0.55000000000000004</v>
      </c>
      <c r="F120" s="250"/>
    </row>
    <row r="121" spans="1:6" hidden="1">
      <c r="A121" s="250" t="s">
        <v>239</v>
      </c>
      <c r="B121" s="250">
        <f>SUMIFS(Orcamento!$K$205:$K$349,Orcamento!$C$205:$C$349,Memoria_Insumos!$A121)</f>
        <v>0</v>
      </c>
      <c r="C121" s="250"/>
      <c r="D121" s="250"/>
      <c r="E121" s="250">
        <v>0.27500000000000002</v>
      </c>
      <c r="F121" s="250"/>
    </row>
    <row r="122" spans="1:6" hidden="1">
      <c r="A122" s="250" t="s">
        <v>238</v>
      </c>
      <c r="B122" s="250">
        <f>SUMIFS(Orcamento!$K$205:$K$349,Orcamento!$C$205:$C$349,Memoria_Insumos!$A122)</f>
        <v>0</v>
      </c>
      <c r="C122" s="250"/>
      <c r="D122" s="250"/>
      <c r="E122" s="250">
        <v>4.3999999999999997E-2</v>
      </c>
      <c r="F122" s="250"/>
    </row>
    <row r="123" spans="1:6" hidden="1">
      <c r="A123" s="250" t="s">
        <v>237</v>
      </c>
      <c r="B123" s="250">
        <f>SUMIFS(Orcamento!$K$205:$K$349,Orcamento!$C$205:$C$349,Memoria_Insumos!$A123)</f>
        <v>0</v>
      </c>
      <c r="C123" s="250"/>
      <c r="D123" s="250"/>
      <c r="E123" s="250">
        <v>4.3999999999999997E-2</v>
      </c>
      <c r="F123" s="250"/>
    </row>
    <row r="124" spans="1:6" hidden="1">
      <c r="A124" s="250" t="s">
        <v>236</v>
      </c>
      <c r="B124" s="250">
        <f>SUMIFS(Orcamento!$K$205:$K$349,Orcamento!$C$205:$C$349,Memoria_Insumos!$A124)</f>
        <v>0</v>
      </c>
      <c r="C124" s="250"/>
      <c r="D124" s="250"/>
      <c r="E124" s="250">
        <v>4.3999999999999997E-2</v>
      </c>
      <c r="F124" s="250"/>
    </row>
    <row r="125" spans="1:6" hidden="1">
      <c r="A125" s="250" t="s">
        <v>210</v>
      </c>
      <c r="B125" s="250">
        <f>SUMIFS(Orcamento!$K$205:$K$349,Orcamento!$C$205:$C$349,Memoria_Insumos!$A125)</f>
        <v>0</v>
      </c>
      <c r="C125" s="250"/>
      <c r="D125" s="250"/>
      <c r="E125" s="250">
        <v>1.1000000000000001</v>
      </c>
      <c r="F125" s="250"/>
    </row>
    <row r="126" spans="1:6" hidden="1">
      <c r="A126" s="250" t="s">
        <v>516</v>
      </c>
      <c r="B126" s="250">
        <f>SUMIFS(Orcamento!$K$205:$K$349,Orcamento!$C$205:$C$349,Memoria_Insumos!$A126)</f>
        <v>0</v>
      </c>
      <c r="C126" s="250">
        <v>1.0117040000000001E-2</v>
      </c>
      <c r="D126" s="250">
        <v>2.3395300000000001E-2</v>
      </c>
      <c r="E126" s="250"/>
      <c r="F126" s="250"/>
    </row>
    <row r="127" spans="1:6" hidden="1">
      <c r="A127" s="250" t="s">
        <v>517</v>
      </c>
      <c r="B127" s="250">
        <f>SUMIFS(Orcamento!$K$205:$K$349,Orcamento!$C$205:$C$349,Memoria_Insumos!$A127)</f>
        <v>0</v>
      </c>
      <c r="C127" s="250"/>
      <c r="D127" s="250"/>
      <c r="E127" s="250"/>
      <c r="F127" s="250">
        <v>1.3</v>
      </c>
    </row>
    <row r="128" spans="1:6" hidden="1">
      <c r="A128" s="250" t="s">
        <v>222</v>
      </c>
      <c r="B128" s="250">
        <f>SUMIFS(Orcamento!$K$205:$K$349,Orcamento!$C$205:$C$349,Memoria_Insumos!$A128)</f>
        <v>0</v>
      </c>
      <c r="C128" s="250"/>
      <c r="D128" s="250"/>
      <c r="E128" s="250"/>
      <c r="F128" s="250">
        <v>1.3</v>
      </c>
    </row>
    <row r="129" spans="1:6" hidden="1">
      <c r="A129" s="250" t="s">
        <v>518</v>
      </c>
      <c r="B129" s="250">
        <f>SUMIFS(Orcamento!$K$205:$K$349,Orcamento!$C$205:$C$349,Memoria_Insumos!$A129)</f>
        <v>0</v>
      </c>
      <c r="C129" s="250"/>
      <c r="D129" s="250"/>
      <c r="E129" s="250"/>
      <c r="F129" s="250">
        <v>1.3</v>
      </c>
    </row>
    <row r="130" spans="1:6" hidden="1">
      <c r="A130" s="250" t="s">
        <v>519</v>
      </c>
      <c r="B130" s="250">
        <f>SUMIFS(Orcamento!$K$205:$K$349,Orcamento!$C$205:$C$349,Memoria_Insumos!$A130)</f>
        <v>0</v>
      </c>
      <c r="C130" s="250"/>
      <c r="D130" s="250"/>
      <c r="E130" s="250"/>
      <c r="F130" s="250">
        <v>1.3</v>
      </c>
    </row>
    <row r="131" spans="1:6" hidden="1">
      <c r="A131" s="250" t="s">
        <v>520</v>
      </c>
      <c r="B131" s="250">
        <f>SUMIFS(Orcamento!$K$205:$K$349,Orcamento!$C$205:$C$349,Memoria_Insumos!$A131)</f>
        <v>0</v>
      </c>
      <c r="C131" s="250"/>
      <c r="D131" s="250"/>
      <c r="E131" s="250"/>
      <c r="F131" s="250">
        <v>1.3</v>
      </c>
    </row>
    <row r="132" spans="1:6" hidden="1">
      <c r="A132" s="250" t="s">
        <v>521</v>
      </c>
      <c r="B132" s="250">
        <f>SUMIFS(Orcamento!$K$205:$K$349,Orcamento!$C$205:$C$349,Memoria_Insumos!$A132)</f>
        <v>0</v>
      </c>
      <c r="C132" s="250"/>
      <c r="D132" s="250"/>
      <c r="E132" s="250"/>
      <c r="F132" s="250">
        <v>1.3</v>
      </c>
    </row>
    <row r="133" spans="1:6" hidden="1">
      <c r="A133" s="250" t="s">
        <v>221</v>
      </c>
      <c r="B133" s="250">
        <f>SUMIFS(Orcamento!$K$205:$K$349,Orcamento!$C$205:$C$349,Memoria_Insumos!$A133)</f>
        <v>0</v>
      </c>
      <c r="C133" s="250"/>
      <c r="D133" s="250"/>
      <c r="E133" s="250"/>
      <c r="F133" s="250">
        <v>1.3</v>
      </c>
    </row>
    <row r="134" spans="1:6" hidden="1">
      <c r="A134" s="250" t="s">
        <v>220</v>
      </c>
      <c r="B134" s="250">
        <f>SUMIFS(Orcamento!$K$205:$K$349,Orcamento!$C$205:$C$349,Memoria_Insumos!$A134)</f>
        <v>0</v>
      </c>
      <c r="C134" s="250"/>
      <c r="D134" s="250"/>
      <c r="E134" s="250"/>
      <c r="F134" s="250">
        <v>1.3</v>
      </c>
    </row>
    <row r="135" spans="1:6" hidden="1">
      <c r="A135" s="250" t="s">
        <v>522</v>
      </c>
      <c r="B135" s="250">
        <f>SUMIFS(Orcamento!$K$205:$K$349,Orcamento!$C$205:$C$349,Memoria_Insumos!$A135)</f>
        <v>0</v>
      </c>
      <c r="C135" s="250"/>
      <c r="D135" s="250"/>
      <c r="E135" s="250"/>
      <c r="F135" s="250">
        <v>1.3</v>
      </c>
    </row>
    <row r="136" spans="1:6" hidden="1">
      <c r="A136" s="250" t="s">
        <v>523</v>
      </c>
      <c r="B136" s="250">
        <f>SUMIFS(Orcamento!$K$205:$K$349,Orcamento!$C$205:$C$349,Memoria_Insumos!$A136)</f>
        <v>0</v>
      </c>
      <c r="C136" s="250"/>
      <c r="D136" s="250"/>
      <c r="E136" s="250"/>
      <c r="F136" s="250">
        <v>1.3</v>
      </c>
    </row>
    <row r="137" spans="1:6" hidden="1">
      <c r="A137" s="250" t="s">
        <v>219</v>
      </c>
      <c r="B137" s="250">
        <f>SUMIFS(Orcamento!$K$205:$K$349,Orcamento!$C$205:$C$349,Memoria_Insumos!$A137)</f>
        <v>0</v>
      </c>
      <c r="C137" s="250"/>
      <c r="D137" s="250"/>
      <c r="E137" s="250"/>
      <c r="F137" s="250">
        <v>1.3</v>
      </c>
    </row>
    <row r="138" spans="1:6" hidden="1">
      <c r="A138" s="250" t="s">
        <v>218</v>
      </c>
      <c r="B138" s="250">
        <f>SUMIFS(Orcamento!$K$205:$K$349,Orcamento!$C$205:$C$349,Memoria_Insumos!$A138)</f>
        <v>0</v>
      </c>
      <c r="C138" s="250"/>
      <c r="D138" s="250"/>
      <c r="E138" s="250"/>
      <c r="F138" s="250">
        <v>1.3</v>
      </c>
    </row>
    <row r="139" spans="1:6" hidden="1">
      <c r="A139" s="250" t="s">
        <v>217</v>
      </c>
      <c r="B139" s="250">
        <f>SUMIFS(Orcamento!$K$205:$K$349,Orcamento!$C$205:$C$349,Memoria_Insumos!$A139)</f>
        <v>0</v>
      </c>
      <c r="C139" s="250"/>
      <c r="D139" s="250"/>
      <c r="E139" s="250"/>
      <c r="F139" s="250">
        <v>1.3</v>
      </c>
    </row>
    <row r="140" spans="1:6" hidden="1">
      <c r="A140" s="250" t="s">
        <v>524</v>
      </c>
      <c r="B140" s="250">
        <f>SUMIFS(Orcamento!$K$205:$K$349,Orcamento!$C$205:$C$349,Memoria_Insumos!$A140)</f>
        <v>0</v>
      </c>
      <c r="C140" s="250"/>
      <c r="D140" s="250">
        <v>1.7375999999999999E-2</v>
      </c>
      <c r="E140" s="250"/>
      <c r="F140" s="250"/>
    </row>
    <row r="141" spans="1:6" hidden="1">
      <c r="A141" s="250" t="s">
        <v>525</v>
      </c>
      <c r="B141" s="250">
        <f>SUMIFS(Orcamento!$K$205:$K$349,Orcamento!$C$205:$C$349,Memoria_Insumos!$A141)</f>
        <v>0</v>
      </c>
      <c r="C141" s="250"/>
      <c r="D141" s="250">
        <v>8.3533200000000002E-2</v>
      </c>
      <c r="E141" s="250">
        <v>6.6157199999999999E-2</v>
      </c>
      <c r="F141" s="250"/>
    </row>
    <row r="142" spans="1:6" hidden="1">
      <c r="A142" s="250" t="s">
        <v>526</v>
      </c>
      <c r="B142" s="250">
        <f>SUMIFS(Orcamento!$K$205:$K$349,Orcamento!$C$205:$C$349,Memoria_Insumos!$A142)</f>
        <v>0</v>
      </c>
      <c r="C142" s="250"/>
      <c r="D142" s="250">
        <v>6.6157199999999999E-2</v>
      </c>
      <c r="E142" s="250">
        <v>6.6157199999999999E-2</v>
      </c>
      <c r="F142" s="250"/>
    </row>
    <row r="143" spans="1:6" hidden="1">
      <c r="A143" s="250" t="s">
        <v>527</v>
      </c>
      <c r="B143" s="250">
        <f>SUMIFS(Orcamento!$K$205:$K$349,Orcamento!$C$205:$C$349,Memoria_Insumos!$A143)</f>
        <v>0</v>
      </c>
      <c r="C143" s="250"/>
      <c r="D143" s="250">
        <v>0.36753999999999998</v>
      </c>
      <c r="E143" s="250">
        <v>0.36753999999999998</v>
      </c>
      <c r="F143" s="250"/>
    </row>
    <row r="144" spans="1:6" hidden="1">
      <c r="A144" s="250" t="s">
        <v>528</v>
      </c>
      <c r="B144" s="250">
        <f>SUMIFS(Orcamento!$K$205:$K$349,Orcamento!$C$205:$C$349,Memoria_Insumos!$A144)</f>
        <v>0</v>
      </c>
      <c r="C144" s="250"/>
      <c r="D144" s="250">
        <v>1.7375999999999999E-2</v>
      </c>
      <c r="E144" s="250"/>
      <c r="F144" s="250"/>
    </row>
    <row r="145" spans="1:6" hidden="1">
      <c r="A145" s="250" t="s">
        <v>529</v>
      </c>
      <c r="B145" s="250">
        <f>SUMIFS(Orcamento!$K$205:$K$349,Orcamento!$C$205:$C$349,Memoria_Insumos!$A145)</f>
        <v>0</v>
      </c>
      <c r="C145" s="250"/>
      <c r="D145" s="250">
        <v>1.7375999999999999E-2</v>
      </c>
      <c r="E145" s="250"/>
      <c r="F145" s="250"/>
    </row>
    <row r="146" spans="1:6" hidden="1">
      <c r="A146" s="250" t="s">
        <v>530</v>
      </c>
      <c r="B146" s="250">
        <f>SUMIFS(Orcamento!$K$205:$K$349,Orcamento!$C$205:$C$349,Memoria_Insumos!$A146)</f>
        <v>0</v>
      </c>
      <c r="C146" s="250"/>
      <c r="D146" s="250">
        <v>1.7375999999999999E-2</v>
      </c>
      <c r="E146" s="250"/>
      <c r="F146" s="250"/>
    </row>
    <row r="147" spans="1:6" hidden="1">
      <c r="A147" s="250" t="s">
        <v>531</v>
      </c>
      <c r="B147" s="250">
        <f>SUMIFS(Orcamento!$K$205:$K$349,Orcamento!$C$205:$C$349,Memoria_Insumos!$A147)</f>
        <v>0</v>
      </c>
      <c r="C147" s="250"/>
      <c r="D147" s="250">
        <v>8.0446400000000001E-2</v>
      </c>
      <c r="E147" s="250"/>
      <c r="F147" s="250"/>
    </row>
    <row r="148" spans="1:6" hidden="1">
      <c r="A148" s="250" t="s">
        <v>532</v>
      </c>
      <c r="B148" s="250">
        <f>SUMIFS(Orcamento!$K$205:$K$349,Orcamento!$C$205:$C$349,Memoria_Insumos!$A148)</f>
        <v>0</v>
      </c>
      <c r="C148" s="250"/>
      <c r="D148" s="250">
        <v>8.2208000000000003E-2</v>
      </c>
      <c r="E148" s="250"/>
      <c r="F148" s="250"/>
    </row>
    <row r="149" spans="1:6" hidden="1">
      <c r="A149" s="250" t="s">
        <v>533</v>
      </c>
      <c r="B149" s="250">
        <f>SUMIFS(Orcamento!$K$205:$K$349,Orcamento!$C$205:$C$349,Memoria_Insumos!$A149)</f>
        <v>0</v>
      </c>
      <c r="C149" s="250"/>
      <c r="D149" s="250">
        <v>6.4591999999999997E-2</v>
      </c>
      <c r="E149" s="250"/>
      <c r="F149" s="250"/>
    </row>
    <row r="150" spans="1:6" hidden="1">
      <c r="A150" s="250" t="s">
        <v>302</v>
      </c>
      <c r="B150" s="250">
        <f>SUMIFS(Orcamento!$K$205:$K$349,Orcamento!$C$205:$C$349,Memoria_Insumos!$A150)</f>
        <v>0</v>
      </c>
      <c r="C150" s="250"/>
      <c r="D150" s="250">
        <v>0.58496746560000001</v>
      </c>
      <c r="E150" s="250"/>
      <c r="F150" s="250"/>
    </row>
    <row r="151" spans="1:6" hidden="1">
      <c r="A151" s="250" t="s">
        <v>301</v>
      </c>
      <c r="B151" s="250">
        <f>SUMIFS(Orcamento!$K$205:$K$349,Orcamento!$C$205:$C$349,Memoria_Insumos!$A151)</f>
        <v>0</v>
      </c>
      <c r="C151" s="250"/>
      <c r="D151" s="250">
        <v>0.29248373280000001</v>
      </c>
      <c r="E151" s="250"/>
      <c r="F151" s="250"/>
    </row>
    <row r="152" spans="1:6" hidden="1">
      <c r="A152" s="250" t="s">
        <v>534</v>
      </c>
      <c r="B152" s="250">
        <f>SUMIFS(Orcamento!$K$205:$K$349,Orcamento!$C$205:$C$349,Memoria_Insumos!$A152)</f>
        <v>0</v>
      </c>
      <c r="C152" s="250"/>
      <c r="D152" s="250">
        <v>7.2243803199999998E-2</v>
      </c>
      <c r="E152" s="250"/>
      <c r="F152" s="250"/>
    </row>
    <row r="153" spans="1:6" hidden="1">
      <c r="A153" s="250" t="s">
        <v>535</v>
      </c>
      <c r="B153" s="250">
        <f>SUMIFS(Orcamento!$K$205:$K$349,Orcamento!$C$205:$C$349,Memoria_Insumos!$A153)</f>
        <v>0</v>
      </c>
      <c r="C153" s="250"/>
      <c r="D153" s="250">
        <v>10.272895999999999</v>
      </c>
      <c r="E153" s="250"/>
      <c r="F153" s="250"/>
    </row>
    <row r="154" spans="1:6" hidden="1">
      <c r="A154" s="250" t="s">
        <v>213</v>
      </c>
      <c r="B154" s="250">
        <f>SUMIFS(Orcamento!$K$205:$K$349,Orcamento!$C$205:$C$349,Memoria_Insumos!$A154)</f>
        <v>0</v>
      </c>
      <c r="C154" s="250"/>
      <c r="D154" s="250">
        <v>8.4968574000000005E-2</v>
      </c>
      <c r="E154" s="250"/>
      <c r="F154" s="250"/>
    </row>
    <row r="155" spans="1:6" hidden="1">
      <c r="A155" s="250" t="s">
        <v>536</v>
      </c>
      <c r="B155" s="250">
        <f>SUMIFS(Orcamento!$K$205:$K$349,Orcamento!$C$205:$C$349,Memoria_Insumos!$A155)</f>
        <v>0</v>
      </c>
      <c r="C155" s="250"/>
      <c r="D155" s="250">
        <v>2.0375839999999998</v>
      </c>
      <c r="E155" s="250"/>
      <c r="F155" s="250"/>
    </row>
    <row r="156" spans="1:6" hidden="1">
      <c r="A156" s="250" t="s">
        <v>537</v>
      </c>
      <c r="B156" s="250">
        <f>SUMIFS(Orcamento!$K$205:$K$349,Orcamento!$C$205:$C$349,Memoria_Insumos!$A156)</f>
        <v>0</v>
      </c>
      <c r="C156" s="250">
        <v>1.55673012E-2</v>
      </c>
      <c r="D156" s="250"/>
      <c r="E156" s="250"/>
      <c r="F156" s="250"/>
    </row>
    <row r="157" spans="1:6" hidden="1">
      <c r="A157" s="250" t="s">
        <v>538</v>
      </c>
      <c r="B157" s="250">
        <f>SUMIFS(Orcamento!$K$205:$K$349,Orcamento!$C$205:$C$349,Memoria_Insumos!$A157)</f>
        <v>0</v>
      </c>
      <c r="C157" s="250">
        <v>0.17124031319999999</v>
      </c>
      <c r="D157" s="250">
        <v>3.5842970919999999</v>
      </c>
      <c r="E157" s="250">
        <v>0.54144999999999999</v>
      </c>
      <c r="F157" s="250"/>
    </row>
    <row r="158" spans="1:6" hidden="1">
      <c r="A158" s="250" t="s">
        <v>539</v>
      </c>
      <c r="B158" s="250">
        <f>SUMIFS(Orcamento!$K$205:$K$349,Orcamento!$C$205:$C$349,Memoria_Insumos!$A158)</f>
        <v>0</v>
      </c>
      <c r="C158" s="250">
        <v>1.62749058E-2</v>
      </c>
      <c r="D158" s="250"/>
      <c r="E158" s="250"/>
      <c r="F158" s="250"/>
    </row>
    <row r="159" spans="1:6" hidden="1">
      <c r="A159" s="250" t="s">
        <v>540</v>
      </c>
      <c r="B159" s="250">
        <f>SUMIFS(Orcamento!$K$205:$K$349,Orcamento!$C$205:$C$349,Memoria_Insumos!$A159)</f>
        <v>0</v>
      </c>
      <c r="C159" s="250">
        <v>0.17124031319999999</v>
      </c>
      <c r="D159" s="250">
        <v>3.2237441260000002</v>
      </c>
      <c r="E159" s="250">
        <v>0.47957</v>
      </c>
      <c r="F159" s="250"/>
    </row>
    <row r="160" spans="1:6" hidden="1">
      <c r="A160" s="250" t="s">
        <v>541</v>
      </c>
      <c r="B160" s="250">
        <f>SUMIFS(Orcamento!$K$205:$K$349,Orcamento!$C$205:$C$349,Memoria_Insumos!$A160)</f>
        <v>0</v>
      </c>
      <c r="C160" s="250">
        <v>1.62749058E-2</v>
      </c>
      <c r="D160" s="250"/>
      <c r="E160" s="250"/>
      <c r="F160" s="250"/>
    </row>
    <row r="161" spans="1:6" hidden="1">
      <c r="A161" s="250" t="s">
        <v>542</v>
      </c>
      <c r="B161" s="250">
        <f>SUMIFS(Orcamento!$K$205:$K$349,Orcamento!$C$205:$C$349,Memoria_Insumos!$A161)</f>
        <v>0</v>
      </c>
      <c r="C161" s="250">
        <v>1.62749058E-2</v>
      </c>
      <c r="D161" s="250"/>
      <c r="E161" s="250"/>
      <c r="F161" s="250"/>
    </row>
    <row r="162" spans="1:6" hidden="1">
      <c r="A162" s="250" t="s">
        <v>543</v>
      </c>
      <c r="B162" s="250">
        <f>SUMIFS(Orcamento!$K$205:$K$349,Orcamento!$C$205:$C$349,Memoria_Insumos!$A162)</f>
        <v>0</v>
      </c>
      <c r="C162" s="250">
        <v>1.55673012E-2</v>
      </c>
      <c r="D162" s="250"/>
      <c r="E162" s="250"/>
      <c r="F162" s="250"/>
    </row>
    <row r="163" spans="1:6" hidden="1">
      <c r="A163" s="250" t="s">
        <v>544</v>
      </c>
      <c r="B163" s="250">
        <f>SUMIFS(Orcamento!$K$205:$K$349,Orcamento!$C$205:$C$349,Memoria_Insumos!$A163)</f>
        <v>0</v>
      </c>
      <c r="C163" s="250"/>
      <c r="D163" s="250"/>
      <c r="E163" s="250">
        <v>0.36670000000000003</v>
      </c>
      <c r="F163" s="250"/>
    </row>
    <row r="164" spans="1:6" hidden="1">
      <c r="A164" s="250" t="s">
        <v>347</v>
      </c>
      <c r="B164" s="250">
        <f>SUMIFS(Orcamento!$K$205:$K$349,Orcamento!$C$205:$C$349,Memoria_Insumos!$A164)</f>
        <v>0</v>
      </c>
      <c r="C164" s="250"/>
      <c r="D164" s="250"/>
      <c r="E164" s="250"/>
      <c r="F164" s="250">
        <v>1.1000000000000001</v>
      </c>
    </row>
    <row r="165" spans="1:6" hidden="1">
      <c r="A165" s="250" t="s">
        <v>133</v>
      </c>
      <c r="B165" s="250">
        <f>SUMIFS(Orcamento!$K$205:$K$349,Orcamento!$C$205:$C$349,Memoria_Insumos!$A165)</f>
        <v>0</v>
      </c>
      <c r="C165" s="250"/>
      <c r="D165" s="250"/>
      <c r="E165" s="250"/>
      <c r="F165" s="250">
        <v>1.1000000000000001</v>
      </c>
    </row>
    <row r="166" spans="1:6" hidden="1">
      <c r="A166" s="250" t="s">
        <v>545</v>
      </c>
      <c r="B166" s="250">
        <f>SUMIFS(Orcamento!$K$205:$K$349,Orcamento!$C$205:$C$349,Memoria_Insumos!$A166)</f>
        <v>0</v>
      </c>
      <c r="C166" s="250">
        <v>0.1337372694</v>
      </c>
      <c r="D166" s="250"/>
      <c r="E166" s="250"/>
      <c r="F166" s="250"/>
    </row>
    <row r="167" spans="1:6" hidden="1">
      <c r="A167" s="250" t="s">
        <v>546</v>
      </c>
      <c r="B167" s="250">
        <f>SUMIFS(Orcamento!$K$205:$K$349,Orcamento!$C$205:$C$349,Memoria_Insumos!$A167)</f>
        <v>0</v>
      </c>
      <c r="C167" s="250">
        <v>2.0659278791400002</v>
      </c>
      <c r="D167" s="250">
        <v>1.8071613327100002</v>
      </c>
      <c r="E167" s="250"/>
      <c r="F167" s="250"/>
    </row>
    <row r="168" spans="1:6" hidden="1">
      <c r="A168" s="250" t="s">
        <v>547</v>
      </c>
      <c r="B168" s="250">
        <f>SUMIFS(Orcamento!$K$205:$K$349,Orcamento!$C$205:$C$349,Memoria_Insumos!$A168)</f>
        <v>0</v>
      </c>
      <c r="C168" s="250">
        <v>0.11194304772000001</v>
      </c>
      <c r="D168" s="250"/>
      <c r="E168" s="250"/>
      <c r="F168" s="250"/>
    </row>
    <row r="169" spans="1:6" hidden="1">
      <c r="A169" s="250" t="s">
        <v>548</v>
      </c>
      <c r="B169" s="250">
        <f>SUMIFS(Orcamento!$K$205:$K$349,Orcamento!$C$205:$C$349,Memoria_Insumos!$A169)</f>
        <v>0</v>
      </c>
      <c r="C169" s="250">
        <v>2.4903221008199998</v>
      </c>
      <c r="D169" s="250">
        <v>2.2558939749600002</v>
      </c>
      <c r="E169" s="250"/>
      <c r="F169" s="250"/>
    </row>
    <row r="170" spans="1:6" hidden="1">
      <c r="A170" s="250" t="s">
        <v>549</v>
      </c>
      <c r="B170" s="250">
        <f>SUMIFS(Orcamento!$K$205:$K$349,Orcamento!$C$205:$C$349,Memoria_Insumos!$A170)</f>
        <v>0</v>
      </c>
      <c r="C170" s="250">
        <v>0.10656525276000001</v>
      </c>
      <c r="D170" s="250"/>
      <c r="E170" s="250"/>
      <c r="F170" s="250"/>
    </row>
    <row r="171" spans="1:6" hidden="1">
      <c r="A171" s="250" t="s">
        <v>550</v>
      </c>
      <c r="B171" s="250">
        <f>SUMIFS(Orcamento!$K$205:$K$349,Orcamento!$C$205:$C$349,Memoria_Insumos!$A171)</f>
        <v>0</v>
      </c>
      <c r="C171" s="250">
        <v>2.2616249899799996</v>
      </c>
      <c r="D171" s="250">
        <v>2.00715027696</v>
      </c>
      <c r="E171" s="250"/>
      <c r="F171" s="250"/>
    </row>
    <row r="172" spans="1:6" hidden="1">
      <c r="A172" s="250" t="s">
        <v>551</v>
      </c>
      <c r="B172" s="250">
        <f>SUMIFS(Orcamento!$K$205:$K$349,Orcamento!$C$205:$C$349,Memoria_Insumos!$A172)</f>
        <v>0</v>
      </c>
      <c r="C172" s="250">
        <v>0.10111669734000001</v>
      </c>
      <c r="D172" s="250"/>
      <c r="E172" s="250"/>
      <c r="F172" s="250"/>
    </row>
    <row r="173" spans="1:6" hidden="1">
      <c r="A173" s="250" t="s">
        <v>552</v>
      </c>
      <c r="B173" s="250">
        <f>SUMIFS(Orcamento!$K$205:$K$349,Orcamento!$C$205:$C$349,Memoria_Insumos!$A173)</f>
        <v>0</v>
      </c>
      <c r="C173" s="250">
        <v>2.0329278791399998</v>
      </c>
      <c r="D173" s="250">
        <v>1.7584065789600001</v>
      </c>
      <c r="E173" s="250"/>
      <c r="F173" s="250"/>
    </row>
    <row r="174" spans="1:6" hidden="1">
      <c r="A174" s="250" t="s">
        <v>553</v>
      </c>
      <c r="B174" s="250">
        <f>SUMIFS(Orcamento!$K$205:$K$349,Orcamento!$C$205:$C$349,Memoria_Insumos!$A174)</f>
        <v>0</v>
      </c>
      <c r="C174" s="250">
        <v>2.6676693420000001E-2</v>
      </c>
      <c r="D174" s="250"/>
      <c r="E174" s="250"/>
      <c r="F174" s="250"/>
    </row>
    <row r="175" spans="1:6" hidden="1">
      <c r="A175" s="250" t="s">
        <v>554</v>
      </c>
      <c r="B175" s="250">
        <f>SUMIFS(Orcamento!$K$205:$K$349,Orcamento!$C$205:$C$349,Memoria_Insumos!$A175)</f>
        <v>0</v>
      </c>
      <c r="C175" s="250">
        <v>9.5668141920000005E-2</v>
      </c>
      <c r="D175" s="250"/>
      <c r="E175" s="250"/>
      <c r="F175" s="250"/>
    </row>
    <row r="176" spans="1:6" hidden="1">
      <c r="A176" s="250" t="s">
        <v>555</v>
      </c>
      <c r="B176" s="250">
        <f>SUMIFS(Orcamento!$K$205:$K$349,Orcamento!$C$205:$C$349,Memoria_Insumos!$A176)</f>
        <v>0</v>
      </c>
      <c r="C176" s="250">
        <v>3.93303978372</v>
      </c>
      <c r="D176" s="250">
        <v>4.0316542669599995</v>
      </c>
      <c r="E176" s="250"/>
      <c r="F176" s="250"/>
    </row>
    <row r="177" spans="1:6" hidden="1">
      <c r="A177" s="250" t="s">
        <v>556</v>
      </c>
      <c r="B177" s="250">
        <f>SUMIFS(Orcamento!$K$205:$K$349,Orcamento!$C$205:$C$349,Memoria_Insumos!$A177)</f>
        <v>0</v>
      </c>
      <c r="C177" s="250">
        <v>0.12828871398</v>
      </c>
      <c r="D177" s="250"/>
      <c r="E177" s="250"/>
      <c r="F177" s="250"/>
    </row>
    <row r="178" spans="1:6" hidden="1">
      <c r="A178" s="250" t="s">
        <v>557</v>
      </c>
      <c r="B178" s="250">
        <f>SUMIFS(Orcamento!$K$205:$K$349,Orcamento!$C$205:$C$349,Memoria_Insumos!$A178)</f>
        <v>0</v>
      </c>
      <c r="C178" s="250">
        <v>3.5723426728800001</v>
      </c>
      <c r="D178" s="250">
        <v>3.5877141939600001</v>
      </c>
      <c r="E178" s="250"/>
      <c r="F178" s="250"/>
    </row>
    <row r="179" spans="1:6" hidden="1">
      <c r="A179" s="250" t="s">
        <v>558</v>
      </c>
      <c r="B179" s="250">
        <f>SUMIFS(Orcamento!$K$205:$K$349,Orcamento!$C$205:$C$349,Memoria_Insumos!$A179)</f>
        <v>0</v>
      </c>
      <c r="C179" s="250">
        <v>1.8042307683000001</v>
      </c>
      <c r="D179" s="250">
        <v>1.5096037609600002</v>
      </c>
      <c r="E179" s="250"/>
      <c r="F179" s="250"/>
    </row>
    <row r="180" spans="1:6" hidden="1">
      <c r="A180" s="250" t="s">
        <v>559</v>
      </c>
      <c r="B180" s="250">
        <f>SUMIFS(Orcamento!$K$205:$K$349,Orcamento!$C$205:$C$349,Memoria_Insumos!$A180)</f>
        <v>0</v>
      </c>
      <c r="C180" s="250">
        <v>0.12284015856</v>
      </c>
      <c r="D180" s="250"/>
      <c r="E180" s="250"/>
      <c r="F180" s="250"/>
    </row>
    <row r="181" spans="1:6" hidden="1">
      <c r="A181" s="250" t="s">
        <v>560</v>
      </c>
      <c r="B181" s="250">
        <f>SUMIFS(Orcamento!$K$205:$K$349,Orcamento!$C$205:$C$349,Memoria_Insumos!$A181)</f>
        <v>0</v>
      </c>
      <c r="C181" s="250">
        <v>3.2447163225</v>
      </c>
      <c r="D181" s="250">
        <v>3.1925879947100002</v>
      </c>
      <c r="E181" s="250"/>
      <c r="F181" s="250"/>
    </row>
    <row r="182" spans="1:6" hidden="1">
      <c r="A182" s="250" t="s">
        <v>561</v>
      </c>
      <c r="B182" s="250">
        <f>SUMIFS(Orcamento!$K$205:$K$349,Orcamento!$C$205:$C$349,Memoria_Insumos!$A182)</f>
        <v>0</v>
      </c>
      <c r="C182" s="250">
        <v>0.12284015856</v>
      </c>
      <c r="D182" s="250"/>
      <c r="E182" s="250"/>
      <c r="F182" s="250"/>
    </row>
    <row r="183" spans="1:6" hidden="1">
      <c r="A183" s="250" t="s">
        <v>562</v>
      </c>
      <c r="B183" s="250">
        <f>SUMIFS(Orcamento!$K$205:$K$349,Orcamento!$C$205:$C$349,Memoria_Insumos!$A183)</f>
        <v>0</v>
      </c>
      <c r="C183" s="250">
        <v>3.2117163225000001</v>
      </c>
      <c r="D183" s="250">
        <v>3.1437741209599999</v>
      </c>
      <c r="E183" s="250"/>
      <c r="F183" s="250"/>
    </row>
    <row r="184" spans="1:6" hidden="1">
      <c r="A184" s="250" t="s">
        <v>563</v>
      </c>
      <c r="B184" s="250">
        <f>SUMIFS(Orcamento!$K$205:$K$349,Orcamento!$C$205:$C$349,Memoria_Insumos!$A184)</f>
        <v>0</v>
      </c>
      <c r="C184" s="250">
        <v>9.0219586500000004E-2</v>
      </c>
      <c r="D184" s="250"/>
      <c r="E184" s="250"/>
      <c r="F184" s="250"/>
    </row>
    <row r="185" spans="1:6" hidden="1">
      <c r="A185" s="250" t="s">
        <v>564</v>
      </c>
      <c r="B185" s="250">
        <f>SUMIFS(Orcamento!$K$205:$K$349,Orcamento!$C$205:$C$349,Memoria_Insumos!$A185)</f>
        <v>0</v>
      </c>
      <c r="C185" s="250">
        <v>0.11739160314000001</v>
      </c>
      <c r="D185" s="250"/>
      <c r="E185" s="250"/>
      <c r="F185" s="250"/>
    </row>
    <row r="186" spans="1:6" hidden="1">
      <c r="A186" s="250" t="s">
        <v>565</v>
      </c>
      <c r="B186" s="250">
        <f>SUMIFS(Orcamento!$K$205:$K$349,Orcamento!$C$205:$C$349,Memoria_Insumos!$A186)</f>
        <v>0</v>
      </c>
      <c r="C186" s="250">
        <v>2.9170192116599996</v>
      </c>
      <c r="D186" s="250">
        <v>2.7974026754599999</v>
      </c>
      <c r="E186" s="250"/>
      <c r="F186" s="250"/>
    </row>
    <row r="187" spans="1:6" hidden="1">
      <c r="A187" s="250" t="s">
        <v>566</v>
      </c>
      <c r="B187" s="250">
        <f>SUMIFS(Orcamento!$K$205:$K$349,Orcamento!$C$205:$C$349,Memoria_Insumos!$A187)</f>
        <v>0</v>
      </c>
      <c r="C187" s="250">
        <v>0.11194304772000001</v>
      </c>
      <c r="D187" s="250"/>
      <c r="E187" s="250"/>
      <c r="F187" s="250"/>
    </row>
    <row r="188" spans="1:6" hidden="1">
      <c r="A188" s="250" t="s">
        <v>567</v>
      </c>
      <c r="B188" s="250">
        <f>SUMIFS(Orcamento!$K$205:$K$349,Orcamento!$C$205:$C$349,Memoria_Insumos!$A188)</f>
        <v>0</v>
      </c>
      <c r="C188" s="250">
        <v>2.6223221008199999</v>
      </c>
      <c r="D188" s="250">
        <v>2.4510903499600003</v>
      </c>
      <c r="E188" s="250"/>
      <c r="F188" s="250"/>
    </row>
    <row r="189" spans="1:6" hidden="1">
      <c r="A189" s="250" t="s">
        <v>568</v>
      </c>
      <c r="B189" s="250">
        <f>SUMIFS(Orcamento!$K$205:$K$349,Orcamento!$C$205:$C$349,Memoria_Insumos!$A189)</f>
        <v>0</v>
      </c>
      <c r="C189" s="250">
        <v>0.11739160314000001</v>
      </c>
      <c r="D189" s="250"/>
      <c r="E189" s="250"/>
      <c r="F189" s="250"/>
    </row>
    <row r="190" spans="1:6" hidden="1">
      <c r="A190" s="250" t="s">
        <v>569</v>
      </c>
      <c r="B190" s="250">
        <f>SUMIFS(Orcamento!$K$205:$K$349,Orcamento!$C$205:$C$349,Memoria_Insumos!$A190)</f>
        <v>0</v>
      </c>
      <c r="C190" s="250">
        <v>1.5756044179200002</v>
      </c>
      <c r="D190" s="250">
        <v>1.26086006296</v>
      </c>
      <c r="E190" s="250"/>
      <c r="F190" s="250"/>
    </row>
    <row r="191" spans="1:6" hidden="1">
      <c r="A191" s="250" t="s">
        <v>570</v>
      </c>
      <c r="B191" s="250">
        <f>SUMIFS(Orcamento!$K$205:$K$349,Orcamento!$C$205:$C$349,Memoria_Insumos!$A191)</f>
        <v>0</v>
      </c>
      <c r="C191" s="250">
        <v>2.8510192116599997</v>
      </c>
      <c r="D191" s="250">
        <v>2.6998340479599996</v>
      </c>
      <c r="E191" s="250"/>
      <c r="F191" s="250"/>
    </row>
    <row r="192" spans="1:6" hidden="1">
      <c r="A192" s="250" t="s">
        <v>571</v>
      </c>
      <c r="B192" s="250">
        <f>SUMIFS(Orcamento!$K$205:$K$349,Orcamento!$C$205:$C$349,Memoria_Insumos!$A192)</f>
        <v>0</v>
      </c>
      <c r="C192" s="250">
        <v>0.11194304772000001</v>
      </c>
      <c r="D192" s="250"/>
      <c r="E192" s="250"/>
      <c r="F192" s="250"/>
    </row>
    <row r="193" spans="1:6" hidden="1">
      <c r="A193" s="250" t="s">
        <v>572</v>
      </c>
      <c r="B193" s="250">
        <f>SUMIFS(Orcamento!$K$205:$K$349,Orcamento!$C$205:$C$349,Memoria_Insumos!$A193)</f>
        <v>0</v>
      </c>
      <c r="C193" s="250">
        <v>2.58932210082</v>
      </c>
      <c r="D193" s="250">
        <v>2.40227647621</v>
      </c>
      <c r="E193" s="250"/>
      <c r="F193" s="250"/>
    </row>
    <row r="194" spans="1:6" hidden="1">
      <c r="A194" s="250" t="s">
        <v>573</v>
      </c>
      <c r="B194" s="250">
        <f>SUMIFS(Orcamento!$K$205:$K$349,Orcamento!$C$205:$C$349,Memoria_Insumos!$A194)</f>
        <v>0</v>
      </c>
      <c r="C194" s="250">
        <v>0.10656525276000001</v>
      </c>
      <c r="D194" s="250"/>
      <c r="E194" s="250"/>
      <c r="F194" s="250"/>
    </row>
    <row r="195" spans="1:6" hidden="1">
      <c r="A195" s="250" t="s">
        <v>574</v>
      </c>
      <c r="B195" s="250">
        <f>SUMIFS(Orcamento!$K$205:$K$349,Orcamento!$C$205:$C$349,Memoria_Insumos!$A195)</f>
        <v>0</v>
      </c>
      <c r="C195" s="250">
        <v>0.10656525276000001</v>
      </c>
      <c r="D195" s="250"/>
      <c r="E195" s="250"/>
      <c r="F195" s="250"/>
    </row>
    <row r="196" spans="1:6" hidden="1">
      <c r="A196" s="250" t="s">
        <v>575</v>
      </c>
      <c r="B196" s="250">
        <f>SUMIFS(Orcamento!$K$205:$K$349,Orcamento!$C$205:$C$349,Memoria_Insumos!$A196)</f>
        <v>0</v>
      </c>
      <c r="C196" s="250">
        <v>2.1296249899799999</v>
      </c>
      <c r="D196" s="250">
        <v>1.8119539019599999</v>
      </c>
      <c r="E196" s="250"/>
      <c r="F196" s="250"/>
    </row>
    <row r="197" spans="1:6" hidden="1">
      <c r="A197" s="250" t="s">
        <v>576</v>
      </c>
      <c r="B197" s="250">
        <f>SUMIFS(Orcamento!$K$205:$K$349,Orcamento!$C$205:$C$349,Memoria_Insumos!$A197)</f>
        <v>0</v>
      </c>
      <c r="C197" s="250">
        <v>2.221878444E-2</v>
      </c>
      <c r="D197" s="250"/>
      <c r="E197" s="250"/>
      <c r="F197" s="250"/>
    </row>
    <row r="198" spans="1:6" hidden="1">
      <c r="A198" s="250" t="s">
        <v>577</v>
      </c>
      <c r="B198" s="250">
        <f>SUMIFS(Orcamento!$K$205:$K$349,Orcamento!$C$205:$C$349,Memoria_Insumos!$A198)</f>
        <v>0</v>
      </c>
      <c r="C198" s="250">
        <v>0.59289756888</v>
      </c>
      <c r="D198" s="250">
        <v>0.35946862084999998</v>
      </c>
      <c r="E198" s="250"/>
      <c r="F198" s="250"/>
    </row>
    <row r="199" spans="1:6" hidden="1">
      <c r="A199" s="250" t="s">
        <v>578</v>
      </c>
      <c r="B199" s="250">
        <f>SUMIFS(Orcamento!$K$205:$K$349,Orcamento!$C$205:$C$349,Memoria_Insumos!$A199)</f>
        <v>0</v>
      </c>
      <c r="C199" s="250">
        <v>0.10111669734000001</v>
      </c>
      <c r="D199" s="250"/>
      <c r="E199" s="250"/>
      <c r="F199" s="250"/>
    </row>
    <row r="200" spans="1:6" hidden="1">
      <c r="A200" s="250" t="s">
        <v>579</v>
      </c>
      <c r="B200" s="250">
        <f>SUMIFS(Orcamento!$K$205:$K$349,Orcamento!$C$205:$C$349,Memoria_Insumos!$A200)</f>
        <v>0</v>
      </c>
      <c r="C200" s="250">
        <v>1.1512101962400001</v>
      </c>
      <c r="D200" s="250">
        <v>0.81212742070999999</v>
      </c>
      <c r="E200" s="250"/>
      <c r="F200" s="250"/>
    </row>
    <row r="201" spans="1:6" hidden="1">
      <c r="A201" s="250" t="s">
        <v>580</v>
      </c>
      <c r="B201" s="250">
        <f>SUMIFS(Orcamento!$K$205:$K$349,Orcamento!$C$205:$C$349,Memoria_Insumos!$A201)</f>
        <v>0</v>
      </c>
      <c r="C201" s="250">
        <v>0.10111669734000001</v>
      </c>
      <c r="D201" s="250"/>
      <c r="E201" s="250"/>
      <c r="F201" s="250"/>
    </row>
    <row r="202" spans="1:6" hidden="1">
      <c r="A202" s="250" t="s">
        <v>581</v>
      </c>
      <c r="B202" s="250">
        <f>SUMIFS(Orcamento!$K$205:$K$349,Orcamento!$C$205:$C$349,Memoria_Insumos!$A202)</f>
        <v>0</v>
      </c>
      <c r="C202" s="250">
        <v>2.3276249899800003</v>
      </c>
      <c r="D202" s="250">
        <v>2.1047189044600003</v>
      </c>
      <c r="E202" s="250"/>
      <c r="F202" s="250"/>
    </row>
    <row r="203" spans="1:6" hidden="1">
      <c r="A203" s="250" t="s">
        <v>582</v>
      </c>
      <c r="B203" s="250">
        <f>SUMIFS(Orcamento!$K$205:$K$349,Orcamento!$C$205:$C$349,Memoria_Insumos!$A203)</f>
        <v>0</v>
      </c>
      <c r="C203" s="250">
        <v>1.76892787914</v>
      </c>
      <c r="D203" s="250">
        <v>1.3680729489600001</v>
      </c>
      <c r="E203" s="250"/>
      <c r="F203" s="250"/>
    </row>
    <row r="204" spans="1:6" hidden="1">
      <c r="A204" s="250" t="s">
        <v>583</v>
      </c>
      <c r="B204" s="250">
        <f>SUMIFS(Orcamento!$K$205:$K$349,Orcamento!$C$205:$C$349,Memoria_Insumos!$A204)</f>
        <v>0</v>
      </c>
      <c r="C204" s="250"/>
      <c r="D204" s="250">
        <v>9.5333512960000005E-2</v>
      </c>
      <c r="E204" s="250"/>
      <c r="F204" s="250"/>
    </row>
    <row r="205" spans="1:6" hidden="1">
      <c r="A205" s="250" t="s">
        <v>584</v>
      </c>
      <c r="B205" s="250">
        <f>SUMIFS(Orcamento!$K$205:$K$349,Orcamento!$C$205:$C$349,Memoria_Insumos!$A205)</f>
        <v>0</v>
      </c>
      <c r="C205" s="250">
        <v>1.9339278791400001</v>
      </c>
      <c r="D205" s="250">
        <v>1.6120240777100001</v>
      </c>
      <c r="E205" s="250"/>
      <c r="F205" s="250"/>
    </row>
    <row r="206" spans="1:6" hidden="1">
      <c r="A206" s="250" t="s">
        <v>585</v>
      </c>
      <c r="B206" s="250">
        <f>SUMIFS(Orcamento!$K$205:$K$349,Orcamento!$C$205:$C$349,Memoria_Insumos!$A206)</f>
        <v>0</v>
      </c>
      <c r="C206" s="250">
        <v>1.7760875459999999E-2</v>
      </c>
      <c r="D206" s="250"/>
      <c r="E206" s="250"/>
      <c r="F206" s="250"/>
    </row>
    <row r="207" spans="1:6" hidden="1">
      <c r="A207" s="250" t="s">
        <v>586</v>
      </c>
      <c r="B207" s="250">
        <f>SUMIFS(Orcamento!$K$205:$K$349,Orcamento!$C$205:$C$349,Memoria_Insumos!$A207)</f>
        <v>0</v>
      </c>
      <c r="C207" s="250">
        <v>0.10111669734000001</v>
      </c>
      <c r="D207" s="250"/>
      <c r="E207" s="250"/>
      <c r="F207" s="250"/>
    </row>
    <row r="208" spans="1:6" hidden="1">
      <c r="A208" s="250" t="s">
        <v>587</v>
      </c>
      <c r="B208" s="250">
        <f>SUMIFS(Orcamento!$K$205:$K$349,Orcamento!$C$205:$C$349,Memoria_Insumos!$A208)</f>
        <v>0</v>
      </c>
      <c r="C208" s="250">
        <v>9.5668141920000005E-2</v>
      </c>
      <c r="D208" s="250"/>
      <c r="E208" s="250"/>
      <c r="F208" s="250"/>
    </row>
    <row r="209" spans="1:6" hidden="1">
      <c r="A209" s="250" t="s">
        <v>588</v>
      </c>
      <c r="B209" s="250">
        <f>SUMIFS(Orcamento!$K$205:$K$349,Orcamento!$C$205:$C$349,Memoria_Insumos!$A209)</f>
        <v>0</v>
      </c>
      <c r="C209" s="250">
        <v>0.49275251137999998</v>
      </c>
      <c r="D209" s="250">
        <v>0.27061986232000002</v>
      </c>
      <c r="E209" s="250"/>
      <c r="F209" s="250"/>
    </row>
    <row r="210" spans="1:6" hidden="1">
      <c r="A210" s="250" t="s">
        <v>589</v>
      </c>
      <c r="B210" s="250">
        <f>SUMIFS(Orcamento!$K$205:$K$349,Orcamento!$C$205:$C$349,Memoria_Insumos!$A210)</f>
        <v>0</v>
      </c>
      <c r="C210" s="250">
        <v>1.6062307682999999</v>
      </c>
      <c r="D210" s="250">
        <v>1.21683875846</v>
      </c>
      <c r="E210" s="250"/>
      <c r="F210" s="250"/>
    </row>
    <row r="211" spans="1:6" hidden="1">
      <c r="A211" s="250" t="s">
        <v>590</v>
      </c>
      <c r="B211" s="250">
        <f>SUMIFS(Orcamento!$K$205:$K$349,Orcamento!$C$205:$C$349,Memoria_Insumos!$A211)</f>
        <v>0</v>
      </c>
      <c r="C211" s="250">
        <v>9.0219586500000004E-2</v>
      </c>
      <c r="D211" s="250"/>
      <c r="E211" s="250"/>
      <c r="F211" s="250"/>
    </row>
    <row r="212" spans="1:6" hidden="1">
      <c r="A212" s="250" t="s">
        <v>591</v>
      </c>
      <c r="B212" s="250">
        <f>SUMIFS(Orcamento!$K$205:$K$349,Orcamento!$C$205:$C$349,Memoria_Insumos!$A212)</f>
        <v>0</v>
      </c>
      <c r="C212" s="250">
        <v>9.5668141920000005E-2</v>
      </c>
      <c r="D212" s="250"/>
      <c r="E212" s="250"/>
      <c r="F212" s="250"/>
    </row>
    <row r="213" spans="1:6" hidden="1">
      <c r="A213" s="250" t="s">
        <v>592</v>
      </c>
      <c r="B213" s="250">
        <f>SUMIFS(Orcamento!$K$205:$K$349,Orcamento!$C$205:$C$349,Memoria_Insumos!$A213)</f>
        <v>0</v>
      </c>
      <c r="C213" s="250">
        <v>0.45672000000000001</v>
      </c>
      <c r="D213" s="250">
        <v>6.2921832000000011E-2</v>
      </c>
      <c r="E213" s="250"/>
      <c r="F213" s="250"/>
    </row>
    <row r="214" spans="1:6" hidden="1">
      <c r="A214" s="250" t="s">
        <v>593</v>
      </c>
      <c r="B214" s="250">
        <f>SUMIFS(Orcamento!$K$205:$K$349,Orcamento!$C$205:$C$349,Memoria_Insumos!$A214)</f>
        <v>0</v>
      </c>
      <c r="C214" s="250">
        <v>1.44360441792</v>
      </c>
      <c r="D214" s="250">
        <v>1.0656636879600001</v>
      </c>
      <c r="E214" s="250"/>
      <c r="F214" s="250"/>
    </row>
    <row r="215" spans="1:6" hidden="1">
      <c r="A215" s="250" t="s">
        <v>594</v>
      </c>
      <c r="B215" s="250">
        <f>SUMIFS(Orcamento!$K$205:$K$349,Orcamento!$C$205:$C$349,Memoria_Insumos!$A215)</f>
        <v>0</v>
      </c>
      <c r="C215" s="250">
        <v>0.40089669342000001</v>
      </c>
      <c r="D215" s="250">
        <v>0.14471934400000003</v>
      </c>
      <c r="E215" s="250"/>
      <c r="F215" s="250"/>
    </row>
    <row r="216" spans="1:6" hidden="1">
      <c r="A216" s="250" t="s">
        <v>595</v>
      </c>
      <c r="B216" s="250">
        <f>SUMIFS(Orcamento!$K$205:$K$349,Orcamento!$C$205:$C$349,Memoria_Insumos!$A216)</f>
        <v>0</v>
      </c>
      <c r="C216" s="250">
        <v>0.40089669342000001</v>
      </c>
      <c r="D216" s="250">
        <v>0.14471934400000003</v>
      </c>
      <c r="E216" s="250"/>
      <c r="F216" s="250"/>
    </row>
    <row r="217" spans="1:6" hidden="1">
      <c r="A217" s="250" t="s">
        <v>596</v>
      </c>
      <c r="B217" s="250">
        <f>SUMIFS(Orcamento!$K$205:$K$349,Orcamento!$C$205:$C$349,Memoria_Insumos!$A217)</f>
        <v>0</v>
      </c>
      <c r="C217" s="250">
        <v>1.7382307683</v>
      </c>
      <c r="D217" s="250">
        <v>1.4120351334599999</v>
      </c>
      <c r="E217" s="250"/>
      <c r="F217" s="250"/>
    </row>
    <row r="218" spans="1:6" hidden="1">
      <c r="A218" s="250" t="s">
        <v>597</v>
      </c>
      <c r="B218" s="250">
        <f>SUMIFS(Orcamento!$K$205:$K$349,Orcamento!$C$205:$C$349,Memoria_Insumos!$A218)</f>
        <v>0</v>
      </c>
      <c r="C218" s="250">
        <v>0.27884999999999999</v>
      </c>
      <c r="D218" s="250">
        <v>1.5837744000000001E-2</v>
      </c>
      <c r="E218" s="250"/>
      <c r="F218" s="250"/>
    </row>
    <row r="219" spans="1:6" hidden="1">
      <c r="A219" s="250" t="s">
        <v>598</v>
      </c>
      <c r="B219" s="250">
        <f>SUMIFS(Orcamento!$K$205:$K$349,Orcamento!$C$205:$C$349,Memoria_Insumos!$A219)</f>
        <v>0</v>
      </c>
      <c r="C219" s="250">
        <v>8.4771031080000003E-2</v>
      </c>
      <c r="D219" s="250"/>
      <c r="E219" s="250"/>
      <c r="F219" s="250"/>
    </row>
    <row r="220" spans="1:6" hidden="1">
      <c r="A220" s="250" t="s">
        <v>599</v>
      </c>
      <c r="B220" s="250">
        <f>SUMIFS(Orcamento!$K$205:$K$349,Orcamento!$C$205:$C$349,Memoria_Insumos!$A220)</f>
        <v>0</v>
      </c>
      <c r="C220" s="250">
        <v>0.27884999999999999</v>
      </c>
      <c r="D220" s="250">
        <v>1.5837744000000001E-2</v>
      </c>
      <c r="E220" s="250"/>
      <c r="F220" s="250"/>
    </row>
    <row r="221" spans="1:6" hidden="1">
      <c r="A221" s="250" t="s">
        <v>600</v>
      </c>
      <c r="B221" s="250">
        <f>SUMIFS(Orcamento!$K$205:$K$349,Orcamento!$C$205:$C$349,Memoria_Insumos!$A221)</f>
        <v>0</v>
      </c>
      <c r="C221" s="250">
        <v>1.2809073070800001</v>
      </c>
      <c r="D221" s="250">
        <v>0.91448861745999999</v>
      </c>
      <c r="E221" s="250"/>
      <c r="F221" s="250"/>
    </row>
    <row r="222" spans="1:6" hidden="1">
      <c r="A222" s="250" t="s">
        <v>601</v>
      </c>
      <c r="B222" s="250">
        <f>SUMIFS(Orcamento!$K$205:$K$349,Orcamento!$C$205:$C$349,Memoria_Insumos!$A222)</f>
        <v>0</v>
      </c>
      <c r="C222" s="250">
        <v>7.9322475660000002E-2</v>
      </c>
      <c r="D222" s="250"/>
      <c r="E222" s="250"/>
      <c r="F222" s="250"/>
    </row>
    <row r="223" spans="1:6" hidden="1">
      <c r="A223" s="250" t="s">
        <v>602</v>
      </c>
      <c r="B223" s="250">
        <f>SUMIFS(Orcamento!$K$205:$K$349,Orcamento!$C$205:$C$349,Memoria_Insumos!$A223)</f>
        <v>0</v>
      </c>
      <c r="C223" s="250">
        <v>1.1182101962400002</v>
      </c>
      <c r="D223" s="250">
        <v>0.76331354695999998</v>
      </c>
      <c r="E223" s="250"/>
      <c r="F223" s="250"/>
    </row>
    <row r="224" spans="1:6" hidden="1">
      <c r="A224" s="250" t="s">
        <v>603</v>
      </c>
      <c r="B224" s="250">
        <f>SUMIFS(Orcamento!$K$205:$K$349,Orcamento!$C$205:$C$349,Memoria_Insumos!$A224)</f>
        <v>0</v>
      </c>
      <c r="C224" s="250"/>
      <c r="D224" s="250">
        <v>0.16492380847999999</v>
      </c>
      <c r="E224" s="250"/>
      <c r="F224" s="250"/>
    </row>
    <row r="225" spans="1:6" hidden="1">
      <c r="A225" s="250" t="s">
        <v>604</v>
      </c>
      <c r="B225" s="250">
        <f>SUMIFS(Orcamento!$K$205:$K$349,Orcamento!$C$205:$C$349,Memoria_Insumos!$A225)</f>
        <v>0</v>
      </c>
      <c r="C225" s="250">
        <v>9.0219586500000004E-2</v>
      </c>
      <c r="D225" s="250"/>
      <c r="E225" s="250"/>
      <c r="F225" s="250"/>
    </row>
    <row r="226" spans="1:6" hidden="1">
      <c r="A226" s="250" t="s">
        <v>605</v>
      </c>
      <c r="B226" s="250">
        <f>SUMIFS(Orcamento!$K$205:$K$349,Orcamento!$C$205:$C$349,Memoria_Insumos!$A226)</f>
        <v>0</v>
      </c>
      <c r="C226" s="250"/>
      <c r="D226" s="250">
        <v>0.11854335999999999</v>
      </c>
      <c r="E226" s="250"/>
      <c r="F226" s="250"/>
    </row>
    <row r="227" spans="1:6" hidden="1">
      <c r="A227" s="250" t="s">
        <v>606</v>
      </c>
      <c r="B227" s="250">
        <f>SUMIFS(Orcamento!$K$205:$K$349,Orcamento!$C$205:$C$349,Memoria_Insumos!$A227)</f>
        <v>0</v>
      </c>
      <c r="C227" s="250">
        <v>7.3873920240000002E-2</v>
      </c>
      <c r="D227" s="250"/>
      <c r="E227" s="250"/>
      <c r="F227" s="250"/>
    </row>
    <row r="228" spans="1:6" hidden="1">
      <c r="A228" s="250" t="s">
        <v>607</v>
      </c>
      <c r="B228" s="250">
        <f>SUMIFS(Orcamento!$K$205:$K$349,Orcamento!$C$205:$C$349,Memoria_Insumos!$A228)</f>
        <v>0</v>
      </c>
      <c r="C228" s="250"/>
      <c r="D228" s="250">
        <v>7.5848832000000005E-2</v>
      </c>
      <c r="E228" s="250"/>
      <c r="F228" s="250"/>
    </row>
    <row r="229" spans="1:6" hidden="1">
      <c r="A229" s="250" t="s">
        <v>608</v>
      </c>
      <c r="B229" s="250">
        <f>SUMIFS(Orcamento!$K$205:$K$349,Orcamento!$C$205:$C$349,Memoria_Insumos!$A229)</f>
        <v>0</v>
      </c>
      <c r="C229" s="250">
        <v>0.95551308539999991</v>
      </c>
      <c r="D229" s="250">
        <v>0.61213847645999997</v>
      </c>
      <c r="E229" s="250"/>
      <c r="F229" s="250"/>
    </row>
    <row r="230" spans="1:6" hidden="1">
      <c r="A230" s="250" t="s">
        <v>609</v>
      </c>
      <c r="B230" s="250">
        <f>SUMIFS(Orcamento!$K$205:$K$349,Orcamento!$C$205:$C$349,Memoria_Insumos!$A230)</f>
        <v>0</v>
      </c>
      <c r="C230" s="250"/>
      <c r="D230" s="250">
        <v>4.2830607999999999E-2</v>
      </c>
      <c r="E230" s="250"/>
      <c r="F230" s="250"/>
    </row>
    <row r="231" spans="1:6" hidden="1">
      <c r="A231" s="250" t="s">
        <v>610</v>
      </c>
      <c r="B231" s="250">
        <f>SUMIFS(Orcamento!$K$205:$K$349,Orcamento!$C$205:$C$349,Memoria_Insumos!$A231)</f>
        <v>0</v>
      </c>
      <c r="C231" s="250"/>
      <c r="D231" s="250">
        <v>0.16492380847999999</v>
      </c>
      <c r="E231" s="250"/>
      <c r="F231" s="250"/>
    </row>
    <row r="232" spans="1:6" hidden="1">
      <c r="A232" s="250" t="s">
        <v>611</v>
      </c>
      <c r="B232" s="250">
        <f>SUMIFS(Orcamento!$K$205:$K$349,Orcamento!$C$205:$C$349,Memoria_Insumos!$A232)</f>
        <v>0</v>
      </c>
      <c r="C232" s="250">
        <v>1.54260441792</v>
      </c>
      <c r="D232" s="250">
        <v>1.2120461892100001</v>
      </c>
      <c r="E232" s="250"/>
      <c r="F232" s="250"/>
    </row>
    <row r="233" spans="1:6" hidden="1">
      <c r="A233" s="250" t="s">
        <v>612</v>
      </c>
      <c r="B233" s="250">
        <f>SUMIFS(Orcamento!$K$205:$K$349,Orcamento!$C$205:$C$349,Memoria_Insumos!$A233)</f>
        <v>0</v>
      </c>
      <c r="C233" s="250"/>
      <c r="D233" s="250">
        <v>0.11854335999999999</v>
      </c>
      <c r="E233" s="250"/>
      <c r="F233" s="250"/>
    </row>
    <row r="234" spans="1:6" hidden="1">
      <c r="A234" s="250" t="s">
        <v>613</v>
      </c>
      <c r="B234" s="250">
        <f>SUMIFS(Orcamento!$K$205:$K$349,Orcamento!$C$205:$C$349,Memoria_Insumos!$A234)</f>
        <v>0</v>
      </c>
      <c r="C234" s="250">
        <v>6.8425364820000001E-2</v>
      </c>
      <c r="D234" s="250"/>
      <c r="E234" s="250"/>
      <c r="F234" s="250"/>
    </row>
    <row r="235" spans="1:6" hidden="1">
      <c r="A235" s="250" t="s">
        <v>614</v>
      </c>
      <c r="B235" s="250">
        <f>SUMIFS(Orcamento!$K$205:$K$349,Orcamento!$C$205:$C$349,Memoria_Insumos!$A235)</f>
        <v>0</v>
      </c>
      <c r="C235" s="250"/>
      <c r="D235" s="250">
        <v>7.5848832000000005E-2</v>
      </c>
      <c r="E235" s="250"/>
      <c r="F235" s="250"/>
    </row>
    <row r="236" spans="1:6" hidden="1">
      <c r="A236" s="250" t="s">
        <v>615</v>
      </c>
      <c r="B236" s="250">
        <f>SUMIFS(Orcamento!$K$205:$K$349,Orcamento!$C$205:$C$349,Memoria_Insumos!$A236)</f>
        <v>0</v>
      </c>
      <c r="C236" s="250">
        <v>0.79281597455999997</v>
      </c>
      <c r="D236" s="250">
        <v>0.46096340596000002</v>
      </c>
      <c r="E236" s="250"/>
      <c r="F236" s="250"/>
    </row>
    <row r="237" spans="1:6" hidden="1">
      <c r="A237" s="250" t="s">
        <v>616</v>
      </c>
      <c r="B237" s="250">
        <f>SUMIFS(Orcamento!$K$205:$K$349,Orcamento!$C$205:$C$349,Memoria_Insumos!$A237)</f>
        <v>0</v>
      </c>
      <c r="C237" s="250"/>
      <c r="D237" s="250">
        <v>4.2830607999999999E-2</v>
      </c>
      <c r="E237" s="250"/>
      <c r="F237" s="250"/>
    </row>
    <row r="238" spans="1:6" hidden="1">
      <c r="A238" s="250" t="s">
        <v>617</v>
      </c>
      <c r="B238" s="250">
        <f>SUMIFS(Orcamento!$K$205:$K$349,Orcamento!$C$205:$C$349,Memoria_Insumos!$A238)</f>
        <v>0</v>
      </c>
      <c r="C238" s="250"/>
      <c r="D238" s="250">
        <v>2.974512E-2</v>
      </c>
      <c r="E238" s="250"/>
      <c r="F238" s="250"/>
    </row>
    <row r="239" spans="1:6" hidden="1">
      <c r="A239" s="250" t="s">
        <v>618</v>
      </c>
      <c r="B239" s="250">
        <f>SUMIFS(Orcamento!$K$205:$K$349,Orcamento!$C$205:$C$349,Memoria_Insumos!$A239)</f>
        <v>0</v>
      </c>
      <c r="C239" s="250">
        <v>3.332817666E-2</v>
      </c>
      <c r="D239" s="250"/>
      <c r="E239" s="250"/>
      <c r="F239" s="250"/>
    </row>
    <row r="240" spans="1:6" hidden="1">
      <c r="A240" s="250" t="s">
        <v>619</v>
      </c>
      <c r="B240" s="250">
        <f>SUMIFS(Orcamento!$K$205:$K$349,Orcamento!$C$205:$C$349,Memoria_Insumos!$A240)</f>
        <v>0</v>
      </c>
      <c r="C240" s="250">
        <v>0.87944635331999998</v>
      </c>
      <c r="D240" s="250">
        <v>0.63530317148999993</v>
      </c>
      <c r="E240" s="250"/>
      <c r="F240" s="250"/>
    </row>
    <row r="241" spans="1:6" hidden="1">
      <c r="A241" s="250" t="s">
        <v>620</v>
      </c>
      <c r="B241" s="250">
        <f>SUMIFS(Orcamento!$K$205:$K$349,Orcamento!$C$205:$C$349,Memoria_Insumos!$A241)</f>
        <v>0</v>
      </c>
      <c r="C241" s="250">
        <v>8.4771031080000003E-2</v>
      </c>
      <c r="D241" s="250"/>
      <c r="E241" s="250"/>
      <c r="F241" s="250"/>
    </row>
    <row r="242" spans="1:6" hidden="1">
      <c r="A242" s="250" t="s">
        <v>621</v>
      </c>
      <c r="B242" s="250">
        <f>SUMIFS(Orcamento!$K$205:$K$349,Orcamento!$C$205:$C$349,Memoria_Insumos!$A242)</f>
        <v>0</v>
      </c>
      <c r="C242" s="250">
        <v>1.3469073070800002</v>
      </c>
      <c r="D242" s="250">
        <v>1.0120572449599998</v>
      </c>
      <c r="E242" s="250"/>
      <c r="F242" s="250"/>
    </row>
    <row r="243" spans="1:6" hidden="1">
      <c r="A243" s="250" t="s">
        <v>622</v>
      </c>
      <c r="B243" s="250">
        <f>SUMIFS(Orcamento!$K$205:$K$349,Orcamento!$C$205:$C$349,Memoria_Insumos!$A243)</f>
        <v>0</v>
      </c>
      <c r="C243" s="250">
        <v>2.6676693420000001E-2</v>
      </c>
      <c r="D243" s="250"/>
      <c r="E243" s="250"/>
      <c r="F243" s="250"/>
    </row>
    <row r="244" spans="1:6" hidden="1">
      <c r="A244" s="250" t="s">
        <v>623</v>
      </c>
      <c r="B244" s="250">
        <f>SUMIFS(Orcamento!$K$205:$K$349,Orcamento!$C$205:$C$349,Memoria_Insumos!$A244)</f>
        <v>0</v>
      </c>
      <c r="C244" s="250">
        <v>0.70125338684000005</v>
      </c>
      <c r="D244" s="250">
        <v>0.46061109151999996</v>
      </c>
      <c r="E244" s="250"/>
      <c r="F244" s="250"/>
    </row>
    <row r="245" spans="1:6" hidden="1">
      <c r="A245" s="250" t="s">
        <v>624</v>
      </c>
      <c r="B245" s="250">
        <f>SUMIFS(Orcamento!$K$205:$K$349,Orcamento!$C$205:$C$349,Memoria_Insumos!$A245)</f>
        <v>0</v>
      </c>
      <c r="C245" s="250">
        <v>7.9322475660000002E-2</v>
      </c>
      <c r="D245" s="250"/>
      <c r="E245" s="250"/>
      <c r="F245" s="250"/>
    </row>
    <row r="246" spans="1:6" hidden="1">
      <c r="A246" s="250" t="s">
        <v>625</v>
      </c>
      <c r="B246" s="250">
        <f>SUMIFS(Orcamento!$K$205:$K$349,Orcamento!$C$205:$C$349,Memoria_Insumos!$A246)</f>
        <v>0</v>
      </c>
      <c r="C246" s="250"/>
      <c r="D246" s="250">
        <v>3.5832000000000003E-4</v>
      </c>
      <c r="E246" s="250"/>
      <c r="F246" s="250"/>
    </row>
    <row r="247" spans="1:6" hidden="1">
      <c r="A247" s="250" t="s">
        <v>626</v>
      </c>
      <c r="B247" s="250">
        <f>SUMIFS(Orcamento!$K$205:$K$349,Orcamento!$C$205:$C$349,Memoria_Insumos!$A247)</f>
        <v>0</v>
      </c>
      <c r="C247" s="250"/>
      <c r="D247" s="250">
        <v>4.1199899999999996E-3</v>
      </c>
      <c r="E247" s="250"/>
      <c r="F247" s="250"/>
    </row>
    <row r="248" spans="1:6" hidden="1">
      <c r="A248" s="250" t="s">
        <v>627</v>
      </c>
      <c r="B248" s="250">
        <f>SUMIFS(Orcamento!$K$205:$K$349,Orcamento!$C$205:$C$349,Memoria_Insumos!$A248)</f>
        <v>0</v>
      </c>
      <c r="C248" s="250"/>
      <c r="D248" s="250">
        <v>2.3884000000000002E-3</v>
      </c>
      <c r="E248" s="250"/>
      <c r="F248" s="250"/>
    </row>
    <row r="249" spans="1:6" hidden="1">
      <c r="A249" s="250" t="s">
        <v>628</v>
      </c>
      <c r="B249" s="250">
        <f>SUMIFS(Orcamento!$K$205:$K$349,Orcamento!$C$205:$C$349,Memoria_Insumos!$A249)</f>
        <v>0</v>
      </c>
      <c r="C249" s="250"/>
      <c r="D249" s="250">
        <v>0.21496032000000001</v>
      </c>
      <c r="E249" s="250"/>
      <c r="F249" s="250"/>
    </row>
    <row r="250" spans="1:6" hidden="1">
      <c r="A250" s="250" t="s">
        <v>629</v>
      </c>
      <c r="B250" s="250">
        <f>SUMIFS(Orcamento!$K$205:$K$349,Orcamento!$C$205:$C$349,Memoria_Insumos!$A250)</f>
        <v>0</v>
      </c>
      <c r="C250" s="250"/>
      <c r="D250" s="250">
        <v>0.21496032000000001</v>
      </c>
      <c r="E250" s="250"/>
      <c r="F250" s="250"/>
    </row>
    <row r="251" spans="1:6" hidden="1">
      <c r="A251" s="250" t="s">
        <v>630</v>
      </c>
      <c r="B251" s="250">
        <f>SUMIFS(Orcamento!$K$205:$K$349,Orcamento!$C$205:$C$349,Memoria_Insumos!$A251)</f>
        <v>0</v>
      </c>
      <c r="C251" s="250"/>
      <c r="D251" s="250">
        <v>0.21496032000000001</v>
      </c>
      <c r="E251" s="250"/>
      <c r="F251" s="250"/>
    </row>
    <row r="252" spans="1:6" hidden="1">
      <c r="A252" s="250" t="s">
        <v>631</v>
      </c>
      <c r="B252" s="250">
        <f>SUMIFS(Orcamento!$K$205:$K$349,Orcamento!$C$205:$C$349,Memoria_Insumos!$A252)</f>
        <v>0</v>
      </c>
      <c r="C252" s="250"/>
      <c r="D252" s="250">
        <v>0.21496032000000001</v>
      </c>
      <c r="E252" s="250"/>
      <c r="F252" s="250"/>
    </row>
    <row r="253" spans="1:6" hidden="1">
      <c r="A253" s="250" t="s">
        <v>632</v>
      </c>
      <c r="B253" s="250">
        <f>SUMIFS(Orcamento!$K$205:$K$349,Orcamento!$C$205:$C$349,Memoria_Insumos!$A253)</f>
        <v>0</v>
      </c>
      <c r="C253" s="250"/>
      <c r="D253" s="250">
        <v>0.21496032000000001</v>
      </c>
      <c r="E253" s="250"/>
      <c r="F253" s="250"/>
    </row>
    <row r="254" spans="1:6" hidden="1">
      <c r="A254" s="250" t="s">
        <v>633</v>
      </c>
      <c r="B254" s="250">
        <f>SUMIFS(Orcamento!$K$205:$K$349,Orcamento!$C$205:$C$349,Memoria_Insumos!$A254)</f>
        <v>0</v>
      </c>
      <c r="C254" s="250"/>
      <c r="D254" s="250">
        <v>8.6579499999999993E-3</v>
      </c>
      <c r="E254" s="250"/>
      <c r="F254" s="250"/>
    </row>
    <row r="255" spans="1:6" hidden="1">
      <c r="A255" s="250" t="s">
        <v>634</v>
      </c>
      <c r="B255" s="250">
        <f>SUMIFS(Orcamento!$K$205:$K$349,Orcamento!$C$205:$C$349,Memoria_Insumos!$A255)</f>
        <v>0</v>
      </c>
      <c r="C255" s="250"/>
      <c r="D255" s="250">
        <v>3.6423100000000002E-3</v>
      </c>
      <c r="E255" s="250"/>
      <c r="F255" s="250"/>
    </row>
    <row r="256" spans="1:6" hidden="1">
      <c r="A256" s="250" t="s">
        <v>635</v>
      </c>
      <c r="B256" s="250">
        <f>SUMIFS(Orcamento!$K$205:$K$349,Orcamento!$C$205:$C$349,Memoria_Insumos!$A256)</f>
        <v>0</v>
      </c>
      <c r="C256" s="250"/>
      <c r="D256" s="250">
        <v>3.6423100000000002E-3</v>
      </c>
      <c r="E256" s="250"/>
      <c r="F256" s="250"/>
    </row>
    <row r="257" spans="1:6" hidden="1">
      <c r="A257" s="250" t="s">
        <v>636</v>
      </c>
      <c r="B257" s="250">
        <f>SUMIFS(Orcamento!$K$205:$K$349,Orcamento!$C$205:$C$349,Memoria_Insumos!$A257)</f>
        <v>0</v>
      </c>
      <c r="C257" s="250"/>
      <c r="D257" s="250">
        <v>3.7020199999999999E-3</v>
      </c>
      <c r="E257" s="250"/>
      <c r="F257" s="250"/>
    </row>
    <row r="258" spans="1:6" hidden="1">
      <c r="A258" s="250" t="s">
        <v>637</v>
      </c>
      <c r="B258" s="250">
        <f>SUMIFS(Orcamento!$K$205:$K$349,Orcamento!$C$205:$C$349,Memoria_Insumos!$A258)</f>
        <v>0</v>
      </c>
      <c r="C258" s="250"/>
      <c r="D258" s="250">
        <v>2.5675300000000002E-3</v>
      </c>
      <c r="E258" s="250"/>
      <c r="F258" s="250"/>
    </row>
    <row r="259" spans="1:6" hidden="1">
      <c r="A259" s="250" t="s">
        <v>638</v>
      </c>
      <c r="B259" s="250">
        <f>SUMIFS(Orcamento!$K$205:$K$349,Orcamento!$C$205:$C$349,Memoria_Insumos!$A259)</f>
        <v>0</v>
      </c>
      <c r="C259" s="250"/>
      <c r="D259" s="250">
        <v>1.7315900000000001E-3</v>
      </c>
      <c r="E259" s="250"/>
      <c r="F259" s="250"/>
    </row>
    <row r="260" spans="1:6" hidden="1">
      <c r="A260" s="250" t="s">
        <v>639</v>
      </c>
      <c r="B260" s="250">
        <f>SUMIFS(Orcamento!$K$205:$K$349,Orcamento!$C$205:$C$349,Memoria_Insumos!$A260)</f>
        <v>0</v>
      </c>
      <c r="C260" s="250"/>
      <c r="D260" s="250">
        <v>3.7020199999999999E-3</v>
      </c>
      <c r="E260" s="250"/>
      <c r="F260" s="250"/>
    </row>
    <row r="261" spans="1:6" hidden="1">
      <c r="A261" s="250" t="s">
        <v>640</v>
      </c>
      <c r="B261" s="250">
        <f>SUMIFS(Orcamento!$K$205:$K$349,Orcamento!$C$205:$C$349,Memoria_Insumos!$A261)</f>
        <v>0</v>
      </c>
      <c r="C261" s="250"/>
      <c r="D261" s="250">
        <v>2.5675300000000002E-3</v>
      </c>
      <c r="E261" s="250"/>
      <c r="F261" s="250"/>
    </row>
    <row r="262" spans="1:6" hidden="1">
      <c r="A262" s="250" t="s">
        <v>641</v>
      </c>
      <c r="B262" s="250">
        <f>SUMIFS(Orcamento!$K$205:$K$349,Orcamento!$C$205:$C$349,Memoria_Insumos!$A262)</f>
        <v>0</v>
      </c>
      <c r="C262" s="250"/>
      <c r="D262" s="250">
        <v>1.7315900000000001E-3</v>
      </c>
      <c r="E262" s="250"/>
      <c r="F262" s="250"/>
    </row>
    <row r="263" spans="1:6" hidden="1">
      <c r="A263" s="250" t="s">
        <v>642</v>
      </c>
      <c r="B263" s="250">
        <f>SUMIFS(Orcamento!$K$205:$K$349,Orcamento!$C$205:$C$349,Memoria_Insumos!$A263)</f>
        <v>0</v>
      </c>
      <c r="C263" s="250">
        <v>0.44857999999999998</v>
      </c>
      <c r="D263" s="250">
        <v>9.5333512960000005E-2</v>
      </c>
      <c r="E263" s="250"/>
      <c r="F263" s="250"/>
    </row>
    <row r="264" spans="1:6" hidden="1">
      <c r="A264" s="250" t="s">
        <v>643</v>
      </c>
      <c r="B264" s="250">
        <f>SUMIFS(Orcamento!$K$205:$K$349,Orcamento!$C$205:$C$349,Memoria_Insumos!$A264)</f>
        <v>0</v>
      </c>
      <c r="C264" s="250">
        <v>1.2809073070800001</v>
      </c>
      <c r="D264" s="250">
        <v>0.91448861745999999</v>
      </c>
      <c r="E264" s="250"/>
      <c r="F264" s="250"/>
    </row>
    <row r="265" spans="1:6" hidden="1">
      <c r="A265" s="250" t="s">
        <v>644</v>
      </c>
      <c r="B265" s="250">
        <f>SUMIFS(Orcamento!$K$205:$K$349,Orcamento!$C$205:$C$349,Memoria_Insumos!$A265)</f>
        <v>0</v>
      </c>
      <c r="C265" s="250">
        <v>1.1182101962400002</v>
      </c>
      <c r="D265" s="250">
        <v>0.76331354695999998</v>
      </c>
      <c r="E265" s="250"/>
      <c r="F265" s="250"/>
    </row>
    <row r="266" spans="1:6" hidden="1">
      <c r="A266" s="250" t="s">
        <v>645</v>
      </c>
      <c r="B266" s="250">
        <f>SUMIFS(Orcamento!$K$205:$K$349,Orcamento!$C$205:$C$349,Memoria_Insumos!$A266)</f>
        <v>0</v>
      </c>
      <c r="C266" s="250">
        <v>1.6062307682999999</v>
      </c>
      <c r="D266" s="250">
        <v>1.21683875846</v>
      </c>
      <c r="E266" s="250"/>
      <c r="F266" s="250"/>
    </row>
    <row r="267" spans="1:6" hidden="1">
      <c r="A267" s="250" t="s">
        <v>646</v>
      </c>
      <c r="B267" s="250">
        <f>SUMIFS(Orcamento!$K$205:$K$349,Orcamento!$C$205:$C$349,Memoria_Insumos!$A267)</f>
        <v>0</v>
      </c>
      <c r="C267" s="250">
        <v>0.59289756888</v>
      </c>
      <c r="D267" s="250">
        <v>0.35946862084999998</v>
      </c>
      <c r="E267" s="250"/>
      <c r="F267" s="250"/>
    </row>
    <row r="268" spans="1:6" hidden="1">
      <c r="A268" s="250" t="s">
        <v>647</v>
      </c>
      <c r="B268" s="250">
        <f>SUMIFS(Orcamento!$K$205:$K$349,Orcamento!$C$205:$C$349,Memoria_Insumos!$A268)</f>
        <v>0</v>
      </c>
      <c r="C268" s="250"/>
      <c r="D268" s="250">
        <v>2.7382739999999999E-2</v>
      </c>
      <c r="E268" s="250"/>
      <c r="F268" s="250"/>
    </row>
    <row r="269" spans="1:6" hidden="1">
      <c r="A269" s="250" t="s">
        <v>648</v>
      </c>
      <c r="B269" s="250">
        <f>SUMIFS(Orcamento!$K$205:$K$349,Orcamento!$C$205:$C$349,Memoria_Insumos!$A269)</f>
        <v>0</v>
      </c>
      <c r="C269" s="250"/>
      <c r="D269" s="250">
        <v>1.6612720000000001E-2</v>
      </c>
      <c r="E269" s="250"/>
      <c r="F269" s="250"/>
    </row>
    <row r="270" spans="1:6" hidden="1">
      <c r="A270" s="250" t="s">
        <v>649</v>
      </c>
      <c r="B270" s="250">
        <f>SUMIFS(Orcamento!$K$205:$K$349,Orcamento!$C$205:$C$349,Memoria_Insumos!$A270)</f>
        <v>0</v>
      </c>
      <c r="C270" s="250"/>
      <c r="D270" s="250">
        <v>7.5470752000000002E-2</v>
      </c>
      <c r="E270" s="250"/>
      <c r="F270" s="250"/>
    </row>
    <row r="271" spans="1:6" hidden="1">
      <c r="A271" s="250" t="s">
        <v>650</v>
      </c>
      <c r="B271" s="250">
        <f>SUMIFS(Orcamento!$K$205:$K$349,Orcamento!$C$205:$C$349,Memoria_Insumos!$A271)</f>
        <v>0</v>
      </c>
      <c r="C271" s="250"/>
      <c r="D271" s="250">
        <v>4.9744160000000003E-2</v>
      </c>
      <c r="E271" s="250"/>
      <c r="F271" s="250"/>
    </row>
    <row r="272" spans="1:6" hidden="1">
      <c r="A272" s="250" t="s">
        <v>651</v>
      </c>
      <c r="B272" s="250">
        <f>SUMIFS(Orcamento!$K$205:$K$349,Orcamento!$C$205:$C$349,Memoria_Insumos!$A272)</f>
        <v>0</v>
      </c>
      <c r="C272" s="250"/>
      <c r="D272" s="250">
        <v>2.2643407999999997E-2</v>
      </c>
      <c r="E272" s="250"/>
      <c r="F272" s="250"/>
    </row>
    <row r="273" spans="1:6" hidden="1">
      <c r="A273" s="250" t="s">
        <v>652</v>
      </c>
      <c r="B273" s="250">
        <f>SUMIFS(Orcamento!$K$205:$K$349,Orcamento!$C$205:$C$349,Memoria_Insumos!$A273)</f>
        <v>0</v>
      </c>
      <c r="C273" s="250"/>
      <c r="D273" s="250">
        <v>7.5470752000000002E-2</v>
      </c>
      <c r="E273" s="250"/>
      <c r="F273" s="250"/>
    </row>
    <row r="274" spans="1:6" hidden="1">
      <c r="A274" s="250" t="s">
        <v>653</v>
      </c>
      <c r="B274" s="250">
        <f>SUMIFS(Orcamento!$K$205:$K$349,Orcamento!$C$205:$C$349,Memoria_Insumos!$A274)</f>
        <v>0</v>
      </c>
      <c r="C274" s="250"/>
      <c r="D274" s="250">
        <v>4.9744160000000003E-2</v>
      </c>
      <c r="E274" s="250"/>
      <c r="F274" s="250"/>
    </row>
    <row r="275" spans="1:6" hidden="1">
      <c r="A275" s="250" t="s">
        <v>654</v>
      </c>
      <c r="B275" s="250">
        <f>SUMIFS(Orcamento!$K$205:$K$349,Orcamento!$C$205:$C$349,Memoria_Insumos!$A275)</f>
        <v>0</v>
      </c>
      <c r="C275" s="250"/>
      <c r="D275" s="250">
        <v>2.2643407999999997E-2</v>
      </c>
      <c r="E275" s="250"/>
      <c r="F275" s="250"/>
    </row>
    <row r="276" spans="1:6" hidden="1">
      <c r="A276" s="250" t="s">
        <v>655</v>
      </c>
      <c r="B276" s="250">
        <f>SUMIFS(Orcamento!$K$205:$K$349,Orcamento!$C$205:$C$349,Memoria_Insumos!$A276)</f>
        <v>0</v>
      </c>
      <c r="C276" s="250">
        <v>3.3821665187399996</v>
      </c>
      <c r="D276" s="250">
        <v>0.61735631999999996</v>
      </c>
      <c r="E276" s="250"/>
      <c r="F276" s="250"/>
    </row>
    <row r="277" spans="1:6" hidden="1">
      <c r="A277" s="250" t="s">
        <v>656</v>
      </c>
      <c r="B277" s="250">
        <f>SUMIFS(Orcamento!$K$205:$K$349,Orcamento!$C$205:$C$349,Memoria_Insumos!$A277)</f>
        <v>0</v>
      </c>
      <c r="C277" s="250">
        <v>2.0713780753799997</v>
      </c>
      <c r="D277" s="250">
        <v>0.37837968</v>
      </c>
      <c r="E277" s="250"/>
      <c r="F277" s="250"/>
    </row>
    <row r="278" spans="1:6" hidden="1">
      <c r="A278" s="250" t="s">
        <v>657</v>
      </c>
      <c r="B278" s="250">
        <f>SUMIFS(Orcamento!$K$205:$K$349,Orcamento!$C$205:$C$349,Memoria_Insumos!$A278)</f>
        <v>0</v>
      </c>
      <c r="C278" s="250">
        <v>1.2444546141599999</v>
      </c>
      <c r="D278" s="250">
        <v>0.236985168</v>
      </c>
      <c r="E278" s="250"/>
      <c r="F278" s="250"/>
    </row>
    <row r="279" spans="1:6" hidden="1">
      <c r="A279" s="250" t="s">
        <v>658</v>
      </c>
      <c r="B279" s="250">
        <f>SUMIFS(Orcamento!$K$205:$K$349,Orcamento!$C$205:$C$349,Memoria_Insumos!$A279)</f>
        <v>0</v>
      </c>
      <c r="C279" s="250">
        <v>0.58485331931999995</v>
      </c>
      <c r="D279" s="250">
        <v>0.107675568</v>
      </c>
      <c r="E279" s="250"/>
      <c r="F279" s="250"/>
    </row>
    <row r="280" spans="1:6" hidden="1">
      <c r="A280" s="250" t="s">
        <v>659</v>
      </c>
      <c r="B280" s="250">
        <f>SUMIFS(Orcamento!$K$205:$K$349,Orcamento!$C$205:$C$349,Memoria_Insumos!$A280)</f>
        <v>0</v>
      </c>
      <c r="C280" s="250">
        <v>8.3296054211200001</v>
      </c>
      <c r="D280" s="250">
        <v>2.5889235080000002</v>
      </c>
      <c r="E280" s="250"/>
      <c r="F280" s="250"/>
    </row>
    <row r="281" spans="1:6" hidden="1">
      <c r="A281" s="250" t="s">
        <v>660</v>
      </c>
      <c r="B281" s="250">
        <f>SUMIFS(Orcamento!$K$205:$K$349,Orcamento!$C$205:$C$349,Memoria_Insumos!$A281)</f>
        <v>0</v>
      </c>
      <c r="C281" s="250">
        <v>6.7922877382200006</v>
      </c>
      <c r="D281" s="250">
        <v>2.1685546680000001</v>
      </c>
      <c r="E281" s="250"/>
      <c r="F281" s="250"/>
    </row>
    <row r="282" spans="1:6" hidden="1">
      <c r="A282" s="250" t="s">
        <v>661</v>
      </c>
      <c r="B282" s="250">
        <f>SUMIFS(Orcamento!$K$205:$K$349,Orcamento!$C$205:$C$349,Memoria_Insumos!$A282)</f>
        <v>0</v>
      </c>
      <c r="C282" s="250">
        <v>5.4593771284799999</v>
      </c>
      <c r="D282" s="250">
        <v>1.814694904</v>
      </c>
      <c r="E282" s="250"/>
      <c r="F282" s="250"/>
    </row>
    <row r="283" spans="1:6" hidden="1">
      <c r="A283" s="250" t="s">
        <v>662</v>
      </c>
      <c r="B283" s="250">
        <f>SUMIFS(Orcamento!$K$205:$K$349,Orcamento!$C$205:$C$349,Memoria_Insumos!$A283)</f>
        <v>0</v>
      </c>
      <c r="C283" s="250">
        <v>3.8335851485400001</v>
      </c>
      <c r="D283" s="250">
        <v>1.3572653400000001</v>
      </c>
      <c r="E283" s="250"/>
      <c r="F283" s="250"/>
    </row>
    <row r="284" spans="1:6" hidden="1">
      <c r="A284" s="250" t="s">
        <v>663</v>
      </c>
      <c r="B284" s="250">
        <f>SUMIFS(Orcamento!$K$205:$K$349,Orcamento!$C$205:$C$349,Memoria_Insumos!$A284)</f>
        <v>0</v>
      </c>
      <c r="C284" s="250">
        <v>1.9281603924799999</v>
      </c>
      <c r="D284" s="250">
        <v>0.80791261599999997</v>
      </c>
      <c r="E284" s="250"/>
      <c r="F284" s="250"/>
    </row>
    <row r="285" spans="1:6" hidden="1">
      <c r="A285" s="250" t="s">
        <v>664</v>
      </c>
      <c r="B285" s="250">
        <f>SUMIFS(Orcamento!$K$205:$K$349,Orcamento!$C$205:$C$349,Memoria_Insumos!$A285)</f>
        <v>0</v>
      </c>
      <c r="C285" s="250">
        <v>0.88454270958000003</v>
      </c>
      <c r="D285" s="250">
        <v>0.46585943600000002</v>
      </c>
      <c r="E285" s="250"/>
      <c r="F285" s="250"/>
    </row>
    <row r="286" spans="1:6" hidden="1">
      <c r="A286" s="250" t="s">
        <v>665</v>
      </c>
      <c r="B286" s="250">
        <f>SUMIFS(Orcamento!$K$205:$K$349,Orcamento!$C$205:$C$349,Memoria_Insumos!$A286)</f>
        <v>0</v>
      </c>
      <c r="C286" s="250">
        <v>1.2946172385799999</v>
      </c>
      <c r="D286" s="250">
        <v>1.6815686400000001</v>
      </c>
      <c r="E286" s="250"/>
      <c r="F286" s="250"/>
    </row>
    <row r="287" spans="1:6" hidden="1">
      <c r="A287" s="250" t="s">
        <v>666</v>
      </c>
      <c r="B287" s="250">
        <f>SUMIFS(Orcamento!$K$205:$K$349,Orcamento!$C$205:$C$349,Memoria_Insumos!$A287)</f>
        <v>0</v>
      </c>
      <c r="C287" s="250">
        <v>1.31971777002</v>
      </c>
      <c r="D287" s="250">
        <v>1.74617808</v>
      </c>
      <c r="E287" s="250"/>
      <c r="F287" s="250"/>
    </row>
    <row r="288" spans="1:6" hidden="1">
      <c r="A288" s="250" t="s">
        <v>667</v>
      </c>
      <c r="B288" s="250">
        <f>SUMIFS(Orcamento!$K$205:$K$349,Orcamento!$C$205:$C$349,Memoria_Insumos!$A288)</f>
        <v>0</v>
      </c>
      <c r="C288" s="250">
        <v>1.2168001644399999</v>
      </c>
      <c r="D288" s="250">
        <v>1.6170183199999999</v>
      </c>
      <c r="E288" s="250"/>
      <c r="F288" s="250"/>
    </row>
    <row r="289" spans="1:6" hidden="1">
      <c r="A289" s="250" t="s">
        <v>668</v>
      </c>
      <c r="B289" s="250">
        <f>SUMIFS(Orcamento!$K$205:$K$349,Orcamento!$C$205:$C$349,Memoria_Insumos!$A289)</f>
        <v>0</v>
      </c>
      <c r="C289" s="250">
        <v>0.85850240617999996</v>
      </c>
      <c r="D289" s="250">
        <v>1.117900704</v>
      </c>
      <c r="E289" s="250"/>
      <c r="F289" s="250"/>
    </row>
    <row r="290" spans="1:6" hidden="1">
      <c r="A290" s="250" t="s">
        <v>669</v>
      </c>
      <c r="B290" s="250">
        <f>SUMIFS(Orcamento!$K$205:$K$349,Orcamento!$C$205:$C$349,Memoria_Insumos!$A290)</f>
        <v>0</v>
      </c>
      <c r="C290" s="250">
        <v>0.61723563642000001</v>
      </c>
      <c r="D290" s="250">
        <v>0.79497174400000004</v>
      </c>
      <c r="E290" s="250"/>
      <c r="F290" s="250"/>
    </row>
    <row r="291" spans="1:6" hidden="1">
      <c r="A291" s="250" t="s">
        <v>670</v>
      </c>
      <c r="B291" s="250">
        <f>SUMIFS(Orcamento!$K$205:$K$349,Orcamento!$C$205:$C$349,Memoria_Insumos!$A291)</f>
        <v>0</v>
      </c>
      <c r="C291" s="250">
        <v>0.47693088232000003</v>
      </c>
      <c r="D291" s="250">
        <v>0.61298932800000006</v>
      </c>
      <c r="E291" s="250"/>
      <c r="F291" s="250"/>
    </row>
    <row r="292" spans="1:6" hidden="1">
      <c r="A292" s="250" t="s">
        <v>671</v>
      </c>
      <c r="B292" s="250">
        <f>SUMIFS(Orcamento!$K$205:$K$349,Orcamento!$C$205:$C$349,Memoria_Insumos!$A292)</f>
        <v>0</v>
      </c>
      <c r="C292" s="250">
        <v>3.2831726351999997</v>
      </c>
      <c r="D292" s="250">
        <v>0.61735631999999996</v>
      </c>
      <c r="E292" s="250"/>
      <c r="F292" s="250"/>
    </row>
    <row r="293" spans="1:6" hidden="1">
      <c r="A293" s="250" t="s">
        <v>672</v>
      </c>
      <c r="B293" s="250">
        <f>SUMIFS(Orcamento!$K$205:$K$349,Orcamento!$C$205:$C$349,Memoria_Insumos!$A293)</f>
        <v>0</v>
      </c>
      <c r="C293" s="250">
        <v>1.9480425935999999</v>
      </c>
      <c r="D293" s="250">
        <v>0.37837968</v>
      </c>
      <c r="E293" s="250"/>
      <c r="F293" s="250"/>
    </row>
    <row r="294" spans="1:6" hidden="1">
      <c r="A294" s="250" t="s">
        <v>673</v>
      </c>
      <c r="B294" s="250">
        <f>SUMIFS(Orcamento!$K$205:$K$349,Orcamento!$C$205:$C$349,Memoria_Insumos!$A294)</f>
        <v>0</v>
      </c>
      <c r="C294" s="250">
        <v>1.1145384095999999</v>
      </c>
      <c r="D294" s="250">
        <v>0.236985168</v>
      </c>
      <c r="E294" s="250"/>
      <c r="F294" s="250"/>
    </row>
    <row r="295" spans="1:6" hidden="1">
      <c r="A295" s="250" t="s">
        <v>674</v>
      </c>
      <c r="B295" s="250">
        <f>SUMIFS(Orcamento!$K$205:$K$349,Orcamento!$C$205:$C$349,Memoria_Insumos!$A295)</f>
        <v>0</v>
      </c>
      <c r="C295" s="250">
        <v>0.44319087839999999</v>
      </c>
      <c r="D295" s="250">
        <v>0.107675568</v>
      </c>
      <c r="E295" s="250"/>
      <c r="F295" s="250"/>
    </row>
    <row r="296" spans="1:6" hidden="1">
      <c r="A296" s="250" t="s">
        <v>675</v>
      </c>
      <c r="B296" s="250">
        <f>SUMIFS(Orcamento!$K$205:$K$349,Orcamento!$C$205:$C$349,Memoria_Insumos!$A296)</f>
        <v>0</v>
      </c>
      <c r="C296" s="250">
        <v>8.3443235968000007</v>
      </c>
      <c r="D296" s="250">
        <v>2.5889235080000002</v>
      </c>
      <c r="E296" s="250"/>
      <c r="F296" s="250"/>
    </row>
    <row r="297" spans="1:6" hidden="1">
      <c r="A297" s="250" t="s">
        <v>676</v>
      </c>
      <c r="B297" s="250">
        <f>SUMIFS(Orcamento!$K$205:$K$349,Orcamento!$C$205:$C$349,Memoria_Insumos!$A297)</f>
        <v>0</v>
      </c>
      <c r="C297" s="250">
        <v>6.7939152288000004</v>
      </c>
      <c r="D297" s="250">
        <v>2.1685546680000001</v>
      </c>
      <c r="E297" s="250"/>
      <c r="F297" s="250"/>
    </row>
    <row r="298" spans="1:6" hidden="1">
      <c r="A298" s="250" t="s">
        <v>677</v>
      </c>
      <c r="B298" s="250">
        <f>SUMIFS(Orcamento!$K$205:$K$349,Orcamento!$C$205:$C$349,Memoria_Insumos!$A298)</f>
        <v>0</v>
      </c>
      <c r="C298" s="250">
        <v>5.4531502080000003</v>
      </c>
      <c r="D298" s="250">
        <v>1.814694904</v>
      </c>
      <c r="E298" s="250"/>
      <c r="F298" s="250"/>
    </row>
    <row r="299" spans="1:6" hidden="1">
      <c r="A299" s="250" t="s">
        <v>678</v>
      </c>
      <c r="B299" s="250">
        <f>SUMIFS(Orcamento!$K$205:$K$349,Orcamento!$C$205:$C$349,Memoria_Insumos!$A299)</f>
        <v>0</v>
      </c>
      <c r="C299" s="250">
        <v>3.8117201663999998</v>
      </c>
      <c r="D299" s="250">
        <v>1.3572653400000001</v>
      </c>
      <c r="E299" s="250"/>
      <c r="F299" s="250"/>
    </row>
    <row r="300" spans="1:6" hidden="1">
      <c r="A300" s="250" t="s">
        <v>679</v>
      </c>
      <c r="B300" s="250">
        <f>SUMIFS(Orcamento!$K$205:$K$349,Orcamento!$C$205:$C$349,Memoria_Insumos!$A300)</f>
        <v>0</v>
      </c>
      <c r="C300" s="250">
        <v>1.8879684511999999</v>
      </c>
      <c r="D300" s="250">
        <v>0.80791261599999997</v>
      </c>
      <c r="E300" s="250"/>
      <c r="F300" s="250"/>
    </row>
    <row r="301" spans="1:6" hidden="1">
      <c r="A301" s="250" t="s">
        <v>680</v>
      </c>
      <c r="B301" s="250">
        <f>SUMIFS(Orcamento!$K$205:$K$349,Orcamento!$C$205:$C$349,Memoria_Insumos!$A301)</f>
        <v>0</v>
      </c>
      <c r="C301" s="250">
        <v>0.8312600832</v>
      </c>
      <c r="D301" s="250">
        <v>0.46585943600000002</v>
      </c>
      <c r="E301" s="250"/>
      <c r="F301" s="250"/>
    </row>
    <row r="302" spans="1:6" hidden="1">
      <c r="A302" s="250" t="s">
        <v>681</v>
      </c>
      <c r="B302" s="250">
        <f>SUMIFS(Orcamento!$K$205:$K$349,Orcamento!$C$205:$C$349,Memoria_Insumos!$A302)</f>
        <v>0</v>
      </c>
      <c r="C302" s="250">
        <v>1.2109076143999999</v>
      </c>
      <c r="D302" s="250">
        <v>1.6815686400000001</v>
      </c>
      <c r="E302" s="250"/>
      <c r="F302" s="250"/>
    </row>
    <row r="303" spans="1:6" hidden="1">
      <c r="A303" s="250" t="s">
        <v>682</v>
      </c>
      <c r="B303" s="250">
        <f>SUMIFS(Orcamento!$K$205:$K$349,Orcamento!$C$205:$C$349,Memoria_Insumos!$A303)</f>
        <v>0</v>
      </c>
      <c r="C303" s="250">
        <v>1.2583684512</v>
      </c>
      <c r="D303" s="250">
        <v>1.74617808</v>
      </c>
      <c r="E303" s="250"/>
      <c r="F303" s="250"/>
    </row>
    <row r="304" spans="1:6" hidden="1">
      <c r="A304" s="250" t="s">
        <v>683</v>
      </c>
      <c r="B304" s="250">
        <f>SUMIFS(Orcamento!$K$205:$K$349,Orcamento!$C$205:$C$349,Memoria_Insumos!$A304)</f>
        <v>0</v>
      </c>
      <c r="C304" s="250">
        <v>1.1634467775999999</v>
      </c>
      <c r="D304" s="250">
        <v>1.6170183199999999</v>
      </c>
      <c r="E304" s="250"/>
      <c r="F304" s="250"/>
    </row>
    <row r="305" spans="1:6" hidden="1">
      <c r="A305" s="250" t="s">
        <v>684</v>
      </c>
      <c r="B305" s="250">
        <f>SUMIFS(Orcamento!$K$205:$K$349,Orcamento!$C$205:$C$349,Memoria_Insumos!$A305)</f>
        <v>0</v>
      </c>
      <c r="C305" s="250">
        <v>0.79602091999999991</v>
      </c>
      <c r="D305" s="250">
        <v>1.117900704</v>
      </c>
      <c r="E305" s="250"/>
      <c r="F305" s="250"/>
    </row>
    <row r="306" spans="1:6" hidden="1">
      <c r="A306" s="250" t="s">
        <v>685</v>
      </c>
      <c r="B306" s="250">
        <f>SUMIFS(Orcamento!$K$205:$K$349,Orcamento!$C$205:$C$349,Memoria_Insumos!$A306)</f>
        <v>0</v>
      </c>
      <c r="C306" s="250">
        <v>0.55871673600000005</v>
      </c>
      <c r="D306" s="250">
        <v>0.79497174400000004</v>
      </c>
      <c r="E306" s="250"/>
      <c r="F306" s="250"/>
    </row>
    <row r="307" spans="1:6" hidden="1">
      <c r="A307" s="250" t="s">
        <v>686</v>
      </c>
      <c r="B307" s="250">
        <f>SUMIFS(Orcamento!$K$205:$K$349,Orcamento!$C$205:$C$349,Memoria_Insumos!$A307)</f>
        <v>0</v>
      </c>
      <c r="C307" s="250">
        <v>0.42513422560000003</v>
      </c>
      <c r="D307" s="250">
        <v>0.61298932800000006</v>
      </c>
      <c r="E307" s="250"/>
      <c r="F307" s="250"/>
    </row>
    <row r="308" spans="1:6" hidden="1">
      <c r="A308" s="250" t="s">
        <v>687</v>
      </c>
      <c r="B308" s="250">
        <f>SUMIFS(Orcamento!$K$205:$K$349,Orcamento!$C$205:$C$349,Memoria_Insumos!$A308)</f>
        <v>0</v>
      </c>
      <c r="C308" s="250">
        <v>0.87361999999999995</v>
      </c>
      <c r="D308" s="250">
        <v>0.36929021480000002</v>
      </c>
      <c r="E308" s="250"/>
      <c r="F308" s="250"/>
    </row>
    <row r="309" spans="1:6" hidden="1">
      <c r="A309" s="250" t="s">
        <v>688</v>
      </c>
      <c r="B309" s="250">
        <f>SUMIFS(Orcamento!$K$205:$K$349,Orcamento!$C$205:$C$349,Memoria_Insumos!$A309)</f>
        <v>0</v>
      </c>
      <c r="C309" s="250">
        <v>0.62051000000000001</v>
      </c>
      <c r="D309" s="250">
        <v>0.25756466450999999</v>
      </c>
      <c r="E309" s="250"/>
      <c r="F309" s="250"/>
    </row>
    <row r="310" spans="1:6" hidden="1">
      <c r="A310" s="250" t="s">
        <v>689</v>
      </c>
      <c r="B310" s="250">
        <f>SUMIFS(Orcamento!$K$205:$K$349,Orcamento!$C$205:$C$349,Memoria_Insumos!$A310)</f>
        <v>0</v>
      </c>
      <c r="C310" s="250">
        <v>0.62051000000000001</v>
      </c>
      <c r="D310" s="250">
        <v>0.25756466450999999</v>
      </c>
      <c r="E310" s="250"/>
      <c r="F310" s="250"/>
    </row>
    <row r="311" spans="1:6" hidden="1">
      <c r="A311" s="250" t="s">
        <v>690</v>
      </c>
      <c r="B311" s="250">
        <f>SUMIFS(Orcamento!$K$205:$K$349,Orcamento!$C$205:$C$349,Memoria_Insumos!$A311)</f>
        <v>0</v>
      </c>
      <c r="C311" s="250">
        <v>0.41063</v>
      </c>
      <c r="D311" s="250">
        <v>0.16617068013</v>
      </c>
      <c r="E311" s="250"/>
      <c r="F311" s="250"/>
    </row>
    <row r="312" spans="1:6" hidden="1">
      <c r="A312" s="250" t="s">
        <v>691</v>
      </c>
      <c r="B312" s="250">
        <f>SUMIFS(Orcamento!$K$205:$K$349,Orcamento!$C$205:$C$349,Memoria_Insumos!$A312)</f>
        <v>0</v>
      </c>
      <c r="C312" s="250">
        <v>5.8897199999999996</v>
      </c>
      <c r="D312" s="250">
        <v>0.53998384370999997</v>
      </c>
      <c r="E312" s="250"/>
      <c r="F312" s="250"/>
    </row>
    <row r="313" spans="1:6" hidden="1">
      <c r="A313" s="250" t="s">
        <v>692</v>
      </c>
      <c r="B313" s="250">
        <f>SUMIFS(Orcamento!$K$205:$K$349,Orcamento!$C$205:$C$349,Memoria_Insumos!$A313)</f>
        <v>0</v>
      </c>
      <c r="C313" s="250">
        <v>4.0461100000000005</v>
      </c>
      <c r="D313" s="250">
        <v>0.37419332555000001</v>
      </c>
      <c r="E313" s="250"/>
      <c r="F313" s="250"/>
    </row>
    <row r="314" spans="1:6" hidden="1">
      <c r="A314" s="250" t="s">
        <v>693</v>
      </c>
      <c r="B314" s="250">
        <f>SUMIFS(Orcamento!$K$205:$K$349,Orcamento!$C$205:$C$349,Memoria_Insumos!$A314)</f>
        <v>0</v>
      </c>
      <c r="C314" s="250">
        <v>2.54813</v>
      </c>
      <c r="D314" s="250">
        <v>0.23893284366</v>
      </c>
      <c r="E314" s="250"/>
      <c r="F314" s="250"/>
    </row>
    <row r="315" spans="1:6" hidden="1">
      <c r="A315" s="250" t="s">
        <v>694</v>
      </c>
      <c r="B315" s="250">
        <f>SUMIFS(Orcamento!$K$205:$K$349,Orcamento!$C$205:$C$349,Memoria_Insumos!$A315)</f>
        <v>0</v>
      </c>
      <c r="C315" s="250">
        <v>0.90108999999999995</v>
      </c>
      <c r="D315" s="250">
        <v>9.3824591999999998E-2</v>
      </c>
      <c r="E315" s="250"/>
      <c r="F315" s="250"/>
    </row>
    <row r="316" spans="1:6" hidden="1">
      <c r="A316" s="250" t="s">
        <v>695</v>
      </c>
      <c r="B316" s="250">
        <f>SUMIFS(Orcamento!$K$205:$K$349,Orcamento!$C$205:$C$349,Memoria_Insumos!$A316)</f>
        <v>0</v>
      </c>
      <c r="C316" s="250">
        <v>0.87361999999999995</v>
      </c>
      <c r="D316" s="250">
        <v>0.37334345302000005</v>
      </c>
      <c r="E316" s="250"/>
      <c r="F316" s="250"/>
    </row>
    <row r="317" spans="1:6" hidden="1">
      <c r="A317" s="250" t="s">
        <v>696</v>
      </c>
      <c r="B317" s="250">
        <f>SUMIFS(Orcamento!$K$205:$K$349,Orcamento!$C$205:$C$349,Memoria_Insumos!$A317)</f>
        <v>0</v>
      </c>
      <c r="C317" s="250">
        <v>0.62051000000000001</v>
      </c>
      <c r="D317" s="250">
        <v>0.26037578134</v>
      </c>
      <c r="E317" s="250"/>
      <c r="F317" s="250"/>
    </row>
    <row r="318" spans="1:6" hidden="1">
      <c r="A318" s="250" t="s">
        <v>697</v>
      </c>
      <c r="B318" s="250">
        <f>SUMIFS(Orcamento!$K$205:$K$349,Orcamento!$C$205:$C$349,Memoria_Insumos!$A318)</f>
        <v>0</v>
      </c>
      <c r="C318" s="250">
        <v>0.62051000000000001</v>
      </c>
      <c r="D318" s="250">
        <v>0.26037578134</v>
      </c>
      <c r="E318" s="250"/>
      <c r="F318" s="250"/>
    </row>
    <row r="319" spans="1:6" hidden="1">
      <c r="A319" s="250" t="s">
        <v>698</v>
      </c>
      <c r="B319" s="250">
        <f>SUMIFS(Orcamento!$K$205:$K$349,Orcamento!$C$205:$C$349,Memoria_Insumos!$A319)</f>
        <v>0</v>
      </c>
      <c r="C319" s="250">
        <v>0.41063</v>
      </c>
      <c r="D319" s="250">
        <v>0.1679358</v>
      </c>
      <c r="E319" s="250"/>
      <c r="F319" s="250"/>
    </row>
    <row r="320" spans="1:6" hidden="1">
      <c r="A320" s="250" t="s">
        <v>699</v>
      </c>
      <c r="B320" s="250">
        <f>SUMIFS(Orcamento!$K$205:$K$349,Orcamento!$C$205:$C$349,Memoria_Insumos!$A320)</f>
        <v>0</v>
      </c>
      <c r="C320" s="250">
        <v>0.24970000000000001</v>
      </c>
      <c r="D320" s="250">
        <v>0.10356857999999999</v>
      </c>
      <c r="E320" s="250"/>
      <c r="F320" s="250"/>
    </row>
    <row r="321" spans="1:6" hidden="1">
      <c r="A321" s="250" t="s">
        <v>700</v>
      </c>
      <c r="B321" s="250">
        <f>SUMIFS(Orcamento!$K$205:$K$349,Orcamento!$C$205:$C$349,Memoria_Insumos!$A321)</f>
        <v>0</v>
      </c>
      <c r="C321" s="250">
        <v>0.16929</v>
      </c>
      <c r="D321" s="250">
        <v>6.7366464000000001E-2</v>
      </c>
      <c r="E321" s="250"/>
      <c r="F321" s="250"/>
    </row>
    <row r="322" spans="1:6" hidden="1">
      <c r="A322" s="250" t="s">
        <v>701</v>
      </c>
      <c r="B322" s="250">
        <f>SUMIFS(Orcamento!$K$205:$K$349,Orcamento!$C$205:$C$349,Memoria_Insumos!$A322)</f>
        <v>0</v>
      </c>
      <c r="C322" s="250">
        <v>0.1337372694</v>
      </c>
      <c r="D322" s="250"/>
      <c r="E322" s="250"/>
      <c r="F322" s="250"/>
    </row>
    <row r="323" spans="1:6" hidden="1">
      <c r="A323" s="250" t="s">
        <v>702</v>
      </c>
      <c r="B323" s="250">
        <f>SUMIFS(Orcamento!$K$205:$K$349,Orcamento!$C$205:$C$349,Memoria_Insumos!$A323)</f>
        <v>0</v>
      </c>
      <c r="C323" s="250">
        <v>3.93303978372</v>
      </c>
      <c r="D323" s="250">
        <v>4.0316542669599995</v>
      </c>
      <c r="E323" s="250"/>
      <c r="F323" s="250"/>
    </row>
    <row r="324" spans="1:6" hidden="1">
      <c r="A324" s="250" t="s">
        <v>703</v>
      </c>
      <c r="B324" s="250">
        <f>SUMIFS(Orcamento!$K$205:$K$349,Orcamento!$C$205:$C$349,Memoria_Insumos!$A324)</f>
        <v>0</v>
      </c>
      <c r="C324" s="250">
        <v>0.12828871398</v>
      </c>
      <c r="D324" s="250"/>
      <c r="E324" s="250"/>
      <c r="F324" s="250"/>
    </row>
    <row r="325" spans="1:6" hidden="1">
      <c r="A325" s="250" t="s">
        <v>704</v>
      </c>
      <c r="B325" s="250">
        <f>SUMIFS(Orcamento!$K$205:$K$349,Orcamento!$C$205:$C$349,Memoria_Insumos!$A325)</f>
        <v>0</v>
      </c>
      <c r="C325" s="250">
        <v>3.5723426728800001</v>
      </c>
      <c r="D325" s="250">
        <v>3.5877141939600001</v>
      </c>
      <c r="E325" s="250"/>
      <c r="F325" s="250"/>
    </row>
    <row r="326" spans="1:6" hidden="1">
      <c r="A326" s="250" t="s">
        <v>705</v>
      </c>
      <c r="B326" s="250">
        <f>SUMIFS(Orcamento!$K$205:$K$349,Orcamento!$C$205:$C$349,Memoria_Insumos!$A326)</f>
        <v>0</v>
      </c>
      <c r="C326" s="250">
        <v>0.12284015856</v>
      </c>
      <c r="D326" s="250"/>
      <c r="E326" s="250"/>
      <c r="F326" s="250"/>
    </row>
    <row r="327" spans="1:6" hidden="1">
      <c r="A327" s="250" t="s">
        <v>706</v>
      </c>
      <c r="B327" s="250">
        <f>SUMIFS(Orcamento!$K$205:$K$349,Orcamento!$C$205:$C$349,Memoria_Insumos!$A327)</f>
        <v>0</v>
      </c>
      <c r="C327" s="250">
        <v>3.2447163225</v>
      </c>
      <c r="D327" s="250">
        <v>3.1925879947100002</v>
      </c>
      <c r="E327" s="250"/>
      <c r="F327" s="250"/>
    </row>
    <row r="328" spans="1:6" hidden="1">
      <c r="A328" s="250" t="s">
        <v>707</v>
      </c>
      <c r="B328" s="250">
        <f>SUMIFS(Orcamento!$K$205:$K$349,Orcamento!$C$205:$C$349,Memoria_Insumos!$A328)</f>
        <v>0</v>
      </c>
      <c r="C328" s="250">
        <v>0.12284015856</v>
      </c>
      <c r="D328" s="250"/>
      <c r="E328" s="250"/>
      <c r="F328" s="250"/>
    </row>
    <row r="329" spans="1:6" hidden="1">
      <c r="A329" s="250" t="s">
        <v>708</v>
      </c>
      <c r="B329" s="250">
        <f>SUMIFS(Orcamento!$K$205:$K$349,Orcamento!$C$205:$C$349,Memoria_Insumos!$A329)</f>
        <v>0</v>
      </c>
      <c r="C329" s="250">
        <v>3.2117163225000001</v>
      </c>
      <c r="D329" s="250">
        <v>3.1437741209599999</v>
      </c>
      <c r="E329" s="250"/>
      <c r="F329" s="250"/>
    </row>
    <row r="330" spans="1:6" hidden="1">
      <c r="A330" s="250" t="s">
        <v>709</v>
      </c>
      <c r="B330" s="250">
        <f>SUMIFS(Orcamento!$K$205:$K$349,Orcamento!$C$205:$C$349,Memoria_Insumos!$A330)</f>
        <v>0</v>
      </c>
      <c r="C330" s="250">
        <v>0.11739160314000001</v>
      </c>
      <c r="D330" s="250"/>
      <c r="E330" s="250"/>
      <c r="F330" s="250"/>
    </row>
    <row r="331" spans="1:6" hidden="1">
      <c r="A331" s="250" t="s">
        <v>710</v>
      </c>
      <c r="B331" s="250">
        <f>SUMIFS(Orcamento!$K$205:$K$349,Orcamento!$C$205:$C$349,Memoria_Insumos!$A331)</f>
        <v>0</v>
      </c>
      <c r="C331" s="250">
        <v>2.9170192116599996</v>
      </c>
      <c r="D331" s="250">
        <v>2.7974026754599999</v>
      </c>
      <c r="E331" s="250"/>
      <c r="F331" s="250"/>
    </row>
    <row r="332" spans="1:6" hidden="1">
      <c r="A332" s="250" t="s">
        <v>711</v>
      </c>
      <c r="B332" s="250">
        <f>SUMIFS(Orcamento!$K$205:$K$349,Orcamento!$C$205:$C$349,Memoria_Insumos!$A332)</f>
        <v>0</v>
      </c>
      <c r="C332" s="250">
        <v>0.11194304772000001</v>
      </c>
      <c r="D332" s="250"/>
      <c r="E332" s="250"/>
      <c r="F332" s="250"/>
    </row>
    <row r="333" spans="1:6" hidden="1">
      <c r="A333" s="250" t="s">
        <v>712</v>
      </c>
      <c r="B333" s="250">
        <f>SUMIFS(Orcamento!$K$205:$K$349,Orcamento!$C$205:$C$349,Memoria_Insumos!$A333)</f>
        <v>0</v>
      </c>
      <c r="C333" s="250">
        <v>2.6223221008199999</v>
      </c>
      <c r="D333" s="250">
        <v>2.4510903499600003</v>
      </c>
      <c r="E333" s="250"/>
      <c r="F333" s="250"/>
    </row>
    <row r="334" spans="1:6" hidden="1">
      <c r="A334" s="250" t="s">
        <v>713</v>
      </c>
      <c r="B334" s="250">
        <f>SUMIFS(Orcamento!$K$205:$K$349,Orcamento!$C$205:$C$349,Memoria_Insumos!$A334)</f>
        <v>0</v>
      </c>
      <c r="C334" s="250">
        <v>0.11739160314000001</v>
      </c>
      <c r="D334" s="250"/>
      <c r="E334" s="250"/>
      <c r="F334" s="250"/>
    </row>
    <row r="335" spans="1:6" hidden="1">
      <c r="A335" s="250" t="s">
        <v>714</v>
      </c>
      <c r="B335" s="250">
        <f>SUMIFS(Orcamento!$K$205:$K$349,Orcamento!$C$205:$C$349,Memoria_Insumos!$A335)</f>
        <v>0</v>
      </c>
      <c r="C335" s="250">
        <v>2.8510192116599997</v>
      </c>
      <c r="D335" s="250">
        <v>2.6998340479599996</v>
      </c>
      <c r="E335" s="250"/>
      <c r="F335" s="250"/>
    </row>
    <row r="336" spans="1:6" hidden="1">
      <c r="A336" s="250" t="s">
        <v>715</v>
      </c>
      <c r="B336" s="250">
        <f>SUMIFS(Orcamento!$K$205:$K$349,Orcamento!$C$205:$C$349,Memoria_Insumos!$A336)</f>
        <v>0</v>
      </c>
      <c r="C336" s="250">
        <v>0.11194304772000001</v>
      </c>
      <c r="D336" s="250"/>
      <c r="E336" s="250"/>
      <c r="F336" s="250"/>
    </row>
    <row r="337" spans="1:6" hidden="1">
      <c r="A337" s="250" t="s">
        <v>716</v>
      </c>
      <c r="B337" s="250">
        <f>SUMIFS(Orcamento!$K$205:$K$349,Orcamento!$C$205:$C$349,Memoria_Insumos!$A337)</f>
        <v>0</v>
      </c>
      <c r="C337" s="250">
        <v>2.58932210082</v>
      </c>
      <c r="D337" s="250">
        <v>2.40227647621</v>
      </c>
      <c r="E337" s="250"/>
      <c r="F337" s="250"/>
    </row>
    <row r="338" spans="1:6" hidden="1">
      <c r="A338" s="250" t="s">
        <v>717</v>
      </c>
      <c r="B338" s="250">
        <f>SUMIFS(Orcamento!$K$205:$K$349,Orcamento!$C$205:$C$349,Memoria_Insumos!$A338)</f>
        <v>0</v>
      </c>
      <c r="C338" s="250">
        <v>0.10656525276000001</v>
      </c>
      <c r="D338" s="250"/>
      <c r="E338" s="250"/>
      <c r="F338" s="250"/>
    </row>
    <row r="339" spans="1:6" hidden="1">
      <c r="A339" s="250" t="s">
        <v>718</v>
      </c>
      <c r="B339" s="250">
        <f>SUMIFS(Orcamento!$K$205:$K$349,Orcamento!$C$205:$C$349,Memoria_Insumos!$A339)</f>
        <v>0</v>
      </c>
      <c r="C339" s="250">
        <v>2.3276249899800003</v>
      </c>
      <c r="D339" s="250">
        <v>2.1047189044600003</v>
      </c>
      <c r="E339" s="250"/>
      <c r="F339" s="250"/>
    </row>
    <row r="340" spans="1:6" hidden="1">
      <c r="A340" s="250" t="s">
        <v>719</v>
      </c>
      <c r="B340" s="250">
        <f>SUMIFS(Orcamento!$K$205:$K$349,Orcamento!$C$205:$C$349,Memoria_Insumos!$A340)</f>
        <v>0</v>
      </c>
      <c r="C340" s="250">
        <v>0.10111669734000001</v>
      </c>
      <c r="D340" s="250"/>
      <c r="E340" s="250"/>
      <c r="F340" s="250"/>
    </row>
    <row r="341" spans="1:6" hidden="1">
      <c r="A341" s="250" t="s">
        <v>720</v>
      </c>
      <c r="B341" s="250">
        <f>SUMIFS(Orcamento!$K$205:$K$349,Orcamento!$C$205:$C$349,Memoria_Insumos!$A341)</f>
        <v>0</v>
      </c>
      <c r="C341" s="250">
        <v>2.0659278791400002</v>
      </c>
      <c r="D341" s="250">
        <v>1.8071613327100002</v>
      </c>
      <c r="E341" s="250"/>
      <c r="F341" s="250"/>
    </row>
    <row r="342" spans="1:6" hidden="1">
      <c r="A342" s="250" t="s">
        <v>721</v>
      </c>
      <c r="B342" s="250">
        <f>SUMIFS(Orcamento!$K$205:$K$349,Orcamento!$C$205:$C$349,Memoria_Insumos!$A342)</f>
        <v>0</v>
      </c>
      <c r="C342" s="250">
        <v>0.11194304772000001</v>
      </c>
      <c r="D342" s="250"/>
      <c r="E342" s="250"/>
      <c r="F342" s="250"/>
    </row>
    <row r="343" spans="1:6" hidden="1">
      <c r="A343" s="250" t="s">
        <v>722</v>
      </c>
      <c r="B343" s="250">
        <f>SUMIFS(Orcamento!$K$205:$K$349,Orcamento!$C$205:$C$349,Memoria_Insumos!$A343)</f>
        <v>0</v>
      </c>
      <c r="C343" s="250">
        <v>2.4903221008199998</v>
      </c>
      <c r="D343" s="250">
        <v>2.2558939749600002</v>
      </c>
      <c r="E343" s="250"/>
      <c r="F343" s="250"/>
    </row>
    <row r="344" spans="1:6" hidden="1">
      <c r="A344" s="250" t="s">
        <v>723</v>
      </c>
      <c r="B344" s="250">
        <f>SUMIFS(Orcamento!$K$205:$K$349,Orcamento!$C$205:$C$349,Memoria_Insumos!$A344)</f>
        <v>0</v>
      </c>
      <c r="C344" s="250">
        <v>0.10656525276000001</v>
      </c>
      <c r="D344" s="250"/>
      <c r="E344" s="250"/>
      <c r="F344" s="250"/>
    </row>
    <row r="345" spans="1:6" hidden="1">
      <c r="A345" s="250" t="s">
        <v>724</v>
      </c>
      <c r="B345" s="250">
        <f>SUMIFS(Orcamento!$K$205:$K$349,Orcamento!$C$205:$C$349,Memoria_Insumos!$A345)</f>
        <v>0</v>
      </c>
      <c r="C345" s="250">
        <v>2.2616249899799996</v>
      </c>
      <c r="D345" s="250">
        <v>2.00715027696</v>
      </c>
      <c r="E345" s="250"/>
      <c r="F345" s="250"/>
    </row>
    <row r="346" spans="1:6" hidden="1">
      <c r="A346" s="250" t="s">
        <v>725</v>
      </c>
      <c r="B346" s="250">
        <f>SUMIFS(Orcamento!$K$205:$K$349,Orcamento!$C$205:$C$349,Memoria_Insumos!$A346)</f>
        <v>0</v>
      </c>
      <c r="C346" s="250">
        <v>0.10111669734000001</v>
      </c>
      <c r="D346" s="250"/>
      <c r="E346" s="250"/>
      <c r="F346" s="250"/>
    </row>
    <row r="347" spans="1:6" hidden="1">
      <c r="A347" s="250" t="s">
        <v>726</v>
      </c>
      <c r="B347" s="250">
        <f>SUMIFS(Orcamento!$K$205:$K$349,Orcamento!$C$205:$C$349,Memoria_Insumos!$A347)</f>
        <v>0</v>
      </c>
      <c r="C347" s="250">
        <v>2.0329278791399998</v>
      </c>
      <c r="D347" s="250">
        <v>1.7584065789600001</v>
      </c>
      <c r="E347" s="250"/>
      <c r="F347" s="250"/>
    </row>
    <row r="348" spans="1:6" hidden="1">
      <c r="A348" s="250" t="s">
        <v>727</v>
      </c>
      <c r="B348" s="250">
        <f>SUMIFS(Orcamento!$K$205:$K$349,Orcamento!$C$205:$C$349,Memoria_Insumos!$A348)</f>
        <v>0</v>
      </c>
      <c r="C348" s="250">
        <v>9.5668141920000005E-2</v>
      </c>
      <c r="D348" s="250"/>
      <c r="E348" s="250"/>
      <c r="F348" s="250"/>
    </row>
    <row r="349" spans="1:6" hidden="1">
      <c r="A349" s="250" t="s">
        <v>728</v>
      </c>
      <c r="B349" s="250">
        <f>SUMIFS(Orcamento!$K$205:$K$349,Orcamento!$C$205:$C$349,Memoria_Insumos!$A349)</f>
        <v>0</v>
      </c>
      <c r="C349" s="250">
        <v>1.8042307683000001</v>
      </c>
      <c r="D349" s="250">
        <v>1.5096037609600002</v>
      </c>
      <c r="E349" s="250"/>
      <c r="F349" s="250"/>
    </row>
    <row r="350" spans="1:6" hidden="1">
      <c r="A350" s="250" t="s">
        <v>729</v>
      </c>
      <c r="B350" s="250">
        <f>SUMIFS(Orcamento!$K$205:$K$349,Orcamento!$C$205:$C$349,Memoria_Insumos!$A350)</f>
        <v>0</v>
      </c>
      <c r="C350" s="250">
        <v>9.0219586500000004E-2</v>
      </c>
      <c r="D350" s="250"/>
      <c r="E350" s="250"/>
      <c r="F350" s="250"/>
    </row>
    <row r="351" spans="1:6" hidden="1">
      <c r="A351" s="250" t="s">
        <v>730</v>
      </c>
      <c r="B351" s="250">
        <f>SUMIFS(Orcamento!$K$205:$K$349,Orcamento!$C$205:$C$349,Memoria_Insumos!$A351)</f>
        <v>0</v>
      </c>
      <c r="C351" s="250">
        <v>1.5756044179200002</v>
      </c>
      <c r="D351" s="250">
        <v>1.26086006296</v>
      </c>
      <c r="E351" s="250"/>
      <c r="F351" s="250"/>
    </row>
    <row r="352" spans="1:6" hidden="1">
      <c r="A352" s="250" t="s">
        <v>731</v>
      </c>
      <c r="B352" s="250">
        <f>SUMIFS(Orcamento!$K$205:$K$349,Orcamento!$C$205:$C$349,Memoria_Insumos!$A352)</f>
        <v>0</v>
      </c>
      <c r="C352" s="250">
        <v>0.10656525276000001</v>
      </c>
      <c r="D352" s="250"/>
      <c r="E352" s="250"/>
      <c r="F352" s="250"/>
    </row>
    <row r="353" spans="1:6" hidden="1">
      <c r="A353" s="250" t="s">
        <v>732</v>
      </c>
      <c r="B353" s="250">
        <f>SUMIFS(Orcamento!$K$205:$K$349,Orcamento!$C$205:$C$349,Memoria_Insumos!$A353)</f>
        <v>0</v>
      </c>
      <c r="C353" s="250">
        <v>2.1296249899799999</v>
      </c>
      <c r="D353" s="250">
        <v>1.8119539019599999</v>
      </c>
      <c r="E353" s="250"/>
      <c r="F353" s="250"/>
    </row>
    <row r="354" spans="1:6" hidden="1">
      <c r="A354" s="250" t="s">
        <v>733</v>
      </c>
      <c r="B354" s="250">
        <f>SUMIFS(Orcamento!$K$205:$K$349,Orcamento!$C$205:$C$349,Memoria_Insumos!$A354)</f>
        <v>0</v>
      </c>
      <c r="C354" s="250">
        <v>0.10111669734000001</v>
      </c>
      <c r="D354" s="250"/>
      <c r="E354" s="250"/>
      <c r="F354" s="250"/>
    </row>
    <row r="355" spans="1:6" hidden="1">
      <c r="A355" s="250" t="s">
        <v>734</v>
      </c>
      <c r="B355" s="250">
        <f>SUMIFS(Orcamento!$K$205:$K$349,Orcamento!$C$205:$C$349,Memoria_Insumos!$A355)</f>
        <v>0</v>
      </c>
      <c r="C355" s="250">
        <v>1.9339278791400001</v>
      </c>
      <c r="D355" s="250">
        <v>1.6120240777100001</v>
      </c>
      <c r="E355" s="250"/>
      <c r="F355" s="250"/>
    </row>
    <row r="356" spans="1:6" hidden="1">
      <c r="A356" s="250" t="s">
        <v>735</v>
      </c>
      <c r="B356" s="250">
        <f>SUMIFS(Orcamento!$K$205:$K$349,Orcamento!$C$205:$C$349,Memoria_Insumos!$A356)</f>
        <v>0</v>
      </c>
      <c r="C356" s="250">
        <v>9.5668141920000005E-2</v>
      </c>
      <c r="D356" s="250"/>
      <c r="E356" s="250"/>
      <c r="F356" s="250"/>
    </row>
    <row r="357" spans="1:6" hidden="1">
      <c r="A357" s="250" t="s">
        <v>736</v>
      </c>
      <c r="B357" s="250">
        <f>SUMIFS(Orcamento!$K$205:$K$349,Orcamento!$C$205:$C$349,Memoria_Insumos!$A357)</f>
        <v>0</v>
      </c>
      <c r="C357" s="250">
        <v>1.7382307683</v>
      </c>
      <c r="D357" s="250">
        <v>1.4120351334599999</v>
      </c>
      <c r="E357" s="250"/>
      <c r="F357" s="250"/>
    </row>
    <row r="358" spans="1:6" hidden="1">
      <c r="A358" s="250" t="s">
        <v>737</v>
      </c>
      <c r="B358" s="250">
        <f>SUMIFS(Orcamento!$K$205:$K$349,Orcamento!$C$205:$C$349,Memoria_Insumos!$A358)</f>
        <v>0</v>
      </c>
      <c r="C358" s="250">
        <v>9.0219586500000004E-2</v>
      </c>
      <c r="D358" s="250"/>
      <c r="E358" s="250"/>
      <c r="F358" s="250"/>
    </row>
    <row r="359" spans="1:6" hidden="1">
      <c r="A359" s="250" t="s">
        <v>738</v>
      </c>
      <c r="B359" s="250">
        <f>SUMIFS(Orcamento!$K$205:$K$349,Orcamento!$C$205:$C$349,Memoria_Insumos!$A359)</f>
        <v>0</v>
      </c>
      <c r="C359" s="250">
        <v>1.54260441792</v>
      </c>
      <c r="D359" s="250">
        <v>1.2120461892100001</v>
      </c>
      <c r="E359" s="250"/>
      <c r="F359" s="250"/>
    </row>
    <row r="360" spans="1:6" hidden="1">
      <c r="A360" s="250" t="s">
        <v>739</v>
      </c>
      <c r="B360" s="250">
        <f>SUMIFS(Orcamento!$K$205:$K$349,Orcamento!$C$205:$C$349,Memoria_Insumos!$A360)</f>
        <v>0</v>
      </c>
      <c r="C360" s="250">
        <v>8.4771031080000003E-2</v>
      </c>
      <c r="D360" s="250"/>
      <c r="E360" s="250"/>
      <c r="F360" s="250"/>
    </row>
    <row r="361" spans="1:6" hidden="1">
      <c r="A361" s="250" t="s">
        <v>740</v>
      </c>
      <c r="B361" s="250">
        <f>SUMIFS(Orcamento!$K$205:$K$349,Orcamento!$C$205:$C$349,Memoria_Insumos!$A361)</f>
        <v>0</v>
      </c>
      <c r="C361" s="250">
        <v>1.3469073070800002</v>
      </c>
      <c r="D361" s="250">
        <v>1.0120572449599998</v>
      </c>
      <c r="E361" s="250"/>
      <c r="F361" s="250"/>
    </row>
    <row r="362" spans="1:6" hidden="1">
      <c r="A362" s="250" t="s">
        <v>741</v>
      </c>
      <c r="B362" s="250">
        <f>SUMIFS(Orcamento!$K$205:$K$349,Orcamento!$C$205:$C$349,Memoria_Insumos!$A362)</f>
        <v>0</v>
      </c>
      <c r="C362" s="250">
        <v>7.9322475660000002E-2</v>
      </c>
      <c r="D362" s="250"/>
      <c r="E362" s="250"/>
      <c r="F362" s="250"/>
    </row>
    <row r="363" spans="1:6" hidden="1">
      <c r="A363" s="250" t="s">
        <v>742</v>
      </c>
      <c r="B363" s="250">
        <f>SUMIFS(Orcamento!$K$205:$K$349,Orcamento!$C$205:$C$349,Memoria_Insumos!$A363)</f>
        <v>0</v>
      </c>
      <c r="C363" s="250">
        <v>1.1512101962400001</v>
      </c>
      <c r="D363" s="250">
        <v>0.81212742070999999</v>
      </c>
      <c r="E363" s="250"/>
      <c r="F363" s="250"/>
    </row>
    <row r="364" spans="1:6" hidden="1">
      <c r="A364" s="250" t="s">
        <v>743</v>
      </c>
      <c r="B364" s="250">
        <f>SUMIFS(Orcamento!$K$205:$K$349,Orcamento!$C$205:$C$349,Memoria_Insumos!$A364)</f>
        <v>0</v>
      </c>
      <c r="C364" s="250">
        <v>0.10111669734000001</v>
      </c>
      <c r="D364" s="250"/>
      <c r="E364" s="250"/>
      <c r="F364" s="250"/>
    </row>
    <row r="365" spans="1:6" hidden="1">
      <c r="A365" s="250" t="s">
        <v>744</v>
      </c>
      <c r="B365" s="250">
        <f>SUMIFS(Orcamento!$K$205:$K$349,Orcamento!$C$205:$C$349,Memoria_Insumos!$A365)</f>
        <v>0</v>
      </c>
      <c r="C365" s="250">
        <v>1.76892787914</v>
      </c>
      <c r="D365" s="250">
        <v>1.3680729489600001</v>
      </c>
      <c r="E365" s="250"/>
      <c r="F365" s="250"/>
    </row>
    <row r="366" spans="1:6" hidden="1">
      <c r="A366" s="250" t="s">
        <v>745</v>
      </c>
      <c r="B366" s="250">
        <f>SUMIFS(Orcamento!$K$205:$K$349,Orcamento!$C$205:$C$349,Memoria_Insumos!$A366)</f>
        <v>0</v>
      </c>
      <c r="C366" s="250">
        <v>9.5668141920000005E-2</v>
      </c>
      <c r="D366" s="250"/>
      <c r="E366" s="250"/>
      <c r="F366" s="250"/>
    </row>
    <row r="367" spans="1:6" hidden="1">
      <c r="A367" s="250" t="s">
        <v>746</v>
      </c>
      <c r="B367" s="250">
        <f>SUMIFS(Orcamento!$K$205:$K$349,Orcamento!$C$205:$C$349,Memoria_Insumos!$A367)</f>
        <v>0</v>
      </c>
      <c r="C367" s="250">
        <v>9.0219586500000004E-2</v>
      </c>
      <c r="D367" s="250"/>
      <c r="E367" s="250"/>
      <c r="F367" s="250"/>
    </row>
    <row r="368" spans="1:6" hidden="1">
      <c r="A368" s="250" t="s">
        <v>747</v>
      </c>
      <c r="B368" s="250">
        <f>SUMIFS(Orcamento!$K$205:$K$349,Orcamento!$C$205:$C$349,Memoria_Insumos!$A368)</f>
        <v>0</v>
      </c>
      <c r="C368" s="250">
        <v>1.44360441792</v>
      </c>
      <c r="D368" s="250">
        <v>1.0656636879600001</v>
      </c>
      <c r="E368" s="250"/>
      <c r="F368" s="250"/>
    </row>
    <row r="369" spans="1:6" hidden="1">
      <c r="A369" s="250" t="s">
        <v>748</v>
      </c>
      <c r="B369" s="250">
        <f>SUMIFS(Orcamento!$K$205:$K$349,Orcamento!$C$205:$C$349,Memoria_Insumos!$A369)</f>
        <v>0</v>
      </c>
      <c r="C369" s="250">
        <v>8.4771031080000003E-2</v>
      </c>
      <c r="D369" s="250"/>
      <c r="E369" s="250"/>
      <c r="F369" s="250"/>
    </row>
    <row r="370" spans="1:6" hidden="1">
      <c r="A370" s="250" t="s">
        <v>749</v>
      </c>
      <c r="B370" s="250">
        <f>SUMIFS(Orcamento!$K$205:$K$349,Orcamento!$C$205:$C$349,Memoria_Insumos!$A370)</f>
        <v>0</v>
      </c>
      <c r="C370" s="250">
        <v>7.9322475660000002E-2</v>
      </c>
      <c r="D370" s="250"/>
      <c r="E370" s="250"/>
      <c r="F370" s="250"/>
    </row>
    <row r="371" spans="1:6" hidden="1">
      <c r="A371" s="250" t="s">
        <v>750</v>
      </c>
      <c r="B371" s="250">
        <f>SUMIFS(Orcamento!$K$205:$K$349,Orcamento!$C$205:$C$349,Memoria_Insumos!$A371)</f>
        <v>0</v>
      </c>
      <c r="C371" s="250">
        <v>7.3873920240000002E-2</v>
      </c>
      <c r="D371" s="250"/>
      <c r="E371" s="250"/>
      <c r="F371" s="250"/>
    </row>
    <row r="372" spans="1:6" hidden="1">
      <c r="A372" s="250" t="s">
        <v>751</v>
      </c>
      <c r="B372" s="250">
        <f>SUMIFS(Orcamento!$K$205:$K$349,Orcamento!$C$205:$C$349,Memoria_Insumos!$A372)</f>
        <v>0</v>
      </c>
      <c r="C372" s="250">
        <v>0.95551308539999991</v>
      </c>
      <c r="D372" s="250">
        <v>0.61213847645999997</v>
      </c>
      <c r="E372" s="250"/>
      <c r="F372" s="250"/>
    </row>
    <row r="373" spans="1:6" hidden="1">
      <c r="A373" s="250" t="s">
        <v>752</v>
      </c>
      <c r="B373" s="250">
        <f>SUMIFS(Orcamento!$K$205:$K$349,Orcamento!$C$205:$C$349,Memoria_Insumos!$A373)</f>
        <v>0</v>
      </c>
      <c r="C373" s="250">
        <v>6.8425364820000001E-2</v>
      </c>
      <c r="D373" s="250"/>
      <c r="E373" s="250"/>
      <c r="F373" s="250"/>
    </row>
    <row r="374" spans="1:6" hidden="1">
      <c r="A374" s="250" t="s">
        <v>753</v>
      </c>
      <c r="B374" s="250">
        <f>SUMIFS(Orcamento!$K$205:$K$349,Orcamento!$C$205:$C$349,Memoria_Insumos!$A374)</f>
        <v>0</v>
      </c>
      <c r="C374" s="250">
        <v>0.79281597455999997</v>
      </c>
      <c r="D374" s="250">
        <v>0.46096340596000002</v>
      </c>
      <c r="E374" s="250"/>
      <c r="F374" s="250"/>
    </row>
    <row r="375" spans="1:6" hidden="1">
      <c r="A375" s="250" t="s">
        <v>754</v>
      </c>
      <c r="B375" s="250">
        <f>SUMIFS(Orcamento!$K$205:$K$349,Orcamento!$C$205:$C$349,Memoria_Insumos!$A375)</f>
        <v>0</v>
      </c>
      <c r="C375" s="250">
        <v>3.332817666E-2</v>
      </c>
      <c r="D375" s="250"/>
      <c r="E375" s="250"/>
      <c r="F375" s="250"/>
    </row>
    <row r="376" spans="1:6" hidden="1">
      <c r="A376" s="250" t="s">
        <v>755</v>
      </c>
      <c r="B376" s="250">
        <f>SUMIFS(Orcamento!$K$205:$K$349,Orcamento!$C$205:$C$349,Memoria_Insumos!$A376)</f>
        <v>0</v>
      </c>
      <c r="C376" s="250">
        <v>0.87944635331999998</v>
      </c>
      <c r="D376" s="250">
        <v>0.63530317148999993</v>
      </c>
      <c r="E376" s="250"/>
      <c r="F376" s="250"/>
    </row>
    <row r="377" spans="1:6" hidden="1">
      <c r="A377" s="250" t="s">
        <v>756</v>
      </c>
      <c r="B377" s="250">
        <f>SUMIFS(Orcamento!$K$205:$K$349,Orcamento!$C$205:$C$349,Memoria_Insumos!$A377)</f>
        <v>0</v>
      </c>
      <c r="C377" s="250">
        <v>2.6676693420000001E-2</v>
      </c>
      <c r="D377" s="250"/>
      <c r="E377" s="250"/>
      <c r="F377" s="250"/>
    </row>
    <row r="378" spans="1:6" hidden="1">
      <c r="A378" s="250" t="s">
        <v>757</v>
      </c>
      <c r="B378" s="250">
        <f>SUMIFS(Orcamento!$K$205:$K$349,Orcamento!$C$205:$C$349,Memoria_Insumos!$A378)</f>
        <v>0</v>
      </c>
      <c r="C378" s="250">
        <v>0.70125338684000005</v>
      </c>
      <c r="D378" s="250">
        <v>0.46061109151999996</v>
      </c>
      <c r="E378" s="250"/>
      <c r="F378" s="250"/>
    </row>
    <row r="379" spans="1:6" hidden="1">
      <c r="A379" s="250" t="s">
        <v>758</v>
      </c>
      <c r="B379" s="250">
        <f>SUMIFS(Orcamento!$K$205:$K$349,Orcamento!$C$205:$C$349,Memoria_Insumos!$A379)</f>
        <v>0</v>
      </c>
      <c r="C379" s="250">
        <v>2.221878444E-2</v>
      </c>
      <c r="D379" s="250"/>
      <c r="E379" s="250"/>
      <c r="F379" s="250"/>
    </row>
    <row r="380" spans="1:6" hidden="1">
      <c r="A380" s="250" t="s">
        <v>759</v>
      </c>
      <c r="B380" s="250">
        <f>SUMIFS(Orcamento!$K$205:$K$349,Orcamento!$C$205:$C$349,Memoria_Insumos!$A380)</f>
        <v>0</v>
      </c>
      <c r="C380" s="250">
        <v>1.7760875459999999E-2</v>
      </c>
      <c r="D380" s="250"/>
      <c r="E380" s="250"/>
      <c r="F380" s="250"/>
    </row>
    <row r="381" spans="1:6" hidden="1">
      <c r="A381" s="250" t="s">
        <v>760</v>
      </c>
      <c r="B381" s="250">
        <f>SUMIFS(Orcamento!$K$205:$K$349,Orcamento!$C$205:$C$349,Memoria_Insumos!$A381)</f>
        <v>0</v>
      </c>
      <c r="C381" s="250">
        <v>0.49275251137999998</v>
      </c>
      <c r="D381" s="250">
        <v>0.27061986232000002</v>
      </c>
      <c r="E381" s="250"/>
      <c r="F381" s="250"/>
    </row>
    <row r="382" spans="1:6" hidden="1">
      <c r="A382" s="250" t="s">
        <v>761</v>
      </c>
      <c r="B382" s="250">
        <f>SUMIFS(Orcamento!$K$205:$K$349,Orcamento!$C$205:$C$349,Memoria_Insumos!$A382)</f>
        <v>0</v>
      </c>
      <c r="C382" s="250">
        <v>0.45672000000000001</v>
      </c>
      <c r="D382" s="250">
        <v>6.2921832000000011E-2</v>
      </c>
      <c r="E382" s="250"/>
      <c r="F382" s="250"/>
    </row>
    <row r="383" spans="1:6" hidden="1">
      <c r="A383" s="250" t="s">
        <v>762</v>
      </c>
      <c r="B383" s="250">
        <f>SUMIFS(Orcamento!$K$205:$K$349,Orcamento!$C$205:$C$349,Memoria_Insumos!$A383)</f>
        <v>0</v>
      </c>
      <c r="C383" s="250">
        <v>0.40089669342000001</v>
      </c>
      <c r="D383" s="250">
        <v>0.14471934400000003</v>
      </c>
      <c r="E383" s="250"/>
      <c r="F383" s="250"/>
    </row>
    <row r="384" spans="1:6" hidden="1">
      <c r="A384" s="250" t="s">
        <v>763</v>
      </c>
      <c r="B384" s="250">
        <f>SUMIFS(Orcamento!$K$205:$K$349,Orcamento!$C$205:$C$349,Memoria_Insumos!$A384)</f>
        <v>0</v>
      </c>
      <c r="C384" s="250">
        <v>0.40089669342000001</v>
      </c>
      <c r="D384" s="250">
        <v>0.14471934400000003</v>
      </c>
      <c r="E384" s="250"/>
      <c r="F384" s="250"/>
    </row>
    <row r="385" spans="1:6" hidden="1">
      <c r="A385" s="250" t="s">
        <v>764</v>
      </c>
      <c r="B385" s="250">
        <f>SUMIFS(Orcamento!$K$205:$K$349,Orcamento!$C$205:$C$349,Memoria_Insumos!$A385)</f>
        <v>0</v>
      </c>
      <c r="C385" s="250">
        <v>0.27884999999999999</v>
      </c>
      <c r="D385" s="250">
        <v>1.5837744000000001E-2</v>
      </c>
      <c r="E385" s="250"/>
      <c r="F385" s="250"/>
    </row>
    <row r="386" spans="1:6" hidden="1">
      <c r="A386" s="250" t="s">
        <v>765</v>
      </c>
      <c r="B386" s="250">
        <f>SUMIFS(Orcamento!$K$205:$K$349,Orcamento!$C$205:$C$349,Memoria_Insumos!$A386)</f>
        <v>0</v>
      </c>
      <c r="C386" s="250">
        <v>0.27884999999999999</v>
      </c>
      <c r="D386" s="250">
        <v>1.5837744000000001E-2</v>
      </c>
      <c r="E386" s="250"/>
      <c r="F386" s="250"/>
    </row>
    <row r="387" spans="1:6" hidden="1">
      <c r="A387" s="250" t="s">
        <v>766</v>
      </c>
      <c r="B387" s="250">
        <f>SUMIFS(Orcamento!$K$205:$K$349,Orcamento!$C$205:$C$349,Memoria_Insumos!$A387)</f>
        <v>0</v>
      </c>
      <c r="C387" s="250">
        <v>0.12192027258</v>
      </c>
      <c r="D387" s="250">
        <v>0.43986588800000004</v>
      </c>
      <c r="E387" s="250"/>
      <c r="F387" s="250"/>
    </row>
    <row r="388" spans="1:6" hidden="1">
      <c r="A388" s="250" t="s">
        <v>767</v>
      </c>
      <c r="B388" s="250">
        <f>SUMIFS(Orcamento!$K$205:$K$349,Orcamento!$C$205:$C$349,Memoria_Insumos!$A388)</f>
        <v>0</v>
      </c>
      <c r="C388" s="250">
        <v>7.9959319799999998E-2</v>
      </c>
      <c r="D388" s="250">
        <v>0.20745654400000002</v>
      </c>
      <c r="E388" s="250"/>
      <c r="F388" s="250"/>
    </row>
    <row r="389" spans="1:6" hidden="1">
      <c r="A389" s="250" t="s">
        <v>768</v>
      </c>
      <c r="B389" s="250">
        <f>SUMIFS(Orcamento!$K$205:$K$349,Orcamento!$C$205:$C$349,Memoria_Insumos!$A389)</f>
        <v>0</v>
      </c>
      <c r="C389" s="250">
        <v>0.11194304772000001</v>
      </c>
      <c r="D389" s="250">
        <v>0.289163328</v>
      </c>
      <c r="E389" s="250"/>
      <c r="F389" s="250"/>
    </row>
    <row r="390" spans="1:6" hidden="1">
      <c r="A390" s="250" t="s">
        <v>769</v>
      </c>
      <c r="B390" s="250">
        <f>SUMIFS(Orcamento!$K$205:$K$349,Orcamento!$C$205:$C$349,Memoria_Insumos!$A390)</f>
        <v>0</v>
      </c>
      <c r="C390" s="250">
        <v>6.4675060440000001E-2</v>
      </c>
      <c r="D390" s="250">
        <v>0.14005974400000001</v>
      </c>
      <c r="E390" s="250"/>
      <c r="F390" s="250"/>
    </row>
    <row r="391" spans="1:6" hidden="1">
      <c r="A391" s="250" t="s">
        <v>770</v>
      </c>
      <c r="B391" s="250">
        <f>SUMIFS(Orcamento!$K$205:$K$349,Orcamento!$C$205:$C$349,Memoria_Insumos!$A391)</f>
        <v>0</v>
      </c>
      <c r="C391" s="250">
        <v>0.10451319941999999</v>
      </c>
      <c r="D391" s="250">
        <v>0.18647016000000002</v>
      </c>
      <c r="E391" s="250"/>
      <c r="F391" s="250"/>
    </row>
    <row r="392" spans="1:6" hidden="1">
      <c r="A392" s="250" t="s">
        <v>771</v>
      </c>
      <c r="B392" s="250">
        <f>SUMIFS(Orcamento!$K$205:$K$349,Orcamento!$C$205:$C$349,Memoria_Insumos!$A392)</f>
        <v>0</v>
      </c>
      <c r="C392" s="250">
        <v>4.1394869100000002E-2</v>
      </c>
      <c r="D392" s="250">
        <v>8.6610800000000002E-2</v>
      </c>
      <c r="E392" s="250"/>
      <c r="F392" s="250"/>
    </row>
    <row r="393" spans="1:6" hidden="1">
      <c r="A393" s="250" t="s">
        <v>772</v>
      </c>
      <c r="B393" s="250">
        <f>SUMIFS(Orcamento!$K$205:$K$349,Orcamento!$C$205:$C$349,Memoria_Insumos!$A393)</f>
        <v>0</v>
      </c>
      <c r="C393" s="250">
        <v>0.11038631760000001</v>
      </c>
      <c r="D393" s="250">
        <v>0.43986588800000004</v>
      </c>
      <c r="E393" s="250"/>
      <c r="F393" s="250"/>
    </row>
    <row r="394" spans="1:6" hidden="1">
      <c r="A394" s="250" t="s">
        <v>773</v>
      </c>
      <c r="B394" s="250">
        <f>SUMIFS(Orcamento!$K$205:$K$349,Orcamento!$C$205:$C$349,Memoria_Insumos!$A394)</f>
        <v>0</v>
      </c>
      <c r="C394" s="250">
        <v>7.6421296799999996E-2</v>
      </c>
      <c r="D394" s="250">
        <v>0.20745654400000002</v>
      </c>
      <c r="E394" s="250"/>
      <c r="F394" s="250"/>
    </row>
    <row r="395" spans="1:6" hidden="1">
      <c r="A395" s="250" t="s">
        <v>774</v>
      </c>
      <c r="B395" s="250">
        <f>SUMIFS(Orcamento!$K$205:$K$349,Orcamento!$C$205:$C$349,Memoria_Insumos!$A395)</f>
        <v>0</v>
      </c>
      <c r="C395" s="250">
        <v>9.0573388800000001E-2</v>
      </c>
      <c r="D395" s="250">
        <v>0.289163328</v>
      </c>
      <c r="E395" s="250"/>
      <c r="F395" s="250"/>
    </row>
    <row r="396" spans="1:6" hidden="1">
      <c r="A396" s="250" t="s">
        <v>775</v>
      </c>
      <c r="B396" s="250">
        <f>SUMIFS(Orcamento!$K$205:$K$349,Orcamento!$C$205:$C$349,Memoria_Insumos!$A396)</f>
        <v>0</v>
      </c>
      <c r="C396" s="250">
        <v>5.6608367999999999E-2</v>
      </c>
      <c r="D396" s="250">
        <v>0.14005974400000001</v>
      </c>
      <c r="E396" s="250"/>
      <c r="F396" s="250"/>
    </row>
    <row r="397" spans="1:6" hidden="1">
      <c r="A397" s="250" t="s">
        <v>776</v>
      </c>
      <c r="B397" s="250">
        <f>SUMIFS(Orcamento!$K$205:$K$349,Orcamento!$C$205:$C$349,Memoria_Insumos!$A397)</f>
        <v>0</v>
      </c>
      <c r="C397" s="250">
        <v>8.7742970399999995E-2</v>
      </c>
      <c r="D397" s="250">
        <v>0.18647016000000002</v>
      </c>
      <c r="E397" s="250"/>
      <c r="F397" s="250"/>
    </row>
    <row r="398" spans="1:6" hidden="1">
      <c r="A398" s="250" t="s">
        <v>777</v>
      </c>
      <c r="B398" s="250">
        <f>SUMIFS(Orcamento!$K$205:$K$349,Orcamento!$C$205:$C$349,Memoria_Insumos!$A398)</f>
        <v>0</v>
      </c>
      <c r="C398" s="250">
        <v>5.37779496E-2</v>
      </c>
      <c r="D398" s="250">
        <v>8.6610800000000002E-2</v>
      </c>
      <c r="E398" s="250"/>
      <c r="F398" s="250"/>
    </row>
    <row r="399" spans="1:6" hidden="1">
      <c r="A399" s="250" t="s">
        <v>778</v>
      </c>
      <c r="B399" s="250">
        <f>SUMIFS(Orcamento!$K$205:$K$349,Orcamento!$C$205:$C$349,Memoria_Insumos!$A399)</f>
        <v>0</v>
      </c>
      <c r="C399" s="250"/>
      <c r="D399" s="250">
        <v>0.61722195713999994</v>
      </c>
      <c r="E399" s="250"/>
      <c r="F399" s="250"/>
    </row>
    <row r="400" spans="1:6" hidden="1">
      <c r="A400" s="250" t="s">
        <v>779</v>
      </c>
      <c r="B400" s="250">
        <f>SUMIFS(Orcamento!$K$205:$K$349,Orcamento!$C$205:$C$349,Memoria_Insumos!$A400)</f>
        <v>0</v>
      </c>
      <c r="C400" s="250"/>
      <c r="D400" s="250">
        <v>3.4424016000000002E-2</v>
      </c>
      <c r="E400" s="250"/>
      <c r="F400" s="250"/>
    </row>
    <row r="401" spans="1:6" hidden="1">
      <c r="A401" s="250" t="s">
        <v>780</v>
      </c>
      <c r="B401" s="250">
        <f>SUMIFS(Orcamento!$K$205:$K$349,Orcamento!$C$205:$C$349,Memoria_Insumos!$A401)</f>
        <v>0</v>
      </c>
      <c r="C401" s="250"/>
      <c r="D401" s="250">
        <v>0.52959718913999998</v>
      </c>
      <c r="E401" s="250"/>
      <c r="F401" s="250"/>
    </row>
    <row r="402" spans="1:6" hidden="1">
      <c r="A402" s="250" t="s">
        <v>781</v>
      </c>
      <c r="B402" s="250">
        <f>SUMIFS(Orcamento!$K$205:$K$349,Orcamento!$C$205:$C$349,Memoria_Insumos!$A402)</f>
        <v>0</v>
      </c>
      <c r="C402" s="250"/>
      <c r="D402" s="250">
        <v>0.16492380847999999</v>
      </c>
      <c r="E402" s="250"/>
      <c r="F402" s="250"/>
    </row>
    <row r="403" spans="1:6" hidden="1">
      <c r="A403" s="250" t="s">
        <v>782</v>
      </c>
      <c r="B403" s="250">
        <f>SUMIFS(Orcamento!$K$205:$K$349,Orcamento!$C$205:$C$349,Memoria_Insumos!$A403)</f>
        <v>0</v>
      </c>
      <c r="C403" s="250"/>
      <c r="D403" s="250">
        <v>0.11854335999999999</v>
      </c>
      <c r="E403" s="250"/>
      <c r="F403" s="250"/>
    </row>
    <row r="404" spans="1:6" hidden="1">
      <c r="A404" s="250" t="s">
        <v>783</v>
      </c>
      <c r="B404" s="250">
        <f>SUMIFS(Orcamento!$K$205:$K$349,Orcamento!$C$205:$C$349,Memoria_Insumos!$A404)</f>
        <v>0</v>
      </c>
      <c r="C404" s="250"/>
      <c r="D404" s="250">
        <v>7.5848832000000005E-2</v>
      </c>
      <c r="E404" s="250"/>
      <c r="F404" s="250"/>
    </row>
    <row r="405" spans="1:6" hidden="1">
      <c r="A405" s="250" t="s">
        <v>784</v>
      </c>
      <c r="B405" s="250">
        <f>SUMIFS(Orcamento!$K$205:$K$349,Orcamento!$C$205:$C$349,Memoria_Insumos!$A405)</f>
        <v>0</v>
      </c>
      <c r="C405" s="250"/>
      <c r="D405" s="250">
        <v>4.2830607999999999E-2</v>
      </c>
      <c r="E405" s="250"/>
      <c r="F405" s="250"/>
    </row>
    <row r="406" spans="1:6" hidden="1">
      <c r="A406" s="250" t="s">
        <v>785</v>
      </c>
      <c r="B406" s="250">
        <f>SUMIFS(Orcamento!$K$205:$K$349,Orcamento!$C$205:$C$349,Memoria_Insumos!$A406)</f>
        <v>0</v>
      </c>
      <c r="C406" s="250"/>
      <c r="D406" s="250">
        <v>0.16492380847999999</v>
      </c>
      <c r="E406" s="250"/>
      <c r="F406" s="250"/>
    </row>
    <row r="407" spans="1:6" hidden="1">
      <c r="A407" s="250" t="s">
        <v>786</v>
      </c>
      <c r="B407" s="250">
        <f>SUMIFS(Orcamento!$K$205:$K$349,Orcamento!$C$205:$C$349,Memoria_Insumos!$A407)</f>
        <v>0</v>
      </c>
      <c r="C407" s="250"/>
      <c r="D407" s="250">
        <v>0.11854335999999999</v>
      </c>
      <c r="E407" s="250"/>
      <c r="F407" s="250"/>
    </row>
    <row r="408" spans="1:6" hidden="1">
      <c r="A408" s="250" t="s">
        <v>787</v>
      </c>
      <c r="B408" s="250">
        <f>SUMIFS(Orcamento!$K$205:$K$349,Orcamento!$C$205:$C$349,Memoria_Insumos!$A408)</f>
        <v>0</v>
      </c>
      <c r="C408" s="250"/>
      <c r="D408" s="250">
        <v>7.5848832000000005E-2</v>
      </c>
      <c r="E408" s="250"/>
      <c r="F408" s="250"/>
    </row>
    <row r="409" spans="1:6" hidden="1">
      <c r="A409" s="250" t="s">
        <v>788</v>
      </c>
      <c r="B409" s="250">
        <f>SUMIFS(Orcamento!$K$205:$K$349,Orcamento!$C$205:$C$349,Memoria_Insumos!$A409)</f>
        <v>0</v>
      </c>
      <c r="C409" s="250"/>
      <c r="D409" s="250">
        <v>4.2830607999999999E-2</v>
      </c>
      <c r="E409" s="250"/>
      <c r="F409" s="250"/>
    </row>
    <row r="410" spans="1:6" hidden="1">
      <c r="A410" s="250" t="s">
        <v>789</v>
      </c>
      <c r="B410" s="250">
        <f>SUMIFS(Orcamento!$K$205:$K$349,Orcamento!$C$205:$C$349,Memoria_Insumos!$A410)</f>
        <v>0</v>
      </c>
      <c r="C410" s="250"/>
      <c r="D410" s="250">
        <v>2.974512E-2</v>
      </c>
      <c r="E410" s="250"/>
      <c r="F410" s="250"/>
    </row>
    <row r="411" spans="1:6" hidden="1">
      <c r="A411" s="250" t="s">
        <v>790</v>
      </c>
      <c r="B411" s="250">
        <f>SUMIFS(Orcamento!$K$205:$K$349,Orcamento!$C$205:$C$349,Memoria_Insumos!$A411)</f>
        <v>0</v>
      </c>
      <c r="C411" s="250"/>
      <c r="D411" s="250">
        <v>4.0327307999999999E-2</v>
      </c>
      <c r="E411" s="250"/>
      <c r="F411" s="250"/>
    </row>
    <row r="412" spans="1:6" hidden="1">
      <c r="A412" s="250" t="s">
        <v>791</v>
      </c>
      <c r="B412" s="250">
        <f>SUMIFS(Orcamento!$K$205:$K$349,Orcamento!$C$205:$C$349,Memoria_Insumos!$A412)</f>
        <v>0</v>
      </c>
      <c r="C412" s="250">
        <v>0.18590000000000001</v>
      </c>
      <c r="D412" s="250">
        <v>6.589780848E-2</v>
      </c>
      <c r="E412" s="250"/>
      <c r="F412" s="250"/>
    </row>
    <row r="413" spans="1:6" hidden="1">
      <c r="A413" s="250" t="s">
        <v>792</v>
      </c>
      <c r="B413" s="250">
        <f>SUMIFS(Orcamento!$K$205:$K$349,Orcamento!$C$205:$C$349,Memoria_Insumos!$A413)</f>
        <v>0</v>
      </c>
      <c r="C413" s="250">
        <v>0.1331</v>
      </c>
      <c r="D413" s="250">
        <v>4.9786799999999999E-2</v>
      </c>
      <c r="E413" s="250"/>
      <c r="F413" s="250"/>
    </row>
    <row r="414" spans="1:6" hidden="1">
      <c r="A414" s="250" t="s">
        <v>793</v>
      </c>
      <c r="B414" s="250">
        <f>SUMIFS(Orcamento!$K$205:$K$349,Orcamento!$C$205:$C$349,Memoria_Insumos!$A414)</f>
        <v>0</v>
      </c>
      <c r="C414" s="250">
        <v>8.9099999999999999E-2</v>
      </c>
      <c r="D414" s="250">
        <v>3.1863552000000003E-2</v>
      </c>
      <c r="E414" s="250"/>
      <c r="F414" s="250"/>
    </row>
    <row r="415" spans="1:6" hidden="1">
      <c r="A415" s="250" t="s">
        <v>794</v>
      </c>
      <c r="B415" s="250">
        <f>SUMIFS(Orcamento!$K$205:$K$349,Orcamento!$C$205:$C$349,Memoria_Insumos!$A415)</f>
        <v>0</v>
      </c>
      <c r="C415" s="250">
        <v>5.3900000000000003E-2</v>
      </c>
      <c r="D415" s="250">
        <v>1.8059327999999999E-2</v>
      </c>
      <c r="E415" s="250"/>
      <c r="F415" s="250"/>
    </row>
    <row r="416" spans="1:6" hidden="1">
      <c r="A416" s="250" t="s">
        <v>795</v>
      </c>
      <c r="B416" s="250">
        <f>SUMIFS(Orcamento!$K$205:$K$349,Orcamento!$C$205:$C$349,Memoria_Insumos!$A416)</f>
        <v>0</v>
      </c>
      <c r="C416" s="250">
        <v>0.18590000000000001</v>
      </c>
      <c r="D416" s="250">
        <v>6.589780848E-2</v>
      </c>
      <c r="E416" s="250"/>
      <c r="F416" s="250"/>
    </row>
    <row r="417" spans="1:6" hidden="1">
      <c r="A417" s="250" t="s">
        <v>796</v>
      </c>
      <c r="B417" s="250">
        <f>SUMIFS(Orcamento!$K$205:$K$349,Orcamento!$C$205:$C$349,Memoria_Insumos!$A417)</f>
        <v>0</v>
      </c>
      <c r="C417" s="250">
        <v>0.1331</v>
      </c>
      <c r="D417" s="250">
        <v>4.9786799999999999E-2</v>
      </c>
      <c r="E417" s="250"/>
      <c r="F417" s="250"/>
    </row>
    <row r="418" spans="1:6" hidden="1">
      <c r="A418" s="250" t="s">
        <v>797</v>
      </c>
      <c r="B418" s="250">
        <f>SUMIFS(Orcamento!$K$205:$K$349,Orcamento!$C$205:$C$349,Memoria_Insumos!$A418)</f>
        <v>0</v>
      </c>
      <c r="C418" s="250">
        <v>8.9099999999999999E-2</v>
      </c>
      <c r="D418" s="250">
        <v>3.1863552000000003E-2</v>
      </c>
      <c r="E418" s="250"/>
      <c r="F418" s="250"/>
    </row>
    <row r="419" spans="1:6" hidden="1">
      <c r="A419" s="250" t="s">
        <v>798</v>
      </c>
      <c r="B419" s="250">
        <f>SUMIFS(Orcamento!$K$205:$K$349,Orcamento!$C$205:$C$349,Memoria_Insumos!$A419)</f>
        <v>0</v>
      </c>
      <c r="C419" s="250">
        <v>5.3900000000000003E-2</v>
      </c>
      <c r="D419" s="250">
        <v>1.8059327999999999E-2</v>
      </c>
      <c r="E419" s="250"/>
      <c r="F419" s="250"/>
    </row>
    <row r="420" spans="1:6" hidden="1">
      <c r="A420" s="250" t="s">
        <v>799</v>
      </c>
      <c r="B420" s="250">
        <f>SUMIFS(Orcamento!$K$205:$K$349,Orcamento!$C$205:$C$349,Memoria_Insumos!$A420)</f>
        <v>0</v>
      </c>
      <c r="C420" s="250">
        <v>3.9600000000000003E-2</v>
      </c>
      <c r="D420" s="250">
        <v>1.2541200000000001E-2</v>
      </c>
      <c r="E420" s="250"/>
      <c r="F420" s="250"/>
    </row>
    <row r="421" spans="1:6" hidden="1">
      <c r="A421" s="250" t="s">
        <v>800</v>
      </c>
      <c r="B421" s="250">
        <f>SUMIFS(Orcamento!$K$205:$K$349,Orcamento!$C$205:$C$349,Memoria_Insumos!$A421)</f>
        <v>0</v>
      </c>
      <c r="C421" s="250">
        <v>0.18590000000000001</v>
      </c>
      <c r="D421" s="250">
        <v>6.0242028000000003E-2</v>
      </c>
      <c r="E421" s="250"/>
      <c r="F421" s="250"/>
    </row>
    <row r="422" spans="1:6" hidden="1">
      <c r="A422" s="250" t="s">
        <v>801</v>
      </c>
      <c r="B422" s="250">
        <f>SUMIFS(Orcamento!$K$205:$K$349,Orcamento!$C$205:$C$349,Memoria_Insumos!$A422)</f>
        <v>0</v>
      </c>
      <c r="C422" s="250">
        <v>0.1331</v>
      </c>
      <c r="D422" s="250">
        <v>4.0327307999999999E-2</v>
      </c>
      <c r="E422" s="250"/>
      <c r="F422" s="250"/>
    </row>
    <row r="423" spans="1:6" hidden="1">
      <c r="A423" s="250" t="s">
        <v>802</v>
      </c>
      <c r="B423" s="250">
        <f>SUMIFS(Orcamento!$K$205:$K$349,Orcamento!$C$205:$C$349,Memoria_Insumos!$A423)</f>
        <v>0</v>
      </c>
      <c r="C423" s="250">
        <v>8.9099999999999999E-2</v>
      </c>
      <c r="D423" s="250">
        <v>2.3044176E-2</v>
      </c>
      <c r="E423" s="250"/>
      <c r="F423" s="250"/>
    </row>
    <row r="424" spans="1:6" hidden="1">
      <c r="A424" s="250" t="s">
        <v>803</v>
      </c>
      <c r="B424" s="250">
        <f>SUMIFS(Orcamento!$K$205:$K$349,Orcamento!$C$205:$C$349,Memoria_Insumos!$A424)</f>
        <v>0</v>
      </c>
      <c r="C424" s="250">
        <v>5.3900000000000003E-2</v>
      </c>
      <c r="D424" s="250">
        <v>1.0606272E-2</v>
      </c>
      <c r="E424" s="250"/>
      <c r="F424" s="250"/>
    </row>
    <row r="425" spans="1:6" hidden="1">
      <c r="A425" s="250" t="s">
        <v>804</v>
      </c>
      <c r="B425" s="250">
        <f>SUMIFS(Orcamento!$K$205:$K$349,Orcamento!$C$205:$C$349,Memoria_Insumos!$A425)</f>
        <v>0</v>
      </c>
      <c r="C425" s="250">
        <v>3.9600000000000003E-2</v>
      </c>
      <c r="D425" s="250">
        <v>6.5214239999999996E-3</v>
      </c>
      <c r="E425" s="250"/>
      <c r="F425" s="250"/>
    </row>
    <row r="426" spans="1:6" hidden="1">
      <c r="A426" s="250" t="s">
        <v>805</v>
      </c>
      <c r="B426" s="250">
        <f>SUMIFS(Orcamento!$K$205:$K$349,Orcamento!$C$205:$C$349,Memoria_Insumos!$A426)</f>
        <v>0</v>
      </c>
      <c r="C426" s="250"/>
      <c r="D426" s="250">
        <v>0.65374810000000005</v>
      </c>
      <c r="E426" s="250"/>
      <c r="F426" s="250"/>
    </row>
    <row r="427" spans="1:6" hidden="1">
      <c r="A427" s="250" t="s">
        <v>806</v>
      </c>
      <c r="B427" s="250">
        <f>SUMIFS(Orcamento!$K$205:$K$349,Orcamento!$C$205:$C$349,Memoria_Insumos!$A427)</f>
        <v>0</v>
      </c>
      <c r="C427" s="250"/>
      <c r="D427" s="250">
        <v>0.71123999999999998</v>
      </c>
      <c r="E427" s="250"/>
      <c r="F427" s="250"/>
    </row>
    <row r="428" spans="1:6" hidden="1">
      <c r="A428" s="250" t="s">
        <v>807</v>
      </c>
      <c r="B428" s="250">
        <f>SUMIFS(Orcamento!$K$205:$K$349,Orcamento!$C$205:$C$349,Memoria_Insumos!$A428)</f>
        <v>0</v>
      </c>
      <c r="C428" s="250"/>
      <c r="D428" s="250">
        <v>0.71664000000000005</v>
      </c>
      <c r="E428" s="250"/>
      <c r="F428" s="250"/>
    </row>
    <row r="429" spans="1:6" hidden="1">
      <c r="A429" s="250" t="s">
        <v>808</v>
      </c>
      <c r="B429" s="250">
        <f>SUMIFS(Orcamento!$K$205:$K$349,Orcamento!$C$205:$C$349,Memoria_Insumos!$A429)</f>
        <v>0</v>
      </c>
      <c r="C429" s="250"/>
      <c r="D429" s="250">
        <v>0.71123999999999998</v>
      </c>
      <c r="E429" s="250"/>
      <c r="F429" s="250"/>
    </row>
    <row r="430" spans="1:6" hidden="1">
      <c r="A430" s="250" t="s">
        <v>809</v>
      </c>
      <c r="B430" s="250">
        <f>SUMIFS(Orcamento!$K$205:$K$349,Orcamento!$C$205:$C$349,Memoria_Insumos!$A430)</f>
        <v>0</v>
      </c>
      <c r="C430" s="250"/>
      <c r="D430" s="250">
        <v>0.65374810000000005</v>
      </c>
      <c r="E430" s="250"/>
      <c r="F430" s="250"/>
    </row>
    <row r="431" spans="1:6" hidden="1">
      <c r="A431" s="250" t="s">
        <v>810</v>
      </c>
      <c r="B431" s="250">
        <f>SUMIFS(Orcamento!$K$205:$K$349,Orcamento!$C$205:$C$349,Memoria_Insumos!$A431)</f>
        <v>0</v>
      </c>
      <c r="C431" s="250"/>
      <c r="D431" s="250">
        <v>0.71123999999999998</v>
      </c>
      <c r="E431" s="250"/>
      <c r="F431" s="250"/>
    </row>
    <row r="432" spans="1:6" hidden="1">
      <c r="A432" s="250" t="s">
        <v>811</v>
      </c>
      <c r="B432" s="250">
        <f>SUMIFS(Orcamento!$K$205:$K$349,Orcamento!$C$205:$C$349,Memoria_Insumos!$A432)</f>
        <v>0</v>
      </c>
      <c r="C432" s="250"/>
      <c r="D432" s="250">
        <v>0.71664000000000005</v>
      </c>
      <c r="E432" s="250"/>
      <c r="F432" s="250"/>
    </row>
    <row r="433" spans="1:6" hidden="1">
      <c r="A433" s="250" t="s">
        <v>812</v>
      </c>
      <c r="B433" s="250">
        <f>SUMIFS(Orcamento!$K$205:$K$349,Orcamento!$C$205:$C$349,Memoria_Insumos!$A433)</f>
        <v>0</v>
      </c>
      <c r="C433" s="250"/>
      <c r="D433" s="250">
        <v>0.71664000000000005</v>
      </c>
      <c r="E433" s="250"/>
      <c r="F433" s="250"/>
    </row>
    <row r="434" spans="1:6" hidden="1">
      <c r="A434" s="250" t="s">
        <v>813</v>
      </c>
      <c r="B434" s="250">
        <f>SUMIFS(Orcamento!$K$205:$K$349,Orcamento!$C$205:$C$349,Memoria_Insumos!$A434)</f>
        <v>0</v>
      </c>
      <c r="C434" s="250"/>
      <c r="D434" s="250"/>
      <c r="E434" s="250">
        <v>0.11899999999999999</v>
      </c>
      <c r="F434" s="250"/>
    </row>
    <row r="435" spans="1:6" hidden="1">
      <c r="A435" s="250" t="s">
        <v>814</v>
      </c>
      <c r="B435" s="250">
        <f>SUMIFS(Orcamento!$K$205:$K$349,Orcamento!$C$205:$C$349,Memoria_Insumos!$A435)</f>
        <v>0</v>
      </c>
      <c r="C435" s="250"/>
      <c r="D435" s="250"/>
      <c r="E435" s="250">
        <v>0.11899999999999999</v>
      </c>
      <c r="F435" s="250"/>
    </row>
    <row r="436" spans="1:6" hidden="1">
      <c r="A436" s="250" t="s">
        <v>815</v>
      </c>
      <c r="B436" s="250">
        <f>SUMIFS(Orcamento!$K$205:$K$349,Orcamento!$C$205:$C$349,Memoria_Insumos!$A436)</f>
        <v>0</v>
      </c>
      <c r="C436" s="250"/>
      <c r="D436" s="250"/>
      <c r="E436" s="250">
        <v>0.11899999999999999</v>
      </c>
      <c r="F436" s="250"/>
    </row>
    <row r="437" spans="1:6" hidden="1">
      <c r="A437" s="250" t="s">
        <v>816</v>
      </c>
      <c r="B437" s="250">
        <f>SUMIFS(Orcamento!$K$205:$K$349,Orcamento!$C$205:$C$349,Memoria_Insumos!$A437)</f>
        <v>0</v>
      </c>
      <c r="C437" s="250"/>
      <c r="D437" s="250"/>
      <c r="E437" s="250">
        <v>1.19</v>
      </c>
      <c r="F437" s="250"/>
    </row>
    <row r="438" spans="1:6" hidden="1">
      <c r="A438" s="250" t="s">
        <v>817</v>
      </c>
      <c r="B438" s="250">
        <f>SUMIFS(Orcamento!$K$205:$K$349,Orcamento!$C$205:$C$349,Memoria_Insumos!$A438)</f>
        <v>0</v>
      </c>
      <c r="C438" s="250"/>
      <c r="D438" s="250"/>
      <c r="E438" s="250">
        <v>1.19</v>
      </c>
      <c r="F438" s="250"/>
    </row>
    <row r="439" spans="1:6" hidden="1">
      <c r="A439" s="250" t="s">
        <v>818</v>
      </c>
      <c r="B439" s="250">
        <f>SUMIFS(Orcamento!$K$205:$K$349,Orcamento!$C$205:$C$349,Memoria_Insumos!$A439)</f>
        <v>0</v>
      </c>
      <c r="C439" s="250"/>
      <c r="D439" s="250"/>
      <c r="E439" s="250">
        <v>1.38</v>
      </c>
      <c r="F439" s="250"/>
    </row>
    <row r="440" spans="1:6" hidden="1">
      <c r="A440" s="250" t="s">
        <v>819</v>
      </c>
      <c r="B440" s="250">
        <f>SUMIFS(Orcamento!$K$205:$K$349,Orcamento!$C$205:$C$349,Memoria_Insumos!$A440)</f>
        <v>0</v>
      </c>
      <c r="C440" s="250"/>
      <c r="D440" s="250"/>
      <c r="E440" s="250">
        <v>1.38</v>
      </c>
      <c r="F440" s="250"/>
    </row>
    <row r="441" spans="1:6" hidden="1">
      <c r="A441" s="250" t="s">
        <v>820</v>
      </c>
      <c r="B441" s="250">
        <f>SUMIFS(Orcamento!$K$205:$K$349,Orcamento!$C$205:$C$349,Memoria_Insumos!$A441)</f>
        <v>0</v>
      </c>
      <c r="C441" s="250"/>
      <c r="D441" s="250">
        <v>0.80329799999999996</v>
      </c>
      <c r="E441" s="250"/>
      <c r="F441" s="250"/>
    </row>
    <row r="442" spans="1:6" hidden="1">
      <c r="A442" s="250" t="s">
        <v>821</v>
      </c>
      <c r="B442" s="250">
        <f>SUMIFS(Orcamento!$K$205:$K$349,Orcamento!$C$205:$C$349,Memoria_Insumos!$A442)</f>
        <v>0</v>
      </c>
      <c r="C442" s="250"/>
      <c r="D442" s="250">
        <v>4.0164900000000003E-2</v>
      </c>
      <c r="E442" s="250"/>
      <c r="F442" s="250"/>
    </row>
    <row r="443" spans="1:6" hidden="1">
      <c r="A443" s="250" t="s">
        <v>822</v>
      </c>
      <c r="B443" s="250">
        <f>SUMIFS(Orcamento!$K$205:$K$349,Orcamento!$C$205:$C$349,Memoria_Insumos!$A443)</f>
        <v>0</v>
      </c>
      <c r="C443" s="250"/>
      <c r="D443" s="250">
        <v>1.9733190000000001E-2</v>
      </c>
      <c r="E443" s="250"/>
      <c r="F443" s="250"/>
    </row>
    <row r="444" spans="1:6" hidden="1">
      <c r="A444" s="250" t="s">
        <v>823</v>
      </c>
      <c r="B444" s="250">
        <f>SUMIFS(Orcamento!$K$205:$K$349,Orcamento!$C$205:$C$349,Memoria_Insumos!$A444)</f>
        <v>0</v>
      </c>
      <c r="C444" s="250"/>
      <c r="D444" s="250">
        <v>0.80329799999999996</v>
      </c>
      <c r="E444" s="250"/>
      <c r="F444" s="250"/>
    </row>
    <row r="445" spans="1:6" hidden="1">
      <c r="A445" s="250" t="s">
        <v>824</v>
      </c>
      <c r="B445" s="250">
        <f>SUMIFS(Orcamento!$K$205:$K$349,Orcamento!$C$205:$C$349,Memoria_Insumos!$A445)</f>
        <v>0</v>
      </c>
      <c r="C445" s="250"/>
      <c r="D445" s="250">
        <v>0.70531299999999997</v>
      </c>
      <c r="E445" s="250"/>
      <c r="F445" s="250"/>
    </row>
    <row r="446" spans="1:6" hidden="1">
      <c r="A446" s="250" t="s">
        <v>825</v>
      </c>
      <c r="B446" s="250">
        <f>SUMIFS(Orcamento!$K$205:$K$349,Orcamento!$C$205:$C$349,Memoria_Insumos!$A446)</f>
        <v>0</v>
      </c>
      <c r="C446" s="250"/>
      <c r="D446" s="250">
        <v>0.68753200000000003</v>
      </c>
      <c r="E446" s="250"/>
      <c r="F446" s="250"/>
    </row>
    <row r="447" spans="1:6" hidden="1">
      <c r="A447" s="250" t="s">
        <v>826</v>
      </c>
      <c r="B447" s="250">
        <f>SUMIFS(Orcamento!$K$205:$K$349,Orcamento!$C$205:$C$349,Memoria_Insumos!$A447)</f>
        <v>0</v>
      </c>
      <c r="C447" s="250"/>
      <c r="D447" s="250"/>
      <c r="E447" s="250"/>
      <c r="F447" s="250">
        <v>1.1000000000000001</v>
      </c>
    </row>
    <row r="448" spans="1:6" hidden="1">
      <c r="A448" s="250" t="s">
        <v>827</v>
      </c>
      <c r="B448" s="250">
        <f>SUMIFS(Orcamento!$K$205:$K$349,Orcamento!$C$205:$C$349,Memoria_Insumos!$A448)</f>
        <v>0</v>
      </c>
      <c r="C448" s="250"/>
      <c r="D448" s="250"/>
      <c r="E448" s="250"/>
      <c r="F448" s="250">
        <v>1.1000000000000001</v>
      </c>
    </row>
    <row r="449" spans="1:6" hidden="1">
      <c r="A449" s="250" t="s">
        <v>828</v>
      </c>
      <c r="B449" s="250">
        <f>SUMIFS(Orcamento!$K$205:$K$349,Orcamento!$C$205:$C$349,Memoria_Insumos!$A449)</f>
        <v>0</v>
      </c>
      <c r="C449" s="250">
        <v>0.32029999999999997</v>
      </c>
      <c r="D449" s="250">
        <v>0.30349999999999999</v>
      </c>
      <c r="E449" s="250">
        <v>0.21920000000000001</v>
      </c>
      <c r="F449" s="250"/>
    </row>
    <row r="450" spans="1:6" hidden="1">
      <c r="A450" s="250" t="s">
        <v>829</v>
      </c>
      <c r="B450" s="250">
        <f>SUMIFS(Orcamento!$K$205:$K$349,Orcamento!$C$205:$C$349,Memoria_Insumos!$A450)</f>
        <v>0</v>
      </c>
      <c r="C450" s="250">
        <v>0.69669999999999999</v>
      </c>
      <c r="D450" s="250">
        <v>0.1467</v>
      </c>
      <c r="E450" s="250">
        <v>7.3300000000000004E-2</v>
      </c>
      <c r="F450" s="250"/>
    </row>
    <row r="451" spans="1:6" hidden="1">
      <c r="A451" s="250" t="s">
        <v>830</v>
      </c>
      <c r="B451" s="250">
        <f>SUMIFS(Orcamento!$K$205:$K$349,Orcamento!$C$205:$C$349,Memoria_Insumos!$A451)</f>
        <v>0</v>
      </c>
      <c r="C451" s="250">
        <v>0.53080000000000005</v>
      </c>
      <c r="D451" s="250">
        <v>0.14699999999999999</v>
      </c>
      <c r="E451" s="250">
        <v>0.2606</v>
      </c>
      <c r="F451" s="250"/>
    </row>
    <row r="452" spans="1:6" hidden="1">
      <c r="A452" s="250" t="s">
        <v>831</v>
      </c>
      <c r="B452" s="250">
        <f>SUMIFS(Orcamento!$K$205:$K$349,Orcamento!$C$205:$C$349,Memoria_Insumos!$A452)</f>
        <v>0</v>
      </c>
      <c r="C452" s="250">
        <v>0.32029999999999997</v>
      </c>
      <c r="D452" s="250">
        <v>0.30349999999999999</v>
      </c>
      <c r="E452" s="250">
        <v>0.21920000000000001</v>
      </c>
      <c r="F452" s="250"/>
    </row>
    <row r="453" spans="1:6" hidden="1">
      <c r="A453" s="250" t="s">
        <v>832</v>
      </c>
      <c r="B453" s="250">
        <f>SUMIFS(Orcamento!$K$205:$K$349,Orcamento!$C$205:$C$349,Memoria_Insumos!$A453)</f>
        <v>0</v>
      </c>
      <c r="C453" s="250">
        <v>0.69669999999999999</v>
      </c>
      <c r="D453" s="250">
        <v>0.1467</v>
      </c>
      <c r="E453" s="250">
        <v>7.3300000000000004E-2</v>
      </c>
      <c r="F453" s="250"/>
    </row>
    <row r="454" spans="1:6" hidden="1">
      <c r="A454" s="250" t="s">
        <v>833</v>
      </c>
      <c r="B454" s="250">
        <f>SUMIFS(Orcamento!$K$205:$K$349,Orcamento!$C$205:$C$349,Memoria_Insumos!$A454)</f>
        <v>0</v>
      </c>
      <c r="C454" s="250">
        <v>0.53080000000000005</v>
      </c>
      <c r="D454" s="250">
        <v>0.14699999999999999</v>
      </c>
      <c r="E454" s="250">
        <v>0.2606</v>
      </c>
      <c r="F454" s="250"/>
    </row>
    <row r="455" spans="1:6" hidden="1">
      <c r="A455" s="250" t="s">
        <v>834</v>
      </c>
      <c r="B455" s="250">
        <f>SUMIFS(Orcamento!$K$205:$K$349,Orcamento!$C$205:$C$349,Memoria_Insumos!$A455)</f>
        <v>0</v>
      </c>
      <c r="C455" s="250"/>
      <c r="D455" s="250">
        <v>4.0164900000000003E-2</v>
      </c>
      <c r="E455" s="250"/>
      <c r="F455" s="250"/>
    </row>
    <row r="456" spans="1:6" hidden="1">
      <c r="A456" s="250" t="s">
        <v>835</v>
      </c>
      <c r="B456" s="250">
        <f>SUMIFS(Orcamento!$K$205:$K$349,Orcamento!$C$205:$C$349,Memoria_Insumos!$A456)</f>
        <v>0</v>
      </c>
      <c r="C456" s="250"/>
      <c r="D456" s="250">
        <v>1.9733190000000001E-2</v>
      </c>
      <c r="E456" s="250"/>
      <c r="F456" s="250"/>
    </row>
    <row r="457" spans="1:6" hidden="1">
      <c r="A457" s="250" t="s">
        <v>836</v>
      </c>
      <c r="B457" s="250">
        <f>SUMIFS(Orcamento!$K$205:$K$349,Orcamento!$C$205:$C$349,Memoria_Insumos!$A457)</f>
        <v>0</v>
      </c>
      <c r="C457" s="250"/>
      <c r="D457" s="250">
        <v>8.8038400000000003E-3</v>
      </c>
      <c r="E457" s="250"/>
      <c r="F457" s="250"/>
    </row>
    <row r="458" spans="1:6" hidden="1">
      <c r="A458" s="250" t="s">
        <v>837</v>
      </c>
      <c r="B458" s="250">
        <f>SUMIFS(Orcamento!$K$205:$K$349,Orcamento!$C$205:$C$349,Memoria_Insumos!$A458)</f>
        <v>0</v>
      </c>
      <c r="C458" s="250"/>
      <c r="D458" s="250">
        <v>5.78392E-2</v>
      </c>
      <c r="E458" s="250"/>
      <c r="F458" s="250"/>
    </row>
    <row r="459" spans="1:6" hidden="1">
      <c r="A459" s="250" t="s">
        <v>838</v>
      </c>
      <c r="B459" s="250">
        <f>SUMIFS(Orcamento!$K$205:$K$349,Orcamento!$C$205:$C$349,Memoria_Insumos!$A459)</f>
        <v>0</v>
      </c>
      <c r="C459" s="250"/>
      <c r="D459" s="250">
        <v>4.3394080000000002E-2</v>
      </c>
      <c r="E459" s="250"/>
      <c r="F459" s="250"/>
    </row>
    <row r="460" spans="1:6" hidden="1">
      <c r="A460" s="250" t="s">
        <v>839</v>
      </c>
      <c r="B460" s="250">
        <f>SUMIFS(Orcamento!$K$205:$K$349,Orcamento!$C$205:$C$349,Memoria_Insumos!$A460)</f>
        <v>0</v>
      </c>
      <c r="C460" s="250"/>
      <c r="D460" s="250">
        <v>0.72313680000000002</v>
      </c>
      <c r="E460" s="250"/>
      <c r="F460" s="250"/>
    </row>
    <row r="461" spans="1:6" hidden="1">
      <c r="A461" s="250" t="s">
        <v>840</v>
      </c>
      <c r="B461" s="250">
        <f>SUMIFS(Orcamento!$K$205:$K$349,Orcamento!$C$205:$C$349,Memoria_Insumos!$A461)</f>
        <v>0</v>
      </c>
      <c r="C461" s="250"/>
      <c r="D461" s="250">
        <v>0.58940000000000003</v>
      </c>
      <c r="E461" s="250"/>
      <c r="F461" s="250"/>
    </row>
    <row r="462" spans="1:6" hidden="1">
      <c r="A462" s="250" t="s">
        <v>841</v>
      </c>
      <c r="B462" s="250">
        <f>SUMIFS(Orcamento!$K$205:$K$349,Orcamento!$C$205:$C$349,Memoria_Insumos!$A462)</f>
        <v>0</v>
      </c>
      <c r="C462" s="250"/>
      <c r="D462" s="250">
        <v>0.59709999999999996</v>
      </c>
      <c r="E462" s="250"/>
      <c r="F462" s="250"/>
    </row>
    <row r="463" spans="1:6" hidden="1">
      <c r="A463" s="250" t="s">
        <v>842</v>
      </c>
      <c r="B463" s="250">
        <f>SUMIFS(Orcamento!$K$205:$K$349,Orcamento!$C$205:$C$349,Memoria_Insumos!$A463)</f>
        <v>0</v>
      </c>
      <c r="C463" s="250"/>
      <c r="D463" s="250">
        <v>0.56459999999999999</v>
      </c>
      <c r="E463" s="250"/>
      <c r="F463" s="250"/>
    </row>
    <row r="464" spans="1:6" hidden="1">
      <c r="A464" s="250" t="s">
        <v>843</v>
      </c>
      <c r="B464" s="250">
        <f>SUMIFS(Orcamento!$K$205:$K$349,Orcamento!$C$205:$C$349,Memoria_Insumos!$A464)</f>
        <v>0</v>
      </c>
      <c r="C464" s="250"/>
      <c r="D464" s="250">
        <v>0.5927</v>
      </c>
      <c r="E464" s="250"/>
      <c r="F464" s="250"/>
    </row>
    <row r="465" spans="1:6" hidden="1">
      <c r="A465" s="250" t="s">
        <v>844</v>
      </c>
      <c r="B465" s="250">
        <f>SUMIFS(Orcamento!$K$205:$K$349,Orcamento!$C$205:$C$349,Memoria_Insumos!$A465)</f>
        <v>0</v>
      </c>
      <c r="C465" s="250"/>
      <c r="D465" s="250">
        <v>0.59719999999999995</v>
      </c>
      <c r="E465" s="250"/>
      <c r="F465" s="250"/>
    </row>
    <row r="466" spans="1:6" hidden="1">
      <c r="A466" s="250" t="s">
        <v>845</v>
      </c>
      <c r="B466" s="250">
        <f>SUMIFS(Orcamento!$K$205:$K$349,Orcamento!$C$205:$C$349,Memoria_Insumos!$A466)</f>
        <v>0</v>
      </c>
      <c r="C466" s="250"/>
      <c r="D466" s="250">
        <v>0.59119999999999995</v>
      </c>
      <c r="E466" s="250"/>
      <c r="F466" s="250"/>
    </row>
    <row r="467" spans="1:6" hidden="1">
      <c r="A467" s="250" t="s">
        <v>846</v>
      </c>
      <c r="B467" s="250">
        <f>SUMIFS(Orcamento!$K$205:$K$349,Orcamento!$C$205:$C$349,Memoria_Insumos!$A467)</f>
        <v>0</v>
      </c>
      <c r="C467" s="250"/>
      <c r="D467" s="250">
        <v>0.58130000000000004</v>
      </c>
      <c r="E467" s="250"/>
      <c r="F467" s="250"/>
    </row>
    <row r="468" spans="1:6" hidden="1">
      <c r="A468" s="250" t="s">
        <v>847</v>
      </c>
      <c r="B468" s="250">
        <f>SUMIFS(Orcamento!$K$205:$K$349,Orcamento!$C$205:$C$349,Memoria_Insumos!$A468)</f>
        <v>0</v>
      </c>
      <c r="C468" s="250"/>
      <c r="D468" s="250">
        <v>0.58209999999999995</v>
      </c>
      <c r="E468" s="250"/>
      <c r="F468" s="250"/>
    </row>
    <row r="469" spans="1:6" hidden="1">
      <c r="A469" s="250" t="s">
        <v>848</v>
      </c>
      <c r="B469" s="250">
        <f>SUMIFS(Orcamento!$K$205:$K$349,Orcamento!$C$205:$C$349,Memoria_Insumos!$A469)</f>
        <v>0</v>
      </c>
      <c r="C469" s="250"/>
      <c r="D469" s="250">
        <v>0.56059999999999999</v>
      </c>
      <c r="E469" s="250"/>
      <c r="F469" s="250"/>
    </row>
    <row r="470" spans="1:6" hidden="1">
      <c r="A470" s="250" t="s">
        <v>849</v>
      </c>
      <c r="B470" s="250">
        <f>SUMIFS(Orcamento!$K$205:$K$349,Orcamento!$C$205:$C$349,Memoria_Insumos!$A470)</f>
        <v>0</v>
      </c>
      <c r="C470" s="250"/>
      <c r="D470" s="250">
        <v>0.58919999999999995</v>
      </c>
      <c r="E470" s="250"/>
      <c r="F470" s="250"/>
    </row>
    <row r="471" spans="1:6" hidden="1">
      <c r="A471" s="250" t="s">
        <v>850</v>
      </c>
      <c r="B471" s="250">
        <f>SUMIFS(Orcamento!$K$205:$K$349,Orcamento!$C$205:$C$349,Memoria_Insumos!$A471)</f>
        <v>0</v>
      </c>
      <c r="C471" s="250"/>
      <c r="D471" s="250">
        <v>0.59340000000000004</v>
      </c>
      <c r="E471" s="250"/>
      <c r="F471" s="250"/>
    </row>
    <row r="472" spans="1:6" hidden="1">
      <c r="A472" s="250" t="s">
        <v>851</v>
      </c>
      <c r="B472" s="250">
        <f>SUMIFS(Orcamento!$K$205:$K$349,Orcamento!$C$205:$C$349,Memoria_Insumos!$A472)</f>
        <v>0</v>
      </c>
      <c r="C472" s="250"/>
      <c r="D472" s="250">
        <v>0.58720000000000006</v>
      </c>
      <c r="E472" s="250"/>
      <c r="F472" s="250"/>
    </row>
    <row r="473" spans="1:6" hidden="1">
      <c r="A473" s="250" t="s">
        <v>852</v>
      </c>
      <c r="B473" s="250">
        <f>SUMIFS(Orcamento!$K$205:$K$349,Orcamento!$C$205:$C$349,Memoria_Insumos!$A473)</f>
        <v>0</v>
      </c>
      <c r="C473" s="250"/>
      <c r="D473" s="250">
        <v>0.57920000000000005</v>
      </c>
      <c r="E473" s="250"/>
      <c r="F473" s="250"/>
    </row>
    <row r="474" spans="1:6" hidden="1">
      <c r="A474" s="250" t="s">
        <v>853</v>
      </c>
      <c r="B474" s="250">
        <f>SUMIFS(Orcamento!$K$205:$K$349,Orcamento!$C$205:$C$349,Memoria_Insumos!$A474)</f>
        <v>0</v>
      </c>
      <c r="C474" s="250"/>
      <c r="D474" s="250">
        <v>0.57820000000000005</v>
      </c>
      <c r="E474" s="250"/>
      <c r="F474" s="250"/>
    </row>
    <row r="475" spans="1:6" hidden="1">
      <c r="A475" s="250" t="s">
        <v>854</v>
      </c>
      <c r="B475" s="250">
        <f>SUMIFS(Orcamento!$K$205:$K$349,Orcamento!$C$205:$C$349,Memoria_Insumos!$A475)</f>
        <v>0</v>
      </c>
      <c r="C475" s="250"/>
      <c r="D475" s="250">
        <v>9.0682799999999997E-3</v>
      </c>
      <c r="E475" s="250"/>
      <c r="F475" s="250"/>
    </row>
    <row r="476" spans="1:6" hidden="1">
      <c r="A476" s="250" t="s">
        <v>855</v>
      </c>
      <c r="B476" s="250">
        <f>SUMIFS(Orcamento!$K$205:$K$349,Orcamento!$C$205:$C$349,Memoria_Insumos!$A476)</f>
        <v>0</v>
      </c>
      <c r="C476" s="250">
        <v>1.9812928800000001E-2</v>
      </c>
      <c r="D476" s="250"/>
      <c r="E476" s="250"/>
      <c r="F476" s="250"/>
    </row>
    <row r="477" spans="1:6" hidden="1">
      <c r="A477" s="250" t="s">
        <v>856</v>
      </c>
      <c r="B477" s="250">
        <f>SUMIFS(Orcamento!$K$205:$K$349,Orcamento!$C$205:$C$349,Memoria_Insumos!$A477)</f>
        <v>0</v>
      </c>
      <c r="C477" s="250">
        <v>1.9812928800000001E-2</v>
      </c>
      <c r="D477" s="250"/>
      <c r="E477" s="250"/>
      <c r="F477" s="250"/>
    </row>
    <row r="478" spans="1:6" hidden="1">
      <c r="A478" s="250" t="s">
        <v>857</v>
      </c>
      <c r="B478" s="250">
        <f>SUMIFS(Orcamento!$K$205:$K$349,Orcamento!$C$205:$C$349,Memoria_Insumos!$A478)</f>
        <v>0</v>
      </c>
      <c r="C478" s="250"/>
      <c r="D478" s="250">
        <v>2.5249600000000001E-2</v>
      </c>
      <c r="E478" s="250"/>
      <c r="F478" s="250"/>
    </row>
    <row r="479" spans="1:6" hidden="1">
      <c r="A479" s="250" t="s">
        <v>858</v>
      </c>
      <c r="B479" s="250">
        <f>SUMIFS(Orcamento!$K$205:$K$349,Orcamento!$C$205:$C$349,Memoria_Insumos!$A479)</f>
        <v>0</v>
      </c>
      <c r="C479" s="250"/>
      <c r="D479" s="250">
        <v>1.23312E-2</v>
      </c>
      <c r="E479" s="250"/>
      <c r="F479" s="250"/>
    </row>
    <row r="480" spans="1:6" hidden="1">
      <c r="A480" s="250" t="s">
        <v>859</v>
      </c>
      <c r="B480" s="250">
        <f>SUMIFS(Orcamento!$K$205:$K$349,Orcamento!$C$205:$C$349,Memoria_Insumos!$A480)</f>
        <v>0</v>
      </c>
      <c r="C480" s="250">
        <v>1.9812928800000001E-2</v>
      </c>
      <c r="D480" s="250"/>
      <c r="E480" s="250"/>
      <c r="F480" s="250"/>
    </row>
    <row r="481" spans="1:6" hidden="1">
      <c r="A481" s="250" t="s">
        <v>860</v>
      </c>
      <c r="B481" s="250">
        <f>SUMIFS(Orcamento!$K$205:$K$349,Orcamento!$C$205:$C$349,Memoria_Insumos!$A481)</f>
        <v>0</v>
      </c>
      <c r="C481" s="250"/>
      <c r="D481" s="250">
        <v>2.5249600000000001E-2</v>
      </c>
      <c r="E481" s="250"/>
      <c r="F481" s="250"/>
    </row>
    <row r="482" spans="1:6" hidden="1">
      <c r="A482" s="250" t="s">
        <v>861</v>
      </c>
      <c r="B482" s="250">
        <f>SUMIFS(Orcamento!$K$205:$K$349,Orcamento!$C$205:$C$349,Memoria_Insumos!$A482)</f>
        <v>0</v>
      </c>
      <c r="C482" s="250"/>
      <c r="D482" s="250">
        <v>1.23312E-2</v>
      </c>
      <c r="E482" s="250"/>
      <c r="F482" s="250"/>
    </row>
    <row r="483" spans="1:6" hidden="1">
      <c r="A483" s="250" t="s">
        <v>862</v>
      </c>
      <c r="B483" s="250">
        <f>SUMIFS(Orcamento!$K$205:$K$349,Orcamento!$C$205:$C$349,Memoria_Insumos!$A483)</f>
        <v>0</v>
      </c>
      <c r="C483" s="250"/>
      <c r="D483" s="250"/>
      <c r="E483" s="250"/>
      <c r="F483" s="250">
        <v>1.3</v>
      </c>
    </row>
    <row r="484" spans="1:6" hidden="1">
      <c r="A484" s="250" t="s">
        <v>863</v>
      </c>
      <c r="B484" s="250">
        <f>SUMIFS(Orcamento!$K$205:$K$349,Orcamento!$C$205:$C$349,Memoria_Insumos!$A484)</f>
        <v>0</v>
      </c>
      <c r="C484" s="250"/>
      <c r="D484" s="250"/>
      <c r="E484" s="250"/>
      <c r="F484" s="250">
        <v>0.39</v>
      </c>
    </row>
    <row r="485" spans="1:6" hidden="1">
      <c r="A485" s="250" t="s">
        <v>864</v>
      </c>
      <c r="B485" s="250">
        <f>SUMIFS(Orcamento!$K$205:$K$349,Orcamento!$C$205:$C$349,Memoria_Insumos!$A485)</f>
        <v>0</v>
      </c>
      <c r="C485" s="250"/>
      <c r="D485" s="250"/>
      <c r="E485" s="250"/>
      <c r="F485" s="250">
        <v>0.29899999999999999</v>
      </c>
    </row>
    <row r="486" spans="1:6" hidden="1">
      <c r="A486" s="250" t="s">
        <v>865</v>
      </c>
      <c r="B486" s="250">
        <f>SUMIFS(Orcamento!$K$205:$K$349,Orcamento!$C$205:$C$349,Memoria_Insumos!$A486)</f>
        <v>0</v>
      </c>
      <c r="C486" s="250"/>
      <c r="D486" s="250"/>
      <c r="E486" s="250"/>
      <c r="F486" s="250">
        <v>0.221</v>
      </c>
    </row>
    <row r="487" spans="1:6" hidden="1">
      <c r="A487" s="250" t="s">
        <v>866</v>
      </c>
      <c r="B487" s="250">
        <f>SUMIFS(Orcamento!$K$205:$K$349,Orcamento!$C$205:$C$349,Memoria_Insumos!$A487)</f>
        <v>0</v>
      </c>
      <c r="C487" s="250"/>
      <c r="D487" s="250"/>
      <c r="E487" s="250"/>
      <c r="F487" s="250">
        <v>1.3</v>
      </c>
    </row>
    <row r="488" spans="1:6" hidden="1">
      <c r="A488" s="250" t="s">
        <v>867</v>
      </c>
      <c r="B488" s="250">
        <f>SUMIFS(Orcamento!$K$205:$K$349,Orcamento!$C$205:$C$349,Memoria_Insumos!$A488)</f>
        <v>0</v>
      </c>
      <c r="C488" s="250"/>
      <c r="D488" s="250"/>
      <c r="E488" s="250"/>
      <c r="F488" s="250">
        <v>1.3</v>
      </c>
    </row>
    <row r="489" spans="1:6" hidden="1">
      <c r="A489" s="250" t="s">
        <v>868</v>
      </c>
      <c r="B489" s="250">
        <f>SUMIFS(Orcamento!$K$205:$K$349,Orcamento!$C$205:$C$349,Memoria_Insumos!$A489)</f>
        <v>0</v>
      </c>
      <c r="C489" s="250"/>
      <c r="D489" s="250"/>
      <c r="E489" s="250"/>
      <c r="F489" s="250">
        <v>1.3</v>
      </c>
    </row>
    <row r="490" spans="1:6" hidden="1">
      <c r="A490" s="250" t="s">
        <v>869</v>
      </c>
      <c r="B490" s="250">
        <f>SUMIFS(Orcamento!$K$205:$K$349,Orcamento!$C$205:$C$349,Memoria_Insumos!$A490)</f>
        <v>0</v>
      </c>
      <c r="C490" s="250"/>
      <c r="D490" s="250"/>
      <c r="E490" s="250"/>
      <c r="F490" s="250">
        <v>1.3</v>
      </c>
    </row>
    <row r="491" spans="1:6" hidden="1">
      <c r="A491" s="250" t="s">
        <v>870</v>
      </c>
      <c r="B491" s="250">
        <f>SUMIFS(Orcamento!$K$205:$K$349,Orcamento!$C$205:$C$349,Memoria_Insumos!$A491)</f>
        <v>0</v>
      </c>
      <c r="C491" s="250"/>
      <c r="D491" s="250"/>
      <c r="E491" s="250"/>
      <c r="F491" s="250">
        <v>1.3</v>
      </c>
    </row>
    <row r="492" spans="1:6" hidden="1">
      <c r="A492" s="250" t="s">
        <v>871</v>
      </c>
      <c r="B492" s="250">
        <f>SUMIFS(Orcamento!$K$205:$K$349,Orcamento!$C$205:$C$349,Memoria_Insumos!$A492)</f>
        <v>0</v>
      </c>
      <c r="C492" s="250"/>
      <c r="D492" s="250"/>
      <c r="E492" s="250"/>
      <c r="F492" s="250">
        <v>1.3</v>
      </c>
    </row>
    <row r="493" spans="1:6" hidden="1">
      <c r="A493" s="250" t="s">
        <v>872</v>
      </c>
      <c r="B493" s="250">
        <f>SUMIFS(Orcamento!$K$205:$K$349,Orcamento!$C$205:$C$349,Memoria_Insumos!$A493)</f>
        <v>0</v>
      </c>
      <c r="C493" s="250"/>
      <c r="D493" s="250"/>
      <c r="E493" s="250"/>
      <c r="F493" s="250">
        <v>1.3</v>
      </c>
    </row>
    <row r="494" spans="1:6" hidden="1">
      <c r="A494" s="250" t="s">
        <v>873</v>
      </c>
      <c r="B494" s="250">
        <f>SUMIFS(Orcamento!$K$205:$K$349,Orcamento!$C$205:$C$349,Memoria_Insumos!$A494)</f>
        <v>0</v>
      </c>
      <c r="C494" s="250"/>
      <c r="D494" s="250"/>
      <c r="E494" s="250"/>
      <c r="F494" s="250">
        <v>1.3</v>
      </c>
    </row>
    <row r="495" spans="1:6" hidden="1">
      <c r="A495" s="250" t="s">
        <v>874</v>
      </c>
      <c r="B495" s="250">
        <f>SUMIFS(Orcamento!$K$205:$K$349,Orcamento!$C$205:$C$349,Memoria_Insumos!$A495)</f>
        <v>0</v>
      </c>
      <c r="C495" s="250"/>
      <c r="D495" s="250"/>
      <c r="E495" s="250"/>
      <c r="F495" s="250">
        <v>1.3</v>
      </c>
    </row>
    <row r="496" spans="1:6" hidden="1">
      <c r="A496" s="250" t="s">
        <v>875</v>
      </c>
      <c r="B496" s="250">
        <f>SUMIFS(Orcamento!$K$205:$K$349,Orcamento!$C$205:$C$349,Memoria_Insumos!$A496)</f>
        <v>0</v>
      </c>
      <c r="C496" s="250"/>
      <c r="D496" s="250"/>
      <c r="E496" s="250"/>
      <c r="F496" s="250">
        <v>1.3</v>
      </c>
    </row>
    <row r="497" spans="1:6" hidden="1">
      <c r="A497" s="250" t="s">
        <v>876</v>
      </c>
      <c r="B497" s="250">
        <f>SUMIFS(Orcamento!$K$205:$K$349,Orcamento!$C$205:$C$349,Memoria_Insumos!$A497)</f>
        <v>0</v>
      </c>
      <c r="C497" s="250">
        <v>6.9000000000000006E-2</v>
      </c>
      <c r="D497" s="250"/>
      <c r="E497" s="250"/>
      <c r="F497" s="250"/>
    </row>
    <row r="498" spans="1:6" hidden="1">
      <c r="A498" s="250" t="s">
        <v>877</v>
      </c>
      <c r="B498" s="250">
        <f>SUMIFS(Orcamento!$K$205:$K$349,Orcamento!$C$205:$C$349,Memoria_Insumos!$A498)</f>
        <v>0</v>
      </c>
      <c r="C498" s="250">
        <v>5.7099999999999998E-2</v>
      </c>
      <c r="D498" s="250"/>
      <c r="E498" s="250"/>
      <c r="F498" s="250"/>
    </row>
    <row r="499" spans="1:6" hidden="1">
      <c r="A499" s="250" t="s">
        <v>878</v>
      </c>
      <c r="B499" s="250">
        <f>SUMIFS(Orcamento!$K$205:$K$349,Orcamento!$C$205:$C$349,Memoria_Insumos!$A499)</f>
        <v>0</v>
      </c>
      <c r="C499" s="250">
        <v>6.9000000000000006E-2</v>
      </c>
      <c r="D499" s="250"/>
      <c r="E499" s="250"/>
      <c r="F499" s="250"/>
    </row>
    <row r="500" spans="1:6" hidden="1">
      <c r="A500" s="250" t="s">
        <v>879</v>
      </c>
      <c r="B500" s="250">
        <f>SUMIFS(Orcamento!$K$205:$K$349,Orcamento!$C$205:$C$349,Memoria_Insumos!$A500)</f>
        <v>0</v>
      </c>
      <c r="C500" s="250">
        <v>5.7099999999999998E-2</v>
      </c>
      <c r="D500" s="250"/>
      <c r="E500" s="250"/>
      <c r="F500" s="250"/>
    </row>
    <row r="501" spans="1:6" hidden="1">
      <c r="A501" s="250" t="s">
        <v>880</v>
      </c>
      <c r="B501" s="250">
        <f>SUMIFS(Orcamento!$K$205:$K$349,Orcamento!$C$205:$C$349,Memoria_Insumos!$A501)</f>
        <v>0</v>
      </c>
      <c r="C501" s="250">
        <v>6.9000000000000006E-2</v>
      </c>
      <c r="D501" s="250"/>
      <c r="E501" s="250"/>
      <c r="F501" s="250"/>
    </row>
    <row r="502" spans="1:6" hidden="1">
      <c r="A502" s="250" t="s">
        <v>881</v>
      </c>
      <c r="B502" s="250">
        <f>SUMIFS(Orcamento!$K$205:$K$349,Orcamento!$C$205:$C$349,Memoria_Insumos!$A502)</f>
        <v>0</v>
      </c>
      <c r="C502" s="250">
        <v>5.7099999999999998E-2</v>
      </c>
      <c r="D502" s="250"/>
      <c r="E502" s="250"/>
      <c r="F502" s="250"/>
    </row>
    <row r="503" spans="1:6" hidden="1">
      <c r="A503" s="250" t="s">
        <v>882</v>
      </c>
      <c r="B503" s="250">
        <f>SUMIFS(Orcamento!$K$205:$K$349,Orcamento!$C$205:$C$349,Memoria_Insumos!$A503)</f>
        <v>0</v>
      </c>
      <c r="C503" s="250">
        <v>6.9000000000000006E-2</v>
      </c>
      <c r="D503" s="250"/>
      <c r="E503" s="250"/>
      <c r="F503" s="250"/>
    </row>
    <row r="504" spans="1:6" hidden="1">
      <c r="A504" s="250" t="s">
        <v>883</v>
      </c>
      <c r="B504" s="250">
        <f>SUMIFS(Orcamento!$K$205:$K$349,Orcamento!$C$205:$C$349,Memoria_Insumos!$A504)</f>
        <v>0</v>
      </c>
      <c r="C504" s="250">
        <v>5.7099999999999998E-2</v>
      </c>
      <c r="D504" s="250"/>
      <c r="E504" s="250"/>
      <c r="F504" s="250"/>
    </row>
    <row r="505" spans="1:6" hidden="1">
      <c r="A505" s="250" t="s">
        <v>884</v>
      </c>
      <c r="B505" s="250">
        <f>SUMIFS(Orcamento!$K$205:$K$349,Orcamento!$C$205:$C$349,Memoria_Insumos!$A505)</f>
        <v>0</v>
      </c>
      <c r="C505" s="250">
        <v>7.8799999999999995E-2</v>
      </c>
      <c r="D505" s="250"/>
      <c r="E505" s="250"/>
      <c r="F505" s="250"/>
    </row>
    <row r="506" spans="1:6" hidden="1">
      <c r="A506" s="250" t="s">
        <v>885</v>
      </c>
      <c r="B506" s="250">
        <f>SUMIFS(Orcamento!$K$205:$K$349,Orcamento!$C$205:$C$349,Memoria_Insumos!$A506)</f>
        <v>0</v>
      </c>
      <c r="C506" s="250">
        <v>6.5199999999999994E-2</v>
      </c>
      <c r="D506" s="250"/>
      <c r="E506" s="250"/>
      <c r="F506" s="250"/>
    </row>
    <row r="507" spans="1:6" hidden="1">
      <c r="A507" s="250" t="s">
        <v>886</v>
      </c>
      <c r="B507" s="250">
        <f>SUMIFS(Orcamento!$K$205:$K$349,Orcamento!$C$205:$C$349,Memoria_Insumos!$A507)</f>
        <v>0</v>
      </c>
      <c r="C507" s="250">
        <v>7.8799999999999995E-2</v>
      </c>
      <c r="D507" s="250"/>
      <c r="E507" s="250"/>
      <c r="F507" s="250"/>
    </row>
    <row r="508" spans="1:6" hidden="1">
      <c r="A508" s="250" t="s">
        <v>887</v>
      </c>
      <c r="B508" s="250">
        <f>SUMIFS(Orcamento!$K$205:$K$349,Orcamento!$C$205:$C$349,Memoria_Insumos!$A508)</f>
        <v>0</v>
      </c>
      <c r="C508" s="250">
        <v>6.5199999999999994E-2</v>
      </c>
      <c r="D508" s="250"/>
      <c r="E508" s="250"/>
      <c r="F508" s="250"/>
    </row>
    <row r="509" spans="1:6" hidden="1">
      <c r="A509" s="250" t="s">
        <v>888</v>
      </c>
      <c r="B509" s="250">
        <f>SUMIFS(Orcamento!$K$205:$K$349,Orcamento!$C$205:$C$349,Memoria_Insumos!$A509)</f>
        <v>0</v>
      </c>
      <c r="C509" s="250">
        <v>7.9000000000000001E-2</v>
      </c>
      <c r="D509" s="250"/>
      <c r="E509" s="250"/>
      <c r="F509" s="250"/>
    </row>
    <row r="510" spans="1:6" hidden="1">
      <c r="A510" s="250" t="s">
        <v>889</v>
      </c>
      <c r="B510" s="250">
        <f>SUMIFS(Orcamento!$K$205:$K$349,Orcamento!$C$205:$C$349,Memoria_Insumos!$A510)</f>
        <v>0</v>
      </c>
      <c r="C510" s="250">
        <v>6.5199999999999994E-2</v>
      </c>
      <c r="D510" s="250"/>
      <c r="E510" s="250"/>
      <c r="F510" s="250"/>
    </row>
    <row r="511" spans="1:6" hidden="1">
      <c r="A511" s="250" t="s">
        <v>890</v>
      </c>
      <c r="B511" s="250">
        <f>SUMIFS(Orcamento!$K$205:$K$349,Orcamento!$C$205:$C$349,Memoria_Insumos!$A511)</f>
        <v>0</v>
      </c>
      <c r="C511" s="250">
        <v>7.8799999999999995E-2</v>
      </c>
      <c r="D511" s="250"/>
      <c r="E511" s="250"/>
      <c r="F511" s="250"/>
    </row>
    <row r="512" spans="1:6" hidden="1">
      <c r="A512" s="250" t="s">
        <v>891</v>
      </c>
      <c r="B512" s="250">
        <f>SUMIFS(Orcamento!$K$205:$K$349,Orcamento!$C$205:$C$349,Memoria_Insumos!$A512)</f>
        <v>0</v>
      </c>
      <c r="C512" s="250">
        <v>6.5199999999999994E-2</v>
      </c>
      <c r="D512" s="250"/>
      <c r="E512" s="250"/>
      <c r="F512" s="250"/>
    </row>
    <row r="513" spans="1:6" hidden="1">
      <c r="A513" s="250" t="s">
        <v>892</v>
      </c>
      <c r="B513" s="250">
        <f>SUMIFS(Orcamento!$K$205:$K$349,Orcamento!$C$205:$C$349,Memoria_Insumos!$A513)</f>
        <v>0</v>
      </c>
      <c r="C513" s="250">
        <v>6.9000000000000006E-2</v>
      </c>
      <c r="D513" s="250"/>
      <c r="E513" s="250"/>
      <c r="F513" s="250"/>
    </row>
    <row r="514" spans="1:6" hidden="1">
      <c r="A514" s="250" t="s">
        <v>893</v>
      </c>
      <c r="B514" s="250">
        <f>SUMIFS(Orcamento!$K$205:$K$349,Orcamento!$C$205:$C$349,Memoria_Insumos!$A514)</f>
        <v>0</v>
      </c>
      <c r="C514" s="250">
        <v>5.7099999999999998E-2</v>
      </c>
      <c r="D514" s="250"/>
      <c r="E514" s="250"/>
      <c r="F514" s="250"/>
    </row>
    <row r="515" spans="1:6" hidden="1">
      <c r="A515" s="250" t="s">
        <v>894</v>
      </c>
      <c r="B515" s="250">
        <f>SUMIFS(Orcamento!$K$205:$K$349,Orcamento!$C$205:$C$349,Memoria_Insumos!$A515)</f>
        <v>0</v>
      </c>
      <c r="C515" s="250">
        <v>6.9000000000000006E-2</v>
      </c>
      <c r="D515" s="250"/>
      <c r="E515" s="250"/>
      <c r="F515" s="250"/>
    </row>
    <row r="516" spans="1:6" hidden="1">
      <c r="A516" s="250" t="s">
        <v>895</v>
      </c>
      <c r="B516" s="250">
        <f>SUMIFS(Orcamento!$K$205:$K$349,Orcamento!$C$205:$C$349,Memoria_Insumos!$A516)</f>
        <v>0</v>
      </c>
      <c r="C516" s="250">
        <v>5.7099999999999998E-2</v>
      </c>
      <c r="D516" s="250"/>
      <c r="E516" s="250"/>
      <c r="F516" s="250"/>
    </row>
    <row r="517" spans="1:6" hidden="1">
      <c r="A517" s="250" t="s">
        <v>896</v>
      </c>
      <c r="B517" s="250">
        <f>SUMIFS(Orcamento!$K$205:$K$349,Orcamento!$C$205:$C$349,Memoria_Insumos!$A517)</f>
        <v>0</v>
      </c>
      <c r="C517" s="250">
        <v>6.9000000000000006E-2</v>
      </c>
      <c r="D517" s="250"/>
      <c r="E517" s="250"/>
      <c r="F517" s="250"/>
    </row>
    <row r="518" spans="1:6" hidden="1">
      <c r="A518" s="250" t="s">
        <v>897</v>
      </c>
      <c r="B518" s="250">
        <f>SUMIFS(Orcamento!$K$205:$K$349,Orcamento!$C$205:$C$349,Memoria_Insumos!$A518)</f>
        <v>0</v>
      </c>
      <c r="C518" s="250">
        <v>5.7099999999999998E-2</v>
      </c>
      <c r="D518" s="250"/>
      <c r="E518" s="250"/>
      <c r="F518" s="250"/>
    </row>
    <row r="519" spans="1:6" hidden="1">
      <c r="A519" s="250" t="s">
        <v>898</v>
      </c>
      <c r="B519" s="250">
        <f>SUMIFS(Orcamento!$K$205:$K$349,Orcamento!$C$205:$C$349,Memoria_Insumos!$A519)</f>
        <v>0</v>
      </c>
      <c r="C519" s="250">
        <v>6.9000000000000006E-2</v>
      </c>
      <c r="D519" s="250"/>
      <c r="E519" s="250"/>
      <c r="F519" s="250"/>
    </row>
    <row r="520" spans="1:6" hidden="1">
      <c r="A520" s="250" t="s">
        <v>899</v>
      </c>
      <c r="B520" s="250">
        <f>SUMIFS(Orcamento!$K$205:$K$349,Orcamento!$C$205:$C$349,Memoria_Insumos!$A520)</f>
        <v>0</v>
      </c>
      <c r="C520" s="250">
        <v>5.7099999999999998E-2</v>
      </c>
      <c r="D520" s="250"/>
      <c r="E520" s="250"/>
      <c r="F520" s="250"/>
    </row>
    <row r="521" spans="1:6" hidden="1">
      <c r="A521" s="250" t="s">
        <v>900</v>
      </c>
      <c r="B521" s="250">
        <f>SUMIFS(Orcamento!$K$205:$K$349,Orcamento!$C$205:$C$349,Memoria_Insumos!$A521)</f>
        <v>0</v>
      </c>
      <c r="C521" s="250">
        <v>7.8799999999999995E-2</v>
      </c>
      <c r="D521" s="250"/>
      <c r="E521" s="250"/>
      <c r="F521" s="250"/>
    </row>
    <row r="522" spans="1:6" hidden="1">
      <c r="A522" s="250" t="s">
        <v>901</v>
      </c>
      <c r="B522" s="250">
        <f>SUMIFS(Orcamento!$K$205:$K$349,Orcamento!$C$205:$C$349,Memoria_Insumos!$A522)</f>
        <v>0</v>
      </c>
      <c r="C522" s="250">
        <v>6.5199999999999994E-2</v>
      </c>
      <c r="D522" s="250"/>
      <c r="E522" s="250"/>
      <c r="F522" s="250"/>
    </row>
    <row r="523" spans="1:6" hidden="1">
      <c r="A523" s="250" t="s">
        <v>902</v>
      </c>
      <c r="B523" s="250">
        <f>SUMIFS(Orcamento!$K$205:$K$349,Orcamento!$C$205:$C$349,Memoria_Insumos!$A523)</f>
        <v>0</v>
      </c>
      <c r="C523" s="250">
        <v>7.8799999999999995E-2</v>
      </c>
      <c r="D523" s="250"/>
      <c r="E523" s="250"/>
      <c r="F523" s="250"/>
    </row>
    <row r="524" spans="1:6" hidden="1">
      <c r="A524" s="250" t="s">
        <v>903</v>
      </c>
      <c r="B524" s="250">
        <f>SUMIFS(Orcamento!$K$205:$K$349,Orcamento!$C$205:$C$349,Memoria_Insumos!$A524)</f>
        <v>0</v>
      </c>
      <c r="C524" s="250">
        <v>6.5199999999999994E-2</v>
      </c>
      <c r="D524" s="250"/>
      <c r="E524" s="250"/>
      <c r="F524" s="250"/>
    </row>
    <row r="525" spans="1:6" hidden="1">
      <c r="A525" s="250" t="s">
        <v>904</v>
      </c>
      <c r="B525" s="250">
        <f>SUMIFS(Orcamento!$K$205:$K$349,Orcamento!$C$205:$C$349,Memoria_Insumos!$A525)</f>
        <v>0</v>
      </c>
      <c r="C525" s="250">
        <v>7.8799999999999995E-2</v>
      </c>
      <c r="D525" s="250"/>
      <c r="E525" s="250"/>
      <c r="F525" s="250"/>
    </row>
    <row r="526" spans="1:6" hidden="1">
      <c r="A526" s="250" t="s">
        <v>905</v>
      </c>
      <c r="B526" s="250">
        <f>SUMIFS(Orcamento!$K$205:$K$349,Orcamento!$C$205:$C$349,Memoria_Insumos!$A526)</f>
        <v>0</v>
      </c>
      <c r="C526" s="250">
        <v>6.5199999999999994E-2</v>
      </c>
      <c r="D526" s="250"/>
      <c r="E526" s="250"/>
      <c r="F526" s="250"/>
    </row>
    <row r="527" spans="1:6" hidden="1">
      <c r="A527" s="250" t="s">
        <v>906</v>
      </c>
      <c r="B527" s="250">
        <f>SUMIFS(Orcamento!$K$205:$K$349,Orcamento!$C$205:$C$349,Memoria_Insumos!$A527)</f>
        <v>0</v>
      </c>
      <c r="C527" s="250">
        <v>7.8799999999999995E-2</v>
      </c>
      <c r="D527" s="250"/>
      <c r="E527" s="250"/>
      <c r="F527" s="250"/>
    </row>
    <row r="528" spans="1:6" hidden="1">
      <c r="A528" s="250" t="s">
        <v>907</v>
      </c>
      <c r="B528" s="250">
        <f>SUMIFS(Orcamento!$K$205:$K$349,Orcamento!$C$205:$C$349,Memoria_Insumos!$A528)</f>
        <v>0</v>
      </c>
      <c r="C528" s="250">
        <v>6.5000000000000002E-2</v>
      </c>
      <c r="D528" s="250"/>
      <c r="E528" s="250"/>
      <c r="F528" s="250"/>
    </row>
    <row r="529" spans="1:6" hidden="1">
      <c r="A529" s="250" t="s">
        <v>908</v>
      </c>
      <c r="B529" s="250">
        <f>SUMIFS(Orcamento!$K$205:$K$349,Orcamento!$C$205:$C$349,Memoria_Insumos!$A529)</f>
        <v>0</v>
      </c>
      <c r="C529" s="250">
        <v>0.53480000000000005</v>
      </c>
      <c r="D529" s="250"/>
      <c r="E529" s="250"/>
      <c r="F529" s="250"/>
    </row>
    <row r="530" spans="1:6" hidden="1">
      <c r="A530" s="250" t="s">
        <v>909</v>
      </c>
      <c r="B530" s="250">
        <f>SUMIFS(Orcamento!$K$205:$K$349,Orcamento!$C$205:$C$349,Memoria_Insumos!$A530)</f>
        <v>0</v>
      </c>
      <c r="C530" s="250">
        <v>0.56910000000000005</v>
      </c>
      <c r="D530" s="250"/>
      <c r="E530" s="250"/>
      <c r="F530" s="250"/>
    </row>
    <row r="531" spans="1:6" hidden="1">
      <c r="A531" s="250" t="s">
        <v>910</v>
      </c>
      <c r="B531" s="250">
        <f>SUMIFS(Orcamento!$K$205:$K$349,Orcamento!$C$205:$C$349,Memoria_Insumos!$A531)</f>
        <v>0</v>
      </c>
      <c r="C531" s="250">
        <v>0.59109999999999996</v>
      </c>
      <c r="D531" s="250"/>
      <c r="E531" s="250"/>
      <c r="F531" s="250"/>
    </row>
    <row r="532" spans="1:6" hidden="1">
      <c r="A532" s="250" t="s">
        <v>911</v>
      </c>
      <c r="B532" s="250">
        <f>SUMIFS(Orcamento!$K$205:$K$349,Orcamento!$C$205:$C$349,Memoria_Insumos!$A532)</f>
        <v>0</v>
      </c>
      <c r="C532" s="250">
        <v>0.60740000000000005</v>
      </c>
      <c r="D532" s="250"/>
      <c r="E532" s="250"/>
      <c r="F532" s="250"/>
    </row>
    <row r="533" spans="1:6" hidden="1">
      <c r="A533" s="250" t="s">
        <v>912</v>
      </c>
      <c r="B533" s="250">
        <f>SUMIFS(Orcamento!$K$205:$K$349,Orcamento!$C$205:$C$349,Memoria_Insumos!$A533)</f>
        <v>0</v>
      </c>
      <c r="C533" s="250">
        <v>0.53190000000000004</v>
      </c>
      <c r="D533" s="250"/>
      <c r="E533" s="250"/>
      <c r="F533" s="250"/>
    </row>
    <row r="534" spans="1:6" hidden="1">
      <c r="A534" s="250" t="s">
        <v>913</v>
      </c>
      <c r="B534" s="250">
        <f>SUMIFS(Orcamento!$K$205:$K$349,Orcamento!$C$205:$C$349,Memoria_Insumos!$A534)</f>
        <v>0</v>
      </c>
      <c r="C534" s="250">
        <v>0.56699999999999995</v>
      </c>
      <c r="D534" s="250"/>
      <c r="E534" s="250"/>
      <c r="F534" s="250"/>
    </row>
    <row r="535" spans="1:6" hidden="1">
      <c r="A535" s="250" t="s">
        <v>914</v>
      </c>
      <c r="B535" s="250">
        <f>SUMIFS(Orcamento!$K$205:$K$349,Orcamento!$C$205:$C$349,Memoria_Insumos!$A535)</f>
        <v>0</v>
      </c>
      <c r="C535" s="250">
        <v>0.58819999999999995</v>
      </c>
      <c r="D535" s="250"/>
      <c r="E535" s="250"/>
      <c r="F535" s="250"/>
    </row>
    <row r="536" spans="1:6" hidden="1">
      <c r="A536" s="250" t="s">
        <v>915</v>
      </c>
      <c r="B536" s="250">
        <f>SUMIFS(Orcamento!$K$205:$K$349,Orcamento!$C$205:$C$349,Memoria_Insumos!$A536)</f>
        <v>0</v>
      </c>
      <c r="C536" s="250">
        <v>0.60499999999999998</v>
      </c>
      <c r="D536" s="250"/>
      <c r="E536" s="250"/>
      <c r="F536" s="250"/>
    </row>
    <row r="537" spans="1:6" hidden="1">
      <c r="A537" s="250" t="s">
        <v>916</v>
      </c>
      <c r="B537" s="250">
        <f>SUMIFS(Orcamento!$K$205:$K$349,Orcamento!$C$205:$C$349,Memoria_Insumos!$A537)</f>
        <v>0</v>
      </c>
      <c r="C537" s="250">
        <v>0.70760460000000003</v>
      </c>
      <c r="D537" s="250"/>
      <c r="E537" s="250"/>
      <c r="F537" s="250"/>
    </row>
    <row r="538" spans="1:6" hidden="1">
      <c r="A538" s="250" t="s">
        <v>917</v>
      </c>
      <c r="B538" s="250">
        <f>SUMIFS(Orcamento!$K$205:$K$349,Orcamento!$C$205:$C$349,Memoria_Insumos!$A538)</f>
        <v>0</v>
      </c>
      <c r="C538" s="250">
        <v>0.70760460000000003</v>
      </c>
      <c r="D538" s="250"/>
      <c r="E538" s="250"/>
      <c r="F538" s="250"/>
    </row>
    <row r="539" spans="1:6" hidden="1">
      <c r="A539" s="250" t="s">
        <v>918</v>
      </c>
      <c r="B539" s="250">
        <f>SUMIFS(Orcamento!$K$205:$K$349,Orcamento!$C$205:$C$349,Memoria_Insumos!$A539)</f>
        <v>0</v>
      </c>
      <c r="C539" s="250">
        <v>0.70760460000000003</v>
      </c>
      <c r="D539" s="250"/>
      <c r="E539" s="250"/>
      <c r="F539" s="250"/>
    </row>
    <row r="540" spans="1:6" hidden="1">
      <c r="A540" s="250" t="s">
        <v>919</v>
      </c>
      <c r="B540" s="250">
        <f>SUMIFS(Orcamento!$K$205:$K$349,Orcamento!$C$205:$C$349,Memoria_Insumos!$A540)</f>
        <v>0</v>
      </c>
      <c r="C540" s="250"/>
      <c r="D540" s="250">
        <v>1.9107200000000001E-3</v>
      </c>
      <c r="E540" s="250"/>
      <c r="F540" s="250"/>
    </row>
    <row r="541" spans="1:6" hidden="1">
      <c r="A541" s="250" t="s">
        <v>920</v>
      </c>
      <c r="B541" s="250">
        <f>SUMIFS(Orcamento!$K$205:$K$349,Orcamento!$C$205:$C$349,Memoria_Insumos!$A541)</f>
        <v>0</v>
      </c>
      <c r="C541" s="250"/>
      <c r="D541" s="250">
        <v>0.68753200000000003</v>
      </c>
      <c r="E541" s="250"/>
      <c r="F541" s="250"/>
    </row>
    <row r="542" spans="1:6" hidden="1">
      <c r="A542" s="250" t="s">
        <v>921</v>
      </c>
      <c r="B542" s="250">
        <f>SUMIFS(Orcamento!$K$205:$K$349,Orcamento!$C$205:$C$349,Memoria_Insumos!$A542)</f>
        <v>0</v>
      </c>
      <c r="C542" s="250"/>
      <c r="D542" s="250">
        <v>7.1663999999999999E-3</v>
      </c>
      <c r="E542" s="250"/>
      <c r="F542" s="250"/>
    </row>
    <row r="543" spans="1:6" hidden="1">
      <c r="A543" s="250" t="s">
        <v>922</v>
      </c>
      <c r="B543" s="250">
        <f>SUMIFS(Orcamento!$K$205:$K$349,Orcamento!$C$205:$C$349,Memoria_Insumos!$A543)</f>
        <v>0</v>
      </c>
      <c r="C543" s="250"/>
      <c r="D543" s="250">
        <v>1.07496E-2</v>
      </c>
      <c r="E543" s="250"/>
      <c r="F543" s="250"/>
    </row>
    <row r="544" spans="1:6" hidden="1">
      <c r="A544" s="250" t="s">
        <v>923</v>
      </c>
      <c r="B544" s="250">
        <f>SUMIFS(Orcamento!$K$205:$K$349,Orcamento!$C$205:$C$349,Memoria_Insumos!$A544)</f>
        <v>0</v>
      </c>
      <c r="C544" s="250"/>
      <c r="D544" s="250">
        <v>1.5049440000000001E-2</v>
      </c>
      <c r="E544" s="250"/>
      <c r="F544" s="250"/>
    </row>
    <row r="545" spans="1:6" hidden="1">
      <c r="A545" s="250" t="s">
        <v>924</v>
      </c>
      <c r="B545" s="250">
        <f>SUMIFS(Orcamento!$K$205:$K$349,Orcamento!$C$205:$C$349,Memoria_Insumos!$A545)</f>
        <v>0</v>
      </c>
      <c r="C545" s="250"/>
      <c r="D545" s="250">
        <v>7.1663999999999999E-3</v>
      </c>
      <c r="E545" s="250"/>
      <c r="F545" s="250"/>
    </row>
    <row r="546" spans="1:6" hidden="1">
      <c r="A546" s="250" t="s">
        <v>925</v>
      </c>
      <c r="B546" s="250">
        <f>SUMIFS(Orcamento!$K$205:$K$349,Orcamento!$C$205:$C$349,Memoria_Insumos!$A546)</f>
        <v>0</v>
      </c>
      <c r="C546" s="250"/>
      <c r="D546" s="250">
        <v>1.07496E-2</v>
      </c>
      <c r="E546" s="250"/>
      <c r="F546" s="250"/>
    </row>
    <row r="547" spans="1:6" hidden="1">
      <c r="A547" s="250" t="s">
        <v>926</v>
      </c>
      <c r="B547" s="250">
        <f>SUMIFS(Orcamento!$K$205:$K$349,Orcamento!$C$205:$C$349,Memoria_Insumos!$A547)</f>
        <v>0</v>
      </c>
      <c r="C547" s="250"/>
      <c r="D547" s="250">
        <v>1.5049440000000001E-2</v>
      </c>
      <c r="E547" s="250"/>
      <c r="F547" s="250"/>
    </row>
    <row r="548" spans="1:6" hidden="1">
      <c r="A548" s="250" t="s">
        <v>927</v>
      </c>
      <c r="B548" s="250">
        <f>SUMIFS(Orcamento!$K$205:$K$349,Orcamento!$C$205:$C$349,Memoria_Insumos!$A548)</f>
        <v>0</v>
      </c>
      <c r="C548" s="250">
        <v>7.7836505999999998E-3</v>
      </c>
      <c r="D548" s="250"/>
      <c r="E548" s="250"/>
      <c r="F548" s="250"/>
    </row>
    <row r="549" spans="1:6" hidden="1">
      <c r="A549" s="250" t="s">
        <v>928</v>
      </c>
      <c r="B549" s="250">
        <f>SUMIFS(Orcamento!$K$205:$K$349,Orcamento!$C$205:$C$349,Memoria_Insumos!$A549)</f>
        <v>0</v>
      </c>
      <c r="C549" s="250">
        <v>1.48596966E-2</v>
      </c>
      <c r="D549" s="250"/>
      <c r="E549" s="250"/>
      <c r="F549" s="250"/>
    </row>
    <row r="550" spans="1:6" hidden="1">
      <c r="A550" s="250" t="s">
        <v>929</v>
      </c>
      <c r="B550" s="250">
        <f>SUMIFS(Orcamento!$K$205:$K$349,Orcamento!$C$205:$C$349,Memoria_Insumos!$A550)</f>
        <v>0</v>
      </c>
      <c r="C550" s="250">
        <v>7.7836505999999998E-3</v>
      </c>
      <c r="D550" s="250"/>
      <c r="E550" s="250"/>
      <c r="F550" s="250"/>
    </row>
    <row r="551" spans="1:6" hidden="1">
      <c r="A551" s="250" t="s">
        <v>930</v>
      </c>
      <c r="B551" s="250">
        <f>SUMIFS(Orcamento!$K$205:$K$349,Orcamento!$C$205:$C$349,Memoria_Insumos!$A551)</f>
        <v>0</v>
      </c>
      <c r="C551" s="250">
        <v>1.48596966E-2</v>
      </c>
      <c r="D551" s="250"/>
      <c r="E551" s="250"/>
      <c r="F551" s="250"/>
    </row>
    <row r="552" spans="1:6" hidden="1">
      <c r="A552" s="250" t="s">
        <v>931</v>
      </c>
      <c r="B552" s="250">
        <f>SUMIFS(Orcamento!$K$205:$K$349,Orcamento!$C$205:$C$349,Memoria_Insumos!$A552)</f>
        <v>0</v>
      </c>
      <c r="C552" s="250"/>
      <c r="D552" s="250">
        <v>1.23312E-2</v>
      </c>
      <c r="E552" s="250"/>
      <c r="F552" s="250"/>
    </row>
    <row r="553" spans="1:6" hidden="1">
      <c r="A553" s="250" t="s">
        <v>932</v>
      </c>
      <c r="B553" s="250">
        <f>SUMIFS(Orcamento!$K$205:$K$349,Orcamento!$C$205:$C$349,Memoria_Insumos!$A553)</f>
        <v>0</v>
      </c>
      <c r="C553" s="250"/>
      <c r="D553" s="250">
        <v>1.8790399999999999E-2</v>
      </c>
      <c r="E553" s="250"/>
      <c r="F553" s="250"/>
    </row>
    <row r="554" spans="1:6" hidden="1">
      <c r="A554" s="250" t="s">
        <v>933</v>
      </c>
      <c r="B554" s="250">
        <f>SUMIFS(Orcamento!$K$205:$K$349,Orcamento!$C$205:$C$349,Memoria_Insumos!$A554)</f>
        <v>0</v>
      </c>
      <c r="C554" s="250"/>
      <c r="D554" s="250">
        <v>5.8719999999999996E-3</v>
      </c>
      <c r="E554" s="250"/>
      <c r="F554" s="250"/>
    </row>
    <row r="555" spans="1:6" hidden="1">
      <c r="A555" s="250" t="s">
        <v>934</v>
      </c>
      <c r="B555" s="250">
        <f>SUMIFS(Orcamento!$K$205:$K$349,Orcamento!$C$205:$C$349,Memoria_Insumos!$A555)</f>
        <v>0</v>
      </c>
      <c r="C555" s="250"/>
      <c r="D555" s="250">
        <v>8.8079999999999999E-3</v>
      </c>
      <c r="E555" s="250"/>
      <c r="F555" s="250"/>
    </row>
    <row r="556" spans="1:6" hidden="1">
      <c r="A556" s="250" t="s">
        <v>935</v>
      </c>
      <c r="B556" s="250">
        <f>SUMIFS(Orcamento!$K$205:$K$349,Orcamento!$C$205:$C$349,Memoria_Insumos!$A556)</f>
        <v>0</v>
      </c>
      <c r="C556" s="250">
        <v>7.7836505999999998E-3</v>
      </c>
      <c r="D556" s="250"/>
      <c r="E556" s="250"/>
      <c r="F556" s="250"/>
    </row>
    <row r="557" spans="1:6" hidden="1">
      <c r="A557" s="250" t="s">
        <v>936</v>
      </c>
      <c r="B557" s="250">
        <f>SUMIFS(Orcamento!$K$205:$K$349,Orcamento!$C$205:$C$349,Memoria_Insumos!$A557)</f>
        <v>0</v>
      </c>
      <c r="C557" s="250">
        <v>1.48596966E-2</v>
      </c>
      <c r="D557" s="250"/>
      <c r="E557" s="250"/>
      <c r="F557" s="250"/>
    </row>
    <row r="558" spans="1:6" hidden="1">
      <c r="A558" s="250" t="s">
        <v>937</v>
      </c>
      <c r="B558" s="250">
        <f>SUMIFS(Orcamento!$K$205:$K$349,Orcamento!$C$205:$C$349,Memoria_Insumos!$A558)</f>
        <v>0</v>
      </c>
      <c r="C558" s="250"/>
      <c r="D558" s="250">
        <v>1.23312E-2</v>
      </c>
      <c r="E558" s="250"/>
      <c r="F558" s="250"/>
    </row>
    <row r="559" spans="1:6" hidden="1">
      <c r="A559" s="250" t="s">
        <v>938</v>
      </c>
      <c r="B559" s="250">
        <f>SUMIFS(Orcamento!$K$205:$K$349,Orcamento!$C$205:$C$349,Memoria_Insumos!$A559)</f>
        <v>0</v>
      </c>
      <c r="C559" s="250"/>
      <c r="D559" s="250">
        <v>1.8790399999999999E-2</v>
      </c>
      <c r="E559" s="250"/>
      <c r="F559" s="250"/>
    </row>
    <row r="560" spans="1:6" hidden="1">
      <c r="A560" s="250" t="s">
        <v>939</v>
      </c>
      <c r="B560" s="250">
        <f>SUMIFS(Orcamento!$K$205:$K$349,Orcamento!$C$205:$C$349,Memoria_Insumos!$A560)</f>
        <v>0</v>
      </c>
      <c r="C560" s="250"/>
      <c r="D560" s="250">
        <v>5.8719999999999996E-3</v>
      </c>
      <c r="E560" s="250"/>
      <c r="F560" s="250"/>
    </row>
    <row r="561" spans="1:6" hidden="1">
      <c r="A561" s="250" t="s">
        <v>940</v>
      </c>
      <c r="B561" s="250">
        <f>SUMIFS(Orcamento!$K$205:$K$349,Orcamento!$C$205:$C$349,Memoria_Insumos!$A561)</f>
        <v>0</v>
      </c>
      <c r="C561" s="250"/>
      <c r="D561" s="250">
        <v>8.8079999999999999E-3</v>
      </c>
      <c r="E561" s="250"/>
      <c r="F561" s="250"/>
    </row>
    <row r="562" spans="1:6" hidden="1">
      <c r="A562" s="250" t="s">
        <v>941</v>
      </c>
      <c r="B562" s="250">
        <f>SUMIFS(Orcamento!$K$205:$K$349,Orcamento!$C$205:$C$349,Memoria_Insumos!$A562)</f>
        <v>0</v>
      </c>
      <c r="C562" s="250"/>
      <c r="D562" s="250">
        <v>3.22434E-3</v>
      </c>
      <c r="E562" s="250"/>
      <c r="F562" s="250"/>
    </row>
    <row r="563" spans="1:6" hidden="1">
      <c r="A563" s="250" t="s">
        <v>942</v>
      </c>
      <c r="B563" s="250">
        <f>SUMIFS(Orcamento!$K$205:$K$349,Orcamento!$C$205:$C$349,Memoria_Insumos!$A563)</f>
        <v>0</v>
      </c>
      <c r="C563" s="250"/>
      <c r="D563" s="250">
        <v>5.9339999999999997E-2</v>
      </c>
      <c r="E563" s="250">
        <v>3.6999999999999998E-2</v>
      </c>
      <c r="F563" s="250"/>
    </row>
    <row r="564" spans="1:6" hidden="1">
      <c r="A564" s="250" t="s">
        <v>943</v>
      </c>
      <c r="B564" s="250">
        <f>SUMIFS(Orcamento!$K$205:$K$349,Orcamento!$C$205:$C$349,Memoria_Insumos!$A564)</f>
        <v>0</v>
      </c>
      <c r="C564" s="250"/>
      <c r="D564" s="250">
        <v>5.9339999999999997E-2</v>
      </c>
      <c r="E564" s="250">
        <v>5.0000000000000001E-3</v>
      </c>
      <c r="F564" s="250"/>
    </row>
    <row r="565" spans="1:6" hidden="1">
      <c r="A565" s="250" t="s">
        <v>944</v>
      </c>
      <c r="B565" s="250">
        <f>SUMIFS(Orcamento!$K$205:$K$349,Orcamento!$C$205:$C$349,Memoria_Insumos!$A565)</f>
        <v>0</v>
      </c>
      <c r="C565" s="250"/>
      <c r="D565" s="250">
        <v>0.320436</v>
      </c>
      <c r="E565" s="250">
        <v>0.19980000000000001</v>
      </c>
      <c r="F565" s="250"/>
    </row>
    <row r="566" spans="1:6" hidden="1">
      <c r="A566" s="250" t="s">
        <v>945</v>
      </c>
      <c r="B566" s="250">
        <f>SUMIFS(Orcamento!$K$205:$K$349,Orcamento!$C$205:$C$349,Memoria_Insumos!$A566)</f>
        <v>0</v>
      </c>
      <c r="C566" s="250"/>
      <c r="D566" s="250">
        <v>0.320436</v>
      </c>
      <c r="E566" s="250">
        <v>2.7E-2</v>
      </c>
      <c r="F566" s="250"/>
    </row>
    <row r="567" spans="1:6" hidden="1">
      <c r="A567" s="250" t="s">
        <v>946</v>
      </c>
      <c r="B567" s="250">
        <f>SUMIFS(Orcamento!$K$205:$K$349,Orcamento!$C$205:$C$349,Memoria_Insumos!$A567)</f>
        <v>0</v>
      </c>
      <c r="C567" s="250"/>
      <c r="D567" s="250"/>
      <c r="E567" s="250">
        <v>0.17849999999999999</v>
      </c>
      <c r="F567" s="250"/>
    </row>
    <row r="568" spans="1:6" hidden="1">
      <c r="A568" s="250" t="s">
        <v>947</v>
      </c>
      <c r="B568" s="250">
        <f>SUMIFS(Orcamento!$K$205:$K$349,Orcamento!$C$205:$C$349,Memoria_Insumos!$A568)</f>
        <v>0</v>
      </c>
      <c r="C568" s="250"/>
      <c r="D568" s="250"/>
      <c r="E568" s="250">
        <v>0.14280000000000001</v>
      </c>
      <c r="F568" s="250"/>
    </row>
    <row r="569" spans="1:6" hidden="1">
      <c r="A569" s="250" t="s">
        <v>948</v>
      </c>
      <c r="B569" s="250">
        <f>SUMIFS(Orcamento!$K$205:$K$349,Orcamento!$C$205:$C$349,Memoria_Insumos!$A569)</f>
        <v>0</v>
      </c>
      <c r="C569" s="250"/>
      <c r="D569" s="250">
        <v>0.70531299999999997</v>
      </c>
      <c r="E569" s="250"/>
      <c r="F569" s="250"/>
    </row>
    <row r="570" spans="1:6" hidden="1">
      <c r="A570" s="250" t="s">
        <v>949</v>
      </c>
      <c r="B570" s="250">
        <f>SUMIFS(Orcamento!$K$205:$K$349,Orcamento!$C$205:$C$349,Memoria_Insumos!$A570)</f>
        <v>0</v>
      </c>
      <c r="C570" s="250"/>
      <c r="D570" s="250">
        <v>0.385687280656</v>
      </c>
      <c r="E570" s="250"/>
      <c r="F570" s="250">
        <v>0.61866573999999996</v>
      </c>
    </row>
    <row r="571" spans="1:6" hidden="1">
      <c r="A571" s="250" t="s">
        <v>950</v>
      </c>
      <c r="B571" s="250">
        <f>SUMIFS(Orcamento!$K$205:$K$349,Orcamento!$C$205:$C$349,Memoria_Insumos!$A571)</f>
        <v>0</v>
      </c>
      <c r="C571" s="250"/>
      <c r="D571" s="250">
        <v>0.39284726838399997</v>
      </c>
      <c r="E571" s="250"/>
      <c r="F571" s="250">
        <v>0.60203835999999999</v>
      </c>
    </row>
    <row r="572" spans="1:6" hidden="1">
      <c r="A572" s="250" t="s">
        <v>951</v>
      </c>
      <c r="B572" s="250">
        <f>SUMIFS(Orcamento!$K$205:$K$349,Orcamento!$C$205:$C$349,Memoria_Insumos!$A572)</f>
        <v>0</v>
      </c>
      <c r="C572" s="250"/>
      <c r="D572" s="250">
        <v>0.44132390660799997</v>
      </c>
      <c r="E572" s="250"/>
      <c r="F572" s="250">
        <v>0.48946282000000002</v>
      </c>
    </row>
    <row r="573" spans="1:6" hidden="1">
      <c r="A573" s="250" t="s">
        <v>952</v>
      </c>
      <c r="B573" s="250">
        <f>SUMIFS(Orcamento!$K$205:$K$349,Orcamento!$C$205:$C$349,Memoria_Insumos!$A573)</f>
        <v>0</v>
      </c>
      <c r="C573" s="250"/>
      <c r="D573" s="250">
        <v>0.65209360000000005</v>
      </c>
      <c r="E573" s="250"/>
      <c r="F573" s="250"/>
    </row>
    <row r="574" spans="1:6" hidden="1">
      <c r="A574" s="250" t="s">
        <v>953</v>
      </c>
      <c r="B574" s="250">
        <f>SUMIFS(Orcamento!$K$205:$K$349,Orcamento!$C$205:$C$349,Memoria_Insumos!$A574)</f>
        <v>0</v>
      </c>
      <c r="C574" s="250"/>
      <c r="D574" s="250"/>
      <c r="E574" s="250"/>
      <c r="F574" s="250">
        <v>0.90859999999999996</v>
      </c>
    </row>
    <row r="575" spans="1:6" hidden="1">
      <c r="A575" s="250" t="s">
        <v>954</v>
      </c>
      <c r="B575" s="250">
        <f>SUMIFS(Orcamento!$K$205:$K$349,Orcamento!$C$205:$C$349,Memoria_Insumos!$A575)</f>
        <v>0</v>
      </c>
      <c r="C575" s="250"/>
      <c r="D575" s="250">
        <v>0.65209360000000005</v>
      </c>
      <c r="E575" s="250"/>
      <c r="F575" s="250"/>
    </row>
    <row r="576" spans="1:6" hidden="1">
      <c r="A576" s="250" t="s">
        <v>955</v>
      </c>
      <c r="B576" s="250">
        <f>SUMIFS(Orcamento!$K$205:$K$349,Orcamento!$C$205:$C$349,Memoria_Insumos!$A576)</f>
        <v>0</v>
      </c>
      <c r="C576" s="250"/>
      <c r="D576" s="250"/>
      <c r="E576" s="250"/>
      <c r="F576" s="250">
        <v>0.90859999999999996</v>
      </c>
    </row>
    <row r="577" spans="1:6" hidden="1">
      <c r="A577" s="250" t="s">
        <v>956</v>
      </c>
      <c r="B577" s="250">
        <f>SUMIFS(Orcamento!$K$205:$K$349,Orcamento!$C$205:$C$349,Memoria_Insumos!$A577)</f>
        <v>0</v>
      </c>
      <c r="C577" s="250"/>
      <c r="D577" s="250">
        <v>0.26083743999999998</v>
      </c>
      <c r="E577" s="250"/>
      <c r="F577" s="250">
        <v>0.90859999999999996</v>
      </c>
    </row>
    <row r="578" spans="1:6" hidden="1">
      <c r="A578" s="250" t="s">
        <v>957</v>
      </c>
      <c r="B578" s="250">
        <f>SUMIFS(Orcamento!$K$205:$K$349,Orcamento!$C$205:$C$349,Memoria_Insumos!$A578)</f>
        <v>0</v>
      </c>
      <c r="C578" s="250"/>
      <c r="D578" s="250">
        <v>3.5604E-3</v>
      </c>
      <c r="E578" s="250"/>
      <c r="F578" s="250"/>
    </row>
    <row r="579" spans="1:6" hidden="1">
      <c r="A579" s="250" t="s">
        <v>958</v>
      </c>
      <c r="B579" s="250">
        <f>SUMIFS(Orcamento!$K$205:$K$349,Orcamento!$C$205:$C$349,Memoria_Insumos!$A579)</f>
        <v>0</v>
      </c>
      <c r="C579" s="250"/>
      <c r="D579" s="250">
        <v>0.58209999999999995</v>
      </c>
      <c r="E579" s="250"/>
      <c r="F579" s="250"/>
    </row>
    <row r="580" spans="1:6" hidden="1">
      <c r="A580" s="250" t="s">
        <v>959</v>
      </c>
      <c r="B580" s="250">
        <f>SUMIFS(Orcamento!$K$205:$K$349,Orcamento!$C$205:$C$349,Memoria_Insumos!$A580)</f>
        <v>0</v>
      </c>
      <c r="C580" s="250"/>
      <c r="D580" s="250">
        <v>0.71664000000000005</v>
      </c>
      <c r="E580" s="250"/>
      <c r="F580" s="250"/>
    </row>
    <row r="581" spans="1:6" hidden="1">
      <c r="A581" s="250" t="s">
        <v>960</v>
      </c>
      <c r="B581" s="250">
        <f>SUMIFS(Orcamento!$K$205:$K$349,Orcamento!$C$205:$C$349,Memoria_Insumos!$A581)</f>
        <v>0</v>
      </c>
      <c r="C581" s="250"/>
      <c r="D581" s="250">
        <v>2.3E-3</v>
      </c>
      <c r="E581" s="250"/>
      <c r="F581" s="250"/>
    </row>
    <row r="582" spans="1:6" hidden="1">
      <c r="A582" s="250" t="s">
        <v>961</v>
      </c>
      <c r="B582" s="250">
        <f>SUMIFS(Orcamento!$K$205:$K$349,Orcamento!$C$205:$C$349,Memoria_Insumos!$A582)</f>
        <v>0</v>
      </c>
      <c r="C582" s="250"/>
      <c r="D582" s="250">
        <v>2.3E-3</v>
      </c>
      <c r="E582" s="250"/>
      <c r="F582" s="250"/>
    </row>
    <row r="583" spans="1:6" hidden="1">
      <c r="A583" s="250" t="s">
        <v>962</v>
      </c>
      <c r="B583" s="250">
        <f>SUMIFS(Orcamento!$K$205:$K$349,Orcamento!$C$205:$C$349,Memoria_Insumos!$A583)</f>
        <v>0</v>
      </c>
      <c r="C583" s="250"/>
      <c r="D583" s="250">
        <v>1.1999999999999999E-3</v>
      </c>
      <c r="E583" s="250"/>
      <c r="F583" s="250"/>
    </row>
    <row r="584" spans="1:6" hidden="1">
      <c r="A584" s="250" t="s">
        <v>963</v>
      </c>
      <c r="B584" s="250">
        <f>SUMIFS(Orcamento!$K$205:$K$349,Orcamento!$C$205:$C$349,Memoria_Insumos!$A584)</f>
        <v>0</v>
      </c>
      <c r="C584" s="250"/>
      <c r="D584" s="250">
        <v>1.1999999999999999E-3</v>
      </c>
      <c r="E584" s="250"/>
      <c r="F584" s="250"/>
    </row>
    <row r="585" spans="1:6" hidden="1">
      <c r="A585" s="250" t="s">
        <v>964</v>
      </c>
      <c r="B585" s="250">
        <f>SUMIFS(Orcamento!$K$205:$K$349,Orcamento!$C$205:$C$349,Memoria_Insumos!$A585)</f>
        <v>0</v>
      </c>
      <c r="C585" s="250"/>
      <c r="D585" s="250">
        <v>2.3999999999999998E-3</v>
      </c>
      <c r="E585" s="250"/>
      <c r="F585" s="250"/>
    </row>
    <row r="586" spans="1:6" hidden="1">
      <c r="A586" s="250" t="s">
        <v>965</v>
      </c>
      <c r="B586" s="250">
        <f>SUMIFS(Orcamento!$K$205:$K$349,Orcamento!$C$205:$C$349,Memoria_Insumos!$A586)</f>
        <v>0</v>
      </c>
      <c r="C586" s="250"/>
      <c r="D586" s="250">
        <v>1.1999999999999999E-3</v>
      </c>
      <c r="E586" s="250"/>
      <c r="F586" s="250"/>
    </row>
    <row r="587" spans="1:6" hidden="1">
      <c r="A587" s="250" t="s">
        <v>966</v>
      </c>
      <c r="B587" s="250">
        <f>SUMIFS(Orcamento!$K$205:$K$349,Orcamento!$C$205:$C$349,Memoria_Insumos!$A587)</f>
        <v>0</v>
      </c>
      <c r="C587" s="250"/>
      <c r="D587" s="250">
        <v>1.1999999999999999E-3</v>
      </c>
      <c r="E587" s="250"/>
      <c r="F587" s="250"/>
    </row>
    <row r="588" spans="1:6" hidden="1">
      <c r="A588" s="250" t="s">
        <v>967</v>
      </c>
      <c r="B588" s="250">
        <f>SUMIFS(Orcamento!$K$205:$K$349,Orcamento!$C$205:$C$349,Memoria_Insumos!$A588)</f>
        <v>0</v>
      </c>
      <c r="C588" s="250"/>
      <c r="D588" s="250">
        <v>1.1999999999999999E-3</v>
      </c>
      <c r="E588" s="250"/>
      <c r="F588" s="250"/>
    </row>
    <row r="589" spans="1:6" hidden="1">
      <c r="A589" s="250" t="s">
        <v>968</v>
      </c>
      <c r="B589" s="250">
        <f>SUMIFS(Orcamento!$K$205:$K$349,Orcamento!$C$205:$C$349,Memoria_Insumos!$A589)</f>
        <v>0</v>
      </c>
      <c r="C589" s="250"/>
      <c r="D589" s="250">
        <v>1.1999999999999999E-3</v>
      </c>
      <c r="E589" s="250"/>
      <c r="F589" s="250"/>
    </row>
    <row r="590" spans="1:6" hidden="1">
      <c r="A590" s="250" t="s">
        <v>969</v>
      </c>
      <c r="B590" s="250">
        <f>SUMIFS(Orcamento!$K$205:$K$349,Orcamento!$C$205:$C$349,Memoria_Insumos!$A590)</f>
        <v>0</v>
      </c>
      <c r="C590" s="250"/>
      <c r="D590" s="250">
        <v>1.1999999999999999E-3</v>
      </c>
      <c r="E590" s="250"/>
      <c r="F590" s="250"/>
    </row>
    <row r="591" spans="1:6" hidden="1">
      <c r="A591" s="250" t="s">
        <v>970</v>
      </c>
      <c r="B591" s="250">
        <f>SUMIFS(Orcamento!$K$205:$K$349,Orcamento!$C$205:$C$349,Memoria_Insumos!$A591)</f>
        <v>0</v>
      </c>
      <c r="C591" s="250"/>
      <c r="D591" s="250">
        <v>2.3999999999999998E-3</v>
      </c>
      <c r="E591" s="250"/>
      <c r="F591" s="250"/>
    </row>
    <row r="592" spans="1:6" hidden="1">
      <c r="A592" s="250" t="s">
        <v>971</v>
      </c>
      <c r="B592" s="250">
        <f>SUMIFS(Orcamento!$K$205:$K$349,Orcamento!$C$205:$C$349,Memoria_Insumos!$A592)</f>
        <v>0</v>
      </c>
      <c r="C592" s="250"/>
      <c r="D592" s="250">
        <v>1.1999999999999999E-3</v>
      </c>
      <c r="E592" s="250"/>
      <c r="F592" s="250"/>
    </row>
    <row r="593" spans="1:6" hidden="1">
      <c r="A593" s="250" t="s">
        <v>972</v>
      </c>
      <c r="B593" s="250">
        <f>SUMIFS(Orcamento!$K$205:$K$349,Orcamento!$C$205:$C$349,Memoria_Insumos!$A593)</f>
        <v>0</v>
      </c>
      <c r="C593" s="250"/>
      <c r="D593" s="250">
        <v>1.1999999999999999E-3</v>
      </c>
      <c r="E593" s="250"/>
      <c r="F593" s="250"/>
    </row>
    <row r="594" spans="1:6" hidden="1">
      <c r="A594" s="250" t="s">
        <v>973</v>
      </c>
      <c r="B594" s="250">
        <f>SUMIFS(Orcamento!$K$205:$K$349,Orcamento!$C$205:$C$349,Memoria_Insumos!$A594)</f>
        <v>0</v>
      </c>
      <c r="C594" s="250"/>
      <c r="D594" s="250">
        <v>1.1999999999999999E-3</v>
      </c>
      <c r="E594" s="250"/>
      <c r="F594" s="250"/>
    </row>
    <row r="595" spans="1:6" hidden="1">
      <c r="A595" s="250" t="s">
        <v>974</v>
      </c>
      <c r="B595" s="250">
        <f>SUMIFS(Orcamento!$K$205:$K$349,Orcamento!$C$205:$C$349,Memoria_Insumos!$A595)</f>
        <v>0</v>
      </c>
      <c r="C595" s="250"/>
      <c r="D595" s="250">
        <v>1.1999999999999999E-3</v>
      </c>
      <c r="E595" s="250"/>
      <c r="F595" s="250"/>
    </row>
    <row r="596" spans="1:6" hidden="1">
      <c r="A596" s="250" t="s">
        <v>975</v>
      </c>
      <c r="B596" s="250">
        <f>SUMIFS(Orcamento!$K$205:$K$349,Orcamento!$C$205:$C$349,Memoria_Insumos!$A596)</f>
        <v>0</v>
      </c>
      <c r="C596" s="250"/>
      <c r="D596" s="250">
        <v>1.1999999999999999E-3</v>
      </c>
      <c r="E596" s="250"/>
      <c r="F596" s="250"/>
    </row>
    <row r="597" spans="1:6" hidden="1">
      <c r="A597" s="250" t="s">
        <v>976</v>
      </c>
      <c r="B597" s="250">
        <f>SUMIFS(Orcamento!$K$205:$K$349,Orcamento!$C$205:$C$349,Memoria_Insumos!$A597)</f>
        <v>0</v>
      </c>
      <c r="C597" s="250"/>
      <c r="D597" s="250"/>
      <c r="E597" s="250">
        <v>0.11899999999999999</v>
      </c>
      <c r="F597" s="250"/>
    </row>
    <row r="598" spans="1:6" hidden="1">
      <c r="A598" s="250" t="s">
        <v>977</v>
      </c>
      <c r="B598" s="250">
        <f>SUMIFS(Orcamento!$K$205:$K$349,Orcamento!$C$205:$C$349,Memoria_Insumos!$A598)</f>
        <v>0</v>
      </c>
      <c r="C598" s="250"/>
      <c r="D598" s="250"/>
      <c r="E598" s="250">
        <v>0.11899999999999999</v>
      </c>
      <c r="F598" s="250"/>
    </row>
    <row r="599" spans="1:6" hidden="1">
      <c r="A599" s="250" t="s">
        <v>978</v>
      </c>
      <c r="B599" s="250">
        <f>SUMIFS(Orcamento!$K$205:$K$349,Orcamento!$C$205:$C$349,Memoria_Insumos!$A599)</f>
        <v>0</v>
      </c>
      <c r="C599" s="250"/>
      <c r="D599" s="250"/>
      <c r="E599" s="250">
        <v>0.11899999999999999</v>
      </c>
      <c r="F599" s="250"/>
    </row>
    <row r="600" spans="1:6" hidden="1">
      <c r="A600" s="250" t="s">
        <v>979</v>
      </c>
      <c r="B600" s="250">
        <f>SUMIFS(Orcamento!$K$205:$K$349,Orcamento!$C$205:$C$349,Memoria_Insumos!$A600)</f>
        <v>0</v>
      </c>
      <c r="C600" s="250"/>
      <c r="D600" s="250"/>
      <c r="E600" s="250">
        <v>0.11899999999999999</v>
      </c>
      <c r="F600" s="250"/>
    </row>
    <row r="601" spans="1:6" hidden="1">
      <c r="A601" s="250" t="s">
        <v>980</v>
      </c>
      <c r="B601" s="250">
        <f>SUMIFS(Orcamento!$K$205:$K$349,Orcamento!$C$205:$C$349,Memoria_Insumos!$A601)</f>
        <v>0</v>
      </c>
      <c r="C601" s="250"/>
      <c r="D601" s="250"/>
      <c r="E601" s="250">
        <v>0.11899999999999999</v>
      </c>
      <c r="F601" s="250"/>
    </row>
    <row r="602" spans="1:6" hidden="1">
      <c r="A602" s="250" t="s">
        <v>981</v>
      </c>
      <c r="B602" s="250">
        <f>SUMIFS(Orcamento!$K$205:$K$349,Orcamento!$C$205:$C$349,Memoria_Insumos!$A602)</f>
        <v>0</v>
      </c>
      <c r="C602" s="250"/>
      <c r="D602" s="250"/>
      <c r="E602" s="250">
        <v>0.11899999999999999</v>
      </c>
      <c r="F602" s="250"/>
    </row>
    <row r="603" spans="1:6" hidden="1">
      <c r="A603" s="250" t="s">
        <v>982</v>
      </c>
      <c r="B603" s="250">
        <f>SUMIFS(Orcamento!$K$205:$K$349,Orcamento!$C$205:$C$349,Memoria_Insumos!$A603)</f>
        <v>0</v>
      </c>
      <c r="C603" s="250"/>
      <c r="D603" s="250"/>
      <c r="E603" s="250">
        <v>0.11899999999999999</v>
      </c>
      <c r="F603" s="250"/>
    </row>
    <row r="604" spans="1:6" hidden="1">
      <c r="A604" s="250" t="s">
        <v>983</v>
      </c>
      <c r="B604" s="250">
        <f>SUMIFS(Orcamento!$K$205:$K$349,Orcamento!$C$205:$C$349,Memoria_Insumos!$A604)</f>
        <v>0</v>
      </c>
      <c r="C604" s="250"/>
      <c r="D604" s="250"/>
      <c r="E604" s="250">
        <v>0.11899999999999999</v>
      </c>
      <c r="F604" s="250"/>
    </row>
    <row r="605" spans="1:6" hidden="1">
      <c r="A605" s="250" t="s">
        <v>984</v>
      </c>
      <c r="B605" s="250">
        <f>SUMIFS(Orcamento!$K$205:$K$349,Orcamento!$C$205:$C$349,Memoria_Insumos!$A605)</f>
        <v>0</v>
      </c>
      <c r="C605" s="250"/>
      <c r="D605" s="250"/>
      <c r="E605" s="250">
        <v>0.11899999999999999</v>
      </c>
      <c r="F605" s="250"/>
    </row>
    <row r="606" spans="1:6" hidden="1">
      <c r="A606" s="250" t="s">
        <v>985</v>
      </c>
      <c r="B606" s="250">
        <f>SUMIFS(Orcamento!$K$205:$K$349,Orcamento!$C$205:$C$349,Memoria_Insumos!$A606)</f>
        <v>0</v>
      </c>
      <c r="C606" s="250">
        <v>4.81171128E-2</v>
      </c>
      <c r="D606" s="250">
        <v>6.7396800000000007E-2</v>
      </c>
      <c r="E606" s="250"/>
      <c r="F606" s="250"/>
    </row>
    <row r="607" spans="1:6" hidden="1">
      <c r="A607" s="250" t="s">
        <v>986</v>
      </c>
      <c r="B607" s="250">
        <f>SUMIFS(Orcamento!$K$205:$K$349,Orcamento!$C$205:$C$349,Memoria_Insumos!$A607)</f>
        <v>0</v>
      </c>
      <c r="C607" s="250">
        <v>4.5286694400000001E-2</v>
      </c>
      <c r="D607" s="250">
        <v>5.7760239999999997E-2</v>
      </c>
      <c r="E607" s="250"/>
      <c r="F607" s="250"/>
    </row>
    <row r="608" spans="1:6" hidden="1">
      <c r="A608" s="250" t="s">
        <v>987</v>
      </c>
      <c r="B608" s="250">
        <f>SUMIFS(Orcamento!$K$205:$K$349,Orcamento!$C$205:$C$349,Memoria_Insumos!$A608)</f>
        <v>0</v>
      </c>
      <c r="C608" s="250">
        <v>1.4152092E-2</v>
      </c>
      <c r="D608" s="250">
        <v>5.2971520000000001E-2</v>
      </c>
      <c r="E608" s="250"/>
      <c r="F608" s="250"/>
    </row>
    <row r="609" spans="1:6" hidden="1">
      <c r="A609" s="250" t="s">
        <v>988</v>
      </c>
      <c r="B609" s="250">
        <f>SUMIFS(Orcamento!$K$205:$K$349,Orcamento!$C$205:$C$349,Memoria_Insumos!$A609)</f>
        <v>0</v>
      </c>
      <c r="C609" s="250"/>
      <c r="D609" s="250">
        <v>0.10751632</v>
      </c>
      <c r="E609" s="250"/>
      <c r="F609" s="250"/>
    </row>
    <row r="610" spans="1:6" hidden="1">
      <c r="A610" s="250" t="s">
        <v>989</v>
      </c>
      <c r="B610" s="250">
        <f>SUMIFS(Orcamento!$K$205:$K$349,Orcamento!$C$205:$C$349,Memoria_Insumos!$A610)</f>
        <v>0</v>
      </c>
      <c r="C610" s="250"/>
      <c r="D610" s="250">
        <v>0.10704656</v>
      </c>
      <c r="E610" s="250"/>
      <c r="F610" s="250"/>
    </row>
    <row r="611" spans="1:6" hidden="1">
      <c r="A611" s="250" t="s">
        <v>990</v>
      </c>
      <c r="B611" s="250">
        <f>SUMIFS(Orcamento!$K$205:$K$349,Orcamento!$C$205:$C$349,Memoria_Insumos!$A611)</f>
        <v>0</v>
      </c>
      <c r="C611" s="250"/>
      <c r="D611" s="250">
        <v>8.4204479999999998E-2</v>
      </c>
      <c r="E611" s="250"/>
      <c r="F611" s="250"/>
    </row>
    <row r="612" spans="1:6" hidden="1">
      <c r="A612" s="250" t="s">
        <v>991</v>
      </c>
      <c r="B612" s="250">
        <f>SUMIFS(Orcamento!$K$205:$K$349,Orcamento!$C$205:$C$349,Memoria_Insumos!$A612)</f>
        <v>0</v>
      </c>
      <c r="C612" s="250"/>
      <c r="D612" s="250">
        <v>9.0252639999999995E-2</v>
      </c>
      <c r="E612" s="250"/>
      <c r="F612" s="250"/>
    </row>
    <row r="613" spans="1:6" hidden="1">
      <c r="A613" s="250" t="s">
        <v>992</v>
      </c>
      <c r="B613" s="250">
        <f>SUMIFS(Orcamento!$K$205:$K$349,Orcamento!$C$205:$C$349,Memoria_Insumos!$A613)</f>
        <v>0</v>
      </c>
      <c r="C613" s="250"/>
      <c r="D613" s="250">
        <v>6.447456E-2</v>
      </c>
      <c r="E613" s="250"/>
      <c r="F613" s="250"/>
    </row>
    <row r="614" spans="1:6" hidden="1">
      <c r="A614" s="250" t="s">
        <v>993</v>
      </c>
      <c r="B614" s="250">
        <f>SUMIFS(Orcamento!$K$205:$K$349,Orcamento!$C$205:$C$349,Memoria_Insumos!$A614)</f>
        <v>0</v>
      </c>
      <c r="C614" s="250"/>
      <c r="D614" s="250">
        <v>4.503824E-2</v>
      </c>
      <c r="E614" s="250"/>
      <c r="F614" s="250"/>
    </row>
    <row r="615" spans="1:6" hidden="1">
      <c r="A615" s="250" t="s">
        <v>994</v>
      </c>
      <c r="B615" s="250">
        <f>SUMIFS(Orcamento!$K$205:$K$349,Orcamento!$C$205:$C$349,Memoria_Insumos!$A615)</f>
        <v>0</v>
      </c>
      <c r="C615" s="250"/>
      <c r="D615" s="250"/>
      <c r="E615" s="250"/>
      <c r="F615" s="250">
        <v>166.71199999999999</v>
      </c>
    </row>
    <row r="616" spans="1:6" hidden="1">
      <c r="A616" s="250" t="s">
        <v>995</v>
      </c>
      <c r="B616" s="250">
        <f>SUMIFS(Orcamento!$K$205:$K$349,Orcamento!$C$205:$C$349,Memoria_Insumos!$A616)</f>
        <v>0</v>
      </c>
      <c r="C616" s="250"/>
      <c r="D616" s="250"/>
      <c r="E616" s="250"/>
      <c r="F616" s="250">
        <v>137.72200000000001</v>
      </c>
    </row>
    <row r="617" spans="1:6" hidden="1">
      <c r="A617" s="250" t="s">
        <v>996</v>
      </c>
      <c r="B617" s="250">
        <f>SUMIFS(Orcamento!$K$205:$K$349,Orcamento!$C$205:$C$349,Memoria_Insumos!$A617)</f>
        <v>0</v>
      </c>
      <c r="C617" s="250"/>
      <c r="D617" s="250"/>
      <c r="E617" s="250"/>
      <c r="F617" s="250">
        <v>98.748000000000005</v>
      </c>
    </row>
    <row r="618" spans="1:6" hidden="1">
      <c r="A618" s="250" t="s">
        <v>997</v>
      </c>
      <c r="B618" s="250">
        <f>SUMIFS(Orcamento!$K$205:$K$349,Orcamento!$C$205:$C$349,Memoria_Insumos!$A618)</f>
        <v>0</v>
      </c>
      <c r="C618" s="250"/>
      <c r="D618" s="250"/>
      <c r="E618" s="250"/>
      <c r="F618" s="250">
        <v>56.42</v>
      </c>
    </row>
    <row r="619" spans="1:6" hidden="1">
      <c r="A619" s="250" t="s">
        <v>998</v>
      </c>
      <c r="B619" s="250">
        <f>SUMIFS(Orcamento!$K$205:$K$349,Orcamento!$C$205:$C$349,Memoria_Insumos!$A619)</f>
        <v>0</v>
      </c>
      <c r="C619" s="250"/>
      <c r="D619" s="250"/>
      <c r="E619" s="250"/>
      <c r="F619" s="250">
        <v>159.65299999999999</v>
      </c>
    </row>
    <row r="620" spans="1:6" hidden="1">
      <c r="A620" s="250" t="s">
        <v>999</v>
      </c>
      <c r="B620" s="250">
        <f>SUMIFS(Orcamento!$K$205:$K$349,Orcamento!$C$205:$C$349,Memoria_Insumos!$A620)</f>
        <v>0</v>
      </c>
      <c r="C620" s="250"/>
      <c r="D620" s="250"/>
      <c r="E620" s="250"/>
      <c r="F620" s="250">
        <v>127.907</v>
      </c>
    </row>
    <row r="621" spans="1:6" hidden="1">
      <c r="A621" s="250" t="s">
        <v>1000</v>
      </c>
      <c r="B621" s="250">
        <f>SUMIFS(Orcamento!$K$205:$K$349,Orcamento!$C$205:$C$349,Memoria_Insumos!$A621)</f>
        <v>0</v>
      </c>
      <c r="C621" s="250"/>
      <c r="D621" s="250"/>
      <c r="E621" s="250"/>
      <c r="F621" s="250">
        <v>90.830999999999989</v>
      </c>
    </row>
    <row r="622" spans="1:6" hidden="1">
      <c r="A622" s="250" t="s">
        <v>1001</v>
      </c>
      <c r="B622" s="250">
        <f>SUMIFS(Orcamento!$K$205:$K$349,Orcamento!$C$205:$C$349,Memoria_Insumos!$A622)</f>
        <v>0</v>
      </c>
      <c r="C622" s="250"/>
      <c r="D622" s="250"/>
      <c r="E622" s="250"/>
      <c r="F622" s="250">
        <v>55.120000000000005</v>
      </c>
    </row>
    <row r="623" spans="1:6" hidden="1">
      <c r="A623" s="250" t="s">
        <v>1002</v>
      </c>
      <c r="B623" s="250">
        <f>SUMIFS(Orcamento!$K$205:$K$349,Orcamento!$C$205:$C$349,Memoria_Insumos!$A623)</f>
        <v>0</v>
      </c>
      <c r="C623" s="250"/>
      <c r="D623" s="250"/>
      <c r="E623" s="250"/>
      <c r="F623" s="250">
        <v>173.017</v>
      </c>
    </row>
    <row r="624" spans="1:6" hidden="1">
      <c r="A624" s="250" t="s">
        <v>1003</v>
      </c>
      <c r="B624" s="250">
        <f>SUMIFS(Orcamento!$K$205:$K$349,Orcamento!$C$205:$C$349,Memoria_Insumos!$A624)</f>
        <v>0</v>
      </c>
      <c r="C624" s="250"/>
      <c r="D624" s="250"/>
      <c r="E624" s="250"/>
      <c r="F624" s="250">
        <v>117.598</v>
      </c>
    </row>
    <row r="625" spans="1:6" hidden="1">
      <c r="A625" s="250" t="s">
        <v>1004</v>
      </c>
      <c r="B625" s="250">
        <f>SUMIFS(Orcamento!$K$205:$K$349,Orcamento!$C$205:$C$349,Memoria_Insumos!$A625)</f>
        <v>0</v>
      </c>
      <c r="C625" s="250"/>
      <c r="D625" s="250"/>
      <c r="E625" s="250"/>
      <c r="F625" s="250">
        <v>87.138999999999996</v>
      </c>
    </row>
    <row r="626" spans="1:6" hidden="1">
      <c r="A626" s="250" t="s">
        <v>1005</v>
      </c>
      <c r="B626" s="250">
        <f>SUMIFS(Orcamento!$K$205:$K$349,Orcamento!$C$205:$C$349,Memoria_Insumos!$A626)</f>
        <v>0</v>
      </c>
      <c r="C626" s="250"/>
      <c r="D626" s="250"/>
      <c r="E626" s="250"/>
      <c r="F626" s="250">
        <v>52.676000000000002</v>
      </c>
    </row>
    <row r="627" spans="1:6" hidden="1">
      <c r="A627" s="250" t="s">
        <v>1006</v>
      </c>
      <c r="B627" s="250">
        <f>SUMIFS(Orcamento!$K$205:$K$349,Orcamento!$C$205:$C$349,Memoria_Insumos!$A627)</f>
        <v>0</v>
      </c>
      <c r="C627" s="250"/>
      <c r="D627" s="250"/>
      <c r="E627" s="250"/>
      <c r="F627" s="250">
        <v>66.013999999999996</v>
      </c>
    </row>
    <row r="628" spans="1:6" hidden="1">
      <c r="A628" s="250" t="s">
        <v>1007</v>
      </c>
      <c r="B628" s="250">
        <f>SUMIFS(Orcamento!$K$205:$K$349,Orcamento!$C$205:$C$349,Memoria_Insumos!$A628)</f>
        <v>0</v>
      </c>
      <c r="C628" s="250"/>
      <c r="D628" s="250"/>
      <c r="E628" s="250"/>
      <c r="F628" s="250">
        <v>40.533999999999999</v>
      </c>
    </row>
    <row r="629" spans="1:6" hidden="1">
      <c r="A629" s="250" t="s">
        <v>1008</v>
      </c>
      <c r="B629" s="250">
        <f>SUMIFS(Orcamento!$K$205:$K$349,Orcamento!$C$205:$C$349,Memoria_Insumos!$A629)</f>
        <v>0</v>
      </c>
      <c r="C629" s="250"/>
      <c r="D629" s="250"/>
      <c r="E629" s="250"/>
      <c r="F629" s="250">
        <v>29.808999999999997</v>
      </c>
    </row>
    <row r="630" spans="1:6" hidden="1">
      <c r="A630" s="250" t="s">
        <v>1009</v>
      </c>
      <c r="B630" s="250">
        <f>SUMIFS(Orcamento!$K$205:$K$349,Orcamento!$C$205:$C$349,Memoria_Insumos!$A630)</f>
        <v>0</v>
      </c>
      <c r="C630" s="250"/>
      <c r="D630" s="250"/>
      <c r="E630" s="250"/>
      <c r="F630" s="250">
        <v>26.936</v>
      </c>
    </row>
    <row r="631" spans="1:6" hidden="1">
      <c r="A631" s="250" t="s">
        <v>1010</v>
      </c>
      <c r="B631" s="250">
        <f>SUMIFS(Orcamento!$K$205:$K$349,Orcamento!$C$205:$C$349,Memoria_Insumos!$A631)</f>
        <v>0</v>
      </c>
      <c r="C631" s="250"/>
      <c r="D631" s="250"/>
      <c r="E631" s="250"/>
      <c r="F631" s="250">
        <v>17.186</v>
      </c>
    </row>
    <row r="632" spans="1:6" hidden="1">
      <c r="A632" s="250" t="s">
        <v>1011</v>
      </c>
      <c r="B632" s="250">
        <f>SUMIFS(Orcamento!$K$205:$K$349,Orcamento!$C$205:$C$349,Memoria_Insumos!$A632)</f>
        <v>0</v>
      </c>
      <c r="C632" s="250"/>
      <c r="D632" s="250"/>
      <c r="E632" s="250"/>
      <c r="F632" s="250">
        <v>15.288</v>
      </c>
    </row>
    <row r="633" spans="1:6" hidden="1">
      <c r="A633" s="250" t="s">
        <v>1012</v>
      </c>
      <c r="B633" s="250">
        <f>SUMIFS(Orcamento!$K$205:$K$349,Orcamento!$C$205:$C$349,Memoria_Insumos!$A633)</f>
        <v>0</v>
      </c>
      <c r="C633" s="250"/>
      <c r="D633" s="250"/>
      <c r="E633" s="250"/>
      <c r="F633" s="250">
        <v>57.72</v>
      </c>
    </row>
    <row r="634" spans="1:6" hidden="1">
      <c r="A634" s="250" t="s">
        <v>1013</v>
      </c>
      <c r="B634" s="250">
        <f>SUMIFS(Orcamento!$K$205:$K$349,Orcamento!$C$205:$C$349,Memoria_Insumos!$A634)</f>
        <v>0</v>
      </c>
      <c r="C634" s="250"/>
      <c r="D634" s="250"/>
      <c r="E634" s="250"/>
      <c r="F634" s="250">
        <v>36.686</v>
      </c>
    </row>
    <row r="635" spans="1:6" hidden="1">
      <c r="A635" s="250" t="s">
        <v>1014</v>
      </c>
      <c r="B635" s="250">
        <f>SUMIFS(Orcamento!$K$205:$K$349,Orcamento!$C$205:$C$349,Memoria_Insumos!$A635)</f>
        <v>0</v>
      </c>
      <c r="C635" s="250"/>
      <c r="D635" s="250"/>
      <c r="E635" s="250"/>
      <c r="F635" s="250">
        <v>26.936</v>
      </c>
    </row>
    <row r="636" spans="1:6" hidden="1">
      <c r="A636" s="250" t="s">
        <v>1015</v>
      </c>
      <c r="B636" s="250">
        <f>SUMIFS(Orcamento!$K$205:$K$349,Orcamento!$C$205:$C$349,Memoria_Insumos!$A636)</f>
        <v>0</v>
      </c>
      <c r="C636" s="250"/>
      <c r="D636" s="250"/>
      <c r="E636" s="250"/>
      <c r="F636" s="250">
        <v>24.063000000000002</v>
      </c>
    </row>
    <row r="637" spans="1:6" hidden="1">
      <c r="A637" s="250" t="s">
        <v>1016</v>
      </c>
      <c r="B637" s="250">
        <f>SUMIFS(Orcamento!$K$205:$K$349,Orcamento!$C$205:$C$349,Memoria_Insumos!$A637)</f>
        <v>0</v>
      </c>
      <c r="C637" s="250"/>
      <c r="D637" s="250"/>
      <c r="E637" s="250"/>
      <c r="F637" s="250">
        <v>15.288</v>
      </c>
    </row>
    <row r="638" spans="1:6" hidden="1">
      <c r="A638" s="250" t="s">
        <v>1017</v>
      </c>
      <c r="B638" s="250">
        <f>SUMIFS(Orcamento!$K$205:$K$349,Orcamento!$C$205:$C$349,Memoria_Insumos!$A638)</f>
        <v>0</v>
      </c>
      <c r="C638" s="250"/>
      <c r="D638" s="250"/>
      <c r="E638" s="250"/>
      <c r="F638" s="250">
        <v>13.39</v>
      </c>
    </row>
    <row r="639" spans="1:6" hidden="1">
      <c r="A639" s="250" t="s">
        <v>1018</v>
      </c>
      <c r="B639" s="250">
        <f>SUMIFS(Orcamento!$K$205:$K$349,Orcamento!$C$205:$C$349,Memoria_Insumos!$A639)</f>
        <v>0</v>
      </c>
      <c r="C639" s="250"/>
      <c r="D639" s="250"/>
      <c r="E639" s="250"/>
      <c r="F639" s="250">
        <v>49.426000000000002</v>
      </c>
    </row>
    <row r="640" spans="1:6" hidden="1">
      <c r="A640" s="250" t="s">
        <v>1019</v>
      </c>
      <c r="B640" s="250">
        <f>SUMIFS(Orcamento!$K$205:$K$349,Orcamento!$C$205:$C$349,Memoria_Insumos!$A640)</f>
        <v>0</v>
      </c>
      <c r="C640" s="250"/>
      <c r="D640" s="250"/>
      <c r="E640" s="250"/>
      <c r="F640" s="250">
        <v>32.838000000000001</v>
      </c>
    </row>
    <row r="641" spans="1:6" hidden="1">
      <c r="A641" s="250" t="s">
        <v>1020</v>
      </c>
      <c r="B641" s="250">
        <f>SUMIFS(Orcamento!$K$205:$K$349,Orcamento!$C$205:$C$349,Memoria_Insumos!$A641)</f>
        <v>0</v>
      </c>
      <c r="C641" s="250"/>
      <c r="D641" s="250"/>
      <c r="E641" s="250"/>
      <c r="F641" s="250">
        <v>21.189999999999998</v>
      </c>
    </row>
    <row r="642" spans="1:6" hidden="1">
      <c r="A642" s="250" t="s">
        <v>1021</v>
      </c>
      <c r="B642" s="250">
        <f>SUMIFS(Orcamento!$K$205:$K$349,Orcamento!$C$205:$C$349,Memoria_Insumos!$A642)</f>
        <v>0</v>
      </c>
      <c r="C642" s="250"/>
      <c r="D642" s="250"/>
      <c r="E642" s="250"/>
      <c r="F642" s="250">
        <v>21.189999999999998</v>
      </c>
    </row>
    <row r="643" spans="1:6" hidden="1">
      <c r="A643" s="250" t="s">
        <v>1022</v>
      </c>
      <c r="B643" s="250">
        <f>SUMIFS(Orcamento!$K$205:$K$349,Orcamento!$C$205:$C$349,Memoria_Insumos!$A643)</f>
        <v>0</v>
      </c>
      <c r="C643" s="250"/>
      <c r="D643" s="250"/>
      <c r="E643" s="250"/>
      <c r="F643" s="250">
        <v>13.39</v>
      </c>
    </row>
    <row r="644" spans="1:6" hidden="1">
      <c r="A644" s="250" t="s">
        <v>1023</v>
      </c>
      <c r="B644" s="250">
        <f>SUMIFS(Orcamento!$K$205:$K$349,Orcamento!$C$205:$C$349,Memoria_Insumos!$A644)</f>
        <v>0</v>
      </c>
      <c r="C644" s="250"/>
      <c r="D644" s="250"/>
      <c r="E644" s="250"/>
      <c r="F644" s="250">
        <v>13.39</v>
      </c>
    </row>
    <row r="645" spans="1:6" hidden="1">
      <c r="A645" s="250" t="s">
        <v>1024</v>
      </c>
      <c r="B645" s="250">
        <f>SUMIFS(Orcamento!$K$205:$K$349,Orcamento!$C$205:$C$349,Memoria_Insumos!$A645)</f>
        <v>0</v>
      </c>
      <c r="C645" s="250"/>
      <c r="D645" s="250">
        <v>5.3357463053999998</v>
      </c>
      <c r="E645" s="250"/>
      <c r="F645" s="250"/>
    </row>
    <row r="646" spans="1:6" hidden="1">
      <c r="A646" s="250" t="s">
        <v>1025</v>
      </c>
      <c r="B646" s="250">
        <f>SUMIFS(Orcamento!$K$205:$K$349,Orcamento!$C$205:$C$349,Memoria_Insumos!$A646)</f>
        <v>0</v>
      </c>
      <c r="C646" s="250"/>
      <c r="D646" s="250">
        <v>3.8338200348</v>
      </c>
      <c r="E646" s="250"/>
      <c r="F646" s="250"/>
    </row>
    <row r="647" spans="1:6" hidden="1">
      <c r="A647" s="250" t="s">
        <v>1026</v>
      </c>
      <c r="B647" s="250">
        <f>SUMIFS(Orcamento!$K$205:$K$349,Orcamento!$C$205:$C$349,Memoria_Insumos!$A647)</f>
        <v>0</v>
      </c>
      <c r="C647" s="250"/>
      <c r="D647" s="250">
        <v>2.6102365212</v>
      </c>
      <c r="E647" s="250"/>
      <c r="F647" s="250"/>
    </row>
    <row r="648" spans="1:6" hidden="1">
      <c r="A648" s="250" t="s">
        <v>1027</v>
      </c>
      <c r="B648" s="250">
        <f>SUMIFS(Orcamento!$K$205:$K$349,Orcamento!$C$205:$C$349,Memoria_Insumos!$A648)</f>
        <v>0</v>
      </c>
      <c r="C648" s="250"/>
      <c r="D648" s="250">
        <v>1.6180831614</v>
      </c>
      <c r="E648" s="250"/>
      <c r="F648" s="250"/>
    </row>
    <row r="649" spans="1:6" hidden="1">
      <c r="A649" s="250" t="s">
        <v>1028</v>
      </c>
      <c r="B649" s="250">
        <f>SUMIFS(Orcamento!$K$205:$K$349,Orcamento!$C$205:$C$349,Memoria_Insumos!$A649)</f>
        <v>0</v>
      </c>
      <c r="C649" s="250"/>
      <c r="D649" s="250">
        <v>3.9347945933999999</v>
      </c>
      <c r="E649" s="250"/>
      <c r="F649" s="250"/>
    </row>
    <row r="650" spans="1:6" hidden="1">
      <c r="A650" s="250" t="s">
        <v>1029</v>
      </c>
      <c r="B650" s="250">
        <f>SUMIFS(Orcamento!$K$205:$K$349,Orcamento!$C$205:$C$349,Memoria_Insumos!$A650)</f>
        <v>0</v>
      </c>
      <c r="C650" s="250"/>
      <c r="D650" s="250">
        <v>2.8333123757999998</v>
      </c>
      <c r="E650" s="250"/>
      <c r="F650" s="250"/>
    </row>
    <row r="651" spans="1:6" hidden="1">
      <c r="A651" s="250" t="s">
        <v>1030</v>
      </c>
      <c r="B651" s="250">
        <f>SUMIFS(Orcamento!$K$205:$K$349,Orcamento!$C$205:$C$349,Memoria_Insumos!$A651)</f>
        <v>0</v>
      </c>
      <c r="C651" s="250"/>
      <c r="D651" s="250">
        <v>1.9280758596000001</v>
      </c>
      <c r="E651" s="250"/>
      <c r="F651" s="250"/>
    </row>
    <row r="652" spans="1:6" hidden="1">
      <c r="A652" s="250" t="s">
        <v>1031</v>
      </c>
      <c r="B652" s="250">
        <f>SUMIFS(Orcamento!$K$205:$K$349,Orcamento!$C$205:$C$349,Memoria_Insumos!$A652)</f>
        <v>0</v>
      </c>
      <c r="C652" s="250"/>
      <c r="D652" s="250">
        <v>1.1939418174</v>
      </c>
      <c r="E652" s="250"/>
      <c r="F652" s="250"/>
    </row>
    <row r="653" spans="1:6" hidden="1">
      <c r="A653" s="250" t="s">
        <v>1032</v>
      </c>
      <c r="B653" s="250">
        <f>SUMIFS(Orcamento!$K$205:$K$349,Orcamento!$C$205:$C$349,Memoria_Insumos!$A653)</f>
        <v>0</v>
      </c>
      <c r="C653" s="250"/>
      <c r="D653" s="250">
        <v>2.5338428814</v>
      </c>
      <c r="E653" s="250"/>
      <c r="F653" s="250"/>
    </row>
    <row r="654" spans="1:6" hidden="1">
      <c r="A654" s="250" t="s">
        <v>1033</v>
      </c>
      <c r="B654" s="250">
        <f>SUMIFS(Orcamento!$K$205:$K$349,Orcamento!$C$205:$C$349,Memoria_Insumos!$A654)</f>
        <v>0</v>
      </c>
      <c r="C654" s="250"/>
      <c r="D654" s="250">
        <v>1.8328047167999999</v>
      </c>
      <c r="E654" s="250"/>
      <c r="F654" s="250"/>
    </row>
    <row r="655" spans="1:6" hidden="1">
      <c r="A655" s="250" t="s">
        <v>1034</v>
      </c>
      <c r="B655" s="250">
        <f>SUMIFS(Orcamento!$K$205:$K$349,Orcamento!$C$205:$C$349,Memoria_Insumos!$A655)</f>
        <v>0</v>
      </c>
      <c r="C655" s="250"/>
      <c r="D655" s="250">
        <v>1.2458348682</v>
      </c>
      <c r="E655" s="250"/>
      <c r="F655" s="250"/>
    </row>
    <row r="656" spans="1:6" hidden="1">
      <c r="A656" s="250" t="s">
        <v>1035</v>
      </c>
      <c r="B656" s="250">
        <f>SUMIFS(Orcamento!$K$205:$K$349,Orcamento!$C$205:$C$349,Memoria_Insumos!$A656)</f>
        <v>0</v>
      </c>
      <c r="C656" s="250"/>
      <c r="D656" s="250">
        <v>0.76980047340000002</v>
      </c>
      <c r="E656" s="250"/>
      <c r="F656" s="250"/>
    </row>
    <row r="657" spans="1:6" hidden="1">
      <c r="A657" s="250" t="s">
        <v>1036</v>
      </c>
      <c r="B657" s="250">
        <f>SUMIFS(Orcamento!$K$205:$K$349,Orcamento!$C$205:$C$349,Memoria_Insumos!$A657)</f>
        <v>0</v>
      </c>
      <c r="C657" s="250"/>
      <c r="D657" s="250">
        <v>1.7201823372</v>
      </c>
      <c r="E657" s="250"/>
      <c r="F657" s="250"/>
    </row>
    <row r="658" spans="1:6" hidden="1">
      <c r="A658" s="250" t="s">
        <v>1037</v>
      </c>
      <c r="B658" s="250">
        <f>SUMIFS(Orcamento!$K$205:$K$349,Orcamento!$C$205:$C$349,Memoria_Insumos!$A658)</f>
        <v>0</v>
      </c>
      <c r="C658" s="250"/>
      <c r="D658" s="250">
        <v>0.94556207579999996</v>
      </c>
      <c r="E658" s="250"/>
      <c r="F658" s="250"/>
    </row>
    <row r="659" spans="1:6" hidden="1">
      <c r="A659" s="250" t="s">
        <v>1038</v>
      </c>
      <c r="B659" s="250">
        <f>SUMIFS(Orcamento!$K$205:$K$349,Orcamento!$C$205:$C$349,Memoria_Insumos!$A659)</f>
        <v>0</v>
      </c>
      <c r="C659" s="250"/>
      <c r="D659" s="250">
        <v>0.76224947219999994</v>
      </c>
      <c r="E659" s="250"/>
      <c r="F659" s="250"/>
    </row>
    <row r="660" spans="1:6" hidden="1">
      <c r="A660" s="250" t="s">
        <v>1039</v>
      </c>
      <c r="B660" s="250">
        <f>SUMIFS(Orcamento!$K$205:$K$349,Orcamento!$C$205:$C$349,Memoria_Insumos!$A660)</f>
        <v>0</v>
      </c>
      <c r="C660" s="250"/>
      <c r="D660" s="250">
        <v>1.2748339259999999</v>
      </c>
      <c r="E660" s="250"/>
      <c r="F660" s="250"/>
    </row>
    <row r="661" spans="1:6" hidden="1">
      <c r="A661" s="250" t="s">
        <v>1040</v>
      </c>
      <c r="B661" s="250">
        <f>SUMIFS(Orcamento!$K$205:$K$349,Orcamento!$C$205:$C$349,Memoria_Insumos!$A661)</f>
        <v>0</v>
      </c>
      <c r="C661" s="250"/>
      <c r="D661" s="250">
        <v>0.69220188660000004</v>
      </c>
      <c r="E661" s="250"/>
      <c r="F661" s="250"/>
    </row>
    <row r="662" spans="1:6" hidden="1">
      <c r="A662" s="250" t="s">
        <v>1041</v>
      </c>
      <c r="B662" s="250">
        <f>SUMIFS(Orcamento!$K$205:$K$349,Orcamento!$C$205:$C$349,Memoria_Insumos!$A662)</f>
        <v>0</v>
      </c>
      <c r="C662" s="250"/>
      <c r="D662" s="250">
        <v>0.55981837619999997</v>
      </c>
      <c r="E662" s="250"/>
      <c r="F662" s="250"/>
    </row>
    <row r="663" spans="1:6" hidden="1">
      <c r="A663" s="250" t="s">
        <v>1042</v>
      </c>
      <c r="B663" s="250">
        <f>SUMIFS(Orcamento!$K$205:$K$349,Orcamento!$C$205:$C$349,Memoria_Insumos!$A663)</f>
        <v>0</v>
      </c>
      <c r="C663" s="250"/>
      <c r="D663" s="250">
        <v>0.82948551479999999</v>
      </c>
      <c r="E663" s="250"/>
      <c r="F663" s="250"/>
    </row>
    <row r="664" spans="1:6" hidden="1">
      <c r="A664" s="250" t="s">
        <v>1043</v>
      </c>
      <c r="B664" s="250">
        <f>SUMIFS(Orcamento!$K$205:$K$349,Orcamento!$C$205:$C$349,Memoria_Insumos!$A664)</f>
        <v>0</v>
      </c>
      <c r="C664" s="250"/>
      <c r="D664" s="250">
        <v>0.43884169740000001</v>
      </c>
      <c r="E664" s="250"/>
      <c r="F664" s="250"/>
    </row>
    <row r="665" spans="1:6" hidden="1">
      <c r="A665" s="250" t="s">
        <v>1044</v>
      </c>
      <c r="B665" s="250">
        <f>SUMIFS(Orcamento!$K$205:$K$349,Orcamento!$C$205:$C$349,Memoria_Insumos!$A665)</f>
        <v>0</v>
      </c>
      <c r="C665" s="250"/>
      <c r="D665" s="250">
        <v>0.35738728019999999</v>
      </c>
      <c r="E665" s="250"/>
      <c r="F665" s="250"/>
    </row>
    <row r="666" spans="1:6" hidden="1">
      <c r="A666" s="250" t="s">
        <v>1045</v>
      </c>
      <c r="B666" s="250">
        <f>SUMIFS(Orcamento!$K$205:$K$349,Orcamento!$C$205:$C$349,Memoria_Insumos!$A666)</f>
        <v>0</v>
      </c>
      <c r="C666" s="250"/>
      <c r="D666" s="250">
        <v>0.2672572446</v>
      </c>
      <c r="E666" s="250"/>
      <c r="F666" s="250"/>
    </row>
    <row r="667" spans="1:6" hidden="1">
      <c r="A667" s="250" t="s">
        <v>1046</v>
      </c>
      <c r="B667" s="250">
        <f>SUMIFS(Orcamento!$K$205:$K$349,Orcamento!$C$205:$C$349,Memoria_Insumos!$A667)</f>
        <v>0</v>
      </c>
      <c r="C667" s="250"/>
      <c r="D667" s="250">
        <v>0.1902209664</v>
      </c>
      <c r="E667" s="250"/>
      <c r="F667" s="250"/>
    </row>
    <row r="668" spans="1:6" hidden="1">
      <c r="A668" s="250" t="s">
        <v>1047</v>
      </c>
      <c r="B668" s="250">
        <f>SUMIFS(Orcamento!$K$205:$K$349,Orcamento!$C$205:$C$349,Memoria_Insumos!$A668)</f>
        <v>0</v>
      </c>
      <c r="C668" s="250"/>
      <c r="D668" s="250">
        <v>1.54233216</v>
      </c>
      <c r="E668" s="250"/>
      <c r="F668" s="250"/>
    </row>
    <row r="669" spans="1:6" hidden="1">
      <c r="A669" s="250" t="s">
        <v>1048</v>
      </c>
      <c r="B669" s="250">
        <f>SUMIFS(Orcamento!$K$205:$K$349,Orcamento!$C$205:$C$349,Memoria_Insumos!$A669)</f>
        <v>0</v>
      </c>
      <c r="C669" s="250"/>
      <c r="D669" s="250">
        <v>0.92379270000000002</v>
      </c>
      <c r="E669" s="250"/>
      <c r="F669" s="250"/>
    </row>
    <row r="670" spans="1:6" hidden="1">
      <c r="A670" s="250" t="s">
        <v>1049</v>
      </c>
      <c r="B670" s="250">
        <f>SUMIFS(Orcamento!$K$205:$K$349,Orcamento!$C$205:$C$349,Memoria_Insumos!$A670)</f>
        <v>0</v>
      </c>
      <c r="C670" s="250"/>
      <c r="D670" s="250">
        <v>0.70810718699999997</v>
      </c>
      <c r="E670" s="250"/>
      <c r="F670" s="250"/>
    </row>
    <row r="671" spans="1:6" hidden="1">
      <c r="A671" s="250" t="s">
        <v>1050</v>
      </c>
      <c r="B671" s="250">
        <f>SUMIFS(Orcamento!$K$205:$K$349,Orcamento!$C$205:$C$349,Memoria_Insumos!$A671)</f>
        <v>0</v>
      </c>
      <c r="C671" s="250"/>
      <c r="D671" s="250">
        <v>1.1053380479999999</v>
      </c>
      <c r="E671" s="250"/>
      <c r="F671" s="250"/>
    </row>
    <row r="672" spans="1:6" hidden="1">
      <c r="A672" s="250" t="s">
        <v>1051</v>
      </c>
      <c r="B672" s="250">
        <f>SUMIFS(Orcamento!$K$205:$K$349,Orcamento!$C$205:$C$349,Memoria_Insumos!$A672)</f>
        <v>0</v>
      </c>
      <c r="C672" s="250"/>
      <c r="D672" s="250">
        <v>0.66513074400000005</v>
      </c>
      <c r="E672" s="250"/>
      <c r="F672" s="250"/>
    </row>
    <row r="673" spans="1:6" hidden="1">
      <c r="A673" s="250" t="s">
        <v>1052</v>
      </c>
      <c r="B673" s="250">
        <f>SUMIFS(Orcamento!$K$205:$K$349,Orcamento!$C$205:$C$349,Memoria_Insumos!$A673)</f>
        <v>0</v>
      </c>
      <c r="C673" s="250"/>
      <c r="D673" s="250">
        <v>0.51049587900000004</v>
      </c>
      <c r="E673" s="250"/>
      <c r="F673" s="250"/>
    </row>
    <row r="674" spans="1:6" hidden="1">
      <c r="A674" s="250" t="s">
        <v>1053</v>
      </c>
      <c r="B674" s="250">
        <f>SUMIFS(Orcamento!$K$205:$K$349,Orcamento!$C$205:$C$349,Memoria_Insumos!$A674)</f>
        <v>0</v>
      </c>
      <c r="C674" s="250"/>
      <c r="D674" s="250">
        <v>0.375943464</v>
      </c>
      <c r="E674" s="250"/>
      <c r="F674" s="250"/>
    </row>
    <row r="675" spans="1:6" hidden="1">
      <c r="A675" s="250" t="s">
        <v>1054</v>
      </c>
      <c r="B675" s="250">
        <f>SUMIFS(Orcamento!$K$205:$K$349,Orcamento!$C$205:$C$349,Memoria_Insumos!$A675)</f>
        <v>0</v>
      </c>
      <c r="C675" s="250"/>
      <c r="D675" s="250">
        <v>0.66834393599999997</v>
      </c>
      <c r="E675" s="250"/>
      <c r="F675" s="250"/>
    </row>
    <row r="676" spans="1:6" hidden="1">
      <c r="A676" s="250" t="s">
        <v>1055</v>
      </c>
      <c r="B676" s="250">
        <f>SUMIFS(Orcamento!$K$205:$K$349,Orcamento!$C$205:$C$349,Memoria_Insumos!$A676)</f>
        <v>0</v>
      </c>
      <c r="C676" s="250"/>
      <c r="D676" s="250">
        <v>0.40646878800000003</v>
      </c>
      <c r="E676" s="250"/>
      <c r="F676" s="250"/>
    </row>
    <row r="677" spans="1:6" hidden="1">
      <c r="A677" s="250" t="s">
        <v>1056</v>
      </c>
      <c r="B677" s="250">
        <f>SUMIFS(Orcamento!$K$205:$K$349,Orcamento!$C$205:$C$349,Memoria_Insumos!$A677)</f>
        <v>0</v>
      </c>
      <c r="C677" s="250"/>
      <c r="D677" s="250">
        <v>0.312884571</v>
      </c>
      <c r="E677" s="250"/>
      <c r="F677" s="250"/>
    </row>
    <row r="678" spans="1:6" hidden="1">
      <c r="A678" s="250" t="s">
        <v>1057</v>
      </c>
      <c r="B678" s="250">
        <f>SUMIFS(Orcamento!$K$205:$K$349,Orcamento!$C$205:$C$349,Memoria_Insumos!$A678)</f>
        <v>0</v>
      </c>
      <c r="C678" s="250"/>
      <c r="D678" s="250">
        <v>0.23134982400000001</v>
      </c>
      <c r="E678" s="250"/>
      <c r="F678" s="250"/>
    </row>
    <row r="679" spans="1:6" hidden="1">
      <c r="A679" s="250" t="s">
        <v>1058</v>
      </c>
      <c r="B679" s="250">
        <f>SUMIFS(Orcamento!$K$205:$K$349,Orcamento!$C$205:$C$349,Memoria_Insumos!$A679)</f>
        <v>0</v>
      </c>
      <c r="C679" s="250"/>
      <c r="D679" s="250">
        <v>0.161864547</v>
      </c>
      <c r="E679" s="250"/>
      <c r="F679" s="250"/>
    </row>
    <row r="680" spans="1:6" hidden="1">
      <c r="A680" s="250" t="s">
        <v>1059</v>
      </c>
      <c r="B680" s="250">
        <f>SUMIFS(Orcamento!$K$205:$K$349,Orcamento!$C$205:$C$349,Memoria_Insumos!$A680)</f>
        <v>0</v>
      </c>
      <c r="C680" s="250"/>
      <c r="D680" s="250">
        <v>8.3141343000000006E-2</v>
      </c>
      <c r="E680" s="250"/>
      <c r="F680" s="250"/>
    </row>
    <row r="681" spans="1:6" hidden="1">
      <c r="A681" s="250" t="s">
        <v>1060</v>
      </c>
      <c r="B681" s="250">
        <f>SUMIFS(Orcamento!$K$205:$K$349,Orcamento!$C$205:$C$349,Memoria_Insumos!$A681)</f>
        <v>0</v>
      </c>
      <c r="C681" s="250">
        <v>2.6599999999999999E-2</v>
      </c>
      <c r="D681" s="250"/>
      <c r="E681" s="250"/>
      <c r="F681" s="250"/>
    </row>
    <row r="682" spans="1:6" hidden="1">
      <c r="A682" s="250" t="s">
        <v>1061</v>
      </c>
      <c r="B682" s="250">
        <f>SUMIFS(Orcamento!$K$205:$K$349,Orcamento!$C$205:$C$349,Memoria_Insumos!$A682)</f>
        <v>0</v>
      </c>
      <c r="C682" s="250">
        <v>2.6100000000000002E-2</v>
      </c>
      <c r="D682" s="250"/>
      <c r="E682" s="250"/>
      <c r="F682" s="250"/>
    </row>
    <row r="683" spans="1:6" hidden="1">
      <c r="A683" s="250" t="s">
        <v>1062</v>
      </c>
      <c r="B683" s="250">
        <f>SUMIFS(Orcamento!$K$205:$K$349,Orcamento!$C$205:$C$349,Memoria_Insumos!$A683)</f>
        <v>0</v>
      </c>
      <c r="C683" s="250">
        <v>2.5399999999999999E-2</v>
      </c>
      <c r="D683" s="250"/>
      <c r="E683" s="250"/>
      <c r="F683" s="250"/>
    </row>
    <row r="684" spans="1:6" hidden="1">
      <c r="A684" s="250" t="s">
        <v>1063</v>
      </c>
      <c r="B684" s="250">
        <f>SUMIFS(Orcamento!$K$205:$K$349,Orcamento!$C$205:$C$349,Memoria_Insumos!$A684)</f>
        <v>0</v>
      </c>
      <c r="C684" s="250"/>
      <c r="D684" s="250"/>
      <c r="E684" s="250">
        <v>8.2100000000000006E-2</v>
      </c>
      <c r="F684" s="250"/>
    </row>
    <row r="685" spans="1:6" hidden="1">
      <c r="A685" s="250" t="s">
        <v>1064</v>
      </c>
      <c r="B685" s="250">
        <f>SUMIFS(Orcamento!$K$205:$K$349,Orcamento!$C$205:$C$349,Memoria_Insumos!$A685)</f>
        <v>0</v>
      </c>
      <c r="C685" s="250"/>
      <c r="D685" s="250"/>
      <c r="E685" s="250">
        <v>8.2100000000000006E-2</v>
      </c>
      <c r="F685" s="250"/>
    </row>
    <row r="686" spans="1:6" hidden="1">
      <c r="A686" s="250" t="s">
        <v>1065</v>
      </c>
      <c r="B686" s="250">
        <f>SUMIFS(Orcamento!$K$205:$K$349,Orcamento!$C$205:$C$349,Memoria_Insumos!$A686)</f>
        <v>0</v>
      </c>
      <c r="C686" s="250"/>
      <c r="D686" s="250"/>
      <c r="E686" s="250">
        <v>1.1000000000000001</v>
      </c>
      <c r="F686" s="250"/>
    </row>
    <row r="687" spans="1:6" hidden="1">
      <c r="A687" s="250" t="s">
        <v>1066</v>
      </c>
      <c r="B687" s="250">
        <f>SUMIFS(Orcamento!$K$205:$K$349,Orcamento!$C$205:$C$349,Memoria_Insumos!$A687)</f>
        <v>0</v>
      </c>
      <c r="C687" s="250"/>
      <c r="D687" s="250"/>
      <c r="E687" s="250">
        <v>1.1000000000000001</v>
      </c>
      <c r="F687" s="250"/>
    </row>
    <row r="688" spans="1:6" hidden="1">
      <c r="A688" s="250" t="s">
        <v>1067</v>
      </c>
      <c r="B688" s="250">
        <f>SUMIFS(Orcamento!$K$205:$K$349,Orcamento!$C$205:$C$349,Memoria_Insumos!$A688)</f>
        <v>0</v>
      </c>
      <c r="C688" s="250"/>
      <c r="D688" s="250"/>
      <c r="E688" s="250">
        <v>0.43140000000000001</v>
      </c>
      <c r="F688" s="250"/>
    </row>
    <row r="689" spans="1:6" hidden="1">
      <c r="A689" s="250" t="s">
        <v>1068</v>
      </c>
      <c r="B689" s="250">
        <f>SUMIFS(Orcamento!$K$205:$K$349,Orcamento!$C$205:$C$349,Memoria_Insumos!$A689)</f>
        <v>0</v>
      </c>
      <c r="C689" s="250"/>
      <c r="D689" s="250"/>
      <c r="E689" s="250">
        <v>0.43140000000000001</v>
      </c>
      <c r="F689" s="250"/>
    </row>
    <row r="690" spans="1:6" hidden="1">
      <c r="A690" s="250" t="s">
        <v>1069</v>
      </c>
      <c r="B690" s="250">
        <f>SUMIFS(Orcamento!$K$205:$K$349,Orcamento!$C$205:$C$349,Memoria_Insumos!$A690)</f>
        <v>0</v>
      </c>
      <c r="C690" s="250"/>
      <c r="D690" s="250"/>
      <c r="E690" s="250">
        <v>0.16739999999999999</v>
      </c>
      <c r="F690" s="250"/>
    </row>
    <row r="691" spans="1:6" hidden="1">
      <c r="A691" s="250" t="s">
        <v>1070</v>
      </c>
      <c r="B691" s="250">
        <f>SUMIFS(Orcamento!$K$205:$K$349,Orcamento!$C$205:$C$349,Memoria_Insumos!$A691)</f>
        <v>0</v>
      </c>
      <c r="C691" s="250"/>
      <c r="D691" s="250"/>
      <c r="E691" s="250">
        <v>0.16739999999999999</v>
      </c>
      <c r="F691" s="250"/>
    </row>
    <row r="692" spans="1:6" hidden="1">
      <c r="A692" s="250" t="s">
        <v>1071</v>
      </c>
      <c r="B692" s="250">
        <f>SUMIFS(Orcamento!$K$205:$K$349,Orcamento!$C$205:$C$349,Memoria_Insumos!$A692)</f>
        <v>0</v>
      </c>
      <c r="C692" s="250"/>
      <c r="D692" s="250"/>
      <c r="E692" s="250">
        <v>0.79039999999999999</v>
      </c>
      <c r="F692" s="250"/>
    </row>
    <row r="693" spans="1:6" hidden="1">
      <c r="A693" s="250" t="s">
        <v>1072</v>
      </c>
      <c r="B693" s="250">
        <f>SUMIFS(Orcamento!$K$205:$K$349,Orcamento!$C$205:$C$349,Memoria_Insumos!$A693)</f>
        <v>0</v>
      </c>
      <c r="C693" s="250"/>
      <c r="D693" s="250"/>
      <c r="E693" s="250">
        <v>0.81640000000000001</v>
      </c>
      <c r="F693" s="250"/>
    </row>
    <row r="694" spans="1:6" hidden="1">
      <c r="A694" s="250" t="s">
        <v>1073</v>
      </c>
      <c r="B694" s="250">
        <f>SUMIFS(Orcamento!$K$205:$K$349,Orcamento!$C$205:$C$349,Memoria_Insumos!$A694)</f>
        <v>0</v>
      </c>
      <c r="C694" s="250"/>
      <c r="D694" s="250"/>
      <c r="E694" s="250">
        <v>0.81640000000000001</v>
      </c>
      <c r="F694" s="250"/>
    </row>
    <row r="695" spans="1:6" hidden="1">
      <c r="A695" s="250" t="s">
        <v>1074</v>
      </c>
      <c r="B695" s="250">
        <f>SUMIFS(Orcamento!$K$205:$K$349,Orcamento!$C$205:$C$349,Memoria_Insumos!$A695)</f>
        <v>0</v>
      </c>
      <c r="C695" s="250"/>
      <c r="D695" s="250"/>
      <c r="E695" s="250">
        <v>0.65290000000000004</v>
      </c>
      <c r="F695" s="250"/>
    </row>
    <row r="696" spans="1:6" hidden="1">
      <c r="A696" s="250" t="s">
        <v>1075</v>
      </c>
      <c r="B696" s="250">
        <f>SUMIFS(Orcamento!$K$205:$K$349,Orcamento!$C$205:$C$349,Memoria_Insumos!$A696)</f>
        <v>0</v>
      </c>
      <c r="C696" s="250"/>
      <c r="D696" s="250"/>
      <c r="E696" s="250">
        <v>0.67889999999999995</v>
      </c>
      <c r="F696" s="250"/>
    </row>
    <row r="697" spans="1:6" hidden="1">
      <c r="A697" s="250" t="s">
        <v>1076</v>
      </c>
      <c r="B697" s="250">
        <f>SUMIFS(Orcamento!$K$205:$K$349,Orcamento!$C$205:$C$349,Memoria_Insumos!$A697)</f>
        <v>0</v>
      </c>
      <c r="C697" s="250"/>
      <c r="D697" s="250"/>
      <c r="E697" s="250">
        <v>0.67889999999999995</v>
      </c>
      <c r="F697" s="250"/>
    </row>
    <row r="698" spans="1:6" hidden="1">
      <c r="A698" s="250" t="s">
        <v>1077</v>
      </c>
      <c r="B698" s="250">
        <f>SUMIFS(Orcamento!$K$205:$K$349,Orcamento!$C$205:$C$349,Memoria_Insumos!$A698)</f>
        <v>0</v>
      </c>
      <c r="C698" s="250"/>
      <c r="D698" s="250"/>
      <c r="E698" s="250">
        <v>0.82499999999999996</v>
      </c>
      <c r="F698" s="250"/>
    </row>
    <row r="699" spans="1:6" hidden="1">
      <c r="A699" s="250" t="s">
        <v>1078</v>
      </c>
      <c r="B699" s="250">
        <f>SUMIFS(Orcamento!$K$205:$K$349,Orcamento!$C$205:$C$349,Memoria_Insumos!$A699)</f>
        <v>0</v>
      </c>
      <c r="C699" s="250"/>
      <c r="D699" s="250"/>
      <c r="E699" s="250">
        <v>0.6875</v>
      </c>
      <c r="F699" s="250"/>
    </row>
    <row r="700" spans="1:6" hidden="1">
      <c r="A700" s="250" t="s">
        <v>1079</v>
      </c>
      <c r="B700" s="250">
        <f>SUMIFS(Orcamento!$K$205:$K$349,Orcamento!$C$205:$C$349,Memoria_Insumos!$A700)</f>
        <v>0</v>
      </c>
      <c r="C700" s="250"/>
      <c r="D700" s="250"/>
      <c r="E700" s="250">
        <v>0.1414</v>
      </c>
      <c r="F700" s="250"/>
    </row>
    <row r="701" spans="1:6" hidden="1">
      <c r="A701" s="250" t="s">
        <v>1080</v>
      </c>
      <c r="B701" s="250">
        <f>SUMIFS(Orcamento!$K$205:$K$349,Orcamento!$C$205:$C$349,Memoria_Insumos!$A701)</f>
        <v>0</v>
      </c>
      <c r="C701" s="250"/>
      <c r="D701" s="250"/>
      <c r="E701" s="250">
        <v>0.16739999999999999</v>
      </c>
      <c r="F701" s="250"/>
    </row>
    <row r="702" spans="1:6" hidden="1">
      <c r="A702" s="250" t="s">
        <v>1081</v>
      </c>
      <c r="B702" s="250">
        <f>SUMIFS(Orcamento!$K$205:$K$349,Orcamento!$C$205:$C$349,Memoria_Insumos!$A702)</f>
        <v>0</v>
      </c>
      <c r="C702" s="250"/>
      <c r="D702" s="250"/>
      <c r="E702" s="250">
        <v>0.16739999999999999</v>
      </c>
      <c r="F702" s="250"/>
    </row>
    <row r="703" spans="1:6" hidden="1">
      <c r="A703" s="250" t="s">
        <v>1082</v>
      </c>
      <c r="B703" s="250">
        <f>SUMIFS(Orcamento!$K$205:$K$349,Orcamento!$C$205:$C$349,Memoria_Insumos!$A703)</f>
        <v>0</v>
      </c>
      <c r="C703" s="250"/>
      <c r="D703" s="250"/>
      <c r="E703" s="250">
        <v>0.17599999999999999</v>
      </c>
      <c r="F703" s="250"/>
    </row>
    <row r="704" spans="1:6" hidden="1">
      <c r="A704" s="250" t="s">
        <v>1083</v>
      </c>
      <c r="B704" s="250">
        <f>SUMIFS(Orcamento!$K$205:$K$349,Orcamento!$C$205:$C$349,Memoria_Insumos!$A704)</f>
        <v>0</v>
      </c>
      <c r="C704" s="250"/>
      <c r="D704" s="250"/>
      <c r="E704" s="250">
        <v>0.17599999999999999</v>
      </c>
      <c r="F704" s="250"/>
    </row>
    <row r="705" spans="1:6" hidden="1">
      <c r="A705" s="250" t="s">
        <v>1084</v>
      </c>
      <c r="B705" s="250">
        <f>SUMIFS(Orcamento!$K$205:$K$349,Orcamento!$C$205:$C$349,Memoria_Insumos!$A705)</f>
        <v>0</v>
      </c>
      <c r="C705" s="250"/>
      <c r="D705" s="250">
        <v>0.466256</v>
      </c>
      <c r="E705" s="250"/>
      <c r="F705" s="250">
        <v>0.45429999999999998</v>
      </c>
    </row>
    <row r="706" spans="1:6" hidden="1">
      <c r="A706" s="250" t="s">
        <v>1085</v>
      </c>
      <c r="B706" s="250">
        <f>SUMIFS(Orcamento!$K$205:$K$349,Orcamento!$C$205:$C$349,Memoria_Insumos!$A706)</f>
        <v>0</v>
      </c>
      <c r="C706" s="250"/>
      <c r="D706" s="250">
        <v>0.13906926084999999</v>
      </c>
      <c r="E706" s="250"/>
      <c r="F706" s="250"/>
    </row>
    <row r="707" spans="1:6" hidden="1">
      <c r="A707" s="250" t="s">
        <v>1086</v>
      </c>
      <c r="B707" s="250">
        <f>SUMIFS(Orcamento!$K$205:$K$349,Orcamento!$C$205:$C$349,Memoria_Insumos!$A707)</f>
        <v>0</v>
      </c>
      <c r="C707" s="250"/>
      <c r="D707" s="250">
        <v>2.6018999999999999E-3</v>
      </c>
      <c r="E707" s="250"/>
      <c r="F707" s="250"/>
    </row>
    <row r="708" spans="1:6" hidden="1">
      <c r="A708" s="250" t="s">
        <v>1087</v>
      </c>
      <c r="B708" s="250">
        <f>SUMIFS(Orcamento!$K$205:$K$349,Orcamento!$C$205:$C$349,Memoria_Insumos!$A708)</f>
        <v>0</v>
      </c>
      <c r="C708" s="250"/>
      <c r="D708" s="250">
        <v>2.6018999999999999E-3</v>
      </c>
      <c r="E708" s="250"/>
      <c r="F708" s="250"/>
    </row>
    <row r="709" spans="1:6" hidden="1">
      <c r="A709" s="250" t="s">
        <v>1088</v>
      </c>
      <c r="B709" s="250">
        <f>SUMIFS(Orcamento!$K$205:$K$349,Orcamento!$C$205:$C$349,Memoria_Insumos!$A709)</f>
        <v>0</v>
      </c>
      <c r="C709" s="250"/>
      <c r="D709" s="250">
        <v>2.6018999999999999E-3</v>
      </c>
      <c r="E709" s="250"/>
      <c r="F709" s="250"/>
    </row>
    <row r="710" spans="1:6" hidden="1">
      <c r="A710" s="250" t="s">
        <v>1089</v>
      </c>
      <c r="B710" s="250">
        <f>SUMIFS(Orcamento!$K$205:$K$349,Orcamento!$C$205:$C$349,Memoria_Insumos!$A710)</f>
        <v>0</v>
      </c>
      <c r="C710" s="250">
        <v>0.72258999999999995</v>
      </c>
      <c r="D710" s="250">
        <v>0.22131077182999997</v>
      </c>
      <c r="E710" s="250"/>
      <c r="F710" s="250"/>
    </row>
    <row r="711" spans="1:6" hidden="1">
      <c r="A711" s="250" t="s">
        <v>1090</v>
      </c>
      <c r="B711" s="250">
        <f>SUMIFS(Orcamento!$K$205:$K$349,Orcamento!$C$205:$C$349,Memoria_Insumos!$A711)</f>
        <v>0</v>
      </c>
      <c r="C711" s="250">
        <v>0.72258999999999995</v>
      </c>
      <c r="D711" s="250">
        <v>0.22131077182999997</v>
      </c>
      <c r="E711" s="250"/>
      <c r="F711" s="250"/>
    </row>
    <row r="712" spans="1:6" hidden="1">
      <c r="A712" s="250" t="s">
        <v>1091</v>
      </c>
      <c r="B712" s="250">
        <f>SUMIFS(Orcamento!$K$205:$K$349,Orcamento!$C$205:$C$349,Memoria_Insumos!$A712)</f>
        <v>0</v>
      </c>
      <c r="C712" s="250">
        <v>0.54845999999999995</v>
      </c>
      <c r="D712" s="250">
        <v>0.13906926084999999</v>
      </c>
      <c r="E712" s="250"/>
      <c r="F712" s="250"/>
    </row>
    <row r="713" spans="1:6" hidden="1">
      <c r="A713" s="250" t="s">
        <v>1092</v>
      </c>
      <c r="B713" s="250">
        <f>SUMIFS(Orcamento!$K$205:$K$349,Orcamento!$C$205:$C$349,Memoria_Insumos!$A713)</f>
        <v>0</v>
      </c>
      <c r="C713" s="250">
        <v>0.53080000000000005</v>
      </c>
      <c r="D713" s="250">
        <v>0.14699999999999999</v>
      </c>
      <c r="E713" s="250">
        <v>0.2606</v>
      </c>
      <c r="F713" s="250"/>
    </row>
    <row r="714" spans="1:6" hidden="1">
      <c r="A714" s="250" t="s">
        <v>1093</v>
      </c>
      <c r="B714" s="250">
        <f>SUMIFS(Orcamento!$K$205:$K$349,Orcamento!$C$205:$C$349,Memoria_Insumos!$A714)</f>
        <v>0</v>
      </c>
      <c r="C714" s="250"/>
      <c r="D714" s="250">
        <v>0.63270000000000004</v>
      </c>
      <c r="E714" s="250"/>
      <c r="F714" s="250"/>
    </row>
    <row r="715" spans="1:6" hidden="1">
      <c r="A715" s="250" t="s">
        <v>1094</v>
      </c>
      <c r="B715" s="250">
        <f>SUMIFS(Orcamento!$K$205:$K$349,Orcamento!$C$205:$C$349,Memoria_Insumos!$A715)</f>
        <v>0</v>
      </c>
      <c r="C715" s="250"/>
      <c r="D715" s="250">
        <v>0.64639999999999997</v>
      </c>
      <c r="E715" s="250"/>
      <c r="F715" s="250"/>
    </row>
    <row r="716" spans="1:6" hidden="1">
      <c r="A716" s="250" t="s">
        <v>1095</v>
      </c>
      <c r="B716" s="250">
        <f>SUMIFS(Orcamento!$K$205:$K$349,Orcamento!$C$205:$C$349,Memoria_Insumos!$A716)</f>
        <v>0</v>
      </c>
      <c r="C716" s="250"/>
      <c r="D716" s="250">
        <v>0.66020000000000001</v>
      </c>
      <c r="E716" s="250"/>
      <c r="F716" s="250"/>
    </row>
    <row r="717" spans="1:6" hidden="1">
      <c r="A717" s="250" t="s">
        <v>1096</v>
      </c>
      <c r="B717" s="250">
        <f>SUMIFS(Orcamento!$K$205:$K$349,Orcamento!$C$205:$C$349,Memoria_Insumos!$A717)</f>
        <v>0</v>
      </c>
      <c r="C717" s="250"/>
      <c r="D717" s="250">
        <v>0.75919999999999999</v>
      </c>
      <c r="E717" s="250"/>
      <c r="F717" s="250"/>
    </row>
    <row r="718" spans="1:6" hidden="1">
      <c r="A718" s="250" t="s">
        <v>1097</v>
      </c>
      <c r="B718" s="250">
        <f>SUMIFS(Orcamento!$K$205:$K$349,Orcamento!$C$205:$C$349,Memoria_Insumos!$A718)</f>
        <v>0</v>
      </c>
      <c r="C718" s="250"/>
      <c r="D718" s="250">
        <v>0.77569999999999995</v>
      </c>
      <c r="E718" s="250"/>
      <c r="F718" s="250"/>
    </row>
    <row r="719" spans="1:6" hidden="1">
      <c r="A719" s="250" t="s">
        <v>1098</v>
      </c>
      <c r="B719" s="250">
        <f>SUMIFS(Orcamento!$K$205:$K$349,Orcamento!$C$205:$C$349,Memoria_Insumos!$A719)</f>
        <v>0</v>
      </c>
      <c r="C719" s="250"/>
      <c r="D719" s="250">
        <v>0.79220000000000002</v>
      </c>
      <c r="E719" s="250"/>
      <c r="F719" s="250"/>
    </row>
    <row r="720" spans="1:6" hidden="1">
      <c r="A720" s="250" t="s">
        <v>1099</v>
      </c>
      <c r="B720" s="250">
        <f>SUMIFS(Orcamento!$K$205:$K$349,Orcamento!$C$205:$C$349,Memoria_Insumos!$A720)</f>
        <v>0</v>
      </c>
      <c r="C720" s="250"/>
      <c r="D720" s="250">
        <v>0.68769999999999998</v>
      </c>
      <c r="E720" s="250"/>
      <c r="F720" s="250"/>
    </row>
    <row r="721" spans="1:6" hidden="1">
      <c r="A721" s="250" t="s">
        <v>1100</v>
      </c>
      <c r="B721" s="250">
        <f>SUMIFS(Orcamento!$K$205:$K$349,Orcamento!$C$205:$C$349,Memoria_Insumos!$A721)</f>
        <v>0</v>
      </c>
      <c r="C721" s="250"/>
      <c r="D721" s="250">
        <v>0.82520000000000004</v>
      </c>
      <c r="E721" s="250"/>
      <c r="F721" s="250"/>
    </row>
    <row r="722" spans="1:6" hidden="1">
      <c r="A722" s="250" t="s">
        <v>1101</v>
      </c>
      <c r="B722" s="250">
        <f>SUMIFS(Orcamento!$K$205:$K$349,Orcamento!$C$205:$C$349,Memoria_Insumos!$A722)</f>
        <v>0</v>
      </c>
      <c r="C722" s="250">
        <v>0.53080000000000005</v>
      </c>
      <c r="D722" s="250">
        <v>0.14699999999999999</v>
      </c>
      <c r="E722" s="250">
        <v>0.2606</v>
      </c>
      <c r="F722" s="250"/>
    </row>
    <row r="723" spans="1:6" hidden="1">
      <c r="A723" s="250" t="s">
        <v>1102</v>
      </c>
      <c r="B723" s="250">
        <f>SUMIFS(Orcamento!$K$205:$K$349,Orcamento!$C$205:$C$349,Memoria_Insumos!$A723)</f>
        <v>0</v>
      </c>
      <c r="C723" s="250"/>
      <c r="D723" s="250">
        <v>0.63270000000000004</v>
      </c>
      <c r="E723" s="250"/>
      <c r="F723" s="250"/>
    </row>
    <row r="724" spans="1:6" hidden="1">
      <c r="A724" s="250" t="s">
        <v>1103</v>
      </c>
      <c r="B724" s="250">
        <f>SUMIFS(Orcamento!$K$205:$K$349,Orcamento!$C$205:$C$349,Memoria_Insumos!$A724)</f>
        <v>0</v>
      </c>
      <c r="C724" s="250"/>
      <c r="D724" s="250">
        <v>0.64639999999999997</v>
      </c>
      <c r="E724" s="250"/>
      <c r="F724" s="250"/>
    </row>
    <row r="725" spans="1:6" hidden="1">
      <c r="A725" s="250" t="s">
        <v>1104</v>
      </c>
      <c r="B725" s="250">
        <f>SUMIFS(Orcamento!$K$205:$K$349,Orcamento!$C$205:$C$349,Memoria_Insumos!$A725)</f>
        <v>0</v>
      </c>
      <c r="C725" s="250"/>
      <c r="D725" s="250">
        <v>0.66020000000000001</v>
      </c>
      <c r="E725" s="250"/>
      <c r="F725" s="250"/>
    </row>
    <row r="726" spans="1:6" hidden="1">
      <c r="A726" s="250" t="s">
        <v>1105</v>
      </c>
      <c r="B726" s="250">
        <f>SUMIFS(Orcamento!$K$205:$K$349,Orcamento!$C$205:$C$349,Memoria_Insumos!$A726)</f>
        <v>0</v>
      </c>
      <c r="C726" s="250"/>
      <c r="D726" s="250">
        <v>0.75919999999999999</v>
      </c>
      <c r="E726" s="250"/>
      <c r="F726" s="250"/>
    </row>
    <row r="727" spans="1:6" hidden="1">
      <c r="A727" s="250" t="s">
        <v>1106</v>
      </c>
      <c r="B727" s="250">
        <f>SUMIFS(Orcamento!$K$205:$K$349,Orcamento!$C$205:$C$349,Memoria_Insumos!$A727)</f>
        <v>0</v>
      </c>
      <c r="C727" s="250"/>
      <c r="D727" s="250">
        <v>0.77569999999999995</v>
      </c>
      <c r="E727" s="250"/>
      <c r="F727" s="250"/>
    </row>
    <row r="728" spans="1:6" hidden="1">
      <c r="A728" s="250" t="s">
        <v>1107</v>
      </c>
      <c r="B728" s="250">
        <f>SUMIFS(Orcamento!$K$205:$K$349,Orcamento!$C$205:$C$349,Memoria_Insumos!$A728)</f>
        <v>0</v>
      </c>
      <c r="C728" s="250"/>
      <c r="D728" s="250">
        <v>0.79220000000000002</v>
      </c>
      <c r="E728" s="250"/>
      <c r="F728" s="250"/>
    </row>
    <row r="729" spans="1:6" hidden="1">
      <c r="A729" s="250" t="s">
        <v>1108</v>
      </c>
      <c r="B729" s="250">
        <f>SUMIFS(Orcamento!$K$205:$K$349,Orcamento!$C$205:$C$349,Memoria_Insumos!$A729)</f>
        <v>0</v>
      </c>
      <c r="C729" s="250"/>
      <c r="D729" s="250">
        <v>0.68769999999999998</v>
      </c>
      <c r="E729" s="250"/>
      <c r="F729" s="250"/>
    </row>
    <row r="730" spans="1:6" hidden="1">
      <c r="A730" s="250" t="s">
        <v>1109</v>
      </c>
      <c r="B730" s="250">
        <f>SUMIFS(Orcamento!$K$205:$K$349,Orcamento!$C$205:$C$349,Memoria_Insumos!$A730)</f>
        <v>0</v>
      </c>
      <c r="C730" s="250"/>
      <c r="D730" s="250">
        <v>0.82520000000000004</v>
      </c>
      <c r="E730" s="250"/>
      <c r="F730" s="250"/>
    </row>
    <row r="731" spans="1:6" hidden="1">
      <c r="A731" s="250" t="s">
        <v>1110</v>
      </c>
      <c r="B731" s="250">
        <f>SUMIFS(Orcamento!$K$205:$K$349,Orcamento!$C$205:$C$349,Memoria_Insumos!$A731)</f>
        <v>0</v>
      </c>
      <c r="C731" s="250">
        <v>0.81311999999999995</v>
      </c>
      <c r="D731" s="250">
        <v>1.18819300761</v>
      </c>
      <c r="E731" s="250"/>
      <c r="F731" s="250"/>
    </row>
    <row r="732" spans="1:6" hidden="1">
      <c r="A732" s="250" t="s">
        <v>1111</v>
      </c>
      <c r="B732" s="250">
        <f>SUMIFS(Orcamento!$K$205:$K$349,Orcamento!$C$205:$C$349,Memoria_Insumos!$A732)</f>
        <v>0</v>
      </c>
      <c r="C732" s="250">
        <v>4.4549999999999999E-2</v>
      </c>
      <c r="D732" s="250">
        <v>2.6484048E-2</v>
      </c>
      <c r="E732" s="250"/>
      <c r="F732" s="250"/>
    </row>
    <row r="733" spans="1:6" hidden="1">
      <c r="A733" s="250" t="s">
        <v>1112</v>
      </c>
      <c r="B733" s="250">
        <f>SUMIFS(Orcamento!$K$205:$K$349,Orcamento!$C$205:$C$349,Memoria_Insumos!$A733)</f>
        <v>0</v>
      </c>
      <c r="C733" s="250"/>
      <c r="D733" s="250">
        <v>8.0148672000000004E-2</v>
      </c>
      <c r="E733" s="250"/>
      <c r="F733" s="250"/>
    </row>
    <row r="734" spans="1:6" hidden="1">
      <c r="A734" s="250" t="s">
        <v>1113</v>
      </c>
      <c r="B734" s="250">
        <f>SUMIFS(Orcamento!$K$205:$K$349,Orcamento!$C$205:$C$349,Memoria_Insumos!$A734)</f>
        <v>0</v>
      </c>
      <c r="C734" s="250"/>
      <c r="D734" s="250">
        <v>7.9288704000000002E-2</v>
      </c>
      <c r="E734" s="250"/>
      <c r="F734" s="250"/>
    </row>
    <row r="735" spans="1:6" hidden="1">
      <c r="A735" s="250" t="s">
        <v>1114</v>
      </c>
      <c r="B735" s="250">
        <f>SUMIFS(Orcamento!$K$205:$K$349,Orcamento!$C$205:$C$349,Memoria_Insumos!$A735)</f>
        <v>0</v>
      </c>
      <c r="C735" s="250">
        <v>5.2221219479999997E-2</v>
      </c>
      <c r="D735" s="250">
        <v>0.25726755636999998</v>
      </c>
      <c r="E735" s="250"/>
      <c r="F735" s="250"/>
    </row>
    <row r="736" spans="1:6" hidden="1">
      <c r="A736" s="250" t="s">
        <v>1115</v>
      </c>
      <c r="B736" s="250">
        <f>SUMIFS(Orcamento!$K$205:$K$349,Orcamento!$C$205:$C$349,Memoria_Insumos!$A736)</f>
        <v>0</v>
      </c>
      <c r="C736" s="250">
        <v>4.35176829E-2</v>
      </c>
      <c r="D736" s="250">
        <v>0.18498427116999999</v>
      </c>
      <c r="E736" s="250"/>
      <c r="F736" s="250"/>
    </row>
    <row r="737" spans="1:6" hidden="1">
      <c r="A737" s="250" t="s">
        <v>1116</v>
      </c>
      <c r="B737" s="250">
        <f>SUMIFS(Orcamento!$K$205:$K$349,Orcamento!$C$205:$C$349,Memoria_Insumos!$A737)</f>
        <v>0</v>
      </c>
      <c r="C737" s="250">
        <v>3.4814146320000003E-2</v>
      </c>
      <c r="D737" s="250">
        <v>0.12749218000000001</v>
      </c>
      <c r="E737" s="250"/>
      <c r="F737" s="250"/>
    </row>
    <row r="738" spans="1:6" hidden="1">
      <c r="A738" s="250" t="s">
        <v>1117</v>
      </c>
      <c r="B738" s="250">
        <f>SUMIFS(Orcamento!$K$205:$K$349,Orcamento!$C$205:$C$349,Memoria_Insumos!$A738)</f>
        <v>0</v>
      </c>
      <c r="C738" s="250">
        <v>5.2221219479999997E-2</v>
      </c>
      <c r="D738" s="250">
        <v>0.24436803636999999</v>
      </c>
      <c r="E738" s="250"/>
      <c r="F738" s="250"/>
    </row>
    <row r="739" spans="1:6" hidden="1">
      <c r="A739" s="250" t="s">
        <v>1118</v>
      </c>
      <c r="B739" s="250">
        <f>SUMIFS(Orcamento!$K$205:$K$349,Orcamento!$C$205:$C$349,Memoria_Insumos!$A739)</f>
        <v>0</v>
      </c>
      <c r="C739" s="250">
        <v>3.700772058E-2</v>
      </c>
      <c r="D739" s="250">
        <v>6.7396800000000007E-2</v>
      </c>
      <c r="E739" s="250"/>
      <c r="F739" s="250"/>
    </row>
    <row r="740" spans="1:6" hidden="1">
      <c r="A740" s="250" t="s">
        <v>1119</v>
      </c>
      <c r="B740" s="250">
        <f>SUMIFS(Orcamento!$K$205:$K$349,Orcamento!$C$205:$C$349,Memoria_Insumos!$A740)</f>
        <v>0</v>
      </c>
      <c r="C740" s="250">
        <v>4.81171128E-2</v>
      </c>
      <c r="D740" s="250">
        <v>4.1265759999999999E-2</v>
      </c>
      <c r="E740" s="250"/>
      <c r="F740" s="250"/>
    </row>
    <row r="741" spans="1:6" hidden="1">
      <c r="A741" s="250" t="s">
        <v>1120</v>
      </c>
      <c r="B741" s="250">
        <f>SUMIFS(Orcamento!$K$205:$K$349,Orcamento!$C$205:$C$349,Memoria_Insumos!$A741)</f>
        <v>0</v>
      </c>
      <c r="C741" s="250">
        <v>2.9365590899999999E-2</v>
      </c>
      <c r="D741" s="250">
        <v>8.7825879999999995E-2</v>
      </c>
      <c r="E741" s="250"/>
      <c r="F741" s="250"/>
    </row>
    <row r="742" spans="1:6" hidden="1">
      <c r="A742" s="250" t="s">
        <v>1121</v>
      </c>
      <c r="B742" s="250">
        <f>SUMIFS(Orcamento!$K$205:$K$349,Orcamento!$C$205:$C$349,Memoria_Insumos!$A742)</f>
        <v>0</v>
      </c>
      <c r="C742" s="250">
        <v>1.1000000000000001</v>
      </c>
      <c r="D742" s="250"/>
      <c r="E742" s="250"/>
      <c r="F742" s="250"/>
    </row>
    <row r="743" spans="1:6" hidden="1">
      <c r="A743" s="250" t="s">
        <v>1122</v>
      </c>
      <c r="B743" s="250">
        <f>SUMIFS(Orcamento!$K$205:$K$349,Orcamento!$C$205:$C$349,Memoria_Insumos!$A743)</f>
        <v>0</v>
      </c>
      <c r="C743" s="250">
        <v>1.1000000000000001</v>
      </c>
      <c r="D743" s="250"/>
      <c r="E743" s="250"/>
      <c r="F743" s="250"/>
    </row>
    <row r="744" spans="1:6" hidden="1">
      <c r="A744" s="250" t="s">
        <v>1123</v>
      </c>
      <c r="B744" s="250">
        <f>SUMIFS(Orcamento!$K$205:$K$349,Orcamento!$C$205:$C$349,Memoria_Insumos!$A744)</f>
        <v>0</v>
      </c>
      <c r="C744" s="250">
        <v>1.1000000000000001</v>
      </c>
      <c r="D744" s="250"/>
      <c r="E744" s="250"/>
      <c r="F744" s="250"/>
    </row>
    <row r="745" spans="1:6" hidden="1">
      <c r="A745" s="250" t="s">
        <v>1124</v>
      </c>
      <c r="B745" s="250">
        <f>SUMIFS(Orcamento!$K$205:$K$349,Orcamento!$C$205:$C$349,Memoria_Insumos!$A745)</f>
        <v>0</v>
      </c>
      <c r="C745" s="250">
        <v>1.1000000000000001</v>
      </c>
      <c r="D745" s="250"/>
      <c r="E745" s="250"/>
      <c r="F745" s="250"/>
    </row>
    <row r="746" spans="1:6" hidden="1">
      <c r="A746" s="250" t="s">
        <v>1125</v>
      </c>
      <c r="B746" s="250">
        <f>SUMIFS(Orcamento!$K$205:$K$349,Orcamento!$C$205:$C$349,Memoria_Insumos!$A746)</f>
        <v>0</v>
      </c>
      <c r="C746" s="250"/>
      <c r="D746" s="250">
        <v>5.2037999999999997E-3</v>
      </c>
      <c r="E746" s="250"/>
      <c r="F746" s="250"/>
    </row>
    <row r="747" spans="1:6" hidden="1">
      <c r="A747" s="250" t="s">
        <v>1126</v>
      </c>
      <c r="B747" s="250">
        <f>SUMIFS(Orcamento!$K$205:$K$349,Orcamento!$C$205:$C$349,Memoria_Insumos!$A747)</f>
        <v>0</v>
      </c>
      <c r="C747" s="250"/>
      <c r="D747" s="250">
        <v>5.2037999999999997E-3</v>
      </c>
      <c r="E747" s="250"/>
      <c r="F747" s="250"/>
    </row>
    <row r="748" spans="1:6" hidden="1">
      <c r="A748" s="250" t="s">
        <v>1127</v>
      </c>
      <c r="B748" s="250">
        <f>SUMIFS(Orcamento!$K$205:$K$349,Orcamento!$C$205:$C$349,Memoria_Insumos!$A748)</f>
        <v>0</v>
      </c>
      <c r="C748" s="250"/>
      <c r="D748" s="250">
        <v>5.2038000000000001E-2</v>
      </c>
      <c r="E748" s="250"/>
      <c r="F748" s="250"/>
    </row>
    <row r="749" spans="1:6" hidden="1">
      <c r="A749" s="250" t="s">
        <v>1128</v>
      </c>
      <c r="B749" s="250">
        <f>SUMIFS(Orcamento!$K$205:$K$349,Orcamento!$C$205:$C$349,Memoria_Insumos!$A749)</f>
        <v>0</v>
      </c>
      <c r="C749" s="250"/>
      <c r="D749" s="250">
        <v>5.2037999999999997E-3</v>
      </c>
      <c r="E749" s="250"/>
      <c r="F749" s="250"/>
    </row>
    <row r="750" spans="1:6" hidden="1">
      <c r="A750" s="250" t="s">
        <v>1129</v>
      </c>
      <c r="B750" s="250">
        <f>SUMIFS(Orcamento!$K$205:$K$349,Orcamento!$C$205:$C$349,Memoria_Insumos!$A750)</f>
        <v>0</v>
      </c>
      <c r="C750" s="250"/>
      <c r="D750" s="250">
        <v>5.2037999999999997E-3</v>
      </c>
      <c r="E750" s="250"/>
      <c r="F750" s="250"/>
    </row>
    <row r="751" spans="1:6" hidden="1">
      <c r="A751" s="250" t="s">
        <v>1130</v>
      </c>
      <c r="B751" s="250">
        <f>SUMIFS(Orcamento!$K$205:$K$349,Orcamento!$C$205:$C$349,Memoria_Insumos!$A751)</f>
        <v>0</v>
      </c>
      <c r="C751" s="250"/>
      <c r="D751" s="250">
        <v>5.2037999999999997E-3</v>
      </c>
      <c r="E751" s="250"/>
      <c r="F751" s="250"/>
    </row>
    <row r="752" spans="1:6" hidden="1">
      <c r="A752" s="250" t="s">
        <v>1131</v>
      </c>
      <c r="B752" s="250">
        <f>SUMIFS(Orcamento!$K$205:$K$349,Orcamento!$C$205:$C$349,Memoria_Insumos!$A752)</f>
        <v>0</v>
      </c>
      <c r="C752" s="250"/>
      <c r="D752" s="250">
        <v>5.2037999999999997E-3</v>
      </c>
      <c r="E752" s="250"/>
      <c r="F752" s="250"/>
    </row>
    <row r="753" spans="1:6" hidden="1">
      <c r="A753" s="250" t="s">
        <v>1132</v>
      </c>
      <c r="B753" s="250">
        <f>SUMIFS(Orcamento!$K$205:$K$349,Orcamento!$C$205:$C$349,Memoria_Insumos!$A753)</f>
        <v>0</v>
      </c>
      <c r="C753" s="250"/>
      <c r="D753" s="250">
        <v>5.2037999999999997E-3</v>
      </c>
      <c r="E753" s="250"/>
      <c r="F753" s="250"/>
    </row>
    <row r="754" spans="1:6" hidden="1">
      <c r="A754" s="250" t="s">
        <v>1133</v>
      </c>
      <c r="B754" s="250">
        <f>SUMIFS(Orcamento!$K$205:$K$349,Orcamento!$C$205:$C$349,Memoria_Insumos!$A754)</f>
        <v>0</v>
      </c>
      <c r="C754" s="250"/>
      <c r="D754" s="250">
        <v>5.2037999999999997E-3</v>
      </c>
      <c r="E754" s="250"/>
      <c r="F754" s="250"/>
    </row>
    <row r="755" spans="1:6" hidden="1">
      <c r="A755" s="250" t="s">
        <v>1134</v>
      </c>
      <c r="B755" s="250">
        <f>SUMIFS(Orcamento!$K$205:$K$349,Orcamento!$C$205:$C$349,Memoria_Insumos!$A755)</f>
        <v>0</v>
      </c>
      <c r="C755" s="250"/>
      <c r="D755" s="250">
        <v>5.0843199999999998E-2</v>
      </c>
      <c r="E755" s="250"/>
      <c r="F755" s="250"/>
    </row>
    <row r="756" spans="1:6" hidden="1">
      <c r="A756" s="250" t="s">
        <v>1135</v>
      </c>
      <c r="B756" s="250">
        <f>SUMIFS(Orcamento!$K$205:$K$349,Orcamento!$C$205:$C$349,Memoria_Insumos!$A756)</f>
        <v>0</v>
      </c>
      <c r="C756" s="250"/>
      <c r="D756" s="250">
        <v>5.0843199999999998E-2</v>
      </c>
      <c r="E756" s="250"/>
      <c r="F756" s="250"/>
    </row>
    <row r="757" spans="1:6" hidden="1">
      <c r="A757" s="250" t="s">
        <v>1136</v>
      </c>
      <c r="B757" s="250">
        <f>SUMIFS(Orcamento!$K$205:$K$349,Orcamento!$C$205:$C$349,Memoria_Insumos!$A757)</f>
        <v>0</v>
      </c>
      <c r="C757" s="250"/>
      <c r="D757" s="250">
        <v>3.6654399999999997E-2</v>
      </c>
      <c r="E757" s="250"/>
      <c r="F757" s="250"/>
    </row>
    <row r="758" spans="1:6" hidden="1">
      <c r="A758" s="250" t="s">
        <v>1137</v>
      </c>
      <c r="B758" s="250">
        <f>SUMIFS(Orcamento!$K$205:$K$349,Orcamento!$C$205:$C$349,Memoria_Insumos!$A758)</f>
        <v>0</v>
      </c>
      <c r="C758" s="250"/>
      <c r="D758" s="250">
        <v>2.5421599999999999E-2</v>
      </c>
      <c r="E758" s="250"/>
      <c r="F758" s="250"/>
    </row>
    <row r="759" spans="1:6" hidden="1">
      <c r="A759" s="250" t="s">
        <v>1138</v>
      </c>
      <c r="B759" s="250">
        <f>SUMIFS(Orcamento!$K$205:$K$349,Orcamento!$C$205:$C$349,Memoria_Insumos!$A759)</f>
        <v>0</v>
      </c>
      <c r="C759" s="250"/>
      <c r="D759" s="250">
        <v>0.74052799999999996</v>
      </c>
      <c r="E759" s="250"/>
      <c r="F759" s="250"/>
    </row>
    <row r="760" spans="1:6" hidden="1">
      <c r="A760" s="250" t="s">
        <v>1139</v>
      </c>
      <c r="B760" s="250">
        <f>SUMIFS(Orcamento!$K$205:$K$349,Orcamento!$C$205:$C$349,Memoria_Insumos!$A760)</f>
        <v>0</v>
      </c>
      <c r="C760" s="250"/>
      <c r="D760" s="250">
        <v>0.67483599999999999</v>
      </c>
      <c r="E760" s="250"/>
      <c r="F760" s="250"/>
    </row>
    <row r="761" spans="1:6" hidden="1">
      <c r="A761" s="250" t="s">
        <v>1140</v>
      </c>
      <c r="B761" s="250">
        <f>SUMIFS(Orcamento!$K$205:$K$349,Orcamento!$C$205:$C$349,Memoria_Insumos!$A761)</f>
        <v>0</v>
      </c>
      <c r="C761" s="250"/>
      <c r="D761" s="250">
        <v>0.69872400000000001</v>
      </c>
      <c r="E761" s="250"/>
      <c r="F761" s="250"/>
    </row>
    <row r="762" spans="1:6" hidden="1">
      <c r="A762" s="250" t="s">
        <v>1141</v>
      </c>
      <c r="B762" s="250">
        <f>SUMIFS(Orcamento!$K$205:$K$349,Orcamento!$C$205:$C$349,Memoria_Insumos!$A762)</f>
        <v>0</v>
      </c>
      <c r="C762" s="250"/>
      <c r="D762" s="250">
        <v>0.71664000000000005</v>
      </c>
      <c r="E762" s="250"/>
      <c r="F762" s="250"/>
    </row>
    <row r="763" spans="1:6" hidden="1">
      <c r="A763" s="250" t="s">
        <v>1142</v>
      </c>
      <c r="B763" s="250">
        <f>SUMIFS(Orcamento!$K$205:$K$349,Orcamento!$C$205:$C$349,Memoria_Insumos!$A763)</f>
        <v>0</v>
      </c>
      <c r="C763" s="250"/>
      <c r="D763" s="250">
        <v>0.72858400000000001</v>
      </c>
      <c r="E763" s="250"/>
      <c r="F763" s="250"/>
    </row>
    <row r="764" spans="1:6" hidden="1">
      <c r="A764" s="250" t="s">
        <v>1143</v>
      </c>
      <c r="B764" s="250">
        <f>SUMIFS(Orcamento!$K$205:$K$349,Orcamento!$C$205:$C$349,Memoria_Insumos!$A764)</f>
        <v>0</v>
      </c>
      <c r="C764" s="250"/>
      <c r="D764" s="250">
        <v>0.67483599999999999</v>
      </c>
      <c r="E764" s="250"/>
      <c r="F764" s="250"/>
    </row>
    <row r="765" spans="1:6" hidden="1">
      <c r="A765" s="250" t="s">
        <v>1144</v>
      </c>
      <c r="B765" s="250">
        <f>SUMIFS(Orcamento!$K$205:$K$349,Orcamento!$C$205:$C$349,Memoria_Insumos!$A765)</f>
        <v>0</v>
      </c>
      <c r="C765" s="250"/>
      <c r="D765" s="250">
        <v>0.69872400000000001</v>
      </c>
      <c r="E765" s="250"/>
      <c r="F765" s="250"/>
    </row>
    <row r="766" spans="1:6" hidden="1">
      <c r="A766" s="250" t="s">
        <v>1145</v>
      </c>
      <c r="B766" s="250">
        <f>SUMIFS(Orcamento!$K$205:$K$349,Orcamento!$C$205:$C$349,Memoria_Insumos!$A766)</f>
        <v>0</v>
      </c>
      <c r="C766" s="250"/>
      <c r="D766" s="250">
        <v>0.71664000000000005</v>
      </c>
      <c r="E766" s="250"/>
      <c r="F766" s="250"/>
    </row>
    <row r="767" spans="1:6" hidden="1">
      <c r="A767" s="250" t="s">
        <v>1146</v>
      </c>
      <c r="B767" s="250">
        <f>SUMIFS(Orcamento!$K$205:$K$349,Orcamento!$C$205:$C$349,Memoria_Insumos!$A767)</f>
        <v>0</v>
      </c>
      <c r="C767" s="250"/>
      <c r="D767" s="250">
        <v>0.72858400000000001</v>
      </c>
      <c r="E767" s="250"/>
      <c r="F767" s="250"/>
    </row>
    <row r="768" spans="1:6" hidden="1">
      <c r="A768" s="250" t="s">
        <v>1147</v>
      </c>
      <c r="B768" s="250">
        <f>SUMIFS(Orcamento!$K$205:$K$349,Orcamento!$C$205:$C$349,Memoria_Insumos!$A768)</f>
        <v>0</v>
      </c>
      <c r="C768" s="250"/>
      <c r="D768" s="250">
        <v>0.91297779999999995</v>
      </c>
      <c r="E768" s="250"/>
      <c r="F768" s="250"/>
    </row>
    <row r="769" spans="1:6" hidden="1">
      <c r="A769" s="250" t="s">
        <v>1148</v>
      </c>
      <c r="B769" s="250">
        <f>SUMIFS(Orcamento!$K$205:$K$349,Orcamento!$C$205:$C$349,Memoria_Insumos!$A769)</f>
        <v>0</v>
      </c>
      <c r="C769" s="250"/>
      <c r="D769" s="250">
        <v>0.44174479999999999</v>
      </c>
      <c r="E769" s="250"/>
      <c r="F769" s="250"/>
    </row>
    <row r="770" spans="1:6" hidden="1">
      <c r="A770" s="250" t="s">
        <v>1149</v>
      </c>
      <c r="B770" s="250">
        <f>SUMIFS(Orcamento!$K$205:$K$349,Orcamento!$C$205:$C$349,Memoria_Insumos!$A770)</f>
        <v>0</v>
      </c>
      <c r="C770" s="250"/>
      <c r="D770" s="250">
        <v>0.90777399999999997</v>
      </c>
      <c r="E770" s="250"/>
      <c r="F770" s="250"/>
    </row>
    <row r="771" spans="1:6" hidden="1">
      <c r="A771" s="250" t="s">
        <v>1150</v>
      </c>
      <c r="B771" s="250">
        <f>SUMIFS(Orcamento!$K$205:$K$349,Orcamento!$C$205:$C$349,Memoria_Insumos!$A771)</f>
        <v>0</v>
      </c>
      <c r="C771" s="250"/>
      <c r="D771" s="250">
        <v>0.45330880000000001</v>
      </c>
      <c r="E771" s="250"/>
      <c r="F771" s="250"/>
    </row>
    <row r="772" spans="1:6" hidden="1">
      <c r="A772" s="250" t="s">
        <v>1151</v>
      </c>
      <c r="B772" s="250">
        <f>SUMIFS(Orcamento!$K$205:$K$349,Orcamento!$C$205:$C$349,Memoria_Insumos!$A772)</f>
        <v>0</v>
      </c>
      <c r="C772" s="250"/>
      <c r="D772" s="250">
        <v>0.271754</v>
      </c>
      <c r="E772" s="250"/>
      <c r="F772" s="250"/>
    </row>
    <row r="773" spans="1:6" hidden="1">
      <c r="A773" s="250" t="s">
        <v>1152</v>
      </c>
      <c r="B773" s="250">
        <f>SUMIFS(Orcamento!$K$205:$K$349,Orcamento!$C$205:$C$349,Memoria_Insumos!$A773)</f>
        <v>0</v>
      </c>
      <c r="C773" s="250"/>
      <c r="D773" s="250">
        <v>0.91991619999999996</v>
      </c>
      <c r="E773" s="250"/>
      <c r="F773" s="250"/>
    </row>
    <row r="774" spans="1:6" hidden="1">
      <c r="A774" s="250" t="s">
        <v>1153</v>
      </c>
      <c r="B774" s="250">
        <f>SUMIFS(Orcamento!$K$205:$K$349,Orcamento!$C$205:$C$349,Memoria_Insumos!$A774)</f>
        <v>0</v>
      </c>
      <c r="C774" s="250"/>
      <c r="D774" s="250">
        <v>0.4642946</v>
      </c>
      <c r="E774" s="250"/>
      <c r="F774" s="250"/>
    </row>
    <row r="775" spans="1:6" hidden="1">
      <c r="A775" s="250" t="s">
        <v>1154</v>
      </c>
      <c r="B775" s="250">
        <f>SUMIFS(Orcamento!$K$205:$K$349,Orcamento!$C$205:$C$349,Memoria_Insumos!$A775)</f>
        <v>0</v>
      </c>
      <c r="C775" s="250"/>
      <c r="D775" s="250">
        <v>0.28216160000000001</v>
      </c>
      <c r="E775" s="250"/>
      <c r="F775" s="250"/>
    </row>
    <row r="776" spans="1:6" hidden="1">
      <c r="A776" s="250" t="s">
        <v>1155</v>
      </c>
      <c r="B776" s="250">
        <f>SUMIFS(Orcamento!$K$205:$K$349,Orcamento!$C$205:$C$349,Memoria_Insumos!$A776)</f>
        <v>0</v>
      </c>
      <c r="C776" s="250"/>
      <c r="D776" s="250">
        <v>0.1370334</v>
      </c>
      <c r="E776" s="250"/>
      <c r="F776" s="250"/>
    </row>
    <row r="777" spans="1:6" hidden="1">
      <c r="A777" s="250" t="s">
        <v>1156</v>
      </c>
      <c r="B777" s="250">
        <f>SUMIFS(Orcamento!$K$205:$K$349,Orcamento!$C$205:$C$349,Memoria_Insumos!$A777)</f>
        <v>0</v>
      </c>
      <c r="C777" s="250"/>
      <c r="D777" s="250">
        <v>0.92569820000000003</v>
      </c>
      <c r="E777" s="250"/>
      <c r="F777" s="250"/>
    </row>
    <row r="778" spans="1:6" hidden="1">
      <c r="A778" s="250" t="s">
        <v>1157</v>
      </c>
      <c r="B778" s="250">
        <f>SUMIFS(Orcamento!$K$205:$K$349,Orcamento!$C$205:$C$349,Memoria_Insumos!$A778)</f>
        <v>0</v>
      </c>
      <c r="C778" s="250"/>
      <c r="D778" s="250">
        <v>0.46949839999999998</v>
      </c>
      <c r="E778" s="250"/>
      <c r="F778" s="250"/>
    </row>
    <row r="779" spans="1:6" hidden="1">
      <c r="A779" s="250" t="s">
        <v>1158</v>
      </c>
      <c r="B779" s="250">
        <f>SUMIFS(Orcamento!$K$205:$K$349,Orcamento!$C$205:$C$349,Memoria_Insumos!$A779)</f>
        <v>0</v>
      </c>
      <c r="C779" s="250"/>
      <c r="D779" s="250">
        <v>0.14223720000000001</v>
      </c>
      <c r="E779" s="250"/>
      <c r="F779" s="250"/>
    </row>
    <row r="780" spans="1:6" hidden="1">
      <c r="A780" s="250" t="s">
        <v>1159</v>
      </c>
      <c r="B780" s="250">
        <f>SUMIFS(Orcamento!$K$205:$K$349,Orcamento!$C$205:$C$349,Memoria_Insumos!$A780)</f>
        <v>0</v>
      </c>
      <c r="C780" s="250"/>
      <c r="D780" s="250">
        <v>0.93090200000000001</v>
      </c>
      <c r="E780" s="250"/>
      <c r="F780" s="250"/>
    </row>
    <row r="781" spans="1:6" hidden="1">
      <c r="A781" s="250" t="s">
        <v>1160</v>
      </c>
      <c r="B781" s="250">
        <f>SUMIFS(Orcamento!$K$205:$K$349,Orcamento!$C$205:$C$349,Memoria_Insumos!$A781)</f>
        <v>0</v>
      </c>
      <c r="C781" s="250"/>
      <c r="D781" s="250">
        <v>0.47412399999999999</v>
      </c>
      <c r="E781" s="250"/>
      <c r="F781" s="250"/>
    </row>
    <row r="782" spans="1:6" hidden="1">
      <c r="A782" s="250" t="s">
        <v>1161</v>
      </c>
      <c r="B782" s="250">
        <f>SUMIFS(Orcamento!$K$205:$K$349,Orcamento!$C$205:$C$349,Memoria_Insumos!$A782)</f>
        <v>0</v>
      </c>
      <c r="C782" s="250"/>
      <c r="D782" s="250">
        <v>0.14744099999999999</v>
      </c>
      <c r="E782" s="250"/>
      <c r="F782" s="250"/>
    </row>
    <row r="783" spans="1:6" hidden="1">
      <c r="A783" s="250" t="s">
        <v>1162</v>
      </c>
      <c r="B783" s="250">
        <f>SUMIFS(Orcamento!$K$205:$K$349,Orcamento!$C$205:$C$349,Memoria_Insumos!$A783)</f>
        <v>0</v>
      </c>
      <c r="C783" s="250"/>
      <c r="D783" s="250">
        <v>0.94130959999999997</v>
      </c>
      <c r="E783" s="250"/>
      <c r="F783" s="250"/>
    </row>
    <row r="784" spans="1:6" hidden="1">
      <c r="A784" s="250" t="s">
        <v>1163</v>
      </c>
      <c r="B784" s="250">
        <f>SUMIFS(Orcamento!$K$205:$K$349,Orcamento!$C$205:$C$349,Memoria_Insumos!$A784)</f>
        <v>0</v>
      </c>
      <c r="C784" s="250"/>
      <c r="D784" s="250">
        <v>0.4833752</v>
      </c>
      <c r="E784" s="250"/>
      <c r="F784" s="250"/>
    </row>
    <row r="785" spans="1:6" hidden="1">
      <c r="A785" s="250" t="s">
        <v>1164</v>
      </c>
      <c r="B785" s="250">
        <f>SUMIFS(Orcamento!$K$205:$K$349,Orcamento!$C$205:$C$349,Memoria_Insumos!$A785)</f>
        <v>0</v>
      </c>
      <c r="C785" s="250"/>
      <c r="D785" s="250">
        <v>0.30182039999999999</v>
      </c>
      <c r="E785" s="250"/>
      <c r="F785" s="250"/>
    </row>
    <row r="786" spans="1:6" hidden="1">
      <c r="A786" s="250" t="s">
        <v>1165</v>
      </c>
      <c r="B786" s="250">
        <f>SUMIFS(Orcamento!$K$205:$K$349,Orcamento!$C$205:$C$349,Memoria_Insumos!$A786)</f>
        <v>0</v>
      </c>
      <c r="C786" s="250"/>
      <c r="D786" s="250">
        <v>0.156114</v>
      </c>
      <c r="E786" s="250"/>
      <c r="F786" s="250"/>
    </row>
    <row r="787" spans="1:6" hidden="1">
      <c r="A787" s="250" t="s">
        <v>1166</v>
      </c>
      <c r="B787" s="250">
        <f>SUMIFS(Orcamento!$K$205:$K$349,Orcamento!$C$205:$C$349,Memoria_Insumos!$A787)</f>
        <v>0</v>
      </c>
      <c r="C787" s="250"/>
      <c r="D787" s="250">
        <v>8.4417199999999998E-2</v>
      </c>
      <c r="E787" s="250"/>
      <c r="F787" s="250"/>
    </row>
    <row r="788" spans="1:6" hidden="1">
      <c r="A788" s="250" t="s">
        <v>1167</v>
      </c>
      <c r="B788" s="250">
        <f>SUMIFS(Orcamento!$K$205:$K$349,Orcamento!$C$205:$C$349,Memoria_Insumos!$A788)</f>
        <v>0</v>
      </c>
      <c r="C788" s="250"/>
      <c r="D788" s="250">
        <v>0.68799999999999994</v>
      </c>
      <c r="E788" s="250"/>
      <c r="F788" s="250"/>
    </row>
    <row r="789" spans="1:6" hidden="1">
      <c r="A789" s="250" t="s">
        <v>1168</v>
      </c>
      <c r="B789" s="250">
        <f>SUMIFS(Orcamento!$K$205:$K$349,Orcamento!$C$205:$C$349,Memoria_Insumos!$A789)</f>
        <v>0</v>
      </c>
      <c r="C789" s="250"/>
      <c r="D789" s="250">
        <v>0.82499999999999996</v>
      </c>
      <c r="E789" s="250"/>
      <c r="F789" s="250"/>
    </row>
    <row r="790" spans="1:6" hidden="1">
      <c r="A790" s="250" t="s">
        <v>1169</v>
      </c>
      <c r="B790" s="250">
        <f>SUMIFS(Orcamento!$K$205:$K$349,Orcamento!$C$205:$C$349,Memoria_Insumos!$A790)</f>
        <v>0</v>
      </c>
      <c r="C790" s="250"/>
      <c r="D790" s="250">
        <v>0.63300000000000001</v>
      </c>
      <c r="E790" s="250"/>
      <c r="F790" s="250"/>
    </row>
    <row r="791" spans="1:6" hidden="1">
      <c r="A791" s="250" t="s">
        <v>1170</v>
      </c>
      <c r="B791" s="250">
        <f>SUMIFS(Orcamento!$K$205:$K$349,Orcamento!$C$205:$C$349,Memoria_Insumos!$A791)</f>
        <v>0</v>
      </c>
      <c r="C791" s="250"/>
      <c r="D791" s="250">
        <v>0.64600000000000002</v>
      </c>
      <c r="E791" s="250"/>
      <c r="F791" s="250"/>
    </row>
    <row r="792" spans="1:6" hidden="1">
      <c r="A792" s="250" t="s">
        <v>1171</v>
      </c>
      <c r="B792" s="250">
        <f>SUMIFS(Orcamento!$K$205:$K$349,Orcamento!$C$205:$C$349,Memoria_Insumos!$A792)</f>
        <v>0</v>
      </c>
      <c r="C792" s="250"/>
      <c r="D792" s="250">
        <v>0.66</v>
      </c>
      <c r="E792" s="250"/>
      <c r="F792" s="250"/>
    </row>
    <row r="793" spans="1:6" hidden="1">
      <c r="A793" s="250" t="s">
        <v>1172</v>
      </c>
      <c r="B793" s="250">
        <f>SUMIFS(Orcamento!$K$205:$K$349,Orcamento!$C$205:$C$349,Memoria_Insumos!$A793)</f>
        <v>0</v>
      </c>
      <c r="C793" s="250"/>
      <c r="D793" s="250">
        <v>0.75900000000000001</v>
      </c>
      <c r="E793" s="250"/>
      <c r="F793" s="250"/>
    </row>
    <row r="794" spans="1:6" hidden="1">
      <c r="A794" s="250" t="s">
        <v>1173</v>
      </c>
      <c r="B794" s="250">
        <f>SUMIFS(Orcamento!$K$205:$K$349,Orcamento!$C$205:$C$349,Memoria_Insumos!$A794)</f>
        <v>0</v>
      </c>
      <c r="C794" s="250"/>
      <c r="D794" s="250">
        <v>0.77600000000000002</v>
      </c>
      <c r="E794" s="250"/>
      <c r="F794" s="250"/>
    </row>
    <row r="795" spans="1:6" hidden="1">
      <c r="A795" s="250" t="s">
        <v>1174</v>
      </c>
      <c r="B795" s="250">
        <f>SUMIFS(Orcamento!$K$205:$K$349,Orcamento!$C$205:$C$349,Memoria_Insumos!$A795)</f>
        <v>0</v>
      </c>
      <c r="C795" s="250"/>
      <c r="D795" s="250">
        <v>0.79200000000000004</v>
      </c>
      <c r="E795" s="250"/>
      <c r="F795" s="250"/>
    </row>
    <row r="796" spans="1:6" hidden="1">
      <c r="A796" s="250" t="s">
        <v>1175</v>
      </c>
      <c r="B796" s="250">
        <f>SUMIFS(Orcamento!$K$205:$K$349,Orcamento!$C$205:$C$349,Memoria_Insumos!$A796)</f>
        <v>0</v>
      </c>
      <c r="C796" s="250"/>
      <c r="D796" s="250">
        <v>0.68799999999999994</v>
      </c>
      <c r="E796" s="250"/>
      <c r="F796" s="250"/>
    </row>
    <row r="797" spans="1:6" hidden="1">
      <c r="A797" s="250" t="s">
        <v>1176</v>
      </c>
      <c r="B797" s="250">
        <f>SUMIFS(Orcamento!$K$205:$K$349,Orcamento!$C$205:$C$349,Memoria_Insumos!$A797)</f>
        <v>0</v>
      </c>
      <c r="C797" s="250"/>
      <c r="D797" s="250">
        <v>0.82499999999999996</v>
      </c>
      <c r="E797" s="250"/>
      <c r="F797" s="250"/>
    </row>
    <row r="798" spans="1:6" hidden="1">
      <c r="A798" s="250" t="s">
        <v>1177</v>
      </c>
      <c r="B798" s="250">
        <f>SUMIFS(Orcamento!$K$205:$K$349,Orcamento!$C$205:$C$349,Memoria_Insumos!$A798)</f>
        <v>0</v>
      </c>
      <c r="C798" s="250"/>
      <c r="D798" s="250">
        <v>0.59499999999999997</v>
      </c>
      <c r="E798" s="250">
        <v>0.59499999999999997</v>
      </c>
      <c r="F798" s="250"/>
    </row>
    <row r="799" spans="1:6" ht="15.75" thickBot="1">
      <c r="A799" s="251"/>
      <c r="B799" s="251"/>
      <c r="C799" s="251"/>
      <c r="D799" s="251"/>
      <c r="E799" s="251"/>
      <c r="F799" s="251"/>
    </row>
    <row r="800" spans="1:6" ht="18.399999999999999" customHeight="1" thickTop="1" thickBot="1">
      <c r="A800" s="252" t="s">
        <v>1178</v>
      </c>
      <c r="B800" s="253"/>
      <c r="C800" s="254" cm="1">
        <f t="array" ref="C800">SUM($B$8:$B$798*$C8:$C798)</f>
        <v>0</v>
      </c>
      <c r="D800" s="254" cm="1">
        <f t="array" ref="D800">SUM($B$8:$B$798*$D8:$D798)</f>
        <v>0</v>
      </c>
      <c r="E800" s="254" cm="1">
        <f t="array" ref="E800">SUM($B$8:$B$798*$E8:$E798)</f>
        <v>0</v>
      </c>
      <c r="F800" s="255" cm="1">
        <f t="array" ref="F800">SUM($B$8:$B$798*$F8:$F798)</f>
        <v>0</v>
      </c>
    </row>
    <row r="801" spans="1:6" ht="37.5" customHeight="1" thickTop="1" thickBot="1">
      <c r="A801" s="256" t="s">
        <v>10</v>
      </c>
      <c r="B801" s="257" t="s">
        <v>1179</v>
      </c>
      <c r="C801" s="258">
        <f>SUM(C800:F800)</f>
        <v>0</v>
      </c>
      <c r="D801" s="259" t="s">
        <v>464</v>
      </c>
      <c r="E801" s="259"/>
      <c r="F801" s="260"/>
    </row>
    <row r="802" spans="1:6" ht="15.75" thickTop="1"/>
  </sheetData>
  <autoFilter ref="A7:F798" xr:uid="{31CE2CDD-0BF6-4FEC-818B-F752A1A07EF3}">
    <filterColumn colId="1">
      <customFilters>
        <customFilter operator="greaterThan" val="0"/>
      </customFilters>
    </filterColumn>
  </autoFilter>
  <mergeCells count="4">
    <mergeCell ref="A2:F2"/>
    <mergeCell ref="A4:B4"/>
    <mergeCell ref="A5:B5"/>
    <mergeCell ref="A6:B6"/>
  </mergeCells>
  <pageMargins left="0.39370078740157477" right="0.59055118110236215" top="0.39370078740157477" bottom="0.78740157480314965" header="0.31496062992125984" footer="0.31496062992125984"/>
  <pageSetup paperSize="9" scale="81" fitToHeight="0" orientation="portrait" horizontalDpi="1200" verticalDpi="1200" r:id="rId1"/>
  <headerFooter>
    <oddFooter>&amp;C&amp;8Página &amp;P/&amp;N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403A5-516D-4F34-9FFE-9B885C6471B3}">
  <sheetPr codeName="Planilha15"/>
  <dimension ref="A1:K679"/>
  <sheetViews>
    <sheetView showZeros="0" zoomScaleNormal="100" workbookViewId="0"/>
  </sheetViews>
  <sheetFormatPr defaultColWidth="9" defaultRowHeight="12.75"/>
  <cols>
    <col min="1" max="1" width="12.5" style="1846" customWidth="1"/>
    <col min="2" max="2" width="10.625" style="1846" customWidth="1"/>
    <col min="3" max="6" width="12.5" style="1846" customWidth="1"/>
    <col min="7" max="7" width="12.5" style="1942" customWidth="1"/>
    <col min="8" max="8" width="9" style="1846"/>
    <col min="9" max="9" width="10.375" style="1846" customWidth="1"/>
    <col min="10" max="16384" width="9" style="1846"/>
  </cols>
  <sheetData>
    <row r="1" spans="1:4">
      <c r="D1" s="1939" t="s">
        <v>2960</v>
      </c>
    </row>
    <row r="3" spans="1:4">
      <c r="A3" s="1940" t="s">
        <v>2961</v>
      </c>
      <c r="B3" s="1846" t="s">
        <v>2962</v>
      </c>
    </row>
    <row r="4" spans="1:4">
      <c r="A4" s="1940" t="s">
        <v>2963</v>
      </c>
      <c r="B4" s="1846" t="s">
        <v>2964</v>
      </c>
    </row>
    <row r="5" spans="1:4">
      <c r="A5" s="1940" t="s">
        <v>2965</v>
      </c>
      <c r="B5" s="1846" t="s">
        <v>2966</v>
      </c>
    </row>
    <row r="6" spans="1:4">
      <c r="A6" s="1940" t="s">
        <v>1204</v>
      </c>
      <c r="B6" s="1846" t="s">
        <v>2967</v>
      </c>
    </row>
    <row r="8" spans="1:4">
      <c r="A8" s="1941" t="s">
        <v>2968</v>
      </c>
    </row>
    <row r="35" spans="1:9" ht="13.5" thickBot="1"/>
    <row r="36" spans="1:9" ht="13.5" thickBot="1">
      <c r="A36" s="3026" t="s">
        <v>2969</v>
      </c>
      <c r="B36" s="3027"/>
      <c r="C36" s="3027"/>
      <c r="D36" s="3027"/>
      <c r="E36" s="3027"/>
      <c r="F36" s="3027"/>
      <c r="G36" s="3028"/>
    </row>
    <row r="37" spans="1:9" ht="13.5" customHeight="1">
      <c r="A37" s="1943" t="s">
        <v>2970</v>
      </c>
      <c r="B37" s="1944" t="s">
        <v>2971</v>
      </c>
      <c r="C37" s="1944" t="s">
        <v>2972</v>
      </c>
      <c r="D37" s="1944" t="s">
        <v>2973</v>
      </c>
      <c r="E37" s="1944" t="s">
        <v>2974</v>
      </c>
      <c r="F37" s="1944" t="s">
        <v>2975</v>
      </c>
      <c r="G37" s="3056" t="s">
        <v>2976</v>
      </c>
    </row>
    <row r="38" spans="1:9" ht="15" thickBot="1">
      <c r="A38" s="1945" t="s">
        <v>2977</v>
      </c>
      <c r="B38" s="1946" t="s">
        <v>2978</v>
      </c>
      <c r="C38" s="1947" t="s">
        <v>2977</v>
      </c>
      <c r="D38" s="1946" t="s">
        <v>2979</v>
      </c>
      <c r="E38" s="1947" t="s">
        <v>2977</v>
      </c>
      <c r="F38" s="1946" t="s">
        <v>2980</v>
      </c>
      <c r="G38" s="3057"/>
    </row>
    <row r="39" spans="1:9" ht="13.5" thickBot="1">
      <c r="A39" s="1948">
        <v>1</v>
      </c>
      <c r="B39" s="1949">
        <v>0.4</v>
      </c>
      <c r="C39" s="1949">
        <v>1</v>
      </c>
      <c r="D39" s="1949">
        <v>7</v>
      </c>
      <c r="E39" s="1949">
        <v>1</v>
      </c>
      <c r="F39" s="1949">
        <v>1.25</v>
      </c>
      <c r="G39" s="1950">
        <f>ROUND((A39+B39+C39)*(D39+E39)*F39,2)</f>
        <v>24</v>
      </c>
    </row>
    <row r="40" spans="1:9" ht="13.5" thickBot="1"/>
    <row r="41" spans="1:9" ht="13.5" thickBot="1">
      <c r="A41" s="3026" t="s">
        <v>2981</v>
      </c>
      <c r="B41" s="3027"/>
      <c r="C41" s="3027"/>
      <c r="D41" s="3027"/>
      <c r="E41" s="3027"/>
      <c r="F41" s="3027"/>
      <c r="G41" s="3028"/>
    </row>
    <row r="42" spans="1:9">
      <c r="A42" s="1943" t="s">
        <v>2975</v>
      </c>
      <c r="B42" s="1944" t="s">
        <v>2982</v>
      </c>
      <c r="C42" s="1944" t="s">
        <v>2983</v>
      </c>
      <c r="D42" s="1944" t="s">
        <v>2984</v>
      </c>
      <c r="E42" s="1944" t="s">
        <v>2985</v>
      </c>
      <c r="F42" s="1944" t="s">
        <v>2975</v>
      </c>
      <c r="G42" s="3056" t="s">
        <v>2976</v>
      </c>
    </row>
    <row r="43" spans="1:9" ht="15" thickBot="1">
      <c r="A43" s="1945" t="s">
        <v>2977</v>
      </c>
      <c r="B43" s="1946" t="s">
        <v>2978</v>
      </c>
      <c r="C43" s="1947" t="s">
        <v>2977</v>
      </c>
      <c r="D43" s="1946" t="s">
        <v>2979</v>
      </c>
      <c r="E43" s="1947" t="s">
        <v>2977</v>
      </c>
      <c r="F43" s="1946" t="s">
        <v>2980</v>
      </c>
      <c r="G43" s="3057"/>
    </row>
    <row r="44" spans="1:9" ht="13.5" thickBot="1">
      <c r="A44" s="1948">
        <v>1</v>
      </c>
      <c r="B44" s="1949">
        <v>0.4</v>
      </c>
      <c r="C44" s="1949">
        <v>1</v>
      </c>
      <c r="D44" s="1949">
        <v>7</v>
      </c>
      <c r="E44" s="1949">
        <v>1</v>
      </c>
      <c r="F44" s="1949">
        <v>1.25</v>
      </c>
      <c r="G44" s="1951">
        <f>ROUND((A44+B44+C44)*(D44+E44)*F44,2)</f>
        <v>24</v>
      </c>
      <c r="I44" s="1952">
        <f>496.517-495.273</f>
        <v>1.2439999999999714</v>
      </c>
    </row>
    <row r="45" spans="1:9" ht="13.5" thickBot="1"/>
    <row r="46" spans="1:9" ht="13.5" thickBot="1">
      <c r="A46" s="3026" t="s">
        <v>2986</v>
      </c>
      <c r="B46" s="3027"/>
      <c r="C46" s="3027"/>
      <c r="D46" s="3027"/>
      <c r="E46" s="3027"/>
      <c r="F46" s="3028"/>
    </row>
    <row r="47" spans="1:9">
      <c r="A47" s="1943" t="s">
        <v>2987</v>
      </c>
      <c r="B47" s="1944" t="s">
        <v>2988</v>
      </c>
      <c r="C47" s="1944" t="s">
        <v>2989</v>
      </c>
      <c r="D47" s="1944" t="s">
        <v>2990</v>
      </c>
      <c r="E47" s="1944" t="s">
        <v>2975</v>
      </c>
      <c r="F47" s="3056" t="s">
        <v>2976</v>
      </c>
    </row>
    <row r="48" spans="1:9" ht="13.5" thickBot="1">
      <c r="A48" s="1945" t="s">
        <v>2977</v>
      </c>
      <c r="B48" s="1946" t="s">
        <v>2991</v>
      </c>
      <c r="C48" s="1947" t="s">
        <v>2977</v>
      </c>
      <c r="D48" s="1946" t="s">
        <v>2992</v>
      </c>
      <c r="E48" s="1946" t="s">
        <v>2980</v>
      </c>
      <c r="F48" s="3057"/>
    </row>
    <row r="49" spans="1:6" ht="13.5" thickBot="1">
      <c r="A49" s="1948">
        <v>1</v>
      </c>
      <c r="B49" s="1949">
        <v>0.4</v>
      </c>
      <c r="C49" s="1949">
        <v>1</v>
      </c>
      <c r="D49" s="1949">
        <v>22</v>
      </c>
      <c r="E49" s="1949">
        <v>1.25</v>
      </c>
      <c r="F49" s="1951">
        <f>ROUND((A49+B49+C49)*D49*E49,2)</f>
        <v>66</v>
      </c>
    </row>
    <row r="78" spans="1:8" ht="13.5" thickBot="1"/>
    <row r="79" spans="1:8" ht="13.5" thickBot="1">
      <c r="A79" s="3026" t="s">
        <v>2993</v>
      </c>
      <c r="B79" s="3027"/>
      <c r="C79" s="3027"/>
      <c r="D79" s="3027"/>
      <c r="E79" s="3027"/>
      <c r="F79" s="3027"/>
      <c r="G79" s="3028"/>
    </row>
    <row r="80" spans="1:8">
      <c r="A80" s="1943" t="s">
        <v>2970</v>
      </c>
      <c r="B80" s="1944" t="s">
        <v>2971</v>
      </c>
      <c r="C80" s="1944" t="s">
        <v>2972</v>
      </c>
      <c r="D80" s="1944" t="s">
        <v>2973</v>
      </c>
      <c r="E80" s="1944" t="s">
        <v>2974</v>
      </c>
      <c r="F80" s="1944" t="s">
        <v>2975</v>
      </c>
      <c r="G80" s="3056" t="s">
        <v>2976</v>
      </c>
      <c r="H80" s="4"/>
    </row>
    <row r="81" spans="1:8" ht="15" thickBot="1">
      <c r="A81" s="1945" t="s">
        <v>2977</v>
      </c>
      <c r="B81" s="1946" t="s">
        <v>2978</v>
      </c>
      <c r="C81" s="1947" t="s">
        <v>2977</v>
      </c>
      <c r="D81" s="1946" t="s">
        <v>2979</v>
      </c>
      <c r="E81" s="1946" t="s">
        <v>2994</v>
      </c>
      <c r="F81" s="1946" t="s">
        <v>2980</v>
      </c>
      <c r="G81" s="3057"/>
      <c r="H81" s="4"/>
    </row>
    <row r="82" spans="1:8" ht="13.5" thickBot="1">
      <c r="A82" s="1948">
        <v>1</v>
      </c>
      <c r="B82" s="1949">
        <v>0.4</v>
      </c>
      <c r="C82" s="1949">
        <v>1</v>
      </c>
      <c r="D82" s="1949">
        <v>7</v>
      </c>
      <c r="E82" s="1949">
        <v>1</v>
      </c>
      <c r="F82" s="1949">
        <v>1.25</v>
      </c>
      <c r="G82" s="1950">
        <f>ROUND((A82+B82+C82)*(D82+E82)*F82,2)</f>
        <v>24</v>
      </c>
      <c r="H82" s="4"/>
    </row>
    <row r="83" spans="1:8" ht="13.5" thickBot="1">
      <c r="A83" s="3063"/>
      <c r="B83" s="3063"/>
      <c r="C83" s="3063"/>
      <c r="D83" s="3063"/>
      <c r="E83" s="3063"/>
      <c r="F83" s="3063"/>
      <c r="G83" s="3063"/>
    </row>
    <row r="84" spans="1:8" ht="13.5" thickBot="1">
      <c r="A84" s="3026" t="s">
        <v>2995</v>
      </c>
      <c r="B84" s="3027"/>
      <c r="C84" s="3027"/>
      <c r="D84" s="3027"/>
      <c r="E84" s="3027"/>
      <c r="F84" s="3027"/>
      <c r="G84" s="3028"/>
    </row>
    <row r="85" spans="1:8">
      <c r="A85" s="1943" t="s">
        <v>2975</v>
      </c>
      <c r="B85" s="1944" t="s">
        <v>2982</v>
      </c>
      <c r="C85" s="1944" t="s">
        <v>2983</v>
      </c>
      <c r="D85" s="1944" t="s">
        <v>2984</v>
      </c>
      <c r="E85" s="1944" t="s">
        <v>2985</v>
      </c>
      <c r="F85" s="1944" t="s">
        <v>2975</v>
      </c>
      <c r="G85" s="3056" t="s">
        <v>2976</v>
      </c>
    </row>
    <row r="86" spans="1:8" ht="15" thickBot="1">
      <c r="A86" s="1945" t="s">
        <v>2977</v>
      </c>
      <c r="B86" s="1946" t="s">
        <v>2978</v>
      </c>
      <c r="C86" s="1947" t="s">
        <v>2977</v>
      </c>
      <c r="D86" s="1946" t="s">
        <v>2979</v>
      </c>
      <c r="E86" s="1946" t="s">
        <v>2994</v>
      </c>
      <c r="F86" s="1946" t="s">
        <v>2980</v>
      </c>
      <c r="G86" s="3057"/>
    </row>
    <row r="87" spans="1:8" ht="13.5" thickBot="1">
      <c r="A87" s="1948">
        <v>1</v>
      </c>
      <c r="B87" s="1949">
        <v>0.4</v>
      </c>
      <c r="C87" s="1949">
        <v>1</v>
      </c>
      <c r="D87" s="1949">
        <v>7</v>
      </c>
      <c r="E87" s="1949">
        <v>1</v>
      </c>
      <c r="F87" s="1949">
        <v>1.25</v>
      </c>
      <c r="G87" s="1950">
        <f>ROUND((A87+B87+C87)*(D87+E87)*F87,2)</f>
        <v>24</v>
      </c>
    </row>
    <row r="88" spans="1:8" ht="13.5" thickBot="1">
      <c r="A88" s="3046"/>
      <c r="B88" s="3046"/>
      <c r="C88" s="3046"/>
      <c r="D88" s="3046"/>
      <c r="E88" s="3046"/>
      <c r="F88" s="3046"/>
      <c r="G88" s="3046"/>
    </row>
    <row r="89" spans="1:8" ht="13.5" thickBot="1">
      <c r="A89" s="3026" t="s">
        <v>2996</v>
      </c>
      <c r="B89" s="3027"/>
      <c r="C89" s="3027"/>
      <c r="D89" s="3027"/>
      <c r="E89" s="3027"/>
      <c r="F89" s="3028"/>
      <c r="G89" s="3055"/>
    </row>
    <row r="90" spans="1:8">
      <c r="A90" s="1943" t="s">
        <v>2987</v>
      </c>
      <c r="B90" s="1944" t="s">
        <v>2988</v>
      </c>
      <c r="C90" s="1944" t="s">
        <v>2989</v>
      </c>
      <c r="D90" s="1944" t="s">
        <v>2990</v>
      </c>
      <c r="E90" s="1944" t="s">
        <v>2975</v>
      </c>
      <c r="F90" s="3056" t="s">
        <v>2976</v>
      </c>
      <c r="G90" s="3055"/>
    </row>
    <row r="91" spans="1:8" ht="13.5" thickBot="1">
      <c r="A91" s="1945" t="s">
        <v>2977</v>
      </c>
      <c r="B91" s="1946" t="s">
        <v>2991</v>
      </c>
      <c r="C91" s="1947" t="s">
        <v>2977</v>
      </c>
      <c r="D91" s="1946" t="s">
        <v>2992</v>
      </c>
      <c r="E91" s="1946" t="s">
        <v>2980</v>
      </c>
      <c r="F91" s="3057"/>
      <c r="G91" s="3055"/>
    </row>
    <row r="92" spans="1:8" ht="13.5" thickBot="1">
      <c r="A92" s="1948">
        <v>1</v>
      </c>
      <c r="B92" s="1949">
        <v>0.4</v>
      </c>
      <c r="C92" s="1949">
        <v>1</v>
      </c>
      <c r="D92" s="1949">
        <v>22</v>
      </c>
      <c r="E92" s="1949">
        <v>1.25</v>
      </c>
      <c r="F92" s="1950">
        <f>ROUND((A92+B92+C92)*D92*E92,2)</f>
        <v>66</v>
      </c>
      <c r="G92" s="3055"/>
    </row>
    <row r="93" spans="1:8" ht="13.5" thickBot="1">
      <c r="A93" s="3053"/>
      <c r="B93" s="3053"/>
      <c r="C93" s="3053"/>
      <c r="D93" s="3053"/>
      <c r="E93" s="3053"/>
      <c r="F93" s="3053"/>
      <c r="G93" s="3053"/>
    </row>
    <row r="94" spans="1:8" ht="13.5" thickBot="1">
      <c r="A94" s="3053"/>
      <c r="B94" s="3058"/>
      <c r="C94" s="3049" t="s">
        <v>2997</v>
      </c>
      <c r="D94" s="3050"/>
      <c r="E94" s="1953"/>
      <c r="F94" s="1954"/>
      <c r="G94" s="1954"/>
    </row>
    <row r="95" spans="1:8" ht="12.75" customHeight="1">
      <c r="A95" s="3053"/>
      <c r="B95" s="3058"/>
      <c r="C95" s="3059" t="s">
        <v>2998</v>
      </c>
      <c r="D95" s="3060"/>
      <c r="E95" s="3059" t="s">
        <v>2999</v>
      </c>
      <c r="F95" s="3060"/>
      <c r="G95" s="4"/>
    </row>
    <row r="96" spans="1:8" ht="13.5" thickBot="1">
      <c r="A96" s="3053"/>
      <c r="B96" s="3058"/>
      <c r="C96" s="3061" t="s">
        <v>3000</v>
      </c>
      <c r="D96" s="3062"/>
      <c r="E96" s="3061" t="s">
        <v>3001</v>
      </c>
      <c r="F96" s="3062"/>
      <c r="G96" s="4"/>
    </row>
    <row r="97" spans="1:7" ht="13.5" thickBot="1">
      <c r="A97" s="3053"/>
      <c r="B97" s="3058"/>
      <c r="C97" s="3037">
        <f>ROUND(F92+G87+G82+F49+G44+G39,2)</f>
        <v>228</v>
      </c>
      <c r="D97" s="3039"/>
      <c r="E97" s="3037">
        <f>C97*5%</f>
        <v>11.4</v>
      </c>
      <c r="F97" s="3039"/>
      <c r="G97" s="4"/>
    </row>
    <row r="99" spans="1:7">
      <c r="A99" s="1955" t="s">
        <v>3002</v>
      </c>
    </row>
    <row r="120" spans="1:6" ht="15" customHeight="1" thickBot="1">
      <c r="A120" s="1956"/>
      <c r="B120" s="4"/>
      <c r="C120" s="4"/>
      <c r="D120" s="4"/>
      <c r="E120" s="4"/>
      <c r="F120" s="4"/>
    </row>
    <row r="121" spans="1:6" ht="13.5" thickBot="1">
      <c r="A121" s="3026" t="s">
        <v>3003</v>
      </c>
      <c r="B121" s="3027"/>
      <c r="C121" s="3027"/>
      <c r="D121" s="3027"/>
      <c r="E121" s="3028"/>
      <c r="F121" s="4"/>
    </row>
    <row r="122" spans="1:6" s="1942" customFormat="1">
      <c r="A122" s="1943" t="s">
        <v>2970</v>
      </c>
      <c r="B122" s="1944" t="s">
        <v>2971</v>
      </c>
      <c r="C122" s="1944" t="s">
        <v>2972</v>
      </c>
      <c r="D122" s="1944" t="s">
        <v>3004</v>
      </c>
      <c r="E122" s="3041" t="s">
        <v>3005</v>
      </c>
      <c r="F122" s="1957"/>
    </row>
    <row r="123" spans="1:6" s="1942" customFormat="1" ht="13.5" thickBot="1">
      <c r="A123" s="1958" t="s">
        <v>2728</v>
      </c>
      <c r="B123" s="1946" t="s">
        <v>3006</v>
      </c>
      <c r="C123" s="1946" t="s">
        <v>3007</v>
      </c>
      <c r="D123" s="1946" t="s">
        <v>3008</v>
      </c>
      <c r="E123" s="3042"/>
      <c r="F123" s="1957"/>
    </row>
    <row r="124" spans="1:6" s="1942" customFormat="1" ht="13.5" thickBot="1">
      <c r="A124" s="1958">
        <v>7</v>
      </c>
      <c r="B124" s="1946">
        <v>0.4</v>
      </c>
      <c r="C124" s="1946">
        <f>501.813-495.273</f>
        <v>6.5399999999999636</v>
      </c>
      <c r="D124" s="1950">
        <f>A124*B124*C124</f>
        <v>18.311999999999898</v>
      </c>
      <c r="E124" s="1950">
        <f>A124*C124*2+B124*C124</f>
        <v>94.175999999999476</v>
      </c>
      <c r="F124" s="1957"/>
    </row>
    <row r="125" spans="1:6" s="1942" customFormat="1" ht="13.5" thickBot="1">
      <c r="A125" s="1959"/>
      <c r="B125" s="1957"/>
      <c r="C125" s="1957"/>
      <c r="D125" s="1957"/>
      <c r="E125" s="1957"/>
      <c r="F125" s="1957"/>
    </row>
    <row r="126" spans="1:6" s="1942" customFormat="1" ht="13.5" thickBot="1">
      <c r="A126" s="3026" t="s">
        <v>3009</v>
      </c>
      <c r="B126" s="3027"/>
      <c r="C126" s="3027"/>
      <c r="D126" s="3027"/>
      <c r="E126" s="3028"/>
      <c r="F126" s="1957"/>
    </row>
    <row r="127" spans="1:6" s="1942" customFormat="1">
      <c r="A127" s="1943" t="s">
        <v>2985</v>
      </c>
      <c r="B127" s="1944" t="s">
        <v>2987</v>
      </c>
      <c r="C127" s="1944" t="s">
        <v>2988</v>
      </c>
      <c r="D127" s="1944" t="s">
        <v>3004</v>
      </c>
      <c r="E127" s="3041" t="s">
        <v>3005</v>
      </c>
      <c r="F127" s="1957"/>
    </row>
    <row r="128" spans="1:6" s="1942" customFormat="1" ht="13.5" thickBot="1">
      <c r="A128" s="1958" t="s">
        <v>2728</v>
      </c>
      <c r="B128" s="1946" t="s">
        <v>3006</v>
      </c>
      <c r="C128" s="1946" t="s">
        <v>3007</v>
      </c>
      <c r="D128" s="1946" t="s">
        <v>3008</v>
      </c>
      <c r="E128" s="3042"/>
      <c r="F128" s="1957"/>
    </row>
    <row r="129" spans="1:6" ht="13.5" thickBot="1">
      <c r="A129" s="1958">
        <v>7</v>
      </c>
      <c r="B129" s="1946">
        <v>0.4</v>
      </c>
      <c r="C129" s="1946">
        <f>501.813-495.273</f>
        <v>6.5399999999999636</v>
      </c>
      <c r="D129" s="1951">
        <f>A129*B129*C129</f>
        <v>18.311999999999898</v>
      </c>
      <c r="E129" s="1951">
        <f>A129*C129*2+B129*C129</f>
        <v>94.175999999999476</v>
      </c>
      <c r="F129" s="4"/>
    </row>
    <row r="130" spans="1:6" ht="13.5" thickBot="1">
      <c r="A130" s="1960"/>
      <c r="B130" s="4"/>
      <c r="C130" s="4"/>
      <c r="D130" s="4"/>
      <c r="E130" s="4"/>
      <c r="F130" s="4"/>
    </row>
    <row r="131" spans="1:6" ht="13.5" thickBot="1">
      <c r="A131" s="3026" t="s">
        <v>3010</v>
      </c>
      <c r="B131" s="3027"/>
      <c r="C131" s="3027"/>
      <c r="D131" s="3027"/>
      <c r="E131" s="3028"/>
      <c r="F131" s="4"/>
    </row>
    <row r="132" spans="1:6">
      <c r="A132" s="1943" t="s">
        <v>2973</v>
      </c>
      <c r="B132" s="1944" t="s">
        <v>2974</v>
      </c>
      <c r="C132" s="1944" t="s">
        <v>2982</v>
      </c>
      <c r="D132" s="1944" t="s">
        <v>3004</v>
      </c>
      <c r="E132" s="3041" t="s">
        <v>3005</v>
      </c>
      <c r="F132" s="4"/>
    </row>
    <row r="133" spans="1:6" ht="13.5" thickBot="1">
      <c r="A133" s="1958" t="s">
        <v>2728</v>
      </c>
      <c r="B133" s="1946" t="s">
        <v>3006</v>
      </c>
      <c r="C133" s="1946" t="s">
        <v>3007</v>
      </c>
      <c r="D133" s="1946" t="s">
        <v>3008</v>
      </c>
      <c r="E133" s="3042"/>
      <c r="F133" s="4"/>
    </row>
    <row r="134" spans="1:6" ht="13.5" thickBot="1">
      <c r="A134" s="1958">
        <v>22</v>
      </c>
      <c r="B134" s="1946">
        <v>0.4</v>
      </c>
      <c r="C134" s="1946">
        <f>501.813-495.273-0.25-0.3-0.02-0.6-0.05-0.02</f>
        <v>5.2999999999999652</v>
      </c>
      <c r="D134" s="1951">
        <f>A134*B134*C134</f>
        <v>46.639999999999695</v>
      </c>
      <c r="E134" s="1951">
        <f>A134*C134+A134*(C134-C139-D139)</f>
        <v>215.59999999999846</v>
      </c>
      <c r="F134" s="4"/>
    </row>
    <row r="135" spans="1:6" ht="13.5" thickBot="1">
      <c r="A135" s="1960"/>
      <c r="B135" s="4"/>
      <c r="C135" s="4"/>
      <c r="D135" s="4"/>
      <c r="E135" s="4"/>
      <c r="F135" s="4"/>
    </row>
    <row r="136" spans="1:6" ht="13.5" thickBot="1">
      <c r="A136" s="3026" t="s">
        <v>3011</v>
      </c>
      <c r="B136" s="3027"/>
      <c r="C136" s="3027"/>
      <c r="D136" s="3027"/>
      <c r="E136" s="3027"/>
      <c r="F136" s="3028"/>
    </row>
    <row r="137" spans="1:6">
      <c r="A137" s="1943" t="s">
        <v>2973</v>
      </c>
      <c r="B137" s="1944" t="s">
        <v>2975</v>
      </c>
      <c r="C137" s="1944" t="s">
        <v>2983</v>
      </c>
      <c r="D137" s="1961" t="s">
        <v>2984</v>
      </c>
      <c r="E137" s="1944" t="s">
        <v>3004</v>
      </c>
      <c r="F137" s="3041" t="s">
        <v>3005</v>
      </c>
    </row>
    <row r="138" spans="1:6" ht="13.5" thickBot="1">
      <c r="A138" s="1958" t="s">
        <v>2728</v>
      </c>
      <c r="B138" s="1946" t="s">
        <v>3006</v>
      </c>
      <c r="C138" s="1946" t="s">
        <v>3007</v>
      </c>
      <c r="D138" s="1962" t="s">
        <v>3007</v>
      </c>
      <c r="E138" s="1946" t="s">
        <v>3008</v>
      </c>
      <c r="F138" s="3042"/>
    </row>
    <row r="139" spans="1:6" ht="13.5" thickBot="1">
      <c r="A139" s="1958">
        <v>22</v>
      </c>
      <c r="B139" s="1946">
        <v>0.5</v>
      </c>
      <c r="C139" s="1946">
        <v>0.5</v>
      </c>
      <c r="D139" s="1962">
        <v>0.3</v>
      </c>
      <c r="E139" s="1950">
        <f>ROUND((((C139+D139)+D139)*B139)/2*A139,2)</f>
        <v>6.05</v>
      </c>
      <c r="F139" s="1951">
        <f>(((C139+D139)+D139)*B139)/2*2+D139*A139+SQRT(B139^2+C139^2)*A139</f>
        <v>22.706349186104045</v>
      </c>
    </row>
    <row r="160" spans="1:6" ht="14.25" thickBot="1">
      <c r="A160" s="1963"/>
      <c r="B160" s="4"/>
      <c r="C160" s="4"/>
      <c r="D160" s="4"/>
      <c r="E160" s="4"/>
      <c r="F160" s="4"/>
    </row>
    <row r="161" spans="1:6" ht="13.5" thickBot="1">
      <c r="A161" s="3026" t="s">
        <v>3012</v>
      </c>
      <c r="B161" s="3027"/>
      <c r="C161" s="3027"/>
      <c r="D161" s="3027"/>
      <c r="E161" s="3028"/>
      <c r="F161" s="3051"/>
    </row>
    <row r="162" spans="1:6" s="1942" customFormat="1">
      <c r="A162" s="1943" t="s">
        <v>2970</v>
      </c>
      <c r="B162" s="1944" t="s">
        <v>2971</v>
      </c>
      <c r="C162" s="1944" t="s">
        <v>2972</v>
      </c>
      <c r="D162" s="1944" t="s">
        <v>3004</v>
      </c>
      <c r="E162" s="3041" t="s">
        <v>3005</v>
      </c>
      <c r="F162" s="3051"/>
    </row>
    <row r="163" spans="1:6" s="1942" customFormat="1" ht="13.5" thickBot="1">
      <c r="A163" s="1958" t="s">
        <v>2728</v>
      </c>
      <c r="B163" s="1946" t="s">
        <v>3006</v>
      </c>
      <c r="C163" s="1946" t="s">
        <v>3007</v>
      </c>
      <c r="D163" s="1946" t="s">
        <v>3008</v>
      </c>
      <c r="E163" s="3042"/>
      <c r="F163" s="3051"/>
    </row>
    <row r="164" spans="1:6" ht="13.5" thickBot="1">
      <c r="A164" s="1958">
        <v>7</v>
      </c>
      <c r="B164" s="1946">
        <v>0.4</v>
      </c>
      <c r="C164" s="1946">
        <f>501.813-495.273</f>
        <v>6.5399999999999636</v>
      </c>
      <c r="D164" s="1950">
        <f>A164*B164*C164</f>
        <v>18.311999999999898</v>
      </c>
      <c r="E164" s="1964">
        <f>A164*C164*2+B164*C164</f>
        <v>94.175999999999476</v>
      </c>
      <c r="F164" s="3051"/>
    </row>
    <row r="165" spans="1:6" ht="13.5" thickBot="1">
      <c r="A165" s="3053"/>
      <c r="B165" s="3053"/>
      <c r="C165" s="3053"/>
      <c r="D165" s="3053"/>
      <c r="E165" s="3053"/>
      <c r="F165" s="3053"/>
    </row>
    <row r="166" spans="1:6" ht="13.5" thickBot="1">
      <c r="A166" s="3026" t="s">
        <v>3013</v>
      </c>
      <c r="B166" s="3027"/>
      <c r="C166" s="3027"/>
      <c r="D166" s="3027"/>
      <c r="E166" s="3028"/>
      <c r="F166" s="3051"/>
    </row>
    <row r="167" spans="1:6" s="1942" customFormat="1">
      <c r="A167" s="1943" t="s">
        <v>2970</v>
      </c>
      <c r="B167" s="1944" t="s">
        <v>2971</v>
      </c>
      <c r="C167" s="1944" t="s">
        <v>2972</v>
      </c>
      <c r="D167" s="1944" t="s">
        <v>3004</v>
      </c>
      <c r="E167" s="3041" t="s">
        <v>3005</v>
      </c>
      <c r="F167" s="3051"/>
    </row>
    <row r="168" spans="1:6" s="1942" customFormat="1" ht="13.5" thickBot="1">
      <c r="A168" s="1958" t="s">
        <v>2728</v>
      </c>
      <c r="B168" s="1946" t="s">
        <v>3006</v>
      </c>
      <c r="C168" s="1946" t="s">
        <v>3007</v>
      </c>
      <c r="D168" s="1946" t="s">
        <v>3008</v>
      </c>
      <c r="E168" s="3042"/>
      <c r="F168" s="3051"/>
    </row>
    <row r="169" spans="1:6" s="1942" customFormat="1" ht="13.5" thickBot="1">
      <c r="A169" s="1958">
        <v>7</v>
      </c>
      <c r="B169" s="1946">
        <v>0.4</v>
      </c>
      <c r="C169" s="1946">
        <f>501.813-495.273</f>
        <v>6.5399999999999636</v>
      </c>
      <c r="D169" s="1950">
        <f>A169*B169*C169</f>
        <v>18.311999999999898</v>
      </c>
      <c r="E169" s="1950">
        <f>A169*C169*2+B169*C169</f>
        <v>94.175999999999476</v>
      </c>
      <c r="F169" s="3051"/>
    </row>
    <row r="170" spans="1:6" s="1942" customFormat="1" ht="13.5" thickBot="1">
      <c r="A170" s="3054"/>
      <c r="B170" s="3054"/>
      <c r="C170" s="3054"/>
      <c r="D170" s="3054"/>
      <c r="E170" s="3054"/>
      <c r="F170" s="3054"/>
    </row>
    <row r="171" spans="1:6" s="1942" customFormat="1" ht="13.5" thickBot="1">
      <c r="A171" s="3026" t="s">
        <v>3014</v>
      </c>
      <c r="B171" s="3027"/>
      <c r="C171" s="3027"/>
      <c r="D171" s="3027"/>
      <c r="E171" s="3028"/>
      <c r="F171" s="3052"/>
    </row>
    <row r="172" spans="1:6" s="1942" customFormat="1">
      <c r="A172" s="1943" t="s">
        <v>2970</v>
      </c>
      <c r="B172" s="1944" t="s">
        <v>2971</v>
      </c>
      <c r="C172" s="1944" t="s">
        <v>2972</v>
      </c>
      <c r="D172" s="1944" t="s">
        <v>3004</v>
      </c>
      <c r="E172" s="3041" t="s">
        <v>3005</v>
      </c>
      <c r="F172" s="3052"/>
    </row>
    <row r="173" spans="1:6" s="1942" customFormat="1" ht="13.5" thickBot="1">
      <c r="A173" s="1958" t="s">
        <v>2728</v>
      </c>
      <c r="B173" s="1946" t="s">
        <v>3006</v>
      </c>
      <c r="C173" s="1946" t="s">
        <v>3007</v>
      </c>
      <c r="D173" s="1946" t="s">
        <v>3008</v>
      </c>
      <c r="E173" s="3042"/>
      <c r="F173" s="3052"/>
    </row>
    <row r="174" spans="1:6" s="1942" customFormat="1" ht="13.5" thickBot="1">
      <c r="A174" s="1958">
        <v>22</v>
      </c>
      <c r="B174" s="1946">
        <v>0.4</v>
      </c>
      <c r="C174" s="1946">
        <f>501.813-495.273-0.25-0.3-0.02-0.6-0.05-0.02</f>
        <v>5.2999999999999652</v>
      </c>
      <c r="D174" s="1950">
        <f>A174*B174*C174</f>
        <v>46.639999999999695</v>
      </c>
      <c r="E174" s="1950">
        <f>A174*C174+A174*(C174-C179-D179)</f>
        <v>215.59999999999846</v>
      </c>
      <c r="F174" s="3052"/>
    </row>
    <row r="175" spans="1:6" ht="13.5" thickBot="1">
      <c r="A175" s="3045"/>
      <c r="B175" s="3045"/>
      <c r="C175" s="3045"/>
      <c r="D175" s="3045"/>
      <c r="E175" s="3045"/>
      <c r="F175" s="3045"/>
    </row>
    <row r="176" spans="1:6" ht="13.5" thickBot="1">
      <c r="A176" s="3026" t="s">
        <v>3015</v>
      </c>
      <c r="B176" s="3027"/>
      <c r="C176" s="3027"/>
      <c r="D176" s="3027"/>
      <c r="E176" s="3027"/>
      <c r="F176" s="3028"/>
    </row>
    <row r="177" spans="1:6" s="1942" customFormat="1">
      <c r="A177" s="1943" t="s">
        <v>2973</v>
      </c>
      <c r="B177" s="1944" t="s">
        <v>2975</v>
      </c>
      <c r="C177" s="1944" t="s">
        <v>2983</v>
      </c>
      <c r="D177" s="1944" t="s">
        <v>2984</v>
      </c>
      <c r="E177" s="1944" t="s">
        <v>3004</v>
      </c>
      <c r="F177" s="3041" t="s">
        <v>3005</v>
      </c>
    </row>
    <row r="178" spans="1:6" s="1942" customFormat="1" ht="13.5" thickBot="1">
      <c r="A178" s="1958" t="s">
        <v>2728</v>
      </c>
      <c r="B178" s="1946" t="s">
        <v>3006</v>
      </c>
      <c r="C178" s="1946" t="s">
        <v>3007</v>
      </c>
      <c r="D178" s="1946" t="s">
        <v>3007</v>
      </c>
      <c r="E178" s="1946" t="s">
        <v>3008</v>
      </c>
      <c r="F178" s="3042"/>
    </row>
    <row r="179" spans="1:6" s="1942" customFormat="1" ht="13.5" thickBot="1">
      <c r="A179" s="1958">
        <v>22</v>
      </c>
      <c r="B179" s="1946">
        <v>0.5</v>
      </c>
      <c r="C179" s="1946">
        <v>0.5</v>
      </c>
      <c r="D179" s="1946">
        <v>0.3</v>
      </c>
      <c r="E179" s="1950">
        <f>ROUND((((C179+D179)+D179)*B179)/2*A179,2)</f>
        <v>6.05</v>
      </c>
      <c r="F179" s="1950">
        <f>(((C179+D179)+D179)*B179)/2*2+D179*A179+SQRT(B179^2+C179^2)*A179</f>
        <v>22.706349186104045</v>
      </c>
    </row>
    <row r="180" spans="1:6" ht="13.5" thickBot="1">
      <c r="A180" s="3046"/>
      <c r="B180" s="3046"/>
      <c r="C180" s="3046"/>
      <c r="D180" s="3046"/>
      <c r="E180" s="3046"/>
      <c r="F180" s="3046"/>
    </row>
    <row r="181" spans="1:6" ht="13.5" thickBot="1">
      <c r="A181" s="3047"/>
      <c r="B181" s="3048"/>
      <c r="C181" s="3049" t="s">
        <v>3016</v>
      </c>
      <c r="D181" s="3050"/>
      <c r="E181" s="3051"/>
      <c r="F181" s="3047"/>
    </row>
    <row r="182" spans="1:6">
      <c r="A182" s="3047"/>
      <c r="B182" s="3048"/>
      <c r="C182" s="1944" t="s">
        <v>3004</v>
      </c>
      <c r="D182" s="3041" t="s">
        <v>3005</v>
      </c>
      <c r="E182" s="3051"/>
      <c r="F182" s="3047"/>
    </row>
    <row r="183" spans="1:6" ht="13.5" thickBot="1">
      <c r="A183" s="3047"/>
      <c r="B183" s="3048"/>
      <c r="C183" s="1946" t="s">
        <v>3008</v>
      </c>
      <c r="D183" s="3042"/>
      <c r="E183" s="3051"/>
      <c r="F183" s="3047"/>
    </row>
    <row r="184" spans="1:6" ht="13.5" thickBot="1">
      <c r="A184" s="3047"/>
      <c r="B184" s="3048"/>
      <c r="C184" s="1950">
        <f>ROUND(D124+D129+D134+E139+D164+D169+D174+E179,2)</f>
        <v>178.63</v>
      </c>
      <c r="D184" s="1950">
        <f>ROUND(E124+E129+E134+F139+E164+E169+E174+F179,2)</f>
        <v>853.32</v>
      </c>
      <c r="E184" s="3051"/>
      <c r="F184" s="3047"/>
    </row>
    <row r="186" spans="1:6">
      <c r="A186" s="1960" t="s">
        <v>3017</v>
      </c>
    </row>
    <row r="205" spans="1:7" ht="19.5" thickBot="1">
      <c r="A205" s="1965"/>
      <c r="B205" s="4"/>
      <c r="C205" s="4"/>
      <c r="D205" s="4"/>
      <c r="E205" s="4"/>
      <c r="F205" s="4"/>
      <c r="G205" s="4"/>
    </row>
    <row r="206" spans="1:7">
      <c r="A206" s="1966" t="s">
        <v>2970</v>
      </c>
      <c r="B206" s="1967" t="s">
        <v>2971</v>
      </c>
      <c r="C206" s="1967" t="s">
        <v>2972</v>
      </c>
      <c r="D206" s="1968" t="s">
        <v>2973</v>
      </c>
      <c r="E206" s="1967" t="s">
        <v>2974</v>
      </c>
      <c r="F206" s="1967" t="s">
        <v>2975</v>
      </c>
      <c r="G206" s="1967" t="s">
        <v>2982</v>
      </c>
    </row>
    <row r="207" spans="1:7" ht="15" thickBot="1">
      <c r="A207" s="1958" t="s">
        <v>3018</v>
      </c>
      <c r="B207" s="1946" t="s">
        <v>3019</v>
      </c>
      <c r="C207" s="1946" t="s">
        <v>3020</v>
      </c>
      <c r="D207" s="1962" t="s">
        <v>3021</v>
      </c>
      <c r="E207" s="1946" t="s">
        <v>3022</v>
      </c>
      <c r="F207" s="1947" t="s">
        <v>2977</v>
      </c>
      <c r="G207" s="1947" t="s">
        <v>2977</v>
      </c>
    </row>
    <row r="208" spans="1:7" ht="13.5" thickBot="1">
      <c r="A208" s="1948">
        <v>4</v>
      </c>
      <c r="B208" s="1949">
        <v>4</v>
      </c>
      <c r="C208" s="1949">
        <v>0.05</v>
      </c>
      <c r="D208" s="1969">
        <v>1</v>
      </c>
      <c r="E208" s="1970">
        <f>ROUND(496.517-492.872-0.05,1)</f>
        <v>3.6</v>
      </c>
      <c r="F208" s="1949">
        <v>0.5</v>
      </c>
      <c r="G208" s="1949">
        <v>0.5</v>
      </c>
    </row>
    <row r="209" spans="1:7">
      <c r="A209" s="1971"/>
      <c r="B209" s="1971"/>
      <c r="C209" s="1971"/>
      <c r="D209" s="1972"/>
      <c r="E209" s="1971"/>
      <c r="F209" s="1971"/>
      <c r="G209" s="1971"/>
    </row>
    <row r="210" spans="1:7" ht="13.5" thickBot="1">
      <c r="A210" s="1971"/>
      <c r="B210" s="1971"/>
      <c r="C210" s="1971"/>
      <c r="D210" s="1972"/>
      <c r="E210" s="1971"/>
      <c r="F210" s="1971"/>
      <c r="G210" s="1971"/>
    </row>
    <row r="211" spans="1:7" ht="51.75" thickBot="1">
      <c r="A211" s="1973" t="s">
        <v>3023</v>
      </c>
      <c r="B211" s="1973" t="s">
        <v>3024</v>
      </c>
      <c r="C211" s="1973" t="s">
        <v>3025</v>
      </c>
      <c r="D211" s="1974" t="s">
        <v>3005</v>
      </c>
      <c r="E211" s="1975" t="s">
        <v>3026</v>
      </c>
      <c r="F211" s="1975" t="s">
        <v>3027</v>
      </c>
      <c r="G211" s="1975" t="s">
        <v>3028</v>
      </c>
    </row>
    <row r="212" spans="1:7" ht="13.5" thickBot="1">
      <c r="A212" s="1976">
        <v>3</v>
      </c>
      <c r="B212" s="1977">
        <f>ROUND(A208*B208*D208*A212,2)</f>
        <v>48</v>
      </c>
      <c r="C212" s="1977">
        <f>ROUND(A208*B208*C208*A212,2)</f>
        <v>2.4</v>
      </c>
      <c r="D212" s="1978">
        <f>ROUND((((A208*2)+(B208*2))*+D208)*A212,2)</f>
        <v>48</v>
      </c>
      <c r="E212" s="1977">
        <f>ROUND(((A208+F208*2)*(B208+G208*2))*E208*A212,2)</f>
        <v>270</v>
      </c>
      <c r="F212" s="1977">
        <f>A208*B208*A212</f>
        <v>48</v>
      </c>
      <c r="G212" s="1977">
        <f>E212*5%</f>
        <v>13.5</v>
      </c>
    </row>
    <row r="213" spans="1:7" ht="16.5" customHeight="1">
      <c r="A213" s="1960"/>
      <c r="B213" s="4"/>
      <c r="C213" s="4"/>
      <c r="D213" s="4"/>
      <c r="E213" s="4"/>
      <c r="F213" s="4"/>
      <c r="G213" s="4"/>
    </row>
    <row r="214" spans="1:7">
      <c r="A214" s="1960" t="s">
        <v>3029</v>
      </c>
      <c r="B214" s="4"/>
      <c r="C214" s="4"/>
      <c r="D214" s="4"/>
      <c r="E214" s="4"/>
      <c r="F214" s="4"/>
      <c r="G214" s="4"/>
    </row>
    <row r="233" spans="1:9" ht="13.5" thickBot="1"/>
    <row r="234" spans="1:9">
      <c r="A234" s="1966" t="s">
        <v>2970</v>
      </c>
      <c r="B234" s="1967" t="s">
        <v>2971</v>
      </c>
      <c r="C234" s="1967" t="s">
        <v>2972</v>
      </c>
      <c r="D234" s="1968" t="s">
        <v>2973</v>
      </c>
      <c r="E234" s="1967" t="s">
        <v>2974</v>
      </c>
      <c r="F234" s="1967" t="s">
        <v>2975</v>
      </c>
      <c r="G234" s="1967" t="s">
        <v>2982</v>
      </c>
    </row>
    <row r="235" spans="1:9" ht="15" thickBot="1">
      <c r="A235" s="1958" t="s">
        <v>3018</v>
      </c>
      <c r="B235" s="1946" t="s">
        <v>3019</v>
      </c>
      <c r="C235" s="1946" t="s">
        <v>3020</v>
      </c>
      <c r="D235" s="1962" t="s">
        <v>3021</v>
      </c>
      <c r="E235" s="1946" t="s">
        <v>3022</v>
      </c>
      <c r="F235" s="1947" t="s">
        <v>2977</v>
      </c>
      <c r="G235" s="1947" t="s">
        <v>2977</v>
      </c>
    </row>
    <row r="236" spans="1:9" ht="13.5" thickBot="1">
      <c r="A236" s="1948">
        <v>4</v>
      </c>
      <c r="B236" s="1949">
        <v>4</v>
      </c>
      <c r="C236" s="1949">
        <v>0.05</v>
      </c>
      <c r="D236" s="1969">
        <v>1</v>
      </c>
      <c r="E236" s="1949">
        <f>ROUND(496.517-492.872-0.05,1)</f>
        <v>3.6</v>
      </c>
      <c r="F236" s="1949">
        <v>0.5</v>
      </c>
      <c r="G236" s="1949">
        <v>0.5</v>
      </c>
      <c r="I236" s="1846">
        <f>7.39/2</f>
        <v>3.6949999999999998</v>
      </c>
    </row>
    <row r="237" spans="1:9">
      <c r="A237" s="1971"/>
      <c r="B237" s="1971"/>
      <c r="C237" s="1971"/>
      <c r="D237" s="1972"/>
      <c r="E237" s="1971"/>
      <c r="F237" s="1971"/>
      <c r="G237" s="1971"/>
    </row>
    <row r="238" spans="1:9" ht="13.5" thickBot="1"/>
    <row r="239" spans="1:9" ht="51.75" thickBot="1">
      <c r="A239" s="1973" t="s">
        <v>3023</v>
      </c>
      <c r="B239" s="1973" t="s">
        <v>3030</v>
      </c>
      <c r="C239" s="1973" t="s">
        <v>3025</v>
      </c>
      <c r="D239" s="1974" t="s">
        <v>3005</v>
      </c>
      <c r="E239" s="1975" t="s">
        <v>3026</v>
      </c>
      <c r="F239" s="1975" t="s">
        <v>3027</v>
      </c>
      <c r="G239" s="1975" t="s">
        <v>3028</v>
      </c>
    </row>
    <row r="240" spans="1:9" ht="13.5" thickBot="1">
      <c r="A240" s="1976">
        <v>3</v>
      </c>
      <c r="B240" s="1977">
        <f>ROUND(A236*B236*D236*A240,2)</f>
        <v>48</v>
      </c>
      <c r="C240" s="1977">
        <f>ROUND(A236*B236*C236*A240,2)</f>
        <v>2.4</v>
      </c>
      <c r="D240" s="1978">
        <f>ROUND((((A236*2)+(B236*2))*+D236)*A240,2)</f>
        <v>48</v>
      </c>
      <c r="E240" s="1977">
        <f>ROUND(((A236+F236*2)*(B236+G236*2))*E236*A240,2)</f>
        <v>270</v>
      </c>
      <c r="F240" s="1977">
        <f>A236*B236*A240</f>
        <v>48</v>
      </c>
      <c r="G240" s="1977">
        <f>E240*5%</f>
        <v>13.5</v>
      </c>
    </row>
    <row r="241" spans="1:7">
      <c r="A241" s="1960" t="s">
        <v>3031</v>
      </c>
      <c r="B241" s="4"/>
      <c r="C241" s="4"/>
      <c r="D241" s="4"/>
      <c r="E241" s="4"/>
      <c r="F241" s="4"/>
      <c r="G241" s="4"/>
    </row>
    <row r="242" spans="1:7">
      <c r="A242" s="1960"/>
      <c r="B242" s="4"/>
      <c r="C242" s="4"/>
      <c r="D242" s="4"/>
      <c r="E242" s="4"/>
      <c r="F242" s="4"/>
      <c r="G242" s="4"/>
    </row>
    <row r="243" spans="1:7">
      <c r="A243" s="1960"/>
      <c r="B243" s="4"/>
      <c r="C243" s="4"/>
      <c r="D243" s="4"/>
      <c r="E243" s="4"/>
      <c r="F243" s="4"/>
      <c r="G243" s="4"/>
    </row>
    <row r="244" spans="1:7">
      <c r="A244" s="1960"/>
      <c r="B244" s="4"/>
      <c r="C244" s="4"/>
      <c r="D244" s="4"/>
      <c r="E244" s="4"/>
      <c r="F244" s="4"/>
      <c r="G244" s="4"/>
    </row>
    <row r="245" spans="1:7">
      <c r="A245" s="1960"/>
      <c r="B245" s="4"/>
      <c r="C245" s="4"/>
      <c r="D245" s="4"/>
      <c r="E245" s="4"/>
      <c r="F245" s="4"/>
      <c r="G245" s="4"/>
    </row>
    <row r="246" spans="1:7">
      <c r="A246" s="1960"/>
      <c r="B246" s="4"/>
      <c r="C246" s="4"/>
      <c r="D246" s="4"/>
      <c r="E246" s="4"/>
      <c r="F246" s="4"/>
      <c r="G246" s="4"/>
    </row>
    <row r="247" spans="1:7">
      <c r="A247" s="1960"/>
      <c r="B247" s="4"/>
      <c r="C247" s="4"/>
      <c r="D247" s="4"/>
      <c r="E247" s="4"/>
      <c r="F247" s="4"/>
      <c r="G247" s="4"/>
    </row>
    <row r="248" spans="1:7">
      <c r="A248" s="1960"/>
      <c r="B248" s="4"/>
      <c r="C248" s="4"/>
      <c r="D248" s="4"/>
      <c r="E248" s="4"/>
      <c r="F248" s="4"/>
      <c r="G248" s="4"/>
    </row>
    <row r="249" spans="1:7">
      <c r="A249" s="1960"/>
      <c r="B249" s="4"/>
      <c r="C249" s="4"/>
      <c r="D249" s="4"/>
      <c r="E249" s="4"/>
      <c r="F249" s="4"/>
      <c r="G249" s="4"/>
    </row>
    <row r="250" spans="1:7">
      <c r="A250" s="1960"/>
      <c r="B250" s="4"/>
      <c r="C250" s="4"/>
      <c r="D250" s="4"/>
      <c r="E250" s="4"/>
      <c r="F250" s="4"/>
      <c r="G250" s="4"/>
    </row>
    <row r="251" spans="1:7">
      <c r="A251" s="1960"/>
      <c r="B251" s="4"/>
      <c r="C251" s="4"/>
      <c r="D251" s="4"/>
      <c r="E251" s="4"/>
      <c r="F251" s="4"/>
      <c r="G251" s="4"/>
    </row>
    <row r="252" spans="1:7">
      <c r="A252" s="1960"/>
      <c r="B252" s="4"/>
      <c r="C252" s="4"/>
      <c r="D252" s="4"/>
      <c r="E252" s="4"/>
      <c r="F252" s="4"/>
      <c r="G252" s="4"/>
    </row>
    <row r="253" spans="1:7">
      <c r="A253" s="1960"/>
      <c r="B253" s="4"/>
      <c r="C253" s="4"/>
      <c r="D253" s="4"/>
      <c r="E253" s="4"/>
      <c r="F253" s="4"/>
      <c r="G253" s="4"/>
    </row>
    <row r="254" spans="1:7">
      <c r="A254" s="1960"/>
      <c r="B254" s="4"/>
      <c r="C254" s="4"/>
      <c r="D254" s="4"/>
      <c r="E254" s="4"/>
      <c r="F254" s="4"/>
      <c r="G254" s="4"/>
    </row>
    <row r="255" spans="1:7">
      <c r="A255" s="1960"/>
      <c r="B255" s="4"/>
      <c r="C255" s="4"/>
      <c r="D255" s="4"/>
      <c r="E255" s="4"/>
      <c r="F255" s="4"/>
      <c r="G255" s="4"/>
    </row>
    <row r="256" spans="1:7">
      <c r="A256" s="1960"/>
      <c r="B256" s="4"/>
      <c r="C256" s="4"/>
      <c r="D256" s="4"/>
      <c r="E256" s="4"/>
      <c r="F256" s="4"/>
      <c r="G256" s="4"/>
    </row>
    <row r="257" spans="1:7">
      <c r="A257" s="1960"/>
      <c r="B257" s="4"/>
      <c r="C257" s="4"/>
      <c r="D257" s="4"/>
      <c r="E257" s="4"/>
      <c r="F257" s="4"/>
      <c r="G257" s="4"/>
    </row>
    <row r="258" spans="1:7">
      <c r="A258" s="1960"/>
      <c r="B258" s="4"/>
      <c r="C258" s="4"/>
      <c r="D258" s="4"/>
      <c r="E258" s="4"/>
      <c r="F258" s="4"/>
      <c r="G258" s="4"/>
    </row>
    <row r="259" spans="1:7">
      <c r="A259" s="1960"/>
      <c r="B259" s="4"/>
      <c r="C259" s="4"/>
      <c r="D259" s="4"/>
      <c r="E259" s="4"/>
      <c r="F259" s="4"/>
      <c r="G259" s="4"/>
    </row>
    <row r="260" spans="1:7" ht="13.5" thickBot="1">
      <c r="A260" s="1979"/>
      <c r="B260" s="4"/>
      <c r="C260" s="4"/>
      <c r="D260" s="4"/>
      <c r="E260" s="4"/>
      <c r="F260" s="4"/>
      <c r="G260" s="4"/>
    </row>
    <row r="261" spans="1:7" s="1942" customFormat="1">
      <c r="A261" s="1966" t="s">
        <v>2970</v>
      </c>
      <c r="B261" s="1967" t="s">
        <v>2971</v>
      </c>
      <c r="C261" s="1967" t="s">
        <v>3032</v>
      </c>
      <c r="D261" s="1967" t="s">
        <v>3004</v>
      </c>
      <c r="E261" s="3041" t="s">
        <v>3005</v>
      </c>
      <c r="F261" s="1957"/>
      <c r="G261" s="1957"/>
    </row>
    <row r="262" spans="1:7" s="1942" customFormat="1" ht="13.5" thickBot="1">
      <c r="A262" s="1958" t="s">
        <v>2727</v>
      </c>
      <c r="B262" s="1946" t="s">
        <v>3007</v>
      </c>
      <c r="C262" s="1946" t="s">
        <v>3033</v>
      </c>
      <c r="D262" s="1946" t="s">
        <v>3008</v>
      </c>
      <c r="E262" s="3042"/>
      <c r="F262" s="1957"/>
      <c r="G262" s="1957"/>
    </row>
    <row r="263" spans="1:7" ht="13.5" thickBot="1">
      <c r="A263" s="1948">
        <v>0.8</v>
      </c>
      <c r="B263" s="1980">
        <v>5.2</v>
      </c>
      <c r="C263" s="1949">
        <v>6</v>
      </c>
      <c r="D263" s="1951">
        <f>ROUND((PI()*A263^2)/4*B263*C263,2)</f>
        <v>15.68</v>
      </c>
      <c r="E263" s="1951">
        <f>ROUND(2*PI()*A263/2*B263*C263,2)</f>
        <v>78.41</v>
      </c>
      <c r="F263" s="4"/>
      <c r="G263" s="4"/>
    </row>
    <row r="264" spans="1:7" ht="15">
      <c r="A264" s="1981"/>
      <c r="B264" s="4"/>
      <c r="C264" s="4"/>
      <c r="D264" s="4"/>
      <c r="E264" s="4"/>
      <c r="F264" s="4"/>
      <c r="G264" s="4"/>
    </row>
    <row r="265" spans="1:7">
      <c r="A265" s="1982" t="s">
        <v>3034</v>
      </c>
      <c r="B265" s="4"/>
      <c r="C265" s="4"/>
      <c r="D265" s="4"/>
      <c r="E265" s="4"/>
      <c r="F265" s="4"/>
      <c r="G265" s="4"/>
    </row>
    <row r="266" spans="1:7">
      <c r="A266" s="1960"/>
      <c r="B266" s="4"/>
      <c r="C266" s="4"/>
      <c r="D266" s="4"/>
      <c r="E266" s="4"/>
      <c r="F266" s="4"/>
      <c r="G266" s="4"/>
    </row>
    <row r="267" spans="1:7">
      <c r="A267" s="1960"/>
      <c r="B267" s="4"/>
      <c r="C267" s="4"/>
      <c r="D267" s="4"/>
      <c r="E267" s="4"/>
      <c r="F267" s="4"/>
      <c r="G267" s="4"/>
    </row>
    <row r="268" spans="1:7">
      <c r="A268" s="1960"/>
      <c r="B268" s="4"/>
      <c r="C268" s="4"/>
      <c r="D268" s="4"/>
      <c r="E268" s="4"/>
      <c r="F268" s="4"/>
      <c r="G268" s="4"/>
    </row>
    <row r="269" spans="1:7">
      <c r="A269" s="1960"/>
      <c r="B269" s="4"/>
      <c r="C269" s="4"/>
      <c r="D269" s="4"/>
      <c r="E269" s="4"/>
      <c r="F269" s="4"/>
      <c r="G269" s="4"/>
    </row>
    <row r="270" spans="1:7">
      <c r="A270" s="1960"/>
      <c r="B270" s="4"/>
      <c r="C270" s="4"/>
      <c r="D270" s="4"/>
      <c r="E270" s="4"/>
      <c r="F270" s="4"/>
      <c r="G270" s="4"/>
    </row>
    <row r="271" spans="1:7">
      <c r="A271" s="1960"/>
      <c r="B271" s="4"/>
      <c r="C271" s="4"/>
      <c r="D271" s="4"/>
      <c r="E271" s="4"/>
      <c r="F271" s="4"/>
      <c r="G271" s="4"/>
    </row>
    <row r="272" spans="1:7">
      <c r="A272" s="1960"/>
      <c r="B272" s="4"/>
      <c r="C272" s="4"/>
      <c r="D272" s="4"/>
      <c r="E272" s="4"/>
      <c r="F272" s="4"/>
      <c r="G272" s="4"/>
    </row>
    <row r="273" spans="1:7">
      <c r="A273" s="1960"/>
      <c r="B273" s="4"/>
      <c r="C273" s="4"/>
      <c r="D273" s="4"/>
      <c r="E273" s="4"/>
      <c r="F273" s="4"/>
      <c r="G273" s="4"/>
    </row>
    <row r="274" spans="1:7">
      <c r="A274" s="4"/>
      <c r="B274" s="4"/>
      <c r="C274" s="4"/>
      <c r="D274" s="4"/>
      <c r="E274" s="4"/>
      <c r="F274" s="4"/>
      <c r="G274" s="4"/>
    </row>
    <row r="275" spans="1:7">
      <c r="A275" s="4"/>
      <c r="B275" s="4"/>
      <c r="C275" s="4"/>
      <c r="D275" s="4"/>
      <c r="E275" s="4"/>
      <c r="F275" s="4"/>
      <c r="G275" s="4"/>
    </row>
    <row r="276" spans="1:7" ht="18" thickBot="1">
      <c r="A276" s="1983"/>
      <c r="B276" s="4"/>
      <c r="C276" s="4"/>
      <c r="D276" s="4"/>
      <c r="E276" s="4"/>
      <c r="F276" s="4"/>
      <c r="G276" s="4"/>
    </row>
    <row r="277" spans="1:7">
      <c r="A277" s="1966" t="s">
        <v>2970</v>
      </c>
      <c r="B277" s="1967" t="s">
        <v>2971</v>
      </c>
      <c r="C277" s="1967" t="s">
        <v>2972</v>
      </c>
      <c r="D277" s="1968" t="s">
        <v>2973</v>
      </c>
      <c r="E277" s="1967" t="s">
        <v>2974</v>
      </c>
      <c r="F277" s="1967" t="s">
        <v>2975</v>
      </c>
      <c r="G277" s="1967" t="s">
        <v>3032</v>
      </c>
    </row>
    <row r="278" spans="1:7" ht="15" thickBot="1">
      <c r="A278" s="1958" t="s">
        <v>3035</v>
      </c>
      <c r="B278" s="1946" t="s">
        <v>3018</v>
      </c>
      <c r="C278" s="1946" t="s">
        <v>3036</v>
      </c>
      <c r="D278" s="1962" t="s">
        <v>3020</v>
      </c>
      <c r="E278" s="1946" t="s">
        <v>3021</v>
      </c>
      <c r="F278" s="1946" t="s">
        <v>3006</v>
      </c>
      <c r="G278" s="1946" t="s">
        <v>3037</v>
      </c>
    </row>
    <row r="279" spans="1:7" ht="13.5" thickBot="1">
      <c r="A279" s="1948">
        <v>15.8</v>
      </c>
      <c r="B279" s="1949">
        <v>3.1</v>
      </c>
      <c r="C279" s="1949">
        <v>3.1</v>
      </c>
      <c r="D279" s="1969">
        <v>1</v>
      </c>
      <c r="E279" s="1949">
        <v>0.5</v>
      </c>
      <c r="F279" s="1949">
        <v>1.2</v>
      </c>
      <c r="G279" s="1949">
        <v>2</v>
      </c>
    </row>
    <row r="280" spans="1:7" ht="13.5" thickBot="1"/>
    <row r="281" spans="1:7">
      <c r="A281" s="1967" t="s">
        <v>3004</v>
      </c>
      <c r="B281" s="3041" t="s">
        <v>3005</v>
      </c>
    </row>
    <row r="282" spans="1:7" ht="13.5" thickBot="1">
      <c r="A282" s="1946" t="s">
        <v>3008</v>
      </c>
      <c r="B282" s="3042"/>
    </row>
    <row r="283" spans="1:7" ht="13.5" thickBot="1">
      <c r="A283" s="1951">
        <f>ROUND((A279*F279*(D279+E279)+((D279+E279)+E279)*C279/2*F279+((D279+E279)+E279)*B279/2*F279)*G279,2)</f>
        <v>71.760000000000005</v>
      </c>
      <c r="B283" s="1951">
        <f>ROUND((E279*2+SQRT(B279^2+D279^2)+A279+SQRT(C279^2+D279^2))*F279*G279+(((A279+B279+C279)+A279)*D279/2+(A279+B279+C279)*E279)*2*G279,2)</f>
        <v>175.56</v>
      </c>
    </row>
    <row r="285" spans="1:7">
      <c r="A285" s="1982" t="s">
        <v>3038</v>
      </c>
    </row>
    <row r="286" spans="1:7" ht="15.75">
      <c r="A286" s="1984"/>
    </row>
    <row r="287" spans="1:7">
      <c r="A287" s="1960" t="s">
        <v>3039</v>
      </c>
    </row>
    <row r="297" spans="1:6" ht="13.5" thickBot="1"/>
    <row r="298" spans="1:6">
      <c r="A298" s="1966" t="s">
        <v>2970</v>
      </c>
      <c r="B298" s="1967" t="s">
        <v>2971</v>
      </c>
      <c r="C298" s="1967" t="s">
        <v>2972</v>
      </c>
      <c r="D298" s="1967" t="s">
        <v>3040</v>
      </c>
      <c r="E298" s="1967" t="s">
        <v>3004</v>
      </c>
      <c r="F298" s="3041" t="s">
        <v>3005</v>
      </c>
    </row>
    <row r="299" spans="1:6" ht="13.5" thickBot="1">
      <c r="A299" s="1958" t="s">
        <v>2728</v>
      </c>
      <c r="B299" s="1946" t="s">
        <v>3006</v>
      </c>
      <c r="C299" s="1946" t="s">
        <v>3007</v>
      </c>
      <c r="D299" s="1946" t="s">
        <v>3041</v>
      </c>
      <c r="E299" s="1946" t="s">
        <v>3008</v>
      </c>
      <c r="F299" s="3042"/>
    </row>
    <row r="300" spans="1:6" ht="13.5" thickBot="1">
      <c r="A300" s="1948">
        <v>22</v>
      </c>
      <c r="B300" s="1949">
        <v>0.3</v>
      </c>
      <c r="C300" s="1949">
        <v>0.02</v>
      </c>
      <c r="D300" s="1949">
        <v>6</v>
      </c>
      <c r="E300" s="1950">
        <f>ROUND(A300*B300*C300*D300,2)</f>
        <v>0.79</v>
      </c>
      <c r="F300" s="1950">
        <f>ROUND((A300*2+B300*2)*C300*D300,2)</f>
        <v>5.35</v>
      </c>
    </row>
    <row r="302" spans="1:6">
      <c r="A302" s="1846" t="s">
        <v>3042</v>
      </c>
    </row>
    <row r="313" spans="1:6" ht="13.5" thickBot="1">
      <c r="A313" s="1985"/>
      <c r="B313" s="4"/>
      <c r="C313" s="4"/>
      <c r="D313" s="4"/>
      <c r="E313" s="4"/>
      <c r="F313" s="4"/>
    </row>
    <row r="314" spans="1:6">
      <c r="A314" s="1966" t="s">
        <v>2970</v>
      </c>
      <c r="B314" s="1967" t="s">
        <v>2971</v>
      </c>
      <c r="C314" s="1967" t="s">
        <v>2972</v>
      </c>
      <c r="D314" s="1967" t="s">
        <v>3040</v>
      </c>
      <c r="E314" s="1967" t="s">
        <v>3004</v>
      </c>
      <c r="F314" s="3041" t="s">
        <v>3005</v>
      </c>
    </row>
    <row r="315" spans="1:6" ht="13.5" thickBot="1">
      <c r="A315" s="1958" t="s">
        <v>2728</v>
      </c>
      <c r="B315" s="1946" t="s">
        <v>3006</v>
      </c>
      <c r="C315" s="1946" t="s">
        <v>3007</v>
      </c>
      <c r="D315" s="1946" t="s">
        <v>3041</v>
      </c>
      <c r="E315" s="1946" t="s">
        <v>3008</v>
      </c>
      <c r="F315" s="3042"/>
    </row>
    <row r="316" spans="1:6" ht="13.5" thickBot="1">
      <c r="A316" s="1948">
        <v>22</v>
      </c>
      <c r="B316" s="1949">
        <v>0.15</v>
      </c>
      <c r="C316" s="1949">
        <v>0.02</v>
      </c>
      <c r="D316" s="1949">
        <v>2</v>
      </c>
      <c r="E316" s="1950">
        <f>ROUND(A316*B316*C316*D316,2)</f>
        <v>0.13</v>
      </c>
      <c r="F316" s="1950">
        <f>ROUND((A316*2+B316*2)*C316*D316,2)</f>
        <v>1.77</v>
      </c>
    </row>
    <row r="317" spans="1:6" ht="13.5" thickBot="1"/>
    <row r="318" spans="1:6" ht="26.25" customHeight="1" thickBot="1">
      <c r="A318" s="3043" t="s">
        <v>3043</v>
      </c>
      <c r="B318" s="3044"/>
    </row>
    <row r="319" spans="1:6">
      <c r="A319" s="1967" t="s">
        <v>3004</v>
      </c>
      <c r="B319" s="3041" t="s">
        <v>3005</v>
      </c>
    </row>
    <row r="320" spans="1:6" ht="13.5" thickBot="1">
      <c r="A320" s="1946" t="s">
        <v>3008</v>
      </c>
      <c r="B320" s="3042"/>
    </row>
    <row r="321" spans="1:6" ht="13.5" thickBot="1">
      <c r="A321" s="1951">
        <f>ROUND(E300+E316,2)</f>
        <v>0.92</v>
      </c>
      <c r="B321" s="1951">
        <f>ROUND(F300+F316,2)</f>
        <v>7.12</v>
      </c>
    </row>
    <row r="323" spans="1:6">
      <c r="A323" s="1986" t="s">
        <v>3044</v>
      </c>
    </row>
    <row r="335" spans="1:6" ht="13.5" thickBot="1"/>
    <row r="336" spans="1:6">
      <c r="A336" s="1966" t="s">
        <v>2970</v>
      </c>
      <c r="B336" s="1967" t="s">
        <v>2971</v>
      </c>
      <c r="C336" s="1967" t="s">
        <v>2972</v>
      </c>
      <c r="D336" s="1968" t="s">
        <v>2973</v>
      </c>
      <c r="E336" s="1967" t="s">
        <v>2974</v>
      </c>
      <c r="F336" s="1967" t="s">
        <v>2975</v>
      </c>
    </row>
    <row r="337" spans="1:6" ht="15" thickBot="1">
      <c r="A337" s="1958" t="s">
        <v>3045</v>
      </c>
      <c r="B337" s="1946" t="s">
        <v>3046</v>
      </c>
      <c r="C337" s="1946" t="s">
        <v>3047</v>
      </c>
      <c r="D337" s="1962" t="s">
        <v>3020</v>
      </c>
      <c r="E337" s="1946" t="s">
        <v>3021</v>
      </c>
      <c r="F337" s="1946" t="s">
        <v>2728</v>
      </c>
    </row>
    <row r="338" spans="1:6" ht="13.5" thickBot="1">
      <c r="A338" s="1958">
        <v>0.4</v>
      </c>
      <c r="B338" s="1946">
        <v>0.2</v>
      </c>
      <c r="C338" s="1946">
        <v>0.4</v>
      </c>
      <c r="D338" s="1962">
        <v>1.02</v>
      </c>
      <c r="E338" s="1946">
        <v>0.05</v>
      </c>
      <c r="F338" s="1946">
        <v>9.1999999999999993</v>
      </c>
    </row>
    <row r="339" spans="1:6" ht="13.5" thickBot="1"/>
    <row r="340" spans="1:6">
      <c r="A340" s="1967" t="s">
        <v>3048</v>
      </c>
      <c r="B340" s="1967" t="s">
        <v>3004</v>
      </c>
      <c r="C340" s="3041" t="s">
        <v>3005</v>
      </c>
    </row>
    <row r="341" spans="1:6" ht="13.5" thickBot="1">
      <c r="A341" s="1946" t="s">
        <v>3037</v>
      </c>
      <c r="B341" s="1946" t="s">
        <v>3008</v>
      </c>
      <c r="C341" s="3042"/>
    </row>
    <row r="342" spans="1:6" ht="13.5" thickBot="1">
      <c r="A342" s="1951">
        <v>44</v>
      </c>
      <c r="B342" s="1962">
        <v>102.82</v>
      </c>
      <c r="C342" s="1962">
        <v>1293.43</v>
      </c>
    </row>
    <row r="344" spans="1:6">
      <c r="A344" s="1986" t="s">
        <v>3049</v>
      </c>
    </row>
    <row r="356" spans="1:6" ht="13.5" thickBot="1"/>
    <row r="357" spans="1:6">
      <c r="A357" s="1966" t="s">
        <v>2970</v>
      </c>
      <c r="B357" s="1967" t="s">
        <v>2971</v>
      </c>
      <c r="C357" s="1967" t="s">
        <v>2972</v>
      </c>
      <c r="D357" s="1968" t="s">
        <v>2973</v>
      </c>
      <c r="E357" s="1967" t="s">
        <v>2974</v>
      </c>
      <c r="F357" s="1967" t="s">
        <v>2975</v>
      </c>
    </row>
    <row r="358" spans="1:6" ht="15" thickBot="1">
      <c r="A358" s="1958" t="s">
        <v>3045</v>
      </c>
      <c r="B358" s="1946" t="s">
        <v>3046</v>
      </c>
      <c r="C358" s="1946" t="s">
        <v>3047</v>
      </c>
      <c r="D358" s="1962" t="s">
        <v>3020</v>
      </c>
      <c r="E358" s="1946" t="s">
        <v>3021</v>
      </c>
      <c r="F358" s="1946" t="s">
        <v>2728</v>
      </c>
    </row>
    <row r="359" spans="1:6" ht="13.5" thickBot="1">
      <c r="A359" s="1958">
        <v>0.4</v>
      </c>
      <c r="B359" s="1946">
        <v>0.2</v>
      </c>
      <c r="C359" s="1946">
        <v>0.4</v>
      </c>
      <c r="D359" s="1962">
        <v>1.02</v>
      </c>
      <c r="E359" s="1946">
        <v>0.05</v>
      </c>
      <c r="F359" s="1946">
        <v>19.2</v>
      </c>
    </row>
    <row r="361" spans="1:6" ht="13.5" thickBot="1"/>
    <row r="362" spans="1:6">
      <c r="A362" s="1967" t="s">
        <v>3048</v>
      </c>
      <c r="B362" s="1967" t="s">
        <v>3004</v>
      </c>
      <c r="C362" s="3041" t="s">
        <v>3005</v>
      </c>
    </row>
    <row r="363" spans="1:6" ht="13.5" thickBot="1">
      <c r="A363" s="1946" t="s">
        <v>3037</v>
      </c>
      <c r="B363" s="1946" t="s">
        <v>3008</v>
      </c>
      <c r="C363" s="3042"/>
    </row>
    <row r="364" spans="1:6" ht="13.5" thickBot="1">
      <c r="A364" s="1951">
        <v>22</v>
      </c>
      <c r="B364" s="1962">
        <v>107.29</v>
      </c>
      <c r="C364" s="1962">
        <v>1337.52</v>
      </c>
    </row>
    <row r="366" spans="1:6">
      <c r="A366" s="1955" t="s">
        <v>3050</v>
      </c>
    </row>
    <row r="389" spans="1:7" ht="13.5" thickBot="1"/>
    <row r="390" spans="1:7">
      <c r="A390" s="1966" t="s">
        <v>2970</v>
      </c>
      <c r="B390" s="1967" t="s">
        <v>2971</v>
      </c>
      <c r="C390" s="1967" t="s">
        <v>2972</v>
      </c>
      <c r="D390" s="1967" t="s">
        <v>2973</v>
      </c>
      <c r="E390" s="1967" t="s">
        <v>2974</v>
      </c>
      <c r="F390" s="1967" t="s">
        <v>2975</v>
      </c>
      <c r="G390" s="1967" t="s">
        <v>2982</v>
      </c>
    </row>
    <row r="391" spans="1:7" ht="15" thickBot="1">
      <c r="A391" s="1958" t="s">
        <v>2728</v>
      </c>
      <c r="B391" s="1946" t="s">
        <v>3045</v>
      </c>
      <c r="C391" s="1946" t="s">
        <v>3046</v>
      </c>
      <c r="D391" s="1946" t="s">
        <v>3047</v>
      </c>
      <c r="E391" s="1946" t="s">
        <v>3051</v>
      </c>
      <c r="F391" s="1946" t="s">
        <v>3020</v>
      </c>
      <c r="G391" s="1946" t="s">
        <v>3021</v>
      </c>
    </row>
    <row r="392" spans="1:7" ht="13.5" thickBot="1">
      <c r="A392" s="1948">
        <v>40</v>
      </c>
      <c r="B392" s="1949">
        <v>5.65</v>
      </c>
      <c r="C392" s="1949">
        <v>7</v>
      </c>
      <c r="D392" s="1949">
        <v>7</v>
      </c>
      <c r="E392" s="1949">
        <v>2.35</v>
      </c>
      <c r="F392" s="1949">
        <v>0.15</v>
      </c>
      <c r="G392" s="1949">
        <v>0.05</v>
      </c>
    </row>
    <row r="393" spans="1:7" ht="13.5" thickBot="1"/>
    <row r="394" spans="1:7">
      <c r="A394" s="1967" t="s">
        <v>2983</v>
      </c>
      <c r="B394" s="1967" t="s">
        <v>3004</v>
      </c>
      <c r="C394" s="3041" t="s">
        <v>3005</v>
      </c>
      <c r="D394" s="1967" t="s">
        <v>3004</v>
      </c>
    </row>
    <row r="395" spans="1:7" ht="13.5" thickBot="1">
      <c r="A395" s="1946" t="s">
        <v>3052</v>
      </c>
      <c r="B395" s="1946" t="s">
        <v>3008</v>
      </c>
      <c r="C395" s="3042"/>
      <c r="D395" s="1946" t="s">
        <v>2701</v>
      </c>
    </row>
    <row r="396" spans="1:7" ht="13.5" thickBot="1">
      <c r="A396" s="1969">
        <v>0.05</v>
      </c>
      <c r="B396" s="1951">
        <f>ROUND((B392+C392+D392+E392)*F392*A392+(C392+D392)*G392/2*A392,2)</f>
        <v>146</v>
      </c>
      <c r="C396" s="1951">
        <f>ROUND((B392+C392+D392+E392)*F392*2+A392*F392*2+(C392+D392)*G392/2*2,2)</f>
        <v>19.3</v>
      </c>
      <c r="D396" s="1951">
        <f>ROUND((B392+C392+D392+E392)*A392*A396,2)</f>
        <v>44</v>
      </c>
    </row>
    <row r="398" spans="1:7">
      <c r="A398" s="1960" t="s">
        <v>3053</v>
      </c>
    </row>
    <row r="410" spans="1:6" ht="13.5" thickBot="1"/>
    <row r="411" spans="1:6">
      <c r="A411" s="1966" t="s">
        <v>2970</v>
      </c>
      <c r="B411" s="1967" t="s">
        <v>2971</v>
      </c>
      <c r="C411" s="1967" t="s">
        <v>2972</v>
      </c>
      <c r="D411" s="1968" t="s">
        <v>2973</v>
      </c>
      <c r="E411" s="1967" t="s">
        <v>2974</v>
      </c>
      <c r="F411" s="1967" t="s">
        <v>2975</v>
      </c>
    </row>
    <row r="412" spans="1:6" ht="15" thickBot="1">
      <c r="A412" s="1958" t="s">
        <v>2728</v>
      </c>
      <c r="B412" s="1946" t="s">
        <v>3045</v>
      </c>
      <c r="C412" s="1946" t="s">
        <v>3046</v>
      </c>
      <c r="D412" s="1962" t="s">
        <v>3020</v>
      </c>
      <c r="E412" s="1946" t="s">
        <v>3021</v>
      </c>
      <c r="F412" s="1946" t="s">
        <v>3022</v>
      </c>
    </row>
    <row r="413" spans="1:6" ht="13.5" thickBot="1">
      <c r="A413" s="1948">
        <v>22</v>
      </c>
      <c r="B413" s="1949">
        <v>0.4</v>
      </c>
      <c r="C413" s="1949">
        <v>0.3</v>
      </c>
      <c r="D413" s="1969">
        <v>0.3</v>
      </c>
      <c r="E413" s="1949">
        <v>0.3</v>
      </c>
      <c r="F413" s="1949">
        <f>0.57+0.05</f>
        <v>0.62</v>
      </c>
    </row>
    <row r="414" spans="1:6" ht="13.5" thickBot="1"/>
    <row r="415" spans="1:6" ht="38.25">
      <c r="A415" s="1967" t="s">
        <v>3054</v>
      </c>
      <c r="B415" s="1967" t="s">
        <v>3004</v>
      </c>
      <c r="C415" s="3041" t="s">
        <v>3005</v>
      </c>
    </row>
    <row r="416" spans="1:6" ht="26.25" thickBot="1">
      <c r="A416" s="1946" t="s">
        <v>3055</v>
      </c>
      <c r="B416" s="1946" t="s">
        <v>3008</v>
      </c>
      <c r="C416" s="3042"/>
    </row>
    <row r="417" spans="1:6" ht="13.5" thickBot="1">
      <c r="A417" s="1969">
        <v>2</v>
      </c>
      <c r="B417" s="1951">
        <f>ROUND((B413*(D413+E413+F413)*A413+((D413+E413)+E413)*C413/2*A413)*A417,2)</f>
        <v>27.41</v>
      </c>
      <c r="C417" s="1951">
        <f>ROUND(((F413+E413+SQRT(D413^2+C413^2)+B413+(D413+E413+F413))*A413+(((D413+E413)+E413)*C413/2+B413*(D413+E413+F413))*2)*A417,2)</f>
        <v>132.91999999999999</v>
      </c>
    </row>
    <row r="419" spans="1:6">
      <c r="A419" s="1982" t="s">
        <v>3056</v>
      </c>
    </row>
    <row r="431" spans="1:6" ht="13.5" thickBot="1"/>
    <row r="432" spans="1:6">
      <c r="A432" s="1966" t="s">
        <v>2970</v>
      </c>
      <c r="B432" s="1967" t="s">
        <v>2971</v>
      </c>
      <c r="C432" s="1967" t="s">
        <v>2972</v>
      </c>
      <c r="D432" s="1987" t="s">
        <v>3057</v>
      </c>
      <c r="E432" s="1967" t="s">
        <v>3004</v>
      </c>
      <c r="F432" s="3041" t="s">
        <v>3005</v>
      </c>
    </row>
    <row r="433" spans="1:6" ht="13.5" thickBot="1">
      <c r="A433" s="1958" t="s">
        <v>2728</v>
      </c>
      <c r="B433" s="1946" t="s">
        <v>3006</v>
      </c>
      <c r="C433" s="1946" t="s">
        <v>3007</v>
      </c>
      <c r="D433" s="1988" t="s">
        <v>3058</v>
      </c>
      <c r="E433" s="1946" t="s">
        <v>3008</v>
      </c>
      <c r="F433" s="3042"/>
    </row>
    <row r="434" spans="1:6" ht="13.5" thickBot="1">
      <c r="A434" s="1948">
        <v>22</v>
      </c>
      <c r="B434" s="1949">
        <v>0.4</v>
      </c>
      <c r="C434" s="1949">
        <v>1.07</v>
      </c>
      <c r="D434" s="1949">
        <v>4</v>
      </c>
      <c r="E434" s="1951">
        <f>ROUND(A434*B434*C434*D434,2)</f>
        <v>37.659999999999997</v>
      </c>
      <c r="F434" s="1951">
        <f>ROUND((B434+C434*2)*A434*D434+B434*C434*2*D434,2)</f>
        <v>226.94</v>
      </c>
    </row>
    <row r="436" spans="1:6" ht="15">
      <c r="A436" s="1989" t="s">
        <v>3059</v>
      </c>
    </row>
    <row r="452" spans="1:7" ht="13.5" thickBot="1"/>
    <row r="453" spans="1:7">
      <c r="A453" s="1966" t="s">
        <v>2970</v>
      </c>
      <c r="B453" s="1967" t="s">
        <v>2971</v>
      </c>
      <c r="C453" s="1967" t="s">
        <v>2972</v>
      </c>
      <c r="D453" s="1967" t="s">
        <v>2973</v>
      </c>
      <c r="E453" s="1967" t="s">
        <v>2974</v>
      </c>
      <c r="F453" s="1967" t="s">
        <v>2975</v>
      </c>
      <c r="G453" s="1967" t="s">
        <v>2983</v>
      </c>
    </row>
    <row r="454" spans="1:7" ht="15" thickBot="1">
      <c r="A454" s="1958" t="s">
        <v>3045</v>
      </c>
      <c r="B454" s="1946" t="s">
        <v>3046</v>
      </c>
      <c r="C454" s="1946" t="s">
        <v>3047</v>
      </c>
      <c r="D454" s="1946" t="s">
        <v>3022</v>
      </c>
      <c r="E454" s="1946" t="s">
        <v>3021</v>
      </c>
      <c r="F454" s="1946" t="s">
        <v>3020</v>
      </c>
      <c r="G454" s="1946" t="s">
        <v>2728</v>
      </c>
    </row>
    <row r="455" spans="1:7" ht="13.5" thickBot="1">
      <c r="A455" s="1948">
        <v>0.17499999999999999</v>
      </c>
      <c r="B455" s="1949">
        <v>0.05</v>
      </c>
      <c r="C455" s="1949">
        <v>0.17499999999999999</v>
      </c>
      <c r="D455" s="1949">
        <v>0.15</v>
      </c>
      <c r="E455" s="1949">
        <v>0.4</v>
      </c>
      <c r="F455" s="1949">
        <v>0.87</v>
      </c>
      <c r="G455" s="1949">
        <v>0.95</v>
      </c>
    </row>
    <row r="456" spans="1:7" ht="13.5" thickBot="1"/>
    <row r="457" spans="1:7">
      <c r="A457" s="1967" t="s">
        <v>3032</v>
      </c>
      <c r="B457" s="1967" t="s">
        <v>3004</v>
      </c>
      <c r="C457" s="3041" t="s">
        <v>3005</v>
      </c>
    </row>
    <row r="458" spans="1:7" ht="13.5" thickBot="1">
      <c r="A458" s="1946" t="s">
        <v>3060</v>
      </c>
      <c r="B458" s="1946" t="s">
        <v>3008</v>
      </c>
      <c r="C458" s="3042"/>
    </row>
    <row r="459" spans="1:7" ht="13.5" thickBot="1">
      <c r="A459" s="1969">
        <v>80</v>
      </c>
      <c r="B459" s="1951">
        <f>ROUND((A455*F455+(F455+E455)*B455/2+(E455+D455)*C455/2)*G455*A459,2)</f>
        <v>17.64</v>
      </c>
      <c r="C459" s="1951">
        <f>ROUND((F455+D455+SQRT(C455^2+(E455-D455)^2)+SQRT((F455-E455)^2+B455^2))*G455*A459+(A455*F455+(F455+E455)*B455/2+(E455+D455)*C455/2)*2*A459,2)</f>
        <v>173.77</v>
      </c>
    </row>
    <row r="461" spans="1:7">
      <c r="A461" s="1982" t="s">
        <v>3061</v>
      </c>
    </row>
    <row r="473" spans="1:6" ht="13.5" thickBot="1"/>
    <row r="474" spans="1:6">
      <c r="A474" s="1966" t="s">
        <v>2970</v>
      </c>
      <c r="B474" s="1967" t="s">
        <v>2971</v>
      </c>
      <c r="C474" s="1967" t="s">
        <v>2972</v>
      </c>
      <c r="D474" s="1967" t="s">
        <v>3032</v>
      </c>
      <c r="E474" s="1967" t="s">
        <v>3004</v>
      </c>
      <c r="F474" s="3041" t="s">
        <v>3005</v>
      </c>
    </row>
    <row r="475" spans="1:6" ht="15" thickBot="1">
      <c r="A475" s="1958" t="s">
        <v>3045</v>
      </c>
      <c r="B475" s="1946" t="s">
        <v>3020</v>
      </c>
      <c r="C475" s="1946" t="s">
        <v>2728</v>
      </c>
      <c r="D475" s="1946" t="s">
        <v>3060</v>
      </c>
      <c r="E475" s="1946" t="s">
        <v>3008</v>
      </c>
      <c r="F475" s="3042"/>
    </row>
    <row r="476" spans="1:6" ht="13.5" thickBot="1">
      <c r="A476" s="1948">
        <v>0.15</v>
      </c>
      <c r="B476" s="1949">
        <v>0.2</v>
      </c>
      <c r="C476" s="1949">
        <v>0.95</v>
      </c>
      <c r="D476" s="1949">
        <v>40</v>
      </c>
      <c r="E476" s="1950">
        <f>ROUND(A476*B476*C476*D476,2)</f>
        <v>1.1399999999999999</v>
      </c>
      <c r="F476" s="1951">
        <f>ROUND((A476*B476*2+B476*C476*2)*D476,2)</f>
        <v>17.600000000000001</v>
      </c>
    </row>
    <row r="478" spans="1:6">
      <c r="A478" s="1982" t="s">
        <v>3062</v>
      </c>
    </row>
    <row r="495" spans="1:7" ht="13.5" thickBot="1"/>
    <row r="496" spans="1:7">
      <c r="A496" s="1966" t="s">
        <v>2970</v>
      </c>
      <c r="B496" s="1967" t="s">
        <v>2971</v>
      </c>
      <c r="C496" s="1967" t="s">
        <v>2972</v>
      </c>
      <c r="D496" s="1967" t="s">
        <v>2973</v>
      </c>
      <c r="E496" s="1967" t="s">
        <v>2974</v>
      </c>
      <c r="F496" s="1967" t="s">
        <v>2975</v>
      </c>
      <c r="G496" s="1967" t="s">
        <v>3063</v>
      </c>
    </row>
    <row r="497" spans="1:10" ht="15" thickBot="1">
      <c r="A497" s="1958" t="s">
        <v>3018</v>
      </c>
      <c r="B497" s="1946" t="s">
        <v>3019</v>
      </c>
      <c r="C497" s="1946" t="s">
        <v>3064</v>
      </c>
      <c r="D497" s="1946" t="s">
        <v>3065</v>
      </c>
      <c r="E497" s="1946" t="s">
        <v>2727</v>
      </c>
      <c r="F497" s="1946" t="s">
        <v>3007</v>
      </c>
      <c r="G497" s="1946" t="s">
        <v>2884</v>
      </c>
    </row>
    <row r="498" spans="1:10" ht="13.5" thickBot="1">
      <c r="A498" s="1948">
        <v>0.01</v>
      </c>
      <c r="B498" s="1949">
        <v>0.13</v>
      </c>
      <c r="C498" s="1949">
        <v>0.01</v>
      </c>
      <c r="D498" s="1949">
        <v>0.13</v>
      </c>
      <c r="E498" s="1949">
        <f>(2.54*2.5)/100</f>
        <v>6.3500000000000001E-2</v>
      </c>
      <c r="F498" s="1949">
        <v>1.05</v>
      </c>
      <c r="G498" s="1949">
        <v>3</v>
      </c>
    </row>
    <row r="499" spans="1:10" ht="13.5" thickBot="1"/>
    <row r="500" spans="1:10">
      <c r="A500" s="1967" t="s">
        <v>3032</v>
      </c>
      <c r="B500" s="1967" t="s">
        <v>3004</v>
      </c>
      <c r="C500" s="3041" t="s">
        <v>3005</v>
      </c>
    </row>
    <row r="501" spans="1:10" ht="13.5" thickBot="1">
      <c r="A501" s="1946" t="s">
        <v>3066</v>
      </c>
      <c r="B501" s="1946" t="s">
        <v>3008</v>
      </c>
      <c r="C501" s="3042"/>
    </row>
    <row r="502" spans="1:10" ht="13.5" thickBot="1">
      <c r="A502" s="1990">
        <v>44</v>
      </c>
      <c r="B502" s="1951">
        <f>ROUND((A498+B498+A498)*(C498+D498+C498)*F498*A502,2)</f>
        <v>1.04</v>
      </c>
      <c r="C502" s="1951">
        <f>ROUND(F498*((A498+B498+A498)*2+(C498+D498+C498)*2)*A502,2)</f>
        <v>27.72</v>
      </c>
      <c r="I502" s="1846">
        <f>ROUND((A498+B498+A498)*(C498+D498+C498)*F498*A502-(PI()*E498^2)/4*(A498+B498+A498)*G498*A502,2)</f>
        <v>0.98</v>
      </c>
      <c r="J502" s="1846">
        <f>ROUND(F498*(B498*2+D498*2+SQRT(A498^2+C498^2)*4)*A502-(PI()*E498^2)/4*G498*2*A502,2)</f>
        <v>25.8</v>
      </c>
    </row>
    <row r="504" spans="1:10" ht="15">
      <c r="A504" s="1989" t="s">
        <v>3067</v>
      </c>
    </row>
    <row r="524" spans="1:7" ht="13.5" thickBot="1"/>
    <row r="525" spans="1:7">
      <c r="A525" s="1966" t="s">
        <v>2970</v>
      </c>
      <c r="B525" s="1967" t="s">
        <v>2971</v>
      </c>
      <c r="C525" s="1967" t="s">
        <v>2972</v>
      </c>
      <c r="D525" s="1967" t="s">
        <v>2973</v>
      </c>
      <c r="E525" s="1967" t="s">
        <v>2974</v>
      </c>
      <c r="F525" s="1967" t="s">
        <v>2975</v>
      </c>
      <c r="G525" s="1967" t="s">
        <v>2982</v>
      </c>
    </row>
    <row r="526" spans="1:7" ht="27.75" thickBot="1">
      <c r="A526" s="1958" t="s">
        <v>3035</v>
      </c>
      <c r="B526" s="1946" t="s">
        <v>3068</v>
      </c>
      <c r="C526" s="1946" t="s">
        <v>3069</v>
      </c>
      <c r="D526" s="1946" t="s">
        <v>3006</v>
      </c>
      <c r="E526" s="1946" t="s">
        <v>3020</v>
      </c>
      <c r="F526" s="1946" t="s">
        <v>3021</v>
      </c>
      <c r="G526" s="1946" t="s">
        <v>3022</v>
      </c>
    </row>
    <row r="527" spans="1:7" ht="13.5" thickBot="1">
      <c r="A527" s="1948">
        <v>0.3</v>
      </c>
      <c r="B527" s="1949">
        <v>0.3</v>
      </c>
      <c r="C527" s="1949">
        <v>3.4</v>
      </c>
      <c r="D527" s="1949">
        <v>22</v>
      </c>
      <c r="E527" s="1949">
        <v>0.25</v>
      </c>
      <c r="F527" s="1949">
        <v>0.3</v>
      </c>
      <c r="G527" s="1949">
        <v>0.05</v>
      </c>
    </row>
    <row r="528" spans="1:7" ht="13.5" thickBot="1"/>
    <row r="529" spans="1:4">
      <c r="A529" s="1967" t="s">
        <v>3032</v>
      </c>
      <c r="B529" s="1967" t="s">
        <v>3004</v>
      </c>
      <c r="C529" s="1967" t="s">
        <v>3004</v>
      </c>
      <c r="D529" s="3041" t="s">
        <v>3005</v>
      </c>
    </row>
    <row r="530" spans="1:4" ht="39" thickBot="1">
      <c r="A530" s="1946" t="s">
        <v>3070</v>
      </c>
      <c r="B530" s="1946" t="s">
        <v>3071</v>
      </c>
      <c r="C530" s="1946" t="s">
        <v>3072</v>
      </c>
      <c r="D530" s="3042"/>
    </row>
    <row r="531" spans="1:4" ht="13.5" thickBot="1">
      <c r="A531" s="1969">
        <v>2</v>
      </c>
      <c r="B531" s="1951">
        <f>ROUND((C527*E527*D527+A527*(E527+F527)*D527+(E527+F527+E527)*B527/2*D527)*A531,2)</f>
        <v>49.94</v>
      </c>
      <c r="C531" s="1950">
        <f>ROUND(((A527+B527+C527)*G527*D527)*2,2)</f>
        <v>8.8000000000000007</v>
      </c>
      <c r="D531" s="1951">
        <f>ROUND((E527*D527+((E527+F527)*A527+(E527+F527+E527)*B527/2+C527*E527)*2+(E527+F527)*D527)*A531,2)</f>
        <v>39.74</v>
      </c>
    </row>
    <row r="533" spans="1:4">
      <c r="A533" s="1960" t="s">
        <v>3073</v>
      </c>
    </row>
    <row r="534" spans="1:4" ht="15.75">
      <c r="A534" s="1984"/>
    </row>
    <row r="535" spans="1:4">
      <c r="A535" s="1960" t="s">
        <v>3074</v>
      </c>
    </row>
    <row r="536" spans="1:4">
      <c r="A536" s="1960"/>
    </row>
    <row r="567" spans="1:11">
      <c r="A567" s="1960"/>
      <c r="B567" s="4"/>
      <c r="C567" s="4"/>
      <c r="D567" s="4"/>
      <c r="E567" s="4"/>
      <c r="F567" s="4"/>
      <c r="G567" s="4"/>
    </row>
    <row r="568" spans="1:11" ht="13.5" thickBot="1">
      <c r="A568" s="1985"/>
      <c r="B568" s="4"/>
      <c r="C568" s="4"/>
      <c r="D568" s="4"/>
      <c r="E568" s="4"/>
      <c r="F568" s="4"/>
      <c r="G568" s="4"/>
    </row>
    <row r="569" spans="1:11" ht="13.5" thickBot="1">
      <c r="A569" s="3026" t="s">
        <v>3075</v>
      </c>
      <c r="B569" s="3027"/>
      <c r="C569" s="3027"/>
      <c r="D569" s="3027"/>
      <c r="E569" s="3027"/>
      <c r="F569" s="3027"/>
      <c r="G569" s="3028"/>
    </row>
    <row r="570" spans="1:11">
      <c r="A570" s="1943" t="s">
        <v>2970</v>
      </c>
      <c r="B570" s="1944" t="s">
        <v>2971</v>
      </c>
      <c r="C570" s="1944" t="s">
        <v>2972</v>
      </c>
      <c r="D570" s="1944" t="s">
        <v>2973</v>
      </c>
      <c r="E570" s="1944" t="s">
        <v>2974</v>
      </c>
      <c r="F570" s="1944" t="s">
        <v>3076</v>
      </c>
      <c r="G570" s="3024" t="s">
        <v>3077</v>
      </c>
    </row>
    <row r="571" spans="1:11" ht="15" thickBot="1">
      <c r="A571" s="1991" t="s">
        <v>3078</v>
      </c>
      <c r="B571" s="1946" t="s">
        <v>2978</v>
      </c>
      <c r="C571" s="1992" t="s">
        <v>3078</v>
      </c>
      <c r="D571" s="1946" t="s">
        <v>2979</v>
      </c>
      <c r="E571" s="1992" t="s">
        <v>3078</v>
      </c>
      <c r="F571" s="1946" t="s">
        <v>3079</v>
      </c>
      <c r="G571" s="3025"/>
    </row>
    <row r="572" spans="1:11" ht="13.5" thickBot="1">
      <c r="A572" s="1948">
        <v>1</v>
      </c>
      <c r="B572" s="1949">
        <v>0.4</v>
      </c>
      <c r="C572" s="1949">
        <v>1</v>
      </c>
      <c r="D572" s="1949">
        <v>7</v>
      </c>
      <c r="E572" s="1949">
        <v>1</v>
      </c>
      <c r="F572" s="1970">
        <f>C124</f>
        <v>6.5399999999999636</v>
      </c>
      <c r="G572" s="1951">
        <f>(A572+B572+C572)*(E572+D572)*F572</f>
        <v>125.5679999999993</v>
      </c>
      <c r="I572" s="1846">
        <f>500.593-496.517</f>
        <v>4.0760000000000218</v>
      </c>
      <c r="J572" s="1846">
        <f>500.593-495.273-0.02</f>
        <v>5.2999999999999936</v>
      </c>
      <c r="K572" s="1846">
        <f>2.5572/2</f>
        <v>1.2786</v>
      </c>
    </row>
    <row r="573" spans="1:11" ht="13.5" thickBot="1">
      <c r="A573" s="1960"/>
      <c r="B573" s="4"/>
      <c r="C573" s="4"/>
      <c r="D573" s="4"/>
      <c r="E573" s="4"/>
      <c r="F573" s="4"/>
      <c r="G573" s="4"/>
    </row>
    <row r="574" spans="1:11" ht="13.5" thickBot="1">
      <c r="A574" s="3026" t="s">
        <v>3080</v>
      </c>
      <c r="B574" s="3027"/>
      <c r="C574" s="3027"/>
      <c r="D574" s="3027"/>
      <c r="E574" s="3027"/>
      <c r="F574" s="3027"/>
      <c r="G574" s="3028"/>
    </row>
    <row r="575" spans="1:11">
      <c r="A575" s="1943" t="s">
        <v>2975</v>
      </c>
      <c r="B575" s="1944" t="s">
        <v>2982</v>
      </c>
      <c r="C575" s="1944" t="s">
        <v>2983</v>
      </c>
      <c r="D575" s="1944" t="s">
        <v>2984</v>
      </c>
      <c r="E575" s="1944" t="s">
        <v>2985</v>
      </c>
      <c r="F575" s="1944" t="s">
        <v>3076</v>
      </c>
      <c r="G575" s="3024" t="s">
        <v>3077</v>
      </c>
    </row>
    <row r="576" spans="1:11" ht="15" thickBot="1">
      <c r="A576" s="1991" t="s">
        <v>3078</v>
      </c>
      <c r="B576" s="1946" t="s">
        <v>2978</v>
      </c>
      <c r="C576" s="1992" t="s">
        <v>3078</v>
      </c>
      <c r="D576" s="1946" t="s">
        <v>2979</v>
      </c>
      <c r="E576" s="1992" t="s">
        <v>3078</v>
      </c>
      <c r="F576" s="1946" t="s">
        <v>3079</v>
      </c>
      <c r="G576" s="3025"/>
      <c r="J576" s="1846">
        <f>J572-K572</f>
        <v>4.0213999999999936</v>
      </c>
    </row>
    <row r="577" spans="1:7" ht="13.5" thickBot="1">
      <c r="A577" s="1948">
        <v>1</v>
      </c>
      <c r="B577" s="1949">
        <v>0.4</v>
      </c>
      <c r="C577" s="1949">
        <v>1</v>
      </c>
      <c r="D577" s="1949">
        <v>7</v>
      </c>
      <c r="E577" s="1949">
        <v>1</v>
      </c>
      <c r="F577" s="1970">
        <f>C129</f>
        <v>6.5399999999999636</v>
      </c>
      <c r="G577" s="1951">
        <f>(A577+B577+C577)*(E577+D577)*F577</f>
        <v>125.5679999999993</v>
      </c>
    </row>
    <row r="578" spans="1:7" ht="13.5" thickBot="1">
      <c r="A578" s="1960"/>
      <c r="B578" s="4"/>
      <c r="C578" s="4"/>
      <c r="D578" s="4"/>
      <c r="E578" s="4"/>
      <c r="F578" s="4"/>
      <c r="G578" s="4"/>
    </row>
    <row r="579" spans="1:7" ht="13.5" thickBot="1">
      <c r="A579" s="3026" t="s">
        <v>3081</v>
      </c>
      <c r="B579" s="3027"/>
      <c r="C579" s="3027"/>
      <c r="D579" s="3027"/>
      <c r="E579" s="3027"/>
      <c r="F579" s="3028"/>
      <c r="G579" s="4"/>
    </row>
    <row r="580" spans="1:7">
      <c r="A580" s="1943" t="s">
        <v>2987</v>
      </c>
      <c r="B580" s="1944" t="s">
        <v>2988</v>
      </c>
      <c r="C580" s="1944" t="s">
        <v>2989</v>
      </c>
      <c r="D580" s="1944" t="s">
        <v>2990</v>
      </c>
      <c r="E580" s="1993" t="s">
        <v>3082</v>
      </c>
      <c r="F580" s="3024" t="s">
        <v>3077</v>
      </c>
      <c r="G580" s="4"/>
    </row>
    <row r="581" spans="1:7" ht="13.5" thickBot="1">
      <c r="A581" s="1991" t="s">
        <v>3078</v>
      </c>
      <c r="B581" s="1946" t="s">
        <v>2991</v>
      </c>
      <c r="C581" s="1992" t="s">
        <v>3078</v>
      </c>
      <c r="D581" s="1946" t="s">
        <v>2992</v>
      </c>
      <c r="E581" s="1946" t="s">
        <v>3079</v>
      </c>
      <c r="F581" s="3025"/>
      <c r="G581" s="4"/>
    </row>
    <row r="582" spans="1:7" ht="13.5" thickBot="1">
      <c r="A582" s="1948">
        <v>1</v>
      </c>
      <c r="B582" s="1949">
        <v>0.4</v>
      </c>
      <c r="C582" s="1949">
        <v>1</v>
      </c>
      <c r="D582" s="1949">
        <v>22</v>
      </c>
      <c r="E582" s="1970">
        <f>C134</f>
        <v>5.2999999999999652</v>
      </c>
      <c r="F582" s="1951">
        <f>(C582+B582+A582)*D582*E582</f>
        <v>279.83999999999816</v>
      </c>
      <c r="G582" s="4"/>
    </row>
    <row r="614" spans="1:8">
      <c r="A614" s="1994"/>
      <c r="B614" s="4"/>
      <c r="C614" s="4"/>
      <c r="D614" s="4"/>
      <c r="E614" s="4"/>
      <c r="F614" s="4"/>
      <c r="G614" s="4"/>
      <c r="H614" s="4"/>
    </row>
    <row r="615" spans="1:8" ht="15.75" thickBot="1">
      <c r="A615" s="1995"/>
      <c r="B615" s="4"/>
      <c r="C615" s="4"/>
      <c r="D615" s="4"/>
      <c r="E615" s="4"/>
      <c r="F615" s="4"/>
      <c r="G615" s="4"/>
      <c r="H615" s="4"/>
    </row>
    <row r="616" spans="1:8" ht="13.5" customHeight="1" thickBot="1">
      <c r="A616" s="3026" t="s">
        <v>3083</v>
      </c>
      <c r="B616" s="3027"/>
      <c r="C616" s="3027"/>
      <c r="D616" s="3027"/>
      <c r="E616" s="3027"/>
      <c r="F616" s="3027"/>
      <c r="G616" s="3028"/>
    </row>
    <row r="617" spans="1:8" ht="14.25" customHeight="1">
      <c r="A617" s="1943" t="s">
        <v>2970</v>
      </c>
      <c r="B617" s="1944" t="s">
        <v>2971</v>
      </c>
      <c r="C617" s="1944" t="s">
        <v>2972</v>
      </c>
      <c r="D617" s="1944" t="s">
        <v>2973</v>
      </c>
      <c r="E617" s="1944" t="s">
        <v>2974</v>
      </c>
      <c r="F617" s="1944" t="s">
        <v>3076</v>
      </c>
      <c r="G617" s="3024" t="s">
        <v>3077</v>
      </c>
    </row>
    <row r="618" spans="1:8" ht="15" thickBot="1">
      <c r="A618" s="1991" t="s">
        <v>3078</v>
      </c>
      <c r="B618" s="1946" t="s">
        <v>2978</v>
      </c>
      <c r="C618" s="1992" t="s">
        <v>3078</v>
      </c>
      <c r="D618" s="1946" t="s">
        <v>2979</v>
      </c>
      <c r="E618" s="1992" t="s">
        <v>3078</v>
      </c>
      <c r="F618" s="1946" t="s">
        <v>3079</v>
      </c>
      <c r="G618" s="3025"/>
    </row>
    <row r="619" spans="1:8" ht="13.5" thickBot="1">
      <c r="A619" s="1948">
        <v>1</v>
      </c>
      <c r="B619" s="1949">
        <v>0.4</v>
      </c>
      <c r="C619" s="1949">
        <v>1</v>
      </c>
      <c r="D619" s="1949">
        <v>7</v>
      </c>
      <c r="E619" s="1996">
        <v>1</v>
      </c>
      <c r="F619" s="1970">
        <f>C164</f>
        <v>6.5399999999999636</v>
      </c>
      <c r="G619" s="1950">
        <f>(A619+B619+C619)*(E619+D619)*F619</f>
        <v>125.5679999999993</v>
      </c>
      <c r="H619" s="1997"/>
    </row>
    <row r="620" spans="1:8" ht="13.5" thickBot="1">
      <c r="A620" s="3040"/>
      <c r="B620" s="3040"/>
      <c r="C620" s="3040"/>
      <c r="D620" s="3040"/>
      <c r="E620" s="3040"/>
      <c r="F620" s="3040"/>
      <c r="G620" s="3040"/>
      <c r="H620" s="3030"/>
    </row>
    <row r="621" spans="1:8" ht="13.5" customHeight="1" thickBot="1">
      <c r="A621" s="3026" t="s">
        <v>3084</v>
      </c>
      <c r="B621" s="3027"/>
      <c r="C621" s="3027"/>
      <c r="D621" s="3027"/>
      <c r="E621" s="3027"/>
      <c r="F621" s="3027"/>
      <c r="G621" s="3028"/>
      <c r="H621" s="1997"/>
    </row>
    <row r="622" spans="1:8" ht="14.25" customHeight="1">
      <c r="A622" s="1943" t="s">
        <v>2975</v>
      </c>
      <c r="B622" s="1944" t="s">
        <v>2982</v>
      </c>
      <c r="C622" s="1944" t="s">
        <v>2983</v>
      </c>
      <c r="D622" s="1944" t="s">
        <v>2984</v>
      </c>
      <c r="E622" s="1998" t="s">
        <v>2985</v>
      </c>
      <c r="F622" s="1966" t="s">
        <v>3076</v>
      </c>
      <c r="G622" s="3024" t="s">
        <v>3077</v>
      </c>
      <c r="H622" s="1997"/>
    </row>
    <row r="623" spans="1:8" ht="15" thickBot="1">
      <c r="A623" s="1991" t="s">
        <v>3078</v>
      </c>
      <c r="B623" s="1946" t="s">
        <v>2978</v>
      </c>
      <c r="C623" s="1992" t="s">
        <v>3078</v>
      </c>
      <c r="D623" s="1946" t="s">
        <v>2979</v>
      </c>
      <c r="E623" s="1999" t="s">
        <v>3078</v>
      </c>
      <c r="F623" s="1958" t="s">
        <v>3079</v>
      </c>
      <c r="G623" s="3025"/>
      <c r="H623" s="1997"/>
    </row>
    <row r="624" spans="1:8" ht="13.5" thickBot="1">
      <c r="A624" s="1948">
        <v>1</v>
      </c>
      <c r="B624" s="1949">
        <v>0.4</v>
      </c>
      <c r="C624" s="1949">
        <v>1</v>
      </c>
      <c r="D624" s="1949">
        <v>7</v>
      </c>
      <c r="E624" s="2000">
        <v>1</v>
      </c>
      <c r="F624" s="2001">
        <f>C169</f>
        <v>6.5399999999999636</v>
      </c>
      <c r="G624" s="1950">
        <v>90.24</v>
      </c>
      <c r="H624" s="1997"/>
    </row>
    <row r="625" spans="1:8" ht="13.5" thickBot="1">
      <c r="A625" s="3029"/>
      <c r="B625" s="3029"/>
      <c r="C625" s="3029"/>
      <c r="D625" s="3029"/>
      <c r="E625" s="3029"/>
      <c r="F625" s="3029"/>
      <c r="G625" s="3029"/>
      <c r="H625" s="3030"/>
    </row>
    <row r="626" spans="1:8" ht="13.5" customHeight="1" thickBot="1">
      <c r="A626" s="3026" t="s">
        <v>3085</v>
      </c>
      <c r="B626" s="3027"/>
      <c r="C626" s="3027"/>
      <c r="D626" s="3027"/>
      <c r="E626" s="3027"/>
      <c r="F626" s="3028"/>
      <c r="G626" s="2002"/>
      <c r="H626" s="3030"/>
    </row>
    <row r="627" spans="1:8">
      <c r="A627" s="1943" t="s">
        <v>2987</v>
      </c>
      <c r="B627" s="1944" t="s">
        <v>2988</v>
      </c>
      <c r="C627" s="1944" t="s">
        <v>2989</v>
      </c>
      <c r="D627" s="1944" t="s">
        <v>2990</v>
      </c>
      <c r="E627" s="1944" t="s">
        <v>3082</v>
      </c>
      <c r="F627" s="3031" t="s">
        <v>3077</v>
      </c>
      <c r="G627" s="2002"/>
      <c r="H627" s="3030"/>
    </row>
    <row r="628" spans="1:8" ht="13.5" thickBot="1">
      <c r="A628" s="1991" t="s">
        <v>3078</v>
      </c>
      <c r="B628" s="1946" t="s">
        <v>2991</v>
      </c>
      <c r="C628" s="1992" t="s">
        <v>3078</v>
      </c>
      <c r="D628" s="1946" t="s">
        <v>2992</v>
      </c>
      <c r="E628" s="2003" t="s">
        <v>3079</v>
      </c>
      <c r="F628" s="3032"/>
      <c r="G628" s="2002"/>
      <c r="H628" s="3030"/>
    </row>
    <row r="629" spans="1:8" ht="13.5" thickBot="1">
      <c r="A629" s="1948">
        <v>1</v>
      </c>
      <c r="B629" s="1949">
        <v>0.4</v>
      </c>
      <c r="C629" s="1949">
        <v>1</v>
      </c>
      <c r="D629" s="1949">
        <v>22</v>
      </c>
      <c r="E629" s="2004">
        <f>C174</f>
        <v>5.2999999999999652</v>
      </c>
      <c r="F629" s="1950">
        <f>(C629+B629+A629)*D629*E629</f>
        <v>279.83999999999816</v>
      </c>
      <c r="G629" s="2002"/>
      <c r="H629" s="3030"/>
    </row>
    <row r="630" spans="1:8" ht="13.5" thickBot="1">
      <c r="A630" s="3030"/>
      <c r="B630" s="3030"/>
      <c r="C630" s="3030"/>
      <c r="D630" s="3030"/>
      <c r="E630" s="3030"/>
      <c r="F630" s="3030"/>
      <c r="G630" s="3030"/>
      <c r="H630" s="3030"/>
    </row>
    <row r="631" spans="1:8" ht="13.5" thickBot="1">
      <c r="A631" s="3030"/>
      <c r="B631" s="3033"/>
      <c r="C631" s="3034" t="s">
        <v>3086</v>
      </c>
      <c r="D631" s="3035"/>
      <c r="E631" s="3036"/>
      <c r="F631" s="2005"/>
      <c r="G631" s="2006"/>
      <c r="H631" s="2006"/>
    </row>
    <row r="632" spans="1:8" ht="13.5" thickBot="1">
      <c r="A632" s="3030"/>
      <c r="B632" s="3033"/>
      <c r="C632" s="3034" t="s">
        <v>3077</v>
      </c>
      <c r="D632" s="3035"/>
      <c r="E632" s="3036"/>
      <c r="F632" s="2005"/>
      <c r="G632" s="2006"/>
      <c r="H632" s="2006"/>
    </row>
    <row r="633" spans="1:8" ht="13.5" thickBot="1">
      <c r="A633" s="3030"/>
      <c r="B633" s="3033"/>
      <c r="C633" s="3037">
        <f>ROUND(G572+G577+F582+G619+G624+F629,2)</f>
        <v>1026.6199999999999</v>
      </c>
      <c r="D633" s="3038"/>
      <c r="E633" s="3039"/>
      <c r="F633" s="2005"/>
      <c r="G633" s="2006"/>
      <c r="H633" s="2006"/>
    </row>
    <row r="635" spans="1:8">
      <c r="A635" s="1960" t="s">
        <v>3087</v>
      </c>
    </row>
    <row r="636" spans="1:8">
      <c r="A636" s="1960"/>
    </row>
    <row r="656" spans="1:7" ht="13.5" thickBot="1">
      <c r="A656" s="2007"/>
      <c r="B656" s="4"/>
      <c r="C656" s="4"/>
      <c r="D656" s="4"/>
      <c r="E656" s="4"/>
      <c r="F656" s="4"/>
      <c r="G656" s="4"/>
    </row>
    <row r="657" spans="1:7">
      <c r="A657" s="1966" t="s">
        <v>2970</v>
      </c>
      <c r="B657" s="1967" t="s">
        <v>2971</v>
      </c>
      <c r="C657" s="1967" t="s">
        <v>2972</v>
      </c>
      <c r="D657" s="1967" t="s">
        <v>2973</v>
      </c>
      <c r="E657" s="1967" t="s">
        <v>2974</v>
      </c>
      <c r="F657" s="1987" t="s">
        <v>3032</v>
      </c>
      <c r="G657" s="3024" t="s">
        <v>3077</v>
      </c>
    </row>
    <row r="658" spans="1:7" ht="13.5" thickBot="1">
      <c r="A658" s="1991" t="s">
        <v>3078</v>
      </c>
      <c r="B658" s="1946" t="s">
        <v>3088</v>
      </c>
      <c r="C658" s="1992" t="s">
        <v>3078</v>
      </c>
      <c r="D658" s="1946" t="s">
        <v>3089</v>
      </c>
      <c r="E658" s="1946" t="s">
        <v>3079</v>
      </c>
      <c r="F658" s="1988" t="s">
        <v>3033</v>
      </c>
      <c r="G658" s="3025"/>
    </row>
    <row r="659" spans="1:7" ht="13.5" thickBot="1">
      <c r="A659" s="1948">
        <v>2</v>
      </c>
      <c r="B659" s="1949">
        <v>0.8</v>
      </c>
      <c r="C659" s="1949">
        <v>2</v>
      </c>
      <c r="D659" s="1949">
        <v>0.8</v>
      </c>
      <c r="E659" s="1970">
        <f>ROUND(500.593-493.872-0.02,1)</f>
        <v>6.7</v>
      </c>
      <c r="F659" s="1949">
        <v>6</v>
      </c>
      <c r="G659" s="1951">
        <f>ROUND((C659+C659+D659)*(A659+A659+B659)*E659*F659,2)</f>
        <v>926.21</v>
      </c>
    </row>
    <row r="660" spans="1:7" ht="15">
      <c r="A660" s="1981"/>
      <c r="B660" s="4"/>
      <c r="C660" s="4"/>
      <c r="D660" s="4"/>
      <c r="E660" s="4"/>
      <c r="F660" s="4"/>
      <c r="G660" s="4"/>
    </row>
    <row r="661" spans="1:7">
      <c r="A661" s="1982" t="s">
        <v>3090</v>
      </c>
      <c r="B661" s="4"/>
      <c r="C661" s="4"/>
      <c r="D661" s="4"/>
      <c r="E661" s="4"/>
      <c r="F661" s="4"/>
      <c r="G661" s="4"/>
    </row>
    <row r="662" spans="1:7" ht="13.5" thickBot="1">
      <c r="A662" s="1960"/>
      <c r="B662" s="4"/>
      <c r="C662" s="4"/>
      <c r="D662" s="4"/>
      <c r="E662" s="4"/>
      <c r="F662" s="4"/>
      <c r="G662" s="4"/>
    </row>
    <row r="663" spans="1:7">
      <c r="A663" s="1966" t="s">
        <v>2970</v>
      </c>
      <c r="B663" s="1967" t="s">
        <v>2971</v>
      </c>
      <c r="C663" s="1967" t="s">
        <v>3032</v>
      </c>
      <c r="D663" s="1967" t="s">
        <v>2973</v>
      </c>
      <c r="E663" s="4"/>
      <c r="F663" s="4"/>
      <c r="G663" s="4"/>
    </row>
    <row r="664" spans="1:7" ht="13.5" thickBot="1">
      <c r="A664" s="1991" t="s">
        <v>3091</v>
      </c>
      <c r="B664" s="1946" t="s">
        <v>3092</v>
      </c>
      <c r="C664" s="1992" t="s">
        <v>3093</v>
      </c>
      <c r="D664" s="1946" t="s">
        <v>3089</v>
      </c>
      <c r="E664" s="4"/>
      <c r="F664" s="4"/>
      <c r="G664" s="4"/>
    </row>
    <row r="665" spans="1:7" ht="13.5" thickBot="1">
      <c r="A665" s="1958">
        <v>0.15</v>
      </c>
      <c r="B665" s="1946">
        <v>40</v>
      </c>
      <c r="C665" s="1946">
        <v>2</v>
      </c>
      <c r="D665" s="1946">
        <v>12</v>
      </c>
      <c r="E665" s="4"/>
      <c r="F665" s="4"/>
      <c r="G665" s="4"/>
    </row>
    <row r="666" spans="1:7">
      <c r="A666" s="1960"/>
      <c r="B666" s="4"/>
      <c r="C666" s="4"/>
      <c r="D666" s="4"/>
      <c r="E666" s="4"/>
      <c r="F666" s="4"/>
      <c r="G666" s="4"/>
    </row>
    <row r="667" spans="1:7">
      <c r="A667" s="1955" t="s">
        <v>3094</v>
      </c>
    </row>
    <row r="668" spans="1:7" ht="13.5" thickBot="1"/>
    <row r="669" spans="1:7">
      <c r="A669" s="1966" t="s">
        <v>2970</v>
      </c>
      <c r="B669" s="1967" t="s">
        <v>2971</v>
      </c>
      <c r="C669" s="1967" t="s">
        <v>3032</v>
      </c>
      <c r="D669" s="1967" t="s">
        <v>2973</v>
      </c>
    </row>
    <row r="670" spans="1:7" ht="13.5" thickBot="1">
      <c r="A670" s="1991" t="s">
        <v>3091</v>
      </c>
      <c r="B670" s="1946" t="s">
        <v>3092</v>
      </c>
      <c r="C670" s="1992" t="s">
        <v>3093</v>
      </c>
      <c r="D670" s="1946" t="s">
        <v>3089</v>
      </c>
    </row>
    <row r="671" spans="1:7" ht="13.5" thickBot="1">
      <c r="A671" s="1958">
        <v>0.1</v>
      </c>
      <c r="B671" s="1946">
        <v>40</v>
      </c>
      <c r="C671" s="1946">
        <v>2</v>
      </c>
      <c r="D671" s="1946">
        <v>8</v>
      </c>
    </row>
    <row r="673" spans="1:1">
      <c r="A673" s="1960"/>
    </row>
    <row r="674" spans="1:1">
      <c r="A674" s="1960"/>
    </row>
    <row r="675" spans="1:1" ht="18">
      <c r="A675" s="2008"/>
    </row>
    <row r="676" spans="1:1">
      <c r="A676" s="1960"/>
    </row>
    <row r="677" spans="1:1">
      <c r="A677" s="1960"/>
    </row>
    <row r="678" spans="1:1" ht="15.75">
      <c r="A678" s="1984"/>
    </row>
    <row r="679" spans="1:1">
      <c r="A679" s="1960"/>
    </row>
  </sheetData>
  <mergeCells count="87">
    <mergeCell ref="A88:G88"/>
    <mergeCell ref="A36:G36"/>
    <mergeCell ref="G37:G38"/>
    <mergeCell ref="A41:G41"/>
    <mergeCell ref="G42:G43"/>
    <mergeCell ref="A46:F46"/>
    <mergeCell ref="F47:F48"/>
    <mergeCell ref="A79:G79"/>
    <mergeCell ref="G80:G81"/>
    <mergeCell ref="A83:G83"/>
    <mergeCell ref="A84:G84"/>
    <mergeCell ref="G85:G86"/>
    <mergeCell ref="E127:E128"/>
    <mergeCell ref="A89:F89"/>
    <mergeCell ref="G89:G92"/>
    <mergeCell ref="F90:F91"/>
    <mergeCell ref="A93:G93"/>
    <mergeCell ref="A94:B97"/>
    <mergeCell ref="C94:D94"/>
    <mergeCell ref="C95:D95"/>
    <mergeCell ref="E95:F95"/>
    <mergeCell ref="C96:D96"/>
    <mergeCell ref="E96:F96"/>
    <mergeCell ref="C97:D97"/>
    <mergeCell ref="E97:F97"/>
    <mergeCell ref="A121:E121"/>
    <mergeCell ref="E122:E123"/>
    <mergeCell ref="A126:E126"/>
    <mergeCell ref="A171:E171"/>
    <mergeCell ref="F171:F174"/>
    <mergeCell ref="E172:E173"/>
    <mergeCell ref="A131:E131"/>
    <mergeCell ref="E132:E133"/>
    <mergeCell ref="A136:F136"/>
    <mergeCell ref="F137:F138"/>
    <mergeCell ref="A161:E161"/>
    <mergeCell ref="F161:F164"/>
    <mergeCell ref="E162:E163"/>
    <mergeCell ref="A165:F165"/>
    <mergeCell ref="A166:E166"/>
    <mergeCell ref="F166:F169"/>
    <mergeCell ref="E167:E168"/>
    <mergeCell ref="A170:F170"/>
    <mergeCell ref="A175:F175"/>
    <mergeCell ref="A176:F176"/>
    <mergeCell ref="F177:F178"/>
    <mergeCell ref="A180:F180"/>
    <mergeCell ref="A181:B184"/>
    <mergeCell ref="C181:D181"/>
    <mergeCell ref="E181:F184"/>
    <mergeCell ref="D182:D183"/>
    <mergeCell ref="C457:C458"/>
    <mergeCell ref="E261:E262"/>
    <mergeCell ref="B281:B282"/>
    <mergeCell ref="F298:F299"/>
    <mergeCell ref="F314:F315"/>
    <mergeCell ref="A318:B318"/>
    <mergeCell ref="B319:B320"/>
    <mergeCell ref="C340:C341"/>
    <mergeCell ref="C362:C363"/>
    <mergeCell ref="C394:C395"/>
    <mergeCell ref="C415:C416"/>
    <mergeCell ref="F432:F433"/>
    <mergeCell ref="A620:H620"/>
    <mergeCell ref="F474:F475"/>
    <mergeCell ref="C500:C501"/>
    <mergeCell ref="D529:D530"/>
    <mergeCell ref="A569:G569"/>
    <mergeCell ref="G570:G571"/>
    <mergeCell ref="A574:G574"/>
    <mergeCell ref="G575:G576"/>
    <mergeCell ref="A579:F579"/>
    <mergeCell ref="F580:F581"/>
    <mergeCell ref="A616:G616"/>
    <mergeCell ref="G617:G618"/>
    <mergeCell ref="G657:G658"/>
    <mergeCell ref="A621:G621"/>
    <mergeCell ref="G622:G623"/>
    <mergeCell ref="A625:H625"/>
    <mergeCell ref="A626:F626"/>
    <mergeCell ref="H626:H629"/>
    <mergeCell ref="F627:F628"/>
    <mergeCell ref="A630:H630"/>
    <mergeCell ref="A631:B633"/>
    <mergeCell ref="C631:E631"/>
    <mergeCell ref="C632:E632"/>
    <mergeCell ref="C633:E633"/>
  </mergeCells>
  <pageMargins left="0.39370078740157477" right="0.59055118110236215" top="0.39370078740157477" bottom="0.59055118110236215" header="0.31496062000000002" footer="0.31496062000000002"/>
  <pageSetup paperSize="9" scale="88" orientation="portrait" r:id="rId1"/>
  <headerFooter>
    <oddFooter>&amp;C&amp;8Página &amp;P/&amp;N</oddFooter>
  </headerFooter>
  <rowBreaks count="14" manualBreakCount="14">
    <brk id="50" max="16383" man="1"/>
    <brk id="98" max="16383" man="1"/>
    <brk id="139" max="16383" man="1"/>
    <brk id="185" max="16383" man="1"/>
    <brk id="240" max="16383" man="1"/>
    <brk id="284" max="16383" man="1"/>
    <brk id="322" max="16383" man="1"/>
    <brk id="365" max="6" man="1"/>
    <brk id="418" max="16383" man="1"/>
    <brk id="460" max="16383" man="1"/>
    <brk id="503" max="16383" man="1"/>
    <brk id="532" max="16383" man="1"/>
    <brk id="582" max="16383" man="1"/>
    <brk id="634" max="16383" man="1"/>
  </rowBreaks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A8390-806B-4B79-9355-6A0C28358B04}">
  <sheetPr codeName="Planilha40">
    <pageSetUpPr fitToPage="1"/>
  </sheetPr>
  <dimension ref="A1:R74"/>
  <sheetViews>
    <sheetView showZeros="0" zoomScaleNormal="100" workbookViewId="0">
      <selection sqref="A1:A73"/>
    </sheetView>
  </sheetViews>
  <sheetFormatPr defaultColWidth="9" defaultRowHeight="18.75"/>
  <cols>
    <col min="1" max="1" width="9.75" style="681" customWidth="1"/>
    <col min="2" max="2" width="12.375" style="681" customWidth="1"/>
    <col min="3" max="3" width="33.75" style="681" customWidth="1"/>
    <col min="4" max="4" width="4.125" style="1289" hidden="1" customWidth="1"/>
    <col min="5" max="5" width="19.625" style="681" hidden="1" customWidth="1"/>
    <col min="6" max="9" width="12.625" style="681" customWidth="1"/>
    <col min="10" max="10" width="17.125" style="681" customWidth="1"/>
    <col min="11" max="16384" width="9" style="681"/>
  </cols>
  <sheetData>
    <row r="1" spans="1:10" s="673" customFormat="1" ht="60" customHeight="1" thickTop="1" thickBot="1">
      <c r="A1" s="2571" t="s">
        <v>3095</v>
      </c>
      <c r="B1" s="2926" t="s">
        <v>2687</v>
      </c>
      <c r="C1" s="2928"/>
      <c r="D1" s="2009"/>
      <c r="E1" s="2010" t="s">
        <v>1468</v>
      </c>
      <c r="F1" s="670" t="s">
        <v>3096</v>
      </c>
      <c r="G1" s="670" t="s">
        <v>3097</v>
      </c>
      <c r="H1" s="670"/>
      <c r="I1" s="672" t="s">
        <v>1358</v>
      </c>
      <c r="J1" s="2011" t="s">
        <v>1475</v>
      </c>
    </row>
    <row r="2" spans="1:10" s="673" customFormat="1" ht="20.25" thickTop="1" thickBot="1">
      <c r="A2" s="2695"/>
      <c r="B2" s="2581" t="s">
        <v>3098</v>
      </c>
      <c r="C2" s="3064"/>
      <c r="D2" s="1287"/>
      <c r="E2" s="1804"/>
      <c r="F2" s="1709"/>
      <c r="G2" s="1709"/>
      <c r="H2" s="1709"/>
      <c r="I2" s="1790">
        <f>ROUND(SUM(F2:H2),2)</f>
        <v>0</v>
      </c>
      <c r="J2" s="1775">
        <f t="shared" ref="J2:J25" si="0">SUM(F2:I2)</f>
        <v>0</v>
      </c>
    </row>
    <row r="3" spans="1:10" s="673" customFormat="1">
      <c r="A3" s="2572"/>
      <c r="B3" s="2748" t="s">
        <v>2191</v>
      </c>
      <c r="C3" s="1480" t="s">
        <v>2192</v>
      </c>
      <c r="D3" s="1287"/>
      <c r="E3" s="1804"/>
      <c r="F3" s="1709"/>
      <c r="G3" s="1709"/>
      <c r="H3" s="1709"/>
      <c r="I3" s="2012">
        <f>COUNTA(F3:H3)</f>
        <v>0</v>
      </c>
      <c r="J3" s="780">
        <f t="shared" si="0"/>
        <v>0</v>
      </c>
    </row>
    <row r="4" spans="1:10" s="673" customFormat="1" ht="19.5" thickBot="1">
      <c r="A4" s="2572"/>
      <c r="B4" s="2749"/>
      <c r="C4" s="1484" t="s">
        <v>2193</v>
      </c>
      <c r="D4" s="1291"/>
      <c r="E4" s="2013"/>
      <c r="F4" s="1713"/>
      <c r="G4" s="1713"/>
      <c r="H4" s="1713"/>
      <c r="I4" s="2014">
        <f>COUNTA(F4:H4)</f>
        <v>0</v>
      </c>
      <c r="J4" s="780">
        <f t="shared" si="0"/>
        <v>0</v>
      </c>
    </row>
    <row r="5" spans="1:10" ht="19.5" thickBot="1">
      <c r="A5" s="2572"/>
      <c r="B5" s="2583" t="s">
        <v>2691</v>
      </c>
      <c r="C5" s="2935"/>
      <c r="D5" s="1291"/>
      <c r="E5" s="2013"/>
      <c r="F5" s="1713"/>
      <c r="G5" s="1713"/>
      <c r="H5" s="1713"/>
      <c r="I5" s="1714"/>
      <c r="J5" s="1775">
        <f t="shared" si="0"/>
        <v>0</v>
      </c>
    </row>
    <row r="6" spans="1:10">
      <c r="A6" s="2572"/>
      <c r="B6" s="2748" t="s">
        <v>3099</v>
      </c>
      <c r="C6" s="1448" t="s">
        <v>3100</v>
      </c>
      <c r="D6" s="1287"/>
      <c r="E6" s="1804" t="s">
        <v>3101</v>
      </c>
      <c r="F6" s="1709"/>
      <c r="G6" s="1709"/>
      <c r="H6" s="1709"/>
      <c r="I6" s="1708"/>
      <c r="J6" s="1775">
        <f t="shared" si="0"/>
        <v>0</v>
      </c>
    </row>
    <row r="7" spans="1:10">
      <c r="A7" s="2572"/>
      <c r="B7" s="2575"/>
      <c r="C7" s="1089" t="s">
        <v>2669</v>
      </c>
      <c r="E7" s="2015"/>
      <c r="F7" s="1570">
        <f>F6+F2</f>
        <v>0</v>
      </c>
      <c r="G7" s="1570">
        <f>G6+G2</f>
        <v>0</v>
      </c>
      <c r="H7" s="1570"/>
      <c r="I7" s="1496"/>
      <c r="J7" s="1775">
        <f t="shared" si="0"/>
        <v>0</v>
      </c>
    </row>
    <row r="8" spans="1:10">
      <c r="A8" s="2572"/>
      <c r="B8" s="2575"/>
      <c r="C8" s="1089" t="s">
        <v>1647</v>
      </c>
      <c r="E8" s="2015"/>
      <c r="F8" s="1570">
        <f>F14+F21+F32</f>
        <v>0</v>
      </c>
      <c r="G8" s="1570">
        <f>G14+G21+G32</f>
        <v>0</v>
      </c>
      <c r="H8" s="1570"/>
      <c r="I8" s="1496"/>
      <c r="J8" s="1775">
        <f t="shared" si="0"/>
        <v>0</v>
      </c>
    </row>
    <row r="9" spans="1:10">
      <c r="A9" s="2572"/>
      <c r="B9" s="2575"/>
      <c r="C9" s="1089" t="s">
        <v>1355</v>
      </c>
      <c r="E9" s="2015"/>
      <c r="F9" s="1570">
        <f>F5</f>
        <v>0</v>
      </c>
      <c r="G9" s="1570">
        <f>G5</f>
        <v>0</v>
      </c>
      <c r="H9" s="1570"/>
      <c r="I9" s="1496"/>
      <c r="J9" s="1775">
        <f t="shared" si="0"/>
        <v>0</v>
      </c>
    </row>
    <row r="10" spans="1:10">
      <c r="A10" s="2572"/>
      <c r="B10" s="2575"/>
      <c r="C10" s="1089" t="s">
        <v>1693</v>
      </c>
      <c r="E10" s="2015"/>
      <c r="F10" s="1570">
        <f>F7*F9</f>
        <v>0</v>
      </c>
      <c r="G10" s="1570">
        <f>G7*G9</f>
        <v>0</v>
      </c>
      <c r="H10" s="1570"/>
      <c r="I10" s="1496">
        <f>ROUND(SUM(F10:H10),2)</f>
        <v>0</v>
      </c>
      <c r="J10" s="1775">
        <f t="shared" si="0"/>
        <v>0</v>
      </c>
    </row>
    <row r="11" spans="1:10" ht="19.5" thickBot="1">
      <c r="A11" s="2572"/>
      <c r="B11" s="2575"/>
      <c r="C11" s="1089" t="s">
        <v>3102</v>
      </c>
      <c r="E11" s="2015"/>
      <c r="F11" s="1570">
        <f>F10*F8</f>
        <v>0</v>
      </c>
      <c r="G11" s="1570">
        <f>G10*G8</f>
        <v>0</v>
      </c>
      <c r="H11" s="1570"/>
      <c r="I11" s="1720">
        <f>ROUND(SUM(F11:H11),2)</f>
        <v>0</v>
      </c>
      <c r="J11" s="1775">
        <f t="shared" si="0"/>
        <v>0</v>
      </c>
    </row>
    <row r="12" spans="1:10" ht="19.5" thickBot="1">
      <c r="A12" s="2572"/>
      <c r="B12" s="2783" t="s">
        <v>3103</v>
      </c>
      <c r="C12" s="2785"/>
      <c r="D12" s="1803"/>
      <c r="E12" s="2016"/>
      <c r="F12" s="1598">
        <f>F10</f>
        <v>0</v>
      </c>
      <c r="G12" s="1598">
        <f>G10</f>
        <v>0</v>
      </c>
      <c r="H12" s="1598"/>
      <c r="I12" s="1732">
        <f>ROUND(SUM(F12:H12),2)</f>
        <v>0</v>
      </c>
      <c r="J12" s="1775">
        <f t="shared" si="0"/>
        <v>0</v>
      </c>
    </row>
    <row r="13" spans="1:10">
      <c r="A13" s="2572"/>
      <c r="B13" s="2748" t="s">
        <v>2371</v>
      </c>
      <c r="C13" s="1448" t="s">
        <v>1539</v>
      </c>
      <c r="D13" s="1287"/>
      <c r="E13" s="2017" t="s">
        <v>3104</v>
      </c>
      <c r="F13" s="1570">
        <f>F7</f>
        <v>0</v>
      </c>
      <c r="G13" s="1570">
        <f>G7</f>
        <v>0</v>
      </c>
      <c r="H13" s="1570"/>
      <c r="I13" s="1708"/>
      <c r="J13" s="1775">
        <f t="shared" si="0"/>
        <v>0</v>
      </c>
    </row>
    <row r="14" spans="1:10">
      <c r="A14" s="2572"/>
      <c r="B14" s="2575"/>
      <c r="C14" s="1089" t="s">
        <v>1647</v>
      </c>
      <c r="E14" s="2015"/>
      <c r="F14" s="1589"/>
      <c r="G14" s="1589"/>
      <c r="H14" s="1589"/>
      <c r="I14" s="1496"/>
      <c r="J14" s="1775">
        <f t="shared" si="0"/>
        <v>0</v>
      </c>
    </row>
    <row r="15" spans="1:10">
      <c r="A15" s="2572"/>
      <c r="B15" s="2575"/>
      <c r="C15" s="1089" t="s">
        <v>1355</v>
      </c>
      <c r="E15" s="2015"/>
      <c r="F15" s="1570">
        <f>F5</f>
        <v>0</v>
      </c>
      <c r="G15" s="1570">
        <f>G5</f>
        <v>0</v>
      </c>
      <c r="H15" s="1570"/>
      <c r="I15" s="1496"/>
      <c r="J15" s="1775">
        <f t="shared" si="0"/>
        <v>0</v>
      </c>
    </row>
    <row r="16" spans="1:10">
      <c r="A16" s="2572"/>
      <c r="B16" s="2575"/>
      <c r="C16" s="1089" t="s">
        <v>1693</v>
      </c>
      <c r="E16" s="2015"/>
      <c r="F16" s="1570">
        <f>F13*F15</f>
        <v>0</v>
      </c>
      <c r="G16" s="1570">
        <f>G13*G15</f>
        <v>0</v>
      </c>
      <c r="H16" s="1570"/>
      <c r="I16" s="1496">
        <f>ROUND(SUM(F16:H16),2)</f>
        <v>0</v>
      </c>
      <c r="J16" s="1775">
        <f t="shared" si="0"/>
        <v>0</v>
      </c>
    </row>
    <row r="17" spans="1:18">
      <c r="A17" s="2572"/>
      <c r="B17" s="2575"/>
      <c r="C17" s="1089" t="s">
        <v>3105</v>
      </c>
      <c r="E17" s="2015"/>
      <c r="F17" s="1570">
        <f>F16*F14</f>
        <v>0</v>
      </c>
      <c r="G17" s="1570">
        <f>G16*G14</f>
        <v>0</v>
      </c>
      <c r="H17" s="1570"/>
      <c r="I17" s="1720">
        <f>ROUND(SUM(F17:H17),2)</f>
        <v>0</v>
      </c>
      <c r="J17" s="1775">
        <f t="shared" si="0"/>
        <v>0</v>
      </c>
    </row>
    <row r="18" spans="1:18" ht="22.5">
      <c r="A18" s="2572"/>
      <c r="B18" s="2575"/>
      <c r="C18" s="1089" t="s">
        <v>3106</v>
      </c>
      <c r="E18" s="2015"/>
      <c r="F18" s="1570">
        <f>F17*0.1</f>
        <v>0</v>
      </c>
      <c r="G18" s="1570">
        <f>G17*0.1</f>
        <v>0</v>
      </c>
      <c r="H18" s="1570"/>
      <c r="I18" s="1496">
        <f>ROUND(SUM(F18:H18),2)</f>
        <v>0</v>
      </c>
      <c r="J18" s="1775">
        <f t="shared" si="0"/>
        <v>0</v>
      </c>
    </row>
    <row r="19" spans="1:18" ht="19.5" thickBot="1">
      <c r="A19" s="2572"/>
      <c r="B19" s="2749"/>
      <c r="C19" s="936" t="s">
        <v>3107</v>
      </c>
      <c r="D19" s="1291"/>
      <c r="E19" s="2015"/>
      <c r="F19" s="1570">
        <f>F17*1.3</f>
        <v>0</v>
      </c>
      <c r="G19" s="1570">
        <f>G17*1.3</f>
        <v>0</v>
      </c>
      <c r="H19" s="1570"/>
      <c r="I19" s="1496">
        <f>ROUND(SUM(F19:H19),2)</f>
        <v>0</v>
      </c>
      <c r="J19" s="1775">
        <f t="shared" si="0"/>
        <v>0</v>
      </c>
    </row>
    <row r="20" spans="1:18">
      <c r="A20" s="2572"/>
      <c r="B20" s="2862" t="s">
        <v>3108</v>
      </c>
      <c r="C20" s="1089" t="s">
        <v>2669</v>
      </c>
      <c r="D20" s="1287"/>
      <c r="E20" s="1804"/>
      <c r="F20" s="1561">
        <f>F7</f>
        <v>0</v>
      </c>
      <c r="G20" s="1561">
        <f>G7</f>
        <v>0</v>
      </c>
      <c r="H20" s="1561"/>
      <c r="I20" s="1708"/>
      <c r="J20" s="1775">
        <f t="shared" si="0"/>
        <v>0</v>
      </c>
    </row>
    <row r="21" spans="1:18">
      <c r="A21" s="2572"/>
      <c r="B21" s="2861"/>
      <c r="C21" s="1089" t="s">
        <v>1647</v>
      </c>
      <c r="E21" s="2015"/>
      <c r="F21" s="1589"/>
      <c r="G21" s="1589"/>
      <c r="H21" s="1589"/>
      <c r="I21" s="1496"/>
      <c r="J21" s="1775">
        <f t="shared" si="0"/>
        <v>0</v>
      </c>
    </row>
    <row r="22" spans="1:18">
      <c r="A22" s="2572"/>
      <c r="B22" s="2861"/>
      <c r="C22" s="1089" t="s">
        <v>1355</v>
      </c>
      <c r="E22" s="2015"/>
      <c r="F22" s="1570">
        <f>F5</f>
        <v>0</v>
      </c>
      <c r="G22" s="1570">
        <f>G5</f>
        <v>0</v>
      </c>
      <c r="H22" s="1570"/>
      <c r="I22" s="1496"/>
      <c r="J22" s="1775">
        <f t="shared" si="0"/>
        <v>0</v>
      </c>
    </row>
    <row r="23" spans="1:18">
      <c r="A23" s="2572"/>
      <c r="B23" s="2863"/>
      <c r="C23" s="1089" t="s">
        <v>1693</v>
      </c>
      <c r="E23" s="2015"/>
      <c r="F23" s="1570">
        <f>F22*F20</f>
        <v>0</v>
      </c>
      <c r="G23" s="1570">
        <f>G22*G20</f>
        <v>0</v>
      </c>
      <c r="H23" s="1570"/>
      <c r="I23" s="1496">
        <f>ROUND(SUM(F23:H23),2)</f>
        <v>0</v>
      </c>
      <c r="J23" s="1775">
        <f t="shared" si="0"/>
        <v>0</v>
      </c>
    </row>
    <row r="24" spans="1:18">
      <c r="A24" s="2572"/>
      <c r="B24" s="2863"/>
      <c r="C24" s="1481" t="s">
        <v>1831</v>
      </c>
      <c r="E24" s="2015"/>
      <c r="F24" s="1570">
        <f>F23*F21</f>
        <v>0</v>
      </c>
      <c r="G24" s="1570">
        <f>G23*G21</f>
        <v>0</v>
      </c>
      <c r="H24" s="1570"/>
      <c r="I24" s="1720">
        <f>ROUND(SUM(F24:H24),2)</f>
        <v>0</v>
      </c>
      <c r="J24" s="1775">
        <f t="shared" si="0"/>
        <v>0</v>
      </c>
    </row>
    <row r="25" spans="1:18">
      <c r="A25" s="2572"/>
      <c r="B25" s="2863"/>
      <c r="C25" s="2018" t="s">
        <v>2050</v>
      </c>
      <c r="E25" s="2015"/>
      <c r="F25" s="1570">
        <f>F24*88</f>
        <v>0</v>
      </c>
      <c r="G25" s="1570">
        <f>G24*88</f>
        <v>0</v>
      </c>
      <c r="H25" s="1570"/>
      <c r="I25" s="1720">
        <f>ROUND(SUM(F25:H25),2)</f>
        <v>0</v>
      </c>
      <c r="J25" s="1775">
        <f t="shared" si="0"/>
        <v>0</v>
      </c>
    </row>
    <row r="26" spans="1:18">
      <c r="A26" s="2572"/>
      <c r="B26" s="2863"/>
      <c r="C26" s="1089" t="s">
        <v>3109</v>
      </c>
      <c r="E26" s="2015"/>
      <c r="F26" s="2019"/>
      <c r="G26" s="2019"/>
      <c r="H26" s="2019"/>
      <c r="I26" s="1496"/>
      <c r="J26" s="780">
        <f>J25</f>
        <v>0</v>
      </c>
    </row>
    <row r="27" spans="1:18">
      <c r="A27" s="2572"/>
      <c r="B27" s="2863"/>
      <c r="C27" s="2018" t="s">
        <v>2012</v>
      </c>
      <c r="E27" s="2015"/>
      <c r="F27" s="1570">
        <f>IF(F26="BC",F24*1.375,0)</f>
        <v>0</v>
      </c>
      <c r="G27" s="1570">
        <f>IF(G26="BC",G24*1.375,0)</f>
        <v>0</v>
      </c>
      <c r="H27" s="1570"/>
      <c r="I27" s="1720">
        <f>ROUND(SUM(F27:H27),2)</f>
        <v>0</v>
      </c>
      <c r="J27" s="1775">
        <f t="shared" ref="J27:J57" si="1">SUM(F27:I27)</f>
        <v>0</v>
      </c>
    </row>
    <row r="28" spans="1:18" ht="19.5" thickBot="1">
      <c r="A28" s="2572"/>
      <c r="B28" s="2898"/>
      <c r="C28" s="936" t="s">
        <v>2512</v>
      </c>
      <c r="E28" s="2015"/>
      <c r="F28" s="1570">
        <f>IF(F26="BG",F24*1.4667,0)</f>
        <v>0</v>
      </c>
      <c r="G28" s="1570">
        <f>IF(G26="BG",G24*1.4667,0)</f>
        <v>0</v>
      </c>
      <c r="H28" s="1570"/>
      <c r="I28" s="1707">
        <f>ROUND(SUM(F28:H28),2)</f>
        <v>0</v>
      </c>
      <c r="J28" s="1775">
        <f t="shared" si="1"/>
        <v>0</v>
      </c>
    </row>
    <row r="29" spans="1:18">
      <c r="A29" s="2572"/>
      <c r="B29" s="2871" t="s">
        <v>2268</v>
      </c>
      <c r="C29" s="1089" t="s">
        <v>1693</v>
      </c>
      <c r="D29" s="1287"/>
      <c r="E29" s="1804"/>
      <c r="F29" s="1561">
        <f>F23</f>
        <v>0</v>
      </c>
      <c r="G29" s="1561">
        <f>G23</f>
        <v>0</v>
      </c>
      <c r="H29" s="1561"/>
      <c r="I29" s="1790">
        <f>ROUND(SUM(F29:H29),2)</f>
        <v>0</v>
      </c>
      <c r="J29" s="1775">
        <f t="shared" si="1"/>
        <v>0</v>
      </c>
    </row>
    <row r="30" spans="1:18" ht="19.5" thickBot="1">
      <c r="A30" s="2572"/>
      <c r="B30" s="2872"/>
      <c r="C30" s="936" t="s">
        <v>2270</v>
      </c>
      <c r="D30" s="1291"/>
      <c r="E30" s="2013"/>
      <c r="F30" s="908">
        <f>F29*0.0005</f>
        <v>0</v>
      </c>
      <c r="G30" s="908">
        <f>G29*0.0005</f>
        <v>0</v>
      </c>
      <c r="H30" s="908"/>
      <c r="I30" s="1707">
        <f>ROUND(SUM(F30:H30),2)</f>
        <v>0</v>
      </c>
      <c r="J30" s="1775">
        <f t="shared" si="1"/>
        <v>0</v>
      </c>
    </row>
    <row r="31" spans="1:18">
      <c r="A31" s="2572"/>
      <c r="B31" s="2862" t="s">
        <v>3110</v>
      </c>
      <c r="C31" s="1089" t="s">
        <v>2669</v>
      </c>
      <c r="D31" s="1287"/>
      <c r="E31" s="1804"/>
      <c r="F31" s="1561">
        <f>F7</f>
        <v>0</v>
      </c>
      <c r="G31" s="1561">
        <f>G7</f>
        <v>0</v>
      </c>
      <c r="H31" s="1561"/>
      <c r="I31" s="1708"/>
      <c r="J31" s="1775">
        <f t="shared" si="1"/>
        <v>0</v>
      </c>
      <c r="K31" s="2690" t="s">
        <v>1859</v>
      </c>
      <c r="L31" s="2692"/>
      <c r="M31" s="2690" t="s">
        <v>1860</v>
      </c>
      <c r="N31" s="2692"/>
      <c r="O31" s="2690" t="s">
        <v>1861</v>
      </c>
      <c r="P31" s="2692"/>
      <c r="Q31" s="2687" t="s">
        <v>1862</v>
      </c>
      <c r="R31" s="1672" t="s">
        <v>1863</v>
      </c>
    </row>
    <row r="32" spans="1:18">
      <c r="A32" s="2572"/>
      <c r="B32" s="2861"/>
      <c r="C32" s="1089" t="s">
        <v>1647</v>
      </c>
      <c r="E32" s="2015"/>
      <c r="F32" s="1589"/>
      <c r="G32" s="1589"/>
      <c r="H32" s="1589"/>
      <c r="I32" s="1496"/>
      <c r="J32" s="1775">
        <f t="shared" si="1"/>
        <v>0</v>
      </c>
      <c r="K32" s="1121" t="s">
        <v>1868</v>
      </c>
      <c r="L32" s="1121" t="s">
        <v>1870</v>
      </c>
      <c r="M32" s="1121" t="s">
        <v>1868</v>
      </c>
      <c r="N32" s="1121" t="s">
        <v>1870</v>
      </c>
      <c r="O32" s="1121" t="s">
        <v>1868</v>
      </c>
      <c r="P32" s="1121" t="s">
        <v>1870</v>
      </c>
      <c r="Q32" s="2688"/>
      <c r="R32" s="1122" t="s">
        <v>2544</v>
      </c>
    </row>
    <row r="33" spans="1:18">
      <c r="A33" s="2572"/>
      <c r="B33" s="2861"/>
      <c r="C33" s="1089" t="s">
        <v>1355</v>
      </c>
      <c r="E33" s="2015"/>
      <c r="F33" s="1570">
        <f>F5</f>
        <v>0</v>
      </c>
      <c r="G33" s="1570">
        <f>G5</f>
        <v>0</v>
      </c>
      <c r="H33" s="1570"/>
      <c r="I33" s="1496"/>
      <c r="J33" s="1775">
        <f t="shared" si="1"/>
        <v>0</v>
      </c>
      <c r="K33" s="1125">
        <v>94963</v>
      </c>
      <c r="L33" s="1125">
        <v>94965</v>
      </c>
      <c r="M33" s="1125">
        <v>94963</v>
      </c>
      <c r="N33" s="1125">
        <v>94965</v>
      </c>
      <c r="O33" s="1125">
        <v>94963</v>
      </c>
      <c r="P33" s="1125">
        <v>94965</v>
      </c>
      <c r="Q33" s="2688"/>
      <c r="R33" s="1125">
        <v>96542</v>
      </c>
    </row>
    <row r="34" spans="1:18">
      <c r="A34" s="2572"/>
      <c r="B34" s="2863"/>
      <c r="C34" s="1089" t="s">
        <v>1693</v>
      </c>
      <c r="E34" s="2015"/>
      <c r="F34" s="1570">
        <f>F33*F31</f>
        <v>0</v>
      </c>
      <c r="G34" s="1570">
        <f>G33*G31</f>
        <v>0</v>
      </c>
      <c r="H34" s="1570"/>
      <c r="I34" s="1720">
        <f>ROUND(SUM(F34:H34),2)</f>
        <v>0</v>
      </c>
      <c r="J34" s="1775">
        <f t="shared" si="1"/>
        <v>0</v>
      </c>
      <c r="K34" s="1130">
        <v>273.06</v>
      </c>
      <c r="L34" s="1130">
        <v>362.66</v>
      </c>
      <c r="M34" s="1132">
        <v>0.80500000000000005</v>
      </c>
      <c r="N34" s="1132">
        <v>0.72299999999999998</v>
      </c>
      <c r="O34" s="1132">
        <v>0.57899999999999996</v>
      </c>
      <c r="P34" s="1132">
        <v>0.59299999999999997</v>
      </c>
      <c r="Q34" s="2689"/>
      <c r="R34" s="1134">
        <v>0.1356</v>
      </c>
    </row>
    <row r="35" spans="1:18" ht="19.5" thickBot="1">
      <c r="A35" s="2572"/>
      <c r="B35" s="2898"/>
      <c r="C35" s="1484" t="s">
        <v>1831</v>
      </c>
      <c r="D35" s="1291"/>
      <c r="E35" s="2013"/>
      <c r="F35" s="1564">
        <f>F34*F32</f>
        <v>0</v>
      </c>
      <c r="G35" s="1564">
        <f>G34*G32</f>
        <v>0</v>
      </c>
      <c r="H35" s="1564"/>
      <c r="I35" s="1496">
        <f>ROUND(SUM(F35:H35),2)</f>
        <v>0</v>
      </c>
      <c r="J35" s="1775">
        <f t="shared" si="1"/>
        <v>0</v>
      </c>
      <c r="K35" s="1683"/>
      <c r="L35" s="1684"/>
      <c r="M35" s="1683"/>
      <c r="N35" s="1684"/>
      <c r="O35" s="1683"/>
      <c r="P35" s="1684"/>
      <c r="Q35" s="1684"/>
      <c r="R35" s="1393"/>
    </row>
    <row r="36" spans="1:18">
      <c r="A36" s="2572"/>
      <c r="B36" s="2581" t="s">
        <v>1837</v>
      </c>
      <c r="C36" s="740" t="s">
        <v>2540</v>
      </c>
      <c r="E36" s="2015"/>
      <c r="F36" s="1570">
        <f>F24*1.25</f>
        <v>0</v>
      </c>
      <c r="G36" s="1570">
        <f>G24*1.25</f>
        <v>0</v>
      </c>
      <c r="H36" s="1570"/>
      <c r="I36" s="1790">
        <f>ROUND(SUM(F36:H36),2)</f>
        <v>0</v>
      </c>
      <c r="J36" s="1775">
        <f t="shared" si="1"/>
        <v>0</v>
      </c>
      <c r="K36" s="1683"/>
      <c r="L36" s="1683"/>
      <c r="M36" s="1683"/>
      <c r="N36" s="1683"/>
      <c r="O36" s="1683"/>
      <c r="P36" s="1683"/>
      <c r="Q36" s="1683"/>
      <c r="R36" s="1683"/>
    </row>
    <row r="37" spans="1:18" ht="19.5" thickBot="1">
      <c r="A37" s="2572"/>
      <c r="B37" s="2583"/>
      <c r="C37" s="754" t="s">
        <v>2058</v>
      </c>
      <c r="E37" s="2015"/>
      <c r="F37" s="1570">
        <f>F28</f>
        <v>0</v>
      </c>
      <c r="G37" s="1570">
        <f>G28</f>
        <v>0</v>
      </c>
      <c r="H37" s="1570"/>
      <c r="I37" s="1707">
        <f>ROUND(SUM(F37:H37),2)</f>
        <v>0</v>
      </c>
      <c r="J37" s="1775">
        <f t="shared" si="1"/>
        <v>0</v>
      </c>
      <c r="K37" s="1683"/>
      <c r="L37" s="1683"/>
      <c r="M37" s="1683"/>
      <c r="N37" s="1683"/>
      <c r="O37" s="1683"/>
      <c r="P37" s="1683"/>
      <c r="Q37" s="1683"/>
      <c r="R37" s="1683"/>
    </row>
    <row r="38" spans="1:18">
      <c r="A38" s="2572"/>
      <c r="B38" s="2748" t="s">
        <v>3111</v>
      </c>
      <c r="C38" s="1089" t="s">
        <v>3112</v>
      </c>
      <c r="D38" s="1590"/>
      <c r="E38" s="2020"/>
      <c r="F38" s="1722"/>
      <c r="G38" s="1722"/>
      <c r="H38" s="1722"/>
      <c r="I38" s="2021">
        <f>ROUND(SUM(F38:H38),2)</f>
        <v>0</v>
      </c>
      <c r="J38" s="1775">
        <f t="shared" si="1"/>
        <v>0</v>
      </c>
    </row>
    <row r="39" spans="1:18">
      <c r="A39" s="2572"/>
      <c r="B39" s="2575"/>
      <c r="C39" s="1089" t="s">
        <v>3113</v>
      </c>
      <c r="D39" s="1599"/>
      <c r="E39" s="2022"/>
      <c r="F39" s="1711"/>
      <c r="G39" s="1711"/>
      <c r="H39" s="1711"/>
      <c r="I39" s="1496"/>
      <c r="J39" s="1775">
        <f t="shared" si="1"/>
        <v>0</v>
      </c>
    </row>
    <row r="40" spans="1:18">
      <c r="A40" s="2572"/>
      <c r="B40" s="2575"/>
      <c r="C40" s="1490" t="s">
        <v>3114</v>
      </c>
      <c r="D40" s="1584"/>
      <c r="E40" s="2023"/>
      <c r="F40" s="1586">
        <f>F38*F39</f>
        <v>0</v>
      </c>
      <c r="G40" s="1586">
        <f>G38*G39</f>
        <v>0</v>
      </c>
      <c r="H40" s="1586"/>
      <c r="I40" s="1769">
        <f>ROUND(SUM(F40:H40),2)</f>
        <v>0</v>
      </c>
      <c r="J40" s="1775">
        <f t="shared" si="1"/>
        <v>0</v>
      </c>
    </row>
    <row r="41" spans="1:18">
      <c r="A41" s="2572"/>
      <c r="B41" s="2575"/>
      <c r="C41" s="1490" t="s">
        <v>3115</v>
      </c>
      <c r="D41" s="1599"/>
      <c r="E41" s="2022"/>
      <c r="F41" s="1589"/>
      <c r="G41" s="1589"/>
      <c r="H41" s="1589"/>
      <c r="I41" s="1496"/>
      <c r="J41" s="1775">
        <f t="shared" si="1"/>
        <v>0</v>
      </c>
    </row>
    <row r="42" spans="1:18">
      <c r="A42" s="2572"/>
      <c r="B42" s="2575"/>
      <c r="C42" s="1490" t="s">
        <v>3116</v>
      </c>
      <c r="D42" s="1584"/>
      <c r="E42" s="2023"/>
      <c r="F42" s="1586">
        <f>F41*F38</f>
        <v>0</v>
      </c>
      <c r="G42" s="1586">
        <f>G41*G38</f>
        <v>0</v>
      </c>
      <c r="H42" s="1586"/>
      <c r="I42" s="1769">
        <f>ROUND(SUM(F42:H42),2)</f>
        <v>0</v>
      </c>
      <c r="J42" s="1775">
        <f t="shared" si="1"/>
        <v>0</v>
      </c>
    </row>
    <row r="43" spans="1:18">
      <c r="A43" s="2572"/>
      <c r="B43" s="2575"/>
      <c r="C43" s="1490" t="s">
        <v>3117</v>
      </c>
      <c r="D43" s="1279"/>
      <c r="E43" s="2015"/>
      <c r="F43" s="1589"/>
      <c r="G43" s="1589"/>
      <c r="H43" s="1589"/>
      <c r="I43" s="1496"/>
      <c r="J43" s="1775">
        <f t="shared" si="1"/>
        <v>0</v>
      </c>
    </row>
    <row r="44" spans="1:18">
      <c r="A44" s="2572"/>
      <c r="B44" s="2575"/>
      <c r="C44" s="1490" t="s">
        <v>3118</v>
      </c>
      <c r="D44" s="1584"/>
      <c r="E44" s="2023"/>
      <c r="F44" s="1586">
        <f>F43*F38</f>
        <v>0</v>
      </c>
      <c r="G44" s="1586">
        <f>G43*G38</f>
        <v>0</v>
      </c>
      <c r="H44" s="1586"/>
      <c r="I44" s="1769">
        <f t="shared" ref="I44:I59" si="2">ROUND(SUM(F44:H44),2)</f>
        <v>0</v>
      </c>
      <c r="J44" s="1775">
        <f t="shared" si="1"/>
        <v>0</v>
      </c>
    </row>
    <row r="45" spans="1:18" ht="19.5" thickBot="1">
      <c r="A45" s="2572"/>
      <c r="B45" s="2749"/>
      <c r="C45" s="1631" t="s">
        <v>3119</v>
      </c>
      <c r="D45" s="1283"/>
      <c r="E45" s="2013"/>
      <c r="F45" s="1713"/>
      <c r="G45" s="1713"/>
      <c r="H45" s="1713"/>
      <c r="I45" s="1707">
        <f t="shared" si="2"/>
        <v>0</v>
      </c>
      <c r="J45" s="1775">
        <f t="shared" si="1"/>
        <v>0</v>
      </c>
    </row>
    <row r="46" spans="1:18">
      <c r="A46" s="2572"/>
      <c r="B46" s="2581" t="s">
        <v>3120</v>
      </c>
      <c r="C46" s="740" t="s">
        <v>2277</v>
      </c>
      <c r="D46" s="1279"/>
      <c r="E46" s="2015"/>
      <c r="F46" s="1570">
        <f>F11*2.4</f>
        <v>0</v>
      </c>
      <c r="G46" s="1570">
        <f>G11*2.4</f>
        <v>0</v>
      </c>
      <c r="H46" s="1570"/>
      <c r="I46" s="1720">
        <f t="shared" si="2"/>
        <v>0</v>
      </c>
      <c r="J46" s="1775">
        <f t="shared" si="1"/>
        <v>0</v>
      </c>
    </row>
    <row r="47" spans="1:18">
      <c r="A47" s="2572"/>
      <c r="B47" s="2582"/>
      <c r="C47" s="747" t="s">
        <v>1769</v>
      </c>
      <c r="D47" s="1279"/>
      <c r="E47" s="2015"/>
      <c r="F47" s="1570">
        <f>F17*1.25</f>
        <v>0</v>
      </c>
      <c r="G47" s="1570">
        <f>G17*1.25</f>
        <v>0</v>
      </c>
      <c r="H47" s="1570"/>
      <c r="I47" s="1720">
        <f t="shared" si="2"/>
        <v>0</v>
      </c>
      <c r="J47" s="1775">
        <f t="shared" si="1"/>
        <v>0</v>
      </c>
    </row>
    <row r="48" spans="1:18">
      <c r="A48" s="2572"/>
      <c r="B48" s="2582"/>
      <c r="C48" s="747" t="s">
        <v>2540</v>
      </c>
      <c r="D48" s="1279"/>
      <c r="E48" s="2015"/>
      <c r="F48" s="1570">
        <f>F36</f>
        <v>0</v>
      </c>
      <c r="G48" s="1570">
        <f>G36</f>
        <v>0</v>
      </c>
      <c r="H48" s="1570"/>
      <c r="I48" s="1720">
        <f t="shared" si="2"/>
        <v>0</v>
      </c>
      <c r="J48" s="1775">
        <f t="shared" si="1"/>
        <v>0</v>
      </c>
    </row>
    <row r="49" spans="1:10">
      <c r="A49" s="2572"/>
      <c r="B49" s="2582"/>
      <c r="C49" s="747" t="s">
        <v>1844</v>
      </c>
      <c r="D49" s="1279"/>
      <c r="E49" s="2015"/>
      <c r="F49" s="1570">
        <f>F40*1.25</f>
        <v>0</v>
      </c>
      <c r="G49" s="1570">
        <f>G40*1.25</f>
        <v>0</v>
      </c>
      <c r="H49" s="1570"/>
      <c r="I49" s="1720">
        <f t="shared" si="2"/>
        <v>0</v>
      </c>
      <c r="J49" s="1775">
        <f t="shared" si="1"/>
        <v>0</v>
      </c>
    </row>
    <row r="50" spans="1:10">
      <c r="A50" s="2572"/>
      <c r="B50" s="2582"/>
      <c r="C50" s="763" t="s">
        <v>2491</v>
      </c>
      <c r="D50" s="1279"/>
      <c r="E50" s="2015"/>
      <c r="F50" s="1570">
        <f>F18+F19</f>
        <v>0</v>
      </c>
      <c r="G50" s="1570">
        <f>G18+G19</f>
        <v>0</v>
      </c>
      <c r="H50" s="1570"/>
      <c r="I50" s="1720">
        <f t="shared" si="2"/>
        <v>0</v>
      </c>
      <c r="J50" s="1775">
        <f t="shared" si="1"/>
        <v>0</v>
      </c>
    </row>
    <row r="51" spans="1:10">
      <c r="A51" s="2572"/>
      <c r="B51" s="2582"/>
      <c r="C51" s="763" t="s">
        <v>2057</v>
      </c>
      <c r="D51" s="1279"/>
      <c r="E51" s="2015"/>
      <c r="F51" s="1570">
        <f>F27</f>
        <v>0</v>
      </c>
      <c r="G51" s="1570">
        <f>G27</f>
        <v>0</v>
      </c>
      <c r="H51" s="1570"/>
      <c r="I51" s="1720">
        <f t="shared" si="2"/>
        <v>0</v>
      </c>
      <c r="J51" s="1775">
        <f t="shared" si="1"/>
        <v>0</v>
      </c>
    </row>
    <row r="52" spans="1:10">
      <c r="A52" s="2572"/>
      <c r="B52" s="2582"/>
      <c r="C52" s="747" t="s">
        <v>2058</v>
      </c>
      <c r="D52" s="1279"/>
      <c r="E52" s="2015"/>
      <c r="F52" s="1570">
        <f>F28</f>
        <v>0</v>
      </c>
      <c r="G52" s="1570">
        <f>G28</f>
        <v>0</v>
      </c>
      <c r="H52" s="1570"/>
      <c r="I52" s="1720">
        <f t="shared" si="2"/>
        <v>0</v>
      </c>
      <c r="J52" s="1775">
        <f t="shared" si="1"/>
        <v>0</v>
      </c>
    </row>
    <row r="53" spans="1:10">
      <c r="A53" s="2572"/>
      <c r="B53" s="2582"/>
      <c r="C53" s="747" t="s">
        <v>3121</v>
      </c>
      <c r="D53" s="1279"/>
      <c r="E53" s="2015"/>
      <c r="F53" s="1570">
        <f>F42*1.13</f>
        <v>0</v>
      </c>
      <c r="G53" s="1570">
        <f>G42*1.13</f>
        <v>0</v>
      </c>
      <c r="H53" s="1570"/>
      <c r="I53" s="1720">
        <f t="shared" si="2"/>
        <v>0</v>
      </c>
      <c r="J53" s="1775">
        <f t="shared" si="1"/>
        <v>0</v>
      </c>
    </row>
    <row r="54" spans="1:10">
      <c r="A54" s="2572"/>
      <c r="B54" s="2582"/>
      <c r="C54" s="763" t="s">
        <v>3122</v>
      </c>
      <c r="D54" s="1279"/>
      <c r="E54" s="2015"/>
      <c r="F54" s="1570">
        <f>F25/1000</f>
        <v>0</v>
      </c>
      <c r="G54" s="1570">
        <f>G25/1000</f>
        <v>0</v>
      </c>
      <c r="H54" s="1570"/>
      <c r="I54" s="1720">
        <f t="shared" si="2"/>
        <v>0</v>
      </c>
      <c r="J54" s="1775">
        <f t="shared" si="1"/>
        <v>0</v>
      </c>
    </row>
    <row r="55" spans="1:10">
      <c r="A55" s="2572"/>
      <c r="B55" s="2582"/>
      <c r="C55" s="763" t="s">
        <v>3123</v>
      </c>
      <c r="D55" s="1279"/>
      <c r="E55" s="2015"/>
      <c r="F55" s="1570"/>
      <c r="G55" s="1570"/>
      <c r="H55" s="1570"/>
      <c r="I55" s="1720">
        <f t="shared" si="2"/>
        <v>0</v>
      </c>
      <c r="J55" s="1775">
        <f t="shared" si="1"/>
        <v>0</v>
      </c>
    </row>
    <row r="56" spans="1:10">
      <c r="A56" s="2572"/>
      <c r="B56" s="2582"/>
      <c r="C56" s="763" t="s">
        <v>2051</v>
      </c>
      <c r="D56" s="1279"/>
      <c r="E56" s="2015"/>
      <c r="F56" s="1570"/>
      <c r="G56" s="1570"/>
      <c r="H56" s="1570"/>
      <c r="I56" s="1720">
        <f t="shared" si="2"/>
        <v>0</v>
      </c>
      <c r="J56" s="1775">
        <f t="shared" si="1"/>
        <v>0</v>
      </c>
    </row>
    <row r="57" spans="1:10">
      <c r="A57" s="2572"/>
      <c r="B57" s="2582"/>
      <c r="C57" s="763" t="s">
        <v>1999</v>
      </c>
      <c r="D57" s="1279"/>
      <c r="E57" s="2015"/>
      <c r="F57" s="1570"/>
      <c r="G57" s="1570"/>
      <c r="H57" s="1570"/>
      <c r="I57" s="1720">
        <f t="shared" si="2"/>
        <v>0</v>
      </c>
      <c r="J57" s="1775">
        <f t="shared" si="1"/>
        <v>0</v>
      </c>
    </row>
    <row r="58" spans="1:10">
      <c r="A58" s="2572"/>
      <c r="B58" s="2582"/>
      <c r="C58" s="747" t="s">
        <v>2280</v>
      </c>
      <c r="D58" s="1279"/>
      <c r="E58" s="2015"/>
      <c r="F58" s="1570">
        <f>F30</f>
        <v>0</v>
      </c>
      <c r="G58" s="1570">
        <f>G30</f>
        <v>0</v>
      </c>
      <c r="H58" s="1570"/>
      <c r="I58" s="1720">
        <f t="shared" si="2"/>
        <v>0</v>
      </c>
      <c r="J58" s="1775">
        <f>SUM(F58:I58)</f>
        <v>0</v>
      </c>
    </row>
    <row r="59" spans="1:10" ht="19.5" thickBot="1">
      <c r="A59" s="2572"/>
      <c r="B59" s="2583"/>
      <c r="C59" s="747" t="s">
        <v>1926</v>
      </c>
      <c r="D59" s="1283"/>
      <c r="E59" s="2013"/>
      <c r="F59" s="1564"/>
      <c r="G59" s="1564"/>
      <c r="H59" s="1564"/>
      <c r="I59" s="1707">
        <f t="shared" si="2"/>
        <v>0</v>
      </c>
      <c r="J59" s="1775">
        <f>SUM(F59:I59)</f>
        <v>0</v>
      </c>
    </row>
    <row r="60" spans="1:10">
      <c r="A60" s="2572"/>
      <c r="B60" s="2581" t="s">
        <v>1932</v>
      </c>
      <c r="C60" s="740" t="s">
        <v>2277</v>
      </c>
      <c r="D60" s="1279"/>
      <c r="E60" s="2015"/>
      <c r="F60" s="1570"/>
      <c r="G60" s="1570"/>
      <c r="H60" s="1570"/>
      <c r="I60" s="1720"/>
      <c r="J60" s="1775"/>
    </row>
    <row r="61" spans="1:10">
      <c r="A61" s="2572"/>
      <c r="B61" s="2582"/>
      <c r="C61" s="747" t="s">
        <v>1769</v>
      </c>
      <c r="D61" s="1279"/>
      <c r="E61" s="2015"/>
      <c r="F61" s="1570"/>
      <c r="G61" s="1570"/>
      <c r="H61" s="1570"/>
      <c r="I61" s="1720"/>
      <c r="J61" s="1775"/>
    </row>
    <row r="62" spans="1:10">
      <c r="A62" s="2572"/>
      <c r="B62" s="2582"/>
      <c r="C62" s="747" t="s">
        <v>1844</v>
      </c>
      <c r="D62" s="1279"/>
      <c r="E62" s="2015"/>
      <c r="F62" s="1570"/>
      <c r="G62" s="1570"/>
      <c r="H62" s="1570"/>
      <c r="I62" s="1720"/>
      <c r="J62" s="1775"/>
    </row>
    <row r="63" spans="1:10">
      <c r="A63" s="2572"/>
      <c r="B63" s="2582"/>
      <c r="C63" s="763" t="s">
        <v>2491</v>
      </c>
      <c r="D63" s="1279"/>
      <c r="E63" s="2015"/>
      <c r="F63" s="1570"/>
      <c r="G63" s="1570"/>
      <c r="H63" s="1570"/>
      <c r="I63" s="1720"/>
      <c r="J63" s="1775"/>
    </row>
    <row r="64" spans="1:10">
      <c r="A64" s="2572"/>
      <c r="B64" s="2582"/>
      <c r="C64" s="763" t="s">
        <v>2057</v>
      </c>
      <c r="D64" s="1279"/>
      <c r="E64" s="2015"/>
      <c r="F64" s="1570"/>
      <c r="G64" s="1570"/>
      <c r="H64" s="1570"/>
      <c r="I64" s="1720"/>
      <c r="J64" s="1775"/>
    </row>
    <row r="65" spans="1:10">
      <c r="A65" s="2572"/>
      <c r="B65" s="2582"/>
      <c r="C65" s="747" t="s">
        <v>2058</v>
      </c>
      <c r="D65" s="1279"/>
      <c r="E65" s="2015"/>
      <c r="F65" s="1570"/>
      <c r="G65" s="1570"/>
      <c r="H65" s="1570"/>
      <c r="I65" s="1720"/>
      <c r="J65" s="1775"/>
    </row>
    <row r="66" spans="1:10">
      <c r="A66" s="2572"/>
      <c r="B66" s="2582"/>
      <c r="C66" s="747" t="s">
        <v>3121</v>
      </c>
      <c r="D66" s="1279"/>
      <c r="E66" s="2015"/>
      <c r="F66" s="1570"/>
      <c r="G66" s="1570"/>
      <c r="H66" s="1570"/>
      <c r="I66" s="1720"/>
      <c r="J66" s="1775"/>
    </row>
    <row r="67" spans="1:10">
      <c r="A67" s="2572"/>
      <c r="B67" s="2582"/>
      <c r="C67" s="763" t="s">
        <v>3122</v>
      </c>
      <c r="D67" s="1279"/>
      <c r="E67" s="2015"/>
      <c r="F67" s="1570"/>
      <c r="G67" s="1570"/>
      <c r="H67" s="1570"/>
      <c r="I67" s="1720"/>
      <c r="J67" s="1775"/>
    </row>
    <row r="68" spans="1:10">
      <c r="A68" s="2572"/>
      <c r="B68" s="2582"/>
      <c r="C68" s="763" t="s">
        <v>3123</v>
      </c>
      <c r="D68" s="1279"/>
      <c r="E68" s="2015"/>
      <c r="F68" s="1570"/>
      <c r="G68" s="1570"/>
      <c r="H68" s="1570"/>
      <c r="I68" s="1720"/>
      <c r="J68" s="1775"/>
    </row>
    <row r="69" spans="1:10">
      <c r="A69" s="2572"/>
      <c r="B69" s="2582"/>
      <c r="C69" s="763" t="s">
        <v>2051</v>
      </c>
      <c r="D69" s="1279"/>
      <c r="E69" s="2015"/>
      <c r="F69" s="1570"/>
      <c r="G69" s="1570"/>
      <c r="H69" s="1570"/>
      <c r="I69" s="1720"/>
      <c r="J69" s="1775"/>
    </row>
    <row r="70" spans="1:10">
      <c r="A70" s="2572"/>
      <c r="B70" s="2582"/>
      <c r="C70" s="763" t="s">
        <v>1999</v>
      </c>
      <c r="D70" s="1279"/>
      <c r="E70" s="2015"/>
      <c r="F70" s="1570"/>
      <c r="G70" s="1570"/>
      <c r="H70" s="1570"/>
      <c r="I70" s="1720"/>
      <c r="J70" s="1775"/>
    </row>
    <row r="71" spans="1:10">
      <c r="A71" s="2572"/>
      <c r="B71" s="2582"/>
      <c r="C71" s="747" t="s">
        <v>2280</v>
      </c>
      <c r="D71" s="1279"/>
      <c r="E71" s="2015"/>
      <c r="F71" s="1570"/>
      <c r="G71" s="1570"/>
      <c r="H71" s="1570"/>
      <c r="I71" s="1720"/>
      <c r="J71" s="1775"/>
    </row>
    <row r="72" spans="1:10" ht="19.5" thickBot="1">
      <c r="A72" s="2572"/>
      <c r="B72" s="2582"/>
      <c r="C72" s="911" t="s">
        <v>1926</v>
      </c>
      <c r="D72" s="1279"/>
      <c r="E72" s="2015"/>
      <c r="F72" s="1570"/>
      <c r="G72" s="1570"/>
      <c r="H72" s="1570"/>
      <c r="I72" s="1720"/>
      <c r="J72" s="1775"/>
    </row>
    <row r="73" spans="1:10" s="710" customFormat="1" ht="50.1" customHeight="1" thickBot="1">
      <c r="A73" s="2573"/>
      <c r="B73" s="2750" t="s">
        <v>1400</v>
      </c>
      <c r="C73" s="2742"/>
      <c r="D73" s="1637"/>
      <c r="E73" s="2024"/>
      <c r="F73" s="1792"/>
      <c r="G73" s="1792"/>
      <c r="H73" s="1792"/>
      <c r="I73" s="1820"/>
      <c r="J73" s="2025">
        <v>1</v>
      </c>
    </row>
    <row r="74" spans="1:10" ht="19.5" thickTop="1"/>
  </sheetData>
  <autoFilter ref="J1:J74" xr:uid="{00000000-0009-0000-0000-000020000000}"/>
  <mergeCells count="20">
    <mergeCell ref="A1:A73"/>
    <mergeCell ref="B1:C1"/>
    <mergeCell ref="B2:C2"/>
    <mergeCell ref="B3:B4"/>
    <mergeCell ref="B5:C5"/>
    <mergeCell ref="B6:B11"/>
    <mergeCell ref="B12:C12"/>
    <mergeCell ref="B13:B19"/>
    <mergeCell ref="B20:B28"/>
    <mergeCell ref="B29:B30"/>
    <mergeCell ref="B38:B45"/>
    <mergeCell ref="B46:B59"/>
    <mergeCell ref="B60:B72"/>
    <mergeCell ref="B73:C73"/>
    <mergeCell ref="K31:L31"/>
    <mergeCell ref="M31:N31"/>
    <mergeCell ref="O31:P31"/>
    <mergeCell ref="Q31:Q34"/>
    <mergeCell ref="B36:B37"/>
    <mergeCell ref="B31:B35"/>
  </mergeCells>
  <conditionalFormatting sqref="F13:H13">
    <cfRule type="expression" dxfId="1" priority="1">
      <formula>F$13&gt;F$7</formula>
    </cfRule>
  </conditionalFormatting>
  <printOptions horizontalCentered="1"/>
  <pageMargins left="0.39370078740157477" right="0.59055118110236215" top="0.39370078740157477" bottom="0.59055118110236215" header="0.31496062992125984" footer="0.23622047244094491"/>
  <pageSetup paperSize="9" scale="51" fitToWidth="11" orientation="portrait" r:id="rId1"/>
  <headerFooter>
    <oddFooter>&amp;C&amp;8Página &amp;P/&amp;N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A793C-10CF-4941-A0D9-C2724B47D406}">
  <sheetPr codeName="Planilha41"/>
  <dimension ref="A1:BJ85"/>
  <sheetViews>
    <sheetView showZeros="0" zoomScaleNormal="100" workbookViewId="0">
      <selection sqref="A1:A2"/>
    </sheetView>
  </sheetViews>
  <sheetFormatPr defaultColWidth="9" defaultRowHeight="12.75"/>
  <cols>
    <col min="1" max="1" width="10.75" style="2029" customWidth="1"/>
    <col min="2" max="2" width="24.5" style="2029" customWidth="1"/>
    <col min="3" max="3" width="9" style="2029"/>
    <col min="4" max="4" width="12.25" style="2029" customWidth="1"/>
    <col min="5" max="6" width="9" style="2029"/>
    <col min="7" max="7" width="9.875" style="2029" customWidth="1"/>
    <col min="8" max="8" width="11.75" style="2029" customWidth="1"/>
    <col min="9" max="9" width="9" style="2029"/>
    <col min="10" max="10" width="2.625" style="2029" customWidth="1"/>
    <col min="11" max="11" width="9" style="2029"/>
    <col min="12" max="12" width="13.125" style="2029" customWidth="1"/>
    <col min="13" max="16384" width="9" style="2029"/>
  </cols>
  <sheetData>
    <row r="1" spans="1:12" ht="37.5" customHeight="1">
      <c r="A1" s="3068" t="s">
        <v>3124</v>
      </c>
      <c r="B1" s="3070" t="s">
        <v>3125</v>
      </c>
      <c r="C1" s="3072" t="s">
        <v>3126</v>
      </c>
      <c r="D1" s="3074" t="s">
        <v>3127</v>
      </c>
      <c r="E1" s="2026" t="s">
        <v>3128</v>
      </c>
      <c r="F1" s="2026"/>
      <c r="G1" s="3076" t="s">
        <v>3129</v>
      </c>
      <c r="H1" s="3076" t="s">
        <v>3130</v>
      </c>
      <c r="I1" s="2026" t="s">
        <v>3131</v>
      </c>
      <c r="J1" s="2027"/>
      <c r="K1" s="2027"/>
      <c r="L1" s="2028"/>
    </row>
    <row r="2" spans="1:12" ht="37.5" customHeight="1" thickBot="1">
      <c r="A2" s="3069"/>
      <c r="B2" s="3071"/>
      <c r="C2" s="3073"/>
      <c r="D2" s="3075"/>
      <c r="E2" s="2030" t="s">
        <v>3132</v>
      </c>
      <c r="F2" s="2030" t="s">
        <v>243</v>
      </c>
      <c r="G2" s="3077"/>
      <c r="H2" s="3077"/>
      <c r="I2" s="3065" t="s">
        <v>3133</v>
      </c>
      <c r="J2" s="3066"/>
      <c r="K2" s="3067"/>
      <c r="L2" s="2031" t="s">
        <v>3134</v>
      </c>
    </row>
    <row r="3" spans="1:12" ht="28.5" customHeight="1">
      <c r="A3" s="2032" t="s">
        <v>3135</v>
      </c>
      <c r="B3" s="2033" t="s">
        <v>3136</v>
      </c>
      <c r="C3" s="2032" t="s">
        <v>3137</v>
      </c>
      <c r="D3" s="2032" t="s">
        <v>2919</v>
      </c>
      <c r="E3" s="2032" t="s">
        <v>3138</v>
      </c>
      <c r="F3" s="2032" t="s">
        <v>3139</v>
      </c>
      <c r="G3" s="2034">
        <v>10</v>
      </c>
      <c r="H3" s="2035">
        <v>1.5</v>
      </c>
      <c r="I3" s="2036" t="s">
        <v>3140</v>
      </c>
      <c r="J3" s="2037"/>
      <c r="K3" s="2038"/>
      <c r="L3" s="2039" t="s">
        <v>3141</v>
      </c>
    </row>
    <row r="4" spans="1:12" ht="28.5" customHeight="1">
      <c r="A4" s="2040" t="s">
        <v>3142</v>
      </c>
      <c r="B4" s="2041" t="s">
        <v>3143</v>
      </c>
      <c r="C4" s="2040" t="s">
        <v>3137</v>
      </c>
      <c r="D4" s="2040" t="s">
        <v>2919</v>
      </c>
      <c r="E4" s="2040" t="s">
        <v>3138</v>
      </c>
      <c r="F4" s="2040" t="s">
        <v>3144</v>
      </c>
      <c r="G4" s="2042">
        <v>10</v>
      </c>
      <c r="H4" s="2043">
        <v>1.5</v>
      </c>
      <c r="I4" s="2044" t="s">
        <v>3145</v>
      </c>
      <c r="J4" s="2045"/>
      <c r="K4" s="2046" t="s">
        <v>3146</v>
      </c>
      <c r="L4" s="2047" t="s">
        <v>3147</v>
      </c>
    </row>
    <row r="5" spans="1:12" ht="28.5" customHeight="1">
      <c r="A5" s="2048" t="s">
        <v>3148</v>
      </c>
      <c r="B5" s="2041" t="s">
        <v>3149</v>
      </c>
      <c r="C5" s="2040" t="s">
        <v>3150</v>
      </c>
      <c r="D5" s="2040" t="s">
        <v>2920</v>
      </c>
      <c r="E5" s="2040" t="s">
        <v>3151</v>
      </c>
      <c r="F5" s="2040" t="s">
        <v>3152</v>
      </c>
      <c r="G5" s="2042">
        <v>10</v>
      </c>
      <c r="H5" s="2043">
        <v>1.5</v>
      </c>
      <c r="I5" s="2044" t="s">
        <v>3146</v>
      </c>
      <c r="J5" s="2045" t="s">
        <v>1236</v>
      </c>
      <c r="K5" s="2046" t="s">
        <v>3153</v>
      </c>
      <c r="L5" s="2047" t="s">
        <v>3154</v>
      </c>
    </row>
    <row r="6" spans="1:12" ht="28.5" customHeight="1">
      <c r="A6" s="2048" t="s">
        <v>3155</v>
      </c>
      <c r="B6" s="2041" t="s">
        <v>3156</v>
      </c>
      <c r="C6" s="2040" t="s">
        <v>3157</v>
      </c>
      <c r="D6" s="2040" t="s">
        <v>3158</v>
      </c>
      <c r="E6" s="2040" t="s">
        <v>3159</v>
      </c>
      <c r="F6" s="2040" t="s">
        <v>3160</v>
      </c>
      <c r="G6" s="2042">
        <v>10</v>
      </c>
      <c r="H6" s="2043">
        <v>2.2999999999999998</v>
      </c>
      <c r="I6" s="2044" t="s">
        <v>3161</v>
      </c>
      <c r="J6" s="2045" t="s">
        <v>1236</v>
      </c>
      <c r="K6" s="2046" t="s">
        <v>3162</v>
      </c>
      <c r="L6" s="2047" t="s">
        <v>3163</v>
      </c>
    </row>
    <row r="7" spans="1:12" ht="28.5" customHeight="1">
      <c r="A7" s="2048" t="s">
        <v>3164</v>
      </c>
      <c r="B7" s="2041" t="s">
        <v>3165</v>
      </c>
      <c r="C7" s="2040" t="s">
        <v>3166</v>
      </c>
      <c r="D7" s="2040" t="s">
        <v>3167</v>
      </c>
      <c r="E7" s="2040" t="s">
        <v>3168</v>
      </c>
      <c r="F7" s="2040" t="s">
        <v>3169</v>
      </c>
      <c r="G7" s="2042">
        <v>10</v>
      </c>
      <c r="H7" s="2043">
        <v>5.9</v>
      </c>
      <c r="I7" s="2044" t="s">
        <v>3170</v>
      </c>
      <c r="J7" s="2045" t="s">
        <v>1236</v>
      </c>
      <c r="K7" s="2046" t="s">
        <v>3171</v>
      </c>
      <c r="L7" s="2047" t="s">
        <v>3172</v>
      </c>
    </row>
    <row r="8" spans="1:12">
      <c r="A8" s="2049"/>
      <c r="B8" s="2049"/>
      <c r="C8" s="2049"/>
      <c r="D8" s="2049"/>
      <c r="E8" s="2049"/>
      <c r="F8" s="2049"/>
      <c r="G8" s="2049"/>
      <c r="H8" s="2049"/>
      <c r="I8" s="2049"/>
      <c r="J8" s="2049"/>
      <c r="K8" s="2049"/>
      <c r="L8" s="2049"/>
    </row>
    <row r="9" spans="1:12">
      <c r="A9" s="2050"/>
      <c r="B9" s="2050"/>
      <c r="C9" s="2050"/>
      <c r="D9" s="2050"/>
      <c r="E9" s="2050"/>
      <c r="F9" s="2050"/>
      <c r="G9" s="2050"/>
      <c r="H9" s="2050"/>
      <c r="I9" s="2050"/>
      <c r="J9" s="2050"/>
      <c r="K9" s="2050"/>
      <c r="L9" s="2050"/>
    </row>
    <row r="10" spans="1:12">
      <c r="A10" s="2050"/>
      <c r="B10" s="2050"/>
      <c r="C10" s="2050"/>
      <c r="D10" s="2050"/>
      <c r="E10" s="2050"/>
      <c r="F10" s="2050"/>
      <c r="G10" s="2050"/>
      <c r="H10" s="2050"/>
      <c r="I10" s="2050"/>
      <c r="J10" s="2050"/>
      <c r="K10" s="2050"/>
      <c r="L10" s="2050"/>
    </row>
    <row r="11" spans="1:12">
      <c r="A11" s="2051" t="s">
        <v>3173</v>
      </c>
      <c r="B11" s="2051" t="s">
        <v>3174</v>
      </c>
      <c r="C11" s="2052" t="s">
        <v>3174</v>
      </c>
      <c r="D11" s="2051"/>
      <c r="E11" s="2049"/>
      <c r="G11" s="2051"/>
      <c r="H11" s="2051"/>
      <c r="K11" s="2051" t="s">
        <v>3175</v>
      </c>
      <c r="L11" s="2051" t="s">
        <v>3175</v>
      </c>
    </row>
    <row r="12" spans="1:12">
      <c r="A12" s="2045" t="s">
        <v>3135</v>
      </c>
      <c r="B12" s="2051">
        <v>1</v>
      </c>
      <c r="C12" s="2051"/>
      <c r="D12" s="2053"/>
      <c r="E12" s="2054"/>
      <c r="G12" s="2051"/>
      <c r="H12" s="2051"/>
      <c r="I12" s="2053">
        <f>(B12+B12*1.5)/2*H3*365*G3</f>
        <v>6843.75</v>
      </c>
      <c r="K12" s="2053">
        <f>(C12+C12*1.5)/2*H3*365*G3</f>
        <v>0</v>
      </c>
      <c r="L12" s="2055">
        <f>INT(+(I12+K12)/2)</f>
        <v>3421</v>
      </c>
    </row>
    <row r="13" spans="1:12">
      <c r="A13" s="2045" t="s">
        <v>3142</v>
      </c>
      <c r="B13" s="2051">
        <v>4</v>
      </c>
      <c r="C13" s="2051"/>
      <c r="E13" s="2054"/>
      <c r="G13" s="2051"/>
      <c r="H13" s="2051"/>
      <c r="I13" s="2053">
        <f>(B13+B13*1.5)/2*H4*365*G4</f>
        <v>27375</v>
      </c>
      <c r="K13" s="2053">
        <f>(C13+C13*1.5)/2*H4*365*G4</f>
        <v>0</v>
      </c>
      <c r="L13" s="2055">
        <f>INT(+(I13+K13)/2)</f>
        <v>13687</v>
      </c>
    </row>
    <row r="14" spans="1:12">
      <c r="A14" s="2045" t="s">
        <v>3148</v>
      </c>
      <c r="B14" s="2051">
        <v>4</v>
      </c>
      <c r="C14" s="2051">
        <v>20</v>
      </c>
      <c r="D14" s="2053"/>
      <c r="E14" s="2054"/>
      <c r="G14" s="2051"/>
      <c r="H14" s="2051"/>
      <c r="I14" s="2053">
        <f>(B14+B14*1.5)/2*H5*365*G5</f>
        <v>27375</v>
      </c>
      <c r="K14" s="2053">
        <f>(C14+C14*1.5)/2*H5*365*G5</f>
        <v>136875</v>
      </c>
      <c r="L14" s="2055">
        <f>INT(+(I14+K14)/2)</f>
        <v>82125</v>
      </c>
    </row>
    <row r="15" spans="1:12">
      <c r="A15" s="2045" t="s">
        <v>3155</v>
      </c>
      <c r="B15" s="2051">
        <v>21</v>
      </c>
      <c r="C15" s="2051">
        <v>1000</v>
      </c>
      <c r="D15" s="2053"/>
      <c r="E15" s="2050"/>
      <c r="G15" s="2051"/>
      <c r="H15" s="2051"/>
      <c r="I15" s="2053">
        <f>(B15+B15*1.5)/2*H6*365*G6</f>
        <v>220368.74999999997</v>
      </c>
      <c r="K15" s="2053">
        <f>(C15+C15*1.5)/2*H6*365*G6</f>
        <v>10493750</v>
      </c>
      <c r="L15" s="2055">
        <f>INT(+(I15+K15)/2)</f>
        <v>5357059</v>
      </c>
    </row>
    <row r="16" spans="1:12">
      <c r="A16" s="2045" t="s">
        <v>3164</v>
      </c>
      <c r="B16" s="2051">
        <v>1001</v>
      </c>
      <c r="C16" s="2051">
        <v>2000</v>
      </c>
      <c r="D16" s="2053"/>
      <c r="E16" s="2050"/>
      <c r="G16" s="2051"/>
      <c r="H16" s="2051"/>
      <c r="I16" s="2053">
        <f>(B16+B16*1.5)/2*H7*365*G7</f>
        <v>26945668.75</v>
      </c>
      <c r="K16" s="2053">
        <f>(C16+C16*1.5)/2*H7*365*G7</f>
        <v>53837500</v>
      </c>
      <c r="L16" s="2055">
        <f>INT(+(I16+K16)/2)</f>
        <v>40391584</v>
      </c>
    </row>
    <row r="31" spans="1:26" customFormat="1">
      <c r="A31" s="2056" t="s">
        <v>3176</v>
      </c>
      <c r="B31" s="2057"/>
      <c r="C31" s="2057"/>
      <c r="G31" s="2058"/>
      <c r="H31" s="2058"/>
      <c r="I31" s="2058"/>
      <c r="J31" s="2058"/>
      <c r="K31" s="2049"/>
      <c r="L31" s="2049"/>
      <c r="M31" s="2049"/>
      <c r="N31" s="2049"/>
      <c r="O31" s="2049"/>
      <c r="P31" s="2049"/>
      <c r="Q31" s="2049"/>
      <c r="R31" s="2049"/>
      <c r="S31" s="2049"/>
      <c r="T31" s="2054"/>
      <c r="U31" s="2054"/>
      <c r="V31" s="2050"/>
      <c r="W31" s="2050"/>
      <c r="X31" s="2050"/>
      <c r="Y31" s="2050"/>
      <c r="Z31" s="2050"/>
    </row>
    <row r="32" spans="1:26" customFormat="1">
      <c r="A32" s="2056" t="s">
        <v>3177</v>
      </c>
      <c r="B32" s="2057"/>
      <c r="C32" s="2057"/>
      <c r="G32" s="2058"/>
      <c r="H32" s="2058"/>
      <c r="I32" s="2058"/>
      <c r="J32" s="2058"/>
      <c r="K32" s="2049"/>
      <c r="L32" s="2049"/>
      <c r="M32" s="2049"/>
      <c r="N32" s="2049"/>
      <c r="O32" s="2049"/>
      <c r="P32" s="2049"/>
      <c r="Q32" s="2049"/>
      <c r="R32" s="2049"/>
      <c r="S32" s="2049"/>
      <c r="T32" s="2054"/>
      <c r="U32" s="2054"/>
      <c r="V32" s="2050"/>
      <c r="W32" s="2050"/>
      <c r="X32" s="2050"/>
      <c r="Y32" s="2050"/>
      <c r="Z32" s="2050"/>
    </row>
    <row r="33" spans="1:62" customFormat="1">
      <c r="A33" s="2056" t="s">
        <v>3178</v>
      </c>
      <c r="B33" s="2057"/>
      <c r="C33" s="2057"/>
      <c r="D33" s="2059"/>
      <c r="E33" s="2058"/>
      <c r="F33" s="2058"/>
      <c r="G33" s="2058"/>
      <c r="H33" s="2058"/>
      <c r="I33" s="2058"/>
      <c r="J33" s="2058"/>
      <c r="K33" s="2049"/>
      <c r="L33" s="2049"/>
      <c r="M33" s="2049"/>
      <c r="N33" s="2049"/>
      <c r="O33" s="2049"/>
      <c r="P33" s="2049"/>
      <c r="Q33" s="2049"/>
      <c r="R33" s="2049"/>
      <c r="S33" s="2049"/>
      <c r="T33" s="2054"/>
      <c r="U33" s="2054"/>
      <c r="V33" s="2050"/>
      <c r="W33" s="2050"/>
      <c r="X33" s="2050"/>
      <c r="Y33" s="2050"/>
      <c r="Z33" s="2050"/>
    </row>
    <row r="34" spans="1:62" s="2057" customFormat="1">
      <c r="AZ34" s="589"/>
      <c r="BA34" s="589"/>
      <c r="BB34" s="589"/>
      <c r="BC34" s="589"/>
      <c r="BD34" s="589"/>
      <c r="BE34" s="589"/>
      <c r="BF34" s="589"/>
      <c r="BG34" s="589"/>
      <c r="BH34" s="589"/>
      <c r="BI34" s="589"/>
      <c r="BJ34" s="589"/>
    </row>
    <row r="35" spans="1:62" s="2057" customFormat="1">
      <c r="A35" s="2060" t="s">
        <v>3179</v>
      </c>
      <c r="AZ35" s="589"/>
      <c r="BA35" s="589"/>
      <c r="BB35" s="589"/>
      <c r="BC35" s="589"/>
      <c r="BD35" s="589"/>
      <c r="BE35" s="589"/>
      <c r="BF35" s="589"/>
      <c r="BG35" s="589"/>
      <c r="BH35" s="589"/>
      <c r="BI35" s="589"/>
      <c r="BJ35" s="589"/>
    </row>
    <row r="36" spans="1:62" s="2057" customFormat="1">
      <c r="A36" s="2060" t="s">
        <v>3180</v>
      </c>
      <c r="AZ36" s="589"/>
      <c r="BA36" s="589"/>
      <c r="BB36" s="589"/>
      <c r="BC36" s="589"/>
      <c r="BD36" s="589"/>
      <c r="BE36" s="589"/>
      <c r="BF36" s="589"/>
      <c r="BG36" s="589"/>
      <c r="BH36" s="589"/>
      <c r="BI36" s="589"/>
      <c r="BJ36" s="589"/>
    </row>
    <row r="37" spans="1:62" s="2057" customFormat="1">
      <c r="A37" s="2060" t="s">
        <v>3181</v>
      </c>
      <c r="AZ37" s="589"/>
      <c r="BA37" s="589"/>
      <c r="BB37" s="589"/>
      <c r="BC37" s="589"/>
      <c r="BD37" s="589"/>
      <c r="BE37" s="589"/>
      <c r="BF37" s="589"/>
      <c r="BG37" s="589"/>
      <c r="BH37" s="589"/>
      <c r="BI37" s="589"/>
      <c r="BJ37" s="589"/>
    </row>
    <row r="38" spans="1:62" s="2057" customFormat="1">
      <c r="A38" s="2061" t="s">
        <v>3182</v>
      </c>
      <c r="M38" s="589"/>
      <c r="N38" s="2062"/>
      <c r="AZ38" s="589"/>
      <c r="BA38" s="589"/>
      <c r="BB38" s="589"/>
      <c r="BC38" s="589"/>
      <c r="BD38" s="589"/>
      <c r="BE38" s="589"/>
      <c r="BF38" s="589"/>
      <c r="BG38" s="589"/>
      <c r="BH38" s="589"/>
      <c r="BI38" s="589"/>
      <c r="BJ38" s="589"/>
    </row>
    <row r="39" spans="1:62" s="2057" customFormat="1">
      <c r="A39" s="2063" t="s">
        <v>3183</v>
      </c>
      <c r="AZ39" s="589"/>
      <c r="BA39" s="589"/>
      <c r="BB39" s="589"/>
      <c r="BC39" s="589"/>
      <c r="BD39" s="589"/>
      <c r="BE39" s="589"/>
      <c r="BF39" s="589"/>
      <c r="BG39" s="589"/>
      <c r="BH39" s="589"/>
      <c r="BI39" s="589"/>
      <c r="BJ39" s="589"/>
    </row>
    <row r="40" spans="1:62" s="2057" customFormat="1">
      <c r="A40" s="2063" t="s">
        <v>3184</v>
      </c>
    </row>
    <row r="41" spans="1:62" s="2057" customFormat="1">
      <c r="A41" s="2063" t="s">
        <v>3185</v>
      </c>
    </row>
    <row r="42" spans="1:62" s="2057" customFormat="1">
      <c r="A42" s="2063" t="s">
        <v>3186</v>
      </c>
    </row>
    <row r="43" spans="1:62" s="2057" customFormat="1">
      <c r="A43" s="2063" t="s">
        <v>3187</v>
      </c>
      <c r="B43" s="2054"/>
      <c r="C43" s="2054"/>
    </row>
    <row r="44" spans="1:62" s="2057" customFormat="1">
      <c r="A44" s="2063" t="s">
        <v>3188</v>
      </c>
      <c r="B44" s="2050"/>
      <c r="C44" s="2050"/>
    </row>
    <row r="45" spans="1:62" s="2057" customFormat="1">
      <c r="A45" s="2063" t="s">
        <v>3189</v>
      </c>
      <c r="B45" s="2050"/>
      <c r="C45" s="2050"/>
    </row>
    <row r="46" spans="1:62" s="2054" customFormat="1">
      <c r="A46" s="2060" t="s">
        <v>3190</v>
      </c>
      <c r="B46" s="2050"/>
      <c r="C46" s="2050"/>
    </row>
    <row r="47" spans="1:62" s="2050" customFormat="1"/>
    <row r="48" spans="1:62" s="2050" customFormat="1"/>
    <row r="49" spans="1:26" s="2050" customFormat="1"/>
    <row r="50" spans="1:26" s="2050" customFormat="1">
      <c r="A50" s="2060"/>
    </row>
    <row r="51" spans="1:26" s="2050" customFormat="1"/>
    <row r="52" spans="1:26" s="2050" customFormat="1" ht="18">
      <c r="A52" s="2056" t="s">
        <v>3191</v>
      </c>
    </row>
    <row r="53" spans="1:26" s="2050" customFormat="1">
      <c r="A53" s="2060" t="s">
        <v>3179</v>
      </c>
    </row>
    <row r="54" spans="1:26" s="2050" customFormat="1">
      <c r="A54" s="2061" t="s">
        <v>3192</v>
      </c>
    </row>
    <row r="55" spans="1:26" s="2050" customFormat="1">
      <c r="A55" s="2061" t="s">
        <v>3193</v>
      </c>
    </row>
    <row r="56" spans="1:26" s="2050" customFormat="1">
      <c r="A56" s="2061" t="s">
        <v>3194</v>
      </c>
    </row>
    <row r="57" spans="1:26" customFormat="1">
      <c r="A57" s="2049"/>
      <c r="B57" s="2049"/>
      <c r="C57" s="2059"/>
      <c r="D57" s="2059"/>
      <c r="E57" s="2058"/>
      <c r="F57" s="2058"/>
      <c r="G57" s="2058"/>
      <c r="H57" s="2058"/>
      <c r="I57" s="2058"/>
      <c r="J57" s="2058"/>
      <c r="K57" s="2049"/>
      <c r="L57" s="2049"/>
      <c r="M57" s="2049"/>
      <c r="N57" s="2049"/>
      <c r="O57" s="2049"/>
      <c r="P57" s="2049"/>
      <c r="Q57" s="2049"/>
      <c r="R57" s="2049"/>
      <c r="S57" s="2049"/>
      <c r="T57" s="2054"/>
      <c r="U57" s="2054"/>
      <c r="V57" s="2050"/>
      <c r="W57" s="2050"/>
      <c r="X57" s="2050"/>
      <c r="Y57" s="2050"/>
      <c r="Z57" s="2050"/>
    </row>
    <row r="58" spans="1:26" customFormat="1">
      <c r="A58" s="2049"/>
      <c r="B58" s="2049"/>
      <c r="C58" s="2059"/>
      <c r="D58" s="2059"/>
      <c r="E58" s="2058"/>
      <c r="F58" s="2058"/>
      <c r="G58" s="2058"/>
      <c r="H58" s="2058"/>
      <c r="I58" s="2058"/>
      <c r="J58" s="2058"/>
      <c r="K58" s="2049"/>
      <c r="L58" s="2049"/>
      <c r="M58" s="2049"/>
      <c r="N58" s="2049"/>
      <c r="O58" s="2049"/>
      <c r="P58" s="2049"/>
      <c r="Q58" s="2049"/>
      <c r="R58" s="2049"/>
      <c r="S58" s="2049"/>
      <c r="T58" s="2054"/>
      <c r="U58" s="2054"/>
      <c r="V58" s="2050"/>
      <c r="W58" s="2050"/>
      <c r="X58" s="2050"/>
      <c r="Y58" s="2050"/>
      <c r="Z58" s="2050"/>
    </row>
    <row r="59" spans="1:26" customFormat="1">
      <c r="A59" s="2049"/>
      <c r="B59" s="2049"/>
      <c r="C59" s="2059"/>
      <c r="D59" s="2059"/>
      <c r="E59" s="2058"/>
      <c r="F59" s="2058"/>
      <c r="G59" s="2058"/>
      <c r="H59" s="2058"/>
      <c r="I59" s="2058"/>
      <c r="J59" s="2058"/>
      <c r="K59" s="2049"/>
      <c r="L59" s="2049"/>
      <c r="M59" s="2049"/>
      <c r="N59" s="2049"/>
      <c r="O59" s="2049"/>
      <c r="P59" s="2049"/>
      <c r="Q59" s="2049"/>
      <c r="R59" s="2049"/>
      <c r="S59" s="2049"/>
      <c r="T59" s="2054"/>
      <c r="U59" s="2054"/>
      <c r="V59" s="2050"/>
      <c r="W59" s="2050"/>
      <c r="X59" s="2050"/>
      <c r="Y59" s="2050"/>
      <c r="Z59" s="2050"/>
    </row>
    <row r="60" spans="1:26" customFormat="1">
      <c r="A60" s="2049"/>
      <c r="B60" s="2049"/>
      <c r="C60" s="2059"/>
      <c r="D60" s="2059"/>
      <c r="E60" s="2058"/>
      <c r="F60" s="2058"/>
      <c r="G60" s="2058"/>
      <c r="H60" s="2058"/>
      <c r="I60" s="2058"/>
      <c r="J60" s="2058"/>
      <c r="K60" s="2049"/>
      <c r="L60" s="2049"/>
      <c r="M60" s="2049"/>
      <c r="N60" s="2049"/>
      <c r="O60" s="2049"/>
      <c r="P60" s="2049"/>
      <c r="Q60" s="2049"/>
      <c r="R60" s="2049"/>
      <c r="S60" s="2049"/>
      <c r="T60" s="2054"/>
      <c r="U60" s="2054"/>
      <c r="V60" s="2050"/>
      <c r="W60" s="2050"/>
      <c r="X60" s="2050"/>
      <c r="Y60" s="2050"/>
      <c r="Z60" s="2050"/>
    </row>
    <row r="61" spans="1:26" customFormat="1">
      <c r="A61" s="2049"/>
      <c r="B61" s="2049"/>
      <c r="C61" s="2059"/>
      <c r="D61" s="2059"/>
      <c r="E61" s="2058"/>
      <c r="F61" s="2058"/>
      <c r="G61" s="2058"/>
      <c r="H61" s="2058"/>
      <c r="I61" s="2058"/>
      <c r="J61" s="2058"/>
      <c r="K61" s="2049"/>
      <c r="L61" s="2049"/>
      <c r="M61" s="2049"/>
      <c r="N61" s="2049"/>
      <c r="O61" s="2049"/>
      <c r="P61" s="2049"/>
      <c r="Q61" s="2049"/>
      <c r="R61" s="2049"/>
      <c r="S61" s="2049"/>
      <c r="T61" s="2054"/>
      <c r="U61" s="2054"/>
      <c r="V61" s="2050"/>
      <c r="W61" s="2050"/>
      <c r="X61" s="2050"/>
      <c r="Y61" s="2050"/>
      <c r="Z61" s="2050"/>
    </row>
    <row r="62" spans="1:26" customFormat="1">
      <c r="A62" s="2049"/>
      <c r="B62" s="2049"/>
      <c r="C62" s="2059"/>
      <c r="D62" s="2059"/>
      <c r="E62" s="2058"/>
      <c r="F62" s="2058"/>
      <c r="G62" s="2058"/>
      <c r="H62" s="2058"/>
      <c r="I62" s="2058"/>
      <c r="J62" s="2058"/>
      <c r="K62" s="2049"/>
      <c r="L62" s="2049"/>
      <c r="M62" s="2049"/>
      <c r="N62" s="2049"/>
      <c r="O62" s="2049"/>
      <c r="P62" s="2049"/>
      <c r="Q62" s="2049"/>
      <c r="R62" s="2049"/>
      <c r="S62" s="2049"/>
      <c r="T62" s="2054"/>
      <c r="U62" s="2054"/>
      <c r="V62" s="2050"/>
      <c r="W62" s="2050"/>
      <c r="X62" s="2050"/>
      <c r="Y62" s="2050"/>
      <c r="Z62" s="2050"/>
    </row>
    <row r="63" spans="1:26" customFormat="1">
      <c r="A63" s="2049"/>
      <c r="B63" s="2049"/>
      <c r="C63" s="2059"/>
      <c r="D63" s="2059"/>
      <c r="E63" s="2058"/>
      <c r="F63" s="2058"/>
      <c r="G63" s="2058"/>
      <c r="H63" s="2058"/>
      <c r="I63" s="2058"/>
      <c r="J63" s="2058"/>
      <c r="K63" s="2049"/>
      <c r="L63" s="2049"/>
      <c r="M63" s="2049"/>
      <c r="N63" s="2049"/>
      <c r="O63" s="2049"/>
      <c r="P63" s="2049"/>
      <c r="Q63" s="2049"/>
      <c r="R63" s="2049"/>
      <c r="S63" s="2049"/>
      <c r="T63" s="2054"/>
      <c r="U63" s="2054"/>
      <c r="V63" s="2050"/>
      <c r="W63" s="2050"/>
      <c r="X63" s="2050"/>
      <c r="Y63" s="2050"/>
      <c r="Z63" s="2050"/>
    </row>
    <row r="64" spans="1:26" customFormat="1">
      <c r="A64" s="2049"/>
      <c r="B64" s="2049"/>
      <c r="C64" s="2059"/>
      <c r="D64" s="2059"/>
      <c r="E64" s="2058"/>
      <c r="F64" s="2058"/>
      <c r="G64" s="2058"/>
      <c r="H64" s="2058"/>
      <c r="I64" s="2058"/>
      <c r="J64" s="2058"/>
      <c r="K64" s="2049"/>
      <c r="L64" s="2049"/>
      <c r="M64" s="2049"/>
      <c r="N64" s="2049"/>
      <c r="O64" s="2049"/>
      <c r="P64" s="2049"/>
      <c r="Q64" s="2049"/>
      <c r="R64" s="2049"/>
      <c r="S64" s="2049"/>
      <c r="T64" s="2054"/>
      <c r="U64" s="2054"/>
      <c r="V64" s="2050"/>
      <c r="W64" s="2050"/>
      <c r="X64" s="2050"/>
      <c r="Y64" s="2050"/>
      <c r="Z64" s="2050"/>
    </row>
    <row r="65" spans="1:26" customFormat="1">
      <c r="A65" s="2049"/>
      <c r="B65" s="2049"/>
      <c r="C65" s="2059"/>
      <c r="D65" s="2059"/>
      <c r="E65" s="2058"/>
      <c r="F65" s="2058"/>
      <c r="G65" s="2058"/>
      <c r="H65" s="2058"/>
      <c r="I65" s="2058"/>
      <c r="J65" s="2058"/>
      <c r="K65" s="2049"/>
      <c r="L65" s="2049"/>
      <c r="M65" s="2049"/>
      <c r="N65" s="2049"/>
      <c r="O65" s="2049"/>
      <c r="P65" s="2049"/>
      <c r="Q65" s="2049"/>
      <c r="R65" s="2049"/>
      <c r="S65" s="2049"/>
      <c r="T65" s="2054"/>
      <c r="U65" s="2054"/>
      <c r="V65" s="2050"/>
      <c r="W65" s="2050"/>
      <c r="X65" s="2050"/>
      <c r="Y65" s="2050"/>
      <c r="Z65" s="2050"/>
    </row>
    <row r="66" spans="1:26" customFormat="1">
      <c r="A66" s="2049"/>
      <c r="B66" s="2049"/>
      <c r="C66" s="2059"/>
      <c r="D66" s="2059"/>
      <c r="E66" s="2058"/>
      <c r="F66" s="2058"/>
      <c r="G66" s="2058"/>
      <c r="H66" s="2058"/>
      <c r="I66" s="2058"/>
      <c r="J66" s="2058"/>
      <c r="K66" s="2049"/>
      <c r="L66" s="2049"/>
      <c r="M66" s="2049"/>
      <c r="N66" s="2049"/>
      <c r="O66" s="2049"/>
      <c r="P66" s="2049"/>
      <c r="Q66" s="2049"/>
      <c r="R66" s="2049"/>
      <c r="S66" s="2049"/>
      <c r="T66" s="2054"/>
      <c r="U66" s="2054"/>
      <c r="V66" s="2050"/>
      <c r="W66" s="2050"/>
      <c r="X66" s="2050"/>
      <c r="Y66" s="2050"/>
      <c r="Z66" s="2050"/>
    </row>
    <row r="67" spans="1:26" customFormat="1">
      <c r="A67" s="2049"/>
      <c r="B67" s="2049"/>
      <c r="C67" s="2059"/>
      <c r="D67" s="2059"/>
      <c r="E67" s="2058"/>
      <c r="F67" s="2058"/>
      <c r="G67" s="2058"/>
      <c r="H67" s="2058"/>
      <c r="I67" s="2058"/>
      <c r="J67" s="2058"/>
      <c r="K67" s="2049"/>
      <c r="L67" s="2049"/>
      <c r="M67" s="2049"/>
      <c r="N67" s="2049"/>
      <c r="O67" s="2049"/>
      <c r="P67" s="2049"/>
      <c r="Q67" s="2049"/>
      <c r="R67" s="2049"/>
      <c r="S67" s="2049"/>
      <c r="T67" s="2054"/>
      <c r="U67" s="2054"/>
      <c r="V67" s="2050"/>
      <c r="W67" s="2050"/>
      <c r="X67" s="2050"/>
      <c r="Y67" s="2050"/>
      <c r="Z67" s="2050"/>
    </row>
    <row r="68" spans="1:26" customFormat="1">
      <c r="A68" s="2049"/>
      <c r="B68" s="2049"/>
      <c r="C68" s="2059"/>
      <c r="D68" s="2059"/>
      <c r="E68" s="2058"/>
      <c r="F68" s="2058"/>
      <c r="G68" s="2058"/>
      <c r="H68" s="2058"/>
      <c r="I68" s="2058"/>
      <c r="J68" s="2058"/>
      <c r="K68" s="2049"/>
      <c r="L68" s="2049"/>
      <c r="M68" s="2049"/>
      <c r="N68" s="2049"/>
      <c r="O68" s="2049"/>
      <c r="P68" s="2049"/>
      <c r="Q68" s="2049"/>
      <c r="R68" s="2049"/>
      <c r="S68" s="2049"/>
      <c r="T68" s="2054"/>
      <c r="U68" s="2054"/>
      <c r="V68" s="2050"/>
      <c r="W68" s="2050"/>
      <c r="X68" s="2050"/>
      <c r="Y68" s="2050"/>
      <c r="Z68" s="2050"/>
    </row>
    <row r="69" spans="1:26" customFormat="1">
      <c r="A69" s="2049"/>
      <c r="B69" s="2049"/>
      <c r="C69" s="2059"/>
      <c r="D69" s="2059"/>
      <c r="E69" s="2058"/>
      <c r="F69" s="2058"/>
      <c r="G69" s="2058"/>
      <c r="H69" s="2058"/>
      <c r="I69" s="2058"/>
      <c r="J69" s="2058"/>
      <c r="K69" s="2049"/>
      <c r="L69" s="2049"/>
      <c r="M69" s="2049"/>
      <c r="N69" s="2049"/>
      <c r="O69" s="2049"/>
      <c r="P69" s="2049"/>
      <c r="Q69" s="2049"/>
      <c r="R69" s="2049"/>
      <c r="S69" s="2049"/>
      <c r="T69" s="2054"/>
      <c r="U69" s="2054"/>
      <c r="V69" s="2050"/>
      <c r="W69" s="2050"/>
      <c r="X69" s="2050"/>
      <c r="Y69" s="2050"/>
      <c r="Z69" s="2050"/>
    </row>
    <row r="70" spans="1:26" customFormat="1">
      <c r="A70" s="2049"/>
      <c r="B70" s="2049"/>
      <c r="C70" s="2059"/>
      <c r="D70" s="2059"/>
      <c r="E70" s="2058"/>
      <c r="F70" s="2058"/>
      <c r="G70" s="2058"/>
      <c r="H70" s="2058"/>
      <c r="I70" s="2058"/>
      <c r="J70" s="2058"/>
      <c r="K70" s="2049"/>
      <c r="L70" s="2049"/>
      <c r="M70" s="2049"/>
      <c r="N70" s="2049"/>
      <c r="O70" s="2049"/>
      <c r="P70" s="2049"/>
      <c r="Q70" s="2049"/>
      <c r="R70" s="2049"/>
      <c r="S70" s="2049"/>
      <c r="T70" s="2054"/>
      <c r="U70" s="2054"/>
      <c r="V70" s="2050"/>
      <c r="W70" s="2050"/>
      <c r="X70" s="2050"/>
      <c r="Y70" s="2050"/>
      <c r="Z70" s="2050"/>
    </row>
    <row r="71" spans="1:26" customFormat="1">
      <c r="A71" s="2049"/>
      <c r="B71" s="2049"/>
      <c r="C71" s="2059"/>
      <c r="D71" s="2059"/>
      <c r="E71" s="2058"/>
      <c r="F71" s="2058"/>
      <c r="G71" s="2058"/>
      <c r="H71" s="2058"/>
      <c r="I71" s="2058"/>
      <c r="J71" s="2058"/>
      <c r="K71" s="2049"/>
      <c r="L71" s="2049"/>
      <c r="M71" s="2049"/>
      <c r="N71" s="2049"/>
      <c r="O71" s="2049"/>
      <c r="P71" s="2049"/>
      <c r="Q71" s="2049"/>
      <c r="R71" s="2049"/>
      <c r="S71" s="2049"/>
      <c r="T71" s="2054"/>
      <c r="U71" s="2054"/>
      <c r="V71" s="2050"/>
      <c r="W71" s="2050"/>
      <c r="X71" s="2050"/>
      <c r="Y71" s="2050"/>
      <c r="Z71" s="2050"/>
    </row>
    <row r="72" spans="1:26" customFormat="1">
      <c r="A72" s="2049"/>
      <c r="B72" s="2049"/>
      <c r="C72" s="2059"/>
      <c r="D72" s="2059"/>
      <c r="E72" s="2058"/>
      <c r="F72" s="2058"/>
      <c r="G72" s="2058"/>
      <c r="H72" s="2058"/>
      <c r="I72" s="2058"/>
      <c r="J72" s="2058"/>
      <c r="K72" s="2049"/>
      <c r="L72" s="2049"/>
      <c r="M72" s="2049"/>
      <c r="N72" s="2049"/>
      <c r="O72" s="2049"/>
      <c r="P72" s="2049"/>
      <c r="Q72" s="2049"/>
      <c r="R72" s="2049"/>
      <c r="S72" s="2049"/>
      <c r="T72" s="2054"/>
      <c r="U72" s="2054"/>
      <c r="V72" s="2050"/>
      <c r="W72" s="2050"/>
      <c r="X72" s="2050"/>
      <c r="Y72" s="2050"/>
      <c r="Z72" s="2050"/>
    </row>
    <row r="73" spans="1:26" customFormat="1">
      <c r="A73" s="2049"/>
      <c r="B73" s="2049"/>
      <c r="C73" s="2059"/>
      <c r="D73" s="2059"/>
      <c r="E73" s="2058"/>
      <c r="F73" s="2058"/>
      <c r="G73" s="2058"/>
      <c r="H73" s="2058"/>
      <c r="I73" s="2058"/>
      <c r="J73" s="2058"/>
      <c r="K73" s="2049"/>
      <c r="L73" s="2049"/>
      <c r="M73" s="2049"/>
      <c r="N73" s="2049"/>
      <c r="O73" s="2049"/>
      <c r="P73" s="2049"/>
      <c r="Q73" s="2049"/>
      <c r="R73" s="2049"/>
      <c r="S73" s="2049"/>
      <c r="T73" s="2054"/>
      <c r="U73" s="2054"/>
      <c r="V73" s="2050"/>
      <c r="W73" s="2050"/>
      <c r="X73" s="2050"/>
      <c r="Y73" s="2050"/>
      <c r="Z73" s="2050"/>
    </row>
    <row r="74" spans="1:26" customFormat="1">
      <c r="A74" s="2049"/>
      <c r="B74" s="2049"/>
      <c r="C74" s="2059"/>
      <c r="D74" s="2059"/>
      <c r="E74" s="2058"/>
      <c r="F74" s="2058"/>
      <c r="G74" s="2058"/>
      <c r="H74" s="2058"/>
      <c r="I74" s="2058"/>
      <c r="J74" s="2058"/>
      <c r="K74" s="2049"/>
      <c r="L74" s="2049"/>
      <c r="M74" s="2049"/>
      <c r="N74" s="2049"/>
      <c r="O74" s="2049"/>
      <c r="P74" s="2049"/>
      <c r="Q74" s="2049"/>
      <c r="R74" s="2049"/>
      <c r="S74" s="2049"/>
      <c r="T74" s="2054"/>
      <c r="U74" s="2054"/>
      <c r="V74" s="2050"/>
      <c r="W74" s="2050"/>
      <c r="X74" s="2050"/>
      <c r="Y74" s="2050"/>
      <c r="Z74" s="2050"/>
    </row>
    <row r="75" spans="1:26" customFormat="1">
      <c r="A75" s="2049"/>
      <c r="B75" s="2049"/>
      <c r="C75" s="2059"/>
      <c r="D75" s="2059"/>
      <c r="E75" s="2058"/>
      <c r="F75" s="2058"/>
      <c r="G75" s="2058"/>
      <c r="H75" s="2058"/>
      <c r="I75" s="2058"/>
      <c r="J75" s="2058"/>
      <c r="K75" s="2049"/>
      <c r="L75" s="2049"/>
      <c r="M75" s="2049"/>
      <c r="N75" s="2049"/>
      <c r="O75" s="2049"/>
      <c r="P75" s="2049"/>
      <c r="Q75" s="2049"/>
      <c r="R75" s="2049"/>
      <c r="S75" s="2049"/>
      <c r="T75" s="2054"/>
      <c r="U75" s="2054"/>
      <c r="V75" s="2050"/>
      <c r="W75" s="2050"/>
      <c r="X75" s="2050"/>
      <c r="Y75" s="2050"/>
      <c r="Z75" s="2050"/>
    </row>
    <row r="76" spans="1:26" customFormat="1">
      <c r="A76" s="2049"/>
      <c r="B76" s="2049"/>
      <c r="C76" s="2059"/>
      <c r="D76" s="2059"/>
      <c r="E76" s="2058"/>
      <c r="F76" s="2058"/>
      <c r="G76" s="2058"/>
      <c r="H76" s="2058"/>
      <c r="I76" s="2058"/>
      <c r="J76" s="2058"/>
      <c r="K76" s="2049"/>
      <c r="L76" s="2049"/>
      <c r="M76" s="2049"/>
      <c r="N76" s="2049"/>
      <c r="O76" s="2049"/>
      <c r="P76" s="2049"/>
      <c r="Q76" s="2049"/>
      <c r="R76" s="2049"/>
      <c r="S76" s="2049"/>
      <c r="T76" s="2054"/>
      <c r="U76" s="2054"/>
      <c r="V76" s="2050"/>
      <c r="W76" s="2050"/>
      <c r="X76" s="2050"/>
      <c r="Y76" s="2050"/>
      <c r="Z76" s="2050"/>
    </row>
    <row r="77" spans="1:26" customFormat="1">
      <c r="A77" s="2049"/>
      <c r="B77" s="2049"/>
      <c r="C77" s="2059"/>
      <c r="D77" s="2059"/>
      <c r="E77" s="2058"/>
      <c r="F77" s="2058"/>
      <c r="G77" s="2058"/>
      <c r="H77" s="2058"/>
      <c r="I77" s="2058"/>
      <c r="J77" s="2058"/>
      <c r="K77" s="2049"/>
      <c r="L77" s="2049"/>
      <c r="M77" s="2049"/>
      <c r="N77" s="2049"/>
      <c r="O77" s="2049"/>
      <c r="P77" s="2049"/>
      <c r="Q77" s="2049"/>
      <c r="R77" s="2049"/>
      <c r="S77" s="2049"/>
      <c r="T77" s="2054"/>
      <c r="U77" s="2054"/>
      <c r="V77" s="2050"/>
      <c r="W77" s="2050"/>
      <c r="X77" s="2050"/>
      <c r="Y77" s="2050"/>
      <c r="Z77" s="2050"/>
    </row>
    <row r="78" spans="1:26" customFormat="1">
      <c r="A78" s="2049"/>
      <c r="B78" s="2049"/>
      <c r="C78" s="2059"/>
      <c r="D78" s="2059"/>
      <c r="E78" s="2058"/>
      <c r="F78" s="2058"/>
      <c r="G78" s="2058"/>
      <c r="H78" s="2058"/>
      <c r="I78" s="2058"/>
      <c r="J78" s="2058"/>
      <c r="K78" s="2049"/>
      <c r="L78" s="2049"/>
      <c r="M78" s="2049"/>
      <c r="N78" s="2049"/>
      <c r="O78" s="2049"/>
      <c r="P78" s="2049"/>
      <c r="Q78" s="2049"/>
      <c r="R78" s="2049"/>
      <c r="S78" s="2049"/>
      <c r="T78" s="2054"/>
      <c r="U78" s="2054"/>
      <c r="V78" s="2050"/>
      <c r="W78" s="2050"/>
      <c r="X78" s="2050"/>
      <c r="Y78" s="2050"/>
      <c r="Z78" s="2050"/>
    </row>
    <row r="79" spans="1:26" customFormat="1">
      <c r="A79" s="2049"/>
      <c r="B79" s="2049"/>
      <c r="C79" s="2059"/>
      <c r="D79" s="2059"/>
      <c r="E79" s="2058"/>
      <c r="F79" s="2058"/>
      <c r="G79" s="2058"/>
      <c r="H79" s="2058"/>
      <c r="I79" s="2058"/>
      <c r="J79" s="2058"/>
      <c r="K79" s="2049"/>
      <c r="L79" s="2049"/>
      <c r="M79" s="2049"/>
      <c r="N79" s="2049"/>
      <c r="O79" s="2049"/>
      <c r="P79" s="2049"/>
      <c r="Q79" s="2049"/>
      <c r="R79" s="2049"/>
      <c r="S79" s="2049"/>
      <c r="T79" s="2054"/>
      <c r="U79" s="2054"/>
      <c r="V79" s="2050"/>
      <c r="W79" s="2050"/>
      <c r="X79" s="2050"/>
      <c r="Y79" s="2050"/>
      <c r="Z79" s="2050"/>
    </row>
    <row r="80" spans="1:26" customFormat="1">
      <c r="A80" s="2049"/>
      <c r="B80" s="2049"/>
      <c r="C80" s="2059"/>
      <c r="D80" s="2059"/>
      <c r="E80" s="2058"/>
      <c r="F80" s="2058"/>
      <c r="G80" s="2058"/>
      <c r="H80" s="2058"/>
      <c r="I80" s="2058"/>
      <c r="J80" s="2058"/>
      <c r="K80" s="2049"/>
      <c r="L80" s="2049"/>
      <c r="M80" s="2049"/>
      <c r="N80" s="2049"/>
      <c r="O80" s="2049"/>
      <c r="P80" s="2049"/>
      <c r="Q80" s="2049"/>
      <c r="R80" s="2049"/>
      <c r="S80" s="2049"/>
      <c r="T80" s="2054"/>
      <c r="U80" s="2054"/>
      <c r="V80" s="2050"/>
      <c r="W80" s="2050"/>
      <c r="X80" s="2050"/>
      <c r="Y80" s="2050"/>
      <c r="Z80" s="2050"/>
    </row>
    <row r="81" spans="1:26" customFormat="1">
      <c r="A81" s="2049"/>
      <c r="B81" s="2049"/>
      <c r="C81" s="2059"/>
      <c r="D81" s="2059"/>
      <c r="E81" s="2058"/>
      <c r="F81" s="2058"/>
      <c r="G81" s="2058"/>
      <c r="H81" s="2058"/>
      <c r="I81" s="2058"/>
      <c r="J81" s="2058"/>
      <c r="K81" s="2049"/>
      <c r="L81" s="2049"/>
      <c r="M81" s="2049"/>
      <c r="N81" s="2049"/>
      <c r="O81" s="2049"/>
      <c r="P81" s="2049"/>
      <c r="Q81" s="2049"/>
      <c r="R81" s="2049"/>
      <c r="S81" s="2049"/>
      <c r="T81" s="2054"/>
      <c r="U81" s="2054"/>
      <c r="V81" s="2050"/>
      <c r="W81" s="2050"/>
      <c r="X81" s="2050"/>
      <c r="Y81" s="2050"/>
      <c r="Z81" s="2050"/>
    </row>
    <row r="82" spans="1:26" customFormat="1">
      <c r="A82" s="2049"/>
      <c r="B82" s="2049"/>
      <c r="C82" s="2059"/>
      <c r="D82" s="2059"/>
      <c r="E82" s="2058"/>
      <c r="F82" s="2058"/>
      <c r="G82" s="2058"/>
      <c r="H82" s="2058"/>
      <c r="I82" s="2058"/>
      <c r="J82" s="2058"/>
      <c r="K82" s="2049"/>
      <c r="L82" s="2049"/>
      <c r="M82" s="2049"/>
      <c r="N82" s="2049"/>
      <c r="O82" s="2049"/>
      <c r="P82" s="2049"/>
      <c r="Q82" s="2049"/>
      <c r="R82" s="2049"/>
      <c r="S82" s="2049"/>
      <c r="T82" s="2054"/>
      <c r="U82" s="2054"/>
      <c r="V82" s="2050"/>
      <c r="W82" s="2050"/>
      <c r="X82" s="2050"/>
      <c r="Y82" s="2050"/>
      <c r="Z82" s="2050"/>
    </row>
    <row r="83" spans="1:26" customFormat="1">
      <c r="A83" s="2049"/>
      <c r="B83" s="2049"/>
      <c r="C83" s="2059"/>
      <c r="D83" s="2059"/>
      <c r="E83" s="2058"/>
      <c r="F83" s="2058"/>
      <c r="G83" s="2058"/>
      <c r="H83" s="2058"/>
      <c r="I83" s="2058"/>
      <c r="J83" s="2058"/>
      <c r="K83" s="2049"/>
      <c r="L83" s="2049"/>
      <c r="M83" s="2049"/>
      <c r="N83" s="2049"/>
      <c r="O83" s="2049"/>
      <c r="P83" s="2049"/>
      <c r="Q83" s="2049"/>
      <c r="R83" s="2049"/>
      <c r="S83" s="2049"/>
      <c r="T83" s="2054"/>
      <c r="U83" s="2054"/>
      <c r="V83" s="2050"/>
      <c r="W83" s="2050"/>
      <c r="X83" s="2050"/>
      <c r="Y83" s="2050"/>
      <c r="Z83" s="2050"/>
    </row>
    <row r="84" spans="1:26" customFormat="1">
      <c r="A84" s="2049"/>
      <c r="B84" s="2049"/>
      <c r="C84" s="2059"/>
      <c r="D84" s="2059"/>
      <c r="E84" s="2058"/>
      <c r="F84" s="2058"/>
      <c r="G84" s="2058"/>
      <c r="H84" s="2058"/>
      <c r="I84" s="2058"/>
      <c r="J84" s="2058"/>
      <c r="K84" s="2049"/>
      <c r="L84" s="2049"/>
      <c r="M84" s="2049"/>
      <c r="N84" s="2049"/>
      <c r="O84" s="2049"/>
      <c r="P84" s="2049"/>
      <c r="Q84" s="2049"/>
      <c r="R84" s="2049"/>
      <c r="S84" s="2049"/>
      <c r="T84" s="2054"/>
      <c r="U84" s="2054"/>
      <c r="V84" s="2050"/>
      <c r="W84" s="2050"/>
      <c r="X84" s="2050"/>
      <c r="Y84" s="2050"/>
      <c r="Z84" s="2050"/>
    </row>
    <row r="85" spans="1:26" customFormat="1">
      <c r="A85" s="2049"/>
      <c r="B85" s="2049"/>
      <c r="C85" s="2059"/>
      <c r="D85" s="2059"/>
      <c r="E85" s="2058"/>
      <c r="F85" s="2058"/>
      <c r="G85" s="2058"/>
      <c r="H85" s="2058"/>
      <c r="I85" s="2058"/>
      <c r="J85" s="2058"/>
      <c r="K85" s="2049"/>
      <c r="L85" s="2049"/>
      <c r="M85" s="2049"/>
      <c r="N85" s="2049"/>
      <c r="O85" s="2049"/>
      <c r="P85" s="2049"/>
      <c r="Q85" s="2049"/>
      <c r="R85" s="2049"/>
      <c r="S85" s="2049"/>
      <c r="T85" s="2054"/>
      <c r="U85" s="2054"/>
      <c r="V85" s="2050"/>
      <c r="W85" s="2050"/>
      <c r="X85" s="2050"/>
      <c r="Y85" s="2050"/>
      <c r="Z85" s="2050"/>
    </row>
  </sheetData>
  <mergeCells count="7">
    <mergeCell ref="I2:K2"/>
    <mergeCell ref="A1:A2"/>
    <mergeCell ref="B1:B2"/>
    <mergeCell ref="C1:C2"/>
    <mergeCell ref="D1:D2"/>
    <mergeCell ref="G1:G2"/>
    <mergeCell ref="H1:H2"/>
  </mergeCells>
  <pageMargins left="0.39370078740157477" right="0.59055118110236215" top="0.39370078740157477" bottom="0.59055118110236215" header="0.31496062000000002" footer="0.31496062000000002"/>
  <pageSetup paperSize="9" orientation="portrait" r:id="rId1"/>
  <headerFooter>
    <oddFooter>&amp;C&amp;8Página &amp;P/&amp;N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ECC3-C6BE-47AA-9A31-884A4413277C}">
  <sheetPr codeName="Planilha42">
    <pageSetUpPr fitToPage="1"/>
  </sheetPr>
  <dimension ref="A1:I62"/>
  <sheetViews>
    <sheetView showZeros="0" zoomScaleNormal="100" workbookViewId="0">
      <selection sqref="A1:I1"/>
    </sheetView>
  </sheetViews>
  <sheetFormatPr defaultColWidth="9" defaultRowHeight="12"/>
  <cols>
    <col min="1" max="3" width="9.875" customWidth="1"/>
    <col min="4" max="4" width="11.25" customWidth="1"/>
    <col min="5" max="5" width="14" customWidth="1"/>
    <col min="6" max="6" width="11.75" style="2069" customWidth="1"/>
    <col min="7" max="7" width="9.875" style="2070" customWidth="1"/>
    <col min="8" max="8" width="9" style="2071"/>
    <col min="9" max="9" width="30.375" bestFit="1" customWidth="1"/>
  </cols>
  <sheetData>
    <row r="1" spans="1:9" ht="21.95" customHeight="1">
      <c r="A1" s="3099" t="s">
        <v>3195</v>
      </c>
      <c r="B1" s="3100"/>
      <c r="C1" s="3100"/>
      <c r="D1" s="3100"/>
      <c r="E1" s="3100"/>
      <c r="F1" s="3100"/>
      <c r="G1" s="3100"/>
      <c r="H1" s="3100"/>
      <c r="I1" s="3101"/>
    </row>
    <row r="2" spans="1:9" ht="35.1" customHeight="1">
      <c r="A2" s="2064" t="s">
        <v>3196</v>
      </c>
      <c r="B2" s="3102" t="s">
        <v>3197</v>
      </c>
      <c r="C2" s="3102"/>
      <c r="D2" s="691" t="s">
        <v>3198</v>
      </c>
      <c r="E2" s="691" t="s">
        <v>3199</v>
      </c>
      <c r="F2" s="689" t="s">
        <v>3200</v>
      </c>
      <c r="G2" s="684" t="s">
        <v>3201</v>
      </c>
      <c r="H2" s="2065" t="s">
        <v>3202</v>
      </c>
      <c r="I2" s="691" t="s">
        <v>3203</v>
      </c>
    </row>
    <row r="3" spans="1:9" ht="14.25">
      <c r="A3" s="3078" t="s">
        <v>3204</v>
      </c>
      <c r="B3" s="3079"/>
      <c r="C3" s="3080"/>
      <c r="D3" s="3081"/>
      <c r="E3" s="3081"/>
      <c r="F3" s="3081"/>
      <c r="G3" s="3081"/>
      <c r="H3" s="3081"/>
      <c r="I3" s="3082"/>
    </row>
    <row r="4" spans="1:9" ht="12.75">
      <c r="A4" s="3083" t="s">
        <v>3205</v>
      </c>
      <c r="B4" s="2066">
        <v>0</v>
      </c>
      <c r="C4" s="2066">
        <v>0.1</v>
      </c>
      <c r="D4" s="3097">
        <v>1.3</v>
      </c>
      <c r="E4" s="3090" t="s">
        <v>3206</v>
      </c>
      <c r="F4" s="3091">
        <v>1753</v>
      </c>
      <c r="G4" s="3093">
        <v>17.7</v>
      </c>
      <c r="H4" s="3095">
        <v>16.8</v>
      </c>
      <c r="I4" s="2064" t="s">
        <v>3207</v>
      </c>
    </row>
    <row r="5" spans="1:9" ht="12.75">
      <c r="A5" s="3084"/>
      <c r="B5" s="2066">
        <v>0.1</v>
      </c>
      <c r="C5" s="2066">
        <v>2</v>
      </c>
      <c r="D5" s="3098"/>
      <c r="E5" s="2534"/>
      <c r="F5" s="3092"/>
      <c r="G5" s="3094"/>
      <c r="H5" s="3096"/>
      <c r="I5" s="2064" t="s">
        <v>3208</v>
      </c>
    </row>
    <row r="6" spans="1:9" ht="14.25">
      <c r="A6" s="3078" t="s">
        <v>3209</v>
      </c>
      <c r="B6" s="3079"/>
      <c r="C6" s="3080"/>
      <c r="D6" s="3081"/>
      <c r="E6" s="3081"/>
      <c r="F6" s="3081"/>
      <c r="G6" s="3081"/>
      <c r="H6" s="3081"/>
      <c r="I6" s="3082"/>
    </row>
    <row r="7" spans="1:9" ht="15" customHeight="1">
      <c r="A7" s="3083" t="s">
        <v>3210</v>
      </c>
      <c r="B7" s="2066">
        <v>0</v>
      </c>
      <c r="C7" s="2066">
        <v>0.1</v>
      </c>
      <c r="D7" s="3097">
        <v>0.9</v>
      </c>
      <c r="E7" s="3090" t="s">
        <v>3206</v>
      </c>
      <c r="F7" s="3091">
        <v>1762</v>
      </c>
      <c r="G7" s="3093">
        <v>16.5</v>
      </c>
      <c r="H7" s="3095">
        <v>18.2</v>
      </c>
      <c r="I7" s="2064" t="s">
        <v>3207</v>
      </c>
    </row>
    <row r="8" spans="1:9" ht="12.75">
      <c r="A8" s="3084"/>
      <c r="B8" s="2066">
        <v>0.1</v>
      </c>
      <c r="C8" s="2066">
        <v>2</v>
      </c>
      <c r="D8" s="3098"/>
      <c r="E8" s="2534"/>
      <c r="F8" s="3092"/>
      <c r="G8" s="3094"/>
      <c r="H8" s="3096"/>
      <c r="I8" s="2064" t="s">
        <v>3208</v>
      </c>
    </row>
    <row r="9" spans="1:9" ht="14.25">
      <c r="A9" s="3078" t="s">
        <v>3211</v>
      </c>
      <c r="B9" s="3079"/>
      <c r="C9" s="3080"/>
      <c r="D9" s="3081"/>
      <c r="E9" s="3081"/>
      <c r="F9" s="3081"/>
      <c r="G9" s="3081"/>
      <c r="H9" s="3081"/>
      <c r="I9" s="3082"/>
    </row>
    <row r="10" spans="1:9" ht="12.75">
      <c r="A10" s="3083" t="s">
        <v>3212</v>
      </c>
      <c r="B10" s="2066">
        <v>0</v>
      </c>
      <c r="C10" s="2066">
        <v>0.1</v>
      </c>
      <c r="D10" s="3097">
        <v>0.6</v>
      </c>
      <c r="E10" s="3090" t="s">
        <v>3206</v>
      </c>
      <c r="F10" s="3091">
        <v>1600</v>
      </c>
      <c r="G10" s="3093">
        <v>19.7</v>
      </c>
      <c r="H10" s="3095">
        <v>12.6</v>
      </c>
      <c r="I10" s="2064" t="s">
        <v>3207</v>
      </c>
    </row>
    <row r="11" spans="1:9" ht="12.75">
      <c r="A11" s="3084"/>
      <c r="B11" s="2066">
        <v>0.1</v>
      </c>
      <c r="C11" s="2066">
        <v>2</v>
      </c>
      <c r="D11" s="3098"/>
      <c r="E11" s="2534"/>
      <c r="F11" s="3092"/>
      <c r="G11" s="3094"/>
      <c r="H11" s="3096"/>
      <c r="I11" s="2064" t="s">
        <v>3208</v>
      </c>
    </row>
    <row r="12" spans="1:9" ht="14.25">
      <c r="A12" s="3078" t="s">
        <v>3213</v>
      </c>
      <c r="B12" s="3079"/>
      <c r="C12" s="3080"/>
      <c r="D12" s="3081"/>
      <c r="E12" s="3081"/>
      <c r="F12" s="3081"/>
      <c r="G12" s="3081"/>
      <c r="H12" s="3081"/>
      <c r="I12" s="3082"/>
    </row>
    <row r="13" spans="1:9" ht="12.75">
      <c r="A13" s="3083" t="s">
        <v>3214</v>
      </c>
      <c r="B13" s="2066">
        <v>0</v>
      </c>
      <c r="C13" s="2066">
        <v>0.1</v>
      </c>
      <c r="D13" s="3097">
        <v>1.2</v>
      </c>
      <c r="E13" s="3090" t="s">
        <v>3206</v>
      </c>
      <c r="F13" s="3091">
        <v>1600</v>
      </c>
      <c r="G13" s="3093">
        <v>20.5</v>
      </c>
      <c r="H13" s="3095">
        <v>11.9</v>
      </c>
      <c r="I13" s="2064" t="s">
        <v>3207</v>
      </c>
    </row>
    <row r="14" spans="1:9" ht="12.75">
      <c r="A14" s="3084"/>
      <c r="B14" s="2066">
        <v>0.1</v>
      </c>
      <c r="C14" s="2066">
        <v>2</v>
      </c>
      <c r="D14" s="3098"/>
      <c r="E14" s="2534"/>
      <c r="F14" s="3092"/>
      <c r="G14" s="3094"/>
      <c r="H14" s="3096"/>
      <c r="I14" s="2064" t="s">
        <v>3208</v>
      </c>
    </row>
    <row r="15" spans="1:9" ht="14.25">
      <c r="A15" s="3078" t="s">
        <v>3215</v>
      </c>
      <c r="B15" s="3079"/>
      <c r="C15" s="3080"/>
      <c r="D15" s="3081"/>
      <c r="E15" s="3081"/>
      <c r="F15" s="3081"/>
      <c r="G15" s="3081"/>
      <c r="H15" s="3081"/>
      <c r="I15" s="3082"/>
    </row>
    <row r="16" spans="1:9" ht="12.75">
      <c r="A16" s="3083" t="s">
        <v>3216</v>
      </c>
      <c r="B16" s="2066">
        <v>0</v>
      </c>
      <c r="C16" s="2066">
        <v>0.1</v>
      </c>
      <c r="D16" s="2067">
        <v>1.6</v>
      </c>
      <c r="E16" s="3090" t="s">
        <v>3206</v>
      </c>
      <c r="F16" s="3091">
        <v>1610</v>
      </c>
      <c r="G16" s="3093">
        <v>22</v>
      </c>
      <c r="H16" s="3095">
        <v>13.6</v>
      </c>
      <c r="I16" s="2064" t="s">
        <v>3207</v>
      </c>
    </row>
    <row r="17" spans="1:9" ht="12.75">
      <c r="A17" s="3084"/>
      <c r="B17" s="2066">
        <v>0.1</v>
      </c>
      <c r="C17" s="2066">
        <v>2</v>
      </c>
      <c r="D17" s="2068"/>
      <c r="E17" s="2534"/>
      <c r="F17" s="3092"/>
      <c r="G17" s="3094"/>
      <c r="H17" s="3096"/>
      <c r="I17" s="2064" t="s">
        <v>3208</v>
      </c>
    </row>
    <row r="18" spans="1:9" ht="14.25">
      <c r="A18" s="3078" t="s">
        <v>3217</v>
      </c>
      <c r="B18" s="3079"/>
      <c r="C18" s="3080"/>
      <c r="D18" s="3081"/>
      <c r="E18" s="3081"/>
      <c r="F18" s="3081"/>
      <c r="G18" s="3081"/>
      <c r="H18" s="3081"/>
      <c r="I18" s="3082"/>
    </row>
    <row r="19" spans="1:9" ht="12.75">
      <c r="A19" s="3083" t="s">
        <v>3218</v>
      </c>
      <c r="B19" s="2066">
        <v>0</v>
      </c>
      <c r="C19" s="2066">
        <v>0.1</v>
      </c>
      <c r="D19" s="3085">
        <v>1.1299999999999999</v>
      </c>
      <c r="E19" s="3085" t="s">
        <v>1933</v>
      </c>
      <c r="F19" s="3086" t="s">
        <v>1933</v>
      </c>
      <c r="G19" s="3087" t="s">
        <v>1933</v>
      </c>
      <c r="H19" s="3088" t="s">
        <v>1933</v>
      </c>
      <c r="I19" s="2064" t="s">
        <v>3207</v>
      </c>
    </row>
    <row r="20" spans="1:9" ht="12.75">
      <c r="A20" s="3084"/>
      <c r="B20" s="2066">
        <v>0.1</v>
      </c>
      <c r="C20" s="2066">
        <v>2</v>
      </c>
      <c r="D20" s="3085"/>
      <c r="E20" s="3085"/>
      <c r="F20" s="3086"/>
      <c r="G20" s="3087"/>
      <c r="H20" s="3088"/>
      <c r="I20" s="2064" t="s">
        <v>3208</v>
      </c>
    </row>
    <row r="21" spans="1:9" ht="14.25">
      <c r="A21" s="3078" t="s">
        <v>3217</v>
      </c>
      <c r="B21" s="3079"/>
      <c r="C21" s="3080"/>
      <c r="D21" s="3081"/>
      <c r="E21" s="3081"/>
      <c r="F21" s="3081"/>
      <c r="G21" s="3081"/>
      <c r="H21" s="3081"/>
      <c r="I21" s="3082"/>
    </row>
    <row r="22" spans="1:9" ht="12.75">
      <c r="A22" s="3083" t="s">
        <v>3219</v>
      </c>
      <c r="B22" s="2066">
        <v>0</v>
      </c>
      <c r="C22" s="2066">
        <v>0.1</v>
      </c>
      <c r="D22" s="3089">
        <v>1.1000000000000001</v>
      </c>
      <c r="E22" s="3085" t="s">
        <v>3206</v>
      </c>
      <c r="F22" s="3086">
        <v>1558</v>
      </c>
      <c r="G22" s="3087">
        <v>26.1</v>
      </c>
      <c r="H22" s="3088">
        <v>15.4</v>
      </c>
      <c r="I22" s="2064" t="s">
        <v>3207</v>
      </c>
    </row>
    <row r="23" spans="1:9" ht="12.75">
      <c r="A23" s="3084"/>
      <c r="B23" s="2066">
        <v>0.1</v>
      </c>
      <c r="C23" s="2066">
        <v>2</v>
      </c>
      <c r="D23" s="3089"/>
      <c r="E23" s="3085"/>
      <c r="F23" s="3086"/>
      <c r="G23" s="3087"/>
      <c r="H23" s="3088"/>
      <c r="I23" s="2064" t="s">
        <v>3208</v>
      </c>
    </row>
    <row r="24" spans="1:9" ht="14.25">
      <c r="A24" s="3078" t="s">
        <v>3217</v>
      </c>
      <c r="B24" s="3079"/>
      <c r="C24" s="3080"/>
      <c r="D24" s="3081"/>
      <c r="E24" s="3081"/>
      <c r="F24" s="3081"/>
      <c r="G24" s="3081"/>
      <c r="H24" s="3081"/>
      <c r="I24" s="3082"/>
    </row>
    <row r="25" spans="1:9" ht="12.75">
      <c r="A25" s="3083" t="s">
        <v>3220</v>
      </c>
      <c r="B25" s="2066">
        <v>0</v>
      </c>
      <c r="C25" s="2066">
        <v>0.1</v>
      </c>
      <c r="D25" s="3085">
        <v>1.1499999999999999</v>
      </c>
      <c r="E25" s="3085" t="s">
        <v>1933</v>
      </c>
      <c r="F25" s="3086" t="s">
        <v>1933</v>
      </c>
      <c r="G25" s="3087" t="s">
        <v>1933</v>
      </c>
      <c r="H25" s="3088" t="s">
        <v>1933</v>
      </c>
      <c r="I25" s="2064" t="s">
        <v>3207</v>
      </c>
    </row>
    <row r="26" spans="1:9" ht="12.75">
      <c r="A26" s="3084"/>
      <c r="B26" s="2066">
        <v>0.1</v>
      </c>
      <c r="C26" s="2066">
        <v>2</v>
      </c>
      <c r="D26" s="3085"/>
      <c r="E26" s="3085"/>
      <c r="F26" s="3086"/>
      <c r="G26" s="3087"/>
      <c r="H26" s="3088"/>
      <c r="I26" s="2064" t="s">
        <v>3208</v>
      </c>
    </row>
    <row r="27" spans="1:9" ht="14.25">
      <c r="A27" s="3078" t="s">
        <v>3221</v>
      </c>
      <c r="B27" s="3079"/>
      <c r="C27" s="3080"/>
      <c r="D27" s="3081"/>
      <c r="E27" s="3081"/>
      <c r="F27" s="3081"/>
      <c r="G27" s="3081"/>
      <c r="H27" s="3081"/>
      <c r="I27" s="3082"/>
    </row>
    <row r="28" spans="1:9" ht="12.75">
      <c r="A28" s="3083" t="s">
        <v>3222</v>
      </c>
      <c r="B28" s="2066">
        <v>0</v>
      </c>
      <c r="C28" s="2066">
        <v>0.1</v>
      </c>
      <c r="D28" s="3089">
        <v>1.2</v>
      </c>
      <c r="E28" s="3085" t="s">
        <v>3206</v>
      </c>
      <c r="F28" s="3086">
        <v>1590</v>
      </c>
      <c r="G28" s="3087">
        <v>25.8</v>
      </c>
      <c r="H28" s="3088">
        <v>16.100000000000001</v>
      </c>
      <c r="I28" s="2064" t="s">
        <v>3207</v>
      </c>
    </row>
    <row r="29" spans="1:9" ht="12.75">
      <c r="A29" s="3084"/>
      <c r="B29" s="2066">
        <v>0.1</v>
      </c>
      <c r="C29" s="2066">
        <v>2</v>
      </c>
      <c r="D29" s="3089"/>
      <c r="E29" s="3085"/>
      <c r="F29" s="3086"/>
      <c r="G29" s="3087"/>
      <c r="H29" s="3088"/>
      <c r="I29" s="2064" t="s">
        <v>3208</v>
      </c>
    </row>
    <row r="30" spans="1:9" ht="14.25">
      <c r="A30" s="3078" t="s">
        <v>3223</v>
      </c>
      <c r="B30" s="3079"/>
      <c r="C30" s="3080"/>
      <c r="D30" s="3081"/>
      <c r="E30" s="3081"/>
      <c r="F30" s="3081"/>
      <c r="G30" s="3081"/>
      <c r="H30" s="3081"/>
      <c r="I30" s="3082"/>
    </row>
    <row r="31" spans="1:9" ht="12.75">
      <c r="A31" s="3083" t="s">
        <v>3224</v>
      </c>
      <c r="B31" s="2066">
        <v>0</v>
      </c>
      <c r="C31" s="2066">
        <v>0.1</v>
      </c>
      <c r="D31" s="3085">
        <v>1.22</v>
      </c>
      <c r="E31" s="3085" t="s">
        <v>1933</v>
      </c>
      <c r="F31" s="3086" t="s">
        <v>1933</v>
      </c>
      <c r="G31" s="3087" t="s">
        <v>1933</v>
      </c>
      <c r="H31" s="3088" t="s">
        <v>1933</v>
      </c>
      <c r="I31" s="2064" t="s">
        <v>3207</v>
      </c>
    </row>
    <row r="32" spans="1:9" ht="12.75">
      <c r="A32" s="3084"/>
      <c r="B32" s="2066">
        <v>0.1</v>
      </c>
      <c r="C32" s="2066">
        <v>2</v>
      </c>
      <c r="D32" s="3085"/>
      <c r="E32" s="3085"/>
      <c r="F32" s="3086"/>
      <c r="G32" s="3087"/>
      <c r="H32" s="3088"/>
      <c r="I32" s="2064" t="s">
        <v>3208</v>
      </c>
    </row>
    <row r="33" spans="1:9" ht="14.25">
      <c r="A33" s="3078" t="s">
        <v>3223</v>
      </c>
      <c r="B33" s="3079"/>
      <c r="C33" s="3080"/>
      <c r="D33" s="3081"/>
      <c r="E33" s="3081"/>
      <c r="F33" s="3081"/>
      <c r="G33" s="3081"/>
      <c r="H33" s="3081"/>
      <c r="I33" s="3082"/>
    </row>
    <row r="34" spans="1:9" ht="12.75">
      <c r="A34" s="3083" t="s">
        <v>3225</v>
      </c>
      <c r="B34" s="2066">
        <v>0</v>
      </c>
      <c r="C34" s="2066">
        <v>0.1</v>
      </c>
      <c r="D34" s="3085">
        <v>1.1299999999999999</v>
      </c>
      <c r="E34" s="3085" t="s">
        <v>3206</v>
      </c>
      <c r="F34" s="3086">
        <v>1537</v>
      </c>
      <c r="G34" s="3087">
        <v>24.9</v>
      </c>
      <c r="H34" s="3088">
        <v>14.8</v>
      </c>
      <c r="I34" s="2064" t="s">
        <v>3207</v>
      </c>
    </row>
    <row r="35" spans="1:9" ht="12.75">
      <c r="A35" s="3084"/>
      <c r="B35" s="2066">
        <v>0.1</v>
      </c>
      <c r="C35" s="2066">
        <v>2</v>
      </c>
      <c r="D35" s="3085"/>
      <c r="E35" s="3085"/>
      <c r="F35" s="3086"/>
      <c r="G35" s="3087"/>
      <c r="H35" s="3088"/>
      <c r="I35" s="2064" t="s">
        <v>3208</v>
      </c>
    </row>
    <row r="36" spans="1:9" ht="14.25">
      <c r="A36" s="3078" t="s">
        <v>3223</v>
      </c>
      <c r="B36" s="3079"/>
      <c r="C36" s="3080"/>
      <c r="D36" s="3081"/>
      <c r="E36" s="3081"/>
      <c r="F36" s="3081"/>
      <c r="G36" s="3081"/>
      <c r="H36" s="3081"/>
      <c r="I36" s="3082"/>
    </row>
    <row r="37" spans="1:9" ht="12.75">
      <c r="A37" s="3083" t="s">
        <v>3226</v>
      </c>
      <c r="B37" s="2066">
        <v>0</v>
      </c>
      <c r="C37" s="2066">
        <v>0.1</v>
      </c>
      <c r="D37" s="3085">
        <v>1.07</v>
      </c>
      <c r="E37" s="3085" t="s">
        <v>1933</v>
      </c>
      <c r="F37" s="3086" t="s">
        <v>1933</v>
      </c>
      <c r="G37" s="3087" t="s">
        <v>1933</v>
      </c>
      <c r="H37" s="3088" t="s">
        <v>1933</v>
      </c>
      <c r="I37" s="2064" t="s">
        <v>3207</v>
      </c>
    </row>
    <row r="38" spans="1:9" ht="12.75">
      <c r="A38" s="3084"/>
      <c r="B38" s="2066">
        <v>0.1</v>
      </c>
      <c r="C38" s="2066">
        <v>2</v>
      </c>
      <c r="D38" s="3085"/>
      <c r="E38" s="3085"/>
      <c r="F38" s="3086"/>
      <c r="G38" s="3087"/>
      <c r="H38" s="3088"/>
      <c r="I38" s="2064" t="s">
        <v>3208</v>
      </c>
    </row>
    <row r="39" spans="1:9" ht="14.25">
      <c r="A39" s="3078" t="s">
        <v>3223</v>
      </c>
      <c r="B39" s="3079"/>
      <c r="C39" s="3080"/>
      <c r="D39" s="3081"/>
      <c r="E39" s="3081"/>
      <c r="F39" s="3081"/>
      <c r="G39" s="3081"/>
      <c r="H39" s="3081"/>
      <c r="I39" s="3082"/>
    </row>
    <row r="40" spans="1:9" ht="12.75">
      <c r="A40" s="3083" t="s">
        <v>3227</v>
      </c>
      <c r="B40" s="2066">
        <v>0</v>
      </c>
      <c r="C40" s="2066">
        <v>0.1</v>
      </c>
      <c r="D40" s="3089">
        <v>1.1000000000000001</v>
      </c>
      <c r="E40" s="3085" t="s">
        <v>3206</v>
      </c>
      <c r="F40" s="3086">
        <v>1605</v>
      </c>
      <c r="G40" s="3087">
        <v>24.9</v>
      </c>
      <c r="H40" s="3088">
        <v>17.2</v>
      </c>
      <c r="I40" s="2064" t="s">
        <v>3207</v>
      </c>
    </row>
    <row r="41" spans="1:9" ht="12.75">
      <c r="A41" s="3084"/>
      <c r="B41" s="2066">
        <v>0.1</v>
      </c>
      <c r="C41" s="2066">
        <v>2</v>
      </c>
      <c r="D41" s="3089"/>
      <c r="E41" s="3085"/>
      <c r="F41" s="3086"/>
      <c r="G41" s="3087"/>
      <c r="H41" s="3088"/>
      <c r="I41" s="2064" t="s">
        <v>3208</v>
      </c>
    </row>
    <row r="42" spans="1:9" ht="14.25">
      <c r="A42" s="3078" t="s">
        <v>3223</v>
      </c>
      <c r="B42" s="3079"/>
      <c r="C42" s="3080"/>
      <c r="D42" s="3081"/>
      <c r="E42" s="3081"/>
      <c r="F42" s="3081"/>
      <c r="G42" s="3081"/>
      <c r="H42" s="3081"/>
      <c r="I42" s="3082"/>
    </row>
    <row r="43" spans="1:9" ht="12.75">
      <c r="A43" s="3083" t="s">
        <v>3228</v>
      </c>
      <c r="B43" s="2066">
        <v>0</v>
      </c>
      <c r="C43" s="2066">
        <v>0.1</v>
      </c>
      <c r="D43" s="3089">
        <v>1</v>
      </c>
      <c r="E43" s="3085" t="s">
        <v>1933</v>
      </c>
      <c r="F43" s="3086" t="s">
        <v>1933</v>
      </c>
      <c r="G43" s="3087" t="s">
        <v>1933</v>
      </c>
      <c r="H43" s="3088" t="s">
        <v>1933</v>
      </c>
      <c r="I43" s="2064" t="s">
        <v>3207</v>
      </c>
    </row>
    <row r="44" spans="1:9" ht="12.75">
      <c r="A44" s="3084"/>
      <c r="B44" s="2066">
        <v>0.1</v>
      </c>
      <c r="C44" s="2066">
        <v>2</v>
      </c>
      <c r="D44" s="3089"/>
      <c r="E44" s="3085"/>
      <c r="F44" s="3086"/>
      <c r="G44" s="3087"/>
      <c r="H44" s="3088"/>
      <c r="I44" s="2064" t="s">
        <v>3208</v>
      </c>
    </row>
    <row r="45" spans="1:9" ht="14.25">
      <c r="A45" s="3078" t="s">
        <v>3229</v>
      </c>
      <c r="B45" s="3079"/>
      <c r="C45" s="3080"/>
      <c r="D45" s="3081"/>
      <c r="E45" s="3081"/>
      <c r="F45" s="3081"/>
      <c r="G45" s="3081"/>
      <c r="H45" s="3081"/>
      <c r="I45" s="3082"/>
    </row>
    <row r="46" spans="1:9" ht="12.75">
      <c r="A46" s="3083" t="s">
        <v>3230</v>
      </c>
      <c r="B46" s="2066">
        <v>0</v>
      </c>
      <c r="C46" s="2066">
        <v>0.1</v>
      </c>
      <c r="D46" s="3085">
        <v>1.05</v>
      </c>
      <c r="E46" s="3085" t="s">
        <v>3206</v>
      </c>
      <c r="F46" s="3086">
        <v>1586</v>
      </c>
      <c r="G46" s="3087">
        <v>27.3</v>
      </c>
      <c r="H46" s="3088">
        <v>15.3</v>
      </c>
      <c r="I46" s="2064" t="s">
        <v>3207</v>
      </c>
    </row>
    <row r="47" spans="1:9" ht="12.75">
      <c r="A47" s="3084"/>
      <c r="B47" s="2066">
        <v>0.1</v>
      </c>
      <c r="C47" s="2066">
        <v>2</v>
      </c>
      <c r="D47" s="3085"/>
      <c r="E47" s="3085"/>
      <c r="F47" s="3086"/>
      <c r="G47" s="3087"/>
      <c r="H47" s="3088"/>
      <c r="I47" s="2064" t="s">
        <v>3208</v>
      </c>
    </row>
    <row r="48" spans="1:9" ht="14.25">
      <c r="A48" s="3078" t="s">
        <v>3231</v>
      </c>
      <c r="B48" s="3079"/>
      <c r="C48" s="3080"/>
      <c r="D48" s="3081"/>
      <c r="E48" s="3081"/>
      <c r="F48" s="3081"/>
      <c r="G48" s="3081"/>
      <c r="H48" s="3081"/>
      <c r="I48" s="3082"/>
    </row>
    <row r="49" spans="1:9" ht="12.75">
      <c r="A49" s="3083" t="s">
        <v>3232</v>
      </c>
      <c r="B49" s="2066">
        <v>0</v>
      </c>
      <c r="C49" s="2066">
        <v>0.1</v>
      </c>
      <c r="D49" s="3085">
        <v>1.8</v>
      </c>
      <c r="E49" s="3085" t="s">
        <v>3206</v>
      </c>
      <c r="F49" s="3086">
        <v>1690</v>
      </c>
      <c r="G49" s="3087">
        <v>22.7</v>
      </c>
      <c r="H49" s="3088">
        <v>11.5</v>
      </c>
      <c r="I49" s="2064" t="s">
        <v>3207</v>
      </c>
    </row>
    <row r="50" spans="1:9" ht="12.75">
      <c r="A50" s="3084"/>
      <c r="B50" s="2066">
        <v>0.1</v>
      </c>
      <c r="C50" s="2066">
        <v>2</v>
      </c>
      <c r="D50" s="3085"/>
      <c r="E50" s="3085"/>
      <c r="F50" s="3086"/>
      <c r="G50" s="3087"/>
      <c r="H50" s="3088"/>
      <c r="I50" s="2064" t="s">
        <v>3208</v>
      </c>
    </row>
    <row r="51" spans="1:9" ht="14.25">
      <c r="A51" s="3078" t="s">
        <v>3233</v>
      </c>
      <c r="B51" s="3079"/>
      <c r="C51" s="3080"/>
      <c r="D51" s="3081"/>
      <c r="E51" s="3081"/>
      <c r="F51" s="3081"/>
      <c r="G51" s="3081"/>
      <c r="H51" s="3081"/>
      <c r="I51" s="3082"/>
    </row>
    <row r="52" spans="1:9" ht="12.75">
      <c r="A52" s="3083" t="s">
        <v>3234</v>
      </c>
      <c r="B52" s="2066">
        <v>0</v>
      </c>
      <c r="C52" s="2066">
        <v>0.1</v>
      </c>
      <c r="D52" s="3085">
        <v>1.8</v>
      </c>
      <c r="E52" s="3085" t="s">
        <v>3206</v>
      </c>
      <c r="F52" s="3086">
        <v>1702</v>
      </c>
      <c r="G52" s="3087">
        <v>24.8</v>
      </c>
      <c r="H52" s="3088">
        <v>12.8</v>
      </c>
      <c r="I52" s="2064" t="s">
        <v>3207</v>
      </c>
    </row>
    <row r="53" spans="1:9" ht="12.75">
      <c r="A53" s="3084"/>
      <c r="B53" s="2066">
        <v>0.1</v>
      </c>
      <c r="C53" s="2066">
        <v>2</v>
      </c>
      <c r="D53" s="3085"/>
      <c r="E53" s="3085"/>
      <c r="F53" s="3086"/>
      <c r="G53" s="3087"/>
      <c r="H53" s="3088"/>
      <c r="I53" s="2064" t="s">
        <v>3208</v>
      </c>
    </row>
    <row r="54" spans="1:9" ht="14.25">
      <c r="A54" s="3078" t="s">
        <v>3235</v>
      </c>
      <c r="B54" s="3079"/>
      <c r="C54" s="3080"/>
      <c r="D54" s="3081"/>
      <c r="E54" s="3081"/>
      <c r="F54" s="3081"/>
      <c r="G54" s="3081"/>
      <c r="H54" s="3081"/>
      <c r="I54" s="3082"/>
    </row>
    <row r="55" spans="1:9" ht="12.75">
      <c r="A55" s="3083" t="s">
        <v>3236</v>
      </c>
      <c r="B55" s="2066">
        <v>0</v>
      </c>
      <c r="C55" s="2066">
        <v>0.1</v>
      </c>
      <c r="D55" s="3085">
        <v>1.8</v>
      </c>
      <c r="E55" s="3085" t="s">
        <v>3206</v>
      </c>
      <c r="F55" s="3086">
        <v>1695</v>
      </c>
      <c r="G55" s="3087">
        <v>23.5</v>
      </c>
      <c r="H55" s="3088">
        <v>11.9</v>
      </c>
      <c r="I55" s="2064" t="s">
        <v>3207</v>
      </c>
    </row>
    <row r="56" spans="1:9" ht="12.75">
      <c r="A56" s="3084"/>
      <c r="B56" s="2066">
        <v>0.1</v>
      </c>
      <c r="C56" s="2066">
        <v>2</v>
      </c>
      <c r="D56" s="3085"/>
      <c r="E56" s="3085"/>
      <c r="F56" s="3086"/>
      <c r="G56" s="3087"/>
      <c r="H56" s="3088"/>
      <c r="I56" s="2064" t="s">
        <v>3208</v>
      </c>
    </row>
    <row r="57" spans="1:9" ht="14.25">
      <c r="A57" s="3078" t="s">
        <v>3237</v>
      </c>
      <c r="B57" s="3079"/>
      <c r="C57" s="3080"/>
      <c r="D57" s="3081"/>
      <c r="E57" s="3081"/>
      <c r="F57" s="3081"/>
      <c r="G57" s="3081"/>
      <c r="H57" s="3081"/>
      <c r="I57" s="3082"/>
    </row>
    <row r="58" spans="1:9" ht="12.75">
      <c r="A58" s="3083" t="s">
        <v>3238</v>
      </c>
      <c r="B58" s="2066">
        <v>0</v>
      </c>
      <c r="C58" s="2066">
        <v>0.1</v>
      </c>
      <c r="D58" s="3085">
        <v>1.8</v>
      </c>
      <c r="E58" s="3085" t="s">
        <v>3206</v>
      </c>
      <c r="F58" s="3086">
        <v>1702</v>
      </c>
      <c r="G58" s="3087">
        <v>24.8</v>
      </c>
      <c r="H58" s="3088">
        <v>12.8</v>
      </c>
      <c r="I58" s="2064" t="s">
        <v>3207</v>
      </c>
    </row>
    <row r="59" spans="1:9" ht="12.75">
      <c r="A59" s="3084"/>
      <c r="B59" s="2066">
        <v>0.1</v>
      </c>
      <c r="C59" s="2066">
        <v>2</v>
      </c>
      <c r="D59" s="3085"/>
      <c r="E59" s="3085"/>
      <c r="F59" s="3086"/>
      <c r="G59" s="3087"/>
      <c r="H59" s="3088"/>
      <c r="I59" s="2064" t="s">
        <v>3208</v>
      </c>
    </row>
    <row r="60" spans="1:9" ht="14.25">
      <c r="A60" s="3078" t="s">
        <v>3239</v>
      </c>
      <c r="B60" s="3079"/>
      <c r="C60" s="3080"/>
      <c r="D60" s="3081"/>
      <c r="E60" s="3081"/>
      <c r="F60" s="3081"/>
      <c r="G60" s="3081"/>
      <c r="H60" s="3081"/>
      <c r="I60" s="3082"/>
    </row>
    <row r="61" spans="1:9" ht="12.75">
      <c r="A61" s="3083" t="s">
        <v>3240</v>
      </c>
      <c r="B61" s="2066">
        <v>0</v>
      </c>
      <c r="C61" s="2066">
        <v>0.1</v>
      </c>
      <c r="D61" s="3085">
        <v>1.05</v>
      </c>
      <c r="E61" s="3085" t="s">
        <v>3206</v>
      </c>
      <c r="F61" s="3086">
        <v>1702</v>
      </c>
      <c r="G61" s="3087">
        <v>24.8</v>
      </c>
      <c r="H61" s="3088">
        <v>12.8</v>
      </c>
      <c r="I61" s="2064" t="s">
        <v>3207</v>
      </c>
    </row>
    <row r="62" spans="1:9" ht="12.75">
      <c r="A62" s="3084"/>
      <c r="B62" s="2066">
        <v>0.1</v>
      </c>
      <c r="C62" s="2066">
        <v>2</v>
      </c>
      <c r="D62" s="3085"/>
      <c r="E62" s="3085"/>
      <c r="F62" s="3086"/>
      <c r="G62" s="3087"/>
      <c r="H62" s="3088"/>
      <c r="I62" s="2064" t="s">
        <v>3208</v>
      </c>
    </row>
  </sheetData>
  <mergeCells count="161">
    <mergeCell ref="A6:C6"/>
    <mergeCell ref="D6:I6"/>
    <mergeCell ref="A7:A8"/>
    <mergeCell ref="D7:D8"/>
    <mergeCell ref="E7:E8"/>
    <mergeCell ref="F7:F8"/>
    <mergeCell ref="G7:G8"/>
    <mergeCell ref="H7:H8"/>
    <mergeCell ref="A1:I1"/>
    <mergeCell ref="B2:C2"/>
    <mergeCell ref="A3:C3"/>
    <mergeCell ref="D3:I3"/>
    <mergeCell ref="A4:A5"/>
    <mergeCell ref="D4:D5"/>
    <mergeCell ref="E4:E5"/>
    <mergeCell ref="F4:F5"/>
    <mergeCell ref="G4:G5"/>
    <mergeCell ref="H4:H5"/>
    <mergeCell ref="A12:C12"/>
    <mergeCell ref="D12:I12"/>
    <mergeCell ref="A13:A14"/>
    <mergeCell ref="D13:D14"/>
    <mergeCell ref="E13:E14"/>
    <mergeCell ref="F13:F14"/>
    <mergeCell ref="G13:G14"/>
    <mergeCell ref="H13:H14"/>
    <mergeCell ref="A9:C9"/>
    <mergeCell ref="D9:I9"/>
    <mergeCell ref="A10:A11"/>
    <mergeCell ref="D10:D11"/>
    <mergeCell ref="E10:E11"/>
    <mergeCell ref="F10:F11"/>
    <mergeCell ref="G10:G11"/>
    <mergeCell ref="H10:H11"/>
    <mergeCell ref="A18:C18"/>
    <mergeCell ref="D18:I18"/>
    <mergeCell ref="A19:A20"/>
    <mergeCell ref="D19:D20"/>
    <mergeCell ref="E19:E20"/>
    <mergeCell ref="F19:F20"/>
    <mergeCell ref="G19:G20"/>
    <mergeCell ref="H19:H20"/>
    <mergeCell ref="A15:C15"/>
    <mergeCell ref="D15:I15"/>
    <mergeCell ref="A16:A17"/>
    <mergeCell ref="E16:E17"/>
    <mergeCell ref="F16:F17"/>
    <mergeCell ref="G16:G17"/>
    <mergeCell ref="H16:H17"/>
    <mergeCell ref="A24:C24"/>
    <mergeCell ref="D24:I24"/>
    <mergeCell ref="A25:A26"/>
    <mergeCell ref="D25:D26"/>
    <mergeCell ref="E25:E26"/>
    <mergeCell ref="F25:F26"/>
    <mergeCell ref="G25:G26"/>
    <mergeCell ref="H25:H26"/>
    <mergeCell ref="A21:C21"/>
    <mergeCell ref="D21:I21"/>
    <mergeCell ref="A22:A23"/>
    <mergeCell ref="D22:D23"/>
    <mergeCell ref="E22:E23"/>
    <mergeCell ref="F22:F23"/>
    <mergeCell ref="G22:G23"/>
    <mergeCell ref="H22:H23"/>
    <mergeCell ref="A30:C30"/>
    <mergeCell ref="D30:I30"/>
    <mergeCell ref="A31:A32"/>
    <mergeCell ref="D31:D32"/>
    <mergeCell ref="E31:E32"/>
    <mergeCell ref="F31:F32"/>
    <mergeCell ref="G31:G32"/>
    <mergeCell ref="H31:H32"/>
    <mergeCell ref="A27:C27"/>
    <mergeCell ref="D27:I27"/>
    <mergeCell ref="A28:A29"/>
    <mergeCell ref="D28:D29"/>
    <mergeCell ref="E28:E29"/>
    <mergeCell ref="F28:F29"/>
    <mergeCell ref="G28:G29"/>
    <mergeCell ref="H28:H29"/>
    <mergeCell ref="A36:C36"/>
    <mergeCell ref="D36:I36"/>
    <mergeCell ref="A37:A38"/>
    <mergeCell ref="D37:D38"/>
    <mergeCell ref="E37:E38"/>
    <mergeCell ref="F37:F38"/>
    <mergeCell ref="G37:G38"/>
    <mergeCell ref="H37:H38"/>
    <mergeCell ref="A33:C33"/>
    <mergeCell ref="D33:I33"/>
    <mergeCell ref="A34:A35"/>
    <mergeCell ref="D34:D35"/>
    <mergeCell ref="E34:E35"/>
    <mergeCell ref="F34:F35"/>
    <mergeCell ref="G34:G35"/>
    <mergeCell ref="H34:H35"/>
    <mergeCell ref="A42:C42"/>
    <mergeCell ref="D42:I42"/>
    <mergeCell ref="A43:A44"/>
    <mergeCell ref="D43:D44"/>
    <mergeCell ref="E43:E44"/>
    <mergeCell ref="F43:F44"/>
    <mergeCell ref="G43:G44"/>
    <mergeCell ref="H43:H44"/>
    <mergeCell ref="A39:C39"/>
    <mergeCell ref="D39:I39"/>
    <mergeCell ref="A40:A41"/>
    <mergeCell ref="D40:D41"/>
    <mergeCell ref="E40:E41"/>
    <mergeCell ref="F40:F41"/>
    <mergeCell ref="G40:G41"/>
    <mergeCell ref="H40:H41"/>
    <mergeCell ref="A48:C48"/>
    <mergeCell ref="D48:I48"/>
    <mergeCell ref="A49:A50"/>
    <mergeCell ref="D49:D50"/>
    <mergeCell ref="E49:E50"/>
    <mergeCell ref="F49:F50"/>
    <mergeCell ref="G49:G50"/>
    <mergeCell ref="H49:H50"/>
    <mergeCell ref="A45:C45"/>
    <mergeCell ref="D45:I45"/>
    <mergeCell ref="A46:A47"/>
    <mergeCell ref="D46:D47"/>
    <mergeCell ref="E46:E47"/>
    <mergeCell ref="F46:F47"/>
    <mergeCell ref="G46:G47"/>
    <mergeCell ref="H46:H47"/>
    <mergeCell ref="A54:C54"/>
    <mergeCell ref="D54:I54"/>
    <mergeCell ref="A55:A56"/>
    <mergeCell ref="D55:D56"/>
    <mergeCell ref="E55:E56"/>
    <mergeCell ref="F55:F56"/>
    <mergeCell ref="G55:G56"/>
    <mergeCell ref="H55:H56"/>
    <mergeCell ref="A51:C51"/>
    <mergeCell ref="D51:I51"/>
    <mergeCell ref="A52:A53"/>
    <mergeCell ref="D52:D53"/>
    <mergeCell ref="E52:E53"/>
    <mergeCell ref="F52:F53"/>
    <mergeCell ref="G52:G53"/>
    <mergeCell ref="H52:H53"/>
    <mergeCell ref="A60:C60"/>
    <mergeCell ref="D60:I60"/>
    <mergeCell ref="A61:A62"/>
    <mergeCell ref="D61:D62"/>
    <mergeCell ref="E61:E62"/>
    <mergeCell ref="F61:F62"/>
    <mergeCell ref="G61:G62"/>
    <mergeCell ref="H61:H62"/>
    <mergeCell ref="A57:C57"/>
    <mergeCell ref="D57:I57"/>
    <mergeCell ref="A58:A59"/>
    <mergeCell ref="D58:D59"/>
    <mergeCell ref="E58:E59"/>
    <mergeCell ref="F58:F59"/>
    <mergeCell ref="G58:G59"/>
    <mergeCell ref="H58:H59"/>
  </mergeCells>
  <pageMargins left="0.39370078740157477" right="0.59055118110236215" top="0.39370078740157477" bottom="0.59055118110236215" header="0.31496062992125984" footer="0.31496062992125984"/>
  <pageSetup paperSize="9" scale="81" orientation="portrait" r:id="rId1"/>
  <headerFooter>
    <oddFooter>&amp;C&amp;8Página &amp;P/&amp;N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D9F11-D0E2-4A39-BB3F-EC0C97969516}">
  <sheetPr codeName="Planilha43">
    <pageSetUpPr fitToPage="1"/>
  </sheetPr>
  <dimension ref="A1:AK77"/>
  <sheetViews>
    <sheetView showZeros="0" zoomScaleNormal="100" workbookViewId="0">
      <selection sqref="A1:A65"/>
    </sheetView>
  </sheetViews>
  <sheetFormatPr defaultColWidth="9" defaultRowHeight="12.75"/>
  <cols>
    <col min="1" max="1" width="10.625" style="681" customWidth="1"/>
    <col min="2" max="2" width="16.625" style="2077" customWidth="1"/>
    <col min="3" max="3" width="14.125" style="2077" customWidth="1"/>
    <col min="4" max="4" width="9.25" style="2077" customWidth="1"/>
    <col min="5" max="5" width="13.375" style="2077" hidden="1" customWidth="1"/>
    <col min="6" max="6" width="16.875" style="2077" customWidth="1"/>
    <col min="7" max="8" width="16.875" style="2077" hidden="1" customWidth="1"/>
    <col min="9" max="12" width="16.875" style="2077" customWidth="1"/>
    <col min="13" max="21" width="16.875" style="2077" hidden="1" customWidth="1"/>
    <col min="22" max="16384" width="9" style="2077"/>
  </cols>
  <sheetData>
    <row r="1" spans="1:37" ht="96" customHeight="1" thickBot="1">
      <c r="A1" s="3128" t="s">
        <v>3241</v>
      </c>
      <c r="B1" s="3131" t="s">
        <v>2188</v>
      </c>
      <c r="C1" s="3132"/>
      <c r="D1" s="3133"/>
      <c r="E1" s="2072" t="s">
        <v>3242</v>
      </c>
      <c r="F1" s="2073" t="s">
        <v>3243</v>
      </c>
      <c r="G1" s="2073" t="s">
        <v>3244</v>
      </c>
      <c r="H1" s="2073" t="s">
        <v>3245</v>
      </c>
      <c r="I1" s="2073" t="s">
        <v>3246</v>
      </c>
      <c r="J1" s="2073" t="s">
        <v>3247</v>
      </c>
      <c r="K1" s="2073" t="s">
        <v>3248</v>
      </c>
      <c r="L1" s="2073" t="s">
        <v>3249</v>
      </c>
      <c r="M1" s="2073" t="s">
        <v>3250</v>
      </c>
      <c r="N1" s="2073" t="s">
        <v>3251</v>
      </c>
      <c r="O1" s="2073" t="s">
        <v>3252</v>
      </c>
      <c r="P1" s="2073" t="s">
        <v>3253</v>
      </c>
      <c r="Q1" s="2073" t="s">
        <v>3254</v>
      </c>
      <c r="R1" s="2073" t="s">
        <v>3255</v>
      </c>
      <c r="S1" s="2073" t="s">
        <v>3256</v>
      </c>
      <c r="T1" s="2073" t="s">
        <v>3257</v>
      </c>
      <c r="U1" s="2074" t="s">
        <v>3258</v>
      </c>
      <c r="V1" s="2075"/>
      <c r="W1" s="2076" t="s">
        <v>3135</v>
      </c>
      <c r="X1" s="2076" t="s">
        <v>3142</v>
      </c>
      <c r="Y1" s="2076" t="s">
        <v>3148</v>
      </c>
      <c r="Z1" s="2076" t="s">
        <v>3155</v>
      </c>
      <c r="AA1" s="2076" t="s">
        <v>3164</v>
      </c>
      <c r="AB1" s="2049"/>
      <c r="AC1" s="2049"/>
      <c r="AD1" s="2049"/>
      <c r="AE1" s="2054"/>
      <c r="AF1" s="2054"/>
      <c r="AG1" s="2050"/>
      <c r="AH1" s="2050"/>
      <c r="AI1" s="2050"/>
      <c r="AJ1" s="2050"/>
      <c r="AK1" s="2050"/>
    </row>
    <row r="2" spans="1:37" ht="24.95" customHeight="1">
      <c r="A2" s="3129"/>
      <c r="B2" s="3134" t="s">
        <v>3259</v>
      </c>
      <c r="C2" s="3136" t="s">
        <v>3260</v>
      </c>
      <c r="D2" s="3137"/>
      <c r="E2" s="2078" t="s">
        <v>3142</v>
      </c>
      <c r="F2" s="2079" t="s">
        <v>3155</v>
      </c>
      <c r="G2" s="2079" t="s">
        <v>3142</v>
      </c>
      <c r="H2" s="2080" t="s">
        <v>3148</v>
      </c>
      <c r="I2" s="2079" t="s">
        <v>3155</v>
      </c>
      <c r="J2" s="2079" t="s">
        <v>3155</v>
      </c>
      <c r="K2" s="2080" t="s">
        <v>3155</v>
      </c>
      <c r="L2" s="2080" t="s">
        <v>3155</v>
      </c>
      <c r="M2" s="2080" t="s">
        <v>3135</v>
      </c>
      <c r="N2" s="2080" t="s">
        <v>3135</v>
      </c>
      <c r="O2" s="2080" t="s">
        <v>3135</v>
      </c>
      <c r="P2" s="2080" t="s">
        <v>3135</v>
      </c>
      <c r="Q2" s="2080" t="s">
        <v>3135</v>
      </c>
      <c r="R2" s="2080" t="s">
        <v>3148</v>
      </c>
      <c r="S2" s="2080" t="s">
        <v>3155</v>
      </c>
      <c r="T2" s="2080" t="s">
        <v>3142</v>
      </c>
      <c r="U2" s="2081" t="s">
        <v>3142</v>
      </c>
      <c r="V2" s="2082"/>
      <c r="W2" s="2083">
        <v>1000</v>
      </c>
      <c r="X2" s="2083">
        <v>100000</v>
      </c>
      <c r="Y2" s="2083">
        <v>400000</v>
      </c>
      <c r="Z2" s="2083">
        <v>2000000</v>
      </c>
      <c r="AA2" s="2083">
        <v>50000000</v>
      </c>
      <c r="AB2" s="2049"/>
      <c r="AC2" s="2049"/>
      <c r="AD2" s="2049"/>
      <c r="AE2" s="2058"/>
      <c r="AF2" s="2058"/>
    </row>
    <row r="3" spans="1:37" ht="42" customHeight="1" thickBot="1">
      <c r="A3" s="3129"/>
      <c r="B3" s="3135"/>
      <c r="C3" s="3118" t="s">
        <v>3261</v>
      </c>
      <c r="D3" s="3122"/>
      <c r="E3" s="2084" t="str">
        <f t="shared" ref="E3:U3" si="0">IF(E2=$W$1,$W$3,IF(E2=$X$1,$X$3,IF(E2=$Y$1,$Y$3,IF(E2=$Z$1,$Z$3,IF(E2=$AA$1,$AA$3,"erro")))))</f>
        <v>Local</v>
      </c>
      <c r="F3" s="2085" t="str">
        <f t="shared" si="0"/>
        <v>Arterial</v>
      </c>
      <c r="G3" s="2085" t="str">
        <f t="shared" si="0"/>
        <v>Local</v>
      </c>
      <c r="H3" s="2085" t="str">
        <f t="shared" si="0"/>
        <v>Coletora</v>
      </c>
      <c r="I3" s="2085" t="str">
        <f t="shared" si="0"/>
        <v>Arterial</v>
      </c>
      <c r="J3" s="2085" t="str">
        <f t="shared" si="0"/>
        <v>Arterial</v>
      </c>
      <c r="K3" s="2085" t="str">
        <f t="shared" si="0"/>
        <v>Arterial</v>
      </c>
      <c r="L3" s="2085" t="str">
        <f t="shared" si="0"/>
        <v>Arterial</v>
      </c>
      <c r="M3" s="2085" t="str">
        <f t="shared" si="0"/>
        <v>Interna</v>
      </c>
      <c r="N3" s="2085" t="str">
        <f t="shared" si="0"/>
        <v>Interna</v>
      </c>
      <c r="O3" s="2085" t="str">
        <f t="shared" si="0"/>
        <v>Interna</v>
      </c>
      <c r="P3" s="2085" t="str">
        <f t="shared" si="0"/>
        <v>Interna</v>
      </c>
      <c r="Q3" s="2085" t="str">
        <f t="shared" si="0"/>
        <v>Interna</v>
      </c>
      <c r="R3" s="2085" t="str">
        <f t="shared" si="0"/>
        <v>Coletora</v>
      </c>
      <c r="S3" s="2085" t="str">
        <f t="shared" si="0"/>
        <v>Arterial</v>
      </c>
      <c r="T3" s="2085" t="str">
        <f t="shared" si="0"/>
        <v>Local</v>
      </c>
      <c r="U3" s="2086" t="str">
        <f t="shared" si="0"/>
        <v>Local</v>
      </c>
      <c r="V3" s="2087"/>
      <c r="W3" s="2088" t="s">
        <v>3262</v>
      </c>
      <c r="X3" s="2088" t="s">
        <v>3263</v>
      </c>
      <c r="Y3" s="2088" t="s">
        <v>3264</v>
      </c>
      <c r="Z3" s="2088" t="s">
        <v>3265</v>
      </c>
      <c r="AA3" s="2089" t="s">
        <v>3266</v>
      </c>
      <c r="AB3" s="2049"/>
      <c r="AC3" s="2049"/>
      <c r="AD3" s="2049"/>
      <c r="AE3" s="2050"/>
      <c r="AF3" s="2050"/>
    </row>
    <row r="4" spans="1:37" ht="24.95" customHeight="1" thickBot="1">
      <c r="A4" s="3129"/>
      <c r="B4" s="3106" t="s">
        <v>3267</v>
      </c>
      <c r="C4" s="3123"/>
      <c r="D4" s="3124"/>
      <c r="E4" s="2090">
        <f>IF(E2=$W$1,$W$4,IF(E2=$X$1,$X$4,IF(E2=$Y$1,$Y$4,IF(E2=$Z$1,$Z$4,IF(E2=$AA$1,$AA$4,"erro")))))</f>
        <v>10</v>
      </c>
      <c r="F4" s="2091">
        <f>IF(F2=$W$1,$W$4,IF(F2=$X$1,$X$4,IF(F2=$Y$1,$Y$4,IF(F2=$Z$1,$Z$4,IF(F2=$AA$1,$AA$4,"erro")))))</f>
        <v>12</v>
      </c>
      <c r="G4" s="2091">
        <f>IF(G2=$W$1,$W$4,IF(G2=$X$1,$X$4,IF(G2=$Y$1,$Y$4,IF(G2=$Z$1,$Z$4,IF(G2=$AA$1,$AA$4,"erro")))))</f>
        <v>10</v>
      </c>
      <c r="H4" s="2091">
        <f t="shared" ref="H4:T4" si="1">IF(H2=$W$1,$W$4,IF(H2=$X$1,$X$4,IF(H2=$Y$1,$Y$4,IF(H2=$Z$1,$Z$4,IF(H2=$AA$1,$AA$4,"erro")))))</f>
        <v>10</v>
      </c>
      <c r="I4" s="2091">
        <f t="shared" si="1"/>
        <v>12</v>
      </c>
      <c r="J4" s="2091">
        <f t="shared" si="1"/>
        <v>12</v>
      </c>
      <c r="K4" s="2091">
        <f t="shared" si="1"/>
        <v>12</v>
      </c>
      <c r="L4" s="2091">
        <f t="shared" si="1"/>
        <v>12</v>
      </c>
      <c r="M4" s="2091">
        <f t="shared" si="1"/>
        <v>10</v>
      </c>
      <c r="N4" s="2091">
        <f t="shared" si="1"/>
        <v>10</v>
      </c>
      <c r="O4" s="2091">
        <f t="shared" si="1"/>
        <v>10</v>
      </c>
      <c r="P4" s="2091">
        <f t="shared" si="1"/>
        <v>10</v>
      </c>
      <c r="Q4" s="2091">
        <f t="shared" si="1"/>
        <v>10</v>
      </c>
      <c r="R4" s="2091">
        <f t="shared" si="1"/>
        <v>10</v>
      </c>
      <c r="S4" s="2091">
        <f t="shared" si="1"/>
        <v>12</v>
      </c>
      <c r="T4" s="2091">
        <f t="shared" si="1"/>
        <v>10</v>
      </c>
      <c r="U4" s="2092">
        <f>IF(U2=$W$1,$W$4,IF(U2=$X$1,$X$4,IF(U2=$Y$1,$Y$4,IF(U2=$Z$1,$Z$4,IF(U2=$AA$1,$AA$4,"erro")))))</f>
        <v>10</v>
      </c>
      <c r="V4" s="2093"/>
      <c r="W4" s="2094">
        <v>10</v>
      </c>
      <c r="X4" s="2094">
        <v>10</v>
      </c>
      <c r="Y4" s="2094">
        <v>10</v>
      </c>
      <c r="Z4" s="2094">
        <v>12</v>
      </c>
      <c r="AA4" s="2095">
        <v>12</v>
      </c>
      <c r="AB4" s="2049"/>
      <c r="AC4" s="2049"/>
      <c r="AD4" s="2049"/>
      <c r="AE4" s="2054"/>
      <c r="AF4" s="2054"/>
    </row>
    <row r="5" spans="1:37" ht="24.95" customHeight="1">
      <c r="A5" s="3129"/>
      <c r="B5" s="3106" t="s">
        <v>3268</v>
      </c>
      <c r="C5" s="3119"/>
      <c r="D5" s="3122"/>
      <c r="E5" s="2084">
        <f>IF(E2=$W$1,$W$2,IF(E2=$X$1,$X$2,IF(E2=$Y$1,$Y$2,IF(E2=$Z$1,$Z$2,IF(E2=$AA$1,$AA$2,"erro")))))</f>
        <v>100000</v>
      </c>
      <c r="F5" s="2085">
        <f>IF(F2=$W$1,$W$2,IF(F2=$X$1,$X$2,IF(F2=$Y$1,$Y$2,IF(F2=$Z$1,$Z$2,IF(F2=$AA$1,$AA$2,"erro")))))</f>
        <v>2000000</v>
      </c>
      <c r="G5" s="2085">
        <f>IF(G2=$W$1,$W$2,IF(G2=$X$1,$X$2,IF(G2=$Y$1,$Y$2,IF(G2=$Z$1,$Z$2,IF(G2=$AA$1,$AA$2,"erro")))))</f>
        <v>100000</v>
      </c>
      <c r="H5" s="2085">
        <f t="shared" ref="H5:T5" si="2">IF(H2=$W$1,$W$2,IF(H2=$X$1,$X$2,IF(H2=$Y$1,$Y$2,IF(H2=$Z$1,$Z$2,IF(H2=$AA$1,$AA$2,"erro")))))</f>
        <v>400000</v>
      </c>
      <c r="I5" s="2085">
        <f t="shared" si="2"/>
        <v>2000000</v>
      </c>
      <c r="J5" s="2085">
        <f t="shared" si="2"/>
        <v>2000000</v>
      </c>
      <c r="K5" s="2085">
        <f t="shared" si="2"/>
        <v>2000000</v>
      </c>
      <c r="L5" s="2085">
        <f t="shared" si="2"/>
        <v>2000000</v>
      </c>
      <c r="M5" s="2085">
        <f t="shared" si="2"/>
        <v>1000</v>
      </c>
      <c r="N5" s="2085">
        <f t="shared" si="2"/>
        <v>1000</v>
      </c>
      <c r="O5" s="2085">
        <f t="shared" si="2"/>
        <v>1000</v>
      </c>
      <c r="P5" s="2085">
        <f t="shared" si="2"/>
        <v>1000</v>
      </c>
      <c r="Q5" s="2085">
        <f t="shared" si="2"/>
        <v>1000</v>
      </c>
      <c r="R5" s="2085">
        <f t="shared" si="2"/>
        <v>400000</v>
      </c>
      <c r="S5" s="2085">
        <f t="shared" si="2"/>
        <v>2000000</v>
      </c>
      <c r="T5" s="2085">
        <f t="shared" si="2"/>
        <v>100000</v>
      </c>
      <c r="U5" s="2086">
        <f>IF(U2=$W$1,$W$2,IF(U2=$X$1,$X$2,IF(U2=$Y$1,$Y$2,IF(U2=$Z$1,$Z$2,IF(U2=$AA$1,$AA$2,"erro")))))</f>
        <v>100000</v>
      </c>
      <c r="V5" s="2096"/>
      <c r="W5" s="2097"/>
      <c r="X5" s="2097"/>
      <c r="Y5" s="2097"/>
      <c r="Z5" s="2097"/>
      <c r="AA5" s="2097"/>
      <c r="AB5" s="2049"/>
      <c r="AC5" s="2049"/>
      <c r="AD5" s="2049"/>
      <c r="AE5" s="2054"/>
      <c r="AF5" s="2054"/>
    </row>
    <row r="6" spans="1:37" ht="24.95" customHeight="1">
      <c r="A6" s="3129"/>
      <c r="B6" s="3106" t="s">
        <v>3269</v>
      </c>
      <c r="C6" s="3118" t="s">
        <v>3270</v>
      </c>
      <c r="D6" s="3122"/>
      <c r="E6" s="2090">
        <v>13.3</v>
      </c>
      <c r="F6" s="2091"/>
      <c r="G6" s="2091"/>
      <c r="H6" s="2091"/>
      <c r="I6" s="2091"/>
      <c r="J6" s="2091"/>
      <c r="K6" s="2091"/>
      <c r="L6" s="2098">
        <f t="shared" ref="L6:Q6" si="3">$E6</f>
        <v>13.3</v>
      </c>
      <c r="M6" s="2098">
        <f t="shared" si="3"/>
        <v>13.3</v>
      </c>
      <c r="N6" s="2098">
        <f t="shared" si="3"/>
        <v>13.3</v>
      </c>
      <c r="O6" s="2098">
        <f t="shared" si="3"/>
        <v>13.3</v>
      </c>
      <c r="P6" s="2098">
        <f t="shared" si="3"/>
        <v>13.3</v>
      </c>
      <c r="Q6" s="2098">
        <f t="shared" si="3"/>
        <v>13.3</v>
      </c>
      <c r="R6" s="2091"/>
      <c r="S6" s="2091"/>
      <c r="T6" s="2091"/>
      <c r="U6" s="2092"/>
      <c r="V6" s="2099"/>
      <c r="W6" s="2097"/>
      <c r="X6" s="2097"/>
      <c r="Y6" s="2097"/>
      <c r="Z6" s="2049"/>
      <c r="AA6" s="2049"/>
      <c r="AB6" s="2083">
        <v>1710</v>
      </c>
      <c r="AC6" s="2049"/>
      <c r="AD6" s="2049"/>
      <c r="AE6" s="2054"/>
      <c r="AF6" s="2054"/>
    </row>
    <row r="7" spans="1:37" ht="24.95" customHeight="1">
      <c r="A7" s="3129"/>
      <c r="B7" s="3107"/>
      <c r="C7" s="3118" t="s">
        <v>3271</v>
      </c>
      <c r="D7" s="3122"/>
      <c r="E7" s="2090">
        <v>20.6</v>
      </c>
      <c r="F7" s="2091"/>
      <c r="G7" s="2091"/>
      <c r="H7" s="2091"/>
      <c r="I7" s="2091"/>
      <c r="J7" s="2098">
        <f t="shared" ref="J7:L9" si="4">$E7</f>
        <v>20.6</v>
      </c>
      <c r="K7" s="2098">
        <f t="shared" si="4"/>
        <v>20.6</v>
      </c>
      <c r="L7" s="2098">
        <f t="shared" si="4"/>
        <v>20.6</v>
      </c>
      <c r="M7" s="2091"/>
      <c r="N7" s="2091"/>
      <c r="O7" s="2091"/>
      <c r="P7" s="2091"/>
      <c r="Q7" s="2091"/>
      <c r="R7" s="2091"/>
      <c r="S7" s="2091"/>
      <c r="T7" s="2091"/>
      <c r="U7" s="2092"/>
      <c r="V7" s="2099"/>
      <c r="W7" s="2097"/>
      <c r="X7" s="2097"/>
      <c r="Y7" s="2097"/>
      <c r="Z7" s="2049"/>
      <c r="AA7" s="2049"/>
      <c r="AB7" s="2083">
        <v>6843</v>
      </c>
      <c r="AC7" s="2049"/>
      <c r="AD7" s="2049"/>
      <c r="AE7" s="2054"/>
      <c r="AF7" s="2054"/>
    </row>
    <row r="8" spans="1:37" ht="24.95" customHeight="1">
      <c r="A8" s="3129"/>
      <c r="B8" s="3107"/>
      <c r="C8" s="3118" t="s">
        <v>3272</v>
      </c>
      <c r="D8" s="3122"/>
      <c r="E8" s="2090">
        <v>14.7</v>
      </c>
      <c r="F8" s="2091"/>
      <c r="G8" s="2091"/>
      <c r="H8" s="2091"/>
      <c r="I8" s="2091"/>
      <c r="J8" s="2091"/>
      <c r="K8" s="2098">
        <f t="shared" si="4"/>
        <v>14.7</v>
      </c>
      <c r="L8" s="2091"/>
      <c r="M8" s="2091"/>
      <c r="N8" s="2091"/>
      <c r="O8" s="2091"/>
      <c r="P8" s="2091"/>
      <c r="Q8" s="2091"/>
      <c r="R8" s="2091"/>
      <c r="S8" s="2091"/>
      <c r="T8" s="2091"/>
      <c r="U8" s="2092"/>
      <c r="V8" s="2099"/>
      <c r="W8" s="2097"/>
      <c r="X8" s="2097"/>
      <c r="Y8" s="2097"/>
      <c r="Z8" s="2049"/>
      <c r="AA8" s="2049"/>
      <c r="AB8" s="2083">
        <v>82125</v>
      </c>
      <c r="AC8" s="2049"/>
      <c r="AD8" s="2049"/>
      <c r="AE8" s="2054"/>
      <c r="AF8" s="2054"/>
    </row>
    <row r="9" spans="1:37" ht="24.95" customHeight="1">
      <c r="A9" s="3129"/>
      <c r="B9" s="3107"/>
      <c r="C9" s="3118" t="s">
        <v>3273</v>
      </c>
      <c r="D9" s="3122"/>
      <c r="E9" s="2090">
        <v>13.6</v>
      </c>
      <c r="F9" s="2091"/>
      <c r="G9" s="2091"/>
      <c r="H9" s="2091"/>
      <c r="I9" s="2091"/>
      <c r="J9" s="2091"/>
      <c r="K9" s="2098">
        <f t="shared" si="4"/>
        <v>13.6</v>
      </c>
      <c r="L9" s="2091"/>
      <c r="M9" s="2091"/>
      <c r="N9" s="2091"/>
      <c r="O9" s="2091"/>
      <c r="P9" s="2091"/>
      <c r="Q9" s="2091"/>
      <c r="R9" s="2091"/>
      <c r="S9" s="2091"/>
      <c r="T9" s="2091"/>
      <c r="U9" s="2092"/>
      <c r="V9" s="2099"/>
      <c r="W9" s="2097"/>
      <c r="X9" s="2097"/>
      <c r="Y9" s="2097"/>
      <c r="Z9" s="2049"/>
      <c r="AA9" s="2049"/>
      <c r="AB9" s="2083">
        <v>5357059</v>
      </c>
      <c r="AC9" s="2049"/>
      <c r="AD9" s="2049"/>
      <c r="AE9" s="2054"/>
      <c r="AF9" s="2054"/>
    </row>
    <row r="10" spans="1:37" ht="24.95" customHeight="1">
      <c r="A10" s="3129"/>
      <c r="B10" s="3107"/>
      <c r="C10" s="3118" t="s">
        <v>3274</v>
      </c>
      <c r="D10" s="3122"/>
      <c r="E10" s="2090">
        <v>12.8</v>
      </c>
      <c r="F10" s="2091"/>
      <c r="G10" s="2091"/>
      <c r="H10" s="2091"/>
      <c r="I10" s="2091"/>
      <c r="J10" s="2098">
        <f>$E10</f>
        <v>12.8</v>
      </c>
      <c r="K10" s="2091"/>
      <c r="L10" s="2091"/>
      <c r="M10" s="2091"/>
      <c r="N10" s="2091"/>
      <c r="O10" s="2091"/>
      <c r="P10" s="2091"/>
      <c r="Q10" s="2091"/>
      <c r="R10" s="2091"/>
      <c r="S10" s="2091"/>
      <c r="T10" s="2091"/>
      <c r="U10" s="2092"/>
      <c r="V10" s="2099"/>
      <c r="W10" s="2097"/>
      <c r="X10" s="2097"/>
      <c r="Y10" s="2097"/>
      <c r="Z10" s="2049"/>
      <c r="AA10" s="2049"/>
      <c r="AB10" s="2083">
        <v>40391584</v>
      </c>
      <c r="AC10" s="2049"/>
      <c r="AD10" s="2049"/>
      <c r="AE10" s="2054"/>
      <c r="AF10" s="2054"/>
      <c r="AG10" s="2050"/>
      <c r="AH10" s="2050"/>
      <c r="AI10" s="2050"/>
      <c r="AJ10" s="2050"/>
      <c r="AK10" s="2050"/>
    </row>
    <row r="11" spans="1:37" ht="24.95" customHeight="1">
      <c r="A11" s="3129"/>
      <c r="B11" s="3107"/>
      <c r="C11" s="3118" t="s">
        <v>3275</v>
      </c>
      <c r="D11" s="3122"/>
      <c r="E11" s="2090">
        <v>12.2</v>
      </c>
      <c r="F11" s="2091"/>
      <c r="G11" s="2091"/>
      <c r="H11" s="2091"/>
      <c r="I11" s="2091"/>
      <c r="J11" s="2098">
        <f>$E11</f>
        <v>12.2</v>
      </c>
      <c r="K11" s="2091"/>
      <c r="L11" s="2091"/>
      <c r="M11" s="2091"/>
      <c r="N11" s="2091"/>
      <c r="O11" s="2091"/>
      <c r="P11" s="2091"/>
      <c r="Q11" s="2091"/>
      <c r="R11" s="2091"/>
      <c r="S11" s="2091"/>
      <c r="T11" s="2091"/>
      <c r="U11" s="2092"/>
      <c r="V11" s="2099"/>
      <c r="W11" s="2097"/>
      <c r="X11" s="2097"/>
      <c r="Y11" s="2097"/>
      <c r="Z11" s="2049"/>
      <c r="AA11" s="2049"/>
      <c r="AB11" s="2049"/>
      <c r="AC11" s="2049"/>
      <c r="AD11" s="2049"/>
      <c r="AE11" s="2054"/>
      <c r="AF11" s="2054"/>
      <c r="AG11" s="2050"/>
      <c r="AH11" s="2050"/>
      <c r="AI11" s="2050"/>
      <c r="AJ11" s="2050"/>
      <c r="AK11" s="2050"/>
    </row>
    <row r="12" spans="1:37" ht="24.95" customHeight="1">
      <c r="A12" s="3129"/>
      <c r="B12" s="3107"/>
      <c r="C12" s="3118" t="s">
        <v>3276</v>
      </c>
      <c r="D12" s="3122"/>
      <c r="E12" s="2090">
        <v>14</v>
      </c>
      <c r="F12" s="2098">
        <f>$E12</f>
        <v>14</v>
      </c>
      <c r="G12" s="2091"/>
      <c r="H12" s="2091"/>
      <c r="I12" s="2091"/>
      <c r="J12" s="2098">
        <f>$E12</f>
        <v>14</v>
      </c>
      <c r="K12" s="2091"/>
      <c r="L12" s="2091"/>
      <c r="M12" s="2091"/>
      <c r="N12" s="2091"/>
      <c r="O12" s="2091"/>
      <c r="P12" s="2091"/>
      <c r="Q12" s="2091"/>
      <c r="R12" s="2091"/>
      <c r="S12" s="2091"/>
      <c r="T12" s="2091"/>
      <c r="U12" s="2092"/>
      <c r="V12" s="2099"/>
      <c r="AB12" s="2049"/>
      <c r="AC12" s="2049"/>
      <c r="AD12" s="2100"/>
      <c r="AE12" s="2054"/>
      <c r="AF12" s="2054"/>
      <c r="AG12" s="2050"/>
      <c r="AH12" s="2050"/>
      <c r="AI12" s="2050"/>
      <c r="AJ12" s="2050"/>
      <c r="AK12" s="2050"/>
    </row>
    <row r="13" spans="1:37" ht="24.95" customHeight="1">
      <c r="A13" s="3129"/>
      <c r="B13" s="3107"/>
      <c r="C13" s="3118" t="s">
        <v>3277</v>
      </c>
      <c r="D13" s="3122"/>
      <c r="E13" s="2090">
        <v>18.5</v>
      </c>
      <c r="F13" s="2091"/>
      <c r="G13" s="2091"/>
      <c r="H13" s="2091"/>
      <c r="I13" s="2098">
        <f t="shared" ref="I13:I18" si="5">$E13</f>
        <v>18.5</v>
      </c>
      <c r="J13" s="2091"/>
      <c r="K13" s="2091"/>
      <c r="L13" s="2091"/>
      <c r="M13" s="2091"/>
      <c r="N13" s="2091"/>
      <c r="O13" s="2091"/>
      <c r="P13" s="2091"/>
      <c r="Q13" s="2091"/>
      <c r="R13" s="2091"/>
      <c r="S13" s="2091"/>
      <c r="T13" s="2091"/>
      <c r="U13" s="2092"/>
      <c r="V13" s="2099"/>
      <c r="AB13" s="2049"/>
      <c r="AC13" s="2049"/>
      <c r="AD13" s="2100"/>
      <c r="AE13" s="2054"/>
      <c r="AF13" s="2054"/>
      <c r="AG13" s="2050"/>
      <c r="AH13" s="2050"/>
      <c r="AI13" s="2050"/>
      <c r="AJ13" s="2050"/>
      <c r="AK13" s="2050"/>
    </row>
    <row r="14" spans="1:37" ht="24.95" customHeight="1">
      <c r="A14" s="3129"/>
      <c r="B14" s="3107"/>
      <c r="C14" s="3118" t="s">
        <v>3278</v>
      </c>
      <c r="D14" s="3122"/>
      <c r="E14" s="2090"/>
      <c r="F14" s="2091"/>
      <c r="G14" s="2091"/>
      <c r="H14" s="2091"/>
      <c r="I14" s="2091"/>
      <c r="J14" s="2091"/>
      <c r="K14" s="2091"/>
      <c r="L14" s="2091"/>
      <c r="M14" s="2091"/>
      <c r="N14" s="2091"/>
      <c r="O14" s="2091"/>
      <c r="P14" s="2091"/>
      <c r="Q14" s="2091"/>
      <c r="R14" s="2091"/>
      <c r="S14" s="2091"/>
      <c r="T14" s="2091"/>
      <c r="U14" s="2092"/>
      <c r="V14" s="2099"/>
      <c r="Y14" s="2097"/>
      <c r="Z14" s="2097"/>
      <c r="AA14" s="2100"/>
      <c r="AB14" s="2049"/>
      <c r="AC14" s="2049"/>
      <c r="AD14" s="2100"/>
      <c r="AE14" s="2054"/>
      <c r="AF14" s="2054"/>
      <c r="AG14" s="2050"/>
      <c r="AH14" s="2050"/>
      <c r="AI14" s="2050"/>
      <c r="AJ14" s="2050"/>
      <c r="AK14" s="2050"/>
    </row>
    <row r="15" spans="1:37" ht="24.95" customHeight="1">
      <c r="A15" s="3129"/>
      <c r="B15" s="3107"/>
      <c r="C15" s="3118" t="s">
        <v>3278</v>
      </c>
      <c r="D15" s="3122"/>
      <c r="E15" s="2090">
        <v>24.2</v>
      </c>
      <c r="F15" s="2091"/>
      <c r="G15" s="2091"/>
      <c r="H15" s="2091"/>
      <c r="I15" s="2098">
        <f t="shared" si="5"/>
        <v>24.2</v>
      </c>
      <c r="J15" s="2091"/>
      <c r="K15" s="2091"/>
      <c r="L15" s="2091"/>
      <c r="M15" s="2091"/>
      <c r="N15" s="2091"/>
      <c r="O15" s="2091"/>
      <c r="P15" s="2091"/>
      <c r="Q15" s="2091"/>
      <c r="R15" s="2091"/>
      <c r="S15" s="2091"/>
      <c r="T15" s="2091"/>
      <c r="U15" s="2092"/>
      <c r="V15" s="2099"/>
      <c r="W15" s="2097"/>
      <c r="X15" s="2097"/>
      <c r="Y15" s="2097"/>
      <c r="Z15" s="2097"/>
      <c r="AA15" s="2100"/>
      <c r="AB15" s="2049"/>
      <c r="AC15" s="2049"/>
      <c r="AD15" s="2100"/>
      <c r="AE15" s="2054"/>
      <c r="AF15" s="2054"/>
      <c r="AG15" s="2050"/>
      <c r="AH15" s="2050"/>
      <c r="AI15" s="2050"/>
      <c r="AJ15" s="2050"/>
      <c r="AK15" s="2050"/>
    </row>
    <row r="16" spans="1:37" ht="24.95" customHeight="1">
      <c r="A16" s="3129"/>
      <c r="B16" s="3107"/>
      <c r="C16" s="3118" t="s">
        <v>3279</v>
      </c>
      <c r="D16" s="3122"/>
      <c r="E16" s="2090">
        <v>21.2</v>
      </c>
      <c r="F16" s="2091"/>
      <c r="G16" s="2091"/>
      <c r="H16" s="2091"/>
      <c r="I16" s="2098">
        <f t="shared" si="5"/>
        <v>21.2</v>
      </c>
      <c r="J16" s="2091"/>
      <c r="K16" s="2091"/>
      <c r="L16" s="2091"/>
      <c r="M16" s="2091"/>
      <c r="N16" s="2091"/>
      <c r="O16" s="2091"/>
      <c r="P16" s="2091"/>
      <c r="Q16" s="2091"/>
      <c r="R16" s="2091"/>
      <c r="S16" s="2091"/>
      <c r="T16" s="2091"/>
      <c r="U16" s="2092"/>
      <c r="V16" s="2099"/>
      <c r="W16" s="2097"/>
      <c r="X16" s="2097"/>
      <c r="Y16" s="2097"/>
      <c r="Z16" s="2097"/>
      <c r="AA16" s="2100"/>
      <c r="AB16" s="2049"/>
      <c r="AC16" s="2049"/>
      <c r="AD16" s="2100"/>
      <c r="AE16" s="2054"/>
      <c r="AF16" s="2054"/>
      <c r="AG16" s="2050"/>
      <c r="AH16" s="2050"/>
      <c r="AI16" s="2050"/>
      <c r="AJ16" s="2050"/>
      <c r="AK16" s="2050"/>
    </row>
    <row r="17" spans="1:37" ht="24.95" customHeight="1">
      <c r="A17" s="3129"/>
      <c r="B17" s="3107"/>
      <c r="C17" s="3118" t="s">
        <v>3280</v>
      </c>
      <c r="D17" s="3122"/>
      <c r="E17" s="2090">
        <v>23.3</v>
      </c>
      <c r="F17" s="2091"/>
      <c r="G17" s="2098">
        <f>$E17</f>
        <v>23.3</v>
      </c>
      <c r="H17" s="2098">
        <f>$E17</f>
        <v>23.3</v>
      </c>
      <c r="I17" s="2098">
        <f t="shared" si="5"/>
        <v>23.3</v>
      </c>
      <c r="J17" s="2091"/>
      <c r="K17" s="2091"/>
      <c r="L17" s="2091"/>
      <c r="M17" s="2091"/>
      <c r="N17" s="2091"/>
      <c r="O17" s="2091"/>
      <c r="P17" s="2091"/>
      <c r="Q17" s="2091"/>
      <c r="R17" s="2091"/>
      <c r="S17" s="2091"/>
      <c r="T17" s="2091"/>
      <c r="U17" s="2092"/>
      <c r="V17" s="2099"/>
      <c r="W17" s="2097"/>
      <c r="X17" s="2097"/>
      <c r="Y17" s="2097"/>
      <c r="Z17" s="2097"/>
      <c r="AA17" s="2100"/>
      <c r="AB17" s="2049"/>
      <c r="AC17" s="2049"/>
      <c r="AD17" s="2100"/>
      <c r="AE17" s="2054"/>
      <c r="AF17" s="2054"/>
      <c r="AG17" s="2050"/>
      <c r="AH17" s="2050"/>
      <c r="AI17" s="2050"/>
      <c r="AJ17" s="2050"/>
      <c r="AK17" s="2050"/>
    </row>
    <row r="18" spans="1:37" ht="24.95" customHeight="1">
      <c r="A18" s="3129"/>
      <c r="B18" s="3107"/>
      <c r="C18" s="3118" t="s">
        <v>3281</v>
      </c>
      <c r="D18" s="3122"/>
      <c r="E18" s="2090">
        <v>23.2</v>
      </c>
      <c r="F18" s="2098">
        <f t="shared" ref="F18:F25" si="6">$E18</f>
        <v>23.2</v>
      </c>
      <c r="G18" s="2091"/>
      <c r="H18" s="2091"/>
      <c r="I18" s="2098">
        <f t="shared" si="5"/>
        <v>23.2</v>
      </c>
      <c r="J18" s="2091"/>
      <c r="K18" s="2091"/>
      <c r="L18" s="2091"/>
      <c r="M18" s="2091"/>
      <c r="N18" s="2091"/>
      <c r="O18" s="2091"/>
      <c r="P18" s="2091"/>
      <c r="Q18" s="2091"/>
      <c r="R18" s="2091"/>
      <c r="S18" s="2091"/>
      <c r="T18" s="2091"/>
      <c r="U18" s="2092"/>
      <c r="V18" s="2099"/>
      <c r="W18" s="2097"/>
      <c r="X18" s="2097"/>
      <c r="Y18" s="2097"/>
      <c r="Z18" s="2097"/>
      <c r="AA18" s="2100"/>
      <c r="AB18" s="2049"/>
      <c r="AC18" s="2049"/>
      <c r="AD18" s="2100"/>
      <c r="AE18" s="2054"/>
      <c r="AF18" s="2054"/>
      <c r="AG18" s="2050"/>
      <c r="AH18" s="2050"/>
      <c r="AI18" s="2050"/>
      <c r="AJ18" s="2050"/>
      <c r="AK18" s="2050"/>
    </row>
    <row r="19" spans="1:37" ht="24.95" customHeight="1">
      <c r="A19" s="3129"/>
      <c r="B19" s="3107"/>
      <c r="C19" s="3118" t="s">
        <v>3282</v>
      </c>
      <c r="D19" s="3122"/>
      <c r="E19" s="2090">
        <v>13.6</v>
      </c>
      <c r="F19" s="2098">
        <f t="shared" si="6"/>
        <v>13.6</v>
      </c>
      <c r="G19" s="2091"/>
      <c r="H19" s="2091"/>
      <c r="I19" s="2091"/>
      <c r="J19" s="2091"/>
      <c r="K19" s="2091"/>
      <c r="L19" s="2091"/>
      <c r="M19" s="2091"/>
      <c r="N19" s="2091"/>
      <c r="O19" s="2091"/>
      <c r="P19" s="2091"/>
      <c r="Q19" s="2091"/>
      <c r="R19" s="2091"/>
      <c r="S19" s="2091"/>
      <c r="T19" s="2091"/>
      <c r="U19" s="2092"/>
      <c r="V19" s="2099"/>
      <c r="W19" s="2097"/>
      <c r="X19" s="2097"/>
      <c r="Y19" s="2097"/>
      <c r="Z19" s="2097"/>
      <c r="AA19" s="2100"/>
      <c r="AB19" s="2049"/>
      <c r="AC19" s="2049"/>
      <c r="AD19" s="2100"/>
      <c r="AE19" s="2054"/>
      <c r="AF19" s="2054"/>
      <c r="AG19" s="2050"/>
      <c r="AH19" s="2050"/>
      <c r="AI19" s="2050"/>
      <c r="AJ19" s="2050"/>
      <c r="AK19" s="2050"/>
    </row>
    <row r="20" spans="1:37" ht="24.95" customHeight="1">
      <c r="A20" s="3129"/>
      <c r="B20" s="3107"/>
      <c r="C20" s="3118" t="s">
        <v>3283</v>
      </c>
      <c r="D20" s="3122"/>
      <c r="E20" s="2090">
        <v>19.5</v>
      </c>
      <c r="F20" s="2098">
        <f t="shared" si="6"/>
        <v>19.5</v>
      </c>
      <c r="G20" s="2091"/>
      <c r="H20" s="2091"/>
      <c r="I20" s="2091"/>
      <c r="J20" s="2091"/>
      <c r="K20" s="2091"/>
      <c r="L20" s="2091"/>
      <c r="M20" s="2091"/>
      <c r="N20" s="2091"/>
      <c r="O20" s="2091"/>
      <c r="P20" s="2091"/>
      <c r="Q20" s="2091"/>
      <c r="R20" s="2091"/>
      <c r="S20" s="2091"/>
      <c r="T20" s="2091"/>
      <c r="U20" s="2092"/>
      <c r="V20" s="2099"/>
      <c r="W20" s="2097"/>
      <c r="X20" s="2097"/>
      <c r="Y20" s="2097"/>
      <c r="Z20" s="2097"/>
      <c r="AA20" s="2100"/>
      <c r="AB20" s="2049"/>
      <c r="AC20" s="2049"/>
      <c r="AD20" s="2100"/>
      <c r="AE20" s="2054"/>
      <c r="AF20" s="2054"/>
      <c r="AG20" s="2050"/>
      <c r="AH20" s="2050"/>
      <c r="AI20" s="2050"/>
      <c r="AJ20" s="2050"/>
      <c r="AK20" s="2050"/>
    </row>
    <row r="21" spans="1:37" ht="24.95" customHeight="1">
      <c r="A21" s="3129"/>
      <c r="B21" s="3107"/>
      <c r="C21" s="3118" t="s">
        <v>3284</v>
      </c>
      <c r="D21" s="3122"/>
      <c r="E21" s="2090">
        <v>22.1</v>
      </c>
      <c r="F21" s="2098">
        <f t="shared" si="6"/>
        <v>22.1</v>
      </c>
      <c r="G21" s="2091"/>
      <c r="H21" s="2091"/>
      <c r="I21" s="2091"/>
      <c r="J21" s="2091"/>
      <c r="K21" s="2091"/>
      <c r="L21" s="2091"/>
      <c r="M21" s="2091"/>
      <c r="N21" s="2091"/>
      <c r="O21" s="2091"/>
      <c r="P21" s="2091"/>
      <c r="Q21" s="2091"/>
      <c r="R21" s="2091"/>
      <c r="S21" s="2091"/>
      <c r="T21" s="2091"/>
      <c r="U21" s="2092"/>
      <c r="V21" s="2099"/>
      <c r="W21" s="2097"/>
      <c r="X21" s="2097"/>
      <c r="Y21" s="2097"/>
      <c r="Z21" s="2097"/>
      <c r="AA21" s="2100"/>
      <c r="AB21" s="2049"/>
      <c r="AC21" s="2049"/>
      <c r="AD21" s="2100"/>
      <c r="AE21" s="2054"/>
      <c r="AF21" s="2054"/>
      <c r="AG21" s="2050"/>
      <c r="AH21" s="2050"/>
      <c r="AI21" s="2050"/>
      <c r="AJ21" s="2050"/>
      <c r="AK21" s="2050"/>
    </row>
    <row r="22" spans="1:37" ht="24.95" customHeight="1">
      <c r="A22" s="3129"/>
      <c r="B22" s="3107"/>
      <c r="C22" s="3118" t="s">
        <v>3285</v>
      </c>
      <c r="D22" s="3122"/>
      <c r="E22" s="2090">
        <v>24.9</v>
      </c>
      <c r="F22" s="2098">
        <f t="shared" si="6"/>
        <v>24.9</v>
      </c>
      <c r="G22" s="2091"/>
      <c r="H22" s="2091"/>
      <c r="I22" s="2091"/>
      <c r="J22" s="2091"/>
      <c r="K22" s="2091"/>
      <c r="L22" s="2091"/>
      <c r="M22" s="2091"/>
      <c r="N22" s="2091"/>
      <c r="O22" s="2091"/>
      <c r="P22" s="2091"/>
      <c r="Q22" s="2091"/>
      <c r="R22" s="2091"/>
      <c r="S22" s="2091"/>
      <c r="T22" s="2091"/>
      <c r="U22" s="2092"/>
      <c r="V22" s="2099"/>
      <c r="W22" s="2097"/>
      <c r="X22" s="2097"/>
      <c r="Y22" s="2097"/>
      <c r="Z22" s="2097"/>
      <c r="AA22" s="2100"/>
      <c r="AB22" s="2049"/>
      <c r="AC22" s="2049"/>
      <c r="AD22" s="2100"/>
      <c r="AE22" s="2054"/>
      <c r="AF22" s="2054"/>
      <c r="AG22" s="2050"/>
      <c r="AH22" s="2050"/>
      <c r="AI22" s="2050"/>
      <c r="AJ22" s="2050"/>
      <c r="AK22" s="2050"/>
    </row>
    <row r="23" spans="1:37" ht="24.95" customHeight="1">
      <c r="A23" s="3129"/>
      <c r="B23" s="3107"/>
      <c r="C23" s="3118" t="s">
        <v>3286</v>
      </c>
      <c r="D23" s="3122"/>
      <c r="E23" s="2090">
        <v>16.2</v>
      </c>
      <c r="F23" s="2098">
        <f t="shared" si="6"/>
        <v>16.2</v>
      </c>
      <c r="G23" s="2091"/>
      <c r="H23" s="2091"/>
      <c r="I23" s="2091"/>
      <c r="J23" s="2091"/>
      <c r="K23" s="2091"/>
      <c r="L23" s="2091"/>
      <c r="M23" s="2091"/>
      <c r="N23" s="2091"/>
      <c r="O23" s="2091"/>
      <c r="P23" s="2091"/>
      <c r="Q23" s="2091"/>
      <c r="R23" s="2091"/>
      <c r="S23" s="2091"/>
      <c r="T23" s="2091"/>
      <c r="U23" s="2092"/>
      <c r="V23" s="2099"/>
      <c r="W23" s="2097"/>
      <c r="X23" s="2097"/>
      <c r="Y23" s="2097"/>
      <c r="Z23" s="2097"/>
      <c r="AA23" s="2100"/>
      <c r="AB23" s="2049"/>
      <c r="AC23" s="2049"/>
      <c r="AD23" s="2100"/>
      <c r="AE23" s="2054"/>
      <c r="AF23" s="2054"/>
      <c r="AG23" s="2050"/>
      <c r="AH23" s="2050"/>
      <c r="AI23" s="2050"/>
      <c r="AJ23" s="2050"/>
      <c r="AK23" s="2050"/>
    </row>
    <row r="24" spans="1:37" ht="24.95" customHeight="1">
      <c r="A24" s="3129"/>
      <c r="B24" s="3107"/>
      <c r="C24" s="3118" t="s">
        <v>3287</v>
      </c>
      <c r="D24" s="3122"/>
      <c r="E24" s="2090">
        <v>19.600000000000001</v>
      </c>
      <c r="F24" s="2098">
        <f t="shared" si="6"/>
        <v>19.600000000000001</v>
      </c>
      <c r="G24" s="2091"/>
      <c r="H24" s="2091"/>
      <c r="I24" s="2091"/>
      <c r="J24" s="2091"/>
      <c r="K24" s="2091"/>
      <c r="L24" s="2091"/>
      <c r="M24" s="2091"/>
      <c r="N24" s="2091"/>
      <c r="O24" s="2091"/>
      <c r="P24" s="2091"/>
      <c r="Q24" s="2091"/>
      <c r="R24" s="2098">
        <f>$E24</f>
        <v>19.600000000000001</v>
      </c>
      <c r="S24" s="2091"/>
      <c r="T24" s="2091"/>
      <c r="U24" s="2092"/>
      <c r="V24" s="2099"/>
      <c r="W24" s="2097"/>
      <c r="X24" s="2097"/>
      <c r="Y24" s="2097"/>
      <c r="Z24" s="2097"/>
      <c r="AA24" s="2100"/>
      <c r="AB24" s="2049"/>
      <c r="AC24" s="2049"/>
      <c r="AD24" s="2100"/>
      <c r="AE24" s="2054"/>
      <c r="AF24" s="2054"/>
      <c r="AG24" s="2050"/>
      <c r="AH24" s="2050"/>
      <c r="AI24" s="2050"/>
      <c r="AJ24" s="2050"/>
      <c r="AK24" s="2050"/>
    </row>
    <row r="25" spans="1:37" ht="24.95" customHeight="1">
      <c r="A25" s="3129"/>
      <c r="B25" s="3107"/>
      <c r="C25" s="3118" t="s">
        <v>3288</v>
      </c>
      <c r="D25" s="3122"/>
      <c r="E25" s="2090">
        <v>19.2</v>
      </c>
      <c r="F25" s="2098">
        <f t="shared" si="6"/>
        <v>19.2</v>
      </c>
      <c r="G25" s="2091"/>
      <c r="H25" s="2091"/>
      <c r="I25" s="2091"/>
      <c r="J25" s="2091"/>
      <c r="K25" s="2091"/>
      <c r="L25" s="2091"/>
      <c r="M25" s="2091"/>
      <c r="N25" s="2091"/>
      <c r="O25" s="2091"/>
      <c r="P25" s="2091"/>
      <c r="Q25" s="2091"/>
      <c r="R25" s="2091"/>
      <c r="S25" s="2091"/>
      <c r="T25" s="2091"/>
      <c r="U25" s="2092"/>
      <c r="V25" s="2099"/>
      <c r="W25" s="2097"/>
      <c r="X25" s="2097"/>
      <c r="Y25" s="2097"/>
      <c r="Z25" s="2097"/>
      <c r="AA25" s="2100"/>
      <c r="AB25" s="2049"/>
      <c r="AC25" s="2049"/>
      <c r="AD25" s="2100"/>
      <c r="AE25" s="2054"/>
      <c r="AF25" s="2054"/>
      <c r="AG25" s="2050"/>
      <c r="AH25" s="2050"/>
      <c r="AI25" s="2050"/>
      <c r="AJ25" s="2050"/>
      <c r="AK25" s="2050"/>
    </row>
    <row r="26" spans="1:37" ht="24.95" hidden="1" customHeight="1">
      <c r="A26" s="3129"/>
      <c r="B26" s="3107"/>
      <c r="C26" s="3118" t="s">
        <v>3289</v>
      </c>
      <c r="D26" s="3122"/>
      <c r="E26" s="2090">
        <v>18.399999999999999</v>
      </c>
      <c r="F26" s="2091"/>
      <c r="G26" s="2091"/>
      <c r="H26" s="2091"/>
      <c r="I26" s="2091"/>
      <c r="J26" s="2091"/>
      <c r="K26" s="2091"/>
      <c r="L26" s="2091"/>
      <c r="M26" s="2091"/>
      <c r="N26" s="2091"/>
      <c r="O26" s="2091"/>
      <c r="P26" s="2091"/>
      <c r="Q26" s="2091"/>
      <c r="R26" s="2098">
        <f>$E26</f>
        <v>18.399999999999999</v>
      </c>
      <c r="S26" s="2091"/>
      <c r="T26" s="2098">
        <f>$E26</f>
        <v>18.399999999999999</v>
      </c>
      <c r="U26" s="2092"/>
      <c r="V26" s="2099"/>
      <c r="W26" s="2097"/>
      <c r="X26" s="2097"/>
      <c r="Y26" s="2097"/>
      <c r="Z26" s="2097"/>
      <c r="AA26" s="2100"/>
      <c r="AB26" s="2049"/>
      <c r="AC26" s="2049"/>
      <c r="AD26" s="2100"/>
      <c r="AE26" s="2054"/>
      <c r="AF26" s="2054"/>
      <c r="AG26" s="2050"/>
      <c r="AH26" s="2050"/>
      <c r="AI26" s="2050"/>
      <c r="AJ26" s="2050"/>
      <c r="AK26" s="2050"/>
    </row>
    <row r="27" spans="1:37" ht="24.95" hidden="1" customHeight="1">
      <c r="A27" s="3129"/>
      <c r="B27" s="3107"/>
      <c r="C27" s="3118" t="s">
        <v>3290</v>
      </c>
      <c r="D27" s="3122"/>
      <c r="E27" s="2090">
        <v>16.8</v>
      </c>
      <c r="F27" s="2091"/>
      <c r="G27" s="2091"/>
      <c r="H27" s="2091"/>
      <c r="I27" s="2091"/>
      <c r="J27" s="2091"/>
      <c r="K27" s="2091"/>
      <c r="L27" s="2091"/>
      <c r="M27" s="2091"/>
      <c r="N27" s="2091"/>
      <c r="O27" s="2091"/>
      <c r="P27" s="2091"/>
      <c r="Q27" s="2091"/>
      <c r="R27" s="2091"/>
      <c r="S27" s="2091"/>
      <c r="T27" s="2091"/>
      <c r="U27" s="2101">
        <f>$E27</f>
        <v>16.8</v>
      </c>
      <c r="V27" s="2099"/>
      <c r="W27" s="2097"/>
      <c r="X27" s="2097"/>
      <c r="Y27" s="2097"/>
      <c r="Z27" s="2097"/>
      <c r="AA27" s="2100"/>
      <c r="AB27" s="2049"/>
      <c r="AC27" s="2049"/>
      <c r="AD27" s="2100"/>
      <c r="AE27" s="2054"/>
      <c r="AF27" s="2054"/>
      <c r="AG27" s="2050"/>
      <c r="AH27" s="2050"/>
      <c r="AI27" s="2050"/>
      <c r="AJ27" s="2050"/>
      <c r="AK27" s="2050"/>
    </row>
    <row r="28" spans="1:37" ht="24.95" hidden="1" customHeight="1">
      <c r="A28" s="3129"/>
      <c r="B28" s="3107"/>
      <c r="C28" s="3118" t="s">
        <v>3291</v>
      </c>
      <c r="D28" s="3122"/>
      <c r="E28" s="2090">
        <v>15.5</v>
      </c>
      <c r="F28" s="2091"/>
      <c r="G28" s="2091"/>
      <c r="H28" s="2091"/>
      <c r="I28" s="2091"/>
      <c r="J28" s="2091"/>
      <c r="K28" s="2091"/>
      <c r="L28" s="2091"/>
      <c r="M28" s="2091"/>
      <c r="N28" s="2091"/>
      <c r="O28" s="2091"/>
      <c r="P28" s="2091"/>
      <c r="Q28" s="2091"/>
      <c r="R28" s="2091"/>
      <c r="S28" s="2098">
        <f>$E28</f>
        <v>15.5</v>
      </c>
      <c r="T28" s="2091"/>
      <c r="U28" s="2092"/>
      <c r="V28" s="2099"/>
      <c r="W28" s="2097"/>
      <c r="X28" s="2097"/>
      <c r="Y28" s="2097"/>
      <c r="Z28" s="2097"/>
      <c r="AA28" s="2100"/>
      <c r="AB28" s="2049"/>
      <c r="AC28" s="2049"/>
      <c r="AD28" s="2100"/>
      <c r="AE28" s="2054"/>
      <c r="AF28" s="2054"/>
      <c r="AG28" s="2050"/>
      <c r="AH28" s="2050"/>
      <c r="AI28" s="2050"/>
      <c r="AJ28" s="2050"/>
      <c r="AK28" s="2050"/>
    </row>
    <row r="29" spans="1:37" ht="24.95" hidden="1" customHeight="1">
      <c r="A29" s="3129"/>
      <c r="B29" s="3107"/>
      <c r="C29" s="3118" t="s">
        <v>3292</v>
      </c>
      <c r="D29" s="3122"/>
      <c r="E29" s="2090">
        <v>18.2</v>
      </c>
      <c r="F29" s="2091"/>
      <c r="G29" s="2091"/>
      <c r="H29" s="2091"/>
      <c r="I29" s="2091"/>
      <c r="J29" s="2091"/>
      <c r="K29" s="2091"/>
      <c r="L29" s="2091"/>
      <c r="M29" s="2091"/>
      <c r="N29" s="2091"/>
      <c r="O29" s="2091"/>
      <c r="P29" s="2091"/>
      <c r="Q29" s="2091"/>
      <c r="R29" s="2091"/>
      <c r="S29" s="2098">
        <f>$E29</f>
        <v>18.2</v>
      </c>
      <c r="T29" s="2091"/>
      <c r="U29" s="2101">
        <f>$E29</f>
        <v>18.2</v>
      </c>
      <c r="V29" s="2099"/>
      <c r="W29" s="2097"/>
      <c r="X29" s="2097"/>
      <c r="Y29" s="2097"/>
      <c r="Z29" s="2097"/>
      <c r="AA29" s="2100"/>
      <c r="AB29" s="2049"/>
      <c r="AC29" s="2049"/>
      <c r="AD29" s="2100"/>
      <c r="AE29" s="2054"/>
      <c r="AF29" s="2054"/>
      <c r="AG29" s="2050"/>
      <c r="AH29" s="2050"/>
      <c r="AI29" s="2050"/>
      <c r="AJ29" s="2050"/>
      <c r="AK29" s="2050"/>
    </row>
    <row r="30" spans="1:37" ht="24.95" customHeight="1">
      <c r="A30" s="3129"/>
      <c r="B30" s="3107"/>
      <c r="C30" s="3118" t="s">
        <v>1715</v>
      </c>
      <c r="D30" s="3122"/>
      <c r="E30" s="2102">
        <f>AVERAGE(E6:E29)</f>
        <v>18.069565217391304</v>
      </c>
      <c r="F30" s="2103">
        <f t="shared" ref="F30:U30" si="7">AVERAGE(F6:F29)</f>
        <v>19.144444444444442</v>
      </c>
      <c r="G30" s="2103">
        <f t="shared" si="7"/>
        <v>23.3</v>
      </c>
      <c r="H30" s="2103">
        <f t="shared" si="7"/>
        <v>23.3</v>
      </c>
      <c r="I30" s="2103">
        <f t="shared" si="7"/>
        <v>22.080000000000002</v>
      </c>
      <c r="J30" s="2103">
        <f t="shared" si="7"/>
        <v>14.900000000000002</v>
      </c>
      <c r="K30" s="2103">
        <f t="shared" si="7"/>
        <v>16.3</v>
      </c>
      <c r="L30" s="2103">
        <f t="shared" si="7"/>
        <v>16.950000000000003</v>
      </c>
      <c r="M30" s="2103">
        <f t="shared" si="7"/>
        <v>13.3</v>
      </c>
      <c r="N30" s="2103">
        <f t="shared" si="7"/>
        <v>13.3</v>
      </c>
      <c r="O30" s="2103">
        <f t="shared" si="7"/>
        <v>13.3</v>
      </c>
      <c r="P30" s="2103">
        <f t="shared" si="7"/>
        <v>13.3</v>
      </c>
      <c r="Q30" s="2103">
        <f t="shared" si="7"/>
        <v>13.3</v>
      </c>
      <c r="R30" s="2103">
        <f t="shared" si="7"/>
        <v>19</v>
      </c>
      <c r="S30" s="2103">
        <f t="shared" si="7"/>
        <v>16.850000000000001</v>
      </c>
      <c r="T30" s="2103">
        <f t="shared" si="7"/>
        <v>18.399999999999999</v>
      </c>
      <c r="U30" s="2104">
        <f t="shared" si="7"/>
        <v>17.5</v>
      </c>
      <c r="V30" s="2099"/>
      <c r="W30" s="2097"/>
      <c r="X30" s="2097"/>
      <c r="Y30" s="2097"/>
      <c r="Z30" s="2097"/>
      <c r="AA30" s="2097"/>
      <c r="AB30" s="2097"/>
      <c r="AC30" s="2049"/>
      <c r="AD30" s="2100"/>
      <c r="AE30" s="2054"/>
      <c r="AF30" s="2054"/>
      <c r="AG30" s="2050"/>
      <c r="AH30" s="2050"/>
      <c r="AI30" s="2050"/>
      <c r="AJ30" s="2050"/>
      <c r="AK30" s="2050"/>
    </row>
    <row r="31" spans="1:37" ht="24.95" hidden="1" customHeight="1">
      <c r="A31" s="3129"/>
      <c r="B31" s="3106" t="s">
        <v>3293</v>
      </c>
      <c r="C31" s="3123"/>
      <c r="D31" s="3124"/>
      <c r="E31" s="2102">
        <f>_xlfn.STDEV.S(E6:E29)</f>
        <v>3.9363613542791627</v>
      </c>
      <c r="F31" s="2105"/>
      <c r="G31" s="2105"/>
      <c r="H31" s="2105"/>
      <c r="I31" s="2105"/>
      <c r="J31" s="2105"/>
      <c r="K31" s="2105"/>
      <c r="L31" s="2105"/>
      <c r="M31" s="2105"/>
      <c r="N31" s="2105"/>
      <c r="O31" s="2105"/>
      <c r="P31" s="2105"/>
      <c r="Q31" s="2105"/>
      <c r="R31" s="2105"/>
      <c r="S31" s="2105"/>
      <c r="T31" s="2105"/>
      <c r="U31" s="2106"/>
      <c r="V31" s="2099"/>
      <c r="W31" s="2097"/>
      <c r="X31" s="2097"/>
      <c r="Y31" s="2097"/>
      <c r="Z31" s="2097"/>
      <c r="AA31" s="2097"/>
      <c r="AB31" s="2097"/>
      <c r="AC31" s="2049"/>
      <c r="AD31" s="2100"/>
      <c r="AE31" s="2054"/>
      <c r="AF31" s="2054"/>
      <c r="AG31" s="2050"/>
      <c r="AH31" s="2050"/>
      <c r="AI31" s="2050"/>
      <c r="AJ31" s="2050"/>
      <c r="AK31" s="2050"/>
    </row>
    <row r="32" spans="1:37" ht="24.95" customHeight="1">
      <c r="A32" s="3129"/>
      <c r="B32" s="3106" t="s">
        <v>3294</v>
      </c>
      <c r="C32" s="3123"/>
      <c r="D32" s="3124"/>
      <c r="E32" s="2107">
        <f t="shared" ref="E32:U32" si="8">E30-1.29*E31/COUNT(E6:E29)^0.5-0.68*E31</f>
        <v>14.334022871598753</v>
      </c>
      <c r="F32" s="2108">
        <f t="shared" si="8"/>
        <v>19.144444444444442</v>
      </c>
      <c r="G32" s="2108">
        <f t="shared" si="8"/>
        <v>23.3</v>
      </c>
      <c r="H32" s="2108">
        <f t="shared" si="8"/>
        <v>23.3</v>
      </c>
      <c r="I32" s="2108">
        <f t="shared" si="8"/>
        <v>22.080000000000002</v>
      </c>
      <c r="J32" s="2108">
        <f t="shared" si="8"/>
        <v>14.900000000000002</v>
      </c>
      <c r="K32" s="2108">
        <f t="shared" si="8"/>
        <v>16.3</v>
      </c>
      <c r="L32" s="2108">
        <f t="shared" si="8"/>
        <v>16.950000000000003</v>
      </c>
      <c r="M32" s="2108">
        <f t="shared" si="8"/>
        <v>13.3</v>
      </c>
      <c r="N32" s="2108">
        <f t="shared" si="8"/>
        <v>13.3</v>
      </c>
      <c r="O32" s="2108">
        <f t="shared" si="8"/>
        <v>13.3</v>
      </c>
      <c r="P32" s="2108">
        <f t="shared" si="8"/>
        <v>13.3</v>
      </c>
      <c r="Q32" s="2108">
        <f t="shared" si="8"/>
        <v>13.3</v>
      </c>
      <c r="R32" s="2108">
        <f t="shared" si="8"/>
        <v>19</v>
      </c>
      <c r="S32" s="2108">
        <f t="shared" si="8"/>
        <v>16.850000000000001</v>
      </c>
      <c r="T32" s="2108">
        <f t="shared" si="8"/>
        <v>18.399999999999999</v>
      </c>
      <c r="U32" s="2109">
        <f t="shared" si="8"/>
        <v>17.5</v>
      </c>
      <c r="V32" s="2110"/>
      <c r="W32" s="2097"/>
      <c r="X32" s="2097"/>
      <c r="Y32" s="2097"/>
      <c r="Z32" s="2097"/>
      <c r="AA32" s="2097"/>
      <c r="AB32" s="2097"/>
      <c r="AC32" s="2049"/>
      <c r="AD32" s="2100"/>
      <c r="AE32" s="2054"/>
      <c r="AF32" s="2054"/>
      <c r="AG32" s="2050"/>
      <c r="AH32" s="2050"/>
      <c r="AI32" s="2050"/>
      <c r="AJ32" s="2050"/>
      <c r="AK32" s="2050"/>
    </row>
    <row r="33" spans="1:37" ht="24.95" hidden="1" customHeight="1">
      <c r="A33" s="3129"/>
      <c r="B33" s="3125" t="s">
        <v>3295</v>
      </c>
      <c r="C33" s="3126"/>
      <c r="D33" s="3127"/>
      <c r="E33" s="2111">
        <f>IF(E30&gt;20,20,E32)</f>
        <v>14.334022871598753</v>
      </c>
      <c r="F33" s="2112">
        <f>IF(F30&gt;20,20,F32)</f>
        <v>19.144444444444442</v>
      </c>
      <c r="G33" s="2112">
        <f>IF(G30&gt;20,20,G32)</f>
        <v>20</v>
      </c>
      <c r="H33" s="2112">
        <f t="shared" ref="H33:T33" si="9">IF(H30&gt;20,20,H32)</f>
        <v>20</v>
      </c>
      <c r="I33" s="2112">
        <f t="shared" si="9"/>
        <v>20</v>
      </c>
      <c r="J33" s="2112">
        <f t="shared" si="9"/>
        <v>14.900000000000002</v>
      </c>
      <c r="K33" s="2112">
        <f t="shared" si="9"/>
        <v>16.3</v>
      </c>
      <c r="L33" s="2112">
        <f t="shared" si="9"/>
        <v>16.950000000000003</v>
      </c>
      <c r="M33" s="2112">
        <f t="shared" si="9"/>
        <v>13.3</v>
      </c>
      <c r="N33" s="2112">
        <f t="shared" si="9"/>
        <v>13.3</v>
      </c>
      <c r="O33" s="2112">
        <f t="shared" si="9"/>
        <v>13.3</v>
      </c>
      <c r="P33" s="2112">
        <f t="shared" si="9"/>
        <v>13.3</v>
      </c>
      <c r="Q33" s="2112">
        <f t="shared" si="9"/>
        <v>13.3</v>
      </c>
      <c r="R33" s="2112">
        <f t="shared" si="9"/>
        <v>19</v>
      </c>
      <c r="S33" s="2112">
        <f t="shared" si="9"/>
        <v>16.850000000000001</v>
      </c>
      <c r="T33" s="2112">
        <f t="shared" si="9"/>
        <v>18.399999999999999</v>
      </c>
      <c r="U33" s="2113">
        <f>IF(U30&gt;20,20,U32)</f>
        <v>17.5</v>
      </c>
      <c r="V33" s="2114"/>
      <c r="W33" s="2097"/>
      <c r="X33" s="2097"/>
      <c r="Y33" s="2097"/>
      <c r="Z33" s="2097"/>
      <c r="AA33" s="2097"/>
      <c r="AB33" s="2097"/>
      <c r="AC33" s="2049"/>
      <c r="AD33" s="2100"/>
      <c r="AE33" s="2054"/>
      <c r="AF33" s="2054"/>
      <c r="AG33" s="2050"/>
      <c r="AH33" s="2050"/>
      <c r="AI33" s="2050"/>
      <c r="AJ33" s="2050"/>
      <c r="AK33" s="2050"/>
    </row>
    <row r="34" spans="1:37" ht="24.95" customHeight="1">
      <c r="A34" s="3129"/>
      <c r="B34" s="3106" t="s">
        <v>3296</v>
      </c>
      <c r="C34" s="3118" t="s">
        <v>3297</v>
      </c>
      <c r="D34" s="3122"/>
      <c r="E34" s="2115">
        <f>ROUND(77.67*((E5)^0.0482)*(20^(-0.598))*IF(E5&gt;9900000,1.2,1),0)</f>
        <v>23</v>
      </c>
      <c r="F34" s="2116">
        <f t="shared" ref="F34:U34" si="10">ROUND(77.67*((F5)^0.0482)*(20^(-0.598))*IF(F5&gt;9900000,1.2,1),0)</f>
        <v>26</v>
      </c>
      <c r="G34" s="2116">
        <f t="shared" si="10"/>
        <v>23</v>
      </c>
      <c r="H34" s="2116">
        <f t="shared" si="10"/>
        <v>24</v>
      </c>
      <c r="I34" s="2116">
        <f t="shared" si="10"/>
        <v>26</v>
      </c>
      <c r="J34" s="2116">
        <f t="shared" si="10"/>
        <v>26</v>
      </c>
      <c r="K34" s="2116">
        <f t="shared" si="10"/>
        <v>26</v>
      </c>
      <c r="L34" s="2116">
        <f t="shared" si="10"/>
        <v>26</v>
      </c>
      <c r="M34" s="2116">
        <f t="shared" si="10"/>
        <v>18</v>
      </c>
      <c r="N34" s="2116">
        <f t="shared" si="10"/>
        <v>18</v>
      </c>
      <c r="O34" s="2116">
        <f t="shared" si="10"/>
        <v>18</v>
      </c>
      <c r="P34" s="2116">
        <f t="shared" si="10"/>
        <v>18</v>
      </c>
      <c r="Q34" s="2116">
        <f t="shared" si="10"/>
        <v>18</v>
      </c>
      <c r="R34" s="2116">
        <f t="shared" si="10"/>
        <v>24</v>
      </c>
      <c r="S34" s="2116">
        <f t="shared" si="10"/>
        <v>26</v>
      </c>
      <c r="T34" s="2116">
        <f t="shared" si="10"/>
        <v>23</v>
      </c>
      <c r="U34" s="2117">
        <f t="shared" si="10"/>
        <v>23</v>
      </c>
      <c r="V34" s="2099"/>
      <c r="W34" s="2097"/>
      <c r="X34" s="2097"/>
      <c r="Y34" s="2097"/>
      <c r="Z34" s="2097"/>
      <c r="AA34" s="2097"/>
      <c r="AB34" s="2097"/>
      <c r="AC34" s="2049"/>
      <c r="AD34" s="2100"/>
      <c r="AE34" s="2054"/>
      <c r="AF34" s="2054"/>
      <c r="AG34" s="2050"/>
      <c r="AH34" s="2050"/>
      <c r="AI34" s="2050"/>
      <c r="AJ34" s="2050"/>
      <c r="AK34" s="2050"/>
    </row>
    <row r="35" spans="1:37" ht="24.95" customHeight="1">
      <c r="A35" s="3129"/>
      <c r="B35" s="3107"/>
      <c r="C35" s="3118" t="s">
        <v>3298</v>
      </c>
      <c r="D35" s="3122"/>
      <c r="E35" s="2102">
        <f>ROUND(77.67*((E5)^0.0482)*(E50^(-0.598)),0)</f>
        <v>27</v>
      </c>
      <c r="F35" s="2103">
        <f t="shared" ref="F35:U35" si="11">ROUND(77.67*((F5)^0.0482)*(F50^(-0.598)),0)</f>
        <v>27</v>
      </c>
      <c r="G35" s="2103">
        <f t="shared" si="11"/>
        <v>23</v>
      </c>
      <c r="H35" s="2103">
        <f t="shared" si="11"/>
        <v>24</v>
      </c>
      <c r="I35" s="2103">
        <f t="shared" si="11"/>
        <v>26</v>
      </c>
      <c r="J35" s="2103">
        <f t="shared" si="11"/>
        <v>31</v>
      </c>
      <c r="K35" s="2103">
        <f t="shared" si="11"/>
        <v>29</v>
      </c>
      <c r="L35" s="2103">
        <f t="shared" si="11"/>
        <v>29</v>
      </c>
      <c r="M35" s="2103">
        <f t="shared" si="11"/>
        <v>23</v>
      </c>
      <c r="N35" s="2103">
        <f t="shared" si="11"/>
        <v>23</v>
      </c>
      <c r="O35" s="2103">
        <f t="shared" si="11"/>
        <v>23</v>
      </c>
      <c r="P35" s="2103">
        <f t="shared" si="11"/>
        <v>23</v>
      </c>
      <c r="Q35" s="2103">
        <f t="shared" si="11"/>
        <v>23</v>
      </c>
      <c r="R35" s="2103">
        <f t="shared" si="11"/>
        <v>25</v>
      </c>
      <c r="S35" s="2103">
        <f t="shared" si="11"/>
        <v>29</v>
      </c>
      <c r="T35" s="2103">
        <f t="shared" si="11"/>
        <v>24</v>
      </c>
      <c r="U35" s="2104">
        <f t="shared" si="11"/>
        <v>24</v>
      </c>
      <c r="V35" s="2097"/>
      <c r="W35" s="2097"/>
      <c r="X35" s="2097"/>
      <c r="Y35" s="2097"/>
      <c r="Z35" s="2097"/>
      <c r="AA35" s="2097"/>
      <c r="AB35" s="2097"/>
      <c r="AC35" s="2049"/>
      <c r="AD35" s="2100"/>
      <c r="AE35" s="2054"/>
      <c r="AF35" s="2054"/>
      <c r="AG35" s="2050"/>
      <c r="AH35" s="2050"/>
      <c r="AI35" s="2050"/>
      <c r="AJ35" s="2050"/>
      <c r="AK35" s="2050"/>
    </row>
    <row r="36" spans="1:37" ht="24.95" customHeight="1">
      <c r="A36" s="3129"/>
      <c r="B36" s="3107"/>
      <c r="C36" s="3118" t="s">
        <v>3299</v>
      </c>
      <c r="D36" s="3122"/>
      <c r="E36" s="2118">
        <f>ROUND(77.67*((E5)^0.0482)*(E33^(-0.598)),0)</f>
        <v>28</v>
      </c>
      <c r="F36" s="2119">
        <f t="shared" ref="F36:U36" si="12">ROUND(77.67*((F5)^0.0482)*(F33^(-0.598)),0)</f>
        <v>27</v>
      </c>
      <c r="G36" s="2119">
        <f t="shared" si="12"/>
        <v>23</v>
      </c>
      <c r="H36" s="2119">
        <f t="shared" si="12"/>
        <v>24</v>
      </c>
      <c r="I36" s="2119">
        <f t="shared" si="12"/>
        <v>26</v>
      </c>
      <c r="J36" s="2119">
        <f t="shared" si="12"/>
        <v>31</v>
      </c>
      <c r="K36" s="2119">
        <f t="shared" si="12"/>
        <v>29</v>
      </c>
      <c r="L36" s="2119">
        <f t="shared" si="12"/>
        <v>29</v>
      </c>
      <c r="M36" s="2119">
        <f t="shared" si="12"/>
        <v>23</v>
      </c>
      <c r="N36" s="2119">
        <f t="shared" si="12"/>
        <v>23</v>
      </c>
      <c r="O36" s="2119">
        <f t="shared" si="12"/>
        <v>23</v>
      </c>
      <c r="P36" s="2119">
        <f t="shared" si="12"/>
        <v>23</v>
      </c>
      <c r="Q36" s="2119">
        <f t="shared" si="12"/>
        <v>23</v>
      </c>
      <c r="R36" s="2119">
        <f t="shared" si="12"/>
        <v>25</v>
      </c>
      <c r="S36" s="2119">
        <f t="shared" si="12"/>
        <v>29</v>
      </c>
      <c r="T36" s="2119">
        <f t="shared" si="12"/>
        <v>24</v>
      </c>
      <c r="U36" s="2120">
        <f t="shared" si="12"/>
        <v>24</v>
      </c>
      <c r="V36" s="2097"/>
      <c r="W36" s="2097"/>
      <c r="X36" s="2097"/>
      <c r="Y36" s="2097"/>
      <c r="Z36" s="2097"/>
      <c r="AA36" s="2097"/>
      <c r="AB36" s="2097"/>
      <c r="AC36" s="2049"/>
      <c r="AD36" s="2121"/>
      <c r="AE36" s="2054"/>
      <c r="AF36" s="2054"/>
      <c r="AG36" s="2050"/>
      <c r="AH36" s="2050"/>
      <c r="AI36" s="2050"/>
      <c r="AJ36" s="2050"/>
      <c r="AK36" s="2050"/>
    </row>
    <row r="37" spans="1:37" ht="24.95" customHeight="1">
      <c r="A37" s="3129"/>
      <c r="B37" s="3106" t="s">
        <v>3300</v>
      </c>
      <c r="C37" s="3118" t="s">
        <v>2412</v>
      </c>
      <c r="D37" s="2122" t="s">
        <v>3260</v>
      </c>
      <c r="E37" s="2090" t="s">
        <v>2198</v>
      </c>
      <c r="F37" s="2091" t="s">
        <v>2198</v>
      </c>
      <c r="G37" s="2091" t="s">
        <v>2198</v>
      </c>
      <c r="H37" s="2091" t="s">
        <v>2198</v>
      </c>
      <c r="I37" s="2091" t="s">
        <v>2198</v>
      </c>
      <c r="J37" s="2091" t="s">
        <v>2198</v>
      </c>
      <c r="K37" s="2091" t="s">
        <v>2198</v>
      </c>
      <c r="L37" s="2091" t="s">
        <v>2198</v>
      </c>
      <c r="M37" s="2091" t="s">
        <v>2198</v>
      </c>
      <c r="N37" s="2091" t="s">
        <v>2198</v>
      </c>
      <c r="O37" s="2091" t="s">
        <v>2198</v>
      </c>
      <c r="P37" s="2091" t="s">
        <v>2198</v>
      </c>
      <c r="Q37" s="2091" t="s">
        <v>2198</v>
      </c>
      <c r="R37" s="2091" t="s">
        <v>2198</v>
      </c>
      <c r="S37" s="2091" t="s">
        <v>2198</v>
      </c>
      <c r="T37" s="2091" t="s">
        <v>2198</v>
      </c>
      <c r="U37" s="2092" t="s">
        <v>2198</v>
      </c>
      <c r="V37" s="2097"/>
      <c r="W37" s="2097"/>
      <c r="X37" s="2097"/>
      <c r="Y37" s="2097"/>
      <c r="Z37" s="2097"/>
      <c r="AA37" s="2097"/>
      <c r="AB37" s="2097"/>
      <c r="AC37" s="2049"/>
      <c r="AD37" s="2121"/>
      <c r="AE37" s="2054"/>
      <c r="AF37" s="2054"/>
      <c r="AG37" s="2050"/>
      <c r="AH37" s="2050"/>
      <c r="AI37" s="2050"/>
      <c r="AJ37" s="2050"/>
      <c r="AK37" s="2050"/>
    </row>
    <row r="38" spans="1:37" ht="24.95" customHeight="1">
      <c r="A38" s="3129"/>
      <c r="B38" s="3107"/>
      <c r="C38" s="3119"/>
      <c r="D38" s="2123" t="s">
        <v>3301</v>
      </c>
      <c r="E38" s="2090">
        <v>4</v>
      </c>
      <c r="F38" s="2091">
        <v>4</v>
      </c>
      <c r="G38" s="2091">
        <v>3</v>
      </c>
      <c r="H38" s="2091">
        <v>3</v>
      </c>
      <c r="I38" s="2091">
        <v>4</v>
      </c>
      <c r="J38" s="2091">
        <v>4</v>
      </c>
      <c r="K38" s="2091">
        <v>4</v>
      </c>
      <c r="L38" s="2091">
        <v>4</v>
      </c>
      <c r="M38" s="2091">
        <v>3</v>
      </c>
      <c r="N38" s="2091">
        <v>3</v>
      </c>
      <c r="O38" s="2091">
        <v>3</v>
      </c>
      <c r="P38" s="2091">
        <v>3</v>
      </c>
      <c r="Q38" s="2091">
        <v>3</v>
      </c>
      <c r="R38" s="2091">
        <v>4</v>
      </c>
      <c r="S38" s="2091">
        <v>4</v>
      </c>
      <c r="T38" s="2091">
        <v>3</v>
      </c>
      <c r="U38" s="2092">
        <v>3</v>
      </c>
      <c r="V38" s="2097"/>
      <c r="W38" s="2097"/>
      <c r="X38" s="2097"/>
      <c r="Y38" s="2097"/>
      <c r="Z38" s="2097"/>
      <c r="AA38" s="2097"/>
      <c r="AB38" s="2097"/>
      <c r="AC38" s="2049"/>
      <c r="AD38" s="2121"/>
      <c r="AE38" s="2054"/>
      <c r="AF38" s="2054"/>
      <c r="AG38" s="2050"/>
      <c r="AH38" s="2050"/>
      <c r="AI38" s="2050"/>
      <c r="AJ38" s="2050"/>
      <c r="AK38" s="2050"/>
    </row>
    <row r="39" spans="1:37" ht="24.95" customHeight="1">
      <c r="A39" s="3129"/>
      <c r="B39" s="3107"/>
      <c r="C39" s="3119"/>
      <c r="D39" s="2123" t="s">
        <v>3302</v>
      </c>
      <c r="E39" s="2124">
        <f>IF(E37="CBUQ",2,IF(E37="PMQ",1.7,IF(E37="PMF",1.4,1.2)))</f>
        <v>2</v>
      </c>
      <c r="F39" s="2125">
        <f>IF(F37="CBUQ",2,IF(F37="PMQ",1.7,IF(F37="PMF",1.4,1.2)))</f>
        <v>2</v>
      </c>
      <c r="G39" s="2125">
        <f t="shared" ref="G39:S39" si="13">IF(G37="CBUQ",2,IF(G37="PMQ",1.7,IF(G37="PMF",1.4,1.2)))</f>
        <v>2</v>
      </c>
      <c r="H39" s="2125">
        <f t="shared" si="13"/>
        <v>2</v>
      </c>
      <c r="I39" s="2125">
        <f t="shared" si="13"/>
        <v>2</v>
      </c>
      <c r="J39" s="2125">
        <f>IF(J37="CBUQ",2,IF(J37="PMQ",1.7,IF(J37="PMF",1.4,1.2)))</f>
        <v>2</v>
      </c>
      <c r="K39" s="2125">
        <f t="shared" si="13"/>
        <v>2</v>
      </c>
      <c r="L39" s="2125">
        <f t="shared" si="13"/>
        <v>2</v>
      </c>
      <c r="M39" s="2125">
        <f t="shared" si="13"/>
        <v>2</v>
      </c>
      <c r="N39" s="2125">
        <f t="shared" si="13"/>
        <v>2</v>
      </c>
      <c r="O39" s="2125">
        <f t="shared" si="13"/>
        <v>2</v>
      </c>
      <c r="P39" s="2125">
        <f t="shared" si="13"/>
        <v>2</v>
      </c>
      <c r="Q39" s="2125">
        <f t="shared" si="13"/>
        <v>2</v>
      </c>
      <c r="R39" s="2125">
        <f t="shared" si="13"/>
        <v>2</v>
      </c>
      <c r="S39" s="2125">
        <f t="shared" si="13"/>
        <v>2</v>
      </c>
      <c r="T39" s="2125">
        <f>IF(T37="CBUQ",2,IF(T37="PMQ",1.7,IF(T37="PMF",1.4,1.2)))</f>
        <v>2</v>
      </c>
      <c r="U39" s="2126">
        <f>IF(U37="CBUQ",2,IF(U37="PMQ",1.7,IF(U37="PMF",1.4,1.2)))</f>
        <v>2</v>
      </c>
      <c r="V39" s="2097"/>
      <c r="W39" s="2097"/>
      <c r="X39" s="2097"/>
      <c r="Y39" s="2097"/>
      <c r="Z39" s="2097"/>
      <c r="AA39" s="2097"/>
      <c r="AB39" s="2097"/>
      <c r="AC39" s="2049"/>
      <c r="AD39" s="2121"/>
      <c r="AE39" s="2054"/>
      <c r="AF39" s="2054"/>
      <c r="AG39" s="2050"/>
      <c r="AH39" s="2050"/>
      <c r="AI39" s="2050"/>
      <c r="AJ39" s="2050"/>
      <c r="AK39" s="2050"/>
    </row>
    <row r="40" spans="1:37" ht="24.95" customHeight="1">
      <c r="A40" s="3129"/>
      <c r="B40" s="3107"/>
      <c r="C40" s="3120" t="s">
        <v>2008</v>
      </c>
      <c r="D40" s="2122" t="s">
        <v>3260</v>
      </c>
      <c r="E40" s="2127" t="s">
        <v>3303</v>
      </c>
      <c r="F40" s="2128" t="s">
        <v>3303</v>
      </c>
      <c r="G40" s="2128" t="s">
        <v>3303</v>
      </c>
      <c r="H40" s="2128" t="s">
        <v>3303</v>
      </c>
      <c r="I40" s="2128" t="s">
        <v>3303</v>
      </c>
      <c r="J40" s="2128" t="s">
        <v>3303</v>
      </c>
      <c r="K40" s="2128" t="s">
        <v>3303</v>
      </c>
      <c r="L40" s="2128" t="s">
        <v>3303</v>
      </c>
      <c r="M40" s="2128" t="s">
        <v>3303</v>
      </c>
      <c r="N40" s="2128" t="s">
        <v>3303</v>
      </c>
      <c r="O40" s="2128" t="s">
        <v>3303</v>
      </c>
      <c r="P40" s="2128" t="s">
        <v>3303</v>
      </c>
      <c r="Q40" s="2128" t="s">
        <v>3303</v>
      </c>
      <c r="R40" s="2128" t="s">
        <v>3303</v>
      </c>
      <c r="S40" s="2128" t="s">
        <v>3303</v>
      </c>
      <c r="T40" s="2128" t="s">
        <v>3303</v>
      </c>
      <c r="U40" s="2129" t="s">
        <v>3303</v>
      </c>
      <c r="V40" s="2097"/>
      <c r="W40" s="2097"/>
      <c r="X40" s="2097"/>
      <c r="Y40" s="2097"/>
      <c r="Z40" s="2097"/>
      <c r="AA40" s="2097"/>
      <c r="AB40" s="2097"/>
      <c r="AC40" s="2049"/>
      <c r="AD40" s="2100"/>
      <c r="AE40" s="2054"/>
      <c r="AF40" s="2054"/>
      <c r="AG40" s="2050"/>
      <c r="AH40" s="2050"/>
      <c r="AI40" s="2050"/>
      <c r="AJ40" s="2050"/>
      <c r="AK40" s="2050"/>
    </row>
    <row r="41" spans="1:37" ht="24.95" customHeight="1">
      <c r="A41" s="3129"/>
      <c r="B41" s="3107"/>
      <c r="C41" s="3119"/>
      <c r="D41" s="2122" t="s">
        <v>3304</v>
      </c>
      <c r="E41" s="2130" t="str">
        <f t="shared" ref="E41:U41" si="14">CONCATENATE("≥ ",IF(E5&gt;1000000,80,60))</f>
        <v>≥ 60</v>
      </c>
      <c r="F41" s="2131" t="str">
        <f t="shared" si="14"/>
        <v>≥ 80</v>
      </c>
      <c r="G41" s="2131" t="str">
        <f t="shared" si="14"/>
        <v>≥ 60</v>
      </c>
      <c r="H41" s="2131" t="str">
        <f t="shared" si="14"/>
        <v>≥ 60</v>
      </c>
      <c r="I41" s="2131" t="str">
        <f t="shared" si="14"/>
        <v>≥ 80</v>
      </c>
      <c r="J41" s="2131" t="str">
        <f t="shared" si="14"/>
        <v>≥ 80</v>
      </c>
      <c r="K41" s="2131" t="str">
        <f t="shared" si="14"/>
        <v>≥ 80</v>
      </c>
      <c r="L41" s="2131" t="str">
        <f t="shared" si="14"/>
        <v>≥ 80</v>
      </c>
      <c r="M41" s="2131" t="str">
        <f t="shared" si="14"/>
        <v>≥ 60</v>
      </c>
      <c r="N41" s="2131" t="str">
        <f t="shared" si="14"/>
        <v>≥ 60</v>
      </c>
      <c r="O41" s="2131" t="str">
        <f t="shared" si="14"/>
        <v>≥ 60</v>
      </c>
      <c r="P41" s="2131" t="str">
        <f t="shared" si="14"/>
        <v>≥ 60</v>
      </c>
      <c r="Q41" s="2131" t="str">
        <f t="shared" si="14"/>
        <v>≥ 60</v>
      </c>
      <c r="R41" s="2131" t="str">
        <f t="shared" si="14"/>
        <v>≥ 60</v>
      </c>
      <c r="S41" s="2131" t="str">
        <f t="shared" si="14"/>
        <v>≥ 80</v>
      </c>
      <c r="T41" s="2131" t="str">
        <f t="shared" si="14"/>
        <v>≥ 60</v>
      </c>
      <c r="U41" s="2132" t="str">
        <f t="shared" si="14"/>
        <v>≥ 60</v>
      </c>
      <c r="V41" s="2097"/>
      <c r="W41" s="2097"/>
      <c r="X41" s="2097"/>
      <c r="Y41" s="2097"/>
      <c r="Z41" s="2097"/>
      <c r="AA41" s="2097"/>
      <c r="AB41" s="2097"/>
      <c r="AC41" s="2049"/>
      <c r="AD41" s="2100"/>
      <c r="AE41" s="2054"/>
      <c r="AF41" s="2054"/>
      <c r="AG41" s="2050"/>
      <c r="AH41" s="2050"/>
      <c r="AI41" s="2050"/>
      <c r="AJ41" s="2050"/>
      <c r="AK41" s="2050"/>
    </row>
    <row r="42" spans="1:37" ht="24.95" customHeight="1">
      <c r="A42" s="3129"/>
      <c r="B42" s="3107"/>
      <c r="C42" s="3119"/>
      <c r="D42" s="2123" t="s">
        <v>3301</v>
      </c>
      <c r="E42" s="2078">
        <v>20</v>
      </c>
      <c r="F42" s="2079">
        <v>20</v>
      </c>
      <c r="G42" s="2079">
        <v>18</v>
      </c>
      <c r="H42" s="2079">
        <v>18</v>
      </c>
      <c r="I42" s="2079">
        <v>20</v>
      </c>
      <c r="J42" s="2079">
        <v>25</v>
      </c>
      <c r="K42" s="2079">
        <v>25</v>
      </c>
      <c r="L42" s="2079">
        <v>25</v>
      </c>
      <c r="M42" s="2079">
        <v>18</v>
      </c>
      <c r="N42" s="2079">
        <v>18</v>
      </c>
      <c r="O42" s="2079">
        <v>18</v>
      </c>
      <c r="P42" s="2079">
        <v>18</v>
      </c>
      <c r="Q42" s="2079">
        <v>18</v>
      </c>
      <c r="R42" s="2079">
        <v>20</v>
      </c>
      <c r="S42" s="2079">
        <v>25</v>
      </c>
      <c r="T42" s="2079">
        <v>20</v>
      </c>
      <c r="U42" s="2133">
        <v>20</v>
      </c>
      <c r="V42" s="2097"/>
      <c r="W42" s="2097"/>
      <c r="X42" s="2097"/>
      <c r="Y42" s="2097"/>
      <c r="Z42" s="2097"/>
      <c r="AA42" s="2097"/>
      <c r="AB42" s="2097"/>
      <c r="AC42" s="2049"/>
      <c r="AD42" s="2100"/>
      <c r="AE42" s="2054"/>
      <c r="AF42" s="2054"/>
      <c r="AG42" s="2050"/>
      <c r="AH42" s="2050"/>
      <c r="AI42" s="2050"/>
      <c r="AJ42" s="2050"/>
      <c r="AK42" s="2050"/>
    </row>
    <row r="43" spans="1:37" ht="24.95" customHeight="1">
      <c r="A43" s="3129"/>
      <c r="B43" s="3107"/>
      <c r="C43" s="3119"/>
      <c r="D43" s="2123" t="s">
        <v>3302</v>
      </c>
      <c r="E43" s="2130">
        <v>1</v>
      </c>
      <c r="F43" s="2131">
        <v>1</v>
      </c>
      <c r="G43" s="2131">
        <v>1</v>
      </c>
      <c r="H43" s="2131">
        <v>1</v>
      </c>
      <c r="I43" s="2131">
        <v>1</v>
      </c>
      <c r="J43" s="2131">
        <v>1</v>
      </c>
      <c r="K43" s="2131">
        <v>1</v>
      </c>
      <c r="L43" s="2131">
        <v>1</v>
      </c>
      <c r="M43" s="2131">
        <v>1</v>
      </c>
      <c r="N43" s="2131">
        <v>1</v>
      </c>
      <c r="O43" s="2131">
        <v>1</v>
      </c>
      <c r="P43" s="2131">
        <v>1</v>
      </c>
      <c r="Q43" s="2131">
        <v>1</v>
      </c>
      <c r="R43" s="2131">
        <v>1</v>
      </c>
      <c r="S43" s="2131">
        <v>1</v>
      </c>
      <c r="T43" s="2131">
        <v>1</v>
      </c>
      <c r="U43" s="2132">
        <v>1</v>
      </c>
      <c r="V43" s="2097"/>
      <c r="W43" s="2097"/>
      <c r="X43" s="2097"/>
      <c r="Y43" s="2097"/>
      <c r="Z43" s="2097"/>
      <c r="AA43" s="2097"/>
      <c r="AB43" s="2097"/>
      <c r="AC43" s="2049"/>
      <c r="AD43" s="2100"/>
      <c r="AE43" s="2054"/>
      <c r="AF43" s="2054"/>
      <c r="AG43" s="2050"/>
      <c r="AH43" s="2050"/>
      <c r="AI43" s="2050"/>
      <c r="AJ43" s="2050"/>
      <c r="AK43" s="2050"/>
    </row>
    <row r="44" spans="1:37" ht="24.95" hidden="1" customHeight="1">
      <c r="A44" s="3129"/>
      <c r="B44" s="3107"/>
      <c r="C44" s="3120" t="s">
        <v>2401</v>
      </c>
      <c r="D44" s="2122" t="s">
        <v>3260</v>
      </c>
      <c r="E44" s="2127" t="s">
        <v>3305</v>
      </c>
      <c r="F44" s="2128" t="s">
        <v>3305</v>
      </c>
      <c r="G44" s="2128" t="s">
        <v>3305</v>
      </c>
      <c r="H44" s="2128" t="s">
        <v>3305</v>
      </c>
      <c r="I44" s="2128" t="s">
        <v>3305</v>
      </c>
      <c r="J44" s="2128" t="s">
        <v>3305</v>
      </c>
      <c r="K44" s="2128" t="s">
        <v>3305</v>
      </c>
      <c r="L44" s="2128" t="s">
        <v>3305</v>
      </c>
      <c r="M44" s="2128" t="s">
        <v>3305</v>
      </c>
      <c r="N44" s="2128" t="s">
        <v>3305</v>
      </c>
      <c r="O44" s="2128" t="s">
        <v>3305</v>
      </c>
      <c r="P44" s="2128" t="s">
        <v>3305</v>
      </c>
      <c r="Q44" s="2128" t="s">
        <v>3305</v>
      </c>
      <c r="R44" s="2128" t="s">
        <v>3305</v>
      </c>
      <c r="S44" s="2128" t="s">
        <v>3305</v>
      </c>
      <c r="T44" s="2128" t="s">
        <v>3305</v>
      </c>
      <c r="U44" s="2129" t="s">
        <v>3305</v>
      </c>
      <c r="V44" s="2097"/>
      <c r="W44" s="2097"/>
      <c r="X44" s="2097"/>
      <c r="Y44" s="2097"/>
      <c r="Z44" s="2097"/>
      <c r="AA44" s="2097"/>
      <c r="AB44" s="2097"/>
      <c r="AC44" s="2049"/>
      <c r="AD44" s="2100"/>
      <c r="AE44" s="2054"/>
      <c r="AF44" s="2054"/>
      <c r="AG44" s="2050"/>
      <c r="AH44" s="2050"/>
      <c r="AI44" s="2050"/>
      <c r="AJ44" s="2050"/>
      <c r="AK44" s="2050"/>
    </row>
    <row r="45" spans="1:37" ht="24.95" hidden="1" customHeight="1">
      <c r="A45" s="3129"/>
      <c r="B45" s="3107"/>
      <c r="C45" s="3119"/>
      <c r="D45" s="3121" t="s">
        <v>3304</v>
      </c>
      <c r="E45" s="2130" t="s">
        <v>3306</v>
      </c>
      <c r="F45" s="2131" t="s">
        <v>3306</v>
      </c>
      <c r="G45" s="2131" t="s">
        <v>3306</v>
      </c>
      <c r="H45" s="2131" t="s">
        <v>3306</v>
      </c>
      <c r="I45" s="2131" t="s">
        <v>3306</v>
      </c>
      <c r="J45" s="2131" t="s">
        <v>3306</v>
      </c>
      <c r="K45" s="2131" t="s">
        <v>3306</v>
      </c>
      <c r="L45" s="2131" t="s">
        <v>3306</v>
      </c>
      <c r="M45" s="2131" t="s">
        <v>3306</v>
      </c>
      <c r="N45" s="2131" t="s">
        <v>3306</v>
      </c>
      <c r="O45" s="2131" t="s">
        <v>3306</v>
      </c>
      <c r="P45" s="2131" t="s">
        <v>3306</v>
      </c>
      <c r="Q45" s="2131" t="s">
        <v>3306</v>
      </c>
      <c r="R45" s="2131" t="s">
        <v>3306</v>
      </c>
      <c r="S45" s="2131" t="s">
        <v>3306</v>
      </c>
      <c r="T45" s="2131" t="s">
        <v>3306</v>
      </c>
      <c r="U45" s="2132" t="s">
        <v>3306</v>
      </c>
      <c r="V45" s="2097"/>
      <c r="W45" s="2097"/>
      <c r="X45" s="2097"/>
      <c r="Y45" s="2097"/>
      <c r="Z45" s="2097"/>
      <c r="AA45" s="2097"/>
      <c r="AB45" s="2097"/>
      <c r="AC45" s="2049"/>
      <c r="AD45" s="2100"/>
      <c r="AE45" s="2054"/>
      <c r="AF45" s="2054"/>
      <c r="AG45" s="2050"/>
      <c r="AH45" s="2050"/>
      <c r="AI45" s="2050"/>
      <c r="AJ45" s="2050"/>
      <c r="AK45" s="2050"/>
    </row>
    <row r="46" spans="1:37" ht="24.95" hidden="1" customHeight="1">
      <c r="A46" s="3129"/>
      <c r="B46" s="3107"/>
      <c r="C46" s="3119"/>
      <c r="D46" s="3122"/>
      <c r="E46" s="2127">
        <v>15</v>
      </c>
      <c r="F46" s="2128"/>
      <c r="G46" s="2128"/>
      <c r="H46" s="2128"/>
      <c r="I46" s="2128"/>
      <c r="J46" s="2128">
        <v>20</v>
      </c>
      <c r="K46" s="2128"/>
      <c r="L46" s="2128">
        <v>20</v>
      </c>
      <c r="M46" s="2128">
        <v>20</v>
      </c>
      <c r="N46" s="2128">
        <v>20</v>
      </c>
      <c r="O46" s="2128">
        <v>20</v>
      </c>
      <c r="P46" s="2128">
        <v>20</v>
      </c>
      <c r="Q46" s="2128">
        <v>20</v>
      </c>
      <c r="R46" s="2128"/>
      <c r="S46" s="2128">
        <v>20</v>
      </c>
      <c r="T46" s="2128">
        <v>20</v>
      </c>
      <c r="U46" s="2129">
        <v>20</v>
      </c>
      <c r="V46" s="2097"/>
      <c r="W46" s="2097"/>
      <c r="X46" s="2097"/>
      <c r="Y46" s="2097"/>
      <c r="Z46" s="2097"/>
      <c r="AA46" s="2097"/>
      <c r="AB46" s="2097"/>
      <c r="AC46" s="2049"/>
      <c r="AD46" s="2100"/>
      <c r="AE46" s="2054"/>
      <c r="AF46" s="2054"/>
      <c r="AG46" s="2050"/>
      <c r="AH46" s="2050"/>
      <c r="AI46" s="2050"/>
      <c r="AJ46" s="2050"/>
      <c r="AK46" s="2050"/>
    </row>
    <row r="47" spans="1:37" ht="24.95" hidden="1" customHeight="1">
      <c r="A47" s="3129"/>
      <c r="B47" s="3107"/>
      <c r="C47" s="3119"/>
      <c r="D47" s="2123" t="s">
        <v>3301</v>
      </c>
      <c r="E47" s="2078">
        <v>15</v>
      </c>
      <c r="F47" s="2079"/>
      <c r="G47" s="2079"/>
      <c r="H47" s="2079"/>
      <c r="I47" s="2079"/>
      <c r="J47" s="2079"/>
      <c r="K47" s="2079"/>
      <c r="L47" s="2079"/>
      <c r="M47" s="2079"/>
      <c r="N47" s="2079"/>
      <c r="O47" s="2079"/>
      <c r="P47" s="2079"/>
      <c r="Q47" s="2079"/>
      <c r="R47" s="2079"/>
      <c r="S47" s="2079"/>
      <c r="T47" s="2079"/>
      <c r="U47" s="2133"/>
      <c r="V47" s="2097"/>
      <c r="W47" s="2097"/>
      <c r="X47" s="2097"/>
      <c r="Y47" s="2097"/>
      <c r="Z47" s="2097"/>
      <c r="AA47" s="2097"/>
      <c r="AB47" s="2097"/>
      <c r="AC47" s="2049"/>
      <c r="AD47" s="2100"/>
      <c r="AE47" s="2054"/>
      <c r="AF47" s="2054"/>
      <c r="AG47" s="2050"/>
      <c r="AH47" s="2050"/>
      <c r="AI47" s="2050"/>
      <c r="AJ47" s="2050"/>
      <c r="AK47" s="2050"/>
    </row>
    <row r="48" spans="1:37" ht="24.95" hidden="1" customHeight="1">
      <c r="A48" s="3129"/>
      <c r="B48" s="3107"/>
      <c r="C48" s="3119"/>
      <c r="D48" s="2123" t="s">
        <v>3302</v>
      </c>
      <c r="E48" s="2130">
        <v>1</v>
      </c>
      <c r="F48" s="2131">
        <v>1</v>
      </c>
      <c r="G48" s="2131">
        <v>1</v>
      </c>
      <c r="H48" s="2131">
        <v>1</v>
      </c>
      <c r="I48" s="2131">
        <v>1</v>
      </c>
      <c r="J48" s="2131">
        <v>1</v>
      </c>
      <c r="K48" s="2131">
        <v>1</v>
      </c>
      <c r="L48" s="2131">
        <v>1</v>
      </c>
      <c r="M48" s="2131">
        <v>1</v>
      </c>
      <c r="N48" s="2131">
        <v>1</v>
      </c>
      <c r="O48" s="2131">
        <v>1</v>
      </c>
      <c r="P48" s="2131">
        <v>1</v>
      </c>
      <c r="Q48" s="2131">
        <v>1</v>
      </c>
      <c r="R48" s="2131">
        <v>1</v>
      </c>
      <c r="S48" s="2131">
        <v>1</v>
      </c>
      <c r="T48" s="2131">
        <v>1</v>
      </c>
      <c r="U48" s="2132">
        <v>1</v>
      </c>
      <c r="V48" s="2097"/>
      <c r="W48" s="2097"/>
      <c r="X48" s="2097"/>
      <c r="Y48" s="2097"/>
      <c r="Z48" s="2097"/>
      <c r="AA48" s="2097"/>
      <c r="AB48" s="2097"/>
      <c r="AC48" s="2049"/>
      <c r="AD48" s="2049"/>
      <c r="AE48" s="2054"/>
      <c r="AF48" s="2054"/>
      <c r="AG48" s="2050"/>
      <c r="AH48" s="2050"/>
      <c r="AI48" s="2050"/>
      <c r="AJ48" s="2050"/>
      <c r="AK48" s="2050"/>
    </row>
    <row r="49" spans="1:37" ht="24.95" hidden="1" customHeight="1">
      <c r="A49" s="3129"/>
      <c r="B49" s="3107"/>
      <c r="C49" s="3120" t="s">
        <v>3307</v>
      </c>
      <c r="D49" s="3121" t="s">
        <v>3304</v>
      </c>
      <c r="E49" s="2130" t="str">
        <f>CONCATENATE("≥ ",INT(E30))</f>
        <v>≥ 18</v>
      </c>
      <c r="F49" s="2131" t="str">
        <f>CONCATENATE("≥ ",INT(F30))</f>
        <v>≥ 19</v>
      </c>
      <c r="G49" s="2131" t="str">
        <f t="shared" ref="G49:U49" si="15">CONCATENATE("≥ ",INT(G30))</f>
        <v>≥ 23</v>
      </c>
      <c r="H49" s="2131" t="str">
        <f t="shared" si="15"/>
        <v>≥ 23</v>
      </c>
      <c r="I49" s="2131" t="str">
        <f t="shared" si="15"/>
        <v>≥ 22</v>
      </c>
      <c r="J49" s="2131" t="str">
        <f t="shared" si="15"/>
        <v>≥ 14</v>
      </c>
      <c r="K49" s="2131" t="str">
        <f t="shared" si="15"/>
        <v>≥ 16</v>
      </c>
      <c r="L49" s="2131" t="str">
        <f t="shared" si="15"/>
        <v>≥ 16</v>
      </c>
      <c r="M49" s="2131" t="str">
        <f t="shared" si="15"/>
        <v>≥ 13</v>
      </c>
      <c r="N49" s="2131" t="str">
        <f t="shared" si="15"/>
        <v>≥ 13</v>
      </c>
      <c r="O49" s="2131" t="str">
        <f t="shared" si="15"/>
        <v>≥ 13</v>
      </c>
      <c r="P49" s="2131" t="str">
        <f t="shared" si="15"/>
        <v>≥ 13</v>
      </c>
      <c r="Q49" s="2131" t="str">
        <f t="shared" si="15"/>
        <v>≥ 13</v>
      </c>
      <c r="R49" s="2131" t="str">
        <f t="shared" si="15"/>
        <v>≥ 19</v>
      </c>
      <c r="S49" s="2131" t="str">
        <f t="shared" si="15"/>
        <v>≥ 16</v>
      </c>
      <c r="T49" s="2131" t="str">
        <f t="shared" si="15"/>
        <v>≥ 18</v>
      </c>
      <c r="U49" s="2132" t="str">
        <f t="shared" si="15"/>
        <v>≥ 17</v>
      </c>
      <c r="V49" s="2097"/>
      <c r="W49" s="2097"/>
      <c r="X49" s="2097"/>
      <c r="Y49" s="2097"/>
      <c r="Z49" s="2097"/>
      <c r="AA49" s="2097"/>
      <c r="AB49" s="2097"/>
      <c r="AC49" s="2049"/>
      <c r="AD49" s="2100"/>
      <c r="AE49" s="2054"/>
      <c r="AF49" s="2054"/>
      <c r="AG49" s="2050"/>
      <c r="AH49" s="2050"/>
      <c r="AI49" s="2050"/>
      <c r="AJ49" s="2050"/>
      <c r="AK49" s="2050"/>
    </row>
    <row r="50" spans="1:37" ht="24.95" hidden="1" customHeight="1">
      <c r="A50" s="3129"/>
      <c r="B50" s="3107"/>
      <c r="C50" s="3119"/>
      <c r="D50" s="3122"/>
      <c r="E50" s="2127">
        <v>15</v>
      </c>
      <c r="F50" s="2128">
        <f t="shared" ref="F50:U50" si="16">F33</f>
        <v>19.144444444444442</v>
      </c>
      <c r="G50" s="2128">
        <f t="shared" si="16"/>
        <v>20</v>
      </c>
      <c r="H50" s="2128">
        <f t="shared" si="16"/>
        <v>20</v>
      </c>
      <c r="I50" s="2128">
        <f t="shared" si="16"/>
        <v>20</v>
      </c>
      <c r="J50" s="2128">
        <f t="shared" si="16"/>
        <v>14.900000000000002</v>
      </c>
      <c r="K50" s="2128">
        <f t="shared" si="16"/>
        <v>16.3</v>
      </c>
      <c r="L50" s="2128">
        <f t="shared" si="16"/>
        <v>16.950000000000003</v>
      </c>
      <c r="M50" s="2128">
        <f t="shared" si="16"/>
        <v>13.3</v>
      </c>
      <c r="N50" s="2128">
        <f t="shared" si="16"/>
        <v>13.3</v>
      </c>
      <c r="O50" s="2128">
        <f t="shared" si="16"/>
        <v>13.3</v>
      </c>
      <c r="P50" s="2128">
        <f t="shared" si="16"/>
        <v>13.3</v>
      </c>
      <c r="Q50" s="2128">
        <f t="shared" si="16"/>
        <v>13.3</v>
      </c>
      <c r="R50" s="2128">
        <f t="shared" si="16"/>
        <v>19</v>
      </c>
      <c r="S50" s="2128">
        <f t="shared" si="16"/>
        <v>16.850000000000001</v>
      </c>
      <c r="T50" s="2128">
        <f t="shared" si="16"/>
        <v>18.399999999999999</v>
      </c>
      <c r="U50" s="2129">
        <f t="shared" si="16"/>
        <v>17.5</v>
      </c>
      <c r="V50" s="2097"/>
      <c r="W50" s="2097"/>
      <c r="X50" s="2097"/>
      <c r="Y50" s="2097"/>
      <c r="Z50" s="2097"/>
      <c r="AA50" s="2097"/>
      <c r="AB50" s="2097"/>
      <c r="AC50" s="2049"/>
      <c r="AD50" s="2100"/>
      <c r="AE50" s="2054"/>
      <c r="AF50" s="2054"/>
      <c r="AG50" s="2050"/>
      <c r="AH50" s="2050"/>
      <c r="AI50" s="2050"/>
      <c r="AJ50" s="2050"/>
      <c r="AK50" s="2050"/>
    </row>
    <row r="51" spans="1:37" ht="24.95" hidden="1" customHeight="1">
      <c r="A51" s="3129"/>
      <c r="B51" s="3107"/>
      <c r="C51" s="3119"/>
      <c r="D51" s="2123" t="s">
        <v>3308</v>
      </c>
      <c r="E51" s="2127"/>
      <c r="F51" s="2128"/>
      <c r="G51" s="2128"/>
      <c r="H51" s="2128"/>
      <c r="I51" s="2128"/>
      <c r="J51" s="2128"/>
      <c r="K51" s="2128"/>
      <c r="L51" s="2128"/>
      <c r="M51" s="2128" t="s">
        <v>3309</v>
      </c>
      <c r="N51" s="2128" t="s">
        <v>3309</v>
      </c>
      <c r="O51" s="2128" t="s">
        <v>3309</v>
      </c>
      <c r="P51" s="2128" t="s">
        <v>3309</v>
      </c>
      <c r="Q51" s="2128" t="s">
        <v>3309</v>
      </c>
      <c r="R51" s="2128"/>
      <c r="S51" s="2128"/>
      <c r="T51" s="2128" t="s">
        <v>3309</v>
      </c>
      <c r="U51" s="2129" t="s">
        <v>3309</v>
      </c>
      <c r="V51" s="2097"/>
      <c r="W51" s="2097"/>
      <c r="X51" s="2097"/>
      <c r="Y51" s="2097"/>
      <c r="Z51" s="2097"/>
      <c r="AA51" s="2097"/>
      <c r="AB51" s="2097"/>
      <c r="AC51" s="2049"/>
      <c r="AD51" s="2100"/>
      <c r="AE51" s="2054"/>
      <c r="AF51" s="2054"/>
      <c r="AG51" s="2050"/>
      <c r="AH51" s="2050"/>
      <c r="AI51" s="2050"/>
      <c r="AJ51" s="2050"/>
      <c r="AK51" s="2050"/>
    </row>
    <row r="52" spans="1:37" ht="24.95" hidden="1" customHeight="1">
      <c r="A52" s="3129"/>
      <c r="B52" s="3107"/>
      <c r="C52" s="3119"/>
      <c r="D52" s="2123" t="s">
        <v>3301</v>
      </c>
      <c r="E52" s="2078"/>
      <c r="F52" s="2079"/>
      <c r="G52" s="2079"/>
      <c r="H52" s="2079"/>
      <c r="I52" s="2079"/>
      <c r="J52" s="2079"/>
      <c r="K52" s="2079"/>
      <c r="L52" s="2079"/>
      <c r="M52" s="2079"/>
      <c r="N52" s="2079"/>
      <c r="O52" s="2079"/>
      <c r="P52" s="2079"/>
      <c r="Q52" s="2079"/>
      <c r="R52" s="2079"/>
      <c r="S52" s="2079"/>
      <c r="T52" s="2079"/>
      <c r="U52" s="2133"/>
      <c r="V52" s="2097"/>
      <c r="W52" s="2097"/>
      <c r="X52" s="2097"/>
      <c r="Y52" s="2097"/>
      <c r="Z52" s="2097"/>
      <c r="AA52" s="2097"/>
      <c r="AB52" s="2097"/>
      <c r="AC52" s="2049"/>
      <c r="AD52" s="2100"/>
      <c r="AE52" s="2054"/>
      <c r="AF52" s="2054"/>
      <c r="AG52" s="2050"/>
      <c r="AH52" s="2050"/>
      <c r="AI52" s="2050"/>
      <c r="AJ52" s="2050"/>
      <c r="AK52" s="2050"/>
    </row>
    <row r="53" spans="1:37" ht="24.95" hidden="1" customHeight="1">
      <c r="A53" s="3129"/>
      <c r="B53" s="3107"/>
      <c r="C53" s="3119"/>
      <c r="D53" s="2123" t="s">
        <v>3302</v>
      </c>
      <c r="E53" s="2130">
        <v>1</v>
      </c>
      <c r="F53" s="2131">
        <v>1</v>
      </c>
      <c r="G53" s="2131">
        <v>1</v>
      </c>
      <c r="H53" s="2131">
        <v>1</v>
      </c>
      <c r="I53" s="2131">
        <v>1</v>
      </c>
      <c r="J53" s="2131">
        <v>1</v>
      </c>
      <c r="K53" s="2131">
        <v>1</v>
      </c>
      <c r="L53" s="2131">
        <v>1</v>
      </c>
      <c r="M53" s="2131">
        <v>1</v>
      </c>
      <c r="N53" s="2131">
        <v>1</v>
      </c>
      <c r="O53" s="2131">
        <v>1</v>
      </c>
      <c r="P53" s="2131">
        <v>1</v>
      </c>
      <c r="Q53" s="2131">
        <v>1</v>
      </c>
      <c r="R53" s="2131">
        <v>1</v>
      </c>
      <c r="S53" s="2131">
        <v>1</v>
      </c>
      <c r="T53" s="2131">
        <v>1</v>
      </c>
      <c r="U53" s="2132">
        <v>1</v>
      </c>
      <c r="V53" s="2097"/>
      <c r="W53" s="2097"/>
      <c r="X53" s="2097"/>
      <c r="Y53" s="2097"/>
      <c r="Z53" s="2097"/>
      <c r="AA53" s="2097"/>
      <c r="AB53" s="2097"/>
      <c r="AC53" s="2049"/>
      <c r="AD53" s="2049"/>
      <c r="AE53" s="2054"/>
      <c r="AF53" s="2054"/>
      <c r="AG53" s="2050"/>
      <c r="AH53" s="2050"/>
      <c r="AI53" s="2050"/>
      <c r="AJ53" s="2050"/>
      <c r="AK53" s="2050"/>
    </row>
    <row r="54" spans="1:37" ht="24.95" customHeight="1">
      <c r="A54" s="3129"/>
      <c r="B54" s="3107"/>
      <c r="C54" s="3120" t="s">
        <v>3310</v>
      </c>
      <c r="D54" s="2122" t="s">
        <v>3304</v>
      </c>
      <c r="E54" s="2130">
        <f>E32</f>
        <v>14.334022871598753</v>
      </c>
      <c r="F54" s="2131">
        <f>F32</f>
        <v>19.144444444444442</v>
      </c>
      <c r="G54" s="2131">
        <f t="shared" ref="G54:S54" si="17">G32</f>
        <v>23.3</v>
      </c>
      <c r="H54" s="2131">
        <f t="shared" si="17"/>
        <v>23.3</v>
      </c>
      <c r="I54" s="2131">
        <f t="shared" si="17"/>
        <v>22.080000000000002</v>
      </c>
      <c r="J54" s="2131">
        <f t="shared" si="17"/>
        <v>14.900000000000002</v>
      </c>
      <c r="K54" s="2131">
        <f t="shared" si="17"/>
        <v>16.3</v>
      </c>
      <c r="L54" s="2131">
        <f t="shared" si="17"/>
        <v>16.950000000000003</v>
      </c>
      <c r="M54" s="2131">
        <f t="shared" si="17"/>
        <v>13.3</v>
      </c>
      <c r="N54" s="2131">
        <f t="shared" si="17"/>
        <v>13.3</v>
      </c>
      <c r="O54" s="2131">
        <f t="shared" si="17"/>
        <v>13.3</v>
      </c>
      <c r="P54" s="2131">
        <f t="shared" si="17"/>
        <v>13.3</v>
      </c>
      <c r="Q54" s="2131">
        <f t="shared" si="17"/>
        <v>13.3</v>
      </c>
      <c r="R54" s="2131">
        <f t="shared" si="17"/>
        <v>19</v>
      </c>
      <c r="S54" s="2131">
        <f t="shared" si="17"/>
        <v>16.850000000000001</v>
      </c>
      <c r="T54" s="2131">
        <f>T32</f>
        <v>18.399999999999999</v>
      </c>
      <c r="U54" s="2132">
        <f>U32</f>
        <v>17.5</v>
      </c>
      <c r="V54" s="2097"/>
      <c r="W54" s="2097"/>
      <c r="X54" s="2097"/>
      <c r="Y54" s="2097"/>
      <c r="Z54" s="2097"/>
      <c r="AA54" s="2097"/>
      <c r="AB54" s="2097"/>
      <c r="AC54" s="2049"/>
      <c r="AD54" s="2049"/>
      <c r="AE54" s="2054"/>
      <c r="AF54" s="2054"/>
      <c r="AG54" s="2050"/>
      <c r="AH54" s="2050"/>
      <c r="AI54" s="2050"/>
      <c r="AJ54" s="2050"/>
      <c r="AK54" s="2050"/>
    </row>
    <row r="55" spans="1:37" ht="24.95" customHeight="1">
      <c r="A55" s="3129"/>
      <c r="B55" s="3107"/>
      <c r="C55" s="3119"/>
      <c r="D55" s="2123" t="s">
        <v>3301</v>
      </c>
      <c r="E55" s="2078"/>
      <c r="F55" s="2079">
        <v>20</v>
      </c>
      <c r="G55" s="2079">
        <v>20</v>
      </c>
      <c r="H55" s="2079">
        <v>20</v>
      </c>
      <c r="I55" s="2079">
        <v>20</v>
      </c>
      <c r="J55" s="2079">
        <v>20</v>
      </c>
      <c r="K55" s="2079">
        <v>20</v>
      </c>
      <c r="L55" s="2079">
        <v>20</v>
      </c>
      <c r="M55" s="2079">
        <v>20</v>
      </c>
      <c r="N55" s="2079">
        <v>20</v>
      </c>
      <c r="O55" s="2079">
        <v>20</v>
      </c>
      <c r="P55" s="2079">
        <v>20</v>
      </c>
      <c r="Q55" s="2079">
        <v>20</v>
      </c>
      <c r="R55" s="2079">
        <v>20</v>
      </c>
      <c r="S55" s="2079">
        <v>20</v>
      </c>
      <c r="T55" s="2079">
        <v>20</v>
      </c>
      <c r="U55" s="2133">
        <v>20</v>
      </c>
      <c r="V55" s="2097"/>
      <c r="W55" s="2097"/>
      <c r="X55" s="2097"/>
      <c r="Y55" s="2097"/>
      <c r="Z55" s="2097"/>
      <c r="AA55" s="2097"/>
      <c r="AB55" s="2097"/>
      <c r="AC55" s="2049"/>
      <c r="AD55" s="2049"/>
      <c r="AE55" s="2054"/>
      <c r="AF55" s="2054"/>
      <c r="AG55" s="2050"/>
      <c r="AH55" s="2050"/>
      <c r="AI55" s="2050"/>
      <c r="AJ55" s="2050"/>
      <c r="AK55" s="2050"/>
    </row>
    <row r="56" spans="1:37" ht="24.95" customHeight="1">
      <c r="A56" s="3129"/>
      <c r="B56" s="3107"/>
      <c r="C56" s="3119"/>
      <c r="D56" s="2123" t="s">
        <v>3302</v>
      </c>
      <c r="E56" s="2134">
        <v>0.77</v>
      </c>
      <c r="F56" s="2135">
        <v>0.77</v>
      </c>
      <c r="G56" s="2135">
        <v>0.77</v>
      </c>
      <c r="H56" s="2135">
        <v>0.77</v>
      </c>
      <c r="I56" s="2135">
        <v>0.77</v>
      </c>
      <c r="J56" s="2135">
        <v>0.77</v>
      </c>
      <c r="K56" s="2135">
        <v>0.77</v>
      </c>
      <c r="L56" s="2135">
        <v>0.77</v>
      </c>
      <c r="M56" s="2135">
        <v>0.77</v>
      </c>
      <c r="N56" s="2135">
        <v>0.77</v>
      </c>
      <c r="O56" s="2135">
        <v>0.77</v>
      </c>
      <c r="P56" s="2135">
        <v>0.77</v>
      </c>
      <c r="Q56" s="2135">
        <v>0.77</v>
      </c>
      <c r="R56" s="2135">
        <v>0.77</v>
      </c>
      <c r="S56" s="2135">
        <v>0.77</v>
      </c>
      <c r="T56" s="2135">
        <v>0.77</v>
      </c>
      <c r="U56" s="2136">
        <v>0.77</v>
      </c>
      <c r="V56" s="2097"/>
      <c r="W56" s="2097"/>
      <c r="X56" s="2097"/>
      <c r="Y56" s="2097"/>
      <c r="Z56" s="2097"/>
      <c r="AA56" s="2097"/>
      <c r="AB56" s="2097"/>
      <c r="AC56" s="2049"/>
      <c r="AD56" s="2049"/>
      <c r="AE56" s="2054"/>
      <c r="AF56" s="2054"/>
      <c r="AG56" s="2050"/>
      <c r="AH56" s="2050"/>
      <c r="AI56" s="2050"/>
      <c r="AJ56" s="2050"/>
      <c r="AK56" s="2050"/>
    </row>
    <row r="57" spans="1:37" ht="24.95" customHeight="1">
      <c r="A57" s="3129"/>
      <c r="B57" s="3106" t="s">
        <v>3311</v>
      </c>
      <c r="C57" s="3109" t="s">
        <v>3312</v>
      </c>
      <c r="D57" s="2137" t="s">
        <v>3313</v>
      </c>
      <c r="E57" s="2138">
        <f>E38*E39+E42*E43</f>
        <v>28</v>
      </c>
      <c r="F57" s="2139">
        <f>F38*F39+F42*F43</f>
        <v>28</v>
      </c>
      <c r="G57" s="2139">
        <f t="shared" ref="G57:T57" si="18">G38*G39+G42*G43</f>
        <v>24</v>
      </c>
      <c r="H57" s="2139">
        <f t="shared" si="18"/>
        <v>24</v>
      </c>
      <c r="I57" s="2139">
        <f t="shared" si="18"/>
        <v>28</v>
      </c>
      <c r="J57" s="2139">
        <f t="shared" si="18"/>
        <v>33</v>
      </c>
      <c r="K57" s="2139">
        <f t="shared" si="18"/>
        <v>33</v>
      </c>
      <c r="L57" s="2139">
        <f t="shared" si="18"/>
        <v>33</v>
      </c>
      <c r="M57" s="2139">
        <f t="shared" si="18"/>
        <v>24</v>
      </c>
      <c r="N57" s="2139">
        <f t="shared" si="18"/>
        <v>24</v>
      </c>
      <c r="O57" s="2139">
        <f t="shared" si="18"/>
        <v>24</v>
      </c>
      <c r="P57" s="2139">
        <f t="shared" si="18"/>
        <v>24</v>
      </c>
      <c r="Q57" s="2139">
        <f t="shared" si="18"/>
        <v>24</v>
      </c>
      <c r="R57" s="2139">
        <f t="shared" si="18"/>
        <v>28</v>
      </c>
      <c r="S57" s="2139">
        <f t="shared" si="18"/>
        <v>33</v>
      </c>
      <c r="T57" s="2139">
        <f t="shared" si="18"/>
        <v>26</v>
      </c>
      <c r="U57" s="2140">
        <f>U38*U39+U42*U43</f>
        <v>26</v>
      </c>
      <c r="V57" s="2097"/>
      <c r="W57" s="2141" t="s">
        <v>3314</v>
      </c>
      <c r="X57" s="2097"/>
      <c r="Y57" s="2097"/>
      <c r="Z57" s="2097"/>
      <c r="AA57" s="2097"/>
      <c r="AB57" s="2097"/>
      <c r="AC57" s="2049"/>
      <c r="AD57" s="2100"/>
      <c r="AE57" s="2054"/>
      <c r="AF57" s="2054"/>
      <c r="AG57" s="2050"/>
      <c r="AH57" s="2050"/>
      <c r="AI57" s="2050"/>
      <c r="AJ57" s="2050"/>
      <c r="AK57" s="2050"/>
    </row>
    <row r="58" spans="1:37" ht="24.95" customHeight="1">
      <c r="A58" s="3129"/>
      <c r="B58" s="3107"/>
      <c r="C58" s="3110"/>
      <c r="D58" s="2137" t="s">
        <v>3315</v>
      </c>
      <c r="E58" s="2130" t="str">
        <f>IF(E57&gt;=E34,"SIM","NÃO")</f>
        <v>SIM</v>
      </c>
      <c r="F58" s="2131" t="str">
        <f>IF(F57&gt;=F34,"SIM","NÃO")</f>
        <v>SIM</v>
      </c>
      <c r="G58" s="2131" t="str">
        <f t="shared" ref="G58:T58" si="19">IF(G57&gt;=G34,"SIM","NÃO")</f>
        <v>SIM</v>
      </c>
      <c r="H58" s="2131" t="str">
        <f t="shared" si="19"/>
        <v>SIM</v>
      </c>
      <c r="I58" s="2131" t="str">
        <f t="shared" si="19"/>
        <v>SIM</v>
      </c>
      <c r="J58" s="2131" t="str">
        <f t="shared" si="19"/>
        <v>SIM</v>
      </c>
      <c r="K58" s="2131" t="str">
        <f t="shared" si="19"/>
        <v>SIM</v>
      </c>
      <c r="L58" s="2131" t="str">
        <f t="shared" si="19"/>
        <v>SIM</v>
      </c>
      <c r="M58" s="2131" t="str">
        <f t="shared" si="19"/>
        <v>SIM</v>
      </c>
      <c r="N58" s="2131" t="str">
        <f t="shared" si="19"/>
        <v>SIM</v>
      </c>
      <c r="O58" s="2131" t="str">
        <f t="shared" si="19"/>
        <v>SIM</v>
      </c>
      <c r="P58" s="2131" t="str">
        <f t="shared" si="19"/>
        <v>SIM</v>
      </c>
      <c r="Q58" s="2131" t="str">
        <f t="shared" si="19"/>
        <v>SIM</v>
      </c>
      <c r="R58" s="2131" t="str">
        <f t="shared" si="19"/>
        <v>SIM</v>
      </c>
      <c r="S58" s="2131" t="str">
        <f t="shared" si="19"/>
        <v>SIM</v>
      </c>
      <c r="T58" s="2131" t="str">
        <f t="shared" si="19"/>
        <v>SIM</v>
      </c>
      <c r="U58" s="2132" t="str">
        <f>IF(U57&gt;=U34,"SIM","NÃO")</f>
        <v>SIM</v>
      </c>
      <c r="V58" s="2110"/>
      <c r="W58" s="2097"/>
      <c r="X58" s="2097"/>
      <c r="Y58" s="2097"/>
      <c r="Z58" s="2097"/>
      <c r="AA58" s="2097"/>
      <c r="AB58" s="2097"/>
      <c r="AC58" s="2049"/>
      <c r="AD58" s="2049"/>
      <c r="AE58" s="2054"/>
      <c r="AF58" s="2054"/>
      <c r="AG58" s="2050"/>
      <c r="AH58" s="2050"/>
      <c r="AI58" s="2050"/>
      <c r="AJ58" s="2050"/>
      <c r="AK58" s="2050"/>
    </row>
    <row r="59" spans="1:37" ht="24.95" customHeight="1">
      <c r="A59" s="3129"/>
      <c r="B59" s="3107"/>
      <c r="C59" s="3109" t="s">
        <v>3316</v>
      </c>
      <c r="D59" s="2137" t="s">
        <v>3317</v>
      </c>
      <c r="E59" s="2130">
        <f>E57+E47*E48</f>
        <v>43</v>
      </c>
      <c r="F59" s="2131">
        <f>F57+F47*F48</f>
        <v>28</v>
      </c>
      <c r="G59" s="2131">
        <f t="shared" ref="G59:T59" si="20">G57+G47*G48</f>
        <v>24</v>
      </c>
      <c r="H59" s="2131">
        <f t="shared" si="20"/>
        <v>24</v>
      </c>
      <c r="I59" s="2131">
        <f t="shared" si="20"/>
        <v>28</v>
      </c>
      <c r="J59" s="2131">
        <f t="shared" si="20"/>
        <v>33</v>
      </c>
      <c r="K59" s="2131">
        <f t="shared" si="20"/>
        <v>33</v>
      </c>
      <c r="L59" s="2131">
        <f t="shared" si="20"/>
        <v>33</v>
      </c>
      <c r="M59" s="2131">
        <f t="shared" si="20"/>
        <v>24</v>
      </c>
      <c r="N59" s="2131">
        <f t="shared" si="20"/>
        <v>24</v>
      </c>
      <c r="O59" s="2131">
        <f t="shared" si="20"/>
        <v>24</v>
      </c>
      <c r="P59" s="2131">
        <f t="shared" si="20"/>
        <v>24</v>
      </c>
      <c r="Q59" s="2131">
        <f t="shared" si="20"/>
        <v>24</v>
      </c>
      <c r="R59" s="2131">
        <f t="shared" si="20"/>
        <v>28</v>
      </c>
      <c r="S59" s="2131">
        <f t="shared" si="20"/>
        <v>33</v>
      </c>
      <c r="T59" s="2131">
        <f t="shared" si="20"/>
        <v>26</v>
      </c>
      <c r="U59" s="2132">
        <f>U57+U47*U48</f>
        <v>26</v>
      </c>
      <c r="V59" s="2110"/>
      <c r="W59" s="2097"/>
      <c r="X59" s="2097"/>
      <c r="Y59" s="2097"/>
      <c r="Z59" s="2097"/>
      <c r="AA59" s="2097"/>
      <c r="AB59" s="2097"/>
      <c r="AC59" s="2049"/>
      <c r="AD59" s="2049"/>
      <c r="AE59" s="2054"/>
      <c r="AF59" s="2054"/>
      <c r="AG59" s="2050"/>
      <c r="AH59" s="2050"/>
      <c r="AI59" s="2050"/>
      <c r="AJ59" s="2050"/>
      <c r="AK59" s="2050"/>
    </row>
    <row r="60" spans="1:37" ht="24.95" customHeight="1" thickBot="1">
      <c r="A60" s="3129"/>
      <c r="B60" s="3107"/>
      <c r="C60" s="3110"/>
      <c r="D60" s="2137" t="s">
        <v>3315</v>
      </c>
      <c r="E60" s="2130" t="str">
        <f>IF(E58="NÃO","NÃO",IF(E59&gt;=E35,"SIM","NÃO"))</f>
        <v>SIM</v>
      </c>
      <c r="F60" s="2131" t="str">
        <f>IF(F58="NÃO","NÃO",IF(F59&gt;=F35,"SIM","NÃO"))</f>
        <v>SIM</v>
      </c>
      <c r="G60" s="2131" t="str">
        <f t="shared" ref="G60:T60" si="21">IF(G58="NÃO","NÃO",IF(G59&gt;=G35,"SIM","NÃO"))</f>
        <v>SIM</v>
      </c>
      <c r="H60" s="2131" t="str">
        <f t="shared" si="21"/>
        <v>SIM</v>
      </c>
      <c r="I60" s="2131" t="str">
        <f t="shared" si="21"/>
        <v>SIM</v>
      </c>
      <c r="J60" s="2131" t="str">
        <f t="shared" si="21"/>
        <v>SIM</v>
      </c>
      <c r="K60" s="2131" t="str">
        <f t="shared" si="21"/>
        <v>SIM</v>
      </c>
      <c r="L60" s="2131" t="str">
        <f t="shared" si="21"/>
        <v>SIM</v>
      </c>
      <c r="M60" s="2131" t="str">
        <f t="shared" si="21"/>
        <v>SIM</v>
      </c>
      <c r="N60" s="2131" t="str">
        <f t="shared" si="21"/>
        <v>SIM</v>
      </c>
      <c r="O60" s="2131" t="str">
        <f t="shared" si="21"/>
        <v>SIM</v>
      </c>
      <c r="P60" s="2131" t="str">
        <f t="shared" si="21"/>
        <v>SIM</v>
      </c>
      <c r="Q60" s="2131" t="str">
        <f t="shared" si="21"/>
        <v>SIM</v>
      </c>
      <c r="R60" s="2131" t="str">
        <f t="shared" si="21"/>
        <v>SIM</v>
      </c>
      <c r="S60" s="2131" t="str">
        <f t="shared" si="21"/>
        <v>SIM</v>
      </c>
      <c r="T60" s="2131" t="str">
        <f t="shared" si="21"/>
        <v>SIM</v>
      </c>
      <c r="U60" s="2132" t="str">
        <f>IF(U58="NÃO","NÃO",IF(U59&gt;=U35,"SIM","NÃO"))</f>
        <v>SIM</v>
      </c>
      <c r="V60" s="2110"/>
      <c r="W60" s="2049"/>
      <c r="X60" s="2049"/>
      <c r="Y60" s="2049"/>
      <c r="Z60" s="2049"/>
      <c r="AA60" s="2049"/>
      <c r="AB60" s="2049"/>
      <c r="AC60" s="2049"/>
      <c r="AD60" s="2049"/>
      <c r="AE60" s="2054"/>
      <c r="AF60" s="2054"/>
      <c r="AG60" s="2050"/>
      <c r="AH60" s="2050"/>
      <c r="AI60" s="2050"/>
      <c r="AJ60" s="2050"/>
      <c r="AK60" s="2050"/>
    </row>
    <row r="61" spans="1:37" ht="24.95" customHeight="1">
      <c r="A61" s="3129"/>
      <c r="B61" s="3107"/>
      <c r="C61" s="3109" t="s">
        <v>3318</v>
      </c>
      <c r="D61" s="2137" t="s">
        <v>3317</v>
      </c>
      <c r="E61" s="2142">
        <f>E59+E52*E53</f>
        <v>43</v>
      </c>
      <c r="F61" s="2143">
        <f>F59+F52*F53</f>
        <v>28</v>
      </c>
      <c r="G61" s="2143">
        <f t="shared" ref="G61:T61" si="22">G59+G52*G53</f>
        <v>24</v>
      </c>
      <c r="H61" s="2143">
        <f t="shared" si="22"/>
        <v>24</v>
      </c>
      <c r="I61" s="2143">
        <f t="shared" si="22"/>
        <v>28</v>
      </c>
      <c r="J61" s="2143">
        <f t="shared" si="22"/>
        <v>33</v>
      </c>
      <c r="K61" s="2143">
        <f t="shared" si="22"/>
        <v>33</v>
      </c>
      <c r="L61" s="2143">
        <f t="shared" si="22"/>
        <v>33</v>
      </c>
      <c r="M61" s="2143">
        <f t="shared" si="22"/>
        <v>24</v>
      </c>
      <c r="N61" s="2143">
        <f t="shared" si="22"/>
        <v>24</v>
      </c>
      <c r="O61" s="2143">
        <f t="shared" si="22"/>
        <v>24</v>
      </c>
      <c r="P61" s="2143">
        <f t="shared" si="22"/>
        <v>24</v>
      </c>
      <c r="Q61" s="2143">
        <f t="shared" si="22"/>
        <v>24</v>
      </c>
      <c r="R61" s="2143">
        <f t="shared" si="22"/>
        <v>28</v>
      </c>
      <c r="S61" s="2143">
        <f t="shared" si="22"/>
        <v>33</v>
      </c>
      <c r="T61" s="2143">
        <f t="shared" si="22"/>
        <v>26</v>
      </c>
      <c r="U61" s="2144">
        <f>U59+U52*U53</f>
        <v>26</v>
      </c>
      <c r="V61" s="2145"/>
      <c r="W61" s="3111" t="s">
        <v>3319</v>
      </c>
      <c r="X61" s="3112"/>
      <c r="Y61" s="3112"/>
      <c r="Z61" s="3112"/>
      <c r="AA61" s="3113"/>
      <c r="AB61" s="2049"/>
      <c r="AC61" s="2049"/>
      <c r="AD61" s="2049"/>
      <c r="AE61" s="2054"/>
      <c r="AF61" s="2054"/>
      <c r="AG61" s="2050"/>
      <c r="AH61" s="2050"/>
      <c r="AI61" s="2050"/>
      <c r="AJ61" s="2050"/>
      <c r="AK61" s="2050"/>
    </row>
    <row r="62" spans="1:37" ht="24.95" customHeight="1" thickBot="1">
      <c r="A62" s="3129"/>
      <c r="B62" s="3107"/>
      <c r="C62" s="3110"/>
      <c r="D62" s="2137" t="s">
        <v>3315</v>
      </c>
      <c r="E62" s="2130" t="str">
        <f>IF(E60="NÃO","NÃO",IF(E61&gt;=E36,"SIM","NÃO"))</f>
        <v>SIM</v>
      </c>
      <c r="F62" s="2131" t="str">
        <f>IF(F60="NÃO","NÃO",IF(F61&gt;=F36,"SIM","NÃO"))</f>
        <v>SIM</v>
      </c>
      <c r="G62" s="2131" t="str">
        <f t="shared" ref="G62:T62" si="23">IF(G60="NÃO","NÃO",IF(G61&gt;=G36,"SIM","NÃO"))</f>
        <v>SIM</v>
      </c>
      <c r="H62" s="2131" t="str">
        <f t="shared" si="23"/>
        <v>SIM</v>
      </c>
      <c r="I62" s="2131" t="str">
        <f t="shared" si="23"/>
        <v>SIM</v>
      </c>
      <c r="J62" s="2131" t="str">
        <f t="shared" si="23"/>
        <v>SIM</v>
      </c>
      <c r="K62" s="2131" t="str">
        <f t="shared" si="23"/>
        <v>SIM</v>
      </c>
      <c r="L62" s="2131" t="str">
        <f t="shared" si="23"/>
        <v>SIM</v>
      </c>
      <c r="M62" s="2131" t="str">
        <f t="shared" si="23"/>
        <v>SIM</v>
      </c>
      <c r="N62" s="2131" t="str">
        <f t="shared" si="23"/>
        <v>SIM</v>
      </c>
      <c r="O62" s="2131" t="str">
        <f t="shared" si="23"/>
        <v>SIM</v>
      </c>
      <c r="P62" s="2131" t="str">
        <f t="shared" si="23"/>
        <v>SIM</v>
      </c>
      <c r="Q62" s="2131" t="str">
        <f t="shared" si="23"/>
        <v>SIM</v>
      </c>
      <c r="R62" s="2131" t="str">
        <f t="shared" si="23"/>
        <v>SIM</v>
      </c>
      <c r="S62" s="2131" t="str">
        <f t="shared" si="23"/>
        <v>SIM</v>
      </c>
      <c r="T62" s="2131" t="str">
        <f t="shared" si="23"/>
        <v>SIM</v>
      </c>
      <c r="U62" s="2132" t="str">
        <f>IF(U60="NÃO","NÃO",IF(U61&gt;=U36,"SIM","NÃO"))</f>
        <v>SIM</v>
      </c>
      <c r="V62" s="2110"/>
      <c r="W62" s="3114"/>
      <c r="X62" s="3115"/>
      <c r="Y62" s="3115"/>
      <c r="Z62" s="3115"/>
      <c r="AA62" s="3116"/>
      <c r="AB62" s="2049"/>
      <c r="AC62" s="2049"/>
      <c r="AD62" s="2049"/>
      <c r="AE62" s="2054"/>
      <c r="AF62" s="2054"/>
      <c r="AG62" s="2050"/>
      <c r="AH62" s="2050"/>
      <c r="AI62" s="2050"/>
      <c r="AJ62" s="2050"/>
      <c r="AK62" s="2050"/>
    </row>
    <row r="63" spans="1:37" ht="24.95" customHeight="1">
      <c r="A63" s="3129"/>
      <c r="B63" s="3107"/>
      <c r="C63" s="3109" t="s">
        <v>3320</v>
      </c>
      <c r="D63" s="2137" t="s">
        <v>3321</v>
      </c>
      <c r="E63" s="2142">
        <f>E57+E55*E56</f>
        <v>28</v>
      </c>
      <c r="F63" s="2143">
        <f>F57+F55*F56</f>
        <v>43.4</v>
      </c>
      <c r="G63" s="2143">
        <f t="shared" ref="G63:T63" si="24">G57+G55*G56</f>
        <v>39.4</v>
      </c>
      <c r="H63" s="2143">
        <f t="shared" si="24"/>
        <v>39.4</v>
      </c>
      <c r="I63" s="2143">
        <f t="shared" si="24"/>
        <v>43.4</v>
      </c>
      <c r="J63" s="2143">
        <f t="shared" si="24"/>
        <v>48.4</v>
      </c>
      <c r="K63" s="2143">
        <f t="shared" si="24"/>
        <v>48.4</v>
      </c>
      <c r="L63" s="2143">
        <f t="shared" si="24"/>
        <v>48.4</v>
      </c>
      <c r="M63" s="2143">
        <f t="shared" si="24"/>
        <v>39.4</v>
      </c>
      <c r="N63" s="2143">
        <f t="shared" si="24"/>
        <v>39.4</v>
      </c>
      <c r="O63" s="2143">
        <f t="shared" si="24"/>
        <v>39.4</v>
      </c>
      <c r="P63" s="2143">
        <f t="shared" si="24"/>
        <v>39.4</v>
      </c>
      <c r="Q63" s="2143">
        <f t="shared" si="24"/>
        <v>39.4</v>
      </c>
      <c r="R63" s="2143">
        <f t="shared" si="24"/>
        <v>43.4</v>
      </c>
      <c r="S63" s="2143">
        <f t="shared" si="24"/>
        <v>48.4</v>
      </c>
      <c r="T63" s="2143">
        <f t="shared" si="24"/>
        <v>41.4</v>
      </c>
      <c r="U63" s="2144">
        <f>U57+U55*U56</f>
        <v>41.4</v>
      </c>
      <c r="V63" s="2145"/>
      <c r="W63" s="2049"/>
      <c r="X63" s="2049"/>
      <c r="Y63" s="2049"/>
      <c r="Z63" s="2049"/>
      <c r="AA63" s="2049"/>
      <c r="AB63" s="2049"/>
      <c r="AC63" s="2049"/>
      <c r="AD63" s="2049"/>
      <c r="AE63" s="2054"/>
      <c r="AF63" s="2054"/>
      <c r="AG63" s="2050"/>
      <c r="AH63" s="2050"/>
      <c r="AI63" s="2050"/>
      <c r="AJ63" s="2050"/>
      <c r="AK63" s="2050"/>
    </row>
    <row r="64" spans="1:37" ht="24.95" customHeight="1">
      <c r="A64" s="3129"/>
      <c r="B64" s="3108"/>
      <c r="C64" s="3117"/>
      <c r="D64" s="2146" t="s">
        <v>3315</v>
      </c>
      <c r="E64" s="2107" t="str">
        <f>IF(E62="NÃO","NÃO",IF(E63&gt;=E36,"SIM","NÃO"))</f>
        <v>SIM</v>
      </c>
      <c r="F64" s="2108" t="str">
        <f>IF(F62="NÃO","NÃO",IF(F63&gt;=F36,"SIM","NÃO"))</f>
        <v>SIM</v>
      </c>
      <c r="G64" s="2108" t="str">
        <f t="shared" ref="G64:T64" si="25">IF(G62="NÃO","NÃO",IF(G63&gt;=G36,"SIM","NÃO"))</f>
        <v>SIM</v>
      </c>
      <c r="H64" s="2108" t="str">
        <f t="shared" si="25"/>
        <v>SIM</v>
      </c>
      <c r="I64" s="2108" t="str">
        <f t="shared" si="25"/>
        <v>SIM</v>
      </c>
      <c r="J64" s="2108" t="str">
        <f t="shared" si="25"/>
        <v>SIM</v>
      </c>
      <c r="K64" s="2108" t="str">
        <f t="shared" si="25"/>
        <v>SIM</v>
      </c>
      <c r="L64" s="2108" t="str">
        <f t="shared" si="25"/>
        <v>SIM</v>
      </c>
      <c r="M64" s="2108" t="str">
        <f t="shared" si="25"/>
        <v>SIM</v>
      </c>
      <c r="N64" s="2108" t="str">
        <f t="shared" si="25"/>
        <v>SIM</v>
      </c>
      <c r="O64" s="2108" t="str">
        <f t="shared" si="25"/>
        <v>SIM</v>
      </c>
      <c r="P64" s="2108" t="str">
        <f t="shared" si="25"/>
        <v>SIM</v>
      </c>
      <c r="Q64" s="2108" t="str">
        <f t="shared" si="25"/>
        <v>SIM</v>
      </c>
      <c r="R64" s="2108" t="str">
        <f t="shared" si="25"/>
        <v>SIM</v>
      </c>
      <c r="S64" s="2108" t="str">
        <f t="shared" si="25"/>
        <v>SIM</v>
      </c>
      <c r="T64" s="2108" t="str">
        <f t="shared" si="25"/>
        <v>SIM</v>
      </c>
      <c r="U64" s="2109" t="str">
        <f>IF(U62="NÃO","NÃO",IF(U63&gt;=U36,"SIM","NÃO"))</f>
        <v>SIM</v>
      </c>
      <c r="V64" s="2110"/>
      <c r="W64" s="2049"/>
      <c r="X64" s="2049"/>
      <c r="Y64" s="2049"/>
      <c r="Z64" s="2049"/>
      <c r="AA64" s="2049"/>
      <c r="AB64" s="2049"/>
      <c r="AC64" s="2049"/>
      <c r="AD64" s="2049"/>
      <c r="AE64" s="2054"/>
      <c r="AF64" s="2054"/>
      <c r="AG64" s="2050"/>
      <c r="AH64" s="2050"/>
      <c r="AI64" s="2050"/>
      <c r="AJ64" s="2050"/>
      <c r="AK64" s="2050"/>
    </row>
    <row r="65" spans="1:37" ht="50.1" customHeight="1" thickBot="1">
      <c r="A65" s="3130"/>
      <c r="B65" s="3103" t="s">
        <v>1400</v>
      </c>
      <c r="C65" s="3104"/>
      <c r="D65" s="3105"/>
      <c r="E65" s="2147"/>
      <c r="F65" s="2148"/>
      <c r="G65" s="2148"/>
      <c r="H65" s="2148"/>
      <c r="I65" s="2148"/>
      <c r="J65" s="2148"/>
      <c r="K65" s="2148"/>
      <c r="L65" s="2148"/>
      <c r="M65" s="2148"/>
      <c r="N65" s="2148"/>
      <c r="O65" s="2148"/>
      <c r="P65" s="2148"/>
      <c r="Q65" s="2148"/>
      <c r="R65" s="2148"/>
      <c r="S65" s="2148"/>
      <c r="T65" s="2148"/>
      <c r="U65" s="2149"/>
      <c r="V65" s="2058"/>
      <c r="W65" s="2049"/>
      <c r="X65" s="2049"/>
      <c r="Y65" s="2049"/>
      <c r="Z65" s="2049"/>
      <c r="AA65" s="2049"/>
      <c r="AB65" s="2049"/>
      <c r="AC65" s="2049"/>
      <c r="AD65" s="2049"/>
      <c r="AE65" s="2054"/>
      <c r="AF65" s="2054"/>
      <c r="AG65" s="2050"/>
      <c r="AH65" s="2050"/>
      <c r="AI65" s="589"/>
      <c r="AJ65" s="589"/>
      <c r="AK65" s="589"/>
    </row>
    <row r="66" spans="1:37" ht="24.95" customHeight="1">
      <c r="A66" s="2049"/>
      <c r="B66" s="2049"/>
      <c r="C66" s="2049"/>
      <c r="D66" s="2049"/>
      <c r="E66" s="2058"/>
      <c r="F66" s="2058"/>
      <c r="G66" s="2058"/>
      <c r="H66" s="2058"/>
      <c r="I66" s="2058"/>
      <c r="J66" s="2058"/>
      <c r="K66" s="2058"/>
      <c r="L66" s="2058"/>
      <c r="M66" s="2058"/>
      <c r="N66" s="2058"/>
      <c r="O66" s="2058"/>
      <c r="P66" s="2058"/>
      <c r="Q66" s="2058"/>
      <c r="R66" s="2058"/>
      <c r="S66" s="2058"/>
      <c r="T66" s="2058"/>
      <c r="U66" s="2058"/>
      <c r="V66" s="2058"/>
      <c r="W66" s="2049"/>
      <c r="X66" s="2049"/>
      <c r="Y66" s="2049"/>
      <c r="Z66" s="2049"/>
      <c r="AA66" s="2049"/>
      <c r="AB66" s="2049"/>
      <c r="AC66" s="2049"/>
      <c r="AD66" s="2049"/>
      <c r="AE66" s="2054"/>
      <c r="AF66" s="2054"/>
      <c r="AG66" s="2050"/>
      <c r="AH66" s="2050"/>
      <c r="AI66" s="589"/>
      <c r="AJ66" s="589"/>
      <c r="AK66" s="589"/>
    </row>
    <row r="67" spans="1:37" ht="24.95" customHeight="1">
      <c r="A67" s="2049"/>
      <c r="B67" s="2049"/>
      <c r="C67" s="2049"/>
      <c r="D67" s="2049"/>
      <c r="E67" s="2058"/>
      <c r="F67" s="2058"/>
      <c r="G67" s="2058"/>
      <c r="H67" s="2058"/>
      <c r="I67" s="2058"/>
      <c r="J67" s="2058"/>
      <c r="K67" s="2058"/>
      <c r="L67" s="2058"/>
      <c r="M67" s="2058"/>
      <c r="N67" s="2058"/>
      <c r="O67" s="2058"/>
      <c r="P67" s="2058"/>
      <c r="Q67" s="2058"/>
      <c r="R67" s="2058"/>
      <c r="S67" s="2058"/>
      <c r="T67" s="2058"/>
      <c r="U67" s="2058"/>
      <c r="V67" s="2058"/>
      <c r="W67" s="2049"/>
      <c r="X67" s="2049"/>
      <c r="Y67" s="2049"/>
      <c r="Z67" s="2049"/>
      <c r="AA67" s="2049"/>
      <c r="AB67" s="2049"/>
      <c r="AC67" s="2049"/>
      <c r="AD67" s="2049"/>
      <c r="AE67" s="2054"/>
      <c r="AF67" s="2054"/>
      <c r="AG67" s="2050"/>
      <c r="AH67" s="2050"/>
      <c r="AI67" s="589"/>
      <c r="AJ67" s="589"/>
      <c r="AK67" s="589"/>
    </row>
    <row r="68" spans="1:37">
      <c r="A68" s="2049"/>
      <c r="B68" s="2049"/>
      <c r="C68" s="2150"/>
      <c r="D68" s="2150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2150"/>
      <c r="W68" s="2049"/>
      <c r="X68" s="2049"/>
      <c r="Y68" s="2049"/>
      <c r="Z68" s="2049"/>
      <c r="AA68" s="2049"/>
      <c r="AB68" s="2049"/>
      <c r="AC68" s="2049"/>
      <c r="AD68" s="2049"/>
      <c r="AE68" s="2054"/>
      <c r="AF68" s="2054"/>
      <c r="AG68" s="2050"/>
      <c r="AH68" s="2050"/>
      <c r="AI68" s="589"/>
      <c r="AJ68" s="589"/>
      <c r="AK68" s="589"/>
    </row>
    <row r="69" spans="1:37">
      <c r="A69" s="2049"/>
      <c r="B69" s="2049"/>
      <c r="C69" s="2059"/>
      <c r="D69" s="2059"/>
      <c r="E69" s="2058"/>
      <c r="F69" s="2058"/>
      <c r="G69" s="2058"/>
      <c r="H69" s="2058"/>
      <c r="I69" s="2058"/>
      <c r="J69" s="2058"/>
      <c r="K69" s="2058"/>
      <c r="L69" s="2058"/>
      <c r="M69" s="2058"/>
      <c r="N69" s="2058"/>
      <c r="O69" s="2058"/>
      <c r="P69" s="2058"/>
      <c r="Q69" s="2058"/>
      <c r="R69" s="2058"/>
      <c r="S69" s="2058"/>
      <c r="T69" s="2058"/>
      <c r="U69" s="2058"/>
      <c r="V69" s="2058"/>
      <c r="W69" s="2049"/>
      <c r="X69" s="2049"/>
      <c r="Y69" s="2049"/>
      <c r="Z69" s="2049"/>
      <c r="AA69" s="2049"/>
      <c r="AB69" s="2049"/>
      <c r="AC69" s="2049"/>
      <c r="AD69" s="2049"/>
      <c r="AE69" s="2054"/>
      <c r="AF69" s="2054"/>
      <c r="AG69" s="2050"/>
      <c r="AH69" s="2050"/>
      <c r="AI69" s="589"/>
      <c r="AJ69" s="589"/>
      <c r="AK69" s="589"/>
    </row>
    <row r="70" spans="1:37">
      <c r="A70" s="2049"/>
      <c r="B70" s="2049"/>
      <c r="C70" s="2059"/>
      <c r="D70" s="2059"/>
      <c r="E70" s="2058"/>
      <c r="F70" s="2058"/>
      <c r="G70" s="2058"/>
      <c r="H70" s="2058"/>
      <c r="I70" s="2058"/>
      <c r="J70" s="2058"/>
      <c r="K70" s="2058"/>
      <c r="L70" s="2058"/>
      <c r="M70" s="2058"/>
      <c r="N70" s="2058"/>
      <c r="O70" s="2058"/>
      <c r="P70" s="2058"/>
      <c r="Q70" s="2058"/>
      <c r="R70" s="2058"/>
      <c r="S70" s="2058"/>
      <c r="T70" s="2058"/>
      <c r="U70" s="2058"/>
      <c r="V70" s="2058"/>
      <c r="W70" s="2049"/>
      <c r="X70" s="2049"/>
      <c r="Y70" s="2049"/>
      <c r="Z70" s="2049"/>
      <c r="AA70" s="2049"/>
      <c r="AB70" s="2049"/>
      <c r="AC70" s="2049"/>
      <c r="AD70" s="2049"/>
      <c r="AE70" s="2054"/>
      <c r="AF70" s="2054"/>
      <c r="AG70" s="2050"/>
      <c r="AH70" s="2050"/>
      <c r="AI70" s="2050"/>
      <c r="AJ70" s="2050"/>
      <c r="AK70" s="2050"/>
    </row>
    <row r="71" spans="1:37">
      <c r="A71" s="2049"/>
      <c r="B71" s="2049"/>
      <c r="C71" s="2059"/>
      <c r="D71" s="2059"/>
      <c r="E71" s="2058"/>
      <c r="F71" s="2058"/>
      <c r="G71" s="2058"/>
      <c r="H71" s="2058"/>
      <c r="I71" s="2058"/>
      <c r="J71" s="2058"/>
      <c r="K71" s="2058"/>
      <c r="L71" s="2058"/>
      <c r="M71" s="2058"/>
      <c r="N71" s="2058"/>
      <c r="O71" s="2058"/>
      <c r="P71" s="2058"/>
      <c r="Q71" s="2058"/>
      <c r="R71" s="2058"/>
      <c r="S71" s="2058"/>
      <c r="T71" s="2058"/>
      <c r="U71" s="2058"/>
      <c r="V71" s="2058"/>
      <c r="W71" s="2049"/>
      <c r="X71" s="2049"/>
      <c r="Y71" s="2049"/>
      <c r="Z71" s="2049"/>
      <c r="AA71" s="2049"/>
      <c r="AB71" s="2049"/>
      <c r="AC71" s="2049"/>
      <c r="AD71" s="2049"/>
      <c r="AE71" s="2054"/>
      <c r="AF71" s="2054"/>
      <c r="AG71" s="2050"/>
      <c r="AH71" s="2050"/>
      <c r="AI71" s="2050"/>
      <c r="AJ71" s="2050"/>
      <c r="AK71" s="2050"/>
    </row>
    <row r="72" spans="1:37">
      <c r="B72" s="2049"/>
      <c r="C72" s="2059"/>
      <c r="D72" s="2059"/>
      <c r="E72" s="2058"/>
      <c r="F72" s="2058"/>
      <c r="G72" s="2058"/>
      <c r="H72" s="2058"/>
      <c r="I72" s="2058"/>
      <c r="J72" s="2058"/>
      <c r="K72" s="2058"/>
      <c r="L72" s="2058"/>
      <c r="M72" s="2058"/>
      <c r="N72" s="2058"/>
      <c r="O72" s="2058"/>
      <c r="P72" s="2058"/>
      <c r="Q72" s="2058"/>
      <c r="R72" s="2058"/>
      <c r="S72" s="2058"/>
      <c r="T72" s="2058"/>
      <c r="U72" s="2058"/>
      <c r="V72" s="2058"/>
      <c r="W72" s="2049"/>
      <c r="X72" s="2049"/>
      <c r="Y72" s="2049"/>
      <c r="Z72" s="2049"/>
      <c r="AA72" s="2049"/>
      <c r="AB72" s="2049"/>
      <c r="AC72" s="2049"/>
      <c r="AD72" s="2049"/>
      <c r="AE72" s="2054"/>
      <c r="AF72" s="2054"/>
      <c r="AG72" s="2050"/>
      <c r="AH72" s="2050"/>
      <c r="AI72" s="2050"/>
      <c r="AJ72" s="2050"/>
      <c r="AK72" s="2050"/>
    </row>
    <row r="73" spans="1:37">
      <c r="G73" s="2058"/>
      <c r="H73" s="2058"/>
      <c r="I73" s="2058"/>
      <c r="J73" s="2058"/>
      <c r="K73" s="2058"/>
      <c r="L73" s="2058"/>
      <c r="M73" s="2058"/>
      <c r="N73" s="2058"/>
      <c r="O73" s="2058"/>
      <c r="P73" s="2058"/>
      <c r="Q73" s="2058"/>
      <c r="R73" s="2058"/>
      <c r="S73" s="2058"/>
      <c r="T73" s="2058"/>
      <c r="U73" s="2058"/>
      <c r="V73" s="2058"/>
      <c r="W73" s="2049"/>
      <c r="X73" s="2049"/>
      <c r="Y73" s="2049"/>
      <c r="Z73" s="2049"/>
      <c r="AA73" s="2049"/>
      <c r="AB73" s="2049"/>
      <c r="AC73" s="2049"/>
      <c r="AD73" s="2049"/>
      <c r="AE73" s="2054"/>
      <c r="AF73" s="2054"/>
      <c r="AG73" s="2050"/>
      <c r="AH73" s="2050"/>
      <c r="AI73" s="2050"/>
      <c r="AJ73" s="2050"/>
      <c r="AK73" s="2050"/>
    </row>
    <row r="74" spans="1:37">
      <c r="G74" s="2058"/>
      <c r="H74" s="2058"/>
      <c r="I74" s="2058"/>
      <c r="J74" s="2058"/>
      <c r="K74" s="2058"/>
      <c r="L74" s="2058"/>
      <c r="M74" s="2058"/>
      <c r="N74" s="2058"/>
      <c r="O74" s="2058"/>
      <c r="P74" s="2058"/>
      <c r="Q74" s="2058"/>
      <c r="R74" s="2058"/>
      <c r="S74" s="2058"/>
      <c r="T74" s="2058"/>
      <c r="U74" s="2058"/>
      <c r="V74" s="2058"/>
      <c r="W74" s="2049"/>
      <c r="X74" s="2049"/>
      <c r="Y74" s="2049"/>
      <c r="Z74" s="2049"/>
      <c r="AA74" s="2049"/>
      <c r="AB74" s="2049"/>
      <c r="AC74" s="2049"/>
      <c r="AD74" s="2049"/>
      <c r="AE74" s="2054"/>
      <c r="AF74" s="2054"/>
      <c r="AG74" s="2050"/>
      <c r="AH74" s="2050"/>
      <c r="AI74" s="2050"/>
      <c r="AJ74" s="2050"/>
      <c r="AK74" s="2050"/>
    </row>
    <row r="75" spans="1:37" s="2151" customFormat="1">
      <c r="G75" s="2058"/>
      <c r="H75" s="2058"/>
      <c r="I75" s="2058"/>
      <c r="J75" s="2058"/>
      <c r="K75" s="2058"/>
      <c r="L75" s="2058"/>
      <c r="M75" s="2058"/>
      <c r="N75" s="2058"/>
      <c r="O75" s="2058"/>
      <c r="P75" s="2058"/>
      <c r="Q75" s="2058"/>
      <c r="R75" s="2058"/>
      <c r="S75" s="2058"/>
      <c r="T75" s="2058"/>
      <c r="U75" s="2058"/>
      <c r="V75" s="2058"/>
      <c r="W75" s="2049"/>
      <c r="X75" s="2049"/>
      <c r="Y75" s="2049"/>
      <c r="Z75" s="2049"/>
      <c r="AA75" s="2049"/>
      <c r="AB75" s="2049"/>
      <c r="AC75" s="2049"/>
      <c r="AD75" s="2049"/>
      <c r="AE75" s="2057"/>
      <c r="AF75" s="2057"/>
      <c r="AG75" s="2152"/>
      <c r="AH75" s="2152"/>
      <c r="AI75" s="2152"/>
      <c r="AJ75" s="2152"/>
      <c r="AK75" s="2152"/>
    </row>
    <row r="76" spans="1:37">
      <c r="A76" s="2049"/>
      <c r="B76" s="2049"/>
      <c r="C76" s="2059"/>
      <c r="D76" s="2059"/>
      <c r="E76" s="2058"/>
      <c r="F76" s="2058"/>
      <c r="G76" s="2058"/>
      <c r="H76" s="2058"/>
      <c r="I76" s="2058"/>
      <c r="J76" s="2058"/>
      <c r="K76" s="2058"/>
      <c r="L76" s="2058"/>
      <c r="M76" s="2058"/>
      <c r="N76" s="2058"/>
      <c r="O76" s="2058"/>
      <c r="P76" s="2058"/>
      <c r="Q76" s="2058"/>
      <c r="R76" s="2058"/>
      <c r="S76" s="2058"/>
      <c r="T76" s="2058"/>
      <c r="U76" s="2058"/>
      <c r="V76" s="2058"/>
      <c r="W76" s="2049"/>
      <c r="X76" s="2049"/>
      <c r="Y76" s="2049"/>
      <c r="Z76" s="2049"/>
      <c r="AA76" s="2049"/>
      <c r="AB76" s="2049"/>
      <c r="AC76" s="2049"/>
      <c r="AD76" s="2049"/>
      <c r="AE76" s="2054"/>
      <c r="AF76" s="2054"/>
      <c r="AG76" s="2050"/>
      <c r="AH76" s="2050"/>
      <c r="AI76" s="2050"/>
      <c r="AJ76" s="2050"/>
      <c r="AK76" s="2050"/>
    </row>
    <row r="77" spans="1:37">
      <c r="G77" s="2058"/>
      <c r="H77" s="2058"/>
      <c r="I77" s="2058"/>
      <c r="J77" s="2058"/>
      <c r="K77" s="2058"/>
      <c r="L77" s="2058"/>
      <c r="M77" s="2058"/>
      <c r="N77" s="2058"/>
      <c r="O77" s="2058"/>
      <c r="P77" s="2058"/>
      <c r="Q77" s="2058"/>
      <c r="R77" s="2058"/>
      <c r="S77" s="2058"/>
      <c r="T77" s="2058"/>
      <c r="U77" s="2058"/>
    </row>
  </sheetData>
  <mergeCells count="55">
    <mergeCell ref="A1:A65"/>
    <mergeCell ref="B1:D1"/>
    <mergeCell ref="B2:B3"/>
    <mergeCell ref="C2:D2"/>
    <mergeCell ref="C3:D3"/>
    <mergeCell ref="B4:D4"/>
    <mergeCell ref="B5:D5"/>
    <mergeCell ref="B6:B30"/>
    <mergeCell ref="C6:D6"/>
    <mergeCell ref="C7:D7"/>
    <mergeCell ref="C19:D19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B31:D31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B32:D32"/>
    <mergeCell ref="B33:D33"/>
    <mergeCell ref="B34:B36"/>
    <mergeCell ref="C34:D34"/>
    <mergeCell ref="C35:D35"/>
    <mergeCell ref="C36:D36"/>
    <mergeCell ref="W61:AA62"/>
    <mergeCell ref="C63:C64"/>
    <mergeCell ref="B37:B56"/>
    <mergeCell ref="C37:C39"/>
    <mergeCell ref="C40:C43"/>
    <mergeCell ref="C44:C48"/>
    <mergeCell ref="D45:D46"/>
    <mergeCell ref="C49:C53"/>
    <mergeCell ref="D49:D50"/>
    <mergeCell ref="C54:C56"/>
    <mergeCell ref="B65:D65"/>
    <mergeCell ref="B57:B64"/>
    <mergeCell ref="C57:C58"/>
    <mergeCell ref="C59:C60"/>
    <mergeCell ref="C61:C62"/>
  </mergeCells>
  <conditionalFormatting sqref="E58:U58 E60:U60 E62:U62 E64:U64">
    <cfRule type="cellIs" dxfId="0" priority="1" operator="equal">
      <formula>"NÃO"</formula>
    </cfRule>
  </conditionalFormatting>
  <hyperlinks>
    <hyperlink ref="B1:D1" location="PAINEL!A1" display="VIAS" xr:uid="{95322188-BDCC-4896-99C6-C524B689DADC}"/>
  </hyperlinks>
  <printOptions horizontalCentered="1" gridLines="1"/>
  <pageMargins left="0.39370078740157477" right="0.59055118110236215" top="0.39370078740157477" bottom="0.59055118110236215" header="0.51181102362204722" footer="0.51181102362204722"/>
  <pageSetup paperSize="8" scale="37" orientation="landscape" r:id="rId1"/>
  <headerFooter alignWithMargins="0">
    <oddFooter>&amp;C&amp;8Página &amp;P/&amp;N</oddFooter>
  </headerFooter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49B4C-7698-4000-AC49-CFFB0A086421}">
  <sheetPr codeName="Planilha45">
    <pageSetUpPr fitToPage="1"/>
  </sheetPr>
  <dimension ref="A1:CF210"/>
  <sheetViews>
    <sheetView showZeros="0" zoomScaleNormal="100" workbookViewId="0">
      <selection activeCell="X20" sqref="X20"/>
    </sheetView>
  </sheetViews>
  <sheetFormatPr defaultColWidth="9" defaultRowHeight="12.75"/>
  <cols>
    <col min="1" max="1" width="11.375" style="2287" bestFit="1" customWidth="1"/>
    <col min="2" max="2" width="11.375" style="2288" customWidth="1"/>
    <col min="3" max="3" width="15.5" style="2289" customWidth="1"/>
    <col min="4" max="4" width="7.625" style="2289" customWidth="1"/>
    <col min="5" max="5" width="9.625" style="2289" customWidth="1"/>
    <col min="6" max="6" width="7.125" style="2219" customWidth="1"/>
    <col min="7" max="8" width="9.625" style="2290" customWidth="1"/>
    <col min="9" max="9" width="9.125" style="2219" customWidth="1"/>
    <col min="10" max="10" width="6.625" style="2291" customWidth="1"/>
    <col min="11" max="13" width="6.625" style="1846" customWidth="1"/>
    <col min="14" max="14" width="8.625" style="2292" customWidth="1"/>
    <col min="15" max="15" width="14.125" style="2293" customWidth="1"/>
    <col min="16" max="16" width="13.125" style="2294" customWidth="1"/>
    <col min="17" max="19" width="7.625" style="2219" customWidth="1"/>
    <col min="20" max="22" width="8.625" style="2293" customWidth="1"/>
    <col min="23" max="26" width="9.5" style="2293" customWidth="1"/>
    <col min="27" max="33" width="9.5" style="2219" customWidth="1"/>
    <col min="34" max="34" width="9.5" style="2295" customWidth="1"/>
    <col min="35" max="35" width="9.5" style="2219" customWidth="1"/>
    <col min="36" max="36" width="6.75" style="2219" customWidth="1"/>
    <col min="37" max="37" width="8.25" style="2219" customWidth="1"/>
    <col min="38" max="40" width="8.625" style="2219" customWidth="1"/>
    <col min="41" max="41" width="10.625" style="2219" customWidth="1"/>
    <col min="42" max="42" width="3.75" style="2295" customWidth="1"/>
    <col min="43" max="48" width="8.75" style="2296" customWidth="1"/>
    <col min="49" max="49" width="12.375" style="2296" customWidth="1"/>
    <col min="50" max="55" width="8.75" style="2297" customWidth="1"/>
    <col min="56" max="62" width="8.75" style="2298" customWidth="1"/>
    <col min="63" max="68" width="10.125" style="2298" customWidth="1"/>
    <col min="69" max="75" width="10.125" style="1846" customWidth="1"/>
    <col min="76" max="76" width="10.125" style="2287" customWidth="1"/>
    <col min="77" max="79" width="10.125" style="1846" customWidth="1"/>
    <col min="80" max="83" width="9" style="2219"/>
    <col min="84" max="86" width="15.75" style="2219" customWidth="1"/>
    <col min="87" max="16384" width="9" style="2219"/>
  </cols>
  <sheetData>
    <row r="1" spans="1:84" s="563" customFormat="1" ht="20.100000000000001" customHeight="1" thickTop="1">
      <c r="A1" s="2153"/>
      <c r="B1" s="2154"/>
      <c r="C1" s="2155" t="s">
        <v>16</v>
      </c>
      <c r="D1" s="2156"/>
      <c r="E1" s="2156" t="s">
        <v>3518</v>
      </c>
      <c r="F1" s="2156"/>
      <c r="G1" s="2156"/>
      <c r="H1" s="2156"/>
      <c r="I1" s="2156"/>
      <c r="J1" s="2156"/>
      <c r="K1" s="2156"/>
      <c r="L1" s="2156"/>
      <c r="M1" s="2156"/>
      <c r="N1" s="2156"/>
      <c r="O1" s="2156"/>
      <c r="P1" s="2157"/>
      <c r="Q1" s="2156"/>
      <c r="R1" s="2156"/>
      <c r="S1" s="2156"/>
      <c r="T1" s="2156"/>
      <c r="U1" s="2156"/>
      <c r="V1" s="2156"/>
      <c r="W1" s="2158"/>
      <c r="X1" s="2159"/>
      <c r="Y1" s="2159"/>
      <c r="Z1" s="2159"/>
      <c r="AA1" s="2159"/>
      <c r="AB1" s="2160"/>
      <c r="AI1" s="2161"/>
      <c r="AL1" s="3175" t="s">
        <v>3322</v>
      </c>
      <c r="AM1" s="3176"/>
      <c r="AN1" s="3176"/>
      <c r="AO1" s="3177"/>
      <c r="AP1" s="2162"/>
      <c r="AQ1" s="2163"/>
      <c r="AR1" s="2163"/>
      <c r="AS1" s="2163"/>
      <c r="AT1" s="2163"/>
      <c r="AU1" s="2163"/>
      <c r="AV1" s="2163"/>
      <c r="AW1" s="2163"/>
      <c r="AX1" s="2163"/>
      <c r="AY1" s="2163"/>
      <c r="AZ1" s="2163"/>
      <c r="BA1" s="2163"/>
      <c r="BB1" s="2163"/>
      <c r="BC1" s="2163"/>
      <c r="BD1" s="2164"/>
      <c r="BE1" s="2164"/>
      <c r="BF1" s="2164"/>
      <c r="BH1" s="2164"/>
      <c r="BI1" s="2164"/>
      <c r="BJ1" s="2165"/>
      <c r="BK1" s="2165"/>
      <c r="BL1" s="2165"/>
      <c r="BM1" s="2165"/>
      <c r="BN1" s="2165"/>
      <c r="BO1" s="2165"/>
      <c r="BP1" s="2165"/>
      <c r="BQ1" s="527"/>
      <c r="BR1" s="527"/>
      <c r="BS1" s="527"/>
      <c r="BT1" s="527"/>
      <c r="BU1" s="527"/>
      <c r="BV1" s="527"/>
      <c r="BW1" s="527"/>
      <c r="BX1" s="2166"/>
      <c r="BY1" s="527"/>
      <c r="BZ1" s="527"/>
      <c r="CA1" s="527"/>
    </row>
    <row r="2" spans="1:84" s="563" customFormat="1" ht="20.100000000000001" customHeight="1">
      <c r="B2" s="2167"/>
      <c r="C2" s="2155" t="s">
        <v>18</v>
      </c>
      <c r="D2" s="2156"/>
      <c r="E2" s="2156" t="s">
        <v>3519</v>
      </c>
      <c r="F2" s="2156"/>
      <c r="G2" s="2156"/>
      <c r="H2" s="2156"/>
      <c r="I2" s="2156"/>
      <c r="J2" s="2156"/>
      <c r="K2" s="2156"/>
      <c r="L2" s="2156"/>
      <c r="M2" s="2156"/>
      <c r="N2" s="2156"/>
      <c r="O2" s="2156"/>
      <c r="P2" s="2157"/>
      <c r="Q2" s="2156"/>
      <c r="R2" s="2156"/>
      <c r="S2" s="2156"/>
      <c r="T2" s="2156"/>
      <c r="U2" s="2156"/>
      <c r="V2" s="2156"/>
      <c r="W2" s="2168" t="s">
        <v>1501</v>
      </c>
      <c r="X2" s="2169">
        <v>0.6</v>
      </c>
      <c r="Y2" s="2169">
        <v>0.8</v>
      </c>
      <c r="Z2" s="2169">
        <v>1</v>
      </c>
      <c r="AA2" s="2169">
        <v>1.2</v>
      </c>
      <c r="AB2" s="2170">
        <v>1.5</v>
      </c>
      <c r="AI2" s="2161"/>
      <c r="AL2" s="2171" t="s">
        <v>3323</v>
      </c>
      <c r="AM2" s="2172"/>
      <c r="AN2" s="2172"/>
      <c r="AO2" s="2173"/>
      <c r="AP2" s="2174"/>
      <c r="AQ2" s="2175"/>
      <c r="AR2" s="2175"/>
      <c r="AS2" s="2175"/>
      <c r="AT2" s="2163"/>
      <c r="AU2" s="2163"/>
      <c r="AV2" s="2163"/>
      <c r="AW2" s="2163"/>
      <c r="AX2" s="2163"/>
      <c r="AY2" s="2163"/>
      <c r="AZ2" s="2163"/>
      <c r="BA2" s="2163"/>
      <c r="BB2" s="2163"/>
      <c r="BC2" s="2163"/>
      <c r="BD2" s="2164"/>
      <c r="BE2" s="2164"/>
      <c r="BF2" s="2164"/>
      <c r="BG2" s="2164"/>
      <c r="BI2" s="2164"/>
      <c r="BJ2" s="2165"/>
      <c r="BK2" s="2165"/>
      <c r="BL2" s="2165"/>
      <c r="BM2" s="2165"/>
      <c r="BN2" s="2165"/>
      <c r="BO2" s="2165"/>
      <c r="BP2" s="2165"/>
      <c r="BQ2" s="527"/>
      <c r="BR2" s="527"/>
      <c r="BS2" s="527"/>
      <c r="BT2" s="527"/>
      <c r="BU2" s="527"/>
      <c r="BV2" s="527"/>
      <c r="BW2" s="527"/>
      <c r="BX2" s="2166"/>
      <c r="BY2" s="527"/>
      <c r="BZ2" s="527"/>
      <c r="CA2" s="527"/>
    </row>
    <row r="3" spans="1:84" s="563" customFormat="1" ht="20.100000000000001" customHeight="1">
      <c r="B3" s="2167"/>
      <c r="C3" s="2155" t="s">
        <v>21</v>
      </c>
      <c r="D3" s="2156"/>
      <c r="E3" s="2156" t="s">
        <v>3520</v>
      </c>
      <c r="F3" s="2156"/>
      <c r="G3" s="2156"/>
      <c r="H3" s="2156"/>
      <c r="I3" s="2156"/>
      <c r="J3" s="2156"/>
      <c r="K3" s="2156"/>
      <c r="L3" s="2156"/>
      <c r="M3" s="2156"/>
      <c r="N3" s="2156"/>
      <c r="O3" s="2156"/>
      <c r="P3" s="2157"/>
      <c r="Q3" s="2156"/>
      <c r="R3" s="2156"/>
      <c r="S3" s="2156"/>
      <c r="T3" s="2156"/>
      <c r="U3" s="2156"/>
      <c r="V3" s="2156"/>
      <c r="W3" s="2168" t="s">
        <v>1548</v>
      </c>
      <c r="X3" s="2169" t="s">
        <v>3521</v>
      </c>
      <c r="Y3" s="2169"/>
      <c r="Z3" s="2169"/>
      <c r="AA3" s="2169"/>
      <c r="AB3" s="2170"/>
      <c r="AE3" s="2176"/>
      <c r="AF3" s="2176"/>
      <c r="AG3" s="2177"/>
      <c r="AH3" s="2178"/>
      <c r="AI3" s="2179"/>
      <c r="AJ3" s="2179"/>
      <c r="AK3" s="2179"/>
      <c r="AL3" s="2180" t="s">
        <v>3324</v>
      </c>
      <c r="AM3" s="2181">
        <v>1146.93</v>
      </c>
      <c r="AN3" s="2182" t="s">
        <v>3325</v>
      </c>
      <c r="AO3" s="2183">
        <v>12</v>
      </c>
      <c r="AP3" s="2162"/>
      <c r="AQ3" s="2184"/>
      <c r="AR3" s="2184"/>
      <c r="AS3" s="2184"/>
      <c r="AT3" s="2184"/>
      <c r="AU3" s="2163"/>
      <c r="AV3" s="2163"/>
      <c r="AW3" s="2163"/>
      <c r="AX3" s="2163"/>
      <c r="AY3" s="2163"/>
      <c r="AZ3" s="2163"/>
      <c r="BA3" s="2163"/>
      <c r="BB3" s="2163"/>
      <c r="BC3" s="2163"/>
      <c r="BD3" s="2164"/>
      <c r="BE3" s="2164"/>
      <c r="BF3" s="2164"/>
      <c r="BG3" s="2164"/>
      <c r="BH3" s="2164"/>
      <c r="BJ3" s="2165"/>
      <c r="BK3" s="2165"/>
      <c r="BL3" s="2165"/>
      <c r="BM3" s="2165"/>
      <c r="BN3" s="2165"/>
      <c r="BO3" s="2165"/>
      <c r="BP3" s="2165"/>
      <c r="BQ3" s="527"/>
      <c r="BR3" s="527"/>
      <c r="BS3" s="527"/>
      <c r="BT3" s="527"/>
      <c r="BU3" s="527"/>
      <c r="BV3" s="527"/>
      <c r="BW3" s="527"/>
      <c r="BX3" s="2166"/>
      <c r="BY3" s="527"/>
      <c r="BZ3" s="527"/>
      <c r="CA3" s="527"/>
    </row>
    <row r="4" spans="1:84" s="563" customFormat="1" ht="20.100000000000001" customHeight="1">
      <c r="A4" s="2185"/>
      <c r="B4" s="2186"/>
      <c r="C4" s="2155" t="s">
        <v>3326</v>
      </c>
      <c r="D4" s="2187"/>
      <c r="E4" s="3178">
        <v>45383</v>
      </c>
      <c r="F4" s="3178"/>
      <c r="G4" s="2187"/>
      <c r="H4" s="2187"/>
      <c r="I4" s="2187"/>
      <c r="J4" s="2187"/>
      <c r="K4" s="2187"/>
      <c r="L4" s="2187"/>
      <c r="M4" s="2187"/>
      <c r="N4" s="2187"/>
      <c r="O4" s="2187"/>
      <c r="P4" s="2188"/>
      <c r="Q4" s="2187"/>
      <c r="R4" s="2187"/>
      <c r="S4" s="2187"/>
      <c r="T4" s="2187"/>
      <c r="U4" s="2189"/>
      <c r="V4" s="2189"/>
      <c r="W4" s="2168" t="s">
        <v>3327</v>
      </c>
      <c r="X4" s="2169" t="s">
        <v>3521</v>
      </c>
      <c r="Y4" s="2169"/>
      <c r="Z4" s="2169"/>
      <c r="AA4" s="2169"/>
      <c r="AB4" s="2170"/>
      <c r="AH4" s="2190"/>
      <c r="AI4" s="2161"/>
      <c r="AJ4" s="2161"/>
      <c r="AK4" s="2161"/>
      <c r="AL4" s="2180" t="s">
        <v>3328</v>
      </c>
      <c r="AM4" s="2181">
        <v>0.18</v>
      </c>
      <c r="AN4" s="2182" t="s">
        <v>3329</v>
      </c>
      <c r="AO4" s="2191">
        <v>0.79</v>
      </c>
      <c r="AP4" s="2190"/>
      <c r="AQ4" s="2184"/>
      <c r="AR4" s="2184"/>
      <c r="AS4" s="2184"/>
      <c r="AT4" s="2184"/>
      <c r="AU4" s="2163"/>
      <c r="AV4" s="2163"/>
      <c r="AW4" s="2163"/>
      <c r="AX4" s="2163"/>
      <c r="AY4" s="2163"/>
      <c r="AZ4" s="2163"/>
      <c r="BA4" s="2163"/>
      <c r="BB4" s="2163"/>
      <c r="BC4" s="2163"/>
      <c r="BD4" s="2164"/>
      <c r="BE4" s="2164"/>
      <c r="BF4" s="2164"/>
      <c r="BG4" s="2164"/>
      <c r="BH4" s="2164"/>
      <c r="BI4" s="2164"/>
      <c r="BJ4" s="2165"/>
      <c r="BK4" s="2165"/>
      <c r="BL4" s="2165"/>
      <c r="BM4" s="2165"/>
      <c r="BN4" s="2165"/>
      <c r="BO4" s="2165"/>
      <c r="BP4" s="2165"/>
      <c r="BQ4" s="527"/>
      <c r="BR4" s="527"/>
      <c r="BS4" s="527"/>
      <c r="BT4" s="527"/>
      <c r="BU4" s="527"/>
      <c r="BV4" s="527"/>
      <c r="BW4" s="527"/>
      <c r="BX4" s="2166"/>
      <c r="BY4" s="527"/>
      <c r="BZ4" s="527"/>
      <c r="CA4" s="527"/>
    </row>
    <row r="5" spans="1:84" s="563" customFormat="1" ht="20.100000000000001" customHeight="1" thickBot="1">
      <c r="A5" s="2166"/>
      <c r="B5" s="2192"/>
      <c r="C5" s="2193"/>
      <c r="D5" s="2193"/>
      <c r="E5" s="592"/>
      <c r="F5" s="592"/>
      <c r="G5" s="592"/>
      <c r="H5" s="592"/>
      <c r="I5" s="592"/>
      <c r="J5" s="592"/>
      <c r="K5" s="592"/>
      <c r="L5" s="592"/>
      <c r="M5" s="592"/>
      <c r="N5" s="37"/>
      <c r="O5" s="711"/>
      <c r="P5" s="1659"/>
      <c r="Q5" s="592"/>
      <c r="R5" s="2194"/>
      <c r="S5" s="2194"/>
      <c r="T5" s="2195"/>
      <c r="U5" s="2195"/>
      <c r="V5" s="2196"/>
      <c r="W5" s="2197" t="s">
        <v>3330</v>
      </c>
      <c r="X5" s="2198" t="s">
        <v>3521</v>
      </c>
      <c r="Y5" s="2199"/>
      <c r="Z5" s="2199"/>
      <c r="AA5" s="2199"/>
      <c r="AB5" s="2200"/>
      <c r="AE5" s="2161"/>
      <c r="AF5" s="2161"/>
      <c r="AG5" s="2161"/>
      <c r="AH5" s="2201"/>
      <c r="AI5" s="2161"/>
      <c r="AJ5" s="2161"/>
      <c r="AK5" s="2161"/>
      <c r="AL5" s="2202" t="s">
        <v>3331</v>
      </c>
      <c r="AM5" s="2203" t="s">
        <v>3522</v>
      </c>
      <c r="AN5" s="2204" t="s">
        <v>3523</v>
      </c>
      <c r="AO5" s="2205"/>
      <c r="AP5" s="2190"/>
      <c r="AQ5" s="2206"/>
      <c r="AR5" s="2206"/>
      <c r="AS5" s="2206"/>
      <c r="AT5" s="2207"/>
      <c r="AU5" s="2163"/>
      <c r="AV5" s="2163"/>
      <c r="AW5" s="2163"/>
      <c r="AX5" s="2163"/>
      <c r="AY5" s="2163"/>
      <c r="AZ5" s="2163"/>
      <c r="BA5" s="2163"/>
      <c r="BB5" s="2163"/>
      <c r="BC5" s="2163"/>
      <c r="BD5" s="2164"/>
      <c r="BE5" s="2164"/>
      <c r="BF5" s="2164"/>
      <c r="BG5" s="2164"/>
      <c r="BH5" s="2164"/>
      <c r="BI5" s="2164"/>
      <c r="BJ5" s="2164"/>
      <c r="BK5" s="2164"/>
      <c r="BL5" s="2164"/>
      <c r="BM5" s="2164"/>
      <c r="BN5" s="2164"/>
      <c r="BO5" s="2164"/>
      <c r="BP5" s="2164"/>
      <c r="BQ5" s="527"/>
      <c r="BR5" s="527"/>
      <c r="BS5" s="527"/>
      <c r="BT5" s="527"/>
      <c r="BU5" s="527"/>
      <c r="BV5" s="527"/>
      <c r="BW5" s="527"/>
      <c r="BX5" s="2166"/>
      <c r="BY5" s="527"/>
      <c r="BZ5" s="527"/>
      <c r="CA5" s="527"/>
    </row>
    <row r="6" spans="1:84" s="563" customFormat="1" ht="20.100000000000001" customHeight="1" thickTop="1">
      <c r="A6" s="2208" t="s">
        <v>3332</v>
      </c>
      <c r="B6" s="2209"/>
      <c r="C6" s="2208"/>
      <c r="D6" s="2208"/>
      <c r="E6" s="2208"/>
      <c r="F6" s="2208"/>
      <c r="G6" s="2208"/>
      <c r="H6" s="2208"/>
      <c r="I6" s="2208"/>
      <c r="J6" s="2208"/>
      <c r="K6" s="2208"/>
      <c r="L6" s="2208"/>
      <c r="M6" s="2208"/>
      <c r="N6" s="2208"/>
      <c r="O6" s="2208"/>
      <c r="P6" s="2209"/>
      <c r="Q6" s="2208"/>
      <c r="R6" s="2208"/>
      <c r="S6" s="2208"/>
      <c r="T6" s="2208"/>
      <c r="U6" s="2208"/>
      <c r="V6" s="2208"/>
      <c r="AE6" s="2210"/>
      <c r="AF6" s="2211"/>
      <c r="AG6" s="2210"/>
      <c r="AH6" s="2210"/>
      <c r="AI6" s="2210"/>
      <c r="AJ6" s="2210"/>
      <c r="AK6" s="2210"/>
      <c r="AM6" s="2212"/>
      <c r="AN6" s="2212"/>
      <c r="AO6" s="2213" t="s">
        <v>3333</v>
      </c>
      <c r="AP6" s="2190"/>
      <c r="AQ6" s="2207"/>
      <c r="AR6" s="2207"/>
      <c r="AS6" s="2207"/>
      <c r="AT6" s="2207"/>
      <c r="AU6" s="2163"/>
      <c r="AV6" s="2163"/>
      <c r="AW6" s="2163"/>
      <c r="AX6" s="2163"/>
      <c r="AY6" s="2163"/>
      <c r="AZ6" s="2163"/>
      <c r="BA6" s="2163"/>
      <c r="BB6" s="2163"/>
      <c r="BC6" s="2163"/>
      <c r="BD6" s="2164"/>
      <c r="BE6" s="2164"/>
      <c r="BF6" s="2164"/>
      <c r="BG6" s="2164"/>
      <c r="BH6" s="2164"/>
      <c r="BI6" s="2164"/>
      <c r="BJ6" s="2164"/>
      <c r="BK6" s="2164"/>
      <c r="BL6" s="2164"/>
      <c r="BM6" s="2164"/>
      <c r="BN6" s="2164"/>
      <c r="BO6" s="2164"/>
      <c r="BP6" s="2164"/>
      <c r="BQ6" s="527"/>
      <c r="BR6" s="527"/>
      <c r="BS6" s="527"/>
      <c r="BT6" s="527"/>
      <c r="BU6" s="527"/>
      <c r="BV6" s="527"/>
      <c r="BW6" s="527"/>
      <c r="BX6" s="2166"/>
      <c r="BY6" s="527"/>
      <c r="BZ6" s="527"/>
      <c r="CA6" s="527"/>
    </row>
    <row r="7" spans="1:84" ht="20.100000000000001" customHeight="1" thickBot="1">
      <c r="A7" s="2214"/>
      <c r="B7" s="2215"/>
      <c r="C7" s="2216"/>
      <c r="D7" s="2214"/>
      <c r="E7" s="2216"/>
      <c r="F7" s="2214"/>
      <c r="G7" s="2216"/>
      <c r="H7" s="2214"/>
      <c r="I7" s="2216"/>
      <c r="J7" s="2214"/>
      <c r="K7" s="2216"/>
      <c r="L7" s="2214"/>
      <c r="M7" s="2216"/>
      <c r="N7" s="2214"/>
      <c r="O7" s="2216"/>
      <c r="P7" s="2217"/>
      <c r="Q7" s="2214"/>
      <c r="R7" s="2216"/>
      <c r="S7" s="2216"/>
      <c r="T7" s="2214"/>
      <c r="U7" s="2216"/>
      <c r="V7" s="2214"/>
      <c r="W7" s="2216"/>
      <c r="X7" s="2214"/>
      <c r="Y7" s="2216"/>
      <c r="Z7" s="2214"/>
      <c r="AA7" s="2216"/>
      <c r="AB7" s="2214"/>
      <c r="AC7" s="2216"/>
      <c r="AD7" s="2214"/>
      <c r="AE7" s="2216"/>
      <c r="AF7" s="2214"/>
      <c r="AG7" s="2216"/>
      <c r="AH7" s="2214"/>
      <c r="AI7" s="2216"/>
      <c r="AJ7" s="2214"/>
      <c r="AK7" s="2216"/>
      <c r="AL7" s="2214"/>
      <c r="AM7" s="2216"/>
      <c r="AN7" s="2214"/>
      <c r="AO7" s="2216"/>
      <c r="AP7" s="2216"/>
      <c r="AQ7" s="2218"/>
      <c r="AR7" s="2218"/>
      <c r="AS7" s="2218"/>
      <c r="AT7" s="2216"/>
      <c r="AU7" s="2216"/>
      <c r="AV7" s="2218"/>
      <c r="AW7" s="2218"/>
      <c r="AX7" s="2216"/>
      <c r="AY7" s="2216"/>
      <c r="AZ7" s="2218"/>
      <c r="BA7" s="2216"/>
      <c r="BB7" s="2216"/>
      <c r="BC7" s="2218"/>
      <c r="BD7" s="2216"/>
      <c r="BE7" s="2216"/>
      <c r="BF7" s="2218"/>
      <c r="BG7" s="2216"/>
      <c r="BH7" s="2216"/>
      <c r="BI7" s="2218"/>
      <c r="BJ7" s="2216"/>
      <c r="BK7" s="2216"/>
      <c r="BL7" s="2216"/>
      <c r="BM7" s="2216"/>
      <c r="BN7" s="2216"/>
      <c r="BO7" s="2216"/>
      <c r="BP7" s="2216"/>
      <c r="BQ7" s="2216"/>
      <c r="BR7" s="2216"/>
      <c r="BS7" s="2216"/>
      <c r="BT7" s="2216"/>
      <c r="BU7" s="2216"/>
      <c r="BV7" s="2216"/>
      <c r="BW7" s="2216"/>
      <c r="BX7" s="2218"/>
      <c r="BY7" s="2216"/>
      <c r="BZ7" s="2216"/>
    </row>
    <row r="8" spans="1:84" s="563" customFormat="1" ht="25.5" customHeight="1" thickTop="1">
      <c r="A8" s="3179" t="s">
        <v>2687</v>
      </c>
      <c r="B8" s="3182" t="s">
        <v>3334</v>
      </c>
      <c r="C8" s="3185" t="s">
        <v>3335</v>
      </c>
      <c r="D8" s="3186"/>
      <c r="E8" s="3186"/>
      <c r="F8" s="3186"/>
      <c r="G8" s="3186"/>
      <c r="H8" s="3186"/>
      <c r="I8" s="3187"/>
      <c r="J8" s="2220" t="s">
        <v>3336</v>
      </c>
      <c r="K8" s="2220"/>
      <c r="L8" s="2220"/>
      <c r="M8" s="2220"/>
      <c r="N8" s="2221"/>
      <c r="O8" s="3162" t="s">
        <v>3337</v>
      </c>
      <c r="P8" s="3188" t="s">
        <v>3338</v>
      </c>
      <c r="Q8" s="3155" t="s">
        <v>3339</v>
      </c>
      <c r="R8" s="3156"/>
      <c r="S8" s="3157"/>
      <c r="T8" s="3162" t="s">
        <v>3340</v>
      </c>
      <c r="U8" s="3162" t="s">
        <v>3341</v>
      </c>
      <c r="V8" s="3162" t="s">
        <v>3342</v>
      </c>
      <c r="W8" s="3162" t="s">
        <v>3343</v>
      </c>
      <c r="X8" s="3162" t="s">
        <v>3344</v>
      </c>
      <c r="Y8" s="3162" t="s">
        <v>3345</v>
      </c>
      <c r="Z8" s="3162" t="s">
        <v>3346</v>
      </c>
      <c r="AA8" s="3155" t="s">
        <v>3347</v>
      </c>
      <c r="AB8" s="3156"/>
      <c r="AC8" s="3157"/>
      <c r="AD8" s="3155" t="s">
        <v>3348</v>
      </c>
      <c r="AE8" s="3156"/>
      <c r="AF8" s="3156"/>
      <c r="AG8" s="3156"/>
      <c r="AH8" s="3156"/>
      <c r="AI8" s="3156"/>
      <c r="AJ8" s="3156"/>
      <c r="AK8" s="3157"/>
      <c r="AL8" s="3158" t="s">
        <v>3349</v>
      </c>
      <c r="AM8" s="3159"/>
      <c r="AN8" s="3162" t="s">
        <v>3350</v>
      </c>
      <c r="AO8" s="3164" t="s">
        <v>3351</v>
      </c>
      <c r="AP8" s="2190"/>
      <c r="AQ8" s="2222" t="s">
        <v>3352</v>
      </c>
      <c r="AR8" s="2222"/>
      <c r="AS8" s="2222"/>
      <c r="AT8" s="2222"/>
      <c r="AU8" s="2222"/>
      <c r="AV8" s="2222"/>
      <c r="AW8" s="2222"/>
      <c r="AX8" s="2223" t="s">
        <v>3353</v>
      </c>
      <c r="AY8" s="2223"/>
      <c r="AZ8" s="2223"/>
      <c r="BA8" s="2223" t="s">
        <v>3354</v>
      </c>
      <c r="BB8" s="2223"/>
      <c r="BC8" s="2223"/>
      <c r="BD8" s="2223" t="s">
        <v>3355</v>
      </c>
      <c r="BE8" s="2223"/>
      <c r="BF8" s="2223"/>
      <c r="BG8" s="2223" t="s">
        <v>3356</v>
      </c>
      <c r="BH8" s="3167" t="s">
        <v>3357</v>
      </c>
      <c r="BI8" s="3167"/>
      <c r="BJ8" s="3167"/>
      <c r="BK8" s="3169" t="s">
        <v>3358</v>
      </c>
      <c r="BL8" s="3169"/>
      <c r="BM8" s="3169"/>
      <c r="BN8" s="3169"/>
      <c r="BO8" s="3169"/>
      <c r="BP8" s="3169"/>
      <c r="BQ8" s="3169"/>
      <c r="BR8" s="3169"/>
      <c r="BS8" s="3169"/>
      <c r="BT8" s="3169"/>
      <c r="BU8" s="3169"/>
      <c r="BV8" s="3169"/>
      <c r="BW8" s="3169"/>
      <c r="BX8" s="3169"/>
      <c r="BY8" s="3169"/>
      <c r="BZ8" s="3169"/>
      <c r="CA8" s="3138" t="s">
        <v>3359</v>
      </c>
    </row>
    <row r="9" spans="1:84" s="563" customFormat="1" ht="25.5" customHeight="1">
      <c r="A9" s="3180"/>
      <c r="B9" s="3183"/>
      <c r="C9" s="3141" t="s">
        <v>1713</v>
      </c>
      <c r="D9" s="3142"/>
      <c r="E9" s="3142"/>
      <c r="F9" s="3143"/>
      <c r="G9" s="3144" t="s">
        <v>1714</v>
      </c>
      <c r="H9" s="3145"/>
      <c r="I9" s="3146"/>
      <c r="J9" s="2224" t="s">
        <v>3360</v>
      </c>
      <c r="K9" s="2225" t="s">
        <v>3361</v>
      </c>
      <c r="L9" s="2225"/>
      <c r="M9" s="2225"/>
      <c r="N9" s="2226" t="s">
        <v>3362</v>
      </c>
      <c r="O9" s="3163"/>
      <c r="P9" s="3189"/>
      <c r="Q9" s="3147" t="s">
        <v>3363</v>
      </c>
      <c r="R9" s="3147" t="s">
        <v>3364</v>
      </c>
      <c r="S9" s="3147" t="s">
        <v>3365</v>
      </c>
      <c r="T9" s="3163"/>
      <c r="U9" s="3191"/>
      <c r="V9" s="3191"/>
      <c r="W9" s="3163"/>
      <c r="X9" s="3163"/>
      <c r="Y9" s="3163"/>
      <c r="Z9" s="3163"/>
      <c r="AA9" s="3147" t="s">
        <v>3366</v>
      </c>
      <c r="AB9" s="3149" t="s">
        <v>1682</v>
      </c>
      <c r="AC9" s="3150"/>
      <c r="AD9" s="3151" t="s">
        <v>3308</v>
      </c>
      <c r="AE9" s="3153" t="s">
        <v>3367</v>
      </c>
      <c r="AF9" s="3151" t="s">
        <v>1541</v>
      </c>
      <c r="AG9" s="3151" t="s">
        <v>3368</v>
      </c>
      <c r="AH9" s="2227" t="s">
        <v>3369</v>
      </c>
      <c r="AI9" s="2228"/>
      <c r="AJ9" s="2228"/>
      <c r="AK9" s="2228"/>
      <c r="AL9" s="3160"/>
      <c r="AM9" s="3161"/>
      <c r="AN9" s="3163"/>
      <c r="AO9" s="3165"/>
      <c r="AP9" s="2190"/>
      <c r="AQ9" s="3170" t="s">
        <v>3370</v>
      </c>
      <c r="AR9" s="3171"/>
      <c r="AS9" s="3172"/>
      <c r="AT9" s="2222" t="s">
        <v>1713</v>
      </c>
      <c r="AU9" s="2222"/>
      <c r="AV9" s="2222"/>
      <c r="AW9" s="2222"/>
      <c r="AX9" s="2223" t="s">
        <v>3371</v>
      </c>
      <c r="AY9" s="2223"/>
      <c r="AZ9" s="2223"/>
      <c r="BA9" s="2223" t="s">
        <v>3372</v>
      </c>
      <c r="BB9" s="2223"/>
      <c r="BC9" s="2223"/>
      <c r="BD9" s="2229" t="s">
        <v>3373</v>
      </c>
      <c r="BE9" s="2229" t="s">
        <v>3374</v>
      </c>
      <c r="BF9" s="2229" t="s">
        <v>3375</v>
      </c>
      <c r="BG9" s="2223" t="s">
        <v>3376</v>
      </c>
      <c r="BH9" s="2229" t="s">
        <v>3377</v>
      </c>
      <c r="BI9" s="2229" t="s">
        <v>3378</v>
      </c>
      <c r="BJ9" s="2229" t="s">
        <v>3379</v>
      </c>
      <c r="BK9" s="3169" t="s">
        <v>3380</v>
      </c>
      <c r="BL9" s="3169"/>
      <c r="BM9" s="3169"/>
      <c r="BN9" s="3169"/>
      <c r="BO9" s="3168" t="s">
        <v>3381</v>
      </c>
      <c r="BP9" s="3168"/>
      <c r="BQ9" s="3168"/>
      <c r="BR9" s="3168"/>
      <c r="BS9" s="3168"/>
      <c r="BT9" s="3169" t="s">
        <v>3382</v>
      </c>
      <c r="BU9" s="3169"/>
      <c r="BV9" s="3169"/>
      <c r="BW9" s="3168" t="s">
        <v>3383</v>
      </c>
      <c r="BX9" s="3173" t="s">
        <v>3384</v>
      </c>
      <c r="BY9" s="3168" t="s">
        <v>3385</v>
      </c>
      <c r="BZ9" s="3168" t="s">
        <v>1617</v>
      </c>
      <c r="CA9" s="3139"/>
    </row>
    <row r="10" spans="1:84" s="2161" customFormat="1" ht="39" customHeight="1" thickBot="1">
      <c r="A10" s="3181"/>
      <c r="B10" s="3184"/>
      <c r="C10" s="2230" t="s">
        <v>3386</v>
      </c>
      <c r="D10" s="2231" t="s">
        <v>3387</v>
      </c>
      <c r="E10" s="2230" t="s">
        <v>3388</v>
      </c>
      <c r="F10" s="2232" t="s">
        <v>3389</v>
      </c>
      <c r="G10" s="2233" t="s">
        <v>3386</v>
      </c>
      <c r="H10" s="2233" t="s">
        <v>3388</v>
      </c>
      <c r="I10" s="2234" t="s">
        <v>3389</v>
      </c>
      <c r="J10" s="2235" t="s">
        <v>3390</v>
      </c>
      <c r="K10" s="2235" t="s">
        <v>1237</v>
      </c>
      <c r="L10" s="2235" t="s">
        <v>1238</v>
      </c>
      <c r="M10" s="2235" t="s">
        <v>1240</v>
      </c>
      <c r="N10" s="2236" t="s">
        <v>3391</v>
      </c>
      <c r="O10" s="3148"/>
      <c r="P10" s="3190"/>
      <c r="Q10" s="3148"/>
      <c r="R10" s="3148"/>
      <c r="S10" s="3148"/>
      <c r="T10" s="3148"/>
      <c r="U10" s="3192"/>
      <c r="V10" s="3192"/>
      <c r="W10" s="3148"/>
      <c r="X10" s="3148"/>
      <c r="Y10" s="3148"/>
      <c r="Z10" s="3148"/>
      <c r="AA10" s="3148"/>
      <c r="AB10" s="2232" t="s">
        <v>3392</v>
      </c>
      <c r="AC10" s="2237" t="s">
        <v>3393</v>
      </c>
      <c r="AD10" s="3152"/>
      <c r="AE10" s="3154"/>
      <c r="AF10" s="3152"/>
      <c r="AG10" s="3152"/>
      <c r="AH10" s="2232" t="s">
        <v>2008</v>
      </c>
      <c r="AI10" s="2237" t="s">
        <v>3394</v>
      </c>
      <c r="AJ10" s="2238" t="s">
        <v>3395</v>
      </c>
      <c r="AK10" s="2238" t="s">
        <v>3396</v>
      </c>
      <c r="AL10" s="2237" t="s">
        <v>3397</v>
      </c>
      <c r="AM10" s="2232" t="s">
        <v>3398</v>
      </c>
      <c r="AN10" s="3148"/>
      <c r="AO10" s="3166"/>
      <c r="AP10" s="2190"/>
      <c r="AQ10" s="2239" t="s">
        <v>3399</v>
      </c>
      <c r="AR10" s="2239" t="s">
        <v>3400</v>
      </c>
      <c r="AS10" s="2239" t="s">
        <v>3386</v>
      </c>
      <c r="AT10" s="2239" t="s">
        <v>1237</v>
      </c>
      <c r="AU10" s="2239" t="s">
        <v>1238</v>
      </c>
      <c r="AV10" s="2239" t="s">
        <v>1240</v>
      </c>
      <c r="AW10" s="2239" t="s">
        <v>3401</v>
      </c>
      <c r="AX10" s="2229" t="s">
        <v>1237</v>
      </c>
      <c r="AY10" s="2229" t="s">
        <v>1238</v>
      </c>
      <c r="AZ10" s="2229" t="s">
        <v>1240</v>
      </c>
      <c r="BA10" s="2229" t="s">
        <v>1237</v>
      </c>
      <c r="BB10" s="2229" t="s">
        <v>1238</v>
      </c>
      <c r="BC10" s="2229" t="s">
        <v>1240</v>
      </c>
      <c r="BD10" s="2229" t="s">
        <v>3402</v>
      </c>
      <c r="BE10" s="2229" t="s">
        <v>3403</v>
      </c>
      <c r="BF10" s="2229" t="s">
        <v>3404</v>
      </c>
      <c r="BG10" s="2229" t="s">
        <v>3405</v>
      </c>
      <c r="BH10" s="2229" t="s">
        <v>3402</v>
      </c>
      <c r="BI10" s="2229" t="s">
        <v>3403</v>
      </c>
      <c r="BJ10" s="2229" t="s">
        <v>3404</v>
      </c>
      <c r="BK10" s="2240" t="s">
        <v>3406</v>
      </c>
      <c r="BL10" s="2240" t="s">
        <v>3407</v>
      </c>
      <c r="BM10" s="2240" t="s">
        <v>3408</v>
      </c>
      <c r="BN10" s="2240" t="s">
        <v>3409</v>
      </c>
      <c r="BO10" s="2240" t="s">
        <v>3410</v>
      </c>
      <c r="BP10" s="2240" t="s">
        <v>3411</v>
      </c>
      <c r="BQ10" s="2240" t="s">
        <v>3412</v>
      </c>
      <c r="BR10" s="2240" t="s">
        <v>3413</v>
      </c>
      <c r="BS10" s="2240" t="s">
        <v>3414</v>
      </c>
      <c r="BT10" s="2240" t="s">
        <v>3415</v>
      </c>
      <c r="BU10" s="2240" t="s">
        <v>3416</v>
      </c>
      <c r="BV10" s="2240" t="s">
        <v>3417</v>
      </c>
      <c r="BW10" s="3168"/>
      <c r="BX10" s="3174"/>
      <c r="BY10" s="3168"/>
      <c r="BZ10" s="3168"/>
      <c r="CA10" s="3140"/>
      <c r="CE10" s="2161" t="s">
        <v>3418</v>
      </c>
      <c r="CF10" s="2161" t="s">
        <v>3419</v>
      </c>
    </row>
    <row r="11" spans="1:84" s="563" customFormat="1" ht="22.9" customHeight="1" thickTop="1">
      <c r="A11" s="2241">
        <v>1</v>
      </c>
      <c r="B11" s="2242" t="s">
        <v>4</v>
      </c>
      <c r="C11" s="2243">
        <v>509.3</v>
      </c>
      <c r="D11" s="2244"/>
      <c r="E11" s="2243">
        <v>507.2</v>
      </c>
      <c r="F11" s="2245">
        <v>2.1000000000000227</v>
      </c>
      <c r="G11" s="2243">
        <v>508.8</v>
      </c>
      <c r="H11" s="2246">
        <v>506.69</v>
      </c>
      <c r="I11" s="2245">
        <v>2.1100000000000136</v>
      </c>
      <c r="J11" s="2247">
        <v>507.39147442426253</v>
      </c>
      <c r="K11" s="2248" t="s">
        <v>3521</v>
      </c>
      <c r="L11" s="2248" t="s">
        <v>3521</v>
      </c>
      <c r="M11" s="2248" t="s">
        <v>3521</v>
      </c>
      <c r="N11" s="2249" t="s">
        <v>3521</v>
      </c>
      <c r="O11" s="2250">
        <v>30</v>
      </c>
      <c r="P11" s="2251"/>
      <c r="Q11" s="2250">
        <v>0.79</v>
      </c>
      <c r="R11" s="2250">
        <v>0.6</v>
      </c>
      <c r="S11" s="2253">
        <v>10</v>
      </c>
      <c r="T11" s="2161">
        <v>0.79</v>
      </c>
      <c r="U11" s="2245">
        <v>1</v>
      </c>
      <c r="V11" s="2245">
        <v>15</v>
      </c>
      <c r="W11" s="2245">
        <v>128.45752167880846</v>
      </c>
      <c r="X11" s="2245">
        <v>0.51463248154014063</v>
      </c>
      <c r="Y11" s="2245">
        <v>145.0828456761667</v>
      </c>
      <c r="Z11" s="2161">
        <v>145.0828456761667</v>
      </c>
      <c r="AA11" s="2245">
        <v>1.6666666666666667</v>
      </c>
      <c r="AB11" s="2245">
        <v>1.7</v>
      </c>
      <c r="AC11" s="2245">
        <v>6.9993370423176673E-2</v>
      </c>
      <c r="AD11" s="2245" t="s">
        <v>1240</v>
      </c>
      <c r="AE11" s="2254">
        <v>1.4999999999999999E-2</v>
      </c>
      <c r="AF11" s="2255">
        <v>1</v>
      </c>
      <c r="AG11" s="2245">
        <v>0.6</v>
      </c>
      <c r="AH11" s="2245"/>
      <c r="AJ11" s="2256"/>
      <c r="AK11" s="2257">
        <v>0</v>
      </c>
      <c r="AL11" s="2245">
        <v>0.19147442426251493</v>
      </c>
      <c r="AM11" s="2245">
        <v>0.24473391610376163</v>
      </c>
      <c r="AN11" s="2245">
        <v>1.8670785068737841</v>
      </c>
      <c r="AO11" s="2245">
        <v>15.267798058924257</v>
      </c>
      <c r="AP11" s="2258">
        <v>1</v>
      </c>
      <c r="AQ11" s="2259">
        <v>2</v>
      </c>
      <c r="AR11" s="2259">
        <v>508.8</v>
      </c>
      <c r="AS11" s="2260">
        <v>508.8</v>
      </c>
      <c r="AT11" s="2259">
        <v>0</v>
      </c>
      <c r="AU11" s="2259">
        <v>0</v>
      </c>
      <c r="AV11" s="2259">
        <v>0</v>
      </c>
      <c r="AW11" s="2259">
        <v>0</v>
      </c>
      <c r="AX11" s="2261">
        <v>10000</v>
      </c>
      <c r="AY11" s="2261">
        <v>10000</v>
      </c>
      <c r="AZ11" s="2261">
        <v>10000</v>
      </c>
      <c r="BA11" s="2261">
        <v>15</v>
      </c>
      <c r="BB11" s="2261" t="s">
        <v>3521</v>
      </c>
      <c r="BC11" s="2261" t="s">
        <v>3521</v>
      </c>
      <c r="BD11" s="2229">
        <v>0.18338697435071752</v>
      </c>
      <c r="BE11" s="2229">
        <v>0.19147442426251493</v>
      </c>
      <c r="BF11" s="2229">
        <v>8.2522917761162634E-3</v>
      </c>
      <c r="BG11" s="2229">
        <v>215.84946919602791</v>
      </c>
      <c r="BH11" s="2229">
        <v>0.24311920368146872</v>
      </c>
      <c r="BI11" s="2229">
        <v>0.24473391610376163</v>
      </c>
      <c r="BJ11" s="2229">
        <v>0.39293332199820463</v>
      </c>
      <c r="BK11" s="2262">
        <v>509.3</v>
      </c>
      <c r="BL11" s="2262">
        <v>509.3</v>
      </c>
      <c r="BM11" s="2262">
        <v>507.2</v>
      </c>
      <c r="BN11" s="2262">
        <v>2.1000000000000227</v>
      </c>
      <c r="BO11" s="2262">
        <v>507.416</v>
      </c>
      <c r="BP11" s="2262">
        <v>507.92599999999999</v>
      </c>
      <c r="BQ11" s="2262">
        <v>0</v>
      </c>
      <c r="BR11" s="2262">
        <v>0</v>
      </c>
      <c r="BS11" s="2262">
        <v>0</v>
      </c>
      <c r="BT11" s="2262">
        <v>0.92599999999999905</v>
      </c>
      <c r="BU11" s="2262">
        <v>1.4</v>
      </c>
      <c r="BV11" s="2262">
        <v>1.4</v>
      </c>
      <c r="BW11" s="2262">
        <v>0</v>
      </c>
      <c r="BX11" s="2263">
        <v>0</v>
      </c>
      <c r="BY11" s="2262">
        <v>0.36</v>
      </c>
      <c r="BZ11" s="2262">
        <v>0.34000000000002284</v>
      </c>
      <c r="CA11" s="2064" t="s">
        <v>3524</v>
      </c>
      <c r="CC11" s="563">
        <v>153.74253704358475</v>
      </c>
      <c r="CD11" s="563">
        <v>8.6596913674180485</v>
      </c>
    </row>
    <row r="12" spans="1:84" s="563" customFormat="1" ht="22.9" customHeight="1">
      <c r="A12" s="2241">
        <v>2</v>
      </c>
      <c r="B12" s="2242" t="s">
        <v>4</v>
      </c>
      <c r="C12" s="2243">
        <v>508.8</v>
      </c>
      <c r="D12" s="2244"/>
      <c r="E12" s="2243">
        <v>506.69</v>
      </c>
      <c r="F12" s="2245">
        <v>2.1100000000000136</v>
      </c>
      <c r="G12" s="2243">
        <v>508</v>
      </c>
      <c r="H12" s="2246">
        <v>505.89</v>
      </c>
      <c r="I12" s="2245">
        <v>2.1100000000000136</v>
      </c>
      <c r="J12" s="2247">
        <v>506.89886448883522</v>
      </c>
      <c r="K12" s="2248">
        <v>506.88147442426254</v>
      </c>
      <c r="L12" s="2248" t="s">
        <v>3521</v>
      </c>
      <c r="M12" s="2248" t="s">
        <v>3521</v>
      </c>
      <c r="N12" s="2249" t="s">
        <v>3521</v>
      </c>
      <c r="O12" s="2250">
        <v>50</v>
      </c>
      <c r="P12" s="2251"/>
      <c r="Q12" s="2252">
        <v>0.15</v>
      </c>
      <c r="R12" s="2250">
        <v>0.6</v>
      </c>
      <c r="S12" s="2253">
        <v>10</v>
      </c>
      <c r="T12" s="2161">
        <v>0.94000000000000006</v>
      </c>
      <c r="U12" s="2245">
        <v>1</v>
      </c>
      <c r="V12" s="2245">
        <v>15.267798058924257</v>
      </c>
      <c r="W12" s="2245">
        <v>127.45983681042533</v>
      </c>
      <c r="X12" s="2245">
        <v>0.51633335673910696</v>
      </c>
      <c r="Y12" s="2245">
        <v>27.423762637907036</v>
      </c>
      <c r="Z12" s="2161">
        <v>172.50660831407373</v>
      </c>
      <c r="AA12" s="2245">
        <v>1.6000000000000225</v>
      </c>
      <c r="AB12" s="2245">
        <v>1.6</v>
      </c>
      <c r="AC12" s="2245">
        <v>9.8954659603661801E-2</v>
      </c>
      <c r="AD12" s="2245" t="s">
        <v>1240</v>
      </c>
      <c r="AE12" s="2254">
        <v>1.4999999999999999E-2</v>
      </c>
      <c r="AF12" s="2255">
        <v>1</v>
      </c>
      <c r="AG12" s="2245">
        <v>0.6</v>
      </c>
      <c r="AH12" s="2245"/>
      <c r="AJ12" s="2256"/>
      <c r="AK12" s="2257">
        <v>0</v>
      </c>
      <c r="AL12" s="2245">
        <v>0.20886448883519132</v>
      </c>
      <c r="AM12" s="2245">
        <v>0.26759901528873414</v>
      </c>
      <c r="AN12" s="2245">
        <v>1.9705254912428736</v>
      </c>
      <c r="AO12" s="2245">
        <v>15.690697096280898</v>
      </c>
      <c r="AP12" s="2258">
        <v>2</v>
      </c>
      <c r="AQ12" s="2259">
        <v>4</v>
      </c>
      <c r="AR12" s="2259">
        <v>508</v>
      </c>
      <c r="AS12" s="2260">
        <v>508</v>
      </c>
      <c r="AT12" s="2259">
        <v>1</v>
      </c>
      <c r="AU12" s="2259">
        <v>0</v>
      </c>
      <c r="AV12" s="2259">
        <v>0</v>
      </c>
      <c r="AW12" s="2259">
        <v>0</v>
      </c>
      <c r="AX12" s="2261">
        <v>506.69</v>
      </c>
      <c r="AY12" s="2261">
        <v>10000</v>
      </c>
      <c r="AZ12" s="2261">
        <v>10000</v>
      </c>
      <c r="BA12" s="2261">
        <v>15.267798058924257</v>
      </c>
      <c r="BB12" s="2261" t="s">
        <v>3521</v>
      </c>
      <c r="BC12" s="2261" t="s">
        <v>3521</v>
      </c>
      <c r="BD12" s="2229">
        <v>0.20228104148441581</v>
      </c>
      <c r="BE12" s="2229">
        <v>0.20886448883519132</v>
      </c>
      <c r="BF12" s="2229">
        <v>1.3922585891433728E-2</v>
      </c>
      <c r="BG12" s="2229">
        <v>243.17626197893634</v>
      </c>
      <c r="BH12" s="2229">
        <v>0.26559422623875389</v>
      </c>
      <c r="BI12" s="2229">
        <v>0.26759901528873414</v>
      </c>
      <c r="BJ12" s="2229">
        <v>0.41472047802616968</v>
      </c>
      <c r="BK12" s="2262">
        <v>508.8</v>
      </c>
      <c r="BL12" s="2262">
        <v>508.8</v>
      </c>
      <c r="BM12" s="2262">
        <v>506.69</v>
      </c>
      <c r="BN12" s="2262">
        <v>2.1100000000000136</v>
      </c>
      <c r="BO12" s="2262">
        <v>506.61599999999999</v>
      </c>
      <c r="BP12" s="2262">
        <v>507.416</v>
      </c>
      <c r="BQ12" s="2262">
        <v>507.416</v>
      </c>
      <c r="BR12" s="2262">
        <v>0</v>
      </c>
      <c r="BS12" s="2262">
        <v>0</v>
      </c>
      <c r="BT12" s="2262">
        <v>0.92599999999999905</v>
      </c>
      <c r="BU12" s="2262">
        <v>1.4</v>
      </c>
      <c r="BV12" s="2262">
        <v>1.4</v>
      </c>
      <c r="BW12" s="2262">
        <v>0</v>
      </c>
      <c r="BX12" s="2263">
        <v>0</v>
      </c>
      <c r="BY12" s="2262">
        <v>0.36</v>
      </c>
      <c r="BZ12" s="2262">
        <v>0.35000000000001374</v>
      </c>
      <c r="CA12" s="2064" t="s">
        <v>3524</v>
      </c>
      <c r="CC12" s="563">
        <v>182.8673168667942</v>
      </c>
      <c r="CD12" s="563">
        <v>10.360708552720467</v>
      </c>
      <c r="CE12" s="563" t="s">
        <v>4</v>
      </c>
      <c r="CF12" s="563">
        <v>20</v>
      </c>
    </row>
    <row r="13" spans="1:84" s="563" customFormat="1" ht="22.9" customHeight="1">
      <c r="A13" s="2241">
        <v>3</v>
      </c>
      <c r="B13" s="2242" t="s">
        <v>4</v>
      </c>
      <c r="C13" s="2243">
        <v>509.4</v>
      </c>
      <c r="D13" s="2244"/>
      <c r="E13" s="2243">
        <v>507.29999999999995</v>
      </c>
      <c r="F13" s="2245">
        <v>2.1000000000000227</v>
      </c>
      <c r="G13" s="2243">
        <v>508</v>
      </c>
      <c r="H13" s="2246">
        <v>506.04999999999995</v>
      </c>
      <c r="I13" s="2245">
        <v>1.9500000000000455</v>
      </c>
      <c r="J13" s="2247">
        <v>507.42581471570878</v>
      </c>
      <c r="K13" s="2248" t="s">
        <v>3521</v>
      </c>
      <c r="L13" s="2248" t="s">
        <v>3521</v>
      </c>
      <c r="M13" s="2248" t="s">
        <v>3521</v>
      </c>
      <c r="N13" s="2249" t="s">
        <v>3521</v>
      </c>
      <c r="O13" s="2250">
        <v>25</v>
      </c>
      <c r="P13" s="2251"/>
      <c r="Q13" s="2252">
        <v>0.62</v>
      </c>
      <c r="R13" s="2250">
        <v>0.6</v>
      </c>
      <c r="S13" s="2253">
        <v>10</v>
      </c>
      <c r="T13" s="2161">
        <v>0.62</v>
      </c>
      <c r="U13" s="2245">
        <v>1</v>
      </c>
      <c r="V13" s="2245">
        <v>15</v>
      </c>
      <c r="W13" s="2245">
        <v>128.45752167880846</v>
      </c>
      <c r="X13" s="2245">
        <v>0.51463248154014063</v>
      </c>
      <c r="Y13" s="2245">
        <v>113.86248648002957</v>
      </c>
      <c r="Z13" s="2161">
        <v>113.86248648002957</v>
      </c>
      <c r="AA13" s="2245">
        <v>5.5999999999999091</v>
      </c>
      <c r="AB13" s="2245">
        <v>5</v>
      </c>
      <c r="AC13" s="2245">
        <v>4.3110802100094728E-2</v>
      </c>
      <c r="AD13" s="2245" t="s">
        <v>1240</v>
      </c>
      <c r="AE13" s="2254">
        <v>1.4999999999999999E-2</v>
      </c>
      <c r="AF13" s="2255">
        <v>1</v>
      </c>
      <c r="AG13" s="2245">
        <v>0.6</v>
      </c>
      <c r="AH13" s="2245"/>
      <c r="AJ13" s="2256"/>
      <c r="AK13" s="2257">
        <v>0</v>
      </c>
      <c r="AL13" s="2245">
        <v>0.12581471570880814</v>
      </c>
      <c r="AM13" s="2245">
        <v>0.21597486729431228</v>
      </c>
      <c r="AN13" s="2245">
        <v>2.6435034058353275</v>
      </c>
      <c r="AO13" s="2245">
        <v>15.15761911475011</v>
      </c>
      <c r="AP13" s="2258">
        <v>3</v>
      </c>
      <c r="AQ13" s="2259">
        <v>4</v>
      </c>
      <c r="AR13" s="2259">
        <v>508</v>
      </c>
      <c r="AS13" s="2260">
        <v>508</v>
      </c>
      <c r="AT13" s="2259">
        <v>0</v>
      </c>
      <c r="AU13" s="2259">
        <v>0</v>
      </c>
      <c r="AV13" s="2259">
        <v>0</v>
      </c>
      <c r="AW13" s="2259">
        <v>0</v>
      </c>
      <c r="AX13" s="2261">
        <v>10000</v>
      </c>
      <c r="AY13" s="2261">
        <v>10000</v>
      </c>
      <c r="AZ13" s="2261">
        <v>10000</v>
      </c>
      <c r="BA13" s="2261">
        <v>15</v>
      </c>
      <c r="BB13" s="2261" t="s">
        <v>3521</v>
      </c>
      <c r="BC13" s="2261" t="s">
        <v>3521</v>
      </c>
      <c r="BD13" s="2229">
        <v>0.12581471570880814</v>
      </c>
      <c r="BE13" s="2229">
        <v>0.14966855216243352</v>
      </c>
      <c r="BF13" s="2229">
        <v>1.1065340062556747E-3</v>
      </c>
      <c r="BG13" s="2229">
        <v>119.64602881485798</v>
      </c>
      <c r="BH13" s="2229">
        <v>0.21482041185488596</v>
      </c>
      <c r="BI13" s="2229">
        <v>0.21597486729431228</v>
      </c>
      <c r="BJ13" s="2229">
        <v>0.36434849940439251</v>
      </c>
      <c r="BK13" s="2262">
        <v>509.4</v>
      </c>
      <c r="BL13" s="2262">
        <v>509.4</v>
      </c>
      <c r="BM13" s="2262">
        <v>507.29999999999995</v>
      </c>
      <c r="BN13" s="2262">
        <v>2.1000000000000227</v>
      </c>
      <c r="BO13" s="2262">
        <v>506.77599999999995</v>
      </c>
      <c r="BP13" s="2262">
        <v>508.02599999999995</v>
      </c>
      <c r="BQ13" s="2262">
        <v>0</v>
      </c>
      <c r="BR13" s="2262">
        <v>0</v>
      </c>
      <c r="BS13" s="2262">
        <v>0</v>
      </c>
      <c r="BT13" s="2262">
        <v>0.92599999999999905</v>
      </c>
      <c r="BU13" s="2262">
        <v>1.4</v>
      </c>
      <c r="BV13" s="2262">
        <v>1.4</v>
      </c>
      <c r="BW13" s="2262">
        <v>0</v>
      </c>
      <c r="BX13" s="2263">
        <v>0</v>
      </c>
      <c r="BY13" s="2262">
        <v>0.36</v>
      </c>
      <c r="BZ13" s="2262">
        <v>0.34000000000002284</v>
      </c>
      <c r="CA13" s="2064" t="s">
        <v>3524</v>
      </c>
      <c r="CC13" s="563">
        <v>120.65869995825641</v>
      </c>
      <c r="CD13" s="563">
        <v>6.7962134782268322</v>
      </c>
    </row>
    <row r="14" spans="1:84" s="563" customFormat="1" ht="22.9" customHeight="1">
      <c r="A14" s="2241">
        <v>4</v>
      </c>
      <c r="B14" s="2242" t="s">
        <v>4</v>
      </c>
      <c r="C14" s="2243">
        <v>508</v>
      </c>
      <c r="D14" s="2244"/>
      <c r="E14" s="2243">
        <v>505.89</v>
      </c>
      <c r="F14" s="2245">
        <v>2.1100000000000136</v>
      </c>
      <c r="G14" s="2243">
        <v>507.4</v>
      </c>
      <c r="H14" s="2246">
        <v>505.30500000000001</v>
      </c>
      <c r="I14" s="2245">
        <v>2.0949999999999704</v>
      </c>
      <c r="J14" s="2247">
        <v>506.18845177245771</v>
      </c>
      <c r="K14" s="2248">
        <v>506.0988644888352</v>
      </c>
      <c r="L14" s="2248">
        <v>506.17581471570878</v>
      </c>
      <c r="M14" s="2248" t="s">
        <v>3521</v>
      </c>
      <c r="N14" s="2249" t="s">
        <v>3521</v>
      </c>
      <c r="O14" s="2250">
        <v>45</v>
      </c>
      <c r="P14" s="2251"/>
      <c r="Q14" s="2252">
        <v>0.1</v>
      </c>
      <c r="R14" s="2250">
        <v>0.6</v>
      </c>
      <c r="S14" s="2253">
        <v>10</v>
      </c>
      <c r="T14" s="2161">
        <v>1.6600000000000001</v>
      </c>
      <c r="U14" s="2245">
        <v>0.91373605143545045</v>
      </c>
      <c r="V14" s="2245">
        <v>15.690697096280898</v>
      </c>
      <c r="W14" s="2245">
        <v>125.91954343718213</v>
      </c>
      <c r="X14" s="2245">
        <v>0.51894984587357107</v>
      </c>
      <c r="Y14" s="2245">
        <v>16.587140730859382</v>
      </c>
      <c r="Z14" s="2161">
        <v>302.95623552496266</v>
      </c>
      <c r="AA14" s="2245">
        <v>1.3333333333333839</v>
      </c>
      <c r="AB14" s="2245">
        <v>1.3</v>
      </c>
      <c r="AC14" s="2245">
        <v>0.30520002689994541</v>
      </c>
      <c r="AD14" s="2245" t="s">
        <v>1240</v>
      </c>
      <c r="AE14" s="2254">
        <v>1.4999999999999999E-2</v>
      </c>
      <c r="AF14" s="2255">
        <v>1</v>
      </c>
      <c r="AG14" s="2245">
        <v>0.6</v>
      </c>
      <c r="AH14" s="2245"/>
      <c r="AJ14" s="2256"/>
      <c r="AK14" s="2257">
        <v>0</v>
      </c>
      <c r="AL14" s="2245">
        <v>0.29845177245771165</v>
      </c>
      <c r="AM14" s="2245">
        <v>0.35781646406024259</v>
      </c>
      <c r="AN14" s="2245">
        <v>2.1571513200013843</v>
      </c>
      <c r="AO14" s="2245">
        <v>16.038377851472202</v>
      </c>
      <c r="AP14" s="2258">
        <v>4</v>
      </c>
      <c r="AQ14" s="2259">
        <v>6</v>
      </c>
      <c r="AR14" s="2259">
        <v>507.4</v>
      </c>
      <c r="AS14" s="2260">
        <v>507.4</v>
      </c>
      <c r="AT14" s="2259">
        <v>2</v>
      </c>
      <c r="AU14" s="2259">
        <v>3</v>
      </c>
      <c r="AV14" s="2259">
        <v>0</v>
      </c>
      <c r="AW14" s="2259">
        <v>0</v>
      </c>
      <c r="AX14" s="2261">
        <v>505.89</v>
      </c>
      <c r="AY14" s="2261">
        <v>506.04999999999995</v>
      </c>
      <c r="AZ14" s="2261">
        <v>10000</v>
      </c>
      <c r="BA14" s="2261">
        <v>15.690697096280898</v>
      </c>
      <c r="BB14" s="2261">
        <v>15.15761911475011</v>
      </c>
      <c r="BC14" s="2261" t="s">
        <v>3521</v>
      </c>
      <c r="BD14" s="2229">
        <v>0.27897962981278546</v>
      </c>
      <c r="BE14" s="2229">
        <v>0.29845177245771165</v>
      </c>
      <c r="BF14" s="2229">
        <v>7.7338730525178492E-2</v>
      </c>
      <c r="BG14" s="2229">
        <v>390.11871391568013</v>
      </c>
      <c r="BH14" s="2229">
        <v>0.35409733056333131</v>
      </c>
      <c r="BI14" s="2229">
        <v>0.35781646406024259</v>
      </c>
      <c r="BJ14" s="2229">
        <v>0.49429844685719121</v>
      </c>
      <c r="BK14" s="2262">
        <v>508</v>
      </c>
      <c r="BL14" s="2262">
        <v>508</v>
      </c>
      <c r="BM14" s="2262">
        <v>505.89</v>
      </c>
      <c r="BN14" s="2262">
        <v>2.1100000000000136</v>
      </c>
      <c r="BO14" s="2262">
        <v>506.03100000000001</v>
      </c>
      <c r="BP14" s="2262">
        <v>506.61599999999999</v>
      </c>
      <c r="BQ14" s="2262">
        <v>506.61599999999999</v>
      </c>
      <c r="BR14" s="2262">
        <v>506.77599999999995</v>
      </c>
      <c r="BS14" s="2262">
        <v>0</v>
      </c>
      <c r="BT14" s="2262">
        <v>1.0859999999999672</v>
      </c>
      <c r="BU14" s="2262">
        <v>1.4</v>
      </c>
      <c r="BV14" s="2262">
        <v>1.4</v>
      </c>
      <c r="BW14" s="2262">
        <v>0</v>
      </c>
      <c r="BX14" s="2263">
        <v>0</v>
      </c>
      <c r="BY14" s="2262">
        <v>0.36</v>
      </c>
      <c r="BZ14" s="2262">
        <v>0.35000000000001374</v>
      </c>
      <c r="CA14" s="2064" t="s">
        <v>3524</v>
      </c>
      <c r="CC14" s="563">
        <v>321.20177891204634</v>
      </c>
      <c r="CD14" s="563">
        <v>18.245543387083671</v>
      </c>
    </row>
    <row r="15" spans="1:84" s="563" customFormat="1" ht="22.9" customHeight="1">
      <c r="A15" s="2241">
        <v>5</v>
      </c>
      <c r="B15" s="2242" t="s">
        <v>4</v>
      </c>
      <c r="C15" s="2243">
        <v>509.1</v>
      </c>
      <c r="D15" s="2244"/>
      <c r="E15" s="2243">
        <v>507</v>
      </c>
      <c r="F15" s="2245">
        <v>2.1000000000000227</v>
      </c>
      <c r="G15" s="2243">
        <v>507.4</v>
      </c>
      <c r="H15" s="2246">
        <v>505.28500000000003</v>
      </c>
      <c r="I15" s="2245">
        <v>2.1149999999999523</v>
      </c>
      <c r="J15" s="2247">
        <v>507.13587746170214</v>
      </c>
      <c r="K15" s="2248" t="s">
        <v>3521</v>
      </c>
      <c r="L15" s="2248" t="s">
        <v>3521</v>
      </c>
      <c r="M15" s="2248" t="s">
        <v>3521</v>
      </c>
      <c r="N15" s="2249" t="s">
        <v>3521</v>
      </c>
      <c r="O15" s="2250">
        <v>35</v>
      </c>
      <c r="P15" s="2251"/>
      <c r="Q15" s="2252">
        <v>0.72</v>
      </c>
      <c r="R15" s="2250">
        <v>0.6</v>
      </c>
      <c r="S15" s="2253">
        <v>10</v>
      </c>
      <c r="T15" s="2161">
        <v>0.72</v>
      </c>
      <c r="U15" s="2245">
        <v>1</v>
      </c>
      <c r="V15" s="2245">
        <v>15</v>
      </c>
      <c r="W15" s="2245">
        <v>128.45752167880846</v>
      </c>
      <c r="X15" s="2245">
        <v>0.51463248154014063</v>
      </c>
      <c r="Y15" s="2245">
        <v>132.22740365422788</v>
      </c>
      <c r="Z15" s="2161">
        <v>132.22740365422788</v>
      </c>
      <c r="AA15" s="2245">
        <v>4.8571428571429864</v>
      </c>
      <c r="AB15" s="2245">
        <v>4.9000000000000004</v>
      </c>
      <c r="AC15" s="2245">
        <v>5.8139021354550222E-2</v>
      </c>
      <c r="AD15" s="2245" t="s">
        <v>1240</v>
      </c>
      <c r="AE15" s="2254">
        <v>1.4999999999999999E-2</v>
      </c>
      <c r="AF15" s="2255">
        <v>1</v>
      </c>
      <c r="AG15" s="2245">
        <v>0.6</v>
      </c>
      <c r="AH15" s="2245"/>
      <c r="AJ15" s="2256"/>
      <c r="AK15" s="2257">
        <v>0</v>
      </c>
      <c r="AL15" s="2245">
        <v>0.1358774617021172</v>
      </c>
      <c r="AM15" s="2245">
        <v>0.23329540131124202</v>
      </c>
      <c r="AN15" s="2245">
        <v>2.7513878549657229</v>
      </c>
      <c r="AO15" s="2245">
        <v>15.212014213946802</v>
      </c>
      <c r="AP15" s="2258">
        <v>5</v>
      </c>
      <c r="AQ15" s="2259">
        <v>6</v>
      </c>
      <c r="AR15" s="2259">
        <v>507.4</v>
      </c>
      <c r="AS15" s="2260">
        <v>507.4</v>
      </c>
      <c r="AT15" s="2259">
        <v>0</v>
      </c>
      <c r="AU15" s="2259">
        <v>0</v>
      </c>
      <c r="AV15" s="2259">
        <v>0</v>
      </c>
      <c r="AW15" s="2259">
        <v>0</v>
      </c>
      <c r="AX15" s="2261">
        <v>10000</v>
      </c>
      <c r="AY15" s="2261">
        <v>10000</v>
      </c>
      <c r="AZ15" s="2261">
        <v>10000</v>
      </c>
      <c r="BA15" s="2261">
        <v>15</v>
      </c>
      <c r="BB15" s="2261" t="s">
        <v>3521</v>
      </c>
      <c r="BC15" s="2261" t="s">
        <v>3521</v>
      </c>
      <c r="BD15" s="2229">
        <v>0.1358774617021172</v>
      </c>
      <c r="BE15" s="2229">
        <v>0.15577353869388327</v>
      </c>
      <c r="BF15" s="2229">
        <v>1.6680231456876941E-3</v>
      </c>
      <c r="BG15" s="2229">
        <v>133.49566213322629</v>
      </c>
      <c r="BH15" s="2229">
        <v>0.23186799946426759</v>
      </c>
      <c r="BI15" s="2229">
        <v>0.23329540131124202</v>
      </c>
      <c r="BJ15" s="2229">
        <v>0.38173241048474521</v>
      </c>
      <c r="BK15" s="2262">
        <v>509.1</v>
      </c>
      <c r="BL15" s="2262">
        <v>509.1</v>
      </c>
      <c r="BM15" s="2262">
        <v>507</v>
      </c>
      <c r="BN15" s="2262">
        <v>2.1000000000000227</v>
      </c>
      <c r="BO15" s="2262">
        <v>506.01100000000002</v>
      </c>
      <c r="BP15" s="2262">
        <v>507.726</v>
      </c>
      <c r="BQ15" s="2262">
        <v>0</v>
      </c>
      <c r="BR15" s="2262">
        <v>0</v>
      </c>
      <c r="BS15" s="2262">
        <v>0</v>
      </c>
      <c r="BT15" s="2262">
        <v>0.92599999999999905</v>
      </c>
      <c r="BU15" s="2262">
        <v>1.4</v>
      </c>
      <c r="BV15" s="2262">
        <v>1.4</v>
      </c>
      <c r="BW15" s="2262">
        <v>0</v>
      </c>
      <c r="BX15" s="2263">
        <v>0</v>
      </c>
      <c r="BY15" s="2262">
        <v>0.36</v>
      </c>
      <c r="BZ15" s="2262">
        <v>0.34000000000002284</v>
      </c>
      <c r="CA15" s="2064" t="s">
        <v>3524</v>
      </c>
      <c r="CC15" s="563">
        <v>140.11978059668485</v>
      </c>
      <c r="CD15" s="563">
        <v>7.8923769424569628</v>
      </c>
    </row>
    <row r="16" spans="1:84" s="563" customFormat="1" ht="22.9" customHeight="1">
      <c r="A16" s="2241">
        <v>6</v>
      </c>
      <c r="B16" s="2242" t="s">
        <v>4</v>
      </c>
      <c r="C16" s="2243">
        <v>507.4</v>
      </c>
      <c r="D16" s="2244"/>
      <c r="E16" s="2243">
        <v>505.28500000000003</v>
      </c>
      <c r="F16" s="2245">
        <v>2.1149999999999523</v>
      </c>
      <c r="G16" s="2243">
        <v>505.5</v>
      </c>
      <c r="H16" s="2246">
        <v>503.41300000000001</v>
      </c>
      <c r="I16" s="2245">
        <v>2.0869999999999891</v>
      </c>
      <c r="J16" s="2247">
        <v>505.59750389521116</v>
      </c>
      <c r="K16" s="2248">
        <v>505.60345177245773</v>
      </c>
      <c r="L16" s="2248">
        <v>505.42087746170216</v>
      </c>
      <c r="M16" s="2248" t="s">
        <v>3521</v>
      </c>
      <c r="N16" s="2249">
        <v>-0.17662643350899998</v>
      </c>
      <c r="O16" s="2250">
        <v>72</v>
      </c>
      <c r="P16" s="2251"/>
      <c r="Q16" s="2252">
        <v>0.17</v>
      </c>
      <c r="R16" s="2250">
        <v>0.6</v>
      </c>
      <c r="S16" s="2253">
        <v>10</v>
      </c>
      <c r="T16" s="2161">
        <v>2.5499999999999998</v>
      </c>
      <c r="U16" s="2245">
        <v>0.84651731912413475</v>
      </c>
      <c r="V16" s="2245">
        <v>16.038377851472202</v>
      </c>
      <c r="W16" s="2245">
        <v>124.68440415185331</v>
      </c>
      <c r="X16" s="2245">
        <v>0.52104006502195244</v>
      </c>
      <c r="Y16" s="2245">
        <v>25.971693215067134</v>
      </c>
      <c r="Z16" s="2161">
        <v>461.1553323942577</v>
      </c>
      <c r="AA16" s="2245">
        <v>2.6388888888888573</v>
      </c>
      <c r="AB16" s="2245">
        <v>2.6</v>
      </c>
      <c r="AC16" s="2245">
        <v>0.70716253794213135</v>
      </c>
      <c r="AD16" s="2245" t="s">
        <v>1240</v>
      </c>
      <c r="AE16" s="2254">
        <v>1.4999999999999999E-2</v>
      </c>
      <c r="AF16" s="2255">
        <v>1</v>
      </c>
      <c r="AG16" s="2245">
        <v>0.6</v>
      </c>
      <c r="AH16" s="2245"/>
      <c r="AJ16" s="2256"/>
      <c r="AK16" s="2257">
        <v>0</v>
      </c>
      <c r="AL16" s="2245">
        <v>0.31250389521115512</v>
      </c>
      <c r="AM16" s="2245">
        <v>0.44442166280409073</v>
      </c>
      <c r="AN16" s="2245">
        <v>3.097666768871064</v>
      </c>
      <c r="AO16" s="2245">
        <v>16.425766195518431</v>
      </c>
      <c r="AP16" s="2258">
        <v>6</v>
      </c>
      <c r="AQ16" s="2259">
        <v>0</v>
      </c>
      <c r="AR16" s="2259" t="s">
        <v>3521</v>
      </c>
      <c r="AS16" s="2260" t="s">
        <v>3521</v>
      </c>
      <c r="AT16" s="2259">
        <v>4</v>
      </c>
      <c r="AU16" s="2259">
        <v>5</v>
      </c>
      <c r="AV16" s="2259">
        <v>0</v>
      </c>
      <c r="AW16" s="2259">
        <v>505.5</v>
      </c>
      <c r="AX16" s="2261">
        <v>505.30500000000001</v>
      </c>
      <c r="AY16" s="2261">
        <v>505.28500000000003</v>
      </c>
      <c r="AZ16" s="2261">
        <v>10000</v>
      </c>
      <c r="BA16" s="2261">
        <v>16.038377851472202</v>
      </c>
      <c r="BB16" s="2261">
        <v>15.212014213946802</v>
      </c>
      <c r="BC16" s="2261" t="s">
        <v>3521</v>
      </c>
      <c r="BD16" s="2229">
        <v>0.28905036502408188</v>
      </c>
      <c r="BE16" s="2229">
        <v>0.31250389521115512</v>
      </c>
      <c r="BF16" s="2229">
        <v>9.3475333546009634E-2</v>
      </c>
      <c r="BG16" s="2229">
        <v>413.53287167662194</v>
      </c>
      <c r="BH16" s="2229">
        <v>0.43884254279631851</v>
      </c>
      <c r="BI16" s="2229">
        <v>0.44442166280409073</v>
      </c>
      <c r="BJ16" s="2229">
        <v>0.56346158872614782</v>
      </c>
      <c r="BK16" s="2262">
        <v>507.4</v>
      </c>
      <c r="BL16" s="2262">
        <v>507.4</v>
      </c>
      <c r="BM16" s="2262">
        <v>505.28500000000003</v>
      </c>
      <c r="BN16" s="2262">
        <v>2.1149999999999523</v>
      </c>
      <c r="BO16" s="2262">
        <v>504.13900000000001</v>
      </c>
      <c r="BP16" s="2262">
        <v>506.01100000000002</v>
      </c>
      <c r="BQ16" s="2262">
        <v>506.03100000000001</v>
      </c>
      <c r="BR16" s="2262">
        <v>506.01100000000002</v>
      </c>
      <c r="BS16" s="2262">
        <v>0</v>
      </c>
      <c r="BT16" s="2262">
        <v>0.94599999999998086</v>
      </c>
      <c r="BU16" s="2262">
        <v>1.4</v>
      </c>
      <c r="BV16" s="2262">
        <v>1.4</v>
      </c>
      <c r="BW16" s="2262">
        <v>0</v>
      </c>
      <c r="BX16" s="2263">
        <v>0</v>
      </c>
      <c r="BY16" s="2262">
        <v>0.36</v>
      </c>
      <c r="BZ16" s="2262">
        <v>0.35499999999995235</v>
      </c>
      <c r="CA16" s="2064" t="s">
        <v>3524</v>
      </c>
      <c r="CC16" s="563">
        <v>489.03028115699652</v>
      </c>
      <c r="CD16" s="563">
        <v>27.874948762738825</v>
      </c>
    </row>
    <row r="17" spans="1:82" s="563" customFormat="1" ht="22.9" customHeight="1">
      <c r="A17" s="2241">
        <v>7</v>
      </c>
      <c r="B17" s="2242" t="s">
        <v>4</v>
      </c>
      <c r="C17" s="2243">
        <v>506.4</v>
      </c>
      <c r="D17" s="2244"/>
      <c r="E17" s="2243">
        <v>504.29999999999995</v>
      </c>
      <c r="F17" s="2245">
        <v>2.1000000000000227</v>
      </c>
      <c r="G17" s="2243">
        <v>505.6</v>
      </c>
      <c r="H17" s="2246">
        <v>503.49999999999994</v>
      </c>
      <c r="I17" s="2245">
        <v>2.1000000000000796</v>
      </c>
      <c r="J17" s="2247">
        <v>504.5623943356544</v>
      </c>
      <c r="K17" s="2248" t="s">
        <v>3521</v>
      </c>
      <c r="L17" s="2248" t="s">
        <v>3521</v>
      </c>
      <c r="M17" s="2248" t="s">
        <v>3521</v>
      </c>
      <c r="N17" s="2249" t="s">
        <v>3521</v>
      </c>
      <c r="O17" s="2250">
        <v>50</v>
      </c>
      <c r="P17" s="2251"/>
      <c r="Q17" s="2252">
        <v>1.6</v>
      </c>
      <c r="R17" s="2250">
        <v>0.6</v>
      </c>
      <c r="S17" s="2253">
        <v>10</v>
      </c>
      <c r="T17" s="2161">
        <v>1.6</v>
      </c>
      <c r="U17" s="2245">
        <v>0.91974332171168904</v>
      </c>
      <c r="V17" s="2245">
        <v>15</v>
      </c>
      <c r="W17" s="2245">
        <v>128.45752167880846</v>
      </c>
      <c r="X17" s="2245">
        <v>0.51463248154014063</v>
      </c>
      <c r="Y17" s="2245">
        <v>270.2561587961153</v>
      </c>
      <c r="Z17" s="2161">
        <v>270.2561587961153</v>
      </c>
      <c r="AA17" s="2245">
        <v>1.5999999999999091</v>
      </c>
      <c r="AB17" s="2245">
        <v>1.6</v>
      </c>
      <c r="AC17" s="2245">
        <v>0.24287117599928207</v>
      </c>
      <c r="AD17" s="2245" t="s">
        <v>1240</v>
      </c>
      <c r="AE17" s="2254">
        <v>1.4999999999999999E-2</v>
      </c>
      <c r="AF17" s="2255">
        <v>1</v>
      </c>
      <c r="AG17" s="2245">
        <v>0.6</v>
      </c>
      <c r="AH17" s="2245"/>
      <c r="AJ17" s="2256"/>
      <c r="AK17" s="2257">
        <v>0</v>
      </c>
      <c r="AL17" s="2245">
        <v>0.26239433565442394</v>
      </c>
      <c r="AM17" s="2245">
        <v>0.33734126054936786</v>
      </c>
      <c r="AN17" s="2245">
        <v>2.2735916529410027</v>
      </c>
      <c r="AO17" s="2245">
        <v>15.366527266343265</v>
      </c>
      <c r="AP17" s="2258">
        <v>7</v>
      </c>
      <c r="AQ17" s="2259">
        <v>8</v>
      </c>
      <c r="AR17" s="2259">
        <v>505.6</v>
      </c>
      <c r="AS17" s="2260">
        <v>505.6</v>
      </c>
      <c r="AT17" s="2259">
        <v>0</v>
      </c>
      <c r="AU17" s="2259">
        <v>0</v>
      </c>
      <c r="AV17" s="2259">
        <v>0</v>
      </c>
      <c r="AW17" s="2259">
        <v>0</v>
      </c>
      <c r="AX17" s="2261">
        <v>10000</v>
      </c>
      <c r="AY17" s="2261">
        <v>10000</v>
      </c>
      <c r="AZ17" s="2261">
        <v>10000</v>
      </c>
      <c r="BA17" s="2261">
        <v>15</v>
      </c>
      <c r="BB17" s="2261" t="s">
        <v>3521</v>
      </c>
      <c r="BC17" s="2261" t="s">
        <v>3521</v>
      </c>
      <c r="BD17" s="2229">
        <v>0.2511485384295849</v>
      </c>
      <c r="BE17" s="2229">
        <v>0.26239433565442394</v>
      </c>
      <c r="BF17" s="2229">
        <v>4.4155766110036666E-2</v>
      </c>
      <c r="BG17" s="2229">
        <v>330.18750365323916</v>
      </c>
      <c r="BH17" s="2229">
        <v>0.3340332805772388</v>
      </c>
      <c r="BI17" s="2229">
        <v>0.33734126054936786</v>
      </c>
      <c r="BJ17" s="2229">
        <v>0.47701011331527216</v>
      </c>
      <c r="BK17" s="2262">
        <v>506.4</v>
      </c>
      <c r="BL17" s="2262">
        <v>506.4</v>
      </c>
      <c r="BM17" s="2262">
        <v>504.29999999999995</v>
      </c>
      <c r="BN17" s="2262">
        <v>2.1000000000000227</v>
      </c>
      <c r="BO17" s="2262">
        <v>504.22599999999994</v>
      </c>
      <c r="BP17" s="2262">
        <v>505.02599999999995</v>
      </c>
      <c r="BQ17" s="2262">
        <v>0</v>
      </c>
      <c r="BR17" s="2262">
        <v>0</v>
      </c>
      <c r="BS17" s="2262">
        <v>0</v>
      </c>
      <c r="BT17" s="2262">
        <v>0.92599999999999905</v>
      </c>
      <c r="BU17" s="2262">
        <v>1.4</v>
      </c>
      <c r="BV17" s="2262">
        <v>1.4</v>
      </c>
      <c r="BW17" s="2262">
        <v>0</v>
      </c>
      <c r="BX17" s="2263">
        <v>0</v>
      </c>
      <c r="BY17" s="2262">
        <v>0.36</v>
      </c>
      <c r="BZ17" s="2262">
        <v>0.34000000000002284</v>
      </c>
      <c r="CA17" s="2064" t="s">
        <v>3524</v>
      </c>
      <c r="CC17" s="563">
        <v>286.38718320779554</v>
      </c>
      <c r="CD17" s="563">
        <v>16.131024411680244</v>
      </c>
    </row>
    <row r="18" spans="1:82" s="563" customFormat="1" ht="22.9" customHeight="1">
      <c r="A18" s="2241">
        <v>8</v>
      </c>
      <c r="B18" s="2242" t="s">
        <v>4</v>
      </c>
      <c r="C18" s="2243">
        <v>505.6</v>
      </c>
      <c r="D18" s="2244"/>
      <c r="E18" s="2243">
        <v>503.49999999999994</v>
      </c>
      <c r="F18" s="2245">
        <v>2.1000000000000796</v>
      </c>
      <c r="G18" s="2243">
        <v>504.8</v>
      </c>
      <c r="H18" s="2246">
        <v>502.69999999999993</v>
      </c>
      <c r="I18" s="2245">
        <v>2.1000000000000796</v>
      </c>
      <c r="J18" s="2247">
        <v>503.91867122543454</v>
      </c>
      <c r="K18" s="2248">
        <v>503.76239433565439</v>
      </c>
      <c r="L18" s="2248" t="s">
        <v>3521</v>
      </c>
      <c r="M18" s="2248" t="s">
        <v>3521</v>
      </c>
      <c r="N18" s="2249">
        <v>-0.15627688978014476</v>
      </c>
      <c r="O18" s="2250">
        <v>50</v>
      </c>
      <c r="P18" s="2251"/>
      <c r="Q18" s="2252">
        <v>1.96</v>
      </c>
      <c r="R18" s="2250">
        <v>0.6</v>
      </c>
      <c r="S18" s="2253">
        <v>10</v>
      </c>
      <c r="T18" s="2161">
        <v>3.56</v>
      </c>
      <c r="U18" s="2245">
        <v>0.79770423985000283</v>
      </c>
      <c r="V18" s="2245">
        <v>15.366527266343265</v>
      </c>
      <c r="W18" s="2245">
        <v>127.09643161561955</v>
      </c>
      <c r="X18" s="2245">
        <v>0.51695168720479112</v>
      </c>
      <c r="Y18" s="2245">
        <v>285.37342500403389</v>
      </c>
      <c r="Z18" s="2161">
        <v>555.62958380014925</v>
      </c>
      <c r="AA18" s="2245">
        <v>1.6000000000000225</v>
      </c>
      <c r="AB18" s="2245">
        <v>1.6</v>
      </c>
      <c r="AC18" s="2245">
        <v>1.0265863809860851</v>
      </c>
      <c r="AD18" s="2245" t="s">
        <v>1240</v>
      </c>
      <c r="AE18" s="2254">
        <v>1.4999999999999999E-2</v>
      </c>
      <c r="AF18" s="2255">
        <v>1</v>
      </c>
      <c r="AG18" s="2245">
        <v>0.6</v>
      </c>
      <c r="AH18" s="2245"/>
      <c r="AJ18" s="2256"/>
      <c r="AK18" s="2257">
        <v>0</v>
      </c>
      <c r="AL18" s="2245">
        <v>0.41867122543461954</v>
      </c>
      <c r="AM18" s="2245">
        <v>0.48927294252280606</v>
      </c>
      <c r="AN18" s="2245">
        <v>2.6374247188764803</v>
      </c>
      <c r="AO18" s="2245">
        <v>15.68249205099438</v>
      </c>
      <c r="AP18" s="2258">
        <v>8</v>
      </c>
      <c r="AQ18" s="2259">
        <v>10</v>
      </c>
      <c r="AR18" s="2259">
        <v>504.8</v>
      </c>
      <c r="AS18" s="2260">
        <v>504.8</v>
      </c>
      <c r="AT18" s="2259">
        <v>7</v>
      </c>
      <c r="AU18" s="2259">
        <v>0</v>
      </c>
      <c r="AV18" s="2259">
        <v>0</v>
      </c>
      <c r="AW18" s="2259">
        <v>0</v>
      </c>
      <c r="AX18" s="2261">
        <v>503.49999999999994</v>
      </c>
      <c r="AY18" s="2261">
        <v>10000</v>
      </c>
      <c r="AZ18" s="2261">
        <v>10000</v>
      </c>
      <c r="BA18" s="2261">
        <v>15.366527266343265</v>
      </c>
      <c r="BB18" s="2261" t="s">
        <v>3521</v>
      </c>
      <c r="BC18" s="2261" t="s">
        <v>3521</v>
      </c>
      <c r="BD18" s="2229">
        <v>0.35546869523031427</v>
      </c>
      <c r="BE18" s="2229">
        <v>0.41867122543461954</v>
      </c>
      <c r="BF18" s="2229">
        <v>0.28166670982399644</v>
      </c>
      <c r="BG18" s="2229">
        <v>585.19793930400851</v>
      </c>
      <c r="BH18" s="2229">
        <v>0.48266279554059155</v>
      </c>
      <c r="BI18" s="2229">
        <v>0.48927294252280606</v>
      </c>
      <c r="BJ18" s="2229">
        <v>0.59716277763576986</v>
      </c>
      <c r="BK18" s="2262">
        <v>505.6</v>
      </c>
      <c r="BL18" s="2262">
        <v>505.6</v>
      </c>
      <c r="BM18" s="2262">
        <v>503.49999999999994</v>
      </c>
      <c r="BN18" s="2262">
        <v>2.1000000000000796</v>
      </c>
      <c r="BO18" s="2262">
        <v>503.42599999999993</v>
      </c>
      <c r="BP18" s="2262">
        <v>504.22599999999994</v>
      </c>
      <c r="BQ18" s="2262">
        <v>504.22599999999994</v>
      </c>
      <c r="BR18" s="2262">
        <v>0</v>
      </c>
      <c r="BS18" s="2262">
        <v>0</v>
      </c>
      <c r="BT18" s="2262">
        <v>0.92599999999999905</v>
      </c>
      <c r="BU18" s="2262">
        <v>1.4</v>
      </c>
      <c r="BV18" s="2262">
        <v>1.4</v>
      </c>
      <c r="BW18" s="2262">
        <v>0</v>
      </c>
      <c r="BX18" s="2263">
        <v>0</v>
      </c>
      <c r="BY18" s="2262">
        <v>0.36</v>
      </c>
      <c r="BZ18" s="2262">
        <v>0.34000000000007968</v>
      </c>
      <c r="CA18" s="2064" t="s">
        <v>3524</v>
      </c>
      <c r="CC18" s="563">
        <v>589.69448970447797</v>
      </c>
      <c r="CD18" s="563">
        <v>34.064905904328725</v>
      </c>
    </row>
    <row r="19" spans="1:82" s="563" customFormat="1" ht="22.9" customHeight="1">
      <c r="A19" s="2241">
        <v>9</v>
      </c>
      <c r="B19" s="2242" t="s">
        <v>4</v>
      </c>
      <c r="C19" s="2243">
        <v>505.4</v>
      </c>
      <c r="D19" s="2244"/>
      <c r="E19" s="2243">
        <v>503.29999999999995</v>
      </c>
      <c r="F19" s="2245">
        <v>2.1000000000000227</v>
      </c>
      <c r="G19" s="2243">
        <v>504.8</v>
      </c>
      <c r="H19" s="2246">
        <v>502.69999999999993</v>
      </c>
      <c r="I19" s="2245">
        <v>2.1000000000000796</v>
      </c>
      <c r="J19" s="2247">
        <v>503.39747850991154</v>
      </c>
      <c r="K19" s="2248" t="s">
        <v>3521</v>
      </c>
      <c r="L19" s="2248" t="s">
        <v>3521</v>
      </c>
      <c r="M19" s="2248" t="s">
        <v>3521</v>
      </c>
      <c r="N19" s="2249" t="s">
        <v>3521</v>
      </c>
      <c r="O19" s="2250">
        <v>40</v>
      </c>
      <c r="P19" s="2251"/>
      <c r="Q19" s="2252">
        <v>0.2</v>
      </c>
      <c r="R19" s="2250">
        <v>0.6</v>
      </c>
      <c r="S19" s="2253">
        <v>10</v>
      </c>
      <c r="T19" s="2161">
        <v>0.2</v>
      </c>
      <c r="U19" s="2245">
        <v>1</v>
      </c>
      <c r="V19" s="2245">
        <v>15</v>
      </c>
      <c r="W19" s="2245">
        <v>128.45752167880846</v>
      </c>
      <c r="X19" s="2245">
        <v>0.51463248154014063</v>
      </c>
      <c r="Y19" s="2245">
        <v>36.729834348396629</v>
      </c>
      <c r="Z19" s="2161">
        <v>36.729834348396629</v>
      </c>
      <c r="AA19" s="2245">
        <v>1.4999999999999147</v>
      </c>
      <c r="AB19" s="2245">
        <v>1.5</v>
      </c>
      <c r="AC19" s="2245">
        <v>4.4860355983449233E-3</v>
      </c>
      <c r="AD19" s="2245" t="s">
        <v>1240</v>
      </c>
      <c r="AE19" s="2254">
        <v>1.4999999999999999E-2</v>
      </c>
      <c r="AF19" s="2255">
        <v>1</v>
      </c>
      <c r="AG19" s="2245">
        <v>0.6</v>
      </c>
      <c r="AH19" s="2245"/>
      <c r="AJ19" s="2256"/>
      <c r="AK19" s="2257">
        <v>0</v>
      </c>
      <c r="AL19" s="2245">
        <v>9.7478509911584521E-2</v>
      </c>
      <c r="AM19" s="2245">
        <v>0.12054164887599511</v>
      </c>
      <c r="AN19" s="2245">
        <v>1.2303604250895901</v>
      </c>
      <c r="AO19" s="2245">
        <v>15.541846643529778</v>
      </c>
      <c r="AP19" s="2258">
        <v>9</v>
      </c>
      <c r="AQ19" s="2259">
        <v>10</v>
      </c>
      <c r="AR19" s="2259">
        <v>504.8</v>
      </c>
      <c r="AS19" s="2260">
        <v>504.8</v>
      </c>
      <c r="AT19" s="2259">
        <v>0</v>
      </c>
      <c r="AU19" s="2259">
        <v>0</v>
      </c>
      <c r="AV19" s="2259">
        <v>0</v>
      </c>
      <c r="AW19" s="2259">
        <v>0</v>
      </c>
      <c r="AX19" s="2261">
        <v>10000</v>
      </c>
      <c r="AY19" s="2261">
        <v>10000</v>
      </c>
      <c r="AZ19" s="2261">
        <v>10000</v>
      </c>
      <c r="BA19" s="2261">
        <v>15</v>
      </c>
      <c r="BB19" s="2261" t="s">
        <v>3521</v>
      </c>
      <c r="BC19" s="2261" t="s">
        <v>3521</v>
      </c>
      <c r="BD19" s="2229">
        <v>9.7478509911584521E-2</v>
      </c>
      <c r="BE19" s="2229">
        <v>0.13516973384961556</v>
      </c>
      <c r="BF19" s="2229">
        <v>2.8351303958158247E-4</v>
      </c>
      <c r="BG19" s="2229">
        <v>82.924739412847956</v>
      </c>
      <c r="BH19" s="2229">
        <v>0.12054164887599511</v>
      </c>
      <c r="BI19" s="2229">
        <v>0.12047854610741071</v>
      </c>
      <c r="BJ19" s="2229">
        <v>0.25607049749287858</v>
      </c>
      <c r="BK19" s="2262">
        <v>505.4</v>
      </c>
      <c r="BL19" s="2262">
        <v>505.4</v>
      </c>
      <c r="BM19" s="2262">
        <v>503.29999999999995</v>
      </c>
      <c r="BN19" s="2262">
        <v>2.1000000000000227</v>
      </c>
      <c r="BO19" s="2262">
        <v>503.42599999999993</v>
      </c>
      <c r="BP19" s="2262">
        <v>504.02599999999995</v>
      </c>
      <c r="BQ19" s="2262">
        <v>0</v>
      </c>
      <c r="BR19" s="2262">
        <v>0</v>
      </c>
      <c r="BS19" s="2262">
        <v>0</v>
      </c>
      <c r="BT19" s="2262">
        <v>0.92599999999999905</v>
      </c>
      <c r="BU19" s="2262">
        <v>1.4</v>
      </c>
      <c r="BV19" s="2262">
        <v>1.4</v>
      </c>
      <c r="BW19" s="2262">
        <v>0</v>
      </c>
      <c r="BX19" s="2263">
        <v>0</v>
      </c>
      <c r="BY19" s="2262">
        <v>0.36</v>
      </c>
      <c r="BZ19" s="2262">
        <v>0.34000000000002284</v>
      </c>
      <c r="CA19" s="2064" t="s">
        <v>3524</v>
      </c>
      <c r="CC19" s="563">
        <v>38.922161276856897</v>
      </c>
      <c r="CD19" s="563">
        <v>2.1923269284602682</v>
      </c>
    </row>
    <row r="20" spans="1:82" s="563" customFormat="1" ht="22.9" customHeight="1">
      <c r="A20" s="2241">
        <v>10</v>
      </c>
      <c r="B20" s="2242" t="s">
        <v>4</v>
      </c>
      <c r="C20" s="2243">
        <v>504.8</v>
      </c>
      <c r="D20" s="2244"/>
      <c r="E20" s="2243">
        <v>502.69999999999993</v>
      </c>
      <c r="F20" s="2245">
        <v>2.1000000000000796</v>
      </c>
      <c r="G20" s="2243">
        <v>503.8</v>
      </c>
      <c r="H20" s="2246">
        <v>501.69999999999993</v>
      </c>
      <c r="I20" s="2245">
        <v>2.1000000000000796</v>
      </c>
      <c r="J20" s="2247">
        <v>503.1644655034961</v>
      </c>
      <c r="K20" s="2248">
        <v>503.11867122543453</v>
      </c>
      <c r="L20" s="2248">
        <v>502.79747850991151</v>
      </c>
      <c r="M20" s="2248" t="s">
        <v>3521</v>
      </c>
      <c r="N20" s="2249">
        <v>-0.36698699358458953</v>
      </c>
      <c r="O20" s="2250">
        <v>25</v>
      </c>
      <c r="P20" s="2251"/>
      <c r="Q20" s="2252">
        <v>3.26</v>
      </c>
      <c r="R20" s="2250">
        <v>0.6</v>
      </c>
      <c r="S20" s="2253">
        <v>10</v>
      </c>
      <c r="T20" s="2161">
        <v>7.0200000000000005</v>
      </c>
      <c r="U20" s="2245">
        <v>0.70689025403300632</v>
      </c>
      <c r="V20" s="2245">
        <v>15.68249205099438</v>
      </c>
      <c r="W20" s="2245">
        <v>125.94902717329778</v>
      </c>
      <c r="X20" s="2245">
        <v>0.51889986632397012</v>
      </c>
      <c r="Y20" s="2245">
        <v>418.38895555039903</v>
      </c>
      <c r="Z20" s="2161">
        <v>1010.7483736989449</v>
      </c>
      <c r="AA20" s="2245">
        <v>4</v>
      </c>
      <c r="AB20" s="2245">
        <v>4</v>
      </c>
      <c r="AC20" s="2245">
        <v>3.3971199253451836</v>
      </c>
      <c r="AD20" s="2245" t="s">
        <v>1240</v>
      </c>
      <c r="AE20" s="2254">
        <v>1.4999999999999999E-2</v>
      </c>
      <c r="AF20" s="2255">
        <v>1</v>
      </c>
      <c r="AG20" s="2245">
        <v>0.6</v>
      </c>
      <c r="AH20" s="2245"/>
      <c r="AJ20" s="2256"/>
      <c r="AK20" s="2257">
        <v>0</v>
      </c>
      <c r="AL20" s="2245">
        <v>0.46446550349618382</v>
      </c>
      <c r="AM20" s="2245">
        <v>0.71959870222997502</v>
      </c>
      <c r="AN20" s="2245">
        <v>4.3036743159459858</v>
      </c>
      <c r="AO20" s="2245">
        <v>15.779308546871597</v>
      </c>
      <c r="AP20" s="2258">
        <v>10</v>
      </c>
      <c r="AQ20" s="2259">
        <v>0</v>
      </c>
      <c r="AR20" s="2259" t="s">
        <v>3521</v>
      </c>
      <c r="AS20" s="2260" t="s">
        <v>3521</v>
      </c>
      <c r="AT20" s="2259">
        <v>8</v>
      </c>
      <c r="AU20" s="2259">
        <v>9</v>
      </c>
      <c r="AV20" s="2259">
        <v>0</v>
      </c>
      <c r="AW20" s="2259">
        <v>503.8</v>
      </c>
      <c r="AX20" s="2261">
        <v>502.69999999999993</v>
      </c>
      <c r="AY20" s="2261">
        <v>502.69999999999993</v>
      </c>
      <c r="AZ20" s="2261">
        <v>10000</v>
      </c>
      <c r="BA20" s="2261">
        <v>15.68249205099438</v>
      </c>
      <c r="BB20" s="2261">
        <v>15.541846643529778</v>
      </c>
      <c r="BC20" s="2261" t="s">
        <v>3521</v>
      </c>
      <c r="BD20" s="2229">
        <v>0.38032005275117631</v>
      </c>
      <c r="BE20" s="2229">
        <v>0.46446550349618382</v>
      </c>
      <c r="BF20" s="2229">
        <v>0.40408872315464345</v>
      </c>
      <c r="BG20" s="2229">
        <v>652.38077170084728</v>
      </c>
      <c r="BH20" s="2229">
        <v>0.65516870754282519</v>
      </c>
      <c r="BI20" s="2229">
        <v>0.66621097310716282</v>
      </c>
      <c r="BJ20" s="2229">
        <v>0.71959870222997502</v>
      </c>
      <c r="BK20" s="2262">
        <v>504.8</v>
      </c>
      <c r="BL20" s="2262">
        <v>504.8</v>
      </c>
      <c r="BM20" s="2262">
        <v>502.69999999999993</v>
      </c>
      <c r="BN20" s="2262">
        <v>2.1000000000000796</v>
      </c>
      <c r="BO20" s="2262">
        <v>502.42599999999993</v>
      </c>
      <c r="BP20" s="2262">
        <v>503.42599999999993</v>
      </c>
      <c r="BQ20" s="2262">
        <v>503.42599999999993</v>
      </c>
      <c r="BR20" s="2262">
        <v>503.42599999999993</v>
      </c>
      <c r="BS20" s="2262">
        <v>0</v>
      </c>
      <c r="BT20" s="2262">
        <v>0.92599999999999905</v>
      </c>
      <c r="BU20" s="2262">
        <v>1.4</v>
      </c>
      <c r="BV20" s="2262">
        <v>1.4</v>
      </c>
      <c r="BW20" s="2262">
        <v>0</v>
      </c>
      <c r="BX20" s="2263">
        <v>0</v>
      </c>
      <c r="BY20" s="2262">
        <v>0.36</v>
      </c>
      <c r="BZ20" s="2262">
        <v>0.34000000000007968</v>
      </c>
      <c r="CA20" s="2064" t="s">
        <v>3524</v>
      </c>
      <c r="CC20" s="563">
        <v>1074.3432823860016</v>
      </c>
      <c r="CD20" s="563">
        <v>63.594908687056773</v>
      </c>
    </row>
    <row r="21" spans="1:82" s="563" customFormat="1" hidden="1">
      <c r="A21" s="2241">
        <v>11</v>
      </c>
      <c r="B21" s="2242" t="s">
        <v>4</v>
      </c>
      <c r="C21" s="2243">
        <v>506.2</v>
      </c>
      <c r="D21" s="2244"/>
      <c r="E21" s="2243">
        <v>504.09999999999997</v>
      </c>
      <c r="F21" s="2245">
        <v>2.1000000000000227</v>
      </c>
      <c r="G21" s="2243">
        <v>505.8</v>
      </c>
      <c r="H21" s="2246">
        <v>503.69499999999999</v>
      </c>
      <c r="I21" s="2245">
        <v>2.1050000000000182</v>
      </c>
      <c r="J21" s="2247">
        <v>504.41375244672156</v>
      </c>
      <c r="K21" s="2248" t="s">
        <v>3521</v>
      </c>
      <c r="L21" s="2248" t="s">
        <v>3521</v>
      </c>
      <c r="M21" s="2248" t="s">
        <v>3521</v>
      </c>
      <c r="N21" s="2249" t="s">
        <v>3521</v>
      </c>
      <c r="O21" s="2250">
        <v>45</v>
      </c>
      <c r="P21" s="2251"/>
      <c r="Q21" s="2252">
        <v>1.62</v>
      </c>
      <c r="R21" s="2250">
        <v>0.6</v>
      </c>
      <c r="S21" s="2253">
        <v>10</v>
      </c>
      <c r="T21" s="2161">
        <v>1.62</v>
      </c>
      <c r="U21" s="2245">
        <v>0.91771182426596509</v>
      </c>
      <c r="V21" s="2245">
        <v>15</v>
      </c>
      <c r="W21" s="2245">
        <v>128.45752167880846</v>
      </c>
      <c r="X21" s="2245">
        <v>0.51463248154014063</v>
      </c>
      <c r="Y21" s="2245">
        <v>273.02996660731566</v>
      </c>
      <c r="Z21" s="2161">
        <v>273.02996660731566</v>
      </c>
      <c r="AA21" s="2245">
        <v>0.88888888888883844</v>
      </c>
      <c r="AB21" s="2245">
        <v>0.9</v>
      </c>
      <c r="AC21" s="2245">
        <v>0.24788223777896767</v>
      </c>
      <c r="AD21" s="2245" t="s">
        <v>1240</v>
      </c>
      <c r="AE21" s="2254">
        <v>1.4999999999999999E-2</v>
      </c>
      <c r="AF21" s="2255">
        <v>1</v>
      </c>
      <c r="AG21" s="2245">
        <v>0.6</v>
      </c>
      <c r="AH21" s="2245"/>
      <c r="AJ21" s="2256"/>
      <c r="AK21" s="2257">
        <v>0</v>
      </c>
      <c r="AL21" s="2245">
        <v>0.31375244672159569</v>
      </c>
      <c r="AM21" s="2245">
        <v>0.33912306873869713</v>
      </c>
      <c r="AN21" s="2245">
        <v>1.824819654618473</v>
      </c>
      <c r="AO21" s="2245">
        <v>15.410999518830154</v>
      </c>
      <c r="AP21" s="2258">
        <v>11</v>
      </c>
      <c r="AQ21" s="2259">
        <v>12</v>
      </c>
      <c r="AR21" s="2259">
        <v>505.8</v>
      </c>
      <c r="AS21" s="2260">
        <v>505.8</v>
      </c>
      <c r="AT21" s="2259">
        <v>0</v>
      </c>
      <c r="AU21" s="2259">
        <v>0</v>
      </c>
      <c r="AV21" s="2259">
        <v>0</v>
      </c>
      <c r="AW21" s="2259">
        <v>0</v>
      </c>
      <c r="AX21" s="2261">
        <v>10000</v>
      </c>
      <c r="AY21" s="2261">
        <v>10000</v>
      </c>
      <c r="AZ21" s="2261">
        <v>10000</v>
      </c>
      <c r="BA21" s="2261">
        <v>15</v>
      </c>
      <c r="BB21" s="2261" t="s">
        <v>3521</v>
      </c>
      <c r="BC21" s="2261" t="s">
        <v>3521</v>
      </c>
      <c r="BD21" s="2229">
        <v>0.28992699841924002</v>
      </c>
      <c r="BE21" s="2229">
        <v>0.31375244672159569</v>
      </c>
      <c r="BF21" s="2229">
        <v>9.4947084310007021E-2</v>
      </c>
      <c r="BG21" s="2229">
        <v>415.61179593266564</v>
      </c>
      <c r="BH21" s="2229">
        <v>0.3357797863107152</v>
      </c>
      <c r="BI21" s="2229">
        <v>0.33912306873869713</v>
      </c>
      <c r="BJ21" s="2229">
        <v>0.47853079125259568</v>
      </c>
      <c r="BK21" s="2262">
        <v>506.2</v>
      </c>
      <c r="BL21" s="2262">
        <v>506.2</v>
      </c>
      <c r="BM21" s="2262">
        <v>504.09999999999997</v>
      </c>
      <c r="BN21" s="2262">
        <v>2.1000000000000227</v>
      </c>
      <c r="BO21" s="2262">
        <v>504.42099999999999</v>
      </c>
      <c r="BP21" s="2262">
        <v>504.82599999999996</v>
      </c>
      <c r="BQ21" s="2262">
        <v>0</v>
      </c>
      <c r="BR21" s="2262">
        <v>0</v>
      </c>
      <c r="BS21" s="2262">
        <v>0</v>
      </c>
      <c r="BT21" s="2262">
        <v>0.92599999999999905</v>
      </c>
      <c r="BU21" s="2262">
        <v>1.4</v>
      </c>
      <c r="BV21" s="2262">
        <v>1.4</v>
      </c>
      <c r="BW21" s="2262">
        <v>0</v>
      </c>
      <c r="BX21" s="2263">
        <v>0</v>
      </c>
      <c r="BY21" s="2262">
        <v>0.36</v>
      </c>
      <c r="BZ21" s="2262">
        <v>0.34000000000002284</v>
      </c>
      <c r="CA21" s="2064" t="s">
        <v>3524</v>
      </c>
      <c r="CC21" s="563">
        <v>289.32655380104347</v>
      </c>
      <c r="CD21" s="563">
        <v>16.296587193727817</v>
      </c>
    </row>
    <row r="22" spans="1:82" s="563" customFormat="1" ht="22.9" customHeight="1">
      <c r="A22" s="2241">
        <v>12</v>
      </c>
      <c r="B22" s="2242" t="s">
        <v>4</v>
      </c>
      <c r="C22" s="2243">
        <v>505.8</v>
      </c>
      <c r="D22" s="2244"/>
      <c r="E22" s="2243">
        <v>503.69499999999999</v>
      </c>
      <c r="F22" s="2245">
        <v>2.1050000000000182</v>
      </c>
      <c r="G22" s="2243">
        <v>504.7</v>
      </c>
      <c r="H22" s="2246">
        <v>502.61500000000001</v>
      </c>
      <c r="I22" s="2245">
        <v>2.0849999999999795</v>
      </c>
      <c r="J22" s="2247">
        <v>504.05237458511527</v>
      </c>
      <c r="K22" s="2248">
        <v>504.00875244672159</v>
      </c>
      <c r="L22" s="2248" t="s">
        <v>3521</v>
      </c>
      <c r="M22" s="2248" t="s">
        <v>3521</v>
      </c>
      <c r="N22" s="2249" t="s">
        <v>3521</v>
      </c>
      <c r="O22" s="2250">
        <v>45</v>
      </c>
      <c r="P22" s="2251"/>
      <c r="Q22" s="2252">
        <v>1.85</v>
      </c>
      <c r="R22" s="2250">
        <v>0.6</v>
      </c>
      <c r="S22" s="2253">
        <v>10</v>
      </c>
      <c r="T22" s="2161">
        <v>3.47</v>
      </c>
      <c r="U22" s="2245">
        <v>0.80134836189634207</v>
      </c>
      <c r="V22" s="2245">
        <v>15.410999518830154</v>
      </c>
      <c r="W22" s="2245">
        <v>126.93350248898349</v>
      </c>
      <c r="X22" s="2245">
        <v>0.51722870340065896</v>
      </c>
      <c r="Y22" s="2245">
        <v>270.38600242156343</v>
      </c>
      <c r="Z22" s="2161">
        <v>543.41596902887909</v>
      </c>
      <c r="AA22" s="2245">
        <v>2.4444444444444948</v>
      </c>
      <c r="AB22" s="2245">
        <v>2.4</v>
      </c>
      <c r="AC22" s="2245">
        <v>0.98195044076463978</v>
      </c>
      <c r="AD22" s="2245" t="s">
        <v>1240</v>
      </c>
      <c r="AE22" s="2254">
        <v>1.4999999999999999E-2</v>
      </c>
      <c r="AF22" s="2255">
        <v>1</v>
      </c>
      <c r="AG22" s="2245">
        <v>0.6</v>
      </c>
      <c r="AH22" s="2245"/>
      <c r="AJ22" s="2256"/>
      <c r="AK22" s="2257">
        <v>0</v>
      </c>
      <c r="AL22" s="2245">
        <v>0.35737458511526876</v>
      </c>
      <c r="AM22" s="2245">
        <v>0.48369459555373689</v>
      </c>
      <c r="AN22" s="2245">
        <v>3.0948812825003986</v>
      </c>
      <c r="AO22" s="2245">
        <v>15.653335147095049</v>
      </c>
      <c r="AP22" s="2258">
        <v>12</v>
      </c>
      <c r="AQ22" s="2259">
        <v>13</v>
      </c>
      <c r="AR22" s="2259">
        <v>504.7</v>
      </c>
      <c r="AS22" s="2260">
        <v>504.7</v>
      </c>
      <c r="AT22" s="2259">
        <v>11</v>
      </c>
      <c r="AU22" s="2259">
        <v>0</v>
      </c>
      <c r="AV22" s="2259">
        <v>0</v>
      </c>
      <c r="AW22" s="2259">
        <v>0</v>
      </c>
      <c r="AX22" s="2261">
        <v>503.69499999999999</v>
      </c>
      <c r="AY22" s="2261">
        <v>10000</v>
      </c>
      <c r="AZ22" s="2261">
        <v>10000</v>
      </c>
      <c r="BA22" s="2261">
        <v>15.410999518830154</v>
      </c>
      <c r="BB22" s="2261" t="s">
        <v>3521</v>
      </c>
      <c r="BC22" s="2261" t="s">
        <v>3521</v>
      </c>
      <c r="BD22" s="2229">
        <v>0.31894121017213406</v>
      </c>
      <c r="BE22" s="2229">
        <v>0.35737458511526876</v>
      </c>
      <c r="BF22" s="2229">
        <v>0.15799395875496405</v>
      </c>
      <c r="BG22" s="2229">
        <v>487.73722319922399</v>
      </c>
      <c r="BH22" s="2229">
        <v>0.47721496577589845</v>
      </c>
      <c r="BI22" s="2229">
        <v>0.48369459555373689</v>
      </c>
      <c r="BJ22" s="2229">
        <v>0.59303988158723919</v>
      </c>
      <c r="BK22" s="2262">
        <v>505.8</v>
      </c>
      <c r="BL22" s="2262">
        <v>505.8</v>
      </c>
      <c r="BM22" s="2262">
        <v>503.69499999999999</v>
      </c>
      <c r="BN22" s="2262">
        <v>2.1050000000000182</v>
      </c>
      <c r="BO22" s="2262">
        <v>503.34100000000001</v>
      </c>
      <c r="BP22" s="2262">
        <v>504.42099999999999</v>
      </c>
      <c r="BQ22" s="2262">
        <v>504.42099999999999</v>
      </c>
      <c r="BR22" s="2262">
        <v>0</v>
      </c>
      <c r="BS22" s="2262">
        <v>0</v>
      </c>
      <c r="BT22" s="2262">
        <v>0.92599999999999905</v>
      </c>
      <c r="BU22" s="2262">
        <v>1.4</v>
      </c>
      <c r="BV22" s="2262">
        <v>1.4</v>
      </c>
      <c r="BW22" s="2262">
        <v>0</v>
      </c>
      <c r="BX22" s="2263">
        <v>0</v>
      </c>
      <c r="BY22" s="2262">
        <v>0.36</v>
      </c>
      <c r="BZ22" s="2262">
        <v>0.34500000000001829</v>
      </c>
      <c r="CA22" s="2064" t="s">
        <v>3524</v>
      </c>
      <c r="CC22" s="563">
        <v>322.68747811146181</v>
      </c>
      <c r="CD22" s="563">
        <v>-220.72849091741728</v>
      </c>
    </row>
    <row r="23" spans="1:82" s="563" customFormat="1" ht="22.9" customHeight="1">
      <c r="A23" s="2241">
        <v>13</v>
      </c>
      <c r="B23" s="2242" t="s">
        <v>4</v>
      </c>
      <c r="C23" s="2243">
        <v>504.7</v>
      </c>
      <c r="D23" s="2244"/>
      <c r="E23" s="2243">
        <v>502.61500000000001</v>
      </c>
      <c r="F23" s="2245">
        <v>2.0849999999999795</v>
      </c>
      <c r="G23" s="2243">
        <v>504.9</v>
      </c>
      <c r="H23" s="2246">
        <v>502.39</v>
      </c>
      <c r="I23" s="2245">
        <v>2.5099999999999909</v>
      </c>
      <c r="J23" s="2247">
        <v>503.23380127372894</v>
      </c>
      <c r="K23" s="2248">
        <v>502.97237458511529</v>
      </c>
      <c r="L23" s="2248" t="s">
        <v>3521</v>
      </c>
      <c r="M23" s="2248" t="s">
        <v>3521</v>
      </c>
      <c r="N23" s="2249">
        <v>-0.26142668861365337</v>
      </c>
      <c r="O23" s="2250">
        <v>45</v>
      </c>
      <c r="P23" s="2251"/>
      <c r="Q23" s="2252">
        <v>1.66</v>
      </c>
      <c r="R23" s="2250">
        <v>0.6</v>
      </c>
      <c r="S23" s="2253">
        <v>10</v>
      </c>
      <c r="T23" s="2161">
        <v>5.13</v>
      </c>
      <c r="U23" s="2245">
        <v>0.74747919466067247</v>
      </c>
      <c r="V23" s="2245">
        <v>15.653335147095049</v>
      </c>
      <c r="W23" s="2245">
        <v>126.05392530044732</v>
      </c>
      <c r="X23" s="2245">
        <v>0.51872201511941207</v>
      </c>
      <c r="Y23" s="2245">
        <v>225.38784587613219</v>
      </c>
      <c r="Z23" s="2161">
        <v>768.80381490501122</v>
      </c>
      <c r="AA23" s="2245">
        <v>-0.44444444444441922</v>
      </c>
      <c r="AB23" s="2245">
        <v>0.5</v>
      </c>
      <c r="AC23" s="2245">
        <v>0.42375604539246775</v>
      </c>
      <c r="AD23" s="2245" t="s">
        <v>1240</v>
      </c>
      <c r="AE23" s="2254">
        <v>1.4999999999999999E-2</v>
      </c>
      <c r="AF23" s="2255">
        <v>1</v>
      </c>
      <c r="AG23" s="2245">
        <v>0.8</v>
      </c>
      <c r="AH23" s="2245"/>
      <c r="AJ23" s="2256"/>
      <c r="AK23" s="2257">
        <v>0</v>
      </c>
      <c r="AL23" s="2245">
        <v>0.61880127372895455</v>
      </c>
      <c r="AM23" s="2245">
        <v>0.53224784448023621</v>
      </c>
      <c r="AN23" s="2245">
        <v>1.8427777902912656</v>
      </c>
      <c r="AO23" s="2245">
        <v>16.060329416263802</v>
      </c>
      <c r="AP23" s="2258">
        <v>13</v>
      </c>
      <c r="AQ23" s="2259">
        <v>18</v>
      </c>
      <c r="AR23" s="2259">
        <v>504.9</v>
      </c>
      <c r="AS23" s="2260">
        <v>504.9</v>
      </c>
      <c r="AT23" s="2259">
        <v>12</v>
      </c>
      <c r="AU23" s="2259">
        <v>0</v>
      </c>
      <c r="AV23" s="2259">
        <v>0</v>
      </c>
      <c r="AW23" s="2259">
        <v>0</v>
      </c>
      <c r="AX23" s="2261">
        <v>502.61500000000001</v>
      </c>
      <c r="AY23" s="2261">
        <v>10000</v>
      </c>
      <c r="AZ23" s="2261">
        <v>10000</v>
      </c>
      <c r="BA23" s="2261">
        <v>15.653335147095049</v>
      </c>
      <c r="BB23" s="2261" t="s">
        <v>3521</v>
      </c>
      <c r="BC23" s="2261" t="s">
        <v>3521</v>
      </c>
      <c r="BD23" s="2229">
        <v>0.50688741205946664</v>
      </c>
      <c r="BE23" s="2229">
        <v>0.61880127372895455</v>
      </c>
      <c r="BF23" s="2229">
        <v>0.53678523895017261</v>
      </c>
      <c r="BG23" s="2229">
        <v>651.87238912794351</v>
      </c>
      <c r="BH23" s="2229">
        <v>0.52612009364488177</v>
      </c>
      <c r="BI23" s="2229">
        <v>0.53224784448023621</v>
      </c>
      <c r="BJ23" s="2229">
        <v>0.62006950343773404</v>
      </c>
      <c r="BK23" s="2262">
        <v>504.7</v>
      </c>
      <c r="BL23" s="2262">
        <v>504.7</v>
      </c>
      <c r="BM23" s="2262">
        <v>502.61500000000001</v>
      </c>
      <c r="BN23" s="2262">
        <v>2.0849999999999795</v>
      </c>
      <c r="BO23" s="2262">
        <v>503.358</v>
      </c>
      <c r="BP23" s="2262">
        <v>503.58300000000003</v>
      </c>
      <c r="BQ23" s="2262">
        <v>503.34100000000001</v>
      </c>
      <c r="BR23" s="2262">
        <v>0</v>
      </c>
      <c r="BS23" s="2262">
        <v>0</v>
      </c>
      <c r="BT23" s="2262">
        <v>1.1680000000000177</v>
      </c>
      <c r="BU23" s="2262">
        <v>1.4</v>
      </c>
      <c r="BV23" s="2262">
        <v>1.4</v>
      </c>
      <c r="BW23" s="2262">
        <v>0</v>
      </c>
      <c r="BX23" s="2263">
        <v>0</v>
      </c>
      <c r="BY23" s="2262">
        <v>0.36</v>
      </c>
      <c r="BZ23" s="2262">
        <v>0.32499999999997964</v>
      </c>
      <c r="CA23" s="2064" t="s">
        <v>3524</v>
      </c>
      <c r="CC23" s="563">
        <v>580.42414141247809</v>
      </c>
      <c r="CD23" s="563">
        <v>-188.37967349253313</v>
      </c>
    </row>
    <row r="24" spans="1:82" s="563" customFormat="1" ht="22.9" customHeight="1">
      <c r="A24" s="2241">
        <v>14</v>
      </c>
      <c r="B24" s="2242" t="s">
        <v>4</v>
      </c>
      <c r="C24" s="2243">
        <v>505.5</v>
      </c>
      <c r="D24" s="2244"/>
      <c r="E24" s="2243">
        <v>503.4</v>
      </c>
      <c r="F24" s="2245">
        <v>2.1000000000000227</v>
      </c>
      <c r="G24" s="2243">
        <v>504.4</v>
      </c>
      <c r="H24" s="2246">
        <v>502.29999999999995</v>
      </c>
      <c r="I24" s="2245">
        <v>2.1000000000000227</v>
      </c>
      <c r="J24" s="2247">
        <v>503.67776284393642</v>
      </c>
      <c r="K24" s="2248" t="s">
        <v>3521</v>
      </c>
      <c r="L24" s="2248" t="s">
        <v>3521</v>
      </c>
      <c r="M24" s="2248" t="s">
        <v>3521</v>
      </c>
      <c r="N24" s="2249" t="s">
        <v>3521</v>
      </c>
      <c r="O24" s="2250">
        <v>50</v>
      </c>
      <c r="P24" s="2251"/>
      <c r="Q24" s="2252">
        <v>2.19</v>
      </c>
      <c r="R24" s="2250">
        <v>0.6</v>
      </c>
      <c r="S24" s="2253">
        <v>10</v>
      </c>
      <c r="T24" s="2161">
        <v>2.19</v>
      </c>
      <c r="U24" s="2245">
        <v>0.86976303777948882</v>
      </c>
      <c r="V24" s="2245">
        <v>15</v>
      </c>
      <c r="W24" s="2245">
        <v>128.45752167880846</v>
      </c>
      <c r="X24" s="2245">
        <v>0.51463248154014063</v>
      </c>
      <c r="Y24" s="2245">
        <v>349.81146268498759</v>
      </c>
      <c r="Z24" s="2161">
        <v>349.81146268498759</v>
      </c>
      <c r="AA24" s="2245">
        <v>2.2000000000000455</v>
      </c>
      <c r="AB24" s="2245">
        <v>2.2000000000000002</v>
      </c>
      <c r="AC24" s="2245">
        <v>0.4069048337615831</v>
      </c>
      <c r="AD24" s="2245" t="s">
        <v>1240</v>
      </c>
      <c r="AE24" s="2254">
        <v>1.4999999999999999E-2</v>
      </c>
      <c r="AF24" s="2255">
        <v>1</v>
      </c>
      <c r="AG24" s="2245">
        <v>0.6</v>
      </c>
      <c r="AH24" s="2245"/>
      <c r="AJ24" s="2256"/>
      <c r="AK24" s="2257">
        <v>0</v>
      </c>
      <c r="AL24" s="2245">
        <v>0.27776284393641715</v>
      </c>
      <c r="AM24" s="2245">
        <v>0.38537222538962318</v>
      </c>
      <c r="AN24" s="2245">
        <v>2.732014068153195</v>
      </c>
      <c r="AO24" s="2245">
        <v>15.305025271665842</v>
      </c>
      <c r="AP24" s="2258">
        <v>14</v>
      </c>
      <c r="AQ24" s="2259">
        <v>15</v>
      </c>
      <c r="AR24" s="2259">
        <v>504.4</v>
      </c>
      <c r="AS24" s="2260">
        <v>504.4</v>
      </c>
      <c r="AT24" s="2259">
        <v>0</v>
      </c>
      <c r="AU24" s="2259">
        <v>0</v>
      </c>
      <c r="AV24" s="2259">
        <v>0</v>
      </c>
      <c r="AW24" s="2259">
        <v>0</v>
      </c>
      <c r="AX24" s="2261">
        <v>10000</v>
      </c>
      <c r="AY24" s="2261">
        <v>10000</v>
      </c>
      <c r="AZ24" s="2261">
        <v>10000</v>
      </c>
      <c r="BA24" s="2261">
        <v>15</v>
      </c>
      <c r="BB24" s="2261" t="s">
        <v>3521</v>
      </c>
      <c r="BC24" s="2261" t="s">
        <v>3521</v>
      </c>
      <c r="BD24" s="2229">
        <v>0.2633976350757663</v>
      </c>
      <c r="BE24" s="2229">
        <v>0.27776284393641715</v>
      </c>
      <c r="BF24" s="2229">
        <v>5.6933869000271205E-2</v>
      </c>
      <c r="BG24" s="2229">
        <v>355.67112145771421</v>
      </c>
      <c r="BH24" s="2229">
        <v>0.3810816021522378</v>
      </c>
      <c r="BI24" s="2229">
        <v>0.38537222538962318</v>
      </c>
      <c r="BJ24" s="2229">
        <v>0.5169591201586089</v>
      </c>
      <c r="BK24" s="2262">
        <v>505.5</v>
      </c>
      <c r="BL24" s="2262">
        <v>505.5</v>
      </c>
      <c r="BM24" s="2262">
        <v>503.4</v>
      </c>
      <c r="BN24" s="2262">
        <v>2.1000000000000227</v>
      </c>
      <c r="BO24" s="2262">
        <v>503.02599999999995</v>
      </c>
      <c r="BP24" s="2262">
        <v>504.12599999999998</v>
      </c>
      <c r="BQ24" s="2262">
        <v>0</v>
      </c>
      <c r="BR24" s="2262">
        <v>0</v>
      </c>
      <c r="BS24" s="2262">
        <v>0</v>
      </c>
      <c r="BT24" s="2262">
        <v>0.92599999999999905</v>
      </c>
      <c r="BU24" s="2262">
        <v>1.4</v>
      </c>
      <c r="BV24" s="2262">
        <v>1.4</v>
      </c>
      <c r="BW24" s="2262">
        <v>0</v>
      </c>
      <c r="BX24" s="2263">
        <v>0</v>
      </c>
      <c r="BY24" s="2262">
        <v>0.36</v>
      </c>
      <c r="BZ24" s="2262">
        <v>0.34000000000002284</v>
      </c>
      <c r="CA24" s="2064" t="s">
        <v>3524</v>
      </c>
      <c r="CC24" s="563">
        <v>370.69097665866957</v>
      </c>
      <c r="CD24" s="563">
        <v>20.879513973681981</v>
      </c>
    </row>
    <row r="25" spans="1:82" s="563" customFormat="1" ht="22.9" customHeight="1">
      <c r="A25" s="2241">
        <v>15</v>
      </c>
      <c r="B25" s="2242" t="s">
        <v>4</v>
      </c>
      <c r="C25" s="2243">
        <v>504.4</v>
      </c>
      <c r="D25" s="2244"/>
      <c r="E25" s="2243">
        <v>502.29999999999995</v>
      </c>
      <c r="F25" s="2245">
        <v>2.1000000000000227</v>
      </c>
      <c r="G25" s="2243">
        <v>503.9</v>
      </c>
      <c r="H25" s="2246">
        <v>501.80499999999995</v>
      </c>
      <c r="I25" s="2245">
        <v>2.0950000000000273</v>
      </c>
      <c r="J25" s="2247">
        <v>502.7782196142108</v>
      </c>
      <c r="K25" s="2248">
        <v>502.5777628439364</v>
      </c>
      <c r="L25" s="2248" t="s">
        <v>3521</v>
      </c>
      <c r="M25" s="2248" t="s">
        <v>3521</v>
      </c>
      <c r="N25" s="2249">
        <v>-0.20045677027439979</v>
      </c>
      <c r="O25" s="2250">
        <v>55</v>
      </c>
      <c r="P25" s="2251"/>
      <c r="Q25" s="2252">
        <v>2.69</v>
      </c>
      <c r="R25" s="2250">
        <v>0.6</v>
      </c>
      <c r="S25" s="2253">
        <v>10</v>
      </c>
      <c r="T25" s="2161">
        <v>4.88</v>
      </c>
      <c r="U25" s="2245">
        <v>0.75415614079084525</v>
      </c>
      <c r="V25" s="2245">
        <v>15.305025271665842</v>
      </c>
      <c r="W25" s="2245">
        <v>127.32253363257323</v>
      </c>
      <c r="X25" s="2245">
        <v>0.51656705176126338</v>
      </c>
      <c r="Y25" s="2245">
        <v>370.66174618701837</v>
      </c>
      <c r="Z25" s="2161">
        <v>720.4732088720059</v>
      </c>
      <c r="AA25" s="2245">
        <v>0.90909090909090906</v>
      </c>
      <c r="AB25" s="2245">
        <v>0.9</v>
      </c>
      <c r="AC25" s="2245">
        <v>0.37215213910303313</v>
      </c>
      <c r="AD25" s="2245" t="s">
        <v>1240</v>
      </c>
      <c r="AE25" s="2254">
        <v>1.4999999999999999E-2</v>
      </c>
      <c r="AF25" s="2255">
        <v>1</v>
      </c>
      <c r="AG25" s="2245">
        <v>0.8</v>
      </c>
      <c r="AH25" s="2245"/>
      <c r="AJ25" s="2256"/>
      <c r="AK25" s="2257">
        <v>0</v>
      </c>
      <c r="AL25" s="2245">
        <v>0.47821961421082837</v>
      </c>
      <c r="AM25" s="2245">
        <v>0.51471487712927144</v>
      </c>
      <c r="AN25" s="2245">
        <v>2.2981456813336729</v>
      </c>
      <c r="AO25" s="2245">
        <v>15.703897577330425</v>
      </c>
      <c r="AP25" s="2258">
        <v>15</v>
      </c>
      <c r="AQ25" s="2259">
        <v>16</v>
      </c>
      <c r="AR25" s="2259">
        <v>503.9</v>
      </c>
      <c r="AS25" s="2260">
        <v>503.9</v>
      </c>
      <c r="AT25" s="2259">
        <v>14</v>
      </c>
      <c r="AU25" s="2259">
        <v>0</v>
      </c>
      <c r="AV25" s="2259">
        <v>0</v>
      </c>
      <c r="AW25" s="2259">
        <v>0</v>
      </c>
      <c r="AX25" s="2261">
        <v>502.29999999999995</v>
      </c>
      <c r="AY25" s="2261">
        <v>10000</v>
      </c>
      <c r="AZ25" s="2261">
        <v>10000</v>
      </c>
      <c r="BA25" s="2261">
        <v>15.305025271665842</v>
      </c>
      <c r="BB25" s="2261" t="s">
        <v>3521</v>
      </c>
      <c r="BC25" s="2261" t="s">
        <v>3521</v>
      </c>
      <c r="BD25" s="2229">
        <v>0.42638266929597701</v>
      </c>
      <c r="BE25" s="2229">
        <v>0.47821961421082837</v>
      </c>
      <c r="BF25" s="2229">
        <v>0.21344162818488566</v>
      </c>
      <c r="BG25" s="2229">
        <v>489.84683521421215</v>
      </c>
      <c r="BH25" s="2229">
        <v>0.50896079083449686</v>
      </c>
      <c r="BI25" s="2229">
        <v>0.51471487712927144</v>
      </c>
      <c r="BJ25" s="2229">
        <v>0.60764671032966888</v>
      </c>
      <c r="BK25" s="2262">
        <v>504.4</v>
      </c>
      <c r="BL25" s="2262">
        <v>504.4</v>
      </c>
      <c r="BM25" s="2262">
        <v>502.29999999999995</v>
      </c>
      <c r="BN25" s="2262">
        <v>2.1000000000000227</v>
      </c>
      <c r="BO25" s="2262">
        <v>502.77299999999997</v>
      </c>
      <c r="BP25" s="2262">
        <v>503.26799999999997</v>
      </c>
      <c r="BQ25" s="2262">
        <v>503.02599999999995</v>
      </c>
      <c r="BR25" s="2262">
        <v>0</v>
      </c>
      <c r="BS25" s="2262">
        <v>0</v>
      </c>
      <c r="BT25" s="2262">
        <v>1.1680000000000177</v>
      </c>
      <c r="BU25" s="2262">
        <v>1.4</v>
      </c>
      <c r="BV25" s="2262">
        <v>1.4</v>
      </c>
      <c r="BW25" s="2262">
        <v>0</v>
      </c>
      <c r="BX25" s="2263">
        <v>0</v>
      </c>
      <c r="BY25" s="2262">
        <v>0.36</v>
      </c>
      <c r="BZ25" s="2262">
        <v>0.34000000000002284</v>
      </c>
      <c r="CA25" s="2064" t="s">
        <v>3524</v>
      </c>
      <c r="CC25" s="563">
        <v>764.45074182830149</v>
      </c>
      <c r="CD25" s="563">
        <v>43.97753295629559</v>
      </c>
    </row>
    <row r="26" spans="1:82" s="563" customFormat="1" ht="22.9" customHeight="1">
      <c r="A26" s="2241">
        <v>16</v>
      </c>
      <c r="B26" s="2242" t="s">
        <v>4</v>
      </c>
      <c r="C26" s="2243">
        <v>503.9</v>
      </c>
      <c r="D26" s="2244"/>
      <c r="E26" s="2243">
        <v>501.80499999999995</v>
      </c>
      <c r="F26" s="2245">
        <v>2.0950000000000273</v>
      </c>
      <c r="G26" s="2243">
        <v>504.9</v>
      </c>
      <c r="H26" s="2246">
        <v>501.60499999999996</v>
      </c>
      <c r="I26" s="2245">
        <v>3.2950000000000159</v>
      </c>
      <c r="J26" s="2247">
        <v>502.49033503029096</v>
      </c>
      <c r="K26" s="2248">
        <v>502.28321961421079</v>
      </c>
      <c r="L26" s="2248" t="s">
        <v>3521</v>
      </c>
      <c r="M26" s="2248" t="s">
        <v>3521</v>
      </c>
      <c r="N26" s="2249">
        <v>-0.20711541608017114</v>
      </c>
      <c r="O26" s="2250">
        <v>40</v>
      </c>
      <c r="P26" s="2251"/>
      <c r="Q26" s="2252">
        <v>3.74</v>
      </c>
      <c r="R26" s="2250">
        <v>0.6</v>
      </c>
      <c r="S26" s="2253">
        <v>10</v>
      </c>
      <c r="T26" s="2161">
        <v>8.620000000000001</v>
      </c>
      <c r="U26" s="2245">
        <v>0.68152172845637882</v>
      </c>
      <c r="V26" s="2245">
        <v>15.703897577330425</v>
      </c>
      <c r="W26" s="2245">
        <v>125.87214207214247</v>
      </c>
      <c r="X26" s="2245">
        <v>0.51903019023843655</v>
      </c>
      <c r="Y26" s="2245">
        <v>462.60017564312352</v>
      </c>
      <c r="Z26" s="2161">
        <v>1183.0733845151294</v>
      </c>
      <c r="AA26" s="2245">
        <v>-2.5</v>
      </c>
      <c r="AB26" s="2245">
        <v>0.5</v>
      </c>
      <c r="AC26" s="2245">
        <v>0.30524939600168294</v>
      </c>
      <c r="AD26" s="2245" t="s">
        <v>1240</v>
      </c>
      <c r="AE26" s="2254">
        <v>1.4999999999999999E-2</v>
      </c>
      <c r="AF26" s="2255">
        <v>1</v>
      </c>
      <c r="AG26" s="2245">
        <v>1</v>
      </c>
      <c r="AH26" s="2245"/>
      <c r="AJ26" s="2256"/>
      <c r="AK26" s="2257">
        <v>0</v>
      </c>
      <c r="AL26" s="2245">
        <v>0.68533503029101206</v>
      </c>
      <c r="AM26" s="2245">
        <v>0.62318010008539459</v>
      </c>
      <c r="AN26" s="2245">
        <v>2.0621885020201702</v>
      </c>
      <c r="AO26" s="2245">
        <v>16.027178725495872</v>
      </c>
      <c r="AP26" s="2258">
        <v>16</v>
      </c>
      <c r="AQ26" s="2259">
        <v>18</v>
      </c>
      <c r="AR26" s="2259">
        <v>504.9</v>
      </c>
      <c r="AS26" s="2260">
        <v>504.9</v>
      </c>
      <c r="AT26" s="2259">
        <v>15</v>
      </c>
      <c r="AU26" s="2259">
        <v>0</v>
      </c>
      <c r="AV26" s="2259">
        <v>0</v>
      </c>
      <c r="AW26" s="2259">
        <v>0</v>
      </c>
      <c r="AX26" s="2261">
        <v>501.80499999999995</v>
      </c>
      <c r="AY26" s="2261">
        <v>10000</v>
      </c>
      <c r="AZ26" s="2261">
        <v>10000</v>
      </c>
      <c r="BA26" s="2261">
        <v>15.703897577330425</v>
      </c>
      <c r="BB26" s="2261" t="s">
        <v>3521</v>
      </c>
      <c r="BC26" s="2261" t="s">
        <v>3521</v>
      </c>
      <c r="BD26" s="2229">
        <v>0.58549164080833049</v>
      </c>
      <c r="BE26" s="2229">
        <v>0.68533503029101206</v>
      </c>
      <c r="BF26" s="2229">
        <v>0.44012581441739446</v>
      </c>
      <c r="BG26" s="2229">
        <v>573.69798316505103</v>
      </c>
      <c r="BH26" s="2229">
        <v>0.61639807427637572</v>
      </c>
      <c r="BI26" s="2229">
        <v>0.62318010008539459</v>
      </c>
      <c r="BJ26" s="2229">
        <v>0.67510651745081929</v>
      </c>
      <c r="BK26" s="2262">
        <v>503.9</v>
      </c>
      <c r="BL26" s="2262">
        <v>503.9</v>
      </c>
      <c r="BM26" s="2262">
        <v>501.80499999999995</v>
      </c>
      <c r="BN26" s="2262">
        <v>2.0950000000000273</v>
      </c>
      <c r="BO26" s="2262">
        <v>502.81499999999994</v>
      </c>
      <c r="BP26" s="2262">
        <v>503.01499999999993</v>
      </c>
      <c r="BQ26" s="2262">
        <v>502.77299999999997</v>
      </c>
      <c r="BR26" s="2262">
        <v>0</v>
      </c>
      <c r="BS26" s="2262">
        <v>0</v>
      </c>
      <c r="BT26" s="2262">
        <v>1.4099999999999795</v>
      </c>
      <c r="BU26" s="2262">
        <v>1.4</v>
      </c>
      <c r="BV26" s="2262">
        <v>1.5999999999999999</v>
      </c>
      <c r="BW26" s="2262">
        <v>0.2</v>
      </c>
      <c r="BX26" s="2263">
        <v>0</v>
      </c>
      <c r="BY26" s="2262">
        <v>0.36</v>
      </c>
      <c r="BZ26" s="2262">
        <v>0.13500000000002743</v>
      </c>
      <c r="CA26" s="2064" t="s">
        <v>3524</v>
      </c>
      <c r="CC26" s="563">
        <v>1257.5027275232928</v>
      </c>
      <c r="CD26" s="563">
        <v>74.429343008163414</v>
      </c>
    </row>
    <row r="27" spans="1:82" s="563" customFormat="1" ht="22.9" customHeight="1">
      <c r="A27" s="2241">
        <v>17</v>
      </c>
      <c r="B27" s="2242" t="s">
        <v>4</v>
      </c>
      <c r="C27" s="2243">
        <v>504.9</v>
      </c>
      <c r="D27" s="2244"/>
      <c r="E27" s="2243">
        <v>502.79999999999995</v>
      </c>
      <c r="F27" s="2245">
        <v>2.1000000000000227</v>
      </c>
      <c r="G27" s="2243">
        <v>504.9</v>
      </c>
      <c r="H27" s="2246">
        <v>502.72499999999997</v>
      </c>
      <c r="I27" s="2245">
        <v>2.1750000000000114</v>
      </c>
      <c r="J27" s="2247">
        <v>503.22457916060199</v>
      </c>
      <c r="K27" s="2248" t="s">
        <v>3521</v>
      </c>
      <c r="L27" s="2248" t="s">
        <v>3521</v>
      </c>
      <c r="M27" s="2248" t="s">
        <v>3521</v>
      </c>
      <c r="N27" s="2249" t="s">
        <v>3521</v>
      </c>
      <c r="O27" s="2250">
        <v>15</v>
      </c>
      <c r="P27" s="2251"/>
      <c r="Q27" s="2252">
        <v>1.94</v>
      </c>
      <c r="R27" s="2250">
        <v>0.6</v>
      </c>
      <c r="S27" s="2253">
        <v>10</v>
      </c>
      <c r="T27" s="2161">
        <v>1.94</v>
      </c>
      <c r="U27" s="2245">
        <v>0.88873297051982458</v>
      </c>
      <c r="V27" s="2245">
        <v>15</v>
      </c>
      <c r="W27" s="2245">
        <v>128.45752167880846</v>
      </c>
      <c r="X27" s="2245">
        <v>0.51463248154014063</v>
      </c>
      <c r="Y27" s="2245">
        <v>316.63724343537075</v>
      </c>
      <c r="Z27" s="2161">
        <v>316.63724343537075</v>
      </c>
      <c r="AA27" s="2245">
        <v>0</v>
      </c>
      <c r="AB27" s="2245">
        <v>0.5</v>
      </c>
      <c r="AC27" s="2245">
        <v>0.33338708226219482</v>
      </c>
      <c r="AD27" s="2245" t="s">
        <v>1240</v>
      </c>
      <c r="AE27" s="2254">
        <v>1.4999999999999999E-2</v>
      </c>
      <c r="AF27" s="2255">
        <v>1</v>
      </c>
      <c r="AG27" s="2245">
        <v>0.6</v>
      </c>
      <c r="AH27" s="2245"/>
      <c r="AJ27" s="2256"/>
      <c r="AK27" s="2257">
        <v>0</v>
      </c>
      <c r="AL27" s="2245">
        <v>0.42457916060205181</v>
      </c>
      <c r="AM27" s="2245">
        <v>0.36606344731839885</v>
      </c>
      <c r="AN27" s="2245">
        <v>1.4802250092322558</v>
      </c>
      <c r="AO27" s="2245">
        <v>15.168893241527966</v>
      </c>
      <c r="AP27" s="2258">
        <v>17</v>
      </c>
      <c r="AQ27" s="2259">
        <v>18</v>
      </c>
      <c r="AR27" s="2259">
        <v>504.9</v>
      </c>
      <c r="AS27" s="2260">
        <v>504.9</v>
      </c>
      <c r="AT27" s="2259">
        <v>0</v>
      </c>
      <c r="AU27" s="2259">
        <v>0</v>
      </c>
      <c r="AV27" s="2259">
        <v>0</v>
      </c>
      <c r="AW27" s="2259">
        <v>0</v>
      </c>
      <c r="AX27" s="2261">
        <v>10000</v>
      </c>
      <c r="AY27" s="2261">
        <v>10000</v>
      </c>
      <c r="AZ27" s="2261">
        <v>10000</v>
      </c>
      <c r="BA27" s="2261">
        <v>15</v>
      </c>
      <c r="BB27" s="2261" t="s">
        <v>3521</v>
      </c>
      <c r="BC27" s="2261" t="s">
        <v>3521</v>
      </c>
      <c r="BD27" s="2229">
        <v>0.35877885776184798</v>
      </c>
      <c r="BE27" s="2229">
        <v>0.42457916060205181</v>
      </c>
      <c r="BF27" s="2229">
        <v>0.29577057877231011</v>
      </c>
      <c r="BG27" s="2229">
        <v>594.19878258088488</v>
      </c>
      <c r="BH27" s="2229">
        <v>0.36217540245758484</v>
      </c>
      <c r="BI27" s="2229">
        <v>0.36606344731839885</v>
      </c>
      <c r="BJ27" s="2229">
        <v>0.50115065986875829</v>
      </c>
      <c r="BK27" s="2262">
        <v>504.9</v>
      </c>
      <c r="BL27" s="2262">
        <v>504.9</v>
      </c>
      <c r="BM27" s="2262">
        <v>502.79999999999995</v>
      </c>
      <c r="BN27" s="2262">
        <v>2.1000000000000227</v>
      </c>
      <c r="BO27" s="2262">
        <v>503.45099999999996</v>
      </c>
      <c r="BP27" s="2262">
        <v>503.52599999999995</v>
      </c>
      <c r="BQ27" s="2262">
        <v>0</v>
      </c>
      <c r="BR27" s="2262">
        <v>0</v>
      </c>
      <c r="BS27" s="2262">
        <v>0</v>
      </c>
      <c r="BT27" s="2262">
        <v>0.92599999999999905</v>
      </c>
      <c r="BU27" s="2262">
        <v>1.4</v>
      </c>
      <c r="BV27" s="2262">
        <v>1.4</v>
      </c>
      <c r="BW27" s="2262">
        <v>0</v>
      </c>
      <c r="BX27" s="2263">
        <v>0</v>
      </c>
      <c r="BY27" s="2262">
        <v>0.36</v>
      </c>
      <c r="BZ27" s="2262">
        <v>0.34000000000002284</v>
      </c>
      <c r="CA27" s="2064" t="s">
        <v>3524</v>
      </c>
      <c r="CC27" s="563">
        <v>335.53665770313739</v>
      </c>
      <c r="CD27" s="563">
        <v>18.899414267766645</v>
      </c>
    </row>
    <row r="28" spans="1:82" s="563" customFormat="1" ht="22.9" customHeight="1">
      <c r="A28" s="2241">
        <v>18</v>
      </c>
      <c r="B28" s="2242" t="s">
        <v>4</v>
      </c>
      <c r="C28" s="2243">
        <v>504.9</v>
      </c>
      <c r="D28" s="2244"/>
      <c r="E28" s="2243">
        <v>501.60499999999996</v>
      </c>
      <c r="F28" s="2245">
        <v>3.2950000000000159</v>
      </c>
      <c r="G28" s="2243">
        <v>503.8</v>
      </c>
      <c r="H28" s="2246">
        <v>500.50499999999994</v>
      </c>
      <c r="I28" s="2245">
        <v>3.2950000000000728</v>
      </c>
      <c r="J28" s="2247">
        <v>502.11540850116967</v>
      </c>
      <c r="K28" s="2248">
        <v>503.00880127372892</v>
      </c>
      <c r="L28" s="2248">
        <v>502.29033503029098</v>
      </c>
      <c r="M28" s="2248">
        <v>503.149579160602</v>
      </c>
      <c r="N28" s="2249" t="s">
        <v>3521</v>
      </c>
      <c r="O28" s="2250">
        <v>25</v>
      </c>
      <c r="P28" s="2251"/>
      <c r="Q28" s="2252">
        <v>0</v>
      </c>
      <c r="R28" s="2250">
        <v>0.6</v>
      </c>
      <c r="S28" s="2253">
        <v>10</v>
      </c>
      <c r="T28" s="2161">
        <v>15.69</v>
      </c>
      <c r="U28" s="2245">
        <v>0.61260299543929708</v>
      </c>
      <c r="V28" s="2245">
        <v>16.060329416263802</v>
      </c>
      <c r="W28" s="2245">
        <v>124.60734084739467</v>
      </c>
      <c r="X28" s="2245">
        <v>0.52117025377306547</v>
      </c>
      <c r="Y28" s="2245">
        <v>0</v>
      </c>
      <c r="Z28" s="2161">
        <v>2268.5144428555113</v>
      </c>
      <c r="AA28" s="2245">
        <v>4.3999999999998636</v>
      </c>
      <c r="AB28" s="2245">
        <v>4.4000000000000004</v>
      </c>
      <c r="AC28" s="2245">
        <v>1.1223144178401199</v>
      </c>
      <c r="AD28" s="2245" t="s">
        <v>1240</v>
      </c>
      <c r="AE28" s="2254">
        <v>1.4999999999999999E-2</v>
      </c>
      <c r="AF28" s="2255">
        <v>1</v>
      </c>
      <c r="AG28" s="2245">
        <v>1</v>
      </c>
      <c r="AH28" s="2245"/>
      <c r="AJ28" s="2256"/>
      <c r="AK28" s="2257">
        <v>0</v>
      </c>
      <c r="AL28" s="2245">
        <v>0.51040850116971481</v>
      </c>
      <c r="AM28" s="2245">
        <v>0.82698798407822349</v>
      </c>
      <c r="AN28" s="2245">
        <v>5.6275762850145146</v>
      </c>
      <c r="AO28" s="2245">
        <v>16.134369579482236</v>
      </c>
      <c r="AP28" s="2258">
        <v>18</v>
      </c>
      <c r="AQ28" s="2259">
        <v>0</v>
      </c>
      <c r="AR28" s="2259" t="s">
        <v>3521</v>
      </c>
      <c r="AS28" s="2260" t="s">
        <v>3521</v>
      </c>
      <c r="AT28" s="2259">
        <v>13</v>
      </c>
      <c r="AU28" s="2259">
        <v>16</v>
      </c>
      <c r="AV28" s="2259">
        <v>17</v>
      </c>
      <c r="AW28" s="2259">
        <v>503.8</v>
      </c>
      <c r="AX28" s="2261">
        <v>502.39</v>
      </c>
      <c r="AY28" s="2261">
        <v>501.60499999999996</v>
      </c>
      <c r="AZ28" s="2261">
        <v>502.72499999999997</v>
      </c>
      <c r="BA28" s="2261">
        <v>16.060329416263802</v>
      </c>
      <c r="BB28" s="2261">
        <v>16.027178725495872</v>
      </c>
      <c r="BC28" s="2261">
        <v>15.168893241527966</v>
      </c>
      <c r="BD28" s="2229">
        <v>0.47443439840889046</v>
      </c>
      <c r="BE28" s="2229">
        <v>0.51040850116971481</v>
      </c>
      <c r="BF28" s="2229">
        <v>0.14348783717842159</v>
      </c>
      <c r="BG28" s="2229">
        <v>403.10683106975608</v>
      </c>
      <c r="BH28" s="2229">
        <v>0.85951095222185359</v>
      </c>
      <c r="BI28" s="2229">
        <v>0.87191452732893604</v>
      </c>
      <c r="BJ28" s="2229">
        <v>0.82698798407822349</v>
      </c>
      <c r="BK28" s="2262">
        <v>504.9</v>
      </c>
      <c r="BL28" s="2262">
        <v>504.9</v>
      </c>
      <c r="BM28" s="2262">
        <v>501.60499999999996</v>
      </c>
      <c r="BN28" s="2262">
        <v>3.2950000000000159</v>
      </c>
      <c r="BO28" s="2262">
        <v>501.71499999999992</v>
      </c>
      <c r="BP28" s="2262">
        <v>502.81499999999994</v>
      </c>
      <c r="BQ28" s="2262">
        <v>503.358</v>
      </c>
      <c r="BR28" s="2262">
        <v>502.81499999999994</v>
      </c>
      <c r="BS28" s="2262">
        <v>503.45099999999996</v>
      </c>
      <c r="BT28" s="2262">
        <v>2.0460000000000038</v>
      </c>
      <c r="BU28" s="2262">
        <v>1.4</v>
      </c>
      <c r="BV28" s="2262">
        <v>2</v>
      </c>
      <c r="BW28" s="2262">
        <v>0.60000000000000009</v>
      </c>
      <c r="BX28" s="2263">
        <v>0</v>
      </c>
      <c r="BY28" s="2262">
        <v>0.36</v>
      </c>
      <c r="BZ28" s="2262">
        <v>0.93500000000001593</v>
      </c>
      <c r="CA28" s="2064" t="s">
        <v>3524</v>
      </c>
      <c r="CC28" s="563">
        <v>2173.4635266389082</v>
      </c>
      <c r="CD28" s="563">
        <v>-95.050916216603127</v>
      </c>
    </row>
    <row r="29" spans="1:82" s="563" customFormat="1" ht="22.9" customHeight="1">
      <c r="A29" s="2241">
        <v>19</v>
      </c>
      <c r="B29" s="2242" t="s">
        <v>4</v>
      </c>
      <c r="C29" s="2243">
        <v>505.8</v>
      </c>
      <c r="D29" s="2244"/>
      <c r="E29" s="2243">
        <v>503.3</v>
      </c>
      <c r="F29" s="2245">
        <v>2.5</v>
      </c>
      <c r="G29" s="2243">
        <v>505.2</v>
      </c>
      <c r="H29" s="2246">
        <v>502.7</v>
      </c>
      <c r="I29" s="2245">
        <v>2.5</v>
      </c>
      <c r="J29" s="2247">
        <v>503.87722203437704</v>
      </c>
      <c r="K29" s="2248" t="s">
        <v>3521</v>
      </c>
      <c r="L29" s="2248" t="s">
        <v>3521</v>
      </c>
      <c r="M29" s="2248" t="s">
        <v>3521</v>
      </c>
      <c r="N29" s="2249" t="s">
        <v>3521</v>
      </c>
      <c r="O29" s="2250">
        <v>60</v>
      </c>
      <c r="P29" s="2251"/>
      <c r="Q29" s="2252">
        <v>10.89</v>
      </c>
      <c r="R29" s="2250">
        <v>0.6</v>
      </c>
      <c r="S29" s="2253">
        <v>10</v>
      </c>
      <c r="T29" s="2161">
        <v>10.89</v>
      </c>
      <c r="U29" s="2245">
        <v>0.65374598914283577</v>
      </c>
      <c r="V29" s="2245">
        <v>15</v>
      </c>
      <c r="W29" s="2245">
        <v>128.45752167880846</v>
      </c>
      <c r="X29" s="2245">
        <v>0.51463248154014063</v>
      </c>
      <c r="Y29" s="2245">
        <v>1307.4524137550484</v>
      </c>
      <c r="Z29" s="2161">
        <v>1307.4524137550484</v>
      </c>
      <c r="AA29" s="2245">
        <v>1.0000000000000377</v>
      </c>
      <c r="AB29" s="2245">
        <v>1</v>
      </c>
      <c r="AC29" s="2245">
        <v>0.37280628663161114</v>
      </c>
      <c r="AD29" s="2245" t="s">
        <v>1240</v>
      </c>
      <c r="AE29" s="2254">
        <v>1.4999999999999999E-2</v>
      </c>
      <c r="AF29" s="2255">
        <v>1</v>
      </c>
      <c r="AG29" s="2245">
        <v>1</v>
      </c>
      <c r="AH29" s="2245"/>
      <c r="AJ29" s="2256"/>
      <c r="AK29" s="2257">
        <v>0</v>
      </c>
      <c r="AL29" s="2245">
        <v>0.57722203437702446</v>
      </c>
      <c r="AM29" s="2245">
        <v>0.65616183429418129</v>
      </c>
      <c r="AN29" s="2245">
        <v>2.7841060177082784</v>
      </c>
      <c r="AO29" s="2245">
        <v>15.359181724273252</v>
      </c>
      <c r="AP29" s="2258">
        <v>19</v>
      </c>
      <c r="AQ29" s="2259">
        <v>20</v>
      </c>
      <c r="AR29" s="2259">
        <v>505.2</v>
      </c>
      <c r="AS29" s="2260">
        <v>505.2</v>
      </c>
      <c r="AT29" s="2259">
        <v>0</v>
      </c>
      <c r="AU29" s="2259">
        <v>0</v>
      </c>
      <c r="AV29" s="2259">
        <v>0</v>
      </c>
      <c r="AW29" s="2259">
        <v>0</v>
      </c>
      <c r="AX29" s="2261">
        <v>10000</v>
      </c>
      <c r="AY29" s="2261">
        <v>10000</v>
      </c>
      <c r="AZ29" s="2261">
        <v>10000</v>
      </c>
      <c r="BA29" s="2261">
        <v>15</v>
      </c>
      <c r="BB29" s="2261" t="s">
        <v>3521</v>
      </c>
      <c r="BC29" s="2261" t="s">
        <v>3521</v>
      </c>
      <c r="BD29" s="2229">
        <v>0.51987402365210655</v>
      </c>
      <c r="BE29" s="2229">
        <v>0.57722203437702446</v>
      </c>
      <c r="BF29" s="2229">
        <v>0.23354534932350876</v>
      </c>
      <c r="BG29" s="2229">
        <v>469.61301237776524</v>
      </c>
      <c r="BH29" s="2229">
        <v>0.64868358581696295</v>
      </c>
      <c r="BI29" s="2229">
        <v>0.65616183429418129</v>
      </c>
      <c r="BJ29" s="2229">
        <v>0.69647335937163468</v>
      </c>
      <c r="BK29" s="2262">
        <v>505.8</v>
      </c>
      <c r="BL29" s="2262">
        <v>505.8</v>
      </c>
      <c r="BM29" s="2262">
        <v>503.3</v>
      </c>
      <c r="BN29" s="2262">
        <v>2.5</v>
      </c>
      <c r="BO29" s="2262">
        <v>503.90999999999997</v>
      </c>
      <c r="BP29" s="2262">
        <v>504.51</v>
      </c>
      <c r="BQ29" s="2262">
        <v>0</v>
      </c>
      <c r="BR29" s="2262">
        <v>0</v>
      </c>
      <c r="BS29" s="2262">
        <v>0</v>
      </c>
      <c r="BT29" s="2262">
        <v>1.4099999999999795</v>
      </c>
      <c r="BU29" s="2262">
        <v>1.4</v>
      </c>
      <c r="BV29" s="2262">
        <v>1.5999999999999999</v>
      </c>
      <c r="BW29" s="2262">
        <v>0.2</v>
      </c>
      <c r="BX29" s="2263">
        <v>0</v>
      </c>
      <c r="BY29" s="2262">
        <v>0.36</v>
      </c>
      <c r="BZ29" s="2262">
        <v>0.54000000000000015</v>
      </c>
      <c r="CA29" s="2064" t="s">
        <v>3524</v>
      </c>
      <c r="CC29" s="563">
        <v>1385.4915115404349</v>
      </c>
      <c r="CD29" s="563">
        <v>78.039097785386502</v>
      </c>
    </row>
    <row r="30" spans="1:82" s="563" customFormat="1" ht="22.9" customHeight="1">
      <c r="A30" s="2241">
        <v>20</v>
      </c>
      <c r="B30" s="2242" t="s">
        <v>4</v>
      </c>
      <c r="C30" s="2243">
        <v>505.2</v>
      </c>
      <c r="D30" s="2244"/>
      <c r="E30" s="2243">
        <v>502.7</v>
      </c>
      <c r="F30" s="2245">
        <v>2.5</v>
      </c>
      <c r="G30" s="2243">
        <v>504.8</v>
      </c>
      <c r="H30" s="2246">
        <v>502.31</v>
      </c>
      <c r="I30" s="2245">
        <v>2.4900000000000091</v>
      </c>
      <c r="J30" s="2247">
        <v>503.40646329402642</v>
      </c>
      <c r="K30" s="2248">
        <v>503.27722203437702</v>
      </c>
      <c r="L30" s="2248" t="s">
        <v>3521</v>
      </c>
      <c r="M30" s="2248" t="s">
        <v>3521</v>
      </c>
      <c r="N30" s="2249">
        <v>-0.12924125964940458</v>
      </c>
      <c r="O30" s="2250">
        <v>65</v>
      </c>
      <c r="P30" s="2251"/>
      <c r="Q30" s="2252">
        <v>0.37</v>
      </c>
      <c r="R30" s="2250">
        <v>0.6</v>
      </c>
      <c r="S30" s="2253">
        <v>10</v>
      </c>
      <c r="T30" s="2161">
        <v>11.26</v>
      </c>
      <c r="U30" s="2245">
        <v>0.64986951731083964</v>
      </c>
      <c r="V30" s="2245">
        <v>15.359181724273252</v>
      </c>
      <c r="W30" s="2245">
        <v>127.12338845388416</v>
      </c>
      <c r="X30" s="2245">
        <v>0.5169058422547903</v>
      </c>
      <c r="Y30" s="2245">
        <v>43.893178695313452</v>
      </c>
      <c r="Z30" s="2161">
        <v>1351.3455924503619</v>
      </c>
      <c r="AA30" s="2245">
        <v>0.61538461538458045</v>
      </c>
      <c r="AB30" s="2245">
        <v>0.6</v>
      </c>
      <c r="AC30" s="2245">
        <v>0.39825781239374713</v>
      </c>
      <c r="AD30" s="2245" t="s">
        <v>1240</v>
      </c>
      <c r="AE30" s="2254">
        <v>1.4999999999999999E-2</v>
      </c>
      <c r="AF30" s="2255">
        <v>1</v>
      </c>
      <c r="AG30" s="2245">
        <v>1</v>
      </c>
      <c r="AH30" s="2245"/>
      <c r="AJ30" s="2256"/>
      <c r="AK30" s="2257">
        <v>0</v>
      </c>
      <c r="AL30" s="2245">
        <v>0.70646329402644548</v>
      </c>
      <c r="AM30" s="2245">
        <v>0.66743541892952196</v>
      </c>
      <c r="AN30" s="2245">
        <v>2.278310139664562</v>
      </c>
      <c r="AO30" s="2245">
        <v>15.834680346902758</v>
      </c>
      <c r="AP30" s="2258">
        <v>20</v>
      </c>
      <c r="AQ30" s="2259">
        <v>0</v>
      </c>
      <c r="AR30" s="2259" t="s">
        <v>3521</v>
      </c>
      <c r="AS30" s="2260" t="s">
        <v>3521</v>
      </c>
      <c r="AT30" s="2259">
        <v>19</v>
      </c>
      <c r="AU30" s="2259">
        <v>0</v>
      </c>
      <c r="AV30" s="2259">
        <v>0</v>
      </c>
      <c r="AW30" s="2259">
        <v>504.8</v>
      </c>
      <c r="AX30" s="2261">
        <v>502.7</v>
      </c>
      <c r="AY30" s="2261">
        <v>10000</v>
      </c>
      <c r="AZ30" s="2261">
        <v>10000</v>
      </c>
      <c r="BA30" s="2261">
        <v>15.359181724273252</v>
      </c>
      <c r="BB30" s="2261" t="s">
        <v>3521</v>
      </c>
      <c r="BC30" s="2261" t="s">
        <v>3521</v>
      </c>
      <c r="BD30" s="2229">
        <v>0.59741456410359817</v>
      </c>
      <c r="BE30" s="2229">
        <v>0.70646329402644548</v>
      </c>
      <c r="BF30" s="2229">
        <v>0.49013576130506509</v>
      </c>
      <c r="BG30" s="2229">
        <v>593.13504729839894</v>
      </c>
      <c r="BH30" s="2229">
        <v>0.6597153993272542</v>
      </c>
      <c r="BI30" s="2229">
        <v>0.66743541892952196</v>
      </c>
      <c r="BJ30" s="2229">
        <v>0.70367878008516793</v>
      </c>
      <c r="BK30" s="2262">
        <v>505.2</v>
      </c>
      <c r="BL30" s="2262">
        <v>505.2</v>
      </c>
      <c r="BM30" s="2262">
        <v>502.7</v>
      </c>
      <c r="BN30" s="2262">
        <v>2.5</v>
      </c>
      <c r="BO30" s="2262">
        <v>503.52</v>
      </c>
      <c r="BP30" s="2262">
        <v>503.90999999999997</v>
      </c>
      <c r="BQ30" s="2262">
        <v>503.90999999999997</v>
      </c>
      <c r="BR30" s="2262">
        <v>0</v>
      </c>
      <c r="BS30" s="2262">
        <v>0</v>
      </c>
      <c r="BT30" s="2262">
        <v>1.4099999999999795</v>
      </c>
      <c r="BU30" s="2262">
        <v>1.4</v>
      </c>
      <c r="BV30" s="2262">
        <v>1.5999999999999999</v>
      </c>
      <c r="BW30" s="2262">
        <v>0.2</v>
      </c>
      <c r="BX30" s="2263">
        <v>0</v>
      </c>
      <c r="BY30" s="2262">
        <v>0.36</v>
      </c>
      <c r="BZ30" s="2262">
        <v>0.54000000000000015</v>
      </c>
      <c r="CA30" s="2064" t="s">
        <v>3524</v>
      </c>
      <c r="CC30" s="563">
        <v>1432.1397807569574</v>
      </c>
      <c r="CD30" s="563">
        <v>80.794188306595515</v>
      </c>
    </row>
    <row r="31" spans="1:82" s="563" customFormat="1" ht="22.9" customHeight="1">
      <c r="A31" s="2241">
        <v>21</v>
      </c>
      <c r="B31" s="2242" t="s">
        <v>4</v>
      </c>
      <c r="C31" s="2243">
        <v>504.2</v>
      </c>
      <c r="D31" s="2244"/>
      <c r="E31" s="2243">
        <v>502.09999999999997</v>
      </c>
      <c r="F31" s="2245">
        <v>2.1000000000000227</v>
      </c>
      <c r="G31" s="2243">
        <v>504</v>
      </c>
      <c r="H31" s="2246">
        <v>501.82499999999999</v>
      </c>
      <c r="I31" s="2245">
        <v>2.1750000000000114</v>
      </c>
      <c r="J31" s="2247">
        <v>502.25194082537689</v>
      </c>
      <c r="K31" s="2248" t="s">
        <v>3521</v>
      </c>
      <c r="L31" s="2248" t="s">
        <v>3521</v>
      </c>
      <c r="M31" s="2248" t="s">
        <v>3521</v>
      </c>
      <c r="N31" s="2249" t="s">
        <v>3521</v>
      </c>
      <c r="O31" s="2250">
        <v>55</v>
      </c>
      <c r="P31" s="2251"/>
      <c r="Q31" s="2252">
        <v>0.28999999999999998</v>
      </c>
      <c r="R31" s="2250">
        <v>0.6</v>
      </c>
      <c r="S31" s="2253">
        <v>10</v>
      </c>
      <c r="T31" s="2161">
        <v>0.28999999999999998</v>
      </c>
      <c r="U31" s="2245">
        <v>1</v>
      </c>
      <c r="V31" s="2245">
        <v>15</v>
      </c>
      <c r="W31" s="2245">
        <v>128.45752167880846</v>
      </c>
      <c r="X31" s="2245">
        <v>0.51463248154014063</v>
      </c>
      <c r="Y31" s="2245">
        <v>53.258259805175115</v>
      </c>
      <c r="Z31" s="2161">
        <v>53.258259805175115</v>
      </c>
      <c r="AA31" s="2245">
        <v>0.36363636363634294</v>
      </c>
      <c r="AB31" s="2245">
        <v>0.5</v>
      </c>
      <c r="AC31" s="2245">
        <v>9.4318898455201996E-3</v>
      </c>
      <c r="AD31" s="2245" t="s">
        <v>1240</v>
      </c>
      <c r="AE31" s="2254">
        <v>1.4999999999999999E-2</v>
      </c>
      <c r="AF31" s="2255">
        <v>1</v>
      </c>
      <c r="AG31" s="2245">
        <v>0.6</v>
      </c>
      <c r="AH31" s="2245"/>
      <c r="AJ31" s="2256"/>
      <c r="AK31" s="2257">
        <v>0</v>
      </c>
      <c r="AL31" s="2245">
        <v>0.15194082537691678</v>
      </c>
      <c r="AM31" s="2245">
        <v>0.14572959789698289</v>
      </c>
      <c r="AN31" s="2245">
        <v>0.94618639742942523</v>
      </c>
      <c r="AO31" s="2245">
        <v>15.968801357911129</v>
      </c>
      <c r="AP31" s="2258">
        <v>21</v>
      </c>
      <c r="AQ31" s="2259">
        <v>24</v>
      </c>
      <c r="AR31" s="2259">
        <v>504</v>
      </c>
      <c r="AS31" s="2260">
        <v>504</v>
      </c>
      <c r="AT31" s="2259">
        <v>0</v>
      </c>
      <c r="AU31" s="2259">
        <v>0</v>
      </c>
      <c r="AV31" s="2259">
        <v>0</v>
      </c>
      <c r="AW31" s="2259">
        <v>0</v>
      </c>
      <c r="AX31" s="2261">
        <v>10000</v>
      </c>
      <c r="AY31" s="2261">
        <v>10000</v>
      </c>
      <c r="AZ31" s="2261">
        <v>10000</v>
      </c>
      <c r="BA31" s="2261">
        <v>15</v>
      </c>
      <c r="BB31" s="2261" t="s">
        <v>3521</v>
      </c>
      <c r="BC31" s="2261" t="s">
        <v>3521</v>
      </c>
      <c r="BD31" s="2229">
        <v>0.15194082537691678</v>
      </c>
      <c r="BE31" s="2229">
        <v>0.16656868561114896</v>
      </c>
      <c r="BF31" s="2229">
        <v>3.0237855283914024E-3</v>
      </c>
      <c r="BG31" s="2229">
        <v>156.35355884617385</v>
      </c>
      <c r="BH31" s="2229">
        <v>0.14572959789698289</v>
      </c>
      <c r="BI31" s="2229">
        <v>0.14593500264802223</v>
      </c>
      <c r="BJ31" s="2229">
        <v>0.28751330802271768</v>
      </c>
      <c r="BK31" s="2262">
        <v>504.2</v>
      </c>
      <c r="BL31" s="2262">
        <v>504.2</v>
      </c>
      <c r="BM31" s="2262">
        <v>502.09999999999997</v>
      </c>
      <c r="BN31" s="2262">
        <v>2.1000000000000227</v>
      </c>
      <c r="BO31" s="2262">
        <v>502.55099999999999</v>
      </c>
      <c r="BP31" s="2262">
        <v>502.82599999999996</v>
      </c>
      <c r="BQ31" s="2262">
        <v>0</v>
      </c>
      <c r="BR31" s="2262">
        <v>0</v>
      </c>
      <c r="BS31" s="2262">
        <v>0</v>
      </c>
      <c r="BT31" s="2262">
        <v>0.92599999999999905</v>
      </c>
      <c r="BU31" s="2262">
        <v>1.4</v>
      </c>
      <c r="BV31" s="2262">
        <v>1.4</v>
      </c>
      <c r="BW31" s="2262">
        <v>0</v>
      </c>
      <c r="BX31" s="2263">
        <v>0</v>
      </c>
      <c r="BY31" s="2262">
        <v>0.36</v>
      </c>
      <c r="BZ31" s="2262">
        <v>0.34000000000002284</v>
      </c>
      <c r="CA31" s="2064" t="s">
        <v>3524</v>
      </c>
      <c r="CC31" s="563">
        <v>56.437133851442503</v>
      </c>
      <c r="CD31" s="563">
        <v>3.1788740462673886</v>
      </c>
    </row>
    <row r="32" spans="1:82" s="563" customFormat="1" ht="22.9" customHeight="1">
      <c r="A32" s="2241">
        <v>22</v>
      </c>
      <c r="B32" s="2242" t="s">
        <v>4</v>
      </c>
      <c r="C32" s="2243">
        <v>504</v>
      </c>
      <c r="D32" s="2244"/>
      <c r="E32" s="2243">
        <v>501.9</v>
      </c>
      <c r="F32" s="2245">
        <v>2.1000000000000227</v>
      </c>
      <c r="G32" s="2243">
        <v>504</v>
      </c>
      <c r="H32" s="2246">
        <v>501.625</v>
      </c>
      <c r="I32" s="2245">
        <v>2.375</v>
      </c>
      <c r="J32" s="2247">
        <v>502.03587872505045</v>
      </c>
      <c r="K32" s="2248" t="s">
        <v>3521</v>
      </c>
      <c r="L32" s="2248" t="s">
        <v>3521</v>
      </c>
      <c r="M32" s="2248" t="s">
        <v>3521</v>
      </c>
      <c r="N32" s="2249" t="s">
        <v>3521</v>
      </c>
      <c r="O32" s="2250">
        <v>55</v>
      </c>
      <c r="P32" s="2251"/>
      <c r="Q32" s="2252">
        <v>0.23</v>
      </c>
      <c r="R32" s="2250">
        <v>0.6</v>
      </c>
      <c r="S32" s="2253">
        <v>10</v>
      </c>
      <c r="T32" s="2161">
        <v>0.23</v>
      </c>
      <c r="U32" s="2245">
        <v>1</v>
      </c>
      <c r="V32" s="2245">
        <v>15</v>
      </c>
      <c r="W32" s="2245">
        <v>128.45752167880846</v>
      </c>
      <c r="X32" s="2245">
        <v>0.51463248154014063</v>
      </c>
      <c r="Y32" s="2245">
        <v>42.239309500656127</v>
      </c>
      <c r="Z32" s="2161">
        <v>42.239309500656127</v>
      </c>
      <c r="AA32" s="2245">
        <v>0</v>
      </c>
      <c r="AB32" s="2245">
        <v>0.5</v>
      </c>
      <c r="AC32" s="2245">
        <v>5.9327820788111609E-3</v>
      </c>
      <c r="AD32" s="2245" t="s">
        <v>1240</v>
      </c>
      <c r="AE32" s="2254">
        <v>1.4999999999999999E-2</v>
      </c>
      <c r="AF32" s="2255">
        <v>1</v>
      </c>
      <c r="AG32" s="2245">
        <v>0.6</v>
      </c>
      <c r="AH32" s="2245"/>
      <c r="AJ32" s="2256"/>
      <c r="AK32" s="2257">
        <v>0</v>
      </c>
      <c r="AL32" s="2245">
        <v>0.13587872505045184</v>
      </c>
      <c r="AM32" s="2245">
        <v>0.12945997383515453</v>
      </c>
      <c r="AN32" s="2245">
        <v>0.87890396056934805</v>
      </c>
      <c r="AO32" s="2245">
        <v>16.042965679746004</v>
      </c>
      <c r="AP32" s="2258">
        <v>22</v>
      </c>
      <c r="AQ32" s="2259">
        <v>23</v>
      </c>
      <c r="AR32" s="2259">
        <v>504</v>
      </c>
      <c r="AS32" s="2260">
        <v>504</v>
      </c>
      <c r="AT32" s="2259">
        <v>0</v>
      </c>
      <c r="AU32" s="2259">
        <v>0</v>
      </c>
      <c r="AV32" s="2259">
        <v>0</v>
      </c>
      <c r="AW32" s="2259">
        <v>0</v>
      </c>
      <c r="AX32" s="2261">
        <v>10000</v>
      </c>
      <c r="AY32" s="2261">
        <v>10000</v>
      </c>
      <c r="AZ32" s="2261">
        <v>10000</v>
      </c>
      <c r="BA32" s="2261">
        <v>15</v>
      </c>
      <c r="BB32" s="2261" t="s">
        <v>3521</v>
      </c>
      <c r="BC32" s="2261" t="s">
        <v>3521</v>
      </c>
      <c r="BD32" s="2229">
        <v>0.13587872505045184</v>
      </c>
      <c r="BE32" s="2229">
        <v>0.15577433686401468</v>
      </c>
      <c r="BF32" s="2229">
        <v>1.6662033296558872E-3</v>
      </c>
      <c r="BG32" s="2229">
        <v>133.49742468289011</v>
      </c>
      <c r="BH32" s="2229">
        <v>0.12945997383515453</v>
      </c>
      <c r="BI32" s="2229">
        <v>0.12948627390994516</v>
      </c>
      <c r="BJ32" s="2229">
        <v>0.2674724538679622</v>
      </c>
      <c r="BK32" s="2262">
        <v>504</v>
      </c>
      <c r="BL32" s="2262">
        <v>504</v>
      </c>
      <c r="BM32" s="2262">
        <v>501.9</v>
      </c>
      <c r="BN32" s="2262">
        <v>2.1000000000000227</v>
      </c>
      <c r="BO32" s="2262">
        <v>502.351</v>
      </c>
      <c r="BP32" s="2262">
        <v>502.62599999999998</v>
      </c>
      <c r="BQ32" s="2262">
        <v>0</v>
      </c>
      <c r="BR32" s="2262">
        <v>0</v>
      </c>
      <c r="BS32" s="2262">
        <v>0</v>
      </c>
      <c r="BT32" s="2262">
        <v>0.92599999999999905</v>
      </c>
      <c r="BU32" s="2262">
        <v>1.4</v>
      </c>
      <c r="BV32" s="2262">
        <v>1.4</v>
      </c>
      <c r="BW32" s="2262">
        <v>0</v>
      </c>
      <c r="BX32" s="2263">
        <v>0</v>
      </c>
      <c r="BY32" s="2262">
        <v>0.36</v>
      </c>
      <c r="BZ32" s="2262">
        <v>0.34000000000002284</v>
      </c>
      <c r="CA32" s="2064" t="s">
        <v>3524</v>
      </c>
      <c r="CC32" s="563">
        <v>44.76048546838544</v>
      </c>
      <c r="CD32" s="563">
        <v>2.5211759677293131</v>
      </c>
    </row>
    <row r="33" spans="1:82" s="563" customFormat="1" ht="22.9" customHeight="1">
      <c r="A33" s="2241">
        <v>23</v>
      </c>
      <c r="B33" s="2242" t="s">
        <v>4</v>
      </c>
      <c r="C33" s="2243">
        <v>504</v>
      </c>
      <c r="D33" s="2244"/>
      <c r="E33" s="2243">
        <v>501.625</v>
      </c>
      <c r="F33" s="2245">
        <v>2.375</v>
      </c>
      <c r="G33" s="2243">
        <v>504</v>
      </c>
      <c r="H33" s="2246">
        <v>501.35</v>
      </c>
      <c r="I33" s="2245">
        <v>2.6499999999999773</v>
      </c>
      <c r="J33" s="2247">
        <v>501.94236975568697</v>
      </c>
      <c r="K33" s="2248">
        <v>501.76087872505047</v>
      </c>
      <c r="L33" s="2248" t="s">
        <v>3521</v>
      </c>
      <c r="M33" s="2248" t="s">
        <v>3521</v>
      </c>
      <c r="N33" s="2249">
        <v>-0.18149103063649363</v>
      </c>
      <c r="O33" s="2250">
        <v>55</v>
      </c>
      <c r="P33" s="2251"/>
      <c r="Q33" s="2252">
        <v>0.94</v>
      </c>
      <c r="R33" s="2250">
        <v>0.6</v>
      </c>
      <c r="S33" s="2253">
        <v>10</v>
      </c>
      <c r="T33" s="2161">
        <v>1.17</v>
      </c>
      <c r="U33" s="2245">
        <v>0.97244022829279331</v>
      </c>
      <c r="V33" s="2245">
        <v>16.042965679746004</v>
      </c>
      <c r="W33" s="2245">
        <v>124.66828916708774</v>
      </c>
      <c r="X33" s="2245">
        <v>0.52106729141097086</v>
      </c>
      <c r="Y33" s="2245">
        <v>164.95778774250371</v>
      </c>
      <c r="Z33" s="2161">
        <v>207.19709724315985</v>
      </c>
      <c r="AA33" s="2245">
        <v>0</v>
      </c>
      <c r="AB33" s="2245">
        <v>0.5</v>
      </c>
      <c r="AC33" s="2245">
        <v>0.14275525686082524</v>
      </c>
      <c r="AD33" s="2245" t="s">
        <v>1240</v>
      </c>
      <c r="AE33" s="2254">
        <v>1.4999999999999999E-2</v>
      </c>
      <c r="AF33" s="2255">
        <v>1</v>
      </c>
      <c r="AG33" s="2245">
        <v>0.6</v>
      </c>
      <c r="AH33" s="2245"/>
      <c r="AJ33" s="2256"/>
      <c r="AK33" s="2257">
        <v>0</v>
      </c>
      <c r="AL33" s="2245">
        <v>0.31736975568699344</v>
      </c>
      <c r="AM33" s="2245">
        <v>0.29412962227890876</v>
      </c>
      <c r="AN33" s="2245">
        <v>1.3650453978545261</v>
      </c>
      <c r="AO33" s="2245">
        <v>16.714494017270464</v>
      </c>
      <c r="AP33" s="2258">
        <v>23</v>
      </c>
      <c r="AQ33" s="2259">
        <v>24</v>
      </c>
      <c r="AR33" s="2259">
        <v>504</v>
      </c>
      <c r="AS33" s="2260">
        <v>504</v>
      </c>
      <c r="AT33" s="2259">
        <v>22</v>
      </c>
      <c r="AU33" s="2259">
        <v>0</v>
      </c>
      <c r="AV33" s="2259">
        <v>0</v>
      </c>
      <c r="AW33" s="2259">
        <v>0</v>
      </c>
      <c r="AX33" s="2261">
        <v>501.625</v>
      </c>
      <c r="AY33" s="2261">
        <v>10000</v>
      </c>
      <c r="AZ33" s="2261">
        <v>10000</v>
      </c>
      <c r="BA33" s="2261">
        <v>16.042965679746004</v>
      </c>
      <c r="BB33" s="2261" t="s">
        <v>3521</v>
      </c>
      <c r="BC33" s="2261" t="s">
        <v>3521</v>
      </c>
      <c r="BD33" s="2229">
        <v>0.29245085015622097</v>
      </c>
      <c r="BE33" s="2229">
        <v>0.31736975568699344</v>
      </c>
      <c r="BF33" s="2229">
        <v>9.9410552330142898E-2</v>
      </c>
      <c r="BG33" s="2229">
        <v>421.63249167149479</v>
      </c>
      <c r="BH33" s="2229">
        <v>0.29164805110093434</v>
      </c>
      <c r="BI33" s="2229">
        <v>0.29412962227890876</v>
      </c>
      <c r="BJ33" s="2229">
        <v>0.4390964453245208</v>
      </c>
      <c r="BK33" s="2262">
        <v>504</v>
      </c>
      <c r="BL33" s="2262">
        <v>504</v>
      </c>
      <c r="BM33" s="2262">
        <v>501.625</v>
      </c>
      <c r="BN33" s="2262">
        <v>2.375</v>
      </c>
      <c r="BO33" s="2262">
        <v>502.07600000000002</v>
      </c>
      <c r="BP33" s="2262">
        <v>502.351</v>
      </c>
      <c r="BQ33" s="2262">
        <v>502.351</v>
      </c>
      <c r="BR33" s="2262">
        <v>0</v>
      </c>
      <c r="BS33" s="2262">
        <v>0</v>
      </c>
      <c r="BT33" s="2262">
        <v>0.92599999999999905</v>
      </c>
      <c r="BU33" s="2262">
        <v>1.4</v>
      </c>
      <c r="BV33" s="2262">
        <v>1.4</v>
      </c>
      <c r="BW33" s="2262">
        <v>0</v>
      </c>
      <c r="BX33" s="2263">
        <v>0</v>
      </c>
      <c r="BY33" s="2262">
        <v>0.36</v>
      </c>
      <c r="BZ33" s="2262">
        <v>0.6150000000000001</v>
      </c>
      <c r="CA33" s="2064" t="s">
        <v>3524</v>
      </c>
      <c r="CC33" s="563">
        <v>220.88795340576073</v>
      </c>
      <c r="CD33" s="563">
        <v>13.69085616260088</v>
      </c>
    </row>
    <row r="34" spans="1:82" s="563" customFormat="1" ht="22.9" customHeight="1">
      <c r="A34" s="2241">
        <v>24</v>
      </c>
      <c r="B34" s="2242" t="s">
        <v>4</v>
      </c>
      <c r="C34" s="2243">
        <v>504</v>
      </c>
      <c r="D34" s="2244"/>
      <c r="E34" s="2243">
        <v>501.35</v>
      </c>
      <c r="F34" s="2245">
        <v>2.6499999999999773</v>
      </c>
      <c r="G34" s="2243">
        <v>502.5</v>
      </c>
      <c r="H34" s="2246">
        <v>499.85</v>
      </c>
      <c r="I34" s="2245">
        <v>2.6499999999999773</v>
      </c>
      <c r="J34" s="2247">
        <v>501.8281226732613</v>
      </c>
      <c r="K34" s="2248">
        <v>501.97694082537691</v>
      </c>
      <c r="L34" s="2248">
        <v>501.66736975568699</v>
      </c>
      <c r="M34" s="2248" t="s">
        <v>3521</v>
      </c>
      <c r="N34" s="2249">
        <v>-0.16075291757431387</v>
      </c>
      <c r="O34" s="2250">
        <v>30</v>
      </c>
      <c r="P34" s="2251"/>
      <c r="Q34" s="2252">
        <v>12.95</v>
      </c>
      <c r="R34" s="2250">
        <v>0.6</v>
      </c>
      <c r="S34" s="2253">
        <v>10</v>
      </c>
      <c r="T34" s="2161">
        <v>14.409999999999998</v>
      </c>
      <c r="U34" s="2245">
        <v>0.62195335004575314</v>
      </c>
      <c r="V34" s="2245">
        <v>16.714494017270464</v>
      </c>
      <c r="W34" s="2245">
        <v>122.35930174699986</v>
      </c>
      <c r="X34" s="2245">
        <v>0.52495692490218715</v>
      </c>
      <c r="Y34" s="2245">
        <v>1437.210827064082</v>
      </c>
      <c r="Z34" s="2161">
        <v>1697.6661841124169</v>
      </c>
      <c r="AA34" s="2245">
        <v>5</v>
      </c>
      <c r="AB34" s="2245">
        <v>5</v>
      </c>
      <c r="AC34" s="2245">
        <v>2.0662812919693794</v>
      </c>
      <c r="AD34" s="2245" t="s">
        <v>1240</v>
      </c>
      <c r="AE34" s="2254">
        <v>1.4999999999999999E-2</v>
      </c>
      <c r="AF34" s="2255">
        <v>1</v>
      </c>
      <c r="AG34" s="2245">
        <v>0.8</v>
      </c>
      <c r="AH34" s="2245"/>
      <c r="AJ34" s="2256"/>
      <c r="AK34" s="2257">
        <v>0</v>
      </c>
      <c r="AL34" s="2245">
        <v>0.47812267326128371</v>
      </c>
      <c r="AM34" s="2245">
        <v>0.79373701368115712</v>
      </c>
      <c r="AN34" s="2245">
        <v>5.4164831025558096</v>
      </c>
      <c r="AO34" s="2245">
        <v>16.806804837877301</v>
      </c>
      <c r="AP34" s="2258">
        <v>24</v>
      </c>
      <c r="AQ34" s="2259">
        <v>0</v>
      </c>
      <c r="AR34" s="2259" t="s">
        <v>3521</v>
      </c>
      <c r="AS34" s="2260" t="s">
        <v>3521</v>
      </c>
      <c r="AT34" s="2259">
        <v>21</v>
      </c>
      <c r="AU34" s="2259">
        <v>23</v>
      </c>
      <c r="AV34" s="2259">
        <v>0</v>
      </c>
      <c r="AW34" s="2259">
        <v>502.5</v>
      </c>
      <c r="AX34" s="2261">
        <v>501.82499999999999</v>
      </c>
      <c r="AY34" s="2261">
        <v>501.35</v>
      </c>
      <c r="AZ34" s="2261">
        <v>10000</v>
      </c>
      <c r="BA34" s="2261">
        <v>15.968801357911129</v>
      </c>
      <c r="BB34" s="2261">
        <v>16.714494017270464</v>
      </c>
      <c r="BC34" s="2261" t="s">
        <v>3521</v>
      </c>
      <c r="BD34" s="2229">
        <v>0.42632149334083413</v>
      </c>
      <c r="BE34" s="2229">
        <v>0.47812267326128371</v>
      </c>
      <c r="BF34" s="2229">
        <v>0.21346127346814889</v>
      </c>
      <c r="BG34" s="2229">
        <v>489.72799553717795</v>
      </c>
      <c r="BH34" s="2229">
        <v>0.78846871559826115</v>
      </c>
      <c r="BI34" s="2229">
        <v>0.80094460436351433</v>
      </c>
      <c r="BJ34" s="2229">
        <v>0.79373701368115712</v>
      </c>
      <c r="BK34" s="2262">
        <v>504</v>
      </c>
      <c r="BL34" s="2262">
        <v>504</v>
      </c>
      <c r="BM34" s="2262">
        <v>501.35</v>
      </c>
      <c r="BN34" s="2262">
        <v>2.6499999999999773</v>
      </c>
      <c r="BO34" s="2262">
        <v>500.81800000000004</v>
      </c>
      <c r="BP34" s="2262">
        <v>502.31800000000004</v>
      </c>
      <c r="BQ34" s="2262">
        <v>502.55099999999999</v>
      </c>
      <c r="BR34" s="2262">
        <v>502.07600000000002</v>
      </c>
      <c r="BS34" s="2262">
        <v>0</v>
      </c>
      <c r="BT34" s="2262">
        <v>1.4009999999999649</v>
      </c>
      <c r="BU34" s="2262">
        <v>1.4</v>
      </c>
      <c r="BV34" s="2262">
        <v>1.5999999999999999</v>
      </c>
      <c r="BW34" s="2262">
        <v>0.2</v>
      </c>
      <c r="BX34" s="2263">
        <v>0</v>
      </c>
      <c r="BY34" s="2262">
        <v>0.36</v>
      </c>
      <c r="BZ34" s="2262">
        <v>0.68999999999997741</v>
      </c>
      <c r="CA34" s="2064" t="s">
        <v>3524</v>
      </c>
      <c r="CC34" s="563">
        <v>1818.6251821043813</v>
      </c>
      <c r="CD34" s="563">
        <v>120.95899799196445</v>
      </c>
    </row>
    <row r="35" spans="1:82" s="563" customFormat="1" ht="22.9" customHeight="1">
      <c r="A35" s="2241">
        <v>25</v>
      </c>
      <c r="B35" s="2242" t="s">
        <v>4</v>
      </c>
      <c r="C35" s="2243">
        <v>504</v>
      </c>
      <c r="D35" s="2244"/>
      <c r="E35" s="2243">
        <v>501.9</v>
      </c>
      <c r="F35" s="2245">
        <v>2.1000000000000227</v>
      </c>
      <c r="G35" s="2243">
        <v>504</v>
      </c>
      <c r="H35" s="2246">
        <v>501.5</v>
      </c>
      <c r="I35" s="2245">
        <v>2.5</v>
      </c>
      <c r="J35" s="2247">
        <v>502.04939250769837</v>
      </c>
      <c r="K35" s="2248" t="s">
        <v>3521</v>
      </c>
      <c r="L35" s="2248" t="s">
        <v>3521</v>
      </c>
      <c r="M35" s="2248" t="s">
        <v>3521</v>
      </c>
      <c r="N35" s="2249" t="s">
        <v>3521</v>
      </c>
      <c r="O35" s="2250">
        <v>80</v>
      </c>
      <c r="P35" s="2251"/>
      <c r="Q35" s="2252">
        <v>0.28000000000000003</v>
      </c>
      <c r="R35" s="2250">
        <v>0.6</v>
      </c>
      <c r="S35" s="2253">
        <v>10</v>
      </c>
      <c r="T35" s="2161">
        <v>0.28000000000000003</v>
      </c>
      <c r="U35" s="2245">
        <v>1</v>
      </c>
      <c r="V35" s="2245">
        <v>15</v>
      </c>
      <c r="W35" s="2245">
        <v>128.45752167880846</v>
      </c>
      <c r="X35" s="2245">
        <v>0.51463248154014063</v>
      </c>
      <c r="Y35" s="2245">
        <v>51.421768087755289</v>
      </c>
      <c r="Z35" s="2161">
        <v>51.421768087755289</v>
      </c>
      <c r="AA35" s="2245">
        <v>0</v>
      </c>
      <c r="AB35" s="2245">
        <v>0.5</v>
      </c>
      <c r="AC35" s="2245">
        <v>8.7926297727560498E-3</v>
      </c>
      <c r="AD35" s="2245" t="s">
        <v>1240</v>
      </c>
      <c r="AE35" s="2254">
        <v>1.4999999999999999E-2</v>
      </c>
      <c r="AF35" s="2255">
        <v>1</v>
      </c>
      <c r="AG35" s="2245">
        <v>0.6</v>
      </c>
      <c r="AH35" s="2245"/>
      <c r="AJ35" s="2256"/>
      <c r="AK35" s="2257">
        <v>0</v>
      </c>
      <c r="AL35" s="2245">
        <v>0.14939250769841869</v>
      </c>
      <c r="AM35" s="2245">
        <v>0.14314122041266095</v>
      </c>
      <c r="AN35" s="2245">
        <v>0.93560147267628913</v>
      </c>
      <c r="AO35" s="2245">
        <v>16.425108202875453</v>
      </c>
      <c r="AP35" s="2258">
        <v>25</v>
      </c>
      <c r="AQ35" s="2259">
        <v>26</v>
      </c>
      <c r="AR35" s="2259">
        <v>504</v>
      </c>
      <c r="AS35" s="2260">
        <v>504</v>
      </c>
      <c r="AT35" s="2259">
        <v>0</v>
      </c>
      <c r="AU35" s="2259">
        <v>0</v>
      </c>
      <c r="AV35" s="2259">
        <v>0</v>
      </c>
      <c r="AW35" s="2259">
        <v>0</v>
      </c>
      <c r="AX35" s="2261">
        <v>10000</v>
      </c>
      <c r="AY35" s="2261">
        <v>10000</v>
      </c>
      <c r="AZ35" s="2261">
        <v>10000</v>
      </c>
      <c r="BA35" s="2261">
        <v>15</v>
      </c>
      <c r="BB35" s="2261" t="s">
        <v>3521</v>
      </c>
      <c r="BC35" s="2261" t="s">
        <v>3521</v>
      </c>
      <c r="BD35" s="2229">
        <v>0.14939250769841869</v>
      </c>
      <c r="BE35" s="2229">
        <v>0.16476962748662657</v>
      </c>
      <c r="BF35" s="2229">
        <v>2.7629245807309767E-3</v>
      </c>
      <c r="BG35" s="2229">
        <v>152.66996564212343</v>
      </c>
      <c r="BH35" s="2229">
        <v>0.14314122041266095</v>
      </c>
      <c r="BI35" s="2229">
        <v>0.14331682276171687</v>
      </c>
      <c r="BJ35" s="2229">
        <v>0.28438563407502931</v>
      </c>
      <c r="BK35" s="2262">
        <v>504</v>
      </c>
      <c r="BL35" s="2262">
        <v>504</v>
      </c>
      <c r="BM35" s="2262">
        <v>501.9</v>
      </c>
      <c r="BN35" s="2262">
        <v>2.1000000000000227</v>
      </c>
      <c r="BO35" s="2262">
        <v>502.226</v>
      </c>
      <c r="BP35" s="2262">
        <v>502.62599999999998</v>
      </c>
      <c r="BQ35" s="2262">
        <v>0</v>
      </c>
      <c r="BR35" s="2262">
        <v>0</v>
      </c>
      <c r="BS35" s="2262">
        <v>0</v>
      </c>
      <c r="BT35" s="2262">
        <v>0.92599999999999905</v>
      </c>
      <c r="BU35" s="2262">
        <v>1.4</v>
      </c>
      <c r="BV35" s="2262">
        <v>1.4</v>
      </c>
      <c r="BW35" s="2262">
        <v>0</v>
      </c>
      <c r="BX35" s="2263">
        <v>0</v>
      </c>
      <c r="BY35" s="2262">
        <v>0.36</v>
      </c>
      <c r="BZ35" s="2262">
        <v>0.34000000000002284</v>
      </c>
      <c r="CA35" s="2064" t="s">
        <v>3524</v>
      </c>
      <c r="CC35" s="563">
        <v>54.491025787599668</v>
      </c>
      <c r="CD35" s="563">
        <v>3.0692576998443784</v>
      </c>
    </row>
    <row r="36" spans="1:82" s="563" customFormat="1" ht="22.9" customHeight="1">
      <c r="A36" s="2241">
        <v>26</v>
      </c>
      <c r="B36" s="2242" t="s">
        <v>4</v>
      </c>
      <c r="C36" s="2243">
        <v>504</v>
      </c>
      <c r="D36" s="2244"/>
      <c r="E36" s="2243">
        <v>501.5</v>
      </c>
      <c r="F36" s="2245">
        <v>2.5</v>
      </c>
      <c r="G36" s="2243">
        <v>504</v>
      </c>
      <c r="H36" s="2246">
        <v>501.1</v>
      </c>
      <c r="I36" s="2245">
        <v>2.8999999999999773</v>
      </c>
      <c r="J36" s="2247">
        <v>501.8641443211568</v>
      </c>
      <c r="K36" s="2248">
        <v>501.64939250769839</v>
      </c>
      <c r="L36" s="2248" t="s">
        <v>3521</v>
      </c>
      <c r="M36" s="2248" t="s">
        <v>3521</v>
      </c>
      <c r="N36" s="2249">
        <v>-0.2147518134584061</v>
      </c>
      <c r="O36" s="2250">
        <v>80</v>
      </c>
      <c r="P36" s="2251"/>
      <c r="Q36" s="2252">
        <v>1.22</v>
      </c>
      <c r="R36" s="2250">
        <v>0.6</v>
      </c>
      <c r="S36" s="2253">
        <v>10</v>
      </c>
      <c r="T36" s="2161">
        <v>1.5</v>
      </c>
      <c r="U36" s="2245">
        <v>0.93037012397211705</v>
      </c>
      <c r="V36" s="2245">
        <v>16.425108202875453</v>
      </c>
      <c r="W36" s="2245">
        <v>123.34235398402626</v>
      </c>
      <c r="X36" s="2245">
        <v>0.52330363518915179</v>
      </c>
      <c r="Y36" s="2245">
        <v>203.52314836163202</v>
      </c>
      <c r="Z36" s="2161">
        <v>254.94491644938731</v>
      </c>
      <c r="AA36" s="2245">
        <v>0</v>
      </c>
      <c r="AB36" s="2245">
        <v>0.5</v>
      </c>
      <c r="AC36" s="2245">
        <v>0.21613121230282073</v>
      </c>
      <c r="AD36" s="2245" t="s">
        <v>1240</v>
      </c>
      <c r="AE36" s="2254">
        <v>1.4999999999999999E-2</v>
      </c>
      <c r="AF36" s="2255">
        <v>1</v>
      </c>
      <c r="AG36" s="2245">
        <v>0.6</v>
      </c>
      <c r="AH36" s="2245"/>
      <c r="AJ36" s="2256"/>
      <c r="AK36" s="2257">
        <v>0</v>
      </c>
      <c r="AL36" s="2245">
        <v>0.36414432115678785</v>
      </c>
      <c r="AM36" s="2245">
        <v>0.32734228292375633</v>
      </c>
      <c r="AN36" s="2245">
        <v>1.4198078491470008</v>
      </c>
      <c r="AO36" s="2245">
        <v>17.364202414908707</v>
      </c>
      <c r="AP36" s="2258">
        <v>26</v>
      </c>
      <c r="AQ36" s="2259">
        <v>27</v>
      </c>
      <c r="AR36" s="2259">
        <v>504</v>
      </c>
      <c r="AS36" s="2260">
        <v>504</v>
      </c>
      <c r="AT36" s="2259">
        <v>25</v>
      </c>
      <c r="AU36" s="2259">
        <v>0</v>
      </c>
      <c r="AV36" s="2259">
        <v>0</v>
      </c>
      <c r="AW36" s="2259">
        <v>0</v>
      </c>
      <c r="AX36" s="2261">
        <v>501.5</v>
      </c>
      <c r="AY36" s="2261">
        <v>10000</v>
      </c>
      <c r="AZ36" s="2261">
        <v>10000</v>
      </c>
      <c r="BA36" s="2261">
        <v>16.425108202875453</v>
      </c>
      <c r="BB36" s="2261" t="s">
        <v>3521</v>
      </c>
      <c r="BC36" s="2261" t="s">
        <v>3521</v>
      </c>
      <c r="BD36" s="2229">
        <v>0.3231938623782285</v>
      </c>
      <c r="BE36" s="2229">
        <v>0.36414432115678785</v>
      </c>
      <c r="BF36" s="2229">
        <v>0.16942740626083622</v>
      </c>
      <c r="BG36" s="2229">
        <v>498.78603213525298</v>
      </c>
      <c r="BH36" s="2229">
        <v>0.32423067046537807</v>
      </c>
      <c r="BI36" s="2229">
        <v>0.32734228292375633</v>
      </c>
      <c r="BJ36" s="2229">
        <v>0.46841679878544046</v>
      </c>
      <c r="BK36" s="2262">
        <v>504</v>
      </c>
      <c r="BL36" s="2262">
        <v>504</v>
      </c>
      <c r="BM36" s="2262">
        <v>501.5</v>
      </c>
      <c r="BN36" s="2262">
        <v>2.5</v>
      </c>
      <c r="BO36" s="2262">
        <v>501.82600000000002</v>
      </c>
      <c r="BP36" s="2262">
        <v>502.226</v>
      </c>
      <c r="BQ36" s="2262">
        <v>502.226</v>
      </c>
      <c r="BR36" s="2262">
        <v>0</v>
      </c>
      <c r="BS36" s="2262">
        <v>0</v>
      </c>
      <c r="BT36" s="2262">
        <v>0.92599999999999905</v>
      </c>
      <c r="BU36" s="2262">
        <v>1.4</v>
      </c>
      <c r="BV36" s="2262">
        <v>1.4</v>
      </c>
      <c r="BW36" s="2262">
        <v>0</v>
      </c>
      <c r="BX36" s="2263">
        <v>0</v>
      </c>
      <c r="BY36" s="2262">
        <v>0.36</v>
      </c>
      <c r="BZ36" s="2262">
        <v>0.7400000000000001</v>
      </c>
      <c r="CA36" s="2064" t="s">
        <v>3524</v>
      </c>
      <c r="CC36" s="563">
        <v>272.36249581742175</v>
      </c>
      <c r="CD36" s="563">
        <v>17.417579368034438</v>
      </c>
    </row>
    <row r="37" spans="1:82" s="563" customFormat="1" ht="22.9" customHeight="1">
      <c r="A37" s="2241">
        <v>27</v>
      </c>
      <c r="B37" s="2242" t="s">
        <v>4</v>
      </c>
      <c r="C37" s="2243">
        <v>504</v>
      </c>
      <c r="D37" s="2244"/>
      <c r="E37" s="2243">
        <v>501.1</v>
      </c>
      <c r="F37" s="2245">
        <v>2.8999999999999773</v>
      </c>
      <c r="G37" s="2243">
        <v>503.9</v>
      </c>
      <c r="H37" s="2246">
        <v>500.70000000000005</v>
      </c>
      <c r="I37" s="2245">
        <v>3.1999999999999318</v>
      </c>
      <c r="J37" s="2247">
        <v>501.52953000006141</v>
      </c>
      <c r="K37" s="2248">
        <v>501.46414432115682</v>
      </c>
      <c r="L37" s="2248" t="s">
        <v>3521</v>
      </c>
      <c r="M37" s="2248" t="s">
        <v>3521</v>
      </c>
      <c r="N37" s="2249" t="s">
        <v>3521</v>
      </c>
      <c r="O37" s="2250">
        <v>80</v>
      </c>
      <c r="P37" s="2251"/>
      <c r="Q37" s="2252">
        <v>1.38</v>
      </c>
      <c r="R37" s="2250">
        <v>0.6</v>
      </c>
      <c r="S37" s="2253">
        <v>10</v>
      </c>
      <c r="T37" s="2161">
        <v>2.88</v>
      </c>
      <c r="U37" s="2245">
        <v>0.82837720034537754</v>
      </c>
      <c r="V37" s="2245">
        <v>17.364202414908707</v>
      </c>
      <c r="W37" s="2245">
        <v>120.21551670451908</v>
      </c>
      <c r="X37" s="2245">
        <v>0.52854915567333671</v>
      </c>
      <c r="Y37" s="2245">
        <v>201.7833722651001</v>
      </c>
      <c r="Z37" s="2161">
        <v>456.72828871448741</v>
      </c>
      <c r="AA37" s="2245">
        <v>0.12500000000002842</v>
      </c>
      <c r="AB37" s="2245">
        <v>0.5</v>
      </c>
      <c r="AC37" s="2245">
        <v>0.14955490831373372</v>
      </c>
      <c r="AD37" s="2245" t="s">
        <v>1240</v>
      </c>
      <c r="AE37" s="2254">
        <v>1.4999999999999999E-2</v>
      </c>
      <c r="AF37" s="2255">
        <v>1</v>
      </c>
      <c r="AG37" s="2245">
        <v>0.8</v>
      </c>
      <c r="AH37" s="2245"/>
      <c r="AJ37" s="2256"/>
      <c r="AK37" s="2257">
        <v>0</v>
      </c>
      <c r="AL37" s="2245">
        <v>0.42953000006140613</v>
      </c>
      <c r="AM37" s="2245">
        <v>0.40685456772034967</v>
      </c>
      <c r="AN37" s="2245">
        <v>1.661253393241207</v>
      </c>
      <c r="AO37" s="2245">
        <v>18.166809253069573</v>
      </c>
      <c r="AP37" s="2258">
        <v>27</v>
      </c>
      <c r="AQ37" s="2259">
        <v>28</v>
      </c>
      <c r="AR37" s="2259">
        <v>503.9</v>
      </c>
      <c r="AS37" s="2260">
        <v>503.9</v>
      </c>
      <c r="AT37" s="2259">
        <v>26</v>
      </c>
      <c r="AU37" s="2259">
        <v>0</v>
      </c>
      <c r="AV37" s="2259">
        <v>0</v>
      </c>
      <c r="AW37" s="2259">
        <v>0</v>
      </c>
      <c r="AX37" s="2261">
        <v>501.1</v>
      </c>
      <c r="AY37" s="2261">
        <v>10000</v>
      </c>
      <c r="AZ37" s="2261">
        <v>10000</v>
      </c>
      <c r="BA37" s="2261">
        <v>17.364202414908707</v>
      </c>
      <c r="BB37" s="2261" t="s">
        <v>3521</v>
      </c>
      <c r="BC37" s="2261" t="s">
        <v>3521</v>
      </c>
      <c r="BD37" s="2229">
        <v>0.39436969474218986</v>
      </c>
      <c r="BE37" s="2229">
        <v>0.42953000006140613</v>
      </c>
      <c r="BF37" s="2229">
        <v>0.14071789461505757</v>
      </c>
      <c r="BG37" s="2229">
        <v>429.57802465284061</v>
      </c>
      <c r="BH37" s="2229">
        <v>0.40326097258032306</v>
      </c>
      <c r="BI37" s="2229">
        <v>0.40685456772034967</v>
      </c>
      <c r="BJ37" s="2229">
        <v>0.52716557555862453</v>
      </c>
      <c r="BK37" s="2262">
        <v>504</v>
      </c>
      <c r="BL37" s="2262">
        <v>504</v>
      </c>
      <c r="BM37" s="2262">
        <v>501.1</v>
      </c>
      <c r="BN37" s="2262">
        <v>2.8999999999999773</v>
      </c>
      <c r="BO37" s="2262">
        <v>501.66800000000006</v>
      </c>
      <c r="BP37" s="2262">
        <v>502.06800000000004</v>
      </c>
      <c r="BQ37" s="2262">
        <v>501.82600000000002</v>
      </c>
      <c r="BR37" s="2262">
        <v>0</v>
      </c>
      <c r="BS37" s="2262">
        <v>0</v>
      </c>
      <c r="BT37" s="2262">
        <v>1.1680000000000177</v>
      </c>
      <c r="BU37" s="2262">
        <v>1.4</v>
      </c>
      <c r="BV37" s="2262">
        <v>1.5999999999999999</v>
      </c>
      <c r="BW37" s="2262">
        <v>0.2</v>
      </c>
      <c r="BX37" s="2263">
        <v>0</v>
      </c>
      <c r="BY37" s="2262">
        <v>0.36</v>
      </c>
      <c r="BZ37" s="2262">
        <v>0.93999999999997741</v>
      </c>
      <c r="CA37" s="2064" t="s">
        <v>3524</v>
      </c>
      <c r="CC37" s="563">
        <v>489.63425951075419</v>
      </c>
      <c r="CD37" s="563">
        <v>32.905970796266786</v>
      </c>
    </row>
    <row r="38" spans="1:82" s="563" customFormat="1" ht="22.9" customHeight="1">
      <c r="A38" s="2241">
        <v>28</v>
      </c>
      <c r="B38" s="2242" t="s">
        <v>4</v>
      </c>
      <c r="C38" s="2243">
        <v>503.9</v>
      </c>
      <c r="D38" s="2244"/>
      <c r="E38" s="2243">
        <v>500.70000000000005</v>
      </c>
      <c r="F38" s="2245">
        <v>3.1999999999999318</v>
      </c>
      <c r="G38" s="2243">
        <v>503</v>
      </c>
      <c r="H38" s="2246">
        <v>499.76500000000004</v>
      </c>
      <c r="I38" s="2245">
        <v>3.2349999999999568</v>
      </c>
      <c r="J38" s="2247">
        <v>501.33490618748471</v>
      </c>
      <c r="K38" s="2248">
        <v>501.12953000006144</v>
      </c>
      <c r="L38" s="2248" t="s">
        <v>3521</v>
      </c>
      <c r="M38" s="2248" t="s">
        <v>3521</v>
      </c>
      <c r="N38" s="2249">
        <v>-0.20537618742326913</v>
      </c>
      <c r="O38" s="2250">
        <v>85</v>
      </c>
      <c r="P38" s="2251"/>
      <c r="Q38" s="2252">
        <v>6.14</v>
      </c>
      <c r="R38" s="2250">
        <v>0.6</v>
      </c>
      <c r="S38" s="2253">
        <v>10</v>
      </c>
      <c r="T38" s="2161">
        <v>9.02</v>
      </c>
      <c r="U38" s="2245">
        <v>0.67604131261868528</v>
      </c>
      <c r="V38" s="2245">
        <v>18.166809253069573</v>
      </c>
      <c r="W38" s="2245">
        <v>117.68163798877575</v>
      </c>
      <c r="X38" s="2245">
        <v>0.53277362218530755</v>
      </c>
      <c r="Y38" s="2245">
        <v>722.97830973162502</v>
      </c>
      <c r="Z38" s="2161">
        <v>1179.7065984461124</v>
      </c>
      <c r="AA38" s="2245">
        <v>1.0588235294117379</v>
      </c>
      <c r="AB38" s="2245">
        <v>1.1000000000000001</v>
      </c>
      <c r="AC38" s="2245">
        <v>0.99777556646812893</v>
      </c>
      <c r="AD38" s="2245" t="s">
        <v>1240</v>
      </c>
      <c r="AE38" s="2254">
        <v>1.4999999999999999E-2</v>
      </c>
      <c r="AF38" s="2255">
        <v>1</v>
      </c>
      <c r="AG38" s="2245">
        <v>0.8</v>
      </c>
      <c r="AH38" s="2245"/>
      <c r="AJ38" s="2256"/>
      <c r="AK38" s="2257">
        <v>0</v>
      </c>
      <c r="AL38" s="2245">
        <v>0.6349061874846319</v>
      </c>
      <c r="AM38" s="2245">
        <v>0.66381932373334029</v>
      </c>
      <c r="AN38" s="2245">
        <v>2.7575589135732486</v>
      </c>
      <c r="AO38" s="2245">
        <v>18.680548654862061</v>
      </c>
      <c r="AP38" s="2258">
        <v>28</v>
      </c>
      <c r="AQ38" s="2259">
        <v>29</v>
      </c>
      <c r="AR38" s="2259">
        <v>503</v>
      </c>
      <c r="AS38" s="2260">
        <v>503</v>
      </c>
      <c r="AT38" s="2259">
        <v>27</v>
      </c>
      <c r="AU38" s="2259">
        <v>0</v>
      </c>
      <c r="AV38" s="2259">
        <v>0</v>
      </c>
      <c r="AW38" s="2259">
        <v>0</v>
      </c>
      <c r="AX38" s="2261">
        <v>500.70000000000005</v>
      </c>
      <c r="AY38" s="2261">
        <v>10000</v>
      </c>
      <c r="AZ38" s="2261">
        <v>10000</v>
      </c>
      <c r="BA38" s="2261">
        <v>18.166809253069573</v>
      </c>
      <c r="BB38" s="2261" t="s">
        <v>3521</v>
      </c>
      <c r="BC38" s="2261" t="s">
        <v>3521</v>
      </c>
      <c r="BD38" s="2229">
        <v>0.5152519296474749</v>
      </c>
      <c r="BE38" s="2229">
        <v>0.6349061874846319</v>
      </c>
      <c r="BF38" s="2229">
        <v>0.58598522918727614</v>
      </c>
      <c r="BG38" s="2229">
        <v>668.45047298862983</v>
      </c>
      <c r="BH38" s="2229">
        <v>0.65471740130144673</v>
      </c>
      <c r="BI38" s="2229">
        <v>0.66381932373334029</v>
      </c>
      <c r="BJ38" s="2229">
        <v>0.70860404976060154</v>
      </c>
      <c r="BK38" s="2262">
        <v>503.9</v>
      </c>
      <c r="BL38" s="2262">
        <v>503.9</v>
      </c>
      <c r="BM38" s="2262">
        <v>500.70000000000005</v>
      </c>
      <c r="BN38" s="2262">
        <v>3.1999999999999318</v>
      </c>
      <c r="BO38" s="2262">
        <v>500.73300000000006</v>
      </c>
      <c r="BP38" s="2262">
        <v>501.66800000000006</v>
      </c>
      <c r="BQ38" s="2262">
        <v>501.66800000000006</v>
      </c>
      <c r="BR38" s="2262">
        <v>0</v>
      </c>
      <c r="BS38" s="2262">
        <v>0</v>
      </c>
      <c r="BT38" s="2262">
        <v>1.1680000000000177</v>
      </c>
      <c r="BU38" s="2262">
        <v>1.4</v>
      </c>
      <c r="BV38" s="2262">
        <v>2</v>
      </c>
      <c r="BW38" s="2262">
        <v>0.60000000000000009</v>
      </c>
      <c r="BX38" s="2263">
        <v>0</v>
      </c>
      <c r="BY38" s="2262">
        <v>0.36</v>
      </c>
      <c r="BZ38" s="2262">
        <v>0.8399999999999318</v>
      </c>
      <c r="CA38" s="2064" t="s">
        <v>3524</v>
      </c>
      <c r="CC38" s="563">
        <v>1271.7065049901573</v>
      </c>
      <c r="CD38" s="563">
        <v>91.999906544044961</v>
      </c>
    </row>
    <row r="39" spans="1:82" s="563" customFormat="1" ht="22.9" customHeight="1">
      <c r="A39" s="2241">
        <v>29</v>
      </c>
      <c r="B39" s="2242" t="s">
        <v>4</v>
      </c>
      <c r="C39" s="2243">
        <v>503</v>
      </c>
      <c r="D39" s="2244"/>
      <c r="E39" s="2243">
        <v>499.76500000000004</v>
      </c>
      <c r="F39" s="2245">
        <v>3.2349999999999568</v>
      </c>
      <c r="G39" s="2243">
        <v>503</v>
      </c>
      <c r="H39" s="2246">
        <v>499.55000000000007</v>
      </c>
      <c r="I39" s="2245">
        <v>3.4499999999999318</v>
      </c>
      <c r="J39" s="2247">
        <v>500.52986546652716</v>
      </c>
      <c r="K39" s="2248">
        <v>500.3999061874847</v>
      </c>
      <c r="L39" s="2248" t="s">
        <v>3521</v>
      </c>
      <c r="M39" s="2248" t="s">
        <v>3521</v>
      </c>
      <c r="N39" s="2249">
        <v>-0.12995927904245264</v>
      </c>
      <c r="O39" s="2250">
        <v>43</v>
      </c>
      <c r="P39" s="2251"/>
      <c r="Q39" s="2252">
        <v>1.71</v>
      </c>
      <c r="R39" s="2250">
        <v>0.6</v>
      </c>
      <c r="S39" s="2253">
        <v>10</v>
      </c>
      <c r="T39" s="2161">
        <v>10.73</v>
      </c>
      <c r="U39" s="2245">
        <v>0.65547064913435815</v>
      </c>
      <c r="V39" s="2245">
        <v>18.680548654862061</v>
      </c>
      <c r="W39" s="2245">
        <v>116.12214418570261</v>
      </c>
      <c r="X39" s="2245">
        <v>0.53536316358837965</v>
      </c>
      <c r="Y39" s="2245">
        <v>193.57315713738305</v>
      </c>
      <c r="Z39" s="2161">
        <v>1373.2797555834954</v>
      </c>
      <c r="AA39" s="2245">
        <v>0</v>
      </c>
      <c r="AB39" s="2245">
        <v>0.5</v>
      </c>
      <c r="AC39" s="2245">
        <v>0.41129125988905213</v>
      </c>
      <c r="AD39" s="2245" t="s">
        <v>1240</v>
      </c>
      <c r="AE39" s="2254">
        <v>1.4999999999999999E-2</v>
      </c>
      <c r="AF39" s="2255">
        <v>1</v>
      </c>
      <c r="AG39" s="2245">
        <v>1</v>
      </c>
      <c r="AH39" s="2245"/>
      <c r="AJ39" s="2256"/>
      <c r="AK39" s="2257">
        <v>0</v>
      </c>
      <c r="AL39" s="2245">
        <v>0.76486546652709508</v>
      </c>
      <c r="AM39" s="2245">
        <v>0.67300257528354468</v>
      </c>
      <c r="AN39" s="2245">
        <v>2.1304542377513789</v>
      </c>
      <c r="AO39" s="2245">
        <v>19.016940140756208</v>
      </c>
      <c r="AP39" s="2258">
        <v>29</v>
      </c>
      <c r="AQ39" s="2259">
        <v>32</v>
      </c>
      <c r="AR39" s="2259">
        <v>503</v>
      </c>
      <c r="AS39" s="2260">
        <v>503</v>
      </c>
      <c r="AT39" s="2259">
        <v>28</v>
      </c>
      <c r="AU39" s="2259">
        <v>0</v>
      </c>
      <c r="AV39" s="2259">
        <v>0</v>
      </c>
      <c r="AW39" s="2259">
        <v>0</v>
      </c>
      <c r="AX39" s="2261">
        <v>499.76500000000004</v>
      </c>
      <c r="AY39" s="2261">
        <v>10000</v>
      </c>
      <c r="AZ39" s="2261">
        <v>10000</v>
      </c>
      <c r="BA39" s="2261">
        <v>18.680548654862061</v>
      </c>
      <c r="BB39" s="2261" t="s">
        <v>3521</v>
      </c>
      <c r="BC39" s="2261" t="s">
        <v>3521</v>
      </c>
      <c r="BD39" s="2229">
        <v>0.62911336827684594</v>
      </c>
      <c r="BE39" s="2229">
        <v>0.76486546652709508</v>
      </c>
      <c r="BF39" s="2229">
        <v>0.64571702418972077</v>
      </c>
      <c r="BG39" s="2229">
        <v>644.59481515685832</v>
      </c>
      <c r="BH39" s="2229">
        <v>0.66516246880575736</v>
      </c>
      <c r="BI39" s="2229">
        <v>0.67300257528354468</v>
      </c>
      <c r="BJ39" s="2229">
        <v>0.70721920315554554</v>
      </c>
      <c r="BK39" s="2262">
        <v>503</v>
      </c>
      <c r="BL39" s="2262">
        <v>503</v>
      </c>
      <c r="BM39" s="2262">
        <v>499.76500000000004</v>
      </c>
      <c r="BN39" s="2262">
        <v>3.2349999999999568</v>
      </c>
      <c r="BO39" s="2262">
        <v>500.76000000000005</v>
      </c>
      <c r="BP39" s="2262">
        <v>500.97500000000002</v>
      </c>
      <c r="BQ39" s="2262">
        <v>500.73300000000006</v>
      </c>
      <c r="BR39" s="2262">
        <v>0</v>
      </c>
      <c r="BS39" s="2262">
        <v>0</v>
      </c>
      <c r="BT39" s="2262">
        <v>1.4099999999999795</v>
      </c>
      <c r="BU39" s="2262">
        <v>1.4</v>
      </c>
      <c r="BV39" s="2262">
        <v>2</v>
      </c>
      <c r="BW39" s="2262">
        <v>0.60000000000000009</v>
      </c>
      <c r="BX39" s="2263">
        <v>0</v>
      </c>
      <c r="BY39" s="2262">
        <v>0.36</v>
      </c>
      <c r="BZ39" s="2262">
        <v>0.87499999999995681</v>
      </c>
      <c r="CA39" s="2064" t="s">
        <v>3524</v>
      </c>
      <c r="CC39" s="563">
        <v>1481.4219548656927</v>
      </c>
      <c r="CD39" s="563">
        <v>108.14219928219723</v>
      </c>
    </row>
    <row r="40" spans="1:82" s="563" customFormat="1" ht="22.9" customHeight="1">
      <c r="A40" s="2241">
        <v>30</v>
      </c>
      <c r="B40" s="2242" t="s">
        <v>4</v>
      </c>
      <c r="C40" s="2243">
        <v>504.1</v>
      </c>
      <c r="D40" s="2244"/>
      <c r="E40" s="2243">
        <v>502</v>
      </c>
      <c r="F40" s="2245">
        <v>2.1000000000000227</v>
      </c>
      <c r="G40" s="2243">
        <v>503</v>
      </c>
      <c r="H40" s="2246">
        <v>500.88</v>
      </c>
      <c r="I40" s="2245">
        <v>2.1200000000000045</v>
      </c>
      <c r="J40" s="2247">
        <v>502.24609812256085</v>
      </c>
      <c r="K40" s="2248" t="s">
        <v>3521</v>
      </c>
      <c r="L40" s="2248" t="s">
        <v>3521</v>
      </c>
      <c r="M40" s="2248" t="s">
        <v>3521</v>
      </c>
      <c r="N40" s="2249" t="s">
        <v>3521</v>
      </c>
      <c r="O40" s="2250">
        <v>80</v>
      </c>
      <c r="P40" s="2251"/>
      <c r="Q40" s="2252">
        <v>1.28</v>
      </c>
      <c r="R40" s="2250">
        <v>0.6</v>
      </c>
      <c r="S40" s="2253">
        <v>10</v>
      </c>
      <c r="T40" s="2161">
        <v>1.28</v>
      </c>
      <c r="U40" s="2245">
        <v>0.95701032958585108</v>
      </c>
      <c r="V40" s="2245">
        <v>15</v>
      </c>
      <c r="W40" s="2245">
        <v>128.45752167880846</v>
      </c>
      <c r="X40" s="2245">
        <v>0.51463248154014063</v>
      </c>
      <c r="Y40" s="2245">
        <v>224.96531760251375</v>
      </c>
      <c r="Z40" s="2161">
        <v>224.96531760251375</v>
      </c>
      <c r="AA40" s="2245">
        <v>1.3750000000000284</v>
      </c>
      <c r="AB40" s="2245">
        <v>1.4</v>
      </c>
      <c r="AC40" s="2245">
        <v>0.16828907150632641</v>
      </c>
      <c r="AD40" s="2245" t="s">
        <v>1240</v>
      </c>
      <c r="AE40" s="2254">
        <v>1.4999999999999999E-2</v>
      </c>
      <c r="AF40" s="2255">
        <v>1</v>
      </c>
      <c r="AG40" s="2245">
        <v>0.6</v>
      </c>
      <c r="AH40" s="2245"/>
      <c r="AJ40" s="2256"/>
      <c r="AK40" s="2257">
        <v>0</v>
      </c>
      <c r="AL40" s="2245">
        <v>0.2460981225608668</v>
      </c>
      <c r="AM40" s="2245">
        <v>0.30688301593426631</v>
      </c>
      <c r="AN40" s="2245">
        <v>2.0600200226709471</v>
      </c>
      <c r="AO40" s="2245">
        <v>15.64724289990375</v>
      </c>
      <c r="AP40" s="2258">
        <v>30</v>
      </c>
      <c r="AQ40" s="2259">
        <v>32</v>
      </c>
      <c r="AR40" s="2259">
        <v>503</v>
      </c>
      <c r="AS40" s="2260">
        <v>503</v>
      </c>
      <c r="AT40" s="2259">
        <v>0</v>
      </c>
      <c r="AU40" s="2259">
        <v>0</v>
      </c>
      <c r="AV40" s="2259">
        <v>0</v>
      </c>
      <c r="AW40" s="2259">
        <v>0</v>
      </c>
      <c r="AX40" s="2261">
        <v>10000</v>
      </c>
      <c r="AY40" s="2261">
        <v>10000</v>
      </c>
      <c r="AZ40" s="2261">
        <v>10000</v>
      </c>
      <c r="BA40" s="2261">
        <v>15</v>
      </c>
      <c r="BB40" s="2261" t="s">
        <v>3521</v>
      </c>
      <c r="BC40" s="2261" t="s">
        <v>3521</v>
      </c>
      <c r="BD40" s="2229">
        <v>0.2374163257306241</v>
      </c>
      <c r="BE40" s="2229">
        <v>0.2460981225608668</v>
      </c>
      <c r="BF40" s="2229">
        <v>3.2711551057334365E-2</v>
      </c>
      <c r="BG40" s="2229">
        <v>303.34834279754006</v>
      </c>
      <c r="BH40" s="2229">
        <v>0.30416368502354579</v>
      </c>
      <c r="BI40" s="2229">
        <v>0.30688301593426631</v>
      </c>
      <c r="BJ40" s="2229">
        <v>0.45050286293187003</v>
      </c>
      <c r="BK40" s="2262">
        <v>504.1</v>
      </c>
      <c r="BL40" s="2262">
        <v>504.1</v>
      </c>
      <c r="BM40" s="2262">
        <v>502</v>
      </c>
      <c r="BN40" s="2262">
        <v>2.1000000000000227</v>
      </c>
      <c r="BO40" s="2262">
        <v>501.60599999999999</v>
      </c>
      <c r="BP40" s="2262">
        <v>502.726</v>
      </c>
      <c r="BQ40" s="2262">
        <v>0</v>
      </c>
      <c r="BR40" s="2262">
        <v>0</v>
      </c>
      <c r="BS40" s="2262">
        <v>0</v>
      </c>
      <c r="BT40" s="2262">
        <v>0.92599999999999905</v>
      </c>
      <c r="BU40" s="2262">
        <v>1.4</v>
      </c>
      <c r="BV40" s="2262">
        <v>1.4</v>
      </c>
      <c r="BW40" s="2262">
        <v>0</v>
      </c>
      <c r="BX40" s="2263">
        <v>0</v>
      </c>
      <c r="BY40" s="2262">
        <v>0.36</v>
      </c>
      <c r="BZ40" s="2262">
        <v>0.34000000000002284</v>
      </c>
      <c r="CA40" s="2064" t="s">
        <v>3524</v>
      </c>
      <c r="CC40" s="563">
        <v>238.39302650725423</v>
      </c>
      <c r="CD40" s="563">
        <v>13.427708904740484</v>
      </c>
    </row>
    <row r="41" spans="1:82" s="563" customFormat="1" ht="22.9" customHeight="1">
      <c r="A41" s="2241">
        <v>31</v>
      </c>
      <c r="B41" s="2242" t="s">
        <v>4</v>
      </c>
      <c r="C41" s="2243">
        <v>501</v>
      </c>
      <c r="D41" s="2244"/>
      <c r="E41" s="2243">
        <v>498</v>
      </c>
      <c r="F41" s="2245">
        <v>3</v>
      </c>
      <c r="G41" s="2243">
        <v>503</v>
      </c>
      <c r="H41" s="2246">
        <v>497.92500000000001</v>
      </c>
      <c r="I41" s="2245">
        <v>5.0749999999999886</v>
      </c>
      <c r="J41" s="2247">
        <v>498.96152271534214</v>
      </c>
      <c r="K41" s="2248" t="s">
        <v>3521</v>
      </c>
      <c r="L41" s="2248" t="s">
        <v>3521</v>
      </c>
      <c r="M41" s="2248" t="s">
        <v>3521</v>
      </c>
      <c r="N41" s="2249" t="s">
        <v>3521</v>
      </c>
      <c r="O41" s="2250">
        <v>15</v>
      </c>
      <c r="P41" s="2251"/>
      <c r="Q41" s="2252">
        <v>74.489999999999995</v>
      </c>
      <c r="R41" s="2250">
        <v>0.6</v>
      </c>
      <c r="S41" s="2253">
        <v>10</v>
      </c>
      <c r="T41" s="2161">
        <v>74.489999999999995</v>
      </c>
      <c r="U41" s="2245">
        <v>0.46426565879068321</v>
      </c>
      <c r="V41" s="2245">
        <v>15</v>
      </c>
      <c r="W41" s="2245">
        <v>128.45752167880846</v>
      </c>
      <c r="X41" s="2245">
        <v>0.51463248154014063</v>
      </c>
      <c r="Y41" s="2245">
        <v>6351.1666559970054</v>
      </c>
      <c r="Z41" s="2161">
        <v>6351.1666559970054</v>
      </c>
      <c r="AA41" s="2245">
        <v>-13.333333333333334</v>
      </c>
      <c r="AB41" s="2245">
        <v>0.5</v>
      </c>
      <c r="AC41" s="2245">
        <v>0.25300266141491057</v>
      </c>
      <c r="AD41" s="2245" t="s">
        <v>1240</v>
      </c>
      <c r="AE41" s="2254">
        <v>1.4999999999999999E-2</v>
      </c>
      <c r="AF41" s="2255">
        <v>2</v>
      </c>
      <c r="AG41" s="2245">
        <v>1.5</v>
      </c>
      <c r="AH41" s="2245"/>
      <c r="AJ41" s="2256"/>
      <c r="AK41" s="2257">
        <v>0</v>
      </c>
      <c r="AL41" s="2245">
        <v>0.96152271534213674</v>
      </c>
      <c r="AM41" s="2245">
        <v>0.92219754442030388</v>
      </c>
      <c r="AN41" s="2245">
        <v>2.6538405295637832</v>
      </c>
      <c r="AO41" s="2245">
        <v>15.094203098194861</v>
      </c>
      <c r="AP41" s="2258">
        <v>31</v>
      </c>
      <c r="AQ41" s="2259">
        <v>32</v>
      </c>
      <c r="AR41" s="2259">
        <v>503</v>
      </c>
      <c r="AS41" s="2260">
        <v>503</v>
      </c>
      <c r="AT41" s="2259">
        <v>0</v>
      </c>
      <c r="AU41" s="2259">
        <v>0</v>
      </c>
      <c r="AV41" s="2259">
        <v>0</v>
      </c>
      <c r="AW41" s="2259">
        <v>0</v>
      </c>
      <c r="AX41" s="2261">
        <v>10000</v>
      </c>
      <c r="AY41" s="2261">
        <v>10000</v>
      </c>
      <c r="AZ41" s="2261">
        <v>10000</v>
      </c>
      <c r="BA41" s="2261">
        <v>15</v>
      </c>
      <c r="BB41" s="2261" t="s">
        <v>3521</v>
      </c>
      <c r="BC41" s="2261" t="s">
        <v>3521</v>
      </c>
      <c r="BD41" s="2229">
        <v>0.83950249595204929</v>
      </c>
      <c r="BE41" s="2229">
        <v>0.96152271534213674</v>
      </c>
      <c r="BF41" s="2229">
        <v>0.51863478428211152</v>
      </c>
      <c r="BG41" s="2229">
        <v>531.82184546383587</v>
      </c>
      <c r="BH41" s="2229">
        <v>0.91224903749511732</v>
      </c>
      <c r="BI41" s="2229">
        <v>0.92219754442030388</v>
      </c>
      <c r="BJ41" s="2229">
        <v>0.83968574328726964</v>
      </c>
      <c r="BK41" s="2262">
        <v>501</v>
      </c>
      <c r="BL41" s="2262">
        <v>501</v>
      </c>
      <c r="BM41" s="2262">
        <v>498</v>
      </c>
      <c r="BN41" s="2262">
        <v>3</v>
      </c>
      <c r="BO41" s="2262">
        <v>499.74</v>
      </c>
      <c r="BP41" s="2262">
        <v>499.815</v>
      </c>
      <c r="BQ41" s="2262">
        <v>0</v>
      </c>
      <c r="BR41" s="2262">
        <v>0</v>
      </c>
      <c r="BS41" s="2262">
        <v>0</v>
      </c>
      <c r="BT41" s="2262">
        <v>2.0149999999999979</v>
      </c>
      <c r="BU41" s="2262">
        <v>2</v>
      </c>
      <c r="BV41" s="2262">
        <v>2.2000000000000002</v>
      </c>
      <c r="BW41" s="2262">
        <v>0.2</v>
      </c>
      <c r="BX41" s="2263">
        <v>0</v>
      </c>
      <c r="BY41" s="2262">
        <v>0.36</v>
      </c>
      <c r="BZ41" s="2262">
        <v>0.43999999999999984</v>
      </c>
      <c r="CA41" s="2064" t="s">
        <v>3524</v>
      </c>
      <c r="CC41" s="563">
        <v>6730.2544992747144</v>
      </c>
      <c r="CD41" s="563">
        <v>379.087843277709</v>
      </c>
    </row>
    <row r="42" spans="1:82" s="563" customFormat="1" ht="22.9" customHeight="1">
      <c r="A42" s="2241">
        <v>32</v>
      </c>
      <c r="B42" s="2242" t="s">
        <v>4</v>
      </c>
      <c r="C42" s="2243">
        <v>503</v>
      </c>
      <c r="D42" s="2244"/>
      <c r="E42" s="2243">
        <v>497.92500000000001</v>
      </c>
      <c r="F42" s="2245">
        <v>5.0749999999999886</v>
      </c>
      <c r="G42" s="2243">
        <v>503.5</v>
      </c>
      <c r="H42" s="2246">
        <v>497.8</v>
      </c>
      <c r="I42" s="2245">
        <v>5.6999999999999886</v>
      </c>
      <c r="J42" s="2247">
        <v>499.0565177560253</v>
      </c>
      <c r="K42" s="2248">
        <v>500.31486546652718</v>
      </c>
      <c r="L42" s="2248">
        <v>501.12609812256085</v>
      </c>
      <c r="M42" s="2248">
        <v>498.88652271534215</v>
      </c>
      <c r="N42" s="2249">
        <v>-0.16999504068314764</v>
      </c>
      <c r="O42" s="2250">
        <v>25</v>
      </c>
      <c r="P42" s="2251"/>
      <c r="Q42" s="2252">
        <v>0</v>
      </c>
      <c r="R42" s="2250">
        <v>0.6</v>
      </c>
      <c r="S42" s="2253">
        <v>10</v>
      </c>
      <c r="T42" s="2161">
        <v>86.5</v>
      </c>
      <c r="U42" s="2245">
        <v>0.45207566818097805</v>
      </c>
      <c r="V42" s="2245">
        <v>19.016940140756208</v>
      </c>
      <c r="W42" s="2245">
        <v>115.1260861709348</v>
      </c>
      <c r="X42" s="2245">
        <v>0.5370133154940574</v>
      </c>
      <c r="Y42" s="2245">
        <v>0</v>
      </c>
      <c r="Z42" s="2161">
        <v>7949.4117291830144</v>
      </c>
      <c r="AA42" s="2245">
        <v>-2</v>
      </c>
      <c r="AB42" s="2245">
        <v>0.5</v>
      </c>
      <c r="AC42" s="2245">
        <v>0.39635838893478043</v>
      </c>
      <c r="AD42" s="2245" t="s">
        <v>1240</v>
      </c>
      <c r="AE42" s="2254">
        <v>1.4999999999999999E-2</v>
      </c>
      <c r="AF42" s="2255">
        <v>2</v>
      </c>
      <c r="AG42" s="2245">
        <v>1.5</v>
      </c>
      <c r="AH42" s="2245"/>
      <c r="AJ42" s="2256"/>
      <c r="AK42" s="2257">
        <v>0</v>
      </c>
      <c r="AL42" s="2245">
        <v>1.1315177560252647</v>
      </c>
      <c r="AM42" s="2245">
        <v>1.0354154910034943</v>
      </c>
      <c r="AN42" s="2245">
        <v>2.7793027677943156</v>
      </c>
      <c r="AO42" s="2245">
        <v>19.166857836480066</v>
      </c>
      <c r="AP42" s="2258">
        <v>32</v>
      </c>
      <c r="AQ42" s="2259">
        <v>0</v>
      </c>
      <c r="AR42" s="2259" t="s">
        <v>3521</v>
      </c>
      <c r="AS42" s="2260" t="s">
        <v>3521</v>
      </c>
      <c r="AT42" s="2259">
        <v>29</v>
      </c>
      <c r="AU42" s="2259">
        <v>30</v>
      </c>
      <c r="AV42" s="2259">
        <v>31</v>
      </c>
      <c r="AW42" s="2259">
        <v>503.5</v>
      </c>
      <c r="AX42" s="2261">
        <v>499.55000000000007</v>
      </c>
      <c r="AY42" s="2261">
        <v>500.88</v>
      </c>
      <c r="AZ42" s="2261">
        <v>497.92500000000001</v>
      </c>
      <c r="BA42" s="2261">
        <v>19.016940140756208</v>
      </c>
      <c r="BB42" s="2261">
        <v>15.64724289990375</v>
      </c>
      <c r="BC42" s="2261">
        <v>15.094203098194861</v>
      </c>
      <c r="BD42" s="2229">
        <v>0.93542304771940321</v>
      </c>
      <c r="BE42" s="2229">
        <v>1.1315177560252647</v>
      </c>
      <c r="BF42" s="2229">
        <v>0.92360554654056504</v>
      </c>
      <c r="BG42" s="2229">
        <v>635.60399402631094</v>
      </c>
      <c r="BH42" s="2229">
        <v>1.0230508178167732</v>
      </c>
      <c r="BI42" s="2229">
        <v>1.0354154910034943</v>
      </c>
      <c r="BJ42" s="2229">
        <v>0.90053740721339159</v>
      </c>
      <c r="BK42" s="2262">
        <v>503</v>
      </c>
      <c r="BL42" s="2262">
        <v>503</v>
      </c>
      <c r="BM42" s="2262">
        <v>497.92500000000001</v>
      </c>
      <c r="BN42" s="2262">
        <v>5.0749999999999886</v>
      </c>
      <c r="BO42" s="2262">
        <v>499.61500000000001</v>
      </c>
      <c r="BP42" s="2262">
        <v>499.74</v>
      </c>
      <c r="BQ42" s="2262">
        <v>500.76000000000005</v>
      </c>
      <c r="BR42" s="2262">
        <v>501.60599999999999</v>
      </c>
      <c r="BS42" s="2262">
        <v>499.74</v>
      </c>
      <c r="BT42" s="2262">
        <v>3.8809999999999834</v>
      </c>
      <c r="BU42" s="2262">
        <v>2</v>
      </c>
      <c r="BV42" s="2262">
        <v>3.8</v>
      </c>
      <c r="BW42" s="2262">
        <v>1.8</v>
      </c>
      <c r="BX42" s="2263">
        <v>0</v>
      </c>
      <c r="BY42" s="2262">
        <v>0.36</v>
      </c>
      <c r="BZ42" s="2262">
        <v>0.91499999999998882</v>
      </c>
      <c r="CA42" s="2064" t="s">
        <v>3524</v>
      </c>
      <c r="CC42" s="563">
        <v>8450.0694806476604</v>
      </c>
      <c r="CD42" s="563">
        <v>500.65775146464603</v>
      </c>
    </row>
    <row r="43" spans="1:82" s="563" customFormat="1" ht="22.9" customHeight="1">
      <c r="A43" s="2241">
        <v>33</v>
      </c>
      <c r="B43" s="2242" t="s">
        <v>4</v>
      </c>
      <c r="C43" s="2243">
        <v>504.5</v>
      </c>
      <c r="D43" s="2244"/>
      <c r="E43" s="2243">
        <v>502.48100000000005</v>
      </c>
      <c r="F43" s="2245">
        <v>2.0189999999999486</v>
      </c>
      <c r="G43" s="2243">
        <v>504</v>
      </c>
      <c r="H43" s="2246">
        <v>501.98100000000005</v>
      </c>
      <c r="I43" s="2245">
        <v>2.0189999999999486</v>
      </c>
      <c r="J43" s="2247">
        <v>503.09595914566739</v>
      </c>
      <c r="K43" s="2248">
        <v>503.10802801876804</v>
      </c>
      <c r="L43" s="2248" t="s">
        <v>3521</v>
      </c>
      <c r="M43" s="2248" t="s">
        <v>3521</v>
      </c>
      <c r="N43" s="2249" t="s">
        <v>3521</v>
      </c>
      <c r="O43" s="2250">
        <v>20</v>
      </c>
      <c r="P43" s="2251"/>
      <c r="Q43" s="2252">
        <v>0.8</v>
      </c>
      <c r="R43" s="2250">
        <v>0.6</v>
      </c>
      <c r="S43" s="2253">
        <v>10</v>
      </c>
      <c r="T43" s="2161">
        <v>18.470000000000002</v>
      </c>
      <c r="U43" s="2245">
        <v>0.59507114606306177</v>
      </c>
      <c r="V43" s="2245">
        <v>20.39267944376455</v>
      </c>
      <c r="W43" s="2245">
        <v>111.24586640395314</v>
      </c>
      <c r="X43" s="2245">
        <v>0.54341670662168307</v>
      </c>
      <c r="Y43" s="2245">
        <v>79.948071065906063</v>
      </c>
      <c r="Z43" s="2161">
        <v>2269.0750194434581</v>
      </c>
      <c r="AA43" s="2245">
        <v>2.5</v>
      </c>
      <c r="AB43" s="2245">
        <v>2.5</v>
      </c>
      <c r="AC43" s="2245">
        <v>1.122869160546984</v>
      </c>
      <c r="AD43" s="2245" t="s">
        <v>1240</v>
      </c>
      <c r="AE43" s="2254">
        <v>1.4999999999999999E-2</v>
      </c>
      <c r="AF43" s="2255">
        <v>1</v>
      </c>
      <c r="AG43" s="2245">
        <v>1</v>
      </c>
      <c r="AH43" s="2245"/>
      <c r="AJ43" s="2256"/>
      <c r="AK43" s="2257">
        <v>0</v>
      </c>
      <c r="AL43" s="2245">
        <v>0.61495914566732957</v>
      </c>
      <c r="AM43" s="2245">
        <v>0.8270516771916625</v>
      </c>
      <c r="AN43" s="2245">
        <v>4.4786979735773009</v>
      </c>
      <c r="AO43" s="2245">
        <v>20.467105836278598</v>
      </c>
      <c r="AP43" s="2258">
        <v>33</v>
      </c>
      <c r="AQ43" s="2259">
        <v>34</v>
      </c>
      <c r="AR43" s="2259">
        <v>504</v>
      </c>
      <c r="AS43" s="2260">
        <v>504</v>
      </c>
      <c r="AT43" s="2259">
        <v>52</v>
      </c>
      <c r="AU43" s="2259">
        <v>0</v>
      </c>
      <c r="AV43" s="2259">
        <v>0</v>
      </c>
      <c r="AW43" s="2259">
        <v>0</v>
      </c>
      <c r="AX43" s="2261">
        <v>502.48100000000005</v>
      </c>
      <c r="AY43" s="2261">
        <v>10000</v>
      </c>
      <c r="AZ43" s="2261">
        <v>10000</v>
      </c>
      <c r="BA43" s="2261">
        <v>20.39267944376455</v>
      </c>
      <c r="BB43" s="2261" t="s">
        <v>3521</v>
      </c>
      <c r="BC43" s="2261" t="s">
        <v>3521</v>
      </c>
      <c r="BD43" s="2229">
        <v>0.54374646187325304</v>
      </c>
      <c r="BE43" s="2229">
        <v>0.61495914566732957</v>
      </c>
      <c r="BF43" s="2229">
        <v>0.29687576859536413</v>
      </c>
      <c r="BG43" s="2229">
        <v>506.63720412275637</v>
      </c>
      <c r="BH43" s="2229">
        <v>0.85961941592472269</v>
      </c>
      <c r="BI43" s="2229">
        <v>0.87202567666543329</v>
      </c>
      <c r="BJ43" s="2229">
        <v>0.8270516771916625</v>
      </c>
      <c r="BK43" s="2262">
        <v>504.5</v>
      </c>
      <c r="BL43" s="2262">
        <v>504.5</v>
      </c>
      <c r="BM43" s="2262">
        <v>502.48100000000005</v>
      </c>
      <c r="BN43" s="2262">
        <v>2.0189999999999486</v>
      </c>
      <c r="BO43" s="2262">
        <v>503.19100000000003</v>
      </c>
      <c r="BP43" s="2262">
        <v>503.69100000000003</v>
      </c>
      <c r="BQ43" s="2262">
        <v>503.69100000000003</v>
      </c>
      <c r="BR43" s="2262">
        <v>0</v>
      </c>
      <c r="BS43" s="2262">
        <v>0</v>
      </c>
      <c r="BT43" s="2262">
        <v>1.4099999999999795</v>
      </c>
      <c r="BU43" s="2262">
        <v>1.4</v>
      </c>
      <c r="BV43" s="2262">
        <v>1.5999999999999999</v>
      </c>
      <c r="BW43" s="2262">
        <v>0.2</v>
      </c>
      <c r="BX43" s="2263">
        <v>0</v>
      </c>
      <c r="BY43" s="2262">
        <v>0.36</v>
      </c>
      <c r="BZ43" s="2262">
        <v>5.899999999994876E-2</v>
      </c>
      <c r="CA43" s="2064" t="s">
        <v>3524</v>
      </c>
      <c r="CC43" s="563">
        <v>2447.3693813402851</v>
      </c>
      <c r="CD43" s="563">
        <v>178.29436189682701</v>
      </c>
    </row>
    <row r="44" spans="1:82" s="563" customFormat="1" ht="22.9" customHeight="1">
      <c r="A44" s="2241">
        <v>34</v>
      </c>
      <c r="B44" s="2242" t="s">
        <v>4</v>
      </c>
      <c r="C44" s="2243">
        <v>504</v>
      </c>
      <c r="D44" s="2244"/>
      <c r="E44" s="2243">
        <v>501.98100000000005</v>
      </c>
      <c r="F44" s="2245">
        <v>2.0189999999999486</v>
      </c>
      <c r="G44" s="2243">
        <v>505</v>
      </c>
      <c r="H44" s="2246">
        <v>501.67600000000004</v>
      </c>
      <c r="I44" s="2245">
        <v>3.3239999999999554</v>
      </c>
      <c r="J44" s="2247">
        <v>502.91547192254586</v>
      </c>
      <c r="K44" s="2248">
        <v>502.59595914566739</v>
      </c>
      <c r="L44" s="2248" t="s">
        <v>3521</v>
      </c>
      <c r="M44" s="2248" t="s">
        <v>3521</v>
      </c>
      <c r="N44" s="2249">
        <v>-0.31951277687846869</v>
      </c>
      <c r="O44" s="2250">
        <v>61</v>
      </c>
      <c r="P44" s="2251"/>
      <c r="Q44" s="2252">
        <v>0.18</v>
      </c>
      <c r="R44" s="2250">
        <v>0.6</v>
      </c>
      <c r="S44" s="2253">
        <v>10</v>
      </c>
      <c r="T44" s="2161">
        <v>18.650000000000002</v>
      </c>
      <c r="U44" s="2245">
        <v>0.594044756981709</v>
      </c>
      <c r="V44" s="2245">
        <v>20.467105836278598</v>
      </c>
      <c r="W44" s="2245">
        <v>111.04435529902058</v>
      </c>
      <c r="X44" s="2245">
        <v>0.54374828699654898</v>
      </c>
      <c r="Y44" s="2245">
        <v>17.935698816806795</v>
      </c>
      <c r="Z44" s="2161">
        <v>2287.0107182602651</v>
      </c>
      <c r="AA44" s="2245">
        <v>-1.639344262295082</v>
      </c>
      <c r="AB44" s="2245">
        <v>0.5</v>
      </c>
      <c r="AC44" s="2245">
        <v>0.43138780712782698</v>
      </c>
      <c r="AD44" s="2245" t="s">
        <v>1240</v>
      </c>
      <c r="AE44" s="2254">
        <v>1.4999999999999999E-2</v>
      </c>
      <c r="AF44" s="2255">
        <v>1</v>
      </c>
      <c r="AG44" s="2245">
        <v>1.2</v>
      </c>
      <c r="AH44" s="2245"/>
      <c r="AJ44" s="2256"/>
      <c r="AK44" s="2257">
        <v>0</v>
      </c>
      <c r="AL44" s="2245">
        <v>0.93447192254579303</v>
      </c>
      <c r="AM44" s="2245">
        <v>0.83052843509759222</v>
      </c>
      <c r="AN44" s="2245">
        <v>2.4201968126111257</v>
      </c>
      <c r="AO44" s="2245">
        <v>20.887181865372199</v>
      </c>
      <c r="AP44" s="2258">
        <v>34</v>
      </c>
      <c r="AQ44" s="2259">
        <v>36</v>
      </c>
      <c r="AR44" s="2259">
        <v>505</v>
      </c>
      <c r="AS44" s="2260">
        <v>505</v>
      </c>
      <c r="AT44" s="2259">
        <v>33</v>
      </c>
      <c r="AU44" s="2259">
        <v>0</v>
      </c>
      <c r="AV44" s="2259">
        <v>0</v>
      </c>
      <c r="AW44" s="2259">
        <v>0</v>
      </c>
      <c r="AX44" s="2261">
        <v>501.98100000000005</v>
      </c>
      <c r="AY44" s="2261">
        <v>10000</v>
      </c>
      <c r="AZ44" s="2261">
        <v>10000</v>
      </c>
      <c r="BA44" s="2261">
        <v>20.467105836278598</v>
      </c>
      <c r="BB44" s="2261" t="s">
        <v>3521</v>
      </c>
      <c r="BC44" s="2261" t="s">
        <v>3521</v>
      </c>
      <c r="BD44" s="2229">
        <v>0.76371212276045219</v>
      </c>
      <c r="BE44" s="2229">
        <v>0.93447192254579303</v>
      </c>
      <c r="BF44" s="2229">
        <v>0.82386673323972437</v>
      </c>
      <c r="BG44" s="2229">
        <v>656.22840233693421</v>
      </c>
      <c r="BH44" s="2229">
        <v>0.8206067914926175</v>
      </c>
      <c r="BI44" s="2229">
        <v>0.83052843509759222</v>
      </c>
      <c r="BJ44" s="2229">
        <v>0.79634159611622279</v>
      </c>
      <c r="BK44" s="2262">
        <v>504</v>
      </c>
      <c r="BL44" s="2262">
        <v>504</v>
      </c>
      <c r="BM44" s="2262">
        <v>501.98100000000005</v>
      </c>
      <c r="BN44" s="2262">
        <v>2.0189999999999486</v>
      </c>
      <c r="BO44" s="2262">
        <v>503.12800000000004</v>
      </c>
      <c r="BP44" s="2262">
        <v>503.43300000000005</v>
      </c>
      <c r="BQ44" s="2262">
        <v>503.19100000000003</v>
      </c>
      <c r="BR44" s="2262">
        <v>0</v>
      </c>
      <c r="BS44" s="2262">
        <v>0</v>
      </c>
      <c r="BT44" s="2262">
        <v>1.6519999999999981</v>
      </c>
      <c r="BU44" s="2262">
        <v>1.4</v>
      </c>
      <c r="BV44" s="2262">
        <v>1.7999999999999998</v>
      </c>
      <c r="BW44" s="2262">
        <v>0.4</v>
      </c>
      <c r="BX44" s="2263">
        <v>0</v>
      </c>
      <c r="BY44" s="2262">
        <v>0.36</v>
      </c>
      <c r="BZ44" s="2262">
        <v>0</v>
      </c>
      <c r="CA44" s="2064" t="s">
        <v>3525</v>
      </c>
      <c r="CC44" s="563">
        <v>2467.0823142701606</v>
      </c>
      <c r="CD44" s="563">
        <v>180.07159600989553</v>
      </c>
    </row>
    <row r="45" spans="1:82" s="563" customFormat="1" ht="22.9" customHeight="1">
      <c r="A45" s="2241">
        <v>35</v>
      </c>
      <c r="B45" s="2242" t="s">
        <v>4</v>
      </c>
      <c r="C45" s="2243">
        <v>506</v>
      </c>
      <c r="D45" s="2244"/>
      <c r="E45" s="2243">
        <v>503.7</v>
      </c>
      <c r="F45" s="2245">
        <v>2.3000000000000114</v>
      </c>
      <c r="G45" s="2243">
        <v>505</v>
      </c>
      <c r="H45" s="2246">
        <v>502.70799999999997</v>
      </c>
      <c r="I45" s="2245">
        <v>2.29200000000003</v>
      </c>
      <c r="J45" s="2247">
        <v>504.24689262269658</v>
      </c>
      <c r="K45" s="2248" t="s">
        <v>3521</v>
      </c>
      <c r="L45" s="2248" t="s">
        <v>3521</v>
      </c>
      <c r="M45" s="2248" t="s">
        <v>3521</v>
      </c>
      <c r="N45" s="2249" t="s">
        <v>3521</v>
      </c>
      <c r="O45" s="2250">
        <v>31</v>
      </c>
      <c r="P45" s="2251"/>
      <c r="Q45" s="2252">
        <v>14.4</v>
      </c>
      <c r="R45" s="2250">
        <v>0.6</v>
      </c>
      <c r="S45" s="2253">
        <v>10</v>
      </c>
      <c r="T45" s="2161">
        <v>14.4</v>
      </c>
      <c r="U45" s="2245">
        <v>0.62203020845672996</v>
      </c>
      <c r="V45" s="2245">
        <v>15</v>
      </c>
      <c r="W45" s="2245">
        <v>128.45752167880846</v>
      </c>
      <c r="X45" s="2245">
        <v>0.51463248154014063</v>
      </c>
      <c r="Y45" s="2245">
        <v>1644.9887891746307</v>
      </c>
      <c r="Z45" s="2161">
        <v>1644.9887891746307</v>
      </c>
      <c r="AA45" s="2245">
        <v>3.225806451612903</v>
      </c>
      <c r="AB45" s="2245">
        <v>3.2</v>
      </c>
      <c r="AC45" s="2245">
        <v>1.9400402156854668</v>
      </c>
      <c r="AD45" s="2245" t="s">
        <v>1240</v>
      </c>
      <c r="AE45" s="2254">
        <v>1.4999999999999999E-2</v>
      </c>
      <c r="AF45" s="2255">
        <v>1</v>
      </c>
      <c r="AG45" s="2245">
        <v>0.8</v>
      </c>
      <c r="AH45" s="2245"/>
      <c r="AJ45" s="2256"/>
      <c r="AK45" s="2257">
        <v>0</v>
      </c>
      <c r="AL45" s="2245">
        <v>0.54689262269657979</v>
      </c>
      <c r="AM45" s="2245">
        <v>0.78597668016809219</v>
      </c>
      <c r="AN45" s="2245">
        <v>4.4927370391566193</v>
      </c>
      <c r="AO45" s="2245">
        <v>15.115000424499284</v>
      </c>
      <c r="AP45" s="2258">
        <v>35</v>
      </c>
      <c r="AQ45" s="2259">
        <v>36</v>
      </c>
      <c r="AR45" s="2259">
        <v>505</v>
      </c>
      <c r="AS45" s="2260">
        <v>505</v>
      </c>
      <c r="AT45" s="2259">
        <v>0</v>
      </c>
      <c r="AU45" s="2259">
        <v>0</v>
      </c>
      <c r="AV45" s="2259">
        <v>0</v>
      </c>
      <c r="AW45" s="2259">
        <v>0</v>
      </c>
      <c r="AX45" s="2261">
        <v>10000</v>
      </c>
      <c r="AY45" s="2261">
        <v>10000</v>
      </c>
      <c r="AZ45" s="2261">
        <v>10000</v>
      </c>
      <c r="BA45" s="2261">
        <v>15</v>
      </c>
      <c r="BB45" s="2261" t="s">
        <v>3521</v>
      </c>
      <c r="BC45" s="2261" t="s">
        <v>3521</v>
      </c>
      <c r="BD45" s="2229">
        <v>0.46757317284828903</v>
      </c>
      <c r="BE45" s="2229">
        <v>0.54689262269657979</v>
      </c>
      <c r="BF45" s="2229">
        <v>0.34928705984118213</v>
      </c>
      <c r="BG45" s="2229">
        <v>572.10002737392756</v>
      </c>
      <c r="BH45" s="2229">
        <v>0.77587777639898814</v>
      </c>
      <c r="BI45" s="2229">
        <v>0.78802526476800516</v>
      </c>
      <c r="BJ45" s="2229">
        <v>0.78597668016809219</v>
      </c>
      <c r="BK45" s="2262">
        <v>506</v>
      </c>
      <c r="BL45" s="2262">
        <v>506</v>
      </c>
      <c r="BM45" s="2262">
        <v>503.7</v>
      </c>
      <c r="BN45" s="2262">
        <v>2.3000000000000114</v>
      </c>
      <c r="BO45" s="2262">
        <v>503.67599999999999</v>
      </c>
      <c r="BP45" s="2262">
        <v>504.66800000000001</v>
      </c>
      <c r="BQ45" s="2262">
        <v>0</v>
      </c>
      <c r="BR45" s="2262">
        <v>0</v>
      </c>
      <c r="BS45" s="2262">
        <v>0</v>
      </c>
      <c r="BT45" s="2262">
        <v>1.1680000000000177</v>
      </c>
      <c r="BU45" s="2262">
        <v>1.4</v>
      </c>
      <c r="BV45" s="2262">
        <v>1.4</v>
      </c>
      <c r="BW45" s="2262">
        <v>0</v>
      </c>
      <c r="BX45" s="2263">
        <v>0</v>
      </c>
      <c r="BY45" s="2262">
        <v>0.36</v>
      </c>
      <c r="BZ45" s="2262">
        <v>0.54000000000001147</v>
      </c>
      <c r="CA45" s="2064" t="s">
        <v>3524</v>
      </c>
      <c r="CC45" s="563">
        <v>1743.1747266693426</v>
      </c>
      <c r="CD45" s="563">
        <v>98.185937494711879</v>
      </c>
    </row>
    <row r="46" spans="1:82" s="563" customFormat="1" ht="22.9" customHeight="1">
      <c r="A46" s="2241">
        <v>36</v>
      </c>
      <c r="B46" s="2242" t="s">
        <v>4</v>
      </c>
      <c r="C46" s="2243">
        <v>505</v>
      </c>
      <c r="D46" s="2244"/>
      <c r="E46" s="2243">
        <v>501.67600000000004</v>
      </c>
      <c r="F46" s="2245">
        <v>3.3239999999999554</v>
      </c>
      <c r="G46" s="2243">
        <v>502</v>
      </c>
      <c r="H46" s="2246">
        <v>500.57600000000002</v>
      </c>
      <c r="I46" s="2245">
        <v>1.4239999999999782</v>
      </c>
      <c r="J46" s="2247">
        <v>502.29002617188837</v>
      </c>
      <c r="K46" s="2248">
        <v>502.61047192254586</v>
      </c>
      <c r="L46" s="2248">
        <v>503.25489262269656</v>
      </c>
      <c r="M46" s="2248" t="s">
        <v>3521</v>
      </c>
      <c r="N46" s="2249" t="s">
        <v>3521</v>
      </c>
      <c r="O46" s="2250">
        <v>22</v>
      </c>
      <c r="P46" s="2251"/>
      <c r="Q46" s="2252">
        <v>0.18</v>
      </c>
      <c r="R46" s="2250">
        <v>0.6</v>
      </c>
      <c r="S46" s="2253">
        <v>10</v>
      </c>
      <c r="T46" s="2161">
        <v>33.230000000000004</v>
      </c>
      <c r="U46" s="2245">
        <v>0.53600346752926842</v>
      </c>
      <c r="V46" s="2245">
        <v>20.887181865372199</v>
      </c>
      <c r="W46" s="2245">
        <v>109.92231122103428</v>
      </c>
      <c r="X46" s="2245">
        <v>0.54559304751894666</v>
      </c>
      <c r="Y46" s="2245">
        <v>16.074113275202066</v>
      </c>
      <c r="Z46" s="2161">
        <v>3948.0736207100977</v>
      </c>
      <c r="AA46" s="2245">
        <v>13.636363636363635</v>
      </c>
      <c r="AB46" s="2245">
        <v>5</v>
      </c>
      <c r="AC46" s="2245">
        <v>1.285588417257711</v>
      </c>
      <c r="AD46" s="2245" t="s">
        <v>1240</v>
      </c>
      <c r="AE46" s="2254">
        <v>1.4999999999999999E-2</v>
      </c>
      <c r="AF46" s="2255">
        <v>1</v>
      </c>
      <c r="AG46" s="2245">
        <v>1.2</v>
      </c>
      <c r="AH46" s="2245"/>
      <c r="AJ46" s="2256"/>
      <c r="AK46" s="2257">
        <v>0</v>
      </c>
      <c r="AL46" s="2245">
        <v>0.61402617188831254</v>
      </c>
      <c r="AM46" s="2245">
        <v>0.94407996968402874</v>
      </c>
      <c r="AN46" s="2245">
        <v>6.77994402777197</v>
      </c>
      <c r="AO46" s="2245">
        <v>20.941262941139893</v>
      </c>
      <c r="AP46" s="2258">
        <v>36</v>
      </c>
      <c r="AQ46" s="2259">
        <v>0</v>
      </c>
      <c r="AR46" s="2259" t="s">
        <v>3521</v>
      </c>
      <c r="AS46" s="2260" t="s">
        <v>3521</v>
      </c>
      <c r="AT46" s="2259">
        <v>34</v>
      </c>
      <c r="AU46" s="2259">
        <v>35</v>
      </c>
      <c r="AV46" s="2259">
        <v>0</v>
      </c>
      <c r="AW46" s="2259">
        <v>502</v>
      </c>
      <c r="AX46" s="2261">
        <v>501.67600000000004</v>
      </c>
      <c r="AY46" s="2261">
        <v>502.70799999999997</v>
      </c>
      <c r="AZ46" s="2261">
        <v>10000</v>
      </c>
      <c r="BA46" s="2261">
        <v>20.887181865372199</v>
      </c>
      <c r="BB46" s="2261">
        <v>15.115000424499284</v>
      </c>
      <c r="BC46" s="2261" t="s">
        <v>3521</v>
      </c>
      <c r="BD46" s="2229">
        <v>0.57045330274575734</v>
      </c>
      <c r="BE46" s="2229">
        <v>0.61402617188831254</v>
      </c>
      <c r="BF46" s="2229">
        <v>0.17397421404919375</v>
      </c>
      <c r="BG46" s="2229">
        <v>404.3864935948115</v>
      </c>
      <c r="BH46" s="2229">
        <v>1.0845030570261129</v>
      </c>
      <c r="BI46" s="2229">
        <v>1.1007360453316286</v>
      </c>
      <c r="BJ46" s="2229">
        <v>0.94407996968402874</v>
      </c>
      <c r="BK46" s="2262">
        <v>505</v>
      </c>
      <c r="BL46" s="2262">
        <v>505</v>
      </c>
      <c r="BM46" s="2262">
        <v>501.67600000000004</v>
      </c>
      <c r="BN46" s="2262">
        <v>3.3239999999999554</v>
      </c>
      <c r="BO46" s="2262">
        <v>502.02800000000002</v>
      </c>
      <c r="BP46" s="2262">
        <v>503.12800000000004</v>
      </c>
      <c r="BQ46" s="2262">
        <v>503.12800000000004</v>
      </c>
      <c r="BR46" s="2262">
        <v>503.67599999999999</v>
      </c>
      <c r="BS46" s="2262">
        <v>0</v>
      </c>
      <c r="BT46" s="2262">
        <v>2.1999999999999433</v>
      </c>
      <c r="BU46" s="2262">
        <v>1.4</v>
      </c>
      <c r="BV46" s="2262">
        <v>2</v>
      </c>
      <c r="BW46" s="2262">
        <v>0.60000000000000009</v>
      </c>
      <c r="BX46" s="2263">
        <v>0</v>
      </c>
      <c r="BY46" s="2262">
        <v>0.36</v>
      </c>
      <c r="BZ46" s="2262">
        <v>0.96399999999995545</v>
      </c>
      <c r="CA46" s="2064" t="s">
        <v>3524</v>
      </c>
      <c r="CC46" s="563">
        <v>4227.965920444055</v>
      </c>
      <c r="CD46" s="563">
        <v>279.89229973395732</v>
      </c>
    </row>
    <row r="47" spans="1:82" s="563" customFormat="1" ht="22.9" customHeight="1">
      <c r="A47" s="2241">
        <v>37</v>
      </c>
      <c r="B47" s="2242" t="s">
        <v>4</v>
      </c>
      <c r="C47" s="2243">
        <v>528.4</v>
      </c>
      <c r="D47" s="2244"/>
      <c r="E47" s="2243">
        <v>526.29999999999995</v>
      </c>
      <c r="F47" s="2245">
        <v>2.1000000000000227</v>
      </c>
      <c r="G47" s="2243">
        <v>526.20000000000005</v>
      </c>
      <c r="H47" s="2246">
        <v>524.14</v>
      </c>
      <c r="I47" s="2245">
        <v>2.0600000000000591</v>
      </c>
      <c r="J47" s="2247">
        <v>526.5067893981078</v>
      </c>
      <c r="K47" s="2248" t="s">
        <v>3521</v>
      </c>
      <c r="L47" s="2248" t="s">
        <v>3521</v>
      </c>
      <c r="M47" s="2248" t="s">
        <v>3521</v>
      </c>
      <c r="N47" s="2249" t="s">
        <v>3521</v>
      </c>
      <c r="O47" s="2250">
        <v>80</v>
      </c>
      <c r="P47" s="2251"/>
      <c r="Q47" s="2252">
        <v>1.24</v>
      </c>
      <c r="R47" s="2250">
        <v>0.6</v>
      </c>
      <c r="S47" s="2253">
        <v>10</v>
      </c>
      <c r="T47" s="2161">
        <v>1.24</v>
      </c>
      <c r="U47" s="2245">
        <v>0.96243396249210067</v>
      </c>
      <c r="V47" s="2245">
        <v>15</v>
      </c>
      <c r="W47" s="2245">
        <v>128.45752167880846</v>
      </c>
      <c r="X47" s="2245">
        <v>0.51463248154014063</v>
      </c>
      <c r="Y47" s="2245">
        <v>219.17024808435616</v>
      </c>
      <c r="Z47" s="2161">
        <v>219.17024808435616</v>
      </c>
      <c r="AA47" s="2245">
        <v>2.7499999999999147</v>
      </c>
      <c r="AB47" s="2245">
        <v>2.7</v>
      </c>
      <c r="AC47" s="2245">
        <v>0.1597305454236865</v>
      </c>
      <c r="AD47" s="2245" t="s">
        <v>1240</v>
      </c>
      <c r="AE47" s="2254">
        <v>1.4999999999999999E-2</v>
      </c>
      <c r="AF47" s="2255">
        <v>1</v>
      </c>
      <c r="AG47" s="2245">
        <v>0.6</v>
      </c>
      <c r="AH47" s="2245"/>
      <c r="AJ47" s="2256"/>
      <c r="AK47" s="2257">
        <v>0</v>
      </c>
      <c r="AL47" s="2245">
        <v>0.20678939810782557</v>
      </c>
      <c r="AM47" s="2245">
        <v>0.30277893604811901</v>
      </c>
      <c r="AN47" s="2245">
        <v>2.5379080360695805</v>
      </c>
      <c r="AO47" s="2245">
        <v>15.525367079651257</v>
      </c>
      <c r="AP47" s="2258">
        <v>37</v>
      </c>
      <c r="AQ47" s="2259">
        <v>38</v>
      </c>
      <c r="AR47" s="2259">
        <v>526.20000000000005</v>
      </c>
      <c r="AS47" s="2260">
        <v>526.20000000000005</v>
      </c>
      <c r="AT47" s="2259">
        <v>0</v>
      </c>
      <c r="AU47" s="2259">
        <v>0</v>
      </c>
      <c r="AV47" s="2259">
        <v>0</v>
      </c>
      <c r="AW47" s="2259">
        <v>0</v>
      </c>
      <c r="AX47" s="2261">
        <v>10000</v>
      </c>
      <c r="AY47" s="2261">
        <v>10000</v>
      </c>
      <c r="AZ47" s="2261">
        <v>10000</v>
      </c>
      <c r="BA47" s="2261">
        <v>15</v>
      </c>
      <c r="BB47" s="2261" t="s">
        <v>3521</v>
      </c>
      <c r="BC47" s="2261" t="s">
        <v>3521</v>
      </c>
      <c r="BD47" s="2229">
        <v>0.20012705085771823</v>
      </c>
      <c r="BE47" s="2229">
        <v>0.20678939810782557</v>
      </c>
      <c r="BF47" s="2229">
        <v>1.3153265595382812E-2</v>
      </c>
      <c r="BG47" s="2229">
        <v>239.88506913024955</v>
      </c>
      <c r="BH47" s="2229">
        <v>0.30013669970928414</v>
      </c>
      <c r="BI47" s="2229">
        <v>0.30277893604811901</v>
      </c>
      <c r="BJ47" s="2229">
        <v>0.44685308116423544</v>
      </c>
      <c r="BK47" s="2262">
        <v>528.4</v>
      </c>
      <c r="BL47" s="2262">
        <v>528.4</v>
      </c>
      <c r="BM47" s="2262">
        <v>526.29999999999995</v>
      </c>
      <c r="BN47" s="2262">
        <v>2.1000000000000227</v>
      </c>
      <c r="BO47" s="2262">
        <v>524.86599999999999</v>
      </c>
      <c r="BP47" s="2262">
        <v>527.02599999999995</v>
      </c>
      <c r="BQ47" s="2262">
        <v>0</v>
      </c>
      <c r="BR47" s="2262">
        <v>0</v>
      </c>
      <c r="BS47" s="2262">
        <v>0</v>
      </c>
      <c r="BT47" s="2262">
        <v>0.92599999999999905</v>
      </c>
      <c r="BU47" s="2262">
        <v>1.4</v>
      </c>
      <c r="BV47" s="2262">
        <v>1.4</v>
      </c>
      <c r="BW47" s="2262">
        <v>0</v>
      </c>
      <c r="BX47" s="2263">
        <v>0</v>
      </c>
      <c r="BY47" s="2262">
        <v>0.36</v>
      </c>
      <c r="BZ47" s="2262">
        <v>0.34000000000002284</v>
      </c>
      <c r="CA47" s="2064" t="s">
        <v>3524</v>
      </c>
      <c r="CC47" s="563">
        <v>232.2520614199403</v>
      </c>
      <c r="CD47" s="563">
        <v>13.081813335584144</v>
      </c>
    </row>
    <row r="48" spans="1:82" s="563" customFormat="1" ht="22.9" customHeight="1">
      <c r="A48" s="2241">
        <v>38</v>
      </c>
      <c r="B48" s="2242" t="s">
        <v>4</v>
      </c>
      <c r="C48" s="2243">
        <v>526.20000000000005</v>
      </c>
      <c r="D48" s="2244"/>
      <c r="E48" s="2243">
        <v>524.14</v>
      </c>
      <c r="F48" s="2245">
        <v>2.0600000000000591</v>
      </c>
      <c r="G48" s="2243">
        <v>524.5</v>
      </c>
      <c r="H48" s="2246">
        <v>522.46</v>
      </c>
      <c r="I48" s="2245">
        <v>2.0399999999999636</v>
      </c>
      <c r="J48" s="2247">
        <v>524.47542603259262</v>
      </c>
      <c r="K48" s="2248">
        <v>524.34678939810783</v>
      </c>
      <c r="L48" s="2248" t="s">
        <v>3521</v>
      </c>
      <c r="M48" s="2248" t="s">
        <v>3521</v>
      </c>
      <c r="N48" s="2249">
        <v>-0.12863663448479201</v>
      </c>
      <c r="O48" s="2250">
        <v>80</v>
      </c>
      <c r="P48" s="2251"/>
      <c r="Q48" s="2252">
        <v>1.61</v>
      </c>
      <c r="R48" s="2250">
        <v>0.6</v>
      </c>
      <c r="S48" s="2253">
        <v>10</v>
      </c>
      <c r="T48" s="2161">
        <v>2.85</v>
      </c>
      <c r="U48" s="2245">
        <v>0.8299226452888232</v>
      </c>
      <c r="V48" s="2245">
        <v>15.525367079651257</v>
      </c>
      <c r="W48" s="2245">
        <v>126.51666877070465</v>
      </c>
      <c r="X48" s="2245">
        <v>0.51793684012442731</v>
      </c>
      <c r="Y48" s="2245">
        <v>243.23176065245153</v>
      </c>
      <c r="Z48" s="2161">
        <v>462.40200873680772</v>
      </c>
      <c r="AA48" s="2245">
        <v>2.1250000000000568</v>
      </c>
      <c r="AB48" s="2245">
        <v>2.1</v>
      </c>
      <c r="AC48" s="2245">
        <v>0.71099115878371144</v>
      </c>
      <c r="AD48" s="2245" t="s">
        <v>1240</v>
      </c>
      <c r="AE48" s="2254">
        <v>1.4999999999999999E-2</v>
      </c>
      <c r="AF48" s="2255">
        <v>1</v>
      </c>
      <c r="AG48" s="2245">
        <v>0.6</v>
      </c>
      <c r="AH48" s="2245"/>
      <c r="AJ48" s="2256"/>
      <c r="AK48" s="2257">
        <v>0</v>
      </c>
      <c r="AL48" s="2245">
        <v>0.33542603259258996</v>
      </c>
      <c r="AM48" s="2245">
        <v>0.4450410801119537</v>
      </c>
      <c r="AN48" s="2245">
        <v>2.8441893692733324</v>
      </c>
      <c r="AO48" s="2245">
        <v>15.994159118513982</v>
      </c>
      <c r="AP48" s="2258">
        <v>38</v>
      </c>
      <c r="AQ48" s="2259">
        <v>39</v>
      </c>
      <c r="AR48" s="2259">
        <v>524.5</v>
      </c>
      <c r="AS48" s="2260">
        <v>524.5</v>
      </c>
      <c r="AT48" s="2259">
        <v>37</v>
      </c>
      <c r="AU48" s="2259">
        <v>0</v>
      </c>
      <c r="AV48" s="2259">
        <v>0</v>
      </c>
      <c r="AW48" s="2259">
        <v>0</v>
      </c>
      <c r="AX48" s="2261">
        <v>524.14</v>
      </c>
      <c r="AY48" s="2261">
        <v>10000</v>
      </c>
      <c r="AZ48" s="2261">
        <v>10000</v>
      </c>
      <c r="BA48" s="2261">
        <v>15.525367079651257</v>
      </c>
      <c r="BB48" s="2261" t="s">
        <v>3521</v>
      </c>
      <c r="BC48" s="2261" t="s">
        <v>3521</v>
      </c>
      <c r="BD48" s="2229">
        <v>0.30471398231833313</v>
      </c>
      <c r="BE48" s="2229">
        <v>0.33542603259258996</v>
      </c>
      <c r="BF48" s="2229">
        <v>0.1238512576306809</v>
      </c>
      <c r="BG48" s="2229">
        <v>451.60495927072429</v>
      </c>
      <c r="BH48" s="2229">
        <v>0.43944801487440371</v>
      </c>
      <c r="BI48" s="2229">
        <v>0.4450410801119537</v>
      </c>
      <c r="BJ48" s="2229">
        <v>0.56393594426281024</v>
      </c>
      <c r="BK48" s="2262">
        <v>526.20000000000005</v>
      </c>
      <c r="BL48" s="2262">
        <v>526.20000000000005</v>
      </c>
      <c r="BM48" s="2262">
        <v>524.14</v>
      </c>
      <c r="BN48" s="2262">
        <v>2.0600000000000591</v>
      </c>
      <c r="BO48" s="2262">
        <v>523.18600000000004</v>
      </c>
      <c r="BP48" s="2262">
        <v>524.86599999999999</v>
      </c>
      <c r="BQ48" s="2262">
        <v>524.86599999999999</v>
      </c>
      <c r="BR48" s="2262">
        <v>0</v>
      </c>
      <c r="BS48" s="2262">
        <v>0</v>
      </c>
      <c r="BT48" s="2262">
        <v>0.92599999999999905</v>
      </c>
      <c r="BU48" s="2262">
        <v>1.4</v>
      </c>
      <c r="BV48" s="2262">
        <v>1.4</v>
      </c>
      <c r="BW48" s="2262">
        <v>0</v>
      </c>
      <c r="BX48" s="2263">
        <v>0</v>
      </c>
      <c r="BY48" s="2262">
        <v>0.36</v>
      </c>
      <c r="BZ48" s="2262">
        <v>0.30000000000005922</v>
      </c>
      <c r="CA48" s="2064" t="s">
        <v>3524</v>
      </c>
      <c r="CC48" s="563">
        <v>491.1123707259992</v>
      </c>
      <c r="CD48" s="563">
        <v>28.710361989191483</v>
      </c>
    </row>
    <row r="49" spans="1:82" s="563" customFormat="1" ht="22.9" customHeight="1">
      <c r="A49" s="2241">
        <v>39</v>
      </c>
      <c r="B49" s="2242" t="s">
        <v>4</v>
      </c>
      <c r="C49" s="2243">
        <v>524.5</v>
      </c>
      <c r="D49" s="2244"/>
      <c r="E49" s="2243">
        <v>522.46</v>
      </c>
      <c r="F49" s="2245">
        <v>2.0399999999999636</v>
      </c>
      <c r="G49" s="2243">
        <v>523.1</v>
      </c>
      <c r="H49" s="2246">
        <v>521.1</v>
      </c>
      <c r="I49" s="2245">
        <v>2</v>
      </c>
      <c r="J49" s="2247">
        <v>522.93430596511746</v>
      </c>
      <c r="K49" s="2248">
        <v>522.79542603259267</v>
      </c>
      <c r="L49" s="2248" t="s">
        <v>3521</v>
      </c>
      <c r="M49" s="2248" t="s">
        <v>3521</v>
      </c>
      <c r="N49" s="2249">
        <v>-0.13887993252478736</v>
      </c>
      <c r="O49" s="2250">
        <v>80</v>
      </c>
      <c r="P49" s="2251"/>
      <c r="Q49" s="2252">
        <v>1.55</v>
      </c>
      <c r="R49" s="2250">
        <v>0.6</v>
      </c>
      <c r="S49" s="2253">
        <v>10</v>
      </c>
      <c r="T49" s="2161">
        <v>4.4000000000000004</v>
      </c>
      <c r="U49" s="2245">
        <v>0.76818429414702394</v>
      </c>
      <c r="V49" s="2245">
        <v>15.994159118513982</v>
      </c>
      <c r="W49" s="2245">
        <v>124.83996707772714</v>
      </c>
      <c r="X49" s="2245">
        <v>0.52077718161414976</v>
      </c>
      <c r="Y49" s="2245">
        <v>215.04777602531877</v>
      </c>
      <c r="Z49" s="2161">
        <v>677.44978476212646</v>
      </c>
      <c r="AA49" s="2245">
        <v>1.7499999999999718</v>
      </c>
      <c r="AB49" s="2245">
        <v>1.7</v>
      </c>
      <c r="AC49" s="2245">
        <v>1.5260859515047334</v>
      </c>
      <c r="AD49" s="2245" t="s">
        <v>1240</v>
      </c>
      <c r="AE49" s="2254">
        <v>1.4999999999999999E-2</v>
      </c>
      <c r="AF49" s="2255">
        <v>1</v>
      </c>
      <c r="AG49" s="2245">
        <v>0.6</v>
      </c>
      <c r="AH49" s="2245"/>
      <c r="AJ49" s="2256"/>
      <c r="AK49" s="2257">
        <v>0</v>
      </c>
      <c r="AL49" s="2245">
        <v>0.47430596511741596</v>
      </c>
      <c r="AM49" s="2245">
        <v>0.63522492011176135</v>
      </c>
      <c r="AN49" s="2245">
        <v>2.8258899614673174</v>
      </c>
      <c r="AO49" s="2245">
        <v>16.465986879507554</v>
      </c>
      <c r="AP49" s="2258">
        <v>39</v>
      </c>
      <c r="AQ49" s="2259">
        <v>40</v>
      </c>
      <c r="AR49" s="2259">
        <v>523.1</v>
      </c>
      <c r="AS49" s="2260">
        <v>523.1</v>
      </c>
      <c r="AT49" s="2259">
        <v>38</v>
      </c>
      <c r="AU49" s="2259">
        <v>0</v>
      </c>
      <c r="AV49" s="2259">
        <v>0</v>
      </c>
      <c r="AW49" s="2259">
        <v>0</v>
      </c>
      <c r="AX49" s="2261">
        <v>522.46</v>
      </c>
      <c r="AY49" s="2261">
        <v>10000</v>
      </c>
      <c r="AZ49" s="2261">
        <v>10000</v>
      </c>
      <c r="BA49" s="2261">
        <v>15.994159118513982</v>
      </c>
      <c r="BB49" s="2261" t="s">
        <v>3521</v>
      </c>
      <c r="BC49" s="2261" t="s">
        <v>3521</v>
      </c>
      <c r="BD49" s="2229">
        <v>0.38543602907261371</v>
      </c>
      <c r="BE49" s="2229">
        <v>0.47430596511741596</v>
      </c>
      <c r="BF49" s="2229">
        <v>0.43375522424944518</v>
      </c>
      <c r="BG49" s="2229">
        <v>665.91586485393918</v>
      </c>
      <c r="BH49" s="2229">
        <v>0.53408561348108774</v>
      </c>
      <c r="BI49" s="2229">
        <v>0.54195837524195678</v>
      </c>
      <c r="BJ49" s="2229">
        <v>0.63522492011176135</v>
      </c>
      <c r="BK49" s="2262">
        <v>524.5</v>
      </c>
      <c r="BL49" s="2262">
        <v>524.5</v>
      </c>
      <c r="BM49" s="2262">
        <v>522.46</v>
      </c>
      <c r="BN49" s="2262">
        <v>2.0399999999999636</v>
      </c>
      <c r="BO49" s="2262">
        <v>521.82600000000002</v>
      </c>
      <c r="BP49" s="2262">
        <v>523.18600000000004</v>
      </c>
      <c r="BQ49" s="2262">
        <v>523.18600000000004</v>
      </c>
      <c r="BR49" s="2262">
        <v>0</v>
      </c>
      <c r="BS49" s="2262">
        <v>0</v>
      </c>
      <c r="BT49" s="2262">
        <v>0.92599999999999905</v>
      </c>
      <c r="BU49" s="2262">
        <v>1.4</v>
      </c>
      <c r="BV49" s="2262">
        <v>1.4</v>
      </c>
      <c r="BW49" s="2262">
        <v>0</v>
      </c>
      <c r="BX49" s="2263">
        <v>0</v>
      </c>
      <c r="BY49" s="2262">
        <v>0.36</v>
      </c>
      <c r="BZ49" s="2262">
        <v>0.27999999999996372</v>
      </c>
      <c r="CA49" s="2064" t="s">
        <v>3524</v>
      </c>
      <c r="CC49" s="563">
        <v>720.81662855230934</v>
      </c>
      <c r="CD49" s="563">
        <v>43.366843790182884</v>
      </c>
    </row>
    <row r="50" spans="1:82" s="563" customFormat="1" ht="22.9" customHeight="1">
      <c r="A50" s="2241">
        <v>40</v>
      </c>
      <c r="B50" s="2242" t="s">
        <v>4</v>
      </c>
      <c r="C50" s="2243">
        <v>523.1</v>
      </c>
      <c r="D50" s="2244"/>
      <c r="E50" s="2243">
        <v>521.1</v>
      </c>
      <c r="F50" s="2245">
        <v>2</v>
      </c>
      <c r="G50" s="2243">
        <v>522</v>
      </c>
      <c r="H50" s="2246">
        <v>519.98</v>
      </c>
      <c r="I50" s="2245">
        <v>2.0199999999999818</v>
      </c>
      <c r="J50" s="2247">
        <v>521.56909592518753</v>
      </c>
      <c r="K50" s="2248">
        <v>521.57430596511745</v>
      </c>
      <c r="L50" s="2248" t="s">
        <v>3521</v>
      </c>
      <c r="M50" s="2248" t="s">
        <v>3521</v>
      </c>
      <c r="N50" s="2249" t="s">
        <v>3521</v>
      </c>
      <c r="O50" s="2250">
        <v>80</v>
      </c>
      <c r="P50" s="2251"/>
      <c r="Q50" s="2252">
        <v>1.5</v>
      </c>
      <c r="R50" s="2250">
        <v>0.6</v>
      </c>
      <c r="S50" s="2253">
        <v>10</v>
      </c>
      <c r="T50" s="2161">
        <v>5.9</v>
      </c>
      <c r="U50" s="2245">
        <v>0.72910208793210929</v>
      </c>
      <c r="V50" s="2245">
        <v>16.465986879507554</v>
      </c>
      <c r="W50" s="2245">
        <v>123.2024031711268</v>
      </c>
      <c r="X50" s="2245">
        <v>0.52353924505393368</v>
      </c>
      <c r="Y50" s="2245">
        <v>195.96579061904896</v>
      </c>
      <c r="Z50" s="2161">
        <v>873.41557538117536</v>
      </c>
      <c r="AA50" s="2245">
        <v>1.3750000000000284</v>
      </c>
      <c r="AB50" s="2245">
        <v>1.4</v>
      </c>
      <c r="AC50" s="2245">
        <v>0.54692366100771228</v>
      </c>
      <c r="AD50" s="2245" t="s">
        <v>1240</v>
      </c>
      <c r="AE50" s="2254">
        <v>1.4999999999999999E-2</v>
      </c>
      <c r="AF50" s="2255">
        <v>1</v>
      </c>
      <c r="AG50" s="2245">
        <v>0.8</v>
      </c>
      <c r="AH50" s="2245"/>
      <c r="AJ50" s="2256"/>
      <c r="AK50" s="2257">
        <v>0</v>
      </c>
      <c r="AL50" s="2245">
        <v>0.4690959251874775</v>
      </c>
      <c r="AM50" s="2245">
        <v>0.56845692111091273</v>
      </c>
      <c r="AN50" s="2245">
        <v>2.8512429582723184</v>
      </c>
      <c r="AO50" s="2245">
        <v>16.933619190344107</v>
      </c>
      <c r="AP50" s="2258">
        <v>40</v>
      </c>
      <c r="AQ50" s="2259">
        <v>41</v>
      </c>
      <c r="AR50" s="2259">
        <v>522</v>
      </c>
      <c r="AS50" s="2260">
        <v>522</v>
      </c>
      <c r="AT50" s="2259">
        <v>39</v>
      </c>
      <c r="AU50" s="2259">
        <v>0</v>
      </c>
      <c r="AV50" s="2259">
        <v>0</v>
      </c>
      <c r="AW50" s="2259">
        <v>0</v>
      </c>
      <c r="AX50" s="2261">
        <v>521.1</v>
      </c>
      <c r="AY50" s="2261">
        <v>10000</v>
      </c>
      <c r="AZ50" s="2261">
        <v>10000</v>
      </c>
      <c r="BA50" s="2261">
        <v>16.465986879507554</v>
      </c>
      <c r="BB50" s="2261" t="s">
        <v>3521</v>
      </c>
      <c r="BC50" s="2261" t="s">
        <v>3521</v>
      </c>
      <c r="BD50" s="2229">
        <v>0.42058310671821725</v>
      </c>
      <c r="BE50" s="2229">
        <v>0.4690959251874775</v>
      </c>
      <c r="BF50" s="2229">
        <v>0.19844939741371267</v>
      </c>
      <c r="BG50" s="2229">
        <v>478.63751230797226</v>
      </c>
      <c r="BH50" s="2229">
        <v>0.56153965115073923</v>
      </c>
      <c r="BI50" s="2229">
        <v>0.56845692111091273</v>
      </c>
      <c r="BJ50" s="2229">
        <v>0.64522358843916983</v>
      </c>
      <c r="BK50" s="2262">
        <v>523.1</v>
      </c>
      <c r="BL50" s="2262">
        <v>523.1</v>
      </c>
      <c r="BM50" s="2262">
        <v>521.1</v>
      </c>
      <c r="BN50" s="2262">
        <v>2</v>
      </c>
      <c r="BO50" s="2262">
        <v>520.94799999999998</v>
      </c>
      <c r="BP50" s="2262">
        <v>522.06799999999998</v>
      </c>
      <c r="BQ50" s="2262">
        <v>521.82600000000002</v>
      </c>
      <c r="BR50" s="2262">
        <v>0</v>
      </c>
      <c r="BS50" s="2262">
        <v>0</v>
      </c>
      <c r="BT50" s="2262">
        <v>1.1679999999999608</v>
      </c>
      <c r="BU50" s="2262">
        <v>1.4</v>
      </c>
      <c r="BV50" s="2262">
        <v>1.4</v>
      </c>
      <c r="BW50" s="2262">
        <v>0</v>
      </c>
      <c r="BX50" s="2263">
        <v>0</v>
      </c>
      <c r="BY50" s="2262">
        <v>0.36</v>
      </c>
      <c r="BZ50" s="2262">
        <v>0.2400000000000001</v>
      </c>
      <c r="CA50" s="2064" t="s">
        <v>3524</v>
      </c>
      <c r="CC50" s="563">
        <v>930.89631341311087</v>
      </c>
      <c r="CD50" s="563">
        <v>57.480738031935516</v>
      </c>
    </row>
    <row r="51" spans="1:82" s="563" customFormat="1" ht="22.9" customHeight="1">
      <c r="A51" s="2241">
        <v>41</v>
      </c>
      <c r="B51" s="2242" t="s">
        <v>4</v>
      </c>
      <c r="C51" s="2243">
        <v>522</v>
      </c>
      <c r="D51" s="2244"/>
      <c r="E51" s="2243">
        <v>519.98</v>
      </c>
      <c r="F51" s="2245">
        <v>2.0199999999999818</v>
      </c>
      <c r="G51" s="2243">
        <v>521.4</v>
      </c>
      <c r="H51" s="2246">
        <v>519.35</v>
      </c>
      <c r="I51" s="2245">
        <v>2.0499999999999545</v>
      </c>
      <c r="J51" s="2247">
        <v>520.60960798462941</v>
      </c>
      <c r="K51" s="2248">
        <v>520.44909592518752</v>
      </c>
      <c r="L51" s="2248" t="s">
        <v>3521</v>
      </c>
      <c r="M51" s="2248" t="s">
        <v>3521</v>
      </c>
      <c r="N51" s="2249">
        <v>-0.16051205944188496</v>
      </c>
      <c r="O51" s="2250">
        <v>70</v>
      </c>
      <c r="P51" s="2251"/>
      <c r="Q51" s="2252">
        <v>1.46</v>
      </c>
      <c r="R51" s="2250">
        <v>0.6</v>
      </c>
      <c r="S51" s="2253">
        <v>10</v>
      </c>
      <c r="T51" s="2161">
        <v>7.36</v>
      </c>
      <c r="U51" s="2245">
        <v>0.70096405638923243</v>
      </c>
      <c r="V51" s="2245">
        <v>16.933619190344107</v>
      </c>
      <c r="W51" s="2245">
        <v>121.62664615894464</v>
      </c>
      <c r="X51" s="2245">
        <v>0.52618658026483156</v>
      </c>
      <c r="Y51" s="2245">
        <v>181.94886268522848</v>
      </c>
      <c r="Z51" s="2161">
        <v>1055.3644380664039</v>
      </c>
      <c r="AA51" s="2245">
        <v>0.85714285714288962</v>
      </c>
      <c r="AB51" s="2245">
        <v>0.9</v>
      </c>
      <c r="AC51" s="2245">
        <v>0.79852728371257253</v>
      </c>
      <c r="AD51" s="2245" t="s">
        <v>1240</v>
      </c>
      <c r="AE51" s="2254">
        <v>1.4999999999999999E-2</v>
      </c>
      <c r="AF51" s="2255">
        <v>1</v>
      </c>
      <c r="AG51" s="2245">
        <v>0.8</v>
      </c>
      <c r="AH51" s="2245"/>
      <c r="AJ51" s="2256"/>
      <c r="AK51" s="2257">
        <v>0</v>
      </c>
      <c r="AL51" s="2245">
        <v>0.62960798462939982</v>
      </c>
      <c r="AM51" s="2245">
        <v>0.62675095812599546</v>
      </c>
      <c r="AN51" s="2245">
        <v>2.4869701639263506</v>
      </c>
      <c r="AO51" s="2245">
        <v>17.402730836148805</v>
      </c>
      <c r="AP51" s="2258">
        <v>41</v>
      </c>
      <c r="AQ51" s="2259">
        <v>42</v>
      </c>
      <c r="AR51" s="2259">
        <v>521.4</v>
      </c>
      <c r="AS51" s="2260">
        <v>521.4</v>
      </c>
      <c r="AT51" s="2259">
        <v>40</v>
      </c>
      <c r="AU51" s="2259">
        <v>0</v>
      </c>
      <c r="AV51" s="2259">
        <v>0</v>
      </c>
      <c r="AW51" s="2259">
        <v>0</v>
      </c>
      <c r="AX51" s="2261">
        <v>519.98</v>
      </c>
      <c r="AY51" s="2261">
        <v>10000</v>
      </c>
      <c r="AZ51" s="2261">
        <v>10000</v>
      </c>
      <c r="BA51" s="2261">
        <v>16.933619190344107</v>
      </c>
      <c r="BB51" s="2261" t="s">
        <v>3521</v>
      </c>
      <c r="BC51" s="2261" t="s">
        <v>3521</v>
      </c>
      <c r="BD51" s="2229">
        <v>0.51251635748216451</v>
      </c>
      <c r="BE51" s="2229">
        <v>0.62960798462939982</v>
      </c>
      <c r="BF51" s="2229">
        <v>0.56952315133530662</v>
      </c>
      <c r="BG51" s="2229">
        <v>663.05859169430289</v>
      </c>
      <c r="BH51" s="2229">
        <v>0.61851542090037015</v>
      </c>
      <c r="BI51" s="2229">
        <v>0.62675095812599546</v>
      </c>
      <c r="BJ51" s="2229">
        <v>0.68442555546386974</v>
      </c>
      <c r="BK51" s="2262">
        <v>522</v>
      </c>
      <c r="BL51" s="2262">
        <v>522</v>
      </c>
      <c r="BM51" s="2262">
        <v>519.98</v>
      </c>
      <c r="BN51" s="2262">
        <v>2.0199999999999818</v>
      </c>
      <c r="BO51" s="2262">
        <v>520.31799999999998</v>
      </c>
      <c r="BP51" s="2262">
        <v>520.94799999999998</v>
      </c>
      <c r="BQ51" s="2262">
        <v>520.94799999999998</v>
      </c>
      <c r="BR51" s="2262">
        <v>0</v>
      </c>
      <c r="BS51" s="2262">
        <v>0</v>
      </c>
      <c r="BT51" s="2262">
        <v>1.1679999999999608</v>
      </c>
      <c r="BU51" s="2262">
        <v>1.4</v>
      </c>
      <c r="BV51" s="2262">
        <v>1.4</v>
      </c>
      <c r="BW51" s="2262">
        <v>0</v>
      </c>
      <c r="BX51" s="2263">
        <v>0</v>
      </c>
      <c r="BY51" s="2262">
        <v>0.36</v>
      </c>
      <c r="BZ51" s="2262">
        <v>0.25999999999998191</v>
      </c>
      <c r="CA51" s="2064" t="s">
        <v>3524</v>
      </c>
      <c r="CC51" s="563">
        <v>1126.6073322106026</v>
      </c>
      <c r="CD51" s="563">
        <v>71.242894144198772</v>
      </c>
    </row>
    <row r="52" spans="1:82" s="563" customFormat="1" ht="22.9" customHeight="1">
      <c r="A52" s="2241">
        <v>42</v>
      </c>
      <c r="B52" s="2242" t="s">
        <v>4</v>
      </c>
      <c r="C52" s="2243">
        <v>521.4</v>
      </c>
      <c r="D52" s="2244"/>
      <c r="E52" s="2243">
        <v>519.35</v>
      </c>
      <c r="F52" s="2245">
        <v>2.0499999999999545</v>
      </c>
      <c r="G52" s="2243">
        <v>519</v>
      </c>
      <c r="H52" s="2246">
        <v>516.97</v>
      </c>
      <c r="I52" s="2245">
        <v>2.0299999999999727</v>
      </c>
      <c r="J52" s="2247">
        <v>519.79536544578184</v>
      </c>
      <c r="K52" s="2248">
        <v>519.97960798462941</v>
      </c>
      <c r="L52" s="2248" t="s">
        <v>3521</v>
      </c>
      <c r="M52" s="2248" t="s">
        <v>3521</v>
      </c>
      <c r="N52" s="2249" t="s">
        <v>3521</v>
      </c>
      <c r="O52" s="2250">
        <v>70</v>
      </c>
      <c r="P52" s="2251"/>
      <c r="Q52" s="2252">
        <v>1.71</v>
      </c>
      <c r="R52" s="2250">
        <v>0.6</v>
      </c>
      <c r="S52" s="2253">
        <v>10</v>
      </c>
      <c r="T52" s="2161">
        <v>9.07</v>
      </c>
      <c r="U52" s="2245">
        <v>0.67537643436517236</v>
      </c>
      <c r="V52" s="2245">
        <v>17.402730836148805</v>
      </c>
      <c r="W52" s="2245">
        <v>120.09105350943933</v>
      </c>
      <c r="X52" s="2245">
        <v>0.52875718312362097</v>
      </c>
      <c r="Y52" s="2245">
        <v>203.72352856393704</v>
      </c>
      <c r="Z52" s="2161">
        <v>1259.0879666303408</v>
      </c>
      <c r="AA52" s="2245">
        <v>3.428571428571396</v>
      </c>
      <c r="AB52" s="2245">
        <v>3.4</v>
      </c>
      <c r="AC52" s="2245">
        <v>1.1365721084382518</v>
      </c>
      <c r="AD52" s="2245" t="s">
        <v>1240</v>
      </c>
      <c r="AE52" s="2254">
        <v>1.4999999999999999E-2</v>
      </c>
      <c r="AF52" s="2255">
        <v>1</v>
      </c>
      <c r="AG52" s="2245">
        <v>0.8</v>
      </c>
      <c r="AH52" s="2245"/>
      <c r="AJ52" s="2256"/>
      <c r="AK52" s="2257">
        <v>0</v>
      </c>
      <c r="AL52" s="2245">
        <v>0.44536544578179438</v>
      </c>
      <c r="AM52" s="2245">
        <v>0.72313461299834414</v>
      </c>
      <c r="AN52" s="2245">
        <v>4.3787995306457486</v>
      </c>
      <c r="AO52" s="2245">
        <v>17.669166113329585</v>
      </c>
      <c r="AP52" s="2258">
        <v>42</v>
      </c>
      <c r="AQ52" s="2259">
        <v>43</v>
      </c>
      <c r="AR52" s="2259">
        <v>519</v>
      </c>
      <c r="AS52" s="2260">
        <v>519</v>
      </c>
      <c r="AT52" s="2259">
        <v>41</v>
      </c>
      <c r="AU52" s="2259">
        <v>0</v>
      </c>
      <c r="AV52" s="2259">
        <v>0</v>
      </c>
      <c r="AW52" s="2259">
        <v>0</v>
      </c>
      <c r="AX52" s="2261">
        <v>519.35</v>
      </c>
      <c r="AY52" s="2261">
        <v>10000</v>
      </c>
      <c r="AZ52" s="2261">
        <v>10000</v>
      </c>
      <c r="BA52" s="2261">
        <v>17.402730836148805</v>
      </c>
      <c r="BB52" s="2261" t="s">
        <v>3521</v>
      </c>
      <c r="BC52" s="2261" t="s">
        <v>3521</v>
      </c>
      <c r="BD52" s="2229">
        <v>0.40507999900009223</v>
      </c>
      <c r="BE52" s="2229">
        <v>0.44536544578179438</v>
      </c>
      <c r="BF52" s="2229">
        <v>0.1624946435290022</v>
      </c>
      <c r="BG52" s="2229">
        <v>449.28408667518573</v>
      </c>
      <c r="BH52" s="2229">
        <v>0.6768579501640849</v>
      </c>
      <c r="BI52" s="2229">
        <v>0.6865001045934862</v>
      </c>
      <c r="BJ52" s="2229">
        <v>0.72313461299834414</v>
      </c>
      <c r="BK52" s="2262">
        <v>521.4</v>
      </c>
      <c r="BL52" s="2262">
        <v>521.4</v>
      </c>
      <c r="BM52" s="2262">
        <v>519.35</v>
      </c>
      <c r="BN52" s="2262">
        <v>2.0499999999999545</v>
      </c>
      <c r="BO52" s="2262">
        <v>517.93799999999999</v>
      </c>
      <c r="BP52" s="2262">
        <v>520.31799999999998</v>
      </c>
      <c r="BQ52" s="2262">
        <v>520.31799999999998</v>
      </c>
      <c r="BR52" s="2262">
        <v>0</v>
      </c>
      <c r="BS52" s="2262">
        <v>0</v>
      </c>
      <c r="BT52" s="2262">
        <v>1.1679999999999608</v>
      </c>
      <c r="BU52" s="2262">
        <v>1.4</v>
      </c>
      <c r="BV52" s="2262">
        <v>1.4</v>
      </c>
      <c r="BW52" s="2262">
        <v>0</v>
      </c>
      <c r="BX52" s="2263">
        <v>0</v>
      </c>
      <c r="BY52" s="2262">
        <v>0.36</v>
      </c>
      <c r="BZ52" s="2262">
        <v>0.28999999999995463</v>
      </c>
      <c r="CA52" s="2064" t="s">
        <v>3524</v>
      </c>
      <c r="CC52" s="563">
        <v>1346.4026848436283</v>
      </c>
      <c r="CD52" s="563">
        <v>87.314718213287506</v>
      </c>
    </row>
    <row r="53" spans="1:82" s="563" customFormat="1" ht="22.9" customHeight="1">
      <c r="A53" s="2241">
        <v>43</v>
      </c>
      <c r="B53" s="2242" t="s">
        <v>4</v>
      </c>
      <c r="C53" s="2243">
        <v>519</v>
      </c>
      <c r="D53" s="2244"/>
      <c r="E53" s="2243">
        <v>516.97</v>
      </c>
      <c r="F53" s="2245">
        <v>2.0299999999999727</v>
      </c>
      <c r="G53" s="2243">
        <v>517.6</v>
      </c>
      <c r="H53" s="2246">
        <v>515.57000000000005</v>
      </c>
      <c r="I53" s="2245">
        <v>2.0299999999999727</v>
      </c>
      <c r="J53" s="2247">
        <v>517.53582365249815</v>
      </c>
      <c r="K53" s="2248">
        <v>517.41536544578184</v>
      </c>
      <c r="L53" s="2248" t="s">
        <v>3521</v>
      </c>
      <c r="M53" s="2248" t="s">
        <v>3521</v>
      </c>
      <c r="N53" s="2249">
        <v>-0.12045820671630736</v>
      </c>
      <c r="O53" s="2250">
        <v>70</v>
      </c>
      <c r="P53" s="2251"/>
      <c r="Q53" s="2252">
        <v>0.89</v>
      </c>
      <c r="R53" s="2250">
        <v>0.6</v>
      </c>
      <c r="S53" s="2253">
        <v>10</v>
      </c>
      <c r="T53" s="2161">
        <v>9.9600000000000009</v>
      </c>
      <c r="U53" s="2245">
        <v>0.66421677212210473</v>
      </c>
      <c r="V53" s="2245">
        <v>17.669166113329585</v>
      </c>
      <c r="W53" s="2245">
        <v>119.23827757748511</v>
      </c>
      <c r="X53" s="2245">
        <v>0.5301810206693004</v>
      </c>
      <c r="Y53" s="2245">
        <v>103.81783229370991</v>
      </c>
      <c r="Z53" s="2161">
        <v>1362.9057989240507</v>
      </c>
      <c r="AA53" s="2245">
        <v>1.9999999999999674</v>
      </c>
      <c r="AB53" s="2245">
        <v>2</v>
      </c>
      <c r="AC53" s="2245">
        <v>1.3317310521864638</v>
      </c>
      <c r="AD53" s="2245" t="s">
        <v>1240</v>
      </c>
      <c r="AE53" s="2254">
        <v>1.4999999999999999E-2</v>
      </c>
      <c r="AF53" s="2255">
        <v>1</v>
      </c>
      <c r="AG53" s="2245">
        <v>0.8</v>
      </c>
      <c r="AH53" s="2245"/>
      <c r="AJ53" s="2256"/>
      <c r="AK53" s="2257">
        <v>0</v>
      </c>
      <c r="AL53" s="2245">
        <v>0.56582365249816713</v>
      </c>
      <c r="AM53" s="2245">
        <v>0.74121580923281183</v>
      </c>
      <c r="AN53" s="2245">
        <v>3.5858201188602532</v>
      </c>
      <c r="AO53" s="2245">
        <v>17.994521716230683</v>
      </c>
      <c r="AP53" s="2258">
        <v>43</v>
      </c>
      <c r="AQ53" s="2259">
        <v>44</v>
      </c>
      <c r="AR53" s="2259">
        <v>517.6</v>
      </c>
      <c r="AS53" s="2260">
        <v>517.6</v>
      </c>
      <c r="AT53" s="2259">
        <v>42</v>
      </c>
      <c r="AU53" s="2259">
        <v>0</v>
      </c>
      <c r="AV53" s="2259">
        <v>0</v>
      </c>
      <c r="AW53" s="2259">
        <v>0</v>
      </c>
      <c r="AX53" s="2261">
        <v>516.97</v>
      </c>
      <c r="AY53" s="2261">
        <v>10000</v>
      </c>
      <c r="AZ53" s="2261">
        <v>10000</v>
      </c>
      <c r="BA53" s="2261">
        <v>17.669166113329585</v>
      </c>
      <c r="BB53" s="2261" t="s">
        <v>3521</v>
      </c>
      <c r="BC53" s="2261" t="s">
        <v>3521</v>
      </c>
      <c r="BD53" s="2229">
        <v>0.47826048236670088</v>
      </c>
      <c r="BE53" s="2229">
        <v>0.56582365249816713</v>
      </c>
      <c r="BF53" s="2229">
        <v>0.39394303098213024</v>
      </c>
      <c r="BG53" s="2229">
        <v>593.87817576741679</v>
      </c>
      <c r="BH53" s="2229">
        <v>0.70480763804067403</v>
      </c>
      <c r="BI53" s="2229">
        <v>0.71514252912883458</v>
      </c>
      <c r="BJ53" s="2229">
        <v>0.74121580923281183</v>
      </c>
      <c r="BK53" s="2262">
        <v>519</v>
      </c>
      <c r="BL53" s="2262">
        <v>519</v>
      </c>
      <c r="BM53" s="2262">
        <v>516.97</v>
      </c>
      <c r="BN53" s="2262">
        <v>2.0299999999999727</v>
      </c>
      <c r="BO53" s="2262">
        <v>516.53800000000001</v>
      </c>
      <c r="BP53" s="2262">
        <v>517.93799999999999</v>
      </c>
      <c r="BQ53" s="2262">
        <v>517.93799999999999</v>
      </c>
      <c r="BR53" s="2262">
        <v>0</v>
      </c>
      <c r="BS53" s="2262">
        <v>0</v>
      </c>
      <c r="BT53" s="2262">
        <v>1.1679999999999608</v>
      </c>
      <c r="BU53" s="2262">
        <v>1.4</v>
      </c>
      <c r="BV53" s="2262">
        <v>1.4</v>
      </c>
      <c r="BW53" s="2262">
        <v>0</v>
      </c>
      <c r="BX53" s="2263">
        <v>0</v>
      </c>
      <c r="BY53" s="2262">
        <v>0.36</v>
      </c>
      <c r="BZ53" s="2262">
        <v>0.26999999999997282</v>
      </c>
      <c r="CA53" s="2064" t="s">
        <v>3524</v>
      </c>
      <c r="CC53" s="563">
        <v>1458.6165659753597</v>
      </c>
      <c r="CD53" s="563">
        <v>95.710767051308949</v>
      </c>
    </row>
    <row r="54" spans="1:82" s="563" customFormat="1" ht="22.9" customHeight="1">
      <c r="A54" s="2241">
        <v>44</v>
      </c>
      <c r="B54" s="2242" t="s">
        <v>4</v>
      </c>
      <c r="C54" s="2243">
        <v>517.6</v>
      </c>
      <c r="D54" s="2244"/>
      <c r="E54" s="2243">
        <v>515.57000000000005</v>
      </c>
      <c r="F54" s="2245">
        <v>2.0299999999999727</v>
      </c>
      <c r="G54" s="2243">
        <v>515.9</v>
      </c>
      <c r="H54" s="2246">
        <v>513.8900000000001</v>
      </c>
      <c r="I54" s="2245">
        <v>2.0099999999998772</v>
      </c>
      <c r="J54" s="2247">
        <v>516.12765402953562</v>
      </c>
      <c r="K54" s="2248">
        <v>516.13582365249817</v>
      </c>
      <c r="L54" s="2248" t="s">
        <v>3521</v>
      </c>
      <c r="M54" s="2248" t="s">
        <v>3521</v>
      </c>
      <c r="N54" s="2249" t="s">
        <v>3521</v>
      </c>
      <c r="O54" s="2250">
        <v>70</v>
      </c>
      <c r="P54" s="2251"/>
      <c r="Q54" s="2252">
        <v>0.88</v>
      </c>
      <c r="R54" s="2250">
        <v>0.6</v>
      </c>
      <c r="S54" s="2253">
        <v>10</v>
      </c>
      <c r="T54" s="2161">
        <v>10.840000000000002</v>
      </c>
      <c r="U54" s="2245">
        <v>0.65428172161038389</v>
      </c>
      <c r="V54" s="2245">
        <v>17.994521716230683</v>
      </c>
      <c r="W54" s="2245">
        <v>118.21532460635053</v>
      </c>
      <c r="X54" s="2245">
        <v>0.53188567025764355</v>
      </c>
      <c r="Y54" s="2245">
        <v>100.57076887841005</v>
      </c>
      <c r="Z54" s="2161">
        <v>1463.4765678024607</v>
      </c>
      <c r="AA54" s="2245">
        <v>2.4285714285714932</v>
      </c>
      <c r="AB54" s="2245">
        <v>2.4</v>
      </c>
      <c r="AC54" s="2245">
        <v>1.5355232405809107</v>
      </c>
      <c r="AD54" s="2245" t="s">
        <v>1240</v>
      </c>
      <c r="AE54" s="2254">
        <v>1.4999999999999999E-2</v>
      </c>
      <c r="AF54" s="2255">
        <v>1</v>
      </c>
      <c r="AG54" s="2245">
        <v>0.8</v>
      </c>
      <c r="AH54" s="2245"/>
      <c r="AJ54" s="2256"/>
      <c r="AK54" s="2257">
        <v>0</v>
      </c>
      <c r="AL54" s="2245">
        <v>0.55765402953555565</v>
      </c>
      <c r="AM54" s="2245">
        <v>0.75784853792505991</v>
      </c>
      <c r="AN54" s="2245">
        <v>3.9119449185786972</v>
      </c>
      <c r="AO54" s="2245">
        <v>18.292753590898933</v>
      </c>
      <c r="AP54" s="2258">
        <v>44</v>
      </c>
      <c r="AQ54" s="2259">
        <v>45</v>
      </c>
      <c r="AR54" s="2259">
        <v>515.9</v>
      </c>
      <c r="AS54" s="2260">
        <v>515.9</v>
      </c>
      <c r="AT54" s="2259">
        <v>43</v>
      </c>
      <c r="AU54" s="2259">
        <v>0</v>
      </c>
      <c r="AV54" s="2259">
        <v>0</v>
      </c>
      <c r="AW54" s="2259">
        <v>0</v>
      </c>
      <c r="AX54" s="2261">
        <v>515.57000000000005</v>
      </c>
      <c r="AY54" s="2261">
        <v>10000</v>
      </c>
      <c r="AZ54" s="2261">
        <v>10000</v>
      </c>
      <c r="BA54" s="2261">
        <v>17.994521716230683</v>
      </c>
      <c r="BB54" s="2261" t="s">
        <v>3521</v>
      </c>
      <c r="BC54" s="2261" t="s">
        <v>3521</v>
      </c>
      <c r="BD54" s="2229">
        <v>0.4736801933382585</v>
      </c>
      <c r="BE54" s="2229">
        <v>0.55765402953555565</v>
      </c>
      <c r="BF54" s="2229">
        <v>0.37426625425787496</v>
      </c>
      <c r="BG54" s="2229">
        <v>584.53842903855366</v>
      </c>
      <c r="BH54" s="2229">
        <v>0.73090580659830418</v>
      </c>
      <c r="BI54" s="2229">
        <v>0.74189799931155931</v>
      </c>
      <c r="BJ54" s="2229">
        <v>0.75784853792505991</v>
      </c>
      <c r="BK54" s="2262">
        <v>517.6</v>
      </c>
      <c r="BL54" s="2262">
        <v>517.6</v>
      </c>
      <c r="BM54" s="2262">
        <v>515.57000000000005</v>
      </c>
      <c r="BN54" s="2262">
        <v>2.0299999999999727</v>
      </c>
      <c r="BO54" s="2262">
        <v>514.85800000000006</v>
      </c>
      <c r="BP54" s="2262">
        <v>516.53800000000001</v>
      </c>
      <c r="BQ54" s="2262">
        <v>516.53800000000001</v>
      </c>
      <c r="BR54" s="2262">
        <v>0</v>
      </c>
      <c r="BS54" s="2262">
        <v>0</v>
      </c>
      <c r="BT54" s="2262">
        <v>1.1679999999999608</v>
      </c>
      <c r="BU54" s="2262">
        <v>1.4</v>
      </c>
      <c r="BV54" s="2262">
        <v>1.4</v>
      </c>
      <c r="BW54" s="2262">
        <v>0</v>
      </c>
      <c r="BX54" s="2263">
        <v>0</v>
      </c>
      <c r="BY54" s="2262">
        <v>0.36</v>
      </c>
      <c r="BZ54" s="2262">
        <v>0.26999999999997282</v>
      </c>
      <c r="CA54" s="2064" t="s">
        <v>3524</v>
      </c>
      <c r="CC54" s="563">
        <v>1567.5372886772629</v>
      </c>
      <c r="CD54" s="563">
        <v>104.0607208748022</v>
      </c>
    </row>
    <row r="55" spans="1:82" s="563" customFormat="1" ht="22.9" customHeight="1">
      <c r="A55" s="2241">
        <v>45</v>
      </c>
      <c r="B55" s="2242" t="s">
        <v>4</v>
      </c>
      <c r="C55" s="2243">
        <v>515.9</v>
      </c>
      <c r="D55" s="2244"/>
      <c r="E55" s="2243">
        <v>513.8900000000001</v>
      </c>
      <c r="F55" s="2245">
        <v>2.0099999999998772</v>
      </c>
      <c r="G55" s="2243">
        <v>514.70000000000005</v>
      </c>
      <c r="H55" s="2246">
        <v>512.70000000000005</v>
      </c>
      <c r="I55" s="2245">
        <v>2</v>
      </c>
      <c r="J55" s="2247">
        <v>514.43590287954794</v>
      </c>
      <c r="K55" s="2248">
        <v>514.44765402953567</v>
      </c>
      <c r="L55" s="2248" t="s">
        <v>3521</v>
      </c>
      <c r="M55" s="2248" t="s">
        <v>3521</v>
      </c>
      <c r="N55" s="2249" t="s">
        <v>3521</v>
      </c>
      <c r="O55" s="2250">
        <v>70</v>
      </c>
      <c r="P55" s="2251"/>
      <c r="Q55" s="2252">
        <v>0.92</v>
      </c>
      <c r="R55" s="2250">
        <v>0.6</v>
      </c>
      <c r="S55" s="2253">
        <v>10</v>
      </c>
      <c r="T55" s="2161">
        <v>11.760000000000002</v>
      </c>
      <c r="U55" s="2245">
        <v>0.64486305551505052</v>
      </c>
      <c r="V55" s="2245">
        <v>18.292753590898933</v>
      </c>
      <c r="W55" s="2245">
        <v>117.29494565928864</v>
      </c>
      <c r="X55" s="2245">
        <v>0.53341643014122853</v>
      </c>
      <c r="Y55" s="2245">
        <v>103.11770825366304</v>
      </c>
      <c r="Z55" s="2161">
        <v>1566.5942760561238</v>
      </c>
      <c r="AA55" s="2245">
        <v>1.7142857142856169</v>
      </c>
      <c r="AB55" s="2245">
        <v>1.7</v>
      </c>
      <c r="AC55" s="2245">
        <v>0.53523501319640521</v>
      </c>
      <c r="AD55" s="2245" t="s">
        <v>1240</v>
      </c>
      <c r="AE55" s="2254">
        <v>1.4999999999999999E-2</v>
      </c>
      <c r="AF55" s="2255">
        <v>1</v>
      </c>
      <c r="AG55" s="2245">
        <v>1</v>
      </c>
      <c r="AH55" s="2245"/>
      <c r="AJ55" s="2256"/>
      <c r="AK55" s="2257">
        <v>0</v>
      </c>
      <c r="AL55" s="2245">
        <v>0.54590287954784977</v>
      </c>
      <c r="AM55" s="2245">
        <v>0.72031909116993942</v>
      </c>
      <c r="AN55" s="2245">
        <v>3.5723162488944755</v>
      </c>
      <c r="AO55" s="2245">
        <v>18.619339084842174</v>
      </c>
      <c r="AP55" s="2258">
        <v>45</v>
      </c>
      <c r="AQ55" s="2259">
        <v>46</v>
      </c>
      <c r="AR55" s="2259">
        <v>514.70000000000005</v>
      </c>
      <c r="AS55" s="2260">
        <v>514.70000000000005</v>
      </c>
      <c r="AT55" s="2259">
        <v>44</v>
      </c>
      <c r="AU55" s="2259">
        <v>0</v>
      </c>
      <c r="AV55" s="2259">
        <v>0</v>
      </c>
      <c r="AW55" s="2259">
        <v>0</v>
      </c>
      <c r="AX55" s="2261">
        <v>513.8900000000001</v>
      </c>
      <c r="AY55" s="2261">
        <v>10000</v>
      </c>
      <c r="AZ55" s="2261">
        <v>10000</v>
      </c>
      <c r="BA55" s="2261">
        <v>18.292753590898933</v>
      </c>
      <c r="BB55" s="2261" t="s">
        <v>3521</v>
      </c>
      <c r="BC55" s="2261" t="s">
        <v>3521</v>
      </c>
      <c r="BD55" s="2229">
        <v>0.49912772955651147</v>
      </c>
      <c r="BE55" s="2229">
        <v>0.54590287954784977</v>
      </c>
      <c r="BF55" s="2229">
        <v>0.18799515023305083</v>
      </c>
      <c r="BG55" s="2229">
        <v>438.53739896095078</v>
      </c>
      <c r="BH55" s="2229">
        <v>0.71144037587954856</v>
      </c>
      <c r="BI55" s="2229">
        <v>0.72031909116993942</v>
      </c>
      <c r="BJ55" s="2229">
        <v>0.73685580758561942</v>
      </c>
      <c r="BK55" s="2262">
        <v>515.9</v>
      </c>
      <c r="BL55" s="2262">
        <v>515.9</v>
      </c>
      <c r="BM55" s="2262">
        <v>513.8900000000001</v>
      </c>
      <c r="BN55" s="2262">
        <v>2.0099999999998772</v>
      </c>
      <c r="BO55" s="2262">
        <v>513.91000000000008</v>
      </c>
      <c r="BP55" s="2262">
        <v>515.10000000000014</v>
      </c>
      <c r="BQ55" s="2262">
        <v>514.85800000000006</v>
      </c>
      <c r="BR55" s="2262">
        <v>0</v>
      </c>
      <c r="BS55" s="2262">
        <v>0</v>
      </c>
      <c r="BT55" s="2262">
        <v>1.4100000000000363</v>
      </c>
      <c r="BU55" s="2262">
        <v>1.4</v>
      </c>
      <c r="BV55" s="2262">
        <v>1.5999999999999999</v>
      </c>
      <c r="BW55" s="2262">
        <v>0.2</v>
      </c>
      <c r="BX55" s="2263">
        <v>0</v>
      </c>
      <c r="BY55" s="2262">
        <v>0.36</v>
      </c>
      <c r="BZ55" s="2262">
        <v>4.9999999999877365E-2</v>
      </c>
      <c r="CA55" s="2064" t="s">
        <v>3524</v>
      </c>
      <c r="CC55" s="563">
        <v>1679.4378004378575</v>
      </c>
      <c r="CD55" s="563">
        <v>112.84352438173369</v>
      </c>
    </row>
    <row r="56" spans="1:82" s="563" customFormat="1" ht="22.9" customHeight="1">
      <c r="A56" s="2241">
        <v>46</v>
      </c>
      <c r="B56" s="2242" t="s">
        <v>4</v>
      </c>
      <c r="C56" s="2243">
        <v>514.70000000000005</v>
      </c>
      <c r="D56" s="2244"/>
      <c r="E56" s="2243">
        <v>512.70000000000005</v>
      </c>
      <c r="F56" s="2245">
        <v>2</v>
      </c>
      <c r="G56" s="2243">
        <v>513</v>
      </c>
      <c r="H56" s="2246">
        <v>511.02000000000004</v>
      </c>
      <c r="I56" s="2245">
        <v>1.9799999999999613</v>
      </c>
      <c r="J56" s="2247">
        <v>513.20895464651483</v>
      </c>
      <c r="K56" s="2248">
        <v>513.24590287954788</v>
      </c>
      <c r="L56" s="2248" t="s">
        <v>3521</v>
      </c>
      <c r="M56" s="2248" t="s">
        <v>3521</v>
      </c>
      <c r="N56" s="2249" t="s">
        <v>3521</v>
      </c>
      <c r="O56" s="2250">
        <v>70</v>
      </c>
      <c r="P56" s="2251"/>
      <c r="Q56" s="2252">
        <v>0.92</v>
      </c>
      <c r="R56" s="2250">
        <v>0.6</v>
      </c>
      <c r="S56" s="2253">
        <v>10</v>
      </c>
      <c r="T56" s="2161">
        <v>12.680000000000001</v>
      </c>
      <c r="U56" s="2245">
        <v>0.63627487289446261</v>
      </c>
      <c r="V56" s="2245">
        <v>18.619339084842174</v>
      </c>
      <c r="W56" s="2245">
        <v>116.30549150288572</v>
      </c>
      <c r="X56" s="2245">
        <v>0.53505910039196547</v>
      </c>
      <c r="Y56" s="2245">
        <v>101.19680883851638</v>
      </c>
      <c r="Z56" s="2161">
        <v>1667.7910848946401</v>
      </c>
      <c r="AA56" s="2245">
        <v>2.4285714285714932</v>
      </c>
      <c r="AB56" s="2245">
        <v>2.4</v>
      </c>
      <c r="AC56" s="2245">
        <v>0.60661722903813309</v>
      </c>
      <c r="AD56" s="2245" t="s">
        <v>1240</v>
      </c>
      <c r="AE56" s="2254">
        <v>1.4999999999999999E-2</v>
      </c>
      <c r="AF56" s="2255">
        <v>1</v>
      </c>
      <c r="AG56" s="2245">
        <v>1</v>
      </c>
      <c r="AH56" s="2245"/>
      <c r="AJ56" s="2256"/>
      <c r="AK56" s="2257">
        <v>0</v>
      </c>
      <c r="AL56" s="2245">
        <v>0.5089546465147825</v>
      </c>
      <c r="AM56" s="2245">
        <v>0.74396023846488324</v>
      </c>
      <c r="AN56" s="2245">
        <v>4.1523156776836183</v>
      </c>
      <c r="AO56" s="2245">
        <v>18.900306804357541</v>
      </c>
      <c r="AP56" s="2258">
        <v>46</v>
      </c>
      <c r="AQ56" s="2259">
        <v>47</v>
      </c>
      <c r="AR56" s="2259">
        <v>513</v>
      </c>
      <c r="AS56" s="2260">
        <v>513</v>
      </c>
      <c r="AT56" s="2259">
        <v>45</v>
      </c>
      <c r="AU56" s="2259">
        <v>0</v>
      </c>
      <c r="AV56" s="2259">
        <v>0</v>
      </c>
      <c r="AW56" s="2259">
        <v>0</v>
      </c>
      <c r="AX56" s="2261">
        <v>512.70000000000005</v>
      </c>
      <c r="AY56" s="2261">
        <v>10000</v>
      </c>
      <c r="AZ56" s="2261">
        <v>10000</v>
      </c>
      <c r="BA56" s="2261">
        <v>18.619339084842174</v>
      </c>
      <c r="BB56" s="2261" t="s">
        <v>3521</v>
      </c>
      <c r="BC56" s="2261" t="s">
        <v>3521</v>
      </c>
      <c r="BD56" s="2229">
        <v>0.47339340494737442</v>
      </c>
      <c r="BE56" s="2229">
        <v>0.5089546465147825</v>
      </c>
      <c r="BF56" s="2229">
        <v>0.14177347636887924</v>
      </c>
      <c r="BG56" s="2229">
        <v>401.65324950077547</v>
      </c>
      <c r="BH56" s="2229">
        <v>0.73455098554348064</v>
      </c>
      <c r="BI56" s="2229">
        <v>0.74396023846488324</v>
      </c>
      <c r="BJ56" s="2229">
        <v>0.75137390902207413</v>
      </c>
      <c r="BK56" s="2262">
        <v>514.70000000000005</v>
      </c>
      <c r="BL56" s="2262">
        <v>514.70000000000005</v>
      </c>
      <c r="BM56" s="2262">
        <v>512.70000000000005</v>
      </c>
      <c r="BN56" s="2262">
        <v>2</v>
      </c>
      <c r="BO56" s="2262">
        <v>512.23</v>
      </c>
      <c r="BP56" s="2262">
        <v>513.91000000000008</v>
      </c>
      <c r="BQ56" s="2262">
        <v>513.91000000000008</v>
      </c>
      <c r="BR56" s="2262">
        <v>0</v>
      </c>
      <c r="BS56" s="2262">
        <v>0</v>
      </c>
      <c r="BT56" s="2262">
        <v>1.4100000000000363</v>
      </c>
      <c r="BU56" s="2262">
        <v>1.4</v>
      </c>
      <c r="BV56" s="2262">
        <v>1.5999999999999999</v>
      </c>
      <c r="BW56" s="2262">
        <v>0.2</v>
      </c>
      <c r="BX56" s="2263">
        <v>0</v>
      </c>
      <c r="BY56" s="2262">
        <v>0.36</v>
      </c>
      <c r="BZ56" s="2262">
        <v>4.0000000000000147E-2</v>
      </c>
      <c r="CA56" s="2064" t="s">
        <v>3524</v>
      </c>
      <c r="CC56" s="563">
        <v>1789.5003120826848</v>
      </c>
      <c r="CD56" s="563">
        <v>121.70922718804468</v>
      </c>
    </row>
    <row r="57" spans="1:82" s="563" customFormat="1" ht="22.9" customHeight="1">
      <c r="A57" s="2241">
        <v>47</v>
      </c>
      <c r="B57" s="2242" t="s">
        <v>4</v>
      </c>
      <c r="C57" s="2243">
        <v>513</v>
      </c>
      <c r="D57" s="2244"/>
      <c r="E57" s="2243">
        <v>511.02000000000004</v>
      </c>
      <c r="F57" s="2245">
        <v>1.9799999999999613</v>
      </c>
      <c r="G57" s="2243">
        <v>511.3</v>
      </c>
      <c r="H57" s="2246">
        <v>509.34000000000003</v>
      </c>
      <c r="I57" s="2245">
        <v>1.9599999999999795</v>
      </c>
      <c r="J57" s="2247">
        <v>511.54712452392249</v>
      </c>
      <c r="K57" s="2248">
        <v>511.52895464651482</v>
      </c>
      <c r="L57" s="2248" t="s">
        <v>3521</v>
      </c>
      <c r="M57" s="2248" t="s">
        <v>3521</v>
      </c>
      <c r="N57" s="2249" t="s">
        <v>3521</v>
      </c>
      <c r="O57" s="2250">
        <v>70</v>
      </c>
      <c r="P57" s="2251"/>
      <c r="Q57" s="2252">
        <v>0.88</v>
      </c>
      <c r="R57" s="2250">
        <v>0.6</v>
      </c>
      <c r="S57" s="2253">
        <v>10</v>
      </c>
      <c r="T57" s="2161">
        <v>13.560000000000002</v>
      </c>
      <c r="U57" s="2245">
        <v>0.62872072311457383</v>
      </c>
      <c r="V57" s="2245">
        <v>18.900306804357541</v>
      </c>
      <c r="W57" s="2245">
        <v>115.46923999755906</v>
      </c>
      <c r="X57" s="2245">
        <v>0.53644513963284379</v>
      </c>
      <c r="Y57" s="2245">
        <v>95.20599823444897</v>
      </c>
      <c r="Z57" s="2161">
        <v>1762.9970831290891</v>
      </c>
      <c r="AA57" s="2245">
        <v>2.4285714285714124</v>
      </c>
      <c r="AB57" s="2245">
        <v>2.4</v>
      </c>
      <c r="AC57" s="2245">
        <v>0.67785161080876022</v>
      </c>
      <c r="AD57" s="2245" t="s">
        <v>1240</v>
      </c>
      <c r="AE57" s="2254">
        <v>1.4999999999999999E-2</v>
      </c>
      <c r="AF57" s="2255">
        <v>1</v>
      </c>
      <c r="AG57" s="2245">
        <v>1</v>
      </c>
      <c r="AH57" s="2245"/>
      <c r="AJ57" s="2256"/>
      <c r="AK57" s="2257">
        <v>0</v>
      </c>
      <c r="AL57" s="2245">
        <v>0.52712452392244069</v>
      </c>
      <c r="AM57" s="2245">
        <v>0.76557553403233136</v>
      </c>
      <c r="AN57" s="2245">
        <v>4.1995089274083659</v>
      </c>
      <c r="AO57" s="2245">
        <v>19.178117064279206</v>
      </c>
      <c r="AP57" s="2258">
        <v>47</v>
      </c>
      <c r="AQ57" s="2259">
        <v>48</v>
      </c>
      <c r="AR57" s="2259">
        <v>511.3</v>
      </c>
      <c r="AS57" s="2260">
        <v>511.3</v>
      </c>
      <c r="AT57" s="2259">
        <v>46</v>
      </c>
      <c r="AU57" s="2259">
        <v>0</v>
      </c>
      <c r="AV57" s="2259">
        <v>0</v>
      </c>
      <c r="AW57" s="2259">
        <v>0</v>
      </c>
      <c r="AX57" s="2261">
        <v>511.02000000000004</v>
      </c>
      <c r="AY57" s="2261">
        <v>10000</v>
      </c>
      <c r="AZ57" s="2261">
        <v>10000</v>
      </c>
      <c r="BA57" s="2261">
        <v>18.900306804357541</v>
      </c>
      <c r="BB57" s="2261" t="s">
        <v>3521</v>
      </c>
      <c r="BC57" s="2261" t="s">
        <v>3521</v>
      </c>
      <c r="BD57" s="2229">
        <v>0.48623161913404372</v>
      </c>
      <c r="BE57" s="2229">
        <v>0.52712452392244069</v>
      </c>
      <c r="BF57" s="2229">
        <v>0.16352405919819504</v>
      </c>
      <c r="BG57" s="2229">
        <v>419.81029534733813</v>
      </c>
      <c r="BH57" s="2229">
        <v>0.75567472225066612</v>
      </c>
      <c r="BI57" s="2229">
        <v>0.76557553403233136</v>
      </c>
      <c r="BJ57" s="2229">
        <v>0.76448889371648243</v>
      </c>
      <c r="BK57" s="2262">
        <v>513</v>
      </c>
      <c r="BL57" s="2262">
        <v>513</v>
      </c>
      <c r="BM57" s="2262">
        <v>511.02000000000004</v>
      </c>
      <c r="BN57" s="2262">
        <v>1.9799999999999613</v>
      </c>
      <c r="BO57" s="2262">
        <v>510.55</v>
      </c>
      <c r="BP57" s="2262">
        <v>512.23</v>
      </c>
      <c r="BQ57" s="2262">
        <v>512.23</v>
      </c>
      <c r="BR57" s="2262">
        <v>0</v>
      </c>
      <c r="BS57" s="2262">
        <v>0</v>
      </c>
      <c r="BT57" s="2262">
        <v>1.4099999999999795</v>
      </c>
      <c r="BU57" s="2262">
        <v>1.4</v>
      </c>
      <c r="BV57" s="2262">
        <v>1.5999999999999999</v>
      </c>
      <c r="BW57" s="2262">
        <v>0.2</v>
      </c>
      <c r="BX57" s="2263">
        <v>0</v>
      </c>
      <c r="BY57" s="2262">
        <v>0.36</v>
      </c>
      <c r="BZ57" s="2262">
        <v>1.9999999999961493E-2</v>
      </c>
      <c r="CA57" s="2064" t="s">
        <v>3524</v>
      </c>
      <c r="CC57" s="563">
        <v>1893.2017700363349</v>
      </c>
      <c r="CD57" s="563">
        <v>130.20468690724579</v>
      </c>
    </row>
    <row r="58" spans="1:82" s="563" customFormat="1" ht="22.9" customHeight="1">
      <c r="A58" s="2241">
        <v>48</v>
      </c>
      <c r="B58" s="2242" t="s">
        <v>4</v>
      </c>
      <c r="C58" s="2243">
        <v>511.3</v>
      </c>
      <c r="D58" s="2244"/>
      <c r="E58" s="2243">
        <v>509.34000000000003</v>
      </c>
      <c r="F58" s="2245">
        <v>1.9599999999999795</v>
      </c>
      <c r="G58" s="2243">
        <v>509.9</v>
      </c>
      <c r="H58" s="2246">
        <v>507.94000000000005</v>
      </c>
      <c r="I58" s="2245">
        <v>1.9599999999999227</v>
      </c>
      <c r="J58" s="2247">
        <v>509.9190515755879</v>
      </c>
      <c r="K58" s="2248">
        <v>509.86712452392248</v>
      </c>
      <c r="L58" s="2248" t="s">
        <v>3521</v>
      </c>
      <c r="M58" s="2248" t="s">
        <v>3521</v>
      </c>
      <c r="N58" s="2249" t="s">
        <v>3521</v>
      </c>
      <c r="O58" s="2250">
        <v>70</v>
      </c>
      <c r="P58" s="2251"/>
      <c r="Q58" s="2252">
        <v>0.89</v>
      </c>
      <c r="R58" s="2250">
        <v>0.6</v>
      </c>
      <c r="S58" s="2253">
        <v>10</v>
      </c>
      <c r="T58" s="2161">
        <v>14.450000000000003</v>
      </c>
      <c r="U58" s="2245">
        <v>0.62164654350617443</v>
      </c>
      <c r="V58" s="2245">
        <v>19.178117064279206</v>
      </c>
      <c r="W58" s="2245">
        <v>114.65566162377405</v>
      </c>
      <c r="X58" s="2245">
        <v>0.5377916864816501</v>
      </c>
      <c r="Y58" s="2245">
        <v>94.770977561485637</v>
      </c>
      <c r="Z58" s="2161">
        <v>1857.7680606905747</v>
      </c>
      <c r="AA58" s="2245">
        <v>2.0000000000000484</v>
      </c>
      <c r="AB58" s="2245">
        <v>2</v>
      </c>
      <c r="AC58" s="2245">
        <v>0.75268702403294452</v>
      </c>
      <c r="AD58" s="2245" t="s">
        <v>1240</v>
      </c>
      <c r="AE58" s="2254">
        <v>1.4999999999999999E-2</v>
      </c>
      <c r="AF58" s="2255">
        <v>1</v>
      </c>
      <c r="AG58" s="2245">
        <v>1</v>
      </c>
      <c r="AH58" s="2245"/>
      <c r="AJ58" s="2256"/>
      <c r="AK58" s="2257">
        <v>0</v>
      </c>
      <c r="AL58" s="2245">
        <v>0.57905157558785925</v>
      </c>
      <c r="AM58" s="2245">
        <v>0.78653772832184632</v>
      </c>
      <c r="AN58" s="2245">
        <v>3.9407911573259873</v>
      </c>
      <c r="AO58" s="2245">
        <v>19.474165908303284</v>
      </c>
      <c r="AP58" s="2258">
        <v>48</v>
      </c>
      <c r="AQ58" s="2259">
        <v>49</v>
      </c>
      <c r="AR58" s="2259">
        <v>509.9</v>
      </c>
      <c r="AS58" s="2260">
        <v>509.9</v>
      </c>
      <c r="AT58" s="2259">
        <v>47</v>
      </c>
      <c r="AU58" s="2259">
        <v>0</v>
      </c>
      <c r="AV58" s="2259">
        <v>0</v>
      </c>
      <c r="AW58" s="2259">
        <v>0</v>
      </c>
      <c r="AX58" s="2261">
        <v>509.34000000000003</v>
      </c>
      <c r="AY58" s="2261">
        <v>10000</v>
      </c>
      <c r="AZ58" s="2261">
        <v>10000</v>
      </c>
      <c r="BA58" s="2261">
        <v>19.178117064279206</v>
      </c>
      <c r="BB58" s="2261" t="s">
        <v>3521</v>
      </c>
      <c r="BC58" s="2261" t="s">
        <v>3521</v>
      </c>
      <c r="BD58" s="2229">
        <v>0.52105852821603615</v>
      </c>
      <c r="BE58" s="2229">
        <v>0.57905157558785925</v>
      </c>
      <c r="BF58" s="2229">
        <v>0.2364796853976239</v>
      </c>
      <c r="BG58" s="2229">
        <v>471.42007442768369</v>
      </c>
      <c r="BH58" s="2229">
        <v>0.7761544666685648</v>
      </c>
      <c r="BI58" s="2229">
        <v>0.78653772832184632</v>
      </c>
      <c r="BJ58" s="2229">
        <v>0.7770683254665518</v>
      </c>
      <c r="BK58" s="2262">
        <v>511.3</v>
      </c>
      <c r="BL58" s="2262">
        <v>511.3</v>
      </c>
      <c r="BM58" s="2262">
        <v>509.34000000000003</v>
      </c>
      <c r="BN58" s="2262">
        <v>1.9599999999999795</v>
      </c>
      <c r="BO58" s="2262">
        <v>509.15000000000003</v>
      </c>
      <c r="BP58" s="2262">
        <v>510.55</v>
      </c>
      <c r="BQ58" s="2262">
        <v>510.55</v>
      </c>
      <c r="BR58" s="2262">
        <v>0</v>
      </c>
      <c r="BS58" s="2262">
        <v>0</v>
      </c>
      <c r="BT58" s="2262">
        <v>1.4099999999999795</v>
      </c>
      <c r="BU58" s="2262">
        <v>1.4</v>
      </c>
      <c r="BV58" s="2262">
        <v>1.5999999999999999</v>
      </c>
      <c r="BW58" s="2262">
        <v>0.2</v>
      </c>
      <c r="BX58" s="2263">
        <v>0</v>
      </c>
      <c r="BY58" s="2262">
        <v>0.36</v>
      </c>
      <c r="BZ58" s="2262">
        <v>0</v>
      </c>
      <c r="CA58" s="2064" t="s">
        <v>3525</v>
      </c>
      <c r="CC58" s="563">
        <v>1996.5880711660623</v>
      </c>
      <c r="CD58" s="563">
        <v>138.82001047548761</v>
      </c>
    </row>
    <row r="59" spans="1:82" s="563" customFormat="1" ht="22.9" customHeight="1">
      <c r="A59" s="2241">
        <v>49</v>
      </c>
      <c r="B59" s="2242" t="s">
        <v>4</v>
      </c>
      <c r="C59" s="2243">
        <v>509.9</v>
      </c>
      <c r="D59" s="2244"/>
      <c r="E59" s="2243">
        <v>507.94000000000005</v>
      </c>
      <c r="F59" s="2245">
        <v>1.9599999999999227</v>
      </c>
      <c r="G59" s="2243">
        <v>508.8</v>
      </c>
      <c r="H59" s="2246">
        <v>506.82000000000005</v>
      </c>
      <c r="I59" s="2245">
        <v>1.9799999999999613</v>
      </c>
      <c r="J59" s="2247">
        <v>508.58573573446057</v>
      </c>
      <c r="K59" s="2248">
        <v>508.51905157558792</v>
      </c>
      <c r="L59" s="2248" t="s">
        <v>3521</v>
      </c>
      <c r="M59" s="2248" t="s">
        <v>3521</v>
      </c>
      <c r="N59" s="2249" t="s">
        <v>3521</v>
      </c>
      <c r="O59" s="2250">
        <v>70</v>
      </c>
      <c r="P59" s="2251"/>
      <c r="Q59" s="2252">
        <v>0.85</v>
      </c>
      <c r="R59" s="2250">
        <v>0.6</v>
      </c>
      <c r="S59" s="2253">
        <v>10</v>
      </c>
      <c r="T59" s="2161">
        <v>15.300000000000002</v>
      </c>
      <c r="U59" s="2245">
        <v>0.6153538545084003</v>
      </c>
      <c r="V59" s="2245">
        <v>19.474165908303284</v>
      </c>
      <c r="W59" s="2245">
        <v>113.80283237849503</v>
      </c>
      <c r="X59" s="2245">
        <v>0.53920127017339825</v>
      </c>
      <c r="Y59" s="2245">
        <v>89.162055126982011</v>
      </c>
      <c r="Z59" s="2161">
        <v>1946.9301158175567</v>
      </c>
      <c r="AA59" s="2245">
        <v>1.5714285714285225</v>
      </c>
      <c r="AB59" s="2245">
        <v>1.6</v>
      </c>
      <c r="AC59" s="2245">
        <v>0.82666998781073842</v>
      </c>
      <c r="AD59" s="2245" t="s">
        <v>1240</v>
      </c>
      <c r="AE59" s="2254">
        <v>1.4999999999999999E-2</v>
      </c>
      <c r="AF59" s="2255">
        <v>1</v>
      </c>
      <c r="AG59" s="2245">
        <v>1</v>
      </c>
      <c r="AH59" s="2245"/>
      <c r="AJ59" s="2256"/>
      <c r="AK59" s="2257">
        <v>0</v>
      </c>
      <c r="AL59" s="2245">
        <v>0.64573573446051113</v>
      </c>
      <c r="AM59" s="2245">
        <v>0.80579153554838556</v>
      </c>
      <c r="AN59" s="2245">
        <v>3.6300014107520666</v>
      </c>
      <c r="AO59" s="2245">
        <v>19.795561559338296</v>
      </c>
      <c r="AP59" s="2258">
        <v>49</v>
      </c>
      <c r="AQ59" s="2259">
        <v>50</v>
      </c>
      <c r="AR59" s="2259">
        <v>508.8</v>
      </c>
      <c r="AS59" s="2260">
        <v>508.8</v>
      </c>
      <c r="AT59" s="2259">
        <v>48</v>
      </c>
      <c r="AU59" s="2259">
        <v>0</v>
      </c>
      <c r="AV59" s="2259">
        <v>0</v>
      </c>
      <c r="AW59" s="2259">
        <v>0</v>
      </c>
      <c r="AX59" s="2261">
        <v>507.94000000000005</v>
      </c>
      <c r="AY59" s="2261">
        <v>10000</v>
      </c>
      <c r="AZ59" s="2261">
        <v>10000</v>
      </c>
      <c r="BA59" s="2261">
        <v>19.474165908303284</v>
      </c>
      <c r="BB59" s="2261" t="s">
        <v>3521</v>
      </c>
      <c r="BC59" s="2261" t="s">
        <v>3521</v>
      </c>
      <c r="BD59" s="2229">
        <v>0.56241228339205718</v>
      </c>
      <c r="BE59" s="2229">
        <v>0.64573573446051113</v>
      </c>
      <c r="BF59" s="2229">
        <v>0.35535780838825937</v>
      </c>
      <c r="BG59" s="2229">
        <v>536.34417607958733</v>
      </c>
      <c r="BH59" s="2229">
        <v>0.79496029232204601</v>
      </c>
      <c r="BI59" s="2229">
        <v>0.80579153554838556</v>
      </c>
      <c r="BJ59" s="2229">
        <v>0.78850611708364482</v>
      </c>
      <c r="BK59" s="2262">
        <v>509.9</v>
      </c>
      <c r="BL59" s="2262">
        <v>509.9</v>
      </c>
      <c r="BM59" s="2262">
        <v>507.94000000000005</v>
      </c>
      <c r="BN59" s="2262">
        <v>1.9599999999999227</v>
      </c>
      <c r="BO59" s="2262">
        <v>508.03000000000003</v>
      </c>
      <c r="BP59" s="2262">
        <v>509.15000000000003</v>
      </c>
      <c r="BQ59" s="2262">
        <v>509.15000000000003</v>
      </c>
      <c r="BR59" s="2262">
        <v>0</v>
      </c>
      <c r="BS59" s="2262">
        <v>0</v>
      </c>
      <c r="BT59" s="2262">
        <v>1.4099999999999795</v>
      </c>
      <c r="BU59" s="2262">
        <v>1.4</v>
      </c>
      <c r="BV59" s="2262">
        <v>1.5999999999999999</v>
      </c>
      <c r="BW59" s="2262">
        <v>0.2</v>
      </c>
      <c r="BX59" s="2263">
        <v>0</v>
      </c>
      <c r="BY59" s="2262">
        <v>0.36</v>
      </c>
      <c r="BZ59" s="2262">
        <v>0</v>
      </c>
      <c r="CA59" s="2064" t="s">
        <v>3525</v>
      </c>
      <c r="CC59" s="563">
        <v>2094.0307656774817</v>
      </c>
      <c r="CD59" s="563">
        <v>147.10064985992494</v>
      </c>
    </row>
    <row r="60" spans="1:82" s="563" customFormat="1" ht="22.9" customHeight="1">
      <c r="A60" s="2241">
        <v>50</v>
      </c>
      <c r="B60" s="2242" t="s">
        <v>4</v>
      </c>
      <c r="C60" s="2243">
        <v>508.8</v>
      </c>
      <c r="D60" s="2244"/>
      <c r="E60" s="2243">
        <v>506.82000000000005</v>
      </c>
      <c r="F60" s="2245">
        <v>1.9799999999999613</v>
      </c>
      <c r="G60" s="2243">
        <v>507</v>
      </c>
      <c r="H60" s="2246">
        <v>505.00000000000006</v>
      </c>
      <c r="I60" s="2245">
        <v>1.9999999999999432</v>
      </c>
      <c r="J60" s="2247">
        <v>507.3850714002902</v>
      </c>
      <c r="K60" s="2248">
        <v>507.46573573446057</v>
      </c>
      <c r="L60" s="2248" t="s">
        <v>3521</v>
      </c>
      <c r="M60" s="2248" t="s">
        <v>3521</v>
      </c>
      <c r="N60" s="2249" t="s">
        <v>3521</v>
      </c>
      <c r="O60" s="2250">
        <v>70</v>
      </c>
      <c r="P60" s="2251"/>
      <c r="Q60" s="2252">
        <v>0.92</v>
      </c>
      <c r="R60" s="2250">
        <v>0.6</v>
      </c>
      <c r="S60" s="2253">
        <v>10</v>
      </c>
      <c r="T60" s="2161">
        <v>16.220000000000002</v>
      </c>
      <c r="U60" s="2245">
        <v>0.60899110416196978</v>
      </c>
      <c r="V60" s="2245">
        <v>19.795561559338296</v>
      </c>
      <c r="W60" s="2245">
        <v>112.89309456897178</v>
      </c>
      <c r="X60" s="2245">
        <v>0.54070285457741307</v>
      </c>
      <c r="Y60" s="2245">
        <v>95.007317854172655</v>
      </c>
      <c r="Z60" s="2161">
        <v>2041.9374336717294</v>
      </c>
      <c r="AA60" s="2245">
        <v>2.5714285714285876</v>
      </c>
      <c r="AB60" s="2245">
        <v>2.6</v>
      </c>
      <c r="AC60" s="2245">
        <v>0.90931908584724785</v>
      </c>
      <c r="AD60" s="2245" t="s">
        <v>1240</v>
      </c>
      <c r="AE60" s="2254">
        <v>1.4999999999999999E-2</v>
      </c>
      <c r="AF60" s="2255">
        <v>1</v>
      </c>
      <c r="AG60" s="2245">
        <v>1</v>
      </c>
      <c r="AH60" s="2245"/>
      <c r="AJ60" s="2256"/>
      <c r="AK60" s="2257">
        <v>0</v>
      </c>
      <c r="AL60" s="2245">
        <v>0.56507140029014136</v>
      </c>
      <c r="AM60" s="2245">
        <v>0.82584346943996312</v>
      </c>
      <c r="AN60" s="2245">
        <v>4.4624092143366854</v>
      </c>
      <c r="AO60" s="2245">
        <v>20.057004786669047</v>
      </c>
      <c r="AP60" s="2258">
        <v>50</v>
      </c>
      <c r="AQ60" s="2259">
        <v>51</v>
      </c>
      <c r="AR60" s="2259">
        <v>507</v>
      </c>
      <c r="AS60" s="2260">
        <v>507</v>
      </c>
      <c r="AT60" s="2259">
        <v>49</v>
      </c>
      <c r="AU60" s="2259">
        <v>0</v>
      </c>
      <c r="AV60" s="2259">
        <v>0</v>
      </c>
      <c r="AW60" s="2259">
        <v>0</v>
      </c>
      <c r="AX60" s="2261">
        <v>506.82000000000005</v>
      </c>
      <c r="AY60" s="2261">
        <v>10000</v>
      </c>
      <c r="AZ60" s="2261">
        <v>10000</v>
      </c>
      <c r="BA60" s="2261">
        <v>19.795561559338296</v>
      </c>
      <c r="BB60" s="2261" t="s">
        <v>3521</v>
      </c>
      <c r="BC60" s="2261" t="s">
        <v>3521</v>
      </c>
      <c r="BD60" s="2229">
        <v>0.51193251348988134</v>
      </c>
      <c r="BE60" s="2229">
        <v>0.56507140029014136</v>
      </c>
      <c r="BF60" s="2229">
        <v>0.215237825036137</v>
      </c>
      <c r="BG60" s="2229">
        <v>457.58632514280811</v>
      </c>
      <c r="BH60" s="2229">
        <v>0.81454086145485338</v>
      </c>
      <c r="BI60" s="2229">
        <v>0.82584346943996312</v>
      </c>
      <c r="BJ60" s="2229">
        <v>0.80030362567341973</v>
      </c>
      <c r="BK60" s="2262">
        <v>508.8</v>
      </c>
      <c r="BL60" s="2262">
        <v>508.8</v>
      </c>
      <c r="BM60" s="2262">
        <v>506.82000000000005</v>
      </c>
      <c r="BN60" s="2262">
        <v>1.9799999999999613</v>
      </c>
      <c r="BO60" s="2262">
        <v>506.21000000000004</v>
      </c>
      <c r="BP60" s="2262">
        <v>508.03000000000003</v>
      </c>
      <c r="BQ60" s="2262">
        <v>508.03000000000003</v>
      </c>
      <c r="BR60" s="2262">
        <v>0</v>
      </c>
      <c r="BS60" s="2262">
        <v>0</v>
      </c>
      <c r="BT60" s="2262">
        <v>1.4099999999999795</v>
      </c>
      <c r="BU60" s="2262">
        <v>1.4</v>
      </c>
      <c r="BV60" s="2262">
        <v>1.5999999999999999</v>
      </c>
      <c r="BW60" s="2262">
        <v>0.2</v>
      </c>
      <c r="BX60" s="2263">
        <v>0</v>
      </c>
      <c r="BY60" s="2262">
        <v>0.36</v>
      </c>
      <c r="BZ60" s="2262">
        <v>1.9999999999961493E-2</v>
      </c>
      <c r="CA60" s="2064" t="s">
        <v>3524</v>
      </c>
      <c r="CC60" s="563">
        <v>2198.0583023786467</v>
      </c>
      <c r="CD60" s="563">
        <v>156.12086870691724</v>
      </c>
    </row>
    <row r="61" spans="1:82" s="563" customFormat="1" ht="22.9" customHeight="1">
      <c r="A61" s="2241">
        <v>51</v>
      </c>
      <c r="B61" s="2242" t="s">
        <v>4</v>
      </c>
      <c r="C61" s="2243">
        <v>507</v>
      </c>
      <c r="D61" s="2244"/>
      <c r="E61" s="2243">
        <v>505.00000000000006</v>
      </c>
      <c r="F61" s="2245">
        <v>1.9999999999999432</v>
      </c>
      <c r="G61" s="2243">
        <v>505.3</v>
      </c>
      <c r="H61" s="2246">
        <v>503.29500000000007</v>
      </c>
      <c r="I61" s="2245">
        <v>2.0049999999999386</v>
      </c>
      <c r="J61" s="2247">
        <v>505.54945045359403</v>
      </c>
      <c r="K61" s="2248">
        <v>505.56507140029021</v>
      </c>
      <c r="L61" s="2248" t="s">
        <v>3521</v>
      </c>
      <c r="M61" s="2248" t="s">
        <v>3521</v>
      </c>
      <c r="N61" s="2249" t="s">
        <v>3521</v>
      </c>
      <c r="O61" s="2250">
        <v>55</v>
      </c>
      <c r="P61" s="2251"/>
      <c r="Q61" s="2252">
        <v>0.93</v>
      </c>
      <c r="R61" s="2250">
        <v>0.6</v>
      </c>
      <c r="S61" s="2253">
        <v>10</v>
      </c>
      <c r="T61" s="2161">
        <v>17.150000000000002</v>
      </c>
      <c r="U61" s="2245">
        <v>0.60297733205934745</v>
      </c>
      <c r="V61" s="2245">
        <v>20.057004786669047</v>
      </c>
      <c r="W61" s="2245">
        <v>112.16511046996416</v>
      </c>
      <c r="X61" s="2245">
        <v>0.54190299321053947</v>
      </c>
      <c r="Y61" s="2245">
        <v>94.688124406084839</v>
      </c>
      <c r="Z61" s="2161">
        <v>2136.6255580778143</v>
      </c>
      <c r="AA61" s="2245">
        <v>3.0909090909090704</v>
      </c>
      <c r="AB61" s="2245">
        <v>3.1</v>
      </c>
      <c r="AC61" s="2245">
        <v>0.99560778314978671</v>
      </c>
      <c r="AD61" s="2245" t="s">
        <v>1240</v>
      </c>
      <c r="AE61" s="2254">
        <v>1.4999999999999999E-2</v>
      </c>
      <c r="AF61" s="2255">
        <v>1</v>
      </c>
      <c r="AG61" s="2245">
        <v>1</v>
      </c>
      <c r="AH61" s="2245"/>
      <c r="AJ61" s="2256"/>
      <c r="AK61" s="2257">
        <v>0</v>
      </c>
      <c r="AL61" s="2245">
        <v>0.54945045359397349</v>
      </c>
      <c r="AM61" s="2245">
        <v>0.84538344751278471</v>
      </c>
      <c r="AN61" s="2245">
        <v>4.8332421417105378</v>
      </c>
      <c r="AO61" s="2245">
        <v>20.246663537418549</v>
      </c>
      <c r="AP61" s="2258">
        <v>51</v>
      </c>
      <c r="AQ61" s="2259">
        <v>52</v>
      </c>
      <c r="AR61" s="2259">
        <v>505.3</v>
      </c>
      <c r="AS61" s="2260">
        <v>505.3</v>
      </c>
      <c r="AT61" s="2259">
        <v>50</v>
      </c>
      <c r="AU61" s="2259">
        <v>0</v>
      </c>
      <c r="AV61" s="2259">
        <v>0</v>
      </c>
      <c r="AW61" s="2259">
        <v>0</v>
      </c>
      <c r="AX61" s="2261">
        <v>505.00000000000006</v>
      </c>
      <c r="AY61" s="2261">
        <v>10000</v>
      </c>
      <c r="AZ61" s="2261">
        <v>10000</v>
      </c>
      <c r="BA61" s="2261">
        <v>20.057004786669047</v>
      </c>
      <c r="BB61" s="2261" t="s">
        <v>3521</v>
      </c>
      <c r="BC61" s="2261" t="s">
        <v>3521</v>
      </c>
      <c r="BD61" s="2229">
        <v>0.50152405466454464</v>
      </c>
      <c r="BE61" s="2229">
        <v>0.54945045359397349</v>
      </c>
      <c r="BF61" s="2229">
        <v>0.19291777575500138</v>
      </c>
      <c r="BG61" s="2229">
        <v>442.068800906722</v>
      </c>
      <c r="BH61" s="2229">
        <v>0.83361689848009857</v>
      </c>
      <c r="BI61" s="2229">
        <v>0.84538344751278471</v>
      </c>
      <c r="BJ61" s="2229">
        <v>0.81169132965282986</v>
      </c>
      <c r="BK61" s="2262">
        <v>507</v>
      </c>
      <c r="BL61" s="2262">
        <v>507</v>
      </c>
      <c r="BM61" s="2262">
        <v>505.00000000000006</v>
      </c>
      <c r="BN61" s="2262">
        <v>1.9999999999999432</v>
      </c>
      <c r="BO61" s="2262">
        <v>504.50500000000005</v>
      </c>
      <c r="BP61" s="2262">
        <v>506.21000000000004</v>
      </c>
      <c r="BQ61" s="2262">
        <v>506.21000000000004</v>
      </c>
      <c r="BR61" s="2262">
        <v>0</v>
      </c>
      <c r="BS61" s="2262">
        <v>0</v>
      </c>
      <c r="BT61" s="2262">
        <v>1.4099999999999795</v>
      </c>
      <c r="BU61" s="2262">
        <v>1.4</v>
      </c>
      <c r="BV61" s="2262">
        <v>1.5999999999999999</v>
      </c>
      <c r="BW61" s="2262">
        <v>0.2</v>
      </c>
      <c r="BX61" s="2263">
        <v>0</v>
      </c>
      <c r="BY61" s="2262">
        <v>0.36</v>
      </c>
      <c r="BZ61" s="2262">
        <v>3.9999999999943303E-2</v>
      </c>
      <c r="CA61" s="2064" t="s">
        <v>3524</v>
      </c>
      <c r="CC61" s="563">
        <v>2301.893758825765</v>
      </c>
      <c r="CD61" s="563">
        <v>165.26820074795069</v>
      </c>
    </row>
    <row r="62" spans="1:82" s="563" customFormat="1" ht="22.9" customHeight="1">
      <c r="A62" s="2241">
        <v>52</v>
      </c>
      <c r="B62" s="2242" t="s">
        <v>4</v>
      </c>
      <c r="C62" s="2243">
        <v>505.3</v>
      </c>
      <c r="D62" s="2244"/>
      <c r="E62" s="2243">
        <v>503.29500000000007</v>
      </c>
      <c r="F62" s="2245">
        <v>2.0049999999999386</v>
      </c>
      <c r="G62" s="2243">
        <v>504.5</v>
      </c>
      <c r="H62" s="2246">
        <v>502.48100000000005</v>
      </c>
      <c r="I62" s="2245">
        <v>2.0189999999999486</v>
      </c>
      <c r="J62" s="2247">
        <v>503.92202801876806</v>
      </c>
      <c r="K62" s="2248">
        <v>503.84445045359405</v>
      </c>
      <c r="L62" s="2248" t="s">
        <v>3521</v>
      </c>
      <c r="M62" s="2248" t="s">
        <v>3521</v>
      </c>
      <c r="N62" s="2249" t="s">
        <v>3521</v>
      </c>
      <c r="O62" s="2250">
        <v>37</v>
      </c>
      <c r="P62" s="2251"/>
      <c r="Q62" s="2252">
        <v>0.52</v>
      </c>
      <c r="R62" s="2250">
        <v>0.6</v>
      </c>
      <c r="S62" s="2253">
        <v>10</v>
      </c>
      <c r="T62" s="2161">
        <v>17.670000000000002</v>
      </c>
      <c r="U62" s="2245">
        <v>0.59977988166599105</v>
      </c>
      <c r="V62" s="2245">
        <v>20.246663537418549</v>
      </c>
      <c r="W62" s="2245">
        <v>111.64362557182238</v>
      </c>
      <c r="X62" s="2245">
        <v>0.5427619491573018</v>
      </c>
      <c r="Y62" s="2245">
        <v>52.501390299738155</v>
      </c>
      <c r="Z62" s="2161">
        <v>2189.1269483775523</v>
      </c>
      <c r="AA62" s="2245">
        <v>2.1621621621621929</v>
      </c>
      <c r="AB62" s="2245">
        <v>2.2000000000000002</v>
      </c>
      <c r="AC62" s="2245">
        <v>1.0451372801145216</v>
      </c>
      <c r="AD62" s="2245" t="s">
        <v>1240</v>
      </c>
      <c r="AE62" s="2254">
        <v>1.4999999999999999E-2</v>
      </c>
      <c r="AF62" s="2255">
        <v>1</v>
      </c>
      <c r="AG62" s="2245">
        <v>1</v>
      </c>
      <c r="AH62" s="2245"/>
      <c r="AJ62" s="2256"/>
      <c r="AK62" s="2257">
        <v>0</v>
      </c>
      <c r="AL62" s="2245">
        <v>0.62702801876796399</v>
      </c>
      <c r="AM62" s="2245">
        <v>0.817856317942391</v>
      </c>
      <c r="AN62" s="2245">
        <v>4.2232841756665369</v>
      </c>
      <c r="AO62" s="2245">
        <v>20.39267944376455</v>
      </c>
      <c r="AP62" s="2258">
        <v>52</v>
      </c>
      <c r="AQ62" s="2259">
        <v>33</v>
      </c>
      <c r="AR62" s="2259">
        <v>504.5</v>
      </c>
      <c r="AS62" s="2260">
        <v>504.5</v>
      </c>
      <c r="AT62" s="2259">
        <v>51</v>
      </c>
      <c r="AU62" s="2259">
        <v>0</v>
      </c>
      <c r="AV62" s="2259">
        <v>0</v>
      </c>
      <c r="AW62" s="2259">
        <v>0</v>
      </c>
      <c r="AX62" s="2261">
        <v>503.29500000000007</v>
      </c>
      <c r="AY62" s="2261">
        <v>10000</v>
      </c>
      <c r="AZ62" s="2261">
        <v>10000</v>
      </c>
      <c r="BA62" s="2261">
        <v>20.246663537418549</v>
      </c>
      <c r="BB62" s="2261" t="s">
        <v>3521</v>
      </c>
      <c r="BC62" s="2261" t="s">
        <v>3521</v>
      </c>
      <c r="BD62" s="2229">
        <v>0.55114715339641096</v>
      </c>
      <c r="BE62" s="2229">
        <v>0.62702801876796399</v>
      </c>
      <c r="BF62" s="2229">
        <v>0.3190536502260749</v>
      </c>
      <c r="BG62" s="2229">
        <v>518.34706293048703</v>
      </c>
      <c r="BH62" s="2229">
        <v>0.84401580420741051</v>
      </c>
      <c r="BI62" s="2229">
        <v>0.85603718543208762</v>
      </c>
      <c r="BJ62" s="2229">
        <v>0.817856317942391</v>
      </c>
      <c r="BK62" s="2262">
        <v>505.3</v>
      </c>
      <c r="BL62" s="2262">
        <v>505.3</v>
      </c>
      <c r="BM62" s="2262">
        <v>503.29500000000007</v>
      </c>
      <c r="BN62" s="2262">
        <v>2.0049999999999386</v>
      </c>
      <c r="BO62" s="2262">
        <v>503.69100000000003</v>
      </c>
      <c r="BP62" s="2262">
        <v>504.50500000000005</v>
      </c>
      <c r="BQ62" s="2262">
        <v>504.50500000000005</v>
      </c>
      <c r="BR62" s="2262">
        <v>0</v>
      </c>
      <c r="BS62" s="2262">
        <v>0</v>
      </c>
      <c r="BT62" s="2262">
        <v>1.4099999999999795</v>
      </c>
      <c r="BU62" s="2262">
        <v>1.4</v>
      </c>
      <c r="BV62" s="2262">
        <v>1.5999999999999999</v>
      </c>
      <c r="BW62" s="2262">
        <v>0.2</v>
      </c>
      <c r="BX62" s="2263">
        <v>0</v>
      </c>
      <c r="BY62" s="2262">
        <v>0.36</v>
      </c>
      <c r="BZ62" s="2262">
        <v>4.4999999999938756E-2</v>
      </c>
      <c r="CA62" s="2064" t="s">
        <v>3524</v>
      </c>
      <c r="CC62" s="563">
        <v>2359.5299329060649</v>
      </c>
      <c r="CD62" s="563">
        <v>170.40298452851266</v>
      </c>
    </row>
    <row r="63" spans="1:82" s="563" customFormat="1" ht="22.9" customHeight="1">
      <c r="A63" s="2241"/>
      <c r="B63" s="2242" t="s">
        <v>4</v>
      </c>
      <c r="C63" s="2243"/>
      <c r="D63" s="2244"/>
      <c r="E63" s="2243">
        <v>-2.1</v>
      </c>
      <c r="F63" s="2245">
        <v>2.1</v>
      </c>
      <c r="G63" s="2243">
        <v>0</v>
      </c>
      <c r="H63" s="2246">
        <v>-2.1</v>
      </c>
      <c r="I63" s="2245">
        <v>2.1</v>
      </c>
      <c r="J63" s="2247">
        <v>-2.1</v>
      </c>
      <c r="K63" s="2248" t="s">
        <v>3521</v>
      </c>
      <c r="L63" s="2248" t="s">
        <v>3521</v>
      </c>
      <c r="M63" s="2248" t="s">
        <v>3521</v>
      </c>
      <c r="N63" s="2249" t="s">
        <v>3521</v>
      </c>
      <c r="O63" s="2250"/>
      <c r="P63" s="2251"/>
      <c r="Q63" s="2252"/>
      <c r="R63" s="2250"/>
      <c r="S63" s="2253">
        <v>10</v>
      </c>
      <c r="T63" s="2161">
        <v>0</v>
      </c>
      <c r="U63" s="2245">
        <v>1</v>
      </c>
      <c r="V63" s="2245">
        <v>15</v>
      </c>
      <c r="W63" s="2245">
        <v>128.45752167880846</v>
      </c>
      <c r="X63" s="2245">
        <v>3.6248559335500571E-2</v>
      </c>
      <c r="Y63" s="2245">
        <v>0</v>
      </c>
      <c r="Z63" s="2161">
        <v>0</v>
      </c>
      <c r="AA63" s="2245" t="e">
        <v>#DIV/0!</v>
      </c>
      <c r="AB63" s="2245">
        <v>2.2000000000000002</v>
      </c>
      <c r="AC63" s="2245">
        <v>0</v>
      </c>
      <c r="AD63" s="2245" t="s">
        <v>1240</v>
      </c>
      <c r="AE63" s="2254">
        <v>1.4999999999999999E-2</v>
      </c>
      <c r="AF63" s="2255">
        <v>1</v>
      </c>
      <c r="AG63" s="2245">
        <v>0.6</v>
      </c>
      <c r="AH63" s="2245"/>
      <c r="AJ63" s="2256"/>
      <c r="AK63" s="2257">
        <v>0</v>
      </c>
      <c r="AL63" s="2245">
        <v>0</v>
      </c>
      <c r="AM63" s="2245">
        <v>0</v>
      </c>
      <c r="AN63" s="2245" t="e">
        <v>#DIV/0!</v>
      </c>
      <c r="AO63" s="2245" t="e">
        <v>#DIV/0!</v>
      </c>
      <c r="AP63" s="2258">
        <v>0</v>
      </c>
      <c r="AQ63" s="2259"/>
      <c r="AR63" s="2259">
        <v>0</v>
      </c>
      <c r="AS63" s="2260" t="s">
        <v>3521</v>
      </c>
      <c r="AT63" s="2259"/>
      <c r="AU63" s="2259"/>
      <c r="AV63" s="2259"/>
      <c r="AW63" s="2259">
        <v>0</v>
      </c>
      <c r="AX63" s="2261">
        <v>10000</v>
      </c>
      <c r="AY63" s="2261">
        <v>10000</v>
      </c>
      <c r="AZ63" s="2261">
        <v>10000</v>
      </c>
      <c r="BA63" s="2261">
        <v>15</v>
      </c>
      <c r="BB63" s="2261">
        <v>0</v>
      </c>
      <c r="BC63" s="2261">
        <v>0</v>
      </c>
      <c r="BD63" s="2229">
        <v>0</v>
      </c>
      <c r="BE63" s="2229">
        <v>0.114396</v>
      </c>
      <c r="BF63" s="2229">
        <v>0</v>
      </c>
      <c r="BG63" s="2229">
        <v>0</v>
      </c>
      <c r="BH63" s="2229">
        <v>0</v>
      </c>
      <c r="BI63" s="2229">
        <v>0</v>
      </c>
      <c r="BJ63" s="2229">
        <v>0</v>
      </c>
      <c r="BK63" s="2262">
        <v>0</v>
      </c>
      <c r="BL63" s="2262">
        <v>0</v>
      </c>
      <c r="BM63" s="2262">
        <v>-2.1</v>
      </c>
      <c r="BN63" s="2262">
        <v>2.1</v>
      </c>
      <c r="BO63" s="2262">
        <v>0</v>
      </c>
      <c r="BP63" s="2262">
        <v>0</v>
      </c>
      <c r="BQ63" s="2262">
        <v>0</v>
      </c>
      <c r="BR63" s="2262">
        <v>0</v>
      </c>
      <c r="BS63" s="2262">
        <v>0</v>
      </c>
      <c r="BT63" s="2262">
        <v>0</v>
      </c>
      <c r="BU63" s="2262">
        <v>0</v>
      </c>
      <c r="BV63" s="2262">
        <v>0</v>
      </c>
      <c r="BW63" s="2262">
        <v>0</v>
      </c>
      <c r="BX63" s="2263">
        <v>1</v>
      </c>
      <c r="BY63" s="2262">
        <v>0.52</v>
      </c>
      <c r="BZ63" s="2262">
        <v>0.18000000000000016</v>
      </c>
      <c r="CA63" s="2064" t="s">
        <v>3524</v>
      </c>
      <c r="CC63" s="563">
        <v>2359.5299329060649</v>
      </c>
      <c r="CD63" s="563">
        <v>2359.5299329060649</v>
      </c>
    </row>
    <row r="64" spans="1:82" s="563" customFormat="1" ht="22.9" customHeight="1">
      <c r="A64" s="2241"/>
      <c r="B64" s="2242" t="s">
        <v>4</v>
      </c>
      <c r="C64" s="2243"/>
      <c r="D64" s="2244"/>
      <c r="E64" s="2243">
        <v>-2.1</v>
      </c>
      <c r="F64" s="2245">
        <v>2.1</v>
      </c>
      <c r="G64" s="2243">
        <v>0</v>
      </c>
      <c r="H64" s="2246">
        <v>-2.1</v>
      </c>
      <c r="I64" s="2245">
        <v>2.1</v>
      </c>
      <c r="J64" s="2247">
        <v>-2.1</v>
      </c>
      <c r="K64" s="2248" t="s">
        <v>3521</v>
      </c>
      <c r="L64" s="2248" t="s">
        <v>3521</v>
      </c>
      <c r="M64" s="2248" t="s">
        <v>3521</v>
      </c>
      <c r="N64" s="2249" t="s">
        <v>3521</v>
      </c>
      <c r="O64" s="2250"/>
      <c r="P64" s="2251"/>
      <c r="Q64" s="2252"/>
      <c r="R64" s="2250"/>
      <c r="S64" s="2253">
        <v>10</v>
      </c>
      <c r="T64" s="2161">
        <v>0</v>
      </c>
      <c r="U64" s="2245">
        <v>1</v>
      </c>
      <c r="V64" s="2245">
        <v>15</v>
      </c>
      <c r="W64" s="2245">
        <v>128.45752167880846</v>
      </c>
      <c r="X64" s="2245">
        <v>3.6248559335500571E-2</v>
      </c>
      <c r="Y64" s="2245">
        <v>0</v>
      </c>
      <c r="Z64" s="2161">
        <v>0</v>
      </c>
      <c r="AA64" s="2245" t="e">
        <v>#DIV/0!</v>
      </c>
      <c r="AB64" s="2245">
        <v>2.2000000000000002</v>
      </c>
      <c r="AC64" s="2245">
        <v>0</v>
      </c>
      <c r="AD64" s="2245" t="s">
        <v>1240</v>
      </c>
      <c r="AE64" s="2254">
        <v>1.4999999999999999E-2</v>
      </c>
      <c r="AF64" s="2255">
        <v>1</v>
      </c>
      <c r="AG64" s="2245">
        <v>0.6</v>
      </c>
      <c r="AH64" s="2245"/>
      <c r="AJ64" s="2256"/>
      <c r="AK64" s="2257">
        <v>0</v>
      </c>
      <c r="AL64" s="2245">
        <v>0</v>
      </c>
      <c r="AM64" s="2245">
        <v>0</v>
      </c>
      <c r="AN64" s="2245" t="e">
        <v>#DIV/0!</v>
      </c>
      <c r="AO64" s="2245" t="e">
        <v>#DIV/0!</v>
      </c>
      <c r="AP64" s="2258">
        <v>0</v>
      </c>
      <c r="AQ64" s="2259"/>
      <c r="AR64" s="2259">
        <v>0</v>
      </c>
      <c r="AS64" s="2260" t="s">
        <v>3521</v>
      </c>
      <c r="AT64" s="2259"/>
      <c r="AU64" s="2259"/>
      <c r="AV64" s="2259"/>
      <c r="AW64" s="2259">
        <v>0</v>
      </c>
      <c r="AX64" s="2261">
        <v>10000</v>
      </c>
      <c r="AY64" s="2261">
        <v>10000</v>
      </c>
      <c r="AZ64" s="2261">
        <v>10000</v>
      </c>
      <c r="BA64" s="2261">
        <v>15</v>
      </c>
      <c r="BB64" s="2261">
        <v>0</v>
      </c>
      <c r="BC64" s="2261">
        <v>0</v>
      </c>
      <c r="BD64" s="2229">
        <v>0</v>
      </c>
      <c r="BE64" s="2229">
        <v>0.114396</v>
      </c>
      <c r="BF64" s="2229">
        <v>0</v>
      </c>
      <c r="BG64" s="2229">
        <v>0</v>
      </c>
      <c r="BH64" s="2229">
        <v>0</v>
      </c>
      <c r="BI64" s="2229">
        <v>0</v>
      </c>
      <c r="BJ64" s="2229">
        <v>0</v>
      </c>
      <c r="BK64" s="2262">
        <v>0</v>
      </c>
      <c r="BL64" s="2262">
        <v>0</v>
      </c>
      <c r="BM64" s="2262">
        <v>-2.1</v>
      </c>
      <c r="BN64" s="2262">
        <v>2.1</v>
      </c>
      <c r="BO64" s="2262">
        <v>0</v>
      </c>
      <c r="BP64" s="2262">
        <v>0</v>
      </c>
      <c r="BQ64" s="2262">
        <v>0</v>
      </c>
      <c r="BR64" s="2262">
        <v>0</v>
      </c>
      <c r="BS64" s="2262">
        <v>0</v>
      </c>
      <c r="BT64" s="2262">
        <v>0</v>
      </c>
      <c r="BU64" s="2262">
        <v>0</v>
      </c>
      <c r="BV64" s="2262">
        <v>0</v>
      </c>
      <c r="BW64" s="2262">
        <v>0</v>
      </c>
      <c r="BX64" s="2263">
        <v>1</v>
      </c>
      <c r="BY64" s="2262">
        <v>0.52</v>
      </c>
      <c r="BZ64" s="2262">
        <v>0.18000000000000016</v>
      </c>
      <c r="CA64" s="2064" t="s">
        <v>3524</v>
      </c>
      <c r="CC64" s="563">
        <v>2359.5299329060649</v>
      </c>
      <c r="CD64" s="563">
        <v>2359.5299329060649</v>
      </c>
    </row>
    <row r="65" spans="1:82" s="563" customFormat="1" ht="22.9" customHeight="1">
      <c r="A65" s="2241"/>
      <c r="B65" s="2242" t="s">
        <v>4</v>
      </c>
      <c r="C65" s="2243"/>
      <c r="D65" s="2244"/>
      <c r="E65" s="2243">
        <v>-2.1</v>
      </c>
      <c r="F65" s="2245">
        <v>2.1</v>
      </c>
      <c r="G65" s="2243">
        <v>0</v>
      </c>
      <c r="H65" s="2246">
        <v>-2.1</v>
      </c>
      <c r="I65" s="2245">
        <v>2.1</v>
      </c>
      <c r="J65" s="2247">
        <v>-2.1</v>
      </c>
      <c r="K65" s="2248" t="s">
        <v>3521</v>
      </c>
      <c r="L65" s="2248" t="s">
        <v>3521</v>
      </c>
      <c r="M65" s="2248" t="s">
        <v>3521</v>
      </c>
      <c r="N65" s="2249" t="s">
        <v>3521</v>
      </c>
      <c r="O65" s="2250"/>
      <c r="P65" s="2251"/>
      <c r="Q65" s="2252"/>
      <c r="R65" s="2250"/>
      <c r="S65" s="2253">
        <v>10</v>
      </c>
      <c r="T65" s="2161">
        <v>0</v>
      </c>
      <c r="U65" s="2245">
        <v>1</v>
      </c>
      <c r="V65" s="2245">
        <v>15</v>
      </c>
      <c r="W65" s="2245">
        <v>128.45752167880846</v>
      </c>
      <c r="X65" s="2245">
        <v>3.6248559335500571E-2</v>
      </c>
      <c r="Y65" s="2245">
        <v>0</v>
      </c>
      <c r="Z65" s="2161">
        <v>0</v>
      </c>
      <c r="AA65" s="2245" t="e">
        <v>#DIV/0!</v>
      </c>
      <c r="AB65" s="2245">
        <v>2.2000000000000002</v>
      </c>
      <c r="AC65" s="2245">
        <v>0</v>
      </c>
      <c r="AD65" s="2245" t="s">
        <v>1240</v>
      </c>
      <c r="AE65" s="2254">
        <v>1.4999999999999999E-2</v>
      </c>
      <c r="AF65" s="2255">
        <v>1</v>
      </c>
      <c r="AG65" s="2245">
        <v>0.6</v>
      </c>
      <c r="AH65" s="2245"/>
      <c r="AJ65" s="2256"/>
      <c r="AK65" s="2257">
        <v>0</v>
      </c>
      <c r="AL65" s="2245">
        <v>0</v>
      </c>
      <c r="AM65" s="2245">
        <v>0</v>
      </c>
      <c r="AN65" s="2245" t="e">
        <v>#DIV/0!</v>
      </c>
      <c r="AO65" s="2245" t="e">
        <v>#DIV/0!</v>
      </c>
      <c r="AP65" s="2258">
        <v>0</v>
      </c>
      <c r="AQ65" s="2259"/>
      <c r="AR65" s="2259">
        <v>0</v>
      </c>
      <c r="AS65" s="2260" t="s">
        <v>3521</v>
      </c>
      <c r="AT65" s="2259"/>
      <c r="AU65" s="2259"/>
      <c r="AV65" s="2259"/>
      <c r="AW65" s="2259">
        <v>0</v>
      </c>
      <c r="AX65" s="2261">
        <v>10000</v>
      </c>
      <c r="AY65" s="2261">
        <v>10000</v>
      </c>
      <c r="AZ65" s="2261">
        <v>10000</v>
      </c>
      <c r="BA65" s="2261">
        <v>15</v>
      </c>
      <c r="BB65" s="2261">
        <v>0</v>
      </c>
      <c r="BC65" s="2261">
        <v>0</v>
      </c>
      <c r="BD65" s="2229">
        <v>0</v>
      </c>
      <c r="BE65" s="2229">
        <v>0.114396</v>
      </c>
      <c r="BF65" s="2229">
        <v>0</v>
      </c>
      <c r="BG65" s="2229">
        <v>0</v>
      </c>
      <c r="BH65" s="2229">
        <v>0</v>
      </c>
      <c r="BI65" s="2229">
        <v>0</v>
      </c>
      <c r="BJ65" s="2229">
        <v>0</v>
      </c>
      <c r="BK65" s="2262">
        <v>0</v>
      </c>
      <c r="BL65" s="2262">
        <v>0</v>
      </c>
      <c r="BM65" s="2262">
        <v>-2.1</v>
      </c>
      <c r="BN65" s="2262">
        <v>2.1</v>
      </c>
      <c r="BO65" s="2262">
        <v>0</v>
      </c>
      <c r="BP65" s="2262">
        <v>0</v>
      </c>
      <c r="BQ65" s="2262">
        <v>0</v>
      </c>
      <c r="BR65" s="2262">
        <v>0</v>
      </c>
      <c r="BS65" s="2262">
        <v>0</v>
      </c>
      <c r="BT65" s="2262">
        <v>0</v>
      </c>
      <c r="BU65" s="2262">
        <v>0</v>
      </c>
      <c r="BV65" s="2262">
        <v>0</v>
      </c>
      <c r="BW65" s="2262">
        <v>0</v>
      </c>
      <c r="BX65" s="2263">
        <v>1</v>
      </c>
      <c r="BY65" s="2262">
        <v>0.52</v>
      </c>
      <c r="BZ65" s="2262">
        <v>0.18000000000000016</v>
      </c>
      <c r="CA65" s="2064" t="s">
        <v>3524</v>
      </c>
      <c r="CC65" s="563">
        <v>2359.5299329060649</v>
      </c>
      <c r="CD65" s="563">
        <v>2359.5299329060649</v>
      </c>
    </row>
    <row r="66" spans="1:82" s="563" customFormat="1" ht="22.9" customHeight="1">
      <c r="A66" s="2241"/>
      <c r="B66" s="2242" t="s">
        <v>4</v>
      </c>
      <c r="C66" s="2243"/>
      <c r="D66" s="2244"/>
      <c r="E66" s="2243">
        <v>-2.1</v>
      </c>
      <c r="F66" s="2245">
        <v>2.1</v>
      </c>
      <c r="G66" s="2243">
        <v>0</v>
      </c>
      <c r="H66" s="2246">
        <v>-2.1</v>
      </c>
      <c r="I66" s="2245">
        <v>2.1</v>
      </c>
      <c r="J66" s="2247">
        <v>-2.1</v>
      </c>
      <c r="K66" s="2248" t="s">
        <v>3521</v>
      </c>
      <c r="L66" s="2248" t="s">
        <v>3521</v>
      </c>
      <c r="M66" s="2248" t="s">
        <v>3521</v>
      </c>
      <c r="N66" s="2249" t="s">
        <v>3521</v>
      </c>
      <c r="O66" s="2250"/>
      <c r="P66" s="2251"/>
      <c r="Q66" s="2252"/>
      <c r="R66" s="2250"/>
      <c r="S66" s="2253">
        <v>10</v>
      </c>
      <c r="T66" s="2161">
        <v>0</v>
      </c>
      <c r="U66" s="2245">
        <v>1</v>
      </c>
      <c r="V66" s="2245">
        <v>15</v>
      </c>
      <c r="W66" s="2245">
        <v>128.45752167880846</v>
      </c>
      <c r="X66" s="2245">
        <v>3.6248559335500571E-2</v>
      </c>
      <c r="Y66" s="2245">
        <v>0</v>
      </c>
      <c r="Z66" s="2161">
        <v>0</v>
      </c>
      <c r="AA66" s="2245" t="e">
        <v>#DIV/0!</v>
      </c>
      <c r="AB66" s="2245">
        <v>2.2000000000000002</v>
      </c>
      <c r="AC66" s="2245">
        <v>0</v>
      </c>
      <c r="AD66" s="2245" t="s">
        <v>1240</v>
      </c>
      <c r="AE66" s="2254">
        <v>1.4999999999999999E-2</v>
      </c>
      <c r="AF66" s="2255">
        <v>1</v>
      </c>
      <c r="AG66" s="2245">
        <v>0.6</v>
      </c>
      <c r="AH66" s="2245"/>
      <c r="AJ66" s="2256"/>
      <c r="AK66" s="2257">
        <v>0</v>
      </c>
      <c r="AL66" s="2245">
        <v>0</v>
      </c>
      <c r="AM66" s="2245">
        <v>0</v>
      </c>
      <c r="AN66" s="2245" t="e">
        <v>#DIV/0!</v>
      </c>
      <c r="AO66" s="2245" t="e">
        <v>#DIV/0!</v>
      </c>
      <c r="AP66" s="2258">
        <v>0</v>
      </c>
      <c r="AQ66" s="2259"/>
      <c r="AR66" s="2259">
        <v>0</v>
      </c>
      <c r="AS66" s="2260" t="s">
        <v>3521</v>
      </c>
      <c r="AT66" s="2259"/>
      <c r="AU66" s="2259"/>
      <c r="AV66" s="2259"/>
      <c r="AW66" s="2259">
        <v>0</v>
      </c>
      <c r="AX66" s="2261">
        <v>10000</v>
      </c>
      <c r="AY66" s="2261">
        <v>10000</v>
      </c>
      <c r="AZ66" s="2261">
        <v>10000</v>
      </c>
      <c r="BA66" s="2261">
        <v>15</v>
      </c>
      <c r="BB66" s="2261">
        <v>0</v>
      </c>
      <c r="BC66" s="2261">
        <v>0</v>
      </c>
      <c r="BD66" s="2229">
        <v>0</v>
      </c>
      <c r="BE66" s="2229">
        <v>0.114396</v>
      </c>
      <c r="BF66" s="2229">
        <v>0</v>
      </c>
      <c r="BG66" s="2229">
        <v>0</v>
      </c>
      <c r="BH66" s="2229">
        <v>0</v>
      </c>
      <c r="BI66" s="2229">
        <v>0</v>
      </c>
      <c r="BJ66" s="2229">
        <v>0</v>
      </c>
      <c r="BK66" s="2262">
        <v>0</v>
      </c>
      <c r="BL66" s="2262">
        <v>0</v>
      </c>
      <c r="BM66" s="2262">
        <v>-2.1</v>
      </c>
      <c r="BN66" s="2262">
        <v>2.1</v>
      </c>
      <c r="BO66" s="2262">
        <v>0</v>
      </c>
      <c r="BP66" s="2262">
        <v>0</v>
      </c>
      <c r="BQ66" s="2262">
        <v>0</v>
      </c>
      <c r="BR66" s="2262">
        <v>0</v>
      </c>
      <c r="BS66" s="2262">
        <v>0</v>
      </c>
      <c r="BT66" s="2262">
        <v>0</v>
      </c>
      <c r="BU66" s="2262">
        <v>0</v>
      </c>
      <c r="BV66" s="2262">
        <v>0</v>
      </c>
      <c r="BW66" s="2262">
        <v>0</v>
      </c>
      <c r="BX66" s="2263">
        <v>1</v>
      </c>
      <c r="BY66" s="2262">
        <v>0.52</v>
      </c>
      <c r="BZ66" s="2262">
        <v>0.18000000000000016</v>
      </c>
      <c r="CA66" s="2064" t="s">
        <v>3524</v>
      </c>
      <c r="CC66" s="563">
        <v>2359.5299329060649</v>
      </c>
      <c r="CD66" s="563">
        <v>2359.5299329060649</v>
      </c>
    </row>
    <row r="67" spans="1:82" s="563" customFormat="1" ht="22.9" customHeight="1">
      <c r="A67" s="2241"/>
      <c r="B67" s="2242" t="s">
        <v>4</v>
      </c>
      <c r="C67" s="2243"/>
      <c r="D67" s="2244"/>
      <c r="E67" s="2243">
        <v>-2.1</v>
      </c>
      <c r="F67" s="2245">
        <v>2.1</v>
      </c>
      <c r="G67" s="2243">
        <v>0</v>
      </c>
      <c r="H67" s="2246">
        <v>-2.1</v>
      </c>
      <c r="I67" s="2245">
        <v>2.1</v>
      </c>
      <c r="J67" s="2247">
        <v>-2.1</v>
      </c>
      <c r="K67" s="2248" t="s">
        <v>3521</v>
      </c>
      <c r="L67" s="2248" t="s">
        <v>3521</v>
      </c>
      <c r="M67" s="2248" t="s">
        <v>3521</v>
      </c>
      <c r="N67" s="2249" t="s">
        <v>3521</v>
      </c>
      <c r="O67" s="2250"/>
      <c r="P67" s="2251"/>
      <c r="Q67" s="2252"/>
      <c r="R67" s="2250"/>
      <c r="S67" s="2253">
        <v>10</v>
      </c>
      <c r="T67" s="2161">
        <v>0</v>
      </c>
      <c r="U67" s="2245">
        <v>1</v>
      </c>
      <c r="V67" s="2245">
        <v>15</v>
      </c>
      <c r="W67" s="2245">
        <v>128.45752167880846</v>
      </c>
      <c r="X67" s="2245">
        <v>3.6248559335500571E-2</v>
      </c>
      <c r="Y67" s="2245">
        <v>0</v>
      </c>
      <c r="Z67" s="2161">
        <v>0</v>
      </c>
      <c r="AA67" s="2245" t="e">
        <v>#DIV/0!</v>
      </c>
      <c r="AB67" s="2245">
        <v>2.2000000000000002</v>
      </c>
      <c r="AC67" s="2245">
        <v>0</v>
      </c>
      <c r="AD67" s="2245" t="s">
        <v>1240</v>
      </c>
      <c r="AE67" s="2254">
        <v>1.4999999999999999E-2</v>
      </c>
      <c r="AF67" s="2255">
        <v>1</v>
      </c>
      <c r="AG67" s="2245">
        <v>0.6</v>
      </c>
      <c r="AH67" s="2245"/>
      <c r="AJ67" s="2256"/>
      <c r="AK67" s="2257">
        <v>0</v>
      </c>
      <c r="AL67" s="2245">
        <v>0</v>
      </c>
      <c r="AM67" s="2245">
        <v>0</v>
      </c>
      <c r="AN67" s="2245" t="e">
        <v>#DIV/0!</v>
      </c>
      <c r="AO67" s="2245" t="e">
        <v>#DIV/0!</v>
      </c>
      <c r="AP67" s="2258">
        <v>0</v>
      </c>
      <c r="AQ67" s="2259"/>
      <c r="AR67" s="2259">
        <v>0</v>
      </c>
      <c r="AS67" s="2260" t="s">
        <v>3521</v>
      </c>
      <c r="AT67" s="2259"/>
      <c r="AU67" s="2259"/>
      <c r="AV67" s="2259"/>
      <c r="AW67" s="2259">
        <v>0</v>
      </c>
      <c r="AX67" s="2261">
        <v>10000</v>
      </c>
      <c r="AY67" s="2261">
        <v>10000</v>
      </c>
      <c r="AZ67" s="2261">
        <v>10000</v>
      </c>
      <c r="BA67" s="2261">
        <v>15</v>
      </c>
      <c r="BB67" s="2261">
        <v>0</v>
      </c>
      <c r="BC67" s="2261">
        <v>0</v>
      </c>
      <c r="BD67" s="2229">
        <v>0</v>
      </c>
      <c r="BE67" s="2229">
        <v>0.114396</v>
      </c>
      <c r="BF67" s="2229">
        <v>0</v>
      </c>
      <c r="BG67" s="2229">
        <v>0</v>
      </c>
      <c r="BH67" s="2229">
        <v>0</v>
      </c>
      <c r="BI67" s="2229">
        <v>0</v>
      </c>
      <c r="BJ67" s="2229">
        <v>0</v>
      </c>
      <c r="BK67" s="2262">
        <v>0</v>
      </c>
      <c r="BL67" s="2262">
        <v>0</v>
      </c>
      <c r="BM67" s="2262">
        <v>-2.1</v>
      </c>
      <c r="BN67" s="2262">
        <v>2.1</v>
      </c>
      <c r="BO67" s="2262">
        <v>0</v>
      </c>
      <c r="BP67" s="2262">
        <v>0</v>
      </c>
      <c r="BQ67" s="2262">
        <v>0</v>
      </c>
      <c r="BR67" s="2262">
        <v>0</v>
      </c>
      <c r="BS67" s="2262">
        <v>0</v>
      </c>
      <c r="BT67" s="2262">
        <v>0</v>
      </c>
      <c r="BU67" s="2262">
        <v>0</v>
      </c>
      <c r="BV67" s="2262">
        <v>0</v>
      </c>
      <c r="BW67" s="2262">
        <v>0</v>
      </c>
      <c r="BX67" s="2263">
        <v>1</v>
      </c>
      <c r="BY67" s="2262">
        <v>0.52</v>
      </c>
      <c r="BZ67" s="2262">
        <v>0.18000000000000016</v>
      </c>
      <c r="CA67" s="2064" t="s">
        <v>3524</v>
      </c>
      <c r="CC67" s="563">
        <v>2359.5299329060649</v>
      </c>
      <c r="CD67" s="563">
        <v>2359.5299329060649</v>
      </c>
    </row>
    <row r="68" spans="1:82" s="563" customFormat="1" ht="22.9" customHeight="1">
      <c r="A68" s="2241"/>
      <c r="B68" s="2242" t="s">
        <v>4</v>
      </c>
      <c r="C68" s="2243"/>
      <c r="D68" s="2244"/>
      <c r="E68" s="2243">
        <v>-2.1</v>
      </c>
      <c r="F68" s="2245">
        <v>2.1</v>
      </c>
      <c r="G68" s="2243">
        <v>0</v>
      </c>
      <c r="H68" s="2246">
        <v>-2.1</v>
      </c>
      <c r="I68" s="2245">
        <v>2.1</v>
      </c>
      <c r="J68" s="2247">
        <v>-2.1</v>
      </c>
      <c r="K68" s="2248" t="s">
        <v>3521</v>
      </c>
      <c r="L68" s="2248" t="s">
        <v>3521</v>
      </c>
      <c r="M68" s="2248" t="s">
        <v>3521</v>
      </c>
      <c r="N68" s="2249" t="s">
        <v>3521</v>
      </c>
      <c r="O68" s="2250"/>
      <c r="P68" s="2251"/>
      <c r="Q68" s="2252"/>
      <c r="R68" s="2250"/>
      <c r="S68" s="2253">
        <v>10</v>
      </c>
      <c r="T68" s="2161">
        <v>0</v>
      </c>
      <c r="U68" s="2245">
        <v>1</v>
      </c>
      <c r="V68" s="2245">
        <v>15</v>
      </c>
      <c r="W68" s="2245">
        <v>128.45752167880846</v>
      </c>
      <c r="X68" s="2245">
        <v>3.6248559335500571E-2</v>
      </c>
      <c r="Y68" s="2245">
        <v>0</v>
      </c>
      <c r="Z68" s="2161">
        <v>0</v>
      </c>
      <c r="AA68" s="2245" t="e">
        <v>#DIV/0!</v>
      </c>
      <c r="AB68" s="2245">
        <v>2.2000000000000002</v>
      </c>
      <c r="AC68" s="2245">
        <v>0</v>
      </c>
      <c r="AD68" s="2245" t="s">
        <v>1240</v>
      </c>
      <c r="AE68" s="2254">
        <v>1.4999999999999999E-2</v>
      </c>
      <c r="AF68" s="2255">
        <v>1</v>
      </c>
      <c r="AG68" s="2245">
        <v>0.6</v>
      </c>
      <c r="AH68" s="2245"/>
      <c r="AJ68" s="2256"/>
      <c r="AK68" s="2257">
        <v>0</v>
      </c>
      <c r="AL68" s="2245">
        <v>0</v>
      </c>
      <c r="AM68" s="2245">
        <v>0</v>
      </c>
      <c r="AN68" s="2245" t="e">
        <v>#DIV/0!</v>
      </c>
      <c r="AO68" s="2245" t="e">
        <v>#DIV/0!</v>
      </c>
      <c r="AP68" s="2258">
        <v>0</v>
      </c>
      <c r="AQ68" s="2259"/>
      <c r="AR68" s="2259">
        <v>0</v>
      </c>
      <c r="AS68" s="2260" t="s">
        <v>3521</v>
      </c>
      <c r="AT68" s="2259"/>
      <c r="AU68" s="2259"/>
      <c r="AV68" s="2259"/>
      <c r="AW68" s="2259">
        <v>0</v>
      </c>
      <c r="AX68" s="2261">
        <v>10000</v>
      </c>
      <c r="AY68" s="2261">
        <v>10000</v>
      </c>
      <c r="AZ68" s="2261">
        <v>10000</v>
      </c>
      <c r="BA68" s="2261">
        <v>15</v>
      </c>
      <c r="BB68" s="2261">
        <v>0</v>
      </c>
      <c r="BC68" s="2261">
        <v>0</v>
      </c>
      <c r="BD68" s="2229">
        <v>0</v>
      </c>
      <c r="BE68" s="2229">
        <v>0.114396</v>
      </c>
      <c r="BF68" s="2229">
        <v>0</v>
      </c>
      <c r="BG68" s="2229">
        <v>0</v>
      </c>
      <c r="BH68" s="2229">
        <v>0</v>
      </c>
      <c r="BI68" s="2229">
        <v>0</v>
      </c>
      <c r="BJ68" s="2229">
        <v>0</v>
      </c>
      <c r="BK68" s="2262">
        <v>0</v>
      </c>
      <c r="BL68" s="2262">
        <v>0</v>
      </c>
      <c r="BM68" s="2262">
        <v>-2.1</v>
      </c>
      <c r="BN68" s="2262">
        <v>2.1</v>
      </c>
      <c r="BO68" s="2262">
        <v>0</v>
      </c>
      <c r="BP68" s="2262">
        <v>0</v>
      </c>
      <c r="BQ68" s="2262">
        <v>0</v>
      </c>
      <c r="BR68" s="2262">
        <v>0</v>
      </c>
      <c r="BS68" s="2262">
        <v>0</v>
      </c>
      <c r="BT68" s="2262">
        <v>0</v>
      </c>
      <c r="BU68" s="2262">
        <v>0</v>
      </c>
      <c r="BV68" s="2262">
        <v>0</v>
      </c>
      <c r="BW68" s="2262">
        <v>0</v>
      </c>
      <c r="BX68" s="2263">
        <v>1</v>
      </c>
      <c r="BY68" s="2262">
        <v>0.52</v>
      </c>
      <c r="BZ68" s="2262">
        <v>0.18000000000000016</v>
      </c>
      <c r="CA68" s="2064" t="s">
        <v>3524</v>
      </c>
      <c r="CC68" s="563">
        <v>2359.5299329060649</v>
      </c>
      <c r="CD68" s="563">
        <v>2359.5299329060649</v>
      </c>
    </row>
    <row r="69" spans="1:82" s="563" customFormat="1" ht="22.9" customHeight="1">
      <c r="A69" s="2241"/>
      <c r="B69" s="2242" t="s">
        <v>4</v>
      </c>
      <c r="C69" s="2243"/>
      <c r="D69" s="2244"/>
      <c r="E69" s="2243">
        <v>-2.1</v>
      </c>
      <c r="F69" s="2245">
        <v>2.1</v>
      </c>
      <c r="G69" s="2243">
        <v>0</v>
      </c>
      <c r="H69" s="2246">
        <v>-2.1</v>
      </c>
      <c r="I69" s="2245">
        <v>2.1</v>
      </c>
      <c r="J69" s="2247">
        <v>-2.1</v>
      </c>
      <c r="K69" s="2248" t="s">
        <v>3521</v>
      </c>
      <c r="L69" s="2248" t="s">
        <v>3521</v>
      </c>
      <c r="M69" s="2248" t="s">
        <v>3521</v>
      </c>
      <c r="N69" s="2249" t="s">
        <v>3521</v>
      </c>
      <c r="O69" s="2250"/>
      <c r="P69" s="2251"/>
      <c r="Q69" s="2252"/>
      <c r="R69" s="2250"/>
      <c r="S69" s="2253">
        <v>10</v>
      </c>
      <c r="T69" s="2161">
        <v>0</v>
      </c>
      <c r="U69" s="2245">
        <v>1</v>
      </c>
      <c r="V69" s="2245">
        <v>15</v>
      </c>
      <c r="W69" s="2245">
        <v>128.45752167880846</v>
      </c>
      <c r="X69" s="2245">
        <v>3.6248559335500571E-2</v>
      </c>
      <c r="Y69" s="2245">
        <v>0</v>
      </c>
      <c r="Z69" s="2161">
        <v>0</v>
      </c>
      <c r="AA69" s="2245" t="e">
        <v>#DIV/0!</v>
      </c>
      <c r="AB69" s="2245">
        <v>2.2000000000000002</v>
      </c>
      <c r="AC69" s="2245">
        <v>0</v>
      </c>
      <c r="AD69" s="2245" t="s">
        <v>1240</v>
      </c>
      <c r="AE69" s="2254">
        <v>1.4999999999999999E-2</v>
      </c>
      <c r="AF69" s="2255">
        <v>1</v>
      </c>
      <c r="AG69" s="2245">
        <v>0.6</v>
      </c>
      <c r="AH69" s="2245"/>
      <c r="AJ69" s="2256"/>
      <c r="AK69" s="2257">
        <v>0</v>
      </c>
      <c r="AL69" s="2245">
        <v>0</v>
      </c>
      <c r="AM69" s="2245">
        <v>0</v>
      </c>
      <c r="AN69" s="2245" t="e">
        <v>#DIV/0!</v>
      </c>
      <c r="AO69" s="2245" t="e">
        <v>#DIV/0!</v>
      </c>
      <c r="AP69" s="2258">
        <v>0</v>
      </c>
      <c r="AQ69" s="2259"/>
      <c r="AR69" s="2259">
        <v>0</v>
      </c>
      <c r="AS69" s="2260" t="s">
        <v>3521</v>
      </c>
      <c r="AT69" s="2259"/>
      <c r="AU69" s="2259"/>
      <c r="AV69" s="2259"/>
      <c r="AW69" s="2259">
        <v>0</v>
      </c>
      <c r="AX69" s="2261">
        <v>10000</v>
      </c>
      <c r="AY69" s="2261">
        <v>10000</v>
      </c>
      <c r="AZ69" s="2261">
        <v>10000</v>
      </c>
      <c r="BA69" s="2261">
        <v>15</v>
      </c>
      <c r="BB69" s="2261">
        <v>0</v>
      </c>
      <c r="BC69" s="2261">
        <v>0</v>
      </c>
      <c r="BD69" s="2229">
        <v>0</v>
      </c>
      <c r="BE69" s="2229">
        <v>0.114396</v>
      </c>
      <c r="BF69" s="2229">
        <v>0</v>
      </c>
      <c r="BG69" s="2229">
        <v>0</v>
      </c>
      <c r="BH69" s="2229">
        <v>0</v>
      </c>
      <c r="BI69" s="2229">
        <v>0</v>
      </c>
      <c r="BJ69" s="2229">
        <v>0</v>
      </c>
      <c r="BK69" s="2262">
        <v>0</v>
      </c>
      <c r="BL69" s="2262">
        <v>0</v>
      </c>
      <c r="BM69" s="2262">
        <v>-2.1</v>
      </c>
      <c r="BN69" s="2262">
        <v>2.1</v>
      </c>
      <c r="BO69" s="2262">
        <v>0</v>
      </c>
      <c r="BP69" s="2262">
        <v>0</v>
      </c>
      <c r="BQ69" s="2262">
        <v>0</v>
      </c>
      <c r="BR69" s="2262">
        <v>0</v>
      </c>
      <c r="BS69" s="2262">
        <v>0</v>
      </c>
      <c r="BT69" s="2262">
        <v>0</v>
      </c>
      <c r="BU69" s="2262">
        <v>0</v>
      </c>
      <c r="BV69" s="2262">
        <v>0</v>
      </c>
      <c r="BW69" s="2262">
        <v>0</v>
      </c>
      <c r="BX69" s="2263">
        <v>1</v>
      </c>
      <c r="BY69" s="2262">
        <v>0.52</v>
      </c>
      <c r="BZ69" s="2262">
        <v>0.18000000000000016</v>
      </c>
      <c r="CA69" s="2064" t="s">
        <v>3524</v>
      </c>
      <c r="CC69" s="563">
        <v>2359.5299329060649</v>
      </c>
      <c r="CD69" s="563">
        <v>2359.5299329060649</v>
      </c>
    </row>
    <row r="70" spans="1:82" s="563" customFormat="1" ht="22.9" customHeight="1">
      <c r="A70" s="2241"/>
      <c r="B70" s="2242" t="s">
        <v>4</v>
      </c>
      <c r="C70" s="2243"/>
      <c r="D70" s="2244"/>
      <c r="E70" s="2243">
        <v>-2.1</v>
      </c>
      <c r="F70" s="2245">
        <v>2.1</v>
      </c>
      <c r="G70" s="2243">
        <v>0</v>
      </c>
      <c r="H70" s="2246">
        <v>-2.1</v>
      </c>
      <c r="I70" s="2245">
        <v>2.1</v>
      </c>
      <c r="J70" s="2247">
        <v>-2.1</v>
      </c>
      <c r="K70" s="2248" t="s">
        <v>3521</v>
      </c>
      <c r="L70" s="2248" t="s">
        <v>3521</v>
      </c>
      <c r="M70" s="2248" t="s">
        <v>3521</v>
      </c>
      <c r="N70" s="2249" t="s">
        <v>3521</v>
      </c>
      <c r="O70" s="2250"/>
      <c r="P70" s="2251"/>
      <c r="Q70" s="2252"/>
      <c r="R70" s="2250"/>
      <c r="S70" s="2253">
        <v>10</v>
      </c>
      <c r="T70" s="2161">
        <v>0</v>
      </c>
      <c r="U70" s="2245">
        <v>1</v>
      </c>
      <c r="V70" s="2245">
        <v>15</v>
      </c>
      <c r="W70" s="2245">
        <v>128.45752167880846</v>
      </c>
      <c r="X70" s="2245">
        <v>3.6248559335500571E-2</v>
      </c>
      <c r="Y70" s="2245">
        <v>0</v>
      </c>
      <c r="Z70" s="2161">
        <v>0</v>
      </c>
      <c r="AA70" s="2245" t="e">
        <v>#DIV/0!</v>
      </c>
      <c r="AB70" s="2245">
        <v>2.2000000000000002</v>
      </c>
      <c r="AC70" s="2245">
        <v>0</v>
      </c>
      <c r="AD70" s="2245" t="s">
        <v>1240</v>
      </c>
      <c r="AE70" s="2254">
        <v>1.4999999999999999E-2</v>
      </c>
      <c r="AF70" s="2255">
        <v>1</v>
      </c>
      <c r="AG70" s="2245">
        <v>0.6</v>
      </c>
      <c r="AH70" s="2245"/>
      <c r="AJ70" s="2256"/>
      <c r="AK70" s="2257">
        <v>0</v>
      </c>
      <c r="AL70" s="2245">
        <v>0</v>
      </c>
      <c r="AM70" s="2245">
        <v>0</v>
      </c>
      <c r="AN70" s="2245" t="e">
        <v>#DIV/0!</v>
      </c>
      <c r="AO70" s="2245" t="e">
        <v>#DIV/0!</v>
      </c>
      <c r="AP70" s="2258">
        <v>0</v>
      </c>
      <c r="AQ70" s="2259"/>
      <c r="AR70" s="2259">
        <v>0</v>
      </c>
      <c r="AS70" s="2260" t="s">
        <v>3521</v>
      </c>
      <c r="AT70" s="2259"/>
      <c r="AU70" s="2259"/>
      <c r="AV70" s="2259"/>
      <c r="AW70" s="2259">
        <v>0</v>
      </c>
      <c r="AX70" s="2261">
        <v>10000</v>
      </c>
      <c r="AY70" s="2261">
        <v>10000</v>
      </c>
      <c r="AZ70" s="2261">
        <v>10000</v>
      </c>
      <c r="BA70" s="2261">
        <v>15</v>
      </c>
      <c r="BB70" s="2261">
        <v>0</v>
      </c>
      <c r="BC70" s="2261">
        <v>0</v>
      </c>
      <c r="BD70" s="2229">
        <v>0</v>
      </c>
      <c r="BE70" s="2229">
        <v>0.114396</v>
      </c>
      <c r="BF70" s="2229">
        <v>0</v>
      </c>
      <c r="BG70" s="2229">
        <v>0</v>
      </c>
      <c r="BH70" s="2229">
        <v>0</v>
      </c>
      <c r="BI70" s="2229">
        <v>0</v>
      </c>
      <c r="BJ70" s="2229">
        <v>0</v>
      </c>
      <c r="BK70" s="2262">
        <v>0</v>
      </c>
      <c r="BL70" s="2262">
        <v>0</v>
      </c>
      <c r="BM70" s="2262">
        <v>-2.1</v>
      </c>
      <c r="BN70" s="2262">
        <v>2.1</v>
      </c>
      <c r="BO70" s="2262">
        <v>0</v>
      </c>
      <c r="BP70" s="2262">
        <v>0</v>
      </c>
      <c r="BQ70" s="2262">
        <v>0</v>
      </c>
      <c r="BR70" s="2262">
        <v>0</v>
      </c>
      <c r="BS70" s="2262">
        <v>0</v>
      </c>
      <c r="BT70" s="2262">
        <v>0</v>
      </c>
      <c r="BU70" s="2262">
        <v>0</v>
      </c>
      <c r="BV70" s="2262">
        <v>0</v>
      </c>
      <c r="BW70" s="2262">
        <v>0</v>
      </c>
      <c r="BX70" s="2263">
        <v>1</v>
      </c>
      <c r="BY70" s="2262">
        <v>0.52</v>
      </c>
      <c r="BZ70" s="2262">
        <v>0.18000000000000016</v>
      </c>
      <c r="CA70" s="2064" t="s">
        <v>3524</v>
      </c>
      <c r="CC70" s="563">
        <v>2359.5299329060649</v>
      </c>
      <c r="CD70" s="563">
        <v>2359.5299329060649</v>
      </c>
    </row>
    <row r="71" spans="1:82" s="563" customFormat="1" ht="22.9" customHeight="1">
      <c r="A71" s="2241"/>
      <c r="B71" s="2242" t="s">
        <v>4</v>
      </c>
      <c r="C71" s="2243"/>
      <c r="D71" s="2244"/>
      <c r="E71" s="2243">
        <v>-2.1</v>
      </c>
      <c r="F71" s="2245">
        <v>2.1</v>
      </c>
      <c r="G71" s="2243">
        <v>0</v>
      </c>
      <c r="H71" s="2246">
        <v>-2.1</v>
      </c>
      <c r="I71" s="2245">
        <v>2.1</v>
      </c>
      <c r="J71" s="2247">
        <v>-2.1</v>
      </c>
      <c r="K71" s="2248" t="s">
        <v>3521</v>
      </c>
      <c r="L71" s="2248" t="s">
        <v>3521</v>
      </c>
      <c r="M71" s="2248" t="s">
        <v>3521</v>
      </c>
      <c r="N71" s="2249" t="s">
        <v>3521</v>
      </c>
      <c r="O71" s="2250"/>
      <c r="P71" s="2251"/>
      <c r="Q71" s="2252"/>
      <c r="R71" s="2250"/>
      <c r="S71" s="2253">
        <v>10</v>
      </c>
      <c r="T71" s="2161">
        <v>0</v>
      </c>
      <c r="U71" s="2245">
        <v>1</v>
      </c>
      <c r="V71" s="2245">
        <v>15</v>
      </c>
      <c r="W71" s="2245">
        <v>128.45752167880846</v>
      </c>
      <c r="X71" s="2245">
        <v>3.6248559335500571E-2</v>
      </c>
      <c r="Y71" s="2245">
        <v>0</v>
      </c>
      <c r="Z71" s="2161">
        <v>0</v>
      </c>
      <c r="AA71" s="2245" t="e">
        <v>#DIV/0!</v>
      </c>
      <c r="AB71" s="2245">
        <v>2.2000000000000002</v>
      </c>
      <c r="AC71" s="2245">
        <v>0</v>
      </c>
      <c r="AD71" s="2245" t="s">
        <v>1240</v>
      </c>
      <c r="AE71" s="2254">
        <v>1.4999999999999999E-2</v>
      </c>
      <c r="AF71" s="2255">
        <v>1</v>
      </c>
      <c r="AG71" s="2245">
        <v>0.6</v>
      </c>
      <c r="AH71" s="2245"/>
      <c r="AJ71" s="2256"/>
      <c r="AK71" s="2257">
        <v>0</v>
      </c>
      <c r="AL71" s="2245">
        <v>0</v>
      </c>
      <c r="AM71" s="2245">
        <v>0</v>
      </c>
      <c r="AN71" s="2245" t="e">
        <v>#DIV/0!</v>
      </c>
      <c r="AO71" s="2245" t="e">
        <v>#DIV/0!</v>
      </c>
      <c r="AP71" s="2258">
        <v>0</v>
      </c>
      <c r="AQ71" s="2259"/>
      <c r="AR71" s="2259">
        <v>0</v>
      </c>
      <c r="AS71" s="2260" t="s">
        <v>3521</v>
      </c>
      <c r="AT71" s="2259"/>
      <c r="AU71" s="2259"/>
      <c r="AV71" s="2259"/>
      <c r="AW71" s="2259">
        <v>0</v>
      </c>
      <c r="AX71" s="2261">
        <v>10000</v>
      </c>
      <c r="AY71" s="2261">
        <v>10000</v>
      </c>
      <c r="AZ71" s="2261">
        <v>10000</v>
      </c>
      <c r="BA71" s="2261">
        <v>15</v>
      </c>
      <c r="BB71" s="2261">
        <v>0</v>
      </c>
      <c r="BC71" s="2261">
        <v>0</v>
      </c>
      <c r="BD71" s="2229">
        <v>0</v>
      </c>
      <c r="BE71" s="2229">
        <v>0.114396</v>
      </c>
      <c r="BF71" s="2229">
        <v>0</v>
      </c>
      <c r="BG71" s="2229">
        <v>0</v>
      </c>
      <c r="BH71" s="2229">
        <v>0</v>
      </c>
      <c r="BI71" s="2229">
        <v>0</v>
      </c>
      <c r="BJ71" s="2229">
        <v>0</v>
      </c>
      <c r="BK71" s="2262">
        <v>0</v>
      </c>
      <c r="BL71" s="2262">
        <v>0</v>
      </c>
      <c r="BM71" s="2262">
        <v>-2.1</v>
      </c>
      <c r="BN71" s="2262">
        <v>2.1</v>
      </c>
      <c r="BO71" s="2262">
        <v>0</v>
      </c>
      <c r="BP71" s="2262">
        <v>0</v>
      </c>
      <c r="BQ71" s="2262">
        <v>0</v>
      </c>
      <c r="BR71" s="2262">
        <v>0</v>
      </c>
      <c r="BS71" s="2262">
        <v>0</v>
      </c>
      <c r="BT71" s="2262">
        <v>0</v>
      </c>
      <c r="BU71" s="2262">
        <v>0</v>
      </c>
      <c r="BV71" s="2262">
        <v>0</v>
      </c>
      <c r="BW71" s="2262">
        <v>0</v>
      </c>
      <c r="BX71" s="2263">
        <v>1</v>
      </c>
      <c r="BY71" s="2262">
        <v>0.52</v>
      </c>
      <c r="BZ71" s="2262">
        <v>0.18000000000000016</v>
      </c>
      <c r="CA71" s="2064" t="s">
        <v>3524</v>
      </c>
      <c r="CC71" s="563">
        <v>2359.5299329060649</v>
      </c>
      <c r="CD71" s="563">
        <v>2359.5299329060649</v>
      </c>
    </row>
    <row r="72" spans="1:82" s="563" customFormat="1" ht="22.9" customHeight="1">
      <c r="A72" s="2241"/>
      <c r="B72" s="2242" t="s">
        <v>4</v>
      </c>
      <c r="C72" s="2243"/>
      <c r="D72" s="2244"/>
      <c r="E72" s="2243">
        <v>-2.1</v>
      </c>
      <c r="F72" s="2245">
        <v>2.1</v>
      </c>
      <c r="G72" s="2243">
        <v>0</v>
      </c>
      <c r="H72" s="2246">
        <v>-2.1</v>
      </c>
      <c r="I72" s="2245">
        <v>2.1</v>
      </c>
      <c r="J72" s="2247">
        <v>-2.1</v>
      </c>
      <c r="K72" s="2248" t="s">
        <v>3521</v>
      </c>
      <c r="L72" s="2248" t="s">
        <v>3521</v>
      </c>
      <c r="M72" s="2248" t="s">
        <v>3521</v>
      </c>
      <c r="N72" s="2249" t="s">
        <v>3521</v>
      </c>
      <c r="O72" s="2250"/>
      <c r="P72" s="2251"/>
      <c r="Q72" s="2252"/>
      <c r="R72" s="2250"/>
      <c r="S72" s="2253">
        <v>10</v>
      </c>
      <c r="T72" s="2161">
        <v>0</v>
      </c>
      <c r="U72" s="2245">
        <v>1</v>
      </c>
      <c r="V72" s="2245">
        <v>15</v>
      </c>
      <c r="W72" s="2245">
        <v>128.45752167880846</v>
      </c>
      <c r="X72" s="2245">
        <v>3.6248559335500571E-2</v>
      </c>
      <c r="Y72" s="2245">
        <v>0</v>
      </c>
      <c r="Z72" s="2161">
        <v>0</v>
      </c>
      <c r="AA72" s="2245" t="e">
        <v>#DIV/0!</v>
      </c>
      <c r="AB72" s="2245">
        <v>2.2000000000000002</v>
      </c>
      <c r="AC72" s="2245">
        <v>0</v>
      </c>
      <c r="AD72" s="2245" t="s">
        <v>1240</v>
      </c>
      <c r="AE72" s="2254">
        <v>1.4999999999999999E-2</v>
      </c>
      <c r="AF72" s="2255">
        <v>1</v>
      </c>
      <c r="AG72" s="2245">
        <v>0.6</v>
      </c>
      <c r="AH72" s="2245"/>
      <c r="AJ72" s="2256"/>
      <c r="AK72" s="2257">
        <v>0</v>
      </c>
      <c r="AL72" s="2245">
        <v>0</v>
      </c>
      <c r="AM72" s="2245">
        <v>0</v>
      </c>
      <c r="AN72" s="2245" t="e">
        <v>#DIV/0!</v>
      </c>
      <c r="AO72" s="2245" t="e">
        <v>#DIV/0!</v>
      </c>
      <c r="AP72" s="2258">
        <v>0</v>
      </c>
      <c r="AQ72" s="2259"/>
      <c r="AR72" s="2259">
        <v>0</v>
      </c>
      <c r="AS72" s="2260" t="s">
        <v>3521</v>
      </c>
      <c r="AT72" s="2259"/>
      <c r="AU72" s="2259"/>
      <c r="AV72" s="2259"/>
      <c r="AW72" s="2259">
        <v>0</v>
      </c>
      <c r="AX72" s="2261">
        <v>10000</v>
      </c>
      <c r="AY72" s="2261">
        <v>10000</v>
      </c>
      <c r="AZ72" s="2261">
        <v>10000</v>
      </c>
      <c r="BA72" s="2261">
        <v>15</v>
      </c>
      <c r="BB72" s="2261">
        <v>0</v>
      </c>
      <c r="BC72" s="2261">
        <v>0</v>
      </c>
      <c r="BD72" s="2229">
        <v>0</v>
      </c>
      <c r="BE72" s="2229">
        <v>0.114396</v>
      </c>
      <c r="BF72" s="2229">
        <v>0</v>
      </c>
      <c r="BG72" s="2229">
        <v>0</v>
      </c>
      <c r="BH72" s="2229">
        <v>0</v>
      </c>
      <c r="BI72" s="2229">
        <v>0</v>
      </c>
      <c r="BJ72" s="2229">
        <v>0</v>
      </c>
      <c r="BK72" s="2262">
        <v>0</v>
      </c>
      <c r="BL72" s="2262">
        <v>0</v>
      </c>
      <c r="BM72" s="2262">
        <v>-2.1</v>
      </c>
      <c r="BN72" s="2262">
        <v>2.1</v>
      </c>
      <c r="BO72" s="2262">
        <v>0</v>
      </c>
      <c r="BP72" s="2262">
        <v>0</v>
      </c>
      <c r="BQ72" s="2262">
        <v>0</v>
      </c>
      <c r="BR72" s="2262">
        <v>0</v>
      </c>
      <c r="BS72" s="2262">
        <v>0</v>
      </c>
      <c r="BT72" s="2262">
        <v>0</v>
      </c>
      <c r="BU72" s="2262">
        <v>0</v>
      </c>
      <c r="BV72" s="2262">
        <v>0</v>
      </c>
      <c r="BW72" s="2262">
        <v>0</v>
      </c>
      <c r="BX72" s="2263">
        <v>1</v>
      </c>
      <c r="BY72" s="2262">
        <v>0.52</v>
      </c>
      <c r="BZ72" s="2262">
        <v>0.18000000000000016</v>
      </c>
      <c r="CA72" s="2064" t="s">
        <v>3524</v>
      </c>
      <c r="CC72" s="563">
        <v>2359.5299329060649</v>
      </c>
      <c r="CD72" s="563">
        <v>2359.5299329060649</v>
      </c>
    </row>
    <row r="73" spans="1:82" s="563" customFormat="1" ht="22.9" customHeight="1">
      <c r="A73" s="2241"/>
      <c r="B73" s="2242" t="s">
        <v>4</v>
      </c>
      <c r="C73" s="2243"/>
      <c r="D73" s="2244"/>
      <c r="E73" s="2243">
        <v>-2.1</v>
      </c>
      <c r="F73" s="2245">
        <v>2.1</v>
      </c>
      <c r="G73" s="2243">
        <v>0</v>
      </c>
      <c r="H73" s="2246">
        <v>-2.1</v>
      </c>
      <c r="I73" s="2245">
        <v>2.1</v>
      </c>
      <c r="J73" s="2247">
        <v>-2.1</v>
      </c>
      <c r="K73" s="2248" t="s">
        <v>3521</v>
      </c>
      <c r="L73" s="2248" t="s">
        <v>3521</v>
      </c>
      <c r="M73" s="2248" t="s">
        <v>3521</v>
      </c>
      <c r="N73" s="2249" t="s">
        <v>3521</v>
      </c>
      <c r="O73" s="2250"/>
      <c r="P73" s="2251"/>
      <c r="Q73" s="2252"/>
      <c r="R73" s="2250"/>
      <c r="S73" s="2253">
        <v>10</v>
      </c>
      <c r="T73" s="2161">
        <v>0</v>
      </c>
      <c r="U73" s="2245">
        <v>1</v>
      </c>
      <c r="V73" s="2245">
        <v>15</v>
      </c>
      <c r="W73" s="2245">
        <v>128.45752167880846</v>
      </c>
      <c r="X73" s="2245">
        <v>3.6248559335500571E-2</v>
      </c>
      <c r="Y73" s="2245">
        <v>0</v>
      </c>
      <c r="Z73" s="2161">
        <v>0</v>
      </c>
      <c r="AA73" s="2245" t="e">
        <v>#DIV/0!</v>
      </c>
      <c r="AB73" s="2245">
        <v>2.2000000000000002</v>
      </c>
      <c r="AC73" s="2245">
        <v>0</v>
      </c>
      <c r="AD73" s="2245" t="s">
        <v>1240</v>
      </c>
      <c r="AE73" s="2254">
        <v>1.4999999999999999E-2</v>
      </c>
      <c r="AF73" s="2255">
        <v>1</v>
      </c>
      <c r="AG73" s="2245">
        <v>0.6</v>
      </c>
      <c r="AH73" s="2245"/>
      <c r="AJ73" s="2256"/>
      <c r="AK73" s="2257">
        <v>0</v>
      </c>
      <c r="AL73" s="2245">
        <v>0</v>
      </c>
      <c r="AM73" s="2245">
        <v>0</v>
      </c>
      <c r="AN73" s="2245" t="e">
        <v>#DIV/0!</v>
      </c>
      <c r="AO73" s="2245" t="e">
        <v>#DIV/0!</v>
      </c>
      <c r="AP73" s="2258">
        <v>0</v>
      </c>
      <c r="AQ73" s="2259"/>
      <c r="AR73" s="2259">
        <v>0</v>
      </c>
      <c r="AS73" s="2260" t="s">
        <v>3521</v>
      </c>
      <c r="AT73" s="2259"/>
      <c r="AU73" s="2259"/>
      <c r="AV73" s="2259"/>
      <c r="AW73" s="2259">
        <v>0</v>
      </c>
      <c r="AX73" s="2261">
        <v>10000</v>
      </c>
      <c r="AY73" s="2261">
        <v>10000</v>
      </c>
      <c r="AZ73" s="2261">
        <v>10000</v>
      </c>
      <c r="BA73" s="2261">
        <v>15</v>
      </c>
      <c r="BB73" s="2261">
        <v>0</v>
      </c>
      <c r="BC73" s="2261">
        <v>0</v>
      </c>
      <c r="BD73" s="2229">
        <v>0</v>
      </c>
      <c r="BE73" s="2229">
        <v>0.114396</v>
      </c>
      <c r="BF73" s="2229">
        <v>0</v>
      </c>
      <c r="BG73" s="2229">
        <v>0</v>
      </c>
      <c r="BH73" s="2229">
        <v>0</v>
      </c>
      <c r="BI73" s="2229">
        <v>0</v>
      </c>
      <c r="BJ73" s="2229">
        <v>0</v>
      </c>
      <c r="BK73" s="2262">
        <v>0</v>
      </c>
      <c r="BL73" s="2262">
        <v>0</v>
      </c>
      <c r="BM73" s="2262">
        <v>-2.1</v>
      </c>
      <c r="BN73" s="2262">
        <v>2.1</v>
      </c>
      <c r="BO73" s="2262">
        <v>0</v>
      </c>
      <c r="BP73" s="2262">
        <v>0</v>
      </c>
      <c r="BQ73" s="2262">
        <v>0</v>
      </c>
      <c r="BR73" s="2262">
        <v>0</v>
      </c>
      <c r="BS73" s="2262">
        <v>0</v>
      </c>
      <c r="BT73" s="2262">
        <v>0</v>
      </c>
      <c r="BU73" s="2262">
        <v>0</v>
      </c>
      <c r="BV73" s="2262">
        <v>0</v>
      </c>
      <c r="BW73" s="2262">
        <v>0</v>
      </c>
      <c r="BX73" s="2263">
        <v>1</v>
      </c>
      <c r="BY73" s="2262">
        <v>0.52</v>
      </c>
      <c r="BZ73" s="2262">
        <v>0.18000000000000016</v>
      </c>
      <c r="CA73" s="2064" t="s">
        <v>3524</v>
      </c>
      <c r="CC73" s="563">
        <v>2359.5299329060649</v>
      </c>
      <c r="CD73" s="563">
        <v>2359.5299329060649</v>
      </c>
    </row>
    <row r="74" spans="1:82" s="563" customFormat="1" ht="22.9" customHeight="1">
      <c r="A74" s="2241"/>
      <c r="B74" s="2242" t="s">
        <v>4</v>
      </c>
      <c r="C74" s="2243"/>
      <c r="D74" s="2244"/>
      <c r="E74" s="2243">
        <v>-2.1</v>
      </c>
      <c r="F74" s="2245">
        <v>2.1</v>
      </c>
      <c r="G74" s="2243">
        <v>0</v>
      </c>
      <c r="H74" s="2246">
        <v>-2.1</v>
      </c>
      <c r="I74" s="2245">
        <v>2.1</v>
      </c>
      <c r="J74" s="2247">
        <v>-2.1</v>
      </c>
      <c r="K74" s="2248" t="s">
        <v>3521</v>
      </c>
      <c r="L74" s="2248" t="s">
        <v>3521</v>
      </c>
      <c r="M74" s="2248" t="s">
        <v>3521</v>
      </c>
      <c r="N74" s="2249" t="s">
        <v>3521</v>
      </c>
      <c r="O74" s="2250"/>
      <c r="P74" s="2251"/>
      <c r="Q74" s="2252"/>
      <c r="R74" s="2250"/>
      <c r="S74" s="2253">
        <v>10</v>
      </c>
      <c r="T74" s="2161">
        <v>0</v>
      </c>
      <c r="U74" s="2245">
        <v>1</v>
      </c>
      <c r="V74" s="2245">
        <v>15</v>
      </c>
      <c r="W74" s="2245">
        <v>128.45752167880846</v>
      </c>
      <c r="X74" s="2245">
        <v>3.6248559335500571E-2</v>
      </c>
      <c r="Y74" s="2245">
        <v>0</v>
      </c>
      <c r="Z74" s="2161">
        <v>0</v>
      </c>
      <c r="AA74" s="2245" t="e">
        <v>#DIV/0!</v>
      </c>
      <c r="AB74" s="2245">
        <v>2.2000000000000002</v>
      </c>
      <c r="AC74" s="2245">
        <v>0</v>
      </c>
      <c r="AD74" s="2245" t="s">
        <v>1240</v>
      </c>
      <c r="AE74" s="2254">
        <v>1.4999999999999999E-2</v>
      </c>
      <c r="AF74" s="2255">
        <v>1</v>
      </c>
      <c r="AG74" s="2245">
        <v>0.6</v>
      </c>
      <c r="AH74" s="2245"/>
      <c r="AJ74" s="2256"/>
      <c r="AK74" s="2257">
        <v>0</v>
      </c>
      <c r="AL74" s="2245">
        <v>0</v>
      </c>
      <c r="AM74" s="2245">
        <v>0</v>
      </c>
      <c r="AN74" s="2245" t="e">
        <v>#DIV/0!</v>
      </c>
      <c r="AO74" s="2245" t="e">
        <v>#DIV/0!</v>
      </c>
      <c r="AP74" s="2258">
        <v>0</v>
      </c>
      <c r="AQ74" s="2259"/>
      <c r="AR74" s="2259">
        <v>0</v>
      </c>
      <c r="AS74" s="2260" t="s">
        <v>3521</v>
      </c>
      <c r="AT74" s="2259"/>
      <c r="AU74" s="2259"/>
      <c r="AV74" s="2259"/>
      <c r="AW74" s="2259">
        <v>0</v>
      </c>
      <c r="AX74" s="2261">
        <v>10000</v>
      </c>
      <c r="AY74" s="2261">
        <v>10000</v>
      </c>
      <c r="AZ74" s="2261">
        <v>10000</v>
      </c>
      <c r="BA74" s="2261">
        <v>15</v>
      </c>
      <c r="BB74" s="2261">
        <v>0</v>
      </c>
      <c r="BC74" s="2261">
        <v>0</v>
      </c>
      <c r="BD74" s="2229">
        <v>0</v>
      </c>
      <c r="BE74" s="2229">
        <v>0.114396</v>
      </c>
      <c r="BF74" s="2229">
        <v>0</v>
      </c>
      <c r="BG74" s="2229">
        <v>0</v>
      </c>
      <c r="BH74" s="2229">
        <v>0</v>
      </c>
      <c r="BI74" s="2229">
        <v>0</v>
      </c>
      <c r="BJ74" s="2229">
        <v>0</v>
      </c>
      <c r="BK74" s="2262">
        <v>0</v>
      </c>
      <c r="BL74" s="2262">
        <v>0</v>
      </c>
      <c r="BM74" s="2262">
        <v>-2.1</v>
      </c>
      <c r="BN74" s="2262">
        <v>2.1</v>
      </c>
      <c r="BO74" s="2262">
        <v>0</v>
      </c>
      <c r="BP74" s="2262">
        <v>0</v>
      </c>
      <c r="BQ74" s="2262">
        <v>0</v>
      </c>
      <c r="BR74" s="2262">
        <v>0</v>
      </c>
      <c r="BS74" s="2262">
        <v>0</v>
      </c>
      <c r="BT74" s="2262">
        <v>0</v>
      </c>
      <c r="BU74" s="2262">
        <v>0</v>
      </c>
      <c r="BV74" s="2262">
        <v>0</v>
      </c>
      <c r="BW74" s="2262">
        <v>0</v>
      </c>
      <c r="BX74" s="2263">
        <v>1</v>
      </c>
      <c r="BY74" s="2262">
        <v>0.52</v>
      </c>
      <c r="BZ74" s="2262">
        <v>0.18000000000000016</v>
      </c>
      <c r="CA74" s="2064" t="s">
        <v>3524</v>
      </c>
      <c r="CC74" s="563">
        <v>2359.5299329060649</v>
      </c>
      <c r="CD74" s="563">
        <v>2359.5299329060649</v>
      </c>
    </row>
    <row r="75" spans="1:82" s="563" customFormat="1" ht="22.9" customHeight="1">
      <c r="A75" s="2241"/>
      <c r="B75" s="2242" t="s">
        <v>4</v>
      </c>
      <c r="C75" s="2243"/>
      <c r="D75" s="2244"/>
      <c r="E75" s="2243">
        <v>-2.1</v>
      </c>
      <c r="F75" s="2245">
        <v>2.1</v>
      </c>
      <c r="G75" s="2243">
        <v>0</v>
      </c>
      <c r="H75" s="2246">
        <v>-2.1</v>
      </c>
      <c r="I75" s="2245">
        <v>2.1</v>
      </c>
      <c r="J75" s="2247">
        <v>-2.1</v>
      </c>
      <c r="K75" s="2248" t="s">
        <v>3521</v>
      </c>
      <c r="L75" s="2248" t="s">
        <v>3521</v>
      </c>
      <c r="M75" s="2248" t="s">
        <v>3521</v>
      </c>
      <c r="N75" s="2249" t="s">
        <v>3521</v>
      </c>
      <c r="O75" s="2250"/>
      <c r="P75" s="2251"/>
      <c r="Q75" s="2252"/>
      <c r="R75" s="2250"/>
      <c r="S75" s="2253">
        <v>10</v>
      </c>
      <c r="T75" s="2161">
        <v>0</v>
      </c>
      <c r="U75" s="2245">
        <v>1</v>
      </c>
      <c r="V75" s="2245">
        <v>15</v>
      </c>
      <c r="W75" s="2245">
        <v>128.45752167880846</v>
      </c>
      <c r="X75" s="2245">
        <v>3.6248559335500571E-2</v>
      </c>
      <c r="Y75" s="2245">
        <v>0</v>
      </c>
      <c r="Z75" s="2161">
        <v>0</v>
      </c>
      <c r="AA75" s="2245" t="e">
        <v>#DIV/0!</v>
      </c>
      <c r="AB75" s="2245">
        <v>2.2000000000000002</v>
      </c>
      <c r="AC75" s="2245">
        <v>0</v>
      </c>
      <c r="AD75" s="2245" t="s">
        <v>1240</v>
      </c>
      <c r="AE75" s="2254">
        <v>1.4999999999999999E-2</v>
      </c>
      <c r="AF75" s="2255">
        <v>1</v>
      </c>
      <c r="AG75" s="2245">
        <v>0.6</v>
      </c>
      <c r="AH75" s="2245"/>
      <c r="AJ75" s="2256"/>
      <c r="AK75" s="2257">
        <v>0</v>
      </c>
      <c r="AL75" s="2245">
        <v>0</v>
      </c>
      <c r="AM75" s="2245">
        <v>0</v>
      </c>
      <c r="AN75" s="2245" t="e">
        <v>#DIV/0!</v>
      </c>
      <c r="AO75" s="2245" t="e">
        <v>#DIV/0!</v>
      </c>
      <c r="AP75" s="2258">
        <v>0</v>
      </c>
      <c r="AQ75" s="2259"/>
      <c r="AR75" s="2259">
        <v>0</v>
      </c>
      <c r="AS75" s="2260" t="s">
        <v>3521</v>
      </c>
      <c r="AT75" s="2259"/>
      <c r="AU75" s="2259"/>
      <c r="AV75" s="2259"/>
      <c r="AW75" s="2259">
        <v>0</v>
      </c>
      <c r="AX75" s="2261">
        <v>10000</v>
      </c>
      <c r="AY75" s="2261">
        <v>10000</v>
      </c>
      <c r="AZ75" s="2261">
        <v>10000</v>
      </c>
      <c r="BA75" s="2261">
        <v>15</v>
      </c>
      <c r="BB75" s="2261">
        <v>0</v>
      </c>
      <c r="BC75" s="2261">
        <v>0</v>
      </c>
      <c r="BD75" s="2229">
        <v>0</v>
      </c>
      <c r="BE75" s="2229">
        <v>0.114396</v>
      </c>
      <c r="BF75" s="2229">
        <v>0</v>
      </c>
      <c r="BG75" s="2229">
        <v>0</v>
      </c>
      <c r="BH75" s="2229">
        <v>0</v>
      </c>
      <c r="BI75" s="2229">
        <v>0</v>
      </c>
      <c r="BJ75" s="2229">
        <v>0</v>
      </c>
      <c r="BK75" s="2262">
        <v>0</v>
      </c>
      <c r="BL75" s="2262">
        <v>0</v>
      </c>
      <c r="BM75" s="2262">
        <v>-2.1</v>
      </c>
      <c r="BN75" s="2262">
        <v>2.1</v>
      </c>
      <c r="BO75" s="2262">
        <v>0</v>
      </c>
      <c r="BP75" s="2262">
        <v>0</v>
      </c>
      <c r="BQ75" s="2262">
        <v>0</v>
      </c>
      <c r="BR75" s="2262">
        <v>0</v>
      </c>
      <c r="BS75" s="2262">
        <v>0</v>
      </c>
      <c r="BT75" s="2262">
        <v>0</v>
      </c>
      <c r="BU75" s="2262">
        <v>0</v>
      </c>
      <c r="BV75" s="2262">
        <v>0</v>
      </c>
      <c r="BW75" s="2262">
        <v>0</v>
      </c>
      <c r="BX75" s="2263">
        <v>1</v>
      </c>
      <c r="BY75" s="2262">
        <v>0.52</v>
      </c>
      <c r="BZ75" s="2262">
        <v>0.18000000000000016</v>
      </c>
      <c r="CA75" s="2064" t="s">
        <v>3524</v>
      </c>
      <c r="CC75" s="563">
        <v>2359.5299329060649</v>
      </c>
      <c r="CD75" s="563">
        <v>2359.5299329060649</v>
      </c>
    </row>
    <row r="76" spans="1:82" s="563" customFormat="1" ht="22.9" customHeight="1">
      <c r="A76" s="2241"/>
      <c r="B76" s="2242" t="s">
        <v>4</v>
      </c>
      <c r="C76" s="2243"/>
      <c r="D76" s="2244"/>
      <c r="E76" s="2243">
        <v>-2.1</v>
      </c>
      <c r="F76" s="2245">
        <v>2.1</v>
      </c>
      <c r="G76" s="2243">
        <v>0</v>
      </c>
      <c r="H76" s="2246">
        <v>-2.1</v>
      </c>
      <c r="I76" s="2245">
        <v>2.1</v>
      </c>
      <c r="J76" s="2247">
        <v>-2.1</v>
      </c>
      <c r="K76" s="2248" t="s">
        <v>3521</v>
      </c>
      <c r="L76" s="2248" t="s">
        <v>3521</v>
      </c>
      <c r="M76" s="2248" t="s">
        <v>3521</v>
      </c>
      <c r="N76" s="2249" t="s">
        <v>3521</v>
      </c>
      <c r="O76" s="2250"/>
      <c r="P76" s="2251"/>
      <c r="Q76" s="2252"/>
      <c r="R76" s="2250"/>
      <c r="S76" s="2253">
        <v>10</v>
      </c>
      <c r="T76" s="2161">
        <v>0</v>
      </c>
      <c r="U76" s="2245">
        <v>1</v>
      </c>
      <c r="V76" s="2245">
        <v>15</v>
      </c>
      <c r="W76" s="2245">
        <v>128.45752167880846</v>
      </c>
      <c r="X76" s="2245">
        <v>3.6248559335500571E-2</v>
      </c>
      <c r="Y76" s="2245">
        <v>0</v>
      </c>
      <c r="Z76" s="2161">
        <v>0</v>
      </c>
      <c r="AA76" s="2245" t="e">
        <v>#DIV/0!</v>
      </c>
      <c r="AB76" s="2245">
        <v>2.2000000000000002</v>
      </c>
      <c r="AC76" s="2245">
        <v>0</v>
      </c>
      <c r="AD76" s="2245" t="s">
        <v>1240</v>
      </c>
      <c r="AE76" s="2254">
        <v>1.4999999999999999E-2</v>
      </c>
      <c r="AF76" s="2255">
        <v>1</v>
      </c>
      <c r="AG76" s="2245">
        <v>0.6</v>
      </c>
      <c r="AH76" s="2245"/>
      <c r="AJ76" s="2256"/>
      <c r="AK76" s="2257">
        <v>0</v>
      </c>
      <c r="AL76" s="2245">
        <v>0</v>
      </c>
      <c r="AM76" s="2245">
        <v>0</v>
      </c>
      <c r="AN76" s="2245" t="e">
        <v>#DIV/0!</v>
      </c>
      <c r="AO76" s="2245" t="e">
        <v>#DIV/0!</v>
      </c>
      <c r="AP76" s="2258">
        <v>0</v>
      </c>
      <c r="AQ76" s="2259"/>
      <c r="AR76" s="2259">
        <v>0</v>
      </c>
      <c r="AS76" s="2260" t="s">
        <v>3521</v>
      </c>
      <c r="AT76" s="2259"/>
      <c r="AU76" s="2259"/>
      <c r="AV76" s="2259"/>
      <c r="AW76" s="2259">
        <v>0</v>
      </c>
      <c r="AX76" s="2261">
        <v>10000</v>
      </c>
      <c r="AY76" s="2261">
        <v>10000</v>
      </c>
      <c r="AZ76" s="2261">
        <v>10000</v>
      </c>
      <c r="BA76" s="2261">
        <v>15</v>
      </c>
      <c r="BB76" s="2261">
        <v>0</v>
      </c>
      <c r="BC76" s="2261">
        <v>0</v>
      </c>
      <c r="BD76" s="2229">
        <v>0</v>
      </c>
      <c r="BE76" s="2229">
        <v>0.114396</v>
      </c>
      <c r="BF76" s="2229">
        <v>0</v>
      </c>
      <c r="BG76" s="2229">
        <v>0</v>
      </c>
      <c r="BH76" s="2229">
        <v>0</v>
      </c>
      <c r="BI76" s="2229">
        <v>0</v>
      </c>
      <c r="BJ76" s="2229">
        <v>0</v>
      </c>
      <c r="BK76" s="2262">
        <v>0</v>
      </c>
      <c r="BL76" s="2262">
        <v>0</v>
      </c>
      <c r="BM76" s="2262">
        <v>-2.1</v>
      </c>
      <c r="BN76" s="2262">
        <v>2.1</v>
      </c>
      <c r="BO76" s="2262">
        <v>0</v>
      </c>
      <c r="BP76" s="2262">
        <v>0</v>
      </c>
      <c r="BQ76" s="2262">
        <v>0</v>
      </c>
      <c r="BR76" s="2262">
        <v>0</v>
      </c>
      <c r="BS76" s="2262">
        <v>0</v>
      </c>
      <c r="BT76" s="2262">
        <v>0</v>
      </c>
      <c r="BU76" s="2262">
        <v>0</v>
      </c>
      <c r="BV76" s="2262">
        <v>0</v>
      </c>
      <c r="BW76" s="2262">
        <v>0</v>
      </c>
      <c r="BX76" s="2263">
        <v>1</v>
      </c>
      <c r="BY76" s="2262">
        <v>0.52</v>
      </c>
      <c r="BZ76" s="2262">
        <v>0.18000000000000016</v>
      </c>
      <c r="CA76" s="2064" t="s">
        <v>3524</v>
      </c>
      <c r="CC76" s="563">
        <v>2359.5299329060649</v>
      </c>
      <c r="CD76" s="563">
        <v>2359.5299329060649</v>
      </c>
    </row>
    <row r="77" spans="1:82" s="563" customFormat="1" ht="22.9" customHeight="1">
      <c r="A77" s="2241"/>
      <c r="B77" s="2242" t="s">
        <v>4</v>
      </c>
      <c r="C77" s="2243"/>
      <c r="D77" s="2244"/>
      <c r="E77" s="2243">
        <v>-2.1</v>
      </c>
      <c r="F77" s="2245">
        <v>2.1</v>
      </c>
      <c r="G77" s="2243">
        <v>0</v>
      </c>
      <c r="H77" s="2246">
        <v>-2.1</v>
      </c>
      <c r="I77" s="2245">
        <v>2.1</v>
      </c>
      <c r="J77" s="2247">
        <v>-2.1</v>
      </c>
      <c r="K77" s="2248" t="s">
        <v>3521</v>
      </c>
      <c r="L77" s="2248" t="s">
        <v>3521</v>
      </c>
      <c r="M77" s="2248" t="s">
        <v>3521</v>
      </c>
      <c r="N77" s="2249" t="s">
        <v>3521</v>
      </c>
      <c r="O77" s="2250"/>
      <c r="P77" s="2251"/>
      <c r="Q77" s="2252"/>
      <c r="R77" s="2250"/>
      <c r="S77" s="2253">
        <v>10</v>
      </c>
      <c r="T77" s="2161">
        <v>0</v>
      </c>
      <c r="U77" s="2245">
        <v>1</v>
      </c>
      <c r="V77" s="2245">
        <v>15</v>
      </c>
      <c r="W77" s="2245">
        <v>128.45752167880846</v>
      </c>
      <c r="X77" s="2245">
        <v>3.6248559335500571E-2</v>
      </c>
      <c r="Y77" s="2245">
        <v>0</v>
      </c>
      <c r="Z77" s="2161">
        <v>0</v>
      </c>
      <c r="AA77" s="2245" t="e">
        <v>#DIV/0!</v>
      </c>
      <c r="AB77" s="2245">
        <v>2.2000000000000002</v>
      </c>
      <c r="AC77" s="2245">
        <v>0</v>
      </c>
      <c r="AD77" s="2245" t="s">
        <v>1240</v>
      </c>
      <c r="AE77" s="2254">
        <v>1.4999999999999999E-2</v>
      </c>
      <c r="AF77" s="2255">
        <v>1</v>
      </c>
      <c r="AG77" s="2245">
        <v>0.6</v>
      </c>
      <c r="AH77" s="2245"/>
      <c r="AJ77" s="2256"/>
      <c r="AK77" s="2257">
        <v>0</v>
      </c>
      <c r="AL77" s="2245">
        <v>0</v>
      </c>
      <c r="AM77" s="2245">
        <v>0</v>
      </c>
      <c r="AN77" s="2245" t="e">
        <v>#DIV/0!</v>
      </c>
      <c r="AO77" s="2245" t="e">
        <v>#DIV/0!</v>
      </c>
      <c r="AP77" s="2258">
        <v>0</v>
      </c>
      <c r="AQ77" s="2259"/>
      <c r="AR77" s="2259">
        <v>0</v>
      </c>
      <c r="AS77" s="2260" t="s">
        <v>3521</v>
      </c>
      <c r="AT77" s="2259"/>
      <c r="AU77" s="2259"/>
      <c r="AV77" s="2259"/>
      <c r="AW77" s="2259">
        <v>0</v>
      </c>
      <c r="AX77" s="2261">
        <v>10000</v>
      </c>
      <c r="AY77" s="2261">
        <v>10000</v>
      </c>
      <c r="AZ77" s="2261">
        <v>10000</v>
      </c>
      <c r="BA77" s="2261">
        <v>15</v>
      </c>
      <c r="BB77" s="2261">
        <v>0</v>
      </c>
      <c r="BC77" s="2261">
        <v>0</v>
      </c>
      <c r="BD77" s="2229">
        <v>0</v>
      </c>
      <c r="BE77" s="2229">
        <v>0.114396</v>
      </c>
      <c r="BF77" s="2229">
        <v>0</v>
      </c>
      <c r="BG77" s="2229">
        <v>0</v>
      </c>
      <c r="BH77" s="2229">
        <v>0</v>
      </c>
      <c r="BI77" s="2229">
        <v>0</v>
      </c>
      <c r="BJ77" s="2229">
        <v>0</v>
      </c>
      <c r="BK77" s="2262">
        <v>0</v>
      </c>
      <c r="BL77" s="2262">
        <v>0</v>
      </c>
      <c r="BM77" s="2262">
        <v>-2.1</v>
      </c>
      <c r="BN77" s="2262">
        <v>2.1</v>
      </c>
      <c r="BO77" s="2262">
        <v>0</v>
      </c>
      <c r="BP77" s="2262">
        <v>0</v>
      </c>
      <c r="BQ77" s="2262">
        <v>0</v>
      </c>
      <c r="BR77" s="2262">
        <v>0</v>
      </c>
      <c r="BS77" s="2262">
        <v>0</v>
      </c>
      <c r="BT77" s="2262">
        <v>0</v>
      </c>
      <c r="BU77" s="2262">
        <v>0</v>
      </c>
      <c r="BV77" s="2262">
        <v>0</v>
      </c>
      <c r="BW77" s="2262">
        <v>0</v>
      </c>
      <c r="BX77" s="2263">
        <v>1</v>
      </c>
      <c r="BY77" s="2262">
        <v>0.52</v>
      </c>
      <c r="BZ77" s="2262">
        <v>0.18000000000000016</v>
      </c>
      <c r="CA77" s="2064" t="s">
        <v>3524</v>
      </c>
      <c r="CC77" s="563">
        <v>2359.5299329060649</v>
      </c>
      <c r="CD77" s="563">
        <v>2359.5299329060649</v>
      </c>
    </row>
    <row r="78" spans="1:82" s="563" customFormat="1" ht="22.9" customHeight="1">
      <c r="A78" s="2241"/>
      <c r="B78" s="2242" t="s">
        <v>4</v>
      </c>
      <c r="C78" s="2243"/>
      <c r="D78" s="2244"/>
      <c r="E78" s="2243">
        <v>-2.1</v>
      </c>
      <c r="F78" s="2245">
        <v>2.1</v>
      </c>
      <c r="G78" s="2243">
        <v>0</v>
      </c>
      <c r="H78" s="2246">
        <v>-2.1</v>
      </c>
      <c r="I78" s="2245">
        <v>2.1</v>
      </c>
      <c r="J78" s="2247">
        <v>-2.1</v>
      </c>
      <c r="K78" s="2248" t="s">
        <v>3521</v>
      </c>
      <c r="L78" s="2248" t="s">
        <v>3521</v>
      </c>
      <c r="M78" s="2248" t="s">
        <v>3521</v>
      </c>
      <c r="N78" s="2249" t="s">
        <v>3521</v>
      </c>
      <c r="O78" s="2250"/>
      <c r="P78" s="2251"/>
      <c r="Q78" s="2252"/>
      <c r="R78" s="2250"/>
      <c r="S78" s="2253">
        <v>10</v>
      </c>
      <c r="T78" s="2161">
        <v>0</v>
      </c>
      <c r="U78" s="2245">
        <v>1</v>
      </c>
      <c r="V78" s="2245">
        <v>15</v>
      </c>
      <c r="W78" s="2245">
        <v>128.45752167880846</v>
      </c>
      <c r="X78" s="2245">
        <v>3.6248559335500571E-2</v>
      </c>
      <c r="Y78" s="2245">
        <v>0</v>
      </c>
      <c r="Z78" s="2161">
        <v>0</v>
      </c>
      <c r="AA78" s="2245" t="e">
        <v>#DIV/0!</v>
      </c>
      <c r="AB78" s="2245">
        <v>2.2000000000000002</v>
      </c>
      <c r="AC78" s="2245">
        <v>0</v>
      </c>
      <c r="AD78" s="2245" t="s">
        <v>1240</v>
      </c>
      <c r="AE78" s="2254">
        <v>1.4999999999999999E-2</v>
      </c>
      <c r="AF78" s="2255">
        <v>1</v>
      </c>
      <c r="AG78" s="2245">
        <v>0.6</v>
      </c>
      <c r="AH78" s="2245"/>
      <c r="AJ78" s="2256"/>
      <c r="AK78" s="2257">
        <v>0</v>
      </c>
      <c r="AL78" s="2245">
        <v>0</v>
      </c>
      <c r="AM78" s="2245">
        <v>0</v>
      </c>
      <c r="AN78" s="2245" t="e">
        <v>#DIV/0!</v>
      </c>
      <c r="AO78" s="2245" t="e">
        <v>#DIV/0!</v>
      </c>
      <c r="AP78" s="2258">
        <v>0</v>
      </c>
      <c r="AQ78" s="2259"/>
      <c r="AR78" s="2259">
        <v>0</v>
      </c>
      <c r="AS78" s="2260" t="s">
        <v>3521</v>
      </c>
      <c r="AT78" s="2259"/>
      <c r="AU78" s="2259"/>
      <c r="AV78" s="2259"/>
      <c r="AW78" s="2259">
        <v>0</v>
      </c>
      <c r="AX78" s="2261">
        <v>10000</v>
      </c>
      <c r="AY78" s="2261">
        <v>10000</v>
      </c>
      <c r="AZ78" s="2261">
        <v>10000</v>
      </c>
      <c r="BA78" s="2261">
        <v>15</v>
      </c>
      <c r="BB78" s="2261">
        <v>0</v>
      </c>
      <c r="BC78" s="2261">
        <v>0</v>
      </c>
      <c r="BD78" s="2229">
        <v>0</v>
      </c>
      <c r="BE78" s="2229">
        <v>0.114396</v>
      </c>
      <c r="BF78" s="2229">
        <v>0</v>
      </c>
      <c r="BG78" s="2229">
        <v>0</v>
      </c>
      <c r="BH78" s="2229">
        <v>0</v>
      </c>
      <c r="BI78" s="2229">
        <v>0</v>
      </c>
      <c r="BJ78" s="2229">
        <v>0</v>
      </c>
      <c r="BK78" s="2262">
        <v>0</v>
      </c>
      <c r="BL78" s="2262">
        <v>0</v>
      </c>
      <c r="BM78" s="2262">
        <v>-2.1</v>
      </c>
      <c r="BN78" s="2262">
        <v>2.1</v>
      </c>
      <c r="BO78" s="2262">
        <v>0</v>
      </c>
      <c r="BP78" s="2262">
        <v>0</v>
      </c>
      <c r="BQ78" s="2262">
        <v>0</v>
      </c>
      <c r="BR78" s="2262">
        <v>0</v>
      </c>
      <c r="BS78" s="2262">
        <v>0</v>
      </c>
      <c r="BT78" s="2262">
        <v>0</v>
      </c>
      <c r="BU78" s="2262">
        <v>0</v>
      </c>
      <c r="BV78" s="2262">
        <v>0</v>
      </c>
      <c r="BW78" s="2262">
        <v>0</v>
      </c>
      <c r="BX78" s="2263">
        <v>1</v>
      </c>
      <c r="BY78" s="2262">
        <v>0.52</v>
      </c>
      <c r="BZ78" s="2262">
        <v>0.18000000000000016</v>
      </c>
      <c r="CA78" s="2064" t="s">
        <v>3524</v>
      </c>
      <c r="CC78" s="563">
        <v>2359.5299329060649</v>
      </c>
      <c r="CD78" s="563">
        <v>2359.5299329060649</v>
      </c>
    </row>
    <row r="79" spans="1:82" s="563" customFormat="1" ht="22.9" customHeight="1">
      <c r="A79" s="2241"/>
      <c r="B79" s="2242" t="s">
        <v>4</v>
      </c>
      <c r="C79" s="2243"/>
      <c r="D79" s="2244"/>
      <c r="E79" s="2243">
        <v>-2.1</v>
      </c>
      <c r="F79" s="2245">
        <v>2.1</v>
      </c>
      <c r="G79" s="2243">
        <v>0</v>
      </c>
      <c r="H79" s="2246">
        <v>-2.1</v>
      </c>
      <c r="I79" s="2245">
        <v>2.1</v>
      </c>
      <c r="J79" s="2247">
        <v>-2.1</v>
      </c>
      <c r="K79" s="2248" t="s">
        <v>3521</v>
      </c>
      <c r="L79" s="2248" t="s">
        <v>3521</v>
      </c>
      <c r="M79" s="2248" t="s">
        <v>3521</v>
      </c>
      <c r="N79" s="2249" t="s">
        <v>3521</v>
      </c>
      <c r="O79" s="2250"/>
      <c r="P79" s="2251"/>
      <c r="Q79" s="2252"/>
      <c r="R79" s="2250"/>
      <c r="S79" s="2253">
        <v>10</v>
      </c>
      <c r="T79" s="2161">
        <v>0</v>
      </c>
      <c r="U79" s="2245">
        <v>1</v>
      </c>
      <c r="V79" s="2245">
        <v>15</v>
      </c>
      <c r="W79" s="2245">
        <v>128.45752167880846</v>
      </c>
      <c r="X79" s="2245">
        <v>3.6248559335500571E-2</v>
      </c>
      <c r="Y79" s="2245">
        <v>0</v>
      </c>
      <c r="Z79" s="2161">
        <v>0</v>
      </c>
      <c r="AA79" s="2245" t="e">
        <v>#DIV/0!</v>
      </c>
      <c r="AB79" s="2245">
        <v>2.2000000000000002</v>
      </c>
      <c r="AC79" s="2245">
        <v>0</v>
      </c>
      <c r="AD79" s="2245" t="s">
        <v>1240</v>
      </c>
      <c r="AE79" s="2254">
        <v>1.4999999999999999E-2</v>
      </c>
      <c r="AF79" s="2255">
        <v>1</v>
      </c>
      <c r="AG79" s="2245">
        <v>0.6</v>
      </c>
      <c r="AH79" s="2245"/>
      <c r="AJ79" s="2256"/>
      <c r="AK79" s="2257">
        <v>0</v>
      </c>
      <c r="AL79" s="2245">
        <v>0</v>
      </c>
      <c r="AM79" s="2245">
        <v>0</v>
      </c>
      <c r="AN79" s="2245" t="e">
        <v>#DIV/0!</v>
      </c>
      <c r="AO79" s="2245" t="e">
        <v>#DIV/0!</v>
      </c>
      <c r="AP79" s="2258">
        <v>0</v>
      </c>
      <c r="AQ79" s="2259"/>
      <c r="AR79" s="2259">
        <v>0</v>
      </c>
      <c r="AS79" s="2260" t="s">
        <v>3521</v>
      </c>
      <c r="AT79" s="2259"/>
      <c r="AU79" s="2259"/>
      <c r="AV79" s="2259"/>
      <c r="AW79" s="2259">
        <v>0</v>
      </c>
      <c r="AX79" s="2261">
        <v>10000</v>
      </c>
      <c r="AY79" s="2261">
        <v>10000</v>
      </c>
      <c r="AZ79" s="2261">
        <v>10000</v>
      </c>
      <c r="BA79" s="2261">
        <v>15</v>
      </c>
      <c r="BB79" s="2261">
        <v>0</v>
      </c>
      <c r="BC79" s="2261">
        <v>0</v>
      </c>
      <c r="BD79" s="2229">
        <v>0</v>
      </c>
      <c r="BE79" s="2229">
        <v>0.114396</v>
      </c>
      <c r="BF79" s="2229">
        <v>0</v>
      </c>
      <c r="BG79" s="2229">
        <v>0</v>
      </c>
      <c r="BH79" s="2229">
        <v>0</v>
      </c>
      <c r="BI79" s="2229">
        <v>0</v>
      </c>
      <c r="BJ79" s="2229">
        <v>0</v>
      </c>
      <c r="BK79" s="2262">
        <v>0</v>
      </c>
      <c r="BL79" s="2262">
        <v>0</v>
      </c>
      <c r="BM79" s="2262">
        <v>-2.1</v>
      </c>
      <c r="BN79" s="2262">
        <v>2.1</v>
      </c>
      <c r="BO79" s="2262">
        <v>0</v>
      </c>
      <c r="BP79" s="2262">
        <v>0</v>
      </c>
      <c r="BQ79" s="2262">
        <v>0</v>
      </c>
      <c r="BR79" s="2262">
        <v>0</v>
      </c>
      <c r="BS79" s="2262">
        <v>0</v>
      </c>
      <c r="BT79" s="2262">
        <v>0</v>
      </c>
      <c r="BU79" s="2262">
        <v>0</v>
      </c>
      <c r="BV79" s="2262">
        <v>0</v>
      </c>
      <c r="BW79" s="2262">
        <v>0</v>
      </c>
      <c r="BX79" s="2263">
        <v>1</v>
      </c>
      <c r="BY79" s="2262">
        <v>0.52</v>
      </c>
      <c r="BZ79" s="2262">
        <v>0.18000000000000016</v>
      </c>
      <c r="CA79" s="2064" t="s">
        <v>3524</v>
      </c>
      <c r="CC79" s="563">
        <v>2359.5299329060649</v>
      </c>
      <c r="CD79" s="563">
        <v>2359.5299329060649</v>
      </c>
    </row>
    <row r="80" spans="1:82" s="563" customFormat="1" ht="22.9" customHeight="1">
      <c r="A80" s="2241"/>
      <c r="B80" s="2242" t="s">
        <v>4</v>
      </c>
      <c r="C80" s="2243"/>
      <c r="D80" s="2244"/>
      <c r="E80" s="2243">
        <v>-2.1</v>
      </c>
      <c r="F80" s="2245">
        <v>2.1</v>
      </c>
      <c r="G80" s="2243">
        <v>0</v>
      </c>
      <c r="H80" s="2246">
        <v>-2.1</v>
      </c>
      <c r="I80" s="2245">
        <v>2.1</v>
      </c>
      <c r="J80" s="2247">
        <v>-2.1</v>
      </c>
      <c r="K80" s="2248" t="s">
        <v>3521</v>
      </c>
      <c r="L80" s="2248" t="s">
        <v>3521</v>
      </c>
      <c r="M80" s="2248" t="s">
        <v>3521</v>
      </c>
      <c r="N80" s="2249" t="s">
        <v>3521</v>
      </c>
      <c r="O80" s="2250"/>
      <c r="P80" s="2251"/>
      <c r="Q80" s="2252"/>
      <c r="R80" s="2250"/>
      <c r="S80" s="2253">
        <v>10</v>
      </c>
      <c r="T80" s="2161">
        <v>0</v>
      </c>
      <c r="U80" s="2245">
        <v>1</v>
      </c>
      <c r="V80" s="2245">
        <v>15</v>
      </c>
      <c r="W80" s="2245">
        <v>128.45752167880846</v>
      </c>
      <c r="X80" s="2245">
        <v>3.6248559335500571E-2</v>
      </c>
      <c r="Y80" s="2245">
        <v>0</v>
      </c>
      <c r="Z80" s="2161">
        <v>0</v>
      </c>
      <c r="AA80" s="2245" t="e">
        <v>#DIV/0!</v>
      </c>
      <c r="AB80" s="2245">
        <v>2.2000000000000002</v>
      </c>
      <c r="AC80" s="2245">
        <v>0</v>
      </c>
      <c r="AD80" s="2245" t="s">
        <v>1240</v>
      </c>
      <c r="AE80" s="2254">
        <v>1.4999999999999999E-2</v>
      </c>
      <c r="AF80" s="2255">
        <v>1</v>
      </c>
      <c r="AG80" s="2245">
        <v>0.6</v>
      </c>
      <c r="AH80" s="2245"/>
      <c r="AJ80" s="2256"/>
      <c r="AK80" s="2257">
        <v>0</v>
      </c>
      <c r="AL80" s="2245">
        <v>0</v>
      </c>
      <c r="AM80" s="2245">
        <v>0</v>
      </c>
      <c r="AN80" s="2245" t="e">
        <v>#DIV/0!</v>
      </c>
      <c r="AO80" s="2245" t="e">
        <v>#DIV/0!</v>
      </c>
      <c r="AP80" s="2258">
        <v>0</v>
      </c>
      <c r="AQ80" s="2259"/>
      <c r="AR80" s="2259">
        <v>0</v>
      </c>
      <c r="AS80" s="2260" t="s">
        <v>3521</v>
      </c>
      <c r="AT80" s="2259"/>
      <c r="AU80" s="2259"/>
      <c r="AV80" s="2259"/>
      <c r="AW80" s="2259">
        <v>0</v>
      </c>
      <c r="AX80" s="2261">
        <v>10000</v>
      </c>
      <c r="AY80" s="2261">
        <v>10000</v>
      </c>
      <c r="AZ80" s="2261">
        <v>10000</v>
      </c>
      <c r="BA80" s="2261">
        <v>15</v>
      </c>
      <c r="BB80" s="2261">
        <v>0</v>
      </c>
      <c r="BC80" s="2261">
        <v>0</v>
      </c>
      <c r="BD80" s="2229">
        <v>0</v>
      </c>
      <c r="BE80" s="2229">
        <v>0.114396</v>
      </c>
      <c r="BF80" s="2229">
        <v>0</v>
      </c>
      <c r="BG80" s="2229">
        <v>0</v>
      </c>
      <c r="BH80" s="2229">
        <v>0</v>
      </c>
      <c r="BI80" s="2229">
        <v>0</v>
      </c>
      <c r="BJ80" s="2229">
        <v>0</v>
      </c>
      <c r="BK80" s="2262">
        <v>0</v>
      </c>
      <c r="BL80" s="2262">
        <v>0</v>
      </c>
      <c r="BM80" s="2262">
        <v>-2.1</v>
      </c>
      <c r="BN80" s="2262">
        <v>2.1</v>
      </c>
      <c r="BO80" s="2262">
        <v>0</v>
      </c>
      <c r="BP80" s="2262">
        <v>0</v>
      </c>
      <c r="BQ80" s="2262">
        <v>0</v>
      </c>
      <c r="BR80" s="2262">
        <v>0</v>
      </c>
      <c r="BS80" s="2262">
        <v>0</v>
      </c>
      <c r="BT80" s="2262">
        <v>0</v>
      </c>
      <c r="BU80" s="2262">
        <v>0</v>
      </c>
      <c r="BV80" s="2262">
        <v>0</v>
      </c>
      <c r="BW80" s="2262">
        <v>0</v>
      </c>
      <c r="BX80" s="2263">
        <v>1</v>
      </c>
      <c r="BY80" s="2262">
        <v>0.52</v>
      </c>
      <c r="BZ80" s="2262">
        <v>0.18000000000000016</v>
      </c>
      <c r="CA80" s="2064" t="s">
        <v>3524</v>
      </c>
      <c r="CC80" s="563">
        <v>2359.5299329060649</v>
      </c>
      <c r="CD80" s="563">
        <v>2359.5299329060649</v>
      </c>
    </row>
    <row r="81" spans="1:82" s="563" customFormat="1" ht="22.9" customHeight="1">
      <c r="A81" s="2241"/>
      <c r="B81" s="2242" t="s">
        <v>4</v>
      </c>
      <c r="C81" s="2243"/>
      <c r="D81" s="2244"/>
      <c r="E81" s="2243">
        <v>-2.1</v>
      </c>
      <c r="F81" s="2245">
        <v>2.1</v>
      </c>
      <c r="G81" s="2243">
        <v>0</v>
      </c>
      <c r="H81" s="2246">
        <v>-2.1</v>
      </c>
      <c r="I81" s="2245">
        <v>2.1</v>
      </c>
      <c r="J81" s="2247">
        <v>-2.1</v>
      </c>
      <c r="K81" s="2248" t="s">
        <v>3521</v>
      </c>
      <c r="L81" s="2248" t="s">
        <v>3521</v>
      </c>
      <c r="M81" s="2248" t="s">
        <v>3521</v>
      </c>
      <c r="N81" s="2249" t="s">
        <v>3521</v>
      </c>
      <c r="O81" s="2250"/>
      <c r="P81" s="2251"/>
      <c r="Q81" s="2252"/>
      <c r="R81" s="2250"/>
      <c r="S81" s="2253">
        <v>10</v>
      </c>
      <c r="T81" s="2161">
        <v>0</v>
      </c>
      <c r="U81" s="2245">
        <v>1</v>
      </c>
      <c r="V81" s="2245">
        <v>15</v>
      </c>
      <c r="W81" s="2245">
        <v>128.45752167880846</v>
      </c>
      <c r="X81" s="2245">
        <v>3.6248559335500571E-2</v>
      </c>
      <c r="Y81" s="2245">
        <v>0</v>
      </c>
      <c r="Z81" s="2161">
        <v>0</v>
      </c>
      <c r="AA81" s="2245" t="e">
        <v>#DIV/0!</v>
      </c>
      <c r="AB81" s="2245">
        <v>2.2000000000000002</v>
      </c>
      <c r="AC81" s="2245">
        <v>0</v>
      </c>
      <c r="AD81" s="2245" t="s">
        <v>1240</v>
      </c>
      <c r="AE81" s="2254">
        <v>1.4999999999999999E-2</v>
      </c>
      <c r="AF81" s="2255">
        <v>1</v>
      </c>
      <c r="AG81" s="2245">
        <v>0.6</v>
      </c>
      <c r="AH81" s="2245"/>
      <c r="AJ81" s="2256"/>
      <c r="AK81" s="2257">
        <v>0</v>
      </c>
      <c r="AL81" s="2245">
        <v>0</v>
      </c>
      <c r="AM81" s="2245">
        <v>0</v>
      </c>
      <c r="AN81" s="2245" t="e">
        <v>#DIV/0!</v>
      </c>
      <c r="AO81" s="2245" t="e">
        <v>#DIV/0!</v>
      </c>
      <c r="AP81" s="2258">
        <v>0</v>
      </c>
      <c r="AQ81" s="2259"/>
      <c r="AR81" s="2259">
        <v>0</v>
      </c>
      <c r="AS81" s="2260" t="s">
        <v>3521</v>
      </c>
      <c r="AT81" s="2259"/>
      <c r="AU81" s="2259"/>
      <c r="AV81" s="2259"/>
      <c r="AW81" s="2259">
        <v>0</v>
      </c>
      <c r="AX81" s="2261">
        <v>10000</v>
      </c>
      <c r="AY81" s="2261">
        <v>10000</v>
      </c>
      <c r="AZ81" s="2261">
        <v>10000</v>
      </c>
      <c r="BA81" s="2261">
        <v>15</v>
      </c>
      <c r="BB81" s="2261">
        <v>0</v>
      </c>
      <c r="BC81" s="2261">
        <v>0</v>
      </c>
      <c r="BD81" s="2229">
        <v>0</v>
      </c>
      <c r="BE81" s="2229">
        <v>0.114396</v>
      </c>
      <c r="BF81" s="2229">
        <v>0</v>
      </c>
      <c r="BG81" s="2229">
        <v>0</v>
      </c>
      <c r="BH81" s="2229">
        <v>0</v>
      </c>
      <c r="BI81" s="2229">
        <v>0</v>
      </c>
      <c r="BJ81" s="2229">
        <v>0</v>
      </c>
      <c r="BK81" s="2262">
        <v>0</v>
      </c>
      <c r="BL81" s="2262">
        <v>0</v>
      </c>
      <c r="BM81" s="2262">
        <v>-2.1</v>
      </c>
      <c r="BN81" s="2262">
        <v>2.1</v>
      </c>
      <c r="BO81" s="2262">
        <v>0</v>
      </c>
      <c r="BP81" s="2262">
        <v>0</v>
      </c>
      <c r="BQ81" s="2262">
        <v>0</v>
      </c>
      <c r="BR81" s="2262">
        <v>0</v>
      </c>
      <c r="BS81" s="2262">
        <v>0</v>
      </c>
      <c r="BT81" s="2262">
        <v>0</v>
      </c>
      <c r="BU81" s="2262">
        <v>0</v>
      </c>
      <c r="BV81" s="2262">
        <v>0</v>
      </c>
      <c r="BW81" s="2262">
        <v>0</v>
      </c>
      <c r="BX81" s="2263">
        <v>1</v>
      </c>
      <c r="BY81" s="2262">
        <v>0.52</v>
      </c>
      <c r="BZ81" s="2262">
        <v>0.18000000000000016</v>
      </c>
      <c r="CA81" s="2064" t="s">
        <v>3524</v>
      </c>
      <c r="CC81" s="563">
        <v>2359.5299329060649</v>
      </c>
      <c r="CD81" s="563">
        <v>2359.5299329060649</v>
      </c>
    </row>
    <row r="82" spans="1:82" s="563" customFormat="1" ht="22.9" customHeight="1">
      <c r="A82" s="2241"/>
      <c r="B82" s="2242" t="s">
        <v>4</v>
      </c>
      <c r="C82" s="2243"/>
      <c r="D82" s="2244"/>
      <c r="E82" s="2243">
        <v>-2.1</v>
      </c>
      <c r="F82" s="2245">
        <v>2.1</v>
      </c>
      <c r="G82" s="2243">
        <v>0</v>
      </c>
      <c r="H82" s="2246">
        <v>-2.1</v>
      </c>
      <c r="I82" s="2245">
        <v>2.1</v>
      </c>
      <c r="J82" s="2247">
        <v>-2.1</v>
      </c>
      <c r="K82" s="2248" t="s">
        <v>3521</v>
      </c>
      <c r="L82" s="2248" t="s">
        <v>3521</v>
      </c>
      <c r="M82" s="2248" t="s">
        <v>3521</v>
      </c>
      <c r="N82" s="2249" t="s">
        <v>3521</v>
      </c>
      <c r="O82" s="2250"/>
      <c r="P82" s="2251"/>
      <c r="Q82" s="2252"/>
      <c r="R82" s="2250"/>
      <c r="S82" s="2253">
        <v>10</v>
      </c>
      <c r="T82" s="2161">
        <v>0</v>
      </c>
      <c r="U82" s="2245">
        <v>1</v>
      </c>
      <c r="V82" s="2245">
        <v>15</v>
      </c>
      <c r="W82" s="2245">
        <v>128.45752167880846</v>
      </c>
      <c r="X82" s="2245">
        <v>3.6248559335500571E-2</v>
      </c>
      <c r="Y82" s="2245">
        <v>0</v>
      </c>
      <c r="Z82" s="2161">
        <v>0</v>
      </c>
      <c r="AA82" s="2245" t="e">
        <v>#DIV/0!</v>
      </c>
      <c r="AB82" s="2245">
        <v>2.2000000000000002</v>
      </c>
      <c r="AC82" s="2245">
        <v>0</v>
      </c>
      <c r="AD82" s="2245" t="s">
        <v>1240</v>
      </c>
      <c r="AE82" s="2254">
        <v>1.4999999999999999E-2</v>
      </c>
      <c r="AF82" s="2255">
        <v>1</v>
      </c>
      <c r="AG82" s="2245">
        <v>0.6</v>
      </c>
      <c r="AH82" s="2245"/>
      <c r="AJ82" s="2256"/>
      <c r="AK82" s="2257">
        <v>0</v>
      </c>
      <c r="AL82" s="2245">
        <v>0</v>
      </c>
      <c r="AM82" s="2245">
        <v>0</v>
      </c>
      <c r="AN82" s="2245" t="e">
        <v>#DIV/0!</v>
      </c>
      <c r="AO82" s="2245" t="e">
        <v>#DIV/0!</v>
      </c>
      <c r="AP82" s="2258">
        <v>0</v>
      </c>
      <c r="AQ82" s="2259"/>
      <c r="AR82" s="2259">
        <v>0</v>
      </c>
      <c r="AS82" s="2260" t="s">
        <v>3521</v>
      </c>
      <c r="AT82" s="2259"/>
      <c r="AU82" s="2259"/>
      <c r="AV82" s="2259"/>
      <c r="AW82" s="2259">
        <v>0</v>
      </c>
      <c r="AX82" s="2261">
        <v>10000</v>
      </c>
      <c r="AY82" s="2261">
        <v>10000</v>
      </c>
      <c r="AZ82" s="2261">
        <v>10000</v>
      </c>
      <c r="BA82" s="2261">
        <v>15</v>
      </c>
      <c r="BB82" s="2261">
        <v>0</v>
      </c>
      <c r="BC82" s="2261">
        <v>0</v>
      </c>
      <c r="BD82" s="2229">
        <v>0</v>
      </c>
      <c r="BE82" s="2229">
        <v>0.114396</v>
      </c>
      <c r="BF82" s="2229">
        <v>0</v>
      </c>
      <c r="BG82" s="2229">
        <v>0</v>
      </c>
      <c r="BH82" s="2229">
        <v>0</v>
      </c>
      <c r="BI82" s="2229">
        <v>0</v>
      </c>
      <c r="BJ82" s="2229">
        <v>0</v>
      </c>
      <c r="BK82" s="2262">
        <v>0</v>
      </c>
      <c r="BL82" s="2262">
        <v>0</v>
      </c>
      <c r="BM82" s="2262">
        <v>-2.1</v>
      </c>
      <c r="BN82" s="2262">
        <v>2.1</v>
      </c>
      <c r="BO82" s="2262">
        <v>0</v>
      </c>
      <c r="BP82" s="2262">
        <v>0</v>
      </c>
      <c r="BQ82" s="2262">
        <v>0</v>
      </c>
      <c r="BR82" s="2262">
        <v>0</v>
      </c>
      <c r="BS82" s="2262">
        <v>0</v>
      </c>
      <c r="BT82" s="2262">
        <v>0</v>
      </c>
      <c r="BU82" s="2262">
        <v>0</v>
      </c>
      <c r="BV82" s="2262">
        <v>0</v>
      </c>
      <c r="BW82" s="2262">
        <v>0</v>
      </c>
      <c r="BX82" s="2263">
        <v>1</v>
      </c>
      <c r="BY82" s="2262">
        <v>0.52</v>
      </c>
      <c r="BZ82" s="2262">
        <v>0.18000000000000016</v>
      </c>
      <c r="CA82" s="2064" t="s">
        <v>3524</v>
      </c>
      <c r="CC82" s="563">
        <v>2359.5299329060649</v>
      </c>
      <c r="CD82" s="563">
        <v>2359.5299329060649</v>
      </c>
    </row>
    <row r="83" spans="1:82" s="563" customFormat="1" ht="22.9" customHeight="1">
      <c r="A83" s="2241"/>
      <c r="B83" s="2242" t="s">
        <v>4</v>
      </c>
      <c r="C83" s="2243"/>
      <c r="D83" s="2244"/>
      <c r="E83" s="2243">
        <v>-2.1</v>
      </c>
      <c r="F83" s="2245">
        <v>2.1</v>
      </c>
      <c r="G83" s="2243">
        <v>0</v>
      </c>
      <c r="H83" s="2246">
        <v>-2.1</v>
      </c>
      <c r="I83" s="2245">
        <v>2.1</v>
      </c>
      <c r="J83" s="2247">
        <v>-2.1</v>
      </c>
      <c r="K83" s="2248" t="s">
        <v>3521</v>
      </c>
      <c r="L83" s="2248" t="s">
        <v>3521</v>
      </c>
      <c r="M83" s="2248" t="s">
        <v>3521</v>
      </c>
      <c r="N83" s="2249" t="s">
        <v>3521</v>
      </c>
      <c r="O83" s="2250"/>
      <c r="P83" s="2251"/>
      <c r="Q83" s="2252"/>
      <c r="R83" s="2250"/>
      <c r="S83" s="2253">
        <v>10</v>
      </c>
      <c r="T83" s="2161">
        <v>0</v>
      </c>
      <c r="U83" s="2245">
        <v>1</v>
      </c>
      <c r="V83" s="2245">
        <v>15</v>
      </c>
      <c r="W83" s="2245">
        <v>128.45752167880846</v>
      </c>
      <c r="X83" s="2245">
        <v>3.6248559335500571E-2</v>
      </c>
      <c r="Y83" s="2245">
        <v>0</v>
      </c>
      <c r="Z83" s="2161">
        <v>0</v>
      </c>
      <c r="AA83" s="2245" t="e">
        <v>#DIV/0!</v>
      </c>
      <c r="AB83" s="2245">
        <v>2.2000000000000002</v>
      </c>
      <c r="AC83" s="2245">
        <v>0</v>
      </c>
      <c r="AD83" s="2245" t="s">
        <v>1240</v>
      </c>
      <c r="AE83" s="2254">
        <v>1.4999999999999999E-2</v>
      </c>
      <c r="AF83" s="2255">
        <v>1</v>
      </c>
      <c r="AG83" s="2245">
        <v>0.6</v>
      </c>
      <c r="AH83" s="2245"/>
      <c r="AJ83" s="2256"/>
      <c r="AK83" s="2257">
        <v>0</v>
      </c>
      <c r="AL83" s="2245">
        <v>0</v>
      </c>
      <c r="AM83" s="2245">
        <v>0</v>
      </c>
      <c r="AN83" s="2245" t="e">
        <v>#DIV/0!</v>
      </c>
      <c r="AO83" s="2245" t="e">
        <v>#DIV/0!</v>
      </c>
      <c r="AP83" s="2258">
        <v>0</v>
      </c>
      <c r="AQ83" s="2259"/>
      <c r="AR83" s="2259">
        <v>0</v>
      </c>
      <c r="AS83" s="2260" t="s">
        <v>3521</v>
      </c>
      <c r="AT83" s="2259"/>
      <c r="AU83" s="2259"/>
      <c r="AV83" s="2259"/>
      <c r="AW83" s="2259">
        <v>0</v>
      </c>
      <c r="AX83" s="2261">
        <v>10000</v>
      </c>
      <c r="AY83" s="2261">
        <v>10000</v>
      </c>
      <c r="AZ83" s="2261">
        <v>10000</v>
      </c>
      <c r="BA83" s="2261">
        <v>15</v>
      </c>
      <c r="BB83" s="2261">
        <v>0</v>
      </c>
      <c r="BC83" s="2261">
        <v>0</v>
      </c>
      <c r="BD83" s="2229">
        <v>0</v>
      </c>
      <c r="BE83" s="2229">
        <v>0.114396</v>
      </c>
      <c r="BF83" s="2229">
        <v>0</v>
      </c>
      <c r="BG83" s="2229">
        <v>0</v>
      </c>
      <c r="BH83" s="2229">
        <v>0</v>
      </c>
      <c r="BI83" s="2229">
        <v>0</v>
      </c>
      <c r="BJ83" s="2229">
        <v>0</v>
      </c>
      <c r="BK83" s="2262">
        <v>0</v>
      </c>
      <c r="BL83" s="2262">
        <v>0</v>
      </c>
      <c r="BM83" s="2262">
        <v>-2.1</v>
      </c>
      <c r="BN83" s="2262">
        <v>2.1</v>
      </c>
      <c r="BO83" s="2262">
        <v>0</v>
      </c>
      <c r="BP83" s="2262">
        <v>0</v>
      </c>
      <c r="BQ83" s="2262">
        <v>0</v>
      </c>
      <c r="BR83" s="2262">
        <v>0</v>
      </c>
      <c r="BS83" s="2262">
        <v>0</v>
      </c>
      <c r="BT83" s="2262">
        <v>0</v>
      </c>
      <c r="BU83" s="2262">
        <v>0</v>
      </c>
      <c r="BV83" s="2262">
        <v>0</v>
      </c>
      <c r="BW83" s="2262">
        <v>0</v>
      </c>
      <c r="BX83" s="2263">
        <v>1</v>
      </c>
      <c r="BY83" s="2262">
        <v>0.52</v>
      </c>
      <c r="BZ83" s="2262">
        <v>0.18000000000000016</v>
      </c>
      <c r="CA83" s="2064" t="s">
        <v>3524</v>
      </c>
      <c r="CC83" s="563">
        <v>2359.5299329060649</v>
      </c>
      <c r="CD83" s="563">
        <v>2359.5299329060649</v>
      </c>
    </row>
    <row r="84" spans="1:82" s="563" customFormat="1" ht="22.9" customHeight="1">
      <c r="A84" s="2241"/>
      <c r="B84" s="2242" t="s">
        <v>4</v>
      </c>
      <c r="C84" s="2243"/>
      <c r="D84" s="2244"/>
      <c r="E84" s="2243">
        <v>-2.1</v>
      </c>
      <c r="F84" s="2245">
        <v>2.1</v>
      </c>
      <c r="G84" s="2243">
        <v>0</v>
      </c>
      <c r="H84" s="2246">
        <v>-2.1</v>
      </c>
      <c r="I84" s="2245">
        <v>2.1</v>
      </c>
      <c r="J84" s="2247">
        <v>-2.1</v>
      </c>
      <c r="K84" s="2248" t="s">
        <v>3521</v>
      </c>
      <c r="L84" s="2248" t="s">
        <v>3521</v>
      </c>
      <c r="M84" s="2248" t="s">
        <v>3521</v>
      </c>
      <c r="N84" s="2249" t="s">
        <v>3521</v>
      </c>
      <c r="O84" s="2250"/>
      <c r="P84" s="2251"/>
      <c r="Q84" s="2252"/>
      <c r="R84" s="2250"/>
      <c r="S84" s="2253">
        <v>10</v>
      </c>
      <c r="T84" s="2161">
        <v>0</v>
      </c>
      <c r="U84" s="2245">
        <v>1</v>
      </c>
      <c r="V84" s="2245">
        <v>15</v>
      </c>
      <c r="W84" s="2245">
        <v>128.45752167880846</v>
      </c>
      <c r="X84" s="2245">
        <v>3.6248559335500571E-2</v>
      </c>
      <c r="Y84" s="2245">
        <v>0</v>
      </c>
      <c r="Z84" s="2161">
        <v>0</v>
      </c>
      <c r="AA84" s="2245" t="e">
        <v>#DIV/0!</v>
      </c>
      <c r="AB84" s="2245">
        <v>2.2000000000000002</v>
      </c>
      <c r="AC84" s="2245">
        <v>0</v>
      </c>
      <c r="AD84" s="2245" t="s">
        <v>1240</v>
      </c>
      <c r="AE84" s="2254">
        <v>1.4999999999999999E-2</v>
      </c>
      <c r="AF84" s="2255">
        <v>1</v>
      </c>
      <c r="AG84" s="2245">
        <v>0.6</v>
      </c>
      <c r="AH84" s="2245"/>
      <c r="AJ84" s="2256"/>
      <c r="AK84" s="2257">
        <v>0</v>
      </c>
      <c r="AL84" s="2245">
        <v>0</v>
      </c>
      <c r="AM84" s="2245">
        <v>0</v>
      </c>
      <c r="AN84" s="2245" t="e">
        <v>#DIV/0!</v>
      </c>
      <c r="AO84" s="2245" t="e">
        <v>#DIV/0!</v>
      </c>
      <c r="AP84" s="2258">
        <v>0</v>
      </c>
      <c r="AQ84" s="2259"/>
      <c r="AR84" s="2259">
        <v>0</v>
      </c>
      <c r="AS84" s="2260" t="s">
        <v>3521</v>
      </c>
      <c r="AT84" s="2259"/>
      <c r="AU84" s="2259"/>
      <c r="AV84" s="2259"/>
      <c r="AW84" s="2259">
        <v>0</v>
      </c>
      <c r="AX84" s="2261">
        <v>10000</v>
      </c>
      <c r="AY84" s="2261">
        <v>10000</v>
      </c>
      <c r="AZ84" s="2261">
        <v>10000</v>
      </c>
      <c r="BA84" s="2261">
        <v>15</v>
      </c>
      <c r="BB84" s="2261">
        <v>0</v>
      </c>
      <c r="BC84" s="2261">
        <v>0</v>
      </c>
      <c r="BD84" s="2229">
        <v>0</v>
      </c>
      <c r="BE84" s="2229">
        <v>0.114396</v>
      </c>
      <c r="BF84" s="2229">
        <v>0</v>
      </c>
      <c r="BG84" s="2229">
        <v>0</v>
      </c>
      <c r="BH84" s="2229">
        <v>0</v>
      </c>
      <c r="BI84" s="2229">
        <v>0</v>
      </c>
      <c r="BJ84" s="2229">
        <v>0</v>
      </c>
      <c r="BK84" s="2262">
        <v>0</v>
      </c>
      <c r="BL84" s="2262">
        <v>0</v>
      </c>
      <c r="BM84" s="2262">
        <v>-2.1</v>
      </c>
      <c r="BN84" s="2262">
        <v>2.1</v>
      </c>
      <c r="BO84" s="2262">
        <v>0</v>
      </c>
      <c r="BP84" s="2262">
        <v>0</v>
      </c>
      <c r="BQ84" s="2262">
        <v>0</v>
      </c>
      <c r="BR84" s="2262">
        <v>0</v>
      </c>
      <c r="BS84" s="2262">
        <v>0</v>
      </c>
      <c r="BT84" s="2262">
        <v>0</v>
      </c>
      <c r="BU84" s="2262">
        <v>0</v>
      </c>
      <c r="BV84" s="2262">
        <v>0</v>
      </c>
      <c r="BW84" s="2262">
        <v>0</v>
      </c>
      <c r="BX84" s="2263">
        <v>1</v>
      </c>
      <c r="BY84" s="2262">
        <v>0.52</v>
      </c>
      <c r="BZ84" s="2262">
        <v>0.18000000000000016</v>
      </c>
      <c r="CA84" s="2064" t="s">
        <v>3524</v>
      </c>
      <c r="CC84" s="563">
        <v>2359.5299329060649</v>
      </c>
      <c r="CD84" s="563">
        <v>2359.5299329060649</v>
      </c>
    </row>
    <row r="85" spans="1:82" s="563" customFormat="1" ht="22.9" customHeight="1">
      <c r="A85" s="2241"/>
      <c r="B85" s="2242" t="s">
        <v>4</v>
      </c>
      <c r="C85" s="2243"/>
      <c r="D85" s="2244"/>
      <c r="E85" s="2243">
        <v>-2.1</v>
      </c>
      <c r="F85" s="2245">
        <v>2.1</v>
      </c>
      <c r="G85" s="2243">
        <v>0</v>
      </c>
      <c r="H85" s="2246">
        <v>-2.1</v>
      </c>
      <c r="I85" s="2245">
        <v>2.1</v>
      </c>
      <c r="J85" s="2247">
        <v>-2.1</v>
      </c>
      <c r="K85" s="2248" t="s">
        <v>3521</v>
      </c>
      <c r="L85" s="2248" t="s">
        <v>3521</v>
      </c>
      <c r="M85" s="2248" t="s">
        <v>3521</v>
      </c>
      <c r="N85" s="2249" t="s">
        <v>3521</v>
      </c>
      <c r="O85" s="2250"/>
      <c r="P85" s="2251"/>
      <c r="Q85" s="2252"/>
      <c r="R85" s="2250"/>
      <c r="S85" s="2253">
        <v>10</v>
      </c>
      <c r="T85" s="2161">
        <v>0</v>
      </c>
      <c r="U85" s="2245">
        <v>1</v>
      </c>
      <c r="V85" s="2245">
        <v>15</v>
      </c>
      <c r="W85" s="2245">
        <v>128.45752167880846</v>
      </c>
      <c r="X85" s="2245">
        <v>3.6248559335500571E-2</v>
      </c>
      <c r="Y85" s="2245">
        <v>0</v>
      </c>
      <c r="Z85" s="2161">
        <v>0</v>
      </c>
      <c r="AA85" s="2245" t="e">
        <v>#DIV/0!</v>
      </c>
      <c r="AB85" s="2245">
        <v>2.2000000000000002</v>
      </c>
      <c r="AC85" s="2245">
        <v>0</v>
      </c>
      <c r="AD85" s="2245" t="s">
        <v>1240</v>
      </c>
      <c r="AE85" s="2254">
        <v>1.4999999999999999E-2</v>
      </c>
      <c r="AF85" s="2255">
        <v>1</v>
      </c>
      <c r="AG85" s="2245">
        <v>0.6</v>
      </c>
      <c r="AH85" s="2245"/>
      <c r="AJ85" s="2256"/>
      <c r="AK85" s="2257">
        <v>0</v>
      </c>
      <c r="AL85" s="2245">
        <v>0</v>
      </c>
      <c r="AM85" s="2245">
        <v>0</v>
      </c>
      <c r="AN85" s="2245" t="e">
        <v>#DIV/0!</v>
      </c>
      <c r="AO85" s="2245" t="e">
        <v>#DIV/0!</v>
      </c>
      <c r="AP85" s="2258">
        <v>0</v>
      </c>
      <c r="AQ85" s="2259"/>
      <c r="AR85" s="2259">
        <v>0</v>
      </c>
      <c r="AS85" s="2260" t="s">
        <v>3521</v>
      </c>
      <c r="AT85" s="2259"/>
      <c r="AU85" s="2259"/>
      <c r="AV85" s="2259"/>
      <c r="AW85" s="2259">
        <v>0</v>
      </c>
      <c r="AX85" s="2261">
        <v>10000</v>
      </c>
      <c r="AY85" s="2261">
        <v>10000</v>
      </c>
      <c r="AZ85" s="2261">
        <v>10000</v>
      </c>
      <c r="BA85" s="2261">
        <v>15</v>
      </c>
      <c r="BB85" s="2261">
        <v>0</v>
      </c>
      <c r="BC85" s="2261">
        <v>0</v>
      </c>
      <c r="BD85" s="2229">
        <v>0</v>
      </c>
      <c r="BE85" s="2229">
        <v>0.114396</v>
      </c>
      <c r="BF85" s="2229">
        <v>0</v>
      </c>
      <c r="BG85" s="2229">
        <v>0</v>
      </c>
      <c r="BH85" s="2229">
        <v>0</v>
      </c>
      <c r="BI85" s="2229">
        <v>0</v>
      </c>
      <c r="BJ85" s="2229">
        <v>0</v>
      </c>
      <c r="BK85" s="2262">
        <v>0</v>
      </c>
      <c r="BL85" s="2262">
        <v>0</v>
      </c>
      <c r="BM85" s="2262">
        <v>-2.1</v>
      </c>
      <c r="BN85" s="2262">
        <v>2.1</v>
      </c>
      <c r="BO85" s="2262">
        <v>0</v>
      </c>
      <c r="BP85" s="2262">
        <v>0</v>
      </c>
      <c r="BQ85" s="2262">
        <v>0</v>
      </c>
      <c r="BR85" s="2262">
        <v>0</v>
      </c>
      <c r="BS85" s="2262">
        <v>0</v>
      </c>
      <c r="BT85" s="2262">
        <v>0</v>
      </c>
      <c r="BU85" s="2262">
        <v>0</v>
      </c>
      <c r="BV85" s="2262">
        <v>0</v>
      </c>
      <c r="BW85" s="2262">
        <v>0</v>
      </c>
      <c r="BX85" s="2263">
        <v>1</v>
      </c>
      <c r="BY85" s="2262">
        <v>0.52</v>
      </c>
      <c r="BZ85" s="2262">
        <v>0.18000000000000016</v>
      </c>
      <c r="CA85" s="2064" t="s">
        <v>3524</v>
      </c>
      <c r="CC85" s="563">
        <v>2359.5299329060649</v>
      </c>
      <c r="CD85" s="563">
        <v>2359.5299329060649</v>
      </c>
    </row>
    <row r="86" spans="1:82" s="563" customFormat="1" ht="22.9" customHeight="1">
      <c r="A86" s="2241"/>
      <c r="B86" s="2242" t="s">
        <v>4</v>
      </c>
      <c r="C86" s="2243"/>
      <c r="D86" s="2244"/>
      <c r="E86" s="2243">
        <v>-2.1</v>
      </c>
      <c r="F86" s="2245">
        <v>2.1</v>
      </c>
      <c r="G86" s="2243">
        <v>0</v>
      </c>
      <c r="H86" s="2246">
        <v>-2.1</v>
      </c>
      <c r="I86" s="2245">
        <v>2.1</v>
      </c>
      <c r="J86" s="2247">
        <v>-2.1</v>
      </c>
      <c r="K86" s="2248" t="s">
        <v>3521</v>
      </c>
      <c r="L86" s="2248" t="s">
        <v>3521</v>
      </c>
      <c r="M86" s="2248" t="s">
        <v>3521</v>
      </c>
      <c r="N86" s="2249" t="s">
        <v>3521</v>
      </c>
      <c r="O86" s="2250"/>
      <c r="P86" s="2251"/>
      <c r="Q86" s="2252"/>
      <c r="R86" s="2250"/>
      <c r="S86" s="2253">
        <v>10</v>
      </c>
      <c r="T86" s="2161">
        <v>0</v>
      </c>
      <c r="U86" s="2245">
        <v>1</v>
      </c>
      <c r="V86" s="2245">
        <v>15</v>
      </c>
      <c r="W86" s="2245">
        <v>128.45752167880846</v>
      </c>
      <c r="X86" s="2245">
        <v>3.6248559335500571E-2</v>
      </c>
      <c r="Y86" s="2245">
        <v>0</v>
      </c>
      <c r="Z86" s="2161">
        <v>0</v>
      </c>
      <c r="AA86" s="2245" t="e">
        <v>#DIV/0!</v>
      </c>
      <c r="AB86" s="2245">
        <v>2.2000000000000002</v>
      </c>
      <c r="AC86" s="2245">
        <v>0</v>
      </c>
      <c r="AD86" s="2245" t="s">
        <v>1240</v>
      </c>
      <c r="AE86" s="2254">
        <v>1.4999999999999999E-2</v>
      </c>
      <c r="AF86" s="2255">
        <v>1</v>
      </c>
      <c r="AG86" s="2245">
        <v>0.6</v>
      </c>
      <c r="AH86" s="2245"/>
      <c r="AJ86" s="2256"/>
      <c r="AK86" s="2257">
        <v>0</v>
      </c>
      <c r="AL86" s="2245">
        <v>0</v>
      </c>
      <c r="AM86" s="2245">
        <v>0</v>
      </c>
      <c r="AN86" s="2245" t="e">
        <v>#DIV/0!</v>
      </c>
      <c r="AO86" s="2245" t="e">
        <v>#DIV/0!</v>
      </c>
      <c r="AP86" s="2258">
        <v>0</v>
      </c>
      <c r="AQ86" s="2259"/>
      <c r="AR86" s="2259">
        <v>0</v>
      </c>
      <c r="AS86" s="2260" t="s">
        <v>3521</v>
      </c>
      <c r="AT86" s="2259"/>
      <c r="AU86" s="2259"/>
      <c r="AV86" s="2259"/>
      <c r="AW86" s="2259">
        <v>0</v>
      </c>
      <c r="AX86" s="2261">
        <v>10000</v>
      </c>
      <c r="AY86" s="2261">
        <v>10000</v>
      </c>
      <c r="AZ86" s="2261">
        <v>10000</v>
      </c>
      <c r="BA86" s="2261">
        <v>15</v>
      </c>
      <c r="BB86" s="2261">
        <v>0</v>
      </c>
      <c r="BC86" s="2261">
        <v>0</v>
      </c>
      <c r="BD86" s="2229">
        <v>0</v>
      </c>
      <c r="BE86" s="2229">
        <v>0.114396</v>
      </c>
      <c r="BF86" s="2229">
        <v>0</v>
      </c>
      <c r="BG86" s="2229">
        <v>0</v>
      </c>
      <c r="BH86" s="2229">
        <v>0</v>
      </c>
      <c r="BI86" s="2229">
        <v>0</v>
      </c>
      <c r="BJ86" s="2229">
        <v>0</v>
      </c>
      <c r="BK86" s="2262">
        <v>0</v>
      </c>
      <c r="BL86" s="2262">
        <v>0</v>
      </c>
      <c r="BM86" s="2262">
        <v>-2.1</v>
      </c>
      <c r="BN86" s="2262">
        <v>2.1</v>
      </c>
      <c r="BO86" s="2262">
        <v>0</v>
      </c>
      <c r="BP86" s="2262">
        <v>0</v>
      </c>
      <c r="BQ86" s="2262">
        <v>0</v>
      </c>
      <c r="BR86" s="2262">
        <v>0</v>
      </c>
      <c r="BS86" s="2262">
        <v>0</v>
      </c>
      <c r="BT86" s="2262">
        <v>0</v>
      </c>
      <c r="BU86" s="2262">
        <v>0</v>
      </c>
      <c r="BV86" s="2262">
        <v>0</v>
      </c>
      <c r="BW86" s="2262">
        <v>0</v>
      </c>
      <c r="BX86" s="2263">
        <v>1</v>
      </c>
      <c r="BY86" s="2262">
        <v>0.52</v>
      </c>
      <c r="BZ86" s="2262">
        <v>0.18000000000000016</v>
      </c>
      <c r="CA86" s="2064" t="s">
        <v>3524</v>
      </c>
      <c r="CC86" s="563">
        <v>2359.5299329060649</v>
      </c>
      <c r="CD86" s="563">
        <v>2359.5299329060649</v>
      </c>
    </row>
    <row r="87" spans="1:82" s="563" customFormat="1" ht="22.9" customHeight="1">
      <c r="A87" s="2241"/>
      <c r="B87" s="2242" t="s">
        <v>4</v>
      </c>
      <c r="C87" s="2243"/>
      <c r="D87" s="2244"/>
      <c r="E87" s="2243">
        <v>-2.1</v>
      </c>
      <c r="F87" s="2245">
        <v>2.1</v>
      </c>
      <c r="G87" s="2243">
        <v>0</v>
      </c>
      <c r="H87" s="2246">
        <v>-2.1</v>
      </c>
      <c r="I87" s="2245">
        <v>2.1</v>
      </c>
      <c r="J87" s="2247">
        <v>-2.1</v>
      </c>
      <c r="K87" s="2248" t="s">
        <v>3521</v>
      </c>
      <c r="L87" s="2248" t="s">
        <v>3521</v>
      </c>
      <c r="M87" s="2248" t="s">
        <v>3521</v>
      </c>
      <c r="N87" s="2249" t="s">
        <v>3521</v>
      </c>
      <c r="O87" s="2250"/>
      <c r="P87" s="2251"/>
      <c r="Q87" s="2252"/>
      <c r="R87" s="2250"/>
      <c r="S87" s="2253">
        <v>10</v>
      </c>
      <c r="T87" s="2161">
        <v>0</v>
      </c>
      <c r="U87" s="2245">
        <v>1</v>
      </c>
      <c r="V87" s="2245">
        <v>15</v>
      </c>
      <c r="W87" s="2245">
        <v>128.45752167880846</v>
      </c>
      <c r="X87" s="2245">
        <v>3.6248559335500571E-2</v>
      </c>
      <c r="Y87" s="2245">
        <v>0</v>
      </c>
      <c r="Z87" s="2161">
        <v>0</v>
      </c>
      <c r="AA87" s="2245" t="e">
        <v>#DIV/0!</v>
      </c>
      <c r="AB87" s="2245">
        <v>2.2000000000000002</v>
      </c>
      <c r="AC87" s="2245">
        <v>0</v>
      </c>
      <c r="AD87" s="2245" t="s">
        <v>1240</v>
      </c>
      <c r="AE87" s="2254">
        <v>1.4999999999999999E-2</v>
      </c>
      <c r="AF87" s="2255">
        <v>1</v>
      </c>
      <c r="AG87" s="2245">
        <v>0.6</v>
      </c>
      <c r="AH87" s="2245"/>
      <c r="AJ87" s="2256"/>
      <c r="AK87" s="2257">
        <v>0</v>
      </c>
      <c r="AL87" s="2245">
        <v>0</v>
      </c>
      <c r="AM87" s="2245">
        <v>0</v>
      </c>
      <c r="AN87" s="2245" t="e">
        <v>#DIV/0!</v>
      </c>
      <c r="AO87" s="2245" t="e">
        <v>#DIV/0!</v>
      </c>
      <c r="AP87" s="2258">
        <v>0</v>
      </c>
      <c r="AQ87" s="2259"/>
      <c r="AR87" s="2259">
        <v>0</v>
      </c>
      <c r="AS87" s="2260" t="s">
        <v>3521</v>
      </c>
      <c r="AT87" s="2259"/>
      <c r="AU87" s="2259"/>
      <c r="AV87" s="2259"/>
      <c r="AW87" s="2259">
        <v>0</v>
      </c>
      <c r="AX87" s="2261">
        <v>10000</v>
      </c>
      <c r="AY87" s="2261">
        <v>10000</v>
      </c>
      <c r="AZ87" s="2261">
        <v>10000</v>
      </c>
      <c r="BA87" s="2261">
        <v>15</v>
      </c>
      <c r="BB87" s="2261">
        <v>0</v>
      </c>
      <c r="BC87" s="2261">
        <v>0</v>
      </c>
      <c r="BD87" s="2229">
        <v>0</v>
      </c>
      <c r="BE87" s="2229">
        <v>0.114396</v>
      </c>
      <c r="BF87" s="2229">
        <v>0</v>
      </c>
      <c r="BG87" s="2229">
        <v>0</v>
      </c>
      <c r="BH87" s="2229">
        <v>0</v>
      </c>
      <c r="BI87" s="2229">
        <v>0</v>
      </c>
      <c r="BJ87" s="2229">
        <v>0</v>
      </c>
      <c r="BK87" s="2262">
        <v>0</v>
      </c>
      <c r="BL87" s="2262">
        <v>0</v>
      </c>
      <c r="BM87" s="2262">
        <v>-2.1</v>
      </c>
      <c r="BN87" s="2262">
        <v>2.1</v>
      </c>
      <c r="BO87" s="2262">
        <v>0</v>
      </c>
      <c r="BP87" s="2262">
        <v>0</v>
      </c>
      <c r="BQ87" s="2262">
        <v>0</v>
      </c>
      <c r="BR87" s="2262">
        <v>0</v>
      </c>
      <c r="BS87" s="2262">
        <v>0</v>
      </c>
      <c r="BT87" s="2262">
        <v>0</v>
      </c>
      <c r="BU87" s="2262">
        <v>0</v>
      </c>
      <c r="BV87" s="2262">
        <v>0</v>
      </c>
      <c r="BW87" s="2262">
        <v>0</v>
      </c>
      <c r="BX87" s="2263">
        <v>1</v>
      </c>
      <c r="BY87" s="2262">
        <v>0.52</v>
      </c>
      <c r="BZ87" s="2262">
        <v>0.18000000000000016</v>
      </c>
      <c r="CA87" s="2064" t="s">
        <v>3524</v>
      </c>
      <c r="CC87" s="563">
        <v>2359.5299329060649</v>
      </c>
      <c r="CD87" s="563">
        <v>2359.5299329060649</v>
      </c>
    </row>
    <row r="88" spans="1:82" s="563" customFormat="1" ht="22.9" customHeight="1">
      <c r="A88" s="2241"/>
      <c r="B88" s="2242" t="s">
        <v>4</v>
      </c>
      <c r="C88" s="2243"/>
      <c r="D88" s="2244"/>
      <c r="E88" s="2243">
        <v>-2.1</v>
      </c>
      <c r="F88" s="2245">
        <v>2.1</v>
      </c>
      <c r="G88" s="2243">
        <v>0</v>
      </c>
      <c r="H88" s="2246">
        <v>-2.1</v>
      </c>
      <c r="I88" s="2245">
        <v>2.1</v>
      </c>
      <c r="J88" s="2247">
        <v>-2.1</v>
      </c>
      <c r="K88" s="2248" t="s">
        <v>3521</v>
      </c>
      <c r="L88" s="2248" t="s">
        <v>3521</v>
      </c>
      <c r="M88" s="2248" t="s">
        <v>3521</v>
      </c>
      <c r="N88" s="2249" t="s">
        <v>3521</v>
      </c>
      <c r="O88" s="2250"/>
      <c r="P88" s="2251"/>
      <c r="Q88" s="2252"/>
      <c r="R88" s="2250"/>
      <c r="S88" s="2253">
        <v>10</v>
      </c>
      <c r="T88" s="2161">
        <v>0</v>
      </c>
      <c r="U88" s="2245">
        <v>1</v>
      </c>
      <c r="V88" s="2245">
        <v>15</v>
      </c>
      <c r="W88" s="2245">
        <v>128.45752167880846</v>
      </c>
      <c r="X88" s="2245">
        <v>3.6248559335500571E-2</v>
      </c>
      <c r="Y88" s="2245">
        <v>0</v>
      </c>
      <c r="Z88" s="2161">
        <v>0</v>
      </c>
      <c r="AA88" s="2245" t="e">
        <v>#DIV/0!</v>
      </c>
      <c r="AB88" s="2245">
        <v>2.2000000000000002</v>
      </c>
      <c r="AC88" s="2245">
        <v>0</v>
      </c>
      <c r="AD88" s="2245" t="s">
        <v>1240</v>
      </c>
      <c r="AE88" s="2254">
        <v>1.4999999999999999E-2</v>
      </c>
      <c r="AF88" s="2255">
        <v>1</v>
      </c>
      <c r="AG88" s="2245">
        <v>0.6</v>
      </c>
      <c r="AH88" s="2245"/>
      <c r="AJ88" s="2256"/>
      <c r="AK88" s="2257">
        <v>0</v>
      </c>
      <c r="AL88" s="2245">
        <v>0</v>
      </c>
      <c r="AM88" s="2245">
        <v>0</v>
      </c>
      <c r="AN88" s="2245" t="e">
        <v>#DIV/0!</v>
      </c>
      <c r="AO88" s="2245" t="e">
        <v>#DIV/0!</v>
      </c>
      <c r="AP88" s="2258">
        <v>0</v>
      </c>
      <c r="AQ88" s="2259"/>
      <c r="AR88" s="2259">
        <v>0</v>
      </c>
      <c r="AS88" s="2260" t="s">
        <v>3521</v>
      </c>
      <c r="AT88" s="2259"/>
      <c r="AU88" s="2259"/>
      <c r="AV88" s="2259"/>
      <c r="AW88" s="2259">
        <v>0</v>
      </c>
      <c r="AX88" s="2261">
        <v>10000</v>
      </c>
      <c r="AY88" s="2261">
        <v>10000</v>
      </c>
      <c r="AZ88" s="2261">
        <v>10000</v>
      </c>
      <c r="BA88" s="2261">
        <v>15</v>
      </c>
      <c r="BB88" s="2261">
        <v>0</v>
      </c>
      <c r="BC88" s="2261">
        <v>0</v>
      </c>
      <c r="BD88" s="2229">
        <v>0</v>
      </c>
      <c r="BE88" s="2229">
        <v>0.114396</v>
      </c>
      <c r="BF88" s="2229">
        <v>0</v>
      </c>
      <c r="BG88" s="2229">
        <v>0</v>
      </c>
      <c r="BH88" s="2229">
        <v>0</v>
      </c>
      <c r="BI88" s="2229">
        <v>0</v>
      </c>
      <c r="BJ88" s="2229">
        <v>0</v>
      </c>
      <c r="BK88" s="2262">
        <v>0</v>
      </c>
      <c r="BL88" s="2262">
        <v>0</v>
      </c>
      <c r="BM88" s="2262">
        <v>-2.1</v>
      </c>
      <c r="BN88" s="2262">
        <v>2.1</v>
      </c>
      <c r="BO88" s="2262">
        <v>0</v>
      </c>
      <c r="BP88" s="2262">
        <v>0</v>
      </c>
      <c r="BQ88" s="2262">
        <v>0</v>
      </c>
      <c r="BR88" s="2262">
        <v>0</v>
      </c>
      <c r="BS88" s="2262">
        <v>0</v>
      </c>
      <c r="BT88" s="2262">
        <v>0</v>
      </c>
      <c r="BU88" s="2262">
        <v>0</v>
      </c>
      <c r="BV88" s="2262">
        <v>0</v>
      </c>
      <c r="BW88" s="2262">
        <v>0</v>
      </c>
      <c r="BX88" s="2263">
        <v>1</v>
      </c>
      <c r="BY88" s="2262">
        <v>0.52</v>
      </c>
      <c r="BZ88" s="2262">
        <v>0.18000000000000016</v>
      </c>
      <c r="CA88" s="2064" t="s">
        <v>3524</v>
      </c>
      <c r="CC88" s="563">
        <v>2359.5299329060649</v>
      </c>
      <c r="CD88" s="563">
        <v>2359.5299329060649</v>
      </c>
    </row>
    <row r="89" spans="1:82" s="563" customFormat="1" ht="22.9" customHeight="1">
      <c r="A89" s="2241"/>
      <c r="B89" s="2242" t="s">
        <v>4</v>
      </c>
      <c r="C89" s="2243"/>
      <c r="D89" s="2244"/>
      <c r="E89" s="2243">
        <v>-2.1</v>
      </c>
      <c r="F89" s="2245">
        <v>2.1</v>
      </c>
      <c r="G89" s="2243">
        <v>0</v>
      </c>
      <c r="H89" s="2246">
        <v>-2.1</v>
      </c>
      <c r="I89" s="2245">
        <v>2.1</v>
      </c>
      <c r="J89" s="2247">
        <v>-2.1</v>
      </c>
      <c r="K89" s="2248" t="s">
        <v>3521</v>
      </c>
      <c r="L89" s="2248" t="s">
        <v>3521</v>
      </c>
      <c r="M89" s="2248" t="s">
        <v>3521</v>
      </c>
      <c r="N89" s="2249" t="s">
        <v>3521</v>
      </c>
      <c r="O89" s="2250"/>
      <c r="P89" s="2251"/>
      <c r="Q89" s="2252"/>
      <c r="R89" s="2250"/>
      <c r="S89" s="2253">
        <v>10</v>
      </c>
      <c r="T89" s="2161">
        <v>0</v>
      </c>
      <c r="U89" s="2245">
        <v>1</v>
      </c>
      <c r="V89" s="2245">
        <v>15</v>
      </c>
      <c r="W89" s="2245">
        <v>128.45752167880846</v>
      </c>
      <c r="X89" s="2245">
        <v>3.6248559335500571E-2</v>
      </c>
      <c r="Y89" s="2245">
        <v>0</v>
      </c>
      <c r="Z89" s="2161">
        <v>0</v>
      </c>
      <c r="AA89" s="2245" t="e">
        <v>#DIV/0!</v>
      </c>
      <c r="AB89" s="2245">
        <v>2.2000000000000002</v>
      </c>
      <c r="AC89" s="2245">
        <v>0</v>
      </c>
      <c r="AD89" s="2245" t="s">
        <v>1240</v>
      </c>
      <c r="AE89" s="2254">
        <v>1.4999999999999999E-2</v>
      </c>
      <c r="AF89" s="2255">
        <v>1</v>
      </c>
      <c r="AG89" s="2245">
        <v>0.6</v>
      </c>
      <c r="AH89" s="2245"/>
      <c r="AJ89" s="2256"/>
      <c r="AK89" s="2257">
        <v>0</v>
      </c>
      <c r="AL89" s="2245">
        <v>0</v>
      </c>
      <c r="AM89" s="2245">
        <v>0</v>
      </c>
      <c r="AN89" s="2245" t="e">
        <v>#DIV/0!</v>
      </c>
      <c r="AO89" s="2245" t="e">
        <v>#DIV/0!</v>
      </c>
      <c r="AP89" s="2258">
        <v>0</v>
      </c>
      <c r="AQ89" s="2259"/>
      <c r="AR89" s="2259">
        <v>0</v>
      </c>
      <c r="AS89" s="2260" t="s">
        <v>3521</v>
      </c>
      <c r="AT89" s="2259"/>
      <c r="AU89" s="2259"/>
      <c r="AV89" s="2259"/>
      <c r="AW89" s="2259">
        <v>0</v>
      </c>
      <c r="AX89" s="2261">
        <v>10000</v>
      </c>
      <c r="AY89" s="2261">
        <v>10000</v>
      </c>
      <c r="AZ89" s="2261">
        <v>10000</v>
      </c>
      <c r="BA89" s="2261">
        <v>15</v>
      </c>
      <c r="BB89" s="2261">
        <v>0</v>
      </c>
      <c r="BC89" s="2261">
        <v>0</v>
      </c>
      <c r="BD89" s="2229">
        <v>0</v>
      </c>
      <c r="BE89" s="2229">
        <v>0.114396</v>
      </c>
      <c r="BF89" s="2229">
        <v>0</v>
      </c>
      <c r="BG89" s="2229">
        <v>0</v>
      </c>
      <c r="BH89" s="2229">
        <v>0</v>
      </c>
      <c r="BI89" s="2229">
        <v>0</v>
      </c>
      <c r="BJ89" s="2229">
        <v>0</v>
      </c>
      <c r="BK89" s="2262">
        <v>0</v>
      </c>
      <c r="BL89" s="2262">
        <v>0</v>
      </c>
      <c r="BM89" s="2262">
        <v>-2.1</v>
      </c>
      <c r="BN89" s="2262">
        <v>2.1</v>
      </c>
      <c r="BO89" s="2262">
        <v>0</v>
      </c>
      <c r="BP89" s="2262">
        <v>0</v>
      </c>
      <c r="BQ89" s="2262">
        <v>0</v>
      </c>
      <c r="BR89" s="2262">
        <v>0</v>
      </c>
      <c r="BS89" s="2262">
        <v>0</v>
      </c>
      <c r="BT89" s="2262">
        <v>0</v>
      </c>
      <c r="BU89" s="2262">
        <v>0</v>
      </c>
      <c r="BV89" s="2262">
        <v>0</v>
      </c>
      <c r="BW89" s="2262">
        <v>0</v>
      </c>
      <c r="BX89" s="2263">
        <v>1</v>
      </c>
      <c r="BY89" s="2262">
        <v>0.52</v>
      </c>
      <c r="BZ89" s="2262">
        <v>0.18000000000000016</v>
      </c>
      <c r="CA89" s="2064" t="s">
        <v>3524</v>
      </c>
      <c r="CC89" s="563">
        <v>2359.5299329060649</v>
      </c>
      <c r="CD89" s="563">
        <v>2359.5299329060649</v>
      </c>
    </row>
    <row r="90" spans="1:82" s="563" customFormat="1" ht="22.9" customHeight="1">
      <c r="A90" s="2241"/>
      <c r="B90" s="2242" t="s">
        <v>4</v>
      </c>
      <c r="C90" s="2243"/>
      <c r="D90" s="2244"/>
      <c r="E90" s="2243">
        <v>-2.1</v>
      </c>
      <c r="F90" s="2245">
        <v>2.1</v>
      </c>
      <c r="G90" s="2243">
        <v>0</v>
      </c>
      <c r="H90" s="2246">
        <v>-2.1</v>
      </c>
      <c r="I90" s="2245">
        <v>2.1</v>
      </c>
      <c r="J90" s="2247">
        <v>-2.1</v>
      </c>
      <c r="K90" s="2248" t="s">
        <v>3521</v>
      </c>
      <c r="L90" s="2248" t="s">
        <v>3521</v>
      </c>
      <c r="M90" s="2248" t="s">
        <v>3521</v>
      </c>
      <c r="N90" s="2249" t="s">
        <v>3521</v>
      </c>
      <c r="O90" s="2250"/>
      <c r="P90" s="2251"/>
      <c r="Q90" s="2252"/>
      <c r="R90" s="2250"/>
      <c r="S90" s="2253">
        <v>10</v>
      </c>
      <c r="T90" s="2161">
        <v>0</v>
      </c>
      <c r="U90" s="2245">
        <v>1</v>
      </c>
      <c r="V90" s="2245">
        <v>15</v>
      </c>
      <c r="W90" s="2245">
        <v>128.45752167880846</v>
      </c>
      <c r="X90" s="2245">
        <v>3.6248559335500571E-2</v>
      </c>
      <c r="Y90" s="2245">
        <v>0</v>
      </c>
      <c r="Z90" s="2161">
        <v>0</v>
      </c>
      <c r="AA90" s="2245" t="e">
        <v>#DIV/0!</v>
      </c>
      <c r="AB90" s="2245">
        <v>2.2000000000000002</v>
      </c>
      <c r="AC90" s="2245">
        <v>0</v>
      </c>
      <c r="AD90" s="2245" t="s">
        <v>1240</v>
      </c>
      <c r="AE90" s="2254">
        <v>1.4999999999999999E-2</v>
      </c>
      <c r="AF90" s="2255">
        <v>1</v>
      </c>
      <c r="AG90" s="2245">
        <v>0.6</v>
      </c>
      <c r="AH90" s="2245"/>
      <c r="AJ90" s="2256"/>
      <c r="AK90" s="2257">
        <v>0</v>
      </c>
      <c r="AL90" s="2245">
        <v>0</v>
      </c>
      <c r="AM90" s="2245">
        <v>0</v>
      </c>
      <c r="AN90" s="2245" t="e">
        <v>#DIV/0!</v>
      </c>
      <c r="AO90" s="2245" t="e">
        <v>#DIV/0!</v>
      </c>
      <c r="AP90" s="2258">
        <v>0</v>
      </c>
      <c r="AQ90" s="2259"/>
      <c r="AR90" s="2259">
        <v>0</v>
      </c>
      <c r="AS90" s="2260" t="s">
        <v>3521</v>
      </c>
      <c r="AT90" s="2259"/>
      <c r="AU90" s="2259"/>
      <c r="AV90" s="2259"/>
      <c r="AW90" s="2259">
        <v>0</v>
      </c>
      <c r="AX90" s="2261">
        <v>10000</v>
      </c>
      <c r="AY90" s="2261">
        <v>10000</v>
      </c>
      <c r="AZ90" s="2261">
        <v>10000</v>
      </c>
      <c r="BA90" s="2261">
        <v>15</v>
      </c>
      <c r="BB90" s="2261">
        <v>0</v>
      </c>
      <c r="BC90" s="2261">
        <v>0</v>
      </c>
      <c r="BD90" s="2229">
        <v>0</v>
      </c>
      <c r="BE90" s="2229">
        <v>0.114396</v>
      </c>
      <c r="BF90" s="2229">
        <v>0</v>
      </c>
      <c r="BG90" s="2229">
        <v>0</v>
      </c>
      <c r="BH90" s="2229">
        <v>0</v>
      </c>
      <c r="BI90" s="2229">
        <v>0</v>
      </c>
      <c r="BJ90" s="2229">
        <v>0</v>
      </c>
      <c r="BK90" s="2262">
        <v>0</v>
      </c>
      <c r="BL90" s="2262">
        <v>0</v>
      </c>
      <c r="BM90" s="2262">
        <v>-2.1</v>
      </c>
      <c r="BN90" s="2262">
        <v>2.1</v>
      </c>
      <c r="BO90" s="2262">
        <v>0</v>
      </c>
      <c r="BP90" s="2262">
        <v>0</v>
      </c>
      <c r="BQ90" s="2262">
        <v>0</v>
      </c>
      <c r="BR90" s="2262">
        <v>0</v>
      </c>
      <c r="BS90" s="2262">
        <v>0</v>
      </c>
      <c r="BT90" s="2262">
        <v>0</v>
      </c>
      <c r="BU90" s="2262">
        <v>0</v>
      </c>
      <c r="BV90" s="2262">
        <v>0</v>
      </c>
      <c r="BW90" s="2262">
        <v>0</v>
      </c>
      <c r="BX90" s="2263">
        <v>1</v>
      </c>
      <c r="BY90" s="2262">
        <v>0.52</v>
      </c>
      <c r="BZ90" s="2262">
        <v>0.18000000000000016</v>
      </c>
      <c r="CA90" s="2064" t="s">
        <v>3524</v>
      </c>
      <c r="CC90" s="563">
        <v>2359.5299329060649</v>
      </c>
      <c r="CD90" s="563">
        <v>2359.5299329060649</v>
      </c>
    </row>
    <row r="91" spans="1:82" s="563" customFormat="1" ht="22.9" customHeight="1">
      <c r="A91" s="2241"/>
      <c r="B91" s="2242" t="s">
        <v>4</v>
      </c>
      <c r="C91" s="2243"/>
      <c r="D91" s="2244"/>
      <c r="E91" s="2243">
        <v>-2.1</v>
      </c>
      <c r="F91" s="2245">
        <v>2.1</v>
      </c>
      <c r="G91" s="2243">
        <v>0</v>
      </c>
      <c r="H91" s="2246">
        <v>-2.1</v>
      </c>
      <c r="I91" s="2245">
        <v>2.1</v>
      </c>
      <c r="J91" s="2247">
        <v>-2.1</v>
      </c>
      <c r="K91" s="2248" t="s">
        <v>3521</v>
      </c>
      <c r="L91" s="2248" t="s">
        <v>3521</v>
      </c>
      <c r="M91" s="2248" t="s">
        <v>3521</v>
      </c>
      <c r="N91" s="2249" t="s">
        <v>3521</v>
      </c>
      <c r="O91" s="2250"/>
      <c r="P91" s="2251"/>
      <c r="Q91" s="2252"/>
      <c r="R91" s="2250"/>
      <c r="S91" s="2253">
        <v>10</v>
      </c>
      <c r="T91" s="2161">
        <v>0</v>
      </c>
      <c r="U91" s="2245">
        <v>1</v>
      </c>
      <c r="V91" s="2245">
        <v>15</v>
      </c>
      <c r="W91" s="2245">
        <v>128.45752167880846</v>
      </c>
      <c r="X91" s="2245">
        <v>3.6248559335500571E-2</v>
      </c>
      <c r="Y91" s="2245">
        <v>0</v>
      </c>
      <c r="Z91" s="2161">
        <v>0</v>
      </c>
      <c r="AA91" s="2245" t="e">
        <v>#DIV/0!</v>
      </c>
      <c r="AB91" s="2245">
        <v>2.2000000000000002</v>
      </c>
      <c r="AC91" s="2245">
        <v>0</v>
      </c>
      <c r="AD91" s="2245" t="s">
        <v>1240</v>
      </c>
      <c r="AE91" s="2254">
        <v>1.4999999999999999E-2</v>
      </c>
      <c r="AF91" s="2255">
        <v>1</v>
      </c>
      <c r="AG91" s="2245">
        <v>0.6</v>
      </c>
      <c r="AH91" s="2245"/>
      <c r="AJ91" s="2256"/>
      <c r="AK91" s="2257">
        <v>0</v>
      </c>
      <c r="AL91" s="2245">
        <v>0</v>
      </c>
      <c r="AM91" s="2245">
        <v>0</v>
      </c>
      <c r="AN91" s="2245" t="e">
        <v>#DIV/0!</v>
      </c>
      <c r="AO91" s="2245" t="e">
        <v>#DIV/0!</v>
      </c>
      <c r="AP91" s="2258">
        <v>0</v>
      </c>
      <c r="AQ91" s="2259"/>
      <c r="AR91" s="2259">
        <v>0</v>
      </c>
      <c r="AS91" s="2260" t="s">
        <v>3521</v>
      </c>
      <c r="AT91" s="2259"/>
      <c r="AU91" s="2259"/>
      <c r="AV91" s="2259"/>
      <c r="AW91" s="2259">
        <v>0</v>
      </c>
      <c r="AX91" s="2261">
        <v>10000</v>
      </c>
      <c r="AY91" s="2261">
        <v>10000</v>
      </c>
      <c r="AZ91" s="2261">
        <v>10000</v>
      </c>
      <c r="BA91" s="2261">
        <v>15</v>
      </c>
      <c r="BB91" s="2261">
        <v>0</v>
      </c>
      <c r="BC91" s="2261">
        <v>0</v>
      </c>
      <c r="BD91" s="2229">
        <v>0</v>
      </c>
      <c r="BE91" s="2229">
        <v>0.114396</v>
      </c>
      <c r="BF91" s="2229">
        <v>0</v>
      </c>
      <c r="BG91" s="2229">
        <v>0</v>
      </c>
      <c r="BH91" s="2229">
        <v>0</v>
      </c>
      <c r="BI91" s="2229">
        <v>0</v>
      </c>
      <c r="BJ91" s="2229">
        <v>0</v>
      </c>
      <c r="BK91" s="2262">
        <v>0</v>
      </c>
      <c r="BL91" s="2262">
        <v>0</v>
      </c>
      <c r="BM91" s="2262">
        <v>-2.1</v>
      </c>
      <c r="BN91" s="2262">
        <v>2.1</v>
      </c>
      <c r="BO91" s="2262">
        <v>0</v>
      </c>
      <c r="BP91" s="2262">
        <v>0</v>
      </c>
      <c r="BQ91" s="2262">
        <v>0</v>
      </c>
      <c r="BR91" s="2262">
        <v>0</v>
      </c>
      <c r="BS91" s="2262">
        <v>0</v>
      </c>
      <c r="BT91" s="2262">
        <v>0</v>
      </c>
      <c r="BU91" s="2262">
        <v>0</v>
      </c>
      <c r="BV91" s="2262">
        <v>0</v>
      </c>
      <c r="BW91" s="2262">
        <v>0</v>
      </c>
      <c r="BX91" s="2263">
        <v>1</v>
      </c>
      <c r="BY91" s="2262">
        <v>0.52</v>
      </c>
      <c r="BZ91" s="2262">
        <v>0.18000000000000016</v>
      </c>
      <c r="CA91" s="2064" t="s">
        <v>3524</v>
      </c>
      <c r="CC91" s="563">
        <v>2359.5299329060649</v>
      </c>
      <c r="CD91" s="563">
        <v>2359.5299329060649</v>
      </c>
    </row>
    <row r="92" spans="1:82" s="563" customFormat="1" ht="22.9" customHeight="1">
      <c r="A92" s="2241"/>
      <c r="B92" s="2242" t="s">
        <v>4</v>
      </c>
      <c r="C92" s="2243"/>
      <c r="D92" s="2244"/>
      <c r="E92" s="2243">
        <v>-2.1</v>
      </c>
      <c r="F92" s="2245">
        <v>2.1</v>
      </c>
      <c r="G92" s="2243">
        <v>0</v>
      </c>
      <c r="H92" s="2246">
        <v>-2.1</v>
      </c>
      <c r="I92" s="2245">
        <v>2.1</v>
      </c>
      <c r="J92" s="2247">
        <v>-2.1</v>
      </c>
      <c r="K92" s="2248" t="s">
        <v>3521</v>
      </c>
      <c r="L92" s="2248" t="s">
        <v>3521</v>
      </c>
      <c r="M92" s="2248" t="s">
        <v>3521</v>
      </c>
      <c r="N92" s="2249" t="s">
        <v>3521</v>
      </c>
      <c r="O92" s="2250"/>
      <c r="P92" s="2251"/>
      <c r="Q92" s="2252"/>
      <c r="R92" s="2250"/>
      <c r="S92" s="2253">
        <v>10</v>
      </c>
      <c r="T92" s="2161">
        <v>0</v>
      </c>
      <c r="U92" s="2245">
        <v>1</v>
      </c>
      <c r="V92" s="2245">
        <v>15</v>
      </c>
      <c r="W92" s="2245">
        <v>128.45752167880846</v>
      </c>
      <c r="X92" s="2245">
        <v>3.6248559335500571E-2</v>
      </c>
      <c r="Y92" s="2245">
        <v>0</v>
      </c>
      <c r="Z92" s="2161">
        <v>0</v>
      </c>
      <c r="AA92" s="2245" t="e">
        <v>#DIV/0!</v>
      </c>
      <c r="AB92" s="2245">
        <v>2.2000000000000002</v>
      </c>
      <c r="AC92" s="2245">
        <v>0</v>
      </c>
      <c r="AD92" s="2245" t="s">
        <v>1240</v>
      </c>
      <c r="AE92" s="2254">
        <v>1.4999999999999999E-2</v>
      </c>
      <c r="AF92" s="2255">
        <v>1</v>
      </c>
      <c r="AG92" s="2245">
        <v>0.6</v>
      </c>
      <c r="AH92" s="2245"/>
      <c r="AJ92" s="2256"/>
      <c r="AK92" s="2257">
        <v>0</v>
      </c>
      <c r="AL92" s="2245">
        <v>0</v>
      </c>
      <c r="AM92" s="2245">
        <v>0</v>
      </c>
      <c r="AN92" s="2245" t="e">
        <v>#DIV/0!</v>
      </c>
      <c r="AO92" s="2245" t="e">
        <v>#DIV/0!</v>
      </c>
      <c r="AP92" s="2258">
        <v>0</v>
      </c>
      <c r="AQ92" s="2259"/>
      <c r="AR92" s="2259">
        <v>0</v>
      </c>
      <c r="AS92" s="2260" t="s">
        <v>3521</v>
      </c>
      <c r="AT92" s="2259"/>
      <c r="AU92" s="2259"/>
      <c r="AV92" s="2259"/>
      <c r="AW92" s="2259">
        <v>0</v>
      </c>
      <c r="AX92" s="2261">
        <v>10000</v>
      </c>
      <c r="AY92" s="2261">
        <v>10000</v>
      </c>
      <c r="AZ92" s="2261">
        <v>10000</v>
      </c>
      <c r="BA92" s="2261">
        <v>15</v>
      </c>
      <c r="BB92" s="2261">
        <v>0</v>
      </c>
      <c r="BC92" s="2261">
        <v>0</v>
      </c>
      <c r="BD92" s="2229">
        <v>0</v>
      </c>
      <c r="BE92" s="2229">
        <v>0.114396</v>
      </c>
      <c r="BF92" s="2229">
        <v>0</v>
      </c>
      <c r="BG92" s="2229">
        <v>0</v>
      </c>
      <c r="BH92" s="2229">
        <v>0</v>
      </c>
      <c r="BI92" s="2229">
        <v>0</v>
      </c>
      <c r="BJ92" s="2229">
        <v>0</v>
      </c>
      <c r="BK92" s="2262">
        <v>0</v>
      </c>
      <c r="BL92" s="2262">
        <v>0</v>
      </c>
      <c r="BM92" s="2262">
        <v>-2.1</v>
      </c>
      <c r="BN92" s="2262">
        <v>2.1</v>
      </c>
      <c r="BO92" s="2262">
        <v>0</v>
      </c>
      <c r="BP92" s="2262">
        <v>0</v>
      </c>
      <c r="BQ92" s="2262">
        <v>0</v>
      </c>
      <c r="BR92" s="2262">
        <v>0</v>
      </c>
      <c r="BS92" s="2262">
        <v>0</v>
      </c>
      <c r="BT92" s="2262">
        <v>0</v>
      </c>
      <c r="BU92" s="2262">
        <v>0</v>
      </c>
      <c r="BV92" s="2262">
        <v>0</v>
      </c>
      <c r="BW92" s="2262">
        <v>0</v>
      </c>
      <c r="BX92" s="2263">
        <v>1</v>
      </c>
      <c r="BY92" s="2262">
        <v>0.52</v>
      </c>
      <c r="BZ92" s="2262">
        <v>0.18000000000000016</v>
      </c>
      <c r="CA92" s="2064" t="s">
        <v>3524</v>
      </c>
      <c r="CC92" s="563">
        <v>2359.5299329060649</v>
      </c>
      <c r="CD92" s="563">
        <v>2359.5299329060649</v>
      </c>
    </row>
    <row r="93" spans="1:82" s="563" customFormat="1" ht="22.9" customHeight="1">
      <c r="A93" s="2241"/>
      <c r="B93" s="2242" t="s">
        <v>4</v>
      </c>
      <c r="C93" s="2243"/>
      <c r="D93" s="2244"/>
      <c r="E93" s="2243">
        <v>-2.1</v>
      </c>
      <c r="F93" s="2245">
        <v>2.1</v>
      </c>
      <c r="G93" s="2243">
        <v>0</v>
      </c>
      <c r="H93" s="2246">
        <v>-2.1</v>
      </c>
      <c r="I93" s="2245">
        <v>2.1</v>
      </c>
      <c r="J93" s="2247">
        <v>-2.1</v>
      </c>
      <c r="K93" s="2248" t="s">
        <v>3521</v>
      </c>
      <c r="L93" s="2248" t="s">
        <v>3521</v>
      </c>
      <c r="M93" s="2248" t="s">
        <v>3521</v>
      </c>
      <c r="N93" s="2249" t="s">
        <v>3521</v>
      </c>
      <c r="O93" s="2250"/>
      <c r="P93" s="2251"/>
      <c r="Q93" s="2252"/>
      <c r="R93" s="2250"/>
      <c r="S93" s="2253">
        <v>10</v>
      </c>
      <c r="T93" s="2161">
        <v>0</v>
      </c>
      <c r="U93" s="2245">
        <v>1</v>
      </c>
      <c r="V93" s="2245">
        <v>15</v>
      </c>
      <c r="W93" s="2245">
        <v>128.45752167880846</v>
      </c>
      <c r="X93" s="2245">
        <v>3.6248559335500571E-2</v>
      </c>
      <c r="Y93" s="2245">
        <v>0</v>
      </c>
      <c r="Z93" s="2161">
        <v>0</v>
      </c>
      <c r="AA93" s="2245" t="e">
        <v>#DIV/0!</v>
      </c>
      <c r="AB93" s="2245">
        <v>2.2000000000000002</v>
      </c>
      <c r="AC93" s="2245">
        <v>0</v>
      </c>
      <c r="AD93" s="2245" t="s">
        <v>1240</v>
      </c>
      <c r="AE93" s="2254">
        <v>1.4999999999999999E-2</v>
      </c>
      <c r="AF93" s="2255">
        <v>1</v>
      </c>
      <c r="AG93" s="2245">
        <v>0.6</v>
      </c>
      <c r="AH93" s="2245"/>
      <c r="AJ93" s="2256"/>
      <c r="AK93" s="2257">
        <v>0</v>
      </c>
      <c r="AL93" s="2245">
        <v>0</v>
      </c>
      <c r="AM93" s="2245">
        <v>0</v>
      </c>
      <c r="AN93" s="2245" t="e">
        <v>#DIV/0!</v>
      </c>
      <c r="AO93" s="2245" t="e">
        <v>#DIV/0!</v>
      </c>
      <c r="AP93" s="2258">
        <v>0</v>
      </c>
      <c r="AQ93" s="2259"/>
      <c r="AR93" s="2259">
        <v>0</v>
      </c>
      <c r="AS93" s="2260" t="s">
        <v>3521</v>
      </c>
      <c r="AT93" s="2259"/>
      <c r="AU93" s="2259"/>
      <c r="AV93" s="2259"/>
      <c r="AW93" s="2259">
        <v>0</v>
      </c>
      <c r="AX93" s="2261">
        <v>10000</v>
      </c>
      <c r="AY93" s="2261">
        <v>10000</v>
      </c>
      <c r="AZ93" s="2261">
        <v>10000</v>
      </c>
      <c r="BA93" s="2261">
        <v>15</v>
      </c>
      <c r="BB93" s="2261">
        <v>0</v>
      </c>
      <c r="BC93" s="2261">
        <v>0</v>
      </c>
      <c r="BD93" s="2229">
        <v>0</v>
      </c>
      <c r="BE93" s="2229">
        <v>0.114396</v>
      </c>
      <c r="BF93" s="2229">
        <v>0</v>
      </c>
      <c r="BG93" s="2229">
        <v>0</v>
      </c>
      <c r="BH93" s="2229">
        <v>0</v>
      </c>
      <c r="BI93" s="2229">
        <v>0</v>
      </c>
      <c r="BJ93" s="2229">
        <v>0</v>
      </c>
      <c r="BK93" s="2262">
        <v>0</v>
      </c>
      <c r="BL93" s="2262">
        <v>0</v>
      </c>
      <c r="BM93" s="2262">
        <v>-2.1</v>
      </c>
      <c r="BN93" s="2262">
        <v>2.1</v>
      </c>
      <c r="BO93" s="2262">
        <v>0</v>
      </c>
      <c r="BP93" s="2262">
        <v>0</v>
      </c>
      <c r="BQ93" s="2262">
        <v>0</v>
      </c>
      <c r="BR93" s="2262">
        <v>0</v>
      </c>
      <c r="BS93" s="2262">
        <v>0</v>
      </c>
      <c r="BT93" s="2262">
        <v>0</v>
      </c>
      <c r="BU93" s="2262">
        <v>0</v>
      </c>
      <c r="BV93" s="2262">
        <v>0</v>
      </c>
      <c r="BW93" s="2262">
        <v>0</v>
      </c>
      <c r="BX93" s="2263">
        <v>1</v>
      </c>
      <c r="BY93" s="2262">
        <v>0.52</v>
      </c>
      <c r="BZ93" s="2262">
        <v>0.18000000000000016</v>
      </c>
      <c r="CA93" s="2064" t="s">
        <v>3524</v>
      </c>
      <c r="CC93" s="563">
        <v>2359.5299329060649</v>
      </c>
      <c r="CD93" s="563">
        <v>2359.5299329060649</v>
      </c>
    </row>
    <row r="94" spans="1:82" s="563" customFormat="1" ht="22.9" customHeight="1">
      <c r="A94" s="2241"/>
      <c r="B94" s="2242" t="s">
        <v>4</v>
      </c>
      <c r="C94" s="2243"/>
      <c r="D94" s="2244"/>
      <c r="E94" s="2243">
        <v>-2.1</v>
      </c>
      <c r="F94" s="2245">
        <v>2.1</v>
      </c>
      <c r="G94" s="2243">
        <v>0</v>
      </c>
      <c r="H94" s="2246">
        <v>-2.1</v>
      </c>
      <c r="I94" s="2245">
        <v>2.1</v>
      </c>
      <c r="J94" s="2247">
        <v>-2.1</v>
      </c>
      <c r="K94" s="2248" t="s">
        <v>3521</v>
      </c>
      <c r="L94" s="2248" t="s">
        <v>3521</v>
      </c>
      <c r="M94" s="2248" t="s">
        <v>3521</v>
      </c>
      <c r="N94" s="2249" t="s">
        <v>3521</v>
      </c>
      <c r="O94" s="2250"/>
      <c r="P94" s="2251"/>
      <c r="Q94" s="2252"/>
      <c r="R94" s="2250"/>
      <c r="S94" s="2253">
        <v>10</v>
      </c>
      <c r="T94" s="2161">
        <v>0</v>
      </c>
      <c r="U94" s="2245">
        <v>1</v>
      </c>
      <c r="V94" s="2245">
        <v>15</v>
      </c>
      <c r="W94" s="2245">
        <v>128.45752167880846</v>
      </c>
      <c r="X94" s="2245">
        <v>3.6248559335500571E-2</v>
      </c>
      <c r="Y94" s="2245">
        <v>0</v>
      </c>
      <c r="Z94" s="2161">
        <v>0</v>
      </c>
      <c r="AA94" s="2245" t="e">
        <v>#DIV/0!</v>
      </c>
      <c r="AB94" s="2245">
        <v>2.2000000000000002</v>
      </c>
      <c r="AC94" s="2245">
        <v>0</v>
      </c>
      <c r="AD94" s="2245" t="s">
        <v>1240</v>
      </c>
      <c r="AE94" s="2254">
        <v>1.4999999999999999E-2</v>
      </c>
      <c r="AF94" s="2255">
        <v>1</v>
      </c>
      <c r="AG94" s="2245">
        <v>0.6</v>
      </c>
      <c r="AH94" s="2245"/>
      <c r="AJ94" s="2256"/>
      <c r="AK94" s="2257">
        <v>0</v>
      </c>
      <c r="AL94" s="2245">
        <v>0</v>
      </c>
      <c r="AM94" s="2245">
        <v>0</v>
      </c>
      <c r="AN94" s="2245" t="e">
        <v>#DIV/0!</v>
      </c>
      <c r="AO94" s="2245" t="e">
        <v>#DIV/0!</v>
      </c>
      <c r="AP94" s="2258">
        <v>0</v>
      </c>
      <c r="AQ94" s="2259"/>
      <c r="AR94" s="2259">
        <v>0</v>
      </c>
      <c r="AS94" s="2260" t="s">
        <v>3521</v>
      </c>
      <c r="AT94" s="2259"/>
      <c r="AU94" s="2259"/>
      <c r="AV94" s="2259"/>
      <c r="AW94" s="2259">
        <v>0</v>
      </c>
      <c r="AX94" s="2261">
        <v>10000</v>
      </c>
      <c r="AY94" s="2261">
        <v>10000</v>
      </c>
      <c r="AZ94" s="2261">
        <v>10000</v>
      </c>
      <c r="BA94" s="2261">
        <v>15</v>
      </c>
      <c r="BB94" s="2261">
        <v>0</v>
      </c>
      <c r="BC94" s="2261">
        <v>0</v>
      </c>
      <c r="BD94" s="2229">
        <v>0</v>
      </c>
      <c r="BE94" s="2229">
        <v>0.114396</v>
      </c>
      <c r="BF94" s="2229">
        <v>0</v>
      </c>
      <c r="BG94" s="2229">
        <v>0</v>
      </c>
      <c r="BH94" s="2229">
        <v>0</v>
      </c>
      <c r="BI94" s="2229">
        <v>0</v>
      </c>
      <c r="BJ94" s="2229">
        <v>0</v>
      </c>
      <c r="BK94" s="2262">
        <v>0</v>
      </c>
      <c r="BL94" s="2262">
        <v>0</v>
      </c>
      <c r="BM94" s="2262">
        <v>-2.1</v>
      </c>
      <c r="BN94" s="2262">
        <v>2.1</v>
      </c>
      <c r="BO94" s="2262">
        <v>0</v>
      </c>
      <c r="BP94" s="2262">
        <v>0</v>
      </c>
      <c r="BQ94" s="2262">
        <v>0</v>
      </c>
      <c r="BR94" s="2262">
        <v>0</v>
      </c>
      <c r="BS94" s="2262">
        <v>0</v>
      </c>
      <c r="BT94" s="2262">
        <v>0</v>
      </c>
      <c r="BU94" s="2262">
        <v>0</v>
      </c>
      <c r="BV94" s="2262">
        <v>0</v>
      </c>
      <c r="BW94" s="2262">
        <v>0</v>
      </c>
      <c r="BX94" s="2263">
        <v>1</v>
      </c>
      <c r="BY94" s="2262">
        <v>0.52</v>
      </c>
      <c r="BZ94" s="2262">
        <v>0.18000000000000016</v>
      </c>
      <c r="CA94" s="2064" t="s">
        <v>3524</v>
      </c>
      <c r="CC94" s="563">
        <v>2359.5299329060649</v>
      </c>
      <c r="CD94" s="563">
        <v>2359.5299329060649</v>
      </c>
    </row>
    <row r="95" spans="1:82" s="563" customFormat="1" ht="22.9" customHeight="1">
      <c r="A95" s="2241"/>
      <c r="B95" s="2242" t="s">
        <v>4</v>
      </c>
      <c r="C95" s="2243"/>
      <c r="D95" s="2244"/>
      <c r="E95" s="2243">
        <v>-2.1</v>
      </c>
      <c r="F95" s="2245">
        <v>2.1</v>
      </c>
      <c r="G95" s="2243">
        <v>0</v>
      </c>
      <c r="H95" s="2246">
        <v>-2.1</v>
      </c>
      <c r="I95" s="2245">
        <v>2.1</v>
      </c>
      <c r="J95" s="2247">
        <v>-2.1</v>
      </c>
      <c r="K95" s="2248" t="s">
        <v>3521</v>
      </c>
      <c r="L95" s="2248" t="s">
        <v>3521</v>
      </c>
      <c r="M95" s="2248" t="s">
        <v>3521</v>
      </c>
      <c r="N95" s="2249" t="s">
        <v>3521</v>
      </c>
      <c r="O95" s="2250"/>
      <c r="P95" s="2251"/>
      <c r="Q95" s="2252"/>
      <c r="R95" s="2250"/>
      <c r="S95" s="2253">
        <v>10</v>
      </c>
      <c r="T95" s="2161">
        <v>0</v>
      </c>
      <c r="U95" s="2245">
        <v>1</v>
      </c>
      <c r="V95" s="2245">
        <v>15</v>
      </c>
      <c r="W95" s="2245">
        <v>128.45752167880846</v>
      </c>
      <c r="X95" s="2245">
        <v>3.6248559335500571E-2</v>
      </c>
      <c r="Y95" s="2245">
        <v>0</v>
      </c>
      <c r="Z95" s="2161">
        <v>0</v>
      </c>
      <c r="AA95" s="2245" t="e">
        <v>#DIV/0!</v>
      </c>
      <c r="AB95" s="2245">
        <v>2.2000000000000002</v>
      </c>
      <c r="AC95" s="2245">
        <v>0</v>
      </c>
      <c r="AD95" s="2245" t="s">
        <v>1240</v>
      </c>
      <c r="AE95" s="2254">
        <v>1.4999999999999999E-2</v>
      </c>
      <c r="AF95" s="2255">
        <v>1</v>
      </c>
      <c r="AG95" s="2245">
        <v>0.6</v>
      </c>
      <c r="AH95" s="2245"/>
      <c r="AJ95" s="2256"/>
      <c r="AK95" s="2257">
        <v>0</v>
      </c>
      <c r="AL95" s="2245">
        <v>0</v>
      </c>
      <c r="AM95" s="2245">
        <v>0</v>
      </c>
      <c r="AN95" s="2245" t="e">
        <v>#DIV/0!</v>
      </c>
      <c r="AO95" s="2245" t="e">
        <v>#DIV/0!</v>
      </c>
      <c r="AP95" s="2258">
        <v>0</v>
      </c>
      <c r="AQ95" s="2259"/>
      <c r="AR95" s="2259">
        <v>0</v>
      </c>
      <c r="AS95" s="2260" t="s">
        <v>3521</v>
      </c>
      <c r="AT95" s="2259"/>
      <c r="AU95" s="2259"/>
      <c r="AV95" s="2259"/>
      <c r="AW95" s="2259">
        <v>0</v>
      </c>
      <c r="AX95" s="2261">
        <v>10000</v>
      </c>
      <c r="AY95" s="2261">
        <v>10000</v>
      </c>
      <c r="AZ95" s="2261">
        <v>10000</v>
      </c>
      <c r="BA95" s="2261">
        <v>15</v>
      </c>
      <c r="BB95" s="2261">
        <v>0</v>
      </c>
      <c r="BC95" s="2261">
        <v>0</v>
      </c>
      <c r="BD95" s="2229">
        <v>0</v>
      </c>
      <c r="BE95" s="2229">
        <v>0.114396</v>
      </c>
      <c r="BF95" s="2229">
        <v>0</v>
      </c>
      <c r="BG95" s="2229">
        <v>0</v>
      </c>
      <c r="BH95" s="2229">
        <v>0</v>
      </c>
      <c r="BI95" s="2229">
        <v>0</v>
      </c>
      <c r="BJ95" s="2229">
        <v>0</v>
      </c>
      <c r="BK95" s="2262">
        <v>0</v>
      </c>
      <c r="BL95" s="2262">
        <v>0</v>
      </c>
      <c r="BM95" s="2262">
        <v>-2.1</v>
      </c>
      <c r="BN95" s="2262">
        <v>2.1</v>
      </c>
      <c r="BO95" s="2262">
        <v>0</v>
      </c>
      <c r="BP95" s="2262">
        <v>0</v>
      </c>
      <c r="BQ95" s="2262">
        <v>0</v>
      </c>
      <c r="BR95" s="2262">
        <v>0</v>
      </c>
      <c r="BS95" s="2262">
        <v>0</v>
      </c>
      <c r="BT95" s="2262">
        <v>0</v>
      </c>
      <c r="BU95" s="2262">
        <v>0</v>
      </c>
      <c r="BV95" s="2262">
        <v>0</v>
      </c>
      <c r="BW95" s="2262">
        <v>0</v>
      </c>
      <c r="BX95" s="2263">
        <v>1</v>
      </c>
      <c r="BY95" s="2262">
        <v>0.52</v>
      </c>
      <c r="BZ95" s="2262">
        <v>0.18000000000000016</v>
      </c>
      <c r="CA95" s="2064" t="s">
        <v>3524</v>
      </c>
      <c r="CC95" s="563">
        <v>2359.5299329060649</v>
      </c>
      <c r="CD95" s="563">
        <v>2359.5299329060649</v>
      </c>
    </row>
    <row r="96" spans="1:82" s="563" customFormat="1" ht="22.9" customHeight="1">
      <c r="A96" s="2241"/>
      <c r="B96" s="2242" t="s">
        <v>4</v>
      </c>
      <c r="C96" s="2243"/>
      <c r="D96" s="2244"/>
      <c r="E96" s="2243">
        <v>-2.1</v>
      </c>
      <c r="F96" s="2245">
        <v>2.1</v>
      </c>
      <c r="G96" s="2243">
        <v>0</v>
      </c>
      <c r="H96" s="2246">
        <v>-2.1</v>
      </c>
      <c r="I96" s="2245">
        <v>2.1</v>
      </c>
      <c r="J96" s="2247">
        <v>-2.1</v>
      </c>
      <c r="K96" s="2248" t="s">
        <v>3521</v>
      </c>
      <c r="L96" s="2248" t="s">
        <v>3521</v>
      </c>
      <c r="M96" s="2248" t="s">
        <v>3521</v>
      </c>
      <c r="N96" s="2249" t="s">
        <v>3521</v>
      </c>
      <c r="O96" s="2250"/>
      <c r="P96" s="2251"/>
      <c r="Q96" s="2252"/>
      <c r="R96" s="2250"/>
      <c r="S96" s="2253">
        <v>10</v>
      </c>
      <c r="T96" s="2161">
        <v>0</v>
      </c>
      <c r="U96" s="2245">
        <v>1</v>
      </c>
      <c r="V96" s="2245">
        <v>15</v>
      </c>
      <c r="W96" s="2245">
        <v>128.45752167880846</v>
      </c>
      <c r="X96" s="2245">
        <v>3.6248559335500571E-2</v>
      </c>
      <c r="Y96" s="2245">
        <v>0</v>
      </c>
      <c r="Z96" s="2161">
        <v>0</v>
      </c>
      <c r="AA96" s="2245" t="e">
        <v>#DIV/0!</v>
      </c>
      <c r="AB96" s="2245">
        <v>2.2000000000000002</v>
      </c>
      <c r="AC96" s="2245">
        <v>0</v>
      </c>
      <c r="AD96" s="2245" t="s">
        <v>1240</v>
      </c>
      <c r="AE96" s="2254">
        <v>1.4999999999999999E-2</v>
      </c>
      <c r="AF96" s="2255">
        <v>1</v>
      </c>
      <c r="AG96" s="2245">
        <v>0.6</v>
      </c>
      <c r="AH96" s="2245"/>
      <c r="AJ96" s="2256"/>
      <c r="AK96" s="2257">
        <v>0</v>
      </c>
      <c r="AL96" s="2245">
        <v>0</v>
      </c>
      <c r="AM96" s="2245">
        <v>0</v>
      </c>
      <c r="AN96" s="2245" t="e">
        <v>#DIV/0!</v>
      </c>
      <c r="AO96" s="2245" t="e">
        <v>#DIV/0!</v>
      </c>
      <c r="AP96" s="2258">
        <v>0</v>
      </c>
      <c r="AQ96" s="2259"/>
      <c r="AR96" s="2259">
        <v>0</v>
      </c>
      <c r="AS96" s="2260" t="s">
        <v>3521</v>
      </c>
      <c r="AT96" s="2259"/>
      <c r="AU96" s="2259"/>
      <c r="AV96" s="2259"/>
      <c r="AW96" s="2259">
        <v>0</v>
      </c>
      <c r="AX96" s="2261">
        <v>10000</v>
      </c>
      <c r="AY96" s="2261">
        <v>10000</v>
      </c>
      <c r="AZ96" s="2261">
        <v>10000</v>
      </c>
      <c r="BA96" s="2261">
        <v>15</v>
      </c>
      <c r="BB96" s="2261">
        <v>0</v>
      </c>
      <c r="BC96" s="2261">
        <v>0</v>
      </c>
      <c r="BD96" s="2229">
        <v>0</v>
      </c>
      <c r="BE96" s="2229">
        <v>0.114396</v>
      </c>
      <c r="BF96" s="2229">
        <v>0</v>
      </c>
      <c r="BG96" s="2229">
        <v>0</v>
      </c>
      <c r="BH96" s="2229">
        <v>0</v>
      </c>
      <c r="BI96" s="2229">
        <v>0</v>
      </c>
      <c r="BJ96" s="2229">
        <v>0</v>
      </c>
      <c r="BK96" s="2262">
        <v>0</v>
      </c>
      <c r="BL96" s="2262">
        <v>0</v>
      </c>
      <c r="BM96" s="2262">
        <v>-2.1</v>
      </c>
      <c r="BN96" s="2262">
        <v>2.1</v>
      </c>
      <c r="BO96" s="2262">
        <v>0</v>
      </c>
      <c r="BP96" s="2262">
        <v>0</v>
      </c>
      <c r="BQ96" s="2262">
        <v>0</v>
      </c>
      <c r="BR96" s="2262">
        <v>0</v>
      </c>
      <c r="BS96" s="2262">
        <v>0</v>
      </c>
      <c r="BT96" s="2262">
        <v>0</v>
      </c>
      <c r="BU96" s="2262">
        <v>0</v>
      </c>
      <c r="BV96" s="2262">
        <v>0</v>
      </c>
      <c r="BW96" s="2262">
        <v>0</v>
      </c>
      <c r="BX96" s="2263">
        <v>1</v>
      </c>
      <c r="BY96" s="2262">
        <v>0.52</v>
      </c>
      <c r="BZ96" s="2262">
        <v>0.18000000000000016</v>
      </c>
      <c r="CA96" s="2064" t="s">
        <v>3524</v>
      </c>
      <c r="CC96" s="563">
        <v>2359.5299329060649</v>
      </c>
      <c r="CD96" s="563">
        <v>2359.5299329060649</v>
      </c>
    </row>
    <row r="97" spans="1:82" s="563" customFormat="1" ht="22.9" customHeight="1">
      <c r="A97" s="2241"/>
      <c r="B97" s="2242" t="s">
        <v>4</v>
      </c>
      <c r="C97" s="2243"/>
      <c r="D97" s="2244"/>
      <c r="E97" s="2243">
        <v>-2.1</v>
      </c>
      <c r="F97" s="2245">
        <v>2.1</v>
      </c>
      <c r="G97" s="2243">
        <v>0</v>
      </c>
      <c r="H97" s="2246">
        <v>-2.1</v>
      </c>
      <c r="I97" s="2245">
        <v>2.1</v>
      </c>
      <c r="J97" s="2247">
        <v>-2.1</v>
      </c>
      <c r="K97" s="2248" t="s">
        <v>3521</v>
      </c>
      <c r="L97" s="2248" t="s">
        <v>3521</v>
      </c>
      <c r="M97" s="2248" t="s">
        <v>3521</v>
      </c>
      <c r="N97" s="2249" t="s">
        <v>3521</v>
      </c>
      <c r="O97" s="2250"/>
      <c r="P97" s="2251"/>
      <c r="Q97" s="2252"/>
      <c r="R97" s="2250"/>
      <c r="S97" s="2253">
        <v>10</v>
      </c>
      <c r="T97" s="2161">
        <v>0</v>
      </c>
      <c r="U97" s="2245">
        <v>1</v>
      </c>
      <c r="V97" s="2245">
        <v>15</v>
      </c>
      <c r="W97" s="2245">
        <v>128.45752167880846</v>
      </c>
      <c r="X97" s="2245">
        <v>3.6248559335500571E-2</v>
      </c>
      <c r="Y97" s="2245">
        <v>0</v>
      </c>
      <c r="Z97" s="2161">
        <v>0</v>
      </c>
      <c r="AA97" s="2245" t="e">
        <v>#DIV/0!</v>
      </c>
      <c r="AB97" s="2245">
        <v>2.2000000000000002</v>
      </c>
      <c r="AC97" s="2245">
        <v>0</v>
      </c>
      <c r="AD97" s="2245" t="s">
        <v>1240</v>
      </c>
      <c r="AE97" s="2254">
        <v>1.4999999999999999E-2</v>
      </c>
      <c r="AF97" s="2255">
        <v>1</v>
      </c>
      <c r="AG97" s="2245">
        <v>0.6</v>
      </c>
      <c r="AH97" s="2245"/>
      <c r="AJ97" s="2256"/>
      <c r="AK97" s="2257">
        <v>0</v>
      </c>
      <c r="AL97" s="2245">
        <v>0</v>
      </c>
      <c r="AM97" s="2245">
        <v>0</v>
      </c>
      <c r="AN97" s="2245" t="e">
        <v>#DIV/0!</v>
      </c>
      <c r="AO97" s="2245" t="e">
        <v>#DIV/0!</v>
      </c>
      <c r="AP97" s="2258">
        <v>0</v>
      </c>
      <c r="AQ97" s="2259"/>
      <c r="AR97" s="2259">
        <v>0</v>
      </c>
      <c r="AS97" s="2260" t="s">
        <v>3521</v>
      </c>
      <c r="AT97" s="2259"/>
      <c r="AU97" s="2259"/>
      <c r="AV97" s="2259"/>
      <c r="AW97" s="2259">
        <v>0</v>
      </c>
      <c r="AX97" s="2261">
        <v>10000</v>
      </c>
      <c r="AY97" s="2261">
        <v>10000</v>
      </c>
      <c r="AZ97" s="2261">
        <v>10000</v>
      </c>
      <c r="BA97" s="2261">
        <v>15</v>
      </c>
      <c r="BB97" s="2261">
        <v>0</v>
      </c>
      <c r="BC97" s="2261">
        <v>0</v>
      </c>
      <c r="BD97" s="2229">
        <v>0</v>
      </c>
      <c r="BE97" s="2229">
        <v>0.114396</v>
      </c>
      <c r="BF97" s="2229">
        <v>0</v>
      </c>
      <c r="BG97" s="2229">
        <v>0</v>
      </c>
      <c r="BH97" s="2229">
        <v>0</v>
      </c>
      <c r="BI97" s="2229">
        <v>0</v>
      </c>
      <c r="BJ97" s="2229">
        <v>0</v>
      </c>
      <c r="BK97" s="2262">
        <v>0</v>
      </c>
      <c r="BL97" s="2262">
        <v>0</v>
      </c>
      <c r="BM97" s="2262">
        <v>-2.1</v>
      </c>
      <c r="BN97" s="2262">
        <v>2.1</v>
      </c>
      <c r="BO97" s="2262">
        <v>0</v>
      </c>
      <c r="BP97" s="2262">
        <v>0</v>
      </c>
      <c r="BQ97" s="2262">
        <v>0</v>
      </c>
      <c r="BR97" s="2262">
        <v>0</v>
      </c>
      <c r="BS97" s="2262">
        <v>0</v>
      </c>
      <c r="BT97" s="2262">
        <v>0</v>
      </c>
      <c r="BU97" s="2262">
        <v>0</v>
      </c>
      <c r="BV97" s="2262">
        <v>0</v>
      </c>
      <c r="BW97" s="2262">
        <v>0</v>
      </c>
      <c r="BX97" s="2263">
        <v>1</v>
      </c>
      <c r="BY97" s="2262">
        <v>0.52</v>
      </c>
      <c r="BZ97" s="2262">
        <v>0.18000000000000016</v>
      </c>
      <c r="CA97" s="2064" t="s">
        <v>3524</v>
      </c>
      <c r="CC97" s="563">
        <v>2359.5299329060649</v>
      </c>
      <c r="CD97" s="563">
        <v>2359.5299329060649</v>
      </c>
    </row>
    <row r="98" spans="1:82" s="563" customFormat="1" ht="22.9" customHeight="1">
      <c r="A98" s="2241"/>
      <c r="B98" s="2242" t="s">
        <v>4</v>
      </c>
      <c r="C98" s="2243"/>
      <c r="D98" s="2244"/>
      <c r="E98" s="2243">
        <v>-2.1</v>
      </c>
      <c r="F98" s="2245">
        <v>2.1</v>
      </c>
      <c r="G98" s="2243">
        <v>0</v>
      </c>
      <c r="H98" s="2246">
        <v>-2.1</v>
      </c>
      <c r="I98" s="2245">
        <v>2.1</v>
      </c>
      <c r="J98" s="2247">
        <v>-2.1</v>
      </c>
      <c r="K98" s="2248" t="s">
        <v>3521</v>
      </c>
      <c r="L98" s="2248" t="s">
        <v>3521</v>
      </c>
      <c r="M98" s="2248" t="s">
        <v>3521</v>
      </c>
      <c r="N98" s="2249" t="s">
        <v>3521</v>
      </c>
      <c r="O98" s="2250"/>
      <c r="P98" s="2251"/>
      <c r="Q98" s="2252"/>
      <c r="R98" s="2250"/>
      <c r="S98" s="2253">
        <v>10</v>
      </c>
      <c r="T98" s="2161">
        <v>0</v>
      </c>
      <c r="U98" s="2245">
        <v>1</v>
      </c>
      <c r="V98" s="2245">
        <v>15</v>
      </c>
      <c r="W98" s="2245">
        <v>128.45752167880846</v>
      </c>
      <c r="X98" s="2245">
        <v>3.6248559335500571E-2</v>
      </c>
      <c r="Y98" s="2245">
        <v>0</v>
      </c>
      <c r="Z98" s="2161">
        <v>0</v>
      </c>
      <c r="AA98" s="2245" t="e">
        <v>#DIV/0!</v>
      </c>
      <c r="AB98" s="2245">
        <v>2.2000000000000002</v>
      </c>
      <c r="AC98" s="2245">
        <v>0</v>
      </c>
      <c r="AD98" s="2245" t="s">
        <v>1240</v>
      </c>
      <c r="AE98" s="2254">
        <v>1.4999999999999999E-2</v>
      </c>
      <c r="AF98" s="2255">
        <v>1</v>
      </c>
      <c r="AG98" s="2245">
        <v>0.6</v>
      </c>
      <c r="AH98" s="2245"/>
      <c r="AJ98" s="2256"/>
      <c r="AK98" s="2257">
        <v>0</v>
      </c>
      <c r="AL98" s="2245">
        <v>0</v>
      </c>
      <c r="AM98" s="2245">
        <v>0</v>
      </c>
      <c r="AN98" s="2245" t="e">
        <v>#DIV/0!</v>
      </c>
      <c r="AO98" s="2245" t="e">
        <v>#DIV/0!</v>
      </c>
      <c r="AP98" s="2258">
        <v>0</v>
      </c>
      <c r="AQ98" s="2259"/>
      <c r="AR98" s="2259">
        <v>0</v>
      </c>
      <c r="AS98" s="2260" t="s">
        <v>3521</v>
      </c>
      <c r="AT98" s="2259"/>
      <c r="AU98" s="2259"/>
      <c r="AV98" s="2259"/>
      <c r="AW98" s="2259">
        <v>0</v>
      </c>
      <c r="AX98" s="2261">
        <v>10000</v>
      </c>
      <c r="AY98" s="2261">
        <v>10000</v>
      </c>
      <c r="AZ98" s="2261">
        <v>10000</v>
      </c>
      <c r="BA98" s="2261">
        <v>15</v>
      </c>
      <c r="BB98" s="2261">
        <v>0</v>
      </c>
      <c r="BC98" s="2261">
        <v>0</v>
      </c>
      <c r="BD98" s="2229">
        <v>0</v>
      </c>
      <c r="BE98" s="2229">
        <v>0.114396</v>
      </c>
      <c r="BF98" s="2229">
        <v>0</v>
      </c>
      <c r="BG98" s="2229">
        <v>0</v>
      </c>
      <c r="BH98" s="2229">
        <v>0</v>
      </c>
      <c r="BI98" s="2229">
        <v>0</v>
      </c>
      <c r="BJ98" s="2229">
        <v>0</v>
      </c>
      <c r="BK98" s="2262">
        <v>0</v>
      </c>
      <c r="BL98" s="2262">
        <v>0</v>
      </c>
      <c r="BM98" s="2262">
        <v>-2.1</v>
      </c>
      <c r="BN98" s="2262">
        <v>2.1</v>
      </c>
      <c r="BO98" s="2262">
        <v>0</v>
      </c>
      <c r="BP98" s="2262">
        <v>0</v>
      </c>
      <c r="BQ98" s="2262">
        <v>0</v>
      </c>
      <c r="BR98" s="2262">
        <v>0</v>
      </c>
      <c r="BS98" s="2262">
        <v>0</v>
      </c>
      <c r="BT98" s="2262">
        <v>0</v>
      </c>
      <c r="BU98" s="2262">
        <v>0</v>
      </c>
      <c r="BV98" s="2262">
        <v>0</v>
      </c>
      <c r="BW98" s="2262">
        <v>0</v>
      </c>
      <c r="BX98" s="2263">
        <v>1</v>
      </c>
      <c r="BY98" s="2262">
        <v>0.52</v>
      </c>
      <c r="BZ98" s="2262">
        <v>0.18000000000000016</v>
      </c>
      <c r="CA98" s="2064" t="s">
        <v>3524</v>
      </c>
      <c r="CC98" s="563">
        <v>2359.5299329060649</v>
      </c>
      <c r="CD98" s="563">
        <v>2359.5299329060649</v>
      </c>
    </row>
    <row r="99" spans="1:82" s="563" customFormat="1" ht="22.9" customHeight="1">
      <c r="A99" s="2241"/>
      <c r="B99" s="2242" t="s">
        <v>4</v>
      </c>
      <c r="C99" s="2243"/>
      <c r="D99" s="2244"/>
      <c r="E99" s="2243">
        <v>-2.1</v>
      </c>
      <c r="F99" s="2245">
        <v>2.1</v>
      </c>
      <c r="G99" s="2243">
        <v>0</v>
      </c>
      <c r="H99" s="2246">
        <v>-2.1</v>
      </c>
      <c r="I99" s="2245">
        <v>2.1</v>
      </c>
      <c r="J99" s="2247">
        <v>-2.1</v>
      </c>
      <c r="K99" s="2248" t="s">
        <v>3521</v>
      </c>
      <c r="L99" s="2248" t="s">
        <v>3521</v>
      </c>
      <c r="M99" s="2248" t="s">
        <v>3521</v>
      </c>
      <c r="N99" s="2249" t="s">
        <v>3521</v>
      </c>
      <c r="O99" s="2250"/>
      <c r="P99" s="2251"/>
      <c r="Q99" s="2252"/>
      <c r="R99" s="2250"/>
      <c r="S99" s="2253">
        <v>10</v>
      </c>
      <c r="T99" s="2161">
        <v>0</v>
      </c>
      <c r="U99" s="2245">
        <v>1</v>
      </c>
      <c r="V99" s="2245">
        <v>15</v>
      </c>
      <c r="W99" s="2245">
        <v>128.45752167880846</v>
      </c>
      <c r="X99" s="2245">
        <v>3.6248559335500571E-2</v>
      </c>
      <c r="Y99" s="2245">
        <v>0</v>
      </c>
      <c r="Z99" s="2161">
        <v>0</v>
      </c>
      <c r="AA99" s="2245" t="e">
        <v>#DIV/0!</v>
      </c>
      <c r="AB99" s="2245">
        <v>2.2000000000000002</v>
      </c>
      <c r="AC99" s="2245">
        <v>0</v>
      </c>
      <c r="AD99" s="2245" t="s">
        <v>1240</v>
      </c>
      <c r="AE99" s="2254">
        <v>1.4999999999999999E-2</v>
      </c>
      <c r="AF99" s="2255">
        <v>1</v>
      </c>
      <c r="AG99" s="2245">
        <v>0.6</v>
      </c>
      <c r="AH99" s="2245"/>
      <c r="AJ99" s="2256"/>
      <c r="AK99" s="2257">
        <v>0</v>
      </c>
      <c r="AL99" s="2245">
        <v>0</v>
      </c>
      <c r="AM99" s="2245">
        <v>0</v>
      </c>
      <c r="AN99" s="2245" t="e">
        <v>#DIV/0!</v>
      </c>
      <c r="AO99" s="2245" t="e">
        <v>#DIV/0!</v>
      </c>
      <c r="AP99" s="2258">
        <v>0</v>
      </c>
      <c r="AQ99" s="2259"/>
      <c r="AR99" s="2259">
        <v>0</v>
      </c>
      <c r="AS99" s="2260" t="s">
        <v>3521</v>
      </c>
      <c r="AT99" s="2259"/>
      <c r="AU99" s="2259"/>
      <c r="AV99" s="2259"/>
      <c r="AW99" s="2259">
        <v>0</v>
      </c>
      <c r="AX99" s="2261">
        <v>10000</v>
      </c>
      <c r="AY99" s="2261">
        <v>10000</v>
      </c>
      <c r="AZ99" s="2261">
        <v>10000</v>
      </c>
      <c r="BA99" s="2261">
        <v>15</v>
      </c>
      <c r="BB99" s="2261">
        <v>0</v>
      </c>
      <c r="BC99" s="2261">
        <v>0</v>
      </c>
      <c r="BD99" s="2229">
        <v>0</v>
      </c>
      <c r="BE99" s="2229">
        <v>0.114396</v>
      </c>
      <c r="BF99" s="2229">
        <v>0</v>
      </c>
      <c r="BG99" s="2229">
        <v>0</v>
      </c>
      <c r="BH99" s="2229">
        <v>0</v>
      </c>
      <c r="BI99" s="2229">
        <v>0</v>
      </c>
      <c r="BJ99" s="2229">
        <v>0</v>
      </c>
      <c r="BK99" s="2262">
        <v>0</v>
      </c>
      <c r="BL99" s="2262">
        <v>0</v>
      </c>
      <c r="BM99" s="2262">
        <v>-2.1</v>
      </c>
      <c r="BN99" s="2262">
        <v>2.1</v>
      </c>
      <c r="BO99" s="2262">
        <v>0</v>
      </c>
      <c r="BP99" s="2262">
        <v>0</v>
      </c>
      <c r="BQ99" s="2262">
        <v>0</v>
      </c>
      <c r="BR99" s="2262">
        <v>0</v>
      </c>
      <c r="BS99" s="2262">
        <v>0</v>
      </c>
      <c r="BT99" s="2262">
        <v>0</v>
      </c>
      <c r="BU99" s="2262">
        <v>0</v>
      </c>
      <c r="BV99" s="2262">
        <v>0</v>
      </c>
      <c r="BW99" s="2262">
        <v>0</v>
      </c>
      <c r="BX99" s="2263">
        <v>1</v>
      </c>
      <c r="BY99" s="2262">
        <v>0.52</v>
      </c>
      <c r="BZ99" s="2262">
        <v>0.18000000000000016</v>
      </c>
      <c r="CA99" s="2064" t="s">
        <v>3524</v>
      </c>
      <c r="CC99" s="563">
        <v>2359.5299329060649</v>
      </c>
      <c r="CD99" s="563">
        <v>2359.5299329060649</v>
      </c>
    </row>
    <row r="100" spans="1:82" s="563" customFormat="1" ht="22.9" customHeight="1">
      <c r="A100" s="2241"/>
      <c r="B100" s="2242" t="s">
        <v>4</v>
      </c>
      <c r="C100" s="2243"/>
      <c r="D100" s="2244"/>
      <c r="E100" s="2243">
        <v>-2.1</v>
      </c>
      <c r="F100" s="2245">
        <v>2.1</v>
      </c>
      <c r="G100" s="2243">
        <v>0</v>
      </c>
      <c r="H100" s="2246">
        <v>-2.1</v>
      </c>
      <c r="I100" s="2245">
        <v>2.1</v>
      </c>
      <c r="J100" s="2247">
        <v>-2.1</v>
      </c>
      <c r="K100" s="2248" t="s">
        <v>3521</v>
      </c>
      <c r="L100" s="2248" t="s">
        <v>3521</v>
      </c>
      <c r="M100" s="2248" t="s">
        <v>3521</v>
      </c>
      <c r="N100" s="2249" t="s">
        <v>3521</v>
      </c>
      <c r="O100" s="2250"/>
      <c r="P100" s="2251"/>
      <c r="Q100" s="2252"/>
      <c r="R100" s="2250"/>
      <c r="S100" s="2253">
        <v>10</v>
      </c>
      <c r="T100" s="2161">
        <v>0</v>
      </c>
      <c r="U100" s="2245">
        <v>1</v>
      </c>
      <c r="V100" s="2245">
        <v>15</v>
      </c>
      <c r="W100" s="2245">
        <v>128.45752167880846</v>
      </c>
      <c r="X100" s="2245">
        <v>3.6248559335500571E-2</v>
      </c>
      <c r="Y100" s="2245">
        <v>0</v>
      </c>
      <c r="Z100" s="2161">
        <v>0</v>
      </c>
      <c r="AA100" s="2245" t="e">
        <v>#DIV/0!</v>
      </c>
      <c r="AB100" s="2245">
        <v>2.2000000000000002</v>
      </c>
      <c r="AC100" s="2245">
        <v>0</v>
      </c>
      <c r="AD100" s="2245" t="s">
        <v>1240</v>
      </c>
      <c r="AE100" s="2254">
        <v>1.4999999999999999E-2</v>
      </c>
      <c r="AF100" s="2255">
        <v>1</v>
      </c>
      <c r="AG100" s="2245">
        <v>0.6</v>
      </c>
      <c r="AH100" s="2245"/>
      <c r="AJ100" s="2256"/>
      <c r="AK100" s="2257">
        <v>0</v>
      </c>
      <c r="AL100" s="2245">
        <v>0</v>
      </c>
      <c r="AM100" s="2245">
        <v>0</v>
      </c>
      <c r="AN100" s="2245" t="e">
        <v>#DIV/0!</v>
      </c>
      <c r="AO100" s="2245" t="e">
        <v>#DIV/0!</v>
      </c>
      <c r="AP100" s="2258">
        <v>0</v>
      </c>
      <c r="AQ100" s="2259"/>
      <c r="AR100" s="2259">
        <v>0</v>
      </c>
      <c r="AS100" s="2260" t="s">
        <v>3521</v>
      </c>
      <c r="AT100" s="2259"/>
      <c r="AU100" s="2259"/>
      <c r="AV100" s="2259"/>
      <c r="AW100" s="2259">
        <v>0</v>
      </c>
      <c r="AX100" s="2261">
        <v>10000</v>
      </c>
      <c r="AY100" s="2261">
        <v>10000</v>
      </c>
      <c r="AZ100" s="2261">
        <v>10000</v>
      </c>
      <c r="BA100" s="2261">
        <v>15</v>
      </c>
      <c r="BB100" s="2261">
        <v>0</v>
      </c>
      <c r="BC100" s="2261">
        <v>0</v>
      </c>
      <c r="BD100" s="2229">
        <v>0</v>
      </c>
      <c r="BE100" s="2229">
        <v>0.114396</v>
      </c>
      <c r="BF100" s="2229">
        <v>0</v>
      </c>
      <c r="BG100" s="2229">
        <v>0</v>
      </c>
      <c r="BH100" s="2229">
        <v>0</v>
      </c>
      <c r="BI100" s="2229">
        <v>0</v>
      </c>
      <c r="BJ100" s="2229">
        <v>0</v>
      </c>
      <c r="BK100" s="2262">
        <v>0</v>
      </c>
      <c r="BL100" s="2262">
        <v>0</v>
      </c>
      <c r="BM100" s="2262">
        <v>-2.1</v>
      </c>
      <c r="BN100" s="2262">
        <v>2.1</v>
      </c>
      <c r="BO100" s="2262">
        <v>0</v>
      </c>
      <c r="BP100" s="2262">
        <v>0</v>
      </c>
      <c r="BQ100" s="2262">
        <v>0</v>
      </c>
      <c r="BR100" s="2262">
        <v>0</v>
      </c>
      <c r="BS100" s="2262">
        <v>0</v>
      </c>
      <c r="BT100" s="2262">
        <v>0</v>
      </c>
      <c r="BU100" s="2262">
        <v>0</v>
      </c>
      <c r="BV100" s="2262">
        <v>0</v>
      </c>
      <c r="BW100" s="2262">
        <v>0</v>
      </c>
      <c r="BX100" s="2263">
        <v>1</v>
      </c>
      <c r="BY100" s="2262">
        <v>0.52</v>
      </c>
      <c r="BZ100" s="2262">
        <v>0.18000000000000016</v>
      </c>
      <c r="CA100" s="2064" t="s">
        <v>3524</v>
      </c>
      <c r="CC100" s="563">
        <v>2359.5299329060649</v>
      </c>
      <c r="CD100" s="563">
        <v>2359.5299329060649</v>
      </c>
    </row>
    <row r="101" spans="1:82" s="563" customFormat="1" ht="22.9" customHeight="1">
      <c r="A101" s="2241"/>
      <c r="B101" s="2242" t="s">
        <v>4</v>
      </c>
      <c r="C101" s="2243"/>
      <c r="D101" s="2244"/>
      <c r="E101" s="2243">
        <v>-2.1</v>
      </c>
      <c r="F101" s="2245">
        <v>2.1</v>
      </c>
      <c r="G101" s="2243">
        <v>0</v>
      </c>
      <c r="H101" s="2246">
        <v>-2.1</v>
      </c>
      <c r="I101" s="2245">
        <v>2.1</v>
      </c>
      <c r="J101" s="2247">
        <v>-2.1</v>
      </c>
      <c r="K101" s="2248" t="s">
        <v>3521</v>
      </c>
      <c r="L101" s="2248" t="s">
        <v>3521</v>
      </c>
      <c r="M101" s="2248" t="s">
        <v>3521</v>
      </c>
      <c r="N101" s="2249" t="s">
        <v>3521</v>
      </c>
      <c r="O101" s="2250"/>
      <c r="P101" s="2251"/>
      <c r="Q101" s="2252"/>
      <c r="R101" s="2250"/>
      <c r="S101" s="2253">
        <v>10</v>
      </c>
      <c r="T101" s="2161">
        <v>0</v>
      </c>
      <c r="U101" s="2245">
        <v>1</v>
      </c>
      <c r="V101" s="2245">
        <v>15</v>
      </c>
      <c r="W101" s="2245">
        <v>128.45752167880846</v>
      </c>
      <c r="X101" s="2245">
        <v>3.6248559335500571E-2</v>
      </c>
      <c r="Y101" s="2245">
        <v>0</v>
      </c>
      <c r="Z101" s="2161">
        <v>0</v>
      </c>
      <c r="AA101" s="2245" t="e">
        <v>#DIV/0!</v>
      </c>
      <c r="AB101" s="2245">
        <v>2.2000000000000002</v>
      </c>
      <c r="AC101" s="2245">
        <v>0</v>
      </c>
      <c r="AD101" s="2245" t="s">
        <v>1240</v>
      </c>
      <c r="AE101" s="2254">
        <v>1.4999999999999999E-2</v>
      </c>
      <c r="AF101" s="2255">
        <v>1</v>
      </c>
      <c r="AG101" s="2245">
        <v>0.6</v>
      </c>
      <c r="AH101" s="2245"/>
      <c r="AJ101" s="2256"/>
      <c r="AK101" s="2257">
        <v>0</v>
      </c>
      <c r="AL101" s="2245">
        <v>0</v>
      </c>
      <c r="AM101" s="2245">
        <v>0</v>
      </c>
      <c r="AN101" s="2245" t="e">
        <v>#DIV/0!</v>
      </c>
      <c r="AO101" s="2245" t="e">
        <v>#DIV/0!</v>
      </c>
      <c r="AP101" s="2258">
        <v>0</v>
      </c>
      <c r="AQ101" s="2259"/>
      <c r="AR101" s="2259">
        <v>0</v>
      </c>
      <c r="AS101" s="2260" t="s">
        <v>3521</v>
      </c>
      <c r="AT101" s="2259"/>
      <c r="AU101" s="2259"/>
      <c r="AV101" s="2259"/>
      <c r="AW101" s="2259">
        <v>0</v>
      </c>
      <c r="AX101" s="2261">
        <v>10000</v>
      </c>
      <c r="AY101" s="2261">
        <v>10000</v>
      </c>
      <c r="AZ101" s="2261">
        <v>10000</v>
      </c>
      <c r="BA101" s="2261">
        <v>15</v>
      </c>
      <c r="BB101" s="2261">
        <v>0</v>
      </c>
      <c r="BC101" s="2261">
        <v>0</v>
      </c>
      <c r="BD101" s="2229">
        <v>0</v>
      </c>
      <c r="BE101" s="2229">
        <v>0.114396</v>
      </c>
      <c r="BF101" s="2229">
        <v>0</v>
      </c>
      <c r="BG101" s="2229">
        <v>0</v>
      </c>
      <c r="BH101" s="2229">
        <v>0</v>
      </c>
      <c r="BI101" s="2229">
        <v>0</v>
      </c>
      <c r="BJ101" s="2229">
        <v>0</v>
      </c>
      <c r="BK101" s="2262">
        <v>0</v>
      </c>
      <c r="BL101" s="2262">
        <v>0</v>
      </c>
      <c r="BM101" s="2262">
        <v>-2.1</v>
      </c>
      <c r="BN101" s="2262">
        <v>2.1</v>
      </c>
      <c r="BO101" s="2262">
        <v>0</v>
      </c>
      <c r="BP101" s="2262">
        <v>0</v>
      </c>
      <c r="BQ101" s="2262">
        <v>0</v>
      </c>
      <c r="BR101" s="2262">
        <v>0</v>
      </c>
      <c r="BS101" s="2262">
        <v>0</v>
      </c>
      <c r="BT101" s="2262">
        <v>0</v>
      </c>
      <c r="BU101" s="2262">
        <v>0</v>
      </c>
      <c r="BV101" s="2262">
        <v>0</v>
      </c>
      <c r="BW101" s="2262">
        <v>0</v>
      </c>
      <c r="BX101" s="2263">
        <v>1</v>
      </c>
      <c r="BY101" s="2262">
        <v>0.52</v>
      </c>
      <c r="BZ101" s="2262">
        <v>0.18000000000000016</v>
      </c>
      <c r="CA101" s="2064" t="s">
        <v>3524</v>
      </c>
      <c r="CC101" s="563">
        <v>2359.5299329060649</v>
      </c>
      <c r="CD101" s="563">
        <v>2359.5299329060649</v>
      </c>
    </row>
    <row r="102" spans="1:82" s="563" customFormat="1" ht="22.9" customHeight="1">
      <c r="A102" s="2241"/>
      <c r="B102" s="2242" t="s">
        <v>4</v>
      </c>
      <c r="C102" s="2243"/>
      <c r="D102" s="2244"/>
      <c r="E102" s="2243">
        <v>-2.1</v>
      </c>
      <c r="F102" s="2245">
        <v>2.1</v>
      </c>
      <c r="G102" s="2243">
        <v>0</v>
      </c>
      <c r="H102" s="2246">
        <v>-2.1</v>
      </c>
      <c r="I102" s="2245">
        <v>2.1</v>
      </c>
      <c r="J102" s="2247">
        <v>-2.1</v>
      </c>
      <c r="K102" s="2248" t="s">
        <v>3521</v>
      </c>
      <c r="L102" s="2248" t="s">
        <v>3521</v>
      </c>
      <c r="M102" s="2248" t="s">
        <v>3521</v>
      </c>
      <c r="N102" s="2249" t="s">
        <v>3521</v>
      </c>
      <c r="O102" s="2250"/>
      <c r="P102" s="2251"/>
      <c r="Q102" s="2252"/>
      <c r="R102" s="2250"/>
      <c r="S102" s="2253">
        <v>10</v>
      </c>
      <c r="T102" s="2161">
        <v>0</v>
      </c>
      <c r="U102" s="2245">
        <v>1</v>
      </c>
      <c r="V102" s="2245">
        <v>15</v>
      </c>
      <c r="W102" s="2245">
        <v>128.45752167880846</v>
      </c>
      <c r="X102" s="2245">
        <v>3.6248559335500571E-2</v>
      </c>
      <c r="Y102" s="2245">
        <v>0</v>
      </c>
      <c r="Z102" s="2161">
        <v>0</v>
      </c>
      <c r="AA102" s="2245" t="e">
        <v>#DIV/0!</v>
      </c>
      <c r="AB102" s="2245">
        <v>2.2000000000000002</v>
      </c>
      <c r="AC102" s="2245">
        <v>0</v>
      </c>
      <c r="AD102" s="2245" t="s">
        <v>1240</v>
      </c>
      <c r="AE102" s="2254">
        <v>1.4999999999999999E-2</v>
      </c>
      <c r="AF102" s="2255">
        <v>1</v>
      </c>
      <c r="AG102" s="2245">
        <v>0.6</v>
      </c>
      <c r="AH102" s="2245"/>
      <c r="AJ102" s="2256"/>
      <c r="AK102" s="2257">
        <v>0</v>
      </c>
      <c r="AL102" s="2245">
        <v>0</v>
      </c>
      <c r="AM102" s="2245">
        <v>0</v>
      </c>
      <c r="AN102" s="2245" t="e">
        <v>#DIV/0!</v>
      </c>
      <c r="AO102" s="2245" t="e">
        <v>#DIV/0!</v>
      </c>
      <c r="AP102" s="2258">
        <v>0</v>
      </c>
      <c r="AQ102" s="2259"/>
      <c r="AR102" s="2259">
        <v>0</v>
      </c>
      <c r="AS102" s="2260" t="s">
        <v>3521</v>
      </c>
      <c r="AT102" s="2259"/>
      <c r="AU102" s="2259"/>
      <c r="AV102" s="2259"/>
      <c r="AW102" s="2259">
        <v>0</v>
      </c>
      <c r="AX102" s="2261">
        <v>10000</v>
      </c>
      <c r="AY102" s="2261">
        <v>10000</v>
      </c>
      <c r="AZ102" s="2261">
        <v>10000</v>
      </c>
      <c r="BA102" s="2261">
        <v>15</v>
      </c>
      <c r="BB102" s="2261">
        <v>0</v>
      </c>
      <c r="BC102" s="2261">
        <v>0</v>
      </c>
      <c r="BD102" s="2229">
        <v>0</v>
      </c>
      <c r="BE102" s="2229">
        <v>0.114396</v>
      </c>
      <c r="BF102" s="2229">
        <v>0</v>
      </c>
      <c r="BG102" s="2229">
        <v>0</v>
      </c>
      <c r="BH102" s="2229">
        <v>0</v>
      </c>
      <c r="BI102" s="2229">
        <v>0</v>
      </c>
      <c r="BJ102" s="2229">
        <v>0</v>
      </c>
      <c r="BK102" s="2262">
        <v>0</v>
      </c>
      <c r="BL102" s="2262">
        <v>0</v>
      </c>
      <c r="BM102" s="2262">
        <v>-2.1</v>
      </c>
      <c r="BN102" s="2262">
        <v>2.1</v>
      </c>
      <c r="BO102" s="2262">
        <v>0</v>
      </c>
      <c r="BP102" s="2262">
        <v>0</v>
      </c>
      <c r="BQ102" s="2262">
        <v>0</v>
      </c>
      <c r="BR102" s="2262">
        <v>0</v>
      </c>
      <c r="BS102" s="2262">
        <v>0</v>
      </c>
      <c r="BT102" s="2262">
        <v>0</v>
      </c>
      <c r="BU102" s="2262">
        <v>0</v>
      </c>
      <c r="BV102" s="2262">
        <v>0</v>
      </c>
      <c r="BW102" s="2262">
        <v>0</v>
      </c>
      <c r="BX102" s="2263">
        <v>1</v>
      </c>
      <c r="BY102" s="2262">
        <v>0.52</v>
      </c>
      <c r="BZ102" s="2262">
        <v>0.18000000000000016</v>
      </c>
      <c r="CA102" s="2064" t="s">
        <v>3524</v>
      </c>
      <c r="CC102" s="563">
        <v>2359.5299329060649</v>
      </c>
      <c r="CD102" s="563">
        <v>2359.5299329060649</v>
      </c>
    </row>
    <row r="103" spans="1:82" s="563" customFormat="1" ht="22.9" customHeight="1">
      <c r="A103" s="2241"/>
      <c r="B103" s="2242" t="s">
        <v>4</v>
      </c>
      <c r="C103" s="2243"/>
      <c r="D103" s="2244"/>
      <c r="E103" s="2243">
        <v>-2.1</v>
      </c>
      <c r="F103" s="2245">
        <v>2.1</v>
      </c>
      <c r="G103" s="2243">
        <v>0</v>
      </c>
      <c r="H103" s="2246">
        <v>-2.1</v>
      </c>
      <c r="I103" s="2245">
        <v>2.1</v>
      </c>
      <c r="J103" s="2247">
        <v>-2.1</v>
      </c>
      <c r="K103" s="2248" t="s">
        <v>3521</v>
      </c>
      <c r="L103" s="2248" t="s">
        <v>3521</v>
      </c>
      <c r="M103" s="2248" t="s">
        <v>3521</v>
      </c>
      <c r="N103" s="2249" t="s">
        <v>3521</v>
      </c>
      <c r="O103" s="2250"/>
      <c r="P103" s="2251"/>
      <c r="Q103" s="2252"/>
      <c r="R103" s="2250"/>
      <c r="S103" s="2253">
        <v>10</v>
      </c>
      <c r="T103" s="2161">
        <v>0</v>
      </c>
      <c r="U103" s="2245">
        <v>1</v>
      </c>
      <c r="V103" s="2245">
        <v>15</v>
      </c>
      <c r="W103" s="2245">
        <v>128.45752167880846</v>
      </c>
      <c r="X103" s="2245">
        <v>3.6248559335500571E-2</v>
      </c>
      <c r="Y103" s="2245">
        <v>0</v>
      </c>
      <c r="Z103" s="2161">
        <v>0</v>
      </c>
      <c r="AA103" s="2245" t="e">
        <v>#DIV/0!</v>
      </c>
      <c r="AB103" s="2245">
        <v>2.2000000000000002</v>
      </c>
      <c r="AC103" s="2245">
        <v>0</v>
      </c>
      <c r="AD103" s="2245" t="s">
        <v>1240</v>
      </c>
      <c r="AE103" s="2254">
        <v>1.4999999999999999E-2</v>
      </c>
      <c r="AF103" s="2255">
        <v>1</v>
      </c>
      <c r="AG103" s="2245">
        <v>0.6</v>
      </c>
      <c r="AH103" s="2245"/>
      <c r="AJ103" s="2256"/>
      <c r="AK103" s="2257">
        <v>0</v>
      </c>
      <c r="AL103" s="2245">
        <v>0</v>
      </c>
      <c r="AM103" s="2245">
        <v>0</v>
      </c>
      <c r="AN103" s="2245" t="e">
        <v>#DIV/0!</v>
      </c>
      <c r="AO103" s="2245" t="e">
        <v>#DIV/0!</v>
      </c>
      <c r="AP103" s="2258">
        <v>0</v>
      </c>
      <c r="AQ103" s="2259"/>
      <c r="AR103" s="2259">
        <v>0</v>
      </c>
      <c r="AS103" s="2260" t="s">
        <v>3521</v>
      </c>
      <c r="AT103" s="2259"/>
      <c r="AU103" s="2259"/>
      <c r="AV103" s="2259"/>
      <c r="AW103" s="2259">
        <v>0</v>
      </c>
      <c r="AX103" s="2261">
        <v>10000</v>
      </c>
      <c r="AY103" s="2261">
        <v>10000</v>
      </c>
      <c r="AZ103" s="2261">
        <v>10000</v>
      </c>
      <c r="BA103" s="2261">
        <v>15</v>
      </c>
      <c r="BB103" s="2261">
        <v>0</v>
      </c>
      <c r="BC103" s="2261">
        <v>0</v>
      </c>
      <c r="BD103" s="2229">
        <v>0</v>
      </c>
      <c r="BE103" s="2229">
        <v>0.114396</v>
      </c>
      <c r="BF103" s="2229">
        <v>0</v>
      </c>
      <c r="BG103" s="2229">
        <v>0</v>
      </c>
      <c r="BH103" s="2229">
        <v>0</v>
      </c>
      <c r="BI103" s="2229">
        <v>0</v>
      </c>
      <c r="BJ103" s="2229">
        <v>0</v>
      </c>
      <c r="BK103" s="2262">
        <v>0</v>
      </c>
      <c r="BL103" s="2262">
        <v>0</v>
      </c>
      <c r="BM103" s="2262">
        <v>-2.1</v>
      </c>
      <c r="BN103" s="2262">
        <v>2.1</v>
      </c>
      <c r="BO103" s="2262">
        <v>0</v>
      </c>
      <c r="BP103" s="2262">
        <v>0</v>
      </c>
      <c r="BQ103" s="2262">
        <v>0</v>
      </c>
      <c r="BR103" s="2262">
        <v>0</v>
      </c>
      <c r="BS103" s="2262">
        <v>0</v>
      </c>
      <c r="BT103" s="2262">
        <v>0</v>
      </c>
      <c r="BU103" s="2262">
        <v>0</v>
      </c>
      <c r="BV103" s="2262">
        <v>0</v>
      </c>
      <c r="BW103" s="2262">
        <v>0</v>
      </c>
      <c r="BX103" s="2263">
        <v>1</v>
      </c>
      <c r="BY103" s="2262">
        <v>0.52</v>
      </c>
      <c r="BZ103" s="2262">
        <v>0.18000000000000016</v>
      </c>
      <c r="CA103" s="2064" t="s">
        <v>3524</v>
      </c>
      <c r="CC103" s="563">
        <v>2359.5299329060649</v>
      </c>
      <c r="CD103" s="563">
        <v>2359.5299329060649</v>
      </c>
    </row>
    <row r="104" spans="1:82" s="563" customFormat="1" ht="22.9" customHeight="1">
      <c r="A104" s="2241"/>
      <c r="B104" s="2242" t="s">
        <v>4</v>
      </c>
      <c r="C104" s="2243"/>
      <c r="D104" s="2244"/>
      <c r="E104" s="2243">
        <v>-2.1</v>
      </c>
      <c r="F104" s="2245">
        <v>2.1</v>
      </c>
      <c r="G104" s="2243">
        <v>0</v>
      </c>
      <c r="H104" s="2246">
        <v>-2.1</v>
      </c>
      <c r="I104" s="2245">
        <v>2.1</v>
      </c>
      <c r="J104" s="2247">
        <v>-2.1</v>
      </c>
      <c r="K104" s="2248" t="s">
        <v>3521</v>
      </c>
      <c r="L104" s="2248" t="s">
        <v>3521</v>
      </c>
      <c r="M104" s="2248" t="s">
        <v>3521</v>
      </c>
      <c r="N104" s="2249" t="s">
        <v>3521</v>
      </c>
      <c r="O104" s="2250"/>
      <c r="P104" s="2251"/>
      <c r="Q104" s="2252"/>
      <c r="R104" s="2250"/>
      <c r="S104" s="2253">
        <v>10</v>
      </c>
      <c r="T104" s="2161">
        <v>0</v>
      </c>
      <c r="U104" s="2245">
        <v>1</v>
      </c>
      <c r="V104" s="2245">
        <v>15</v>
      </c>
      <c r="W104" s="2245">
        <v>128.45752167880846</v>
      </c>
      <c r="X104" s="2245">
        <v>3.6248559335500571E-2</v>
      </c>
      <c r="Y104" s="2245">
        <v>0</v>
      </c>
      <c r="Z104" s="2161">
        <v>0</v>
      </c>
      <c r="AA104" s="2245" t="e">
        <v>#DIV/0!</v>
      </c>
      <c r="AB104" s="2245">
        <v>2.2000000000000002</v>
      </c>
      <c r="AC104" s="2245">
        <v>0</v>
      </c>
      <c r="AD104" s="2245" t="s">
        <v>1240</v>
      </c>
      <c r="AE104" s="2254">
        <v>1.4999999999999999E-2</v>
      </c>
      <c r="AF104" s="2255">
        <v>1</v>
      </c>
      <c r="AG104" s="2245">
        <v>0.6</v>
      </c>
      <c r="AH104" s="2245"/>
      <c r="AJ104" s="2256"/>
      <c r="AK104" s="2257">
        <v>0</v>
      </c>
      <c r="AL104" s="2245">
        <v>0</v>
      </c>
      <c r="AM104" s="2245">
        <v>0</v>
      </c>
      <c r="AN104" s="2245" t="e">
        <v>#DIV/0!</v>
      </c>
      <c r="AO104" s="2245" t="e">
        <v>#DIV/0!</v>
      </c>
      <c r="AP104" s="2258">
        <v>0</v>
      </c>
      <c r="AQ104" s="2259"/>
      <c r="AR104" s="2259">
        <v>0</v>
      </c>
      <c r="AS104" s="2260" t="s">
        <v>3521</v>
      </c>
      <c r="AT104" s="2259"/>
      <c r="AU104" s="2259"/>
      <c r="AV104" s="2259"/>
      <c r="AW104" s="2259">
        <v>0</v>
      </c>
      <c r="AX104" s="2261">
        <v>10000</v>
      </c>
      <c r="AY104" s="2261">
        <v>10000</v>
      </c>
      <c r="AZ104" s="2261">
        <v>10000</v>
      </c>
      <c r="BA104" s="2261">
        <v>15</v>
      </c>
      <c r="BB104" s="2261">
        <v>0</v>
      </c>
      <c r="BC104" s="2261">
        <v>0</v>
      </c>
      <c r="BD104" s="2229">
        <v>0</v>
      </c>
      <c r="BE104" s="2229">
        <v>0.114396</v>
      </c>
      <c r="BF104" s="2229">
        <v>0</v>
      </c>
      <c r="BG104" s="2229">
        <v>0</v>
      </c>
      <c r="BH104" s="2229">
        <v>0</v>
      </c>
      <c r="BI104" s="2229">
        <v>0</v>
      </c>
      <c r="BJ104" s="2229">
        <v>0</v>
      </c>
      <c r="BK104" s="2262">
        <v>0</v>
      </c>
      <c r="BL104" s="2262">
        <v>0</v>
      </c>
      <c r="BM104" s="2262">
        <v>-2.1</v>
      </c>
      <c r="BN104" s="2262">
        <v>2.1</v>
      </c>
      <c r="BO104" s="2262">
        <v>0</v>
      </c>
      <c r="BP104" s="2262">
        <v>0</v>
      </c>
      <c r="BQ104" s="2262">
        <v>0</v>
      </c>
      <c r="BR104" s="2262">
        <v>0</v>
      </c>
      <c r="BS104" s="2262">
        <v>0</v>
      </c>
      <c r="BT104" s="2262">
        <v>0</v>
      </c>
      <c r="BU104" s="2262">
        <v>0</v>
      </c>
      <c r="BV104" s="2262">
        <v>0</v>
      </c>
      <c r="BW104" s="2262">
        <v>0</v>
      </c>
      <c r="BX104" s="2263">
        <v>1</v>
      </c>
      <c r="BY104" s="2262">
        <v>0.52</v>
      </c>
      <c r="BZ104" s="2262">
        <v>0.18000000000000016</v>
      </c>
      <c r="CA104" s="2064" t="s">
        <v>3524</v>
      </c>
      <c r="CC104" s="563">
        <v>2359.5299329060649</v>
      </c>
      <c r="CD104" s="563">
        <v>2359.5299329060649</v>
      </c>
    </row>
    <row r="105" spans="1:82" s="563" customFormat="1" ht="22.9" customHeight="1">
      <c r="A105" s="2241"/>
      <c r="B105" s="2242" t="s">
        <v>4</v>
      </c>
      <c r="C105" s="2243"/>
      <c r="D105" s="2244"/>
      <c r="E105" s="2243">
        <v>-2.1</v>
      </c>
      <c r="F105" s="2245">
        <v>2.1</v>
      </c>
      <c r="G105" s="2243">
        <v>0</v>
      </c>
      <c r="H105" s="2246">
        <v>-2.1</v>
      </c>
      <c r="I105" s="2245">
        <v>2.1</v>
      </c>
      <c r="J105" s="2247">
        <v>-2.1</v>
      </c>
      <c r="K105" s="2248" t="s">
        <v>3521</v>
      </c>
      <c r="L105" s="2248" t="s">
        <v>3521</v>
      </c>
      <c r="M105" s="2248" t="s">
        <v>3521</v>
      </c>
      <c r="N105" s="2249" t="s">
        <v>3521</v>
      </c>
      <c r="O105" s="2250"/>
      <c r="P105" s="2251"/>
      <c r="Q105" s="2252"/>
      <c r="R105" s="2250"/>
      <c r="S105" s="2253">
        <v>10</v>
      </c>
      <c r="T105" s="2161">
        <v>0</v>
      </c>
      <c r="U105" s="2245">
        <v>1</v>
      </c>
      <c r="V105" s="2245">
        <v>15</v>
      </c>
      <c r="W105" s="2245">
        <v>128.45752167880846</v>
      </c>
      <c r="X105" s="2245">
        <v>3.6248559335500571E-2</v>
      </c>
      <c r="Y105" s="2245">
        <v>0</v>
      </c>
      <c r="Z105" s="2161">
        <v>0</v>
      </c>
      <c r="AA105" s="2245" t="e">
        <v>#DIV/0!</v>
      </c>
      <c r="AB105" s="2245">
        <v>2.2000000000000002</v>
      </c>
      <c r="AC105" s="2245">
        <v>0</v>
      </c>
      <c r="AD105" s="2245" t="s">
        <v>1240</v>
      </c>
      <c r="AE105" s="2254">
        <v>1.4999999999999999E-2</v>
      </c>
      <c r="AF105" s="2255">
        <v>1</v>
      </c>
      <c r="AG105" s="2245">
        <v>0.6</v>
      </c>
      <c r="AH105" s="2245"/>
      <c r="AJ105" s="2256"/>
      <c r="AK105" s="2257">
        <v>0</v>
      </c>
      <c r="AL105" s="2245">
        <v>0</v>
      </c>
      <c r="AM105" s="2245">
        <v>0</v>
      </c>
      <c r="AN105" s="2245" t="e">
        <v>#DIV/0!</v>
      </c>
      <c r="AO105" s="2245" t="e">
        <v>#DIV/0!</v>
      </c>
      <c r="AP105" s="2258">
        <v>0</v>
      </c>
      <c r="AQ105" s="2259"/>
      <c r="AR105" s="2259">
        <v>0</v>
      </c>
      <c r="AS105" s="2260" t="s">
        <v>3521</v>
      </c>
      <c r="AT105" s="2259"/>
      <c r="AU105" s="2259"/>
      <c r="AV105" s="2259"/>
      <c r="AW105" s="2259">
        <v>0</v>
      </c>
      <c r="AX105" s="2261">
        <v>10000</v>
      </c>
      <c r="AY105" s="2261">
        <v>10000</v>
      </c>
      <c r="AZ105" s="2261">
        <v>10000</v>
      </c>
      <c r="BA105" s="2261">
        <v>15</v>
      </c>
      <c r="BB105" s="2261">
        <v>0</v>
      </c>
      <c r="BC105" s="2261">
        <v>0</v>
      </c>
      <c r="BD105" s="2229">
        <v>0</v>
      </c>
      <c r="BE105" s="2229">
        <v>0.114396</v>
      </c>
      <c r="BF105" s="2229">
        <v>0</v>
      </c>
      <c r="BG105" s="2229">
        <v>0</v>
      </c>
      <c r="BH105" s="2229">
        <v>0</v>
      </c>
      <c r="BI105" s="2229">
        <v>0</v>
      </c>
      <c r="BJ105" s="2229">
        <v>0</v>
      </c>
      <c r="BK105" s="2262">
        <v>0</v>
      </c>
      <c r="BL105" s="2262">
        <v>0</v>
      </c>
      <c r="BM105" s="2262">
        <v>-2.1</v>
      </c>
      <c r="BN105" s="2262">
        <v>2.1</v>
      </c>
      <c r="BO105" s="2262">
        <v>0</v>
      </c>
      <c r="BP105" s="2262">
        <v>0</v>
      </c>
      <c r="BQ105" s="2262">
        <v>0</v>
      </c>
      <c r="BR105" s="2262">
        <v>0</v>
      </c>
      <c r="BS105" s="2262">
        <v>0</v>
      </c>
      <c r="BT105" s="2262">
        <v>0</v>
      </c>
      <c r="BU105" s="2262">
        <v>0</v>
      </c>
      <c r="BV105" s="2262">
        <v>0</v>
      </c>
      <c r="BW105" s="2262">
        <v>0</v>
      </c>
      <c r="BX105" s="2263">
        <v>1</v>
      </c>
      <c r="BY105" s="2262">
        <v>0.52</v>
      </c>
      <c r="BZ105" s="2262">
        <v>0.18000000000000016</v>
      </c>
      <c r="CA105" s="2064" t="s">
        <v>3524</v>
      </c>
      <c r="CC105" s="563">
        <v>2359.5299329060649</v>
      </c>
      <c r="CD105" s="563">
        <v>2359.5299329060649</v>
      </c>
    </row>
    <row r="106" spans="1:82" s="563" customFormat="1" ht="22.9" customHeight="1">
      <c r="A106" s="2241"/>
      <c r="B106" s="2242" t="s">
        <v>4</v>
      </c>
      <c r="C106" s="2243"/>
      <c r="D106" s="2244"/>
      <c r="E106" s="2243">
        <v>-2.1</v>
      </c>
      <c r="F106" s="2245">
        <v>2.1</v>
      </c>
      <c r="G106" s="2243">
        <v>0</v>
      </c>
      <c r="H106" s="2246">
        <v>-2.1</v>
      </c>
      <c r="I106" s="2245">
        <v>2.1</v>
      </c>
      <c r="J106" s="2247">
        <v>-2.1</v>
      </c>
      <c r="K106" s="2248" t="s">
        <v>3521</v>
      </c>
      <c r="L106" s="2248" t="s">
        <v>3521</v>
      </c>
      <c r="M106" s="2248" t="s">
        <v>3521</v>
      </c>
      <c r="N106" s="2249" t="s">
        <v>3521</v>
      </c>
      <c r="O106" s="2250"/>
      <c r="P106" s="2251"/>
      <c r="Q106" s="2252"/>
      <c r="R106" s="2250"/>
      <c r="S106" s="2253">
        <v>10</v>
      </c>
      <c r="T106" s="2161">
        <v>0</v>
      </c>
      <c r="U106" s="2245">
        <v>1</v>
      </c>
      <c r="V106" s="2245">
        <v>15</v>
      </c>
      <c r="W106" s="2245">
        <v>128.45752167880846</v>
      </c>
      <c r="X106" s="2245">
        <v>3.6248559335500571E-2</v>
      </c>
      <c r="Y106" s="2245">
        <v>0</v>
      </c>
      <c r="Z106" s="2161">
        <v>0</v>
      </c>
      <c r="AA106" s="2245" t="e">
        <v>#DIV/0!</v>
      </c>
      <c r="AB106" s="2245">
        <v>2.2000000000000002</v>
      </c>
      <c r="AC106" s="2245">
        <v>0</v>
      </c>
      <c r="AD106" s="2245" t="s">
        <v>1240</v>
      </c>
      <c r="AE106" s="2254">
        <v>1.4999999999999999E-2</v>
      </c>
      <c r="AF106" s="2255">
        <v>1</v>
      </c>
      <c r="AG106" s="2245">
        <v>0.6</v>
      </c>
      <c r="AH106" s="2245"/>
      <c r="AJ106" s="2256"/>
      <c r="AK106" s="2257">
        <v>0</v>
      </c>
      <c r="AL106" s="2245">
        <v>0</v>
      </c>
      <c r="AM106" s="2245">
        <v>0</v>
      </c>
      <c r="AN106" s="2245" t="e">
        <v>#DIV/0!</v>
      </c>
      <c r="AO106" s="2245" t="e">
        <v>#DIV/0!</v>
      </c>
      <c r="AP106" s="2258">
        <v>0</v>
      </c>
      <c r="AQ106" s="2259"/>
      <c r="AR106" s="2259">
        <v>0</v>
      </c>
      <c r="AS106" s="2260" t="s">
        <v>3521</v>
      </c>
      <c r="AT106" s="2259"/>
      <c r="AU106" s="2259"/>
      <c r="AV106" s="2259"/>
      <c r="AW106" s="2259">
        <v>0</v>
      </c>
      <c r="AX106" s="2261">
        <v>10000</v>
      </c>
      <c r="AY106" s="2261">
        <v>10000</v>
      </c>
      <c r="AZ106" s="2261">
        <v>10000</v>
      </c>
      <c r="BA106" s="2261">
        <v>15</v>
      </c>
      <c r="BB106" s="2261">
        <v>0</v>
      </c>
      <c r="BC106" s="2261">
        <v>0</v>
      </c>
      <c r="BD106" s="2229">
        <v>0</v>
      </c>
      <c r="BE106" s="2229">
        <v>0.114396</v>
      </c>
      <c r="BF106" s="2229">
        <v>0</v>
      </c>
      <c r="BG106" s="2229">
        <v>0</v>
      </c>
      <c r="BH106" s="2229">
        <v>0</v>
      </c>
      <c r="BI106" s="2229">
        <v>0</v>
      </c>
      <c r="BJ106" s="2229">
        <v>0</v>
      </c>
      <c r="BK106" s="2262">
        <v>0</v>
      </c>
      <c r="BL106" s="2262">
        <v>0</v>
      </c>
      <c r="BM106" s="2262">
        <v>-2.1</v>
      </c>
      <c r="BN106" s="2262">
        <v>2.1</v>
      </c>
      <c r="BO106" s="2262">
        <v>0</v>
      </c>
      <c r="BP106" s="2262">
        <v>0</v>
      </c>
      <c r="BQ106" s="2262">
        <v>0</v>
      </c>
      <c r="BR106" s="2262">
        <v>0</v>
      </c>
      <c r="BS106" s="2262">
        <v>0</v>
      </c>
      <c r="BT106" s="2262">
        <v>0</v>
      </c>
      <c r="BU106" s="2262">
        <v>0</v>
      </c>
      <c r="BV106" s="2262">
        <v>0</v>
      </c>
      <c r="BW106" s="2262">
        <v>0</v>
      </c>
      <c r="BX106" s="2263">
        <v>1</v>
      </c>
      <c r="BY106" s="2262">
        <v>0.52</v>
      </c>
      <c r="BZ106" s="2262">
        <v>0.18000000000000016</v>
      </c>
      <c r="CA106" s="2064" t="s">
        <v>3524</v>
      </c>
      <c r="CC106" s="563">
        <v>2359.5299329060649</v>
      </c>
      <c r="CD106" s="563">
        <v>2359.5299329060649</v>
      </c>
    </row>
    <row r="107" spans="1:82" s="563" customFormat="1" ht="22.9" customHeight="1">
      <c r="A107" s="2241"/>
      <c r="B107" s="2242" t="s">
        <v>4</v>
      </c>
      <c r="C107" s="2243"/>
      <c r="D107" s="2244"/>
      <c r="E107" s="2243">
        <v>-2.1</v>
      </c>
      <c r="F107" s="2245">
        <v>2.1</v>
      </c>
      <c r="G107" s="2243">
        <v>0</v>
      </c>
      <c r="H107" s="2246">
        <v>-2.1</v>
      </c>
      <c r="I107" s="2245">
        <v>2.1</v>
      </c>
      <c r="J107" s="2247">
        <v>-2.1</v>
      </c>
      <c r="K107" s="2248" t="s">
        <v>3521</v>
      </c>
      <c r="L107" s="2248" t="s">
        <v>3521</v>
      </c>
      <c r="M107" s="2248" t="s">
        <v>3521</v>
      </c>
      <c r="N107" s="2249" t="s">
        <v>3521</v>
      </c>
      <c r="O107" s="2250"/>
      <c r="P107" s="2251"/>
      <c r="Q107" s="2252"/>
      <c r="R107" s="2250"/>
      <c r="S107" s="2253">
        <v>10</v>
      </c>
      <c r="T107" s="2161">
        <v>0</v>
      </c>
      <c r="U107" s="2245">
        <v>1</v>
      </c>
      <c r="V107" s="2245">
        <v>15</v>
      </c>
      <c r="W107" s="2245">
        <v>128.45752167880846</v>
      </c>
      <c r="X107" s="2245">
        <v>3.6248559335500571E-2</v>
      </c>
      <c r="Y107" s="2245">
        <v>0</v>
      </c>
      <c r="Z107" s="2161">
        <v>0</v>
      </c>
      <c r="AA107" s="2245" t="e">
        <v>#DIV/0!</v>
      </c>
      <c r="AB107" s="2245">
        <v>2.2000000000000002</v>
      </c>
      <c r="AC107" s="2245">
        <v>0</v>
      </c>
      <c r="AD107" s="2245" t="s">
        <v>1240</v>
      </c>
      <c r="AE107" s="2254">
        <v>1.4999999999999999E-2</v>
      </c>
      <c r="AF107" s="2255">
        <v>1</v>
      </c>
      <c r="AG107" s="2245">
        <v>0.6</v>
      </c>
      <c r="AH107" s="2245"/>
      <c r="AJ107" s="2256"/>
      <c r="AK107" s="2257">
        <v>0</v>
      </c>
      <c r="AL107" s="2245">
        <v>0</v>
      </c>
      <c r="AM107" s="2245">
        <v>0</v>
      </c>
      <c r="AN107" s="2245" t="e">
        <v>#DIV/0!</v>
      </c>
      <c r="AO107" s="2245" t="e">
        <v>#DIV/0!</v>
      </c>
      <c r="AP107" s="2258">
        <v>0</v>
      </c>
      <c r="AQ107" s="2259"/>
      <c r="AR107" s="2259">
        <v>0</v>
      </c>
      <c r="AS107" s="2260" t="s">
        <v>3521</v>
      </c>
      <c r="AT107" s="2259"/>
      <c r="AU107" s="2259"/>
      <c r="AV107" s="2259"/>
      <c r="AW107" s="2259">
        <v>0</v>
      </c>
      <c r="AX107" s="2261">
        <v>10000</v>
      </c>
      <c r="AY107" s="2261">
        <v>10000</v>
      </c>
      <c r="AZ107" s="2261">
        <v>10000</v>
      </c>
      <c r="BA107" s="2261">
        <v>15</v>
      </c>
      <c r="BB107" s="2261">
        <v>0</v>
      </c>
      <c r="BC107" s="2261">
        <v>0</v>
      </c>
      <c r="BD107" s="2229">
        <v>0</v>
      </c>
      <c r="BE107" s="2229">
        <v>0.114396</v>
      </c>
      <c r="BF107" s="2229">
        <v>0</v>
      </c>
      <c r="BG107" s="2229">
        <v>0</v>
      </c>
      <c r="BH107" s="2229">
        <v>0</v>
      </c>
      <c r="BI107" s="2229">
        <v>0</v>
      </c>
      <c r="BJ107" s="2229">
        <v>0</v>
      </c>
      <c r="BK107" s="2262">
        <v>0</v>
      </c>
      <c r="BL107" s="2262">
        <v>0</v>
      </c>
      <c r="BM107" s="2262">
        <v>-2.1</v>
      </c>
      <c r="BN107" s="2262">
        <v>2.1</v>
      </c>
      <c r="BO107" s="2262">
        <v>0</v>
      </c>
      <c r="BP107" s="2262">
        <v>0</v>
      </c>
      <c r="BQ107" s="2262">
        <v>0</v>
      </c>
      <c r="BR107" s="2262">
        <v>0</v>
      </c>
      <c r="BS107" s="2262">
        <v>0</v>
      </c>
      <c r="BT107" s="2262">
        <v>0</v>
      </c>
      <c r="BU107" s="2262">
        <v>0</v>
      </c>
      <c r="BV107" s="2262">
        <v>0</v>
      </c>
      <c r="BW107" s="2262">
        <v>0</v>
      </c>
      <c r="BX107" s="2263">
        <v>1</v>
      </c>
      <c r="BY107" s="2262">
        <v>0.52</v>
      </c>
      <c r="BZ107" s="2262">
        <v>0.18000000000000016</v>
      </c>
      <c r="CA107" s="2064" t="s">
        <v>3524</v>
      </c>
      <c r="CC107" s="563">
        <v>2359.5299329060649</v>
      </c>
      <c r="CD107" s="563">
        <v>2359.5299329060649</v>
      </c>
    </row>
    <row r="108" spans="1:82" s="563" customFormat="1" ht="22.9" customHeight="1">
      <c r="A108" s="2241"/>
      <c r="B108" s="2242" t="s">
        <v>4</v>
      </c>
      <c r="C108" s="2243"/>
      <c r="D108" s="2244"/>
      <c r="E108" s="2243">
        <v>-2.1</v>
      </c>
      <c r="F108" s="2245">
        <v>2.1</v>
      </c>
      <c r="G108" s="2243">
        <v>0</v>
      </c>
      <c r="H108" s="2246">
        <v>-2.1</v>
      </c>
      <c r="I108" s="2245">
        <v>2.1</v>
      </c>
      <c r="J108" s="2247">
        <v>-2.1</v>
      </c>
      <c r="K108" s="2248" t="s">
        <v>3521</v>
      </c>
      <c r="L108" s="2248" t="s">
        <v>3521</v>
      </c>
      <c r="M108" s="2248" t="s">
        <v>3521</v>
      </c>
      <c r="N108" s="2249" t="s">
        <v>3521</v>
      </c>
      <c r="O108" s="2250"/>
      <c r="P108" s="2251"/>
      <c r="Q108" s="2252"/>
      <c r="R108" s="2250"/>
      <c r="S108" s="2253">
        <v>10</v>
      </c>
      <c r="T108" s="2161">
        <v>0</v>
      </c>
      <c r="U108" s="2245">
        <v>1</v>
      </c>
      <c r="V108" s="2245">
        <v>15</v>
      </c>
      <c r="W108" s="2245">
        <v>128.45752167880846</v>
      </c>
      <c r="X108" s="2245">
        <v>3.6248559335500571E-2</v>
      </c>
      <c r="Y108" s="2245">
        <v>0</v>
      </c>
      <c r="Z108" s="2161">
        <v>0</v>
      </c>
      <c r="AA108" s="2245" t="e">
        <v>#DIV/0!</v>
      </c>
      <c r="AB108" s="2245">
        <v>2.2000000000000002</v>
      </c>
      <c r="AC108" s="2245">
        <v>0</v>
      </c>
      <c r="AD108" s="2245" t="s">
        <v>1240</v>
      </c>
      <c r="AE108" s="2254">
        <v>1.4999999999999999E-2</v>
      </c>
      <c r="AF108" s="2255">
        <v>1</v>
      </c>
      <c r="AG108" s="2245">
        <v>0.6</v>
      </c>
      <c r="AH108" s="2245"/>
      <c r="AJ108" s="2256"/>
      <c r="AK108" s="2257">
        <v>0</v>
      </c>
      <c r="AL108" s="2245">
        <v>0</v>
      </c>
      <c r="AM108" s="2245">
        <v>0</v>
      </c>
      <c r="AN108" s="2245" t="e">
        <v>#DIV/0!</v>
      </c>
      <c r="AO108" s="2245" t="e">
        <v>#DIV/0!</v>
      </c>
      <c r="AP108" s="2258">
        <v>0</v>
      </c>
      <c r="AQ108" s="2259"/>
      <c r="AR108" s="2259">
        <v>0</v>
      </c>
      <c r="AS108" s="2260" t="s">
        <v>3521</v>
      </c>
      <c r="AT108" s="2259"/>
      <c r="AU108" s="2259"/>
      <c r="AV108" s="2259"/>
      <c r="AW108" s="2259">
        <v>0</v>
      </c>
      <c r="AX108" s="2261">
        <v>10000</v>
      </c>
      <c r="AY108" s="2261">
        <v>10000</v>
      </c>
      <c r="AZ108" s="2261">
        <v>10000</v>
      </c>
      <c r="BA108" s="2261">
        <v>15</v>
      </c>
      <c r="BB108" s="2261">
        <v>0</v>
      </c>
      <c r="BC108" s="2261">
        <v>0</v>
      </c>
      <c r="BD108" s="2229">
        <v>0</v>
      </c>
      <c r="BE108" s="2229">
        <v>0.114396</v>
      </c>
      <c r="BF108" s="2229">
        <v>0</v>
      </c>
      <c r="BG108" s="2229">
        <v>0</v>
      </c>
      <c r="BH108" s="2229">
        <v>0</v>
      </c>
      <c r="BI108" s="2229">
        <v>0</v>
      </c>
      <c r="BJ108" s="2229">
        <v>0</v>
      </c>
      <c r="BK108" s="2262">
        <v>0</v>
      </c>
      <c r="BL108" s="2262">
        <v>0</v>
      </c>
      <c r="BM108" s="2262">
        <v>-2.1</v>
      </c>
      <c r="BN108" s="2262">
        <v>2.1</v>
      </c>
      <c r="BO108" s="2262">
        <v>0</v>
      </c>
      <c r="BP108" s="2262">
        <v>0</v>
      </c>
      <c r="BQ108" s="2262">
        <v>0</v>
      </c>
      <c r="BR108" s="2262">
        <v>0</v>
      </c>
      <c r="BS108" s="2262">
        <v>0</v>
      </c>
      <c r="BT108" s="2262">
        <v>0</v>
      </c>
      <c r="BU108" s="2262">
        <v>0</v>
      </c>
      <c r="BV108" s="2262">
        <v>0</v>
      </c>
      <c r="BW108" s="2262">
        <v>0</v>
      </c>
      <c r="BX108" s="2263">
        <v>1</v>
      </c>
      <c r="BY108" s="2262">
        <v>0.52</v>
      </c>
      <c r="BZ108" s="2262">
        <v>0.18000000000000016</v>
      </c>
      <c r="CA108" s="2064" t="s">
        <v>3524</v>
      </c>
      <c r="CC108" s="563">
        <v>2359.5299329060649</v>
      </c>
      <c r="CD108" s="563">
        <v>2359.5299329060649</v>
      </c>
    </row>
    <row r="109" spans="1:82" s="563" customFormat="1" ht="22.9" customHeight="1">
      <c r="A109" s="2241"/>
      <c r="B109" s="2242" t="s">
        <v>4</v>
      </c>
      <c r="C109" s="2243"/>
      <c r="D109" s="2244"/>
      <c r="E109" s="2243">
        <v>-2.1</v>
      </c>
      <c r="F109" s="2245">
        <v>2.1</v>
      </c>
      <c r="G109" s="2243">
        <v>0</v>
      </c>
      <c r="H109" s="2246">
        <v>-2.1</v>
      </c>
      <c r="I109" s="2245">
        <v>2.1</v>
      </c>
      <c r="J109" s="2247">
        <v>-2.1</v>
      </c>
      <c r="K109" s="2248" t="s">
        <v>3521</v>
      </c>
      <c r="L109" s="2248" t="s">
        <v>3521</v>
      </c>
      <c r="M109" s="2248" t="s">
        <v>3521</v>
      </c>
      <c r="N109" s="2249" t="s">
        <v>3521</v>
      </c>
      <c r="O109" s="2250"/>
      <c r="P109" s="2251"/>
      <c r="Q109" s="2252"/>
      <c r="R109" s="2250"/>
      <c r="S109" s="2253">
        <v>10</v>
      </c>
      <c r="T109" s="2161">
        <v>0</v>
      </c>
      <c r="U109" s="2245">
        <v>1</v>
      </c>
      <c r="V109" s="2245">
        <v>15</v>
      </c>
      <c r="W109" s="2245">
        <v>128.45752167880846</v>
      </c>
      <c r="X109" s="2245">
        <v>3.6248559335500571E-2</v>
      </c>
      <c r="Y109" s="2245">
        <v>0</v>
      </c>
      <c r="Z109" s="2161">
        <v>0</v>
      </c>
      <c r="AA109" s="2245" t="e">
        <v>#DIV/0!</v>
      </c>
      <c r="AB109" s="2245">
        <v>2.2000000000000002</v>
      </c>
      <c r="AC109" s="2245">
        <v>0</v>
      </c>
      <c r="AD109" s="2245" t="s">
        <v>1240</v>
      </c>
      <c r="AE109" s="2254">
        <v>1.4999999999999999E-2</v>
      </c>
      <c r="AF109" s="2255">
        <v>1</v>
      </c>
      <c r="AG109" s="2245">
        <v>0.6</v>
      </c>
      <c r="AH109" s="2245"/>
      <c r="AJ109" s="2256"/>
      <c r="AK109" s="2257">
        <v>0</v>
      </c>
      <c r="AL109" s="2245">
        <v>0</v>
      </c>
      <c r="AM109" s="2245">
        <v>0</v>
      </c>
      <c r="AN109" s="2245" t="e">
        <v>#DIV/0!</v>
      </c>
      <c r="AO109" s="2245" t="e">
        <v>#DIV/0!</v>
      </c>
      <c r="AP109" s="2258">
        <v>0</v>
      </c>
      <c r="AQ109" s="2259"/>
      <c r="AR109" s="2259">
        <v>0</v>
      </c>
      <c r="AS109" s="2260" t="s">
        <v>3521</v>
      </c>
      <c r="AT109" s="2259"/>
      <c r="AU109" s="2259"/>
      <c r="AV109" s="2259"/>
      <c r="AW109" s="2259">
        <v>0</v>
      </c>
      <c r="AX109" s="2261">
        <v>10000</v>
      </c>
      <c r="AY109" s="2261">
        <v>10000</v>
      </c>
      <c r="AZ109" s="2261">
        <v>10000</v>
      </c>
      <c r="BA109" s="2261">
        <v>15</v>
      </c>
      <c r="BB109" s="2261">
        <v>0</v>
      </c>
      <c r="BC109" s="2261">
        <v>0</v>
      </c>
      <c r="BD109" s="2229">
        <v>0</v>
      </c>
      <c r="BE109" s="2229">
        <v>0.114396</v>
      </c>
      <c r="BF109" s="2229">
        <v>0</v>
      </c>
      <c r="BG109" s="2229">
        <v>0</v>
      </c>
      <c r="BH109" s="2229">
        <v>0</v>
      </c>
      <c r="BI109" s="2229">
        <v>0</v>
      </c>
      <c r="BJ109" s="2229">
        <v>0</v>
      </c>
      <c r="BK109" s="2262">
        <v>0</v>
      </c>
      <c r="BL109" s="2262">
        <v>0</v>
      </c>
      <c r="BM109" s="2262">
        <v>-2.1</v>
      </c>
      <c r="BN109" s="2262">
        <v>2.1</v>
      </c>
      <c r="BO109" s="2262">
        <v>0</v>
      </c>
      <c r="BP109" s="2262">
        <v>0</v>
      </c>
      <c r="BQ109" s="2262">
        <v>0</v>
      </c>
      <c r="BR109" s="2262">
        <v>0</v>
      </c>
      <c r="BS109" s="2262">
        <v>0</v>
      </c>
      <c r="BT109" s="2262">
        <v>0</v>
      </c>
      <c r="BU109" s="2262">
        <v>0</v>
      </c>
      <c r="BV109" s="2262">
        <v>0</v>
      </c>
      <c r="BW109" s="2262">
        <v>0</v>
      </c>
      <c r="BX109" s="2263">
        <v>1</v>
      </c>
      <c r="BY109" s="2262">
        <v>0.52</v>
      </c>
      <c r="BZ109" s="2262">
        <v>0.18000000000000016</v>
      </c>
      <c r="CA109" s="2064" t="s">
        <v>3524</v>
      </c>
      <c r="CC109" s="563">
        <v>2359.5299329060649</v>
      </c>
      <c r="CD109" s="563">
        <v>2359.5299329060649</v>
      </c>
    </row>
    <row r="110" spans="1:82" s="563" customFormat="1" ht="22.9" customHeight="1">
      <c r="A110" s="2241"/>
      <c r="B110" s="2242" t="s">
        <v>4</v>
      </c>
      <c r="C110" s="2243"/>
      <c r="D110" s="2244"/>
      <c r="E110" s="2243">
        <v>-2.1</v>
      </c>
      <c r="F110" s="2245">
        <v>2.1</v>
      </c>
      <c r="G110" s="2243">
        <v>0</v>
      </c>
      <c r="H110" s="2246">
        <v>-2.1</v>
      </c>
      <c r="I110" s="2245">
        <v>2.1</v>
      </c>
      <c r="J110" s="2247">
        <v>-2.1</v>
      </c>
      <c r="K110" s="2248" t="s">
        <v>3521</v>
      </c>
      <c r="L110" s="2248" t="s">
        <v>3521</v>
      </c>
      <c r="M110" s="2248" t="s">
        <v>3521</v>
      </c>
      <c r="N110" s="2249" t="s">
        <v>3521</v>
      </c>
      <c r="O110" s="2250"/>
      <c r="P110" s="2251"/>
      <c r="Q110" s="2252"/>
      <c r="R110" s="2250"/>
      <c r="S110" s="2253">
        <v>10</v>
      </c>
      <c r="T110" s="2161">
        <v>0</v>
      </c>
      <c r="U110" s="2245">
        <v>1</v>
      </c>
      <c r="V110" s="2245">
        <v>15</v>
      </c>
      <c r="W110" s="2245">
        <v>128.45752167880846</v>
      </c>
      <c r="X110" s="2245">
        <v>3.6248559335500571E-2</v>
      </c>
      <c r="Y110" s="2245">
        <v>0</v>
      </c>
      <c r="Z110" s="2161">
        <v>0</v>
      </c>
      <c r="AA110" s="2245" t="e">
        <v>#DIV/0!</v>
      </c>
      <c r="AB110" s="2245">
        <v>2.2000000000000002</v>
      </c>
      <c r="AC110" s="2245">
        <v>0</v>
      </c>
      <c r="AD110" s="2245" t="s">
        <v>1240</v>
      </c>
      <c r="AE110" s="2254">
        <v>1.4999999999999999E-2</v>
      </c>
      <c r="AF110" s="2255">
        <v>1</v>
      </c>
      <c r="AG110" s="2245">
        <v>0.6</v>
      </c>
      <c r="AH110" s="2245"/>
      <c r="AJ110" s="2256"/>
      <c r="AK110" s="2257">
        <v>0</v>
      </c>
      <c r="AL110" s="2245">
        <v>0</v>
      </c>
      <c r="AM110" s="2245">
        <v>0</v>
      </c>
      <c r="AN110" s="2245" t="e">
        <v>#DIV/0!</v>
      </c>
      <c r="AO110" s="2245" t="e">
        <v>#DIV/0!</v>
      </c>
      <c r="AP110" s="2258">
        <v>0</v>
      </c>
      <c r="AQ110" s="2259"/>
      <c r="AR110" s="2259">
        <v>0</v>
      </c>
      <c r="AS110" s="2260" t="s">
        <v>3521</v>
      </c>
      <c r="AT110" s="2259"/>
      <c r="AU110" s="2259"/>
      <c r="AV110" s="2259"/>
      <c r="AW110" s="2259">
        <v>0</v>
      </c>
      <c r="AX110" s="2261">
        <v>10000</v>
      </c>
      <c r="AY110" s="2261">
        <v>10000</v>
      </c>
      <c r="AZ110" s="2261">
        <v>10000</v>
      </c>
      <c r="BA110" s="2261">
        <v>15</v>
      </c>
      <c r="BB110" s="2261">
        <v>0</v>
      </c>
      <c r="BC110" s="2261">
        <v>0</v>
      </c>
      <c r="BD110" s="2229">
        <v>0</v>
      </c>
      <c r="BE110" s="2229">
        <v>0.114396</v>
      </c>
      <c r="BF110" s="2229">
        <v>0</v>
      </c>
      <c r="BG110" s="2229">
        <v>0</v>
      </c>
      <c r="BH110" s="2229">
        <v>0</v>
      </c>
      <c r="BI110" s="2229">
        <v>0</v>
      </c>
      <c r="BJ110" s="2229">
        <v>0</v>
      </c>
      <c r="BK110" s="2262">
        <v>0</v>
      </c>
      <c r="BL110" s="2262">
        <v>0</v>
      </c>
      <c r="BM110" s="2262">
        <v>-2.1</v>
      </c>
      <c r="BN110" s="2262">
        <v>2.1</v>
      </c>
      <c r="BO110" s="2262">
        <v>0</v>
      </c>
      <c r="BP110" s="2262">
        <v>0</v>
      </c>
      <c r="BQ110" s="2262">
        <v>0</v>
      </c>
      <c r="BR110" s="2262">
        <v>0</v>
      </c>
      <c r="BS110" s="2262">
        <v>0</v>
      </c>
      <c r="BT110" s="2262">
        <v>0</v>
      </c>
      <c r="BU110" s="2262">
        <v>0</v>
      </c>
      <c r="BV110" s="2262">
        <v>0</v>
      </c>
      <c r="BW110" s="2262">
        <v>0</v>
      </c>
      <c r="BX110" s="2263">
        <v>1</v>
      </c>
      <c r="BY110" s="2262">
        <v>0.52</v>
      </c>
      <c r="BZ110" s="2262">
        <v>0.18000000000000016</v>
      </c>
      <c r="CA110" s="2064" t="s">
        <v>3524</v>
      </c>
      <c r="CC110" s="563">
        <v>2359.5299329060649</v>
      </c>
      <c r="CD110" s="563">
        <v>2359.5299329060649</v>
      </c>
    </row>
    <row r="111" spans="1:82" s="563" customFormat="1" ht="22.9" customHeight="1">
      <c r="A111" s="2241"/>
      <c r="B111" s="2242" t="s">
        <v>4</v>
      </c>
      <c r="C111" s="2243"/>
      <c r="D111" s="2244"/>
      <c r="E111" s="2243">
        <v>-2.1</v>
      </c>
      <c r="F111" s="2245">
        <v>2.1</v>
      </c>
      <c r="G111" s="2243">
        <v>0</v>
      </c>
      <c r="H111" s="2246">
        <v>-2.1</v>
      </c>
      <c r="I111" s="2245">
        <v>2.1</v>
      </c>
      <c r="J111" s="2247">
        <v>-2.1</v>
      </c>
      <c r="K111" s="2248" t="s">
        <v>3521</v>
      </c>
      <c r="L111" s="2248" t="s">
        <v>3521</v>
      </c>
      <c r="M111" s="2248" t="s">
        <v>3521</v>
      </c>
      <c r="N111" s="2249" t="s">
        <v>3521</v>
      </c>
      <c r="O111" s="2250"/>
      <c r="P111" s="2251"/>
      <c r="Q111" s="2252"/>
      <c r="R111" s="2250"/>
      <c r="S111" s="2253">
        <v>10</v>
      </c>
      <c r="T111" s="2161">
        <v>0</v>
      </c>
      <c r="U111" s="2245">
        <v>1</v>
      </c>
      <c r="V111" s="2245">
        <v>15</v>
      </c>
      <c r="W111" s="2245">
        <v>128.45752167880846</v>
      </c>
      <c r="X111" s="2245">
        <v>3.6248559335500571E-2</v>
      </c>
      <c r="Y111" s="2245">
        <v>0</v>
      </c>
      <c r="Z111" s="2161">
        <v>0</v>
      </c>
      <c r="AA111" s="2245" t="e">
        <v>#DIV/0!</v>
      </c>
      <c r="AB111" s="2245">
        <v>2.2000000000000002</v>
      </c>
      <c r="AC111" s="2245">
        <v>0</v>
      </c>
      <c r="AD111" s="2245" t="s">
        <v>1240</v>
      </c>
      <c r="AE111" s="2254">
        <v>1.4999999999999999E-2</v>
      </c>
      <c r="AF111" s="2255">
        <v>1</v>
      </c>
      <c r="AG111" s="2245">
        <v>0.6</v>
      </c>
      <c r="AH111" s="2245"/>
      <c r="AJ111" s="2256"/>
      <c r="AK111" s="2257">
        <v>0</v>
      </c>
      <c r="AL111" s="2245">
        <v>0</v>
      </c>
      <c r="AM111" s="2245">
        <v>0</v>
      </c>
      <c r="AN111" s="2245" t="e">
        <v>#DIV/0!</v>
      </c>
      <c r="AO111" s="2245" t="e">
        <v>#DIV/0!</v>
      </c>
      <c r="AP111" s="2258">
        <v>0</v>
      </c>
      <c r="AQ111" s="2259"/>
      <c r="AR111" s="2259">
        <v>0</v>
      </c>
      <c r="AS111" s="2260" t="s">
        <v>3521</v>
      </c>
      <c r="AT111" s="2259"/>
      <c r="AU111" s="2259"/>
      <c r="AV111" s="2259"/>
      <c r="AW111" s="2259">
        <v>0</v>
      </c>
      <c r="AX111" s="2261">
        <v>10000</v>
      </c>
      <c r="AY111" s="2261">
        <v>10000</v>
      </c>
      <c r="AZ111" s="2261">
        <v>10000</v>
      </c>
      <c r="BA111" s="2261">
        <v>15</v>
      </c>
      <c r="BB111" s="2261">
        <v>0</v>
      </c>
      <c r="BC111" s="2261">
        <v>0</v>
      </c>
      <c r="BD111" s="2229">
        <v>0</v>
      </c>
      <c r="BE111" s="2229">
        <v>0.114396</v>
      </c>
      <c r="BF111" s="2229">
        <v>0</v>
      </c>
      <c r="BG111" s="2229">
        <v>0</v>
      </c>
      <c r="BH111" s="2229">
        <v>0</v>
      </c>
      <c r="BI111" s="2229">
        <v>0</v>
      </c>
      <c r="BJ111" s="2229">
        <v>0</v>
      </c>
      <c r="BK111" s="2262">
        <v>0</v>
      </c>
      <c r="BL111" s="2262">
        <v>0</v>
      </c>
      <c r="BM111" s="2262">
        <v>-2.1</v>
      </c>
      <c r="BN111" s="2262">
        <v>2.1</v>
      </c>
      <c r="BO111" s="2262">
        <v>0</v>
      </c>
      <c r="BP111" s="2262">
        <v>0</v>
      </c>
      <c r="BQ111" s="2262">
        <v>0</v>
      </c>
      <c r="BR111" s="2262">
        <v>0</v>
      </c>
      <c r="BS111" s="2262">
        <v>0</v>
      </c>
      <c r="BT111" s="2262">
        <v>0</v>
      </c>
      <c r="BU111" s="2262">
        <v>0</v>
      </c>
      <c r="BV111" s="2262">
        <v>0</v>
      </c>
      <c r="BW111" s="2262">
        <v>0</v>
      </c>
      <c r="BX111" s="2263">
        <v>1</v>
      </c>
      <c r="BY111" s="2262">
        <v>0.52</v>
      </c>
      <c r="BZ111" s="2262">
        <v>0.18000000000000016</v>
      </c>
      <c r="CA111" s="2064" t="s">
        <v>3524</v>
      </c>
      <c r="CC111" s="563">
        <v>2359.5299329060649</v>
      </c>
      <c r="CD111" s="563">
        <v>2359.5299329060649</v>
      </c>
    </row>
    <row r="112" spans="1:82" s="563" customFormat="1" ht="22.9" customHeight="1">
      <c r="A112" s="2241"/>
      <c r="B112" s="2242" t="s">
        <v>4</v>
      </c>
      <c r="C112" s="2243"/>
      <c r="D112" s="2244"/>
      <c r="E112" s="2243">
        <v>-2.1</v>
      </c>
      <c r="F112" s="2245">
        <v>2.1</v>
      </c>
      <c r="G112" s="2243">
        <v>0</v>
      </c>
      <c r="H112" s="2246">
        <v>-2.1</v>
      </c>
      <c r="I112" s="2245">
        <v>2.1</v>
      </c>
      <c r="J112" s="2247">
        <v>-2.1</v>
      </c>
      <c r="K112" s="2248" t="s">
        <v>3521</v>
      </c>
      <c r="L112" s="2248" t="s">
        <v>3521</v>
      </c>
      <c r="M112" s="2248" t="s">
        <v>3521</v>
      </c>
      <c r="N112" s="2249" t="s">
        <v>3521</v>
      </c>
      <c r="O112" s="2250"/>
      <c r="P112" s="2251"/>
      <c r="Q112" s="2252"/>
      <c r="R112" s="2250"/>
      <c r="S112" s="2253">
        <v>10</v>
      </c>
      <c r="T112" s="2161">
        <v>0</v>
      </c>
      <c r="U112" s="2245">
        <v>1</v>
      </c>
      <c r="V112" s="2245">
        <v>15</v>
      </c>
      <c r="W112" s="2245">
        <v>128.45752167880846</v>
      </c>
      <c r="X112" s="2245">
        <v>3.6248559335500571E-2</v>
      </c>
      <c r="Y112" s="2245">
        <v>0</v>
      </c>
      <c r="Z112" s="2161">
        <v>0</v>
      </c>
      <c r="AA112" s="2245" t="e">
        <v>#DIV/0!</v>
      </c>
      <c r="AB112" s="2245">
        <v>2.2000000000000002</v>
      </c>
      <c r="AC112" s="2245">
        <v>0</v>
      </c>
      <c r="AD112" s="2245" t="s">
        <v>1240</v>
      </c>
      <c r="AE112" s="2254">
        <v>1.4999999999999999E-2</v>
      </c>
      <c r="AF112" s="2255">
        <v>1</v>
      </c>
      <c r="AG112" s="2245">
        <v>0.6</v>
      </c>
      <c r="AH112" s="2245"/>
      <c r="AJ112" s="2256"/>
      <c r="AK112" s="2257">
        <v>0</v>
      </c>
      <c r="AL112" s="2245">
        <v>0</v>
      </c>
      <c r="AM112" s="2245">
        <v>0</v>
      </c>
      <c r="AN112" s="2245" t="e">
        <v>#DIV/0!</v>
      </c>
      <c r="AO112" s="2245" t="e">
        <v>#DIV/0!</v>
      </c>
      <c r="AP112" s="2258">
        <v>0</v>
      </c>
      <c r="AQ112" s="2259"/>
      <c r="AR112" s="2259">
        <v>0</v>
      </c>
      <c r="AS112" s="2260" t="s">
        <v>3521</v>
      </c>
      <c r="AT112" s="2259"/>
      <c r="AU112" s="2259"/>
      <c r="AV112" s="2259"/>
      <c r="AW112" s="2259">
        <v>0</v>
      </c>
      <c r="AX112" s="2261">
        <v>10000</v>
      </c>
      <c r="AY112" s="2261">
        <v>10000</v>
      </c>
      <c r="AZ112" s="2261">
        <v>10000</v>
      </c>
      <c r="BA112" s="2261">
        <v>15</v>
      </c>
      <c r="BB112" s="2261">
        <v>0</v>
      </c>
      <c r="BC112" s="2261">
        <v>0</v>
      </c>
      <c r="BD112" s="2229">
        <v>0</v>
      </c>
      <c r="BE112" s="2229">
        <v>0.114396</v>
      </c>
      <c r="BF112" s="2229">
        <v>0</v>
      </c>
      <c r="BG112" s="2229">
        <v>0</v>
      </c>
      <c r="BH112" s="2229">
        <v>0</v>
      </c>
      <c r="BI112" s="2229">
        <v>0</v>
      </c>
      <c r="BJ112" s="2229">
        <v>0</v>
      </c>
      <c r="BK112" s="2262">
        <v>0</v>
      </c>
      <c r="BL112" s="2262">
        <v>0</v>
      </c>
      <c r="BM112" s="2262">
        <v>-2.1</v>
      </c>
      <c r="BN112" s="2262">
        <v>2.1</v>
      </c>
      <c r="BO112" s="2262">
        <v>0</v>
      </c>
      <c r="BP112" s="2262">
        <v>0</v>
      </c>
      <c r="BQ112" s="2262">
        <v>0</v>
      </c>
      <c r="BR112" s="2262">
        <v>0</v>
      </c>
      <c r="BS112" s="2262">
        <v>0</v>
      </c>
      <c r="BT112" s="2262">
        <v>0</v>
      </c>
      <c r="BU112" s="2262">
        <v>0</v>
      </c>
      <c r="BV112" s="2262">
        <v>0</v>
      </c>
      <c r="BW112" s="2262">
        <v>0</v>
      </c>
      <c r="BX112" s="2263">
        <v>1</v>
      </c>
      <c r="BY112" s="2262">
        <v>0.52</v>
      </c>
      <c r="BZ112" s="2262">
        <v>0.18000000000000016</v>
      </c>
      <c r="CA112" s="2064" t="s">
        <v>3524</v>
      </c>
      <c r="CC112" s="563">
        <v>2359.5299329060649</v>
      </c>
      <c r="CD112" s="563">
        <v>2359.5299329060649</v>
      </c>
    </row>
    <row r="113" spans="1:82" s="563" customFormat="1" ht="22.9" customHeight="1">
      <c r="A113" s="2241"/>
      <c r="B113" s="2242" t="s">
        <v>4</v>
      </c>
      <c r="C113" s="2243"/>
      <c r="D113" s="2244"/>
      <c r="E113" s="2243">
        <v>-2.1</v>
      </c>
      <c r="F113" s="2245">
        <v>2.1</v>
      </c>
      <c r="G113" s="2243">
        <v>0</v>
      </c>
      <c r="H113" s="2246">
        <v>-2.1</v>
      </c>
      <c r="I113" s="2245">
        <v>2.1</v>
      </c>
      <c r="J113" s="2247">
        <v>-2.1</v>
      </c>
      <c r="K113" s="2248" t="s">
        <v>3521</v>
      </c>
      <c r="L113" s="2248" t="s">
        <v>3521</v>
      </c>
      <c r="M113" s="2248" t="s">
        <v>3521</v>
      </c>
      <c r="N113" s="2249" t="s">
        <v>3521</v>
      </c>
      <c r="O113" s="2250"/>
      <c r="P113" s="2251"/>
      <c r="Q113" s="2252"/>
      <c r="R113" s="2250"/>
      <c r="S113" s="2253">
        <v>10</v>
      </c>
      <c r="T113" s="2161">
        <v>0</v>
      </c>
      <c r="U113" s="2245">
        <v>1</v>
      </c>
      <c r="V113" s="2245">
        <v>15</v>
      </c>
      <c r="W113" s="2245">
        <v>128.45752167880846</v>
      </c>
      <c r="X113" s="2245">
        <v>3.6248559335500571E-2</v>
      </c>
      <c r="Y113" s="2245">
        <v>0</v>
      </c>
      <c r="Z113" s="2161">
        <v>0</v>
      </c>
      <c r="AA113" s="2245" t="e">
        <v>#DIV/0!</v>
      </c>
      <c r="AB113" s="2245">
        <v>2.2000000000000002</v>
      </c>
      <c r="AC113" s="2245">
        <v>0</v>
      </c>
      <c r="AD113" s="2245" t="s">
        <v>1240</v>
      </c>
      <c r="AE113" s="2254">
        <v>1.4999999999999999E-2</v>
      </c>
      <c r="AF113" s="2255">
        <v>1</v>
      </c>
      <c r="AG113" s="2245">
        <v>0.6</v>
      </c>
      <c r="AH113" s="2245"/>
      <c r="AJ113" s="2256"/>
      <c r="AK113" s="2257">
        <v>0</v>
      </c>
      <c r="AL113" s="2245">
        <v>0</v>
      </c>
      <c r="AM113" s="2245">
        <v>0</v>
      </c>
      <c r="AN113" s="2245" t="e">
        <v>#DIV/0!</v>
      </c>
      <c r="AO113" s="2245" t="e">
        <v>#DIV/0!</v>
      </c>
      <c r="AP113" s="2258">
        <v>0</v>
      </c>
      <c r="AQ113" s="2259"/>
      <c r="AR113" s="2259">
        <v>0</v>
      </c>
      <c r="AS113" s="2260" t="s">
        <v>3521</v>
      </c>
      <c r="AT113" s="2259"/>
      <c r="AU113" s="2259"/>
      <c r="AV113" s="2259"/>
      <c r="AW113" s="2259">
        <v>0</v>
      </c>
      <c r="AX113" s="2261">
        <v>10000</v>
      </c>
      <c r="AY113" s="2261">
        <v>10000</v>
      </c>
      <c r="AZ113" s="2261">
        <v>10000</v>
      </c>
      <c r="BA113" s="2261">
        <v>15</v>
      </c>
      <c r="BB113" s="2261">
        <v>0</v>
      </c>
      <c r="BC113" s="2261">
        <v>0</v>
      </c>
      <c r="BD113" s="2229">
        <v>0</v>
      </c>
      <c r="BE113" s="2229">
        <v>0.114396</v>
      </c>
      <c r="BF113" s="2229">
        <v>0</v>
      </c>
      <c r="BG113" s="2229">
        <v>0</v>
      </c>
      <c r="BH113" s="2229">
        <v>0</v>
      </c>
      <c r="BI113" s="2229">
        <v>0</v>
      </c>
      <c r="BJ113" s="2229">
        <v>0</v>
      </c>
      <c r="BK113" s="2262">
        <v>0</v>
      </c>
      <c r="BL113" s="2262">
        <v>0</v>
      </c>
      <c r="BM113" s="2262">
        <v>-2.1</v>
      </c>
      <c r="BN113" s="2262">
        <v>2.1</v>
      </c>
      <c r="BO113" s="2262">
        <v>0</v>
      </c>
      <c r="BP113" s="2262">
        <v>0</v>
      </c>
      <c r="BQ113" s="2262">
        <v>0</v>
      </c>
      <c r="BR113" s="2262">
        <v>0</v>
      </c>
      <c r="BS113" s="2262">
        <v>0</v>
      </c>
      <c r="BT113" s="2262">
        <v>0</v>
      </c>
      <c r="BU113" s="2262">
        <v>0</v>
      </c>
      <c r="BV113" s="2262">
        <v>0</v>
      </c>
      <c r="BW113" s="2262">
        <v>0</v>
      </c>
      <c r="BX113" s="2263">
        <v>1</v>
      </c>
      <c r="BY113" s="2262">
        <v>0.52</v>
      </c>
      <c r="BZ113" s="2262">
        <v>0.18000000000000016</v>
      </c>
      <c r="CA113" s="2064" t="s">
        <v>3524</v>
      </c>
      <c r="CC113" s="563">
        <v>2359.5299329060649</v>
      </c>
      <c r="CD113" s="563">
        <v>2359.5299329060649</v>
      </c>
    </row>
    <row r="114" spans="1:82" s="563" customFormat="1" ht="22.9" customHeight="1">
      <c r="A114" s="2241"/>
      <c r="B114" s="2242" t="s">
        <v>4</v>
      </c>
      <c r="C114" s="2243"/>
      <c r="D114" s="2244"/>
      <c r="E114" s="2243">
        <v>-2.1</v>
      </c>
      <c r="F114" s="2245">
        <v>2.1</v>
      </c>
      <c r="G114" s="2243">
        <v>0</v>
      </c>
      <c r="H114" s="2246">
        <v>-2.1</v>
      </c>
      <c r="I114" s="2245">
        <v>2.1</v>
      </c>
      <c r="J114" s="2247">
        <v>-2.1</v>
      </c>
      <c r="K114" s="2248" t="s">
        <v>3521</v>
      </c>
      <c r="L114" s="2248" t="s">
        <v>3521</v>
      </c>
      <c r="M114" s="2248" t="s">
        <v>3521</v>
      </c>
      <c r="N114" s="2249" t="s">
        <v>3521</v>
      </c>
      <c r="O114" s="2250"/>
      <c r="P114" s="2251"/>
      <c r="Q114" s="2252"/>
      <c r="R114" s="2250"/>
      <c r="S114" s="2253">
        <v>10</v>
      </c>
      <c r="T114" s="2161">
        <v>0</v>
      </c>
      <c r="U114" s="2245">
        <v>1</v>
      </c>
      <c r="V114" s="2245">
        <v>15</v>
      </c>
      <c r="W114" s="2245">
        <v>128.45752167880846</v>
      </c>
      <c r="X114" s="2245">
        <v>3.6248559335500571E-2</v>
      </c>
      <c r="Y114" s="2245">
        <v>0</v>
      </c>
      <c r="Z114" s="2161">
        <v>0</v>
      </c>
      <c r="AA114" s="2245" t="e">
        <v>#DIV/0!</v>
      </c>
      <c r="AB114" s="2245">
        <v>2.2000000000000002</v>
      </c>
      <c r="AC114" s="2245">
        <v>0</v>
      </c>
      <c r="AD114" s="2245" t="s">
        <v>1240</v>
      </c>
      <c r="AE114" s="2254">
        <v>1.4999999999999999E-2</v>
      </c>
      <c r="AF114" s="2255">
        <v>1</v>
      </c>
      <c r="AG114" s="2245">
        <v>0.6</v>
      </c>
      <c r="AH114" s="2245"/>
      <c r="AJ114" s="2256"/>
      <c r="AK114" s="2257">
        <v>0</v>
      </c>
      <c r="AL114" s="2245">
        <v>0</v>
      </c>
      <c r="AM114" s="2245">
        <v>0</v>
      </c>
      <c r="AN114" s="2245" t="e">
        <v>#DIV/0!</v>
      </c>
      <c r="AO114" s="2245" t="e">
        <v>#DIV/0!</v>
      </c>
      <c r="AP114" s="2258">
        <v>0</v>
      </c>
      <c r="AQ114" s="2259"/>
      <c r="AR114" s="2259">
        <v>0</v>
      </c>
      <c r="AS114" s="2260" t="s">
        <v>3521</v>
      </c>
      <c r="AT114" s="2259"/>
      <c r="AU114" s="2259"/>
      <c r="AV114" s="2259"/>
      <c r="AW114" s="2259">
        <v>0</v>
      </c>
      <c r="AX114" s="2261">
        <v>10000</v>
      </c>
      <c r="AY114" s="2261">
        <v>10000</v>
      </c>
      <c r="AZ114" s="2261">
        <v>10000</v>
      </c>
      <c r="BA114" s="2261">
        <v>15</v>
      </c>
      <c r="BB114" s="2261">
        <v>0</v>
      </c>
      <c r="BC114" s="2261">
        <v>0</v>
      </c>
      <c r="BD114" s="2229">
        <v>0</v>
      </c>
      <c r="BE114" s="2229">
        <v>0.114396</v>
      </c>
      <c r="BF114" s="2229">
        <v>0</v>
      </c>
      <c r="BG114" s="2229">
        <v>0</v>
      </c>
      <c r="BH114" s="2229">
        <v>0</v>
      </c>
      <c r="BI114" s="2229">
        <v>0</v>
      </c>
      <c r="BJ114" s="2229">
        <v>0</v>
      </c>
      <c r="BK114" s="2262">
        <v>0</v>
      </c>
      <c r="BL114" s="2262">
        <v>0</v>
      </c>
      <c r="BM114" s="2262">
        <v>-2.1</v>
      </c>
      <c r="BN114" s="2262">
        <v>2.1</v>
      </c>
      <c r="BO114" s="2262">
        <v>0</v>
      </c>
      <c r="BP114" s="2262">
        <v>0</v>
      </c>
      <c r="BQ114" s="2262">
        <v>0</v>
      </c>
      <c r="BR114" s="2262">
        <v>0</v>
      </c>
      <c r="BS114" s="2262">
        <v>0</v>
      </c>
      <c r="BT114" s="2262">
        <v>0</v>
      </c>
      <c r="BU114" s="2262">
        <v>0</v>
      </c>
      <c r="BV114" s="2262">
        <v>0</v>
      </c>
      <c r="BW114" s="2262">
        <v>0</v>
      </c>
      <c r="BX114" s="2263">
        <v>1</v>
      </c>
      <c r="BY114" s="2262">
        <v>0.52</v>
      </c>
      <c r="BZ114" s="2262">
        <v>0.18000000000000016</v>
      </c>
      <c r="CA114" s="2064" t="s">
        <v>3524</v>
      </c>
      <c r="CC114" s="563">
        <v>2359.5299329060649</v>
      </c>
      <c r="CD114" s="563">
        <v>2359.5299329060649</v>
      </c>
    </row>
    <row r="115" spans="1:82" s="563" customFormat="1" ht="22.9" customHeight="1">
      <c r="A115" s="2241"/>
      <c r="B115" s="2242" t="s">
        <v>4</v>
      </c>
      <c r="C115" s="2243"/>
      <c r="D115" s="2244"/>
      <c r="E115" s="2243">
        <v>-2.1</v>
      </c>
      <c r="F115" s="2245">
        <v>2.1</v>
      </c>
      <c r="G115" s="2243">
        <v>0</v>
      </c>
      <c r="H115" s="2246">
        <v>-2.1</v>
      </c>
      <c r="I115" s="2245">
        <v>2.1</v>
      </c>
      <c r="J115" s="2247">
        <v>-2.1</v>
      </c>
      <c r="K115" s="2248" t="s">
        <v>3521</v>
      </c>
      <c r="L115" s="2248" t="s">
        <v>3521</v>
      </c>
      <c r="M115" s="2248" t="s">
        <v>3521</v>
      </c>
      <c r="N115" s="2249" t="s">
        <v>3521</v>
      </c>
      <c r="O115" s="2250"/>
      <c r="P115" s="2251"/>
      <c r="Q115" s="2252"/>
      <c r="R115" s="2250"/>
      <c r="S115" s="2253">
        <v>10</v>
      </c>
      <c r="T115" s="2161">
        <v>0</v>
      </c>
      <c r="U115" s="2245">
        <v>1</v>
      </c>
      <c r="V115" s="2245">
        <v>15</v>
      </c>
      <c r="W115" s="2245">
        <v>128.45752167880846</v>
      </c>
      <c r="X115" s="2245">
        <v>3.6248559335500571E-2</v>
      </c>
      <c r="Y115" s="2245">
        <v>0</v>
      </c>
      <c r="Z115" s="2161">
        <v>0</v>
      </c>
      <c r="AA115" s="2245" t="e">
        <v>#DIV/0!</v>
      </c>
      <c r="AB115" s="2245">
        <v>2.2000000000000002</v>
      </c>
      <c r="AC115" s="2245">
        <v>0</v>
      </c>
      <c r="AD115" s="2245" t="s">
        <v>1240</v>
      </c>
      <c r="AE115" s="2254">
        <v>1.4999999999999999E-2</v>
      </c>
      <c r="AF115" s="2255">
        <v>1</v>
      </c>
      <c r="AG115" s="2245">
        <v>0.6</v>
      </c>
      <c r="AH115" s="2245"/>
      <c r="AJ115" s="2256"/>
      <c r="AK115" s="2257">
        <v>0</v>
      </c>
      <c r="AL115" s="2245">
        <v>0</v>
      </c>
      <c r="AM115" s="2245">
        <v>0</v>
      </c>
      <c r="AN115" s="2245" t="e">
        <v>#DIV/0!</v>
      </c>
      <c r="AO115" s="2245" t="e">
        <v>#DIV/0!</v>
      </c>
      <c r="AP115" s="2258">
        <v>0</v>
      </c>
      <c r="AQ115" s="2259"/>
      <c r="AR115" s="2259">
        <v>0</v>
      </c>
      <c r="AS115" s="2260" t="s">
        <v>3521</v>
      </c>
      <c r="AT115" s="2259"/>
      <c r="AU115" s="2259"/>
      <c r="AV115" s="2259"/>
      <c r="AW115" s="2259">
        <v>0</v>
      </c>
      <c r="AX115" s="2261">
        <v>10000</v>
      </c>
      <c r="AY115" s="2261">
        <v>10000</v>
      </c>
      <c r="AZ115" s="2261">
        <v>10000</v>
      </c>
      <c r="BA115" s="2261">
        <v>15</v>
      </c>
      <c r="BB115" s="2261">
        <v>0</v>
      </c>
      <c r="BC115" s="2261">
        <v>0</v>
      </c>
      <c r="BD115" s="2229">
        <v>0</v>
      </c>
      <c r="BE115" s="2229">
        <v>0.114396</v>
      </c>
      <c r="BF115" s="2229">
        <v>0</v>
      </c>
      <c r="BG115" s="2229">
        <v>0</v>
      </c>
      <c r="BH115" s="2229">
        <v>0</v>
      </c>
      <c r="BI115" s="2229">
        <v>0</v>
      </c>
      <c r="BJ115" s="2229">
        <v>0</v>
      </c>
      <c r="BK115" s="2262">
        <v>0</v>
      </c>
      <c r="BL115" s="2262">
        <v>0</v>
      </c>
      <c r="BM115" s="2262">
        <v>-2.1</v>
      </c>
      <c r="BN115" s="2262">
        <v>2.1</v>
      </c>
      <c r="BO115" s="2262">
        <v>0</v>
      </c>
      <c r="BP115" s="2262">
        <v>0</v>
      </c>
      <c r="BQ115" s="2262">
        <v>0</v>
      </c>
      <c r="BR115" s="2262">
        <v>0</v>
      </c>
      <c r="BS115" s="2262">
        <v>0</v>
      </c>
      <c r="BT115" s="2262">
        <v>0</v>
      </c>
      <c r="BU115" s="2262">
        <v>0</v>
      </c>
      <c r="BV115" s="2262">
        <v>0</v>
      </c>
      <c r="BW115" s="2262">
        <v>0</v>
      </c>
      <c r="BX115" s="2263">
        <v>1</v>
      </c>
      <c r="BY115" s="2262">
        <v>0.52</v>
      </c>
      <c r="BZ115" s="2262">
        <v>0.18000000000000016</v>
      </c>
      <c r="CA115" s="2064" t="s">
        <v>3524</v>
      </c>
      <c r="CC115" s="563">
        <v>2359.5299329060649</v>
      </c>
      <c r="CD115" s="563">
        <v>2359.5299329060649</v>
      </c>
    </row>
    <row r="116" spans="1:82" s="563" customFormat="1" ht="22.9" customHeight="1">
      <c r="A116" s="2241"/>
      <c r="B116" s="2242" t="s">
        <v>4</v>
      </c>
      <c r="C116" s="2243"/>
      <c r="D116" s="2244"/>
      <c r="E116" s="2243">
        <v>-2.1</v>
      </c>
      <c r="F116" s="2245">
        <v>2.1</v>
      </c>
      <c r="G116" s="2243">
        <v>0</v>
      </c>
      <c r="H116" s="2246">
        <v>-2.1</v>
      </c>
      <c r="I116" s="2245">
        <v>2.1</v>
      </c>
      <c r="J116" s="2247">
        <v>-2.1</v>
      </c>
      <c r="K116" s="2248" t="s">
        <v>3521</v>
      </c>
      <c r="L116" s="2248" t="s">
        <v>3521</v>
      </c>
      <c r="M116" s="2248" t="s">
        <v>3521</v>
      </c>
      <c r="N116" s="2249" t="s">
        <v>3521</v>
      </c>
      <c r="O116" s="2250"/>
      <c r="P116" s="2251"/>
      <c r="Q116" s="2252"/>
      <c r="R116" s="2250"/>
      <c r="S116" s="2253">
        <v>10</v>
      </c>
      <c r="T116" s="2161">
        <v>0</v>
      </c>
      <c r="U116" s="2245">
        <v>1</v>
      </c>
      <c r="V116" s="2245">
        <v>15</v>
      </c>
      <c r="W116" s="2245">
        <v>128.45752167880846</v>
      </c>
      <c r="X116" s="2245">
        <v>3.6248559335500571E-2</v>
      </c>
      <c r="Y116" s="2245">
        <v>0</v>
      </c>
      <c r="Z116" s="2161">
        <v>0</v>
      </c>
      <c r="AA116" s="2245" t="e">
        <v>#DIV/0!</v>
      </c>
      <c r="AB116" s="2245">
        <v>2.2000000000000002</v>
      </c>
      <c r="AC116" s="2245">
        <v>0</v>
      </c>
      <c r="AD116" s="2245" t="s">
        <v>1240</v>
      </c>
      <c r="AE116" s="2254">
        <v>1.4999999999999999E-2</v>
      </c>
      <c r="AF116" s="2255">
        <v>1</v>
      </c>
      <c r="AG116" s="2245">
        <v>0.6</v>
      </c>
      <c r="AH116" s="2245"/>
      <c r="AJ116" s="2256"/>
      <c r="AK116" s="2257">
        <v>0</v>
      </c>
      <c r="AL116" s="2245">
        <v>0</v>
      </c>
      <c r="AM116" s="2245">
        <v>0</v>
      </c>
      <c r="AN116" s="2245" t="e">
        <v>#DIV/0!</v>
      </c>
      <c r="AO116" s="2245" t="e">
        <v>#DIV/0!</v>
      </c>
      <c r="AP116" s="2258">
        <v>0</v>
      </c>
      <c r="AQ116" s="2259"/>
      <c r="AR116" s="2259">
        <v>0</v>
      </c>
      <c r="AS116" s="2260" t="s">
        <v>3521</v>
      </c>
      <c r="AT116" s="2259"/>
      <c r="AU116" s="2259"/>
      <c r="AV116" s="2259"/>
      <c r="AW116" s="2259">
        <v>0</v>
      </c>
      <c r="AX116" s="2261">
        <v>10000</v>
      </c>
      <c r="AY116" s="2261">
        <v>10000</v>
      </c>
      <c r="AZ116" s="2261">
        <v>10000</v>
      </c>
      <c r="BA116" s="2261">
        <v>15</v>
      </c>
      <c r="BB116" s="2261">
        <v>0</v>
      </c>
      <c r="BC116" s="2261">
        <v>0</v>
      </c>
      <c r="BD116" s="2229">
        <v>0</v>
      </c>
      <c r="BE116" s="2229">
        <v>0.114396</v>
      </c>
      <c r="BF116" s="2229">
        <v>0</v>
      </c>
      <c r="BG116" s="2229">
        <v>0</v>
      </c>
      <c r="BH116" s="2229">
        <v>0</v>
      </c>
      <c r="BI116" s="2229">
        <v>0</v>
      </c>
      <c r="BJ116" s="2229">
        <v>0</v>
      </c>
      <c r="BK116" s="2262">
        <v>0</v>
      </c>
      <c r="BL116" s="2262">
        <v>0</v>
      </c>
      <c r="BM116" s="2262">
        <v>-2.1</v>
      </c>
      <c r="BN116" s="2262">
        <v>2.1</v>
      </c>
      <c r="BO116" s="2262">
        <v>0</v>
      </c>
      <c r="BP116" s="2262">
        <v>0</v>
      </c>
      <c r="BQ116" s="2262">
        <v>0</v>
      </c>
      <c r="BR116" s="2262">
        <v>0</v>
      </c>
      <c r="BS116" s="2262">
        <v>0</v>
      </c>
      <c r="BT116" s="2262">
        <v>0</v>
      </c>
      <c r="BU116" s="2262">
        <v>0</v>
      </c>
      <c r="BV116" s="2262">
        <v>0</v>
      </c>
      <c r="BW116" s="2262">
        <v>0</v>
      </c>
      <c r="BX116" s="2263">
        <v>1</v>
      </c>
      <c r="BY116" s="2262">
        <v>0.52</v>
      </c>
      <c r="BZ116" s="2262">
        <v>0.18000000000000016</v>
      </c>
      <c r="CA116" s="2064" t="s">
        <v>3524</v>
      </c>
      <c r="CC116" s="563">
        <v>2359.5299329060649</v>
      </c>
      <c r="CD116" s="563">
        <v>2359.5299329060649</v>
      </c>
    </row>
    <row r="117" spans="1:82" s="563" customFormat="1" ht="22.9" customHeight="1">
      <c r="A117" s="2241"/>
      <c r="B117" s="2242" t="s">
        <v>4</v>
      </c>
      <c r="C117" s="2243"/>
      <c r="D117" s="2244"/>
      <c r="E117" s="2243">
        <v>-2.1</v>
      </c>
      <c r="F117" s="2245">
        <v>2.1</v>
      </c>
      <c r="G117" s="2243">
        <v>0</v>
      </c>
      <c r="H117" s="2246">
        <v>-2.1</v>
      </c>
      <c r="I117" s="2245">
        <v>2.1</v>
      </c>
      <c r="J117" s="2247">
        <v>-2.1</v>
      </c>
      <c r="K117" s="2248" t="s">
        <v>3521</v>
      </c>
      <c r="L117" s="2248" t="s">
        <v>3521</v>
      </c>
      <c r="M117" s="2248" t="s">
        <v>3521</v>
      </c>
      <c r="N117" s="2249" t="s">
        <v>3521</v>
      </c>
      <c r="O117" s="2250"/>
      <c r="P117" s="2251"/>
      <c r="Q117" s="2252"/>
      <c r="R117" s="2250"/>
      <c r="S117" s="2253">
        <v>10</v>
      </c>
      <c r="T117" s="2161">
        <v>0</v>
      </c>
      <c r="U117" s="2245">
        <v>1</v>
      </c>
      <c r="V117" s="2245">
        <v>15</v>
      </c>
      <c r="W117" s="2245">
        <v>128.45752167880846</v>
      </c>
      <c r="X117" s="2245">
        <v>3.6248559335500571E-2</v>
      </c>
      <c r="Y117" s="2245">
        <v>0</v>
      </c>
      <c r="Z117" s="2161">
        <v>0</v>
      </c>
      <c r="AA117" s="2245" t="e">
        <v>#DIV/0!</v>
      </c>
      <c r="AB117" s="2245">
        <v>2.2000000000000002</v>
      </c>
      <c r="AC117" s="2245">
        <v>0</v>
      </c>
      <c r="AD117" s="2245" t="s">
        <v>1240</v>
      </c>
      <c r="AE117" s="2254">
        <v>1.4999999999999999E-2</v>
      </c>
      <c r="AF117" s="2255">
        <v>1</v>
      </c>
      <c r="AG117" s="2245">
        <v>0.6</v>
      </c>
      <c r="AH117" s="2245"/>
      <c r="AJ117" s="2256"/>
      <c r="AK117" s="2257">
        <v>0</v>
      </c>
      <c r="AL117" s="2245">
        <v>0</v>
      </c>
      <c r="AM117" s="2245">
        <v>0</v>
      </c>
      <c r="AN117" s="2245" t="e">
        <v>#DIV/0!</v>
      </c>
      <c r="AO117" s="2245" t="e">
        <v>#DIV/0!</v>
      </c>
      <c r="AP117" s="2258">
        <v>0</v>
      </c>
      <c r="AQ117" s="2259"/>
      <c r="AR117" s="2259">
        <v>0</v>
      </c>
      <c r="AS117" s="2260" t="s">
        <v>3521</v>
      </c>
      <c r="AT117" s="2259"/>
      <c r="AU117" s="2259"/>
      <c r="AV117" s="2259"/>
      <c r="AW117" s="2259">
        <v>0</v>
      </c>
      <c r="AX117" s="2261">
        <v>10000</v>
      </c>
      <c r="AY117" s="2261">
        <v>10000</v>
      </c>
      <c r="AZ117" s="2261">
        <v>10000</v>
      </c>
      <c r="BA117" s="2261">
        <v>15</v>
      </c>
      <c r="BB117" s="2261">
        <v>0</v>
      </c>
      <c r="BC117" s="2261">
        <v>0</v>
      </c>
      <c r="BD117" s="2229">
        <v>0</v>
      </c>
      <c r="BE117" s="2229">
        <v>0.114396</v>
      </c>
      <c r="BF117" s="2229">
        <v>0</v>
      </c>
      <c r="BG117" s="2229">
        <v>0</v>
      </c>
      <c r="BH117" s="2229">
        <v>0</v>
      </c>
      <c r="BI117" s="2229">
        <v>0</v>
      </c>
      <c r="BJ117" s="2229">
        <v>0</v>
      </c>
      <c r="BK117" s="2262">
        <v>0</v>
      </c>
      <c r="BL117" s="2262">
        <v>0</v>
      </c>
      <c r="BM117" s="2262">
        <v>-2.1</v>
      </c>
      <c r="BN117" s="2262">
        <v>2.1</v>
      </c>
      <c r="BO117" s="2262">
        <v>0</v>
      </c>
      <c r="BP117" s="2262">
        <v>0</v>
      </c>
      <c r="BQ117" s="2262">
        <v>0</v>
      </c>
      <c r="BR117" s="2262">
        <v>0</v>
      </c>
      <c r="BS117" s="2262">
        <v>0</v>
      </c>
      <c r="BT117" s="2262">
        <v>0</v>
      </c>
      <c r="BU117" s="2262">
        <v>0</v>
      </c>
      <c r="BV117" s="2262">
        <v>0</v>
      </c>
      <c r="BW117" s="2262">
        <v>0</v>
      </c>
      <c r="BX117" s="2263">
        <v>1</v>
      </c>
      <c r="BY117" s="2262">
        <v>0.52</v>
      </c>
      <c r="BZ117" s="2262">
        <v>0.18000000000000016</v>
      </c>
      <c r="CA117" s="2064" t="s">
        <v>3524</v>
      </c>
      <c r="CC117" s="563">
        <v>2359.5299329060649</v>
      </c>
      <c r="CD117" s="563">
        <v>2359.5299329060649</v>
      </c>
    </row>
    <row r="118" spans="1:82" s="563" customFormat="1" ht="22.9" customHeight="1">
      <c r="A118" s="2241"/>
      <c r="B118" s="2242" t="s">
        <v>4</v>
      </c>
      <c r="C118" s="2243"/>
      <c r="D118" s="2244"/>
      <c r="E118" s="2243">
        <v>-2.1</v>
      </c>
      <c r="F118" s="2245">
        <v>2.1</v>
      </c>
      <c r="G118" s="2243">
        <v>0</v>
      </c>
      <c r="H118" s="2246">
        <v>-2.1</v>
      </c>
      <c r="I118" s="2245">
        <v>2.1</v>
      </c>
      <c r="J118" s="2247">
        <v>-2.1</v>
      </c>
      <c r="K118" s="2248" t="s">
        <v>3521</v>
      </c>
      <c r="L118" s="2248" t="s">
        <v>3521</v>
      </c>
      <c r="M118" s="2248" t="s">
        <v>3521</v>
      </c>
      <c r="N118" s="2249" t="s">
        <v>3521</v>
      </c>
      <c r="O118" s="2250"/>
      <c r="P118" s="2251"/>
      <c r="Q118" s="2252"/>
      <c r="R118" s="2250"/>
      <c r="S118" s="2253">
        <v>10</v>
      </c>
      <c r="T118" s="2161">
        <v>0</v>
      </c>
      <c r="U118" s="2245">
        <v>1</v>
      </c>
      <c r="V118" s="2245">
        <v>15</v>
      </c>
      <c r="W118" s="2245">
        <v>128.45752167880846</v>
      </c>
      <c r="X118" s="2245">
        <v>3.6248559335500571E-2</v>
      </c>
      <c r="Y118" s="2245">
        <v>0</v>
      </c>
      <c r="Z118" s="2161">
        <v>0</v>
      </c>
      <c r="AA118" s="2245" t="e">
        <v>#DIV/0!</v>
      </c>
      <c r="AB118" s="2245">
        <v>2.2000000000000002</v>
      </c>
      <c r="AC118" s="2245">
        <v>0</v>
      </c>
      <c r="AD118" s="2245" t="s">
        <v>1240</v>
      </c>
      <c r="AE118" s="2254">
        <v>1.4999999999999999E-2</v>
      </c>
      <c r="AF118" s="2255">
        <v>1</v>
      </c>
      <c r="AG118" s="2245">
        <v>0.6</v>
      </c>
      <c r="AH118" s="2245"/>
      <c r="AJ118" s="2256"/>
      <c r="AK118" s="2257">
        <v>0</v>
      </c>
      <c r="AL118" s="2245">
        <v>0</v>
      </c>
      <c r="AM118" s="2245">
        <v>0</v>
      </c>
      <c r="AN118" s="2245" t="e">
        <v>#DIV/0!</v>
      </c>
      <c r="AO118" s="2245" t="e">
        <v>#DIV/0!</v>
      </c>
      <c r="AP118" s="2258">
        <v>0</v>
      </c>
      <c r="AQ118" s="2259"/>
      <c r="AR118" s="2259">
        <v>0</v>
      </c>
      <c r="AS118" s="2260" t="s">
        <v>3521</v>
      </c>
      <c r="AT118" s="2259"/>
      <c r="AU118" s="2259"/>
      <c r="AV118" s="2259"/>
      <c r="AW118" s="2259">
        <v>0</v>
      </c>
      <c r="AX118" s="2261">
        <v>10000</v>
      </c>
      <c r="AY118" s="2261">
        <v>10000</v>
      </c>
      <c r="AZ118" s="2261">
        <v>10000</v>
      </c>
      <c r="BA118" s="2261">
        <v>15</v>
      </c>
      <c r="BB118" s="2261">
        <v>0</v>
      </c>
      <c r="BC118" s="2261">
        <v>0</v>
      </c>
      <c r="BD118" s="2229">
        <v>0</v>
      </c>
      <c r="BE118" s="2229">
        <v>0.114396</v>
      </c>
      <c r="BF118" s="2229">
        <v>0</v>
      </c>
      <c r="BG118" s="2229">
        <v>0</v>
      </c>
      <c r="BH118" s="2229">
        <v>0</v>
      </c>
      <c r="BI118" s="2229">
        <v>0</v>
      </c>
      <c r="BJ118" s="2229">
        <v>0</v>
      </c>
      <c r="BK118" s="2262">
        <v>0</v>
      </c>
      <c r="BL118" s="2262">
        <v>0</v>
      </c>
      <c r="BM118" s="2262">
        <v>-2.1</v>
      </c>
      <c r="BN118" s="2262">
        <v>2.1</v>
      </c>
      <c r="BO118" s="2262">
        <v>0</v>
      </c>
      <c r="BP118" s="2262">
        <v>0</v>
      </c>
      <c r="BQ118" s="2262">
        <v>0</v>
      </c>
      <c r="BR118" s="2262">
        <v>0</v>
      </c>
      <c r="BS118" s="2262">
        <v>0</v>
      </c>
      <c r="BT118" s="2262">
        <v>0</v>
      </c>
      <c r="BU118" s="2262">
        <v>0</v>
      </c>
      <c r="BV118" s="2262">
        <v>0</v>
      </c>
      <c r="BW118" s="2262">
        <v>0</v>
      </c>
      <c r="BX118" s="2263">
        <v>1</v>
      </c>
      <c r="BY118" s="2262">
        <v>0.52</v>
      </c>
      <c r="BZ118" s="2262">
        <v>0.18000000000000016</v>
      </c>
      <c r="CA118" s="2064" t="s">
        <v>3524</v>
      </c>
      <c r="CC118" s="563">
        <v>2359.5299329060649</v>
      </c>
      <c r="CD118" s="563">
        <v>2359.5299329060649</v>
      </c>
    </row>
    <row r="119" spans="1:82" s="563" customFormat="1" ht="22.9" customHeight="1">
      <c r="A119" s="2241"/>
      <c r="B119" s="2242" t="s">
        <v>4</v>
      </c>
      <c r="C119" s="2243"/>
      <c r="D119" s="2244"/>
      <c r="E119" s="2243">
        <v>-2.1</v>
      </c>
      <c r="F119" s="2245">
        <v>2.1</v>
      </c>
      <c r="G119" s="2243">
        <v>0</v>
      </c>
      <c r="H119" s="2246">
        <v>-2.1</v>
      </c>
      <c r="I119" s="2245">
        <v>2.1</v>
      </c>
      <c r="J119" s="2247">
        <v>-2.1</v>
      </c>
      <c r="K119" s="2248" t="s">
        <v>3521</v>
      </c>
      <c r="L119" s="2248" t="s">
        <v>3521</v>
      </c>
      <c r="M119" s="2248" t="s">
        <v>3521</v>
      </c>
      <c r="N119" s="2249" t="s">
        <v>3521</v>
      </c>
      <c r="O119" s="2250"/>
      <c r="P119" s="2251"/>
      <c r="Q119" s="2252"/>
      <c r="R119" s="2250"/>
      <c r="S119" s="2253">
        <v>10</v>
      </c>
      <c r="T119" s="2161">
        <v>0</v>
      </c>
      <c r="U119" s="2245">
        <v>1</v>
      </c>
      <c r="V119" s="2245">
        <v>15</v>
      </c>
      <c r="W119" s="2245">
        <v>128.45752167880846</v>
      </c>
      <c r="X119" s="2245">
        <v>3.6248559335500571E-2</v>
      </c>
      <c r="Y119" s="2245">
        <v>0</v>
      </c>
      <c r="Z119" s="2161">
        <v>0</v>
      </c>
      <c r="AA119" s="2245" t="e">
        <v>#DIV/0!</v>
      </c>
      <c r="AB119" s="2245">
        <v>2.2000000000000002</v>
      </c>
      <c r="AC119" s="2245">
        <v>0</v>
      </c>
      <c r="AD119" s="2245" t="s">
        <v>1240</v>
      </c>
      <c r="AE119" s="2254">
        <v>1.4999999999999999E-2</v>
      </c>
      <c r="AF119" s="2255">
        <v>1</v>
      </c>
      <c r="AG119" s="2245">
        <v>0.6</v>
      </c>
      <c r="AH119" s="2245"/>
      <c r="AJ119" s="2256"/>
      <c r="AK119" s="2257">
        <v>0</v>
      </c>
      <c r="AL119" s="2245">
        <v>0</v>
      </c>
      <c r="AM119" s="2245">
        <v>0</v>
      </c>
      <c r="AN119" s="2245" t="e">
        <v>#DIV/0!</v>
      </c>
      <c r="AO119" s="2245" t="e">
        <v>#DIV/0!</v>
      </c>
      <c r="AP119" s="2258">
        <v>0</v>
      </c>
      <c r="AQ119" s="2259"/>
      <c r="AR119" s="2259">
        <v>0</v>
      </c>
      <c r="AS119" s="2260" t="s">
        <v>3521</v>
      </c>
      <c r="AT119" s="2259"/>
      <c r="AU119" s="2259"/>
      <c r="AV119" s="2259"/>
      <c r="AW119" s="2259">
        <v>0</v>
      </c>
      <c r="AX119" s="2261">
        <v>10000</v>
      </c>
      <c r="AY119" s="2261">
        <v>10000</v>
      </c>
      <c r="AZ119" s="2261">
        <v>10000</v>
      </c>
      <c r="BA119" s="2261">
        <v>15</v>
      </c>
      <c r="BB119" s="2261">
        <v>0</v>
      </c>
      <c r="BC119" s="2261">
        <v>0</v>
      </c>
      <c r="BD119" s="2229">
        <v>0</v>
      </c>
      <c r="BE119" s="2229">
        <v>0.114396</v>
      </c>
      <c r="BF119" s="2229">
        <v>0</v>
      </c>
      <c r="BG119" s="2229">
        <v>0</v>
      </c>
      <c r="BH119" s="2229">
        <v>0</v>
      </c>
      <c r="BI119" s="2229">
        <v>0</v>
      </c>
      <c r="BJ119" s="2229">
        <v>0</v>
      </c>
      <c r="BK119" s="2262">
        <v>0</v>
      </c>
      <c r="BL119" s="2262">
        <v>0</v>
      </c>
      <c r="BM119" s="2262">
        <v>-2.1</v>
      </c>
      <c r="BN119" s="2262">
        <v>2.1</v>
      </c>
      <c r="BO119" s="2262">
        <v>0</v>
      </c>
      <c r="BP119" s="2262">
        <v>0</v>
      </c>
      <c r="BQ119" s="2262">
        <v>0</v>
      </c>
      <c r="BR119" s="2262">
        <v>0</v>
      </c>
      <c r="BS119" s="2262">
        <v>0</v>
      </c>
      <c r="BT119" s="2262">
        <v>0</v>
      </c>
      <c r="BU119" s="2262">
        <v>0</v>
      </c>
      <c r="BV119" s="2262">
        <v>0</v>
      </c>
      <c r="BW119" s="2262">
        <v>0</v>
      </c>
      <c r="BX119" s="2263">
        <v>1</v>
      </c>
      <c r="BY119" s="2262">
        <v>0.52</v>
      </c>
      <c r="BZ119" s="2262">
        <v>0.18000000000000016</v>
      </c>
      <c r="CA119" s="2064" t="s">
        <v>3524</v>
      </c>
      <c r="CC119" s="563">
        <v>2359.5299329060649</v>
      </c>
      <c r="CD119" s="563">
        <v>2359.5299329060649</v>
      </c>
    </row>
    <row r="120" spans="1:82" s="563" customFormat="1" ht="22.9" customHeight="1">
      <c r="A120" s="2241"/>
      <c r="B120" s="2242" t="s">
        <v>4</v>
      </c>
      <c r="C120" s="2243"/>
      <c r="D120" s="2244"/>
      <c r="E120" s="2243">
        <v>-2.1</v>
      </c>
      <c r="F120" s="2245">
        <v>2.1</v>
      </c>
      <c r="G120" s="2243">
        <v>0</v>
      </c>
      <c r="H120" s="2246">
        <v>-2.1</v>
      </c>
      <c r="I120" s="2245">
        <v>2.1</v>
      </c>
      <c r="J120" s="2247">
        <v>-2.1</v>
      </c>
      <c r="K120" s="2248" t="s">
        <v>3521</v>
      </c>
      <c r="L120" s="2248" t="s">
        <v>3521</v>
      </c>
      <c r="M120" s="2248" t="s">
        <v>3521</v>
      </c>
      <c r="N120" s="2249" t="s">
        <v>3521</v>
      </c>
      <c r="O120" s="2250"/>
      <c r="P120" s="2251"/>
      <c r="Q120" s="2252"/>
      <c r="R120" s="2250"/>
      <c r="S120" s="2253">
        <v>10</v>
      </c>
      <c r="T120" s="2161">
        <v>0</v>
      </c>
      <c r="U120" s="2245">
        <v>1</v>
      </c>
      <c r="V120" s="2245">
        <v>15</v>
      </c>
      <c r="W120" s="2245">
        <v>128.45752167880846</v>
      </c>
      <c r="X120" s="2245">
        <v>3.6248559335500571E-2</v>
      </c>
      <c r="Y120" s="2245">
        <v>0</v>
      </c>
      <c r="Z120" s="2161">
        <v>0</v>
      </c>
      <c r="AA120" s="2245" t="e">
        <v>#DIV/0!</v>
      </c>
      <c r="AB120" s="2245">
        <v>2.2000000000000002</v>
      </c>
      <c r="AC120" s="2245">
        <v>0</v>
      </c>
      <c r="AD120" s="2245" t="s">
        <v>1240</v>
      </c>
      <c r="AE120" s="2254">
        <v>1.4999999999999999E-2</v>
      </c>
      <c r="AF120" s="2255">
        <v>1</v>
      </c>
      <c r="AG120" s="2245">
        <v>0.6</v>
      </c>
      <c r="AH120" s="2245"/>
      <c r="AJ120" s="2256"/>
      <c r="AK120" s="2257">
        <v>0</v>
      </c>
      <c r="AL120" s="2245">
        <v>0</v>
      </c>
      <c r="AM120" s="2245">
        <v>0</v>
      </c>
      <c r="AN120" s="2245" t="e">
        <v>#DIV/0!</v>
      </c>
      <c r="AO120" s="2245" t="e">
        <v>#DIV/0!</v>
      </c>
      <c r="AP120" s="2258">
        <v>0</v>
      </c>
      <c r="AQ120" s="2259"/>
      <c r="AR120" s="2259">
        <v>0</v>
      </c>
      <c r="AS120" s="2260" t="s">
        <v>3521</v>
      </c>
      <c r="AT120" s="2259"/>
      <c r="AU120" s="2259"/>
      <c r="AV120" s="2259"/>
      <c r="AW120" s="2259">
        <v>0</v>
      </c>
      <c r="AX120" s="2261">
        <v>10000</v>
      </c>
      <c r="AY120" s="2261">
        <v>10000</v>
      </c>
      <c r="AZ120" s="2261">
        <v>10000</v>
      </c>
      <c r="BA120" s="2261">
        <v>15</v>
      </c>
      <c r="BB120" s="2261">
        <v>0</v>
      </c>
      <c r="BC120" s="2261">
        <v>0</v>
      </c>
      <c r="BD120" s="2229">
        <v>0</v>
      </c>
      <c r="BE120" s="2229">
        <v>0.114396</v>
      </c>
      <c r="BF120" s="2229">
        <v>0</v>
      </c>
      <c r="BG120" s="2229">
        <v>0</v>
      </c>
      <c r="BH120" s="2229">
        <v>0</v>
      </c>
      <c r="BI120" s="2229">
        <v>0</v>
      </c>
      <c r="BJ120" s="2229">
        <v>0</v>
      </c>
      <c r="BK120" s="2262">
        <v>0</v>
      </c>
      <c r="BL120" s="2262">
        <v>0</v>
      </c>
      <c r="BM120" s="2262">
        <v>-2.1</v>
      </c>
      <c r="BN120" s="2262">
        <v>2.1</v>
      </c>
      <c r="BO120" s="2262">
        <v>0</v>
      </c>
      <c r="BP120" s="2262">
        <v>0</v>
      </c>
      <c r="BQ120" s="2262">
        <v>0</v>
      </c>
      <c r="BR120" s="2262">
        <v>0</v>
      </c>
      <c r="BS120" s="2262">
        <v>0</v>
      </c>
      <c r="BT120" s="2262">
        <v>0</v>
      </c>
      <c r="BU120" s="2262">
        <v>0</v>
      </c>
      <c r="BV120" s="2262">
        <v>0</v>
      </c>
      <c r="BW120" s="2262">
        <v>0</v>
      </c>
      <c r="BX120" s="2263">
        <v>1</v>
      </c>
      <c r="BY120" s="2262">
        <v>0.52</v>
      </c>
      <c r="BZ120" s="2262">
        <v>0.18000000000000016</v>
      </c>
      <c r="CA120" s="2064" t="s">
        <v>3524</v>
      </c>
      <c r="CC120" s="563">
        <v>2359.5299329060649</v>
      </c>
      <c r="CD120" s="563">
        <v>2359.5299329060649</v>
      </c>
    </row>
    <row r="121" spans="1:82" s="563" customFormat="1" ht="22.9" customHeight="1">
      <c r="A121" s="2241"/>
      <c r="B121" s="2242" t="s">
        <v>4</v>
      </c>
      <c r="C121" s="2243"/>
      <c r="D121" s="2244"/>
      <c r="E121" s="2243">
        <v>-2.1</v>
      </c>
      <c r="F121" s="2245">
        <v>2.1</v>
      </c>
      <c r="G121" s="2243">
        <v>0</v>
      </c>
      <c r="H121" s="2246">
        <v>-2.1</v>
      </c>
      <c r="I121" s="2245">
        <v>2.1</v>
      </c>
      <c r="J121" s="2247">
        <v>-2.1</v>
      </c>
      <c r="K121" s="2248" t="s">
        <v>3521</v>
      </c>
      <c r="L121" s="2248" t="s">
        <v>3521</v>
      </c>
      <c r="M121" s="2248" t="s">
        <v>3521</v>
      </c>
      <c r="N121" s="2249" t="s">
        <v>3521</v>
      </c>
      <c r="O121" s="2250"/>
      <c r="P121" s="2251"/>
      <c r="Q121" s="2252"/>
      <c r="R121" s="2250"/>
      <c r="S121" s="2253">
        <v>10</v>
      </c>
      <c r="T121" s="2161">
        <v>0</v>
      </c>
      <c r="U121" s="2245">
        <v>1</v>
      </c>
      <c r="V121" s="2245">
        <v>15</v>
      </c>
      <c r="W121" s="2245">
        <v>128.45752167880846</v>
      </c>
      <c r="X121" s="2245">
        <v>3.6248559335500571E-2</v>
      </c>
      <c r="Y121" s="2245">
        <v>0</v>
      </c>
      <c r="Z121" s="2161">
        <v>0</v>
      </c>
      <c r="AA121" s="2245" t="e">
        <v>#DIV/0!</v>
      </c>
      <c r="AB121" s="2245">
        <v>2.2000000000000002</v>
      </c>
      <c r="AC121" s="2245">
        <v>0</v>
      </c>
      <c r="AD121" s="2245" t="s">
        <v>1240</v>
      </c>
      <c r="AE121" s="2254">
        <v>1.4999999999999999E-2</v>
      </c>
      <c r="AF121" s="2255">
        <v>1</v>
      </c>
      <c r="AG121" s="2245">
        <v>0.6</v>
      </c>
      <c r="AH121" s="2245"/>
      <c r="AJ121" s="2256"/>
      <c r="AK121" s="2257">
        <v>0</v>
      </c>
      <c r="AL121" s="2245">
        <v>0</v>
      </c>
      <c r="AM121" s="2245">
        <v>0</v>
      </c>
      <c r="AN121" s="2245" t="e">
        <v>#DIV/0!</v>
      </c>
      <c r="AO121" s="2245" t="e">
        <v>#DIV/0!</v>
      </c>
      <c r="AP121" s="2258">
        <v>0</v>
      </c>
      <c r="AQ121" s="2259"/>
      <c r="AR121" s="2259">
        <v>0</v>
      </c>
      <c r="AS121" s="2260" t="s">
        <v>3521</v>
      </c>
      <c r="AT121" s="2259"/>
      <c r="AU121" s="2259"/>
      <c r="AV121" s="2259"/>
      <c r="AW121" s="2259">
        <v>0</v>
      </c>
      <c r="AX121" s="2261">
        <v>10000</v>
      </c>
      <c r="AY121" s="2261">
        <v>10000</v>
      </c>
      <c r="AZ121" s="2261">
        <v>10000</v>
      </c>
      <c r="BA121" s="2261">
        <v>15</v>
      </c>
      <c r="BB121" s="2261">
        <v>0</v>
      </c>
      <c r="BC121" s="2261">
        <v>0</v>
      </c>
      <c r="BD121" s="2229">
        <v>0</v>
      </c>
      <c r="BE121" s="2229">
        <v>0.114396</v>
      </c>
      <c r="BF121" s="2229">
        <v>0</v>
      </c>
      <c r="BG121" s="2229">
        <v>0</v>
      </c>
      <c r="BH121" s="2229">
        <v>0</v>
      </c>
      <c r="BI121" s="2229">
        <v>0</v>
      </c>
      <c r="BJ121" s="2229">
        <v>0</v>
      </c>
      <c r="BK121" s="2262">
        <v>0</v>
      </c>
      <c r="BL121" s="2262">
        <v>0</v>
      </c>
      <c r="BM121" s="2262">
        <v>-2.1</v>
      </c>
      <c r="BN121" s="2262">
        <v>2.1</v>
      </c>
      <c r="BO121" s="2262">
        <v>0</v>
      </c>
      <c r="BP121" s="2262">
        <v>0</v>
      </c>
      <c r="BQ121" s="2262">
        <v>0</v>
      </c>
      <c r="BR121" s="2262">
        <v>0</v>
      </c>
      <c r="BS121" s="2262">
        <v>0</v>
      </c>
      <c r="BT121" s="2262">
        <v>0</v>
      </c>
      <c r="BU121" s="2262">
        <v>0</v>
      </c>
      <c r="BV121" s="2262">
        <v>0</v>
      </c>
      <c r="BW121" s="2262">
        <v>0</v>
      </c>
      <c r="BX121" s="2263">
        <v>1</v>
      </c>
      <c r="BY121" s="2262">
        <v>0.52</v>
      </c>
      <c r="BZ121" s="2262">
        <v>0.18000000000000016</v>
      </c>
      <c r="CA121" s="2064" t="s">
        <v>3524</v>
      </c>
      <c r="CC121" s="563">
        <v>2359.5299329060649</v>
      </c>
      <c r="CD121" s="563">
        <v>2359.5299329060649</v>
      </c>
    </row>
    <row r="122" spans="1:82" s="563" customFormat="1" ht="22.9" customHeight="1">
      <c r="A122" s="2241"/>
      <c r="B122" s="2242" t="s">
        <v>4</v>
      </c>
      <c r="C122" s="2243"/>
      <c r="D122" s="2244"/>
      <c r="E122" s="2243">
        <v>-2.1</v>
      </c>
      <c r="F122" s="2245">
        <v>2.1</v>
      </c>
      <c r="G122" s="2243">
        <v>0</v>
      </c>
      <c r="H122" s="2246">
        <v>-2.1</v>
      </c>
      <c r="I122" s="2245">
        <v>2.1</v>
      </c>
      <c r="J122" s="2247">
        <v>-2.1</v>
      </c>
      <c r="K122" s="2248" t="s">
        <v>3521</v>
      </c>
      <c r="L122" s="2248" t="s">
        <v>3521</v>
      </c>
      <c r="M122" s="2248" t="s">
        <v>3521</v>
      </c>
      <c r="N122" s="2249" t="s">
        <v>3521</v>
      </c>
      <c r="O122" s="2250"/>
      <c r="P122" s="2251"/>
      <c r="Q122" s="2252"/>
      <c r="R122" s="2250"/>
      <c r="S122" s="2253">
        <v>10</v>
      </c>
      <c r="T122" s="2161">
        <v>0</v>
      </c>
      <c r="U122" s="2245">
        <v>1</v>
      </c>
      <c r="V122" s="2245">
        <v>15</v>
      </c>
      <c r="W122" s="2245">
        <v>128.45752167880846</v>
      </c>
      <c r="X122" s="2245">
        <v>3.6248559335500571E-2</v>
      </c>
      <c r="Y122" s="2245">
        <v>0</v>
      </c>
      <c r="Z122" s="2161">
        <v>0</v>
      </c>
      <c r="AA122" s="2245" t="e">
        <v>#DIV/0!</v>
      </c>
      <c r="AB122" s="2245">
        <v>2.2000000000000002</v>
      </c>
      <c r="AC122" s="2245">
        <v>0</v>
      </c>
      <c r="AD122" s="2245" t="s">
        <v>1240</v>
      </c>
      <c r="AE122" s="2254">
        <v>1.4999999999999999E-2</v>
      </c>
      <c r="AF122" s="2255">
        <v>1</v>
      </c>
      <c r="AG122" s="2245">
        <v>0.6</v>
      </c>
      <c r="AH122" s="2245"/>
      <c r="AJ122" s="2256"/>
      <c r="AK122" s="2257">
        <v>0</v>
      </c>
      <c r="AL122" s="2245">
        <v>0</v>
      </c>
      <c r="AM122" s="2245">
        <v>0</v>
      </c>
      <c r="AN122" s="2245" t="e">
        <v>#DIV/0!</v>
      </c>
      <c r="AO122" s="2245" t="e">
        <v>#DIV/0!</v>
      </c>
      <c r="AP122" s="2258">
        <v>0</v>
      </c>
      <c r="AQ122" s="2259"/>
      <c r="AR122" s="2259">
        <v>0</v>
      </c>
      <c r="AS122" s="2260" t="s">
        <v>3521</v>
      </c>
      <c r="AT122" s="2259"/>
      <c r="AU122" s="2259"/>
      <c r="AV122" s="2259"/>
      <c r="AW122" s="2259">
        <v>0</v>
      </c>
      <c r="AX122" s="2261">
        <v>10000</v>
      </c>
      <c r="AY122" s="2261">
        <v>10000</v>
      </c>
      <c r="AZ122" s="2261">
        <v>10000</v>
      </c>
      <c r="BA122" s="2261">
        <v>15</v>
      </c>
      <c r="BB122" s="2261">
        <v>0</v>
      </c>
      <c r="BC122" s="2261">
        <v>0</v>
      </c>
      <c r="BD122" s="2229">
        <v>0</v>
      </c>
      <c r="BE122" s="2229">
        <v>0.114396</v>
      </c>
      <c r="BF122" s="2229">
        <v>0</v>
      </c>
      <c r="BG122" s="2229">
        <v>0</v>
      </c>
      <c r="BH122" s="2229">
        <v>0</v>
      </c>
      <c r="BI122" s="2229">
        <v>0</v>
      </c>
      <c r="BJ122" s="2229">
        <v>0</v>
      </c>
      <c r="BK122" s="2262">
        <v>0</v>
      </c>
      <c r="BL122" s="2262">
        <v>0</v>
      </c>
      <c r="BM122" s="2262">
        <v>-2.1</v>
      </c>
      <c r="BN122" s="2262">
        <v>2.1</v>
      </c>
      <c r="BO122" s="2262">
        <v>0</v>
      </c>
      <c r="BP122" s="2262">
        <v>0</v>
      </c>
      <c r="BQ122" s="2262">
        <v>0</v>
      </c>
      <c r="BR122" s="2262">
        <v>0</v>
      </c>
      <c r="BS122" s="2262">
        <v>0</v>
      </c>
      <c r="BT122" s="2262">
        <v>0</v>
      </c>
      <c r="BU122" s="2262">
        <v>0</v>
      </c>
      <c r="BV122" s="2262">
        <v>0</v>
      </c>
      <c r="BW122" s="2262">
        <v>0</v>
      </c>
      <c r="BX122" s="2263">
        <v>1</v>
      </c>
      <c r="BY122" s="2262">
        <v>0.52</v>
      </c>
      <c r="BZ122" s="2262">
        <v>0.18000000000000016</v>
      </c>
      <c r="CA122" s="2064" t="s">
        <v>3524</v>
      </c>
      <c r="CC122" s="563">
        <v>2359.5299329060649</v>
      </c>
      <c r="CD122" s="563">
        <v>2359.5299329060649</v>
      </c>
    </row>
    <row r="123" spans="1:82" s="563" customFormat="1" ht="22.9" customHeight="1">
      <c r="A123" s="2241"/>
      <c r="B123" s="2242" t="s">
        <v>4</v>
      </c>
      <c r="C123" s="2243"/>
      <c r="D123" s="2244"/>
      <c r="E123" s="2243">
        <v>-2.1</v>
      </c>
      <c r="F123" s="2245">
        <v>2.1</v>
      </c>
      <c r="G123" s="2243">
        <v>0</v>
      </c>
      <c r="H123" s="2246">
        <v>-2.1</v>
      </c>
      <c r="I123" s="2245">
        <v>2.1</v>
      </c>
      <c r="J123" s="2247">
        <v>-2.1</v>
      </c>
      <c r="K123" s="2248" t="s">
        <v>3521</v>
      </c>
      <c r="L123" s="2248" t="s">
        <v>3521</v>
      </c>
      <c r="M123" s="2248" t="s">
        <v>3521</v>
      </c>
      <c r="N123" s="2249" t="s">
        <v>3521</v>
      </c>
      <c r="O123" s="2250"/>
      <c r="P123" s="2251"/>
      <c r="Q123" s="2252"/>
      <c r="R123" s="2250"/>
      <c r="S123" s="2253">
        <v>10</v>
      </c>
      <c r="T123" s="2161">
        <v>0</v>
      </c>
      <c r="U123" s="2245">
        <v>1</v>
      </c>
      <c r="V123" s="2245">
        <v>15</v>
      </c>
      <c r="W123" s="2245">
        <v>128.45752167880846</v>
      </c>
      <c r="X123" s="2245">
        <v>3.6248559335500571E-2</v>
      </c>
      <c r="Y123" s="2245">
        <v>0</v>
      </c>
      <c r="Z123" s="2161">
        <v>0</v>
      </c>
      <c r="AA123" s="2245" t="e">
        <v>#DIV/0!</v>
      </c>
      <c r="AB123" s="2245">
        <v>2.2000000000000002</v>
      </c>
      <c r="AC123" s="2245">
        <v>0</v>
      </c>
      <c r="AD123" s="2245" t="s">
        <v>1240</v>
      </c>
      <c r="AE123" s="2254">
        <v>1.4999999999999999E-2</v>
      </c>
      <c r="AF123" s="2255">
        <v>1</v>
      </c>
      <c r="AG123" s="2245">
        <v>0.6</v>
      </c>
      <c r="AH123" s="2245"/>
      <c r="AJ123" s="2256"/>
      <c r="AK123" s="2257">
        <v>0</v>
      </c>
      <c r="AL123" s="2245">
        <v>0</v>
      </c>
      <c r="AM123" s="2245">
        <v>0</v>
      </c>
      <c r="AN123" s="2245" t="e">
        <v>#DIV/0!</v>
      </c>
      <c r="AO123" s="2245" t="e">
        <v>#DIV/0!</v>
      </c>
      <c r="AP123" s="2258">
        <v>0</v>
      </c>
      <c r="AQ123" s="2259"/>
      <c r="AR123" s="2259">
        <v>0</v>
      </c>
      <c r="AS123" s="2260" t="s">
        <v>3521</v>
      </c>
      <c r="AT123" s="2259"/>
      <c r="AU123" s="2259"/>
      <c r="AV123" s="2259"/>
      <c r="AW123" s="2259">
        <v>0</v>
      </c>
      <c r="AX123" s="2261">
        <v>10000</v>
      </c>
      <c r="AY123" s="2261">
        <v>10000</v>
      </c>
      <c r="AZ123" s="2261">
        <v>10000</v>
      </c>
      <c r="BA123" s="2261">
        <v>15</v>
      </c>
      <c r="BB123" s="2261">
        <v>0</v>
      </c>
      <c r="BC123" s="2261">
        <v>0</v>
      </c>
      <c r="BD123" s="2229">
        <v>0</v>
      </c>
      <c r="BE123" s="2229">
        <v>0.114396</v>
      </c>
      <c r="BF123" s="2229">
        <v>0</v>
      </c>
      <c r="BG123" s="2229">
        <v>0</v>
      </c>
      <c r="BH123" s="2229">
        <v>0</v>
      </c>
      <c r="BI123" s="2229">
        <v>0</v>
      </c>
      <c r="BJ123" s="2229">
        <v>0</v>
      </c>
      <c r="BK123" s="2262">
        <v>0</v>
      </c>
      <c r="BL123" s="2262">
        <v>0</v>
      </c>
      <c r="BM123" s="2262">
        <v>-2.1</v>
      </c>
      <c r="BN123" s="2262">
        <v>2.1</v>
      </c>
      <c r="BO123" s="2262">
        <v>0</v>
      </c>
      <c r="BP123" s="2262">
        <v>0</v>
      </c>
      <c r="BQ123" s="2262">
        <v>0</v>
      </c>
      <c r="BR123" s="2262">
        <v>0</v>
      </c>
      <c r="BS123" s="2262">
        <v>0</v>
      </c>
      <c r="BT123" s="2262">
        <v>0</v>
      </c>
      <c r="BU123" s="2262">
        <v>0</v>
      </c>
      <c r="BV123" s="2262">
        <v>0</v>
      </c>
      <c r="BW123" s="2262">
        <v>0</v>
      </c>
      <c r="BX123" s="2263">
        <v>1</v>
      </c>
      <c r="BY123" s="2262">
        <v>0.52</v>
      </c>
      <c r="BZ123" s="2262">
        <v>0.18000000000000016</v>
      </c>
      <c r="CA123" s="2064" t="s">
        <v>3524</v>
      </c>
      <c r="CC123" s="563">
        <v>2359.5299329060649</v>
      </c>
      <c r="CD123" s="563">
        <v>2359.5299329060649</v>
      </c>
    </row>
    <row r="124" spans="1:82" s="563" customFormat="1" ht="22.9" customHeight="1">
      <c r="A124" s="2241"/>
      <c r="B124" s="2242" t="s">
        <v>4</v>
      </c>
      <c r="C124" s="2243"/>
      <c r="D124" s="2244"/>
      <c r="E124" s="2243">
        <v>-2.1</v>
      </c>
      <c r="F124" s="2245">
        <v>2.1</v>
      </c>
      <c r="G124" s="2243">
        <v>0</v>
      </c>
      <c r="H124" s="2246">
        <v>-2.1</v>
      </c>
      <c r="I124" s="2245">
        <v>2.1</v>
      </c>
      <c r="J124" s="2247">
        <v>-2.1</v>
      </c>
      <c r="K124" s="2248" t="s">
        <v>3521</v>
      </c>
      <c r="L124" s="2248" t="s">
        <v>3521</v>
      </c>
      <c r="M124" s="2248" t="s">
        <v>3521</v>
      </c>
      <c r="N124" s="2249" t="s">
        <v>3521</v>
      </c>
      <c r="O124" s="2250"/>
      <c r="P124" s="2251"/>
      <c r="Q124" s="2252"/>
      <c r="R124" s="2250"/>
      <c r="S124" s="2253">
        <v>10</v>
      </c>
      <c r="T124" s="2161">
        <v>0</v>
      </c>
      <c r="U124" s="2245">
        <v>1</v>
      </c>
      <c r="V124" s="2245">
        <v>15</v>
      </c>
      <c r="W124" s="2245">
        <v>128.45752167880846</v>
      </c>
      <c r="X124" s="2245">
        <v>3.6248559335500571E-2</v>
      </c>
      <c r="Y124" s="2245">
        <v>0</v>
      </c>
      <c r="Z124" s="2161">
        <v>0</v>
      </c>
      <c r="AA124" s="2245" t="e">
        <v>#DIV/0!</v>
      </c>
      <c r="AB124" s="2245">
        <v>2.2000000000000002</v>
      </c>
      <c r="AC124" s="2245">
        <v>0</v>
      </c>
      <c r="AD124" s="2245" t="s">
        <v>1240</v>
      </c>
      <c r="AE124" s="2254">
        <v>1.4999999999999999E-2</v>
      </c>
      <c r="AF124" s="2255">
        <v>1</v>
      </c>
      <c r="AG124" s="2245">
        <v>0.6</v>
      </c>
      <c r="AH124" s="2245"/>
      <c r="AJ124" s="2256"/>
      <c r="AK124" s="2257">
        <v>0</v>
      </c>
      <c r="AL124" s="2245">
        <v>0</v>
      </c>
      <c r="AM124" s="2245">
        <v>0</v>
      </c>
      <c r="AN124" s="2245" t="e">
        <v>#DIV/0!</v>
      </c>
      <c r="AO124" s="2245" t="e">
        <v>#DIV/0!</v>
      </c>
      <c r="AP124" s="2258">
        <v>0</v>
      </c>
      <c r="AQ124" s="2259"/>
      <c r="AR124" s="2259">
        <v>0</v>
      </c>
      <c r="AS124" s="2260" t="s">
        <v>3521</v>
      </c>
      <c r="AT124" s="2259"/>
      <c r="AU124" s="2259"/>
      <c r="AV124" s="2259"/>
      <c r="AW124" s="2259">
        <v>0</v>
      </c>
      <c r="AX124" s="2261">
        <v>10000</v>
      </c>
      <c r="AY124" s="2261">
        <v>10000</v>
      </c>
      <c r="AZ124" s="2261">
        <v>10000</v>
      </c>
      <c r="BA124" s="2261">
        <v>15</v>
      </c>
      <c r="BB124" s="2261">
        <v>0</v>
      </c>
      <c r="BC124" s="2261">
        <v>0</v>
      </c>
      <c r="BD124" s="2229">
        <v>0</v>
      </c>
      <c r="BE124" s="2229">
        <v>0.114396</v>
      </c>
      <c r="BF124" s="2229">
        <v>0</v>
      </c>
      <c r="BG124" s="2229">
        <v>0</v>
      </c>
      <c r="BH124" s="2229">
        <v>0</v>
      </c>
      <c r="BI124" s="2229">
        <v>0</v>
      </c>
      <c r="BJ124" s="2229">
        <v>0</v>
      </c>
      <c r="BK124" s="2262">
        <v>0</v>
      </c>
      <c r="BL124" s="2262">
        <v>0</v>
      </c>
      <c r="BM124" s="2262">
        <v>-2.1</v>
      </c>
      <c r="BN124" s="2262">
        <v>2.1</v>
      </c>
      <c r="BO124" s="2262">
        <v>0</v>
      </c>
      <c r="BP124" s="2262">
        <v>0</v>
      </c>
      <c r="BQ124" s="2262">
        <v>0</v>
      </c>
      <c r="BR124" s="2262">
        <v>0</v>
      </c>
      <c r="BS124" s="2262">
        <v>0</v>
      </c>
      <c r="BT124" s="2262">
        <v>0</v>
      </c>
      <c r="BU124" s="2262">
        <v>0</v>
      </c>
      <c r="BV124" s="2262">
        <v>0</v>
      </c>
      <c r="BW124" s="2262">
        <v>0</v>
      </c>
      <c r="BX124" s="2263">
        <v>1</v>
      </c>
      <c r="BY124" s="2262">
        <v>0.52</v>
      </c>
      <c r="BZ124" s="2262">
        <v>0.18000000000000016</v>
      </c>
      <c r="CA124" s="2064" t="s">
        <v>3524</v>
      </c>
      <c r="CC124" s="563">
        <v>2359.5299329060649</v>
      </c>
      <c r="CD124" s="563">
        <v>2359.5299329060649</v>
      </c>
    </row>
    <row r="125" spans="1:82" s="563" customFormat="1" ht="22.9" customHeight="1">
      <c r="A125" s="2241"/>
      <c r="B125" s="2242" t="s">
        <v>4</v>
      </c>
      <c r="C125" s="2243"/>
      <c r="D125" s="2244"/>
      <c r="E125" s="2243">
        <v>-2.1</v>
      </c>
      <c r="F125" s="2245">
        <v>2.1</v>
      </c>
      <c r="G125" s="2243">
        <v>0</v>
      </c>
      <c r="H125" s="2246">
        <v>-2.1</v>
      </c>
      <c r="I125" s="2245">
        <v>2.1</v>
      </c>
      <c r="J125" s="2247">
        <v>-2.1</v>
      </c>
      <c r="K125" s="2248" t="s">
        <v>3521</v>
      </c>
      <c r="L125" s="2248" t="s">
        <v>3521</v>
      </c>
      <c r="M125" s="2248" t="s">
        <v>3521</v>
      </c>
      <c r="N125" s="2249" t="s">
        <v>3521</v>
      </c>
      <c r="O125" s="2250"/>
      <c r="P125" s="2251"/>
      <c r="Q125" s="2252"/>
      <c r="R125" s="2250"/>
      <c r="S125" s="2253">
        <v>10</v>
      </c>
      <c r="T125" s="2161">
        <v>0</v>
      </c>
      <c r="U125" s="2245">
        <v>1</v>
      </c>
      <c r="V125" s="2245">
        <v>15</v>
      </c>
      <c r="W125" s="2245">
        <v>128.45752167880846</v>
      </c>
      <c r="X125" s="2245">
        <v>3.6248559335500571E-2</v>
      </c>
      <c r="Y125" s="2245">
        <v>0</v>
      </c>
      <c r="Z125" s="2161">
        <v>0</v>
      </c>
      <c r="AA125" s="2245" t="e">
        <v>#DIV/0!</v>
      </c>
      <c r="AB125" s="2245">
        <v>2.2000000000000002</v>
      </c>
      <c r="AC125" s="2245">
        <v>0</v>
      </c>
      <c r="AD125" s="2245" t="s">
        <v>1240</v>
      </c>
      <c r="AE125" s="2254">
        <v>1.4999999999999999E-2</v>
      </c>
      <c r="AF125" s="2255">
        <v>1</v>
      </c>
      <c r="AG125" s="2245">
        <v>0.6</v>
      </c>
      <c r="AH125" s="2245"/>
      <c r="AJ125" s="2256"/>
      <c r="AK125" s="2257">
        <v>0</v>
      </c>
      <c r="AL125" s="2245">
        <v>0</v>
      </c>
      <c r="AM125" s="2245">
        <v>0</v>
      </c>
      <c r="AN125" s="2245" t="e">
        <v>#DIV/0!</v>
      </c>
      <c r="AO125" s="2245" t="e">
        <v>#DIV/0!</v>
      </c>
      <c r="AP125" s="2258">
        <v>0</v>
      </c>
      <c r="AQ125" s="2259"/>
      <c r="AR125" s="2259">
        <v>0</v>
      </c>
      <c r="AS125" s="2260" t="s">
        <v>3521</v>
      </c>
      <c r="AT125" s="2259"/>
      <c r="AU125" s="2259"/>
      <c r="AV125" s="2259"/>
      <c r="AW125" s="2259">
        <v>0</v>
      </c>
      <c r="AX125" s="2261">
        <v>10000</v>
      </c>
      <c r="AY125" s="2261">
        <v>10000</v>
      </c>
      <c r="AZ125" s="2261">
        <v>10000</v>
      </c>
      <c r="BA125" s="2261">
        <v>15</v>
      </c>
      <c r="BB125" s="2261">
        <v>0</v>
      </c>
      <c r="BC125" s="2261">
        <v>0</v>
      </c>
      <c r="BD125" s="2229">
        <v>0</v>
      </c>
      <c r="BE125" s="2229">
        <v>0.114396</v>
      </c>
      <c r="BF125" s="2229">
        <v>0</v>
      </c>
      <c r="BG125" s="2229">
        <v>0</v>
      </c>
      <c r="BH125" s="2229">
        <v>0</v>
      </c>
      <c r="BI125" s="2229">
        <v>0</v>
      </c>
      <c r="BJ125" s="2229">
        <v>0</v>
      </c>
      <c r="BK125" s="2262">
        <v>0</v>
      </c>
      <c r="BL125" s="2262">
        <v>0</v>
      </c>
      <c r="BM125" s="2262">
        <v>-2.1</v>
      </c>
      <c r="BN125" s="2262">
        <v>2.1</v>
      </c>
      <c r="BO125" s="2262">
        <v>0</v>
      </c>
      <c r="BP125" s="2262">
        <v>0</v>
      </c>
      <c r="BQ125" s="2262">
        <v>0</v>
      </c>
      <c r="BR125" s="2262">
        <v>0</v>
      </c>
      <c r="BS125" s="2262">
        <v>0</v>
      </c>
      <c r="BT125" s="2262">
        <v>0</v>
      </c>
      <c r="BU125" s="2262">
        <v>0</v>
      </c>
      <c r="BV125" s="2262">
        <v>0</v>
      </c>
      <c r="BW125" s="2262">
        <v>0</v>
      </c>
      <c r="BX125" s="2263">
        <v>1</v>
      </c>
      <c r="BY125" s="2262">
        <v>0.52</v>
      </c>
      <c r="BZ125" s="2262">
        <v>0.18000000000000016</v>
      </c>
      <c r="CA125" s="2064" t="s">
        <v>3524</v>
      </c>
      <c r="CC125" s="563">
        <v>2359.5299329060649</v>
      </c>
      <c r="CD125" s="563">
        <v>2359.5299329060649</v>
      </c>
    </row>
    <row r="126" spans="1:82" s="563" customFormat="1" ht="22.9" customHeight="1">
      <c r="A126" s="2241"/>
      <c r="B126" s="2242" t="s">
        <v>4</v>
      </c>
      <c r="C126" s="2243"/>
      <c r="D126" s="2244"/>
      <c r="E126" s="2243">
        <v>-2.1</v>
      </c>
      <c r="F126" s="2245">
        <v>2.1</v>
      </c>
      <c r="G126" s="2243">
        <v>0</v>
      </c>
      <c r="H126" s="2246">
        <v>-2.1</v>
      </c>
      <c r="I126" s="2245">
        <v>2.1</v>
      </c>
      <c r="J126" s="2247">
        <v>-2.1</v>
      </c>
      <c r="K126" s="2248" t="s">
        <v>3521</v>
      </c>
      <c r="L126" s="2248" t="s">
        <v>3521</v>
      </c>
      <c r="M126" s="2248" t="s">
        <v>3521</v>
      </c>
      <c r="N126" s="2249" t="s">
        <v>3521</v>
      </c>
      <c r="O126" s="2250"/>
      <c r="P126" s="2251"/>
      <c r="Q126" s="2252"/>
      <c r="R126" s="2250"/>
      <c r="S126" s="2253">
        <v>10</v>
      </c>
      <c r="T126" s="2161">
        <v>0</v>
      </c>
      <c r="U126" s="2245">
        <v>1</v>
      </c>
      <c r="V126" s="2245">
        <v>15</v>
      </c>
      <c r="W126" s="2245">
        <v>128.45752167880846</v>
      </c>
      <c r="X126" s="2245">
        <v>3.6248559335500571E-2</v>
      </c>
      <c r="Y126" s="2245">
        <v>0</v>
      </c>
      <c r="Z126" s="2161">
        <v>0</v>
      </c>
      <c r="AA126" s="2245" t="e">
        <v>#DIV/0!</v>
      </c>
      <c r="AB126" s="2245">
        <v>2.2000000000000002</v>
      </c>
      <c r="AC126" s="2245">
        <v>0</v>
      </c>
      <c r="AD126" s="2245" t="s">
        <v>1240</v>
      </c>
      <c r="AE126" s="2254">
        <v>1.4999999999999999E-2</v>
      </c>
      <c r="AF126" s="2255">
        <v>1</v>
      </c>
      <c r="AG126" s="2245">
        <v>0.6</v>
      </c>
      <c r="AH126" s="2245"/>
      <c r="AJ126" s="2256"/>
      <c r="AK126" s="2257">
        <v>0</v>
      </c>
      <c r="AL126" s="2245">
        <v>0</v>
      </c>
      <c r="AM126" s="2245">
        <v>0</v>
      </c>
      <c r="AN126" s="2245" t="e">
        <v>#DIV/0!</v>
      </c>
      <c r="AO126" s="2245" t="e">
        <v>#DIV/0!</v>
      </c>
      <c r="AP126" s="2258">
        <v>0</v>
      </c>
      <c r="AQ126" s="2259"/>
      <c r="AR126" s="2259">
        <v>0</v>
      </c>
      <c r="AS126" s="2260" t="s">
        <v>3521</v>
      </c>
      <c r="AT126" s="2259"/>
      <c r="AU126" s="2259"/>
      <c r="AV126" s="2259"/>
      <c r="AW126" s="2259">
        <v>0</v>
      </c>
      <c r="AX126" s="2261">
        <v>10000</v>
      </c>
      <c r="AY126" s="2261">
        <v>10000</v>
      </c>
      <c r="AZ126" s="2261">
        <v>10000</v>
      </c>
      <c r="BA126" s="2261">
        <v>15</v>
      </c>
      <c r="BB126" s="2261">
        <v>0</v>
      </c>
      <c r="BC126" s="2261">
        <v>0</v>
      </c>
      <c r="BD126" s="2229">
        <v>0</v>
      </c>
      <c r="BE126" s="2229">
        <v>0.114396</v>
      </c>
      <c r="BF126" s="2229">
        <v>0</v>
      </c>
      <c r="BG126" s="2229">
        <v>0</v>
      </c>
      <c r="BH126" s="2229">
        <v>0</v>
      </c>
      <c r="BI126" s="2229">
        <v>0</v>
      </c>
      <c r="BJ126" s="2229">
        <v>0</v>
      </c>
      <c r="BK126" s="2262">
        <v>0</v>
      </c>
      <c r="BL126" s="2262">
        <v>0</v>
      </c>
      <c r="BM126" s="2262">
        <v>-2.1</v>
      </c>
      <c r="BN126" s="2262">
        <v>2.1</v>
      </c>
      <c r="BO126" s="2262">
        <v>0</v>
      </c>
      <c r="BP126" s="2262">
        <v>0</v>
      </c>
      <c r="BQ126" s="2262">
        <v>0</v>
      </c>
      <c r="BR126" s="2262">
        <v>0</v>
      </c>
      <c r="BS126" s="2262">
        <v>0</v>
      </c>
      <c r="BT126" s="2262">
        <v>0</v>
      </c>
      <c r="BU126" s="2262">
        <v>0</v>
      </c>
      <c r="BV126" s="2262">
        <v>0</v>
      </c>
      <c r="BW126" s="2262">
        <v>0</v>
      </c>
      <c r="BX126" s="2263">
        <v>1</v>
      </c>
      <c r="BY126" s="2262">
        <v>0.52</v>
      </c>
      <c r="BZ126" s="2262">
        <v>0.18000000000000016</v>
      </c>
      <c r="CA126" s="2064" t="s">
        <v>3524</v>
      </c>
      <c r="CC126" s="563">
        <v>2359.5299329060649</v>
      </c>
      <c r="CD126" s="563">
        <v>2359.5299329060649</v>
      </c>
    </row>
    <row r="127" spans="1:82" s="563" customFormat="1" ht="22.9" customHeight="1">
      <c r="A127" s="2241"/>
      <c r="B127" s="2242" t="s">
        <v>4</v>
      </c>
      <c r="C127" s="2243"/>
      <c r="D127" s="2244"/>
      <c r="E127" s="2243">
        <v>-2.1</v>
      </c>
      <c r="F127" s="2245">
        <v>2.1</v>
      </c>
      <c r="G127" s="2243">
        <v>0</v>
      </c>
      <c r="H127" s="2246">
        <v>-2.1</v>
      </c>
      <c r="I127" s="2245">
        <v>2.1</v>
      </c>
      <c r="J127" s="2247">
        <v>-2.1</v>
      </c>
      <c r="K127" s="2248" t="s">
        <v>3521</v>
      </c>
      <c r="L127" s="2248" t="s">
        <v>3521</v>
      </c>
      <c r="M127" s="2248" t="s">
        <v>3521</v>
      </c>
      <c r="N127" s="2249" t="s">
        <v>3521</v>
      </c>
      <c r="O127" s="2250"/>
      <c r="P127" s="2251"/>
      <c r="Q127" s="2252"/>
      <c r="R127" s="2250"/>
      <c r="S127" s="2253">
        <v>10</v>
      </c>
      <c r="T127" s="2161">
        <v>0</v>
      </c>
      <c r="U127" s="2245">
        <v>1</v>
      </c>
      <c r="V127" s="2245">
        <v>15</v>
      </c>
      <c r="W127" s="2245">
        <v>128.45752167880846</v>
      </c>
      <c r="X127" s="2245">
        <v>3.6248559335500571E-2</v>
      </c>
      <c r="Y127" s="2245">
        <v>0</v>
      </c>
      <c r="Z127" s="2161">
        <v>0</v>
      </c>
      <c r="AA127" s="2245" t="e">
        <v>#DIV/0!</v>
      </c>
      <c r="AB127" s="2245">
        <v>2.2000000000000002</v>
      </c>
      <c r="AC127" s="2245">
        <v>0</v>
      </c>
      <c r="AD127" s="2245" t="s">
        <v>1240</v>
      </c>
      <c r="AE127" s="2254">
        <v>1.4999999999999999E-2</v>
      </c>
      <c r="AF127" s="2255">
        <v>1</v>
      </c>
      <c r="AG127" s="2245">
        <v>0.6</v>
      </c>
      <c r="AH127" s="2245"/>
      <c r="AJ127" s="2256"/>
      <c r="AK127" s="2257">
        <v>0</v>
      </c>
      <c r="AL127" s="2245">
        <v>0</v>
      </c>
      <c r="AM127" s="2245">
        <v>0</v>
      </c>
      <c r="AN127" s="2245" t="e">
        <v>#DIV/0!</v>
      </c>
      <c r="AO127" s="2245" t="e">
        <v>#DIV/0!</v>
      </c>
      <c r="AP127" s="2258">
        <v>0</v>
      </c>
      <c r="AQ127" s="2259"/>
      <c r="AR127" s="2259">
        <v>0</v>
      </c>
      <c r="AS127" s="2260" t="s">
        <v>3521</v>
      </c>
      <c r="AT127" s="2259"/>
      <c r="AU127" s="2259"/>
      <c r="AV127" s="2259"/>
      <c r="AW127" s="2259">
        <v>0</v>
      </c>
      <c r="AX127" s="2261">
        <v>10000</v>
      </c>
      <c r="AY127" s="2261">
        <v>10000</v>
      </c>
      <c r="AZ127" s="2261">
        <v>10000</v>
      </c>
      <c r="BA127" s="2261">
        <v>15</v>
      </c>
      <c r="BB127" s="2261">
        <v>0</v>
      </c>
      <c r="BC127" s="2261">
        <v>0</v>
      </c>
      <c r="BD127" s="2229">
        <v>0</v>
      </c>
      <c r="BE127" s="2229">
        <v>0.114396</v>
      </c>
      <c r="BF127" s="2229">
        <v>0</v>
      </c>
      <c r="BG127" s="2229">
        <v>0</v>
      </c>
      <c r="BH127" s="2229">
        <v>0</v>
      </c>
      <c r="BI127" s="2229">
        <v>0</v>
      </c>
      <c r="BJ127" s="2229">
        <v>0</v>
      </c>
      <c r="BK127" s="2262">
        <v>0</v>
      </c>
      <c r="BL127" s="2262">
        <v>0</v>
      </c>
      <c r="BM127" s="2262">
        <v>-2.1</v>
      </c>
      <c r="BN127" s="2262">
        <v>2.1</v>
      </c>
      <c r="BO127" s="2262">
        <v>0</v>
      </c>
      <c r="BP127" s="2262">
        <v>0</v>
      </c>
      <c r="BQ127" s="2262">
        <v>0</v>
      </c>
      <c r="BR127" s="2262">
        <v>0</v>
      </c>
      <c r="BS127" s="2262">
        <v>0</v>
      </c>
      <c r="BT127" s="2262">
        <v>0</v>
      </c>
      <c r="BU127" s="2262">
        <v>0</v>
      </c>
      <c r="BV127" s="2262">
        <v>0</v>
      </c>
      <c r="BW127" s="2262">
        <v>0</v>
      </c>
      <c r="BX127" s="2263">
        <v>1</v>
      </c>
      <c r="BY127" s="2262">
        <v>0.52</v>
      </c>
      <c r="BZ127" s="2262">
        <v>0.18000000000000016</v>
      </c>
      <c r="CA127" s="2064" t="s">
        <v>3524</v>
      </c>
      <c r="CC127" s="563">
        <v>2359.5299329060649</v>
      </c>
      <c r="CD127" s="563">
        <v>2359.5299329060649</v>
      </c>
    </row>
    <row r="128" spans="1:82" s="563" customFormat="1" ht="22.9" customHeight="1">
      <c r="A128" s="2241"/>
      <c r="B128" s="2242" t="s">
        <v>4</v>
      </c>
      <c r="C128" s="2243"/>
      <c r="D128" s="2244"/>
      <c r="E128" s="2243">
        <v>-2.1</v>
      </c>
      <c r="F128" s="2245">
        <v>2.1</v>
      </c>
      <c r="G128" s="2243">
        <v>0</v>
      </c>
      <c r="H128" s="2246">
        <v>-2.1</v>
      </c>
      <c r="I128" s="2245">
        <v>2.1</v>
      </c>
      <c r="J128" s="2247">
        <v>-2.1</v>
      </c>
      <c r="K128" s="2248" t="s">
        <v>3521</v>
      </c>
      <c r="L128" s="2248" t="s">
        <v>3521</v>
      </c>
      <c r="M128" s="2248" t="s">
        <v>3521</v>
      </c>
      <c r="N128" s="2249" t="s">
        <v>3521</v>
      </c>
      <c r="O128" s="2250"/>
      <c r="P128" s="2251"/>
      <c r="Q128" s="2252"/>
      <c r="R128" s="2250"/>
      <c r="S128" s="2253">
        <v>10</v>
      </c>
      <c r="T128" s="2161">
        <v>0</v>
      </c>
      <c r="U128" s="2245">
        <v>1</v>
      </c>
      <c r="V128" s="2245">
        <v>15</v>
      </c>
      <c r="W128" s="2245">
        <v>128.45752167880846</v>
      </c>
      <c r="X128" s="2245">
        <v>3.6248559335500571E-2</v>
      </c>
      <c r="Y128" s="2245">
        <v>0</v>
      </c>
      <c r="Z128" s="2161">
        <v>0</v>
      </c>
      <c r="AA128" s="2245" t="e">
        <v>#DIV/0!</v>
      </c>
      <c r="AB128" s="2245">
        <v>2.2000000000000002</v>
      </c>
      <c r="AC128" s="2245">
        <v>0</v>
      </c>
      <c r="AD128" s="2245" t="s">
        <v>1240</v>
      </c>
      <c r="AE128" s="2254">
        <v>1.4999999999999999E-2</v>
      </c>
      <c r="AF128" s="2255">
        <v>1</v>
      </c>
      <c r="AG128" s="2245">
        <v>0.6</v>
      </c>
      <c r="AH128" s="2245"/>
      <c r="AJ128" s="2256"/>
      <c r="AK128" s="2257">
        <v>0</v>
      </c>
      <c r="AL128" s="2245">
        <v>0</v>
      </c>
      <c r="AM128" s="2245">
        <v>0</v>
      </c>
      <c r="AN128" s="2245" t="e">
        <v>#DIV/0!</v>
      </c>
      <c r="AO128" s="2245" t="e">
        <v>#DIV/0!</v>
      </c>
      <c r="AP128" s="2258">
        <v>0</v>
      </c>
      <c r="AQ128" s="2259"/>
      <c r="AR128" s="2259">
        <v>0</v>
      </c>
      <c r="AS128" s="2260" t="s">
        <v>3521</v>
      </c>
      <c r="AT128" s="2259"/>
      <c r="AU128" s="2259"/>
      <c r="AV128" s="2259"/>
      <c r="AW128" s="2259">
        <v>0</v>
      </c>
      <c r="AX128" s="2261">
        <v>10000</v>
      </c>
      <c r="AY128" s="2261">
        <v>10000</v>
      </c>
      <c r="AZ128" s="2261">
        <v>10000</v>
      </c>
      <c r="BA128" s="2261">
        <v>15</v>
      </c>
      <c r="BB128" s="2261">
        <v>0</v>
      </c>
      <c r="BC128" s="2261">
        <v>0</v>
      </c>
      <c r="BD128" s="2229">
        <v>0</v>
      </c>
      <c r="BE128" s="2229">
        <v>0.114396</v>
      </c>
      <c r="BF128" s="2229">
        <v>0</v>
      </c>
      <c r="BG128" s="2229">
        <v>0</v>
      </c>
      <c r="BH128" s="2229">
        <v>0</v>
      </c>
      <c r="BI128" s="2229">
        <v>0</v>
      </c>
      <c r="BJ128" s="2229">
        <v>0</v>
      </c>
      <c r="BK128" s="2262">
        <v>0</v>
      </c>
      <c r="BL128" s="2262">
        <v>0</v>
      </c>
      <c r="BM128" s="2262">
        <v>-2.1</v>
      </c>
      <c r="BN128" s="2262">
        <v>2.1</v>
      </c>
      <c r="BO128" s="2262">
        <v>0</v>
      </c>
      <c r="BP128" s="2262">
        <v>0</v>
      </c>
      <c r="BQ128" s="2262">
        <v>0</v>
      </c>
      <c r="BR128" s="2262">
        <v>0</v>
      </c>
      <c r="BS128" s="2262">
        <v>0</v>
      </c>
      <c r="BT128" s="2262">
        <v>0</v>
      </c>
      <c r="BU128" s="2262">
        <v>0</v>
      </c>
      <c r="BV128" s="2262">
        <v>0</v>
      </c>
      <c r="BW128" s="2262">
        <v>0</v>
      </c>
      <c r="BX128" s="2263">
        <v>1</v>
      </c>
      <c r="BY128" s="2262">
        <v>0.52</v>
      </c>
      <c r="BZ128" s="2262">
        <v>0.18000000000000016</v>
      </c>
      <c r="CA128" s="2064" t="s">
        <v>3524</v>
      </c>
      <c r="CC128" s="563">
        <v>2359.5299329060649</v>
      </c>
      <c r="CD128" s="563">
        <v>2359.5299329060649</v>
      </c>
    </row>
    <row r="129" spans="1:82" s="563" customFormat="1" ht="22.9" customHeight="1">
      <c r="A129" s="2241"/>
      <c r="B129" s="2242" t="s">
        <v>4</v>
      </c>
      <c r="C129" s="2243"/>
      <c r="D129" s="2244"/>
      <c r="E129" s="2243">
        <v>-2.1</v>
      </c>
      <c r="F129" s="2245">
        <v>2.1</v>
      </c>
      <c r="G129" s="2243">
        <v>0</v>
      </c>
      <c r="H129" s="2246">
        <v>-2.1</v>
      </c>
      <c r="I129" s="2245">
        <v>2.1</v>
      </c>
      <c r="J129" s="2247">
        <v>-2.1</v>
      </c>
      <c r="K129" s="2248" t="s">
        <v>3521</v>
      </c>
      <c r="L129" s="2248" t="s">
        <v>3521</v>
      </c>
      <c r="M129" s="2248" t="s">
        <v>3521</v>
      </c>
      <c r="N129" s="2249" t="s">
        <v>3521</v>
      </c>
      <c r="O129" s="2250"/>
      <c r="P129" s="2251"/>
      <c r="Q129" s="2252"/>
      <c r="R129" s="2250"/>
      <c r="S129" s="2253">
        <v>10</v>
      </c>
      <c r="T129" s="2161">
        <v>0</v>
      </c>
      <c r="U129" s="2245">
        <v>1</v>
      </c>
      <c r="V129" s="2245">
        <v>15</v>
      </c>
      <c r="W129" s="2245">
        <v>128.45752167880846</v>
      </c>
      <c r="X129" s="2245">
        <v>3.6248559335500571E-2</v>
      </c>
      <c r="Y129" s="2245">
        <v>0</v>
      </c>
      <c r="Z129" s="2161">
        <v>0</v>
      </c>
      <c r="AA129" s="2245" t="e">
        <v>#DIV/0!</v>
      </c>
      <c r="AB129" s="2245">
        <v>2.2000000000000002</v>
      </c>
      <c r="AC129" s="2245">
        <v>0</v>
      </c>
      <c r="AD129" s="2245" t="s">
        <v>1240</v>
      </c>
      <c r="AE129" s="2254">
        <v>1.4999999999999999E-2</v>
      </c>
      <c r="AF129" s="2255">
        <v>1</v>
      </c>
      <c r="AG129" s="2245">
        <v>0.6</v>
      </c>
      <c r="AH129" s="2245"/>
      <c r="AJ129" s="2256"/>
      <c r="AK129" s="2257">
        <v>0</v>
      </c>
      <c r="AL129" s="2245">
        <v>0</v>
      </c>
      <c r="AM129" s="2245">
        <v>0</v>
      </c>
      <c r="AN129" s="2245" t="e">
        <v>#DIV/0!</v>
      </c>
      <c r="AO129" s="2245" t="e">
        <v>#DIV/0!</v>
      </c>
      <c r="AP129" s="2258">
        <v>0</v>
      </c>
      <c r="AQ129" s="2259"/>
      <c r="AR129" s="2259">
        <v>0</v>
      </c>
      <c r="AS129" s="2260" t="s">
        <v>3521</v>
      </c>
      <c r="AT129" s="2259"/>
      <c r="AU129" s="2259"/>
      <c r="AV129" s="2259"/>
      <c r="AW129" s="2259">
        <v>0</v>
      </c>
      <c r="AX129" s="2261">
        <v>10000</v>
      </c>
      <c r="AY129" s="2261">
        <v>10000</v>
      </c>
      <c r="AZ129" s="2261">
        <v>10000</v>
      </c>
      <c r="BA129" s="2261">
        <v>15</v>
      </c>
      <c r="BB129" s="2261">
        <v>0</v>
      </c>
      <c r="BC129" s="2261">
        <v>0</v>
      </c>
      <c r="BD129" s="2229">
        <v>0</v>
      </c>
      <c r="BE129" s="2229">
        <v>0.114396</v>
      </c>
      <c r="BF129" s="2229">
        <v>0</v>
      </c>
      <c r="BG129" s="2229">
        <v>0</v>
      </c>
      <c r="BH129" s="2229">
        <v>0</v>
      </c>
      <c r="BI129" s="2229">
        <v>0</v>
      </c>
      <c r="BJ129" s="2229">
        <v>0</v>
      </c>
      <c r="BK129" s="2262">
        <v>0</v>
      </c>
      <c r="BL129" s="2262">
        <v>0</v>
      </c>
      <c r="BM129" s="2262">
        <v>-2.1</v>
      </c>
      <c r="BN129" s="2262">
        <v>2.1</v>
      </c>
      <c r="BO129" s="2262">
        <v>0</v>
      </c>
      <c r="BP129" s="2262">
        <v>0</v>
      </c>
      <c r="BQ129" s="2262">
        <v>0</v>
      </c>
      <c r="BR129" s="2262">
        <v>0</v>
      </c>
      <c r="BS129" s="2262">
        <v>0</v>
      </c>
      <c r="BT129" s="2262">
        <v>0</v>
      </c>
      <c r="BU129" s="2262">
        <v>0</v>
      </c>
      <c r="BV129" s="2262">
        <v>0</v>
      </c>
      <c r="BW129" s="2262">
        <v>0</v>
      </c>
      <c r="BX129" s="2263">
        <v>1</v>
      </c>
      <c r="BY129" s="2262">
        <v>0.52</v>
      </c>
      <c r="BZ129" s="2262">
        <v>0.18000000000000016</v>
      </c>
      <c r="CA129" s="2064" t="s">
        <v>3524</v>
      </c>
      <c r="CC129" s="563">
        <v>2359.5299329060649</v>
      </c>
      <c r="CD129" s="563">
        <v>2359.5299329060649</v>
      </c>
    </row>
    <row r="130" spans="1:82" s="563" customFormat="1" ht="22.9" customHeight="1">
      <c r="A130" s="2241"/>
      <c r="B130" s="2242" t="s">
        <v>4</v>
      </c>
      <c r="C130" s="2243"/>
      <c r="D130" s="2244"/>
      <c r="E130" s="2243">
        <v>-2.1</v>
      </c>
      <c r="F130" s="2245">
        <v>2.1</v>
      </c>
      <c r="G130" s="2243">
        <v>0</v>
      </c>
      <c r="H130" s="2246">
        <v>-2.1</v>
      </c>
      <c r="I130" s="2245">
        <v>2.1</v>
      </c>
      <c r="J130" s="2247">
        <v>-2.1</v>
      </c>
      <c r="K130" s="2248" t="s">
        <v>3521</v>
      </c>
      <c r="L130" s="2248" t="s">
        <v>3521</v>
      </c>
      <c r="M130" s="2248" t="s">
        <v>3521</v>
      </c>
      <c r="N130" s="2249" t="s">
        <v>3521</v>
      </c>
      <c r="O130" s="2250"/>
      <c r="P130" s="2251"/>
      <c r="Q130" s="2252"/>
      <c r="R130" s="2250"/>
      <c r="S130" s="2253">
        <v>10</v>
      </c>
      <c r="T130" s="2161">
        <v>0</v>
      </c>
      <c r="U130" s="2245">
        <v>1</v>
      </c>
      <c r="V130" s="2245">
        <v>15</v>
      </c>
      <c r="W130" s="2245">
        <v>128.45752167880846</v>
      </c>
      <c r="X130" s="2245">
        <v>3.6248559335500571E-2</v>
      </c>
      <c r="Y130" s="2245">
        <v>0</v>
      </c>
      <c r="Z130" s="2161">
        <v>0</v>
      </c>
      <c r="AA130" s="2245" t="e">
        <v>#DIV/0!</v>
      </c>
      <c r="AB130" s="2245">
        <v>2.2000000000000002</v>
      </c>
      <c r="AC130" s="2245">
        <v>0</v>
      </c>
      <c r="AD130" s="2245" t="s">
        <v>1240</v>
      </c>
      <c r="AE130" s="2254">
        <v>1.4999999999999999E-2</v>
      </c>
      <c r="AF130" s="2255">
        <v>1</v>
      </c>
      <c r="AG130" s="2245">
        <v>0.6</v>
      </c>
      <c r="AH130" s="2245"/>
      <c r="AJ130" s="2256"/>
      <c r="AK130" s="2257">
        <v>0</v>
      </c>
      <c r="AL130" s="2245">
        <v>0</v>
      </c>
      <c r="AM130" s="2245">
        <v>0</v>
      </c>
      <c r="AN130" s="2245" t="e">
        <v>#DIV/0!</v>
      </c>
      <c r="AO130" s="2245" t="e">
        <v>#DIV/0!</v>
      </c>
      <c r="AP130" s="2258">
        <v>0</v>
      </c>
      <c r="AQ130" s="2259"/>
      <c r="AR130" s="2259">
        <v>0</v>
      </c>
      <c r="AS130" s="2260" t="s">
        <v>3521</v>
      </c>
      <c r="AT130" s="2259"/>
      <c r="AU130" s="2259"/>
      <c r="AV130" s="2259"/>
      <c r="AW130" s="2259">
        <v>0</v>
      </c>
      <c r="AX130" s="2261">
        <v>10000</v>
      </c>
      <c r="AY130" s="2261">
        <v>10000</v>
      </c>
      <c r="AZ130" s="2261">
        <v>10000</v>
      </c>
      <c r="BA130" s="2261">
        <v>15</v>
      </c>
      <c r="BB130" s="2261">
        <v>0</v>
      </c>
      <c r="BC130" s="2261">
        <v>0</v>
      </c>
      <c r="BD130" s="2229">
        <v>0</v>
      </c>
      <c r="BE130" s="2229">
        <v>0.114396</v>
      </c>
      <c r="BF130" s="2229">
        <v>0</v>
      </c>
      <c r="BG130" s="2229">
        <v>0</v>
      </c>
      <c r="BH130" s="2229">
        <v>0</v>
      </c>
      <c r="BI130" s="2229">
        <v>0</v>
      </c>
      <c r="BJ130" s="2229">
        <v>0</v>
      </c>
      <c r="BK130" s="2262">
        <v>0</v>
      </c>
      <c r="BL130" s="2262">
        <v>0</v>
      </c>
      <c r="BM130" s="2262">
        <v>-2.1</v>
      </c>
      <c r="BN130" s="2262">
        <v>2.1</v>
      </c>
      <c r="BO130" s="2262">
        <v>0</v>
      </c>
      <c r="BP130" s="2262">
        <v>0</v>
      </c>
      <c r="BQ130" s="2262">
        <v>0</v>
      </c>
      <c r="BR130" s="2262">
        <v>0</v>
      </c>
      <c r="BS130" s="2262">
        <v>0</v>
      </c>
      <c r="BT130" s="2262">
        <v>0</v>
      </c>
      <c r="BU130" s="2262">
        <v>0</v>
      </c>
      <c r="BV130" s="2262">
        <v>0</v>
      </c>
      <c r="BW130" s="2262">
        <v>0</v>
      </c>
      <c r="BX130" s="2263">
        <v>1</v>
      </c>
      <c r="BY130" s="2262">
        <v>0.52</v>
      </c>
      <c r="BZ130" s="2262">
        <v>0.18000000000000016</v>
      </c>
      <c r="CA130" s="2064" t="s">
        <v>3524</v>
      </c>
      <c r="CC130" s="563">
        <v>2359.5299329060649</v>
      </c>
      <c r="CD130" s="563">
        <v>2359.5299329060649</v>
      </c>
    </row>
    <row r="131" spans="1:82" s="563" customFormat="1" ht="22.9" customHeight="1">
      <c r="A131" s="2241"/>
      <c r="B131" s="2242" t="s">
        <v>4</v>
      </c>
      <c r="C131" s="2243"/>
      <c r="D131" s="2244"/>
      <c r="E131" s="2243">
        <v>-2.1</v>
      </c>
      <c r="F131" s="2245">
        <v>2.1</v>
      </c>
      <c r="G131" s="2243">
        <v>0</v>
      </c>
      <c r="H131" s="2246">
        <v>-2.1</v>
      </c>
      <c r="I131" s="2245">
        <v>2.1</v>
      </c>
      <c r="J131" s="2247">
        <v>-2.1</v>
      </c>
      <c r="K131" s="2248" t="s">
        <v>3521</v>
      </c>
      <c r="L131" s="2248" t="s">
        <v>3521</v>
      </c>
      <c r="M131" s="2248" t="s">
        <v>3521</v>
      </c>
      <c r="N131" s="2249" t="s">
        <v>3521</v>
      </c>
      <c r="O131" s="2250"/>
      <c r="P131" s="2251"/>
      <c r="Q131" s="2252"/>
      <c r="R131" s="2250"/>
      <c r="S131" s="2253">
        <v>10</v>
      </c>
      <c r="T131" s="2161">
        <v>0</v>
      </c>
      <c r="U131" s="2245">
        <v>1</v>
      </c>
      <c r="V131" s="2245">
        <v>15</v>
      </c>
      <c r="W131" s="2245">
        <v>128.45752167880846</v>
      </c>
      <c r="X131" s="2245">
        <v>3.6248559335500571E-2</v>
      </c>
      <c r="Y131" s="2245">
        <v>0</v>
      </c>
      <c r="Z131" s="2161">
        <v>0</v>
      </c>
      <c r="AA131" s="2245" t="e">
        <v>#DIV/0!</v>
      </c>
      <c r="AB131" s="2245">
        <v>2.2000000000000002</v>
      </c>
      <c r="AC131" s="2245">
        <v>0</v>
      </c>
      <c r="AD131" s="2245" t="s">
        <v>1240</v>
      </c>
      <c r="AE131" s="2254">
        <v>1.4999999999999999E-2</v>
      </c>
      <c r="AF131" s="2255">
        <v>1</v>
      </c>
      <c r="AG131" s="2245">
        <v>0.6</v>
      </c>
      <c r="AH131" s="2245"/>
      <c r="AJ131" s="2256"/>
      <c r="AK131" s="2257">
        <v>0</v>
      </c>
      <c r="AL131" s="2245">
        <v>0</v>
      </c>
      <c r="AM131" s="2245">
        <v>0</v>
      </c>
      <c r="AN131" s="2245" t="e">
        <v>#DIV/0!</v>
      </c>
      <c r="AO131" s="2245" t="e">
        <v>#DIV/0!</v>
      </c>
      <c r="AP131" s="2258">
        <v>0</v>
      </c>
      <c r="AQ131" s="2259"/>
      <c r="AR131" s="2259">
        <v>0</v>
      </c>
      <c r="AS131" s="2260" t="s">
        <v>3521</v>
      </c>
      <c r="AT131" s="2259"/>
      <c r="AU131" s="2259"/>
      <c r="AV131" s="2259"/>
      <c r="AW131" s="2259">
        <v>0</v>
      </c>
      <c r="AX131" s="2261">
        <v>10000</v>
      </c>
      <c r="AY131" s="2261">
        <v>10000</v>
      </c>
      <c r="AZ131" s="2261">
        <v>10000</v>
      </c>
      <c r="BA131" s="2261">
        <v>15</v>
      </c>
      <c r="BB131" s="2261">
        <v>0</v>
      </c>
      <c r="BC131" s="2261">
        <v>0</v>
      </c>
      <c r="BD131" s="2229">
        <v>0</v>
      </c>
      <c r="BE131" s="2229">
        <v>0.114396</v>
      </c>
      <c r="BF131" s="2229">
        <v>0</v>
      </c>
      <c r="BG131" s="2229">
        <v>0</v>
      </c>
      <c r="BH131" s="2229">
        <v>0</v>
      </c>
      <c r="BI131" s="2229">
        <v>0</v>
      </c>
      <c r="BJ131" s="2229">
        <v>0</v>
      </c>
      <c r="BK131" s="2262">
        <v>0</v>
      </c>
      <c r="BL131" s="2262">
        <v>0</v>
      </c>
      <c r="BM131" s="2262">
        <v>-2.1</v>
      </c>
      <c r="BN131" s="2262">
        <v>2.1</v>
      </c>
      <c r="BO131" s="2262">
        <v>0</v>
      </c>
      <c r="BP131" s="2262">
        <v>0</v>
      </c>
      <c r="BQ131" s="2262">
        <v>0</v>
      </c>
      <c r="BR131" s="2262">
        <v>0</v>
      </c>
      <c r="BS131" s="2262">
        <v>0</v>
      </c>
      <c r="BT131" s="2262">
        <v>0</v>
      </c>
      <c r="BU131" s="2262">
        <v>0</v>
      </c>
      <c r="BV131" s="2262">
        <v>0</v>
      </c>
      <c r="BW131" s="2262">
        <v>0</v>
      </c>
      <c r="BX131" s="2263">
        <v>1</v>
      </c>
      <c r="BY131" s="2262">
        <v>0.52</v>
      </c>
      <c r="BZ131" s="2262">
        <v>0.18000000000000016</v>
      </c>
      <c r="CA131" s="2064" t="s">
        <v>3524</v>
      </c>
      <c r="CC131" s="563">
        <v>2359.5299329060649</v>
      </c>
      <c r="CD131" s="563">
        <v>2359.5299329060649</v>
      </c>
    </row>
    <row r="132" spans="1:82" s="563" customFormat="1" ht="22.9" customHeight="1">
      <c r="A132" s="2241"/>
      <c r="B132" s="2242" t="s">
        <v>4</v>
      </c>
      <c r="C132" s="2243"/>
      <c r="D132" s="2244"/>
      <c r="E132" s="2243">
        <v>-2.1</v>
      </c>
      <c r="F132" s="2245">
        <v>2.1</v>
      </c>
      <c r="G132" s="2243">
        <v>0</v>
      </c>
      <c r="H132" s="2246">
        <v>-2.1</v>
      </c>
      <c r="I132" s="2245">
        <v>2.1</v>
      </c>
      <c r="J132" s="2247">
        <v>-2.1</v>
      </c>
      <c r="K132" s="2248" t="s">
        <v>3521</v>
      </c>
      <c r="L132" s="2248" t="s">
        <v>3521</v>
      </c>
      <c r="M132" s="2248" t="s">
        <v>3521</v>
      </c>
      <c r="N132" s="2249" t="s">
        <v>3521</v>
      </c>
      <c r="O132" s="2250"/>
      <c r="P132" s="2251"/>
      <c r="Q132" s="2252"/>
      <c r="R132" s="2250"/>
      <c r="S132" s="2253">
        <v>10</v>
      </c>
      <c r="T132" s="2161">
        <v>0</v>
      </c>
      <c r="U132" s="2245">
        <v>1</v>
      </c>
      <c r="V132" s="2245">
        <v>15</v>
      </c>
      <c r="W132" s="2245">
        <v>128.45752167880846</v>
      </c>
      <c r="X132" s="2245">
        <v>3.6248559335500571E-2</v>
      </c>
      <c r="Y132" s="2245">
        <v>0</v>
      </c>
      <c r="Z132" s="2161">
        <v>0</v>
      </c>
      <c r="AA132" s="2245" t="e">
        <v>#DIV/0!</v>
      </c>
      <c r="AB132" s="2245">
        <v>2.2000000000000002</v>
      </c>
      <c r="AC132" s="2245">
        <v>0</v>
      </c>
      <c r="AD132" s="2245" t="s">
        <v>1240</v>
      </c>
      <c r="AE132" s="2254">
        <v>1.4999999999999999E-2</v>
      </c>
      <c r="AF132" s="2255">
        <v>1</v>
      </c>
      <c r="AG132" s="2245">
        <v>0.6</v>
      </c>
      <c r="AH132" s="2245"/>
      <c r="AJ132" s="2256"/>
      <c r="AK132" s="2257">
        <v>0</v>
      </c>
      <c r="AL132" s="2245">
        <v>0</v>
      </c>
      <c r="AM132" s="2245">
        <v>0</v>
      </c>
      <c r="AN132" s="2245" t="e">
        <v>#DIV/0!</v>
      </c>
      <c r="AO132" s="2245" t="e">
        <v>#DIV/0!</v>
      </c>
      <c r="AP132" s="2258">
        <v>0</v>
      </c>
      <c r="AQ132" s="2259"/>
      <c r="AR132" s="2259">
        <v>0</v>
      </c>
      <c r="AS132" s="2260" t="s">
        <v>3521</v>
      </c>
      <c r="AT132" s="2259"/>
      <c r="AU132" s="2259"/>
      <c r="AV132" s="2259"/>
      <c r="AW132" s="2259">
        <v>0</v>
      </c>
      <c r="AX132" s="2261">
        <v>10000</v>
      </c>
      <c r="AY132" s="2261">
        <v>10000</v>
      </c>
      <c r="AZ132" s="2261">
        <v>10000</v>
      </c>
      <c r="BA132" s="2261">
        <v>15</v>
      </c>
      <c r="BB132" s="2261">
        <v>0</v>
      </c>
      <c r="BC132" s="2261">
        <v>0</v>
      </c>
      <c r="BD132" s="2229">
        <v>0</v>
      </c>
      <c r="BE132" s="2229">
        <v>0.114396</v>
      </c>
      <c r="BF132" s="2229">
        <v>0</v>
      </c>
      <c r="BG132" s="2229">
        <v>0</v>
      </c>
      <c r="BH132" s="2229">
        <v>0</v>
      </c>
      <c r="BI132" s="2229">
        <v>0</v>
      </c>
      <c r="BJ132" s="2229">
        <v>0</v>
      </c>
      <c r="BK132" s="2262">
        <v>0</v>
      </c>
      <c r="BL132" s="2262">
        <v>0</v>
      </c>
      <c r="BM132" s="2262">
        <v>-2.1</v>
      </c>
      <c r="BN132" s="2262">
        <v>2.1</v>
      </c>
      <c r="BO132" s="2262">
        <v>0</v>
      </c>
      <c r="BP132" s="2262">
        <v>0</v>
      </c>
      <c r="BQ132" s="2262">
        <v>0</v>
      </c>
      <c r="BR132" s="2262">
        <v>0</v>
      </c>
      <c r="BS132" s="2262">
        <v>0</v>
      </c>
      <c r="BT132" s="2262">
        <v>0</v>
      </c>
      <c r="BU132" s="2262">
        <v>0</v>
      </c>
      <c r="BV132" s="2262">
        <v>0</v>
      </c>
      <c r="BW132" s="2262">
        <v>0</v>
      </c>
      <c r="BX132" s="2263">
        <v>1</v>
      </c>
      <c r="BY132" s="2262">
        <v>0.52</v>
      </c>
      <c r="BZ132" s="2262">
        <v>0.18000000000000016</v>
      </c>
      <c r="CA132" s="2064" t="s">
        <v>3524</v>
      </c>
      <c r="CC132" s="563">
        <v>2359.5299329060649</v>
      </c>
      <c r="CD132" s="563">
        <v>2359.5299329060649</v>
      </c>
    </row>
    <row r="133" spans="1:82" s="563" customFormat="1" ht="22.9" customHeight="1">
      <c r="A133" s="2241"/>
      <c r="B133" s="2242" t="s">
        <v>4</v>
      </c>
      <c r="C133" s="2243"/>
      <c r="D133" s="2244"/>
      <c r="E133" s="2243">
        <v>-2.1</v>
      </c>
      <c r="F133" s="2245">
        <v>2.1</v>
      </c>
      <c r="G133" s="2243">
        <v>0</v>
      </c>
      <c r="H133" s="2246">
        <v>-2.1</v>
      </c>
      <c r="I133" s="2245">
        <v>2.1</v>
      </c>
      <c r="J133" s="2247">
        <v>-2.1</v>
      </c>
      <c r="K133" s="2248" t="s">
        <v>3521</v>
      </c>
      <c r="L133" s="2248" t="s">
        <v>3521</v>
      </c>
      <c r="M133" s="2248" t="s">
        <v>3521</v>
      </c>
      <c r="N133" s="2249" t="s">
        <v>3521</v>
      </c>
      <c r="O133" s="2250"/>
      <c r="P133" s="2251"/>
      <c r="Q133" s="2252"/>
      <c r="R133" s="2250"/>
      <c r="S133" s="2253">
        <v>10</v>
      </c>
      <c r="T133" s="2161">
        <v>0</v>
      </c>
      <c r="U133" s="2245">
        <v>1</v>
      </c>
      <c r="V133" s="2245">
        <v>15</v>
      </c>
      <c r="W133" s="2245">
        <v>128.45752167880846</v>
      </c>
      <c r="X133" s="2245">
        <v>3.6248559335500571E-2</v>
      </c>
      <c r="Y133" s="2245">
        <v>0</v>
      </c>
      <c r="Z133" s="2161">
        <v>0</v>
      </c>
      <c r="AA133" s="2245" t="e">
        <v>#DIV/0!</v>
      </c>
      <c r="AB133" s="2245">
        <v>2.2000000000000002</v>
      </c>
      <c r="AC133" s="2245">
        <v>0</v>
      </c>
      <c r="AD133" s="2245" t="s">
        <v>1240</v>
      </c>
      <c r="AE133" s="2254">
        <v>1.4999999999999999E-2</v>
      </c>
      <c r="AF133" s="2255">
        <v>1</v>
      </c>
      <c r="AG133" s="2245">
        <v>0.6</v>
      </c>
      <c r="AH133" s="2245"/>
      <c r="AJ133" s="2256"/>
      <c r="AK133" s="2257">
        <v>0</v>
      </c>
      <c r="AL133" s="2245">
        <v>0</v>
      </c>
      <c r="AM133" s="2245">
        <v>0</v>
      </c>
      <c r="AN133" s="2245" t="e">
        <v>#DIV/0!</v>
      </c>
      <c r="AO133" s="2245" t="e">
        <v>#DIV/0!</v>
      </c>
      <c r="AP133" s="2258">
        <v>0</v>
      </c>
      <c r="AQ133" s="2259"/>
      <c r="AR133" s="2259">
        <v>0</v>
      </c>
      <c r="AS133" s="2260" t="s">
        <v>3521</v>
      </c>
      <c r="AT133" s="2259"/>
      <c r="AU133" s="2259"/>
      <c r="AV133" s="2259"/>
      <c r="AW133" s="2259">
        <v>0</v>
      </c>
      <c r="AX133" s="2261">
        <v>10000</v>
      </c>
      <c r="AY133" s="2261">
        <v>10000</v>
      </c>
      <c r="AZ133" s="2261">
        <v>10000</v>
      </c>
      <c r="BA133" s="2261">
        <v>15</v>
      </c>
      <c r="BB133" s="2261">
        <v>0</v>
      </c>
      <c r="BC133" s="2261">
        <v>0</v>
      </c>
      <c r="BD133" s="2229">
        <v>0</v>
      </c>
      <c r="BE133" s="2229">
        <v>0.114396</v>
      </c>
      <c r="BF133" s="2229">
        <v>0</v>
      </c>
      <c r="BG133" s="2229">
        <v>0</v>
      </c>
      <c r="BH133" s="2229">
        <v>0</v>
      </c>
      <c r="BI133" s="2229">
        <v>0</v>
      </c>
      <c r="BJ133" s="2229">
        <v>0</v>
      </c>
      <c r="BK133" s="2262">
        <v>0</v>
      </c>
      <c r="BL133" s="2262">
        <v>0</v>
      </c>
      <c r="BM133" s="2262">
        <v>-2.1</v>
      </c>
      <c r="BN133" s="2262">
        <v>2.1</v>
      </c>
      <c r="BO133" s="2262">
        <v>0</v>
      </c>
      <c r="BP133" s="2262">
        <v>0</v>
      </c>
      <c r="BQ133" s="2262">
        <v>0</v>
      </c>
      <c r="BR133" s="2262">
        <v>0</v>
      </c>
      <c r="BS133" s="2262">
        <v>0</v>
      </c>
      <c r="BT133" s="2262">
        <v>0</v>
      </c>
      <c r="BU133" s="2262">
        <v>0</v>
      </c>
      <c r="BV133" s="2262">
        <v>0</v>
      </c>
      <c r="BW133" s="2262">
        <v>0</v>
      </c>
      <c r="BX133" s="2263">
        <v>1</v>
      </c>
      <c r="BY133" s="2262">
        <v>0.52</v>
      </c>
      <c r="BZ133" s="2262">
        <v>0.18000000000000016</v>
      </c>
      <c r="CA133" s="2064" t="s">
        <v>3524</v>
      </c>
      <c r="CC133" s="563">
        <v>2359.5299329060649</v>
      </c>
      <c r="CD133" s="563">
        <v>2359.5299329060649</v>
      </c>
    </row>
    <row r="134" spans="1:82" s="563" customFormat="1" ht="22.9" customHeight="1">
      <c r="A134" s="2241"/>
      <c r="B134" s="2242" t="s">
        <v>4</v>
      </c>
      <c r="C134" s="2243"/>
      <c r="D134" s="2244"/>
      <c r="E134" s="2243">
        <v>-2.1</v>
      </c>
      <c r="F134" s="2245">
        <v>2.1</v>
      </c>
      <c r="G134" s="2243">
        <v>0</v>
      </c>
      <c r="H134" s="2246">
        <v>-2.1</v>
      </c>
      <c r="I134" s="2245">
        <v>2.1</v>
      </c>
      <c r="J134" s="2247">
        <v>-2.1</v>
      </c>
      <c r="K134" s="2248" t="s">
        <v>3521</v>
      </c>
      <c r="L134" s="2248" t="s">
        <v>3521</v>
      </c>
      <c r="M134" s="2248" t="s">
        <v>3521</v>
      </c>
      <c r="N134" s="2249" t="s">
        <v>3521</v>
      </c>
      <c r="O134" s="2250"/>
      <c r="P134" s="2251"/>
      <c r="Q134" s="2252"/>
      <c r="R134" s="2250"/>
      <c r="S134" s="2253">
        <v>10</v>
      </c>
      <c r="T134" s="2161">
        <v>0</v>
      </c>
      <c r="U134" s="2245">
        <v>1</v>
      </c>
      <c r="V134" s="2245">
        <v>15</v>
      </c>
      <c r="W134" s="2245">
        <v>128.45752167880846</v>
      </c>
      <c r="X134" s="2245">
        <v>3.6248559335500571E-2</v>
      </c>
      <c r="Y134" s="2245">
        <v>0</v>
      </c>
      <c r="Z134" s="2161">
        <v>0</v>
      </c>
      <c r="AA134" s="2245" t="e">
        <v>#DIV/0!</v>
      </c>
      <c r="AB134" s="2245">
        <v>2.2000000000000002</v>
      </c>
      <c r="AC134" s="2245">
        <v>0</v>
      </c>
      <c r="AD134" s="2245" t="s">
        <v>1240</v>
      </c>
      <c r="AE134" s="2254">
        <v>1.4999999999999999E-2</v>
      </c>
      <c r="AF134" s="2255">
        <v>1</v>
      </c>
      <c r="AG134" s="2245">
        <v>0.6</v>
      </c>
      <c r="AH134" s="2245"/>
      <c r="AJ134" s="2256"/>
      <c r="AK134" s="2257">
        <v>0</v>
      </c>
      <c r="AL134" s="2245">
        <v>0</v>
      </c>
      <c r="AM134" s="2245">
        <v>0</v>
      </c>
      <c r="AN134" s="2245" t="e">
        <v>#DIV/0!</v>
      </c>
      <c r="AO134" s="2245" t="e">
        <v>#DIV/0!</v>
      </c>
      <c r="AP134" s="2258">
        <v>0</v>
      </c>
      <c r="AQ134" s="2259"/>
      <c r="AR134" s="2259">
        <v>0</v>
      </c>
      <c r="AS134" s="2260" t="s">
        <v>3521</v>
      </c>
      <c r="AT134" s="2259"/>
      <c r="AU134" s="2259"/>
      <c r="AV134" s="2259"/>
      <c r="AW134" s="2259">
        <v>0</v>
      </c>
      <c r="AX134" s="2261">
        <v>10000</v>
      </c>
      <c r="AY134" s="2261">
        <v>10000</v>
      </c>
      <c r="AZ134" s="2261">
        <v>10000</v>
      </c>
      <c r="BA134" s="2261">
        <v>15</v>
      </c>
      <c r="BB134" s="2261">
        <v>0</v>
      </c>
      <c r="BC134" s="2261">
        <v>0</v>
      </c>
      <c r="BD134" s="2229">
        <v>0</v>
      </c>
      <c r="BE134" s="2229">
        <v>0.114396</v>
      </c>
      <c r="BF134" s="2229">
        <v>0</v>
      </c>
      <c r="BG134" s="2229">
        <v>0</v>
      </c>
      <c r="BH134" s="2229">
        <v>0</v>
      </c>
      <c r="BI134" s="2229">
        <v>0</v>
      </c>
      <c r="BJ134" s="2229">
        <v>0</v>
      </c>
      <c r="BK134" s="2262">
        <v>0</v>
      </c>
      <c r="BL134" s="2262">
        <v>0</v>
      </c>
      <c r="BM134" s="2262">
        <v>-2.1</v>
      </c>
      <c r="BN134" s="2262">
        <v>2.1</v>
      </c>
      <c r="BO134" s="2262">
        <v>0</v>
      </c>
      <c r="BP134" s="2262">
        <v>0</v>
      </c>
      <c r="BQ134" s="2262">
        <v>0</v>
      </c>
      <c r="BR134" s="2262">
        <v>0</v>
      </c>
      <c r="BS134" s="2262">
        <v>0</v>
      </c>
      <c r="BT134" s="2262">
        <v>0</v>
      </c>
      <c r="BU134" s="2262">
        <v>0</v>
      </c>
      <c r="BV134" s="2262">
        <v>0</v>
      </c>
      <c r="BW134" s="2262">
        <v>0</v>
      </c>
      <c r="BX134" s="2263">
        <v>1</v>
      </c>
      <c r="BY134" s="2262">
        <v>0.52</v>
      </c>
      <c r="BZ134" s="2262">
        <v>0.18000000000000016</v>
      </c>
      <c r="CA134" s="2064" t="s">
        <v>3524</v>
      </c>
      <c r="CC134" s="563">
        <v>2359.5299329060649</v>
      </c>
      <c r="CD134" s="563">
        <v>2359.5299329060649</v>
      </c>
    </row>
    <row r="135" spans="1:82" s="563" customFormat="1" ht="22.9" customHeight="1">
      <c r="A135" s="2241"/>
      <c r="B135" s="2242" t="s">
        <v>4</v>
      </c>
      <c r="C135" s="2243"/>
      <c r="D135" s="2244"/>
      <c r="E135" s="2243">
        <v>-2.1</v>
      </c>
      <c r="F135" s="2245">
        <v>2.1</v>
      </c>
      <c r="G135" s="2243">
        <v>0</v>
      </c>
      <c r="H135" s="2246">
        <v>-2.1</v>
      </c>
      <c r="I135" s="2245">
        <v>2.1</v>
      </c>
      <c r="J135" s="2247">
        <v>-2.1</v>
      </c>
      <c r="K135" s="2248" t="s">
        <v>3521</v>
      </c>
      <c r="L135" s="2248" t="s">
        <v>3521</v>
      </c>
      <c r="M135" s="2248" t="s">
        <v>3521</v>
      </c>
      <c r="N135" s="2249" t="s">
        <v>3521</v>
      </c>
      <c r="O135" s="2250"/>
      <c r="P135" s="2251"/>
      <c r="Q135" s="2252"/>
      <c r="R135" s="2250"/>
      <c r="S135" s="2253">
        <v>10</v>
      </c>
      <c r="T135" s="2161">
        <v>0</v>
      </c>
      <c r="U135" s="2245">
        <v>1</v>
      </c>
      <c r="V135" s="2245">
        <v>15</v>
      </c>
      <c r="W135" s="2245">
        <v>128.45752167880846</v>
      </c>
      <c r="X135" s="2245">
        <v>3.6248559335500571E-2</v>
      </c>
      <c r="Y135" s="2245">
        <v>0</v>
      </c>
      <c r="Z135" s="2161">
        <v>0</v>
      </c>
      <c r="AA135" s="2245" t="e">
        <v>#DIV/0!</v>
      </c>
      <c r="AB135" s="2245">
        <v>2.2000000000000002</v>
      </c>
      <c r="AC135" s="2245">
        <v>0</v>
      </c>
      <c r="AD135" s="2245" t="s">
        <v>1240</v>
      </c>
      <c r="AE135" s="2254">
        <v>1.4999999999999999E-2</v>
      </c>
      <c r="AF135" s="2255">
        <v>1</v>
      </c>
      <c r="AG135" s="2245">
        <v>0.6</v>
      </c>
      <c r="AH135" s="2245"/>
      <c r="AJ135" s="2256"/>
      <c r="AK135" s="2257">
        <v>0</v>
      </c>
      <c r="AL135" s="2245">
        <v>0</v>
      </c>
      <c r="AM135" s="2245">
        <v>0</v>
      </c>
      <c r="AN135" s="2245" t="e">
        <v>#DIV/0!</v>
      </c>
      <c r="AO135" s="2245" t="e">
        <v>#DIV/0!</v>
      </c>
      <c r="AP135" s="2258">
        <v>0</v>
      </c>
      <c r="AQ135" s="2259"/>
      <c r="AR135" s="2259">
        <v>0</v>
      </c>
      <c r="AS135" s="2260" t="s">
        <v>3521</v>
      </c>
      <c r="AT135" s="2259"/>
      <c r="AU135" s="2259"/>
      <c r="AV135" s="2259"/>
      <c r="AW135" s="2259">
        <v>0</v>
      </c>
      <c r="AX135" s="2261">
        <v>10000</v>
      </c>
      <c r="AY135" s="2261">
        <v>10000</v>
      </c>
      <c r="AZ135" s="2261">
        <v>10000</v>
      </c>
      <c r="BA135" s="2261">
        <v>15</v>
      </c>
      <c r="BB135" s="2261">
        <v>0</v>
      </c>
      <c r="BC135" s="2261">
        <v>0</v>
      </c>
      <c r="BD135" s="2229">
        <v>0</v>
      </c>
      <c r="BE135" s="2229">
        <v>0.114396</v>
      </c>
      <c r="BF135" s="2229">
        <v>0</v>
      </c>
      <c r="BG135" s="2229">
        <v>0</v>
      </c>
      <c r="BH135" s="2229">
        <v>0</v>
      </c>
      <c r="BI135" s="2229">
        <v>0</v>
      </c>
      <c r="BJ135" s="2229">
        <v>0</v>
      </c>
      <c r="BK135" s="2262">
        <v>0</v>
      </c>
      <c r="BL135" s="2262">
        <v>0</v>
      </c>
      <c r="BM135" s="2262">
        <v>-2.1</v>
      </c>
      <c r="BN135" s="2262">
        <v>2.1</v>
      </c>
      <c r="BO135" s="2262">
        <v>0</v>
      </c>
      <c r="BP135" s="2262">
        <v>0</v>
      </c>
      <c r="BQ135" s="2262">
        <v>0</v>
      </c>
      <c r="BR135" s="2262">
        <v>0</v>
      </c>
      <c r="BS135" s="2262">
        <v>0</v>
      </c>
      <c r="BT135" s="2262">
        <v>0</v>
      </c>
      <c r="BU135" s="2262">
        <v>0</v>
      </c>
      <c r="BV135" s="2262">
        <v>0</v>
      </c>
      <c r="BW135" s="2262">
        <v>0</v>
      </c>
      <c r="BX135" s="2263">
        <v>1</v>
      </c>
      <c r="BY135" s="2262">
        <v>0.52</v>
      </c>
      <c r="BZ135" s="2262">
        <v>0.18000000000000016</v>
      </c>
      <c r="CA135" s="2064" t="s">
        <v>3524</v>
      </c>
      <c r="CC135" s="563">
        <v>2359.5299329060649</v>
      </c>
      <c r="CD135" s="563">
        <v>2359.5299329060649</v>
      </c>
    </row>
    <row r="136" spans="1:82" s="563" customFormat="1" ht="22.9" customHeight="1">
      <c r="A136" s="2241"/>
      <c r="B136" s="2242" t="s">
        <v>4</v>
      </c>
      <c r="C136" s="2243"/>
      <c r="D136" s="2244"/>
      <c r="E136" s="2243">
        <v>-2.1</v>
      </c>
      <c r="F136" s="2245">
        <v>2.1</v>
      </c>
      <c r="G136" s="2243">
        <v>0</v>
      </c>
      <c r="H136" s="2246">
        <v>-2.1</v>
      </c>
      <c r="I136" s="2245">
        <v>2.1</v>
      </c>
      <c r="J136" s="2247">
        <v>-2.1</v>
      </c>
      <c r="K136" s="2248" t="s">
        <v>3521</v>
      </c>
      <c r="L136" s="2248" t="s">
        <v>3521</v>
      </c>
      <c r="M136" s="2248" t="s">
        <v>3521</v>
      </c>
      <c r="N136" s="2249" t="s">
        <v>3521</v>
      </c>
      <c r="O136" s="2250"/>
      <c r="P136" s="2251"/>
      <c r="Q136" s="2252"/>
      <c r="R136" s="2250"/>
      <c r="S136" s="2253">
        <v>10</v>
      </c>
      <c r="T136" s="2161">
        <v>0</v>
      </c>
      <c r="U136" s="2245">
        <v>1</v>
      </c>
      <c r="V136" s="2245">
        <v>15</v>
      </c>
      <c r="W136" s="2245">
        <v>128.45752167880846</v>
      </c>
      <c r="X136" s="2245">
        <v>3.6248559335500571E-2</v>
      </c>
      <c r="Y136" s="2245">
        <v>0</v>
      </c>
      <c r="Z136" s="2161">
        <v>0</v>
      </c>
      <c r="AA136" s="2245" t="e">
        <v>#DIV/0!</v>
      </c>
      <c r="AB136" s="2245">
        <v>2.2000000000000002</v>
      </c>
      <c r="AC136" s="2245">
        <v>0</v>
      </c>
      <c r="AD136" s="2245" t="s">
        <v>1240</v>
      </c>
      <c r="AE136" s="2254">
        <v>1.4999999999999999E-2</v>
      </c>
      <c r="AF136" s="2255">
        <v>1</v>
      </c>
      <c r="AG136" s="2245">
        <v>0.6</v>
      </c>
      <c r="AH136" s="2245"/>
      <c r="AJ136" s="2256"/>
      <c r="AK136" s="2257">
        <v>0</v>
      </c>
      <c r="AL136" s="2245">
        <v>0</v>
      </c>
      <c r="AM136" s="2245">
        <v>0</v>
      </c>
      <c r="AN136" s="2245" t="e">
        <v>#DIV/0!</v>
      </c>
      <c r="AO136" s="2245" t="e">
        <v>#DIV/0!</v>
      </c>
      <c r="AP136" s="2258">
        <v>0</v>
      </c>
      <c r="AQ136" s="2259"/>
      <c r="AR136" s="2259">
        <v>0</v>
      </c>
      <c r="AS136" s="2260" t="s">
        <v>3521</v>
      </c>
      <c r="AT136" s="2259"/>
      <c r="AU136" s="2259"/>
      <c r="AV136" s="2259"/>
      <c r="AW136" s="2259">
        <v>0</v>
      </c>
      <c r="AX136" s="2261">
        <v>10000</v>
      </c>
      <c r="AY136" s="2261">
        <v>10000</v>
      </c>
      <c r="AZ136" s="2261">
        <v>10000</v>
      </c>
      <c r="BA136" s="2261">
        <v>15</v>
      </c>
      <c r="BB136" s="2261">
        <v>0</v>
      </c>
      <c r="BC136" s="2261">
        <v>0</v>
      </c>
      <c r="BD136" s="2229">
        <v>0</v>
      </c>
      <c r="BE136" s="2229">
        <v>0.114396</v>
      </c>
      <c r="BF136" s="2229">
        <v>0</v>
      </c>
      <c r="BG136" s="2229">
        <v>0</v>
      </c>
      <c r="BH136" s="2229">
        <v>0</v>
      </c>
      <c r="BI136" s="2229">
        <v>0</v>
      </c>
      <c r="BJ136" s="2229">
        <v>0</v>
      </c>
      <c r="BK136" s="2262">
        <v>0</v>
      </c>
      <c r="BL136" s="2262">
        <v>0</v>
      </c>
      <c r="BM136" s="2262">
        <v>-2.1</v>
      </c>
      <c r="BN136" s="2262">
        <v>2.1</v>
      </c>
      <c r="BO136" s="2262">
        <v>0</v>
      </c>
      <c r="BP136" s="2262">
        <v>0</v>
      </c>
      <c r="BQ136" s="2262">
        <v>0</v>
      </c>
      <c r="BR136" s="2262">
        <v>0</v>
      </c>
      <c r="BS136" s="2262">
        <v>0</v>
      </c>
      <c r="BT136" s="2262">
        <v>0</v>
      </c>
      <c r="BU136" s="2262">
        <v>0</v>
      </c>
      <c r="BV136" s="2262">
        <v>0</v>
      </c>
      <c r="BW136" s="2262">
        <v>0</v>
      </c>
      <c r="BX136" s="2263">
        <v>1</v>
      </c>
      <c r="BY136" s="2262">
        <v>0.52</v>
      </c>
      <c r="BZ136" s="2262">
        <v>0.18000000000000016</v>
      </c>
      <c r="CA136" s="2064" t="s">
        <v>3524</v>
      </c>
      <c r="CC136" s="563">
        <v>2359.5299329060649</v>
      </c>
      <c r="CD136" s="563">
        <v>2359.5299329060649</v>
      </c>
    </row>
    <row r="137" spans="1:82" s="563" customFormat="1" ht="22.9" customHeight="1">
      <c r="A137" s="2241"/>
      <c r="B137" s="2242" t="s">
        <v>4</v>
      </c>
      <c r="C137" s="2243"/>
      <c r="D137" s="2244"/>
      <c r="E137" s="2243">
        <v>-2.1</v>
      </c>
      <c r="F137" s="2245">
        <v>2.1</v>
      </c>
      <c r="G137" s="2243">
        <v>0</v>
      </c>
      <c r="H137" s="2246">
        <v>-2.1</v>
      </c>
      <c r="I137" s="2245">
        <v>2.1</v>
      </c>
      <c r="J137" s="2247">
        <v>-2.1</v>
      </c>
      <c r="K137" s="2248" t="s">
        <v>3521</v>
      </c>
      <c r="L137" s="2248" t="s">
        <v>3521</v>
      </c>
      <c r="M137" s="2248" t="s">
        <v>3521</v>
      </c>
      <c r="N137" s="2249" t="s">
        <v>3521</v>
      </c>
      <c r="O137" s="2250"/>
      <c r="P137" s="2251"/>
      <c r="Q137" s="2252"/>
      <c r="R137" s="2250"/>
      <c r="S137" s="2253">
        <v>10</v>
      </c>
      <c r="T137" s="2161">
        <v>0</v>
      </c>
      <c r="U137" s="2245">
        <v>1</v>
      </c>
      <c r="V137" s="2245">
        <v>15</v>
      </c>
      <c r="W137" s="2245">
        <v>128.45752167880846</v>
      </c>
      <c r="X137" s="2245">
        <v>3.6248559335500571E-2</v>
      </c>
      <c r="Y137" s="2245">
        <v>0</v>
      </c>
      <c r="Z137" s="2161">
        <v>0</v>
      </c>
      <c r="AA137" s="2245" t="e">
        <v>#DIV/0!</v>
      </c>
      <c r="AB137" s="2245">
        <v>2.2000000000000002</v>
      </c>
      <c r="AC137" s="2245">
        <v>0</v>
      </c>
      <c r="AD137" s="2245" t="s">
        <v>1240</v>
      </c>
      <c r="AE137" s="2254">
        <v>1.4999999999999999E-2</v>
      </c>
      <c r="AF137" s="2255">
        <v>1</v>
      </c>
      <c r="AG137" s="2245">
        <v>0.6</v>
      </c>
      <c r="AH137" s="2245"/>
      <c r="AJ137" s="2256"/>
      <c r="AK137" s="2257">
        <v>0</v>
      </c>
      <c r="AL137" s="2245">
        <v>0</v>
      </c>
      <c r="AM137" s="2245">
        <v>0</v>
      </c>
      <c r="AN137" s="2245" t="e">
        <v>#DIV/0!</v>
      </c>
      <c r="AO137" s="2245" t="e">
        <v>#DIV/0!</v>
      </c>
      <c r="AP137" s="2258">
        <v>0</v>
      </c>
      <c r="AQ137" s="2259"/>
      <c r="AR137" s="2259">
        <v>0</v>
      </c>
      <c r="AS137" s="2260" t="s">
        <v>3521</v>
      </c>
      <c r="AT137" s="2259"/>
      <c r="AU137" s="2259"/>
      <c r="AV137" s="2259"/>
      <c r="AW137" s="2259">
        <v>0</v>
      </c>
      <c r="AX137" s="2261">
        <v>10000</v>
      </c>
      <c r="AY137" s="2261">
        <v>10000</v>
      </c>
      <c r="AZ137" s="2261">
        <v>10000</v>
      </c>
      <c r="BA137" s="2261">
        <v>15</v>
      </c>
      <c r="BB137" s="2261">
        <v>0</v>
      </c>
      <c r="BC137" s="2261">
        <v>0</v>
      </c>
      <c r="BD137" s="2229">
        <v>0</v>
      </c>
      <c r="BE137" s="2229">
        <v>0.114396</v>
      </c>
      <c r="BF137" s="2229">
        <v>0</v>
      </c>
      <c r="BG137" s="2229">
        <v>0</v>
      </c>
      <c r="BH137" s="2229">
        <v>0</v>
      </c>
      <c r="BI137" s="2229">
        <v>0</v>
      </c>
      <c r="BJ137" s="2229">
        <v>0</v>
      </c>
      <c r="BK137" s="2262">
        <v>0</v>
      </c>
      <c r="BL137" s="2262">
        <v>0</v>
      </c>
      <c r="BM137" s="2262">
        <v>-2.1</v>
      </c>
      <c r="BN137" s="2262">
        <v>2.1</v>
      </c>
      <c r="BO137" s="2262">
        <v>0</v>
      </c>
      <c r="BP137" s="2262">
        <v>0</v>
      </c>
      <c r="BQ137" s="2262">
        <v>0</v>
      </c>
      <c r="BR137" s="2262">
        <v>0</v>
      </c>
      <c r="BS137" s="2262">
        <v>0</v>
      </c>
      <c r="BT137" s="2262">
        <v>0</v>
      </c>
      <c r="BU137" s="2262">
        <v>0</v>
      </c>
      <c r="BV137" s="2262">
        <v>0</v>
      </c>
      <c r="BW137" s="2262">
        <v>0</v>
      </c>
      <c r="BX137" s="2263">
        <v>1</v>
      </c>
      <c r="BY137" s="2262">
        <v>0.52</v>
      </c>
      <c r="BZ137" s="2262">
        <v>0.18000000000000016</v>
      </c>
      <c r="CA137" s="2064" t="s">
        <v>3524</v>
      </c>
      <c r="CC137" s="563">
        <v>2359.5299329060649</v>
      </c>
      <c r="CD137" s="563">
        <v>2359.5299329060649</v>
      </c>
    </row>
    <row r="138" spans="1:82" s="563" customFormat="1" ht="22.9" customHeight="1">
      <c r="A138" s="2241"/>
      <c r="B138" s="2242" t="s">
        <v>4</v>
      </c>
      <c r="C138" s="2243"/>
      <c r="D138" s="2244"/>
      <c r="E138" s="2243">
        <v>-2.1</v>
      </c>
      <c r="F138" s="2245">
        <v>2.1</v>
      </c>
      <c r="G138" s="2243">
        <v>0</v>
      </c>
      <c r="H138" s="2246">
        <v>-2.1</v>
      </c>
      <c r="I138" s="2245">
        <v>2.1</v>
      </c>
      <c r="J138" s="2247">
        <v>-2.1</v>
      </c>
      <c r="K138" s="2248" t="s">
        <v>3521</v>
      </c>
      <c r="L138" s="2248" t="s">
        <v>3521</v>
      </c>
      <c r="M138" s="2248" t="s">
        <v>3521</v>
      </c>
      <c r="N138" s="2249" t="s">
        <v>3521</v>
      </c>
      <c r="O138" s="2250"/>
      <c r="P138" s="2251"/>
      <c r="Q138" s="2252"/>
      <c r="R138" s="2250"/>
      <c r="S138" s="2253">
        <v>10</v>
      </c>
      <c r="T138" s="2161">
        <v>0</v>
      </c>
      <c r="U138" s="2245">
        <v>1</v>
      </c>
      <c r="V138" s="2245">
        <v>15</v>
      </c>
      <c r="W138" s="2245">
        <v>128.45752167880846</v>
      </c>
      <c r="X138" s="2245">
        <v>3.6248559335500571E-2</v>
      </c>
      <c r="Y138" s="2245">
        <v>0</v>
      </c>
      <c r="Z138" s="2161">
        <v>0</v>
      </c>
      <c r="AA138" s="2245" t="e">
        <v>#DIV/0!</v>
      </c>
      <c r="AB138" s="2245">
        <v>2.2000000000000002</v>
      </c>
      <c r="AC138" s="2245">
        <v>0</v>
      </c>
      <c r="AD138" s="2245" t="s">
        <v>1240</v>
      </c>
      <c r="AE138" s="2254">
        <v>1.4999999999999999E-2</v>
      </c>
      <c r="AF138" s="2255">
        <v>1</v>
      </c>
      <c r="AG138" s="2245">
        <v>0.6</v>
      </c>
      <c r="AH138" s="2245"/>
      <c r="AJ138" s="2256"/>
      <c r="AK138" s="2257">
        <v>0</v>
      </c>
      <c r="AL138" s="2245">
        <v>0</v>
      </c>
      <c r="AM138" s="2245">
        <v>0</v>
      </c>
      <c r="AN138" s="2245" t="e">
        <v>#DIV/0!</v>
      </c>
      <c r="AO138" s="2245" t="e">
        <v>#DIV/0!</v>
      </c>
      <c r="AP138" s="2258">
        <v>0</v>
      </c>
      <c r="AQ138" s="2259"/>
      <c r="AR138" s="2259">
        <v>0</v>
      </c>
      <c r="AS138" s="2260" t="s">
        <v>3521</v>
      </c>
      <c r="AT138" s="2259"/>
      <c r="AU138" s="2259"/>
      <c r="AV138" s="2259"/>
      <c r="AW138" s="2259">
        <v>0</v>
      </c>
      <c r="AX138" s="2261">
        <v>10000</v>
      </c>
      <c r="AY138" s="2261">
        <v>10000</v>
      </c>
      <c r="AZ138" s="2261">
        <v>10000</v>
      </c>
      <c r="BA138" s="2261">
        <v>15</v>
      </c>
      <c r="BB138" s="2261">
        <v>0</v>
      </c>
      <c r="BC138" s="2261">
        <v>0</v>
      </c>
      <c r="BD138" s="2229">
        <v>0</v>
      </c>
      <c r="BE138" s="2229">
        <v>0.114396</v>
      </c>
      <c r="BF138" s="2229">
        <v>0</v>
      </c>
      <c r="BG138" s="2229">
        <v>0</v>
      </c>
      <c r="BH138" s="2229">
        <v>0</v>
      </c>
      <c r="BI138" s="2229">
        <v>0</v>
      </c>
      <c r="BJ138" s="2229">
        <v>0</v>
      </c>
      <c r="BK138" s="2262">
        <v>0</v>
      </c>
      <c r="BL138" s="2262">
        <v>0</v>
      </c>
      <c r="BM138" s="2262">
        <v>-2.1</v>
      </c>
      <c r="BN138" s="2262">
        <v>2.1</v>
      </c>
      <c r="BO138" s="2262">
        <v>0</v>
      </c>
      <c r="BP138" s="2262">
        <v>0</v>
      </c>
      <c r="BQ138" s="2262">
        <v>0</v>
      </c>
      <c r="BR138" s="2262">
        <v>0</v>
      </c>
      <c r="BS138" s="2262">
        <v>0</v>
      </c>
      <c r="BT138" s="2262">
        <v>0</v>
      </c>
      <c r="BU138" s="2262">
        <v>0</v>
      </c>
      <c r="BV138" s="2262">
        <v>0</v>
      </c>
      <c r="BW138" s="2262">
        <v>0</v>
      </c>
      <c r="BX138" s="2263">
        <v>1</v>
      </c>
      <c r="BY138" s="2262">
        <v>0.52</v>
      </c>
      <c r="BZ138" s="2262">
        <v>0.18000000000000016</v>
      </c>
      <c r="CA138" s="2064" t="s">
        <v>3524</v>
      </c>
      <c r="CC138" s="563">
        <v>2359.5299329060649</v>
      </c>
      <c r="CD138" s="563">
        <v>2359.5299329060649</v>
      </c>
    </row>
    <row r="139" spans="1:82" s="563" customFormat="1" ht="22.9" customHeight="1">
      <c r="A139" s="2241"/>
      <c r="B139" s="2242" t="s">
        <v>4</v>
      </c>
      <c r="C139" s="2243"/>
      <c r="D139" s="2244"/>
      <c r="E139" s="2243">
        <v>-2.1</v>
      </c>
      <c r="F139" s="2245">
        <v>2.1</v>
      </c>
      <c r="G139" s="2243">
        <v>0</v>
      </c>
      <c r="H139" s="2246">
        <v>-2.1</v>
      </c>
      <c r="I139" s="2245">
        <v>2.1</v>
      </c>
      <c r="J139" s="2247">
        <v>-2.1</v>
      </c>
      <c r="K139" s="2248" t="s">
        <v>3521</v>
      </c>
      <c r="L139" s="2248" t="s">
        <v>3521</v>
      </c>
      <c r="M139" s="2248" t="s">
        <v>3521</v>
      </c>
      <c r="N139" s="2249" t="s">
        <v>3521</v>
      </c>
      <c r="O139" s="2250"/>
      <c r="P139" s="2251"/>
      <c r="Q139" s="2252"/>
      <c r="R139" s="2250"/>
      <c r="S139" s="2253">
        <v>10</v>
      </c>
      <c r="T139" s="2161">
        <v>0</v>
      </c>
      <c r="U139" s="2245">
        <v>1</v>
      </c>
      <c r="V139" s="2245">
        <v>15</v>
      </c>
      <c r="W139" s="2245">
        <v>128.45752167880846</v>
      </c>
      <c r="X139" s="2245">
        <v>3.6248559335500571E-2</v>
      </c>
      <c r="Y139" s="2245">
        <v>0</v>
      </c>
      <c r="Z139" s="2161">
        <v>0</v>
      </c>
      <c r="AA139" s="2245" t="e">
        <v>#DIV/0!</v>
      </c>
      <c r="AB139" s="2245">
        <v>2.2000000000000002</v>
      </c>
      <c r="AC139" s="2245">
        <v>0</v>
      </c>
      <c r="AD139" s="2245" t="s">
        <v>1240</v>
      </c>
      <c r="AE139" s="2254">
        <v>1.4999999999999999E-2</v>
      </c>
      <c r="AF139" s="2255">
        <v>1</v>
      </c>
      <c r="AG139" s="2245">
        <v>0.6</v>
      </c>
      <c r="AH139" s="2245"/>
      <c r="AJ139" s="2256"/>
      <c r="AK139" s="2257">
        <v>0</v>
      </c>
      <c r="AL139" s="2245">
        <v>0</v>
      </c>
      <c r="AM139" s="2245">
        <v>0</v>
      </c>
      <c r="AN139" s="2245" t="e">
        <v>#DIV/0!</v>
      </c>
      <c r="AO139" s="2245" t="e">
        <v>#DIV/0!</v>
      </c>
      <c r="AP139" s="2258">
        <v>0</v>
      </c>
      <c r="AQ139" s="2259"/>
      <c r="AR139" s="2259">
        <v>0</v>
      </c>
      <c r="AS139" s="2260" t="s">
        <v>3521</v>
      </c>
      <c r="AT139" s="2259"/>
      <c r="AU139" s="2259"/>
      <c r="AV139" s="2259"/>
      <c r="AW139" s="2259">
        <v>0</v>
      </c>
      <c r="AX139" s="2261">
        <v>10000</v>
      </c>
      <c r="AY139" s="2261">
        <v>10000</v>
      </c>
      <c r="AZ139" s="2261">
        <v>10000</v>
      </c>
      <c r="BA139" s="2261">
        <v>15</v>
      </c>
      <c r="BB139" s="2261">
        <v>0</v>
      </c>
      <c r="BC139" s="2261">
        <v>0</v>
      </c>
      <c r="BD139" s="2229">
        <v>0</v>
      </c>
      <c r="BE139" s="2229">
        <v>0.114396</v>
      </c>
      <c r="BF139" s="2229">
        <v>0</v>
      </c>
      <c r="BG139" s="2229">
        <v>0</v>
      </c>
      <c r="BH139" s="2229">
        <v>0</v>
      </c>
      <c r="BI139" s="2229">
        <v>0</v>
      </c>
      <c r="BJ139" s="2229">
        <v>0</v>
      </c>
      <c r="BK139" s="2262">
        <v>0</v>
      </c>
      <c r="BL139" s="2262">
        <v>0</v>
      </c>
      <c r="BM139" s="2262">
        <v>-2.1</v>
      </c>
      <c r="BN139" s="2262">
        <v>2.1</v>
      </c>
      <c r="BO139" s="2262">
        <v>0</v>
      </c>
      <c r="BP139" s="2262">
        <v>0</v>
      </c>
      <c r="BQ139" s="2262">
        <v>0</v>
      </c>
      <c r="BR139" s="2262">
        <v>0</v>
      </c>
      <c r="BS139" s="2262">
        <v>0</v>
      </c>
      <c r="BT139" s="2262">
        <v>0</v>
      </c>
      <c r="BU139" s="2262">
        <v>0</v>
      </c>
      <c r="BV139" s="2262">
        <v>0</v>
      </c>
      <c r="BW139" s="2262">
        <v>0</v>
      </c>
      <c r="BX139" s="2263">
        <v>1</v>
      </c>
      <c r="BY139" s="2262">
        <v>0.52</v>
      </c>
      <c r="BZ139" s="2262">
        <v>0.18000000000000016</v>
      </c>
      <c r="CA139" s="2064" t="s">
        <v>3524</v>
      </c>
      <c r="CC139" s="563">
        <v>2359.5299329060649</v>
      </c>
      <c r="CD139" s="563">
        <v>2359.5299329060649</v>
      </c>
    </row>
    <row r="140" spans="1:82" s="563" customFormat="1" ht="22.9" customHeight="1">
      <c r="A140" s="2241"/>
      <c r="B140" s="2242" t="s">
        <v>4</v>
      </c>
      <c r="C140" s="2243"/>
      <c r="D140" s="2244"/>
      <c r="E140" s="2243">
        <v>-2.1</v>
      </c>
      <c r="F140" s="2245">
        <v>2.1</v>
      </c>
      <c r="G140" s="2243">
        <v>0</v>
      </c>
      <c r="H140" s="2246">
        <v>-2.1</v>
      </c>
      <c r="I140" s="2245">
        <v>2.1</v>
      </c>
      <c r="J140" s="2247">
        <v>-2.1</v>
      </c>
      <c r="K140" s="2248" t="s">
        <v>3521</v>
      </c>
      <c r="L140" s="2248" t="s">
        <v>3521</v>
      </c>
      <c r="M140" s="2248" t="s">
        <v>3521</v>
      </c>
      <c r="N140" s="2249" t="s">
        <v>3521</v>
      </c>
      <c r="O140" s="2250"/>
      <c r="P140" s="2251"/>
      <c r="Q140" s="2252"/>
      <c r="R140" s="2250"/>
      <c r="S140" s="2253">
        <v>10</v>
      </c>
      <c r="T140" s="2161">
        <v>0</v>
      </c>
      <c r="U140" s="2245">
        <v>1</v>
      </c>
      <c r="V140" s="2245">
        <v>15</v>
      </c>
      <c r="W140" s="2245">
        <v>128.45752167880846</v>
      </c>
      <c r="X140" s="2245">
        <v>3.6248559335500571E-2</v>
      </c>
      <c r="Y140" s="2245">
        <v>0</v>
      </c>
      <c r="Z140" s="2161">
        <v>0</v>
      </c>
      <c r="AA140" s="2245" t="e">
        <v>#DIV/0!</v>
      </c>
      <c r="AB140" s="2245">
        <v>2.2000000000000002</v>
      </c>
      <c r="AC140" s="2245">
        <v>0</v>
      </c>
      <c r="AD140" s="2245" t="s">
        <v>1240</v>
      </c>
      <c r="AE140" s="2254">
        <v>1.4999999999999999E-2</v>
      </c>
      <c r="AF140" s="2255">
        <v>1</v>
      </c>
      <c r="AG140" s="2245">
        <v>0.6</v>
      </c>
      <c r="AH140" s="2245"/>
      <c r="AJ140" s="2256"/>
      <c r="AK140" s="2257">
        <v>0</v>
      </c>
      <c r="AL140" s="2245">
        <v>0</v>
      </c>
      <c r="AM140" s="2245">
        <v>0</v>
      </c>
      <c r="AN140" s="2245" t="e">
        <v>#DIV/0!</v>
      </c>
      <c r="AO140" s="2245" t="e">
        <v>#DIV/0!</v>
      </c>
      <c r="AP140" s="2258">
        <v>0</v>
      </c>
      <c r="AQ140" s="2259"/>
      <c r="AR140" s="2259">
        <v>0</v>
      </c>
      <c r="AS140" s="2260" t="s">
        <v>3521</v>
      </c>
      <c r="AT140" s="2259"/>
      <c r="AU140" s="2259"/>
      <c r="AV140" s="2259"/>
      <c r="AW140" s="2259">
        <v>0</v>
      </c>
      <c r="AX140" s="2261">
        <v>10000</v>
      </c>
      <c r="AY140" s="2261">
        <v>10000</v>
      </c>
      <c r="AZ140" s="2261">
        <v>10000</v>
      </c>
      <c r="BA140" s="2261">
        <v>15</v>
      </c>
      <c r="BB140" s="2261">
        <v>0</v>
      </c>
      <c r="BC140" s="2261">
        <v>0</v>
      </c>
      <c r="BD140" s="2229">
        <v>0</v>
      </c>
      <c r="BE140" s="2229">
        <v>0.114396</v>
      </c>
      <c r="BF140" s="2229">
        <v>0</v>
      </c>
      <c r="BG140" s="2229">
        <v>0</v>
      </c>
      <c r="BH140" s="2229">
        <v>0</v>
      </c>
      <c r="BI140" s="2229">
        <v>0</v>
      </c>
      <c r="BJ140" s="2229">
        <v>0</v>
      </c>
      <c r="BK140" s="2262">
        <v>0</v>
      </c>
      <c r="BL140" s="2262">
        <v>0</v>
      </c>
      <c r="BM140" s="2262">
        <v>-2.1</v>
      </c>
      <c r="BN140" s="2262">
        <v>2.1</v>
      </c>
      <c r="BO140" s="2262">
        <v>0</v>
      </c>
      <c r="BP140" s="2262">
        <v>0</v>
      </c>
      <c r="BQ140" s="2262">
        <v>0</v>
      </c>
      <c r="BR140" s="2262">
        <v>0</v>
      </c>
      <c r="BS140" s="2262">
        <v>0</v>
      </c>
      <c r="BT140" s="2262">
        <v>0</v>
      </c>
      <c r="BU140" s="2262">
        <v>0</v>
      </c>
      <c r="BV140" s="2262">
        <v>0</v>
      </c>
      <c r="BW140" s="2262">
        <v>0</v>
      </c>
      <c r="BX140" s="2263">
        <v>1</v>
      </c>
      <c r="BY140" s="2262">
        <v>0.52</v>
      </c>
      <c r="BZ140" s="2262">
        <v>0.18000000000000016</v>
      </c>
      <c r="CA140" s="2064" t="s">
        <v>3524</v>
      </c>
      <c r="CC140" s="563">
        <v>2359.5299329060649</v>
      </c>
      <c r="CD140" s="563">
        <v>2359.5299329060649</v>
      </c>
    </row>
    <row r="141" spans="1:82" s="563" customFormat="1" ht="22.9" customHeight="1">
      <c r="A141" s="2241"/>
      <c r="B141" s="2242" t="s">
        <v>4</v>
      </c>
      <c r="C141" s="2243"/>
      <c r="D141" s="2244"/>
      <c r="E141" s="2243">
        <v>-2.1</v>
      </c>
      <c r="F141" s="2245">
        <v>2.1</v>
      </c>
      <c r="G141" s="2243">
        <v>0</v>
      </c>
      <c r="H141" s="2246">
        <v>-2.1</v>
      </c>
      <c r="I141" s="2245">
        <v>2.1</v>
      </c>
      <c r="J141" s="2247">
        <v>-2.1</v>
      </c>
      <c r="K141" s="2248" t="s">
        <v>3521</v>
      </c>
      <c r="L141" s="2248" t="s">
        <v>3521</v>
      </c>
      <c r="M141" s="2248" t="s">
        <v>3521</v>
      </c>
      <c r="N141" s="2249" t="s">
        <v>3521</v>
      </c>
      <c r="O141" s="2250"/>
      <c r="P141" s="2251"/>
      <c r="Q141" s="2252"/>
      <c r="R141" s="2250"/>
      <c r="S141" s="2253">
        <v>10</v>
      </c>
      <c r="T141" s="2161">
        <v>0</v>
      </c>
      <c r="U141" s="2245">
        <v>1</v>
      </c>
      <c r="V141" s="2245">
        <v>15</v>
      </c>
      <c r="W141" s="2245">
        <v>128.45752167880846</v>
      </c>
      <c r="X141" s="2245">
        <v>3.6248559335500571E-2</v>
      </c>
      <c r="Y141" s="2245">
        <v>0</v>
      </c>
      <c r="Z141" s="2161">
        <v>0</v>
      </c>
      <c r="AA141" s="2245" t="e">
        <v>#DIV/0!</v>
      </c>
      <c r="AB141" s="2245">
        <v>2.2000000000000002</v>
      </c>
      <c r="AC141" s="2245">
        <v>0</v>
      </c>
      <c r="AD141" s="2245" t="s">
        <v>1240</v>
      </c>
      <c r="AE141" s="2254">
        <v>1.4999999999999999E-2</v>
      </c>
      <c r="AF141" s="2255">
        <v>1</v>
      </c>
      <c r="AG141" s="2245">
        <v>0.6</v>
      </c>
      <c r="AH141" s="2245"/>
      <c r="AJ141" s="2256"/>
      <c r="AK141" s="2257">
        <v>0</v>
      </c>
      <c r="AL141" s="2245">
        <v>0</v>
      </c>
      <c r="AM141" s="2245">
        <v>0</v>
      </c>
      <c r="AN141" s="2245" t="e">
        <v>#DIV/0!</v>
      </c>
      <c r="AO141" s="2245" t="e">
        <v>#DIV/0!</v>
      </c>
      <c r="AP141" s="2258">
        <v>0</v>
      </c>
      <c r="AQ141" s="2259"/>
      <c r="AR141" s="2259">
        <v>0</v>
      </c>
      <c r="AS141" s="2260" t="s">
        <v>3521</v>
      </c>
      <c r="AT141" s="2259"/>
      <c r="AU141" s="2259"/>
      <c r="AV141" s="2259"/>
      <c r="AW141" s="2259">
        <v>0</v>
      </c>
      <c r="AX141" s="2261">
        <v>10000</v>
      </c>
      <c r="AY141" s="2261">
        <v>10000</v>
      </c>
      <c r="AZ141" s="2261">
        <v>10000</v>
      </c>
      <c r="BA141" s="2261">
        <v>15</v>
      </c>
      <c r="BB141" s="2261">
        <v>0</v>
      </c>
      <c r="BC141" s="2261">
        <v>0</v>
      </c>
      <c r="BD141" s="2229">
        <v>0</v>
      </c>
      <c r="BE141" s="2229">
        <v>0.114396</v>
      </c>
      <c r="BF141" s="2229">
        <v>0</v>
      </c>
      <c r="BG141" s="2229">
        <v>0</v>
      </c>
      <c r="BH141" s="2229">
        <v>0</v>
      </c>
      <c r="BI141" s="2229">
        <v>0</v>
      </c>
      <c r="BJ141" s="2229">
        <v>0</v>
      </c>
      <c r="BK141" s="2262">
        <v>0</v>
      </c>
      <c r="BL141" s="2262">
        <v>0</v>
      </c>
      <c r="BM141" s="2262">
        <v>-2.1</v>
      </c>
      <c r="BN141" s="2262">
        <v>2.1</v>
      </c>
      <c r="BO141" s="2262">
        <v>0</v>
      </c>
      <c r="BP141" s="2262">
        <v>0</v>
      </c>
      <c r="BQ141" s="2262">
        <v>0</v>
      </c>
      <c r="BR141" s="2262">
        <v>0</v>
      </c>
      <c r="BS141" s="2262">
        <v>0</v>
      </c>
      <c r="BT141" s="2262">
        <v>0</v>
      </c>
      <c r="BU141" s="2262">
        <v>0</v>
      </c>
      <c r="BV141" s="2262">
        <v>0</v>
      </c>
      <c r="BW141" s="2262">
        <v>0</v>
      </c>
      <c r="BX141" s="2263">
        <v>1</v>
      </c>
      <c r="BY141" s="2262">
        <v>0.52</v>
      </c>
      <c r="BZ141" s="2262">
        <v>0.18000000000000016</v>
      </c>
      <c r="CA141" s="2064" t="s">
        <v>3524</v>
      </c>
      <c r="CC141" s="563">
        <v>2359.5299329060649</v>
      </c>
      <c r="CD141" s="563">
        <v>2359.5299329060649</v>
      </c>
    </row>
    <row r="142" spans="1:82" s="563" customFormat="1" ht="22.9" customHeight="1">
      <c r="A142" s="2241"/>
      <c r="B142" s="2242" t="s">
        <v>4</v>
      </c>
      <c r="C142" s="2243"/>
      <c r="D142" s="2244"/>
      <c r="E142" s="2243">
        <v>-2.1</v>
      </c>
      <c r="F142" s="2245">
        <v>2.1</v>
      </c>
      <c r="G142" s="2243">
        <v>0</v>
      </c>
      <c r="H142" s="2246">
        <v>-2.1</v>
      </c>
      <c r="I142" s="2245">
        <v>2.1</v>
      </c>
      <c r="J142" s="2247">
        <v>-2.1</v>
      </c>
      <c r="K142" s="2248" t="s">
        <v>3521</v>
      </c>
      <c r="L142" s="2248" t="s">
        <v>3521</v>
      </c>
      <c r="M142" s="2248" t="s">
        <v>3521</v>
      </c>
      <c r="N142" s="2249" t="s">
        <v>3521</v>
      </c>
      <c r="O142" s="2250"/>
      <c r="P142" s="2251"/>
      <c r="Q142" s="2252"/>
      <c r="R142" s="2250"/>
      <c r="S142" s="2253">
        <v>10</v>
      </c>
      <c r="T142" s="2161">
        <v>0</v>
      </c>
      <c r="U142" s="2245">
        <v>1</v>
      </c>
      <c r="V142" s="2245">
        <v>15</v>
      </c>
      <c r="W142" s="2245">
        <v>128.45752167880846</v>
      </c>
      <c r="X142" s="2245">
        <v>3.6248559335500571E-2</v>
      </c>
      <c r="Y142" s="2245">
        <v>0</v>
      </c>
      <c r="Z142" s="2161">
        <v>0</v>
      </c>
      <c r="AA142" s="2245" t="e">
        <v>#DIV/0!</v>
      </c>
      <c r="AB142" s="2245">
        <v>2.2000000000000002</v>
      </c>
      <c r="AC142" s="2245">
        <v>0</v>
      </c>
      <c r="AD142" s="2245" t="s">
        <v>1240</v>
      </c>
      <c r="AE142" s="2254">
        <v>1.4999999999999999E-2</v>
      </c>
      <c r="AF142" s="2255">
        <v>1</v>
      </c>
      <c r="AG142" s="2245">
        <v>0.6</v>
      </c>
      <c r="AH142" s="2245"/>
      <c r="AJ142" s="2256"/>
      <c r="AK142" s="2257">
        <v>0</v>
      </c>
      <c r="AL142" s="2245">
        <v>0</v>
      </c>
      <c r="AM142" s="2245">
        <v>0</v>
      </c>
      <c r="AN142" s="2245" t="e">
        <v>#DIV/0!</v>
      </c>
      <c r="AO142" s="2245" t="e">
        <v>#DIV/0!</v>
      </c>
      <c r="AP142" s="2258">
        <v>0</v>
      </c>
      <c r="AQ142" s="2259"/>
      <c r="AR142" s="2259">
        <v>0</v>
      </c>
      <c r="AS142" s="2260" t="s">
        <v>3521</v>
      </c>
      <c r="AT142" s="2259"/>
      <c r="AU142" s="2259"/>
      <c r="AV142" s="2259"/>
      <c r="AW142" s="2259">
        <v>0</v>
      </c>
      <c r="AX142" s="2261">
        <v>10000</v>
      </c>
      <c r="AY142" s="2261">
        <v>10000</v>
      </c>
      <c r="AZ142" s="2261">
        <v>10000</v>
      </c>
      <c r="BA142" s="2261">
        <v>15</v>
      </c>
      <c r="BB142" s="2261">
        <v>0</v>
      </c>
      <c r="BC142" s="2261">
        <v>0</v>
      </c>
      <c r="BD142" s="2229">
        <v>0</v>
      </c>
      <c r="BE142" s="2229">
        <v>0.114396</v>
      </c>
      <c r="BF142" s="2229">
        <v>0</v>
      </c>
      <c r="BG142" s="2229">
        <v>0</v>
      </c>
      <c r="BH142" s="2229">
        <v>0</v>
      </c>
      <c r="BI142" s="2229">
        <v>0</v>
      </c>
      <c r="BJ142" s="2229">
        <v>0</v>
      </c>
      <c r="BK142" s="2262">
        <v>0</v>
      </c>
      <c r="BL142" s="2262">
        <v>0</v>
      </c>
      <c r="BM142" s="2262">
        <v>-2.1</v>
      </c>
      <c r="BN142" s="2262">
        <v>2.1</v>
      </c>
      <c r="BO142" s="2262">
        <v>0</v>
      </c>
      <c r="BP142" s="2262">
        <v>0</v>
      </c>
      <c r="BQ142" s="2262">
        <v>0</v>
      </c>
      <c r="BR142" s="2262">
        <v>0</v>
      </c>
      <c r="BS142" s="2262">
        <v>0</v>
      </c>
      <c r="BT142" s="2262">
        <v>0</v>
      </c>
      <c r="BU142" s="2262">
        <v>0</v>
      </c>
      <c r="BV142" s="2262">
        <v>0</v>
      </c>
      <c r="BW142" s="2262">
        <v>0</v>
      </c>
      <c r="BX142" s="2263">
        <v>1</v>
      </c>
      <c r="BY142" s="2262">
        <v>0.52</v>
      </c>
      <c r="BZ142" s="2262">
        <v>0.18000000000000016</v>
      </c>
      <c r="CA142" s="2064" t="s">
        <v>3524</v>
      </c>
      <c r="CC142" s="563">
        <v>2359.5299329060649</v>
      </c>
      <c r="CD142" s="563">
        <v>2359.5299329060649</v>
      </c>
    </row>
    <row r="143" spans="1:82" s="563" customFormat="1" ht="22.9" customHeight="1">
      <c r="A143" s="2241"/>
      <c r="B143" s="2242" t="s">
        <v>4</v>
      </c>
      <c r="C143" s="2243"/>
      <c r="D143" s="2244"/>
      <c r="E143" s="2243">
        <v>-2.1</v>
      </c>
      <c r="F143" s="2245">
        <v>2.1</v>
      </c>
      <c r="G143" s="2243">
        <v>0</v>
      </c>
      <c r="H143" s="2246">
        <v>-2.1</v>
      </c>
      <c r="I143" s="2245">
        <v>2.1</v>
      </c>
      <c r="J143" s="2247">
        <v>-2.1</v>
      </c>
      <c r="K143" s="2248" t="s">
        <v>3521</v>
      </c>
      <c r="L143" s="2248" t="s">
        <v>3521</v>
      </c>
      <c r="M143" s="2248" t="s">
        <v>3521</v>
      </c>
      <c r="N143" s="2249" t="s">
        <v>3521</v>
      </c>
      <c r="O143" s="2250"/>
      <c r="P143" s="2251"/>
      <c r="Q143" s="2252"/>
      <c r="R143" s="2250"/>
      <c r="S143" s="2253">
        <v>10</v>
      </c>
      <c r="T143" s="2161">
        <v>0</v>
      </c>
      <c r="U143" s="2245">
        <v>1</v>
      </c>
      <c r="V143" s="2245">
        <v>15</v>
      </c>
      <c r="W143" s="2245">
        <v>128.45752167880846</v>
      </c>
      <c r="X143" s="2245">
        <v>3.6248559335500571E-2</v>
      </c>
      <c r="Y143" s="2245">
        <v>0</v>
      </c>
      <c r="Z143" s="2161">
        <v>0</v>
      </c>
      <c r="AA143" s="2245" t="e">
        <v>#DIV/0!</v>
      </c>
      <c r="AB143" s="2245">
        <v>2.2000000000000002</v>
      </c>
      <c r="AC143" s="2245">
        <v>0</v>
      </c>
      <c r="AD143" s="2245" t="s">
        <v>1240</v>
      </c>
      <c r="AE143" s="2254">
        <v>1.4999999999999999E-2</v>
      </c>
      <c r="AF143" s="2255">
        <v>1</v>
      </c>
      <c r="AG143" s="2245">
        <v>0.6</v>
      </c>
      <c r="AH143" s="2245"/>
      <c r="AJ143" s="2256"/>
      <c r="AK143" s="2257">
        <v>0</v>
      </c>
      <c r="AL143" s="2245">
        <v>0</v>
      </c>
      <c r="AM143" s="2245">
        <v>0</v>
      </c>
      <c r="AN143" s="2245" t="e">
        <v>#DIV/0!</v>
      </c>
      <c r="AO143" s="2245" t="e">
        <v>#DIV/0!</v>
      </c>
      <c r="AP143" s="2258">
        <v>0</v>
      </c>
      <c r="AQ143" s="2259"/>
      <c r="AR143" s="2259">
        <v>0</v>
      </c>
      <c r="AS143" s="2260" t="s">
        <v>3521</v>
      </c>
      <c r="AT143" s="2259"/>
      <c r="AU143" s="2259"/>
      <c r="AV143" s="2259"/>
      <c r="AW143" s="2259">
        <v>0</v>
      </c>
      <c r="AX143" s="2261">
        <v>10000</v>
      </c>
      <c r="AY143" s="2261">
        <v>10000</v>
      </c>
      <c r="AZ143" s="2261">
        <v>10000</v>
      </c>
      <c r="BA143" s="2261">
        <v>15</v>
      </c>
      <c r="BB143" s="2261">
        <v>0</v>
      </c>
      <c r="BC143" s="2261">
        <v>0</v>
      </c>
      <c r="BD143" s="2229">
        <v>0</v>
      </c>
      <c r="BE143" s="2229">
        <v>0.114396</v>
      </c>
      <c r="BF143" s="2229">
        <v>0</v>
      </c>
      <c r="BG143" s="2229">
        <v>0</v>
      </c>
      <c r="BH143" s="2229">
        <v>0</v>
      </c>
      <c r="BI143" s="2229">
        <v>0</v>
      </c>
      <c r="BJ143" s="2229">
        <v>0</v>
      </c>
      <c r="BK143" s="2262">
        <v>0</v>
      </c>
      <c r="BL143" s="2262">
        <v>0</v>
      </c>
      <c r="BM143" s="2262">
        <v>-2.1</v>
      </c>
      <c r="BN143" s="2262">
        <v>2.1</v>
      </c>
      <c r="BO143" s="2262">
        <v>0</v>
      </c>
      <c r="BP143" s="2262">
        <v>0</v>
      </c>
      <c r="BQ143" s="2262">
        <v>0</v>
      </c>
      <c r="BR143" s="2262">
        <v>0</v>
      </c>
      <c r="BS143" s="2262">
        <v>0</v>
      </c>
      <c r="BT143" s="2262">
        <v>0</v>
      </c>
      <c r="BU143" s="2262">
        <v>0</v>
      </c>
      <c r="BV143" s="2262">
        <v>0</v>
      </c>
      <c r="BW143" s="2262">
        <v>0</v>
      </c>
      <c r="BX143" s="2263">
        <v>1</v>
      </c>
      <c r="BY143" s="2262">
        <v>0.52</v>
      </c>
      <c r="BZ143" s="2262">
        <v>0.18000000000000016</v>
      </c>
      <c r="CA143" s="2064" t="s">
        <v>3524</v>
      </c>
      <c r="CC143" s="563">
        <v>2359.5299329060649</v>
      </c>
      <c r="CD143" s="563">
        <v>2359.5299329060649</v>
      </c>
    </row>
    <row r="144" spans="1:82" s="563" customFormat="1" ht="22.9" customHeight="1">
      <c r="A144" s="2241"/>
      <c r="B144" s="2242" t="s">
        <v>4</v>
      </c>
      <c r="C144" s="2243"/>
      <c r="D144" s="2244"/>
      <c r="E144" s="2243">
        <v>-2.1</v>
      </c>
      <c r="F144" s="2245">
        <v>2.1</v>
      </c>
      <c r="G144" s="2243">
        <v>0</v>
      </c>
      <c r="H144" s="2246">
        <v>-2.1</v>
      </c>
      <c r="I144" s="2245">
        <v>2.1</v>
      </c>
      <c r="J144" s="2247">
        <v>-2.1</v>
      </c>
      <c r="K144" s="2248" t="s">
        <v>3521</v>
      </c>
      <c r="L144" s="2248" t="s">
        <v>3521</v>
      </c>
      <c r="M144" s="2248" t="s">
        <v>3521</v>
      </c>
      <c r="N144" s="2249" t="s">
        <v>3521</v>
      </c>
      <c r="O144" s="2250"/>
      <c r="P144" s="2251"/>
      <c r="Q144" s="2252"/>
      <c r="R144" s="2250"/>
      <c r="S144" s="2253">
        <v>10</v>
      </c>
      <c r="T144" s="2161">
        <v>0</v>
      </c>
      <c r="U144" s="2245">
        <v>1</v>
      </c>
      <c r="V144" s="2245">
        <v>15</v>
      </c>
      <c r="W144" s="2245">
        <v>128.45752167880846</v>
      </c>
      <c r="X144" s="2245">
        <v>3.6248559335500571E-2</v>
      </c>
      <c r="Y144" s="2245">
        <v>0</v>
      </c>
      <c r="Z144" s="2161">
        <v>0</v>
      </c>
      <c r="AA144" s="2245" t="e">
        <v>#DIV/0!</v>
      </c>
      <c r="AB144" s="2245">
        <v>2.2000000000000002</v>
      </c>
      <c r="AC144" s="2245">
        <v>0</v>
      </c>
      <c r="AD144" s="2245" t="s">
        <v>1240</v>
      </c>
      <c r="AE144" s="2254">
        <v>1.4999999999999999E-2</v>
      </c>
      <c r="AF144" s="2255">
        <v>1</v>
      </c>
      <c r="AG144" s="2245">
        <v>0.6</v>
      </c>
      <c r="AH144" s="2245"/>
      <c r="AJ144" s="2256"/>
      <c r="AK144" s="2257">
        <v>0</v>
      </c>
      <c r="AL144" s="2245">
        <v>0</v>
      </c>
      <c r="AM144" s="2245">
        <v>0</v>
      </c>
      <c r="AN144" s="2245" t="e">
        <v>#DIV/0!</v>
      </c>
      <c r="AO144" s="2245" t="e">
        <v>#DIV/0!</v>
      </c>
      <c r="AP144" s="2258">
        <v>0</v>
      </c>
      <c r="AQ144" s="2259"/>
      <c r="AR144" s="2259">
        <v>0</v>
      </c>
      <c r="AS144" s="2260" t="s">
        <v>3521</v>
      </c>
      <c r="AT144" s="2259"/>
      <c r="AU144" s="2259"/>
      <c r="AV144" s="2259"/>
      <c r="AW144" s="2259">
        <v>0</v>
      </c>
      <c r="AX144" s="2261">
        <v>10000</v>
      </c>
      <c r="AY144" s="2261">
        <v>10000</v>
      </c>
      <c r="AZ144" s="2261">
        <v>10000</v>
      </c>
      <c r="BA144" s="2261">
        <v>15</v>
      </c>
      <c r="BB144" s="2261">
        <v>0</v>
      </c>
      <c r="BC144" s="2261">
        <v>0</v>
      </c>
      <c r="BD144" s="2229">
        <v>0</v>
      </c>
      <c r="BE144" s="2229">
        <v>0.114396</v>
      </c>
      <c r="BF144" s="2229">
        <v>0</v>
      </c>
      <c r="BG144" s="2229">
        <v>0</v>
      </c>
      <c r="BH144" s="2229">
        <v>0</v>
      </c>
      <c r="BI144" s="2229">
        <v>0</v>
      </c>
      <c r="BJ144" s="2229">
        <v>0</v>
      </c>
      <c r="BK144" s="2262">
        <v>0</v>
      </c>
      <c r="BL144" s="2262">
        <v>0</v>
      </c>
      <c r="BM144" s="2262">
        <v>-2.1</v>
      </c>
      <c r="BN144" s="2262">
        <v>2.1</v>
      </c>
      <c r="BO144" s="2262">
        <v>0</v>
      </c>
      <c r="BP144" s="2262">
        <v>0</v>
      </c>
      <c r="BQ144" s="2262">
        <v>0</v>
      </c>
      <c r="BR144" s="2262">
        <v>0</v>
      </c>
      <c r="BS144" s="2262">
        <v>0</v>
      </c>
      <c r="BT144" s="2262">
        <v>0</v>
      </c>
      <c r="BU144" s="2262">
        <v>0</v>
      </c>
      <c r="BV144" s="2262">
        <v>0</v>
      </c>
      <c r="BW144" s="2262">
        <v>0</v>
      </c>
      <c r="BX144" s="2263">
        <v>1</v>
      </c>
      <c r="BY144" s="2262">
        <v>0.52</v>
      </c>
      <c r="BZ144" s="2262">
        <v>0.18000000000000016</v>
      </c>
      <c r="CA144" s="2064" t="s">
        <v>3524</v>
      </c>
      <c r="CC144" s="563">
        <v>2359.5299329060649</v>
      </c>
      <c r="CD144" s="563">
        <v>2359.5299329060649</v>
      </c>
    </row>
    <row r="145" spans="1:82" s="563" customFormat="1" ht="22.9" customHeight="1">
      <c r="A145" s="2241"/>
      <c r="B145" s="2242" t="s">
        <v>4</v>
      </c>
      <c r="C145" s="2243"/>
      <c r="D145" s="2244"/>
      <c r="E145" s="2243">
        <v>-2.1</v>
      </c>
      <c r="F145" s="2245">
        <v>2.1</v>
      </c>
      <c r="G145" s="2243">
        <v>0</v>
      </c>
      <c r="H145" s="2246">
        <v>-2.1</v>
      </c>
      <c r="I145" s="2245">
        <v>2.1</v>
      </c>
      <c r="J145" s="2247">
        <v>-2.1</v>
      </c>
      <c r="K145" s="2248" t="s">
        <v>3521</v>
      </c>
      <c r="L145" s="2248" t="s">
        <v>3521</v>
      </c>
      <c r="M145" s="2248" t="s">
        <v>3521</v>
      </c>
      <c r="N145" s="2249" t="s">
        <v>3521</v>
      </c>
      <c r="O145" s="2250"/>
      <c r="P145" s="2251"/>
      <c r="Q145" s="2252"/>
      <c r="R145" s="2250"/>
      <c r="S145" s="2253">
        <v>10</v>
      </c>
      <c r="T145" s="2161">
        <v>0</v>
      </c>
      <c r="U145" s="2245">
        <v>1</v>
      </c>
      <c r="V145" s="2245">
        <v>15</v>
      </c>
      <c r="W145" s="2245">
        <v>128.45752167880846</v>
      </c>
      <c r="X145" s="2245">
        <v>3.6248559335500571E-2</v>
      </c>
      <c r="Y145" s="2245">
        <v>0</v>
      </c>
      <c r="Z145" s="2161">
        <v>0</v>
      </c>
      <c r="AA145" s="2245" t="e">
        <v>#DIV/0!</v>
      </c>
      <c r="AB145" s="2245">
        <v>2.2000000000000002</v>
      </c>
      <c r="AC145" s="2245">
        <v>0</v>
      </c>
      <c r="AD145" s="2245" t="s">
        <v>1240</v>
      </c>
      <c r="AE145" s="2254">
        <v>1.4999999999999999E-2</v>
      </c>
      <c r="AF145" s="2255">
        <v>1</v>
      </c>
      <c r="AG145" s="2245">
        <v>0.6</v>
      </c>
      <c r="AH145" s="2245"/>
      <c r="AJ145" s="2256"/>
      <c r="AK145" s="2257">
        <v>0</v>
      </c>
      <c r="AL145" s="2245">
        <v>0</v>
      </c>
      <c r="AM145" s="2245">
        <v>0</v>
      </c>
      <c r="AN145" s="2245" t="e">
        <v>#DIV/0!</v>
      </c>
      <c r="AO145" s="2245" t="e">
        <v>#DIV/0!</v>
      </c>
      <c r="AP145" s="2258">
        <v>0</v>
      </c>
      <c r="AQ145" s="2259"/>
      <c r="AR145" s="2259">
        <v>0</v>
      </c>
      <c r="AS145" s="2260" t="s">
        <v>3521</v>
      </c>
      <c r="AT145" s="2259"/>
      <c r="AU145" s="2259"/>
      <c r="AV145" s="2259"/>
      <c r="AW145" s="2259">
        <v>0</v>
      </c>
      <c r="AX145" s="2261">
        <v>10000</v>
      </c>
      <c r="AY145" s="2261">
        <v>10000</v>
      </c>
      <c r="AZ145" s="2261">
        <v>10000</v>
      </c>
      <c r="BA145" s="2261">
        <v>15</v>
      </c>
      <c r="BB145" s="2261">
        <v>0</v>
      </c>
      <c r="BC145" s="2261">
        <v>0</v>
      </c>
      <c r="BD145" s="2229">
        <v>0</v>
      </c>
      <c r="BE145" s="2229">
        <v>0.114396</v>
      </c>
      <c r="BF145" s="2229">
        <v>0</v>
      </c>
      <c r="BG145" s="2229">
        <v>0</v>
      </c>
      <c r="BH145" s="2229">
        <v>0</v>
      </c>
      <c r="BI145" s="2229">
        <v>0</v>
      </c>
      <c r="BJ145" s="2229">
        <v>0</v>
      </c>
      <c r="BK145" s="2262">
        <v>0</v>
      </c>
      <c r="BL145" s="2262">
        <v>0</v>
      </c>
      <c r="BM145" s="2262">
        <v>-2.1</v>
      </c>
      <c r="BN145" s="2262">
        <v>2.1</v>
      </c>
      <c r="BO145" s="2262">
        <v>0</v>
      </c>
      <c r="BP145" s="2262">
        <v>0</v>
      </c>
      <c r="BQ145" s="2262">
        <v>0</v>
      </c>
      <c r="BR145" s="2262">
        <v>0</v>
      </c>
      <c r="BS145" s="2262">
        <v>0</v>
      </c>
      <c r="BT145" s="2262">
        <v>0</v>
      </c>
      <c r="BU145" s="2262">
        <v>0</v>
      </c>
      <c r="BV145" s="2262">
        <v>0</v>
      </c>
      <c r="BW145" s="2262">
        <v>0</v>
      </c>
      <c r="BX145" s="2263">
        <v>1</v>
      </c>
      <c r="BY145" s="2262">
        <v>0.52</v>
      </c>
      <c r="BZ145" s="2262">
        <v>0.18000000000000016</v>
      </c>
      <c r="CA145" s="2064" t="s">
        <v>3524</v>
      </c>
      <c r="CC145" s="563">
        <v>2359.5299329060649</v>
      </c>
      <c r="CD145" s="563">
        <v>2359.5299329060649</v>
      </c>
    </row>
    <row r="146" spans="1:82" s="563" customFormat="1" ht="22.9" customHeight="1">
      <c r="A146" s="2241"/>
      <c r="B146" s="2242" t="s">
        <v>4</v>
      </c>
      <c r="C146" s="2243"/>
      <c r="D146" s="2244"/>
      <c r="E146" s="2243">
        <v>-2.1</v>
      </c>
      <c r="F146" s="2245">
        <v>2.1</v>
      </c>
      <c r="G146" s="2243">
        <v>0</v>
      </c>
      <c r="H146" s="2246">
        <v>-2.1</v>
      </c>
      <c r="I146" s="2245">
        <v>2.1</v>
      </c>
      <c r="J146" s="2247">
        <v>-2.1</v>
      </c>
      <c r="K146" s="2248" t="s">
        <v>3521</v>
      </c>
      <c r="L146" s="2248" t="s">
        <v>3521</v>
      </c>
      <c r="M146" s="2248" t="s">
        <v>3521</v>
      </c>
      <c r="N146" s="2249" t="s">
        <v>3521</v>
      </c>
      <c r="O146" s="2250"/>
      <c r="P146" s="2251"/>
      <c r="Q146" s="2252"/>
      <c r="R146" s="2250"/>
      <c r="S146" s="2253">
        <v>10</v>
      </c>
      <c r="T146" s="2161">
        <v>0</v>
      </c>
      <c r="U146" s="2245">
        <v>1</v>
      </c>
      <c r="V146" s="2245">
        <v>15</v>
      </c>
      <c r="W146" s="2245">
        <v>128.45752167880846</v>
      </c>
      <c r="X146" s="2245">
        <v>3.6248559335500571E-2</v>
      </c>
      <c r="Y146" s="2245">
        <v>0</v>
      </c>
      <c r="Z146" s="2161">
        <v>0</v>
      </c>
      <c r="AA146" s="2245" t="e">
        <v>#DIV/0!</v>
      </c>
      <c r="AB146" s="2245">
        <v>2.2000000000000002</v>
      </c>
      <c r="AC146" s="2245">
        <v>0</v>
      </c>
      <c r="AD146" s="2245" t="s">
        <v>1240</v>
      </c>
      <c r="AE146" s="2254">
        <v>1.4999999999999999E-2</v>
      </c>
      <c r="AF146" s="2255">
        <v>1</v>
      </c>
      <c r="AG146" s="2245">
        <v>0.6</v>
      </c>
      <c r="AH146" s="2245"/>
      <c r="AJ146" s="2256"/>
      <c r="AK146" s="2257">
        <v>0</v>
      </c>
      <c r="AL146" s="2245">
        <v>0</v>
      </c>
      <c r="AM146" s="2245">
        <v>0</v>
      </c>
      <c r="AN146" s="2245" t="e">
        <v>#DIV/0!</v>
      </c>
      <c r="AO146" s="2245" t="e">
        <v>#DIV/0!</v>
      </c>
      <c r="AP146" s="2258">
        <v>0</v>
      </c>
      <c r="AQ146" s="2259"/>
      <c r="AR146" s="2259">
        <v>0</v>
      </c>
      <c r="AS146" s="2260" t="s">
        <v>3521</v>
      </c>
      <c r="AT146" s="2259"/>
      <c r="AU146" s="2259"/>
      <c r="AV146" s="2259"/>
      <c r="AW146" s="2259">
        <v>0</v>
      </c>
      <c r="AX146" s="2261">
        <v>10000</v>
      </c>
      <c r="AY146" s="2261">
        <v>10000</v>
      </c>
      <c r="AZ146" s="2261">
        <v>10000</v>
      </c>
      <c r="BA146" s="2261">
        <v>15</v>
      </c>
      <c r="BB146" s="2261">
        <v>0</v>
      </c>
      <c r="BC146" s="2261">
        <v>0</v>
      </c>
      <c r="BD146" s="2229">
        <v>0</v>
      </c>
      <c r="BE146" s="2229">
        <v>0.114396</v>
      </c>
      <c r="BF146" s="2229">
        <v>0</v>
      </c>
      <c r="BG146" s="2229">
        <v>0</v>
      </c>
      <c r="BH146" s="2229">
        <v>0</v>
      </c>
      <c r="BI146" s="2229">
        <v>0</v>
      </c>
      <c r="BJ146" s="2229">
        <v>0</v>
      </c>
      <c r="BK146" s="2262">
        <v>0</v>
      </c>
      <c r="BL146" s="2262">
        <v>0</v>
      </c>
      <c r="BM146" s="2262">
        <v>-2.1</v>
      </c>
      <c r="BN146" s="2262">
        <v>2.1</v>
      </c>
      <c r="BO146" s="2262">
        <v>0</v>
      </c>
      <c r="BP146" s="2262">
        <v>0</v>
      </c>
      <c r="BQ146" s="2262">
        <v>0</v>
      </c>
      <c r="BR146" s="2262">
        <v>0</v>
      </c>
      <c r="BS146" s="2262">
        <v>0</v>
      </c>
      <c r="BT146" s="2262">
        <v>0</v>
      </c>
      <c r="BU146" s="2262">
        <v>0</v>
      </c>
      <c r="BV146" s="2262">
        <v>0</v>
      </c>
      <c r="BW146" s="2262">
        <v>0</v>
      </c>
      <c r="BX146" s="2263">
        <v>1</v>
      </c>
      <c r="BY146" s="2262">
        <v>0.52</v>
      </c>
      <c r="BZ146" s="2262">
        <v>0.18000000000000016</v>
      </c>
      <c r="CA146" s="2064" t="s">
        <v>3524</v>
      </c>
      <c r="CC146" s="563">
        <v>2359.5299329060649</v>
      </c>
      <c r="CD146" s="563">
        <v>2359.5299329060649</v>
      </c>
    </row>
    <row r="147" spans="1:82" s="563" customFormat="1" ht="22.9" customHeight="1">
      <c r="A147" s="2241"/>
      <c r="B147" s="2242" t="s">
        <v>4</v>
      </c>
      <c r="C147" s="2243"/>
      <c r="D147" s="2244"/>
      <c r="E147" s="2243">
        <v>-2.1</v>
      </c>
      <c r="F147" s="2245">
        <v>2.1</v>
      </c>
      <c r="G147" s="2243">
        <v>0</v>
      </c>
      <c r="H147" s="2246">
        <v>-2.1</v>
      </c>
      <c r="I147" s="2245">
        <v>2.1</v>
      </c>
      <c r="J147" s="2247">
        <v>-2.1</v>
      </c>
      <c r="K147" s="2248" t="s">
        <v>3521</v>
      </c>
      <c r="L147" s="2248" t="s">
        <v>3521</v>
      </c>
      <c r="M147" s="2248" t="s">
        <v>3521</v>
      </c>
      <c r="N147" s="2249" t="s">
        <v>3521</v>
      </c>
      <c r="O147" s="2250"/>
      <c r="P147" s="2251"/>
      <c r="Q147" s="2252"/>
      <c r="R147" s="2250"/>
      <c r="S147" s="2253">
        <v>10</v>
      </c>
      <c r="T147" s="2161">
        <v>0</v>
      </c>
      <c r="U147" s="2245">
        <v>1</v>
      </c>
      <c r="V147" s="2245">
        <v>15</v>
      </c>
      <c r="W147" s="2245">
        <v>128.45752167880846</v>
      </c>
      <c r="X147" s="2245">
        <v>3.6248559335500571E-2</v>
      </c>
      <c r="Y147" s="2245">
        <v>0</v>
      </c>
      <c r="Z147" s="2161">
        <v>0</v>
      </c>
      <c r="AA147" s="2245" t="e">
        <v>#DIV/0!</v>
      </c>
      <c r="AB147" s="2245">
        <v>2.2000000000000002</v>
      </c>
      <c r="AC147" s="2245">
        <v>0</v>
      </c>
      <c r="AD147" s="2245" t="s">
        <v>1240</v>
      </c>
      <c r="AE147" s="2254">
        <v>1.4999999999999999E-2</v>
      </c>
      <c r="AF147" s="2255">
        <v>1</v>
      </c>
      <c r="AG147" s="2245">
        <v>0.6</v>
      </c>
      <c r="AH147" s="2245"/>
      <c r="AJ147" s="2256"/>
      <c r="AK147" s="2257">
        <v>0</v>
      </c>
      <c r="AL147" s="2245">
        <v>0</v>
      </c>
      <c r="AM147" s="2245">
        <v>0</v>
      </c>
      <c r="AN147" s="2245" t="e">
        <v>#DIV/0!</v>
      </c>
      <c r="AO147" s="2245" t="e">
        <v>#DIV/0!</v>
      </c>
      <c r="AP147" s="2258">
        <v>0</v>
      </c>
      <c r="AQ147" s="2259"/>
      <c r="AR147" s="2259">
        <v>0</v>
      </c>
      <c r="AS147" s="2260" t="s">
        <v>3521</v>
      </c>
      <c r="AT147" s="2259"/>
      <c r="AU147" s="2259"/>
      <c r="AV147" s="2259"/>
      <c r="AW147" s="2259">
        <v>0</v>
      </c>
      <c r="AX147" s="2261">
        <v>10000</v>
      </c>
      <c r="AY147" s="2261">
        <v>10000</v>
      </c>
      <c r="AZ147" s="2261">
        <v>10000</v>
      </c>
      <c r="BA147" s="2261">
        <v>15</v>
      </c>
      <c r="BB147" s="2261">
        <v>0</v>
      </c>
      <c r="BC147" s="2261">
        <v>0</v>
      </c>
      <c r="BD147" s="2229">
        <v>0</v>
      </c>
      <c r="BE147" s="2229">
        <v>0.114396</v>
      </c>
      <c r="BF147" s="2229">
        <v>0</v>
      </c>
      <c r="BG147" s="2229">
        <v>0</v>
      </c>
      <c r="BH147" s="2229">
        <v>0</v>
      </c>
      <c r="BI147" s="2229">
        <v>0</v>
      </c>
      <c r="BJ147" s="2229">
        <v>0</v>
      </c>
      <c r="BK147" s="2262">
        <v>0</v>
      </c>
      <c r="BL147" s="2262">
        <v>0</v>
      </c>
      <c r="BM147" s="2262">
        <v>-2.1</v>
      </c>
      <c r="BN147" s="2262">
        <v>2.1</v>
      </c>
      <c r="BO147" s="2262">
        <v>0</v>
      </c>
      <c r="BP147" s="2262">
        <v>0</v>
      </c>
      <c r="BQ147" s="2262">
        <v>0</v>
      </c>
      <c r="BR147" s="2262">
        <v>0</v>
      </c>
      <c r="BS147" s="2262">
        <v>0</v>
      </c>
      <c r="BT147" s="2262">
        <v>0</v>
      </c>
      <c r="BU147" s="2262">
        <v>0</v>
      </c>
      <c r="BV147" s="2262">
        <v>0</v>
      </c>
      <c r="BW147" s="2262">
        <v>0</v>
      </c>
      <c r="BX147" s="2263">
        <v>1</v>
      </c>
      <c r="BY147" s="2262">
        <v>0.52</v>
      </c>
      <c r="BZ147" s="2262">
        <v>0.18000000000000016</v>
      </c>
      <c r="CA147" s="2064" t="s">
        <v>3524</v>
      </c>
      <c r="CC147" s="563">
        <v>2359.5299329060649</v>
      </c>
      <c r="CD147" s="563">
        <v>2359.5299329060649</v>
      </c>
    </row>
    <row r="148" spans="1:82" s="563" customFormat="1" ht="22.9" customHeight="1">
      <c r="A148" s="2241"/>
      <c r="B148" s="2242" t="s">
        <v>4</v>
      </c>
      <c r="C148" s="2243"/>
      <c r="D148" s="2244"/>
      <c r="E148" s="2243">
        <v>-2.1</v>
      </c>
      <c r="F148" s="2245">
        <v>2.1</v>
      </c>
      <c r="G148" s="2243">
        <v>0</v>
      </c>
      <c r="H148" s="2246">
        <v>-2.1</v>
      </c>
      <c r="I148" s="2245">
        <v>2.1</v>
      </c>
      <c r="J148" s="2247">
        <v>-2.1</v>
      </c>
      <c r="K148" s="2248" t="s">
        <v>3521</v>
      </c>
      <c r="L148" s="2248" t="s">
        <v>3521</v>
      </c>
      <c r="M148" s="2248" t="s">
        <v>3521</v>
      </c>
      <c r="N148" s="2249" t="s">
        <v>3521</v>
      </c>
      <c r="O148" s="2250"/>
      <c r="P148" s="2251"/>
      <c r="Q148" s="2252"/>
      <c r="R148" s="2250"/>
      <c r="S148" s="2253">
        <v>10</v>
      </c>
      <c r="T148" s="2161">
        <v>0</v>
      </c>
      <c r="U148" s="2245">
        <v>1</v>
      </c>
      <c r="V148" s="2245">
        <v>15</v>
      </c>
      <c r="W148" s="2245">
        <v>128.45752167880846</v>
      </c>
      <c r="X148" s="2245">
        <v>3.6248559335500571E-2</v>
      </c>
      <c r="Y148" s="2245">
        <v>0</v>
      </c>
      <c r="Z148" s="2161">
        <v>0</v>
      </c>
      <c r="AA148" s="2245" t="e">
        <v>#DIV/0!</v>
      </c>
      <c r="AB148" s="2245">
        <v>2.2000000000000002</v>
      </c>
      <c r="AC148" s="2245">
        <v>0</v>
      </c>
      <c r="AD148" s="2245" t="s">
        <v>1240</v>
      </c>
      <c r="AE148" s="2254">
        <v>1.4999999999999999E-2</v>
      </c>
      <c r="AF148" s="2255">
        <v>1</v>
      </c>
      <c r="AG148" s="2245">
        <v>0.6</v>
      </c>
      <c r="AH148" s="2245"/>
      <c r="AJ148" s="2256"/>
      <c r="AK148" s="2257">
        <v>0</v>
      </c>
      <c r="AL148" s="2245">
        <v>0</v>
      </c>
      <c r="AM148" s="2245">
        <v>0</v>
      </c>
      <c r="AN148" s="2245" t="e">
        <v>#DIV/0!</v>
      </c>
      <c r="AO148" s="2245" t="e">
        <v>#DIV/0!</v>
      </c>
      <c r="AP148" s="2258">
        <v>0</v>
      </c>
      <c r="AQ148" s="2259"/>
      <c r="AR148" s="2259">
        <v>0</v>
      </c>
      <c r="AS148" s="2260" t="s">
        <v>3521</v>
      </c>
      <c r="AT148" s="2259"/>
      <c r="AU148" s="2259"/>
      <c r="AV148" s="2259"/>
      <c r="AW148" s="2259">
        <v>0</v>
      </c>
      <c r="AX148" s="2261">
        <v>10000</v>
      </c>
      <c r="AY148" s="2261">
        <v>10000</v>
      </c>
      <c r="AZ148" s="2261">
        <v>10000</v>
      </c>
      <c r="BA148" s="2261">
        <v>15</v>
      </c>
      <c r="BB148" s="2261">
        <v>0</v>
      </c>
      <c r="BC148" s="2261">
        <v>0</v>
      </c>
      <c r="BD148" s="2229">
        <v>0</v>
      </c>
      <c r="BE148" s="2229">
        <v>0.114396</v>
      </c>
      <c r="BF148" s="2229">
        <v>0</v>
      </c>
      <c r="BG148" s="2229">
        <v>0</v>
      </c>
      <c r="BH148" s="2229">
        <v>0</v>
      </c>
      <c r="BI148" s="2229">
        <v>0</v>
      </c>
      <c r="BJ148" s="2229">
        <v>0</v>
      </c>
      <c r="BK148" s="2262">
        <v>0</v>
      </c>
      <c r="BL148" s="2262">
        <v>0</v>
      </c>
      <c r="BM148" s="2262">
        <v>-2.1</v>
      </c>
      <c r="BN148" s="2262">
        <v>2.1</v>
      </c>
      <c r="BO148" s="2262">
        <v>0</v>
      </c>
      <c r="BP148" s="2262">
        <v>0</v>
      </c>
      <c r="BQ148" s="2262">
        <v>0</v>
      </c>
      <c r="BR148" s="2262">
        <v>0</v>
      </c>
      <c r="BS148" s="2262">
        <v>0</v>
      </c>
      <c r="BT148" s="2262">
        <v>0</v>
      </c>
      <c r="BU148" s="2262">
        <v>0</v>
      </c>
      <c r="BV148" s="2262">
        <v>0</v>
      </c>
      <c r="BW148" s="2262">
        <v>0</v>
      </c>
      <c r="BX148" s="2263">
        <v>1</v>
      </c>
      <c r="BY148" s="2262">
        <v>0.52</v>
      </c>
      <c r="BZ148" s="2262">
        <v>0.18000000000000016</v>
      </c>
      <c r="CA148" s="2064" t="s">
        <v>3524</v>
      </c>
      <c r="CC148" s="563">
        <v>2359.5299329060649</v>
      </c>
      <c r="CD148" s="563">
        <v>2359.5299329060649</v>
      </c>
    </row>
    <row r="149" spans="1:82" s="563" customFormat="1" ht="22.9" customHeight="1">
      <c r="A149" s="2241"/>
      <c r="B149" s="2242" t="s">
        <v>4</v>
      </c>
      <c r="C149" s="2243"/>
      <c r="D149" s="2244"/>
      <c r="E149" s="2243">
        <v>-2.1</v>
      </c>
      <c r="F149" s="2245">
        <v>2.1</v>
      </c>
      <c r="G149" s="2243">
        <v>0</v>
      </c>
      <c r="H149" s="2246">
        <v>-2.1</v>
      </c>
      <c r="I149" s="2245">
        <v>2.1</v>
      </c>
      <c r="J149" s="2247">
        <v>-2.1</v>
      </c>
      <c r="K149" s="2248" t="s">
        <v>3521</v>
      </c>
      <c r="L149" s="2248" t="s">
        <v>3521</v>
      </c>
      <c r="M149" s="2248" t="s">
        <v>3521</v>
      </c>
      <c r="N149" s="2249" t="s">
        <v>3521</v>
      </c>
      <c r="O149" s="2250"/>
      <c r="P149" s="2251"/>
      <c r="Q149" s="2252"/>
      <c r="R149" s="2250"/>
      <c r="S149" s="2253">
        <v>10</v>
      </c>
      <c r="T149" s="2161">
        <v>0</v>
      </c>
      <c r="U149" s="2245">
        <v>1</v>
      </c>
      <c r="V149" s="2245">
        <v>15</v>
      </c>
      <c r="W149" s="2245">
        <v>128.45752167880846</v>
      </c>
      <c r="X149" s="2245">
        <v>3.6248559335500571E-2</v>
      </c>
      <c r="Y149" s="2245">
        <v>0</v>
      </c>
      <c r="Z149" s="2161">
        <v>0</v>
      </c>
      <c r="AA149" s="2245" t="e">
        <v>#DIV/0!</v>
      </c>
      <c r="AB149" s="2245">
        <v>2.2000000000000002</v>
      </c>
      <c r="AC149" s="2245">
        <v>0</v>
      </c>
      <c r="AD149" s="2245" t="s">
        <v>1240</v>
      </c>
      <c r="AE149" s="2254">
        <v>1.4999999999999999E-2</v>
      </c>
      <c r="AF149" s="2255">
        <v>1</v>
      </c>
      <c r="AG149" s="2245">
        <v>0.6</v>
      </c>
      <c r="AH149" s="2245"/>
      <c r="AJ149" s="2256"/>
      <c r="AK149" s="2257">
        <v>0</v>
      </c>
      <c r="AL149" s="2245">
        <v>0</v>
      </c>
      <c r="AM149" s="2245">
        <v>0</v>
      </c>
      <c r="AN149" s="2245" t="e">
        <v>#DIV/0!</v>
      </c>
      <c r="AO149" s="2245" t="e">
        <v>#DIV/0!</v>
      </c>
      <c r="AP149" s="2258">
        <v>0</v>
      </c>
      <c r="AQ149" s="2259"/>
      <c r="AR149" s="2259">
        <v>0</v>
      </c>
      <c r="AS149" s="2260" t="s">
        <v>3521</v>
      </c>
      <c r="AT149" s="2259"/>
      <c r="AU149" s="2259"/>
      <c r="AV149" s="2259"/>
      <c r="AW149" s="2259">
        <v>0</v>
      </c>
      <c r="AX149" s="2261">
        <v>10000</v>
      </c>
      <c r="AY149" s="2261">
        <v>10000</v>
      </c>
      <c r="AZ149" s="2261">
        <v>10000</v>
      </c>
      <c r="BA149" s="2261">
        <v>15</v>
      </c>
      <c r="BB149" s="2261">
        <v>0</v>
      </c>
      <c r="BC149" s="2261">
        <v>0</v>
      </c>
      <c r="BD149" s="2229">
        <v>0</v>
      </c>
      <c r="BE149" s="2229">
        <v>0.114396</v>
      </c>
      <c r="BF149" s="2229">
        <v>0</v>
      </c>
      <c r="BG149" s="2229">
        <v>0</v>
      </c>
      <c r="BH149" s="2229">
        <v>0</v>
      </c>
      <c r="BI149" s="2229">
        <v>0</v>
      </c>
      <c r="BJ149" s="2229">
        <v>0</v>
      </c>
      <c r="BK149" s="2262">
        <v>0</v>
      </c>
      <c r="BL149" s="2262">
        <v>0</v>
      </c>
      <c r="BM149" s="2262">
        <v>-2.1</v>
      </c>
      <c r="BN149" s="2262">
        <v>2.1</v>
      </c>
      <c r="BO149" s="2262">
        <v>0</v>
      </c>
      <c r="BP149" s="2262">
        <v>0</v>
      </c>
      <c r="BQ149" s="2262">
        <v>0</v>
      </c>
      <c r="BR149" s="2262">
        <v>0</v>
      </c>
      <c r="BS149" s="2262">
        <v>0</v>
      </c>
      <c r="BT149" s="2262">
        <v>0</v>
      </c>
      <c r="BU149" s="2262">
        <v>0</v>
      </c>
      <c r="BV149" s="2262">
        <v>0</v>
      </c>
      <c r="BW149" s="2262">
        <v>0</v>
      </c>
      <c r="BX149" s="2263">
        <v>1</v>
      </c>
      <c r="BY149" s="2262">
        <v>0.52</v>
      </c>
      <c r="BZ149" s="2262">
        <v>0.18000000000000016</v>
      </c>
      <c r="CA149" s="2064" t="s">
        <v>3524</v>
      </c>
      <c r="CC149" s="563">
        <v>2359.5299329060649</v>
      </c>
      <c r="CD149" s="563">
        <v>2359.5299329060649</v>
      </c>
    </row>
    <row r="150" spans="1:82" s="563" customFormat="1" ht="22.9" customHeight="1">
      <c r="A150" s="2241"/>
      <c r="B150" s="2242" t="s">
        <v>4</v>
      </c>
      <c r="C150" s="2243"/>
      <c r="D150" s="2244"/>
      <c r="E150" s="2243">
        <v>-2.1</v>
      </c>
      <c r="F150" s="2245">
        <v>2.1</v>
      </c>
      <c r="G150" s="2243">
        <v>0</v>
      </c>
      <c r="H150" s="2246">
        <v>-2.1</v>
      </c>
      <c r="I150" s="2245">
        <v>2.1</v>
      </c>
      <c r="J150" s="2247">
        <v>-2.1</v>
      </c>
      <c r="K150" s="2248" t="s">
        <v>3521</v>
      </c>
      <c r="L150" s="2248" t="s">
        <v>3521</v>
      </c>
      <c r="M150" s="2248" t="s">
        <v>3521</v>
      </c>
      <c r="N150" s="2249" t="s">
        <v>3521</v>
      </c>
      <c r="O150" s="2250"/>
      <c r="P150" s="2251"/>
      <c r="Q150" s="2252"/>
      <c r="R150" s="2250"/>
      <c r="S150" s="2253">
        <v>10</v>
      </c>
      <c r="T150" s="2161">
        <v>0</v>
      </c>
      <c r="U150" s="2245">
        <v>1</v>
      </c>
      <c r="V150" s="2245">
        <v>15</v>
      </c>
      <c r="W150" s="2245">
        <v>128.45752167880846</v>
      </c>
      <c r="X150" s="2245">
        <v>3.6248559335500571E-2</v>
      </c>
      <c r="Y150" s="2245">
        <v>0</v>
      </c>
      <c r="Z150" s="2161">
        <v>0</v>
      </c>
      <c r="AA150" s="2245" t="e">
        <v>#DIV/0!</v>
      </c>
      <c r="AB150" s="2245">
        <v>2.2000000000000002</v>
      </c>
      <c r="AC150" s="2245">
        <v>0</v>
      </c>
      <c r="AD150" s="2245" t="s">
        <v>1240</v>
      </c>
      <c r="AE150" s="2254">
        <v>1.4999999999999999E-2</v>
      </c>
      <c r="AF150" s="2255">
        <v>1</v>
      </c>
      <c r="AG150" s="2245">
        <v>0.6</v>
      </c>
      <c r="AH150" s="2245"/>
      <c r="AJ150" s="2256"/>
      <c r="AK150" s="2257">
        <v>0</v>
      </c>
      <c r="AL150" s="2245">
        <v>0</v>
      </c>
      <c r="AM150" s="2245">
        <v>0</v>
      </c>
      <c r="AN150" s="2245" t="e">
        <v>#DIV/0!</v>
      </c>
      <c r="AO150" s="2245" t="e">
        <v>#DIV/0!</v>
      </c>
      <c r="AP150" s="2258">
        <v>0</v>
      </c>
      <c r="AQ150" s="2259"/>
      <c r="AR150" s="2259">
        <v>0</v>
      </c>
      <c r="AS150" s="2260" t="s">
        <v>3521</v>
      </c>
      <c r="AT150" s="2259"/>
      <c r="AU150" s="2259"/>
      <c r="AV150" s="2259"/>
      <c r="AW150" s="2259">
        <v>0</v>
      </c>
      <c r="AX150" s="2261">
        <v>10000</v>
      </c>
      <c r="AY150" s="2261">
        <v>10000</v>
      </c>
      <c r="AZ150" s="2261">
        <v>10000</v>
      </c>
      <c r="BA150" s="2261">
        <v>15</v>
      </c>
      <c r="BB150" s="2261">
        <v>0</v>
      </c>
      <c r="BC150" s="2261">
        <v>0</v>
      </c>
      <c r="BD150" s="2229">
        <v>0</v>
      </c>
      <c r="BE150" s="2229">
        <v>0.114396</v>
      </c>
      <c r="BF150" s="2229">
        <v>0</v>
      </c>
      <c r="BG150" s="2229">
        <v>0</v>
      </c>
      <c r="BH150" s="2229">
        <v>0</v>
      </c>
      <c r="BI150" s="2229">
        <v>0</v>
      </c>
      <c r="BJ150" s="2229">
        <v>0</v>
      </c>
      <c r="BK150" s="2262">
        <v>0</v>
      </c>
      <c r="BL150" s="2262">
        <v>0</v>
      </c>
      <c r="BM150" s="2262">
        <v>-2.1</v>
      </c>
      <c r="BN150" s="2262">
        <v>2.1</v>
      </c>
      <c r="BO150" s="2262">
        <v>0</v>
      </c>
      <c r="BP150" s="2262">
        <v>0</v>
      </c>
      <c r="BQ150" s="2262">
        <v>0</v>
      </c>
      <c r="BR150" s="2262">
        <v>0</v>
      </c>
      <c r="BS150" s="2262">
        <v>0</v>
      </c>
      <c r="BT150" s="2262">
        <v>0</v>
      </c>
      <c r="BU150" s="2262">
        <v>0</v>
      </c>
      <c r="BV150" s="2262">
        <v>0</v>
      </c>
      <c r="BW150" s="2262">
        <v>0</v>
      </c>
      <c r="BX150" s="2263">
        <v>1</v>
      </c>
      <c r="BY150" s="2262">
        <v>0.52</v>
      </c>
      <c r="BZ150" s="2262">
        <v>0.18000000000000016</v>
      </c>
      <c r="CA150" s="2064" t="s">
        <v>3524</v>
      </c>
      <c r="CC150" s="563">
        <v>2359.5299329060649</v>
      </c>
      <c r="CD150" s="563">
        <v>2359.5299329060649</v>
      </c>
    </row>
    <row r="151" spans="1:82" s="563" customFormat="1" ht="22.9" customHeight="1">
      <c r="A151" s="2241"/>
      <c r="B151" s="2242" t="s">
        <v>4</v>
      </c>
      <c r="C151" s="2243"/>
      <c r="D151" s="2244"/>
      <c r="E151" s="2243">
        <v>-2.1</v>
      </c>
      <c r="F151" s="2245">
        <v>2.1</v>
      </c>
      <c r="G151" s="2243">
        <v>0</v>
      </c>
      <c r="H151" s="2246">
        <v>-2.1</v>
      </c>
      <c r="I151" s="2245">
        <v>2.1</v>
      </c>
      <c r="J151" s="2247">
        <v>-2.1</v>
      </c>
      <c r="K151" s="2248" t="s">
        <v>3521</v>
      </c>
      <c r="L151" s="2248" t="s">
        <v>3521</v>
      </c>
      <c r="M151" s="2248" t="s">
        <v>3521</v>
      </c>
      <c r="N151" s="2249" t="s">
        <v>3521</v>
      </c>
      <c r="O151" s="2250"/>
      <c r="P151" s="2251"/>
      <c r="Q151" s="2252"/>
      <c r="R151" s="2250"/>
      <c r="S151" s="2253">
        <v>10</v>
      </c>
      <c r="T151" s="2161">
        <v>0</v>
      </c>
      <c r="U151" s="2245">
        <v>1</v>
      </c>
      <c r="V151" s="2245">
        <v>15</v>
      </c>
      <c r="W151" s="2245">
        <v>128.45752167880846</v>
      </c>
      <c r="X151" s="2245">
        <v>3.6248559335500571E-2</v>
      </c>
      <c r="Y151" s="2245">
        <v>0</v>
      </c>
      <c r="Z151" s="2161">
        <v>0</v>
      </c>
      <c r="AA151" s="2245" t="e">
        <v>#DIV/0!</v>
      </c>
      <c r="AB151" s="2245">
        <v>2.2000000000000002</v>
      </c>
      <c r="AC151" s="2245">
        <v>0</v>
      </c>
      <c r="AD151" s="2245" t="s">
        <v>1240</v>
      </c>
      <c r="AE151" s="2254">
        <v>1.4999999999999999E-2</v>
      </c>
      <c r="AF151" s="2255">
        <v>1</v>
      </c>
      <c r="AG151" s="2245">
        <v>0.6</v>
      </c>
      <c r="AH151" s="2245"/>
      <c r="AJ151" s="2256"/>
      <c r="AK151" s="2257">
        <v>0</v>
      </c>
      <c r="AL151" s="2245">
        <v>0</v>
      </c>
      <c r="AM151" s="2245">
        <v>0</v>
      </c>
      <c r="AN151" s="2245" t="e">
        <v>#DIV/0!</v>
      </c>
      <c r="AO151" s="2245" t="e">
        <v>#DIV/0!</v>
      </c>
      <c r="AP151" s="2258">
        <v>0</v>
      </c>
      <c r="AQ151" s="2259"/>
      <c r="AR151" s="2259">
        <v>0</v>
      </c>
      <c r="AS151" s="2260" t="s">
        <v>3521</v>
      </c>
      <c r="AT151" s="2259"/>
      <c r="AU151" s="2259"/>
      <c r="AV151" s="2259"/>
      <c r="AW151" s="2259">
        <v>0</v>
      </c>
      <c r="AX151" s="2261">
        <v>10000</v>
      </c>
      <c r="AY151" s="2261">
        <v>10000</v>
      </c>
      <c r="AZ151" s="2261">
        <v>10000</v>
      </c>
      <c r="BA151" s="2261">
        <v>15</v>
      </c>
      <c r="BB151" s="2261">
        <v>0</v>
      </c>
      <c r="BC151" s="2261">
        <v>0</v>
      </c>
      <c r="BD151" s="2229">
        <v>0</v>
      </c>
      <c r="BE151" s="2229">
        <v>0.114396</v>
      </c>
      <c r="BF151" s="2229">
        <v>0</v>
      </c>
      <c r="BG151" s="2229">
        <v>0</v>
      </c>
      <c r="BH151" s="2229">
        <v>0</v>
      </c>
      <c r="BI151" s="2229">
        <v>0</v>
      </c>
      <c r="BJ151" s="2229">
        <v>0</v>
      </c>
      <c r="BK151" s="2262">
        <v>0</v>
      </c>
      <c r="BL151" s="2262">
        <v>0</v>
      </c>
      <c r="BM151" s="2262">
        <v>-2.1</v>
      </c>
      <c r="BN151" s="2262">
        <v>2.1</v>
      </c>
      <c r="BO151" s="2262">
        <v>0</v>
      </c>
      <c r="BP151" s="2262">
        <v>0</v>
      </c>
      <c r="BQ151" s="2262">
        <v>0</v>
      </c>
      <c r="BR151" s="2262">
        <v>0</v>
      </c>
      <c r="BS151" s="2262">
        <v>0</v>
      </c>
      <c r="BT151" s="2262">
        <v>0</v>
      </c>
      <c r="BU151" s="2262">
        <v>0</v>
      </c>
      <c r="BV151" s="2262">
        <v>0</v>
      </c>
      <c r="BW151" s="2262">
        <v>0</v>
      </c>
      <c r="BX151" s="2263">
        <v>1</v>
      </c>
      <c r="BY151" s="2262">
        <v>0.52</v>
      </c>
      <c r="BZ151" s="2262">
        <v>0.18000000000000016</v>
      </c>
      <c r="CA151" s="2064" t="s">
        <v>3524</v>
      </c>
      <c r="CC151" s="563">
        <v>2359.5299329060649</v>
      </c>
      <c r="CD151" s="563">
        <v>2359.5299329060649</v>
      </c>
    </row>
    <row r="152" spans="1:82" s="563" customFormat="1" ht="22.9" customHeight="1">
      <c r="A152" s="2241"/>
      <c r="B152" s="2242" t="s">
        <v>4</v>
      </c>
      <c r="C152" s="2243"/>
      <c r="D152" s="2244"/>
      <c r="E152" s="2243">
        <v>-2.1</v>
      </c>
      <c r="F152" s="2245">
        <v>2.1</v>
      </c>
      <c r="G152" s="2243">
        <v>0</v>
      </c>
      <c r="H152" s="2246">
        <v>-2.1</v>
      </c>
      <c r="I152" s="2245">
        <v>2.1</v>
      </c>
      <c r="J152" s="2247">
        <v>-2.1</v>
      </c>
      <c r="K152" s="2248" t="s">
        <v>3521</v>
      </c>
      <c r="L152" s="2248" t="s">
        <v>3521</v>
      </c>
      <c r="M152" s="2248" t="s">
        <v>3521</v>
      </c>
      <c r="N152" s="2249" t="s">
        <v>3521</v>
      </c>
      <c r="O152" s="2250"/>
      <c r="P152" s="2251"/>
      <c r="Q152" s="2252"/>
      <c r="R152" s="2250"/>
      <c r="S152" s="2253">
        <v>10</v>
      </c>
      <c r="T152" s="2161">
        <v>0</v>
      </c>
      <c r="U152" s="2245">
        <v>1</v>
      </c>
      <c r="V152" s="2245">
        <v>15</v>
      </c>
      <c r="W152" s="2245">
        <v>128.45752167880846</v>
      </c>
      <c r="X152" s="2245">
        <v>3.6248559335500571E-2</v>
      </c>
      <c r="Y152" s="2245">
        <v>0</v>
      </c>
      <c r="Z152" s="2161">
        <v>0</v>
      </c>
      <c r="AA152" s="2245" t="e">
        <v>#DIV/0!</v>
      </c>
      <c r="AB152" s="2245">
        <v>2.2000000000000002</v>
      </c>
      <c r="AC152" s="2245">
        <v>0</v>
      </c>
      <c r="AD152" s="2245" t="s">
        <v>1240</v>
      </c>
      <c r="AE152" s="2254">
        <v>1.4999999999999999E-2</v>
      </c>
      <c r="AF152" s="2255">
        <v>1</v>
      </c>
      <c r="AG152" s="2245">
        <v>0.6</v>
      </c>
      <c r="AH152" s="2245"/>
      <c r="AJ152" s="2256"/>
      <c r="AK152" s="2257">
        <v>0</v>
      </c>
      <c r="AL152" s="2245">
        <v>0</v>
      </c>
      <c r="AM152" s="2245">
        <v>0</v>
      </c>
      <c r="AN152" s="2245" t="e">
        <v>#DIV/0!</v>
      </c>
      <c r="AO152" s="2245" t="e">
        <v>#DIV/0!</v>
      </c>
      <c r="AP152" s="2258">
        <v>0</v>
      </c>
      <c r="AQ152" s="2259"/>
      <c r="AR152" s="2259">
        <v>0</v>
      </c>
      <c r="AS152" s="2260" t="s">
        <v>3521</v>
      </c>
      <c r="AT152" s="2259"/>
      <c r="AU152" s="2259"/>
      <c r="AV152" s="2259"/>
      <c r="AW152" s="2259">
        <v>0</v>
      </c>
      <c r="AX152" s="2261">
        <v>10000</v>
      </c>
      <c r="AY152" s="2261">
        <v>10000</v>
      </c>
      <c r="AZ152" s="2261">
        <v>10000</v>
      </c>
      <c r="BA152" s="2261">
        <v>15</v>
      </c>
      <c r="BB152" s="2261">
        <v>0</v>
      </c>
      <c r="BC152" s="2261">
        <v>0</v>
      </c>
      <c r="BD152" s="2229">
        <v>0</v>
      </c>
      <c r="BE152" s="2229">
        <v>0.114396</v>
      </c>
      <c r="BF152" s="2229">
        <v>0</v>
      </c>
      <c r="BG152" s="2229">
        <v>0</v>
      </c>
      <c r="BH152" s="2229">
        <v>0</v>
      </c>
      <c r="BI152" s="2229">
        <v>0</v>
      </c>
      <c r="BJ152" s="2229">
        <v>0</v>
      </c>
      <c r="BK152" s="2262">
        <v>0</v>
      </c>
      <c r="BL152" s="2262">
        <v>0</v>
      </c>
      <c r="BM152" s="2262">
        <v>-2.1</v>
      </c>
      <c r="BN152" s="2262">
        <v>2.1</v>
      </c>
      <c r="BO152" s="2262">
        <v>0</v>
      </c>
      <c r="BP152" s="2262">
        <v>0</v>
      </c>
      <c r="BQ152" s="2262">
        <v>0</v>
      </c>
      <c r="BR152" s="2262">
        <v>0</v>
      </c>
      <c r="BS152" s="2262">
        <v>0</v>
      </c>
      <c r="BT152" s="2262">
        <v>0</v>
      </c>
      <c r="BU152" s="2262">
        <v>0</v>
      </c>
      <c r="BV152" s="2262">
        <v>0</v>
      </c>
      <c r="BW152" s="2262">
        <v>0</v>
      </c>
      <c r="BX152" s="2263">
        <v>1</v>
      </c>
      <c r="BY152" s="2262">
        <v>0.52</v>
      </c>
      <c r="BZ152" s="2262">
        <v>0.18000000000000016</v>
      </c>
      <c r="CA152" s="2064" t="s">
        <v>3524</v>
      </c>
      <c r="CC152" s="563">
        <v>2359.5299329060649</v>
      </c>
      <c r="CD152" s="563">
        <v>2359.5299329060649</v>
      </c>
    </row>
    <row r="153" spans="1:82" s="563" customFormat="1" ht="22.9" customHeight="1">
      <c r="A153" s="2241"/>
      <c r="B153" s="2242" t="s">
        <v>4</v>
      </c>
      <c r="C153" s="2243"/>
      <c r="D153" s="2244"/>
      <c r="E153" s="2243">
        <v>-2.1</v>
      </c>
      <c r="F153" s="2245">
        <v>2.1</v>
      </c>
      <c r="G153" s="2243">
        <v>0</v>
      </c>
      <c r="H153" s="2246">
        <v>-2.1</v>
      </c>
      <c r="I153" s="2245">
        <v>2.1</v>
      </c>
      <c r="J153" s="2247">
        <v>-2.1</v>
      </c>
      <c r="K153" s="2248" t="s">
        <v>3521</v>
      </c>
      <c r="L153" s="2248" t="s">
        <v>3521</v>
      </c>
      <c r="M153" s="2248" t="s">
        <v>3521</v>
      </c>
      <c r="N153" s="2249" t="s">
        <v>3521</v>
      </c>
      <c r="O153" s="2250"/>
      <c r="P153" s="2251"/>
      <c r="Q153" s="2252"/>
      <c r="R153" s="2250"/>
      <c r="S153" s="2253">
        <v>10</v>
      </c>
      <c r="T153" s="2161">
        <v>0</v>
      </c>
      <c r="U153" s="2245">
        <v>1</v>
      </c>
      <c r="V153" s="2245">
        <v>15</v>
      </c>
      <c r="W153" s="2245">
        <v>128.45752167880846</v>
      </c>
      <c r="X153" s="2245">
        <v>3.6248559335500571E-2</v>
      </c>
      <c r="Y153" s="2245">
        <v>0</v>
      </c>
      <c r="Z153" s="2161">
        <v>0</v>
      </c>
      <c r="AA153" s="2245" t="e">
        <v>#DIV/0!</v>
      </c>
      <c r="AB153" s="2245">
        <v>2.2000000000000002</v>
      </c>
      <c r="AC153" s="2245">
        <v>0</v>
      </c>
      <c r="AD153" s="2245" t="s">
        <v>1240</v>
      </c>
      <c r="AE153" s="2254">
        <v>1.4999999999999999E-2</v>
      </c>
      <c r="AF153" s="2255">
        <v>1</v>
      </c>
      <c r="AG153" s="2245">
        <v>0.6</v>
      </c>
      <c r="AH153" s="2245"/>
      <c r="AJ153" s="2256"/>
      <c r="AK153" s="2257">
        <v>0</v>
      </c>
      <c r="AL153" s="2245">
        <v>0</v>
      </c>
      <c r="AM153" s="2245">
        <v>0</v>
      </c>
      <c r="AN153" s="2245" t="e">
        <v>#DIV/0!</v>
      </c>
      <c r="AO153" s="2245" t="e">
        <v>#DIV/0!</v>
      </c>
      <c r="AP153" s="2258">
        <v>0</v>
      </c>
      <c r="AQ153" s="2259"/>
      <c r="AR153" s="2259">
        <v>0</v>
      </c>
      <c r="AS153" s="2260" t="s">
        <v>3521</v>
      </c>
      <c r="AT153" s="2259"/>
      <c r="AU153" s="2259"/>
      <c r="AV153" s="2259"/>
      <c r="AW153" s="2259">
        <v>0</v>
      </c>
      <c r="AX153" s="2261">
        <v>10000</v>
      </c>
      <c r="AY153" s="2261">
        <v>10000</v>
      </c>
      <c r="AZ153" s="2261">
        <v>10000</v>
      </c>
      <c r="BA153" s="2261">
        <v>15</v>
      </c>
      <c r="BB153" s="2261">
        <v>0</v>
      </c>
      <c r="BC153" s="2261">
        <v>0</v>
      </c>
      <c r="BD153" s="2229">
        <v>0</v>
      </c>
      <c r="BE153" s="2229">
        <v>0.114396</v>
      </c>
      <c r="BF153" s="2229">
        <v>0</v>
      </c>
      <c r="BG153" s="2229">
        <v>0</v>
      </c>
      <c r="BH153" s="2229">
        <v>0</v>
      </c>
      <c r="BI153" s="2229">
        <v>0</v>
      </c>
      <c r="BJ153" s="2229">
        <v>0</v>
      </c>
      <c r="BK153" s="2262">
        <v>0</v>
      </c>
      <c r="BL153" s="2262">
        <v>0</v>
      </c>
      <c r="BM153" s="2262">
        <v>-2.1</v>
      </c>
      <c r="BN153" s="2262">
        <v>2.1</v>
      </c>
      <c r="BO153" s="2262">
        <v>0</v>
      </c>
      <c r="BP153" s="2262">
        <v>0</v>
      </c>
      <c r="BQ153" s="2262">
        <v>0</v>
      </c>
      <c r="BR153" s="2262">
        <v>0</v>
      </c>
      <c r="BS153" s="2262">
        <v>0</v>
      </c>
      <c r="BT153" s="2262">
        <v>0</v>
      </c>
      <c r="BU153" s="2262">
        <v>0</v>
      </c>
      <c r="BV153" s="2262">
        <v>0</v>
      </c>
      <c r="BW153" s="2262">
        <v>0</v>
      </c>
      <c r="BX153" s="2263">
        <v>1</v>
      </c>
      <c r="BY153" s="2262">
        <v>0.52</v>
      </c>
      <c r="BZ153" s="2262">
        <v>0.18000000000000016</v>
      </c>
      <c r="CA153" s="2064" t="s">
        <v>3524</v>
      </c>
      <c r="CC153" s="563">
        <v>2359.5299329060649</v>
      </c>
      <c r="CD153" s="563">
        <v>2359.5299329060649</v>
      </c>
    </row>
    <row r="154" spans="1:82" s="563" customFormat="1" ht="22.9" customHeight="1">
      <c r="A154" s="2241"/>
      <c r="B154" s="2242" t="s">
        <v>4</v>
      </c>
      <c r="C154" s="2243"/>
      <c r="D154" s="2244"/>
      <c r="E154" s="2243">
        <v>-2.1</v>
      </c>
      <c r="F154" s="2245">
        <v>2.1</v>
      </c>
      <c r="G154" s="2243">
        <v>0</v>
      </c>
      <c r="H154" s="2246">
        <v>-2.1</v>
      </c>
      <c r="I154" s="2245">
        <v>2.1</v>
      </c>
      <c r="J154" s="2247">
        <v>-2.1</v>
      </c>
      <c r="K154" s="2248" t="s">
        <v>3521</v>
      </c>
      <c r="L154" s="2248" t="s">
        <v>3521</v>
      </c>
      <c r="M154" s="2248" t="s">
        <v>3521</v>
      </c>
      <c r="N154" s="2249" t="s">
        <v>3521</v>
      </c>
      <c r="O154" s="2250"/>
      <c r="P154" s="2251"/>
      <c r="Q154" s="2252"/>
      <c r="R154" s="2250"/>
      <c r="S154" s="2253">
        <v>10</v>
      </c>
      <c r="T154" s="2161">
        <v>0</v>
      </c>
      <c r="U154" s="2245">
        <v>1</v>
      </c>
      <c r="V154" s="2245">
        <v>15</v>
      </c>
      <c r="W154" s="2245">
        <v>128.45752167880846</v>
      </c>
      <c r="X154" s="2245">
        <v>3.6248559335500571E-2</v>
      </c>
      <c r="Y154" s="2245">
        <v>0</v>
      </c>
      <c r="Z154" s="2161">
        <v>0</v>
      </c>
      <c r="AA154" s="2245" t="e">
        <v>#DIV/0!</v>
      </c>
      <c r="AB154" s="2245">
        <v>2.2000000000000002</v>
      </c>
      <c r="AC154" s="2245">
        <v>0</v>
      </c>
      <c r="AD154" s="2245" t="s">
        <v>1240</v>
      </c>
      <c r="AE154" s="2254">
        <v>1.4999999999999999E-2</v>
      </c>
      <c r="AF154" s="2255">
        <v>1</v>
      </c>
      <c r="AG154" s="2245">
        <v>0.6</v>
      </c>
      <c r="AH154" s="2245"/>
      <c r="AJ154" s="2256"/>
      <c r="AK154" s="2257">
        <v>0</v>
      </c>
      <c r="AL154" s="2245">
        <v>0</v>
      </c>
      <c r="AM154" s="2245">
        <v>0</v>
      </c>
      <c r="AN154" s="2245" t="e">
        <v>#DIV/0!</v>
      </c>
      <c r="AO154" s="2245" t="e">
        <v>#DIV/0!</v>
      </c>
      <c r="AP154" s="2258">
        <v>0</v>
      </c>
      <c r="AQ154" s="2259"/>
      <c r="AR154" s="2259">
        <v>0</v>
      </c>
      <c r="AS154" s="2260" t="s">
        <v>3521</v>
      </c>
      <c r="AT154" s="2259"/>
      <c r="AU154" s="2259"/>
      <c r="AV154" s="2259"/>
      <c r="AW154" s="2259">
        <v>0</v>
      </c>
      <c r="AX154" s="2261">
        <v>10000</v>
      </c>
      <c r="AY154" s="2261">
        <v>10000</v>
      </c>
      <c r="AZ154" s="2261">
        <v>10000</v>
      </c>
      <c r="BA154" s="2261">
        <v>15</v>
      </c>
      <c r="BB154" s="2261">
        <v>0</v>
      </c>
      <c r="BC154" s="2261">
        <v>0</v>
      </c>
      <c r="BD154" s="2229">
        <v>0</v>
      </c>
      <c r="BE154" s="2229">
        <v>0.114396</v>
      </c>
      <c r="BF154" s="2229">
        <v>0</v>
      </c>
      <c r="BG154" s="2229">
        <v>0</v>
      </c>
      <c r="BH154" s="2229">
        <v>0</v>
      </c>
      <c r="BI154" s="2229">
        <v>0</v>
      </c>
      <c r="BJ154" s="2229">
        <v>0</v>
      </c>
      <c r="BK154" s="2262">
        <v>0</v>
      </c>
      <c r="BL154" s="2262">
        <v>0</v>
      </c>
      <c r="BM154" s="2262">
        <v>-2.1</v>
      </c>
      <c r="BN154" s="2262">
        <v>2.1</v>
      </c>
      <c r="BO154" s="2262">
        <v>0</v>
      </c>
      <c r="BP154" s="2262">
        <v>0</v>
      </c>
      <c r="BQ154" s="2262">
        <v>0</v>
      </c>
      <c r="BR154" s="2262">
        <v>0</v>
      </c>
      <c r="BS154" s="2262">
        <v>0</v>
      </c>
      <c r="BT154" s="2262">
        <v>0</v>
      </c>
      <c r="BU154" s="2262">
        <v>0</v>
      </c>
      <c r="BV154" s="2262">
        <v>0</v>
      </c>
      <c r="BW154" s="2262">
        <v>0</v>
      </c>
      <c r="BX154" s="2263">
        <v>1</v>
      </c>
      <c r="BY154" s="2262">
        <v>0.52</v>
      </c>
      <c r="BZ154" s="2262">
        <v>0.18000000000000016</v>
      </c>
      <c r="CA154" s="2064" t="s">
        <v>3524</v>
      </c>
      <c r="CC154" s="563">
        <v>2359.5299329060649</v>
      </c>
      <c r="CD154" s="563">
        <v>2359.5299329060649</v>
      </c>
    </row>
    <row r="155" spans="1:82" s="563" customFormat="1" ht="22.9" customHeight="1">
      <c r="A155" s="2241"/>
      <c r="B155" s="2242" t="s">
        <v>4</v>
      </c>
      <c r="C155" s="2243"/>
      <c r="D155" s="2244"/>
      <c r="E155" s="2243">
        <v>-2.1</v>
      </c>
      <c r="F155" s="2245">
        <v>2.1</v>
      </c>
      <c r="G155" s="2243">
        <v>0</v>
      </c>
      <c r="H155" s="2246">
        <v>-2.1</v>
      </c>
      <c r="I155" s="2245">
        <v>2.1</v>
      </c>
      <c r="J155" s="2247">
        <v>-2.1</v>
      </c>
      <c r="K155" s="2248" t="s">
        <v>3521</v>
      </c>
      <c r="L155" s="2248" t="s">
        <v>3521</v>
      </c>
      <c r="M155" s="2248" t="s">
        <v>3521</v>
      </c>
      <c r="N155" s="2249" t="s">
        <v>3521</v>
      </c>
      <c r="O155" s="2250"/>
      <c r="P155" s="2251"/>
      <c r="Q155" s="2252"/>
      <c r="R155" s="2250"/>
      <c r="S155" s="2253">
        <v>10</v>
      </c>
      <c r="T155" s="2161">
        <v>0</v>
      </c>
      <c r="U155" s="2245">
        <v>1</v>
      </c>
      <c r="V155" s="2245">
        <v>15</v>
      </c>
      <c r="W155" s="2245">
        <v>128.45752167880846</v>
      </c>
      <c r="X155" s="2245">
        <v>3.6248559335500571E-2</v>
      </c>
      <c r="Y155" s="2245">
        <v>0</v>
      </c>
      <c r="Z155" s="2161">
        <v>0</v>
      </c>
      <c r="AA155" s="2245" t="e">
        <v>#DIV/0!</v>
      </c>
      <c r="AB155" s="2245">
        <v>2.2000000000000002</v>
      </c>
      <c r="AC155" s="2245">
        <v>0</v>
      </c>
      <c r="AD155" s="2245" t="s">
        <v>1240</v>
      </c>
      <c r="AE155" s="2254">
        <v>1.4999999999999999E-2</v>
      </c>
      <c r="AF155" s="2255">
        <v>1</v>
      </c>
      <c r="AG155" s="2245">
        <v>0.6</v>
      </c>
      <c r="AH155" s="2245"/>
      <c r="AJ155" s="2256"/>
      <c r="AK155" s="2257">
        <v>0</v>
      </c>
      <c r="AL155" s="2245">
        <v>0</v>
      </c>
      <c r="AM155" s="2245">
        <v>0</v>
      </c>
      <c r="AN155" s="2245" t="e">
        <v>#DIV/0!</v>
      </c>
      <c r="AO155" s="2245" t="e">
        <v>#DIV/0!</v>
      </c>
      <c r="AP155" s="2258">
        <v>0</v>
      </c>
      <c r="AQ155" s="2259"/>
      <c r="AR155" s="2259">
        <v>0</v>
      </c>
      <c r="AS155" s="2260" t="s">
        <v>3521</v>
      </c>
      <c r="AT155" s="2259"/>
      <c r="AU155" s="2259"/>
      <c r="AV155" s="2259"/>
      <c r="AW155" s="2259">
        <v>0</v>
      </c>
      <c r="AX155" s="2261">
        <v>10000</v>
      </c>
      <c r="AY155" s="2261">
        <v>10000</v>
      </c>
      <c r="AZ155" s="2261">
        <v>10000</v>
      </c>
      <c r="BA155" s="2261">
        <v>15</v>
      </c>
      <c r="BB155" s="2261">
        <v>0</v>
      </c>
      <c r="BC155" s="2261">
        <v>0</v>
      </c>
      <c r="BD155" s="2229">
        <v>0</v>
      </c>
      <c r="BE155" s="2229">
        <v>0.114396</v>
      </c>
      <c r="BF155" s="2229">
        <v>0</v>
      </c>
      <c r="BG155" s="2229">
        <v>0</v>
      </c>
      <c r="BH155" s="2229">
        <v>0</v>
      </c>
      <c r="BI155" s="2229">
        <v>0</v>
      </c>
      <c r="BJ155" s="2229">
        <v>0</v>
      </c>
      <c r="BK155" s="2262">
        <v>0</v>
      </c>
      <c r="BL155" s="2262">
        <v>0</v>
      </c>
      <c r="BM155" s="2262">
        <v>-2.1</v>
      </c>
      <c r="BN155" s="2262">
        <v>2.1</v>
      </c>
      <c r="BO155" s="2262">
        <v>0</v>
      </c>
      <c r="BP155" s="2262">
        <v>0</v>
      </c>
      <c r="BQ155" s="2262">
        <v>0</v>
      </c>
      <c r="BR155" s="2262">
        <v>0</v>
      </c>
      <c r="BS155" s="2262">
        <v>0</v>
      </c>
      <c r="BT155" s="2262">
        <v>0</v>
      </c>
      <c r="BU155" s="2262">
        <v>0</v>
      </c>
      <c r="BV155" s="2262">
        <v>0</v>
      </c>
      <c r="BW155" s="2262">
        <v>0</v>
      </c>
      <c r="BX155" s="2263">
        <v>1</v>
      </c>
      <c r="BY155" s="2262">
        <v>0.52</v>
      </c>
      <c r="BZ155" s="2262">
        <v>0.18000000000000016</v>
      </c>
      <c r="CA155" s="2064" t="s">
        <v>3524</v>
      </c>
      <c r="CC155" s="563">
        <v>2359.5299329060649</v>
      </c>
      <c r="CD155" s="563">
        <v>2359.5299329060649</v>
      </c>
    </row>
    <row r="156" spans="1:82" s="563" customFormat="1" ht="22.9" customHeight="1">
      <c r="A156" s="2241"/>
      <c r="B156" s="2242" t="s">
        <v>4</v>
      </c>
      <c r="C156" s="2243"/>
      <c r="D156" s="2244"/>
      <c r="E156" s="2243">
        <v>-2.1</v>
      </c>
      <c r="F156" s="2245">
        <v>2.1</v>
      </c>
      <c r="G156" s="2243">
        <v>0</v>
      </c>
      <c r="H156" s="2246">
        <v>-2.1</v>
      </c>
      <c r="I156" s="2245">
        <v>2.1</v>
      </c>
      <c r="J156" s="2247">
        <v>-2.1</v>
      </c>
      <c r="K156" s="2248" t="s">
        <v>3521</v>
      </c>
      <c r="L156" s="2248" t="s">
        <v>3521</v>
      </c>
      <c r="M156" s="2248" t="s">
        <v>3521</v>
      </c>
      <c r="N156" s="2249" t="s">
        <v>3521</v>
      </c>
      <c r="O156" s="2250"/>
      <c r="P156" s="2251"/>
      <c r="Q156" s="2252"/>
      <c r="R156" s="2250"/>
      <c r="S156" s="2253">
        <v>10</v>
      </c>
      <c r="T156" s="2161">
        <v>0</v>
      </c>
      <c r="U156" s="2245">
        <v>1</v>
      </c>
      <c r="V156" s="2245">
        <v>15</v>
      </c>
      <c r="W156" s="2245">
        <v>128.45752167880846</v>
      </c>
      <c r="X156" s="2245">
        <v>3.6248559335500571E-2</v>
      </c>
      <c r="Y156" s="2245">
        <v>0</v>
      </c>
      <c r="Z156" s="2161">
        <v>0</v>
      </c>
      <c r="AA156" s="2245" t="e">
        <v>#DIV/0!</v>
      </c>
      <c r="AB156" s="2245">
        <v>2.2000000000000002</v>
      </c>
      <c r="AC156" s="2245">
        <v>0</v>
      </c>
      <c r="AD156" s="2245" t="s">
        <v>1240</v>
      </c>
      <c r="AE156" s="2254">
        <v>1.4999999999999999E-2</v>
      </c>
      <c r="AF156" s="2255">
        <v>1</v>
      </c>
      <c r="AG156" s="2245">
        <v>0.6</v>
      </c>
      <c r="AH156" s="2245"/>
      <c r="AJ156" s="2256"/>
      <c r="AK156" s="2257">
        <v>0</v>
      </c>
      <c r="AL156" s="2245">
        <v>0</v>
      </c>
      <c r="AM156" s="2245">
        <v>0</v>
      </c>
      <c r="AN156" s="2245" t="e">
        <v>#DIV/0!</v>
      </c>
      <c r="AO156" s="2245" t="e">
        <v>#DIV/0!</v>
      </c>
      <c r="AP156" s="2258">
        <v>0</v>
      </c>
      <c r="AQ156" s="2259"/>
      <c r="AR156" s="2259">
        <v>0</v>
      </c>
      <c r="AS156" s="2260" t="s">
        <v>3521</v>
      </c>
      <c r="AT156" s="2259"/>
      <c r="AU156" s="2259"/>
      <c r="AV156" s="2259"/>
      <c r="AW156" s="2259">
        <v>0</v>
      </c>
      <c r="AX156" s="2261">
        <v>10000</v>
      </c>
      <c r="AY156" s="2261">
        <v>10000</v>
      </c>
      <c r="AZ156" s="2261">
        <v>10000</v>
      </c>
      <c r="BA156" s="2261">
        <v>15</v>
      </c>
      <c r="BB156" s="2261">
        <v>0</v>
      </c>
      <c r="BC156" s="2261">
        <v>0</v>
      </c>
      <c r="BD156" s="2229">
        <v>0</v>
      </c>
      <c r="BE156" s="2229">
        <v>0.114396</v>
      </c>
      <c r="BF156" s="2229">
        <v>0</v>
      </c>
      <c r="BG156" s="2229">
        <v>0</v>
      </c>
      <c r="BH156" s="2229">
        <v>0</v>
      </c>
      <c r="BI156" s="2229">
        <v>0</v>
      </c>
      <c r="BJ156" s="2229">
        <v>0</v>
      </c>
      <c r="BK156" s="2262">
        <v>0</v>
      </c>
      <c r="BL156" s="2262">
        <v>0</v>
      </c>
      <c r="BM156" s="2262">
        <v>-2.1</v>
      </c>
      <c r="BN156" s="2262">
        <v>2.1</v>
      </c>
      <c r="BO156" s="2262">
        <v>0</v>
      </c>
      <c r="BP156" s="2262">
        <v>0</v>
      </c>
      <c r="BQ156" s="2262">
        <v>0</v>
      </c>
      <c r="BR156" s="2262">
        <v>0</v>
      </c>
      <c r="BS156" s="2262">
        <v>0</v>
      </c>
      <c r="BT156" s="2262">
        <v>0</v>
      </c>
      <c r="BU156" s="2262">
        <v>0</v>
      </c>
      <c r="BV156" s="2262">
        <v>0</v>
      </c>
      <c r="BW156" s="2262">
        <v>0</v>
      </c>
      <c r="BX156" s="2263">
        <v>1</v>
      </c>
      <c r="BY156" s="2262">
        <v>0.52</v>
      </c>
      <c r="BZ156" s="2262">
        <v>0.18000000000000016</v>
      </c>
      <c r="CA156" s="2064" t="s">
        <v>3524</v>
      </c>
      <c r="CC156" s="563">
        <v>2359.5299329060649</v>
      </c>
      <c r="CD156" s="563">
        <v>2359.5299329060649</v>
      </c>
    </row>
    <row r="157" spans="1:82" s="563" customFormat="1" ht="22.9" customHeight="1">
      <c r="A157" s="2241"/>
      <c r="B157" s="2242" t="s">
        <v>4</v>
      </c>
      <c r="C157" s="2243"/>
      <c r="D157" s="2244"/>
      <c r="E157" s="2243">
        <v>-2.1</v>
      </c>
      <c r="F157" s="2245">
        <v>2.1</v>
      </c>
      <c r="G157" s="2243">
        <v>0</v>
      </c>
      <c r="H157" s="2246">
        <v>-2.1</v>
      </c>
      <c r="I157" s="2245">
        <v>2.1</v>
      </c>
      <c r="J157" s="2247">
        <v>-2.1</v>
      </c>
      <c r="K157" s="2248" t="s">
        <v>3521</v>
      </c>
      <c r="L157" s="2248" t="s">
        <v>3521</v>
      </c>
      <c r="M157" s="2248" t="s">
        <v>3521</v>
      </c>
      <c r="N157" s="2249" t="s">
        <v>3521</v>
      </c>
      <c r="O157" s="2250"/>
      <c r="P157" s="2251"/>
      <c r="Q157" s="2252"/>
      <c r="R157" s="2250"/>
      <c r="S157" s="2253">
        <v>10</v>
      </c>
      <c r="T157" s="2161">
        <v>0</v>
      </c>
      <c r="U157" s="2245">
        <v>1</v>
      </c>
      <c r="V157" s="2245">
        <v>15</v>
      </c>
      <c r="W157" s="2245">
        <v>128.45752167880846</v>
      </c>
      <c r="X157" s="2245">
        <v>3.6248559335500571E-2</v>
      </c>
      <c r="Y157" s="2245">
        <v>0</v>
      </c>
      <c r="Z157" s="2161">
        <v>0</v>
      </c>
      <c r="AA157" s="2245" t="e">
        <v>#DIV/0!</v>
      </c>
      <c r="AB157" s="2245">
        <v>2.2000000000000002</v>
      </c>
      <c r="AC157" s="2245">
        <v>0</v>
      </c>
      <c r="AD157" s="2245" t="s">
        <v>1240</v>
      </c>
      <c r="AE157" s="2254">
        <v>1.4999999999999999E-2</v>
      </c>
      <c r="AF157" s="2255">
        <v>1</v>
      </c>
      <c r="AG157" s="2245">
        <v>0.6</v>
      </c>
      <c r="AH157" s="2245"/>
      <c r="AJ157" s="2256"/>
      <c r="AK157" s="2257">
        <v>0</v>
      </c>
      <c r="AL157" s="2245">
        <v>0</v>
      </c>
      <c r="AM157" s="2245">
        <v>0</v>
      </c>
      <c r="AN157" s="2245" t="e">
        <v>#DIV/0!</v>
      </c>
      <c r="AO157" s="2245" t="e">
        <v>#DIV/0!</v>
      </c>
      <c r="AP157" s="2258">
        <v>0</v>
      </c>
      <c r="AQ157" s="2259"/>
      <c r="AR157" s="2259">
        <v>0</v>
      </c>
      <c r="AS157" s="2260" t="s">
        <v>3521</v>
      </c>
      <c r="AT157" s="2259"/>
      <c r="AU157" s="2259"/>
      <c r="AV157" s="2259"/>
      <c r="AW157" s="2259">
        <v>0</v>
      </c>
      <c r="AX157" s="2261">
        <v>10000</v>
      </c>
      <c r="AY157" s="2261">
        <v>10000</v>
      </c>
      <c r="AZ157" s="2261">
        <v>10000</v>
      </c>
      <c r="BA157" s="2261">
        <v>15</v>
      </c>
      <c r="BB157" s="2261">
        <v>0</v>
      </c>
      <c r="BC157" s="2261">
        <v>0</v>
      </c>
      <c r="BD157" s="2229">
        <v>0</v>
      </c>
      <c r="BE157" s="2229">
        <v>0.114396</v>
      </c>
      <c r="BF157" s="2229">
        <v>0</v>
      </c>
      <c r="BG157" s="2229">
        <v>0</v>
      </c>
      <c r="BH157" s="2229">
        <v>0</v>
      </c>
      <c r="BI157" s="2229">
        <v>0</v>
      </c>
      <c r="BJ157" s="2229">
        <v>0</v>
      </c>
      <c r="BK157" s="2262">
        <v>0</v>
      </c>
      <c r="BL157" s="2262">
        <v>0</v>
      </c>
      <c r="BM157" s="2262">
        <v>-2.1</v>
      </c>
      <c r="BN157" s="2262">
        <v>2.1</v>
      </c>
      <c r="BO157" s="2262">
        <v>0</v>
      </c>
      <c r="BP157" s="2262">
        <v>0</v>
      </c>
      <c r="BQ157" s="2262">
        <v>0</v>
      </c>
      <c r="BR157" s="2262">
        <v>0</v>
      </c>
      <c r="BS157" s="2262">
        <v>0</v>
      </c>
      <c r="BT157" s="2262">
        <v>0</v>
      </c>
      <c r="BU157" s="2262">
        <v>0</v>
      </c>
      <c r="BV157" s="2262">
        <v>0</v>
      </c>
      <c r="BW157" s="2262">
        <v>0</v>
      </c>
      <c r="BX157" s="2263">
        <v>1</v>
      </c>
      <c r="BY157" s="2262">
        <v>0.52</v>
      </c>
      <c r="BZ157" s="2262">
        <v>0.18000000000000016</v>
      </c>
      <c r="CA157" s="2064" t="s">
        <v>3524</v>
      </c>
      <c r="CC157" s="563">
        <v>2359.5299329060649</v>
      </c>
      <c r="CD157" s="563">
        <v>2359.5299329060649</v>
      </c>
    </row>
    <row r="158" spans="1:82" s="563" customFormat="1" ht="22.9" customHeight="1">
      <c r="A158" s="2241"/>
      <c r="B158" s="2242" t="s">
        <v>4</v>
      </c>
      <c r="C158" s="2243"/>
      <c r="D158" s="2244"/>
      <c r="E158" s="2243">
        <v>-2.1</v>
      </c>
      <c r="F158" s="2245">
        <v>2.1</v>
      </c>
      <c r="G158" s="2243">
        <v>0</v>
      </c>
      <c r="H158" s="2246">
        <v>-2.1</v>
      </c>
      <c r="I158" s="2245">
        <v>2.1</v>
      </c>
      <c r="J158" s="2247">
        <v>-2.1</v>
      </c>
      <c r="K158" s="2248" t="s">
        <v>3521</v>
      </c>
      <c r="L158" s="2248" t="s">
        <v>3521</v>
      </c>
      <c r="M158" s="2248" t="s">
        <v>3521</v>
      </c>
      <c r="N158" s="2249" t="s">
        <v>3521</v>
      </c>
      <c r="O158" s="2250"/>
      <c r="P158" s="2251"/>
      <c r="Q158" s="2252"/>
      <c r="R158" s="2250"/>
      <c r="S158" s="2253">
        <v>10</v>
      </c>
      <c r="T158" s="2161">
        <v>0</v>
      </c>
      <c r="U158" s="2245">
        <v>1</v>
      </c>
      <c r="V158" s="2245">
        <v>15</v>
      </c>
      <c r="W158" s="2245">
        <v>128.45752167880846</v>
      </c>
      <c r="X158" s="2245">
        <v>3.6248559335500571E-2</v>
      </c>
      <c r="Y158" s="2245">
        <v>0</v>
      </c>
      <c r="Z158" s="2161">
        <v>0</v>
      </c>
      <c r="AA158" s="2245" t="e">
        <v>#DIV/0!</v>
      </c>
      <c r="AB158" s="2245">
        <v>2.2000000000000002</v>
      </c>
      <c r="AC158" s="2245">
        <v>0</v>
      </c>
      <c r="AD158" s="2245" t="s">
        <v>1240</v>
      </c>
      <c r="AE158" s="2254">
        <v>1.4999999999999999E-2</v>
      </c>
      <c r="AF158" s="2255">
        <v>1</v>
      </c>
      <c r="AG158" s="2245">
        <v>0.6</v>
      </c>
      <c r="AH158" s="2245"/>
      <c r="AJ158" s="2256"/>
      <c r="AK158" s="2257">
        <v>0</v>
      </c>
      <c r="AL158" s="2245">
        <v>0</v>
      </c>
      <c r="AM158" s="2245">
        <v>0</v>
      </c>
      <c r="AN158" s="2245" t="e">
        <v>#DIV/0!</v>
      </c>
      <c r="AO158" s="2245" t="e">
        <v>#DIV/0!</v>
      </c>
      <c r="AP158" s="2258">
        <v>0</v>
      </c>
      <c r="AQ158" s="2259"/>
      <c r="AR158" s="2259">
        <v>0</v>
      </c>
      <c r="AS158" s="2260" t="s">
        <v>3521</v>
      </c>
      <c r="AT158" s="2259"/>
      <c r="AU158" s="2259"/>
      <c r="AV158" s="2259"/>
      <c r="AW158" s="2259">
        <v>0</v>
      </c>
      <c r="AX158" s="2261">
        <v>10000</v>
      </c>
      <c r="AY158" s="2261">
        <v>10000</v>
      </c>
      <c r="AZ158" s="2261">
        <v>10000</v>
      </c>
      <c r="BA158" s="2261">
        <v>15</v>
      </c>
      <c r="BB158" s="2261">
        <v>0</v>
      </c>
      <c r="BC158" s="2261">
        <v>0</v>
      </c>
      <c r="BD158" s="2229">
        <v>0</v>
      </c>
      <c r="BE158" s="2229">
        <v>0.114396</v>
      </c>
      <c r="BF158" s="2229">
        <v>0</v>
      </c>
      <c r="BG158" s="2229">
        <v>0</v>
      </c>
      <c r="BH158" s="2229">
        <v>0</v>
      </c>
      <c r="BI158" s="2229">
        <v>0</v>
      </c>
      <c r="BJ158" s="2229">
        <v>0</v>
      </c>
      <c r="BK158" s="2262">
        <v>0</v>
      </c>
      <c r="BL158" s="2262">
        <v>0</v>
      </c>
      <c r="BM158" s="2262">
        <v>-2.1</v>
      </c>
      <c r="BN158" s="2262">
        <v>2.1</v>
      </c>
      <c r="BO158" s="2262">
        <v>0</v>
      </c>
      <c r="BP158" s="2262">
        <v>0</v>
      </c>
      <c r="BQ158" s="2262">
        <v>0</v>
      </c>
      <c r="BR158" s="2262">
        <v>0</v>
      </c>
      <c r="BS158" s="2262">
        <v>0</v>
      </c>
      <c r="BT158" s="2262">
        <v>0</v>
      </c>
      <c r="BU158" s="2262">
        <v>0</v>
      </c>
      <c r="BV158" s="2262">
        <v>0</v>
      </c>
      <c r="BW158" s="2262">
        <v>0</v>
      </c>
      <c r="BX158" s="2263">
        <v>1</v>
      </c>
      <c r="BY158" s="2262">
        <v>0.52</v>
      </c>
      <c r="BZ158" s="2262">
        <v>0.18000000000000016</v>
      </c>
      <c r="CA158" s="2064" t="s">
        <v>3524</v>
      </c>
      <c r="CC158" s="563">
        <v>2359.5299329060649</v>
      </c>
      <c r="CD158" s="563">
        <v>2359.5299329060649</v>
      </c>
    </row>
    <row r="159" spans="1:82" s="563" customFormat="1" ht="22.9" customHeight="1">
      <c r="A159" s="2241"/>
      <c r="B159" s="2242" t="s">
        <v>4</v>
      </c>
      <c r="C159" s="2243"/>
      <c r="D159" s="2244"/>
      <c r="E159" s="2243">
        <v>-2.1</v>
      </c>
      <c r="F159" s="2245">
        <v>2.1</v>
      </c>
      <c r="G159" s="2243">
        <v>0</v>
      </c>
      <c r="H159" s="2246">
        <v>-2.1</v>
      </c>
      <c r="I159" s="2245">
        <v>2.1</v>
      </c>
      <c r="J159" s="2247">
        <v>-2.1</v>
      </c>
      <c r="K159" s="2248" t="s">
        <v>3521</v>
      </c>
      <c r="L159" s="2248" t="s">
        <v>3521</v>
      </c>
      <c r="M159" s="2248" t="s">
        <v>3521</v>
      </c>
      <c r="N159" s="2249" t="s">
        <v>3521</v>
      </c>
      <c r="O159" s="2250"/>
      <c r="P159" s="2251"/>
      <c r="Q159" s="2252"/>
      <c r="R159" s="2250"/>
      <c r="S159" s="2253">
        <v>10</v>
      </c>
      <c r="T159" s="2161">
        <v>0</v>
      </c>
      <c r="U159" s="2245">
        <v>1</v>
      </c>
      <c r="V159" s="2245">
        <v>15</v>
      </c>
      <c r="W159" s="2245">
        <v>128.45752167880846</v>
      </c>
      <c r="X159" s="2245">
        <v>3.6248559335500571E-2</v>
      </c>
      <c r="Y159" s="2245">
        <v>0</v>
      </c>
      <c r="Z159" s="2161">
        <v>0</v>
      </c>
      <c r="AA159" s="2245" t="e">
        <v>#DIV/0!</v>
      </c>
      <c r="AB159" s="2245">
        <v>2.2000000000000002</v>
      </c>
      <c r="AC159" s="2245">
        <v>0</v>
      </c>
      <c r="AD159" s="2245" t="s">
        <v>1240</v>
      </c>
      <c r="AE159" s="2254">
        <v>1.4999999999999999E-2</v>
      </c>
      <c r="AF159" s="2255">
        <v>1</v>
      </c>
      <c r="AG159" s="2245">
        <v>0.6</v>
      </c>
      <c r="AH159" s="2245"/>
      <c r="AJ159" s="2256"/>
      <c r="AK159" s="2257">
        <v>0</v>
      </c>
      <c r="AL159" s="2245">
        <v>0</v>
      </c>
      <c r="AM159" s="2245">
        <v>0</v>
      </c>
      <c r="AN159" s="2245" t="e">
        <v>#DIV/0!</v>
      </c>
      <c r="AO159" s="2245" t="e">
        <v>#DIV/0!</v>
      </c>
      <c r="AP159" s="2258">
        <v>0</v>
      </c>
      <c r="AQ159" s="2259"/>
      <c r="AR159" s="2259">
        <v>0</v>
      </c>
      <c r="AS159" s="2260" t="s">
        <v>3521</v>
      </c>
      <c r="AT159" s="2259"/>
      <c r="AU159" s="2259"/>
      <c r="AV159" s="2259"/>
      <c r="AW159" s="2259">
        <v>0</v>
      </c>
      <c r="AX159" s="2261">
        <v>10000</v>
      </c>
      <c r="AY159" s="2261">
        <v>10000</v>
      </c>
      <c r="AZ159" s="2261">
        <v>10000</v>
      </c>
      <c r="BA159" s="2261">
        <v>15</v>
      </c>
      <c r="BB159" s="2261">
        <v>0</v>
      </c>
      <c r="BC159" s="2261">
        <v>0</v>
      </c>
      <c r="BD159" s="2229">
        <v>0</v>
      </c>
      <c r="BE159" s="2229">
        <v>0.114396</v>
      </c>
      <c r="BF159" s="2229">
        <v>0</v>
      </c>
      <c r="BG159" s="2229">
        <v>0</v>
      </c>
      <c r="BH159" s="2229">
        <v>0</v>
      </c>
      <c r="BI159" s="2229">
        <v>0</v>
      </c>
      <c r="BJ159" s="2229">
        <v>0</v>
      </c>
      <c r="BK159" s="2262">
        <v>0</v>
      </c>
      <c r="BL159" s="2262">
        <v>0</v>
      </c>
      <c r="BM159" s="2262">
        <v>-2.1</v>
      </c>
      <c r="BN159" s="2262">
        <v>2.1</v>
      </c>
      <c r="BO159" s="2262">
        <v>0</v>
      </c>
      <c r="BP159" s="2262">
        <v>0</v>
      </c>
      <c r="BQ159" s="2262">
        <v>0</v>
      </c>
      <c r="BR159" s="2262">
        <v>0</v>
      </c>
      <c r="BS159" s="2262">
        <v>0</v>
      </c>
      <c r="BT159" s="2262">
        <v>0</v>
      </c>
      <c r="BU159" s="2262">
        <v>0</v>
      </c>
      <c r="BV159" s="2262">
        <v>0</v>
      </c>
      <c r="BW159" s="2262">
        <v>0</v>
      </c>
      <c r="BX159" s="2263">
        <v>1</v>
      </c>
      <c r="BY159" s="2262">
        <v>0.52</v>
      </c>
      <c r="BZ159" s="2262">
        <v>0.18000000000000016</v>
      </c>
      <c r="CA159" s="2064" t="s">
        <v>3524</v>
      </c>
      <c r="CC159" s="563">
        <v>2359.5299329060649</v>
      </c>
      <c r="CD159" s="563">
        <v>2359.5299329060649</v>
      </c>
    </row>
    <row r="160" spans="1:82" s="563" customFormat="1" ht="22.9" customHeight="1">
      <c r="A160" s="2241"/>
      <c r="B160" s="2242" t="s">
        <v>4</v>
      </c>
      <c r="C160" s="2243"/>
      <c r="D160" s="2244"/>
      <c r="E160" s="2243">
        <v>-2.1</v>
      </c>
      <c r="F160" s="2245">
        <v>2.1</v>
      </c>
      <c r="G160" s="2243">
        <v>0</v>
      </c>
      <c r="H160" s="2246">
        <v>-2.1</v>
      </c>
      <c r="I160" s="2245">
        <v>2.1</v>
      </c>
      <c r="J160" s="2247">
        <v>-2.1</v>
      </c>
      <c r="K160" s="2248" t="s">
        <v>3521</v>
      </c>
      <c r="L160" s="2248" t="s">
        <v>3521</v>
      </c>
      <c r="M160" s="2248" t="s">
        <v>3521</v>
      </c>
      <c r="N160" s="2249" t="s">
        <v>3521</v>
      </c>
      <c r="O160" s="2250"/>
      <c r="P160" s="2251"/>
      <c r="Q160" s="2252"/>
      <c r="R160" s="2250"/>
      <c r="S160" s="2253">
        <v>10</v>
      </c>
      <c r="T160" s="2161">
        <v>0</v>
      </c>
      <c r="U160" s="2245">
        <v>1</v>
      </c>
      <c r="V160" s="2245">
        <v>15</v>
      </c>
      <c r="W160" s="2245">
        <v>128.45752167880846</v>
      </c>
      <c r="X160" s="2245">
        <v>3.6248559335500571E-2</v>
      </c>
      <c r="Y160" s="2245">
        <v>0</v>
      </c>
      <c r="Z160" s="2161">
        <v>0</v>
      </c>
      <c r="AA160" s="2245" t="e">
        <v>#DIV/0!</v>
      </c>
      <c r="AB160" s="2245">
        <v>2.2000000000000002</v>
      </c>
      <c r="AC160" s="2245">
        <v>0</v>
      </c>
      <c r="AD160" s="2245" t="s">
        <v>1240</v>
      </c>
      <c r="AE160" s="2254">
        <v>1.4999999999999999E-2</v>
      </c>
      <c r="AF160" s="2255">
        <v>1</v>
      </c>
      <c r="AG160" s="2245">
        <v>0.6</v>
      </c>
      <c r="AH160" s="2245"/>
      <c r="AJ160" s="2256"/>
      <c r="AK160" s="2257">
        <v>0</v>
      </c>
      <c r="AL160" s="2245">
        <v>0</v>
      </c>
      <c r="AM160" s="2245">
        <v>0</v>
      </c>
      <c r="AN160" s="2245" t="e">
        <v>#DIV/0!</v>
      </c>
      <c r="AO160" s="2245" t="e">
        <v>#DIV/0!</v>
      </c>
      <c r="AP160" s="2258">
        <v>0</v>
      </c>
      <c r="AQ160" s="2259"/>
      <c r="AR160" s="2259">
        <v>0</v>
      </c>
      <c r="AS160" s="2260" t="s">
        <v>3521</v>
      </c>
      <c r="AT160" s="2259"/>
      <c r="AU160" s="2259"/>
      <c r="AV160" s="2259"/>
      <c r="AW160" s="2259">
        <v>0</v>
      </c>
      <c r="AX160" s="2261">
        <v>10000</v>
      </c>
      <c r="AY160" s="2261">
        <v>10000</v>
      </c>
      <c r="AZ160" s="2261">
        <v>10000</v>
      </c>
      <c r="BA160" s="2261">
        <v>15</v>
      </c>
      <c r="BB160" s="2261">
        <v>0</v>
      </c>
      <c r="BC160" s="2261">
        <v>0</v>
      </c>
      <c r="BD160" s="2229">
        <v>0</v>
      </c>
      <c r="BE160" s="2229">
        <v>0.114396</v>
      </c>
      <c r="BF160" s="2229">
        <v>0</v>
      </c>
      <c r="BG160" s="2229">
        <v>0</v>
      </c>
      <c r="BH160" s="2229">
        <v>0</v>
      </c>
      <c r="BI160" s="2229">
        <v>0</v>
      </c>
      <c r="BJ160" s="2229">
        <v>0</v>
      </c>
      <c r="BK160" s="2262">
        <v>0</v>
      </c>
      <c r="BL160" s="2262">
        <v>0</v>
      </c>
      <c r="BM160" s="2262">
        <v>-2.1</v>
      </c>
      <c r="BN160" s="2262">
        <v>2.1</v>
      </c>
      <c r="BO160" s="2262">
        <v>0</v>
      </c>
      <c r="BP160" s="2262">
        <v>0</v>
      </c>
      <c r="BQ160" s="2262">
        <v>0</v>
      </c>
      <c r="BR160" s="2262">
        <v>0</v>
      </c>
      <c r="BS160" s="2262">
        <v>0</v>
      </c>
      <c r="BT160" s="2262">
        <v>0</v>
      </c>
      <c r="BU160" s="2262">
        <v>0</v>
      </c>
      <c r="BV160" s="2262">
        <v>0</v>
      </c>
      <c r="BW160" s="2262">
        <v>0</v>
      </c>
      <c r="BX160" s="2263">
        <v>1</v>
      </c>
      <c r="BY160" s="2262">
        <v>0.52</v>
      </c>
      <c r="BZ160" s="2262">
        <v>0.18000000000000016</v>
      </c>
      <c r="CA160" s="2064" t="s">
        <v>3524</v>
      </c>
      <c r="CC160" s="563">
        <v>2359.5299329060649</v>
      </c>
      <c r="CD160" s="563">
        <v>2359.5299329060649</v>
      </c>
    </row>
    <row r="161" spans="1:82" s="563" customFormat="1" ht="22.9" customHeight="1">
      <c r="A161" s="2241"/>
      <c r="B161" s="2242" t="s">
        <v>4</v>
      </c>
      <c r="C161" s="2243"/>
      <c r="D161" s="2244"/>
      <c r="E161" s="2243">
        <v>-2.1</v>
      </c>
      <c r="F161" s="2245">
        <v>2.1</v>
      </c>
      <c r="G161" s="2243">
        <v>0</v>
      </c>
      <c r="H161" s="2246">
        <v>-2.1</v>
      </c>
      <c r="I161" s="2245">
        <v>2.1</v>
      </c>
      <c r="J161" s="2247">
        <v>-2.1</v>
      </c>
      <c r="K161" s="2248" t="s">
        <v>3521</v>
      </c>
      <c r="L161" s="2248" t="s">
        <v>3521</v>
      </c>
      <c r="M161" s="2248" t="s">
        <v>3521</v>
      </c>
      <c r="N161" s="2249" t="s">
        <v>3521</v>
      </c>
      <c r="O161" s="2250"/>
      <c r="P161" s="2251"/>
      <c r="Q161" s="2252"/>
      <c r="R161" s="2250"/>
      <c r="S161" s="2253">
        <v>10</v>
      </c>
      <c r="T161" s="2161">
        <v>0</v>
      </c>
      <c r="U161" s="2245">
        <v>1</v>
      </c>
      <c r="V161" s="2245">
        <v>15</v>
      </c>
      <c r="W161" s="2245">
        <v>128.45752167880846</v>
      </c>
      <c r="X161" s="2245">
        <v>3.6248559335500571E-2</v>
      </c>
      <c r="Y161" s="2245">
        <v>0</v>
      </c>
      <c r="Z161" s="2161">
        <v>0</v>
      </c>
      <c r="AA161" s="2245" t="e">
        <v>#DIV/0!</v>
      </c>
      <c r="AB161" s="2245">
        <v>2.2000000000000002</v>
      </c>
      <c r="AC161" s="2245">
        <v>0</v>
      </c>
      <c r="AD161" s="2245" t="s">
        <v>1240</v>
      </c>
      <c r="AE161" s="2254">
        <v>1.4999999999999999E-2</v>
      </c>
      <c r="AF161" s="2255">
        <v>1</v>
      </c>
      <c r="AG161" s="2245">
        <v>0.6</v>
      </c>
      <c r="AH161" s="2245"/>
      <c r="AJ161" s="2256"/>
      <c r="AK161" s="2257">
        <v>0</v>
      </c>
      <c r="AL161" s="2245">
        <v>0</v>
      </c>
      <c r="AM161" s="2245">
        <v>0</v>
      </c>
      <c r="AN161" s="2245" t="e">
        <v>#DIV/0!</v>
      </c>
      <c r="AO161" s="2245" t="e">
        <v>#DIV/0!</v>
      </c>
      <c r="AP161" s="2258">
        <v>0</v>
      </c>
      <c r="AQ161" s="2259"/>
      <c r="AR161" s="2259">
        <v>0</v>
      </c>
      <c r="AS161" s="2260" t="s">
        <v>3521</v>
      </c>
      <c r="AT161" s="2259"/>
      <c r="AU161" s="2259"/>
      <c r="AV161" s="2259"/>
      <c r="AW161" s="2259">
        <v>0</v>
      </c>
      <c r="AX161" s="2261">
        <v>10000</v>
      </c>
      <c r="AY161" s="2261">
        <v>10000</v>
      </c>
      <c r="AZ161" s="2261">
        <v>10000</v>
      </c>
      <c r="BA161" s="2261">
        <v>15</v>
      </c>
      <c r="BB161" s="2261">
        <v>0</v>
      </c>
      <c r="BC161" s="2261">
        <v>0</v>
      </c>
      <c r="BD161" s="2229">
        <v>0</v>
      </c>
      <c r="BE161" s="2229">
        <v>0.114396</v>
      </c>
      <c r="BF161" s="2229">
        <v>0</v>
      </c>
      <c r="BG161" s="2229">
        <v>0</v>
      </c>
      <c r="BH161" s="2229">
        <v>0</v>
      </c>
      <c r="BI161" s="2229">
        <v>0</v>
      </c>
      <c r="BJ161" s="2229">
        <v>0</v>
      </c>
      <c r="BK161" s="2262">
        <v>0</v>
      </c>
      <c r="BL161" s="2262">
        <v>0</v>
      </c>
      <c r="BM161" s="2262">
        <v>-2.1</v>
      </c>
      <c r="BN161" s="2262">
        <v>2.1</v>
      </c>
      <c r="BO161" s="2262">
        <v>0</v>
      </c>
      <c r="BP161" s="2262">
        <v>0</v>
      </c>
      <c r="BQ161" s="2262">
        <v>0</v>
      </c>
      <c r="BR161" s="2262">
        <v>0</v>
      </c>
      <c r="BS161" s="2262">
        <v>0</v>
      </c>
      <c r="BT161" s="2262">
        <v>0</v>
      </c>
      <c r="BU161" s="2262">
        <v>0</v>
      </c>
      <c r="BV161" s="2262">
        <v>0</v>
      </c>
      <c r="BW161" s="2262">
        <v>0</v>
      </c>
      <c r="BX161" s="2263">
        <v>1</v>
      </c>
      <c r="BY161" s="2262">
        <v>0.52</v>
      </c>
      <c r="BZ161" s="2262">
        <v>0.18000000000000016</v>
      </c>
      <c r="CA161" s="2064" t="s">
        <v>3524</v>
      </c>
      <c r="CC161" s="563">
        <v>2359.5299329060649</v>
      </c>
      <c r="CD161" s="563">
        <v>2359.5299329060649</v>
      </c>
    </row>
    <row r="162" spans="1:82" s="563" customFormat="1" ht="22.9" customHeight="1">
      <c r="A162" s="2241"/>
      <c r="B162" s="2242" t="s">
        <v>4</v>
      </c>
      <c r="C162" s="2243"/>
      <c r="D162" s="2244"/>
      <c r="E162" s="2243">
        <v>-2.1</v>
      </c>
      <c r="F162" s="2245">
        <v>2.1</v>
      </c>
      <c r="G162" s="2243">
        <v>0</v>
      </c>
      <c r="H162" s="2246">
        <v>-2.1</v>
      </c>
      <c r="I162" s="2245">
        <v>2.1</v>
      </c>
      <c r="J162" s="2247">
        <v>-2.1</v>
      </c>
      <c r="K162" s="2248" t="s">
        <v>3521</v>
      </c>
      <c r="L162" s="2248" t="s">
        <v>3521</v>
      </c>
      <c r="M162" s="2248" t="s">
        <v>3521</v>
      </c>
      <c r="N162" s="2249" t="s">
        <v>3521</v>
      </c>
      <c r="O162" s="2250"/>
      <c r="P162" s="2251"/>
      <c r="Q162" s="2252"/>
      <c r="R162" s="2250"/>
      <c r="S162" s="2253">
        <v>10</v>
      </c>
      <c r="T162" s="2161">
        <v>0</v>
      </c>
      <c r="U162" s="2245">
        <v>1</v>
      </c>
      <c r="V162" s="2245">
        <v>15</v>
      </c>
      <c r="W162" s="2245">
        <v>128.45752167880846</v>
      </c>
      <c r="X162" s="2245">
        <v>3.6248559335500571E-2</v>
      </c>
      <c r="Y162" s="2245">
        <v>0</v>
      </c>
      <c r="Z162" s="2161">
        <v>0</v>
      </c>
      <c r="AA162" s="2245" t="e">
        <v>#DIV/0!</v>
      </c>
      <c r="AB162" s="2245">
        <v>2.2000000000000002</v>
      </c>
      <c r="AC162" s="2245">
        <v>0</v>
      </c>
      <c r="AD162" s="2245" t="s">
        <v>1240</v>
      </c>
      <c r="AE162" s="2254">
        <v>1.4999999999999999E-2</v>
      </c>
      <c r="AF162" s="2255">
        <v>1</v>
      </c>
      <c r="AG162" s="2245">
        <v>0.6</v>
      </c>
      <c r="AH162" s="2245"/>
      <c r="AJ162" s="2256"/>
      <c r="AK162" s="2257">
        <v>0</v>
      </c>
      <c r="AL162" s="2245">
        <v>0</v>
      </c>
      <c r="AM162" s="2245">
        <v>0</v>
      </c>
      <c r="AN162" s="2245" t="e">
        <v>#DIV/0!</v>
      </c>
      <c r="AO162" s="2245" t="e">
        <v>#DIV/0!</v>
      </c>
      <c r="AP162" s="2258">
        <v>0</v>
      </c>
      <c r="AQ162" s="2259"/>
      <c r="AR162" s="2259">
        <v>0</v>
      </c>
      <c r="AS162" s="2260" t="s">
        <v>3521</v>
      </c>
      <c r="AT162" s="2259"/>
      <c r="AU162" s="2259"/>
      <c r="AV162" s="2259"/>
      <c r="AW162" s="2259">
        <v>0</v>
      </c>
      <c r="AX162" s="2261">
        <v>10000</v>
      </c>
      <c r="AY162" s="2261">
        <v>10000</v>
      </c>
      <c r="AZ162" s="2261">
        <v>10000</v>
      </c>
      <c r="BA162" s="2261">
        <v>15</v>
      </c>
      <c r="BB162" s="2261">
        <v>0</v>
      </c>
      <c r="BC162" s="2261">
        <v>0</v>
      </c>
      <c r="BD162" s="2229">
        <v>0</v>
      </c>
      <c r="BE162" s="2229">
        <v>0.114396</v>
      </c>
      <c r="BF162" s="2229">
        <v>0</v>
      </c>
      <c r="BG162" s="2229">
        <v>0</v>
      </c>
      <c r="BH162" s="2229">
        <v>0</v>
      </c>
      <c r="BI162" s="2229">
        <v>0</v>
      </c>
      <c r="BJ162" s="2229">
        <v>0</v>
      </c>
      <c r="BK162" s="2262">
        <v>0</v>
      </c>
      <c r="BL162" s="2262">
        <v>0</v>
      </c>
      <c r="BM162" s="2262">
        <v>-2.1</v>
      </c>
      <c r="BN162" s="2262">
        <v>2.1</v>
      </c>
      <c r="BO162" s="2262">
        <v>0</v>
      </c>
      <c r="BP162" s="2262">
        <v>0</v>
      </c>
      <c r="BQ162" s="2262">
        <v>0</v>
      </c>
      <c r="BR162" s="2262">
        <v>0</v>
      </c>
      <c r="BS162" s="2262">
        <v>0</v>
      </c>
      <c r="BT162" s="2262">
        <v>0</v>
      </c>
      <c r="BU162" s="2262">
        <v>0</v>
      </c>
      <c r="BV162" s="2262">
        <v>0</v>
      </c>
      <c r="BW162" s="2262">
        <v>0</v>
      </c>
      <c r="BX162" s="2263">
        <v>1</v>
      </c>
      <c r="BY162" s="2262">
        <v>0.52</v>
      </c>
      <c r="BZ162" s="2262">
        <v>0.18000000000000016</v>
      </c>
      <c r="CA162" s="2064" t="s">
        <v>3524</v>
      </c>
      <c r="CC162" s="563">
        <v>2359.5299329060649</v>
      </c>
      <c r="CD162" s="563">
        <v>2359.5299329060649</v>
      </c>
    </row>
    <row r="163" spans="1:82" s="563" customFormat="1" ht="22.9" customHeight="1">
      <c r="A163" s="2241"/>
      <c r="B163" s="2242" t="s">
        <v>4</v>
      </c>
      <c r="C163" s="2243"/>
      <c r="D163" s="2244"/>
      <c r="E163" s="2243">
        <v>-2.1</v>
      </c>
      <c r="F163" s="2245">
        <v>2.1</v>
      </c>
      <c r="G163" s="2243">
        <v>0</v>
      </c>
      <c r="H163" s="2246">
        <v>-2.1</v>
      </c>
      <c r="I163" s="2245">
        <v>2.1</v>
      </c>
      <c r="J163" s="2247">
        <v>-2.1</v>
      </c>
      <c r="K163" s="2248" t="s">
        <v>3521</v>
      </c>
      <c r="L163" s="2248" t="s">
        <v>3521</v>
      </c>
      <c r="M163" s="2248" t="s">
        <v>3521</v>
      </c>
      <c r="N163" s="2249" t="s">
        <v>3521</v>
      </c>
      <c r="O163" s="2250"/>
      <c r="P163" s="2251"/>
      <c r="Q163" s="2252"/>
      <c r="R163" s="2250"/>
      <c r="S163" s="2253">
        <v>10</v>
      </c>
      <c r="T163" s="2161">
        <v>0</v>
      </c>
      <c r="U163" s="2245">
        <v>1</v>
      </c>
      <c r="V163" s="2245">
        <v>15</v>
      </c>
      <c r="W163" s="2245">
        <v>128.45752167880846</v>
      </c>
      <c r="X163" s="2245">
        <v>3.6248559335500571E-2</v>
      </c>
      <c r="Y163" s="2245">
        <v>0</v>
      </c>
      <c r="Z163" s="2161">
        <v>0</v>
      </c>
      <c r="AA163" s="2245" t="e">
        <v>#DIV/0!</v>
      </c>
      <c r="AB163" s="2245">
        <v>2.2000000000000002</v>
      </c>
      <c r="AC163" s="2245">
        <v>0</v>
      </c>
      <c r="AD163" s="2245" t="s">
        <v>1240</v>
      </c>
      <c r="AE163" s="2254">
        <v>1.4999999999999999E-2</v>
      </c>
      <c r="AF163" s="2255">
        <v>1</v>
      </c>
      <c r="AG163" s="2245">
        <v>0.6</v>
      </c>
      <c r="AH163" s="2245"/>
      <c r="AJ163" s="2256"/>
      <c r="AK163" s="2257">
        <v>0</v>
      </c>
      <c r="AL163" s="2245">
        <v>0</v>
      </c>
      <c r="AM163" s="2245">
        <v>0</v>
      </c>
      <c r="AN163" s="2245" t="e">
        <v>#DIV/0!</v>
      </c>
      <c r="AO163" s="2245" t="e">
        <v>#DIV/0!</v>
      </c>
      <c r="AP163" s="2258">
        <v>0</v>
      </c>
      <c r="AQ163" s="2259"/>
      <c r="AR163" s="2259">
        <v>0</v>
      </c>
      <c r="AS163" s="2260" t="s">
        <v>3521</v>
      </c>
      <c r="AT163" s="2259"/>
      <c r="AU163" s="2259"/>
      <c r="AV163" s="2259"/>
      <c r="AW163" s="2259">
        <v>0</v>
      </c>
      <c r="AX163" s="2261">
        <v>10000</v>
      </c>
      <c r="AY163" s="2261">
        <v>10000</v>
      </c>
      <c r="AZ163" s="2261">
        <v>10000</v>
      </c>
      <c r="BA163" s="2261">
        <v>15</v>
      </c>
      <c r="BB163" s="2261">
        <v>0</v>
      </c>
      <c r="BC163" s="2261">
        <v>0</v>
      </c>
      <c r="BD163" s="2229">
        <v>0</v>
      </c>
      <c r="BE163" s="2229">
        <v>0.114396</v>
      </c>
      <c r="BF163" s="2229">
        <v>0</v>
      </c>
      <c r="BG163" s="2229">
        <v>0</v>
      </c>
      <c r="BH163" s="2229">
        <v>0</v>
      </c>
      <c r="BI163" s="2229">
        <v>0</v>
      </c>
      <c r="BJ163" s="2229">
        <v>0</v>
      </c>
      <c r="BK163" s="2262">
        <v>0</v>
      </c>
      <c r="BL163" s="2262">
        <v>0</v>
      </c>
      <c r="BM163" s="2262">
        <v>-2.1</v>
      </c>
      <c r="BN163" s="2262">
        <v>2.1</v>
      </c>
      <c r="BO163" s="2262">
        <v>0</v>
      </c>
      <c r="BP163" s="2262">
        <v>0</v>
      </c>
      <c r="BQ163" s="2262">
        <v>0</v>
      </c>
      <c r="BR163" s="2262">
        <v>0</v>
      </c>
      <c r="BS163" s="2262">
        <v>0</v>
      </c>
      <c r="BT163" s="2262">
        <v>0</v>
      </c>
      <c r="BU163" s="2262">
        <v>0</v>
      </c>
      <c r="BV163" s="2262">
        <v>0</v>
      </c>
      <c r="BW163" s="2262">
        <v>0</v>
      </c>
      <c r="BX163" s="2263">
        <v>1</v>
      </c>
      <c r="BY163" s="2262">
        <v>0.52</v>
      </c>
      <c r="BZ163" s="2262">
        <v>0.18000000000000016</v>
      </c>
      <c r="CA163" s="2064" t="s">
        <v>3524</v>
      </c>
      <c r="CC163" s="563">
        <v>2359.5299329060649</v>
      </c>
      <c r="CD163" s="563">
        <v>2359.5299329060649</v>
      </c>
    </row>
    <row r="164" spans="1:82" s="563" customFormat="1" ht="22.9" customHeight="1">
      <c r="A164" s="2241"/>
      <c r="B164" s="2242" t="s">
        <v>4</v>
      </c>
      <c r="C164" s="2243"/>
      <c r="D164" s="2244"/>
      <c r="E164" s="2243">
        <v>-2.1</v>
      </c>
      <c r="F164" s="2245">
        <v>2.1</v>
      </c>
      <c r="G164" s="2243">
        <v>0</v>
      </c>
      <c r="H164" s="2246">
        <v>-2.1</v>
      </c>
      <c r="I164" s="2245">
        <v>2.1</v>
      </c>
      <c r="J164" s="2247">
        <v>-2.1</v>
      </c>
      <c r="K164" s="2248" t="s">
        <v>3521</v>
      </c>
      <c r="L164" s="2248" t="s">
        <v>3521</v>
      </c>
      <c r="M164" s="2248" t="s">
        <v>3521</v>
      </c>
      <c r="N164" s="2249" t="s">
        <v>3521</v>
      </c>
      <c r="O164" s="2250"/>
      <c r="P164" s="2251"/>
      <c r="Q164" s="2252"/>
      <c r="R164" s="2250"/>
      <c r="S164" s="2253">
        <v>10</v>
      </c>
      <c r="T164" s="2161">
        <v>0</v>
      </c>
      <c r="U164" s="2245">
        <v>1</v>
      </c>
      <c r="V164" s="2245">
        <v>15</v>
      </c>
      <c r="W164" s="2245">
        <v>128.45752167880846</v>
      </c>
      <c r="X164" s="2245">
        <v>3.6248559335500571E-2</v>
      </c>
      <c r="Y164" s="2245">
        <v>0</v>
      </c>
      <c r="Z164" s="2161">
        <v>0</v>
      </c>
      <c r="AA164" s="2245" t="e">
        <v>#DIV/0!</v>
      </c>
      <c r="AB164" s="2245">
        <v>2.2000000000000002</v>
      </c>
      <c r="AC164" s="2245">
        <v>0</v>
      </c>
      <c r="AD164" s="2245" t="s">
        <v>1240</v>
      </c>
      <c r="AE164" s="2254">
        <v>1.4999999999999999E-2</v>
      </c>
      <c r="AF164" s="2255">
        <v>1</v>
      </c>
      <c r="AG164" s="2245">
        <v>0.6</v>
      </c>
      <c r="AH164" s="2245"/>
      <c r="AJ164" s="2256"/>
      <c r="AK164" s="2257">
        <v>0</v>
      </c>
      <c r="AL164" s="2245">
        <v>0</v>
      </c>
      <c r="AM164" s="2245">
        <v>0</v>
      </c>
      <c r="AN164" s="2245" t="e">
        <v>#DIV/0!</v>
      </c>
      <c r="AO164" s="2245" t="e">
        <v>#DIV/0!</v>
      </c>
      <c r="AP164" s="2258">
        <v>0</v>
      </c>
      <c r="AQ164" s="2259"/>
      <c r="AR164" s="2259">
        <v>0</v>
      </c>
      <c r="AS164" s="2260" t="s">
        <v>3521</v>
      </c>
      <c r="AT164" s="2259"/>
      <c r="AU164" s="2259"/>
      <c r="AV164" s="2259"/>
      <c r="AW164" s="2259">
        <v>0</v>
      </c>
      <c r="AX164" s="2261">
        <v>10000</v>
      </c>
      <c r="AY164" s="2261">
        <v>10000</v>
      </c>
      <c r="AZ164" s="2261">
        <v>10000</v>
      </c>
      <c r="BA164" s="2261">
        <v>15</v>
      </c>
      <c r="BB164" s="2261">
        <v>0</v>
      </c>
      <c r="BC164" s="2261">
        <v>0</v>
      </c>
      <c r="BD164" s="2229">
        <v>0</v>
      </c>
      <c r="BE164" s="2229">
        <v>0.114396</v>
      </c>
      <c r="BF164" s="2229">
        <v>0</v>
      </c>
      <c r="BG164" s="2229">
        <v>0</v>
      </c>
      <c r="BH164" s="2229">
        <v>0</v>
      </c>
      <c r="BI164" s="2229">
        <v>0</v>
      </c>
      <c r="BJ164" s="2229">
        <v>0</v>
      </c>
      <c r="BK164" s="2262">
        <v>0</v>
      </c>
      <c r="BL164" s="2262">
        <v>0</v>
      </c>
      <c r="BM164" s="2262">
        <v>-2.1</v>
      </c>
      <c r="BN164" s="2262">
        <v>2.1</v>
      </c>
      <c r="BO164" s="2262">
        <v>0</v>
      </c>
      <c r="BP164" s="2262">
        <v>0</v>
      </c>
      <c r="BQ164" s="2262">
        <v>0</v>
      </c>
      <c r="BR164" s="2262">
        <v>0</v>
      </c>
      <c r="BS164" s="2262">
        <v>0</v>
      </c>
      <c r="BT164" s="2262">
        <v>0</v>
      </c>
      <c r="BU164" s="2262">
        <v>0</v>
      </c>
      <c r="BV164" s="2262">
        <v>0</v>
      </c>
      <c r="BW164" s="2262">
        <v>0</v>
      </c>
      <c r="BX164" s="2263">
        <v>1</v>
      </c>
      <c r="BY164" s="2262">
        <v>0.52</v>
      </c>
      <c r="BZ164" s="2262">
        <v>0.18000000000000016</v>
      </c>
      <c r="CA164" s="2064" t="s">
        <v>3524</v>
      </c>
      <c r="CC164" s="563">
        <v>2359.5299329060649</v>
      </c>
      <c r="CD164" s="563">
        <v>2359.5299329060649</v>
      </c>
    </row>
    <row r="165" spans="1:82" s="563" customFormat="1" ht="22.9" customHeight="1">
      <c r="A165" s="2241"/>
      <c r="B165" s="2242" t="s">
        <v>4</v>
      </c>
      <c r="C165" s="2243"/>
      <c r="D165" s="2244"/>
      <c r="E165" s="2243">
        <v>-2.1</v>
      </c>
      <c r="F165" s="2245">
        <v>2.1</v>
      </c>
      <c r="G165" s="2243">
        <v>0</v>
      </c>
      <c r="H165" s="2246">
        <v>-2.1</v>
      </c>
      <c r="I165" s="2245">
        <v>2.1</v>
      </c>
      <c r="J165" s="2247">
        <v>-2.1</v>
      </c>
      <c r="K165" s="2248" t="s">
        <v>3521</v>
      </c>
      <c r="L165" s="2248" t="s">
        <v>3521</v>
      </c>
      <c r="M165" s="2248" t="s">
        <v>3521</v>
      </c>
      <c r="N165" s="2249" t="s">
        <v>3521</v>
      </c>
      <c r="O165" s="2250"/>
      <c r="P165" s="2251"/>
      <c r="Q165" s="2252"/>
      <c r="R165" s="2250"/>
      <c r="S165" s="2253">
        <v>10</v>
      </c>
      <c r="T165" s="2161">
        <v>0</v>
      </c>
      <c r="U165" s="2245">
        <v>1</v>
      </c>
      <c r="V165" s="2245">
        <v>15</v>
      </c>
      <c r="W165" s="2245">
        <v>128.45752167880846</v>
      </c>
      <c r="X165" s="2245">
        <v>3.6248559335500571E-2</v>
      </c>
      <c r="Y165" s="2245">
        <v>0</v>
      </c>
      <c r="Z165" s="2161">
        <v>0</v>
      </c>
      <c r="AA165" s="2245" t="e">
        <v>#DIV/0!</v>
      </c>
      <c r="AB165" s="2245">
        <v>2.2000000000000002</v>
      </c>
      <c r="AC165" s="2245">
        <v>0</v>
      </c>
      <c r="AD165" s="2245" t="s">
        <v>1240</v>
      </c>
      <c r="AE165" s="2254">
        <v>1.4999999999999999E-2</v>
      </c>
      <c r="AF165" s="2255">
        <v>1</v>
      </c>
      <c r="AG165" s="2245">
        <v>0.6</v>
      </c>
      <c r="AH165" s="2245"/>
      <c r="AJ165" s="2256"/>
      <c r="AK165" s="2257">
        <v>0</v>
      </c>
      <c r="AL165" s="2245">
        <v>0</v>
      </c>
      <c r="AM165" s="2245">
        <v>0</v>
      </c>
      <c r="AN165" s="2245" t="e">
        <v>#DIV/0!</v>
      </c>
      <c r="AO165" s="2245" t="e">
        <v>#DIV/0!</v>
      </c>
      <c r="AP165" s="2258">
        <v>0</v>
      </c>
      <c r="AQ165" s="2259"/>
      <c r="AR165" s="2259">
        <v>0</v>
      </c>
      <c r="AS165" s="2260" t="s">
        <v>3521</v>
      </c>
      <c r="AT165" s="2259"/>
      <c r="AU165" s="2259"/>
      <c r="AV165" s="2259"/>
      <c r="AW165" s="2259">
        <v>0</v>
      </c>
      <c r="AX165" s="2261">
        <v>10000</v>
      </c>
      <c r="AY165" s="2261">
        <v>10000</v>
      </c>
      <c r="AZ165" s="2261">
        <v>10000</v>
      </c>
      <c r="BA165" s="2261">
        <v>15</v>
      </c>
      <c r="BB165" s="2261">
        <v>0</v>
      </c>
      <c r="BC165" s="2261">
        <v>0</v>
      </c>
      <c r="BD165" s="2229">
        <v>0</v>
      </c>
      <c r="BE165" s="2229">
        <v>0.114396</v>
      </c>
      <c r="BF165" s="2229">
        <v>0</v>
      </c>
      <c r="BG165" s="2229">
        <v>0</v>
      </c>
      <c r="BH165" s="2229">
        <v>0</v>
      </c>
      <c r="BI165" s="2229">
        <v>0</v>
      </c>
      <c r="BJ165" s="2229">
        <v>0</v>
      </c>
      <c r="BK165" s="2262">
        <v>0</v>
      </c>
      <c r="BL165" s="2262">
        <v>0</v>
      </c>
      <c r="BM165" s="2262">
        <v>-2.1</v>
      </c>
      <c r="BN165" s="2262">
        <v>2.1</v>
      </c>
      <c r="BO165" s="2262">
        <v>0</v>
      </c>
      <c r="BP165" s="2262">
        <v>0</v>
      </c>
      <c r="BQ165" s="2262">
        <v>0</v>
      </c>
      <c r="BR165" s="2262">
        <v>0</v>
      </c>
      <c r="BS165" s="2262">
        <v>0</v>
      </c>
      <c r="BT165" s="2262">
        <v>0</v>
      </c>
      <c r="BU165" s="2262">
        <v>0</v>
      </c>
      <c r="BV165" s="2262">
        <v>0</v>
      </c>
      <c r="BW165" s="2262">
        <v>0</v>
      </c>
      <c r="BX165" s="2263">
        <v>1</v>
      </c>
      <c r="BY165" s="2262">
        <v>0.52</v>
      </c>
      <c r="BZ165" s="2262">
        <v>0.18000000000000016</v>
      </c>
      <c r="CA165" s="2064" t="s">
        <v>3524</v>
      </c>
      <c r="CC165" s="563">
        <v>2359.5299329060649</v>
      </c>
      <c r="CD165" s="563">
        <v>2359.5299329060649</v>
      </c>
    </row>
    <row r="166" spans="1:82" s="563" customFormat="1" ht="22.9" customHeight="1">
      <c r="A166" s="2241"/>
      <c r="B166" s="2242" t="s">
        <v>4</v>
      </c>
      <c r="C166" s="2243"/>
      <c r="D166" s="2244"/>
      <c r="E166" s="2243">
        <v>-2.1</v>
      </c>
      <c r="F166" s="2245">
        <v>2.1</v>
      </c>
      <c r="G166" s="2243">
        <v>0</v>
      </c>
      <c r="H166" s="2246">
        <v>-2.1</v>
      </c>
      <c r="I166" s="2245">
        <v>2.1</v>
      </c>
      <c r="J166" s="2247">
        <v>-2.1</v>
      </c>
      <c r="K166" s="2248" t="s">
        <v>3521</v>
      </c>
      <c r="L166" s="2248" t="s">
        <v>3521</v>
      </c>
      <c r="M166" s="2248" t="s">
        <v>3521</v>
      </c>
      <c r="N166" s="2249" t="s">
        <v>3521</v>
      </c>
      <c r="O166" s="2250"/>
      <c r="P166" s="2251"/>
      <c r="Q166" s="2252"/>
      <c r="R166" s="2250"/>
      <c r="S166" s="2253">
        <v>10</v>
      </c>
      <c r="T166" s="2161">
        <v>0</v>
      </c>
      <c r="U166" s="2245">
        <v>1</v>
      </c>
      <c r="V166" s="2245">
        <v>15</v>
      </c>
      <c r="W166" s="2245">
        <v>128.45752167880846</v>
      </c>
      <c r="X166" s="2245">
        <v>3.6248559335500571E-2</v>
      </c>
      <c r="Y166" s="2245">
        <v>0</v>
      </c>
      <c r="Z166" s="2161">
        <v>0</v>
      </c>
      <c r="AA166" s="2245" t="e">
        <v>#DIV/0!</v>
      </c>
      <c r="AB166" s="2245">
        <v>2.2000000000000002</v>
      </c>
      <c r="AC166" s="2245">
        <v>0</v>
      </c>
      <c r="AD166" s="2245" t="s">
        <v>1240</v>
      </c>
      <c r="AE166" s="2254">
        <v>1.4999999999999999E-2</v>
      </c>
      <c r="AF166" s="2255">
        <v>1</v>
      </c>
      <c r="AG166" s="2245">
        <v>0.6</v>
      </c>
      <c r="AH166" s="2245"/>
      <c r="AJ166" s="2256"/>
      <c r="AK166" s="2257">
        <v>0</v>
      </c>
      <c r="AL166" s="2245">
        <v>0</v>
      </c>
      <c r="AM166" s="2245">
        <v>0</v>
      </c>
      <c r="AN166" s="2245" t="e">
        <v>#DIV/0!</v>
      </c>
      <c r="AO166" s="2245" t="e">
        <v>#DIV/0!</v>
      </c>
      <c r="AP166" s="2258">
        <v>0</v>
      </c>
      <c r="AQ166" s="2259"/>
      <c r="AR166" s="2259">
        <v>0</v>
      </c>
      <c r="AS166" s="2260" t="s">
        <v>3521</v>
      </c>
      <c r="AT166" s="2259"/>
      <c r="AU166" s="2259"/>
      <c r="AV166" s="2259"/>
      <c r="AW166" s="2259">
        <v>0</v>
      </c>
      <c r="AX166" s="2261">
        <v>10000</v>
      </c>
      <c r="AY166" s="2261">
        <v>10000</v>
      </c>
      <c r="AZ166" s="2261">
        <v>10000</v>
      </c>
      <c r="BA166" s="2261">
        <v>15</v>
      </c>
      <c r="BB166" s="2261">
        <v>0</v>
      </c>
      <c r="BC166" s="2261">
        <v>0</v>
      </c>
      <c r="BD166" s="2229">
        <v>0</v>
      </c>
      <c r="BE166" s="2229">
        <v>0.114396</v>
      </c>
      <c r="BF166" s="2229">
        <v>0</v>
      </c>
      <c r="BG166" s="2229">
        <v>0</v>
      </c>
      <c r="BH166" s="2229">
        <v>0</v>
      </c>
      <c r="BI166" s="2229">
        <v>0</v>
      </c>
      <c r="BJ166" s="2229">
        <v>0</v>
      </c>
      <c r="BK166" s="2262">
        <v>0</v>
      </c>
      <c r="BL166" s="2262">
        <v>0</v>
      </c>
      <c r="BM166" s="2262">
        <v>-2.1</v>
      </c>
      <c r="BN166" s="2262">
        <v>2.1</v>
      </c>
      <c r="BO166" s="2262">
        <v>0</v>
      </c>
      <c r="BP166" s="2262">
        <v>0</v>
      </c>
      <c r="BQ166" s="2262">
        <v>0</v>
      </c>
      <c r="BR166" s="2262">
        <v>0</v>
      </c>
      <c r="BS166" s="2262">
        <v>0</v>
      </c>
      <c r="BT166" s="2262">
        <v>0</v>
      </c>
      <c r="BU166" s="2262">
        <v>0</v>
      </c>
      <c r="BV166" s="2262">
        <v>0</v>
      </c>
      <c r="BW166" s="2262">
        <v>0</v>
      </c>
      <c r="BX166" s="2263">
        <v>1</v>
      </c>
      <c r="BY166" s="2262">
        <v>0.52</v>
      </c>
      <c r="BZ166" s="2262">
        <v>0.18000000000000016</v>
      </c>
      <c r="CA166" s="2064" t="s">
        <v>3524</v>
      </c>
      <c r="CC166" s="563">
        <v>2359.5299329060649</v>
      </c>
      <c r="CD166" s="563">
        <v>2359.5299329060649</v>
      </c>
    </row>
    <row r="167" spans="1:82" s="563" customFormat="1" ht="22.9" customHeight="1">
      <c r="A167" s="2241"/>
      <c r="B167" s="2242" t="s">
        <v>4</v>
      </c>
      <c r="C167" s="2243"/>
      <c r="D167" s="2244"/>
      <c r="E167" s="2243">
        <v>-2.1</v>
      </c>
      <c r="F167" s="2245">
        <v>2.1</v>
      </c>
      <c r="G167" s="2243">
        <v>0</v>
      </c>
      <c r="H167" s="2246">
        <v>-2.1</v>
      </c>
      <c r="I167" s="2245">
        <v>2.1</v>
      </c>
      <c r="J167" s="2247">
        <v>-2.1</v>
      </c>
      <c r="K167" s="2248" t="s">
        <v>3521</v>
      </c>
      <c r="L167" s="2248" t="s">
        <v>3521</v>
      </c>
      <c r="M167" s="2248" t="s">
        <v>3521</v>
      </c>
      <c r="N167" s="2249" t="s">
        <v>3521</v>
      </c>
      <c r="O167" s="2250"/>
      <c r="P167" s="2251"/>
      <c r="Q167" s="2252"/>
      <c r="R167" s="2250"/>
      <c r="S167" s="2253">
        <v>10</v>
      </c>
      <c r="T167" s="2161">
        <v>0</v>
      </c>
      <c r="U167" s="2245">
        <v>1</v>
      </c>
      <c r="V167" s="2245">
        <v>15</v>
      </c>
      <c r="W167" s="2245">
        <v>128.45752167880846</v>
      </c>
      <c r="X167" s="2245">
        <v>3.6248559335500571E-2</v>
      </c>
      <c r="Y167" s="2245">
        <v>0</v>
      </c>
      <c r="Z167" s="2161">
        <v>0</v>
      </c>
      <c r="AA167" s="2245" t="e">
        <v>#DIV/0!</v>
      </c>
      <c r="AB167" s="2245">
        <v>2.2000000000000002</v>
      </c>
      <c r="AC167" s="2245">
        <v>0</v>
      </c>
      <c r="AD167" s="2245" t="s">
        <v>1240</v>
      </c>
      <c r="AE167" s="2254">
        <v>1.4999999999999999E-2</v>
      </c>
      <c r="AF167" s="2255">
        <v>1</v>
      </c>
      <c r="AG167" s="2245">
        <v>0.6</v>
      </c>
      <c r="AH167" s="2245"/>
      <c r="AJ167" s="2256"/>
      <c r="AK167" s="2257">
        <v>0</v>
      </c>
      <c r="AL167" s="2245">
        <v>0</v>
      </c>
      <c r="AM167" s="2245">
        <v>0</v>
      </c>
      <c r="AN167" s="2245" t="e">
        <v>#DIV/0!</v>
      </c>
      <c r="AO167" s="2245" t="e">
        <v>#DIV/0!</v>
      </c>
      <c r="AP167" s="2258">
        <v>0</v>
      </c>
      <c r="AQ167" s="2259"/>
      <c r="AR167" s="2259">
        <v>0</v>
      </c>
      <c r="AS167" s="2260" t="s">
        <v>3521</v>
      </c>
      <c r="AT167" s="2259"/>
      <c r="AU167" s="2259"/>
      <c r="AV167" s="2259"/>
      <c r="AW167" s="2259">
        <v>0</v>
      </c>
      <c r="AX167" s="2261">
        <v>10000</v>
      </c>
      <c r="AY167" s="2261">
        <v>10000</v>
      </c>
      <c r="AZ167" s="2261">
        <v>10000</v>
      </c>
      <c r="BA167" s="2261">
        <v>15</v>
      </c>
      <c r="BB167" s="2261">
        <v>0</v>
      </c>
      <c r="BC167" s="2261">
        <v>0</v>
      </c>
      <c r="BD167" s="2229">
        <v>0</v>
      </c>
      <c r="BE167" s="2229">
        <v>0.114396</v>
      </c>
      <c r="BF167" s="2229">
        <v>0</v>
      </c>
      <c r="BG167" s="2229">
        <v>0</v>
      </c>
      <c r="BH167" s="2229">
        <v>0</v>
      </c>
      <c r="BI167" s="2229">
        <v>0</v>
      </c>
      <c r="BJ167" s="2229">
        <v>0</v>
      </c>
      <c r="BK167" s="2262">
        <v>0</v>
      </c>
      <c r="BL167" s="2262">
        <v>0</v>
      </c>
      <c r="BM167" s="2262">
        <v>-2.1</v>
      </c>
      <c r="BN167" s="2262">
        <v>2.1</v>
      </c>
      <c r="BO167" s="2262">
        <v>0</v>
      </c>
      <c r="BP167" s="2262">
        <v>0</v>
      </c>
      <c r="BQ167" s="2262">
        <v>0</v>
      </c>
      <c r="BR167" s="2262">
        <v>0</v>
      </c>
      <c r="BS167" s="2262">
        <v>0</v>
      </c>
      <c r="BT167" s="2262">
        <v>0</v>
      </c>
      <c r="BU167" s="2262">
        <v>0</v>
      </c>
      <c r="BV167" s="2262">
        <v>0</v>
      </c>
      <c r="BW167" s="2262">
        <v>0</v>
      </c>
      <c r="BX167" s="2263">
        <v>1</v>
      </c>
      <c r="BY167" s="2262">
        <v>0.52</v>
      </c>
      <c r="BZ167" s="2262">
        <v>0.18000000000000016</v>
      </c>
      <c r="CA167" s="2064" t="s">
        <v>3524</v>
      </c>
      <c r="CC167" s="563">
        <v>2359.5299329060649</v>
      </c>
      <c r="CD167" s="563">
        <v>2359.5299329060649</v>
      </c>
    </row>
    <row r="168" spans="1:82" s="563" customFormat="1" ht="22.9" customHeight="1">
      <c r="A168" s="2241"/>
      <c r="B168" s="2242" t="s">
        <v>4</v>
      </c>
      <c r="C168" s="2243"/>
      <c r="D168" s="2244"/>
      <c r="E168" s="2243">
        <v>-2.1</v>
      </c>
      <c r="F168" s="2245">
        <v>2.1</v>
      </c>
      <c r="G168" s="2243">
        <v>0</v>
      </c>
      <c r="H168" s="2246">
        <v>-2.1</v>
      </c>
      <c r="I168" s="2245">
        <v>2.1</v>
      </c>
      <c r="J168" s="2247">
        <v>-2.1</v>
      </c>
      <c r="K168" s="2248" t="s">
        <v>3521</v>
      </c>
      <c r="L168" s="2248" t="s">
        <v>3521</v>
      </c>
      <c r="M168" s="2248" t="s">
        <v>3521</v>
      </c>
      <c r="N168" s="2249" t="s">
        <v>3521</v>
      </c>
      <c r="O168" s="2250"/>
      <c r="P168" s="2251"/>
      <c r="Q168" s="2252"/>
      <c r="R168" s="2250"/>
      <c r="S168" s="2253">
        <v>10</v>
      </c>
      <c r="T168" s="2161">
        <v>0</v>
      </c>
      <c r="U168" s="2245">
        <v>1</v>
      </c>
      <c r="V168" s="2245">
        <v>15</v>
      </c>
      <c r="W168" s="2245">
        <v>128.45752167880846</v>
      </c>
      <c r="X168" s="2245">
        <v>3.6248559335500571E-2</v>
      </c>
      <c r="Y168" s="2245">
        <v>0</v>
      </c>
      <c r="Z168" s="2161">
        <v>0</v>
      </c>
      <c r="AA168" s="2245" t="e">
        <v>#DIV/0!</v>
      </c>
      <c r="AB168" s="2245">
        <v>2.2000000000000002</v>
      </c>
      <c r="AC168" s="2245">
        <v>0</v>
      </c>
      <c r="AD168" s="2245" t="s">
        <v>1240</v>
      </c>
      <c r="AE168" s="2254">
        <v>1.4999999999999999E-2</v>
      </c>
      <c r="AF168" s="2255">
        <v>1</v>
      </c>
      <c r="AG168" s="2245">
        <v>0.6</v>
      </c>
      <c r="AH168" s="2245"/>
      <c r="AJ168" s="2256"/>
      <c r="AK168" s="2257">
        <v>0</v>
      </c>
      <c r="AL168" s="2245">
        <v>0</v>
      </c>
      <c r="AM168" s="2245">
        <v>0</v>
      </c>
      <c r="AN168" s="2245" t="e">
        <v>#DIV/0!</v>
      </c>
      <c r="AO168" s="2245" t="e">
        <v>#DIV/0!</v>
      </c>
      <c r="AP168" s="2258">
        <v>0</v>
      </c>
      <c r="AQ168" s="2259"/>
      <c r="AR168" s="2259">
        <v>0</v>
      </c>
      <c r="AS168" s="2260" t="s">
        <v>3521</v>
      </c>
      <c r="AT168" s="2259"/>
      <c r="AU168" s="2259"/>
      <c r="AV168" s="2259"/>
      <c r="AW168" s="2259">
        <v>0</v>
      </c>
      <c r="AX168" s="2261">
        <v>10000</v>
      </c>
      <c r="AY168" s="2261">
        <v>10000</v>
      </c>
      <c r="AZ168" s="2261">
        <v>10000</v>
      </c>
      <c r="BA168" s="2261">
        <v>15</v>
      </c>
      <c r="BB168" s="2261">
        <v>0</v>
      </c>
      <c r="BC168" s="2261">
        <v>0</v>
      </c>
      <c r="BD168" s="2229">
        <v>0</v>
      </c>
      <c r="BE168" s="2229">
        <v>0.114396</v>
      </c>
      <c r="BF168" s="2229">
        <v>0</v>
      </c>
      <c r="BG168" s="2229">
        <v>0</v>
      </c>
      <c r="BH168" s="2229">
        <v>0</v>
      </c>
      <c r="BI168" s="2229">
        <v>0</v>
      </c>
      <c r="BJ168" s="2229">
        <v>0</v>
      </c>
      <c r="BK168" s="2262">
        <v>0</v>
      </c>
      <c r="BL168" s="2262">
        <v>0</v>
      </c>
      <c r="BM168" s="2262">
        <v>-2.1</v>
      </c>
      <c r="BN168" s="2262">
        <v>2.1</v>
      </c>
      <c r="BO168" s="2262">
        <v>0</v>
      </c>
      <c r="BP168" s="2262">
        <v>0</v>
      </c>
      <c r="BQ168" s="2262">
        <v>0</v>
      </c>
      <c r="BR168" s="2262">
        <v>0</v>
      </c>
      <c r="BS168" s="2262">
        <v>0</v>
      </c>
      <c r="BT168" s="2262">
        <v>0</v>
      </c>
      <c r="BU168" s="2262">
        <v>0</v>
      </c>
      <c r="BV168" s="2262">
        <v>0</v>
      </c>
      <c r="BW168" s="2262">
        <v>0</v>
      </c>
      <c r="BX168" s="2263">
        <v>1</v>
      </c>
      <c r="BY168" s="2262">
        <v>0.52</v>
      </c>
      <c r="BZ168" s="2262">
        <v>0.18000000000000016</v>
      </c>
      <c r="CA168" s="2064" t="s">
        <v>3524</v>
      </c>
      <c r="CC168" s="563">
        <v>2359.5299329060649</v>
      </c>
      <c r="CD168" s="563">
        <v>2359.5299329060649</v>
      </c>
    </row>
    <row r="169" spans="1:82" s="563" customFormat="1" ht="22.9" customHeight="1">
      <c r="A169" s="2241"/>
      <c r="B169" s="2242" t="s">
        <v>4</v>
      </c>
      <c r="C169" s="2243"/>
      <c r="D169" s="2244"/>
      <c r="E169" s="2243">
        <v>-2.1</v>
      </c>
      <c r="F169" s="2245">
        <v>2.1</v>
      </c>
      <c r="G169" s="2243">
        <v>0</v>
      </c>
      <c r="H169" s="2246">
        <v>-2.1</v>
      </c>
      <c r="I169" s="2245">
        <v>2.1</v>
      </c>
      <c r="J169" s="2247">
        <v>-2.1</v>
      </c>
      <c r="K169" s="2248" t="s">
        <v>3521</v>
      </c>
      <c r="L169" s="2248" t="s">
        <v>3521</v>
      </c>
      <c r="M169" s="2248" t="s">
        <v>3521</v>
      </c>
      <c r="N169" s="2249" t="s">
        <v>3521</v>
      </c>
      <c r="O169" s="2250"/>
      <c r="P169" s="2251"/>
      <c r="Q169" s="2252"/>
      <c r="R169" s="2250"/>
      <c r="S169" s="2253">
        <v>10</v>
      </c>
      <c r="T169" s="2161">
        <v>0</v>
      </c>
      <c r="U169" s="2245">
        <v>1</v>
      </c>
      <c r="V169" s="2245">
        <v>15</v>
      </c>
      <c r="W169" s="2245">
        <v>128.45752167880846</v>
      </c>
      <c r="X169" s="2245">
        <v>3.6248559335500571E-2</v>
      </c>
      <c r="Y169" s="2245">
        <v>0</v>
      </c>
      <c r="Z169" s="2161">
        <v>0</v>
      </c>
      <c r="AA169" s="2245" t="e">
        <v>#DIV/0!</v>
      </c>
      <c r="AB169" s="2245">
        <v>2.2000000000000002</v>
      </c>
      <c r="AC169" s="2245">
        <v>0</v>
      </c>
      <c r="AD169" s="2245" t="s">
        <v>1240</v>
      </c>
      <c r="AE169" s="2254">
        <v>1.4999999999999999E-2</v>
      </c>
      <c r="AF169" s="2255">
        <v>1</v>
      </c>
      <c r="AG169" s="2245">
        <v>0.6</v>
      </c>
      <c r="AH169" s="2245"/>
      <c r="AJ169" s="2256"/>
      <c r="AK169" s="2257">
        <v>0</v>
      </c>
      <c r="AL169" s="2245">
        <v>0</v>
      </c>
      <c r="AM169" s="2245">
        <v>0</v>
      </c>
      <c r="AN169" s="2245" t="e">
        <v>#DIV/0!</v>
      </c>
      <c r="AO169" s="2245" t="e">
        <v>#DIV/0!</v>
      </c>
      <c r="AP169" s="2258">
        <v>0</v>
      </c>
      <c r="AQ169" s="2259"/>
      <c r="AR169" s="2259">
        <v>0</v>
      </c>
      <c r="AS169" s="2260" t="s">
        <v>3521</v>
      </c>
      <c r="AT169" s="2259"/>
      <c r="AU169" s="2259"/>
      <c r="AV169" s="2259"/>
      <c r="AW169" s="2259">
        <v>0</v>
      </c>
      <c r="AX169" s="2261">
        <v>10000</v>
      </c>
      <c r="AY169" s="2261">
        <v>10000</v>
      </c>
      <c r="AZ169" s="2261">
        <v>10000</v>
      </c>
      <c r="BA169" s="2261">
        <v>15</v>
      </c>
      <c r="BB169" s="2261">
        <v>0</v>
      </c>
      <c r="BC169" s="2261">
        <v>0</v>
      </c>
      <c r="BD169" s="2229">
        <v>0</v>
      </c>
      <c r="BE169" s="2229">
        <v>0.114396</v>
      </c>
      <c r="BF169" s="2229">
        <v>0</v>
      </c>
      <c r="BG169" s="2229">
        <v>0</v>
      </c>
      <c r="BH169" s="2229">
        <v>0</v>
      </c>
      <c r="BI169" s="2229">
        <v>0</v>
      </c>
      <c r="BJ169" s="2229">
        <v>0</v>
      </c>
      <c r="BK169" s="2262">
        <v>0</v>
      </c>
      <c r="BL169" s="2262">
        <v>0</v>
      </c>
      <c r="BM169" s="2262">
        <v>-2.1</v>
      </c>
      <c r="BN169" s="2262">
        <v>2.1</v>
      </c>
      <c r="BO169" s="2262">
        <v>0</v>
      </c>
      <c r="BP169" s="2262">
        <v>0</v>
      </c>
      <c r="BQ169" s="2262">
        <v>0</v>
      </c>
      <c r="BR169" s="2262">
        <v>0</v>
      </c>
      <c r="BS169" s="2262">
        <v>0</v>
      </c>
      <c r="BT169" s="2262">
        <v>0</v>
      </c>
      <c r="BU169" s="2262">
        <v>0</v>
      </c>
      <c r="BV169" s="2262">
        <v>0</v>
      </c>
      <c r="BW169" s="2262">
        <v>0</v>
      </c>
      <c r="BX169" s="2263">
        <v>1</v>
      </c>
      <c r="BY169" s="2262">
        <v>0.52</v>
      </c>
      <c r="BZ169" s="2262">
        <v>0.18000000000000016</v>
      </c>
      <c r="CA169" s="2064" t="s">
        <v>3524</v>
      </c>
      <c r="CC169" s="563">
        <v>2359.5299329060649</v>
      </c>
      <c r="CD169" s="563">
        <v>2359.5299329060649</v>
      </c>
    </row>
    <row r="170" spans="1:82" s="563" customFormat="1" ht="22.9" customHeight="1">
      <c r="A170" s="2241"/>
      <c r="B170" s="2242" t="s">
        <v>4</v>
      </c>
      <c r="C170" s="2243"/>
      <c r="D170" s="2244"/>
      <c r="E170" s="2243">
        <v>-2.1</v>
      </c>
      <c r="F170" s="2245">
        <v>2.1</v>
      </c>
      <c r="G170" s="2243">
        <v>0</v>
      </c>
      <c r="H170" s="2246">
        <v>-2.1</v>
      </c>
      <c r="I170" s="2245">
        <v>2.1</v>
      </c>
      <c r="J170" s="2247">
        <v>-2.1</v>
      </c>
      <c r="K170" s="2248" t="s">
        <v>3521</v>
      </c>
      <c r="L170" s="2248" t="s">
        <v>3521</v>
      </c>
      <c r="M170" s="2248" t="s">
        <v>3521</v>
      </c>
      <c r="N170" s="2249" t="s">
        <v>3521</v>
      </c>
      <c r="O170" s="2250"/>
      <c r="P170" s="2251"/>
      <c r="Q170" s="2252"/>
      <c r="R170" s="2250"/>
      <c r="S170" s="2253">
        <v>10</v>
      </c>
      <c r="T170" s="2161">
        <v>0</v>
      </c>
      <c r="U170" s="2245">
        <v>1</v>
      </c>
      <c r="V170" s="2245">
        <v>15</v>
      </c>
      <c r="W170" s="2245">
        <v>128.45752167880846</v>
      </c>
      <c r="X170" s="2245">
        <v>3.6248559335500571E-2</v>
      </c>
      <c r="Y170" s="2245">
        <v>0</v>
      </c>
      <c r="Z170" s="2161">
        <v>0</v>
      </c>
      <c r="AA170" s="2245" t="e">
        <v>#DIV/0!</v>
      </c>
      <c r="AB170" s="2245">
        <v>2.2000000000000002</v>
      </c>
      <c r="AC170" s="2245">
        <v>0</v>
      </c>
      <c r="AD170" s="2245" t="s">
        <v>1240</v>
      </c>
      <c r="AE170" s="2254">
        <v>1.4999999999999999E-2</v>
      </c>
      <c r="AF170" s="2255">
        <v>1</v>
      </c>
      <c r="AG170" s="2245">
        <v>0.6</v>
      </c>
      <c r="AH170" s="2245"/>
      <c r="AJ170" s="2256"/>
      <c r="AK170" s="2257">
        <v>0</v>
      </c>
      <c r="AL170" s="2245">
        <v>0</v>
      </c>
      <c r="AM170" s="2245">
        <v>0</v>
      </c>
      <c r="AN170" s="2245" t="e">
        <v>#DIV/0!</v>
      </c>
      <c r="AO170" s="2245" t="e">
        <v>#DIV/0!</v>
      </c>
      <c r="AP170" s="2258">
        <v>0</v>
      </c>
      <c r="AQ170" s="2259"/>
      <c r="AR170" s="2259">
        <v>0</v>
      </c>
      <c r="AS170" s="2260" t="s">
        <v>3521</v>
      </c>
      <c r="AT170" s="2259"/>
      <c r="AU170" s="2259"/>
      <c r="AV170" s="2259"/>
      <c r="AW170" s="2259">
        <v>0</v>
      </c>
      <c r="AX170" s="2261">
        <v>10000</v>
      </c>
      <c r="AY170" s="2261">
        <v>10000</v>
      </c>
      <c r="AZ170" s="2261">
        <v>10000</v>
      </c>
      <c r="BA170" s="2261">
        <v>15</v>
      </c>
      <c r="BB170" s="2261">
        <v>0</v>
      </c>
      <c r="BC170" s="2261">
        <v>0</v>
      </c>
      <c r="BD170" s="2229">
        <v>0</v>
      </c>
      <c r="BE170" s="2229">
        <v>0.114396</v>
      </c>
      <c r="BF170" s="2229">
        <v>0</v>
      </c>
      <c r="BG170" s="2229">
        <v>0</v>
      </c>
      <c r="BH170" s="2229">
        <v>0</v>
      </c>
      <c r="BI170" s="2229">
        <v>0</v>
      </c>
      <c r="BJ170" s="2229">
        <v>0</v>
      </c>
      <c r="BK170" s="2262">
        <v>0</v>
      </c>
      <c r="BL170" s="2262">
        <v>0</v>
      </c>
      <c r="BM170" s="2262">
        <v>-2.1</v>
      </c>
      <c r="BN170" s="2262">
        <v>2.1</v>
      </c>
      <c r="BO170" s="2262">
        <v>0</v>
      </c>
      <c r="BP170" s="2262">
        <v>0</v>
      </c>
      <c r="BQ170" s="2262">
        <v>0</v>
      </c>
      <c r="BR170" s="2262">
        <v>0</v>
      </c>
      <c r="BS170" s="2262">
        <v>0</v>
      </c>
      <c r="BT170" s="2262">
        <v>0</v>
      </c>
      <c r="BU170" s="2262">
        <v>0</v>
      </c>
      <c r="BV170" s="2262">
        <v>0</v>
      </c>
      <c r="BW170" s="2262">
        <v>0</v>
      </c>
      <c r="BX170" s="2263">
        <v>1</v>
      </c>
      <c r="BY170" s="2262">
        <v>0.52</v>
      </c>
      <c r="BZ170" s="2262">
        <v>0.18000000000000016</v>
      </c>
      <c r="CA170" s="2064" t="s">
        <v>3524</v>
      </c>
      <c r="CC170" s="563">
        <v>2359.5299329060649</v>
      </c>
      <c r="CD170" s="563">
        <v>2359.5299329060649</v>
      </c>
    </row>
    <row r="171" spans="1:82" s="563" customFormat="1" ht="22.9" customHeight="1">
      <c r="A171" s="2241"/>
      <c r="B171" s="2242" t="s">
        <v>4</v>
      </c>
      <c r="C171" s="2243"/>
      <c r="D171" s="2244"/>
      <c r="E171" s="2243">
        <v>-2.1</v>
      </c>
      <c r="F171" s="2245">
        <v>2.1</v>
      </c>
      <c r="G171" s="2243">
        <v>0</v>
      </c>
      <c r="H171" s="2246">
        <v>-2.1</v>
      </c>
      <c r="I171" s="2245">
        <v>2.1</v>
      </c>
      <c r="J171" s="2247">
        <v>-2.1</v>
      </c>
      <c r="K171" s="2248" t="s">
        <v>3521</v>
      </c>
      <c r="L171" s="2248" t="s">
        <v>3521</v>
      </c>
      <c r="M171" s="2248" t="s">
        <v>3521</v>
      </c>
      <c r="N171" s="2249" t="s">
        <v>3521</v>
      </c>
      <c r="O171" s="2250"/>
      <c r="P171" s="2251"/>
      <c r="Q171" s="2252"/>
      <c r="R171" s="2250"/>
      <c r="S171" s="2253">
        <v>10</v>
      </c>
      <c r="T171" s="2161">
        <v>0</v>
      </c>
      <c r="U171" s="2245">
        <v>1</v>
      </c>
      <c r="V171" s="2245">
        <v>15</v>
      </c>
      <c r="W171" s="2245">
        <v>128.45752167880846</v>
      </c>
      <c r="X171" s="2245">
        <v>3.6248559335500571E-2</v>
      </c>
      <c r="Y171" s="2245">
        <v>0</v>
      </c>
      <c r="Z171" s="2161">
        <v>0</v>
      </c>
      <c r="AA171" s="2245" t="e">
        <v>#DIV/0!</v>
      </c>
      <c r="AB171" s="2245">
        <v>2.2000000000000002</v>
      </c>
      <c r="AC171" s="2245">
        <v>0</v>
      </c>
      <c r="AD171" s="2245" t="s">
        <v>1240</v>
      </c>
      <c r="AE171" s="2254">
        <v>1.4999999999999999E-2</v>
      </c>
      <c r="AF171" s="2255">
        <v>1</v>
      </c>
      <c r="AG171" s="2245">
        <v>0.6</v>
      </c>
      <c r="AH171" s="2245"/>
      <c r="AJ171" s="2256"/>
      <c r="AK171" s="2257">
        <v>0</v>
      </c>
      <c r="AL171" s="2245">
        <v>0</v>
      </c>
      <c r="AM171" s="2245">
        <v>0</v>
      </c>
      <c r="AN171" s="2245" t="e">
        <v>#DIV/0!</v>
      </c>
      <c r="AO171" s="2245" t="e">
        <v>#DIV/0!</v>
      </c>
      <c r="AP171" s="2258">
        <v>0</v>
      </c>
      <c r="AQ171" s="2259"/>
      <c r="AR171" s="2259">
        <v>0</v>
      </c>
      <c r="AS171" s="2260" t="s">
        <v>3521</v>
      </c>
      <c r="AT171" s="2259"/>
      <c r="AU171" s="2259"/>
      <c r="AV171" s="2259"/>
      <c r="AW171" s="2259">
        <v>0</v>
      </c>
      <c r="AX171" s="2261">
        <v>10000</v>
      </c>
      <c r="AY171" s="2261">
        <v>10000</v>
      </c>
      <c r="AZ171" s="2261">
        <v>10000</v>
      </c>
      <c r="BA171" s="2261">
        <v>15</v>
      </c>
      <c r="BB171" s="2261">
        <v>0</v>
      </c>
      <c r="BC171" s="2261">
        <v>0</v>
      </c>
      <c r="BD171" s="2229">
        <v>0</v>
      </c>
      <c r="BE171" s="2229">
        <v>0.114396</v>
      </c>
      <c r="BF171" s="2229">
        <v>0</v>
      </c>
      <c r="BG171" s="2229">
        <v>0</v>
      </c>
      <c r="BH171" s="2229">
        <v>0</v>
      </c>
      <c r="BI171" s="2229">
        <v>0</v>
      </c>
      <c r="BJ171" s="2229">
        <v>0</v>
      </c>
      <c r="BK171" s="2262">
        <v>0</v>
      </c>
      <c r="BL171" s="2262">
        <v>0</v>
      </c>
      <c r="BM171" s="2262">
        <v>-2.1</v>
      </c>
      <c r="BN171" s="2262">
        <v>2.1</v>
      </c>
      <c r="BO171" s="2262">
        <v>0</v>
      </c>
      <c r="BP171" s="2262">
        <v>0</v>
      </c>
      <c r="BQ171" s="2262">
        <v>0</v>
      </c>
      <c r="BR171" s="2262">
        <v>0</v>
      </c>
      <c r="BS171" s="2262">
        <v>0</v>
      </c>
      <c r="BT171" s="2262">
        <v>0</v>
      </c>
      <c r="BU171" s="2262">
        <v>0</v>
      </c>
      <c r="BV171" s="2262">
        <v>0</v>
      </c>
      <c r="BW171" s="2262">
        <v>0</v>
      </c>
      <c r="BX171" s="2263">
        <v>1</v>
      </c>
      <c r="BY171" s="2262">
        <v>0.52</v>
      </c>
      <c r="BZ171" s="2262">
        <v>0.18000000000000016</v>
      </c>
      <c r="CA171" s="2064" t="s">
        <v>3524</v>
      </c>
      <c r="CC171" s="563">
        <v>2359.5299329060649</v>
      </c>
      <c r="CD171" s="563">
        <v>2359.5299329060649</v>
      </c>
    </row>
    <row r="172" spans="1:82" s="563" customFormat="1" ht="22.9" customHeight="1">
      <c r="A172" s="2241"/>
      <c r="B172" s="2242" t="s">
        <v>4</v>
      </c>
      <c r="C172" s="2243"/>
      <c r="D172" s="2244"/>
      <c r="E172" s="2243">
        <v>-2.1</v>
      </c>
      <c r="F172" s="2245">
        <v>2.1</v>
      </c>
      <c r="G172" s="2243">
        <v>0</v>
      </c>
      <c r="H172" s="2246">
        <v>-2.1</v>
      </c>
      <c r="I172" s="2245">
        <v>2.1</v>
      </c>
      <c r="J172" s="2247">
        <v>-2.1</v>
      </c>
      <c r="K172" s="2248" t="s">
        <v>3521</v>
      </c>
      <c r="L172" s="2248" t="s">
        <v>3521</v>
      </c>
      <c r="M172" s="2248" t="s">
        <v>3521</v>
      </c>
      <c r="N172" s="2249" t="s">
        <v>3521</v>
      </c>
      <c r="O172" s="2250"/>
      <c r="P172" s="2251"/>
      <c r="Q172" s="2252"/>
      <c r="R172" s="2250"/>
      <c r="S172" s="2253">
        <v>10</v>
      </c>
      <c r="T172" s="2161">
        <v>0</v>
      </c>
      <c r="U172" s="2245">
        <v>1</v>
      </c>
      <c r="V172" s="2245">
        <v>15</v>
      </c>
      <c r="W172" s="2245">
        <v>128.45752167880846</v>
      </c>
      <c r="X172" s="2245">
        <v>3.6248559335500571E-2</v>
      </c>
      <c r="Y172" s="2245">
        <v>0</v>
      </c>
      <c r="Z172" s="2161">
        <v>0</v>
      </c>
      <c r="AA172" s="2245" t="e">
        <v>#DIV/0!</v>
      </c>
      <c r="AB172" s="2245">
        <v>2.2000000000000002</v>
      </c>
      <c r="AC172" s="2245">
        <v>0</v>
      </c>
      <c r="AD172" s="2245" t="s">
        <v>1240</v>
      </c>
      <c r="AE172" s="2254">
        <v>1.4999999999999999E-2</v>
      </c>
      <c r="AF172" s="2255">
        <v>1</v>
      </c>
      <c r="AG172" s="2245">
        <v>0.6</v>
      </c>
      <c r="AH172" s="2245"/>
      <c r="AJ172" s="2256"/>
      <c r="AK172" s="2257">
        <v>0</v>
      </c>
      <c r="AL172" s="2245">
        <v>0</v>
      </c>
      <c r="AM172" s="2245">
        <v>0</v>
      </c>
      <c r="AN172" s="2245" t="e">
        <v>#DIV/0!</v>
      </c>
      <c r="AO172" s="2245" t="e">
        <v>#DIV/0!</v>
      </c>
      <c r="AP172" s="2258">
        <v>0</v>
      </c>
      <c r="AQ172" s="2259"/>
      <c r="AR172" s="2259">
        <v>0</v>
      </c>
      <c r="AS172" s="2260" t="s">
        <v>3521</v>
      </c>
      <c r="AT172" s="2259"/>
      <c r="AU172" s="2259"/>
      <c r="AV172" s="2259"/>
      <c r="AW172" s="2259">
        <v>0</v>
      </c>
      <c r="AX172" s="2261">
        <v>10000</v>
      </c>
      <c r="AY172" s="2261">
        <v>10000</v>
      </c>
      <c r="AZ172" s="2261">
        <v>10000</v>
      </c>
      <c r="BA172" s="2261">
        <v>15</v>
      </c>
      <c r="BB172" s="2261">
        <v>0</v>
      </c>
      <c r="BC172" s="2261">
        <v>0</v>
      </c>
      <c r="BD172" s="2229">
        <v>0</v>
      </c>
      <c r="BE172" s="2229">
        <v>0.114396</v>
      </c>
      <c r="BF172" s="2229">
        <v>0</v>
      </c>
      <c r="BG172" s="2229">
        <v>0</v>
      </c>
      <c r="BH172" s="2229">
        <v>0</v>
      </c>
      <c r="BI172" s="2229">
        <v>0</v>
      </c>
      <c r="BJ172" s="2229">
        <v>0</v>
      </c>
      <c r="BK172" s="2262">
        <v>0</v>
      </c>
      <c r="BL172" s="2262">
        <v>0</v>
      </c>
      <c r="BM172" s="2262">
        <v>-2.1</v>
      </c>
      <c r="BN172" s="2262">
        <v>2.1</v>
      </c>
      <c r="BO172" s="2262">
        <v>0</v>
      </c>
      <c r="BP172" s="2262">
        <v>0</v>
      </c>
      <c r="BQ172" s="2262">
        <v>0</v>
      </c>
      <c r="BR172" s="2262">
        <v>0</v>
      </c>
      <c r="BS172" s="2262">
        <v>0</v>
      </c>
      <c r="BT172" s="2262">
        <v>0</v>
      </c>
      <c r="BU172" s="2262">
        <v>0</v>
      </c>
      <c r="BV172" s="2262">
        <v>0</v>
      </c>
      <c r="BW172" s="2262">
        <v>0</v>
      </c>
      <c r="BX172" s="2263">
        <v>1</v>
      </c>
      <c r="BY172" s="2262">
        <v>0.52</v>
      </c>
      <c r="BZ172" s="2262">
        <v>0.18000000000000016</v>
      </c>
      <c r="CA172" s="2064" t="s">
        <v>3524</v>
      </c>
      <c r="CC172" s="563">
        <v>2359.5299329060649</v>
      </c>
      <c r="CD172" s="563">
        <v>2359.5299329060649</v>
      </c>
    </row>
    <row r="173" spans="1:82" s="563" customFormat="1" ht="22.9" customHeight="1">
      <c r="A173" s="2241"/>
      <c r="B173" s="2242" t="s">
        <v>4</v>
      </c>
      <c r="C173" s="2243"/>
      <c r="D173" s="2244"/>
      <c r="E173" s="2243">
        <v>-2.1</v>
      </c>
      <c r="F173" s="2245">
        <v>2.1</v>
      </c>
      <c r="G173" s="2243">
        <v>0</v>
      </c>
      <c r="H173" s="2246">
        <v>-2.1</v>
      </c>
      <c r="I173" s="2245">
        <v>2.1</v>
      </c>
      <c r="J173" s="2247">
        <v>-2.1</v>
      </c>
      <c r="K173" s="2248" t="s">
        <v>3521</v>
      </c>
      <c r="L173" s="2248" t="s">
        <v>3521</v>
      </c>
      <c r="M173" s="2248" t="s">
        <v>3521</v>
      </c>
      <c r="N173" s="2249" t="s">
        <v>3521</v>
      </c>
      <c r="O173" s="2250"/>
      <c r="P173" s="2251"/>
      <c r="Q173" s="2252"/>
      <c r="R173" s="2250"/>
      <c r="S173" s="2253">
        <v>10</v>
      </c>
      <c r="T173" s="2161">
        <v>0</v>
      </c>
      <c r="U173" s="2245">
        <v>1</v>
      </c>
      <c r="V173" s="2245">
        <v>15</v>
      </c>
      <c r="W173" s="2245">
        <v>128.45752167880846</v>
      </c>
      <c r="X173" s="2245">
        <v>3.6248559335500571E-2</v>
      </c>
      <c r="Y173" s="2245">
        <v>0</v>
      </c>
      <c r="Z173" s="2161">
        <v>0</v>
      </c>
      <c r="AA173" s="2245" t="e">
        <v>#DIV/0!</v>
      </c>
      <c r="AB173" s="2245">
        <v>2.2000000000000002</v>
      </c>
      <c r="AC173" s="2245">
        <v>0</v>
      </c>
      <c r="AD173" s="2245" t="s">
        <v>1240</v>
      </c>
      <c r="AE173" s="2254">
        <v>1.4999999999999999E-2</v>
      </c>
      <c r="AF173" s="2255">
        <v>1</v>
      </c>
      <c r="AG173" s="2245">
        <v>0.6</v>
      </c>
      <c r="AH173" s="2245"/>
      <c r="AJ173" s="2256"/>
      <c r="AK173" s="2257">
        <v>0</v>
      </c>
      <c r="AL173" s="2245">
        <v>0</v>
      </c>
      <c r="AM173" s="2245">
        <v>0</v>
      </c>
      <c r="AN173" s="2245" t="e">
        <v>#DIV/0!</v>
      </c>
      <c r="AO173" s="2245" t="e">
        <v>#DIV/0!</v>
      </c>
      <c r="AP173" s="2258">
        <v>0</v>
      </c>
      <c r="AQ173" s="2259"/>
      <c r="AR173" s="2259">
        <v>0</v>
      </c>
      <c r="AS173" s="2260" t="s">
        <v>3521</v>
      </c>
      <c r="AT173" s="2259"/>
      <c r="AU173" s="2259"/>
      <c r="AV173" s="2259"/>
      <c r="AW173" s="2259">
        <v>0</v>
      </c>
      <c r="AX173" s="2261">
        <v>10000</v>
      </c>
      <c r="AY173" s="2261">
        <v>10000</v>
      </c>
      <c r="AZ173" s="2261">
        <v>10000</v>
      </c>
      <c r="BA173" s="2261">
        <v>15</v>
      </c>
      <c r="BB173" s="2261">
        <v>0</v>
      </c>
      <c r="BC173" s="2261">
        <v>0</v>
      </c>
      <c r="BD173" s="2229">
        <v>0</v>
      </c>
      <c r="BE173" s="2229">
        <v>0.114396</v>
      </c>
      <c r="BF173" s="2229">
        <v>0</v>
      </c>
      <c r="BG173" s="2229">
        <v>0</v>
      </c>
      <c r="BH173" s="2229">
        <v>0</v>
      </c>
      <c r="BI173" s="2229">
        <v>0</v>
      </c>
      <c r="BJ173" s="2229">
        <v>0</v>
      </c>
      <c r="BK173" s="2262">
        <v>0</v>
      </c>
      <c r="BL173" s="2262">
        <v>0</v>
      </c>
      <c r="BM173" s="2262">
        <v>-2.1</v>
      </c>
      <c r="BN173" s="2262">
        <v>2.1</v>
      </c>
      <c r="BO173" s="2262">
        <v>0</v>
      </c>
      <c r="BP173" s="2262">
        <v>0</v>
      </c>
      <c r="BQ173" s="2262">
        <v>0</v>
      </c>
      <c r="BR173" s="2262">
        <v>0</v>
      </c>
      <c r="BS173" s="2262">
        <v>0</v>
      </c>
      <c r="BT173" s="2262">
        <v>0</v>
      </c>
      <c r="BU173" s="2262">
        <v>0</v>
      </c>
      <c r="BV173" s="2262">
        <v>0</v>
      </c>
      <c r="BW173" s="2262">
        <v>0</v>
      </c>
      <c r="BX173" s="2263">
        <v>1</v>
      </c>
      <c r="BY173" s="2262">
        <v>0.52</v>
      </c>
      <c r="BZ173" s="2262">
        <v>0.18000000000000016</v>
      </c>
      <c r="CA173" s="2064" t="s">
        <v>3524</v>
      </c>
      <c r="CC173" s="563">
        <v>2359.5299329060649</v>
      </c>
      <c r="CD173" s="563">
        <v>2359.5299329060649</v>
      </c>
    </row>
    <row r="174" spans="1:82" s="563" customFormat="1" ht="22.9" customHeight="1">
      <c r="A174" s="2241"/>
      <c r="B174" s="2242" t="s">
        <v>4</v>
      </c>
      <c r="C174" s="2243"/>
      <c r="D174" s="2244"/>
      <c r="E174" s="2243">
        <v>-2.1</v>
      </c>
      <c r="F174" s="2245">
        <v>2.1</v>
      </c>
      <c r="G174" s="2243">
        <v>0</v>
      </c>
      <c r="H174" s="2246">
        <v>-2.1</v>
      </c>
      <c r="I174" s="2245">
        <v>2.1</v>
      </c>
      <c r="J174" s="2247">
        <v>-2.1</v>
      </c>
      <c r="K174" s="2248" t="s">
        <v>3521</v>
      </c>
      <c r="L174" s="2248" t="s">
        <v>3521</v>
      </c>
      <c r="M174" s="2248" t="s">
        <v>3521</v>
      </c>
      <c r="N174" s="2249" t="s">
        <v>3521</v>
      </c>
      <c r="O174" s="2250"/>
      <c r="P174" s="2251"/>
      <c r="Q174" s="2252"/>
      <c r="R174" s="2250"/>
      <c r="S174" s="2253">
        <v>10</v>
      </c>
      <c r="T174" s="2161">
        <v>0</v>
      </c>
      <c r="U174" s="2245">
        <v>1</v>
      </c>
      <c r="V174" s="2245">
        <v>15</v>
      </c>
      <c r="W174" s="2245">
        <v>128.45752167880846</v>
      </c>
      <c r="X174" s="2245">
        <v>3.6248559335500571E-2</v>
      </c>
      <c r="Y174" s="2245">
        <v>0</v>
      </c>
      <c r="Z174" s="2161">
        <v>0</v>
      </c>
      <c r="AA174" s="2245" t="e">
        <v>#DIV/0!</v>
      </c>
      <c r="AB174" s="2245">
        <v>2.2000000000000002</v>
      </c>
      <c r="AC174" s="2245">
        <v>0</v>
      </c>
      <c r="AD174" s="2245" t="s">
        <v>1240</v>
      </c>
      <c r="AE174" s="2254">
        <v>1.4999999999999999E-2</v>
      </c>
      <c r="AF174" s="2255">
        <v>1</v>
      </c>
      <c r="AG174" s="2245">
        <v>0.6</v>
      </c>
      <c r="AH174" s="2245"/>
      <c r="AJ174" s="2256"/>
      <c r="AK174" s="2257">
        <v>0</v>
      </c>
      <c r="AL174" s="2245">
        <v>0</v>
      </c>
      <c r="AM174" s="2245">
        <v>0</v>
      </c>
      <c r="AN174" s="2245" t="e">
        <v>#DIV/0!</v>
      </c>
      <c r="AO174" s="2245" t="e">
        <v>#DIV/0!</v>
      </c>
      <c r="AP174" s="2258">
        <v>0</v>
      </c>
      <c r="AQ174" s="2259"/>
      <c r="AR174" s="2259">
        <v>0</v>
      </c>
      <c r="AS174" s="2260" t="s">
        <v>3521</v>
      </c>
      <c r="AT174" s="2259"/>
      <c r="AU174" s="2259"/>
      <c r="AV174" s="2259"/>
      <c r="AW174" s="2259">
        <v>0</v>
      </c>
      <c r="AX174" s="2261">
        <v>10000</v>
      </c>
      <c r="AY174" s="2261">
        <v>10000</v>
      </c>
      <c r="AZ174" s="2261">
        <v>10000</v>
      </c>
      <c r="BA174" s="2261">
        <v>15</v>
      </c>
      <c r="BB174" s="2261">
        <v>0</v>
      </c>
      <c r="BC174" s="2261">
        <v>0</v>
      </c>
      <c r="BD174" s="2229">
        <v>0</v>
      </c>
      <c r="BE174" s="2229">
        <v>0.114396</v>
      </c>
      <c r="BF174" s="2229">
        <v>0</v>
      </c>
      <c r="BG174" s="2229">
        <v>0</v>
      </c>
      <c r="BH174" s="2229">
        <v>0</v>
      </c>
      <c r="BI174" s="2229">
        <v>0</v>
      </c>
      <c r="BJ174" s="2229">
        <v>0</v>
      </c>
      <c r="BK174" s="2262">
        <v>0</v>
      </c>
      <c r="BL174" s="2262">
        <v>0</v>
      </c>
      <c r="BM174" s="2262">
        <v>-2.1</v>
      </c>
      <c r="BN174" s="2262">
        <v>2.1</v>
      </c>
      <c r="BO174" s="2262">
        <v>0</v>
      </c>
      <c r="BP174" s="2262">
        <v>0</v>
      </c>
      <c r="BQ174" s="2262">
        <v>0</v>
      </c>
      <c r="BR174" s="2262">
        <v>0</v>
      </c>
      <c r="BS174" s="2262">
        <v>0</v>
      </c>
      <c r="BT174" s="2262">
        <v>0</v>
      </c>
      <c r="BU174" s="2262">
        <v>0</v>
      </c>
      <c r="BV174" s="2262">
        <v>0</v>
      </c>
      <c r="BW174" s="2262">
        <v>0</v>
      </c>
      <c r="BX174" s="2263">
        <v>1</v>
      </c>
      <c r="BY174" s="2262">
        <v>0.52</v>
      </c>
      <c r="BZ174" s="2262">
        <v>0.18000000000000016</v>
      </c>
      <c r="CA174" s="2064" t="s">
        <v>3524</v>
      </c>
      <c r="CC174" s="563">
        <v>2359.5299329060649</v>
      </c>
      <c r="CD174" s="563">
        <v>2359.5299329060649</v>
      </c>
    </row>
    <row r="175" spans="1:82" s="563" customFormat="1" ht="22.9" customHeight="1">
      <c r="A175" s="2241"/>
      <c r="B175" s="2242" t="s">
        <v>4</v>
      </c>
      <c r="C175" s="2243"/>
      <c r="D175" s="2244"/>
      <c r="E175" s="2243">
        <v>-2.1</v>
      </c>
      <c r="F175" s="2245">
        <v>2.1</v>
      </c>
      <c r="G175" s="2243">
        <v>0</v>
      </c>
      <c r="H175" s="2246">
        <v>-2.1</v>
      </c>
      <c r="I175" s="2245">
        <v>2.1</v>
      </c>
      <c r="J175" s="2247">
        <v>-2.1</v>
      </c>
      <c r="K175" s="2248" t="s">
        <v>3521</v>
      </c>
      <c r="L175" s="2248" t="s">
        <v>3521</v>
      </c>
      <c r="M175" s="2248" t="s">
        <v>3521</v>
      </c>
      <c r="N175" s="2249" t="s">
        <v>3521</v>
      </c>
      <c r="O175" s="2250"/>
      <c r="P175" s="2251"/>
      <c r="Q175" s="2252"/>
      <c r="R175" s="2250"/>
      <c r="S175" s="2253">
        <v>10</v>
      </c>
      <c r="T175" s="2161">
        <v>0</v>
      </c>
      <c r="U175" s="2245">
        <v>1</v>
      </c>
      <c r="V175" s="2245">
        <v>15</v>
      </c>
      <c r="W175" s="2245">
        <v>128.45752167880846</v>
      </c>
      <c r="X175" s="2245">
        <v>3.6248559335500571E-2</v>
      </c>
      <c r="Y175" s="2245">
        <v>0</v>
      </c>
      <c r="Z175" s="2161">
        <v>0</v>
      </c>
      <c r="AA175" s="2245" t="e">
        <v>#DIV/0!</v>
      </c>
      <c r="AB175" s="2245">
        <v>2.2000000000000002</v>
      </c>
      <c r="AC175" s="2245">
        <v>0</v>
      </c>
      <c r="AD175" s="2245" t="s">
        <v>1240</v>
      </c>
      <c r="AE175" s="2254">
        <v>1.4999999999999999E-2</v>
      </c>
      <c r="AF175" s="2255">
        <v>1</v>
      </c>
      <c r="AG175" s="2245">
        <v>0.6</v>
      </c>
      <c r="AH175" s="2245"/>
      <c r="AJ175" s="2256"/>
      <c r="AK175" s="2257">
        <v>0</v>
      </c>
      <c r="AL175" s="2245">
        <v>0</v>
      </c>
      <c r="AM175" s="2245">
        <v>0</v>
      </c>
      <c r="AN175" s="2245" t="e">
        <v>#DIV/0!</v>
      </c>
      <c r="AO175" s="2245" t="e">
        <v>#DIV/0!</v>
      </c>
      <c r="AP175" s="2258">
        <v>0</v>
      </c>
      <c r="AQ175" s="2259"/>
      <c r="AR175" s="2259">
        <v>0</v>
      </c>
      <c r="AS175" s="2260" t="s">
        <v>3521</v>
      </c>
      <c r="AT175" s="2259"/>
      <c r="AU175" s="2259"/>
      <c r="AV175" s="2259"/>
      <c r="AW175" s="2259">
        <v>0</v>
      </c>
      <c r="AX175" s="2261">
        <v>10000</v>
      </c>
      <c r="AY175" s="2261">
        <v>10000</v>
      </c>
      <c r="AZ175" s="2261">
        <v>10000</v>
      </c>
      <c r="BA175" s="2261">
        <v>15</v>
      </c>
      <c r="BB175" s="2261">
        <v>0</v>
      </c>
      <c r="BC175" s="2261">
        <v>0</v>
      </c>
      <c r="BD175" s="2229">
        <v>0</v>
      </c>
      <c r="BE175" s="2229">
        <v>0.114396</v>
      </c>
      <c r="BF175" s="2229">
        <v>0</v>
      </c>
      <c r="BG175" s="2229">
        <v>0</v>
      </c>
      <c r="BH175" s="2229">
        <v>0</v>
      </c>
      <c r="BI175" s="2229">
        <v>0</v>
      </c>
      <c r="BJ175" s="2229">
        <v>0</v>
      </c>
      <c r="BK175" s="2262">
        <v>0</v>
      </c>
      <c r="BL175" s="2262">
        <v>0</v>
      </c>
      <c r="BM175" s="2262">
        <v>-2.1</v>
      </c>
      <c r="BN175" s="2262">
        <v>2.1</v>
      </c>
      <c r="BO175" s="2262">
        <v>0</v>
      </c>
      <c r="BP175" s="2262">
        <v>0</v>
      </c>
      <c r="BQ175" s="2262">
        <v>0</v>
      </c>
      <c r="BR175" s="2262">
        <v>0</v>
      </c>
      <c r="BS175" s="2262">
        <v>0</v>
      </c>
      <c r="BT175" s="2262">
        <v>0</v>
      </c>
      <c r="BU175" s="2262">
        <v>0</v>
      </c>
      <c r="BV175" s="2262">
        <v>0</v>
      </c>
      <c r="BW175" s="2262">
        <v>0</v>
      </c>
      <c r="BX175" s="2263">
        <v>1</v>
      </c>
      <c r="BY175" s="2262">
        <v>0.52</v>
      </c>
      <c r="BZ175" s="2262">
        <v>0.18000000000000016</v>
      </c>
      <c r="CA175" s="2064" t="s">
        <v>3524</v>
      </c>
      <c r="CC175" s="563">
        <v>2359.5299329060649</v>
      </c>
      <c r="CD175" s="563">
        <v>2359.5299329060649</v>
      </c>
    </row>
    <row r="176" spans="1:82" s="563" customFormat="1" ht="22.9" customHeight="1">
      <c r="A176" s="2241"/>
      <c r="B176" s="2242" t="s">
        <v>4</v>
      </c>
      <c r="C176" s="2243"/>
      <c r="D176" s="2244"/>
      <c r="E176" s="2243">
        <v>-2.1</v>
      </c>
      <c r="F176" s="2245">
        <v>2.1</v>
      </c>
      <c r="G176" s="2243">
        <v>0</v>
      </c>
      <c r="H176" s="2246">
        <v>-2.1</v>
      </c>
      <c r="I176" s="2245">
        <v>2.1</v>
      </c>
      <c r="J176" s="2247">
        <v>-2.1</v>
      </c>
      <c r="K176" s="2248" t="s">
        <v>3521</v>
      </c>
      <c r="L176" s="2248" t="s">
        <v>3521</v>
      </c>
      <c r="M176" s="2248" t="s">
        <v>3521</v>
      </c>
      <c r="N176" s="2249" t="s">
        <v>3521</v>
      </c>
      <c r="O176" s="2250"/>
      <c r="P176" s="2251"/>
      <c r="Q176" s="2252"/>
      <c r="R176" s="2250"/>
      <c r="S176" s="2253">
        <v>10</v>
      </c>
      <c r="T176" s="2161">
        <v>0</v>
      </c>
      <c r="U176" s="2245">
        <v>1</v>
      </c>
      <c r="V176" s="2245">
        <v>15</v>
      </c>
      <c r="W176" s="2245">
        <v>128.45752167880846</v>
      </c>
      <c r="X176" s="2245">
        <v>3.6248559335500571E-2</v>
      </c>
      <c r="Y176" s="2245">
        <v>0</v>
      </c>
      <c r="Z176" s="2161">
        <v>0</v>
      </c>
      <c r="AA176" s="2245" t="e">
        <v>#DIV/0!</v>
      </c>
      <c r="AB176" s="2245">
        <v>2.2000000000000002</v>
      </c>
      <c r="AC176" s="2245">
        <v>0</v>
      </c>
      <c r="AD176" s="2245" t="s">
        <v>1240</v>
      </c>
      <c r="AE176" s="2254">
        <v>1.4999999999999999E-2</v>
      </c>
      <c r="AF176" s="2255">
        <v>1</v>
      </c>
      <c r="AG176" s="2245">
        <v>0.6</v>
      </c>
      <c r="AH176" s="2245"/>
      <c r="AJ176" s="2256"/>
      <c r="AK176" s="2257">
        <v>0</v>
      </c>
      <c r="AL176" s="2245">
        <v>0</v>
      </c>
      <c r="AM176" s="2245">
        <v>0</v>
      </c>
      <c r="AN176" s="2245" t="e">
        <v>#DIV/0!</v>
      </c>
      <c r="AO176" s="2245" t="e">
        <v>#DIV/0!</v>
      </c>
      <c r="AP176" s="2258">
        <v>0</v>
      </c>
      <c r="AQ176" s="2259"/>
      <c r="AR176" s="2259">
        <v>0</v>
      </c>
      <c r="AS176" s="2260" t="s">
        <v>3521</v>
      </c>
      <c r="AT176" s="2259"/>
      <c r="AU176" s="2259"/>
      <c r="AV176" s="2259"/>
      <c r="AW176" s="2259">
        <v>0</v>
      </c>
      <c r="AX176" s="2261">
        <v>10000</v>
      </c>
      <c r="AY176" s="2261">
        <v>10000</v>
      </c>
      <c r="AZ176" s="2261">
        <v>10000</v>
      </c>
      <c r="BA176" s="2261">
        <v>15</v>
      </c>
      <c r="BB176" s="2261">
        <v>0</v>
      </c>
      <c r="BC176" s="2261">
        <v>0</v>
      </c>
      <c r="BD176" s="2229">
        <v>0</v>
      </c>
      <c r="BE176" s="2229">
        <v>0.114396</v>
      </c>
      <c r="BF176" s="2229">
        <v>0</v>
      </c>
      <c r="BG176" s="2229">
        <v>0</v>
      </c>
      <c r="BH176" s="2229">
        <v>0</v>
      </c>
      <c r="BI176" s="2229">
        <v>0</v>
      </c>
      <c r="BJ176" s="2229">
        <v>0</v>
      </c>
      <c r="BK176" s="2262">
        <v>0</v>
      </c>
      <c r="BL176" s="2262">
        <v>0</v>
      </c>
      <c r="BM176" s="2262">
        <v>-2.1</v>
      </c>
      <c r="BN176" s="2262">
        <v>2.1</v>
      </c>
      <c r="BO176" s="2262">
        <v>0</v>
      </c>
      <c r="BP176" s="2262">
        <v>0</v>
      </c>
      <c r="BQ176" s="2262">
        <v>0</v>
      </c>
      <c r="BR176" s="2262">
        <v>0</v>
      </c>
      <c r="BS176" s="2262">
        <v>0</v>
      </c>
      <c r="BT176" s="2262">
        <v>0</v>
      </c>
      <c r="BU176" s="2262">
        <v>0</v>
      </c>
      <c r="BV176" s="2262">
        <v>0</v>
      </c>
      <c r="BW176" s="2262">
        <v>0</v>
      </c>
      <c r="BX176" s="2263">
        <v>1</v>
      </c>
      <c r="BY176" s="2262">
        <v>0.52</v>
      </c>
      <c r="BZ176" s="2262">
        <v>0.18000000000000016</v>
      </c>
      <c r="CA176" s="2064" t="s">
        <v>3524</v>
      </c>
      <c r="CC176" s="563">
        <v>2359.5299329060649</v>
      </c>
      <c r="CD176" s="563">
        <v>2359.5299329060649</v>
      </c>
    </row>
    <row r="177" spans="1:82" s="563" customFormat="1" ht="22.9" customHeight="1">
      <c r="A177" s="2241"/>
      <c r="B177" s="2242" t="s">
        <v>4</v>
      </c>
      <c r="C177" s="2243"/>
      <c r="D177" s="2244"/>
      <c r="E177" s="2243">
        <v>-2.1</v>
      </c>
      <c r="F177" s="2245">
        <v>2.1</v>
      </c>
      <c r="G177" s="2243">
        <v>0</v>
      </c>
      <c r="H177" s="2246">
        <v>-2.1</v>
      </c>
      <c r="I177" s="2245">
        <v>2.1</v>
      </c>
      <c r="J177" s="2247">
        <v>-2.1</v>
      </c>
      <c r="K177" s="2248" t="s">
        <v>3521</v>
      </c>
      <c r="L177" s="2248" t="s">
        <v>3521</v>
      </c>
      <c r="M177" s="2248" t="s">
        <v>3521</v>
      </c>
      <c r="N177" s="2249" t="s">
        <v>3521</v>
      </c>
      <c r="O177" s="2250"/>
      <c r="P177" s="2251"/>
      <c r="Q177" s="2252"/>
      <c r="R177" s="2250"/>
      <c r="S177" s="2253">
        <v>10</v>
      </c>
      <c r="T177" s="2161">
        <v>0</v>
      </c>
      <c r="U177" s="2245">
        <v>1</v>
      </c>
      <c r="V177" s="2245">
        <v>15</v>
      </c>
      <c r="W177" s="2245">
        <v>128.45752167880846</v>
      </c>
      <c r="X177" s="2245">
        <v>3.6248559335500571E-2</v>
      </c>
      <c r="Y177" s="2245">
        <v>0</v>
      </c>
      <c r="Z177" s="2161">
        <v>0</v>
      </c>
      <c r="AA177" s="2245" t="e">
        <v>#DIV/0!</v>
      </c>
      <c r="AB177" s="2245">
        <v>2.2000000000000002</v>
      </c>
      <c r="AC177" s="2245">
        <v>0</v>
      </c>
      <c r="AD177" s="2245" t="s">
        <v>1240</v>
      </c>
      <c r="AE177" s="2254">
        <v>1.4999999999999999E-2</v>
      </c>
      <c r="AF177" s="2255">
        <v>1</v>
      </c>
      <c r="AG177" s="2245">
        <v>0.6</v>
      </c>
      <c r="AH177" s="2245"/>
      <c r="AJ177" s="2256"/>
      <c r="AK177" s="2257">
        <v>0</v>
      </c>
      <c r="AL177" s="2245">
        <v>0</v>
      </c>
      <c r="AM177" s="2245">
        <v>0</v>
      </c>
      <c r="AN177" s="2245" t="e">
        <v>#DIV/0!</v>
      </c>
      <c r="AO177" s="2245" t="e">
        <v>#DIV/0!</v>
      </c>
      <c r="AP177" s="2258">
        <v>0</v>
      </c>
      <c r="AQ177" s="2259"/>
      <c r="AR177" s="2259">
        <v>0</v>
      </c>
      <c r="AS177" s="2260" t="s">
        <v>3521</v>
      </c>
      <c r="AT177" s="2259"/>
      <c r="AU177" s="2259"/>
      <c r="AV177" s="2259"/>
      <c r="AW177" s="2259">
        <v>0</v>
      </c>
      <c r="AX177" s="2261">
        <v>10000</v>
      </c>
      <c r="AY177" s="2261">
        <v>10000</v>
      </c>
      <c r="AZ177" s="2261">
        <v>10000</v>
      </c>
      <c r="BA177" s="2261">
        <v>15</v>
      </c>
      <c r="BB177" s="2261">
        <v>0</v>
      </c>
      <c r="BC177" s="2261">
        <v>0</v>
      </c>
      <c r="BD177" s="2229">
        <v>0</v>
      </c>
      <c r="BE177" s="2229">
        <v>0.114396</v>
      </c>
      <c r="BF177" s="2229">
        <v>0</v>
      </c>
      <c r="BG177" s="2229">
        <v>0</v>
      </c>
      <c r="BH177" s="2229">
        <v>0</v>
      </c>
      <c r="BI177" s="2229">
        <v>0</v>
      </c>
      <c r="BJ177" s="2229">
        <v>0</v>
      </c>
      <c r="BK177" s="2262">
        <v>0</v>
      </c>
      <c r="BL177" s="2262">
        <v>0</v>
      </c>
      <c r="BM177" s="2262">
        <v>-2.1</v>
      </c>
      <c r="BN177" s="2262">
        <v>2.1</v>
      </c>
      <c r="BO177" s="2262">
        <v>0</v>
      </c>
      <c r="BP177" s="2262">
        <v>0</v>
      </c>
      <c r="BQ177" s="2262">
        <v>0</v>
      </c>
      <c r="BR177" s="2262">
        <v>0</v>
      </c>
      <c r="BS177" s="2262">
        <v>0</v>
      </c>
      <c r="BT177" s="2262">
        <v>0</v>
      </c>
      <c r="BU177" s="2262">
        <v>0</v>
      </c>
      <c r="BV177" s="2262">
        <v>0</v>
      </c>
      <c r="BW177" s="2262">
        <v>0</v>
      </c>
      <c r="BX177" s="2263">
        <v>1</v>
      </c>
      <c r="BY177" s="2262">
        <v>0.52</v>
      </c>
      <c r="BZ177" s="2262">
        <v>0.18000000000000016</v>
      </c>
      <c r="CA177" s="2064" t="s">
        <v>3524</v>
      </c>
      <c r="CC177" s="563">
        <v>2359.5299329060649</v>
      </c>
      <c r="CD177" s="563">
        <v>2359.5299329060649</v>
      </c>
    </row>
    <row r="178" spans="1:82" s="563" customFormat="1" ht="22.9" customHeight="1">
      <c r="A178" s="2241"/>
      <c r="B178" s="2242" t="s">
        <v>4</v>
      </c>
      <c r="C178" s="2243"/>
      <c r="D178" s="2244"/>
      <c r="E178" s="2243">
        <v>-2.1</v>
      </c>
      <c r="F178" s="2245">
        <v>2.1</v>
      </c>
      <c r="G178" s="2243">
        <v>0</v>
      </c>
      <c r="H178" s="2246">
        <v>-2.1</v>
      </c>
      <c r="I178" s="2245">
        <v>2.1</v>
      </c>
      <c r="J178" s="2247">
        <v>-2.1</v>
      </c>
      <c r="K178" s="2248" t="s">
        <v>3521</v>
      </c>
      <c r="L178" s="2248" t="s">
        <v>3521</v>
      </c>
      <c r="M178" s="2248" t="s">
        <v>3521</v>
      </c>
      <c r="N178" s="2249" t="s">
        <v>3521</v>
      </c>
      <c r="O178" s="2250"/>
      <c r="P178" s="2251"/>
      <c r="Q178" s="2252"/>
      <c r="R178" s="2250"/>
      <c r="S178" s="2253">
        <v>10</v>
      </c>
      <c r="T178" s="2161">
        <v>0</v>
      </c>
      <c r="U178" s="2245">
        <v>1</v>
      </c>
      <c r="V178" s="2245">
        <v>15</v>
      </c>
      <c r="W178" s="2245">
        <v>128.45752167880846</v>
      </c>
      <c r="X178" s="2245">
        <v>3.6248559335500571E-2</v>
      </c>
      <c r="Y178" s="2245">
        <v>0</v>
      </c>
      <c r="Z178" s="2161">
        <v>0</v>
      </c>
      <c r="AA178" s="2245" t="e">
        <v>#DIV/0!</v>
      </c>
      <c r="AB178" s="2245">
        <v>2.2000000000000002</v>
      </c>
      <c r="AC178" s="2245">
        <v>0</v>
      </c>
      <c r="AD178" s="2245" t="s">
        <v>1240</v>
      </c>
      <c r="AE178" s="2254">
        <v>1.4999999999999999E-2</v>
      </c>
      <c r="AF178" s="2255">
        <v>1</v>
      </c>
      <c r="AG178" s="2245">
        <v>0.6</v>
      </c>
      <c r="AH178" s="2245"/>
      <c r="AJ178" s="2256"/>
      <c r="AK178" s="2257">
        <v>0</v>
      </c>
      <c r="AL178" s="2245">
        <v>0</v>
      </c>
      <c r="AM178" s="2245">
        <v>0</v>
      </c>
      <c r="AN178" s="2245" t="e">
        <v>#DIV/0!</v>
      </c>
      <c r="AO178" s="2245" t="e">
        <v>#DIV/0!</v>
      </c>
      <c r="AP178" s="2258">
        <v>0</v>
      </c>
      <c r="AQ178" s="2259"/>
      <c r="AR178" s="2259">
        <v>0</v>
      </c>
      <c r="AS178" s="2260" t="s">
        <v>3521</v>
      </c>
      <c r="AT178" s="2259"/>
      <c r="AU178" s="2259"/>
      <c r="AV178" s="2259"/>
      <c r="AW178" s="2259">
        <v>0</v>
      </c>
      <c r="AX178" s="2261">
        <v>10000</v>
      </c>
      <c r="AY178" s="2261">
        <v>10000</v>
      </c>
      <c r="AZ178" s="2261">
        <v>10000</v>
      </c>
      <c r="BA178" s="2261">
        <v>15</v>
      </c>
      <c r="BB178" s="2261">
        <v>0</v>
      </c>
      <c r="BC178" s="2261">
        <v>0</v>
      </c>
      <c r="BD178" s="2229">
        <v>0</v>
      </c>
      <c r="BE178" s="2229">
        <v>0.114396</v>
      </c>
      <c r="BF178" s="2229">
        <v>0</v>
      </c>
      <c r="BG178" s="2229">
        <v>0</v>
      </c>
      <c r="BH178" s="2229">
        <v>0</v>
      </c>
      <c r="BI178" s="2229">
        <v>0</v>
      </c>
      <c r="BJ178" s="2229">
        <v>0</v>
      </c>
      <c r="BK178" s="2262">
        <v>0</v>
      </c>
      <c r="BL178" s="2262">
        <v>0</v>
      </c>
      <c r="BM178" s="2262">
        <v>-2.1</v>
      </c>
      <c r="BN178" s="2262">
        <v>2.1</v>
      </c>
      <c r="BO178" s="2262">
        <v>0</v>
      </c>
      <c r="BP178" s="2262">
        <v>0</v>
      </c>
      <c r="BQ178" s="2262">
        <v>0</v>
      </c>
      <c r="BR178" s="2262">
        <v>0</v>
      </c>
      <c r="BS178" s="2262">
        <v>0</v>
      </c>
      <c r="BT178" s="2262">
        <v>0</v>
      </c>
      <c r="BU178" s="2262">
        <v>0</v>
      </c>
      <c r="BV178" s="2262">
        <v>0</v>
      </c>
      <c r="BW178" s="2262">
        <v>0</v>
      </c>
      <c r="BX178" s="2263">
        <v>1</v>
      </c>
      <c r="BY178" s="2262">
        <v>0.52</v>
      </c>
      <c r="BZ178" s="2262">
        <v>0.18000000000000016</v>
      </c>
      <c r="CA178" s="2064" t="s">
        <v>3524</v>
      </c>
      <c r="CC178" s="563">
        <v>2359.5299329060649</v>
      </c>
      <c r="CD178" s="563">
        <v>2359.5299329060649</v>
      </c>
    </row>
    <row r="179" spans="1:82" s="563" customFormat="1" ht="22.9" customHeight="1">
      <c r="A179" s="2241"/>
      <c r="B179" s="2242" t="s">
        <v>4</v>
      </c>
      <c r="C179" s="2243"/>
      <c r="D179" s="2244"/>
      <c r="E179" s="2243">
        <v>-2.1</v>
      </c>
      <c r="F179" s="2245">
        <v>2.1</v>
      </c>
      <c r="G179" s="2243">
        <v>0</v>
      </c>
      <c r="H179" s="2246">
        <v>-2.1</v>
      </c>
      <c r="I179" s="2245">
        <v>2.1</v>
      </c>
      <c r="J179" s="2247">
        <v>-2.1</v>
      </c>
      <c r="K179" s="2248" t="s">
        <v>3521</v>
      </c>
      <c r="L179" s="2248" t="s">
        <v>3521</v>
      </c>
      <c r="M179" s="2248" t="s">
        <v>3521</v>
      </c>
      <c r="N179" s="2249" t="s">
        <v>3521</v>
      </c>
      <c r="O179" s="2250"/>
      <c r="P179" s="2251"/>
      <c r="Q179" s="2252"/>
      <c r="R179" s="2250"/>
      <c r="S179" s="2253">
        <v>10</v>
      </c>
      <c r="T179" s="2161">
        <v>0</v>
      </c>
      <c r="U179" s="2245">
        <v>1</v>
      </c>
      <c r="V179" s="2245">
        <v>15</v>
      </c>
      <c r="W179" s="2245">
        <v>128.45752167880846</v>
      </c>
      <c r="X179" s="2245">
        <v>3.6248559335500571E-2</v>
      </c>
      <c r="Y179" s="2245">
        <v>0</v>
      </c>
      <c r="Z179" s="2161">
        <v>0</v>
      </c>
      <c r="AA179" s="2245" t="e">
        <v>#DIV/0!</v>
      </c>
      <c r="AB179" s="2245">
        <v>2.2000000000000002</v>
      </c>
      <c r="AC179" s="2245">
        <v>0</v>
      </c>
      <c r="AD179" s="2245" t="s">
        <v>1240</v>
      </c>
      <c r="AE179" s="2254">
        <v>1.4999999999999999E-2</v>
      </c>
      <c r="AF179" s="2255">
        <v>1</v>
      </c>
      <c r="AG179" s="2245">
        <v>0.6</v>
      </c>
      <c r="AH179" s="2245"/>
      <c r="AJ179" s="2256"/>
      <c r="AK179" s="2257">
        <v>0</v>
      </c>
      <c r="AL179" s="2245">
        <v>0</v>
      </c>
      <c r="AM179" s="2245">
        <v>0</v>
      </c>
      <c r="AN179" s="2245" t="e">
        <v>#DIV/0!</v>
      </c>
      <c r="AO179" s="2245" t="e">
        <v>#DIV/0!</v>
      </c>
      <c r="AP179" s="2258">
        <v>0</v>
      </c>
      <c r="AQ179" s="2259"/>
      <c r="AR179" s="2259">
        <v>0</v>
      </c>
      <c r="AS179" s="2260" t="s">
        <v>3521</v>
      </c>
      <c r="AT179" s="2259"/>
      <c r="AU179" s="2259"/>
      <c r="AV179" s="2259"/>
      <c r="AW179" s="2259">
        <v>0</v>
      </c>
      <c r="AX179" s="2261">
        <v>10000</v>
      </c>
      <c r="AY179" s="2261">
        <v>10000</v>
      </c>
      <c r="AZ179" s="2261">
        <v>10000</v>
      </c>
      <c r="BA179" s="2261">
        <v>15</v>
      </c>
      <c r="BB179" s="2261">
        <v>0</v>
      </c>
      <c r="BC179" s="2261">
        <v>0</v>
      </c>
      <c r="BD179" s="2229">
        <v>0</v>
      </c>
      <c r="BE179" s="2229">
        <v>0.114396</v>
      </c>
      <c r="BF179" s="2229">
        <v>0</v>
      </c>
      <c r="BG179" s="2229">
        <v>0</v>
      </c>
      <c r="BH179" s="2229">
        <v>0</v>
      </c>
      <c r="BI179" s="2229">
        <v>0</v>
      </c>
      <c r="BJ179" s="2229">
        <v>0</v>
      </c>
      <c r="BK179" s="2262">
        <v>0</v>
      </c>
      <c r="BL179" s="2262">
        <v>0</v>
      </c>
      <c r="BM179" s="2262">
        <v>-2.1</v>
      </c>
      <c r="BN179" s="2262">
        <v>2.1</v>
      </c>
      <c r="BO179" s="2262">
        <v>0</v>
      </c>
      <c r="BP179" s="2262">
        <v>0</v>
      </c>
      <c r="BQ179" s="2262">
        <v>0</v>
      </c>
      <c r="BR179" s="2262">
        <v>0</v>
      </c>
      <c r="BS179" s="2262">
        <v>0</v>
      </c>
      <c r="BT179" s="2262">
        <v>0</v>
      </c>
      <c r="BU179" s="2262">
        <v>0</v>
      </c>
      <c r="BV179" s="2262">
        <v>0</v>
      </c>
      <c r="BW179" s="2262">
        <v>0</v>
      </c>
      <c r="BX179" s="2263">
        <v>1</v>
      </c>
      <c r="BY179" s="2262">
        <v>0.52</v>
      </c>
      <c r="BZ179" s="2262">
        <v>0.18000000000000016</v>
      </c>
      <c r="CA179" s="2064" t="s">
        <v>3524</v>
      </c>
      <c r="CC179" s="563">
        <v>2359.5299329060649</v>
      </c>
      <c r="CD179" s="563">
        <v>2359.5299329060649</v>
      </c>
    </row>
    <row r="180" spans="1:82" s="563" customFormat="1" ht="22.9" customHeight="1">
      <c r="A180" s="2241"/>
      <c r="B180" s="2242" t="s">
        <v>4</v>
      </c>
      <c r="C180" s="2243"/>
      <c r="D180" s="2244"/>
      <c r="E180" s="2243">
        <v>-2.1</v>
      </c>
      <c r="F180" s="2245">
        <v>2.1</v>
      </c>
      <c r="G180" s="2243">
        <v>0</v>
      </c>
      <c r="H180" s="2246">
        <v>-2.1</v>
      </c>
      <c r="I180" s="2245">
        <v>2.1</v>
      </c>
      <c r="J180" s="2247">
        <v>-2.1</v>
      </c>
      <c r="K180" s="2248" t="s">
        <v>3521</v>
      </c>
      <c r="L180" s="2248" t="s">
        <v>3521</v>
      </c>
      <c r="M180" s="2248" t="s">
        <v>3521</v>
      </c>
      <c r="N180" s="2249" t="s">
        <v>3521</v>
      </c>
      <c r="O180" s="2250"/>
      <c r="P180" s="2251"/>
      <c r="Q180" s="2252"/>
      <c r="R180" s="2250"/>
      <c r="S180" s="2253">
        <v>10</v>
      </c>
      <c r="T180" s="2161">
        <v>0</v>
      </c>
      <c r="U180" s="2245">
        <v>1</v>
      </c>
      <c r="V180" s="2245">
        <v>15</v>
      </c>
      <c r="W180" s="2245">
        <v>128.45752167880846</v>
      </c>
      <c r="X180" s="2245">
        <v>3.6248559335500571E-2</v>
      </c>
      <c r="Y180" s="2245">
        <v>0</v>
      </c>
      <c r="Z180" s="2161">
        <v>0</v>
      </c>
      <c r="AA180" s="2245" t="e">
        <v>#DIV/0!</v>
      </c>
      <c r="AB180" s="2245">
        <v>2.2000000000000002</v>
      </c>
      <c r="AC180" s="2245">
        <v>0</v>
      </c>
      <c r="AD180" s="2245" t="s">
        <v>1240</v>
      </c>
      <c r="AE180" s="2254">
        <v>1.4999999999999999E-2</v>
      </c>
      <c r="AF180" s="2255">
        <v>1</v>
      </c>
      <c r="AG180" s="2245">
        <v>0.6</v>
      </c>
      <c r="AH180" s="2245"/>
      <c r="AJ180" s="2256"/>
      <c r="AK180" s="2257">
        <v>0</v>
      </c>
      <c r="AL180" s="2245">
        <v>0</v>
      </c>
      <c r="AM180" s="2245">
        <v>0</v>
      </c>
      <c r="AN180" s="2245" t="e">
        <v>#DIV/0!</v>
      </c>
      <c r="AO180" s="2245" t="e">
        <v>#DIV/0!</v>
      </c>
      <c r="AP180" s="2258">
        <v>0</v>
      </c>
      <c r="AQ180" s="2259"/>
      <c r="AR180" s="2259">
        <v>0</v>
      </c>
      <c r="AS180" s="2260" t="s">
        <v>3521</v>
      </c>
      <c r="AT180" s="2259"/>
      <c r="AU180" s="2259"/>
      <c r="AV180" s="2259"/>
      <c r="AW180" s="2259">
        <v>0</v>
      </c>
      <c r="AX180" s="2261">
        <v>10000</v>
      </c>
      <c r="AY180" s="2261">
        <v>10000</v>
      </c>
      <c r="AZ180" s="2261">
        <v>10000</v>
      </c>
      <c r="BA180" s="2261">
        <v>15</v>
      </c>
      <c r="BB180" s="2261">
        <v>0</v>
      </c>
      <c r="BC180" s="2261">
        <v>0</v>
      </c>
      <c r="BD180" s="2229">
        <v>0</v>
      </c>
      <c r="BE180" s="2229">
        <v>0.114396</v>
      </c>
      <c r="BF180" s="2229">
        <v>0</v>
      </c>
      <c r="BG180" s="2229">
        <v>0</v>
      </c>
      <c r="BH180" s="2229">
        <v>0</v>
      </c>
      <c r="BI180" s="2229">
        <v>0</v>
      </c>
      <c r="BJ180" s="2229">
        <v>0</v>
      </c>
      <c r="BK180" s="2262">
        <v>0</v>
      </c>
      <c r="BL180" s="2262">
        <v>0</v>
      </c>
      <c r="BM180" s="2262">
        <v>-2.1</v>
      </c>
      <c r="BN180" s="2262">
        <v>2.1</v>
      </c>
      <c r="BO180" s="2262">
        <v>0</v>
      </c>
      <c r="BP180" s="2262">
        <v>0</v>
      </c>
      <c r="BQ180" s="2262">
        <v>0</v>
      </c>
      <c r="BR180" s="2262">
        <v>0</v>
      </c>
      <c r="BS180" s="2262">
        <v>0</v>
      </c>
      <c r="BT180" s="2262">
        <v>0</v>
      </c>
      <c r="BU180" s="2262">
        <v>0</v>
      </c>
      <c r="BV180" s="2262">
        <v>0</v>
      </c>
      <c r="BW180" s="2262">
        <v>0</v>
      </c>
      <c r="BX180" s="2263">
        <v>1</v>
      </c>
      <c r="BY180" s="2262">
        <v>0.52</v>
      </c>
      <c r="BZ180" s="2262">
        <v>0.18000000000000016</v>
      </c>
      <c r="CA180" s="2064" t="s">
        <v>3524</v>
      </c>
      <c r="CC180" s="563">
        <v>2359.5299329060649</v>
      </c>
      <c r="CD180" s="563">
        <v>2359.5299329060649</v>
      </c>
    </row>
    <row r="181" spans="1:82" s="563" customFormat="1" ht="22.9" customHeight="1">
      <c r="A181" s="2241"/>
      <c r="B181" s="2242" t="s">
        <v>4</v>
      </c>
      <c r="C181" s="2243"/>
      <c r="D181" s="2244"/>
      <c r="E181" s="2243">
        <v>-2.1</v>
      </c>
      <c r="F181" s="2245">
        <v>2.1</v>
      </c>
      <c r="G181" s="2243">
        <v>0</v>
      </c>
      <c r="H181" s="2246">
        <v>-2.1</v>
      </c>
      <c r="I181" s="2245">
        <v>2.1</v>
      </c>
      <c r="J181" s="2247">
        <v>-2.1</v>
      </c>
      <c r="K181" s="2248" t="s">
        <v>3521</v>
      </c>
      <c r="L181" s="2248" t="s">
        <v>3521</v>
      </c>
      <c r="M181" s="2248" t="s">
        <v>3521</v>
      </c>
      <c r="N181" s="2249" t="s">
        <v>3521</v>
      </c>
      <c r="O181" s="2250"/>
      <c r="P181" s="2251"/>
      <c r="Q181" s="2252"/>
      <c r="R181" s="2250"/>
      <c r="S181" s="2253">
        <v>10</v>
      </c>
      <c r="T181" s="2161">
        <v>0</v>
      </c>
      <c r="U181" s="2245">
        <v>1</v>
      </c>
      <c r="V181" s="2245">
        <v>15</v>
      </c>
      <c r="W181" s="2245">
        <v>128.45752167880846</v>
      </c>
      <c r="X181" s="2245">
        <v>3.6248559335500571E-2</v>
      </c>
      <c r="Y181" s="2245">
        <v>0</v>
      </c>
      <c r="Z181" s="2161">
        <v>0</v>
      </c>
      <c r="AA181" s="2245" t="e">
        <v>#DIV/0!</v>
      </c>
      <c r="AB181" s="2245">
        <v>2.2000000000000002</v>
      </c>
      <c r="AC181" s="2245">
        <v>0</v>
      </c>
      <c r="AD181" s="2245" t="s">
        <v>1240</v>
      </c>
      <c r="AE181" s="2254">
        <v>1.4999999999999999E-2</v>
      </c>
      <c r="AF181" s="2255">
        <v>1</v>
      </c>
      <c r="AG181" s="2245">
        <v>0.6</v>
      </c>
      <c r="AH181" s="2245"/>
      <c r="AJ181" s="2256"/>
      <c r="AK181" s="2257">
        <v>0</v>
      </c>
      <c r="AL181" s="2245">
        <v>0</v>
      </c>
      <c r="AM181" s="2245">
        <v>0</v>
      </c>
      <c r="AN181" s="2245" t="e">
        <v>#DIV/0!</v>
      </c>
      <c r="AO181" s="2245" t="e">
        <v>#DIV/0!</v>
      </c>
      <c r="AP181" s="2258">
        <v>0</v>
      </c>
      <c r="AQ181" s="2259"/>
      <c r="AR181" s="2259">
        <v>0</v>
      </c>
      <c r="AS181" s="2260" t="s">
        <v>3521</v>
      </c>
      <c r="AT181" s="2259"/>
      <c r="AU181" s="2259"/>
      <c r="AV181" s="2259"/>
      <c r="AW181" s="2259">
        <v>0</v>
      </c>
      <c r="AX181" s="2261">
        <v>10000</v>
      </c>
      <c r="AY181" s="2261">
        <v>10000</v>
      </c>
      <c r="AZ181" s="2261">
        <v>10000</v>
      </c>
      <c r="BA181" s="2261">
        <v>15</v>
      </c>
      <c r="BB181" s="2261">
        <v>0</v>
      </c>
      <c r="BC181" s="2261">
        <v>0</v>
      </c>
      <c r="BD181" s="2229">
        <v>0</v>
      </c>
      <c r="BE181" s="2229">
        <v>0.114396</v>
      </c>
      <c r="BF181" s="2229">
        <v>0</v>
      </c>
      <c r="BG181" s="2229">
        <v>0</v>
      </c>
      <c r="BH181" s="2229">
        <v>0</v>
      </c>
      <c r="BI181" s="2229">
        <v>0</v>
      </c>
      <c r="BJ181" s="2229">
        <v>0</v>
      </c>
      <c r="BK181" s="2262">
        <v>0</v>
      </c>
      <c r="BL181" s="2262">
        <v>0</v>
      </c>
      <c r="BM181" s="2262">
        <v>-2.1</v>
      </c>
      <c r="BN181" s="2262">
        <v>2.1</v>
      </c>
      <c r="BO181" s="2262">
        <v>0</v>
      </c>
      <c r="BP181" s="2262">
        <v>0</v>
      </c>
      <c r="BQ181" s="2262">
        <v>0</v>
      </c>
      <c r="BR181" s="2262">
        <v>0</v>
      </c>
      <c r="BS181" s="2262">
        <v>0</v>
      </c>
      <c r="BT181" s="2262">
        <v>0</v>
      </c>
      <c r="BU181" s="2262">
        <v>0</v>
      </c>
      <c r="BV181" s="2262">
        <v>0</v>
      </c>
      <c r="BW181" s="2262">
        <v>0</v>
      </c>
      <c r="BX181" s="2263">
        <v>1</v>
      </c>
      <c r="BY181" s="2262">
        <v>0.52</v>
      </c>
      <c r="BZ181" s="2262">
        <v>0.18000000000000016</v>
      </c>
      <c r="CA181" s="2064" t="s">
        <v>3524</v>
      </c>
      <c r="CC181" s="563">
        <v>2359.5299329060649</v>
      </c>
      <c r="CD181" s="563">
        <v>2359.5299329060649</v>
      </c>
    </row>
    <row r="182" spans="1:82" s="563" customFormat="1" ht="22.9" customHeight="1">
      <c r="A182" s="2241"/>
      <c r="B182" s="2242" t="s">
        <v>4</v>
      </c>
      <c r="C182" s="2243"/>
      <c r="D182" s="2244"/>
      <c r="E182" s="2243">
        <v>-2.1</v>
      </c>
      <c r="F182" s="2245">
        <v>2.1</v>
      </c>
      <c r="G182" s="2243">
        <v>0</v>
      </c>
      <c r="H182" s="2246">
        <v>-2.1</v>
      </c>
      <c r="I182" s="2245">
        <v>2.1</v>
      </c>
      <c r="J182" s="2247">
        <v>-2.1</v>
      </c>
      <c r="K182" s="2248" t="s">
        <v>3521</v>
      </c>
      <c r="L182" s="2248" t="s">
        <v>3521</v>
      </c>
      <c r="M182" s="2248" t="s">
        <v>3521</v>
      </c>
      <c r="N182" s="2249" t="s">
        <v>3521</v>
      </c>
      <c r="O182" s="2250"/>
      <c r="P182" s="2251"/>
      <c r="Q182" s="2252"/>
      <c r="R182" s="2250"/>
      <c r="S182" s="2253">
        <v>10</v>
      </c>
      <c r="T182" s="2161">
        <v>0</v>
      </c>
      <c r="U182" s="2245">
        <v>1</v>
      </c>
      <c r="V182" s="2245">
        <v>15</v>
      </c>
      <c r="W182" s="2245">
        <v>128.45752167880846</v>
      </c>
      <c r="X182" s="2245">
        <v>3.6248559335500571E-2</v>
      </c>
      <c r="Y182" s="2245">
        <v>0</v>
      </c>
      <c r="Z182" s="2161">
        <v>0</v>
      </c>
      <c r="AA182" s="2245" t="e">
        <v>#DIV/0!</v>
      </c>
      <c r="AB182" s="2245">
        <v>2.2000000000000002</v>
      </c>
      <c r="AC182" s="2245">
        <v>0</v>
      </c>
      <c r="AD182" s="2245" t="s">
        <v>1240</v>
      </c>
      <c r="AE182" s="2254">
        <v>1.4999999999999999E-2</v>
      </c>
      <c r="AF182" s="2255">
        <v>1</v>
      </c>
      <c r="AG182" s="2245">
        <v>0.6</v>
      </c>
      <c r="AH182" s="2245"/>
      <c r="AJ182" s="2256"/>
      <c r="AK182" s="2257">
        <v>0</v>
      </c>
      <c r="AL182" s="2245">
        <v>0</v>
      </c>
      <c r="AM182" s="2245">
        <v>0</v>
      </c>
      <c r="AN182" s="2245" t="e">
        <v>#DIV/0!</v>
      </c>
      <c r="AO182" s="2245" t="e">
        <v>#DIV/0!</v>
      </c>
      <c r="AP182" s="2258">
        <v>0</v>
      </c>
      <c r="AQ182" s="2259"/>
      <c r="AR182" s="2259">
        <v>0</v>
      </c>
      <c r="AS182" s="2260" t="s">
        <v>3521</v>
      </c>
      <c r="AT182" s="2259"/>
      <c r="AU182" s="2259"/>
      <c r="AV182" s="2259"/>
      <c r="AW182" s="2259">
        <v>0</v>
      </c>
      <c r="AX182" s="2261">
        <v>10000</v>
      </c>
      <c r="AY182" s="2261">
        <v>10000</v>
      </c>
      <c r="AZ182" s="2261">
        <v>10000</v>
      </c>
      <c r="BA182" s="2261">
        <v>15</v>
      </c>
      <c r="BB182" s="2261">
        <v>0</v>
      </c>
      <c r="BC182" s="2261">
        <v>0</v>
      </c>
      <c r="BD182" s="2229">
        <v>0</v>
      </c>
      <c r="BE182" s="2229">
        <v>0.114396</v>
      </c>
      <c r="BF182" s="2229">
        <v>0</v>
      </c>
      <c r="BG182" s="2229">
        <v>0</v>
      </c>
      <c r="BH182" s="2229">
        <v>0</v>
      </c>
      <c r="BI182" s="2229">
        <v>0</v>
      </c>
      <c r="BJ182" s="2229">
        <v>0</v>
      </c>
      <c r="BK182" s="2262">
        <v>0</v>
      </c>
      <c r="BL182" s="2262">
        <v>0</v>
      </c>
      <c r="BM182" s="2262">
        <v>-2.1</v>
      </c>
      <c r="BN182" s="2262">
        <v>2.1</v>
      </c>
      <c r="BO182" s="2262">
        <v>0</v>
      </c>
      <c r="BP182" s="2262">
        <v>0</v>
      </c>
      <c r="BQ182" s="2262">
        <v>0</v>
      </c>
      <c r="BR182" s="2262">
        <v>0</v>
      </c>
      <c r="BS182" s="2262">
        <v>0</v>
      </c>
      <c r="BT182" s="2262">
        <v>0</v>
      </c>
      <c r="BU182" s="2262">
        <v>0</v>
      </c>
      <c r="BV182" s="2262">
        <v>0</v>
      </c>
      <c r="BW182" s="2262">
        <v>0</v>
      </c>
      <c r="BX182" s="2263">
        <v>1</v>
      </c>
      <c r="BY182" s="2262">
        <v>0.52</v>
      </c>
      <c r="BZ182" s="2262">
        <v>0.18000000000000016</v>
      </c>
      <c r="CA182" s="2064" t="s">
        <v>3524</v>
      </c>
      <c r="CC182" s="563">
        <v>2359.5299329060649</v>
      </c>
      <c r="CD182" s="563">
        <v>2359.5299329060649</v>
      </c>
    </row>
    <row r="183" spans="1:82" s="563" customFormat="1" ht="22.9" customHeight="1">
      <c r="A183" s="2241"/>
      <c r="B183" s="2242" t="s">
        <v>4</v>
      </c>
      <c r="C183" s="2243"/>
      <c r="D183" s="2244"/>
      <c r="E183" s="2243">
        <v>-2.1</v>
      </c>
      <c r="F183" s="2245">
        <v>2.1</v>
      </c>
      <c r="G183" s="2243">
        <v>0</v>
      </c>
      <c r="H183" s="2246">
        <v>-2.1</v>
      </c>
      <c r="I183" s="2245">
        <v>2.1</v>
      </c>
      <c r="J183" s="2247">
        <v>-2.1</v>
      </c>
      <c r="K183" s="2248" t="s">
        <v>3521</v>
      </c>
      <c r="L183" s="2248" t="s">
        <v>3521</v>
      </c>
      <c r="M183" s="2248" t="s">
        <v>3521</v>
      </c>
      <c r="N183" s="2249" t="s">
        <v>3521</v>
      </c>
      <c r="O183" s="2250"/>
      <c r="P183" s="2251"/>
      <c r="Q183" s="2252"/>
      <c r="R183" s="2250"/>
      <c r="S183" s="2253">
        <v>10</v>
      </c>
      <c r="T183" s="2161">
        <v>0</v>
      </c>
      <c r="U183" s="2245">
        <v>1</v>
      </c>
      <c r="V183" s="2245">
        <v>15</v>
      </c>
      <c r="W183" s="2245">
        <v>128.45752167880846</v>
      </c>
      <c r="X183" s="2245">
        <v>3.6248559335500571E-2</v>
      </c>
      <c r="Y183" s="2245">
        <v>0</v>
      </c>
      <c r="Z183" s="2161">
        <v>0</v>
      </c>
      <c r="AA183" s="2245" t="e">
        <v>#DIV/0!</v>
      </c>
      <c r="AB183" s="2245">
        <v>2.2000000000000002</v>
      </c>
      <c r="AC183" s="2245">
        <v>0</v>
      </c>
      <c r="AD183" s="2245" t="s">
        <v>1240</v>
      </c>
      <c r="AE183" s="2254">
        <v>1.4999999999999999E-2</v>
      </c>
      <c r="AF183" s="2255">
        <v>1</v>
      </c>
      <c r="AG183" s="2245">
        <v>0.6</v>
      </c>
      <c r="AH183" s="2245"/>
      <c r="AJ183" s="2256"/>
      <c r="AK183" s="2257">
        <v>0</v>
      </c>
      <c r="AL183" s="2245">
        <v>0</v>
      </c>
      <c r="AM183" s="2245">
        <v>0</v>
      </c>
      <c r="AN183" s="2245" t="e">
        <v>#DIV/0!</v>
      </c>
      <c r="AO183" s="2245" t="e">
        <v>#DIV/0!</v>
      </c>
      <c r="AP183" s="2258">
        <v>0</v>
      </c>
      <c r="AQ183" s="2259"/>
      <c r="AR183" s="2259">
        <v>0</v>
      </c>
      <c r="AS183" s="2260" t="s">
        <v>3521</v>
      </c>
      <c r="AT183" s="2259"/>
      <c r="AU183" s="2259"/>
      <c r="AV183" s="2259"/>
      <c r="AW183" s="2259">
        <v>0</v>
      </c>
      <c r="AX183" s="2261">
        <v>10000</v>
      </c>
      <c r="AY183" s="2261">
        <v>10000</v>
      </c>
      <c r="AZ183" s="2261">
        <v>10000</v>
      </c>
      <c r="BA183" s="2261">
        <v>15</v>
      </c>
      <c r="BB183" s="2261">
        <v>0</v>
      </c>
      <c r="BC183" s="2261">
        <v>0</v>
      </c>
      <c r="BD183" s="2229">
        <v>0</v>
      </c>
      <c r="BE183" s="2229">
        <v>0.114396</v>
      </c>
      <c r="BF183" s="2229">
        <v>0</v>
      </c>
      <c r="BG183" s="2229">
        <v>0</v>
      </c>
      <c r="BH183" s="2229">
        <v>0</v>
      </c>
      <c r="BI183" s="2229">
        <v>0</v>
      </c>
      <c r="BJ183" s="2229">
        <v>0</v>
      </c>
      <c r="BK183" s="2262">
        <v>0</v>
      </c>
      <c r="BL183" s="2262">
        <v>0</v>
      </c>
      <c r="BM183" s="2262">
        <v>-2.1</v>
      </c>
      <c r="BN183" s="2262">
        <v>2.1</v>
      </c>
      <c r="BO183" s="2262">
        <v>0</v>
      </c>
      <c r="BP183" s="2262">
        <v>0</v>
      </c>
      <c r="BQ183" s="2262">
        <v>0</v>
      </c>
      <c r="BR183" s="2262">
        <v>0</v>
      </c>
      <c r="BS183" s="2262">
        <v>0</v>
      </c>
      <c r="BT183" s="2262">
        <v>0</v>
      </c>
      <c r="BU183" s="2262">
        <v>0</v>
      </c>
      <c r="BV183" s="2262">
        <v>0</v>
      </c>
      <c r="BW183" s="2262">
        <v>0</v>
      </c>
      <c r="BX183" s="2263">
        <v>1</v>
      </c>
      <c r="BY183" s="2262">
        <v>0.52</v>
      </c>
      <c r="BZ183" s="2262">
        <v>0.18000000000000016</v>
      </c>
      <c r="CA183" s="2064" t="s">
        <v>3524</v>
      </c>
      <c r="CC183" s="563">
        <v>2359.5299329060649</v>
      </c>
      <c r="CD183" s="563">
        <v>2359.5299329060649</v>
      </c>
    </row>
    <row r="184" spans="1:82" s="563" customFormat="1" ht="22.9" customHeight="1">
      <c r="A184" s="2241"/>
      <c r="B184" s="2242" t="s">
        <v>4</v>
      </c>
      <c r="C184" s="2243"/>
      <c r="D184" s="2244"/>
      <c r="E184" s="2243">
        <v>-2.1</v>
      </c>
      <c r="F184" s="2245">
        <v>2.1</v>
      </c>
      <c r="G184" s="2243">
        <v>0</v>
      </c>
      <c r="H184" s="2246">
        <v>-2.1</v>
      </c>
      <c r="I184" s="2245">
        <v>2.1</v>
      </c>
      <c r="J184" s="2247">
        <v>-2.1</v>
      </c>
      <c r="K184" s="2248" t="s">
        <v>3521</v>
      </c>
      <c r="L184" s="2248" t="s">
        <v>3521</v>
      </c>
      <c r="M184" s="2248" t="s">
        <v>3521</v>
      </c>
      <c r="N184" s="2249" t="s">
        <v>3521</v>
      </c>
      <c r="O184" s="2250"/>
      <c r="P184" s="2251"/>
      <c r="Q184" s="2252"/>
      <c r="R184" s="2250"/>
      <c r="S184" s="2253">
        <v>10</v>
      </c>
      <c r="T184" s="2161">
        <v>0</v>
      </c>
      <c r="U184" s="2245">
        <v>1</v>
      </c>
      <c r="V184" s="2245">
        <v>15</v>
      </c>
      <c r="W184" s="2245">
        <v>128.45752167880846</v>
      </c>
      <c r="X184" s="2245">
        <v>3.6248559335500571E-2</v>
      </c>
      <c r="Y184" s="2245">
        <v>0</v>
      </c>
      <c r="Z184" s="2161">
        <v>0</v>
      </c>
      <c r="AA184" s="2245" t="e">
        <v>#DIV/0!</v>
      </c>
      <c r="AB184" s="2245">
        <v>2.2000000000000002</v>
      </c>
      <c r="AC184" s="2245">
        <v>0</v>
      </c>
      <c r="AD184" s="2245" t="s">
        <v>1240</v>
      </c>
      <c r="AE184" s="2254">
        <v>1.4999999999999999E-2</v>
      </c>
      <c r="AF184" s="2255">
        <v>1</v>
      </c>
      <c r="AG184" s="2245">
        <v>0.6</v>
      </c>
      <c r="AH184" s="2245"/>
      <c r="AJ184" s="2256"/>
      <c r="AK184" s="2257">
        <v>0</v>
      </c>
      <c r="AL184" s="2245">
        <v>0</v>
      </c>
      <c r="AM184" s="2245">
        <v>0</v>
      </c>
      <c r="AN184" s="2245" t="e">
        <v>#DIV/0!</v>
      </c>
      <c r="AO184" s="2245" t="e">
        <v>#DIV/0!</v>
      </c>
      <c r="AP184" s="2258">
        <v>0</v>
      </c>
      <c r="AQ184" s="2259"/>
      <c r="AR184" s="2259">
        <v>0</v>
      </c>
      <c r="AS184" s="2260" t="s">
        <v>3521</v>
      </c>
      <c r="AT184" s="2259"/>
      <c r="AU184" s="2259"/>
      <c r="AV184" s="2259"/>
      <c r="AW184" s="2259">
        <v>0</v>
      </c>
      <c r="AX184" s="2261">
        <v>10000</v>
      </c>
      <c r="AY184" s="2261">
        <v>10000</v>
      </c>
      <c r="AZ184" s="2261">
        <v>10000</v>
      </c>
      <c r="BA184" s="2261">
        <v>15</v>
      </c>
      <c r="BB184" s="2261">
        <v>0</v>
      </c>
      <c r="BC184" s="2261">
        <v>0</v>
      </c>
      <c r="BD184" s="2229">
        <v>0</v>
      </c>
      <c r="BE184" s="2229">
        <v>0.114396</v>
      </c>
      <c r="BF184" s="2229">
        <v>0</v>
      </c>
      <c r="BG184" s="2229">
        <v>0</v>
      </c>
      <c r="BH184" s="2229">
        <v>0</v>
      </c>
      <c r="BI184" s="2229">
        <v>0</v>
      </c>
      <c r="BJ184" s="2229">
        <v>0</v>
      </c>
      <c r="BK184" s="2262">
        <v>0</v>
      </c>
      <c r="BL184" s="2262">
        <v>0</v>
      </c>
      <c r="BM184" s="2262">
        <v>-2.1</v>
      </c>
      <c r="BN184" s="2262">
        <v>2.1</v>
      </c>
      <c r="BO184" s="2262">
        <v>0</v>
      </c>
      <c r="BP184" s="2262">
        <v>0</v>
      </c>
      <c r="BQ184" s="2262">
        <v>0</v>
      </c>
      <c r="BR184" s="2262">
        <v>0</v>
      </c>
      <c r="BS184" s="2262">
        <v>0</v>
      </c>
      <c r="BT184" s="2262">
        <v>0</v>
      </c>
      <c r="BU184" s="2262">
        <v>0</v>
      </c>
      <c r="BV184" s="2262">
        <v>0</v>
      </c>
      <c r="BW184" s="2262">
        <v>0</v>
      </c>
      <c r="BX184" s="2263">
        <v>1</v>
      </c>
      <c r="BY184" s="2262">
        <v>0.52</v>
      </c>
      <c r="BZ184" s="2262">
        <v>0.18000000000000016</v>
      </c>
      <c r="CA184" s="2064" t="s">
        <v>3524</v>
      </c>
      <c r="CC184" s="563">
        <v>2359.5299329060649</v>
      </c>
      <c r="CD184" s="563">
        <v>2359.5299329060649</v>
      </c>
    </row>
    <row r="185" spans="1:82" s="563" customFormat="1" ht="22.9" customHeight="1">
      <c r="A185" s="2241"/>
      <c r="B185" s="2242" t="s">
        <v>4</v>
      </c>
      <c r="C185" s="2243"/>
      <c r="D185" s="2244"/>
      <c r="E185" s="2243">
        <v>-2.1</v>
      </c>
      <c r="F185" s="2245">
        <v>2.1</v>
      </c>
      <c r="G185" s="2243">
        <v>0</v>
      </c>
      <c r="H185" s="2246">
        <v>-2.1</v>
      </c>
      <c r="I185" s="2245">
        <v>2.1</v>
      </c>
      <c r="J185" s="2247">
        <v>-2.1</v>
      </c>
      <c r="K185" s="2248" t="s">
        <v>3521</v>
      </c>
      <c r="L185" s="2248" t="s">
        <v>3521</v>
      </c>
      <c r="M185" s="2248" t="s">
        <v>3521</v>
      </c>
      <c r="N185" s="2249" t="s">
        <v>3521</v>
      </c>
      <c r="O185" s="2250"/>
      <c r="P185" s="2251"/>
      <c r="Q185" s="2252"/>
      <c r="R185" s="2250"/>
      <c r="S185" s="2253">
        <v>10</v>
      </c>
      <c r="T185" s="2161">
        <v>0</v>
      </c>
      <c r="U185" s="2245">
        <v>1</v>
      </c>
      <c r="V185" s="2245">
        <v>15</v>
      </c>
      <c r="W185" s="2245">
        <v>128.45752167880846</v>
      </c>
      <c r="X185" s="2245">
        <v>3.6248559335500571E-2</v>
      </c>
      <c r="Y185" s="2245">
        <v>0</v>
      </c>
      <c r="Z185" s="2161">
        <v>0</v>
      </c>
      <c r="AA185" s="2245" t="e">
        <v>#DIV/0!</v>
      </c>
      <c r="AB185" s="2245">
        <v>2.2000000000000002</v>
      </c>
      <c r="AC185" s="2245">
        <v>0</v>
      </c>
      <c r="AD185" s="2245" t="s">
        <v>1240</v>
      </c>
      <c r="AE185" s="2254">
        <v>1.4999999999999999E-2</v>
      </c>
      <c r="AF185" s="2255">
        <v>1</v>
      </c>
      <c r="AG185" s="2245">
        <v>0.6</v>
      </c>
      <c r="AH185" s="2245"/>
      <c r="AJ185" s="2256"/>
      <c r="AK185" s="2257">
        <v>0</v>
      </c>
      <c r="AL185" s="2245">
        <v>0</v>
      </c>
      <c r="AM185" s="2245">
        <v>0</v>
      </c>
      <c r="AN185" s="2245" t="e">
        <v>#DIV/0!</v>
      </c>
      <c r="AO185" s="2245" t="e">
        <v>#DIV/0!</v>
      </c>
      <c r="AP185" s="2258">
        <v>0</v>
      </c>
      <c r="AQ185" s="2259"/>
      <c r="AR185" s="2259">
        <v>0</v>
      </c>
      <c r="AS185" s="2260" t="s">
        <v>3521</v>
      </c>
      <c r="AT185" s="2259"/>
      <c r="AU185" s="2259"/>
      <c r="AV185" s="2259"/>
      <c r="AW185" s="2259">
        <v>0</v>
      </c>
      <c r="AX185" s="2261">
        <v>10000</v>
      </c>
      <c r="AY185" s="2261">
        <v>10000</v>
      </c>
      <c r="AZ185" s="2261">
        <v>10000</v>
      </c>
      <c r="BA185" s="2261">
        <v>15</v>
      </c>
      <c r="BB185" s="2261">
        <v>0</v>
      </c>
      <c r="BC185" s="2261">
        <v>0</v>
      </c>
      <c r="BD185" s="2229">
        <v>0</v>
      </c>
      <c r="BE185" s="2229">
        <v>0.114396</v>
      </c>
      <c r="BF185" s="2229">
        <v>0</v>
      </c>
      <c r="BG185" s="2229">
        <v>0</v>
      </c>
      <c r="BH185" s="2229">
        <v>0</v>
      </c>
      <c r="BI185" s="2229">
        <v>0</v>
      </c>
      <c r="BJ185" s="2229">
        <v>0</v>
      </c>
      <c r="BK185" s="2262">
        <v>0</v>
      </c>
      <c r="BL185" s="2262">
        <v>0</v>
      </c>
      <c r="BM185" s="2262">
        <v>-2.1</v>
      </c>
      <c r="BN185" s="2262">
        <v>2.1</v>
      </c>
      <c r="BO185" s="2262">
        <v>0</v>
      </c>
      <c r="BP185" s="2262">
        <v>0</v>
      </c>
      <c r="BQ185" s="2262">
        <v>0</v>
      </c>
      <c r="BR185" s="2262">
        <v>0</v>
      </c>
      <c r="BS185" s="2262">
        <v>0</v>
      </c>
      <c r="BT185" s="2262">
        <v>0</v>
      </c>
      <c r="BU185" s="2262">
        <v>0</v>
      </c>
      <c r="BV185" s="2262">
        <v>0</v>
      </c>
      <c r="BW185" s="2262">
        <v>0</v>
      </c>
      <c r="BX185" s="2263">
        <v>1</v>
      </c>
      <c r="BY185" s="2262">
        <v>0.52</v>
      </c>
      <c r="BZ185" s="2262">
        <v>0.18000000000000016</v>
      </c>
      <c r="CA185" s="2064" t="s">
        <v>3524</v>
      </c>
      <c r="CC185" s="563">
        <v>2359.5299329060649</v>
      </c>
      <c r="CD185" s="563">
        <v>2359.5299329060649</v>
      </c>
    </row>
    <row r="186" spans="1:82" s="563" customFormat="1" ht="22.9" customHeight="1">
      <c r="A186" s="2241"/>
      <c r="B186" s="2242" t="s">
        <v>4</v>
      </c>
      <c r="C186" s="2243"/>
      <c r="D186" s="2244"/>
      <c r="E186" s="2243">
        <v>-2.1</v>
      </c>
      <c r="F186" s="2245">
        <v>2.1</v>
      </c>
      <c r="G186" s="2243">
        <v>0</v>
      </c>
      <c r="H186" s="2246">
        <v>-2.1</v>
      </c>
      <c r="I186" s="2245">
        <v>2.1</v>
      </c>
      <c r="J186" s="2247">
        <v>-2.1</v>
      </c>
      <c r="K186" s="2248" t="s">
        <v>3521</v>
      </c>
      <c r="L186" s="2248" t="s">
        <v>3521</v>
      </c>
      <c r="M186" s="2248" t="s">
        <v>3521</v>
      </c>
      <c r="N186" s="2249" t="s">
        <v>3521</v>
      </c>
      <c r="O186" s="2250"/>
      <c r="P186" s="2251"/>
      <c r="Q186" s="2252"/>
      <c r="R186" s="2250"/>
      <c r="S186" s="2253">
        <v>10</v>
      </c>
      <c r="T186" s="2161">
        <v>0</v>
      </c>
      <c r="U186" s="2245">
        <v>1</v>
      </c>
      <c r="V186" s="2245">
        <v>15</v>
      </c>
      <c r="W186" s="2245">
        <v>128.45752167880846</v>
      </c>
      <c r="X186" s="2245">
        <v>3.6248559335500571E-2</v>
      </c>
      <c r="Y186" s="2245">
        <v>0</v>
      </c>
      <c r="Z186" s="2161">
        <v>0</v>
      </c>
      <c r="AA186" s="2245" t="e">
        <v>#DIV/0!</v>
      </c>
      <c r="AB186" s="2245">
        <v>2.2000000000000002</v>
      </c>
      <c r="AC186" s="2245">
        <v>0</v>
      </c>
      <c r="AD186" s="2245" t="s">
        <v>1240</v>
      </c>
      <c r="AE186" s="2254">
        <v>1.4999999999999999E-2</v>
      </c>
      <c r="AF186" s="2255">
        <v>1</v>
      </c>
      <c r="AG186" s="2245">
        <v>0.6</v>
      </c>
      <c r="AH186" s="2245"/>
      <c r="AJ186" s="2256"/>
      <c r="AK186" s="2257">
        <v>0</v>
      </c>
      <c r="AL186" s="2245">
        <v>0</v>
      </c>
      <c r="AM186" s="2245">
        <v>0</v>
      </c>
      <c r="AN186" s="2245" t="e">
        <v>#DIV/0!</v>
      </c>
      <c r="AO186" s="2245" t="e">
        <v>#DIV/0!</v>
      </c>
      <c r="AP186" s="2258">
        <v>0</v>
      </c>
      <c r="AQ186" s="2259"/>
      <c r="AR186" s="2259">
        <v>0</v>
      </c>
      <c r="AS186" s="2260" t="s">
        <v>3521</v>
      </c>
      <c r="AT186" s="2259"/>
      <c r="AU186" s="2259"/>
      <c r="AV186" s="2259"/>
      <c r="AW186" s="2259">
        <v>0</v>
      </c>
      <c r="AX186" s="2261">
        <v>10000</v>
      </c>
      <c r="AY186" s="2261">
        <v>10000</v>
      </c>
      <c r="AZ186" s="2261">
        <v>10000</v>
      </c>
      <c r="BA186" s="2261">
        <v>15</v>
      </c>
      <c r="BB186" s="2261">
        <v>0</v>
      </c>
      <c r="BC186" s="2261">
        <v>0</v>
      </c>
      <c r="BD186" s="2229">
        <v>0</v>
      </c>
      <c r="BE186" s="2229">
        <v>0.114396</v>
      </c>
      <c r="BF186" s="2229">
        <v>0</v>
      </c>
      <c r="BG186" s="2229">
        <v>0</v>
      </c>
      <c r="BH186" s="2229">
        <v>0</v>
      </c>
      <c r="BI186" s="2229">
        <v>0</v>
      </c>
      <c r="BJ186" s="2229">
        <v>0</v>
      </c>
      <c r="BK186" s="2262">
        <v>0</v>
      </c>
      <c r="BL186" s="2262">
        <v>0</v>
      </c>
      <c r="BM186" s="2262">
        <v>-2.1</v>
      </c>
      <c r="BN186" s="2262">
        <v>2.1</v>
      </c>
      <c r="BO186" s="2262">
        <v>0</v>
      </c>
      <c r="BP186" s="2262">
        <v>0</v>
      </c>
      <c r="BQ186" s="2262">
        <v>0</v>
      </c>
      <c r="BR186" s="2262">
        <v>0</v>
      </c>
      <c r="BS186" s="2262">
        <v>0</v>
      </c>
      <c r="BT186" s="2262">
        <v>0</v>
      </c>
      <c r="BU186" s="2262">
        <v>0</v>
      </c>
      <c r="BV186" s="2262">
        <v>0</v>
      </c>
      <c r="BW186" s="2262">
        <v>0</v>
      </c>
      <c r="BX186" s="2263">
        <v>1</v>
      </c>
      <c r="BY186" s="2262">
        <v>0.52</v>
      </c>
      <c r="BZ186" s="2262">
        <v>0.18000000000000016</v>
      </c>
      <c r="CA186" s="2064" t="s">
        <v>3524</v>
      </c>
      <c r="CC186" s="563">
        <v>2359.5299329060649</v>
      </c>
      <c r="CD186" s="563">
        <v>2359.5299329060649</v>
      </c>
    </row>
    <row r="187" spans="1:82" s="563" customFormat="1" ht="22.9" customHeight="1">
      <c r="A187" s="2241"/>
      <c r="B187" s="2242" t="s">
        <v>4</v>
      </c>
      <c r="C187" s="2243"/>
      <c r="D187" s="2244"/>
      <c r="E187" s="2243">
        <v>-2.1</v>
      </c>
      <c r="F187" s="2245">
        <v>2.1</v>
      </c>
      <c r="G187" s="2243">
        <v>0</v>
      </c>
      <c r="H187" s="2246">
        <v>-2.1</v>
      </c>
      <c r="I187" s="2245">
        <v>2.1</v>
      </c>
      <c r="J187" s="2247">
        <v>-2.1</v>
      </c>
      <c r="K187" s="2248" t="s">
        <v>3521</v>
      </c>
      <c r="L187" s="2248" t="s">
        <v>3521</v>
      </c>
      <c r="M187" s="2248" t="s">
        <v>3521</v>
      </c>
      <c r="N187" s="2249" t="s">
        <v>3521</v>
      </c>
      <c r="O187" s="2250"/>
      <c r="P187" s="2251"/>
      <c r="Q187" s="2252"/>
      <c r="R187" s="2250"/>
      <c r="S187" s="2253">
        <v>10</v>
      </c>
      <c r="T187" s="2161">
        <v>0</v>
      </c>
      <c r="U187" s="2245">
        <v>1</v>
      </c>
      <c r="V187" s="2245">
        <v>15</v>
      </c>
      <c r="W187" s="2245">
        <v>128.45752167880846</v>
      </c>
      <c r="X187" s="2245">
        <v>3.6248559335500571E-2</v>
      </c>
      <c r="Y187" s="2245">
        <v>0</v>
      </c>
      <c r="Z187" s="2161">
        <v>0</v>
      </c>
      <c r="AA187" s="2245" t="e">
        <v>#DIV/0!</v>
      </c>
      <c r="AB187" s="2245">
        <v>2.2000000000000002</v>
      </c>
      <c r="AC187" s="2245">
        <v>0</v>
      </c>
      <c r="AD187" s="2245" t="s">
        <v>1240</v>
      </c>
      <c r="AE187" s="2254">
        <v>1.4999999999999999E-2</v>
      </c>
      <c r="AF187" s="2255">
        <v>1</v>
      </c>
      <c r="AG187" s="2245">
        <v>0.6</v>
      </c>
      <c r="AH187" s="2245"/>
      <c r="AJ187" s="2256"/>
      <c r="AK187" s="2257">
        <v>0</v>
      </c>
      <c r="AL187" s="2245">
        <v>0</v>
      </c>
      <c r="AM187" s="2245">
        <v>0</v>
      </c>
      <c r="AN187" s="2245" t="e">
        <v>#DIV/0!</v>
      </c>
      <c r="AO187" s="2245" t="e">
        <v>#DIV/0!</v>
      </c>
      <c r="AP187" s="2258">
        <v>0</v>
      </c>
      <c r="AQ187" s="2259"/>
      <c r="AR187" s="2259">
        <v>0</v>
      </c>
      <c r="AS187" s="2260" t="s">
        <v>3521</v>
      </c>
      <c r="AT187" s="2259"/>
      <c r="AU187" s="2259"/>
      <c r="AV187" s="2259"/>
      <c r="AW187" s="2259">
        <v>0</v>
      </c>
      <c r="AX187" s="2261">
        <v>10000</v>
      </c>
      <c r="AY187" s="2261">
        <v>10000</v>
      </c>
      <c r="AZ187" s="2261">
        <v>10000</v>
      </c>
      <c r="BA187" s="2261">
        <v>15</v>
      </c>
      <c r="BB187" s="2261">
        <v>0</v>
      </c>
      <c r="BC187" s="2261">
        <v>0</v>
      </c>
      <c r="BD187" s="2229">
        <v>0</v>
      </c>
      <c r="BE187" s="2229">
        <v>0.114396</v>
      </c>
      <c r="BF187" s="2229">
        <v>0</v>
      </c>
      <c r="BG187" s="2229">
        <v>0</v>
      </c>
      <c r="BH187" s="2229">
        <v>0</v>
      </c>
      <c r="BI187" s="2229">
        <v>0</v>
      </c>
      <c r="BJ187" s="2229">
        <v>0</v>
      </c>
      <c r="BK187" s="2262">
        <v>0</v>
      </c>
      <c r="BL187" s="2262">
        <v>0</v>
      </c>
      <c r="BM187" s="2262">
        <v>-2.1</v>
      </c>
      <c r="BN187" s="2262">
        <v>2.1</v>
      </c>
      <c r="BO187" s="2262">
        <v>0</v>
      </c>
      <c r="BP187" s="2262">
        <v>0</v>
      </c>
      <c r="BQ187" s="2262">
        <v>0</v>
      </c>
      <c r="BR187" s="2262">
        <v>0</v>
      </c>
      <c r="BS187" s="2262">
        <v>0</v>
      </c>
      <c r="BT187" s="2262">
        <v>0</v>
      </c>
      <c r="BU187" s="2262">
        <v>0</v>
      </c>
      <c r="BV187" s="2262">
        <v>0</v>
      </c>
      <c r="BW187" s="2262">
        <v>0</v>
      </c>
      <c r="BX187" s="2263">
        <v>1</v>
      </c>
      <c r="BY187" s="2262">
        <v>0.52</v>
      </c>
      <c r="BZ187" s="2262">
        <v>0.18000000000000016</v>
      </c>
      <c r="CA187" s="2064" t="s">
        <v>3524</v>
      </c>
      <c r="CC187" s="563">
        <v>2359.5299329060649</v>
      </c>
      <c r="CD187" s="563">
        <v>2359.5299329060649</v>
      </c>
    </row>
    <row r="188" spans="1:82" s="563" customFormat="1" ht="22.9" customHeight="1">
      <c r="A188" s="2241"/>
      <c r="B188" s="2242" t="s">
        <v>4</v>
      </c>
      <c r="C188" s="2243"/>
      <c r="D188" s="2244"/>
      <c r="E188" s="2243">
        <v>-2.1</v>
      </c>
      <c r="F188" s="2245">
        <v>2.1</v>
      </c>
      <c r="G188" s="2243">
        <v>0</v>
      </c>
      <c r="H188" s="2246">
        <v>-2.1</v>
      </c>
      <c r="I188" s="2245">
        <v>2.1</v>
      </c>
      <c r="J188" s="2247">
        <v>-2.1</v>
      </c>
      <c r="K188" s="2248" t="s">
        <v>3521</v>
      </c>
      <c r="L188" s="2248" t="s">
        <v>3521</v>
      </c>
      <c r="M188" s="2248" t="s">
        <v>3521</v>
      </c>
      <c r="N188" s="2249" t="s">
        <v>3521</v>
      </c>
      <c r="O188" s="2250"/>
      <c r="P188" s="2251"/>
      <c r="Q188" s="2252"/>
      <c r="R188" s="2250"/>
      <c r="S188" s="2253">
        <v>10</v>
      </c>
      <c r="T188" s="2161">
        <v>0</v>
      </c>
      <c r="U188" s="2245">
        <v>1</v>
      </c>
      <c r="V188" s="2245">
        <v>15</v>
      </c>
      <c r="W188" s="2245">
        <v>128.45752167880846</v>
      </c>
      <c r="X188" s="2245">
        <v>3.6248559335500571E-2</v>
      </c>
      <c r="Y188" s="2245">
        <v>0</v>
      </c>
      <c r="Z188" s="2161">
        <v>0</v>
      </c>
      <c r="AA188" s="2245" t="e">
        <v>#DIV/0!</v>
      </c>
      <c r="AB188" s="2245">
        <v>2.2000000000000002</v>
      </c>
      <c r="AC188" s="2245">
        <v>0</v>
      </c>
      <c r="AD188" s="2245" t="s">
        <v>1240</v>
      </c>
      <c r="AE188" s="2254">
        <v>1.4999999999999999E-2</v>
      </c>
      <c r="AF188" s="2255">
        <v>1</v>
      </c>
      <c r="AG188" s="2245">
        <v>0.6</v>
      </c>
      <c r="AH188" s="2245"/>
      <c r="AJ188" s="2256"/>
      <c r="AK188" s="2257">
        <v>0</v>
      </c>
      <c r="AL188" s="2245">
        <v>0</v>
      </c>
      <c r="AM188" s="2245">
        <v>0</v>
      </c>
      <c r="AN188" s="2245" t="e">
        <v>#DIV/0!</v>
      </c>
      <c r="AO188" s="2245" t="e">
        <v>#DIV/0!</v>
      </c>
      <c r="AP188" s="2258">
        <v>0</v>
      </c>
      <c r="AQ188" s="2259"/>
      <c r="AR188" s="2259">
        <v>0</v>
      </c>
      <c r="AS188" s="2260" t="s">
        <v>3521</v>
      </c>
      <c r="AT188" s="2259"/>
      <c r="AU188" s="2259"/>
      <c r="AV188" s="2259"/>
      <c r="AW188" s="2259">
        <v>0</v>
      </c>
      <c r="AX188" s="2261">
        <v>10000</v>
      </c>
      <c r="AY188" s="2261">
        <v>10000</v>
      </c>
      <c r="AZ188" s="2261">
        <v>10000</v>
      </c>
      <c r="BA188" s="2261">
        <v>15</v>
      </c>
      <c r="BB188" s="2261">
        <v>0</v>
      </c>
      <c r="BC188" s="2261">
        <v>0</v>
      </c>
      <c r="BD188" s="2229">
        <v>0</v>
      </c>
      <c r="BE188" s="2229">
        <v>0.114396</v>
      </c>
      <c r="BF188" s="2229">
        <v>0</v>
      </c>
      <c r="BG188" s="2229">
        <v>0</v>
      </c>
      <c r="BH188" s="2229">
        <v>0</v>
      </c>
      <c r="BI188" s="2229">
        <v>0</v>
      </c>
      <c r="BJ188" s="2229">
        <v>0</v>
      </c>
      <c r="BK188" s="2262">
        <v>0</v>
      </c>
      <c r="BL188" s="2262">
        <v>0</v>
      </c>
      <c r="BM188" s="2262">
        <v>-2.1</v>
      </c>
      <c r="BN188" s="2262">
        <v>2.1</v>
      </c>
      <c r="BO188" s="2262">
        <v>0</v>
      </c>
      <c r="BP188" s="2262">
        <v>0</v>
      </c>
      <c r="BQ188" s="2262">
        <v>0</v>
      </c>
      <c r="BR188" s="2262">
        <v>0</v>
      </c>
      <c r="BS188" s="2262">
        <v>0</v>
      </c>
      <c r="BT188" s="2262">
        <v>0</v>
      </c>
      <c r="BU188" s="2262">
        <v>0</v>
      </c>
      <c r="BV188" s="2262">
        <v>0</v>
      </c>
      <c r="BW188" s="2262">
        <v>0</v>
      </c>
      <c r="BX188" s="2263">
        <v>1</v>
      </c>
      <c r="BY188" s="2262">
        <v>0.52</v>
      </c>
      <c r="BZ188" s="2262">
        <v>0.18000000000000016</v>
      </c>
      <c r="CA188" s="2064" t="s">
        <v>3524</v>
      </c>
      <c r="CC188" s="563">
        <v>2359.5299329060649</v>
      </c>
      <c r="CD188" s="563">
        <v>2359.5299329060649</v>
      </c>
    </row>
    <row r="189" spans="1:82" s="563" customFormat="1" ht="22.9" customHeight="1">
      <c r="A189" s="2241"/>
      <c r="B189" s="2242" t="s">
        <v>4</v>
      </c>
      <c r="C189" s="2243"/>
      <c r="D189" s="2244"/>
      <c r="E189" s="2243">
        <v>-2.1</v>
      </c>
      <c r="F189" s="2245">
        <v>2.1</v>
      </c>
      <c r="G189" s="2243">
        <v>0</v>
      </c>
      <c r="H189" s="2246">
        <v>-2.1</v>
      </c>
      <c r="I189" s="2245">
        <v>2.1</v>
      </c>
      <c r="J189" s="2247">
        <v>-2.1</v>
      </c>
      <c r="K189" s="2248" t="s">
        <v>3521</v>
      </c>
      <c r="L189" s="2248" t="s">
        <v>3521</v>
      </c>
      <c r="M189" s="2248" t="s">
        <v>3521</v>
      </c>
      <c r="N189" s="2249" t="s">
        <v>3521</v>
      </c>
      <c r="O189" s="2250"/>
      <c r="P189" s="2251"/>
      <c r="Q189" s="2252"/>
      <c r="R189" s="2250"/>
      <c r="S189" s="2253">
        <v>10</v>
      </c>
      <c r="T189" s="2161">
        <v>0</v>
      </c>
      <c r="U189" s="2245">
        <v>1</v>
      </c>
      <c r="V189" s="2245">
        <v>15</v>
      </c>
      <c r="W189" s="2245">
        <v>128.45752167880846</v>
      </c>
      <c r="X189" s="2245">
        <v>3.6248559335500571E-2</v>
      </c>
      <c r="Y189" s="2245">
        <v>0</v>
      </c>
      <c r="Z189" s="2161">
        <v>0</v>
      </c>
      <c r="AA189" s="2245" t="e">
        <v>#DIV/0!</v>
      </c>
      <c r="AB189" s="2245">
        <v>2.2000000000000002</v>
      </c>
      <c r="AC189" s="2245">
        <v>0</v>
      </c>
      <c r="AD189" s="2245" t="s">
        <v>1240</v>
      </c>
      <c r="AE189" s="2254">
        <v>1.4999999999999999E-2</v>
      </c>
      <c r="AF189" s="2255">
        <v>1</v>
      </c>
      <c r="AG189" s="2245">
        <v>0.6</v>
      </c>
      <c r="AH189" s="2245"/>
      <c r="AJ189" s="2256"/>
      <c r="AK189" s="2257">
        <v>0</v>
      </c>
      <c r="AL189" s="2245">
        <v>0</v>
      </c>
      <c r="AM189" s="2245">
        <v>0</v>
      </c>
      <c r="AN189" s="2245" t="e">
        <v>#DIV/0!</v>
      </c>
      <c r="AO189" s="2245" t="e">
        <v>#DIV/0!</v>
      </c>
      <c r="AP189" s="2258">
        <v>0</v>
      </c>
      <c r="AQ189" s="2259"/>
      <c r="AR189" s="2259">
        <v>0</v>
      </c>
      <c r="AS189" s="2260" t="s">
        <v>3521</v>
      </c>
      <c r="AT189" s="2259"/>
      <c r="AU189" s="2259"/>
      <c r="AV189" s="2259"/>
      <c r="AW189" s="2259">
        <v>0</v>
      </c>
      <c r="AX189" s="2261">
        <v>10000</v>
      </c>
      <c r="AY189" s="2261">
        <v>10000</v>
      </c>
      <c r="AZ189" s="2261">
        <v>10000</v>
      </c>
      <c r="BA189" s="2261">
        <v>15</v>
      </c>
      <c r="BB189" s="2261">
        <v>0</v>
      </c>
      <c r="BC189" s="2261">
        <v>0</v>
      </c>
      <c r="BD189" s="2229">
        <v>0</v>
      </c>
      <c r="BE189" s="2229">
        <v>0.114396</v>
      </c>
      <c r="BF189" s="2229">
        <v>0</v>
      </c>
      <c r="BG189" s="2229">
        <v>0</v>
      </c>
      <c r="BH189" s="2229">
        <v>0</v>
      </c>
      <c r="BI189" s="2229">
        <v>0</v>
      </c>
      <c r="BJ189" s="2229">
        <v>0</v>
      </c>
      <c r="BK189" s="2262">
        <v>0</v>
      </c>
      <c r="BL189" s="2262">
        <v>0</v>
      </c>
      <c r="BM189" s="2262">
        <v>-2.1</v>
      </c>
      <c r="BN189" s="2262">
        <v>2.1</v>
      </c>
      <c r="BO189" s="2262">
        <v>0</v>
      </c>
      <c r="BP189" s="2262">
        <v>0</v>
      </c>
      <c r="BQ189" s="2262">
        <v>0</v>
      </c>
      <c r="BR189" s="2262">
        <v>0</v>
      </c>
      <c r="BS189" s="2262">
        <v>0</v>
      </c>
      <c r="BT189" s="2262">
        <v>0</v>
      </c>
      <c r="BU189" s="2262">
        <v>0</v>
      </c>
      <c r="BV189" s="2262">
        <v>0</v>
      </c>
      <c r="BW189" s="2262">
        <v>0</v>
      </c>
      <c r="BX189" s="2263">
        <v>1</v>
      </c>
      <c r="BY189" s="2262">
        <v>0.52</v>
      </c>
      <c r="BZ189" s="2262">
        <v>0.18000000000000016</v>
      </c>
      <c r="CA189" s="2064" t="s">
        <v>3524</v>
      </c>
      <c r="CC189" s="563">
        <v>2359.5299329060649</v>
      </c>
      <c r="CD189" s="563">
        <v>2359.5299329060649</v>
      </c>
    </row>
    <row r="190" spans="1:82" s="563" customFormat="1" ht="22.9" customHeight="1">
      <c r="A190" s="2241"/>
      <c r="B190" s="2242" t="s">
        <v>4</v>
      </c>
      <c r="C190" s="2243"/>
      <c r="D190" s="2244"/>
      <c r="E190" s="2243">
        <v>-2.1</v>
      </c>
      <c r="F190" s="2245">
        <v>2.1</v>
      </c>
      <c r="G190" s="2243">
        <v>0</v>
      </c>
      <c r="H190" s="2246">
        <v>-2.1</v>
      </c>
      <c r="I190" s="2245">
        <v>2.1</v>
      </c>
      <c r="J190" s="2247">
        <v>-2.1</v>
      </c>
      <c r="K190" s="2248" t="s">
        <v>3521</v>
      </c>
      <c r="L190" s="2248" t="s">
        <v>3521</v>
      </c>
      <c r="M190" s="2248" t="s">
        <v>3521</v>
      </c>
      <c r="N190" s="2249" t="s">
        <v>3521</v>
      </c>
      <c r="O190" s="2250"/>
      <c r="P190" s="2251"/>
      <c r="Q190" s="2252"/>
      <c r="R190" s="2250"/>
      <c r="S190" s="2253">
        <v>10</v>
      </c>
      <c r="T190" s="2161">
        <v>0</v>
      </c>
      <c r="U190" s="2245">
        <v>1</v>
      </c>
      <c r="V190" s="2245">
        <v>15</v>
      </c>
      <c r="W190" s="2245">
        <v>128.45752167880846</v>
      </c>
      <c r="X190" s="2245">
        <v>3.6248559335500571E-2</v>
      </c>
      <c r="Y190" s="2245">
        <v>0</v>
      </c>
      <c r="Z190" s="2161">
        <v>0</v>
      </c>
      <c r="AA190" s="2245" t="e">
        <v>#DIV/0!</v>
      </c>
      <c r="AB190" s="2245">
        <v>2.2000000000000002</v>
      </c>
      <c r="AC190" s="2245">
        <v>0</v>
      </c>
      <c r="AD190" s="2245" t="s">
        <v>1240</v>
      </c>
      <c r="AE190" s="2254">
        <v>1.4999999999999999E-2</v>
      </c>
      <c r="AF190" s="2255">
        <v>1</v>
      </c>
      <c r="AG190" s="2245">
        <v>0.6</v>
      </c>
      <c r="AH190" s="2245"/>
      <c r="AJ190" s="2256"/>
      <c r="AK190" s="2257">
        <v>0</v>
      </c>
      <c r="AL190" s="2245">
        <v>0</v>
      </c>
      <c r="AM190" s="2245">
        <v>0</v>
      </c>
      <c r="AN190" s="2245" t="e">
        <v>#DIV/0!</v>
      </c>
      <c r="AO190" s="2245" t="e">
        <v>#DIV/0!</v>
      </c>
      <c r="AP190" s="2258">
        <v>0</v>
      </c>
      <c r="AQ190" s="2259"/>
      <c r="AR190" s="2259">
        <v>0</v>
      </c>
      <c r="AS190" s="2260" t="s">
        <v>3521</v>
      </c>
      <c r="AT190" s="2259"/>
      <c r="AU190" s="2259"/>
      <c r="AV190" s="2259"/>
      <c r="AW190" s="2259">
        <v>0</v>
      </c>
      <c r="AX190" s="2261">
        <v>10000</v>
      </c>
      <c r="AY190" s="2261">
        <v>10000</v>
      </c>
      <c r="AZ190" s="2261">
        <v>10000</v>
      </c>
      <c r="BA190" s="2261">
        <v>15</v>
      </c>
      <c r="BB190" s="2261">
        <v>0</v>
      </c>
      <c r="BC190" s="2261">
        <v>0</v>
      </c>
      <c r="BD190" s="2229">
        <v>0</v>
      </c>
      <c r="BE190" s="2229">
        <v>0.114396</v>
      </c>
      <c r="BF190" s="2229">
        <v>0</v>
      </c>
      <c r="BG190" s="2229">
        <v>0</v>
      </c>
      <c r="BH190" s="2229">
        <v>0</v>
      </c>
      <c r="BI190" s="2229">
        <v>0</v>
      </c>
      <c r="BJ190" s="2229">
        <v>0</v>
      </c>
      <c r="BK190" s="2262">
        <v>0</v>
      </c>
      <c r="BL190" s="2262">
        <v>0</v>
      </c>
      <c r="BM190" s="2262">
        <v>-2.1</v>
      </c>
      <c r="BN190" s="2262">
        <v>2.1</v>
      </c>
      <c r="BO190" s="2262">
        <v>0</v>
      </c>
      <c r="BP190" s="2262">
        <v>0</v>
      </c>
      <c r="BQ190" s="2262">
        <v>0</v>
      </c>
      <c r="BR190" s="2262">
        <v>0</v>
      </c>
      <c r="BS190" s="2262">
        <v>0</v>
      </c>
      <c r="BT190" s="2262">
        <v>0</v>
      </c>
      <c r="BU190" s="2262">
        <v>0</v>
      </c>
      <c r="BV190" s="2262">
        <v>0</v>
      </c>
      <c r="BW190" s="2262">
        <v>0</v>
      </c>
      <c r="BX190" s="2263">
        <v>1</v>
      </c>
      <c r="BY190" s="2262">
        <v>0.52</v>
      </c>
      <c r="BZ190" s="2262">
        <v>0.18000000000000016</v>
      </c>
      <c r="CA190" s="2064" t="s">
        <v>3524</v>
      </c>
      <c r="CC190" s="563">
        <v>2359.5299329060649</v>
      </c>
      <c r="CD190" s="563">
        <v>2359.5299329060649</v>
      </c>
    </row>
    <row r="191" spans="1:82" s="563" customFormat="1" ht="22.9" customHeight="1">
      <c r="A191" s="2241"/>
      <c r="B191" s="2242" t="s">
        <v>4</v>
      </c>
      <c r="C191" s="2243"/>
      <c r="D191" s="2244"/>
      <c r="E191" s="2243">
        <v>-2.1</v>
      </c>
      <c r="F191" s="2245">
        <v>2.1</v>
      </c>
      <c r="G191" s="2243">
        <v>0</v>
      </c>
      <c r="H191" s="2246">
        <v>-2.1</v>
      </c>
      <c r="I191" s="2245">
        <v>2.1</v>
      </c>
      <c r="J191" s="2247">
        <v>-2.1</v>
      </c>
      <c r="K191" s="2248" t="s">
        <v>3521</v>
      </c>
      <c r="L191" s="2248" t="s">
        <v>3521</v>
      </c>
      <c r="M191" s="2248" t="s">
        <v>3521</v>
      </c>
      <c r="N191" s="2249" t="s">
        <v>3521</v>
      </c>
      <c r="O191" s="2250"/>
      <c r="P191" s="2251"/>
      <c r="Q191" s="2252"/>
      <c r="R191" s="2250"/>
      <c r="S191" s="2253">
        <v>10</v>
      </c>
      <c r="T191" s="2161">
        <v>0</v>
      </c>
      <c r="U191" s="2245">
        <v>1</v>
      </c>
      <c r="V191" s="2245">
        <v>15</v>
      </c>
      <c r="W191" s="2245">
        <v>128.45752167880846</v>
      </c>
      <c r="X191" s="2245">
        <v>3.6248559335500571E-2</v>
      </c>
      <c r="Y191" s="2245">
        <v>0</v>
      </c>
      <c r="Z191" s="2161">
        <v>0</v>
      </c>
      <c r="AA191" s="2245" t="e">
        <v>#DIV/0!</v>
      </c>
      <c r="AB191" s="2245">
        <v>2.2000000000000002</v>
      </c>
      <c r="AC191" s="2245">
        <v>0</v>
      </c>
      <c r="AD191" s="2245" t="s">
        <v>1240</v>
      </c>
      <c r="AE191" s="2254">
        <v>1.4999999999999999E-2</v>
      </c>
      <c r="AF191" s="2255">
        <v>1</v>
      </c>
      <c r="AG191" s="2245">
        <v>0.6</v>
      </c>
      <c r="AH191" s="2245"/>
      <c r="AJ191" s="2256"/>
      <c r="AK191" s="2257">
        <v>0</v>
      </c>
      <c r="AL191" s="2245">
        <v>0</v>
      </c>
      <c r="AM191" s="2245">
        <v>0</v>
      </c>
      <c r="AN191" s="2245" t="e">
        <v>#DIV/0!</v>
      </c>
      <c r="AO191" s="2245" t="e">
        <v>#DIV/0!</v>
      </c>
      <c r="AP191" s="2258">
        <v>0</v>
      </c>
      <c r="AQ191" s="2259"/>
      <c r="AR191" s="2259">
        <v>0</v>
      </c>
      <c r="AS191" s="2260" t="s">
        <v>3521</v>
      </c>
      <c r="AT191" s="2259"/>
      <c r="AU191" s="2259"/>
      <c r="AV191" s="2259"/>
      <c r="AW191" s="2259">
        <v>0</v>
      </c>
      <c r="AX191" s="2261">
        <v>10000</v>
      </c>
      <c r="AY191" s="2261">
        <v>10000</v>
      </c>
      <c r="AZ191" s="2261">
        <v>10000</v>
      </c>
      <c r="BA191" s="2261">
        <v>15</v>
      </c>
      <c r="BB191" s="2261">
        <v>0</v>
      </c>
      <c r="BC191" s="2261">
        <v>0</v>
      </c>
      <c r="BD191" s="2229">
        <v>0</v>
      </c>
      <c r="BE191" s="2229">
        <v>0.114396</v>
      </c>
      <c r="BF191" s="2229">
        <v>0</v>
      </c>
      <c r="BG191" s="2229">
        <v>0</v>
      </c>
      <c r="BH191" s="2229">
        <v>0</v>
      </c>
      <c r="BI191" s="2229">
        <v>0</v>
      </c>
      <c r="BJ191" s="2229">
        <v>0</v>
      </c>
      <c r="BK191" s="2262">
        <v>0</v>
      </c>
      <c r="BL191" s="2262">
        <v>0</v>
      </c>
      <c r="BM191" s="2262">
        <v>-2.1</v>
      </c>
      <c r="BN191" s="2262">
        <v>2.1</v>
      </c>
      <c r="BO191" s="2262">
        <v>0</v>
      </c>
      <c r="BP191" s="2262">
        <v>0</v>
      </c>
      <c r="BQ191" s="2262">
        <v>0</v>
      </c>
      <c r="BR191" s="2262">
        <v>0</v>
      </c>
      <c r="BS191" s="2262">
        <v>0</v>
      </c>
      <c r="BT191" s="2262">
        <v>0</v>
      </c>
      <c r="BU191" s="2262">
        <v>0</v>
      </c>
      <c r="BV191" s="2262">
        <v>0</v>
      </c>
      <c r="BW191" s="2262">
        <v>0</v>
      </c>
      <c r="BX191" s="2263">
        <v>1</v>
      </c>
      <c r="BY191" s="2262">
        <v>0.52</v>
      </c>
      <c r="BZ191" s="2262">
        <v>0.18000000000000016</v>
      </c>
      <c r="CA191" s="2064" t="s">
        <v>3524</v>
      </c>
      <c r="CC191" s="563">
        <v>2359.5299329060649</v>
      </c>
      <c r="CD191" s="563">
        <v>2359.5299329060649</v>
      </c>
    </row>
    <row r="192" spans="1:82" s="563" customFormat="1" ht="22.9" customHeight="1">
      <c r="A192" s="2241"/>
      <c r="B192" s="2242" t="s">
        <v>4</v>
      </c>
      <c r="C192" s="2243"/>
      <c r="D192" s="2244"/>
      <c r="E192" s="2243">
        <v>-2.1</v>
      </c>
      <c r="F192" s="2245">
        <v>2.1</v>
      </c>
      <c r="G192" s="2243">
        <v>0</v>
      </c>
      <c r="H192" s="2246">
        <v>-2.1</v>
      </c>
      <c r="I192" s="2245">
        <v>2.1</v>
      </c>
      <c r="J192" s="2247">
        <v>-2.1</v>
      </c>
      <c r="K192" s="2248" t="s">
        <v>3521</v>
      </c>
      <c r="L192" s="2248" t="s">
        <v>3521</v>
      </c>
      <c r="M192" s="2248" t="s">
        <v>3521</v>
      </c>
      <c r="N192" s="2249" t="s">
        <v>3521</v>
      </c>
      <c r="O192" s="2250"/>
      <c r="P192" s="2251"/>
      <c r="Q192" s="2252"/>
      <c r="R192" s="2250"/>
      <c r="S192" s="2253">
        <v>10</v>
      </c>
      <c r="T192" s="2161">
        <v>0</v>
      </c>
      <c r="U192" s="2245">
        <v>1</v>
      </c>
      <c r="V192" s="2245">
        <v>15</v>
      </c>
      <c r="W192" s="2245">
        <v>128.45752167880846</v>
      </c>
      <c r="X192" s="2245">
        <v>3.6248559335500571E-2</v>
      </c>
      <c r="Y192" s="2245">
        <v>0</v>
      </c>
      <c r="Z192" s="2161">
        <v>0</v>
      </c>
      <c r="AA192" s="2245" t="e">
        <v>#DIV/0!</v>
      </c>
      <c r="AB192" s="2245">
        <v>2.2000000000000002</v>
      </c>
      <c r="AC192" s="2245">
        <v>0</v>
      </c>
      <c r="AD192" s="2245" t="s">
        <v>1240</v>
      </c>
      <c r="AE192" s="2254">
        <v>1.4999999999999999E-2</v>
      </c>
      <c r="AF192" s="2255">
        <v>1</v>
      </c>
      <c r="AG192" s="2245">
        <v>0.6</v>
      </c>
      <c r="AH192" s="2245"/>
      <c r="AJ192" s="2256"/>
      <c r="AK192" s="2257">
        <v>0</v>
      </c>
      <c r="AL192" s="2245">
        <v>0</v>
      </c>
      <c r="AM192" s="2245">
        <v>0</v>
      </c>
      <c r="AN192" s="2245" t="e">
        <v>#DIV/0!</v>
      </c>
      <c r="AO192" s="2245" t="e">
        <v>#DIV/0!</v>
      </c>
      <c r="AP192" s="2258">
        <v>0</v>
      </c>
      <c r="AQ192" s="2259"/>
      <c r="AR192" s="2259">
        <v>0</v>
      </c>
      <c r="AS192" s="2260" t="s">
        <v>3521</v>
      </c>
      <c r="AT192" s="2259"/>
      <c r="AU192" s="2259"/>
      <c r="AV192" s="2259"/>
      <c r="AW192" s="2259">
        <v>0</v>
      </c>
      <c r="AX192" s="2261">
        <v>10000</v>
      </c>
      <c r="AY192" s="2261">
        <v>10000</v>
      </c>
      <c r="AZ192" s="2261">
        <v>10000</v>
      </c>
      <c r="BA192" s="2261">
        <v>15</v>
      </c>
      <c r="BB192" s="2261">
        <v>0</v>
      </c>
      <c r="BC192" s="2261">
        <v>0</v>
      </c>
      <c r="BD192" s="2229">
        <v>0</v>
      </c>
      <c r="BE192" s="2229">
        <v>0.114396</v>
      </c>
      <c r="BF192" s="2229">
        <v>0</v>
      </c>
      <c r="BG192" s="2229">
        <v>0</v>
      </c>
      <c r="BH192" s="2229">
        <v>0</v>
      </c>
      <c r="BI192" s="2229">
        <v>0</v>
      </c>
      <c r="BJ192" s="2229">
        <v>0</v>
      </c>
      <c r="BK192" s="2262">
        <v>0</v>
      </c>
      <c r="BL192" s="2262">
        <v>0</v>
      </c>
      <c r="BM192" s="2262">
        <v>-2.1</v>
      </c>
      <c r="BN192" s="2262">
        <v>2.1</v>
      </c>
      <c r="BO192" s="2262">
        <v>0</v>
      </c>
      <c r="BP192" s="2262">
        <v>0</v>
      </c>
      <c r="BQ192" s="2262">
        <v>0</v>
      </c>
      <c r="BR192" s="2262">
        <v>0</v>
      </c>
      <c r="BS192" s="2262">
        <v>0</v>
      </c>
      <c r="BT192" s="2262">
        <v>0</v>
      </c>
      <c r="BU192" s="2262">
        <v>0</v>
      </c>
      <c r="BV192" s="2262">
        <v>0</v>
      </c>
      <c r="BW192" s="2262">
        <v>0</v>
      </c>
      <c r="BX192" s="2263">
        <v>1</v>
      </c>
      <c r="BY192" s="2262">
        <v>0.52</v>
      </c>
      <c r="BZ192" s="2262">
        <v>0.18000000000000016</v>
      </c>
      <c r="CA192" s="2064" t="s">
        <v>3524</v>
      </c>
      <c r="CC192" s="563">
        <v>2359.5299329060649</v>
      </c>
      <c r="CD192" s="563">
        <v>2359.5299329060649</v>
      </c>
    </row>
    <row r="193" spans="1:82" s="563" customFormat="1" ht="22.9" customHeight="1">
      <c r="A193" s="2241"/>
      <c r="B193" s="2242" t="s">
        <v>4</v>
      </c>
      <c r="C193" s="2243"/>
      <c r="D193" s="2244"/>
      <c r="E193" s="2243">
        <v>-2.1</v>
      </c>
      <c r="F193" s="2245">
        <v>2.1</v>
      </c>
      <c r="G193" s="2243">
        <v>0</v>
      </c>
      <c r="H193" s="2246">
        <v>-2.1</v>
      </c>
      <c r="I193" s="2245">
        <v>2.1</v>
      </c>
      <c r="J193" s="2247">
        <v>-2.1</v>
      </c>
      <c r="K193" s="2248" t="s">
        <v>3521</v>
      </c>
      <c r="L193" s="2248" t="s">
        <v>3521</v>
      </c>
      <c r="M193" s="2248" t="s">
        <v>3521</v>
      </c>
      <c r="N193" s="2249" t="s">
        <v>3521</v>
      </c>
      <c r="O193" s="2250"/>
      <c r="P193" s="2251"/>
      <c r="Q193" s="2252"/>
      <c r="R193" s="2250"/>
      <c r="S193" s="2253">
        <v>10</v>
      </c>
      <c r="T193" s="2161">
        <v>0</v>
      </c>
      <c r="U193" s="2245">
        <v>1</v>
      </c>
      <c r="V193" s="2245">
        <v>15</v>
      </c>
      <c r="W193" s="2245">
        <v>128.45752167880846</v>
      </c>
      <c r="X193" s="2245">
        <v>3.6248559335500571E-2</v>
      </c>
      <c r="Y193" s="2245">
        <v>0</v>
      </c>
      <c r="Z193" s="2161">
        <v>0</v>
      </c>
      <c r="AA193" s="2245" t="e">
        <v>#DIV/0!</v>
      </c>
      <c r="AB193" s="2245">
        <v>2.2000000000000002</v>
      </c>
      <c r="AC193" s="2245">
        <v>0</v>
      </c>
      <c r="AD193" s="2245" t="s">
        <v>1240</v>
      </c>
      <c r="AE193" s="2254">
        <v>1.4999999999999999E-2</v>
      </c>
      <c r="AF193" s="2255">
        <v>1</v>
      </c>
      <c r="AG193" s="2245">
        <v>0.6</v>
      </c>
      <c r="AH193" s="2245"/>
      <c r="AJ193" s="2256"/>
      <c r="AK193" s="2257">
        <v>0</v>
      </c>
      <c r="AL193" s="2245">
        <v>0</v>
      </c>
      <c r="AM193" s="2245">
        <v>0</v>
      </c>
      <c r="AN193" s="2245" t="e">
        <v>#DIV/0!</v>
      </c>
      <c r="AO193" s="2245" t="e">
        <v>#DIV/0!</v>
      </c>
      <c r="AP193" s="2258">
        <v>0</v>
      </c>
      <c r="AQ193" s="2259"/>
      <c r="AR193" s="2259">
        <v>0</v>
      </c>
      <c r="AS193" s="2260" t="s">
        <v>3521</v>
      </c>
      <c r="AT193" s="2259"/>
      <c r="AU193" s="2259"/>
      <c r="AV193" s="2259"/>
      <c r="AW193" s="2259">
        <v>0</v>
      </c>
      <c r="AX193" s="2261">
        <v>10000</v>
      </c>
      <c r="AY193" s="2261">
        <v>10000</v>
      </c>
      <c r="AZ193" s="2261">
        <v>10000</v>
      </c>
      <c r="BA193" s="2261">
        <v>15</v>
      </c>
      <c r="BB193" s="2261">
        <v>0</v>
      </c>
      <c r="BC193" s="2261">
        <v>0</v>
      </c>
      <c r="BD193" s="2229">
        <v>0</v>
      </c>
      <c r="BE193" s="2229">
        <v>0.114396</v>
      </c>
      <c r="BF193" s="2229">
        <v>0</v>
      </c>
      <c r="BG193" s="2229">
        <v>0</v>
      </c>
      <c r="BH193" s="2229">
        <v>0</v>
      </c>
      <c r="BI193" s="2229">
        <v>0</v>
      </c>
      <c r="BJ193" s="2229">
        <v>0</v>
      </c>
      <c r="BK193" s="2262">
        <v>0</v>
      </c>
      <c r="BL193" s="2262">
        <v>0</v>
      </c>
      <c r="BM193" s="2262">
        <v>-2.1</v>
      </c>
      <c r="BN193" s="2262">
        <v>2.1</v>
      </c>
      <c r="BO193" s="2262">
        <v>0</v>
      </c>
      <c r="BP193" s="2262">
        <v>0</v>
      </c>
      <c r="BQ193" s="2262">
        <v>0</v>
      </c>
      <c r="BR193" s="2262">
        <v>0</v>
      </c>
      <c r="BS193" s="2262">
        <v>0</v>
      </c>
      <c r="BT193" s="2262">
        <v>0</v>
      </c>
      <c r="BU193" s="2262">
        <v>0</v>
      </c>
      <c r="BV193" s="2262">
        <v>0</v>
      </c>
      <c r="BW193" s="2262">
        <v>0</v>
      </c>
      <c r="BX193" s="2263">
        <v>1</v>
      </c>
      <c r="BY193" s="2262">
        <v>0.52</v>
      </c>
      <c r="BZ193" s="2262">
        <v>0.18000000000000016</v>
      </c>
      <c r="CA193" s="2064" t="s">
        <v>3524</v>
      </c>
      <c r="CC193" s="563">
        <v>2359.5299329060649</v>
      </c>
      <c r="CD193" s="563">
        <v>2359.5299329060649</v>
      </c>
    </row>
    <row r="194" spans="1:82" s="563" customFormat="1" ht="22.9" customHeight="1">
      <c r="A194" s="2241"/>
      <c r="B194" s="2242" t="s">
        <v>4</v>
      </c>
      <c r="C194" s="2243"/>
      <c r="D194" s="2244"/>
      <c r="E194" s="2243">
        <v>-2.1</v>
      </c>
      <c r="F194" s="2245">
        <v>2.1</v>
      </c>
      <c r="G194" s="2243">
        <v>0</v>
      </c>
      <c r="H194" s="2246">
        <v>-2.1</v>
      </c>
      <c r="I194" s="2245">
        <v>2.1</v>
      </c>
      <c r="J194" s="2247">
        <v>-2.1</v>
      </c>
      <c r="K194" s="2248" t="s">
        <v>3521</v>
      </c>
      <c r="L194" s="2248" t="s">
        <v>3521</v>
      </c>
      <c r="M194" s="2248" t="s">
        <v>3521</v>
      </c>
      <c r="N194" s="2249" t="s">
        <v>3521</v>
      </c>
      <c r="O194" s="2250"/>
      <c r="P194" s="2251"/>
      <c r="Q194" s="2252"/>
      <c r="R194" s="2250"/>
      <c r="S194" s="2253">
        <v>10</v>
      </c>
      <c r="T194" s="2161">
        <v>0</v>
      </c>
      <c r="U194" s="2245">
        <v>1</v>
      </c>
      <c r="V194" s="2245">
        <v>15</v>
      </c>
      <c r="W194" s="2245">
        <v>128.45752167880846</v>
      </c>
      <c r="X194" s="2245">
        <v>3.6248559335500571E-2</v>
      </c>
      <c r="Y194" s="2245">
        <v>0</v>
      </c>
      <c r="Z194" s="2161">
        <v>0</v>
      </c>
      <c r="AA194" s="2245" t="e">
        <v>#DIV/0!</v>
      </c>
      <c r="AB194" s="2245">
        <v>2.2000000000000002</v>
      </c>
      <c r="AC194" s="2245">
        <v>0</v>
      </c>
      <c r="AD194" s="2245" t="s">
        <v>1240</v>
      </c>
      <c r="AE194" s="2254">
        <v>1.4999999999999999E-2</v>
      </c>
      <c r="AF194" s="2255">
        <v>1</v>
      </c>
      <c r="AG194" s="2245">
        <v>0.6</v>
      </c>
      <c r="AH194" s="2245"/>
      <c r="AJ194" s="2256"/>
      <c r="AK194" s="2257">
        <v>0</v>
      </c>
      <c r="AL194" s="2245">
        <v>0</v>
      </c>
      <c r="AM194" s="2245">
        <v>0</v>
      </c>
      <c r="AN194" s="2245" t="e">
        <v>#DIV/0!</v>
      </c>
      <c r="AO194" s="2245" t="e">
        <v>#DIV/0!</v>
      </c>
      <c r="AP194" s="2258">
        <v>0</v>
      </c>
      <c r="AQ194" s="2259"/>
      <c r="AR194" s="2259">
        <v>0</v>
      </c>
      <c r="AS194" s="2260" t="s">
        <v>3521</v>
      </c>
      <c r="AT194" s="2259"/>
      <c r="AU194" s="2259"/>
      <c r="AV194" s="2259"/>
      <c r="AW194" s="2259">
        <v>0</v>
      </c>
      <c r="AX194" s="2261">
        <v>10000</v>
      </c>
      <c r="AY194" s="2261">
        <v>10000</v>
      </c>
      <c r="AZ194" s="2261">
        <v>10000</v>
      </c>
      <c r="BA194" s="2261">
        <v>15</v>
      </c>
      <c r="BB194" s="2261">
        <v>0</v>
      </c>
      <c r="BC194" s="2261">
        <v>0</v>
      </c>
      <c r="BD194" s="2229">
        <v>0</v>
      </c>
      <c r="BE194" s="2229">
        <v>0.114396</v>
      </c>
      <c r="BF194" s="2229">
        <v>0</v>
      </c>
      <c r="BG194" s="2229">
        <v>0</v>
      </c>
      <c r="BH194" s="2229">
        <v>0</v>
      </c>
      <c r="BI194" s="2229">
        <v>0</v>
      </c>
      <c r="BJ194" s="2229">
        <v>0</v>
      </c>
      <c r="BK194" s="2262">
        <v>0</v>
      </c>
      <c r="BL194" s="2262">
        <v>0</v>
      </c>
      <c r="BM194" s="2262">
        <v>-2.1</v>
      </c>
      <c r="BN194" s="2262">
        <v>2.1</v>
      </c>
      <c r="BO194" s="2262">
        <v>0</v>
      </c>
      <c r="BP194" s="2262">
        <v>0</v>
      </c>
      <c r="BQ194" s="2262">
        <v>0</v>
      </c>
      <c r="BR194" s="2262">
        <v>0</v>
      </c>
      <c r="BS194" s="2262">
        <v>0</v>
      </c>
      <c r="BT194" s="2262">
        <v>0</v>
      </c>
      <c r="BU194" s="2262">
        <v>0</v>
      </c>
      <c r="BV194" s="2262">
        <v>0</v>
      </c>
      <c r="BW194" s="2262">
        <v>0</v>
      </c>
      <c r="BX194" s="2263">
        <v>1</v>
      </c>
      <c r="BY194" s="2262">
        <v>0.52</v>
      </c>
      <c r="BZ194" s="2262">
        <v>0.18000000000000016</v>
      </c>
      <c r="CA194" s="2064" t="s">
        <v>3524</v>
      </c>
      <c r="CC194" s="563">
        <v>2359.5299329060649</v>
      </c>
      <c r="CD194" s="563">
        <v>2359.5299329060649</v>
      </c>
    </row>
    <row r="195" spans="1:82" s="563" customFormat="1" ht="22.9" customHeight="1">
      <c r="A195" s="2241"/>
      <c r="B195" s="2242" t="s">
        <v>4</v>
      </c>
      <c r="C195" s="2243"/>
      <c r="D195" s="2244"/>
      <c r="E195" s="2243">
        <v>-2.1</v>
      </c>
      <c r="F195" s="2245">
        <v>2.1</v>
      </c>
      <c r="G195" s="2243">
        <v>0</v>
      </c>
      <c r="H195" s="2246">
        <v>-2.1</v>
      </c>
      <c r="I195" s="2245">
        <v>2.1</v>
      </c>
      <c r="J195" s="2247">
        <v>-2.1</v>
      </c>
      <c r="K195" s="2248" t="s">
        <v>3521</v>
      </c>
      <c r="L195" s="2248" t="s">
        <v>3521</v>
      </c>
      <c r="M195" s="2248" t="s">
        <v>3521</v>
      </c>
      <c r="N195" s="2249" t="s">
        <v>3521</v>
      </c>
      <c r="O195" s="2250"/>
      <c r="P195" s="2251"/>
      <c r="Q195" s="2252"/>
      <c r="R195" s="2250"/>
      <c r="S195" s="2253">
        <v>10</v>
      </c>
      <c r="T195" s="2161">
        <v>0</v>
      </c>
      <c r="U195" s="2245">
        <v>1</v>
      </c>
      <c r="V195" s="2245">
        <v>15</v>
      </c>
      <c r="W195" s="2245">
        <v>128.45752167880846</v>
      </c>
      <c r="X195" s="2245">
        <v>3.6248559335500571E-2</v>
      </c>
      <c r="Y195" s="2245">
        <v>0</v>
      </c>
      <c r="Z195" s="2161">
        <v>0</v>
      </c>
      <c r="AA195" s="2245" t="e">
        <v>#DIV/0!</v>
      </c>
      <c r="AB195" s="2245">
        <v>2.2000000000000002</v>
      </c>
      <c r="AC195" s="2245">
        <v>0</v>
      </c>
      <c r="AD195" s="2245" t="s">
        <v>1240</v>
      </c>
      <c r="AE195" s="2254">
        <v>1.4999999999999999E-2</v>
      </c>
      <c r="AF195" s="2255">
        <v>1</v>
      </c>
      <c r="AG195" s="2245">
        <v>0.6</v>
      </c>
      <c r="AH195" s="2245"/>
      <c r="AJ195" s="2256"/>
      <c r="AK195" s="2257">
        <v>0</v>
      </c>
      <c r="AL195" s="2245">
        <v>0</v>
      </c>
      <c r="AM195" s="2245">
        <v>0</v>
      </c>
      <c r="AN195" s="2245" t="e">
        <v>#DIV/0!</v>
      </c>
      <c r="AO195" s="2245" t="e">
        <v>#DIV/0!</v>
      </c>
      <c r="AP195" s="2258">
        <v>0</v>
      </c>
      <c r="AQ195" s="2259"/>
      <c r="AR195" s="2259">
        <v>0</v>
      </c>
      <c r="AS195" s="2260" t="s">
        <v>3521</v>
      </c>
      <c r="AT195" s="2259"/>
      <c r="AU195" s="2259"/>
      <c r="AV195" s="2259"/>
      <c r="AW195" s="2259">
        <v>0</v>
      </c>
      <c r="AX195" s="2261">
        <v>10000</v>
      </c>
      <c r="AY195" s="2261">
        <v>10000</v>
      </c>
      <c r="AZ195" s="2261">
        <v>10000</v>
      </c>
      <c r="BA195" s="2261">
        <v>15</v>
      </c>
      <c r="BB195" s="2261">
        <v>0</v>
      </c>
      <c r="BC195" s="2261">
        <v>0</v>
      </c>
      <c r="BD195" s="2229">
        <v>0</v>
      </c>
      <c r="BE195" s="2229">
        <v>0.114396</v>
      </c>
      <c r="BF195" s="2229">
        <v>0</v>
      </c>
      <c r="BG195" s="2229">
        <v>0</v>
      </c>
      <c r="BH195" s="2229">
        <v>0</v>
      </c>
      <c r="BI195" s="2229">
        <v>0</v>
      </c>
      <c r="BJ195" s="2229">
        <v>0</v>
      </c>
      <c r="BK195" s="2262">
        <v>0</v>
      </c>
      <c r="BL195" s="2262">
        <v>0</v>
      </c>
      <c r="BM195" s="2262">
        <v>-2.1</v>
      </c>
      <c r="BN195" s="2262">
        <v>2.1</v>
      </c>
      <c r="BO195" s="2262">
        <v>0</v>
      </c>
      <c r="BP195" s="2262">
        <v>0</v>
      </c>
      <c r="BQ195" s="2262">
        <v>0</v>
      </c>
      <c r="BR195" s="2262">
        <v>0</v>
      </c>
      <c r="BS195" s="2262">
        <v>0</v>
      </c>
      <c r="BT195" s="2262">
        <v>0</v>
      </c>
      <c r="BU195" s="2262">
        <v>0</v>
      </c>
      <c r="BV195" s="2262">
        <v>0</v>
      </c>
      <c r="BW195" s="2262">
        <v>0</v>
      </c>
      <c r="BX195" s="2263">
        <v>1</v>
      </c>
      <c r="BY195" s="2262">
        <v>0.52</v>
      </c>
      <c r="BZ195" s="2262">
        <v>0.18000000000000016</v>
      </c>
      <c r="CA195" s="2064" t="s">
        <v>3524</v>
      </c>
      <c r="CC195" s="563">
        <v>2359.5299329060649</v>
      </c>
      <c r="CD195" s="563">
        <v>2359.5299329060649</v>
      </c>
    </row>
    <row r="196" spans="1:82" s="563" customFormat="1" ht="22.9" customHeight="1">
      <c r="A196" s="2241"/>
      <c r="B196" s="2242" t="s">
        <v>4</v>
      </c>
      <c r="C196" s="2243"/>
      <c r="D196" s="2244"/>
      <c r="E196" s="2243">
        <v>-2.1</v>
      </c>
      <c r="F196" s="2245">
        <v>2.1</v>
      </c>
      <c r="G196" s="2243">
        <v>0</v>
      </c>
      <c r="H196" s="2246">
        <v>-2.1</v>
      </c>
      <c r="I196" s="2245">
        <v>2.1</v>
      </c>
      <c r="J196" s="2247">
        <v>-2.1</v>
      </c>
      <c r="K196" s="2248" t="s">
        <v>3521</v>
      </c>
      <c r="L196" s="2248" t="s">
        <v>3521</v>
      </c>
      <c r="M196" s="2248" t="s">
        <v>3521</v>
      </c>
      <c r="N196" s="2249" t="s">
        <v>3521</v>
      </c>
      <c r="O196" s="2250"/>
      <c r="P196" s="2251"/>
      <c r="Q196" s="2252"/>
      <c r="R196" s="2250"/>
      <c r="S196" s="2253">
        <v>10</v>
      </c>
      <c r="T196" s="2161">
        <v>0</v>
      </c>
      <c r="U196" s="2245">
        <v>1</v>
      </c>
      <c r="V196" s="2245">
        <v>15</v>
      </c>
      <c r="W196" s="2245">
        <v>128.45752167880846</v>
      </c>
      <c r="X196" s="2245">
        <v>3.6248559335500571E-2</v>
      </c>
      <c r="Y196" s="2245">
        <v>0</v>
      </c>
      <c r="Z196" s="2161">
        <v>0</v>
      </c>
      <c r="AA196" s="2245" t="e">
        <v>#DIV/0!</v>
      </c>
      <c r="AB196" s="2245">
        <v>2.2000000000000002</v>
      </c>
      <c r="AC196" s="2245">
        <v>0</v>
      </c>
      <c r="AD196" s="2245" t="s">
        <v>1240</v>
      </c>
      <c r="AE196" s="2254">
        <v>1.4999999999999999E-2</v>
      </c>
      <c r="AF196" s="2255">
        <v>1</v>
      </c>
      <c r="AG196" s="2245">
        <v>0.6</v>
      </c>
      <c r="AH196" s="2245"/>
      <c r="AJ196" s="2256"/>
      <c r="AK196" s="2257">
        <v>0</v>
      </c>
      <c r="AL196" s="2245">
        <v>0</v>
      </c>
      <c r="AM196" s="2245">
        <v>0</v>
      </c>
      <c r="AN196" s="2245" t="e">
        <v>#DIV/0!</v>
      </c>
      <c r="AO196" s="2245" t="e">
        <v>#DIV/0!</v>
      </c>
      <c r="AP196" s="2258">
        <v>0</v>
      </c>
      <c r="AQ196" s="2259"/>
      <c r="AR196" s="2259">
        <v>0</v>
      </c>
      <c r="AS196" s="2260" t="s">
        <v>3521</v>
      </c>
      <c r="AT196" s="2259"/>
      <c r="AU196" s="2259"/>
      <c r="AV196" s="2259"/>
      <c r="AW196" s="2259">
        <v>0</v>
      </c>
      <c r="AX196" s="2261">
        <v>10000</v>
      </c>
      <c r="AY196" s="2261">
        <v>10000</v>
      </c>
      <c r="AZ196" s="2261">
        <v>10000</v>
      </c>
      <c r="BA196" s="2261">
        <v>15</v>
      </c>
      <c r="BB196" s="2261">
        <v>0</v>
      </c>
      <c r="BC196" s="2261">
        <v>0</v>
      </c>
      <c r="BD196" s="2229">
        <v>0</v>
      </c>
      <c r="BE196" s="2229">
        <v>0.114396</v>
      </c>
      <c r="BF196" s="2229">
        <v>0</v>
      </c>
      <c r="BG196" s="2229">
        <v>0</v>
      </c>
      <c r="BH196" s="2229">
        <v>0</v>
      </c>
      <c r="BI196" s="2229">
        <v>0</v>
      </c>
      <c r="BJ196" s="2229">
        <v>0</v>
      </c>
      <c r="BK196" s="2262">
        <v>0</v>
      </c>
      <c r="BL196" s="2262">
        <v>0</v>
      </c>
      <c r="BM196" s="2262">
        <v>-2.1</v>
      </c>
      <c r="BN196" s="2262">
        <v>2.1</v>
      </c>
      <c r="BO196" s="2262">
        <v>0</v>
      </c>
      <c r="BP196" s="2262">
        <v>0</v>
      </c>
      <c r="BQ196" s="2262">
        <v>0</v>
      </c>
      <c r="BR196" s="2262">
        <v>0</v>
      </c>
      <c r="BS196" s="2262">
        <v>0</v>
      </c>
      <c r="BT196" s="2262">
        <v>0</v>
      </c>
      <c r="BU196" s="2262">
        <v>0</v>
      </c>
      <c r="BV196" s="2262">
        <v>0</v>
      </c>
      <c r="BW196" s="2262">
        <v>0</v>
      </c>
      <c r="BX196" s="2263">
        <v>1</v>
      </c>
      <c r="BY196" s="2262">
        <v>0.52</v>
      </c>
      <c r="BZ196" s="2262">
        <v>0.18000000000000016</v>
      </c>
      <c r="CA196" s="2064" t="s">
        <v>3524</v>
      </c>
      <c r="CC196" s="563">
        <v>2359.5299329060649</v>
      </c>
      <c r="CD196" s="563">
        <v>2359.5299329060649</v>
      </c>
    </row>
    <row r="197" spans="1:82" s="563" customFormat="1" ht="22.9" customHeight="1">
      <c r="A197" s="2241"/>
      <c r="B197" s="2242" t="s">
        <v>4</v>
      </c>
      <c r="C197" s="2243"/>
      <c r="D197" s="2244"/>
      <c r="E197" s="2243">
        <v>-2.1</v>
      </c>
      <c r="F197" s="2245">
        <v>2.1</v>
      </c>
      <c r="G197" s="2243">
        <v>0</v>
      </c>
      <c r="H197" s="2246">
        <v>-2.1</v>
      </c>
      <c r="I197" s="2245">
        <v>2.1</v>
      </c>
      <c r="J197" s="2247">
        <v>-2.1</v>
      </c>
      <c r="K197" s="2248" t="s">
        <v>3521</v>
      </c>
      <c r="L197" s="2248" t="s">
        <v>3521</v>
      </c>
      <c r="M197" s="2248" t="s">
        <v>3521</v>
      </c>
      <c r="N197" s="2249" t="s">
        <v>3521</v>
      </c>
      <c r="O197" s="2250"/>
      <c r="P197" s="2251"/>
      <c r="Q197" s="2252"/>
      <c r="R197" s="2250"/>
      <c r="S197" s="2253">
        <v>10</v>
      </c>
      <c r="T197" s="2161">
        <v>0</v>
      </c>
      <c r="U197" s="2245">
        <v>1</v>
      </c>
      <c r="V197" s="2245">
        <v>15</v>
      </c>
      <c r="W197" s="2245">
        <v>128.45752167880846</v>
      </c>
      <c r="X197" s="2245">
        <v>3.6248559335500571E-2</v>
      </c>
      <c r="Y197" s="2245">
        <v>0</v>
      </c>
      <c r="Z197" s="2161">
        <v>0</v>
      </c>
      <c r="AA197" s="2245" t="e">
        <v>#DIV/0!</v>
      </c>
      <c r="AB197" s="2245">
        <v>2.2000000000000002</v>
      </c>
      <c r="AC197" s="2245">
        <v>0</v>
      </c>
      <c r="AD197" s="2245" t="s">
        <v>1240</v>
      </c>
      <c r="AE197" s="2254">
        <v>1.4999999999999999E-2</v>
      </c>
      <c r="AF197" s="2255">
        <v>1</v>
      </c>
      <c r="AG197" s="2245">
        <v>0.6</v>
      </c>
      <c r="AH197" s="2245"/>
      <c r="AJ197" s="2256"/>
      <c r="AK197" s="2257">
        <v>0</v>
      </c>
      <c r="AL197" s="2245">
        <v>0</v>
      </c>
      <c r="AM197" s="2245">
        <v>0</v>
      </c>
      <c r="AN197" s="2245" t="e">
        <v>#DIV/0!</v>
      </c>
      <c r="AO197" s="2245" t="e">
        <v>#DIV/0!</v>
      </c>
      <c r="AP197" s="2258">
        <v>0</v>
      </c>
      <c r="AQ197" s="2259"/>
      <c r="AR197" s="2259">
        <v>0</v>
      </c>
      <c r="AS197" s="2260" t="s">
        <v>3521</v>
      </c>
      <c r="AT197" s="2259"/>
      <c r="AU197" s="2259"/>
      <c r="AV197" s="2259"/>
      <c r="AW197" s="2259">
        <v>0</v>
      </c>
      <c r="AX197" s="2261">
        <v>10000</v>
      </c>
      <c r="AY197" s="2261">
        <v>10000</v>
      </c>
      <c r="AZ197" s="2261">
        <v>10000</v>
      </c>
      <c r="BA197" s="2261">
        <v>15</v>
      </c>
      <c r="BB197" s="2261">
        <v>0</v>
      </c>
      <c r="BC197" s="2261">
        <v>0</v>
      </c>
      <c r="BD197" s="2229">
        <v>0</v>
      </c>
      <c r="BE197" s="2229">
        <v>0.114396</v>
      </c>
      <c r="BF197" s="2229">
        <v>0</v>
      </c>
      <c r="BG197" s="2229">
        <v>0</v>
      </c>
      <c r="BH197" s="2229">
        <v>0</v>
      </c>
      <c r="BI197" s="2229">
        <v>0</v>
      </c>
      <c r="BJ197" s="2229">
        <v>0</v>
      </c>
      <c r="BK197" s="2262">
        <v>0</v>
      </c>
      <c r="BL197" s="2262">
        <v>0</v>
      </c>
      <c r="BM197" s="2262">
        <v>-2.1</v>
      </c>
      <c r="BN197" s="2262">
        <v>2.1</v>
      </c>
      <c r="BO197" s="2262">
        <v>0</v>
      </c>
      <c r="BP197" s="2262">
        <v>0</v>
      </c>
      <c r="BQ197" s="2262">
        <v>0</v>
      </c>
      <c r="BR197" s="2262">
        <v>0</v>
      </c>
      <c r="BS197" s="2262">
        <v>0</v>
      </c>
      <c r="BT197" s="2262">
        <v>0</v>
      </c>
      <c r="BU197" s="2262">
        <v>0</v>
      </c>
      <c r="BV197" s="2262">
        <v>0</v>
      </c>
      <c r="BW197" s="2262">
        <v>0</v>
      </c>
      <c r="BX197" s="2263">
        <v>1</v>
      </c>
      <c r="BY197" s="2262">
        <v>0.52</v>
      </c>
      <c r="BZ197" s="2262">
        <v>0.18000000000000016</v>
      </c>
      <c r="CA197" s="2064" t="s">
        <v>3524</v>
      </c>
      <c r="CC197" s="563">
        <v>2359.5299329060649</v>
      </c>
      <c r="CD197" s="563">
        <v>2359.5299329060649</v>
      </c>
    </row>
    <row r="198" spans="1:82" s="563" customFormat="1" ht="22.9" customHeight="1">
      <c r="A198" s="2241"/>
      <c r="B198" s="2242" t="s">
        <v>4</v>
      </c>
      <c r="C198" s="2243"/>
      <c r="D198" s="2244"/>
      <c r="E198" s="2243">
        <v>-2.1</v>
      </c>
      <c r="F198" s="2245">
        <v>2.1</v>
      </c>
      <c r="G198" s="2243">
        <v>0</v>
      </c>
      <c r="H198" s="2246">
        <v>-2.1</v>
      </c>
      <c r="I198" s="2245">
        <v>2.1</v>
      </c>
      <c r="J198" s="2247">
        <v>-2.1</v>
      </c>
      <c r="K198" s="2248" t="s">
        <v>3521</v>
      </c>
      <c r="L198" s="2248" t="s">
        <v>3521</v>
      </c>
      <c r="M198" s="2248" t="s">
        <v>3521</v>
      </c>
      <c r="N198" s="2249" t="s">
        <v>3521</v>
      </c>
      <c r="O198" s="2250"/>
      <c r="P198" s="2251"/>
      <c r="Q198" s="2252"/>
      <c r="R198" s="2250"/>
      <c r="S198" s="2253">
        <v>10</v>
      </c>
      <c r="T198" s="2161">
        <v>0</v>
      </c>
      <c r="U198" s="2245">
        <v>1</v>
      </c>
      <c r="V198" s="2245">
        <v>15</v>
      </c>
      <c r="W198" s="2245">
        <v>128.45752167880846</v>
      </c>
      <c r="X198" s="2245">
        <v>3.6248559335500571E-2</v>
      </c>
      <c r="Y198" s="2245">
        <v>0</v>
      </c>
      <c r="Z198" s="2161">
        <v>0</v>
      </c>
      <c r="AA198" s="2245" t="e">
        <v>#DIV/0!</v>
      </c>
      <c r="AB198" s="2245">
        <v>2.2000000000000002</v>
      </c>
      <c r="AC198" s="2245">
        <v>0</v>
      </c>
      <c r="AD198" s="2245" t="s">
        <v>1240</v>
      </c>
      <c r="AE198" s="2254">
        <v>1.4999999999999999E-2</v>
      </c>
      <c r="AF198" s="2255">
        <v>1</v>
      </c>
      <c r="AG198" s="2245">
        <v>0.6</v>
      </c>
      <c r="AH198" s="2245"/>
      <c r="AJ198" s="2256"/>
      <c r="AK198" s="2257">
        <v>0</v>
      </c>
      <c r="AL198" s="2245">
        <v>0</v>
      </c>
      <c r="AM198" s="2245">
        <v>0</v>
      </c>
      <c r="AN198" s="2245" t="e">
        <v>#DIV/0!</v>
      </c>
      <c r="AO198" s="2245" t="e">
        <v>#DIV/0!</v>
      </c>
      <c r="AP198" s="2258">
        <v>0</v>
      </c>
      <c r="AQ198" s="2259"/>
      <c r="AR198" s="2259">
        <v>0</v>
      </c>
      <c r="AS198" s="2260" t="s">
        <v>3521</v>
      </c>
      <c r="AT198" s="2259"/>
      <c r="AU198" s="2259"/>
      <c r="AV198" s="2259"/>
      <c r="AW198" s="2259">
        <v>0</v>
      </c>
      <c r="AX198" s="2261">
        <v>10000</v>
      </c>
      <c r="AY198" s="2261">
        <v>10000</v>
      </c>
      <c r="AZ198" s="2261">
        <v>10000</v>
      </c>
      <c r="BA198" s="2261">
        <v>15</v>
      </c>
      <c r="BB198" s="2261">
        <v>0</v>
      </c>
      <c r="BC198" s="2261">
        <v>0</v>
      </c>
      <c r="BD198" s="2229">
        <v>0</v>
      </c>
      <c r="BE198" s="2229">
        <v>0.114396</v>
      </c>
      <c r="BF198" s="2229">
        <v>0</v>
      </c>
      <c r="BG198" s="2229">
        <v>0</v>
      </c>
      <c r="BH198" s="2229">
        <v>0</v>
      </c>
      <c r="BI198" s="2229">
        <v>0</v>
      </c>
      <c r="BJ198" s="2229">
        <v>0</v>
      </c>
      <c r="BK198" s="2262">
        <v>0</v>
      </c>
      <c r="BL198" s="2262">
        <v>0</v>
      </c>
      <c r="BM198" s="2262">
        <v>-2.1</v>
      </c>
      <c r="BN198" s="2262">
        <v>2.1</v>
      </c>
      <c r="BO198" s="2262">
        <v>0</v>
      </c>
      <c r="BP198" s="2262">
        <v>0</v>
      </c>
      <c r="BQ198" s="2262">
        <v>0</v>
      </c>
      <c r="BR198" s="2262">
        <v>0</v>
      </c>
      <c r="BS198" s="2262">
        <v>0</v>
      </c>
      <c r="BT198" s="2262">
        <v>0</v>
      </c>
      <c r="BU198" s="2262">
        <v>0</v>
      </c>
      <c r="BV198" s="2262">
        <v>0</v>
      </c>
      <c r="BW198" s="2262">
        <v>0</v>
      </c>
      <c r="BX198" s="2263">
        <v>1</v>
      </c>
      <c r="BY198" s="2262">
        <v>0.52</v>
      </c>
      <c r="BZ198" s="2262">
        <v>0.18000000000000016</v>
      </c>
      <c r="CA198" s="2064" t="s">
        <v>3524</v>
      </c>
      <c r="CC198" s="563">
        <v>2359.5299329060649</v>
      </c>
      <c r="CD198" s="563">
        <v>2359.5299329060649</v>
      </c>
    </row>
    <row r="199" spans="1:82" s="563" customFormat="1" ht="22.9" customHeight="1">
      <c r="A199" s="2241"/>
      <c r="B199" s="2242" t="s">
        <v>4</v>
      </c>
      <c r="C199" s="2243"/>
      <c r="D199" s="2244"/>
      <c r="E199" s="2243">
        <v>-2.1</v>
      </c>
      <c r="F199" s="2245">
        <v>2.1</v>
      </c>
      <c r="G199" s="2243">
        <v>0</v>
      </c>
      <c r="H199" s="2246">
        <v>-2.1</v>
      </c>
      <c r="I199" s="2245">
        <v>2.1</v>
      </c>
      <c r="J199" s="2247">
        <v>-2.1</v>
      </c>
      <c r="K199" s="2248" t="s">
        <v>3521</v>
      </c>
      <c r="L199" s="2248" t="s">
        <v>3521</v>
      </c>
      <c r="M199" s="2248" t="s">
        <v>3521</v>
      </c>
      <c r="N199" s="2249" t="s">
        <v>3521</v>
      </c>
      <c r="O199" s="2250"/>
      <c r="P199" s="2251"/>
      <c r="Q199" s="2252"/>
      <c r="R199" s="2250"/>
      <c r="S199" s="2253">
        <v>10</v>
      </c>
      <c r="T199" s="2161">
        <v>0</v>
      </c>
      <c r="U199" s="2245">
        <v>1</v>
      </c>
      <c r="V199" s="2245">
        <v>15</v>
      </c>
      <c r="W199" s="2245">
        <v>128.45752167880846</v>
      </c>
      <c r="X199" s="2245">
        <v>3.6248559335500571E-2</v>
      </c>
      <c r="Y199" s="2245">
        <v>0</v>
      </c>
      <c r="Z199" s="2161">
        <v>0</v>
      </c>
      <c r="AA199" s="2245" t="e">
        <v>#DIV/0!</v>
      </c>
      <c r="AB199" s="2245">
        <v>2.2000000000000002</v>
      </c>
      <c r="AC199" s="2245">
        <v>0</v>
      </c>
      <c r="AD199" s="2245" t="s">
        <v>1240</v>
      </c>
      <c r="AE199" s="2254">
        <v>1.4999999999999999E-2</v>
      </c>
      <c r="AF199" s="2255">
        <v>1</v>
      </c>
      <c r="AG199" s="2245">
        <v>0.6</v>
      </c>
      <c r="AH199" s="2245"/>
      <c r="AJ199" s="2256"/>
      <c r="AK199" s="2257">
        <v>0</v>
      </c>
      <c r="AL199" s="2245">
        <v>0</v>
      </c>
      <c r="AM199" s="2245">
        <v>0</v>
      </c>
      <c r="AN199" s="2245" t="e">
        <v>#DIV/0!</v>
      </c>
      <c r="AO199" s="2245" t="e">
        <v>#DIV/0!</v>
      </c>
      <c r="AP199" s="2258">
        <v>0</v>
      </c>
      <c r="AQ199" s="2259"/>
      <c r="AR199" s="2259">
        <v>0</v>
      </c>
      <c r="AS199" s="2260" t="s">
        <v>3521</v>
      </c>
      <c r="AT199" s="2259"/>
      <c r="AU199" s="2259"/>
      <c r="AV199" s="2259"/>
      <c r="AW199" s="2259">
        <v>0</v>
      </c>
      <c r="AX199" s="2261">
        <v>10000</v>
      </c>
      <c r="AY199" s="2261">
        <v>10000</v>
      </c>
      <c r="AZ199" s="2261">
        <v>10000</v>
      </c>
      <c r="BA199" s="2261">
        <v>15</v>
      </c>
      <c r="BB199" s="2261">
        <v>0</v>
      </c>
      <c r="BC199" s="2261">
        <v>0</v>
      </c>
      <c r="BD199" s="2229">
        <v>0</v>
      </c>
      <c r="BE199" s="2229">
        <v>0.114396</v>
      </c>
      <c r="BF199" s="2229">
        <v>0</v>
      </c>
      <c r="BG199" s="2229">
        <v>0</v>
      </c>
      <c r="BH199" s="2229">
        <v>0</v>
      </c>
      <c r="BI199" s="2229">
        <v>0</v>
      </c>
      <c r="BJ199" s="2229">
        <v>0</v>
      </c>
      <c r="BK199" s="2262">
        <v>0</v>
      </c>
      <c r="BL199" s="2262">
        <v>0</v>
      </c>
      <c r="BM199" s="2262">
        <v>-2.1</v>
      </c>
      <c r="BN199" s="2262">
        <v>2.1</v>
      </c>
      <c r="BO199" s="2262">
        <v>0</v>
      </c>
      <c r="BP199" s="2262">
        <v>0</v>
      </c>
      <c r="BQ199" s="2262">
        <v>0</v>
      </c>
      <c r="BR199" s="2262">
        <v>0</v>
      </c>
      <c r="BS199" s="2262">
        <v>0</v>
      </c>
      <c r="BT199" s="2262">
        <v>0</v>
      </c>
      <c r="BU199" s="2262">
        <v>0</v>
      </c>
      <c r="BV199" s="2262">
        <v>0</v>
      </c>
      <c r="BW199" s="2262">
        <v>0</v>
      </c>
      <c r="BX199" s="2263">
        <v>1</v>
      </c>
      <c r="BY199" s="2262">
        <v>0.52</v>
      </c>
      <c r="BZ199" s="2262">
        <v>0.18000000000000016</v>
      </c>
      <c r="CA199" s="2064" t="s">
        <v>3524</v>
      </c>
      <c r="CC199" s="563">
        <v>2359.5299329060649</v>
      </c>
      <c r="CD199" s="563">
        <v>2359.5299329060649</v>
      </c>
    </row>
    <row r="200" spans="1:82" s="563" customFormat="1" ht="22.9" customHeight="1">
      <c r="A200" s="2241"/>
      <c r="B200" s="2242" t="s">
        <v>4</v>
      </c>
      <c r="C200" s="2243"/>
      <c r="D200" s="2244"/>
      <c r="E200" s="2243">
        <v>-2.1</v>
      </c>
      <c r="F200" s="2245">
        <v>2.1</v>
      </c>
      <c r="G200" s="2243">
        <v>0</v>
      </c>
      <c r="H200" s="2246">
        <v>-2.1</v>
      </c>
      <c r="I200" s="2245">
        <v>2.1</v>
      </c>
      <c r="J200" s="2247">
        <v>-2.1</v>
      </c>
      <c r="K200" s="2248" t="s">
        <v>3521</v>
      </c>
      <c r="L200" s="2248" t="s">
        <v>3521</v>
      </c>
      <c r="M200" s="2248" t="s">
        <v>3521</v>
      </c>
      <c r="N200" s="2249" t="s">
        <v>3521</v>
      </c>
      <c r="O200" s="2250"/>
      <c r="P200" s="2251"/>
      <c r="Q200" s="2252"/>
      <c r="R200" s="2250"/>
      <c r="S200" s="2253">
        <v>10</v>
      </c>
      <c r="T200" s="2161">
        <v>0</v>
      </c>
      <c r="U200" s="2245">
        <v>1</v>
      </c>
      <c r="V200" s="2245">
        <v>15</v>
      </c>
      <c r="W200" s="2245">
        <v>128.45752167880846</v>
      </c>
      <c r="X200" s="2245">
        <v>3.6248559335500571E-2</v>
      </c>
      <c r="Y200" s="2245">
        <v>0</v>
      </c>
      <c r="Z200" s="2161">
        <v>0</v>
      </c>
      <c r="AA200" s="2245" t="e">
        <v>#DIV/0!</v>
      </c>
      <c r="AB200" s="2245">
        <v>2.2000000000000002</v>
      </c>
      <c r="AC200" s="2245">
        <v>0</v>
      </c>
      <c r="AD200" s="2245" t="s">
        <v>1240</v>
      </c>
      <c r="AE200" s="2254">
        <v>1.4999999999999999E-2</v>
      </c>
      <c r="AF200" s="2255">
        <v>1</v>
      </c>
      <c r="AG200" s="2245">
        <v>0.6</v>
      </c>
      <c r="AH200" s="2245"/>
      <c r="AJ200" s="2256"/>
      <c r="AK200" s="2257">
        <v>0</v>
      </c>
      <c r="AL200" s="2245">
        <v>0</v>
      </c>
      <c r="AM200" s="2245">
        <v>0</v>
      </c>
      <c r="AN200" s="2245" t="e">
        <v>#DIV/0!</v>
      </c>
      <c r="AO200" s="2245" t="e">
        <v>#DIV/0!</v>
      </c>
      <c r="AP200" s="2258">
        <v>0</v>
      </c>
      <c r="AQ200" s="2259"/>
      <c r="AR200" s="2259">
        <v>0</v>
      </c>
      <c r="AS200" s="2260" t="s">
        <v>3521</v>
      </c>
      <c r="AT200" s="2259"/>
      <c r="AU200" s="2259"/>
      <c r="AV200" s="2259"/>
      <c r="AW200" s="2259">
        <v>0</v>
      </c>
      <c r="AX200" s="2261">
        <v>10000</v>
      </c>
      <c r="AY200" s="2261">
        <v>10000</v>
      </c>
      <c r="AZ200" s="2261">
        <v>10000</v>
      </c>
      <c r="BA200" s="2261">
        <v>15</v>
      </c>
      <c r="BB200" s="2261">
        <v>0</v>
      </c>
      <c r="BC200" s="2261">
        <v>0</v>
      </c>
      <c r="BD200" s="2229">
        <v>0</v>
      </c>
      <c r="BE200" s="2229">
        <v>0.114396</v>
      </c>
      <c r="BF200" s="2229">
        <v>0</v>
      </c>
      <c r="BG200" s="2229">
        <v>0</v>
      </c>
      <c r="BH200" s="2229">
        <v>0</v>
      </c>
      <c r="BI200" s="2229">
        <v>0</v>
      </c>
      <c r="BJ200" s="2229">
        <v>0</v>
      </c>
      <c r="BK200" s="2262">
        <v>0</v>
      </c>
      <c r="BL200" s="2262">
        <v>0</v>
      </c>
      <c r="BM200" s="2262">
        <v>-2.1</v>
      </c>
      <c r="BN200" s="2262">
        <v>2.1</v>
      </c>
      <c r="BO200" s="2262">
        <v>0</v>
      </c>
      <c r="BP200" s="2262">
        <v>0</v>
      </c>
      <c r="BQ200" s="2262">
        <v>0</v>
      </c>
      <c r="BR200" s="2262">
        <v>0</v>
      </c>
      <c r="BS200" s="2262">
        <v>0</v>
      </c>
      <c r="BT200" s="2262">
        <v>0</v>
      </c>
      <c r="BU200" s="2262">
        <v>0</v>
      </c>
      <c r="BV200" s="2262">
        <v>0</v>
      </c>
      <c r="BW200" s="2262">
        <v>0</v>
      </c>
      <c r="BX200" s="2263">
        <v>1</v>
      </c>
      <c r="BY200" s="2262">
        <v>0.52</v>
      </c>
      <c r="BZ200" s="2262">
        <v>0.18000000000000016</v>
      </c>
      <c r="CA200" s="2064" t="s">
        <v>3524</v>
      </c>
      <c r="CC200" s="563">
        <v>2359.5299329060649</v>
      </c>
      <c r="CD200" s="563">
        <v>2359.5299329060649</v>
      </c>
    </row>
    <row r="201" spans="1:82" s="563" customFormat="1" ht="22.9" customHeight="1">
      <c r="A201" s="2241"/>
      <c r="B201" s="2242" t="s">
        <v>4</v>
      </c>
      <c r="C201" s="2243"/>
      <c r="D201" s="2244"/>
      <c r="E201" s="2243">
        <v>-2.1</v>
      </c>
      <c r="F201" s="2245">
        <v>2.1</v>
      </c>
      <c r="G201" s="2243">
        <v>0</v>
      </c>
      <c r="H201" s="2246">
        <v>-2.1</v>
      </c>
      <c r="I201" s="2245">
        <v>2.1</v>
      </c>
      <c r="J201" s="2247">
        <v>-2.1</v>
      </c>
      <c r="K201" s="2248" t="s">
        <v>3521</v>
      </c>
      <c r="L201" s="2248" t="s">
        <v>3521</v>
      </c>
      <c r="M201" s="2248" t="s">
        <v>3521</v>
      </c>
      <c r="N201" s="2249" t="s">
        <v>3521</v>
      </c>
      <c r="O201" s="2250"/>
      <c r="P201" s="2251"/>
      <c r="Q201" s="2252"/>
      <c r="R201" s="2250"/>
      <c r="S201" s="2253">
        <v>10</v>
      </c>
      <c r="T201" s="2161">
        <v>0</v>
      </c>
      <c r="U201" s="2245">
        <v>1</v>
      </c>
      <c r="V201" s="2245">
        <v>15</v>
      </c>
      <c r="W201" s="2245">
        <v>128.45752167880846</v>
      </c>
      <c r="X201" s="2245">
        <v>3.6248559335500571E-2</v>
      </c>
      <c r="Y201" s="2245">
        <v>0</v>
      </c>
      <c r="Z201" s="2161">
        <v>0</v>
      </c>
      <c r="AA201" s="2245" t="e">
        <v>#DIV/0!</v>
      </c>
      <c r="AB201" s="2245">
        <v>2.2000000000000002</v>
      </c>
      <c r="AC201" s="2245">
        <v>0</v>
      </c>
      <c r="AD201" s="2245" t="s">
        <v>1240</v>
      </c>
      <c r="AE201" s="2254">
        <v>1.4999999999999999E-2</v>
      </c>
      <c r="AF201" s="2255">
        <v>1</v>
      </c>
      <c r="AG201" s="2245">
        <v>0.6</v>
      </c>
      <c r="AH201" s="2245"/>
      <c r="AJ201" s="2256"/>
      <c r="AK201" s="2257">
        <v>0</v>
      </c>
      <c r="AL201" s="2245">
        <v>0</v>
      </c>
      <c r="AM201" s="2245">
        <v>0</v>
      </c>
      <c r="AN201" s="2245" t="e">
        <v>#DIV/0!</v>
      </c>
      <c r="AO201" s="2245" t="e">
        <v>#DIV/0!</v>
      </c>
      <c r="AP201" s="2258">
        <v>0</v>
      </c>
      <c r="AQ201" s="2259"/>
      <c r="AR201" s="2259">
        <v>0</v>
      </c>
      <c r="AS201" s="2260" t="s">
        <v>3521</v>
      </c>
      <c r="AT201" s="2259"/>
      <c r="AU201" s="2259"/>
      <c r="AV201" s="2259"/>
      <c r="AW201" s="2259">
        <v>0</v>
      </c>
      <c r="AX201" s="2261">
        <v>10000</v>
      </c>
      <c r="AY201" s="2261">
        <v>10000</v>
      </c>
      <c r="AZ201" s="2261">
        <v>10000</v>
      </c>
      <c r="BA201" s="2261">
        <v>15</v>
      </c>
      <c r="BB201" s="2261">
        <v>0</v>
      </c>
      <c r="BC201" s="2261">
        <v>0</v>
      </c>
      <c r="BD201" s="2229">
        <v>0</v>
      </c>
      <c r="BE201" s="2229">
        <v>0.114396</v>
      </c>
      <c r="BF201" s="2229">
        <v>0</v>
      </c>
      <c r="BG201" s="2229">
        <v>0</v>
      </c>
      <c r="BH201" s="2229">
        <v>0</v>
      </c>
      <c r="BI201" s="2229">
        <v>0</v>
      </c>
      <c r="BJ201" s="2229">
        <v>0</v>
      </c>
      <c r="BK201" s="2262">
        <v>0</v>
      </c>
      <c r="BL201" s="2262">
        <v>0</v>
      </c>
      <c r="BM201" s="2262">
        <v>-2.1</v>
      </c>
      <c r="BN201" s="2262">
        <v>2.1</v>
      </c>
      <c r="BO201" s="2262">
        <v>0</v>
      </c>
      <c r="BP201" s="2262">
        <v>0</v>
      </c>
      <c r="BQ201" s="2262">
        <v>0</v>
      </c>
      <c r="BR201" s="2262">
        <v>0</v>
      </c>
      <c r="BS201" s="2262">
        <v>0</v>
      </c>
      <c r="BT201" s="2262">
        <v>0</v>
      </c>
      <c r="BU201" s="2262">
        <v>0</v>
      </c>
      <c r="BV201" s="2262">
        <v>0</v>
      </c>
      <c r="BW201" s="2262">
        <v>0</v>
      </c>
      <c r="BX201" s="2263">
        <v>1</v>
      </c>
      <c r="BY201" s="2262">
        <v>0.52</v>
      </c>
      <c r="BZ201" s="2262">
        <v>0.18000000000000016</v>
      </c>
      <c r="CA201" s="2064" t="s">
        <v>3524</v>
      </c>
      <c r="CC201" s="563">
        <v>2359.5299329060649</v>
      </c>
      <c r="CD201" s="563">
        <v>2359.5299329060649</v>
      </c>
    </row>
    <row r="202" spans="1:82" s="563" customFormat="1" ht="22.9" customHeight="1">
      <c r="A202" s="2241"/>
      <c r="B202" s="2242" t="s">
        <v>4</v>
      </c>
      <c r="C202" s="2243"/>
      <c r="D202" s="2244"/>
      <c r="E202" s="2243">
        <v>-2.1</v>
      </c>
      <c r="F202" s="2245">
        <v>2.1</v>
      </c>
      <c r="G202" s="2243">
        <v>0</v>
      </c>
      <c r="H202" s="2246">
        <v>-2.1</v>
      </c>
      <c r="I202" s="2245">
        <v>2.1</v>
      </c>
      <c r="J202" s="2247">
        <v>-2.1</v>
      </c>
      <c r="K202" s="2248" t="s">
        <v>3521</v>
      </c>
      <c r="L202" s="2248" t="s">
        <v>3521</v>
      </c>
      <c r="M202" s="2248" t="s">
        <v>3521</v>
      </c>
      <c r="N202" s="2249" t="s">
        <v>3521</v>
      </c>
      <c r="O202" s="2250"/>
      <c r="P202" s="2251"/>
      <c r="Q202" s="2252"/>
      <c r="R202" s="2250"/>
      <c r="S202" s="2253">
        <v>10</v>
      </c>
      <c r="T202" s="2161">
        <v>0</v>
      </c>
      <c r="U202" s="2245">
        <v>1</v>
      </c>
      <c r="V202" s="2245">
        <v>15</v>
      </c>
      <c r="W202" s="2245">
        <v>128.45752167880846</v>
      </c>
      <c r="X202" s="2245">
        <v>3.6248559335500571E-2</v>
      </c>
      <c r="Y202" s="2245">
        <v>0</v>
      </c>
      <c r="Z202" s="2161">
        <v>0</v>
      </c>
      <c r="AA202" s="2245" t="e">
        <v>#DIV/0!</v>
      </c>
      <c r="AB202" s="2245">
        <v>2.2000000000000002</v>
      </c>
      <c r="AC202" s="2245">
        <v>0</v>
      </c>
      <c r="AD202" s="2245" t="s">
        <v>1240</v>
      </c>
      <c r="AE202" s="2254">
        <v>1.4999999999999999E-2</v>
      </c>
      <c r="AF202" s="2255">
        <v>1</v>
      </c>
      <c r="AG202" s="2245">
        <v>0.6</v>
      </c>
      <c r="AH202" s="2245"/>
      <c r="AJ202" s="2256"/>
      <c r="AK202" s="2257">
        <v>0</v>
      </c>
      <c r="AL202" s="2245">
        <v>0</v>
      </c>
      <c r="AM202" s="2245">
        <v>0</v>
      </c>
      <c r="AN202" s="2245" t="e">
        <v>#DIV/0!</v>
      </c>
      <c r="AO202" s="2245" t="e">
        <v>#DIV/0!</v>
      </c>
      <c r="AP202" s="2258">
        <v>0</v>
      </c>
      <c r="AQ202" s="2259"/>
      <c r="AR202" s="2259">
        <v>0</v>
      </c>
      <c r="AS202" s="2260" t="s">
        <v>3521</v>
      </c>
      <c r="AT202" s="2259"/>
      <c r="AU202" s="2259"/>
      <c r="AV202" s="2259"/>
      <c r="AW202" s="2259">
        <v>0</v>
      </c>
      <c r="AX202" s="2261">
        <v>10000</v>
      </c>
      <c r="AY202" s="2261">
        <v>10000</v>
      </c>
      <c r="AZ202" s="2261">
        <v>10000</v>
      </c>
      <c r="BA202" s="2261">
        <v>15</v>
      </c>
      <c r="BB202" s="2261">
        <v>0</v>
      </c>
      <c r="BC202" s="2261">
        <v>0</v>
      </c>
      <c r="BD202" s="2229">
        <v>0</v>
      </c>
      <c r="BE202" s="2229">
        <v>0.114396</v>
      </c>
      <c r="BF202" s="2229">
        <v>0</v>
      </c>
      <c r="BG202" s="2229">
        <v>0</v>
      </c>
      <c r="BH202" s="2229">
        <v>0</v>
      </c>
      <c r="BI202" s="2229">
        <v>0</v>
      </c>
      <c r="BJ202" s="2229">
        <v>0</v>
      </c>
      <c r="BK202" s="2262">
        <v>0</v>
      </c>
      <c r="BL202" s="2262">
        <v>0</v>
      </c>
      <c r="BM202" s="2262">
        <v>-2.1</v>
      </c>
      <c r="BN202" s="2262">
        <v>2.1</v>
      </c>
      <c r="BO202" s="2262">
        <v>0</v>
      </c>
      <c r="BP202" s="2262">
        <v>0</v>
      </c>
      <c r="BQ202" s="2262">
        <v>0</v>
      </c>
      <c r="BR202" s="2262">
        <v>0</v>
      </c>
      <c r="BS202" s="2262">
        <v>0</v>
      </c>
      <c r="BT202" s="2262">
        <v>0</v>
      </c>
      <c r="BU202" s="2262">
        <v>0</v>
      </c>
      <c r="BV202" s="2262">
        <v>0</v>
      </c>
      <c r="BW202" s="2262">
        <v>0</v>
      </c>
      <c r="BX202" s="2263">
        <v>1</v>
      </c>
      <c r="BY202" s="2262">
        <v>0.52</v>
      </c>
      <c r="BZ202" s="2262">
        <v>0.18000000000000016</v>
      </c>
      <c r="CA202" s="2064" t="s">
        <v>3524</v>
      </c>
      <c r="CC202" s="563">
        <v>2359.5299329060649</v>
      </c>
      <c r="CD202" s="563">
        <v>2359.5299329060649</v>
      </c>
    </row>
    <row r="203" spans="1:82" s="563" customFormat="1" ht="22.9" customHeight="1">
      <c r="A203" s="2241"/>
      <c r="B203" s="2242" t="s">
        <v>4</v>
      </c>
      <c r="C203" s="2243"/>
      <c r="D203" s="2244"/>
      <c r="E203" s="2243">
        <v>-2.1</v>
      </c>
      <c r="F203" s="2245">
        <v>2.1</v>
      </c>
      <c r="G203" s="2243">
        <v>0</v>
      </c>
      <c r="H203" s="2246">
        <v>-2.1</v>
      </c>
      <c r="I203" s="2245">
        <v>2.1</v>
      </c>
      <c r="J203" s="2247">
        <v>-2.1</v>
      </c>
      <c r="K203" s="2248" t="s">
        <v>3521</v>
      </c>
      <c r="L203" s="2248" t="s">
        <v>3521</v>
      </c>
      <c r="M203" s="2248" t="s">
        <v>3521</v>
      </c>
      <c r="N203" s="2249" t="s">
        <v>3521</v>
      </c>
      <c r="O203" s="2250"/>
      <c r="P203" s="2251"/>
      <c r="Q203" s="2252"/>
      <c r="R203" s="2250"/>
      <c r="S203" s="2253">
        <v>10</v>
      </c>
      <c r="T203" s="2161">
        <v>0</v>
      </c>
      <c r="U203" s="2245">
        <v>1</v>
      </c>
      <c r="V203" s="2245">
        <v>15</v>
      </c>
      <c r="W203" s="2245">
        <v>128.45752167880846</v>
      </c>
      <c r="X203" s="2245">
        <v>3.6248559335500571E-2</v>
      </c>
      <c r="Y203" s="2245">
        <v>0</v>
      </c>
      <c r="Z203" s="2161">
        <v>0</v>
      </c>
      <c r="AA203" s="2245" t="e">
        <v>#DIV/0!</v>
      </c>
      <c r="AB203" s="2245">
        <v>2.2000000000000002</v>
      </c>
      <c r="AC203" s="2245">
        <v>0</v>
      </c>
      <c r="AD203" s="2245" t="s">
        <v>1240</v>
      </c>
      <c r="AE203" s="2254">
        <v>1.4999999999999999E-2</v>
      </c>
      <c r="AF203" s="2255">
        <v>1</v>
      </c>
      <c r="AG203" s="2245">
        <v>0.6</v>
      </c>
      <c r="AH203" s="2245"/>
      <c r="AJ203" s="2256"/>
      <c r="AK203" s="2257">
        <v>0</v>
      </c>
      <c r="AL203" s="2245">
        <v>0</v>
      </c>
      <c r="AM203" s="2245">
        <v>0</v>
      </c>
      <c r="AN203" s="2245" t="e">
        <v>#DIV/0!</v>
      </c>
      <c r="AO203" s="2245" t="e">
        <v>#DIV/0!</v>
      </c>
      <c r="AP203" s="2258">
        <v>0</v>
      </c>
      <c r="AQ203" s="2259"/>
      <c r="AR203" s="2259">
        <v>0</v>
      </c>
      <c r="AS203" s="2260" t="s">
        <v>3521</v>
      </c>
      <c r="AT203" s="2259"/>
      <c r="AU203" s="2259"/>
      <c r="AV203" s="2259"/>
      <c r="AW203" s="2259">
        <v>0</v>
      </c>
      <c r="AX203" s="2261">
        <v>10000</v>
      </c>
      <c r="AY203" s="2261">
        <v>10000</v>
      </c>
      <c r="AZ203" s="2261">
        <v>10000</v>
      </c>
      <c r="BA203" s="2261">
        <v>15</v>
      </c>
      <c r="BB203" s="2261">
        <v>0</v>
      </c>
      <c r="BC203" s="2261">
        <v>0</v>
      </c>
      <c r="BD203" s="2229">
        <v>0</v>
      </c>
      <c r="BE203" s="2229">
        <v>0.114396</v>
      </c>
      <c r="BF203" s="2229">
        <v>0</v>
      </c>
      <c r="BG203" s="2229">
        <v>0</v>
      </c>
      <c r="BH203" s="2229">
        <v>0</v>
      </c>
      <c r="BI203" s="2229">
        <v>0</v>
      </c>
      <c r="BJ203" s="2229">
        <v>0</v>
      </c>
      <c r="BK203" s="2262">
        <v>0</v>
      </c>
      <c r="BL203" s="2262">
        <v>0</v>
      </c>
      <c r="BM203" s="2262">
        <v>-2.1</v>
      </c>
      <c r="BN203" s="2262">
        <v>2.1</v>
      </c>
      <c r="BO203" s="2262">
        <v>0</v>
      </c>
      <c r="BP203" s="2262">
        <v>0</v>
      </c>
      <c r="BQ203" s="2262">
        <v>0</v>
      </c>
      <c r="BR203" s="2262">
        <v>0</v>
      </c>
      <c r="BS203" s="2262">
        <v>0</v>
      </c>
      <c r="BT203" s="2262">
        <v>0</v>
      </c>
      <c r="BU203" s="2262">
        <v>0</v>
      </c>
      <c r="BV203" s="2262">
        <v>0</v>
      </c>
      <c r="BW203" s="2262">
        <v>0</v>
      </c>
      <c r="BX203" s="2263">
        <v>1</v>
      </c>
      <c r="BY203" s="2262">
        <v>0.52</v>
      </c>
      <c r="BZ203" s="2262">
        <v>0.18000000000000016</v>
      </c>
      <c r="CA203" s="2064" t="s">
        <v>3524</v>
      </c>
      <c r="CC203" s="563">
        <v>2359.5299329060649</v>
      </c>
      <c r="CD203" s="563">
        <v>2359.5299329060649</v>
      </c>
    </row>
    <row r="204" spans="1:82" s="563" customFormat="1" ht="22.9" customHeight="1">
      <c r="A204" s="2241"/>
      <c r="B204" s="2242" t="s">
        <v>4</v>
      </c>
      <c r="C204" s="2243"/>
      <c r="D204" s="2244"/>
      <c r="E204" s="2243">
        <v>-2.1</v>
      </c>
      <c r="F204" s="2245">
        <v>2.1</v>
      </c>
      <c r="G204" s="2243">
        <v>0</v>
      </c>
      <c r="H204" s="2246">
        <v>-2.1</v>
      </c>
      <c r="I204" s="2245">
        <v>2.1</v>
      </c>
      <c r="J204" s="2247">
        <v>-2.1</v>
      </c>
      <c r="K204" s="2248" t="s">
        <v>3521</v>
      </c>
      <c r="L204" s="2248" t="s">
        <v>3521</v>
      </c>
      <c r="M204" s="2248" t="s">
        <v>3521</v>
      </c>
      <c r="N204" s="2249" t="s">
        <v>3521</v>
      </c>
      <c r="O204" s="2250"/>
      <c r="P204" s="2251"/>
      <c r="Q204" s="2252"/>
      <c r="R204" s="2250"/>
      <c r="S204" s="2253">
        <v>10</v>
      </c>
      <c r="T204" s="2161">
        <v>0</v>
      </c>
      <c r="U204" s="2245">
        <v>1</v>
      </c>
      <c r="V204" s="2245">
        <v>15</v>
      </c>
      <c r="W204" s="2245">
        <v>128.45752167880846</v>
      </c>
      <c r="X204" s="2245">
        <v>3.6248559335500571E-2</v>
      </c>
      <c r="Y204" s="2245">
        <v>0</v>
      </c>
      <c r="Z204" s="2161">
        <v>0</v>
      </c>
      <c r="AA204" s="2245" t="e">
        <v>#DIV/0!</v>
      </c>
      <c r="AB204" s="2245">
        <v>2.2000000000000002</v>
      </c>
      <c r="AC204" s="2245">
        <v>0</v>
      </c>
      <c r="AD204" s="2245" t="s">
        <v>1240</v>
      </c>
      <c r="AE204" s="2254">
        <v>1.4999999999999999E-2</v>
      </c>
      <c r="AF204" s="2255">
        <v>1</v>
      </c>
      <c r="AG204" s="2245">
        <v>0.6</v>
      </c>
      <c r="AH204" s="2245"/>
      <c r="AJ204" s="2256"/>
      <c r="AK204" s="2257">
        <v>0</v>
      </c>
      <c r="AL204" s="2245">
        <v>0</v>
      </c>
      <c r="AM204" s="2245">
        <v>0</v>
      </c>
      <c r="AN204" s="2245" t="e">
        <v>#DIV/0!</v>
      </c>
      <c r="AO204" s="2245" t="e">
        <v>#DIV/0!</v>
      </c>
      <c r="AP204" s="2258">
        <v>0</v>
      </c>
      <c r="AQ204" s="2259"/>
      <c r="AR204" s="2259">
        <v>0</v>
      </c>
      <c r="AS204" s="2260" t="s">
        <v>3521</v>
      </c>
      <c r="AT204" s="2259"/>
      <c r="AU204" s="2259"/>
      <c r="AV204" s="2259"/>
      <c r="AW204" s="2259">
        <v>0</v>
      </c>
      <c r="AX204" s="2261">
        <v>10000</v>
      </c>
      <c r="AY204" s="2261">
        <v>10000</v>
      </c>
      <c r="AZ204" s="2261">
        <v>10000</v>
      </c>
      <c r="BA204" s="2261">
        <v>15</v>
      </c>
      <c r="BB204" s="2261">
        <v>0</v>
      </c>
      <c r="BC204" s="2261">
        <v>0</v>
      </c>
      <c r="BD204" s="2229">
        <v>0</v>
      </c>
      <c r="BE204" s="2229">
        <v>0.114396</v>
      </c>
      <c r="BF204" s="2229">
        <v>0</v>
      </c>
      <c r="BG204" s="2229">
        <v>0</v>
      </c>
      <c r="BH204" s="2229">
        <v>0</v>
      </c>
      <c r="BI204" s="2229">
        <v>0</v>
      </c>
      <c r="BJ204" s="2229">
        <v>0</v>
      </c>
      <c r="BK204" s="2262">
        <v>0</v>
      </c>
      <c r="BL204" s="2262">
        <v>0</v>
      </c>
      <c r="BM204" s="2262">
        <v>-2.1</v>
      </c>
      <c r="BN204" s="2262">
        <v>2.1</v>
      </c>
      <c r="BO204" s="2262">
        <v>0</v>
      </c>
      <c r="BP204" s="2262">
        <v>0</v>
      </c>
      <c r="BQ204" s="2262">
        <v>0</v>
      </c>
      <c r="BR204" s="2262">
        <v>0</v>
      </c>
      <c r="BS204" s="2262">
        <v>0</v>
      </c>
      <c r="BT204" s="2262">
        <v>0</v>
      </c>
      <c r="BU204" s="2262">
        <v>0</v>
      </c>
      <c r="BV204" s="2262">
        <v>0</v>
      </c>
      <c r="BW204" s="2262">
        <v>0</v>
      </c>
      <c r="BX204" s="2263">
        <v>1</v>
      </c>
      <c r="BY204" s="2262">
        <v>0.52</v>
      </c>
      <c r="BZ204" s="2262">
        <v>0.18000000000000016</v>
      </c>
      <c r="CA204" s="2064" t="s">
        <v>3524</v>
      </c>
      <c r="CC204" s="563">
        <v>2359.5299329060649</v>
      </c>
      <c r="CD204" s="563">
        <v>2359.5299329060649</v>
      </c>
    </row>
    <row r="205" spans="1:82" s="563" customFormat="1" ht="22.9" customHeight="1">
      <c r="A205" s="2241"/>
      <c r="B205" s="2242" t="s">
        <v>4</v>
      </c>
      <c r="C205" s="2243"/>
      <c r="D205" s="2244"/>
      <c r="E205" s="2243">
        <v>-2.1</v>
      </c>
      <c r="F205" s="2245">
        <v>2.1</v>
      </c>
      <c r="G205" s="2243">
        <v>0</v>
      </c>
      <c r="H205" s="2246">
        <v>-2.1</v>
      </c>
      <c r="I205" s="2245">
        <v>2.1</v>
      </c>
      <c r="J205" s="2247">
        <v>-2.1</v>
      </c>
      <c r="K205" s="2248" t="s">
        <v>3521</v>
      </c>
      <c r="L205" s="2248" t="s">
        <v>3521</v>
      </c>
      <c r="M205" s="2248" t="s">
        <v>3521</v>
      </c>
      <c r="N205" s="2249" t="s">
        <v>3521</v>
      </c>
      <c r="O205" s="2250"/>
      <c r="P205" s="2251"/>
      <c r="Q205" s="2252"/>
      <c r="R205" s="2250"/>
      <c r="S205" s="2253">
        <v>10</v>
      </c>
      <c r="T205" s="2161">
        <v>0</v>
      </c>
      <c r="U205" s="2245">
        <v>1</v>
      </c>
      <c r="V205" s="2245">
        <v>15</v>
      </c>
      <c r="W205" s="2245">
        <v>128.45752167880846</v>
      </c>
      <c r="X205" s="2245">
        <v>3.6248559335500571E-2</v>
      </c>
      <c r="Y205" s="2245">
        <v>0</v>
      </c>
      <c r="Z205" s="2161">
        <v>0</v>
      </c>
      <c r="AA205" s="2245" t="e">
        <v>#DIV/0!</v>
      </c>
      <c r="AB205" s="2245">
        <v>2.2000000000000002</v>
      </c>
      <c r="AC205" s="2245">
        <v>0</v>
      </c>
      <c r="AD205" s="2245" t="s">
        <v>1240</v>
      </c>
      <c r="AE205" s="2254">
        <v>1.4999999999999999E-2</v>
      </c>
      <c r="AF205" s="2255">
        <v>1</v>
      </c>
      <c r="AG205" s="2245">
        <v>0.6</v>
      </c>
      <c r="AH205" s="2245"/>
      <c r="AJ205" s="2256"/>
      <c r="AK205" s="2257">
        <v>0</v>
      </c>
      <c r="AL205" s="2245">
        <v>0</v>
      </c>
      <c r="AM205" s="2245">
        <v>0</v>
      </c>
      <c r="AN205" s="2245" t="e">
        <v>#DIV/0!</v>
      </c>
      <c r="AO205" s="2245" t="e">
        <v>#DIV/0!</v>
      </c>
      <c r="AP205" s="2258">
        <v>0</v>
      </c>
      <c r="AQ205" s="2259"/>
      <c r="AR205" s="2259">
        <v>0</v>
      </c>
      <c r="AS205" s="2260" t="s">
        <v>3521</v>
      </c>
      <c r="AT205" s="2259"/>
      <c r="AU205" s="2259"/>
      <c r="AV205" s="2259"/>
      <c r="AW205" s="2259">
        <v>0</v>
      </c>
      <c r="AX205" s="2261">
        <v>10000</v>
      </c>
      <c r="AY205" s="2261">
        <v>10000</v>
      </c>
      <c r="AZ205" s="2261">
        <v>10000</v>
      </c>
      <c r="BA205" s="2261">
        <v>15</v>
      </c>
      <c r="BB205" s="2261">
        <v>0</v>
      </c>
      <c r="BC205" s="2261">
        <v>0</v>
      </c>
      <c r="BD205" s="2229">
        <v>0</v>
      </c>
      <c r="BE205" s="2229">
        <v>0.114396</v>
      </c>
      <c r="BF205" s="2229">
        <v>0</v>
      </c>
      <c r="BG205" s="2229">
        <v>0</v>
      </c>
      <c r="BH205" s="2229">
        <v>0</v>
      </c>
      <c r="BI205" s="2229">
        <v>0</v>
      </c>
      <c r="BJ205" s="2229">
        <v>0</v>
      </c>
      <c r="BK205" s="2262">
        <v>0</v>
      </c>
      <c r="BL205" s="2262">
        <v>0</v>
      </c>
      <c r="BM205" s="2262">
        <v>-2.1</v>
      </c>
      <c r="BN205" s="2262">
        <v>2.1</v>
      </c>
      <c r="BO205" s="2262">
        <v>0</v>
      </c>
      <c r="BP205" s="2262">
        <v>0</v>
      </c>
      <c r="BQ205" s="2262">
        <v>0</v>
      </c>
      <c r="BR205" s="2262">
        <v>0</v>
      </c>
      <c r="BS205" s="2262">
        <v>0</v>
      </c>
      <c r="BT205" s="2262">
        <v>0</v>
      </c>
      <c r="BU205" s="2262">
        <v>0</v>
      </c>
      <c r="BV205" s="2262">
        <v>0</v>
      </c>
      <c r="BW205" s="2262">
        <v>0</v>
      </c>
      <c r="BX205" s="2263">
        <v>1</v>
      </c>
      <c r="BY205" s="2262">
        <v>0.52</v>
      </c>
      <c r="BZ205" s="2262">
        <v>0.18000000000000016</v>
      </c>
      <c r="CA205" s="2064" t="s">
        <v>3524</v>
      </c>
      <c r="CC205" s="563">
        <v>2359.5299329060649</v>
      </c>
      <c r="CD205" s="563">
        <v>2359.5299329060649</v>
      </c>
    </row>
    <row r="206" spans="1:82" s="563" customFormat="1" ht="22.9" customHeight="1">
      <c r="A206" s="2241"/>
      <c r="B206" s="2242" t="s">
        <v>4</v>
      </c>
      <c r="C206" s="2243"/>
      <c r="D206" s="2244"/>
      <c r="E206" s="2243">
        <v>-2.1</v>
      </c>
      <c r="F206" s="2245">
        <v>2.1</v>
      </c>
      <c r="G206" s="2243">
        <v>0</v>
      </c>
      <c r="H206" s="2246">
        <v>-2.1</v>
      </c>
      <c r="I206" s="2245">
        <v>2.1</v>
      </c>
      <c r="J206" s="2247">
        <v>-2.1</v>
      </c>
      <c r="K206" s="2248" t="s">
        <v>3521</v>
      </c>
      <c r="L206" s="2248" t="s">
        <v>3521</v>
      </c>
      <c r="M206" s="2248" t="s">
        <v>3521</v>
      </c>
      <c r="N206" s="2249" t="s">
        <v>3521</v>
      </c>
      <c r="O206" s="2250"/>
      <c r="P206" s="2251"/>
      <c r="Q206" s="2252"/>
      <c r="R206" s="2250"/>
      <c r="S206" s="2253">
        <v>10</v>
      </c>
      <c r="T206" s="2161">
        <v>0</v>
      </c>
      <c r="U206" s="2245">
        <v>1</v>
      </c>
      <c r="V206" s="2245">
        <v>15</v>
      </c>
      <c r="W206" s="2245">
        <v>128.45752167880846</v>
      </c>
      <c r="X206" s="2245">
        <v>3.6248559335500571E-2</v>
      </c>
      <c r="Y206" s="2245">
        <v>0</v>
      </c>
      <c r="Z206" s="2161">
        <v>0</v>
      </c>
      <c r="AA206" s="2245" t="e">
        <v>#DIV/0!</v>
      </c>
      <c r="AB206" s="2245">
        <v>2.2000000000000002</v>
      </c>
      <c r="AC206" s="2245">
        <v>0</v>
      </c>
      <c r="AD206" s="2245" t="s">
        <v>1240</v>
      </c>
      <c r="AE206" s="2254">
        <v>1.4999999999999999E-2</v>
      </c>
      <c r="AF206" s="2255">
        <v>1</v>
      </c>
      <c r="AG206" s="2245">
        <v>0.6</v>
      </c>
      <c r="AH206" s="2245"/>
      <c r="AJ206" s="2256"/>
      <c r="AK206" s="2257">
        <v>0</v>
      </c>
      <c r="AL206" s="2245">
        <v>0</v>
      </c>
      <c r="AM206" s="2245">
        <v>0</v>
      </c>
      <c r="AN206" s="2245" t="e">
        <v>#DIV/0!</v>
      </c>
      <c r="AO206" s="2245" t="e">
        <v>#DIV/0!</v>
      </c>
      <c r="AP206" s="2258">
        <v>0</v>
      </c>
      <c r="AQ206" s="2259"/>
      <c r="AR206" s="2259">
        <v>0</v>
      </c>
      <c r="AS206" s="2260" t="s">
        <v>3521</v>
      </c>
      <c r="AT206" s="2259"/>
      <c r="AU206" s="2259"/>
      <c r="AV206" s="2259"/>
      <c r="AW206" s="2259">
        <v>0</v>
      </c>
      <c r="AX206" s="2261">
        <v>10000</v>
      </c>
      <c r="AY206" s="2261">
        <v>10000</v>
      </c>
      <c r="AZ206" s="2261">
        <v>10000</v>
      </c>
      <c r="BA206" s="2261">
        <v>15</v>
      </c>
      <c r="BB206" s="2261">
        <v>0</v>
      </c>
      <c r="BC206" s="2261">
        <v>0</v>
      </c>
      <c r="BD206" s="2229">
        <v>0</v>
      </c>
      <c r="BE206" s="2229">
        <v>0.114396</v>
      </c>
      <c r="BF206" s="2229">
        <v>0</v>
      </c>
      <c r="BG206" s="2229">
        <v>0</v>
      </c>
      <c r="BH206" s="2229">
        <v>0</v>
      </c>
      <c r="BI206" s="2229">
        <v>0</v>
      </c>
      <c r="BJ206" s="2229">
        <v>0</v>
      </c>
      <c r="BK206" s="2262">
        <v>0</v>
      </c>
      <c r="BL206" s="2262">
        <v>0</v>
      </c>
      <c r="BM206" s="2262">
        <v>-2.1</v>
      </c>
      <c r="BN206" s="2262">
        <v>2.1</v>
      </c>
      <c r="BO206" s="2262">
        <v>0</v>
      </c>
      <c r="BP206" s="2262">
        <v>0</v>
      </c>
      <c r="BQ206" s="2262">
        <v>0</v>
      </c>
      <c r="BR206" s="2262">
        <v>0</v>
      </c>
      <c r="BS206" s="2262">
        <v>0</v>
      </c>
      <c r="BT206" s="2262">
        <v>0</v>
      </c>
      <c r="BU206" s="2262">
        <v>0</v>
      </c>
      <c r="BV206" s="2262">
        <v>0</v>
      </c>
      <c r="BW206" s="2262">
        <v>0</v>
      </c>
      <c r="BX206" s="2263">
        <v>1</v>
      </c>
      <c r="BY206" s="2262">
        <v>0.52</v>
      </c>
      <c r="BZ206" s="2262">
        <v>0.18000000000000016</v>
      </c>
      <c r="CA206" s="2064" t="s">
        <v>3524</v>
      </c>
      <c r="CC206" s="563">
        <v>2359.5299329060649</v>
      </c>
      <c r="CD206" s="563">
        <v>2359.5299329060649</v>
      </c>
    </row>
    <row r="207" spans="1:82" s="563" customFormat="1" ht="22.9" customHeight="1">
      <c r="A207" s="2241"/>
      <c r="B207" s="2242" t="s">
        <v>4</v>
      </c>
      <c r="C207" s="2243"/>
      <c r="D207" s="2244"/>
      <c r="E207" s="2243">
        <v>-2.1</v>
      </c>
      <c r="F207" s="2245">
        <v>2.1</v>
      </c>
      <c r="G207" s="2243">
        <v>0</v>
      </c>
      <c r="H207" s="2246">
        <v>-2.1</v>
      </c>
      <c r="I207" s="2245">
        <v>2.1</v>
      </c>
      <c r="J207" s="2247">
        <v>-2.1</v>
      </c>
      <c r="K207" s="2248" t="s">
        <v>3521</v>
      </c>
      <c r="L207" s="2248" t="s">
        <v>3521</v>
      </c>
      <c r="M207" s="2248" t="s">
        <v>3521</v>
      </c>
      <c r="N207" s="2249" t="s">
        <v>3521</v>
      </c>
      <c r="O207" s="2250"/>
      <c r="P207" s="2251"/>
      <c r="Q207" s="2252"/>
      <c r="R207" s="2250"/>
      <c r="S207" s="2253">
        <v>10</v>
      </c>
      <c r="T207" s="2161">
        <v>0</v>
      </c>
      <c r="U207" s="2245">
        <v>1</v>
      </c>
      <c r="V207" s="2245">
        <v>15</v>
      </c>
      <c r="W207" s="2245">
        <v>128.45752167880846</v>
      </c>
      <c r="X207" s="2245">
        <v>3.6248559335500571E-2</v>
      </c>
      <c r="Y207" s="2245">
        <v>0</v>
      </c>
      <c r="Z207" s="2161">
        <v>0</v>
      </c>
      <c r="AA207" s="2245" t="e">
        <v>#DIV/0!</v>
      </c>
      <c r="AB207" s="2245">
        <v>2.2000000000000002</v>
      </c>
      <c r="AC207" s="2245">
        <v>0</v>
      </c>
      <c r="AD207" s="2245" t="s">
        <v>1240</v>
      </c>
      <c r="AE207" s="2254">
        <v>1.4999999999999999E-2</v>
      </c>
      <c r="AF207" s="2255">
        <v>1</v>
      </c>
      <c r="AG207" s="2245">
        <v>0.6</v>
      </c>
      <c r="AH207" s="2245"/>
      <c r="AJ207" s="2256"/>
      <c r="AK207" s="2257">
        <v>0</v>
      </c>
      <c r="AL207" s="2245">
        <v>0</v>
      </c>
      <c r="AM207" s="2245">
        <v>0</v>
      </c>
      <c r="AN207" s="2245" t="e">
        <v>#DIV/0!</v>
      </c>
      <c r="AO207" s="2245" t="e">
        <v>#DIV/0!</v>
      </c>
      <c r="AP207" s="2258">
        <v>0</v>
      </c>
      <c r="AQ207" s="2259"/>
      <c r="AR207" s="2259">
        <v>0</v>
      </c>
      <c r="AS207" s="2260" t="s">
        <v>3521</v>
      </c>
      <c r="AT207" s="2259"/>
      <c r="AU207" s="2259"/>
      <c r="AV207" s="2259"/>
      <c r="AW207" s="2259">
        <v>0</v>
      </c>
      <c r="AX207" s="2261">
        <v>10000</v>
      </c>
      <c r="AY207" s="2261">
        <v>10000</v>
      </c>
      <c r="AZ207" s="2261">
        <v>10000</v>
      </c>
      <c r="BA207" s="2261">
        <v>15</v>
      </c>
      <c r="BB207" s="2261">
        <v>0</v>
      </c>
      <c r="BC207" s="2261">
        <v>0</v>
      </c>
      <c r="BD207" s="2229">
        <v>0</v>
      </c>
      <c r="BE207" s="2229">
        <v>0.114396</v>
      </c>
      <c r="BF207" s="2229">
        <v>0</v>
      </c>
      <c r="BG207" s="2229">
        <v>0</v>
      </c>
      <c r="BH207" s="2229">
        <v>0</v>
      </c>
      <c r="BI207" s="2229">
        <v>0</v>
      </c>
      <c r="BJ207" s="2229">
        <v>0</v>
      </c>
      <c r="BK207" s="2262">
        <v>0</v>
      </c>
      <c r="BL207" s="2262">
        <v>0</v>
      </c>
      <c r="BM207" s="2262">
        <v>-2.1</v>
      </c>
      <c r="BN207" s="2262">
        <v>2.1</v>
      </c>
      <c r="BO207" s="2262">
        <v>0</v>
      </c>
      <c r="BP207" s="2262">
        <v>0</v>
      </c>
      <c r="BQ207" s="2262">
        <v>0</v>
      </c>
      <c r="BR207" s="2262">
        <v>0</v>
      </c>
      <c r="BS207" s="2262">
        <v>0</v>
      </c>
      <c r="BT207" s="2262">
        <v>0</v>
      </c>
      <c r="BU207" s="2262">
        <v>0</v>
      </c>
      <c r="BV207" s="2262">
        <v>0</v>
      </c>
      <c r="BW207" s="2262">
        <v>0</v>
      </c>
      <c r="BX207" s="2263">
        <v>1</v>
      </c>
      <c r="BY207" s="2262">
        <v>0.52</v>
      </c>
      <c r="BZ207" s="2262">
        <v>0.18000000000000016</v>
      </c>
      <c r="CA207" s="2064" t="s">
        <v>3524</v>
      </c>
      <c r="CC207" s="563">
        <v>2359.5299329060649</v>
      </c>
      <c r="CD207" s="563">
        <v>2359.5299329060649</v>
      </c>
    </row>
    <row r="208" spans="1:82" s="563" customFormat="1" ht="22.9" customHeight="1">
      <c r="A208" s="2241"/>
      <c r="B208" s="2242" t="s">
        <v>4</v>
      </c>
      <c r="C208" s="2243"/>
      <c r="D208" s="2244"/>
      <c r="E208" s="2243">
        <v>-2.1</v>
      </c>
      <c r="F208" s="2245">
        <v>2.1</v>
      </c>
      <c r="G208" s="2243">
        <v>0</v>
      </c>
      <c r="H208" s="2246">
        <v>-2.1</v>
      </c>
      <c r="I208" s="2245">
        <v>2.1</v>
      </c>
      <c r="J208" s="2247">
        <v>-2.1</v>
      </c>
      <c r="K208" s="2248" t="s">
        <v>3521</v>
      </c>
      <c r="L208" s="2248" t="s">
        <v>3521</v>
      </c>
      <c r="M208" s="2248" t="s">
        <v>3521</v>
      </c>
      <c r="N208" s="2249" t="s">
        <v>3521</v>
      </c>
      <c r="O208" s="2250"/>
      <c r="P208" s="2251"/>
      <c r="Q208" s="2252"/>
      <c r="R208" s="2250"/>
      <c r="S208" s="2253">
        <v>10</v>
      </c>
      <c r="T208" s="2161">
        <v>0</v>
      </c>
      <c r="U208" s="2245">
        <v>1</v>
      </c>
      <c r="V208" s="2245">
        <v>15</v>
      </c>
      <c r="W208" s="2245">
        <v>128.45752167880846</v>
      </c>
      <c r="X208" s="2245">
        <v>3.6248559335500571E-2</v>
      </c>
      <c r="Y208" s="2245">
        <v>0</v>
      </c>
      <c r="Z208" s="2161">
        <v>0</v>
      </c>
      <c r="AA208" s="2245" t="e">
        <v>#DIV/0!</v>
      </c>
      <c r="AB208" s="2245">
        <v>2.2000000000000002</v>
      </c>
      <c r="AC208" s="2245">
        <v>0</v>
      </c>
      <c r="AD208" s="2245" t="s">
        <v>1240</v>
      </c>
      <c r="AE208" s="2254">
        <v>1.4999999999999999E-2</v>
      </c>
      <c r="AF208" s="2255">
        <v>1</v>
      </c>
      <c r="AG208" s="2245">
        <v>0.6</v>
      </c>
      <c r="AH208" s="2245"/>
      <c r="AJ208" s="2256"/>
      <c r="AK208" s="2257">
        <v>0</v>
      </c>
      <c r="AL208" s="2245">
        <v>0</v>
      </c>
      <c r="AM208" s="2245">
        <v>0</v>
      </c>
      <c r="AN208" s="2245" t="e">
        <v>#DIV/0!</v>
      </c>
      <c r="AO208" s="2245" t="e">
        <v>#DIV/0!</v>
      </c>
      <c r="AP208" s="2258">
        <v>0</v>
      </c>
      <c r="AQ208" s="2259"/>
      <c r="AR208" s="2259">
        <v>0</v>
      </c>
      <c r="AS208" s="2260" t="s">
        <v>3521</v>
      </c>
      <c r="AT208" s="2259"/>
      <c r="AU208" s="2259"/>
      <c r="AV208" s="2259"/>
      <c r="AW208" s="2259">
        <v>0</v>
      </c>
      <c r="AX208" s="2261">
        <v>10000</v>
      </c>
      <c r="AY208" s="2261">
        <v>10000</v>
      </c>
      <c r="AZ208" s="2261">
        <v>10000</v>
      </c>
      <c r="BA208" s="2261">
        <v>15</v>
      </c>
      <c r="BB208" s="2261">
        <v>0</v>
      </c>
      <c r="BC208" s="2261">
        <v>0</v>
      </c>
      <c r="BD208" s="2229">
        <v>0</v>
      </c>
      <c r="BE208" s="2229">
        <v>0.114396</v>
      </c>
      <c r="BF208" s="2229">
        <v>0</v>
      </c>
      <c r="BG208" s="2229">
        <v>0</v>
      </c>
      <c r="BH208" s="2229">
        <v>0</v>
      </c>
      <c r="BI208" s="2229">
        <v>0</v>
      </c>
      <c r="BJ208" s="2229">
        <v>0</v>
      </c>
      <c r="BK208" s="2262">
        <v>0</v>
      </c>
      <c r="BL208" s="2262">
        <v>0</v>
      </c>
      <c r="BM208" s="2262">
        <v>-2.1</v>
      </c>
      <c r="BN208" s="2262">
        <v>2.1</v>
      </c>
      <c r="BO208" s="2262">
        <v>0</v>
      </c>
      <c r="BP208" s="2262">
        <v>0</v>
      </c>
      <c r="BQ208" s="2262">
        <v>0</v>
      </c>
      <c r="BR208" s="2262">
        <v>0</v>
      </c>
      <c r="BS208" s="2262">
        <v>0</v>
      </c>
      <c r="BT208" s="2262">
        <v>0</v>
      </c>
      <c r="BU208" s="2262">
        <v>0</v>
      </c>
      <c r="BV208" s="2262">
        <v>0</v>
      </c>
      <c r="BW208" s="2262">
        <v>0</v>
      </c>
      <c r="BX208" s="2263">
        <v>1</v>
      </c>
      <c r="BY208" s="2262">
        <v>0.52</v>
      </c>
      <c r="BZ208" s="2262">
        <v>0.18000000000000016</v>
      </c>
      <c r="CA208" s="2064" t="s">
        <v>3524</v>
      </c>
      <c r="CC208" s="563">
        <v>2359.5299329060649</v>
      </c>
      <c r="CD208" s="563">
        <v>2359.5299329060649</v>
      </c>
    </row>
    <row r="209" spans="1:82" s="563" customFormat="1" ht="22.9" customHeight="1">
      <c r="A209" s="2241"/>
      <c r="B209" s="2242" t="s">
        <v>4</v>
      </c>
      <c r="C209" s="2243"/>
      <c r="D209" s="2244"/>
      <c r="E209" s="2243">
        <v>-2.1</v>
      </c>
      <c r="F209" s="2245">
        <v>2.1</v>
      </c>
      <c r="G209" s="2243">
        <v>0</v>
      </c>
      <c r="H209" s="2246">
        <v>-2.1</v>
      </c>
      <c r="I209" s="2245">
        <v>2.1</v>
      </c>
      <c r="J209" s="2247">
        <v>-2.1</v>
      </c>
      <c r="K209" s="2248" t="s">
        <v>3521</v>
      </c>
      <c r="L209" s="2248" t="s">
        <v>3521</v>
      </c>
      <c r="M209" s="2248" t="s">
        <v>3521</v>
      </c>
      <c r="N209" s="2249" t="s">
        <v>3521</v>
      </c>
      <c r="O209" s="2250"/>
      <c r="P209" s="2251"/>
      <c r="Q209" s="2252"/>
      <c r="R209" s="2250"/>
      <c r="S209" s="2253">
        <v>10</v>
      </c>
      <c r="T209" s="2161">
        <v>0</v>
      </c>
      <c r="U209" s="2245">
        <v>1</v>
      </c>
      <c r="V209" s="2245">
        <v>15</v>
      </c>
      <c r="W209" s="2245">
        <v>128.45752167880846</v>
      </c>
      <c r="X209" s="2245">
        <v>3.6248559335500571E-2</v>
      </c>
      <c r="Y209" s="2245">
        <v>0</v>
      </c>
      <c r="Z209" s="2161">
        <v>0</v>
      </c>
      <c r="AA209" s="2245" t="e">
        <v>#DIV/0!</v>
      </c>
      <c r="AB209" s="2245">
        <v>2.2000000000000002</v>
      </c>
      <c r="AC209" s="2245">
        <v>0</v>
      </c>
      <c r="AD209" s="2245" t="s">
        <v>1240</v>
      </c>
      <c r="AE209" s="2254">
        <v>1.4999999999999999E-2</v>
      </c>
      <c r="AF209" s="2255">
        <v>1</v>
      </c>
      <c r="AG209" s="2245">
        <v>0.6</v>
      </c>
      <c r="AH209" s="2245"/>
      <c r="AJ209" s="2256"/>
      <c r="AK209" s="2257">
        <v>0</v>
      </c>
      <c r="AL209" s="2245">
        <v>0</v>
      </c>
      <c r="AM209" s="2245">
        <v>0</v>
      </c>
      <c r="AN209" s="2245" t="e">
        <v>#DIV/0!</v>
      </c>
      <c r="AO209" s="2245" t="e">
        <v>#DIV/0!</v>
      </c>
      <c r="AP209" s="2258">
        <v>0</v>
      </c>
      <c r="AQ209" s="2259"/>
      <c r="AR209" s="2259">
        <v>0</v>
      </c>
      <c r="AS209" s="2260" t="s">
        <v>3521</v>
      </c>
      <c r="AT209" s="2259"/>
      <c r="AU209" s="2259"/>
      <c r="AV209" s="2259"/>
      <c r="AW209" s="2259">
        <v>0</v>
      </c>
      <c r="AX209" s="2261">
        <v>10000</v>
      </c>
      <c r="AY209" s="2261">
        <v>10000</v>
      </c>
      <c r="AZ209" s="2261">
        <v>10000</v>
      </c>
      <c r="BA209" s="2261">
        <v>15</v>
      </c>
      <c r="BB209" s="2261">
        <v>0</v>
      </c>
      <c r="BC209" s="2261">
        <v>0</v>
      </c>
      <c r="BD209" s="2229">
        <v>0</v>
      </c>
      <c r="BE209" s="2229">
        <v>0.114396</v>
      </c>
      <c r="BF209" s="2229">
        <v>0</v>
      </c>
      <c r="BG209" s="2229">
        <v>0</v>
      </c>
      <c r="BH209" s="2229">
        <v>0</v>
      </c>
      <c r="BI209" s="2229">
        <v>0</v>
      </c>
      <c r="BJ209" s="2229">
        <v>0</v>
      </c>
      <c r="BK209" s="2262">
        <v>0</v>
      </c>
      <c r="BL209" s="2262">
        <v>0</v>
      </c>
      <c r="BM209" s="2262">
        <v>-2.1</v>
      </c>
      <c r="BN209" s="2262">
        <v>2.1</v>
      </c>
      <c r="BO209" s="2262">
        <v>0</v>
      </c>
      <c r="BP209" s="2262">
        <v>0</v>
      </c>
      <c r="BQ209" s="2262">
        <v>0</v>
      </c>
      <c r="BR209" s="2262">
        <v>0</v>
      </c>
      <c r="BS209" s="2262">
        <v>0</v>
      </c>
      <c r="BT209" s="2262">
        <v>0</v>
      </c>
      <c r="BU209" s="2262">
        <v>0</v>
      </c>
      <c r="BV209" s="2262">
        <v>0</v>
      </c>
      <c r="BW209" s="2262">
        <v>0</v>
      </c>
      <c r="BX209" s="2263">
        <v>1</v>
      </c>
      <c r="BY209" s="2262">
        <v>0.52</v>
      </c>
      <c r="BZ209" s="2262">
        <v>0.18000000000000016</v>
      </c>
      <c r="CA209" s="2064" t="s">
        <v>3524</v>
      </c>
      <c r="CC209" s="563">
        <v>2359.5299329060649</v>
      </c>
      <c r="CD209" s="563">
        <v>2359.5299329060649</v>
      </c>
    </row>
    <row r="210" spans="1:82" s="563" customFormat="1" ht="22.9" customHeight="1">
      <c r="A210" s="2264"/>
      <c r="B210" s="2265" t="s">
        <v>4</v>
      </c>
      <c r="C210" s="2266"/>
      <c r="D210" s="2267"/>
      <c r="E210" s="2266">
        <v>-2.1</v>
      </c>
      <c r="F210" s="2268">
        <v>2.1</v>
      </c>
      <c r="G210" s="2266">
        <v>0</v>
      </c>
      <c r="H210" s="2269">
        <v>-2.1</v>
      </c>
      <c r="I210" s="2268">
        <v>2.1</v>
      </c>
      <c r="J210" s="2270">
        <v>-2.1</v>
      </c>
      <c r="K210" s="2271" t="s">
        <v>3521</v>
      </c>
      <c r="L210" s="2271" t="s">
        <v>3521</v>
      </c>
      <c r="M210" s="2271" t="s">
        <v>3521</v>
      </c>
      <c r="N210" s="2272" t="s">
        <v>3521</v>
      </c>
      <c r="O210" s="2273"/>
      <c r="P210" s="2274"/>
      <c r="Q210" s="2275"/>
      <c r="R210" s="2273"/>
      <c r="S210" s="2276">
        <v>10</v>
      </c>
      <c r="T210" s="2277">
        <v>0</v>
      </c>
      <c r="U210" s="2268">
        <v>1</v>
      </c>
      <c r="V210" s="2268">
        <v>15</v>
      </c>
      <c r="W210" s="2268">
        <v>128.45752167880846</v>
      </c>
      <c r="X210" s="2268">
        <v>3.6248559335500571E-2</v>
      </c>
      <c r="Y210" s="2268">
        <v>0</v>
      </c>
      <c r="Z210" s="2277">
        <v>0</v>
      </c>
      <c r="AA210" s="2268" t="e">
        <v>#DIV/0!</v>
      </c>
      <c r="AB210" s="2268">
        <v>2.2000000000000002</v>
      </c>
      <c r="AC210" s="2268">
        <v>0</v>
      </c>
      <c r="AD210" s="2268" t="s">
        <v>1240</v>
      </c>
      <c r="AE210" s="2278">
        <v>1.4999999999999999E-2</v>
      </c>
      <c r="AF210" s="2279">
        <v>1</v>
      </c>
      <c r="AG210" s="2245">
        <v>0.6</v>
      </c>
      <c r="AH210" s="2268"/>
      <c r="AI210" s="2280"/>
      <c r="AJ210" s="2281"/>
      <c r="AK210" s="2282">
        <v>0</v>
      </c>
      <c r="AL210" s="2268">
        <v>0</v>
      </c>
      <c r="AM210" s="2268">
        <v>0</v>
      </c>
      <c r="AN210" s="2268" t="e">
        <v>#DIV/0!</v>
      </c>
      <c r="AO210" s="2268" t="e">
        <v>#DIV/0!</v>
      </c>
      <c r="AP210" s="2283">
        <v>0</v>
      </c>
      <c r="AQ210" s="2284"/>
      <c r="AR210" s="2284">
        <v>0</v>
      </c>
      <c r="AS210" s="2285" t="s">
        <v>3521</v>
      </c>
      <c r="AT210" s="2284"/>
      <c r="AU210" s="2284"/>
      <c r="AV210" s="2284"/>
      <c r="AW210" s="2284">
        <v>0</v>
      </c>
      <c r="AX210" s="2286">
        <v>10000</v>
      </c>
      <c r="AY210" s="2286">
        <v>10000</v>
      </c>
      <c r="AZ210" s="2286">
        <v>10000</v>
      </c>
      <c r="BA210" s="2286">
        <v>15</v>
      </c>
      <c r="BB210" s="2286">
        <v>0</v>
      </c>
      <c r="BC210" s="2286">
        <v>0</v>
      </c>
      <c r="BD210" s="2229">
        <v>0</v>
      </c>
      <c r="BE210" s="2229">
        <v>0.114396</v>
      </c>
      <c r="BF210" s="2229">
        <v>0</v>
      </c>
      <c r="BG210" s="2229">
        <v>0</v>
      </c>
      <c r="BH210" s="2229">
        <v>0</v>
      </c>
      <c r="BI210" s="2229">
        <v>0</v>
      </c>
      <c r="BJ210" s="2229">
        <v>0</v>
      </c>
      <c r="BK210" s="2262">
        <v>0</v>
      </c>
      <c r="BL210" s="2262">
        <v>0</v>
      </c>
      <c r="BM210" s="2262">
        <v>-2.1</v>
      </c>
      <c r="BN210" s="2262">
        <v>2.1</v>
      </c>
      <c r="BO210" s="2262">
        <v>0</v>
      </c>
      <c r="BP210" s="2262">
        <v>0</v>
      </c>
      <c r="BQ210" s="2262">
        <v>0</v>
      </c>
      <c r="BR210" s="2262">
        <v>0</v>
      </c>
      <c r="BS210" s="2262">
        <v>0</v>
      </c>
      <c r="BT210" s="2262">
        <v>0</v>
      </c>
      <c r="BU210" s="2262">
        <v>0</v>
      </c>
      <c r="BV210" s="2262">
        <v>0</v>
      </c>
      <c r="BW210" s="2262">
        <v>0</v>
      </c>
      <c r="BX210" s="2263">
        <v>1</v>
      </c>
      <c r="BY210" s="2262">
        <v>0.52</v>
      </c>
      <c r="BZ210" s="2262">
        <v>0.18000000000000016</v>
      </c>
      <c r="CA210" s="2064" t="s">
        <v>3524</v>
      </c>
      <c r="CC210" s="563">
        <v>2359.5299329060649</v>
      </c>
      <c r="CD210" s="563">
        <v>2359.5299329060649</v>
      </c>
    </row>
  </sheetData>
  <mergeCells count="42">
    <mergeCell ref="AA8:AC8"/>
    <mergeCell ref="AL1:AO1"/>
    <mergeCell ref="E4:F4"/>
    <mergeCell ref="A8:A10"/>
    <mergeCell ref="B8:B10"/>
    <mergeCell ref="C8:I8"/>
    <mergeCell ref="O8:O10"/>
    <mergeCell ref="P8:P10"/>
    <mergeCell ref="Q8:S8"/>
    <mergeCell ref="T8:T10"/>
    <mergeCell ref="U8:U10"/>
    <mergeCell ref="V8:V10"/>
    <mergeCell ref="W8:W10"/>
    <mergeCell ref="X8:X10"/>
    <mergeCell ref="Y8:Y10"/>
    <mergeCell ref="Z8:Z10"/>
    <mergeCell ref="BK8:BZ8"/>
    <mergeCell ref="AF9:AF10"/>
    <mergeCell ref="AG9:AG10"/>
    <mergeCell ref="AQ9:AS9"/>
    <mergeCell ref="BK9:BN9"/>
    <mergeCell ref="BZ9:BZ10"/>
    <mergeCell ref="BT9:BV9"/>
    <mergeCell ref="BW9:BW10"/>
    <mergeCell ref="BX9:BX10"/>
    <mergeCell ref="BY9:BY10"/>
    <mergeCell ref="CA8:CA10"/>
    <mergeCell ref="C9:F9"/>
    <mergeCell ref="G9:I9"/>
    <mergeCell ref="Q9:Q10"/>
    <mergeCell ref="R9:R10"/>
    <mergeCell ref="S9:S10"/>
    <mergeCell ref="AA9:AA10"/>
    <mergeCell ref="AB9:AC9"/>
    <mergeCell ref="AD9:AD10"/>
    <mergeCell ref="AE9:AE10"/>
    <mergeCell ref="AD8:AK8"/>
    <mergeCell ref="AL8:AM9"/>
    <mergeCell ref="AN8:AN10"/>
    <mergeCell ref="AO8:AO10"/>
    <mergeCell ref="BH8:BJ8"/>
    <mergeCell ref="BO9:BS9"/>
  </mergeCells>
  <dataValidations count="4">
    <dataValidation allowBlank="1" showInputMessage="1" showErrorMessage="1" prompt="Se está rosa A&gt;6_x000a_Usar Área x Descarga" sqref="Q12:Q210" xr:uid="{5EF475CF-2C70-444C-A024-9EA9F2645817}"/>
    <dataValidation type="list" allowBlank="1" showInputMessage="1" showErrorMessage="1" sqref="AG11:AG210" xr:uid="{EA8A8BEC-D855-4064-A402-196D36376B11}">
      <mc:AlternateContent xmlns:x12ac="http://schemas.microsoft.com/office/spreadsheetml/2011/1/ac" xmlns:mc="http://schemas.openxmlformats.org/markup-compatibility/2006">
        <mc:Choice Requires="x12ac">
          <x12ac:list>"0,60","0,80","1,00","1,20","1,50"</x12ac:list>
        </mc:Choice>
        <mc:Fallback>
          <formula1>"0,60,0,80,1,00,1,20,1,50"</formula1>
        </mc:Fallback>
      </mc:AlternateContent>
    </dataValidation>
    <dataValidation allowBlank="1" showInputMessage="1" showErrorMessage="1" prompt="Se está_x000a_verde_x000a_Verificar N.A._x000a_coluna &quot;M&quot;" sqref="D11:D210" xr:uid="{25BEECEA-CFCD-42AD-94EB-49EB6A264432}"/>
    <dataValidation type="list" allowBlank="1" showInputMessage="1" showErrorMessage="1" sqref="AD11:AD210" xr:uid="{D61FFBDE-EEE3-4002-B1FA-F96B981B338C}">
      <formula1>"C,P,M"</formula1>
    </dataValidation>
  </dataValidations>
  <hyperlinks>
    <hyperlink ref="A8:A10" location="PAINEL!A1" display="TRECHO" xr:uid="{6BE35785-C160-4737-9E54-CA109414986E}"/>
  </hyperlinks>
  <printOptions horizontalCentered="1"/>
  <pageMargins left="0.39370078740157477" right="0.59055118110236215" top="0.39370078740157477" bottom="0.59055118110236215" header="0.31496062992125984" footer="0.23622047244094491"/>
  <pageSetup paperSize="9" scale="37" orientation="landscape" r:id="rId1"/>
  <headerFooter>
    <oddFooter>&amp;C&amp;8Página &amp;P/&amp;N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B5564-9940-4660-8C53-1BBB53F9B87D}">
  <sheetPr codeName="Planilha16"/>
  <dimension ref="A1:BA87"/>
  <sheetViews>
    <sheetView showZeros="0" zoomScaleNormal="100" workbookViewId="0"/>
  </sheetViews>
  <sheetFormatPr defaultColWidth="10" defaultRowHeight="15" customHeight="1"/>
  <cols>
    <col min="1" max="1" width="6.75" style="2300" customWidth="1"/>
    <col min="2" max="2" width="11.875" style="2300" customWidth="1"/>
    <col min="3" max="12" width="10.5" style="2300" customWidth="1"/>
    <col min="13" max="15" width="10" style="2300"/>
    <col min="16" max="16" width="10.375" style="2300" customWidth="1"/>
    <col min="17" max="17" width="11.875" style="2300" customWidth="1"/>
    <col min="18" max="251" width="10" style="2300"/>
    <col min="252" max="252" width="6.75" style="2300" customWidth="1"/>
    <col min="253" max="263" width="10.5" style="2300" customWidth="1"/>
    <col min="264" max="267" width="10" style="2300"/>
    <col min="268" max="268" width="10.75" style="2300" bestFit="1" customWidth="1"/>
    <col min="269" max="507" width="10" style="2300"/>
    <col min="508" max="508" width="6.75" style="2300" customWidth="1"/>
    <col min="509" max="519" width="10.5" style="2300" customWidth="1"/>
    <col min="520" max="523" width="10" style="2300"/>
    <col min="524" max="524" width="10.75" style="2300" bestFit="1" customWidth="1"/>
    <col min="525" max="763" width="10" style="2300"/>
    <col min="764" max="764" width="6.75" style="2300" customWidth="1"/>
    <col min="765" max="775" width="10.5" style="2300" customWidth="1"/>
    <col min="776" max="779" width="10" style="2300"/>
    <col min="780" max="780" width="10.75" style="2300" bestFit="1" customWidth="1"/>
    <col min="781" max="1019" width="10" style="2300"/>
    <col min="1020" max="1020" width="6.75" style="2300" customWidth="1"/>
    <col min="1021" max="1031" width="10.5" style="2300" customWidth="1"/>
    <col min="1032" max="1035" width="10" style="2300"/>
    <col min="1036" max="1036" width="10.75" style="2300" bestFit="1" customWidth="1"/>
    <col min="1037" max="1275" width="10" style="2300"/>
    <col min="1276" max="1276" width="6.75" style="2300" customWidth="1"/>
    <col min="1277" max="1287" width="10.5" style="2300" customWidth="1"/>
    <col min="1288" max="1291" width="10" style="2300"/>
    <col min="1292" max="1292" width="10.75" style="2300" bestFit="1" customWidth="1"/>
    <col min="1293" max="1531" width="10" style="2300"/>
    <col min="1532" max="1532" width="6.75" style="2300" customWidth="1"/>
    <col min="1533" max="1543" width="10.5" style="2300" customWidth="1"/>
    <col min="1544" max="1547" width="10" style="2300"/>
    <col min="1548" max="1548" width="10.75" style="2300" bestFit="1" customWidth="1"/>
    <col min="1549" max="1787" width="10" style="2300"/>
    <col min="1788" max="1788" width="6.75" style="2300" customWidth="1"/>
    <col min="1789" max="1799" width="10.5" style="2300" customWidth="1"/>
    <col min="1800" max="1803" width="10" style="2300"/>
    <col min="1804" max="1804" width="10.75" style="2300" bestFit="1" customWidth="1"/>
    <col min="1805" max="2043" width="10" style="2300"/>
    <col min="2044" max="2044" width="6.75" style="2300" customWidth="1"/>
    <col min="2045" max="2055" width="10.5" style="2300" customWidth="1"/>
    <col min="2056" max="2059" width="10" style="2300"/>
    <col min="2060" max="2060" width="10.75" style="2300" bestFit="1" customWidth="1"/>
    <col min="2061" max="2299" width="10" style="2300"/>
    <col min="2300" max="2300" width="6.75" style="2300" customWidth="1"/>
    <col min="2301" max="2311" width="10.5" style="2300" customWidth="1"/>
    <col min="2312" max="2315" width="10" style="2300"/>
    <col min="2316" max="2316" width="10.75" style="2300" bestFit="1" customWidth="1"/>
    <col min="2317" max="2555" width="10" style="2300"/>
    <col min="2556" max="2556" width="6.75" style="2300" customWidth="1"/>
    <col min="2557" max="2567" width="10.5" style="2300" customWidth="1"/>
    <col min="2568" max="2571" width="10" style="2300"/>
    <col min="2572" max="2572" width="10.75" style="2300" bestFit="1" customWidth="1"/>
    <col min="2573" max="2811" width="10" style="2300"/>
    <col min="2812" max="2812" width="6.75" style="2300" customWidth="1"/>
    <col min="2813" max="2823" width="10.5" style="2300" customWidth="1"/>
    <col min="2824" max="2827" width="10" style="2300"/>
    <col min="2828" max="2828" width="10.75" style="2300" bestFit="1" customWidth="1"/>
    <col min="2829" max="3067" width="10" style="2300"/>
    <col min="3068" max="3068" width="6.75" style="2300" customWidth="1"/>
    <col min="3069" max="3079" width="10.5" style="2300" customWidth="1"/>
    <col min="3080" max="3083" width="10" style="2300"/>
    <col min="3084" max="3084" width="10.75" style="2300" bestFit="1" customWidth="1"/>
    <col min="3085" max="3323" width="10" style="2300"/>
    <col min="3324" max="3324" width="6.75" style="2300" customWidth="1"/>
    <col min="3325" max="3335" width="10.5" style="2300" customWidth="1"/>
    <col min="3336" max="3339" width="10" style="2300"/>
    <col min="3340" max="3340" width="10.75" style="2300" bestFit="1" customWidth="1"/>
    <col min="3341" max="3579" width="10" style="2300"/>
    <col min="3580" max="3580" width="6.75" style="2300" customWidth="1"/>
    <col min="3581" max="3591" width="10.5" style="2300" customWidth="1"/>
    <col min="3592" max="3595" width="10" style="2300"/>
    <col min="3596" max="3596" width="10.75" style="2300" bestFit="1" customWidth="1"/>
    <col min="3597" max="3835" width="10" style="2300"/>
    <col min="3836" max="3836" width="6.75" style="2300" customWidth="1"/>
    <col min="3837" max="3847" width="10.5" style="2300" customWidth="1"/>
    <col min="3848" max="3851" width="10" style="2300"/>
    <col min="3852" max="3852" width="10.75" style="2300" bestFit="1" customWidth="1"/>
    <col min="3853" max="4091" width="10" style="2300"/>
    <col min="4092" max="4092" width="6.75" style="2300" customWidth="1"/>
    <col min="4093" max="4103" width="10.5" style="2300" customWidth="1"/>
    <col min="4104" max="4107" width="10" style="2300"/>
    <col min="4108" max="4108" width="10.75" style="2300" bestFit="1" customWidth="1"/>
    <col min="4109" max="4347" width="10" style="2300"/>
    <col min="4348" max="4348" width="6.75" style="2300" customWidth="1"/>
    <col min="4349" max="4359" width="10.5" style="2300" customWidth="1"/>
    <col min="4360" max="4363" width="10" style="2300"/>
    <col min="4364" max="4364" width="10.75" style="2300" bestFit="1" customWidth="1"/>
    <col min="4365" max="4603" width="10" style="2300"/>
    <col min="4604" max="4604" width="6.75" style="2300" customWidth="1"/>
    <col min="4605" max="4615" width="10.5" style="2300" customWidth="1"/>
    <col min="4616" max="4619" width="10" style="2300"/>
    <col min="4620" max="4620" width="10.75" style="2300" bestFit="1" customWidth="1"/>
    <col min="4621" max="4859" width="10" style="2300"/>
    <col min="4860" max="4860" width="6.75" style="2300" customWidth="1"/>
    <col min="4861" max="4871" width="10.5" style="2300" customWidth="1"/>
    <col min="4872" max="4875" width="10" style="2300"/>
    <col min="4876" max="4876" width="10.75" style="2300" bestFit="1" customWidth="1"/>
    <col min="4877" max="5115" width="10" style="2300"/>
    <col min="5116" max="5116" width="6.75" style="2300" customWidth="1"/>
    <col min="5117" max="5127" width="10.5" style="2300" customWidth="1"/>
    <col min="5128" max="5131" width="10" style="2300"/>
    <col min="5132" max="5132" width="10.75" style="2300" bestFit="1" customWidth="1"/>
    <col min="5133" max="5371" width="10" style="2300"/>
    <col min="5372" max="5372" width="6.75" style="2300" customWidth="1"/>
    <col min="5373" max="5383" width="10.5" style="2300" customWidth="1"/>
    <col min="5384" max="5387" width="10" style="2300"/>
    <col min="5388" max="5388" width="10.75" style="2300" bestFit="1" customWidth="1"/>
    <col min="5389" max="5627" width="10" style="2300"/>
    <col min="5628" max="5628" width="6.75" style="2300" customWidth="1"/>
    <col min="5629" max="5639" width="10.5" style="2300" customWidth="1"/>
    <col min="5640" max="5643" width="10" style="2300"/>
    <col min="5644" max="5644" width="10.75" style="2300" bestFit="1" customWidth="1"/>
    <col min="5645" max="5883" width="10" style="2300"/>
    <col min="5884" max="5884" width="6.75" style="2300" customWidth="1"/>
    <col min="5885" max="5895" width="10.5" style="2300" customWidth="1"/>
    <col min="5896" max="5899" width="10" style="2300"/>
    <col min="5900" max="5900" width="10.75" style="2300" bestFit="1" customWidth="1"/>
    <col min="5901" max="6139" width="10" style="2300"/>
    <col min="6140" max="6140" width="6.75" style="2300" customWidth="1"/>
    <col min="6141" max="6151" width="10.5" style="2300" customWidth="1"/>
    <col min="6152" max="6155" width="10" style="2300"/>
    <col min="6156" max="6156" width="10.75" style="2300" bestFit="1" customWidth="1"/>
    <col min="6157" max="6395" width="10" style="2300"/>
    <col min="6396" max="6396" width="6.75" style="2300" customWidth="1"/>
    <col min="6397" max="6407" width="10.5" style="2300" customWidth="1"/>
    <col min="6408" max="6411" width="10" style="2300"/>
    <col min="6412" max="6412" width="10.75" style="2300" bestFit="1" customWidth="1"/>
    <col min="6413" max="6651" width="10" style="2300"/>
    <col min="6652" max="6652" width="6.75" style="2300" customWidth="1"/>
    <col min="6653" max="6663" width="10.5" style="2300" customWidth="1"/>
    <col min="6664" max="6667" width="10" style="2300"/>
    <col min="6668" max="6668" width="10.75" style="2300" bestFit="1" customWidth="1"/>
    <col min="6669" max="6907" width="10" style="2300"/>
    <col min="6908" max="6908" width="6.75" style="2300" customWidth="1"/>
    <col min="6909" max="6919" width="10.5" style="2300" customWidth="1"/>
    <col min="6920" max="6923" width="10" style="2300"/>
    <col min="6924" max="6924" width="10.75" style="2300" bestFit="1" customWidth="1"/>
    <col min="6925" max="7163" width="10" style="2300"/>
    <col min="7164" max="7164" width="6.75" style="2300" customWidth="1"/>
    <col min="7165" max="7175" width="10.5" style="2300" customWidth="1"/>
    <col min="7176" max="7179" width="10" style="2300"/>
    <col min="7180" max="7180" width="10.75" style="2300" bestFit="1" customWidth="1"/>
    <col min="7181" max="7419" width="10" style="2300"/>
    <col min="7420" max="7420" width="6.75" style="2300" customWidth="1"/>
    <col min="7421" max="7431" width="10.5" style="2300" customWidth="1"/>
    <col min="7432" max="7435" width="10" style="2300"/>
    <col min="7436" max="7436" width="10.75" style="2300" bestFit="1" customWidth="1"/>
    <col min="7437" max="7675" width="10" style="2300"/>
    <col min="7676" max="7676" width="6.75" style="2300" customWidth="1"/>
    <col min="7677" max="7687" width="10.5" style="2300" customWidth="1"/>
    <col min="7688" max="7691" width="10" style="2300"/>
    <col min="7692" max="7692" width="10.75" style="2300" bestFit="1" customWidth="1"/>
    <col min="7693" max="7931" width="10" style="2300"/>
    <col min="7932" max="7932" width="6.75" style="2300" customWidth="1"/>
    <col min="7933" max="7943" width="10.5" style="2300" customWidth="1"/>
    <col min="7944" max="7947" width="10" style="2300"/>
    <col min="7948" max="7948" width="10.75" style="2300" bestFit="1" customWidth="1"/>
    <col min="7949" max="8187" width="10" style="2300"/>
    <col min="8188" max="8188" width="6.75" style="2300" customWidth="1"/>
    <col min="8189" max="8199" width="10.5" style="2300" customWidth="1"/>
    <col min="8200" max="8203" width="10" style="2300"/>
    <col min="8204" max="8204" width="10.75" style="2300" bestFit="1" customWidth="1"/>
    <col min="8205" max="8443" width="10" style="2300"/>
    <col min="8444" max="8444" width="6.75" style="2300" customWidth="1"/>
    <col min="8445" max="8455" width="10.5" style="2300" customWidth="1"/>
    <col min="8456" max="8459" width="10" style="2300"/>
    <col min="8460" max="8460" width="10.75" style="2300" bestFit="1" customWidth="1"/>
    <col min="8461" max="8699" width="10" style="2300"/>
    <col min="8700" max="8700" width="6.75" style="2300" customWidth="1"/>
    <col min="8701" max="8711" width="10.5" style="2300" customWidth="1"/>
    <col min="8712" max="8715" width="10" style="2300"/>
    <col min="8716" max="8716" width="10.75" style="2300" bestFit="1" customWidth="1"/>
    <col min="8717" max="8955" width="10" style="2300"/>
    <col min="8956" max="8956" width="6.75" style="2300" customWidth="1"/>
    <col min="8957" max="8967" width="10.5" style="2300" customWidth="1"/>
    <col min="8968" max="8971" width="10" style="2300"/>
    <col min="8972" max="8972" width="10.75" style="2300" bestFit="1" customWidth="1"/>
    <col min="8973" max="9211" width="10" style="2300"/>
    <col min="9212" max="9212" width="6.75" style="2300" customWidth="1"/>
    <col min="9213" max="9223" width="10.5" style="2300" customWidth="1"/>
    <col min="9224" max="9227" width="10" style="2300"/>
    <col min="9228" max="9228" width="10.75" style="2300" bestFit="1" customWidth="1"/>
    <col min="9229" max="9467" width="10" style="2300"/>
    <col min="9468" max="9468" width="6.75" style="2300" customWidth="1"/>
    <col min="9469" max="9479" width="10.5" style="2300" customWidth="1"/>
    <col min="9480" max="9483" width="10" style="2300"/>
    <col min="9484" max="9484" width="10.75" style="2300" bestFit="1" customWidth="1"/>
    <col min="9485" max="9723" width="10" style="2300"/>
    <col min="9724" max="9724" width="6.75" style="2300" customWidth="1"/>
    <col min="9725" max="9735" width="10.5" style="2300" customWidth="1"/>
    <col min="9736" max="9739" width="10" style="2300"/>
    <col min="9740" max="9740" width="10.75" style="2300" bestFit="1" customWidth="1"/>
    <col min="9741" max="9979" width="10" style="2300"/>
    <col min="9980" max="9980" width="6.75" style="2300" customWidth="1"/>
    <col min="9981" max="9991" width="10.5" style="2300" customWidth="1"/>
    <col min="9992" max="9995" width="10" style="2300"/>
    <col min="9996" max="9996" width="10.75" style="2300" bestFit="1" customWidth="1"/>
    <col min="9997" max="10235" width="10" style="2300"/>
    <col min="10236" max="10236" width="6.75" style="2300" customWidth="1"/>
    <col min="10237" max="10247" width="10.5" style="2300" customWidth="1"/>
    <col min="10248" max="10251" width="10" style="2300"/>
    <col min="10252" max="10252" width="10.75" style="2300" bestFit="1" customWidth="1"/>
    <col min="10253" max="10491" width="10" style="2300"/>
    <col min="10492" max="10492" width="6.75" style="2300" customWidth="1"/>
    <col min="10493" max="10503" width="10.5" style="2300" customWidth="1"/>
    <col min="10504" max="10507" width="10" style="2300"/>
    <col min="10508" max="10508" width="10.75" style="2300" bestFit="1" customWidth="1"/>
    <col min="10509" max="10747" width="10" style="2300"/>
    <col min="10748" max="10748" width="6.75" style="2300" customWidth="1"/>
    <col min="10749" max="10759" width="10.5" style="2300" customWidth="1"/>
    <col min="10760" max="10763" width="10" style="2300"/>
    <col min="10764" max="10764" width="10.75" style="2300" bestFit="1" customWidth="1"/>
    <col min="10765" max="11003" width="10" style="2300"/>
    <col min="11004" max="11004" width="6.75" style="2300" customWidth="1"/>
    <col min="11005" max="11015" width="10.5" style="2300" customWidth="1"/>
    <col min="11016" max="11019" width="10" style="2300"/>
    <col min="11020" max="11020" width="10.75" style="2300" bestFit="1" customWidth="1"/>
    <col min="11021" max="11259" width="10" style="2300"/>
    <col min="11260" max="11260" width="6.75" style="2300" customWidth="1"/>
    <col min="11261" max="11271" width="10.5" style="2300" customWidth="1"/>
    <col min="11272" max="11275" width="10" style="2300"/>
    <col min="11276" max="11276" width="10.75" style="2300" bestFit="1" customWidth="1"/>
    <col min="11277" max="11515" width="10" style="2300"/>
    <col min="11516" max="11516" width="6.75" style="2300" customWidth="1"/>
    <col min="11517" max="11527" width="10.5" style="2300" customWidth="1"/>
    <col min="11528" max="11531" width="10" style="2300"/>
    <col min="11532" max="11532" width="10.75" style="2300" bestFit="1" customWidth="1"/>
    <col min="11533" max="11771" width="10" style="2300"/>
    <col min="11772" max="11772" width="6.75" style="2300" customWidth="1"/>
    <col min="11773" max="11783" width="10.5" style="2300" customWidth="1"/>
    <col min="11784" max="11787" width="10" style="2300"/>
    <col min="11788" max="11788" width="10.75" style="2300" bestFit="1" customWidth="1"/>
    <col min="11789" max="12027" width="10" style="2300"/>
    <col min="12028" max="12028" width="6.75" style="2300" customWidth="1"/>
    <col min="12029" max="12039" width="10.5" style="2300" customWidth="1"/>
    <col min="12040" max="12043" width="10" style="2300"/>
    <col min="12044" max="12044" width="10.75" style="2300" bestFit="1" customWidth="1"/>
    <col min="12045" max="12283" width="10" style="2300"/>
    <col min="12284" max="12284" width="6.75" style="2300" customWidth="1"/>
    <col min="12285" max="12295" width="10.5" style="2300" customWidth="1"/>
    <col min="12296" max="12299" width="10" style="2300"/>
    <col min="12300" max="12300" width="10.75" style="2300" bestFit="1" customWidth="1"/>
    <col min="12301" max="12539" width="10" style="2300"/>
    <col min="12540" max="12540" width="6.75" style="2300" customWidth="1"/>
    <col min="12541" max="12551" width="10.5" style="2300" customWidth="1"/>
    <col min="12552" max="12555" width="10" style="2300"/>
    <col min="12556" max="12556" width="10.75" style="2300" bestFit="1" customWidth="1"/>
    <col min="12557" max="12795" width="10" style="2300"/>
    <col min="12796" max="12796" width="6.75" style="2300" customWidth="1"/>
    <col min="12797" max="12807" width="10.5" style="2300" customWidth="1"/>
    <col min="12808" max="12811" width="10" style="2300"/>
    <col min="12812" max="12812" width="10.75" style="2300" bestFit="1" customWidth="1"/>
    <col min="12813" max="13051" width="10" style="2300"/>
    <col min="13052" max="13052" width="6.75" style="2300" customWidth="1"/>
    <col min="13053" max="13063" width="10.5" style="2300" customWidth="1"/>
    <col min="13064" max="13067" width="10" style="2300"/>
    <col min="13068" max="13068" width="10.75" style="2300" bestFit="1" customWidth="1"/>
    <col min="13069" max="13307" width="10" style="2300"/>
    <col min="13308" max="13308" width="6.75" style="2300" customWidth="1"/>
    <col min="13309" max="13319" width="10.5" style="2300" customWidth="1"/>
    <col min="13320" max="13323" width="10" style="2300"/>
    <col min="13324" max="13324" width="10.75" style="2300" bestFit="1" customWidth="1"/>
    <col min="13325" max="13563" width="10" style="2300"/>
    <col min="13564" max="13564" width="6.75" style="2300" customWidth="1"/>
    <col min="13565" max="13575" width="10.5" style="2300" customWidth="1"/>
    <col min="13576" max="13579" width="10" style="2300"/>
    <col min="13580" max="13580" width="10.75" style="2300" bestFit="1" customWidth="1"/>
    <col min="13581" max="13819" width="10" style="2300"/>
    <col min="13820" max="13820" width="6.75" style="2300" customWidth="1"/>
    <col min="13821" max="13831" width="10.5" style="2300" customWidth="1"/>
    <col min="13832" max="13835" width="10" style="2300"/>
    <col min="13836" max="13836" width="10.75" style="2300" bestFit="1" customWidth="1"/>
    <col min="13837" max="14075" width="10" style="2300"/>
    <col min="14076" max="14076" width="6.75" style="2300" customWidth="1"/>
    <col min="14077" max="14087" width="10.5" style="2300" customWidth="1"/>
    <col min="14088" max="14091" width="10" style="2300"/>
    <col min="14092" max="14092" width="10.75" style="2300" bestFit="1" customWidth="1"/>
    <col min="14093" max="14331" width="10" style="2300"/>
    <col min="14332" max="14332" width="6.75" style="2300" customWidth="1"/>
    <col min="14333" max="14343" width="10.5" style="2300" customWidth="1"/>
    <col min="14344" max="14347" width="10" style="2300"/>
    <col min="14348" max="14348" width="10.75" style="2300" bestFit="1" customWidth="1"/>
    <col min="14349" max="14587" width="10" style="2300"/>
    <col min="14588" max="14588" width="6.75" style="2300" customWidth="1"/>
    <col min="14589" max="14599" width="10.5" style="2300" customWidth="1"/>
    <col min="14600" max="14603" width="10" style="2300"/>
    <col min="14604" max="14604" width="10.75" style="2300" bestFit="1" customWidth="1"/>
    <col min="14605" max="14843" width="10" style="2300"/>
    <col min="14844" max="14844" width="6.75" style="2300" customWidth="1"/>
    <col min="14845" max="14855" width="10.5" style="2300" customWidth="1"/>
    <col min="14856" max="14859" width="10" style="2300"/>
    <col min="14860" max="14860" width="10.75" style="2300" bestFit="1" customWidth="1"/>
    <col min="14861" max="15099" width="10" style="2300"/>
    <col min="15100" max="15100" width="6.75" style="2300" customWidth="1"/>
    <col min="15101" max="15111" width="10.5" style="2300" customWidth="1"/>
    <col min="15112" max="15115" width="10" style="2300"/>
    <col min="15116" max="15116" width="10.75" style="2300" bestFit="1" customWidth="1"/>
    <col min="15117" max="15355" width="10" style="2300"/>
    <col min="15356" max="15356" width="6.75" style="2300" customWidth="1"/>
    <col min="15357" max="15367" width="10.5" style="2300" customWidth="1"/>
    <col min="15368" max="15371" width="10" style="2300"/>
    <col min="15372" max="15372" width="10.75" style="2300" bestFit="1" customWidth="1"/>
    <col min="15373" max="15611" width="10" style="2300"/>
    <col min="15612" max="15612" width="6.75" style="2300" customWidth="1"/>
    <col min="15613" max="15623" width="10.5" style="2300" customWidth="1"/>
    <col min="15624" max="15627" width="10" style="2300"/>
    <col min="15628" max="15628" width="10.75" style="2300" bestFit="1" customWidth="1"/>
    <col min="15629" max="15867" width="10" style="2300"/>
    <col min="15868" max="15868" width="6.75" style="2300" customWidth="1"/>
    <col min="15869" max="15879" width="10.5" style="2300" customWidth="1"/>
    <col min="15880" max="15883" width="10" style="2300"/>
    <col min="15884" max="15884" width="10.75" style="2300" bestFit="1" customWidth="1"/>
    <col min="15885" max="16123" width="10" style="2300"/>
    <col min="16124" max="16124" width="6.75" style="2300" customWidth="1"/>
    <col min="16125" max="16135" width="10.5" style="2300" customWidth="1"/>
    <col min="16136" max="16139" width="10" style="2300"/>
    <col min="16140" max="16140" width="10.75" style="2300" bestFit="1" customWidth="1"/>
    <col min="16141" max="16384" width="10" style="2300"/>
  </cols>
  <sheetData>
    <row r="1" spans="1:30" ht="15" customHeight="1">
      <c r="A1" s="2299" t="s">
        <v>3420</v>
      </c>
    </row>
    <row r="2" spans="1:30" s="68" customFormat="1" ht="15" customHeight="1">
      <c r="A2" s="950" t="s">
        <v>2963</v>
      </c>
      <c r="B2" s="950" t="e">
        <f>#REF!</f>
        <v>#REF!</v>
      </c>
      <c r="N2" s="2300"/>
      <c r="O2" s="2300"/>
      <c r="P2" s="2300"/>
      <c r="Q2" s="2300"/>
      <c r="R2" s="2300"/>
      <c r="S2" s="2300"/>
      <c r="T2" s="2300"/>
      <c r="U2" s="2300"/>
      <c r="AD2" s="2301"/>
    </row>
    <row r="3" spans="1:30" s="68" customFormat="1" ht="15" customHeight="1">
      <c r="A3" s="950" t="s">
        <v>3421</v>
      </c>
      <c r="B3" s="950" t="s">
        <v>3422</v>
      </c>
      <c r="E3" s="478"/>
      <c r="F3" s="479"/>
      <c r="N3" s="2300"/>
      <c r="O3" s="2300"/>
      <c r="P3" s="2300"/>
      <c r="Q3" s="2300"/>
      <c r="R3" s="2300"/>
      <c r="S3" s="2300"/>
      <c r="T3" s="2300"/>
      <c r="U3" s="2300"/>
      <c r="AD3" s="2302"/>
    </row>
    <row r="4" spans="1:30" s="68" customFormat="1" ht="15" customHeight="1">
      <c r="A4" s="950" t="s">
        <v>3326</v>
      </c>
      <c r="B4" s="2303">
        <v>45383</v>
      </c>
      <c r="E4" s="478"/>
      <c r="F4" s="479"/>
      <c r="N4" s="2300"/>
      <c r="O4" s="2300"/>
      <c r="P4" s="2300"/>
      <c r="Q4" s="2300"/>
      <c r="R4" s="2300"/>
      <c r="S4" s="2300"/>
      <c r="T4" s="2300"/>
      <c r="U4" s="2300"/>
      <c r="AD4" s="2304"/>
    </row>
    <row r="5" spans="1:30" s="68" customFormat="1" ht="15" customHeight="1">
      <c r="O5" s="2300"/>
      <c r="P5" s="2300"/>
      <c r="Q5" s="2300"/>
      <c r="R5" s="2300"/>
      <c r="S5" s="2300"/>
      <c r="T5" s="2300"/>
      <c r="U5" s="2300"/>
      <c r="AD5" s="2304"/>
    </row>
    <row r="6" spans="1:30" s="68" customFormat="1" ht="15" customHeight="1">
      <c r="A6" s="2305" t="s">
        <v>3423</v>
      </c>
      <c r="B6" s="2305" t="s">
        <v>3424</v>
      </c>
      <c r="C6" s="2305"/>
      <c r="D6" s="2306"/>
      <c r="E6" s="2306"/>
      <c r="F6" s="2306"/>
      <c r="G6" s="2306"/>
      <c r="H6" s="2306"/>
      <c r="I6" s="2306"/>
      <c r="J6" s="2306"/>
      <c r="K6" s="2306"/>
      <c r="L6" s="2306"/>
      <c r="O6" s="2300"/>
      <c r="P6" s="2300"/>
      <c r="Q6" s="2300"/>
      <c r="R6" s="2300"/>
      <c r="S6" s="4"/>
      <c r="T6" s="4"/>
      <c r="U6" s="2300"/>
      <c r="AD6" s="2307"/>
    </row>
    <row r="7" spans="1:30" s="68" customFormat="1" ht="15" customHeight="1" thickBot="1">
      <c r="O7" s="2300"/>
      <c r="P7" s="2300"/>
      <c r="Q7" s="2300"/>
      <c r="R7" s="2300"/>
      <c r="S7" s="2308"/>
      <c r="T7" s="2308"/>
      <c r="U7" s="2300"/>
      <c r="AD7" s="2309"/>
    </row>
    <row r="8" spans="1:30" s="68" customFormat="1" ht="15" customHeight="1" thickTop="1">
      <c r="B8" s="3208" t="s">
        <v>3322</v>
      </c>
      <c r="C8" s="3209"/>
      <c r="D8" s="3209"/>
      <c r="E8" s="3210"/>
      <c r="F8" s="2310" t="s">
        <v>3425</v>
      </c>
      <c r="G8" s="2311">
        <f>Dren_Dim!AM3</f>
        <v>1146.93</v>
      </c>
      <c r="H8" s="2310" t="s">
        <v>3325</v>
      </c>
      <c r="I8" s="2312">
        <f>Dren_Dim!AO3</f>
        <v>12</v>
      </c>
      <c r="O8" s="2300"/>
      <c r="P8" s="2300"/>
      <c r="Q8" s="2300"/>
      <c r="R8" s="2300"/>
      <c r="S8" s="2308"/>
      <c r="T8" s="2308"/>
      <c r="U8" s="2300"/>
      <c r="AD8" s="2309"/>
    </row>
    <row r="9" spans="1:30" s="68" customFormat="1" ht="15" customHeight="1">
      <c r="B9" s="3211" t="s">
        <v>3426</v>
      </c>
      <c r="C9" s="3212"/>
      <c r="D9" s="3212"/>
      <c r="E9" s="3213"/>
      <c r="F9" s="2313" t="s">
        <v>3329</v>
      </c>
      <c r="G9" s="2314">
        <f>Dren_Dim!AM4</f>
        <v>0.18</v>
      </c>
      <c r="H9" s="2313" t="s">
        <v>3328</v>
      </c>
      <c r="I9" s="2314">
        <f>Dren_Dim!AO4</f>
        <v>0.79</v>
      </c>
      <c r="O9" s="2300"/>
      <c r="P9" s="2300"/>
      <c r="Q9" s="2300"/>
      <c r="R9" s="2300"/>
      <c r="S9" s="2308"/>
      <c r="T9" s="2308"/>
      <c r="U9" s="2300"/>
      <c r="AD9" s="2309"/>
    </row>
    <row r="10" spans="1:30" s="68" customFormat="1" ht="15" customHeight="1" thickBot="1">
      <c r="B10" s="3214"/>
      <c r="C10" s="3215"/>
      <c r="D10" s="3215"/>
      <c r="E10" s="3216"/>
      <c r="F10" s="2313" t="s">
        <v>3331</v>
      </c>
      <c r="G10" s="2315" t="str">
        <f>Dren_Dim!AM5</f>
        <v xml:space="preserve"> | 10 | </v>
      </c>
      <c r="H10" s="2316" t="s">
        <v>3427</v>
      </c>
      <c r="I10" s="2317">
        <f>Dren_Dim!AO5</f>
        <v>0</v>
      </c>
      <c r="O10" s="2300"/>
      <c r="P10" s="2300"/>
      <c r="Q10" s="2300"/>
      <c r="R10" s="2300"/>
      <c r="S10" s="2308"/>
      <c r="T10" s="2308"/>
      <c r="U10" s="2300"/>
      <c r="AD10" s="2309"/>
    </row>
    <row r="11" spans="1:30" s="68" customFormat="1" ht="15" customHeight="1" thickTop="1">
      <c r="O11" s="2300"/>
      <c r="P11" s="2300"/>
      <c r="Q11" s="2300"/>
      <c r="R11" s="2300"/>
      <c r="S11" s="2308"/>
      <c r="T11" s="2308"/>
      <c r="U11" s="2300"/>
      <c r="AD11" s="2309"/>
    </row>
    <row r="12" spans="1:30" s="68" customFormat="1" ht="15" customHeight="1" thickBot="1">
      <c r="A12" s="68" t="s">
        <v>3428</v>
      </c>
      <c r="B12" s="68" t="s">
        <v>3429</v>
      </c>
      <c r="O12" s="2300"/>
      <c r="P12" s="2300"/>
      <c r="Q12" s="2300"/>
      <c r="R12" s="2300"/>
      <c r="S12" s="2308"/>
      <c r="T12" s="2308"/>
      <c r="U12" s="2300"/>
    </row>
    <row r="13" spans="1:30" s="68" customFormat="1" ht="13.5" customHeight="1" thickTop="1">
      <c r="A13" s="25"/>
      <c r="B13" s="3217" t="s">
        <v>3430</v>
      </c>
      <c r="C13" s="3196" t="s">
        <v>3431</v>
      </c>
      <c r="D13" s="3196" t="s">
        <v>3432</v>
      </c>
      <c r="E13" s="3196" t="s">
        <v>3433</v>
      </c>
      <c r="F13" s="3196" t="s">
        <v>3434</v>
      </c>
      <c r="G13" s="3196" t="s">
        <v>3435</v>
      </c>
      <c r="H13" s="3196" t="s">
        <v>3436</v>
      </c>
      <c r="I13" s="3196" t="s">
        <v>3437</v>
      </c>
      <c r="J13" s="3196" t="s">
        <v>3438</v>
      </c>
      <c r="K13" s="3199" t="s">
        <v>3439</v>
      </c>
      <c r="O13" s="2300"/>
      <c r="P13" s="2300"/>
      <c r="Q13" s="2300"/>
      <c r="R13" s="2300"/>
      <c r="S13" s="2212"/>
      <c r="T13" s="2212"/>
      <c r="U13" s="2300"/>
    </row>
    <row r="14" spans="1:30" s="68" customFormat="1" ht="12.75">
      <c r="B14" s="3218"/>
      <c r="C14" s="3197"/>
      <c r="D14" s="3197"/>
      <c r="E14" s="3197"/>
      <c r="F14" s="3197"/>
      <c r="G14" s="3197"/>
      <c r="H14" s="3197"/>
      <c r="I14" s="3197"/>
      <c r="J14" s="3197"/>
      <c r="K14" s="3200"/>
      <c r="O14" s="2300"/>
      <c r="P14" s="2300"/>
      <c r="Q14" s="2300"/>
      <c r="R14" s="2300"/>
      <c r="S14" s="2213"/>
      <c r="T14" s="2318"/>
      <c r="U14" s="2300"/>
    </row>
    <row r="15" spans="1:30" s="68" customFormat="1" ht="13.5" thickBot="1">
      <c r="A15" s="25"/>
      <c r="B15" s="3219"/>
      <c r="C15" s="3198"/>
      <c r="D15" s="3198"/>
      <c r="E15" s="3198"/>
      <c r="F15" s="3198"/>
      <c r="G15" s="3198"/>
      <c r="H15" s="3198"/>
      <c r="I15" s="3198"/>
      <c r="J15" s="3198"/>
      <c r="K15" s="3201"/>
      <c r="M15" s="2307"/>
      <c r="O15" s="2300"/>
      <c r="P15" s="2300"/>
      <c r="Q15" s="2300"/>
      <c r="R15" s="2300"/>
      <c r="S15" s="2213"/>
      <c r="T15" s="2319"/>
      <c r="U15" s="2300"/>
    </row>
    <row r="16" spans="1:30" s="68" customFormat="1" ht="15" customHeight="1" thickTop="1">
      <c r="B16" s="2320">
        <v>15</v>
      </c>
      <c r="C16" s="2321">
        <f>IF(B16=0,0,VLOOKUP(B16,Dren_Dim!A:Z,17,"falso"))</f>
        <v>2.69</v>
      </c>
      <c r="D16" s="2321">
        <f>IF(B16=0,0,VLOOKUP(B16,Dren_Dim!A:Z,23,"falso")/1000)</f>
        <v>0.12732253363257323</v>
      </c>
      <c r="E16" s="2322">
        <f>IF(B16=0,0,VLOOKUP(B16,Dren_Dim!A:AO,38,"falso"))</f>
        <v>0.47821961421082837</v>
      </c>
      <c r="F16" s="2322">
        <f t="shared" ref="F16:F22" si="0">IF(B16=0,0,+$E$23-E16)</f>
        <v>0</v>
      </c>
      <c r="G16" s="2322">
        <f>IF(B16=0,0,VLOOKUP(B16,Dren_Dim!A:AO,6,"falso"))</f>
        <v>2.1000000000000227</v>
      </c>
      <c r="H16" s="2322">
        <f>IF(B16=0,"",VLOOKUP(B16,Dren_Dim!A:AO,7,"falso"))</f>
        <v>503.9</v>
      </c>
      <c r="I16" s="2322">
        <f>IF(B16=0,0,VLOOKUP(B16,Dren_Dim!A:AO,8,"falso"))</f>
        <v>501.80499999999995</v>
      </c>
      <c r="J16" s="2321">
        <f>IF(B16=0,0,VLOOKUP(B16,Dren_Dim!A:AO,35,0))</f>
        <v>0</v>
      </c>
      <c r="K16" s="2322">
        <f>IF(B16=0,0,J16+H16)</f>
        <v>503.9</v>
      </c>
      <c r="M16" s="2309"/>
      <c r="O16" s="2300"/>
      <c r="P16" s="2300"/>
      <c r="Q16" s="2300"/>
      <c r="R16" s="2300"/>
      <c r="S16" s="2323"/>
      <c r="T16" s="2324"/>
      <c r="U16" s="2300"/>
    </row>
    <row r="17" spans="1:30" s="68" customFormat="1" ht="15" customHeight="1">
      <c r="A17" s="67"/>
      <c r="B17" s="2325"/>
      <c r="C17" s="2321">
        <f>IF(B17=0,0,VLOOKUP(B17,Dren_Dim!A:Z,17,"falso"))</f>
        <v>0</v>
      </c>
      <c r="D17" s="2321">
        <f>IF(B17=0,0,VLOOKUP(B17,Dren_Dim!A:Z,23,"falso")/1000)</f>
        <v>0</v>
      </c>
      <c r="E17" s="2322">
        <f>IF(B17=0,0,VLOOKUP(B17,Dren_Dim!A:AO,38,"falso"))</f>
        <v>0</v>
      </c>
      <c r="F17" s="2322">
        <f t="shared" si="0"/>
        <v>0</v>
      </c>
      <c r="G17" s="2322">
        <f>IF(B17=0,0,VLOOKUP(B17,Dren_Dim!A:AO,6,"falso"))</f>
        <v>0</v>
      </c>
      <c r="H17" s="2322" t="str">
        <f>IF(B17=0,"",VLOOKUP(B17,Dren_Dim!A:AO,7,"falso"))</f>
        <v/>
      </c>
      <c r="I17" s="2322">
        <f>IF(B17=0,0,VLOOKUP(B17,Dren_Dim!A:AO,8,"falso"))</f>
        <v>0</v>
      </c>
      <c r="J17" s="2321">
        <f>IF(B17=0,0,VLOOKUP(B17,Dren_Dim!A:AO,35,0))</f>
        <v>0</v>
      </c>
      <c r="K17" s="2322">
        <f t="shared" ref="K17:K22" si="1">IF(B17=0,0,J17+H17)</f>
        <v>0</v>
      </c>
      <c r="O17" s="2300"/>
      <c r="P17" s="2300"/>
      <c r="Q17" s="2300"/>
      <c r="R17" s="2300"/>
      <c r="S17" s="2300"/>
      <c r="T17" s="2300"/>
      <c r="U17" s="2300"/>
    </row>
    <row r="18" spans="1:30" s="68" customFormat="1" ht="15" customHeight="1">
      <c r="A18" s="67"/>
      <c r="B18" s="2325"/>
      <c r="C18" s="2321">
        <f>IF(B18=0,0,VLOOKUP(B18,Dren_Dim!A:Z,17,"falso"))</f>
        <v>0</v>
      </c>
      <c r="D18" s="2321">
        <f>IF(B18=0,0,VLOOKUP(B18,Dren_Dim!A:Z,23,"falso")/1000)</f>
        <v>0</v>
      </c>
      <c r="E18" s="2322">
        <f>IF(B18=0,0,VLOOKUP(B18,Dren_Dim!A:AO,38,"falso"))</f>
        <v>0</v>
      </c>
      <c r="F18" s="2322">
        <f t="shared" si="0"/>
        <v>0</v>
      </c>
      <c r="G18" s="2322">
        <f>IF(B18=0,0,VLOOKUP(B18,Dren_Dim!A:AO,6,"falso"))</f>
        <v>0</v>
      </c>
      <c r="H18" s="2322" t="str">
        <f>IF(B18=0,"",VLOOKUP(B18,Dren_Dim!A:AO,7,"falso"))</f>
        <v/>
      </c>
      <c r="I18" s="2322">
        <f>IF(B18=0,0,VLOOKUP(B18,Dren_Dim!A:AO,8,"falso"))</f>
        <v>0</v>
      </c>
      <c r="J18" s="2321">
        <f>IF(B18=0,0,VLOOKUP(B18,Dren_Dim!A:AO,35,0))</f>
        <v>0</v>
      </c>
      <c r="K18" s="2322">
        <f t="shared" si="1"/>
        <v>0</v>
      </c>
      <c r="O18" s="2300"/>
      <c r="P18" s="2300"/>
      <c r="Q18" s="2300"/>
      <c r="R18" s="2300"/>
      <c r="S18" s="2300"/>
      <c r="T18" s="2300"/>
      <c r="U18" s="2300"/>
    </row>
    <row r="19" spans="1:30" s="68" customFormat="1" ht="15" customHeight="1">
      <c r="A19" s="67"/>
      <c r="B19" s="2325"/>
      <c r="C19" s="2321">
        <f>IF(B19=0,0,VLOOKUP(B19,Dren_Dim!A:Z,17,"falso"))</f>
        <v>0</v>
      </c>
      <c r="D19" s="2321">
        <f>IF(B19=0,0,VLOOKUP(B19,Dren_Dim!A:Z,23,"falso")/1000)</f>
        <v>0</v>
      </c>
      <c r="E19" s="2322">
        <f>IF(B19=0,0,VLOOKUP(B19,Dren_Dim!A:AO,38,"falso"))</f>
        <v>0</v>
      </c>
      <c r="F19" s="2322">
        <f t="shared" si="0"/>
        <v>0</v>
      </c>
      <c r="G19" s="2322">
        <f>IF(B19=0,0,VLOOKUP(B19,Dren_Dim!A:AO,6,"falso"))</f>
        <v>0</v>
      </c>
      <c r="H19" s="2322" t="str">
        <f>IF(B19=0,"",VLOOKUP(B19,Dren_Dim!A:AO,7,"falso"))</f>
        <v/>
      </c>
      <c r="I19" s="2322">
        <f>IF(B19=0,0,VLOOKUP(B19,Dren_Dim!A:AO,8,"falso"))</f>
        <v>0</v>
      </c>
      <c r="J19" s="2321">
        <f>IF(B19=0,0,VLOOKUP(B19,Dren_Dim!A:AO,35,0))</f>
        <v>0</v>
      </c>
      <c r="K19" s="2322">
        <f t="shared" si="1"/>
        <v>0</v>
      </c>
      <c r="O19" s="2300"/>
      <c r="P19" s="2300"/>
      <c r="Q19" s="2300"/>
      <c r="R19" s="2300"/>
      <c r="S19" s="2300"/>
      <c r="T19" s="2300"/>
      <c r="U19" s="2300"/>
    </row>
    <row r="20" spans="1:30" s="68" customFormat="1" ht="15" customHeight="1">
      <c r="A20" s="67"/>
      <c r="B20" s="2325"/>
      <c r="C20" s="2321">
        <f>IF(B20=0,0,VLOOKUP(B20,Dren_Dim!A:Z,17,"falso"))</f>
        <v>0</v>
      </c>
      <c r="D20" s="2321">
        <f>IF(B20=0,0,VLOOKUP(B20,Dren_Dim!A:Z,23,"falso")/1000)</f>
        <v>0</v>
      </c>
      <c r="E20" s="2322">
        <f>IF(B20=0,0,VLOOKUP(B20,Dren_Dim!A:AO,38,"falso"))</f>
        <v>0</v>
      </c>
      <c r="F20" s="2322">
        <f t="shared" si="0"/>
        <v>0</v>
      </c>
      <c r="G20" s="2322">
        <f>IF(B20=0,0,VLOOKUP(B20,Dren_Dim!A:AO,6,"falso"))</f>
        <v>0</v>
      </c>
      <c r="H20" s="2322" t="str">
        <f>IF(B20=0,"",VLOOKUP(B20,Dren_Dim!A:AO,7,"falso"))</f>
        <v/>
      </c>
      <c r="I20" s="2322">
        <f>IF(B20=0,0,VLOOKUP(B20,Dren_Dim!A:AO,8,"falso"))</f>
        <v>0</v>
      </c>
      <c r="J20" s="2321">
        <f>IF(B20=0,0,VLOOKUP(B20,Dren_Dim!A:AO,35,0))</f>
        <v>0</v>
      </c>
      <c r="K20" s="2322">
        <f t="shared" si="1"/>
        <v>0</v>
      </c>
      <c r="L20" s="2318"/>
      <c r="O20" s="2300"/>
      <c r="P20" s="2300"/>
      <c r="Q20" s="2300"/>
      <c r="R20" s="2300"/>
      <c r="S20" s="2300"/>
      <c r="T20" s="2300"/>
      <c r="U20" s="2300"/>
    </row>
    <row r="21" spans="1:30" s="68" customFormat="1" ht="15" customHeight="1">
      <c r="A21" s="67"/>
      <c r="B21" s="2325"/>
      <c r="C21" s="2321">
        <f>IF(B21=0,0,VLOOKUP(B21,Dren_Dim!A:Z,17,"falso"))</f>
        <v>0</v>
      </c>
      <c r="D21" s="2321">
        <f>IF(B21=0,0,VLOOKUP(B21,Dren_Dim!A:Z,23,"falso")/1000)</f>
        <v>0</v>
      </c>
      <c r="E21" s="2322">
        <f>IF(B21=0,0,VLOOKUP(B21,Dren_Dim!A:AO,38,"falso"))</f>
        <v>0</v>
      </c>
      <c r="F21" s="2322">
        <f t="shared" si="0"/>
        <v>0</v>
      </c>
      <c r="G21" s="2322">
        <f>IF(B21=0,0,VLOOKUP(B21,Dren_Dim!A:AO,6,"falso"))</f>
        <v>0</v>
      </c>
      <c r="H21" s="2322" t="str">
        <f>IF(B21=0,"",VLOOKUP(B21,Dren_Dim!A:AO,7,"falso"))</f>
        <v/>
      </c>
      <c r="I21" s="2322">
        <f>IF(B21=0,0,VLOOKUP(B21,Dren_Dim!A:AO,8,"falso"))</f>
        <v>0</v>
      </c>
      <c r="J21" s="2321">
        <f>IF(B21=0,0,VLOOKUP(B21,Dren_Dim!A:AO,35,0))</f>
        <v>0</v>
      </c>
      <c r="K21" s="2322">
        <f t="shared" si="1"/>
        <v>0</v>
      </c>
      <c r="O21" s="2300"/>
      <c r="P21" s="2300"/>
      <c r="Q21" s="2300"/>
      <c r="R21" s="2300"/>
      <c r="S21" s="2300"/>
      <c r="T21" s="2300"/>
      <c r="U21" s="2300"/>
    </row>
    <row r="22" spans="1:30" s="68" customFormat="1" ht="15" customHeight="1">
      <c r="A22" s="67"/>
      <c r="B22" s="2325"/>
      <c r="C22" s="2321">
        <f>IF(B22=0,0,VLOOKUP(B22,Dren_Dim!A:Z,17,"falso"))</f>
        <v>0</v>
      </c>
      <c r="D22" s="2321">
        <f>IF(B22=0,0,VLOOKUP(B22,Dren_Dim!A:Z,23,"falso")/1000)</f>
        <v>0</v>
      </c>
      <c r="E22" s="2322">
        <f>IF(B22=0,0,VLOOKUP(B22,Dren_Dim!A:AO,38,"falso"))</f>
        <v>0</v>
      </c>
      <c r="F22" s="2322">
        <f t="shared" si="0"/>
        <v>0</v>
      </c>
      <c r="G22" s="2322">
        <f>IF(B22=0,0,VLOOKUP(B22,Dren_Dim!A:AO,6,"falso"))</f>
        <v>0</v>
      </c>
      <c r="H22" s="2322" t="str">
        <f>IF(B22=0,"",VLOOKUP(B22,Dren_Dim!A:AO,7,"falso"))</f>
        <v/>
      </c>
      <c r="I22" s="2322">
        <f>IF(B22=0,0,VLOOKUP(B22,Dren_Dim!A:AO,8,"falso"))</f>
        <v>0</v>
      </c>
      <c r="J22" s="2321">
        <f>IF(B22=0,0,VLOOKUP(B22,Dren_Dim!A:AO,35,0))</f>
        <v>0</v>
      </c>
      <c r="K22" s="2322">
        <f t="shared" si="1"/>
        <v>0</v>
      </c>
      <c r="O22" s="2300"/>
      <c r="P22" s="2300"/>
      <c r="Q22" s="2300"/>
      <c r="R22" s="2300"/>
      <c r="S22" s="2300"/>
      <c r="T22" s="2300"/>
      <c r="U22" s="2300"/>
    </row>
    <row r="23" spans="1:30" s="68" customFormat="1" ht="15" customHeight="1">
      <c r="A23" s="67"/>
      <c r="B23" s="2325" t="s">
        <v>1178</v>
      </c>
      <c r="C23" s="2321">
        <f>SUM(C16:C22)</f>
        <v>2.69</v>
      </c>
      <c r="D23" s="2321">
        <f>SUM(D16:D22)</f>
        <v>0.12732253363257323</v>
      </c>
      <c r="E23" s="2322">
        <f>MAX(E16:E22)</f>
        <v>0.47821961421082837</v>
      </c>
      <c r="F23" s="2322"/>
      <c r="G23" s="2322"/>
      <c r="H23" s="2322">
        <f>MIN(H16:H22)</f>
        <v>503.9</v>
      </c>
      <c r="I23" s="3202" t="s">
        <v>3440</v>
      </c>
      <c r="J23" s="3202"/>
      <c r="K23" s="3202"/>
      <c r="L23" s="3202"/>
      <c r="O23" s="2300"/>
      <c r="P23" s="2300"/>
      <c r="Q23" s="2300"/>
      <c r="R23" s="2300"/>
      <c r="S23" s="2300"/>
      <c r="T23" s="2300"/>
      <c r="U23" s="2300"/>
    </row>
    <row r="24" spans="1:30" s="68" customFormat="1" ht="15" customHeight="1">
      <c r="A24" s="67"/>
      <c r="B24" s="2326"/>
      <c r="C24" s="2326"/>
      <c r="D24" s="2326"/>
      <c r="E24" s="2326"/>
      <c r="F24" s="2326"/>
      <c r="G24" s="2327"/>
      <c r="H24" s="2325" t="s">
        <v>3441</v>
      </c>
      <c r="I24" s="2322" t="s">
        <v>3442</v>
      </c>
      <c r="J24" s="2322" t="s">
        <v>3443</v>
      </c>
      <c r="K24" s="2322" t="s">
        <v>3395</v>
      </c>
      <c r="L24" s="2325" t="s">
        <v>3444</v>
      </c>
      <c r="O24" s="2300"/>
      <c r="P24" s="2300"/>
      <c r="Q24" s="2300"/>
      <c r="R24" s="2300"/>
      <c r="S24" s="2300"/>
      <c r="T24" s="2300"/>
      <c r="U24" s="2300"/>
    </row>
    <row r="25" spans="1:30" s="68" customFormat="1" ht="15" customHeight="1">
      <c r="A25" s="67"/>
      <c r="E25" s="2326"/>
      <c r="F25" s="2326"/>
      <c r="G25" s="2327"/>
      <c r="H25" s="2322"/>
      <c r="I25" s="2322"/>
      <c r="J25" s="2322"/>
      <c r="K25" s="2322"/>
      <c r="L25" s="2328"/>
      <c r="N25" s="2300"/>
      <c r="O25" s="2329"/>
      <c r="P25" s="2300"/>
      <c r="Q25" s="2300"/>
      <c r="R25" s="2300"/>
      <c r="S25" s="2300"/>
      <c r="T25" s="2300"/>
      <c r="U25" s="2300"/>
    </row>
    <row r="26" spans="1:30" s="68" customFormat="1" ht="15" customHeight="1">
      <c r="A26" s="67"/>
      <c r="B26" s="2325" t="s">
        <v>3445</v>
      </c>
      <c r="C26" s="2321">
        <f>C23</f>
        <v>2.69</v>
      </c>
      <c r="D26" s="2321">
        <f>$D23*+(100-L26)/100</f>
        <v>7.6393520179546828E-5</v>
      </c>
      <c r="E26" s="2321">
        <f>E23*(1+LOG(1/(+(100-L26)/100)))</f>
        <v>2.0189708802979944</v>
      </c>
      <c r="F26" s="2321"/>
      <c r="G26" s="2327" t="s">
        <v>3446</v>
      </c>
      <c r="H26" s="2330">
        <v>571.16999999999996</v>
      </c>
      <c r="I26" s="2321" t="e">
        <f>_xlfn.XLOOKUP(L26,C38:L38,C37:L37)</f>
        <v>#N/A</v>
      </c>
      <c r="J26" s="2321" t="e">
        <f>_xlfn.XLOOKUP(L26,C38:L38,C42:L42)</f>
        <v>#N/A</v>
      </c>
      <c r="K26" s="2321" t="e">
        <f>H26+J26</f>
        <v>#N/A</v>
      </c>
      <c r="L26" s="2328">
        <v>99.94</v>
      </c>
      <c r="N26" s="2300"/>
      <c r="O26" s="2329"/>
      <c r="P26" s="2300"/>
      <c r="Q26" s="2300"/>
      <c r="R26" s="2300"/>
      <c r="S26" s="2300"/>
      <c r="T26" s="2300"/>
      <c r="U26" s="2300"/>
    </row>
    <row r="27" spans="1:30" s="68" customFormat="1" ht="15" customHeight="1">
      <c r="A27" s="67"/>
      <c r="B27" s="67"/>
      <c r="C27" s="67"/>
      <c r="D27" s="67"/>
      <c r="E27" s="67"/>
      <c r="F27" s="67"/>
      <c r="G27" s="574"/>
      <c r="I27" s="2331"/>
      <c r="N27" s="2300"/>
      <c r="O27" s="2329"/>
      <c r="P27" s="2300"/>
      <c r="Q27" s="2300"/>
      <c r="R27" s="2300"/>
      <c r="S27" s="2300"/>
      <c r="T27" s="2300"/>
      <c r="U27" s="2300"/>
    </row>
    <row r="28" spans="1:30" s="68" customFormat="1" ht="15" customHeight="1">
      <c r="A28" s="67"/>
      <c r="B28" s="67"/>
      <c r="C28" s="67"/>
      <c r="D28" s="67"/>
      <c r="E28" s="67"/>
      <c r="F28" s="67"/>
      <c r="G28" s="67"/>
      <c r="H28" s="3203"/>
      <c r="I28" s="3203"/>
      <c r="J28" s="2332"/>
      <c r="N28" s="2300"/>
      <c r="O28" s="2329"/>
      <c r="P28" s="2300"/>
      <c r="Q28" s="2300"/>
      <c r="R28" s="2300"/>
      <c r="S28" s="2300"/>
      <c r="T28" s="2300"/>
      <c r="U28" s="2300"/>
    </row>
    <row r="29" spans="1:30" s="68" customFormat="1" ht="15" customHeight="1">
      <c r="A29" s="2305" t="s">
        <v>3447</v>
      </c>
      <c r="B29" s="2305" t="s">
        <v>3448</v>
      </c>
      <c r="C29" s="2305"/>
      <c r="D29" s="2306"/>
      <c r="E29" s="2306"/>
      <c r="F29" s="2306"/>
      <c r="G29" s="2306"/>
      <c r="H29" s="2306"/>
      <c r="I29" s="2306"/>
      <c r="J29" s="2306"/>
      <c r="K29" s="2306"/>
      <c r="L29" s="2306"/>
      <c r="O29" s="67"/>
      <c r="P29" s="67"/>
      <c r="Q29" s="67"/>
      <c r="R29" s="4"/>
      <c r="S29" s="4"/>
      <c r="T29" s="4"/>
      <c r="U29" s="2300"/>
      <c r="AD29" s="2307"/>
    </row>
    <row r="30" spans="1:30" s="68" customFormat="1" ht="15" customHeight="1">
      <c r="O30" s="67"/>
      <c r="P30" s="2161"/>
      <c r="Q30" s="2161"/>
      <c r="R30" s="2308"/>
      <c r="S30" s="2308"/>
      <c r="T30" s="2308"/>
      <c r="U30" s="2300"/>
      <c r="AD30" s="2309"/>
    </row>
    <row r="31" spans="1:30" s="68" customFormat="1" ht="15" customHeight="1">
      <c r="A31" s="68" t="s">
        <v>3449</v>
      </c>
      <c r="B31" s="68" t="s">
        <v>3450</v>
      </c>
      <c r="D31" s="2333" t="s">
        <v>3451</v>
      </c>
      <c r="F31" s="53" t="s">
        <v>3452</v>
      </c>
      <c r="J31" s="53"/>
      <c r="K31" s="2334"/>
      <c r="N31" s="2300"/>
      <c r="O31" s="2300"/>
      <c r="P31" s="2300"/>
      <c r="Q31" s="2300"/>
      <c r="R31" s="2300"/>
      <c r="S31" s="2300"/>
      <c r="T31" s="2300"/>
      <c r="U31" s="2300"/>
    </row>
    <row r="32" spans="1:30" s="68" customFormat="1" ht="15" customHeight="1">
      <c r="D32" s="2333"/>
      <c r="F32" s="53"/>
      <c r="J32" s="3204"/>
      <c r="K32" s="3204"/>
      <c r="L32" s="3204"/>
      <c r="N32" s="2300"/>
      <c r="O32" s="2300"/>
      <c r="P32" s="2300"/>
      <c r="Q32" s="2300"/>
      <c r="R32" s="2300"/>
      <c r="S32" s="2300"/>
      <c r="T32" s="2300"/>
      <c r="U32" s="2300"/>
    </row>
    <row r="33" spans="1:21" s="68" customFormat="1" ht="15" customHeight="1">
      <c r="A33" s="68" t="s">
        <v>3453</v>
      </c>
      <c r="B33" s="68" t="s">
        <v>3454</v>
      </c>
      <c r="E33" s="53" t="s">
        <v>3455</v>
      </c>
      <c r="F33" s="2335">
        <v>35</v>
      </c>
      <c r="G33" s="53" t="s">
        <v>3456</v>
      </c>
      <c r="H33" s="2335">
        <v>35</v>
      </c>
      <c r="I33" s="53" t="s">
        <v>3457</v>
      </c>
      <c r="J33" s="2336">
        <f>H33*F33</f>
        <v>1225</v>
      </c>
      <c r="K33" s="2334"/>
      <c r="L33" s="2337"/>
      <c r="N33" s="2300"/>
      <c r="O33" s="2300"/>
      <c r="P33" s="2300"/>
      <c r="Q33" s="2300"/>
      <c r="R33" s="2300"/>
      <c r="S33" s="2300"/>
      <c r="T33" s="2300"/>
      <c r="U33" s="2300"/>
    </row>
    <row r="34" spans="1:21" s="68" customFormat="1" ht="15" customHeight="1">
      <c r="E34" s="2333"/>
      <c r="J34" s="53"/>
      <c r="K34" s="2334"/>
      <c r="N34" s="2300"/>
      <c r="O34" s="2300"/>
      <c r="P34" s="2300"/>
      <c r="Q34" s="2300"/>
      <c r="R34" s="2300"/>
      <c r="S34" s="2300"/>
      <c r="T34" s="2300"/>
      <c r="U34" s="2300"/>
    </row>
    <row r="35" spans="1:21" ht="15" customHeight="1" thickBot="1">
      <c r="A35" s="68" t="s">
        <v>3453</v>
      </c>
      <c r="B35" s="68" t="s">
        <v>3458</v>
      </c>
      <c r="C35" s="2338"/>
    </row>
    <row r="36" spans="1:21" s="68" customFormat="1" ht="15" customHeight="1" thickTop="1" thickBot="1">
      <c r="B36" s="2339" t="s">
        <v>3459</v>
      </c>
      <c r="C36" s="2340" t="s">
        <v>1228</v>
      </c>
      <c r="D36" s="2340" t="s">
        <v>3460</v>
      </c>
      <c r="E36" s="2340" t="s">
        <v>3461</v>
      </c>
      <c r="F36" s="2340" t="s">
        <v>3462</v>
      </c>
      <c r="G36" s="2340" t="s">
        <v>3463</v>
      </c>
      <c r="H36" s="2340" t="s">
        <v>3135</v>
      </c>
      <c r="I36" s="2340" t="s">
        <v>3464</v>
      </c>
      <c r="J36" s="2340" t="s">
        <v>3465</v>
      </c>
      <c r="K36" s="2340" t="s">
        <v>3466</v>
      </c>
      <c r="L36" s="2341" t="s">
        <v>4</v>
      </c>
      <c r="N36" s="2300"/>
      <c r="O36" s="2300"/>
      <c r="P36" s="2300"/>
      <c r="Q36" s="2300"/>
      <c r="R36" s="2300"/>
      <c r="S36" s="2300"/>
      <c r="T36" s="2300"/>
      <c r="U36" s="2300"/>
    </row>
    <row r="37" spans="1:21" ht="15" customHeight="1" thickTop="1">
      <c r="B37" s="2342" t="s">
        <v>3467</v>
      </c>
      <c r="C37" s="2275">
        <f>D23</f>
        <v>0.12732253363257323</v>
      </c>
      <c r="D37" s="2275">
        <f t="shared" ref="D37:L37" si="2">$C37*D39</f>
        <v>0.11459028026931591</v>
      </c>
      <c r="E37" s="2275">
        <f t="shared" si="2"/>
        <v>0.10574518227768748</v>
      </c>
      <c r="F37" s="2275">
        <f t="shared" si="2"/>
        <v>8.9125773542801254E-2</v>
      </c>
      <c r="G37" s="2275">
        <f t="shared" si="2"/>
        <v>7.6393520179543942E-2</v>
      </c>
      <c r="H37" s="2275">
        <f t="shared" si="2"/>
        <v>6.3661266816286616E-2</v>
      </c>
      <c r="I37" s="2275">
        <f t="shared" si="2"/>
        <v>5.0929013453029297E-2</v>
      </c>
      <c r="J37" s="2275">
        <f t="shared" si="2"/>
        <v>3.8196760089771971E-2</v>
      </c>
      <c r="K37" s="2275">
        <f t="shared" si="2"/>
        <v>2.5464506726514648E-2</v>
      </c>
      <c r="L37" s="2343">
        <f t="shared" si="2"/>
        <v>2.7916119957616409E-2</v>
      </c>
    </row>
    <row r="38" spans="1:21" ht="15" customHeight="1">
      <c r="B38" s="2344" t="s">
        <v>3444</v>
      </c>
      <c r="C38" s="2345">
        <v>0</v>
      </c>
      <c r="D38" s="2345">
        <v>10</v>
      </c>
      <c r="E38" s="2345">
        <v>16.947001241079278</v>
      </c>
      <c r="F38" s="2345">
        <v>30</v>
      </c>
      <c r="G38" s="2345">
        <v>40</v>
      </c>
      <c r="H38" s="2345">
        <v>50</v>
      </c>
      <c r="I38" s="2345">
        <v>60</v>
      </c>
      <c r="J38" s="2345">
        <v>70</v>
      </c>
      <c r="K38" s="2345">
        <v>80</v>
      </c>
      <c r="L38" s="2346">
        <v>78.074485983622807</v>
      </c>
    </row>
    <row r="39" spans="1:21" ht="15" customHeight="1">
      <c r="B39" s="2344" t="s">
        <v>3468</v>
      </c>
      <c r="C39" s="2345">
        <f t="shared" ref="C39:L39" si="3">(100-C38)/100</f>
        <v>1</v>
      </c>
      <c r="D39" s="2345">
        <f t="shared" si="3"/>
        <v>0.9</v>
      </c>
      <c r="E39" s="2345">
        <f t="shared" si="3"/>
        <v>0.83052998758920726</v>
      </c>
      <c r="F39" s="2345">
        <f t="shared" si="3"/>
        <v>0.7</v>
      </c>
      <c r="G39" s="2345">
        <f t="shared" si="3"/>
        <v>0.6</v>
      </c>
      <c r="H39" s="2345">
        <f t="shared" si="3"/>
        <v>0.5</v>
      </c>
      <c r="I39" s="2345">
        <f t="shared" si="3"/>
        <v>0.4</v>
      </c>
      <c r="J39" s="2345">
        <f t="shared" si="3"/>
        <v>0.3</v>
      </c>
      <c r="K39" s="2345">
        <f t="shared" si="3"/>
        <v>0.2</v>
      </c>
      <c r="L39" s="2346">
        <f t="shared" si="3"/>
        <v>0.21925514016377193</v>
      </c>
    </row>
    <row r="40" spans="1:21" ht="15" customHeight="1">
      <c r="B40" s="2344" t="s">
        <v>3469</v>
      </c>
      <c r="C40" s="2345">
        <f t="shared" ref="C40:L40" si="4">LOG(1/C39)</f>
        <v>0</v>
      </c>
      <c r="D40" s="2345">
        <f t="shared" si="4"/>
        <v>4.5757490560675143E-2</v>
      </c>
      <c r="E40" s="2345">
        <f t="shared" si="4"/>
        <v>8.0644682045338686E-2</v>
      </c>
      <c r="F40" s="2345">
        <f t="shared" si="4"/>
        <v>0.15490195998574319</v>
      </c>
      <c r="G40" s="2345">
        <f t="shared" si="4"/>
        <v>0.22184874961635639</v>
      </c>
      <c r="H40" s="2345">
        <f t="shared" si="4"/>
        <v>0.3010299956639812</v>
      </c>
      <c r="I40" s="2345">
        <f t="shared" si="4"/>
        <v>0.3979400086720376</v>
      </c>
      <c r="J40" s="2345">
        <f t="shared" si="4"/>
        <v>0.52287874528033762</v>
      </c>
      <c r="K40" s="2345">
        <f t="shared" si="4"/>
        <v>0.69897000433601886</v>
      </c>
      <c r="L40" s="2346">
        <f t="shared" si="4"/>
        <v>0.65905021634917504</v>
      </c>
    </row>
    <row r="41" spans="1:21" ht="15" customHeight="1">
      <c r="B41" s="2344" t="s">
        <v>3470</v>
      </c>
      <c r="C41" s="2345">
        <f t="shared" ref="C41:L41" si="5">$C37*$E$23*60*C40</f>
        <v>0</v>
      </c>
      <c r="D41" s="2345">
        <f t="shared" si="5"/>
        <v>0.16716529002448335</v>
      </c>
      <c r="E41" s="2345">
        <f t="shared" si="5"/>
        <v>0.29461824715158458</v>
      </c>
      <c r="F41" s="2345">
        <f t="shared" si="5"/>
        <v>0.56590146769612559</v>
      </c>
      <c r="G41" s="2345">
        <f t="shared" si="5"/>
        <v>0.81047736920824753</v>
      </c>
      <c r="H41" s="2345">
        <f t="shared" si="5"/>
        <v>1.0997492632274259</v>
      </c>
      <c r="I41" s="2345">
        <f t="shared" si="5"/>
        <v>1.4537894483920115</v>
      </c>
      <c r="J41" s="2345">
        <f t="shared" si="5"/>
        <v>1.9102266324356736</v>
      </c>
      <c r="K41" s="2345">
        <f t="shared" si="5"/>
        <v>2.5535387116194377</v>
      </c>
      <c r="L41" s="2346">
        <f t="shared" si="5"/>
        <v>2.4077002302086647</v>
      </c>
    </row>
    <row r="42" spans="1:21" ht="15" customHeight="1">
      <c r="B42" s="2344" t="s">
        <v>3471</v>
      </c>
      <c r="C42" s="2345">
        <f t="shared" ref="C42:L42" si="6">C41/$J$33</f>
        <v>0</v>
      </c>
      <c r="D42" s="2345">
        <f t="shared" si="6"/>
        <v>1.364614612444762E-4</v>
      </c>
      <c r="E42" s="2345">
        <f t="shared" si="6"/>
        <v>2.4050469155231395E-4</v>
      </c>
      <c r="F42" s="2345">
        <f t="shared" si="6"/>
        <v>4.6196038179275559E-4</v>
      </c>
      <c r="G42" s="2345">
        <f t="shared" si="6"/>
        <v>6.6161417894550819E-4</v>
      </c>
      <c r="H42" s="2345">
        <f t="shared" si="6"/>
        <v>8.9775450059381711E-4</v>
      </c>
      <c r="I42" s="2345">
        <f t="shared" si="6"/>
        <v>1.1867668966465399E-3</v>
      </c>
      <c r="J42" s="2345">
        <f t="shared" si="6"/>
        <v>1.5593686795393254E-3</v>
      </c>
      <c r="K42" s="2345">
        <f t="shared" si="6"/>
        <v>2.0845213972403571E-3</v>
      </c>
      <c r="L42" s="2346">
        <f t="shared" si="6"/>
        <v>1.9654695756805428E-3</v>
      </c>
    </row>
    <row r="43" spans="1:21" ht="29.25" customHeight="1">
      <c r="B43" s="2347" t="s">
        <v>3472</v>
      </c>
      <c r="C43" s="2345">
        <f t="shared" ref="C43:L43" si="7">C41/$D$23/60</f>
        <v>0</v>
      </c>
      <c r="D43" s="2345">
        <f t="shared" si="7"/>
        <v>2.1882129483181686E-2</v>
      </c>
      <c r="E43" s="2345">
        <f t="shared" si="7"/>
        <v>3.8565868735876779E-2</v>
      </c>
      <c r="F43" s="2345">
        <f t="shared" si="7"/>
        <v>7.4077155544883283E-2</v>
      </c>
      <c r="G43" s="2345">
        <f t="shared" si="7"/>
        <v>0.10609242345468863</v>
      </c>
      <c r="H43" s="2345">
        <f t="shared" si="7"/>
        <v>0.14395844839231645</v>
      </c>
      <c r="I43" s="2345">
        <f t="shared" si="7"/>
        <v>0.19030271742619551</v>
      </c>
      <c r="J43" s="2345">
        <f t="shared" si="7"/>
        <v>0.25005087184700503</v>
      </c>
      <c r="K43" s="2345">
        <f t="shared" si="7"/>
        <v>0.33426116581851201</v>
      </c>
      <c r="L43" s="2346">
        <f t="shared" si="7"/>
        <v>0.31517074020806546</v>
      </c>
    </row>
    <row r="44" spans="1:21" ht="12.75">
      <c r="B44" s="214"/>
      <c r="C44" s="2252"/>
      <c r="D44" s="2252"/>
      <c r="E44" s="2252"/>
      <c r="F44" s="2252"/>
      <c r="G44" s="2252"/>
      <c r="H44" s="2252"/>
      <c r="I44" s="2252"/>
      <c r="J44" s="2252"/>
      <c r="K44" s="2252"/>
      <c r="L44" s="2252"/>
      <c r="P44" s="2300">
        <v>572.07799999999997</v>
      </c>
      <c r="Q44" s="2300">
        <v>573.18200000000002</v>
      </c>
    </row>
    <row r="45" spans="1:21" ht="15" hidden="1" customHeight="1">
      <c r="A45" s="68" t="s">
        <v>3473</v>
      </c>
      <c r="B45" s="68" t="s">
        <v>3474</v>
      </c>
      <c r="C45" s="2338"/>
    </row>
    <row r="46" spans="1:21" s="68" customFormat="1" ht="15" hidden="1" customHeight="1" thickBot="1">
      <c r="B46" s="2339" t="s">
        <v>3459</v>
      </c>
      <c r="C46" s="2340" t="s">
        <v>1228</v>
      </c>
      <c r="D46" s="2340" t="s">
        <v>3460</v>
      </c>
      <c r="E46" s="2340" t="s">
        <v>3461</v>
      </c>
      <c r="F46" s="2340" t="s">
        <v>3462</v>
      </c>
      <c r="G46" s="2340" t="s">
        <v>3463</v>
      </c>
      <c r="H46" s="2340" t="s">
        <v>3135</v>
      </c>
      <c r="I46" s="2340" t="s">
        <v>3464</v>
      </c>
      <c r="J46" s="2340" t="s">
        <v>3465</v>
      </c>
      <c r="K46" s="2340" t="s">
        <v>3466</v>
      </c>
      <c r="L46" s="2341" t="s">
        <v>4</v>
      </c>
      <c r="N46" s="2300"/>
      <c r="O46" s="2300"/>
      <c r="P46" s="2300"/>
      <c r="Q46" s="2300"/>
      <c r="R46" s="2300"/>
      <c r="S46" s="2300"/>
      <c r="T46" s="2300"/>
      <c r="U46" s="2300"/>
    </row>
    <row r="47" spans="1:21" ht="15" hidden="1" customHeight="1" thickTop="1" thickBot="1">
      <c r="B47" s="2348" t="s">
        <v>3467</v>
      </c>
      <c r="C47" s="2275" t="e">
        <f>I26</f>
        <v>#N/A</v>
      </c>
      <c r="D47" s="2275" t="e">
        <f t="shared" ref="D47:L47" si="8">$C47*D49</f>
        <v>#N/A</v>
      </c>
      <c r="E47" s="2275" t="e">
        <f t="shared" si="8"/>
        <v>#N/A</v>
      </c>
      <c r="F47" s="2275" t="e">
        <f t="shared" si="8"/>
        <v>#N/A</v>
      </c>
      <c r="G47" s="2349" t="e">
        <f t="shared" si="8"/>
        <v>#N/A</v>
      </c>
      <c r="H47" s="2275" t="e">
        <f t="shared" si="8"/>
        <v>#N/A</v>
      </c>
      <c r="I47" s="2275" t="e">
        <f t="shared" si="8"/>
        <v>#N/A</v>
      </c>
      <c r="J47" s="2275" t="e">
        <f t="shared" si="8"/>
        <v>#N/A</v>
      </c>
      <c r="K47" s="2275" t="e">
        <f t="shared" si="8"/>
        <v>#N/A</v>
      </c>
      <c r="L47" s="2275" t="e">
        <f t="shared" si="8"/>
        <v>#N/A</v>
      </c>
    </row>
    <row r="48" spans="1:21" ht="15" hidden="1" customHeight="1" thickTop="1">
      <c r="B48" s="2350" t="s">
        <v>3444</v>
      </c>
      <c r="C48" s="2345">
        <v>0</v>
      </c>
      <c r="D48" s="2345">
        <v>10</v>
      </c>
      <c r="E48" s="2345">
        <v>20</v>
      </c>
      <c r="F48" s="2345">
        <v>30</v>
      </c>
      <c r="G48" s="2351">
        <v>40</v>
      </c>
      <c r="H48" s="2345">
        <v>50</v>
      </c>
      <c r="I48" s="2345">
        <v>60</v>
      </c>
      <c r="J48" s="2345">
        <v>70</v>
      </c>
      <c r="K48" s="2345">
        <v>80</v>
      </c>
      <c r="L48" s="2345">
        <v>90</v>
      </c>
    </row>
    <row r="49" spans="1:30" ht="15" hidden="1" customHeight="1">
      <c r="B49" s="2350" t="s">
        <v>3468</v>
      </c>
      <c r="C49" s="2345">
        <f t="shared" ref="C49:L49" si="9">(100-C48)/100</f>
        <v>1</v>
      </c>
      <c r="D49" s="2345">
        <f t="shared" si="9"/>
        <v>0.9</v>
      </c>
      <c r="E49" s="2345">
        <f t="shared" si="9"/>
        <v>0.8</v>
      </c>
      <c r="F49" s="2345">
        <f t="shared" si="9"/>
        <v>0.7</v>
      </c>
      <c r="G49" s="2351">
        <f t="shared" si="9"/>
        <v>0.6</v>
      </c>
      <c r="H49" s="2345">
        <f t="shared" si="9"/>
        <v>0.5</v>
      </c>
      <c r="I49" s="2345">
        <f t="shared" si="9"/>
        <v>0.4</v>
      </c>
      <c r="J49" s="2345">
        <f t="shared" si="9"/>
        <v>0.3</v>
      </c>
      <c r="K49" s="2345">
        <f t="shared" si="9"/>
        <v>0.2</v>
      </c>
      <c r="L49" s="2345">
        <f t="shared" si="9"/>
        <v>0.1</v>
      </c>
    </row>
    <row r="50" spans="1:30" ht="15" hidden="1" customHeight="1">
      <c r="B50" s="2350" t="s">
        <v>3469</v>
      </c>
      <c r="C50" s="2345">
        <f t="shared" ref="C50:L50" si="10">LOG(1/C49)</f>
        <v>0</v>
      </c>
      <c r="D50" s="2345">
        <f t="shared" si="10"/>
        <v>4.5757490560675143E-2</v>
      </c>
      <c r="E50" s="2345">
        <f t="shared" si="10"/>
        <v>9.691001300805642E-2</v>
      </c>
      <c r="F50" s="2345">
        <f t="shared" si="10"/>
        <v>0.15490195998574319</v>
      </c>
      <c r="G50" s="2351">
        <f t="shared" si="10"/>
        <v>0.22184874961635639</v>
      </c>
      <c r="H50" s="2345">
        <f t="shared" si="10"/>
        <v>0.3010299956639812</v>
      </c>
      <c r="I50" s="2345">
        <f t="shared" si="10"/>
        <v>0.3979400086720376</v>
      </c>
      <c r="J50" s="2345">
        <f t="shared" si="10"/>
        <v>0.52287874528033762</v>
      </c>
      <c r="K50" s="2345">
        <f t="shared" si="10"/>
        <v>0.69897000433601886</v>
      </c>
      <c r="L50" s="2345">
        <f t="shared" si="10"/>
        <v>1</v>
      </c>
    </row>
    <row r="51" spans="1:30" ht="15" hidden="1" customHeight="1">
      <c r="B51" s="2350" t="s">
        <v>3470</v>
      </c>
      <c r="C51" s="2345" t="e">
        <f t="shared" ref="C51:L51" si="11">$C47*$E$23*60*C50</f>
        <v>#N/A</v>
      </c>
      <c r="D51" s="2345" t="e">
        <f t="shared" si="11"/>
        <v>#N/A</v>
      </c>
      <c r="E51" s="2345" t="e">
        <f t="shared" si="11"/>
        <v>#N/A</v>
      </c>
      <c r="F51" s="2345" t="e">
        <f t="shared" si="11"/>
        <v>#N/A</v>
      </c>
      <c r="G51" s="2351" t="e">
        <f t="shared" si="11"/>
        <v>#N/A</v>
      </c>
      <c r="H51" s="2345" t="e">
        <f t="shared" si="11"/>
        <v>#N/A</v>
      </c>
      <c r="I51" s="2345" t="e">
        <f t="shared" si="11"/>
        <v>#N/A</v>
      </c>
      <c r="J51" s="2345" t="e">
        <f t="shared" si="11"/>
        <v>#N/A</v>
      </c>
      <c r="K51" s="2345" t="e">
        <f t="shared" si="11"/>
        <v>#N/A</v>
      </c>
      <c r="L51" s="2345" t="e">
        <f t="shared" si="11"/>
        <v>#N/A</v>
      </c>
    </row>
    <row r="52" spans="1:30" ht="15" hidden="1" customHeight="1">
      <c r="B52" s="2350" t="s">
        <v>3471</v>
      </c>
      <c r="C52" s="2345" t="e">
        <f t="shared" ref="C52:L52" si="12">C51/$J$33</f>
        <v>#N/A</v>
      </c>
      <c r="D52" s="2345" t="e">
        <f t="shared" si="12"/>
        <v>#N/A</v>
      </c>
      <c r="E52" s="2345" t="e">
        <f t="shared" si="12"/>
        <v>#N/A</v>
      </c>
      <c r="F52" s="2345" t="e">
        <f t="shared" si="12"/>
        <v>#N/A</v>
      </c>
      <c r="G52" s="2351" t="e">
        <f t="shared" si="12"/>
        <v>#N/A</v>
      </c>
      <c r="H52" s="2345" t="e">
        <f t="shared" si="12"/>
        <v>#N/A</v>
      </c>
      <c r="I52" s="2345" t="e">
        <f t="shared" si="12"/>
        <v>#N/A</v>
      </c>
      <c r="J52" s="2345" t="e">
        <f t="shared" si="12"/>
        <v>#N/A</v>
      </c>
      <c r="K52" s="2345" t="e">
        <f t="shared" si="12"/>
        <v>#N/A</v>
      </c>
      <c r="L52" s="2345" t="e">
        <f t="shared" si="12"/>
        <v>#N/A</v>
      </c>
    </row>
    <row r="53" spans="1:30" ht="29.25" hidden="1" customHeight="1">
      <c r="B53" s="2352" t="s">
        <v>3472</v>
      </c>
      <c r="C53" s="2345" t="e">
        <f t="shared" ref="C53:L53" si="13">C51/$D$23/60</f>
        <v>#N/A</v>
      </c>
      <c r="D53" s="2345" t="e">
        <f t="shared" si="13"/>
        <v>#N/A</v>
      </c>
      <c r="E53" s="2345" t="e">
        <f t="shared" si="13"/>
        <v>#N/A</v>
      </c>
      <c r="F53" s="2345" t="e">
        <f t="shared" si="13"/>
        <v>#N/A</v>
      </c>
      <c r="G53" s="2351" t="e">
        <f t="shared" si="13"/>
        <v>#N/A</v>
      </c>
      <c r="H53" s="2345" t="e">
        <f t="shared" si="13"/>
        <v>#N/A</v>
      </c>
      <c r="I53" s="2345" t="e">
        <f t="shared" si="13"/>
        <v>#N/A</v>
      </c>
      <c r="J53" s="2345" t="e">
        <f t="shared" si="13"/>
        <v>#N/A</v>
      </c>
      <c r="K53" s="2345" t="e">
        <f t="shared" si="13"/>
        <v>#N/A</v>
      </c>
      <c r="L53" s="2345" t="e">
        <f t="shared" si="13"/>
        <v>#N/A</v>
      </c>
    </row>
    <row r="54" spans="1:30" ht="15" customHeight="1">
      <c r="F54" s="2300" t="s">
        <v>98</v>
      </c>
      <c r="N54" s="2292"/>
      <c r="O54" s="2292"/>
      <c r="P54" s="2300">
        <f>+P44-1.9</f>
        <v>570.178</v>
      </c>
      <c r="Q54" s="2300">
        <f>+Q44-2.5</f>
        <v>570.68200000000002</v>
      </c>
    </row>
    <row r="55" spans="1:30" s="68" customFormat="1" ht="15" customHeight="1">
      <c r="A55" s="2305" t="s">
        <v>3475</v>
      </c>
      <c r="B55" s="2305" t="s">
        <v>3476</v>
      </c>
      <c r="C55" s="2305"/>
      <c r="D55" s="2306"/>
      <c r="E55" s="2306"/>
      <c r="F55" s="2306"/>
      <c r="G55" s="2306"/>
      <c r="H55" s="2306"/>
      <c r="I55" s="2306"/>
      <c r="J55" s="2306"/>
      <c r="K55" s="2306"/>
      <c r="L55" s="2306"/>
      <c r="O55" s="67"/>
      <c r="P55" s="67"/>
      <c r="Q55" s="67"/>
      <c r="R55" s="4"/>
      <c r="S55" s="4"/>
      <c r="T55" s="4"/>
      <c r="U55" s="2300"/>
      <c r="AD55" s="2307"/>
    </row>
    <row r="56" spans="1:30" ht="15" customHeight="1" thickBot="1">
      <c r="K56" s="2161"/>
    </row>
    <row r="57" spans="1:30" ht="15" customHeight="1" thickTop="1">
      <c r="B57" s="2353" t="s">
        <v>3477</v>
      </c>
      <c r="C57" s="2354"/>
      <c r="D57" s="2354"/>
      <c r="E57" s="2354"/>
      <c r="F57" s="2355"/>
      <c r="G57" s="2354"/>
      <c r="H57" s="2356"/>
      <c r="L57" s="2357" t="s">
        <v>3478</v>
      </c>
    </row>
    <row r="58" spans="1:30" ht="29.25" customHeight="1" thickBot="1">
      <c r="B58" s="2358" t="s">
        <v>3479</v>
      </c>
      <c r="C58" s="2359" t="s">
        <v>3480</v>
      </c>
      <c r="D58" s="2359" t="s">
        <v>3481</v>
      </c>
      <c r="E58" s="2359" t="s">
        <v>3482</v>
      </c>
      <c r="F58" s="2359" t="s">
        <v>3483</v>
      </c>
      <c r="G58" s="2360" t="s">
        <v>3484</v>
      </c>
      <c r="H58" s="2361" t="s">
        <v>3485</v>
      </c>
      <c r="K58" s="2362" t="s">
        <v>3486</v>
      </c>
    </row>
    <row r="59" spans="1:30" ht="15" customHeight="1" thickTop="1">
      <c r="B59" s="2363"/>
      <c r="C59" s="2364"/>
      <c r="D59" s="2364"/>
      <c r="E59" s="2364"/>
      <c r="F59" s="2364"/>
      <c r="G59" s="2363">
        <f>SUM(C59:F59)</f>
        <v>0</v>
      </c>
      <c r="H59" s="2363">
        <f>1.71*G59*B59^1.5</f>
        <v>0</v>
      </c>
      <c r="J59" s="2292"/>
    </row>
    <row r="60" spans="1:30" ht="15" customHeight="1">
      <c r="A60" s="2338"/>
      <c r="B60" s="2365"/>
      <c r="C60" s="2365"/>
      <c r="D60" s="2365"/>
      <c r="E60" s="2365"/>
      <c r="F60" s="2365"/>
    </row>
    <row r="61" spans="1:30" ht="15" customHeight="1" thickBot="1">
      <c r="A61" s="2338"/>
      <c r="B61" s="2365"/>
      <c r="C61" s="2365"/>
      <c r="D61" s="2365"/>
      <c r="E61" s="2365"/>
      <c r="F61" s="2365"/>
    </row>
    <row r="62" spans="1:30" ht="15" customHeight="1" thickTop="1">
      <c r="A62" s="2338"/>
      <c r="B62" s="2353" t="s">
        <v>3487</v>
      </c>
      <c r="C62" s="2354"/>
      <c r="D62" s="2354"/>
      <c r="E62" s="2354"/>
      <c r="F62" s="2355"/>
      <c r="G62" s="2354"/>
      <c r="H62" s="2356"/>
      <c r="L62" s="2357" t="s">
        <v>3478</v>
      </c>
    </row>
    <row r="63" spans="1:30" ht="29.25" customHeight="1" thickBot="1">
      <c r="A63" s="2338"/>
      <c r="B63" s="2358" t="s">
        <v>3479</v>
      </c>
      <c r="C63" s="2359" t="s">
        <v>3480</v>
      </c>
      <c r="D63" s="2359" t="s">
        <v>3481</v>
      </c>
      <c r="E63" s="2359" t="s">
        <v>3482</v>
      </c>
      <c r="F63" s="2359" t="s">
        <v>3483</v>
      </c>
      <c r="G63" s="2360" t="s">
        <v>3484</v>
      </c>
      <c r="H63" s="2361" t="s">
        <v>3485</v>
      </c>
      <c r="K63" s="2362" t="s">
        <v>3488</v>
      </c>
      <c r="O63" s="2366"/>
    </row>
    <row r="64" spans="1:30" ht="15" customHeight="1" thickTop="1">
      <c r="A64" s="2338"/>
      <c r="B64" s="2363"/>
      <c r="C64" s="2364"/>
      <c r="D64" s="2364"/>
      <c r="E64" s="2364"/>
      <c r="F64" s="2364"/>
      <c r="G64" s="2363">
        <f>SUM(C64:F64)</f>
        <v>0</v>
      </c>
      <c r="H64" s="2322">
        <f>1.55*G64*B64^1.42</f>
        <v>0</v>
      </c>
    </row>
    <row r="65" spans="1:53" ht="15" customHeight="1">
      <c r="A65" s="2338"/>
      <c r="B65" s="2365"/>
      <c r="C65" s="2365"/>
      <c r="D65" s="2365"/>
      <c r="E65" s="2365"/>
      <c r="F65" s="2365"/>
    </row>
    <row r="66" spans="1:53" ht="15" customHeight="1" thickBot="1">
      <c r="A66" s="2338"/>
      <c r="B66" s="2365"/>
      <c r="C66" s="2365"/>
      <c r="D66" s="2365"/>
      <c r="E66" s="2365"/>
      <c r="F66" s="2365"/>
    </row>
    <row r="67" spans="1:53" ht="15" customHeight="1" thickTop="1">
      <c r="A67" s="2338"/>
      <c r="B67" s="3205" t="s">
        <v>3489</v>
      </c>
      <c r="C67" s="3206"/>
      <c r="D67" s="3206"/>
      <c r="E67" s="3206"/>
      <c r="F67" s="3206"/>
      <c r="G67" s="3206"/>
      <c r="H67" s="3207"/>
      <c r="I67" s="68"/>
      <c r="L67" s="2357" t="s">
        <v>3490</v>
      </c>
    </row>
    <row r="68" spans="1:53" ht="38.25" customHeight="1" thickBot="1">
      <c r="A68" s="2338"/>
      <c r="B68" s="2358" t="s">
        <v>3479</v>
      </c>
      <c r="C68" s="2359" t="s">
        <v>3491</v>
      </c>
      <c r="D68" s="2359" t="s">
        <v>3052</v>
      </c>
      <c r="E68" s="2367" t="s">
        <v>3492</v>
      </c>
      <c r="F68" s="2367" t="s">
        <v>3493</v>
      </c>
      <c r="G68" s="2367" t="s">
        <v>3494</v>
      </c>
      <c r="H68" s="2368" t="s">
        <v>3495</v>
      </c>
      <c r="K68" s="2362" t="s">
        <v>3496</v>
      </c>
    </row>
    <row r="69" spans="1:53" ht="15" customHeight="1" thickTop="1">
      <c r="A69" s="2338"/>
      <c r="B69" s="2363" t="e">
        <f>I26</f>
        <v>#N/A</v>
      </c>
      <c r="C69" s="2363">
        <v>1</v>
      </c>
      <c r="D69" s="2363">
        <v>1.1270870440513192</v>
      </c>
      <c r="E69" s="2364" t="e">
        <f>B69-D69/2</f>
        <v>#N/A</v>
      </c>
      <c r="F69" s="2369">
        <v>1</v>
      </c>
      <c r="G69" s="2363" t="e">
        <f>(2.791*C69*D69*E69^0.5)*F69</f>
        <v>#N/A</v>
      </c>
      <c r="H69" s="2370" t="e">
        <f>G69</f>
        <v>#N/A</v>
      </c>
      <c r="M69" s="2371">
        <f>D26</f>
        <v>7.6393520179546828E-5</v>
      </c>
    </row>
    <row r="70" spans="1:53" ht="15" customHeight="1">
      <c r="A70" s="2338"/>
      <c r="B70" s="2372"/>
      <c r="C70" s="2372"/>
      <c r="D70" s="2372"/>
      <c r="E70" s="2373"/>
      <c r="F70" s="2374"/>
      <c r="G70" s="2372"/>
      <c r="H70" s="2321"/>
      <c r="L70" s="2292"/>
    </row>
    <row r="71" spans="1:53" ht="15" customHeight="1">
      <c r="A71" s="2338"/>
      <c r="B71" s="2372"/>
      <c r="C71" s="2372"/>
      <c r="D71" s="2372"/>
      <c r="E71" s="2373"/>
      <c r="F71" s="2374"/>
      <c r="G71" s="2372"/>
      <c r="H71" s="2321"/>
    </row>
    <row r="72" spans="1:53" ht="15" customHeight="1">
      <c r="A72" s="2338"/>
      <c r="B72" s="2372"/>
      <c r="C72" s="2372"/>
      <c r="D72" s="2372"/>
      <c r="E72" s="2373"/>
      <c r="F72" s="2374"/>
      <c r="G72" s="2372"/>
      <c r="H72" s="2321"/>
    </row>
    <row r="73" spans="1:53" ht="15" customHeight="1">
      <c r="A73" s="2338"/>
      <c r="B73" s="2372"/>
      <c r="C73" s="2372"/>
      <c r="D73" s="2372"/>
      <c r="E73" s="2373"/>
      <c r="F73" s="2374"/>
      <c r="G73" s="2372"/>
      <c r="H73" s="2321"/>
      <c r="K73" s="2375"/>
    </row>
    <row r="74" spans="1:53" ht="15" customHeight="1">
      <c r="A74" s="2338"/>
      <c r="B74" s="2365"/>
      <c r="C74" s="2365"/>
      <c r="D74" s="2376"/>
      <c r="E74" s="2377"/>
      <c r="F74" s="2376"/>
      <c r="G74" s="2365"/>
      <c r="H74" s="2365"/>
      <c r="I74" s="2378"/>
    </row>
    <row r="75" spans="1:53" ht="15" customHeight="1">
      <c r="A75" s="2338"/>
      <c r="B75" s="2365"/>
      <c r="C75" s="2365"/>
      <c r="D75" s="2376"/>
      <c r="E75" s="2377"/>
      <c r="F75" s="2376"/>
      <c r="G75" s="2365"/>
      <c r="H75" s="2365"/>
      <c r="I75" s="2378"/>
    </row>
    <row r="76" spans="1:53" s="68" customFormat="1" ht="15" customHeight="1">
      <c r="A76" s="2305" t="s">
        <v>3497</v>
      </c>
      <c r="B76" s="2305" t="s">
        <v>3498</v>
      </c>
      <c r="C76" s="2305"/>
      <c r="D76" s="2306"/>
      <c r="E76" s="2306"/>
      <c r="F76" s="2306"/>
      <c r="G76" s="2306"/>
      <c r="H76" s="2306"/>
      <c r="I76" s="2306"/>
      <c r="J76" s="2306"/>
      <c r="K76" s="2306"/>
      <c r="L76" s="2306"/>
      <c r="O76" s="67"/>
      <c r="P76" s="67"/>
      <c r="Q76" s="67"/>
      <c r="R76" s="4"/>
      <c r="S76" s="4"/>
      <c r="T76" s="4"/>
      <c r="U76" s="2300"/>
      <c r="AD76" s="2307"/>
    </row>
    <row r="78" spans="1:53" ht="15" customHeight="1" thickBot="1">
      <c r="B78" s="2379" t="s">
        <v>3499</v>
      </c>
      <c r="F78" s="2380" t="s">
        <v>3500</v>
      </c>
      <c r="H78" s="2379" t="s">
        <v>3499</v>
      </c>
      <c r="L78" s="2380" t="s">
        <v>3496</v>
      </c>
    </row>
    <row r="79" spans="1:53" s="68" customFormat="1" ht="15" customHeight="1" thickTop="1">
      <c r="B79" s="2381" t="s">
        <v>3501</v>
      </c>
      <c r="C79" s="2382"/>
      <c r="D79" s="2382"/>
      <c r="E79" s="2382"/>
      <c r="F79" s="2383"/>
      <c r="G79" s="3193" t="s">
        <v>3502</v>
      </c>
      <c r="H79" s="3194"/>
      <c r="I79" s="3194"/>
      <c r="J79" s="3194"/>
      <c r="K79" s="3194"/>
      <c r="L79" s="3195"/>
      <c r="AP79" s="2300"/>
      <c r="AQ79" s="2300"/>
      <c r="AR79" s="2300"/>
      <c r="AS79" s="2300"/>
      <c r="AT79" s="2300"/>
      <c r="AU79" s="2300"/>
      <c r="AV79" s="2300"/>
      <c r="AW79" s="2300"/>
      <c r="AX79" s="2300"/>
      <c r="AY79" s="2300"/>
      <c r="AZ79" s="2300"/>
      <c r="BA79" s="2300"/>
    </row>
    <row r="80" spans="1:53" s="68" customFormat="1" ht="29.25" customHeight="1" thickBot="1">
      <c r="B80" s="2384" t="s">
        <v>3503</v>
      </c>
      <c r="C80" s="2359" t="s">
        <v>3504</v>
      </c>
      <c r="D80" s="2367" t="s">
        <v>3492</v>
      </c>
      <c r="E80" s="2360" t="s">
        <v>3505</v>
      </c>
      <c r="F80" s="2361" t="s">
        <v>3485</v>
      </c>
      <c r="G80" s="2384" t="s">
        <v>3503</v>
      </c>
      <c r="H80" s="2359" t="s">
        <v>3491</v>
      </c>
      <c r="I80" s="2359" t="s">
        <v>3052</v>
      </c>
      <c r="J80" s="2367" t="s">
        <v>3492</v>
      </c>
      <c r="K80" s="2385" t="s">
        <v>3505</v>
      </c>
      <c r="L80" s="2361" t="s">
        <v>3485</v>
      </c>
      <c r="AP80" s="2300"/>
      <c r="AQ80" s="2300"/>
      <c r="AR80" s="2300"/>
      <c r="AS80" s="2300"/>
      <c r="AT80" s="2300"/>
      <c r="AU80" s="2300"/>
      <c r="AV80" s="2300"/>
      <c r="AW80" s="2300"/>
      <c r="AX80" s="2300"/>
      <c r="AY80" s="2300"/>
      <c r="AZ80" s="2300"/>
      <c r="BA80" s="2300"/>
    </row>
    <row r="81" spans="2:13" ht="15" customHeight="1" thickTop="1">
      <c r="B81" s="2386">
        <v>1</v>
      </c>
      <c r="C81" s="2363">
        <v>1.5</v>
      </c>
      <c r="D81" s="2363">
        <v>1.2214189870885843</v>
      </c>
      <c r="E81" s="2363">
        <f>2.79*D81^0.5</f>
        <v>3.08344734629866</v>
      </c>
      <c r="F81" s="2370">
        <f>IF(D81=0,+B81*C81^2.5*1.533,2.192*C81^2*D81^0.5*B81)</f>
        <v>5.4507391799085996</v>
      </c>
      <c r="G81" s="2387">
        <v>1</v>
      </c>
      <c r="H81" s="2322">
        <v>1.5</v>
      </c>
      <c r="I81" s="2322">
        <v>1.5</v>
      </c>
      <c r="J81" s="2322">
        <v>0.75323311010636329</v>
      </c>
      <c r="K81" s="2322">
        <f>2.79*J81^0.5</f>
        <v>2.4214131932363263</v>
      </c>
      <c r="L81" s="2322">
        <f>IF(J81=0,+G81*H81*I81^1.5*1.705,2.791*H81*I81*J81^0.5*G81)</f>
        <v>5.450132437356924</v>
      </c>
    </row>
    <row r="84" spans="2:13" ht="15" customHeight="1" thickBot="1">
      <c r="B84" s="2379" t="s">
        <v>3499</v>
      </c>
      <c r="F84" s="2380" t="s">
        <v>3506</v>
      </c>
      <c r="H84" s="2379" t="s">
        <v>3499</v>
      </c>
      <c r="L84" s="2380" t="s">
        <v>3507</v>
      </c>
    </row>
    <row r="85" spans="2:13" ht="15" customHeight="1" thickTop="1">
      <c r="B85" s="2381" t="s">
        <v>3508</v>
      </c>
      <c r="C85" s="2382"/>
      <c r="D85" s="2382"/>
      <c r="E85" s="2382"/>
      <c r="F85" s="2383"/>
      <c r="G85" s="3193" t="s">
        <v>3509</v>
      </c>
      <c r="H85" s="3194"/>
      <c r="I85" s="3194"/>
      <c r="J85" s="3194"/>
      <c r="K85" s="3194"/>
      <c r="L85" s="3195"/>
      <c r="M85" s="68"/>
    </row>
    <row r="86" spans="2:13" ht="29.25" customHeight="1" thickBot="1">
      <c r="B86" s="2384" t="s">
        <v>3503</v>
      </c>
      <c r="C86" s="2359" t="s">
        <v>3504</v>
      </c>
      <c r="D86" s="2360" t="s">
        <v>3510</v>
      </c>
      <c r="E86" s="2360" t="s">
        <v>3505</v>
      </c>
      <c r="F86" s="2361" t="s">
        <v>3485</v>
      </c>
      <c r="G86" s="2384" t="s">
        <v>3503</v>
      </c>
      <c r="H86" s="2359" t="s">
        <v>3491</v>
      </c>
      <c r="I86" s="2359" t="s">
        <v>3052</v>
      </c>
      <c r="J86" s="2385" t="s">
        <v>3510</v>
      </c>
      <c r="K86" s="2385" t="s">
        <v>3505</v>
      </c>
      <c r="L86" s="2361" t="s">
        <v>3485</v>
      </c>
      <c r="M86" s="68"/>
    </row>
    <row r="87" spans="2:13" ht="15" customHeight="1" thickTop="1">
      <c r="B87" s="2386">
        <f>B81</f>
        <v>1</v>
      </c>
      <c r="C87" s="2363">
        <f>C81</f>
        <v>1.5</v>
      </c>
      <c r="D87" s="2363">
        <f>0.739/C87^(0.333333333333333)</f>
        <v>0.64557596344012502</v>
      </c>
      <c r="E87" s="2363">
        <f>2.56*C87^0.5</f>
        <v>3.1353468707624677</v>
      </c>
      <c r="F87" s="2363">
        <f>B87*1.533*C87^2.5</f>
        <v>4.2244512476474387</v>
      </c>
      <c r="G87" s="2388">
        <f>G81</f>
        <v>1</v>
      </c>
      <c r="H87" s="2370">
        <f>H81</f>
        <v>1.5</v>
      </c>
      <c r="I87" s="2370">
        <f>I81</f>
        <v>1.5</v>
      </c>
      <c r="J87" s="2370">
        <f>IF(H87=0,0,0.0585/I87^0.333333333333333*(3+4*I87/H87)^(1.33333333333333))</f>
        <v>0.68431516812266135</v>
      </c>
      <c r="K87" s="2370">
        <f>2.56*I87^0.5</f>
        <v>3.1353468707624677</v>
      </c>
      <c r="L87" s="2370">
        <f>G87*H87*I87^1.5*1.705</f>
        <v>4.6984275128759831</v>
      </c>
      <c r="M87" s="2292"/>
    </row>
  </sheetData>
  <mergeCells count="18">
    <mergeCell ref="B8:E8"/>
    <mergeCell ref="B9:E10"/>
    <mergeCell ref="B13:B15"/>
    <mergeCell ref="C13:C15"/>
    <mergeCell ref="D13:D15"/>
    <mergeCell ref="E13:E15"/>
    <mergeCell ref="G85:L85"/>
    <mergeCell ref="F13:F15"/>
    <mergeCell ref="G13:G15"/>
    <mergeCell ref="H13:H15"/>
    <mergeCell ref="I13:I15"/>
    <mergeCell ref="J13:J15"/>
    <mergeCell ref="K13:K15"/>
    <mergeCell ref="I23:L23"/>
    <mergeCell ref="H28:I28"/>
    <mergeCell ref="J32:L32"/>
    <mergeCell ref="B67:H67"/>
    <mergeCell ref="G79:L79"/>
  </mergeCells>
  <dataValidations count="2">
    <dataValidation allowBlank="1" showInputMessage="1" showErrorMessage="1" prompt="saída sem_x000a_passar pela_x000a_obra de arte" sqref="WVJ1048572:WVJ1048573 WLN1048572:WLN1048573 WBR1048572:WBR1048573 VRV1048572:VRV1048573 VHZ1048572:VHZ1048573 UYD1048572:UYD1048573 UOH1048572:UOH1048573 UEL1048572:UEL1048573 TUP1048572:TUP1048573 TKT1048572:TKT1048573 TAX1048572:TAX1048573 SRB1048572:SRB1048573 SHF1048572:SHF1048573 RXJ1048572:RXJ1048573 RNN1048572:RNN1048573 RDR1048572:RDR1048573 QTV1048572:QTV1048573 QJZ1048572:QJZ1048573 QAD1048572:QAD1048573 PQH1048572:PQH1048573 PGL1048572:PGL1048573 OWP1048572:OWP1048573 OMT1048572:OMT1048573 OCX1048572:OCX1048573 NTB1048572:NTB1048573 NJF1048572:NJF1048573 MZJ1048572:MZJ1048573 MPN1048572:MPN1048573 MFR1048572:MFR1048573 LVV1048572:LVV1048573 LLZ1048572:LLZ1048573 LCD1048572:LCD1048573 KSH1048572:KSH1048573 KIL1048572:KIL1048573 JYP1048572:JYP1048573 JOT1048572:JOT1048573 JEX1048572:JEX1048573 IVB1048572:IVB1048573 ILF1048572:ILF1048573 IBJ1048572:IBJ1048573 HRN1048572:HRN1048573 HHR1048572:HHR1048573 GXV1048572:GXV1048573 GNZ1048572:GNZ1048573 GED1048572:GED1048573 FUH1048572:FUH1048573 FKL1048572:FKL1048573 FAP1048572:FAP1048573 EQT1048572:EQT1048573 EGX1048572:EGX1048573 DXB1048572:DXB1048573 DNF1048572:DNF1048573 DDJ1048572:DDJ1048573 CTN1048572:CTN1048573 CJR1048572:CJR1048573 BZV1048572:BZV1048573 BPZ1048572:BPZ1048573 BGD1048572:BGD1048573 AWH1048572:AWH1048573 AML1048572:AML1048573 ACP1048572:ACP1048573 ST1048572:ST1048573 IX1048572:IX1048573 WVJ983036:WVJ983037 WLN983036:WLN983037 WBR983036:WBR983037 VRV983036:VRV983037 VHZ983036:VHZ983037 UYD983036:UYD983037 UOH983036:UOH983037 UEL983036:UEL983037 TUP983036:TUP983037 TKT983036:TKT983037 TAX983036:TAX983037 SRB983036:SRB983037 SHF983036:SHF983037 RXJ983036:RXJ983037 RNN983036:RNN983037 RDR983036:RDR983037 QTV983036:QTV983037 QJZ983036:QJZ983037 QAD983036:QAD983037 PQH983036:PQH983037 PGL983036:PGL983037 OWP983036:OWP983037 OMT983036:OMT983037 OCX983036:OCX983037 NTB983036:NTB983037 NJF983036:NJF983037 MZJ983036:MZJ983037 MPN983036:MPN983037 MFR983036:MFR983037 LVV983036:LVV983037 LLZ983036:LLZ983037 LCD983036:LCD983037 KSH983036:KSH983037 KIL983036:KIL983037 JYP983036:JYP983037 JOT983036:JOT983037 JEX983036:JEX983037 IVB983036:IVB983037 ILF983036:ILF983037 IBJ983036:IBJ983037 HRN983036:HRN983037 HHR983036:HHR983037 GXV983036:GXV983037 GNZ983036:GNZ983037 GED983036:GED983037 FUH983036:FUH983037 FKL983036:FKL983037 FAP983036:FAP983037 EQT983036:EQT983037 EGX983036:EGX983037 DXB983036:DXB983037 DNF983036:DNF983037 DDJ983036:DDJ983037 CTN983036:CTN983037 CJR983036:CJR983037 BZV983036:BZV983037 BPZ983036:BPZ983037 BGD983036:BGD983037 AWH983036:AWH983037 AML983036:AML983037 ACP983036:ACP983037 ST983036:ST983037 IX983036:IX983037 WVJ917500:WVJ917501 WLN917500:WLN917501 WBR917500:WBR917501 VRV917500:VRV917501 VHZ917500:VHZ917501 UYD917500:UYD917501 UOH917500:UOH917501 UEL917500:UEL917501 TUP917500:TUP917501 TKT917500:TKT917501 TAX917500:TAX917501 SRB917500:SRB917501 SHF917500:SHF917501 RXJ917500:RXJ917501 RNN917500:RNN917501 RDR917500:RDR917501 QTV917500:QTV917501 QJZ917500:QJZ917501 QAD917500:QAD917501 PQH917500:PQH917501 PGL917500:PGL917501 OWP917500:OWP917501 OMT917500:OMT917501 OCX917500:OCX917501 NTB917500:NTB917501 NJF917500:NJF917501 MZJ917500:MZJ917501 MPN917500:MPN917501 MFR917500:MFR917501 LVV917500:LVV917501 LLZ917500:LLZ917501 LCD917500:LCD917501 KSH917500:KSH917501 KIL917500:KIL917501 JYP917500:JYP917501 JOT917500:JOT917501 JEX917500:JEX917501 IVB917500:IVB917501 ILF917500:ILF917501 IBJ917500:IBJ917501 HRN917500:HRN917501 HHR917500:HHR917501 GXV917500:GXV917501 GNZ917500:GNZ917501 GED917500:GED917501 FUH917500:FUH917501 FKL917500:FKL917501 FAP917500:FAP917501 EQT917500:EQT917501 EGX917500:EGX917501 DXB917500:DXB917501 DNF917500:DNF917501 DDJ917500:DDJ917501 CTN917500:CTN917501 CJR917500:CJR917501 BZV917500:BZV917501 BPZ917500:BPZ917501 BGD917500:BGD917501 AWH917500:AWH917501 AML917500:AML917501 ACP917500:ACP917501 ST917500:ST917501 IX917500:IX917501 WVJ851964:WVJ851965 WLN851964:WLN851965 WBR851964:WBR851965 VRV851964:VRV851965 VHZ851964:VHZ851965 UYD851964:UYD851965 UOH851964:UOH851965 UEL851964:UEL851965 TUP851964:TUP851965 TKT851964:TKT851965 TAX851964:TAX851965 SRB851964:SRB851965 SHF851964:SHF851965 RXJ851964:RXJ851965 RNN851964:RNN851965 RDR851964:RDR851965 QTV851964:QTV851965 QJZ851964:QJZ851965 QAD851964:QAD851965 PQH851964:PQH851965 PGL851964:PGL851965 OWP851964:OWP851965 OMT851964:OMT851965 OCX851964:OCX851965 NTB851964:NTB851965 NJF851964:NJF851965 MZJ851964:MZJ851965 MPN851964:MPN851965 MFR851964:MFR851965 LVV851964:LVV851965 LLZ851964:LLZ851965 LCD851964:LCD851965 KSH851964:KSH851965 KIL851964:KIL851965 JYP851964:JYP851965 JOT851964:JOT851965 JEX851964:JEX851965 IVB851964:IVB851965 ILF851964:ILF851965 IBJ851964:IBJ851965 HRN851964:HRN851965 HHR851964:HHR851965 GXV851964:GXV851965 GNZ851964:GNZ851965 GED851964:GED851965 FUH851964:FUH851965 FKL851964:FKL851965 FAP851964:FAP851965 EQT851964:EQT851965 EGX851964:EGX851965 DXB851964:DXB851965 DNF851964:DNF851965 DDJ851964:DDJ851965 CTN851964:CTN851965 CJR851964:CJR851965 BZV851964:BZV851965 BPZ851964:BPZ851965 BGD851964:BGD851965 AWH851964:AWH851965 AML851964:AML851965 ACP851964:ACP851965 ST851964:ST851965 IX851964:IX851965 WVJ786428:WVJ786429 WLN786428:WLN786429 WBR786428:WBR786429 VRV786428:VRV786429 VHZ786428:VHZ786429 UYD786428:UYD786429 UOH786428:UOH786429 UEL786428:UEL786429 TUP786428:TUP786429 TKT786428:TKT786429 TAX786428:TAX786429 SRB786428:SRB786429 SHF786428:SHF786429 RXJ786428:RXJ786429 RNN786428:RNN786429 RDR786428:RDR786429 QTV786428:QTV786429 QJZ786428:QJZ786429 QAD786428:QAD786429 PQH786428:PQH786429 PGL786428:PGL786429 OWP786428:OWP786429 OMT786428:OMT786429 OCX786428:OCX786429 NTB786428:NTB786429 NJF786428:NJF786429 MZJ786428:MZJ786429 MPN786428:MPN786429 MFR786428:MFR786429 LVV786428:LVV786429 LLZ786428:LLZ786429 LCD786428:LCD786429 KSH786428:KSH786429 KIL786428:KIL786429 JYP786428:JYP786429 JOT786428:JOT786429 JEX786428:JEX786429 IVB786428:IVB786429 ILF786428:ILF786429 IBJ786428:IBJ786429 HRN786428:HRN786429 HHR786428:HHR786429 GXV786428:GXV786429 GNZ786428:GNZ786429 GED786428:GED786429 FUH786428:FUH786429 FKL786428:FKL786429 FAP786428:FAP786429 EQT786428:EQT786429 EGX786428:EGX786429 DXB786428:DXB786429 DNF786428:DNF786429 DDJ786428:DDJ786429 CTN786428:CTN786429 CJR786428:CJR786429 BZV786428:BZV786429 BPZ786428:BPZ786429 BGD786428:BGD786429 AWH786428:AWH786429 AML786428:AML786429 ACP786428:ACP786429 ST786428:ST786429 IX786428:IX786429 WVJ720892:WVJ720893 WLN720892:WLN720893 WBR720892:WBR720893 VRV720892:VRV720893 VHZ720892:VHZ720893 UYD720892:UYD720893 UOH720892:UOH720893 UEL720892:UEL720893 TUP720892:TUP720893 TKT720892:TKT720893 TAX720892:TAX720893 SRB720892:SRB720893 SHF720892:SHF720893 RXJ720892:RXJ720893 RNN720892:RNN720893 RDR720892:RDR720893 QTV720892:QTV720893 QJZ720892:QJZ720893 QAD720892:QAD720893 PQH720892:PQH720893 PGL720892:PGL720893 OWP720892:OWP720893 OMT720892:OMT720893 OCX720892:OCX720893 NTB720892:NTB720893 NJF720892:NJF720893 MZJ720892:MZJ720893 MPN720892:MPN720893 MFR720892:MFR720893 LVV720892:LVV720893 LLZ720892:LLZ720893 LCD720892:LCD720893 KSH720892:KSH720893 KIL720892:KIL720893 JYP720892:JYP720893 JOT720892:JOT720893 JEX720892:JEX720893 IVB720892:IVB720893 ILF720892:ILF720893 IBJ720892:IBJ720893 HRN720892:HRN720893 HHR720892:HHR720893 GXV720892:GXV720893 GNZ720892:GNZ720893 GED720892:GED720893 FUH720892:FUH720893 FKL720892:FKL720893 FAP720892:FAP720893 EQT720892:EQT720893 EGX720892:EGX720893 DXB720892:DXB720893 DNF720892:DNF720893 DDJ720892:DDJ720893 CTN720892:CTN720893 CJR720892:CJR720893 BZV720892:BZV720893 BPZ720892:BPZ720893 BGD720892:BGD720893 AWH720892:AWH720893 AML720892:AML720893 ACP720892:ACP720893 ST720892:ST720893 IX720892:IX720893 WVJ655356:WVJ655357 WLN655356:WLN655357 WBR655356:WBR655357 VRV655356:VRV655357 VHZ655356:VHZ655357 UYD655356:UYD655357 UOH655356:UOH655357 UEL655356:UEL655357 TUP655356:TUP655357 TKT655356:TKT655357 TAX655356:TAX655357 SRB655356:SRB655357 SHF655356:SHF655357 RXJ655356:RXJ655357 RNN655356:RNN655357 RDR655356:RDR655357 QTV655356:QTV655357 QJZ655356:QJZ655357 QAD655356:QAD655357 PQH655356:PQH655357 PGL655356:PGL655357 OWP655356:OWP655357 OMT655356:OMT655357 OCX655356:OCX655357 NTB655356:NTB655357 NJF655356:NJF655357 MZJ655356:MZJ655357 MPN655356:MPN655357 MFR655356:MFR655357 LVV655356:LVV655357 LLZ655356:LLZ655357 LCD655356:LCD655357 KSH655356:KSH655357 KIL655356:KIL655357 JYP655356:JYP655357 JOT655356:JOT655357 JEX655356:JEX655357 IVB655356:IVB655357 ILF655356:ILF655357 IBJ655356:IBJ655357 HRN655356:HRN655357 HHR655356:HHR655357 GXV655356:GXV655357 GNZ655356:GNZ655357 GED655356:GED655357 FUH655356:FUH655357 FKL655356:FKL655357 FAP655356:FAP655357 EQT655356:EQT655357 EGX655356:EGX655357 DXB655356:DXB655357 DNF655356:DNF655357 DDJ655356:DDJ655357 CTN655356:CTN655357 CJR655356:CJR655357 BZV655356:BZV655357 BPZ655356:BPZ655357 BGD655356:BGD655357 AWH655356:AWH655357 AML655356:AML655357 ACP655356:ACP655357 ST655356:ST655357 IX655356:IX655357 WVJ589820:WVJ589821 WLN589820:WLN589821 WBR589820:WBR589821 VRV589820:VRV589821 VHZ589820:VHZ589821 UYD589820:UYD589821 UOH589820:UOH589821 UEL589820:UEL589821 TUP589820:TUP589821 TKT589820:TKT589821 TAX589820:TAX589821 SRB589820:SRB589821 SHF589820:SHF589821 RXJ589820:RXJ589821 RNN589820:RNN589821 RDR589820:RDR589821 QTV589820:QTV589821 QJZ589820:QJZ589821 QAD589820:QAD589821 PQH589820:PQH589821 PGL589820:PGL589821 OWP589820:OWP589821 OMT589820:OMT589821 OCX589820:OCX589821 NTB589820:NTB589821 NJF589820:NJF589821 MZJ589820:MZJ589821 MPN589820:MPN589821 MFR589820:MFR589821 LVV589820:LVV589821 LLZ589820:LLZ589821 LCD589820:LCD589821 KSH589820:KSH589821 KIL589820:KIL589821 JYP589820:JYP589821 JOT589820:JOT589821 JEX589820:JEX589821 IVB589820:IVB589821 ILF589820:ILF589821 IBJ589820:IBJ589821 HRN589820:HRN589821 HHR589820:HHR589821 GXV589820:GXV589821 GNZ589820:GNZ589821 GED589820:GED589821 FUH589820:FUH589821 FKL589820:FKL589821 FAP589820:FAP589821 EQT589820:EQT589821 EGX589820:EGX589821 DXB589820:DXB589821 DNF589820:DNF589821 DDJ589820:DDJ589821 CTN589820:CTN589821 CJR589820:CJR589821 BZV589820:BZV589821 BPZ589820:BPZ589821 BGD589820:BGD589821 AWH589820:AWH589821 AML589820:AML589821 ACP589820:ACP589821 ST589820:ST589821 IX589820:IX589821 WVJ524284:WVJ524285 WLN524284:WLN524285 WBR524284:WBR524285 VRV524284:VRV524285 VHZ524284:VHZ524285 UYD524284:UYD524285 UOH524284:UOH524285 UEL524284:UEL524285 TUP524284:TUP524285 TKT524284:TKT524285 TAX524284:TAX524285 SRB524284:SRB524285 SHF524284:SHF524285 RXJ524284:RXJ524285 RNN524284:RNN524285 RDR524284:RDR524285 QTV524284:QTV524285 QJZ524284:QJZ524285 QAD524284:QAD524285 PQH524284:PQH524285 PGL524284:PGL524285 OWP524284:OWP524285 OMT524284:OMT524285 OCX524284:OCX524285 NTB524284:NTB524285 NJF524284:NJF524285 MZJ524284:MZJ524285 MPN524284:MPN524285 MFR524284:MFR524285 LVV524284:LVV524285 LLZ524284:LLZ524285 LCD524284:LCD524285 KSH524284:KSH524285 KIL524284:KIL524285 JYP524284:JYP524285 JOT524284:JOT524285 JEX524284:JEX524285 IVB524284:IVB524285 ILF524284:ILF524285 IBJ524284:IBJ524285 HRN524284:HRN524285 HHR524284:HHR524285 GXV524284:GXV524285 GNZ524284:GNZ524285 GED524284:GED524285 FUH524284:FUH524285 FKL524284:FKL524285 FAP524284:FAP524285 EQT524284:EQT524285 EGX524284:EGX524285 DXB524284:DXB524285 DNF524284:DNF524285 DDJ524284:DDJ524285 CTN524284:CTN524285 CJR524284:CJR524285 BZV524284:BZV524285 BPZ524284:BPZ524285 BGD524284:BGD524285 AWH524284:AWH524285 AML524284:AML524285 ACP524284:ACP524285 ST524284:ST524285 IX524284:IX524285 WVJ458748:WVJ458749 WLN458748:WLN458749 WBR458748:WBR458749 VRV458748:VRV458749 VHZ458748:VHZ458749 UYD458748:UYD458749 UOH458748:UOH458749 UEL458748:UEL458749 TUP458748:TUP458749 TKT458748:TKT458749 TAX458748:TAX458749 SRB458748:SRB458749 SHF458748:SHF458749 RXJ458748:RXJ458749 RNN458748:RNN458749 RDR458748:RDR458749 QTV458748:QTV458749 QJZ458748:QJZ458749 QAD458748:QAD458749 PQH458748:PQH458749 PGL458748:PGL458749 OWP458748:OWP458749 OMT458748:OMT458749 OCX458748:OCX458749 NTB458748:NTB458749 NJF458748:NJF458749 MZJ458748:MZJ458749 MPN458748:MPN458749 MFR458748:MFR458749 LVV458748:LVV458749 LLZ458748:LLZ458749 LCD458748:LCD458749 KSH458748:KSH458749 KIL458748:KIL458749 JYP458748:JYP458749 JOT458748:JOT458749 JEX458748:JEX458749 IVB458748:IVB458749 ILF458748:ILF458749 IBJ458748:IBJ458749 HRN458748:HRN458749 HHR458748:HHR458749 GXV458748:GXV458749 GNZ458748:GNZ458749 GED458748:GED458749 FUH458748:FUH458749 FKL458748:FKL458749 FAP458748:FAP458749 EQT458748:EQT458749 EGX458748:EGX458749 DXB458748:DXB458749 DNF458748:DNF458749 DDJ458748:DDJ458749 CTN458748:CTN458749 CJR458748:CJR458749 BZV458748:BZV458749 BPZ458748:BPZ458749 BGD458748:BGD458749 AWH458748:AWH458749 AML458748:AML458749 ACP458748:ACP458749 ST458748:ST458749 IX458748:IX458749 WVJ393212:WVJ393213 WLN393212:WLN393213 WBR393212:WBR393213 VRV393212:VRV393213 VHZ393212:VHZ393213 UYD393212:UYD393213 UOH393212:UOH393213 UEL393212:UEL393213 TUP393212:TUP393213 TKT393212:TKT393213 TAX393212:TAX393213 SRB393212:SRB393213 SHF393212:SHF393213 RXJ393212:RXJ393213 RNN393212:RNN393213 RDR393212:RDR393213 QTV393212:QTV393213 QJZ393212:QJZ393213 QAD393212:QAD393213 PQH393212:PQH393213 PGL393212:PGL393213 OWP393212:OWP393213 OMT393212:OMT393213 OCX393212:OCX393213 NTB393212:NTB393213 NJF393212:NJF393213 MZJ393212:MZJ393213 MPN393212:MPN393213 MFR393212:MFR393213 LVV393212:LVV393213 LLZ393212:LLZ393213 LCD393212:LCD393213 KSH393212:KSH393213 KIL393212:KIL393213 JYP393212:JYP393213 JOT393212:JOT393213 JEX393212:JEX393213 IVB393212:IVB393213 ILF393212:ILF393213 IBJ393212:IBJ393213 HRN393212:HRN393213 HHR393212:HHR393213 GXV393212:GXV393213 GNZ393212:GNZ393213 GED393212:GED393213 FUH393212:FUH393213 FKL393212:FKL393213 FAP393212:FAP393213 EQT393212:EQT393213 EGX393212:EGX393213 DXB393212:DXB393213 DNF393212:DNF393213 DDJ393212:DDJ393213 CTN393212:CTN393213 CJR393212:CJR393213 BZV393212:BZV393213 BPZ393212:BPZ393213 BGD393212:BGD393213 AWH393212:AWH393213 AML393212:AML393213 ACP393212:ACP393213 ST393212:ST393213 IX393212:IX393213 WVJ327676:WVJ327677 WLN327676:WLN327677 WBR327676:WBR327677 VRV327676:VRV327677 VHZ327676:VHZ327677 UYD327676:UYD327677 UOH327676:UOH327677 UEL327676:UEL327677 TUP327676:TUP327677 TKT327676:TKT327677 TAX327676:TAX327677 SRB327676:SRB327677 SHF327676:SHF327677 RXJ327676:RXJ327677 RNN327676:RNN327677 RDR327676:RDR327677 QTV327676:QTV327677 QJZ327676:QJZ327677 QAD327676:QAD327677 PQH327676:PQH327677 PGL327676:PGL327677 OWP327676:OWP327677 OMT327676:OMT327677 OCX327676:OCX327677 NTB327676:NTB327677 NJF327676:NJF327677 MZJ327676:MZJ327677 MPN327676:MPN327677 MFR327676:MFR327677 LVV327676:LVV327677 LLZ327676:LLZ327677 LCD327676:LCD327677 KSH327676:KSH327677 KIL327676:KIL327677 JYP327676:JYP327677 JOT327676:JOT327677 JEX327676:JEX327677 IVB327676:IVB327677 ILF327676:ILF327677 IBJ327676:IBJ327677 HRN327676:HRN327677 HHR327676:HHR327677 GXV327676:GXV327677 GNZ327676:GNZ327677 GED327676:GED327677 FUH327676:FUH327677 FKL327676:FKL327677 FAP327676:FAP327677 EQT327676:EQT327677 EGX327676:EGX327677 DXB327676:DXB327677 DNF327676:DNF327677 DDJ327676:DDJ327677 CTN327676:CTN327677 CJR327676:CJR327677 BZV327676:BZV327677 BPZ327676:BPZ327677 BGD327676:BGD327677 AWH327676:AWH327677 AML327676:AML327677 ACP327676:ACP327677 ST327676:ST327677 IX327676:IX327677 WVJ262140:WVJ262141 WLN262140:WLN262141 WBR262140:WBR262141 VRV262140:VRV262141 VHZ262140:VHZ262141 UYD262140:UYD262141 UOH262140:UOH262141 UEL262140:UEL262141 TUP262140:TUP262141 TKT262140:TKT262141 TAX262140:TAX262141 SRB262140:SRB262141 SHF262140:SHF262141 RXJ262140:RXJ262141 RNN262140:RNN262141 RDR262140:RDR262141 QTV262140:QTV262141 QJZ262140:QJZ262141 QAD262140:QAD262141 PQH262140:PQH262141 PGL262140:PGL262141 OWP262140:OWP262141 OMT262140:OMT262141 OCX262140:OCX262141 NTB262140:NTB262141 NJF262140:NJF262141 MZJ262140:MZJ262141 MPN262140:MPN262141 MFR262140:MFR262141 LVV262140:LVV262141 LLZ262140:LLZ262141 LCD262140:LCD262141 KSH262140:KSH262141 KIL262140:KIL262141 JYP262140:JYP262141 JOT262140:JOT262141 JEX262140:JEX262141 IVB262140:IVB262141 ILF262140:ILF262141 IBJ262140:IBJ262141 HRN262140:HRN262141 HHR262140:HHR262141 GXV262140:GXV262141 GNZ262140:GNZ262141 GED262140:GED262141 FUH262140:FUH262141 FKL262140:FKL262141 FAP262140:FAP262141 EQT262140:EQT262141 EGX262140:EGX262141 DXB262140:DXB262141 DNF262140:DNF262141 DDJ262140:DDJ262141 CTN262140:CTN262141 CJR262140:CJR262141 BZV262140:BZV262141 BPZ262140:BPZ262141 BGD262140:BGD262141 AWH262140:AWH262141 AML262140:AML262141 ACP262140:ACP262141 ST262140:ST262141 IX262140:IX262141 WVJ196604:WVJ196605 WLN196604:WLN196605 WBR196604:WBR196605 VRV196604:VRV196605 VHZ196604:VHZ196605 UYD196604:UYD196605 UOH196604:UOH196605 UEL196604:UEL196605 TUP196604:TUP196605 TKT196604:TKT196605 TAX196604:TAX196605 SRB196604:SRB196605 SHF196604:SHF196605 RXJ196604:RXJ196605 RNN196604:RNN196605 RDR196604:RDR196605 QTV196604:QTV196605 QJZ196604:QJZ196605 QAD196604:QAD196605 PQH196604:PQH196605 PGL196604:PGL196605 OWP196604:OWP196605 OMT196604:OMT196605 OCX196604:OCX196605 NTB196604:NTB196605 NJF196604:NJF196605 MZJ196604:MZJ196605 MPN196604:MPN196605 MFR196604:MFR196605 LVV196604:LVV196605 LLZ196604:LLZ196605 LCD196604:LCD196605 KSH196604:KSH196605 KIL196604:KIL196605 JYP196604:JYP196605 JOT196604:JOT196605 JEX196604:JEX196605 IVB196604:IVB196605 ILF196604:ILF196605 IBJ196604:IBJ196605 HRN196604:HRN196605 HHR196604:HHR196605 GXV196604:GXV196605 GNZ196604:GNZ196605 GED196604:GED196605 FUH196604:FUH196605 FKL196604:FKL196605 FAP196604:FAP196605 EQT196604:EQT196605 EGX196604:EGX196605 DXB196604:DXB196605 DNF196604:DNF196605 DDJ196604:DDJ196605 CTN196604:CTN196605 CJR196604:CJR196605 BZV196604:BZV196605 BPZ196604:BPZ196605 BGD196604:BGD196605 AWH196604:AWH196605 AML196604:AML196605 ACP196604:ACP196605 ST196604:ST196605 IX196604:IX196605 WVJ131068:WVJ131069 WLN131068:WLN131069 WBR131068:WBR131069 VRV131068:VRV131069 VHZ131068:VHZ131069 UYD131068:UYD131069 UOH131068:UOH131069 UEL131068:UEL131069 TUP131068:TUP131069 TKT131068:TKT131069 TAX131068:TAX131069 SRB131068:SRB131069 SHF131068:SHF131069 RXJ131068:RXJ131069 RNN131068:RNN131069 RDR131068:RDR131069 QTV131068:QTV131069 QJZ131068:QJZ131069 QAD131068:QAD131069 PQH131068:PQH131069 PGL131068:PGL131069 OWP131068:OWP131069 OMT131068:OMT131069 OCX131068:OCX131069 NTB131068:NTB131069 NJF131068:NJF131069 MZJ131068:MZJ131069 MPN131068:MPN131069 MFR131068:MFR131069 LVV131068:LVV131069 LLZ131068:LLZ131069 LCD131068:LCD131069 KSH131068:KSH131069 KIL131068:KIL131069 JYP131068:JYP131069 JOT131068:JOT131069 JEX131068:JEX131069 IVB131068:IVB131069 ILF131068:ILF131069 IBJ131068:IBJ131069 HRN131068:HRN131069 HHR131068:HHR131069 GXV131068:GXV131069 GNZ131068:GNZ131069 GED131068:GED131069 FUH131068:FUH131069 FKL131068:FKL131069 FAP131068:FAP131069 EQT131068:EQT131069 EGX131068:EGX131069 DXB131068:DXB131069 DNF131068:DNF131069 DDJ131068:DDJ131069 CTN131068:CTN131069 CJR131068:CJR131069 BZV131068:BZV131069 BPZ131068:BPZ131069 BGD131068:BGD131069 AWH131068:AWH131069 AML131068:AML131069 ACP131068:ACP131069 ST131068:ST131069 IX131068:IX131069 WVJ65532:WVJ65533 WLN65532:WLN65533 WBR65532:WBR65533 VRV65532:VRV65533 VHZ65532:VHZ65533 UYD65532:UYD65533 UOH65532:UOH65533 UEL65532:UEL65533 TUP65532:TUP65533 TKT65532:TKT65533 TAX65532:TAX65533 SRB65532:SRB65533 SHF65532:SHF65533 RXJ65532:RXJ65533 RNN65532:RNN65533 RDR65532:RDR65533 QTV65532:QTV65533 QJZ65532:QJZ65533 QAD65532:QAD65533 PQH65532:PQH65533 PGL65532:PGL65533 OWP65532:OWP65533 OMT65532:OMT65533 OCX65532:OCX65533 NTB65532:NTB65533 NJF65532:NJF65533 MZJ65532:MZJ65533 MPN65532:MPN65533 MFR65532:MFR65533 LVV65532:LVV65533 LLZ65532:LLZ65533 LCD65532:LCD65533 KSH65532:KSH65533 KIL65532:KIL65533 JYP65532:JYP65533 JOT65532:JOT65533 JEX65532:JEX65533 IVB65532:IVB65533 ILF65532:ILF65533 IBJ65532:IBJ65533 HRN65532:HRN65533 HHR65532:HHR65533 GXV65532:GXV65533 GNZ65532:GNZ65533 GED65532:GED65533 FUH65532:FUH65533 FKL65532:FKL65533 FAP65532:FAP65533 EQT65532:EQT65533 EGX65532:EGX65533 DXB65532:DXB65533 DNF65532:DNF65533 DDJ65532:DDJ65533 CTN65532:CTN65533 CJR65532:CJR65533 BZV65532:BZV65533 BPZ65532:BPZ65533 BGD65532:BGD65533 AWH65532:AWH65533 AML65532:AML65533 ACP65532:ACP65533 ST65532:ST65533 IX65532:IX65533 G131068:G131069 G196604:G196605 G262140:G262141 G327676:G327677 G393212:G393213 G458748:G458749 G524284:G524285 G589820:G589821 G655356:G655357 G720892:G720893 G786428:G786429 G851964:G851965 G917500:G917501 G983036:G983037 G1048572:G1048573 G65532:G65533" xr:uid="{FB4E6B6E-2B34-4890-9315-87C48501358B}"/>
    <dataValidation allowBlank="1" showInputMessage="1" showErrorMessage="1" prompt="contribuição_x000a_extra" sqref="WVI1048572:WVI1048573 WLM1048572:WLM1048573 WBQ1048572:WBQ1048573 VRU1048572:VRU1048573 VHY1048572:VHY1048573 UYC1048572:UYC1048573 UOG1048572:UOG1048573 UEK1048572:UEK1048573 TUO1048572:TUO1048573 TKS1048572:TKS1048573 TAW1048572:TAW1048573 SRA1048572:SRA1048573 SHE1048572:SHE1048573 RXI1048572:RXI1048573 RNM1048572:RNM1048573 RDQ1048572:RDQ1048573 QTU1048572:QTU1048573 QJY1048572:QJY1048573 QAC1048572:QAC1048573 PQG1048572:PQG1048573 PGK1048572:PGK1048573 OWO1048572:OWO1048573 OMS1048572:OMS1048573 OCW1048572:OCW1048573 NTA1048572:NTA1048573 NJE1048572:NJE1048573 MZI1048572:MZI1048573 MPM1048572:MPM1048573 MFQ1048572:MFQ1048573 LVU1048572:LVU1048573 LLY1048572:LLY1048573 LCC1048572:LCC1048573 KSG1048572:KSG1048573 KIK1048572:KIK1048573 JYO1048572:JYO1048573 JOS1048572:JOS1048573 JEW1048572:JEW1048573 IVA1048572:IVA1048573 ILE1048572:ILE1048573 IBI1048572:IBI1048573 HRM1048572:HRM1048573 HHQ1048572:HHQ1048573 GXU1048572:GXU1048573 GNY1048572:GNY1048573 GEC1048572:GEC1048573 FUG1048572:FUG1048573 FKK1048572:FKK1048573 FAO1048572:FAO1048573 EQS1048572:EQS1048573 EGW1048572:EGW1048573 DXA1048572:DXA1048573 DNE1048572:DNE1048573 DDI1048572:DDI1048573 CTM1048572:CTM1048573 CJQ1048572:CJQ1048573 BZU1048572:BZU1048573 BPY1048572:BPY1048573 BGC1048572:BGC1048573 AWG1048572:AWG1048573 AMK1048572:AMK1048573 ACO1048572:ACO1048573 SS1048572:SS1048573 IW1048572:IW1048573 WVI983036:WVI983037 WLM983036:WLM983037 WBQ983036:WBQ983037 VRU983036:VRU983037 VHY983036:VHY983037 UYC983036:UYC983037 UOG983036:UOG983037 UEK983036:UEK983037 TUO983036:TUO983037 TKS983036:TKS983037 TAW983036:TAW983037 SRA983036:SRA983037 SHE983036:SHE983037 RXI983036:RXI983037 RNM983036:RNM983037 RDQ983036:RDQ983037 QTU983036:QTU983037 QJY983036:QJY983037 QAC983036:QAC983037 PQG983036:PQG983037 PGK983036:PGK983037 OWO983036:OWO983037 OMS983036:OMS983037 OCW983036:OCW983037 NTA983036:NTA983037 NJE983036:NJE983037 MZI983036:MZI983037 MPM983036:MPM983037 MFQ983036:MFQ983037 LVU983036:LVU983037 LLY983036:LLY983037 LCC983036:LCC983037 KSG983036:KSG983037 KIK983036:KIK983037 JYO983036:JYO983037 JOS983036:JOS983037 JEW983036:JEW983037 IVA983036:IVA983037 ILE983036:ILE983037 IBI983036:IBI983037 HRM983036:HRM983037 HHQ983036:HHQ983037 GXU983036:GXU983037 GNY983036:GNY983037 GEC983036:GEC983037 FUG983036:FUG983037 FKK983036:FKK983037 FAO983036:FAO983037 EQS983036:EQS983037 EGW983036:EGW983037 DXA983036:DXA983037 DNE983036:DNE983037 DDI983036:DDI983037 CTM983036:CTM983037 CJQ983036:CJQ983037 BZU983036:BZU983037 BPY983036:BPY983037 BGC983036:BGC983037 AWG983036:AWG983037 AMK983036:AMK983037 ACO983036:ACO983037 SS983036:SS983037 IW983036:IW983037 WVI917500:WVI917501 WLM917500:WLM917501 WBQ917500:WBQ917501 VRU917500:VRU917501 VHY917500:VHY917501 UYC917500:UYC917501 UOG917500:UOG917501 UEK917500:UEK917501 TUO917500:TUO917501 TKS917500:TKS917501 TAW917500:TAW917501 SRA917500:SRA917501 SHE917500:SHE917501 RXI917500:RXI917501 RNM917500:RNM917501 RDQ917500:RDQ917501 QTU917500:QTU917501 QJY917500:QJY917501 QAC917500:QAC917501 PQG917500:PQG917501 PGK917500:PGK917501 OWO917500:OWO917501 OMS917500:OMS917501 OCW917500:OCW917501 NTA917500:NTA917501 NJE917500:NJE917501 MZI917500:MZI917501 MPM917500:MPM917501 MFQ917500:MFQ917501 LVU917500:LVU917501 LLY917500:LLY917501 LCC917500:LCC917501 KSG917500:KSG917501 KIK917500:KIK917501 JYO917500:JYO917501 JOS917500:JOS917501 JEW917500:JEW917501 IVA917500:IVA917501 ILE917500:ILE917501 IBI917500:IBI917501 HRM917500:HRM917501 HHQ917500:HHQ917501 GXU917500:GXU917501 GNY917500:GNY917501 GEC917500:GEC917501 FUG917500:FUG917501 FKK917500:FKK917501 FAO917500:FAO917501 EQS917500:EQS917501 EGW917500:EGW917501 DXA917500:DXA917501 DNE917500:DNE917501 DDI917500:DDI917501 CTM917500:CTM917501 CJQ917500:CJQ917501 BZU917500:BZU917501 BPY917500:BPY917501 BGC917500:BGC917501 AWG917500:AWG917501 AMK917500:AMK917501 ACO917500:ACO917501 SS917500:SS917501 IW917500:IW917501 WVI851964:WVI851965 WLM851964:WLM851965 WBQ851964:WBQ851965 VRU851964:VRU851965 VHY851964:VHY851965 UYC851964:UYC851965 UOG851964:UOG851965 UEK851964:UEK851965 TUO851964:TUO851965 TKS851964:TKS851965 TAW851964:TAW851965 SRA851964:SRA851965 SHE851964:SHE851965 RXI851964:RXI851965 RNM851964:RNM851965 RDQ851964:RDQ851965 QTU851964:QTU851965 QJY851964:QJY851965 QAC851964:QAC851965 PQG851964:PQG851965 PGK851964:PGK851965 OWO851964:OWO851965 OMS851964:OMS851965 OCW851964:OCW851965 NTA851964:NTA851965 NJE851964:NJE851965 MZI851964:MZI851965 MPM851964:MPM851965 MFQ851964:MFQ851965 LVU851964:LVU851965 LLY851964:LLY851965 LCC851964:LCC851965 KSG851964:KSG851965 KIK851964:KIK851965 JYO851964:JYO851965 JOS851964:JOS851965 JEW851964:JEW851965 IVA851964:IVA851965 ILE851964:ILE851965 IBI851964:IBI851965 HRM851964:HRM851965 HHQ851964:HHQ851965 GXU851964:GXU851965 GNY851964:GNY851965 GEC851964:GEC851965 FUG851964:FUG851965 FKK851964:FKK851965 FAO851964:FAO851965 EQS851964:EQS851965 EGW851964:EGW851965 DXA851964:DXA851965 DNE851964:DNE851965 DDI851964:DDI851965 CTM851964:CTM851965 CJQ851964:CJQ851965 BZU851964:BZU851965 BPY851964:BPY851965 BGC851964:BGC851965 AWG851964:AWG851965 AMK851964:AMK851965 ACO851964:ACO851965 SS851964:SS851965 IW851964:IW851965 WVI786428:WVI786429 WLM786428:WLM786429 WBQ786428:WBQ786429 VRU786428:VRU786429 VHY786428:VHY786429 UYC786428:UYC786429 UOG786428:UOG786429 UEK786428:UEK786429 TUO786428:TUO786429 TKS786428:TKS786429 TAW786428:TAW786429 SRA786428:SRA786429 SHE786428:SHE786429 RXI786428:RXI786429 RNM786428:RNM786429 RDQ786428:RDQ786429 QTU786428:QTU786429 QJY786428:QJY786429 QAC786428:QAC786429 PQG786428:PQG786429 PGK786428:PGK786429 OWO786428:OWO786429 OMS786428:OMS786429 OCW786428:OCW786429 NTA786428:NTA786429 NJE786428:NJE786429 MZI786428:MZI786429 MPM786428:MPM786429 MFQ786428:MFQ786429 LVU786428:LVU786429 LLY786428:LLY786429 LCC786428:LCC786429 KSG786428:KSG786429 KIK786428:KIK786429 JYO786428:JYO786429 JOS786428:JOS786429 JEW786428:JEW786429 IVA786428:IVA786429 ILE786428:ILE786429 IBI786428:IBI786429 HRM786428:HRM786429 HHQ786428:HHQ786429 GXU786428:GXU786429 GNY786428:GNY786429 GEC786428:GEC786429 FUG786428:FUG786429 FKK786428:FKK786429 FAO786428:FAO786429 EQS786428:EQS786429 EGW786428:EGW786429 DXA786428:DXA786429 DNE786428:DNE786429 DDI786428:DDI786429 CTM786428:CTM786429 CJQ786428:CJQ786429 BZU786428:BZU786429 BPY786428:BPY786429 BGC786428:BGC786429 AWG786428:AWG786429 AMK786428:AMK786429 ACO786428:ACO786429 SS786428:SS786429 IW786428:IW786429 WVI720892:WVI720893 WLM720892:WLM720893 WBQ720892:WBQ720893 VRU720892:VRU720893 VHY720892:VHY720893 UYC720892:UYC720893 UOG720892:UOG720893 UEK720892:UEK720893 TUO720892:TUO720893 TKS720892:TKS720893 TAW720892:TAW720893 SRA720892:SRA720893 SHE720892:SHE720893 RXI720892:RXI720893 RNM720892:RNM720893 RDQ720892:RDQ720893 QTU720892:QTU720893 QJY720892:QJY720893 QAC720892:QAC720893 PQG720892:PQG720893 PGK720892:PGK720893 OWO720892:OWO720893 OMS720892:OMS720893 OCW720892:OCW720893 NTA720892:NTA720893 NJE720892:NJE720893 MZI720892:MZI720893 MPM720892:MPM720893 MFQ720892:MFQ720893 LVU720892:LVU720893 LLY720892:LLY720893 LCC720892:LCC720893 KSG720892:KSG720893 KIK720892:KIK720893 JYO720892:JYO720893 JOS720892:JOS720893 JEW720892:JEW720893 IVA720892:IVA720893 ILE720892:ILE720893 IBI720892:IBI720893 HRM720892:HRM720893 HHQ720892:HHQ720893 GXU720892:GXU720893 GNY720892:GNY720893 GEC720892:GEC720893 FUG720892:FUG720893 FKK720892:FKK720893 FAO720892:FAO720893 EQS720892:EQS720893 EGW720892:EGW720893 DXA720892:DXA720893 DNE720892:DNE720893 DDI720892:DDI720893 CTM720892:CTM720893 CJQ720892:CJQ720893 BZU720892:BZU720893 BPY720892:BPY720893 BGC720892:BGC720893 AWG720892:AWG720893 AMK720892:AMK720893 ACO720892:ACO720893 SS720892:SS720893 IW720892:IW720893 WVI655356:WVI655357 WLM655356:WLM655357 WBQ655356:WBQ655357 VRU655356:VRU655357 VHY655356:VHY655357 UYC655356:UYC655357 UOG655356:UOG655357 UEK655356:UEK655357 TUO655356:TUO655357 TKS655356:TKS655357 TAW655356:TAW655357 SRA655356:SRA655357 SHE655356:SHE655357 RXI655356:RXI655357 RNM655356:RNM655357 RDQ655356:RDQ655357 QTU655356:QTU655357 QJY655356:QJY655357 QAC655356:QAC655357 PQG655356:PQG655357 PGK655356:PGK655357 OWO655356:OWO655357 OMS655356:OMS655357 OCW655356:OCW655357 NTA655356:NTA655357 NJE655356:NJE655357 MZI655356:MZI655357 MPM655356:MPM655357 MFQ655356:MFQ655357 LVU655356:LVU655357 LLY655356:LLY655357 LCC655356:LCC655357 KSG655356:KSG655357 KIK655356:KIK655357 JYO655356:JYO655357 JOS655356:JOS655357 JEW655356:JEW655357 IVA655356:IVA655357 ILE655356:ILE655357 IBI655356:IBI655357 HRM655356:HRM655357 HHQ655356:HHQ655357 GXU655356:GXU655357 GNY655356:GNY655357 GEC655356:GEC655357 FUG655356:FUG655357 FKK655356:FKK655357 FAO655356:FAO655357 EQS655356:EQS655357 EGW655356:EGW655357 DXA655356:DXA655357 DNE655356:DNE655357 DDI655356:DDI655357 CTM655356:CTM655357 CJQ655356:CJQ655357 BZU655356:BZU655357 BPY655356:BPY655357 BGC655356:BGC655357 AWG655356:AWG655357 AMK655356:AMK655357 ACO655356:ACO655357 SS655356:SS655357 IW655356:IW655357 WVI589820:WVI589821 WLM589820:WLM589821 WBQ589820:WBQ589821 VRU589820:VRU589821 VHY589820:VHY589821 UYC589820:UYC589821 UOG589820:UOG589821 UEK589820:UEK589821 TUO589820:TUO589821 TKS589820:TKS589821 TAW589820:TAW589821 SRA589820:SRA589821 SHE589820:SHE589821 RXI589820:RXI589821 RNM589820:RNM589821 RDQ589820:RDQ589821 QTU589820:QTU589821 QJY589820:QJY589821 QAC589820:QAC589821 PQG589820:PQG589821 PGK589820:PGK589821 OWO589820:OWO589821 OMS589820:OMS589821 OCW589820:OCW589821 NTA589820:NTA589821 NJE589820:NJE589821 MZI589820:MZI589821 MPM589820:MPM589821 MFQ589820:MFQ589821 LVU589820:LVU589821 LLY589820:LLY589821 LCC589820:LCC589821 KSG589820:KSG589821 KIK589820:KIK589821 JYO589820:JYO589821 JOS589820:JOS589821 JEW589820:JEW589821 IVA589820:IVA589821 ILE589820:ILE589821 IBI589820:IBI589821 HRM589820:HRM589821 HHQ589820:HHQ589821 GXU589820:GXU589821 GNY589820:GNY589821 GEC589820:GEC589821 FUG589820:FUG589821 FKK589820:FKK589821 FAO589820:FAO589821 EQS589820:EQS589821 EGW589820:EGW589821 DXA589820:DXA589821 DNE589820:DNE589821 DDI589820:DDI589821 CTM589820:CTM589821 CJQ589820:CJQ589821 BZU589820:BZU589821 BPY589820:BPY589821 BGC589820:BGC589821 AWG589820:AWG589821 AMK589820:AMK589821 ACO589820:ACO589821 SS589820:SS589821 IW589820:IW589821 WVI524284:WVI524285 WLM524284:WLM524285 WBQ524284:WBQ524285 VRU524284:VRU524285 VHY524284:VHY524285 UYC524284:UYC524285 UOG524284:UOG524285 UEK524284:UEK524285 TUO524284:TUO524285 TKS524284:TKS524285 TAW524284:TAW524285 SRA524284:SRA524285 SHE524284:SHE524285 RXI524284:RXI524285 RNM524284:RNM524285 RDQ524284:RDQ524285 QTU524284:QTU524285 QJY524284:QJY524285 QAC524284:QAC524285 PQG524284:PQG524285 PGK524284:PGK524285 OWO524284:OWO524285 OMS524284:OMS524285 OCW524284:OCW524285 NTA524284:NTA524285 NJE524284:NJE524285 MZI524284:MZI524285 MPM524284:MPM524285 MFQ524284:MFQ524285 LVU524284:LVU524285 LLY524284:LLY524285 LCC524284:LCC524285 KSG524284:KSG524285 KIK524284:KIK524285 JYO524284:JYO524285 JOS524284:JOS524285 JEW524284:JEW524285 IVA524284:IVA524285 ILE524284:ILE524285 IBI524284:IBI524285 HRM524284:HRM524285 HHQ524284:HHQ524285 GXU524284:GXU524285 GNY524284:GNY524285 GEC524284:GEC524285 FUG524284:FUG524285 FKK524284:FKK524285 FAO524284:FAO524285 EQS524284:EQS524285 EGW524284:EGW524285 DXA524284:DXA524285 DNE524284:DNE524285 DDI524284:DDI524285 CTM524284:CTM524285 CJQ524284:CJQ524285 BZU524284:BZU524285 BPY524284:BPY524285 BGC524284:BGC524285 AWG524284:AWG524285 AMK524284:AMK524285 ACO524284:ACO524285 SS524284:SS524285 IW524284:IW524285 WVI458748:WVI458749 WLM458748:WLM458749 WBQ458748:WBQ458749 VRU458748:VRU458749 VHY458748:VHY458749 UYC458748:UYC458749 UOG458748:UOG458749 UEK458748:UEK458749 TUO458748:TUO458749 TKS458748:TKS458749 TAW458748:TAW458749 SRA458748:SRA458749 SHE458748:SHE458749 RXI458748:RXI458749 RNM458748:RNM458749 RDQ458748:RDQ458749 QTU458748:QTU458749 QJY458748:QJY458749 QAC458748:QAC458749 PQG458748:PQG458749 PGK458748:PGK458749 OWO458748:OWO458749 OMS458748:OMS458749 OCW458748:OCW458749 NTA458748:NTA458749 NJE458748:NJE458749 MZI458748:MZI458749 MPM458748:MPM458749 MFQ458748:MFQ458749 LVU458748:LVU458749 LLY458748:LLY458749 LCC458748:LCC458749 KSG458748:KSG458749 KIK458748:KIK458749 JYO458748:JYO458749 JOS458748:JOS458749 JEW458748:JEW458749 IVA458748:IVA458749 ILE458748:ILE458749 IBI458748:IBI458749 HRM458748:HRM458749 HHQ458748:HHQ458749 GXU458748:GXU458749 GNY458748:GNY458749 GEC458748:GEC458749 FUG458748:FUG458749 FKK458748:FKK458749 FAO458748:FAO458749 EQS458748:EQS458749 EGW458748:EGW458749 DXA458748:DXA458749 DNE458748:DNE458749 DDI458748:DDI458749 CTM458748:CTM458749 CJQ458748:CJQ458749 BZU458748:BZU458749 BPY458748:BPY458749 BGC458748:BGC458749 AWG458748:AWG458749 AMK458748:AMK458749 ACO458748:ACO458749 SS458748:SS458749 IW458748:IW458749 WVI393212:WVI393213 WLM393212:WLM393213 WBQ393212:WBQ393213 VRU393212:VRU393213 VHY393212:VHY393213 UYC393212:UYC393213 UOG393212:UOG393213 UEK393212:UEK393213 TUO393212:TUO393213 TKS393212:TKS393213 TAW393212:TAW393213 SRA393212:SRA393213 SHE393212:SHE393213 RXI393212:RXI393213 RNM393212:RNM393213 RDQ393212:RDQ393213 QTU393212:QTU393213 QJY393212:QJY393213 QAC393212:QAC393213 PQG393212:PQG393213 PGK393212:PGK393213 OWO393212:OWO393213 OMS393212:OMS393213 OCW393212:OCW393213 NTA393212:NTA393213 NJE393212:NJE393213 MZI393212:MZI393213 MPM393212:MPM393213 MFQ393212:MFQ393213 LVU393212:LVU393213 LLY393212:LLY393213 LCC393212:LCC393213 KSG393212:KSG393213 KIK393212:KIK393213 JYO393212:JYO393213 JOS393212:JOS393213 JEW393212:JEW393213 IVA393212:IVA393213 ILE393212:ILE393213 IBI393212:IBI393213 HRM393212:HRM393213 HHQ393212:HHQ393213 GXU393212:GXU393213 GNY393212:GNY393213 GEC393212:GEC393213 FUG393212:FUG393213 FKK393212:FKK393213 FAO393212:FAO393213 EQS393212:EQS393213 EGW393212:EGW393213 DXA393212:DXA393213 DNE393212:DNE393213 DDI393212:DDI393213 CTM393212:CTM393213 CJQ393212:CJQ393213 BZU393212:BZU393213 BPY393212:BPY393213 BGC393212:BGC393213 AWG393212:AWG393213 AMK393212:AMK393213 ACO393212:ACO393213 SS393212:SS393213 IW393212:IW393213 WVI327676:WVI327677 WLM327676:WLM327677 WBQ327676:WBQ327677 VRU327676:VRU327677 VHY327676:VHY327677 UYC327676:UYC327677 UOG327676:UOG327677 UEK327676:UEK327677 TUO327676:TUO327677 TKS327676:TKS327677 TAW327676:TAW327677 SRA327676:SRA327677 SHE327676:SHE327677 RXI327676:RXI327677 RNM327676:RNM327677 RDQ327676:RDQ327677 QTU327676:QTU327677 QJY327676:QJY327677 QAC327676:QAC327677 PQG327676:PQG327677 PGK327676:PGK327677 OWO327676:OWO327677 OMS327676:OMS327677 OCW327676:OCW327677 NTA327676:NTA327677 NJE327676:NJE327677 MZI327676:MZI327677 MPM327676:MPM327677 MFQ327676:MFQ327677 LVU327676:LVU327677 LLY327676:LLY327677 LCC327676:LCC327677 KSG327676:KSG327677 KIK327676:KIK327677 JYO327676:JYO327677 JOS327676:JOS327677 JEW327676:JEW327677 IVA327676:IVA327677 ILE327676:ILE327677 IBI327676:IBI327677 HRM327676:HRM327677 HHQ327676:HHQ327677 GXU327676:GXU327677 GNY327676:GNY327677 GEC327676:GEC327677 FUG327676:FUG327677 FKK327676:FKK327677 FAO327676:FAO327677 EQS327676:EQS327677 EGW327676:EGW327677 DXA327676:DXA327677 DNE327676:DNE327677 DDI327676:DDI327677 CTM327676:CTM327677 CJQ327676:CJQ327677 BZU327676:BZU327677 BPY327676:BPY327677 BGC327676:BGC327677 AWG327676:AWG327677 AMK327676:AMK327677 ACO327676:ACO327677 SS327676:SS327677 IW327676:IW327677 WVI262140:WVI262141 WLM262140:WLM262141 WBQ262140:WBQ262141 VRU262140:VRU262141 VHY262140:VHY262141 UYC262140:UYC262141 UOG262140:UOG262141 UEK262140:UEK262141 TUO262140:TUO262141 TKS262140:TKS262141 TAW262140:TAW262141 SRA262140:SRA262141 SHE262140:SHE262141 RXI262140:RXI262141 RNM262140:RNM262141 RDQ262140:RDQ262141 QTU262140:QTU262141 QJY262140:QJY262141 QAC262140:QAC262141 PQG262140:PQG262141 PGK262140:PGK262141 OWO262140:OWO262141 OMS262140:OMS262141 OCW262140:OCW262141 NTA262140:NTA262141 NJE262140:NJE262141 MZI262140:MZI262141 MPM262140:MPM262141 MFQ262140:MFQ262141 LVU262140:LVU262141 LLY262140:LLY262141 LCC262140:LCC262141 KSG262140:KSG262141 KIK262140:KIK262141 JYO262140:JYO262141 JOS262140:JOS262141 JEW262140:JEW262141 IVA262140:IVA262141 ILE262140:ILE262141 IBI262140:IBI262141 HRM262140:HRM262141 HHQ262140:HHQ262141 GXU262140:GXU262141 GNY262140:GNY262141 GEC262140:GEC262141 FUG262140:FUG262141 FKK262140:FKK262141 FAO262140:FAO262141 EQS262140:EQS262141 EGW262140:EGW262141 DXA262140:DXA262141 DNE262140:DNE262141 DDI262140:DDI262141 CTM262140:CTM262141 CJQ262140:CJQ262141 BZU262140:BZU262141 BPY262140:BPY262141 BGC262140:BGC262141 AWG262140:AWG262141 AMK262140:AMK262141 ACO262140:ACO262141 SS262140:SS262141 IW262140:IW262141 WVI196604:WVI196605 WLM196604:WLM196605 WBQ196604:WBQ196605 VRU196604:VRU196605 VHY196604:VHY196605 UYC196604:UYC196605 UOG196604:UOG196605 UEK196604:UEK196605 TUO196604:TUO196605 TKS196604:TKS196605 TAW196604:TAW196605 SRA196604:SRA196605 SHE196604:SHE196605 RXI196604:RXI196605 RNM196604:RNM196605 RDQ196604:RDQ196605 QTU196604:QTU196605 QJY196604:QJY196605 QAC196604:QAC196605 PQG196604:PQG196605 PGK196604:PGK196605 OWO196604:OWO196605 OMS196604:OMS196605 OCW196604:OCW196605 NTA196604:NTA196605 NJE196604:NJE196605 MZI196604:MZI196605 MPM196604:MPM196605 MFQ196604:MFQ196605 LVU196604:LVU196605 LLY196604:LLY196605 LCC196604:LCC196605 KSG196604:KSG196605 KIK196604:KIK196605 JYO196604:JYO196605 JOS196604:JOS196605 JEW196604:JEW196605 IVA196604:IVA196605 ILE196604:ILE196605 IBI196604:IBI196605 HRM196604:HRM196605 HHQ196604:HHQ196605 GXU196604:GXU196605 GNY196604:GNY196605 GEC196604:GEC196605 FUG196604:FUG196605 FKK196604:FKK196605 FAO196604:FAO196605 EQS196604:EQS196605 EGW196604:EGW196605 DXA196604:DXA196605 DNE196604:DNE196605 DDI196604:DDI196605 CTM196604:CTM196605 CJQ196604:CJQ196605 BZU196604:BZU196605 BPY196604:BPY196605 BGC196604:BGC196605 AWG196604:AWG196605 AMK196604:AMK196605 ACO196604:ACO196605 SS196604:SS196605 IW196604:IW196605 WVI131068:WVI131069 WLM131068:WLM131069 WBQ131068:WBQ131069 VRU131068:VRU131069 VHY131068:VHY131069 UYC131068:UYC131069 UOG131068:UOG131069 UEK131068:UEK131069 TUO131068:TUO131069 TKS131068:TKS131069 TAW131068:TAW131069 SRA131068:SRA131069 SHE131068:SHE131069 RXI131068:RXI131069 RNM131068:RNM131069 RDQ131068:RDQ131069 QTU131068:QTU131069 QJY131068:QJY131069 QAC131068:QAC131069 PQG131068:PQG131069 PGK131068:PGK131069 OWO131068:OWO131069 OMS131068:OMS131069 OCW131068:OCW131069 NTA131068:NTA131069 NJE131068:NJE131069 MZI131068:MZI131069 MPM131068:MPM131069 MFQ131068:MFQ131069 LVU131068:LVU131069 LLY131068:LLY131069 LCC131068:LCC131069 KSG131068:KSG131069 KIK131068:KIK131069 JYO131068:JYO131069 JOS131068:JOS131069 JEW131068:JEW131069 IVA131068:IVA131069 ILE131068:ILE131069 IBI131068:IBI131069 HRM131068:HRM131069 HHQ131068:HHQ131069 GXU131068:GXU131069 GNY131068:GNY131069 GEC131068:GEC131069 FUG131068:FUG131069 FKK131068:FKK131069 FAO131068:FAO131069 EQS131068:EQS131069 EGW131068:EGW131069 DXA131068:DXA131069 DNE131068:DNE131069 DDI131068:DDI131069 CTM131068:CTM131069 CJQ131068:CJQ131069 BZU131068:BZU131069 BPY131068:BPY131069 BGC131068:BGC131069 AWG131068:AWG131069 AMK131068:AMK131069 ACO131068:ACO131069 SS131068:SS131069 IW131068:IW131069 WVI65532:WVI65533 WLM65532:WLM65533 WBQ65532:WBQ65533 VRU65532:VRU65533 VHY65532:VHY65533 UYC65532:UYC65533 UOG65532:UOG65533 UEK65532:UEK65533 TUO65532:TUO65533 TKS65532:TKS65533 TAW65532:TAW65533 SRA65532:SRA65533 SHE65532:SHE65533 RXI65532:RXI65533 RNM65532:RNM65533 RDQ65532:RDQ65533 QTU65532:QTU65533 QJY65532:QJY65533 QAC65532:QAC65533 PQG65532:PQG65533 PGK65532:PGK65533 OWO65532:OWO65533 OMS65532:OMS65533 OCW65532:OCW65533 NTA65532:NTA65533 NJE65532:NJE65533 MZI65532:MZI65533 MPM65532:MPM65533 MFQ65532:MFQ65533 LVU65532:LVU65533 LLY65532:LLY65533 LCC65532:LCC65533 KSG65532:KSG65533 KIK65532:KIK65533 JYO65532:JYO65533 JOS65532:JOS65533 JEW65532:JEW65533 IVA65532:IVA65533 ILE65532:ILE65533 IBI65532:IBI65533 HRM65532:HRM65533 HHQ65532:HHQ65533 GXU65532:GXU65533 GNY65532:GNY65533 GEC65532:GEC65533 FUG65532:FUG65533 FKK65532:FKK65533 FAO65532:FAO65533 EQS65532:EQS65533 EGW65532:EGW65533 DXA65532:DXA65533 DNE65532:DNE65533 DDI65532:DDI65533 CTM65532:CTM65533 CJQ65532:CJQ65533 BZU65532:BZU65533 BPY65532:BPY65533 BGC65532:BGC65533 AWG65532:AWG65533 AMK65532:AMK65533 ACO65532:ACO65533 SS65532:SS65533 IW65532:IW65533 F131068:F131069 F196604:F196605 F262140:F262141 F327676:F327677 F393212:F393213 F458748:F458749 F524284:F524285 F589820:F589821 F655356:F655357 F720892:F720893 F786428:F786429 F851964:F851965 F917500:F917501 F983036:F983037 F1048572:F1048573 F65532:F65533" xr:uid="{A7FB9B17-0936-4C2B-B4E9-558D8534E604}"/>
  </dataValidations>
  <pageMargins left="0.39370078740157477" right="0.59055118110236215" top="0.39370078740157477" bottom="0.59055118110236215" header="0.31496062000000002" footer="0.31496062000000002"/>
  <pageSetup paperSize="9" orientation="portrait" r:id="rId1"/>
  <headerFooter>
    <oddFooter>&amp;C&amp;8Página &amp;P/&amp;N</oddFooter>
  </headerFooter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C5E8F-36E6-488F-979D-3D3036ADD2C5}">
  <sheetPr codeName="Planilha17"/>
  <dimension ref="A1:BA76"/>
  <sheetViews>
    <sheetView showZeros="0" zoomScaleNormal="100" workbookViewId="0"/>
  </sheetViews>
  <sheetFormatPr defaultColWidth="10" defaultRowHeight="15" customHeight="1"/>
  <cols>
    <col min="1" max="1" width="6.75" style="2300" customWidth="1"/>
    <col min="2" max="12" width="10.5" style="2300" customWidth="1"/>
    <col min="13" max="15" width="10" style="2300"/>
    <col min="16" max="16" width="10.375" style="2300" customWidth="1"/>
    <col min="17" max="17" width="11.875" style="2300" customWidth="1"/>
    <col min="18" max="251" width="10" style="2300"/>
    <col min="252" max="252" width="6.75" style="2300" customWidth="1"/>
    <col min="253" max="263" width="10.5" style="2300" customWidth="1"/>
    <col min="264" max="267" width="10" style="2300"/>
    <col min="268" max="268" width="10.75" style="2300" bestFit="1" customWidth="1"/>
    <col min="269" max="507" width="10" style="2300"/>
    <col min="508" max="508" width="6.75" style="2300" customWidth="1"/>
    <col min="509" max="519" width="10.5" style="2300" customWidth="1"/>
    <col min="520" max="523" width="10" style="2300"/>
    <col min="524" max="524" width="10.75" style="2300" bestFit="1" customWidth="1"/>
    <col min="525" max="763" width="10" style="2300"/>
    <col min="764" max="764" width="6.75" style="2300" customWidth="1"/>
    <col min="765" max="775" width="10.5" style="2300" customWidth="1"/>
    <col min="776" max="779" width="10" style="2300"/>
    <col min="780" max="780" width="10.75" style="2300" bestFit="1" customWidth="1"/>
    <col min="781" max="1019" width="10" style="2300"/>
    <col min="1020" max="1020" width="6.75" style="2300" customWidth="1"/>
    <col min="1021" max="1031" width="10.5" style="2300" customWidth="1"/>
    <col min="1032" max="1035" width="10" style="2300"/>
    <col min="1036" max="1036" width="10.75" style="2300" bestFit="1" customWidth="1"/>
    <col min="1037" max="1275" width="10" style="2300"/>
    <col min="1276" max="1276" width="6.75" style="2300" customWidth="1"/>
    <col min="1277" max="1287" width="10.5" style="2300" customWidth="1"/>
    <col min="1288" max="1291" width="10" style="2300"/>
    <col min="1292" max="1292" width="10.75" style="2300" bestFit="1" customWidth="1"/>
    <col min="1293" max="1531" width="10" style="2300"/>
    <col min="1532" max="1532" width="6.75" style="2300" customWidth="1"/>
    <col min="1533" max="1543" width="10.5" style="2300" customWidth="1"/>
    <col min="1544" max="1547" width="10" style="2300"/>
    <col min="1548" max="1548" width="10.75" style="2300" bestFit="1" customWidth="1"/>
    <col min="1549" max="1787" width="10" style="2300"/>
    <col min="1788" max="1788" width="6.75" style="2300" customWidth="1"/>
    <col min="1789" max="1799" width="10.5" style="2300" customWidth="1"/>
    <col min="1800" max="1803" width="10" style="2300"/>
    <col min="1804" max="1804" width="10.75" style="2300" bestFit="1" customWidth="1"/>
    <col min="1805" max="2043" width="10" style="2300"/>
    <col min="2044" max="2044" width="6.75" style="2300" customWidth="1"/>
    <col min="2045" max="2055" width="10.5" style="2300" customWidth="1"/>
    <col min="2056" max="2059" width="10" style="2300"/>
    <col min="2060" max="2060" width="10.75" style="2300" bestFit="1" customWidth="1"/>
    <col min="2061" max="2299" width="10" style="2300"/>
    <col min="2300" max="2300" width="6.75" style="2300" customWidth="1"/>
    <col min="2301" max="2311" width="10.5" style="2300" customWidth="1"/>
    <col min="2312" max="2315" width="10" style="2300"/>
    <col min="2316" max="2316" width="10.75" style="2300" bestFit="1" customWidth="1"/>
    <col min="2317" max="2555" width="10" style="2300"/>
    <col min="2556" max="2556" width="6.75" style="2300" customWidth="1"/>
    <col min="2557" max="2567" width="10.5" style="2300" customWidth="1"/>
    <col min="2568" max="2571" width="10" style="2300"/>
    <col min="2572" max="2572" width="10.75" style="2300" bestFit="1" customWidth="1"/>
    <col min="2573" max="2811" width="10" style="2300"/>
    <col min="2812" max="2812" width="6.75" style="2300" customWidth="1"/>
    <col min="2813" max="2823" width="10.5" style="2300" customWidth="1"/>
    <col min="2824" max="2827" width="10" style="2300"/>
    <col min="2828" max="2828" width="10.75" style="2300" bestFit="1" customWidth="1"/>
    <col min="2829" max="3067" width="10" style="2300"/>
    <col min="3068" max="3068" width="6.75" style="2300" customWidth="1"/>
    <col min="3069" max="3079" width="10.5" style="2300" customWidth="1"/>
    <col min="3080" max="3083" width="10" style="2300"/>
    <col min="3084" max="3084" width="10.75" style="2300" bestFit="1" customWidth="1"/>
    <col min="3085" max="3323" width="10" style="2300"/>
    <col min="3324" max="3324" width="6.75" style="2300" customWidth="1"/>
    <col min="3325" max="3335" width="10.5" style="2300" customWidth="1"/>
    <col min="3336" max="3339" width="10" style="2300"/>
    <col min="3340" max="3340" width="10.75" style="2300" bestFit="1" customWidth="1"/>
    <col min="3341" max="3579" width="10" style="2300"/>
    <col min="3580" max="3580" width="6.75" style="2300" customWidth="1"/>
    <col min="3581" max="3591" width="10.5" style="2300" customWidth="1"/>
    <col min="3592" max="3595" width="10" style="2300"/>
    <col min="3596" max="3596" width="10.75" style="2300" bestFit="1" customWidth="1"/>
    <col min="3597" max="3835" width="10" style="2300"/>
    <col min="3836" max="3836" width="6.75" style="2300" customWidth="1"/>
    <col min="3837" max="3847" width="10.5" style="2300" customWidth="1"/>
    <col min="3848" max="3851" width="10" style="2300"/>
    <col min="3852" max="3852" width="10.75" style="2300" bestFit="1" customWidth="1"/>
    <col min="3853" max="4091" width="10" style="2300"/>
    <col min="4092" max="4092" width="6.75" style="2300" customWidth="1"/>
    <col min="4093" max="4103" width="10.5" style="2300" customWidth="1"/>
    <col min="4104" max="4107" width="10" style="2300"/>
    <col min="4108" max="4108" width="10.75" style="2300" bestFit="1" customWidth="1"/>
    <col min="4109" max="4347" width="10" style="2300"/>
    <col min="4348" max="4348" width="6.75" style="2300" customWidth="1"/>
    <col min="4349" max="4359" width="10.5" style="2300" customWidth="1"/>
    <col min="4360" max="4363" width="10" style="2300"/>
    <col min="4364" max="4364" width="10.75" style="2300" bestFit="1" customWidth="1"/>
    <col min="4365" max="4603" width="10" style="2300"/>
    <col min="4604" max="4604" width="6.75" style="2300" customWidth="1"/>
    <col min="4605" max="4615" width="10.5" style="2300" customWidth="1"/>
    <col min="4616" max="4619" width="10" style="2300"/>
    <col min="4620" max="4620" width="10.75" style="2300" bestFit="1" customWidth="1"/>
    <col min="4621" max="4859" width="10" style="2300"/>
    <col min="4860" max="4860" width="6.75" style="2300" customWidth="1"/>
    <col min="4861" max="4871" width="10.5" style="2300" customWidth="1"/>
    <col min="4872" max="4875" width="10" style="2300"/>
    <col min="4876" max="4876" width="10.75" style="2300" bestFit="1" customWidth="1"/>
    <col min="4877" max="5115" width="10" style="2300"/>
    <col min="5116" max="5116" width="6.75" style="2300" customWidth="1"/>
    <col min="5117" max="5127" width="10.5" style="2300" customWidth="1"/>
    <col min="5128" max="5131" width="10" style="2300"/>
    <col min="5132" max="5132" width="10.75" style="2300" bestFit="1" customWidth="1"/>
    <col min="5133" max="5371" width="10" style="2300"/>
    <col min="5372" max="5372" width="6.75" style="2300" customWidth="1"/>
    <col min="5373" max="5383" width="10.5" style="2300" customWidth="1"/>
    <col min="5384" max="5387" width="10" style="2300"/>
    <col min="5388" max="5388" width="10.75" style="2300" bestFit="1" customWidth="1"/>
    <col min="5389" max="5627" width="10" style="2300"/>
    <col min="5628" max="5628" width="6.75" style="2300" customWidth="1"/>
    <col min="5629" max="5639" width="10.5" style="2300" customWidth="1"/>
    <col min="5640" max="5643" width="10" style="2300"/>
    <col min="5644" max="5644" width="10.75" style="2300" bestFit="1" customWidth="1"/>
    <col min="5645" max="5883" width="10" style="2300"/>
    <col min="5884" max="5884" width="6.75" style="2300" customWidth="1"/>
    <col min="5885" max="5895" width="10.5" style="2300" customWidth="1"/>
    <col min="5896" max="5899" width="10" style="2300"/>
    <col min="5900" max="5900" width="10.75" style="2300" bestFit="1" customWidth="1"/>
    <col min="5901" max="6139" width="10" style="2300"/>
    <col min="6140" max="6140" width="6.75" style="2300" customWidth="1"/>
    <col min="6141" max="6151" width="10.5" style="2300" customWidth="1"/>
    <col min="6152" max="6155" width="10" style="2300"/>
    <col min="6156" max="6156" width="10.75" style="2300" bestFit="1" customWidth="1"/>
    <col min="6157" max="6395" width="10" style="2300"/>
    <col min="6396" max="6396" width="6.75" style="2300" customWidth="1"/>
    <col min="6397" max="6407" width="10.5" style="2300" customWidth="1"/>
    <col min="6408" max="6411" width="10" style="2300"/>
    <col min="6412" max="6412" width="10.75" style="2300" bestFit="1" customWidth="1"/>
    <col min="6413" max="6651" width="10" style="2300"/>
    <col min="6652" max="6652" width="6.75" style="2300" customWidth="1"/>
    <col min="6653" max="6663" width="10.5" style="2300" customWidth="1"/>
    <col min="6664" max="6667" width="10" style="2300"/>
    <col min="6668" max="6668" width="10.75" style="2300" bestFit="1" customWidth="1"/>
    <col min="6669" max="6907" width="10" style="2300"/>
    <col min="6908" max="6908" width="6.75" style="2300" customWidth="1"/>
    <col min="6909" max="6919" width="10.5" style="2300" customWidth="1"/>
    <col min="6920" max="6923" width="10" style="2300"/>
    <col min="6924" max="6924" width="10.75" style="2300" bestFit="1" customWidth="1"/>
    <col min="6925" max="7163" width="10" style="2300"/>
    <col min="7164" max="7164" width="6.75" style="2300" customWidth="1"/>
    <col min="7165" max="7175" width="10.5" style="2300" customWidth="1"/>
    <col min="7176" max="7179" width="10" style="2300"/>
    <col min="7180" max="7180" width="10.75" style="2300" bestFit="1" customWidth="1"/>
    <col min="7181" max="7419" width="10" style="2300"/>
    <col min="7420" max="7420" width="6.75" style="2300" customWidth="1"/>
    <col min="7421" max="7431" width="10.5" style="2300" customWidth="1"/>
    <col min="7432" max="7435" width="10" style="2300"/>
    <col min="7436" max="7436" width="10.75" style="2300" bestFit="1" customWidth="1"/>
    <col min="7437" max="7675" width="10" style="2300"/>
    <col min="7676" max="7676" width="6.75" style="2300" customWidth="1"/>
    <col min="7677" max="7687" width="10.5" style="2300" customWidth="1"/>
    <col min="7688" max="7691" width="10" style="2300"/>
    <col min="7692" max="7692" width="10.75" style="2300" bestFit="1" customWidth="1"/>
    <col min="7693" max="7931" width="10" style="2300"/>
    <col min="7932" max="7932" width="6.75" style="2300" customWidth="1"/>
    <col min="7933" max="7943" width="10.5" style="2300" customWidth="1"/>
    <col min="7944" max="7947" width="10" style="2300"/>
    <col min="7948" max="7948" width="10.75" style="2300" bestFit="1" customWidth="1"/>
    <col min="7949" max="8187" width="10" style="2300"/>
    <col min="8188" max="8188" width="6.75" style="2300" customWidth="1"/>
    <col min="8189" max="8199" width="10.5" style="2300" customWidth="1"/>
    <col min="8200" max="8203" width="10" style="2300"/>
    <col min="8204" max="8204" width="10.75" style="2300" bestFit="1" customWidth="1"/>
    <col min="8205" max="8443" width="10" style="2300"/>
    <col min="8444" max="8444" width="6.75" style="2300" customWidth="1"/>
    <col min="8445" max="8455" width="10.5" style="2300" customWidth="1"/>
    <col min="8456" max="8459" width="10" style="2300"/>
    <col min="8460" max="8460" width="10.75" style="2300" bestFit="1" customWidth="1"/>
    <col min="8461" max="8699" width="10" style="2300"/>
    <col min="8700" max="8700" width="6.75" style="2300" customWidth="1"/>
    <col min="8701" max="8711" width="10.5" style="2300" customWidth="1"/>
    <col min="8712" max="8715" width="10" style="2300"/>
    <col min="8716" max="8716" width="10.75" style="2300" bestFit="1" customWidth="1"/>
    <col min="8717" max="8955" width="10" style="2300"/>
    <col min="8956" max="8956" width="6.75" style="2300" customWidth="1"/>
    <col min="8957" max="8967" width="10.5" style="2300" customWidth="1"/>
    <col min="8968" max="8971" width="10" style="2300"/>
    <col min="8972" max="8972" width="10.75" style="2300" bestFit="1" customWidth="1"/>
    <col min="8973" max="9211" width="10" style="2300"/>
    <col min="9212" max="9212" width="6.75" style="2300" customWidth="1"/>
    <col min="9213" max="9223" width="10.5" style="2300" customWidth="1"/>
    <col min="9224" max="9227" width="10" style="2300"/>
    <col min="9228" max="9228" width="10.75" style="2300" bestFit="1" customWidth="1"/>
    <col min="9229" max="9467" width="10" style="2300"/>
    <col min="9468" max="9468" width="6.75" style="2300" customWidth="1"/>
    <col min="9469" max="9479" width="10.5" style="2300" customWidth="1"/>
    <col min="9480" max="9483" width="10" style="2300"/>
    <col min="9484" max="9484" width="10.75" style="2300" bestFit="1" customWidth="1"/>
    <col min="9485" max="9723" width="10" style="2300"/>
    <col min="9724" max="9724" width="6.75" style="2300" customWidth="1"/>
    <col min="9725" max="9735" width="10.5" style="2300" customWidth="1"/>
    <col min="9736" max="9739" width="10" style="2300"/>
    <col min="9740" max="9740" width="10.75" style="2300" bestFit="1" customWidth="1"/>
    <col min="9741" max="9979" width="10" style="2300"/>
    <col min="9980" max="9980" width="6.75" style="2300" customWidth="1"/>
    <col min="9981" max="9991" width="10.5" style="2300" customWidth="1"/>
    <col min="9992" max="9995" width="10" style="2300"/>
    <col min="9996" max="9996" width="10.75" style="2300" bestFit="1" customWidth="1"/>
    <col min="9997" max="10235" width="10" style="2300"/>
    <col min="10236" max="10236" width="6.75" style="2300" customWidth="1"/>
    <col min="10237" max="10247" width="10.5" style="2300" customWidth="1"/>
    <col min="10248" max="10251" width="10" style="2300"/>
    <col min="10252" max="10252" width="10.75" style="2300" bestFit="1" customWidth="1"/>
    <col min="10253" max="10491" width="10" style="2300"/>
    <col min="10492" max="10492" width="6.75" style="2300" customWidth="1"/>
    <col min="10493" max="10503" width="10.5" style="2300" customWidth="1"/>
    <col min="10504" max="10507" width="10" style="2300"/>
    <col min="10508" max="10508" width="10.75" style="2300" bestFit="1" customWidth="1"/>
    <col min="10509" max="10747" width="10" style="2300"/>
    <col min="10748" max="10748" width="6.75" style="2300" customWidth="1"/>
    <col min="10749" max="10759" width="10.5" style="2300" customWidth="1"/>
    <col min="10760" max="10763" width="10" style="2300"/>
    <col min="10764" max="10764" width="10.75" style="2300" bestFit="1" customWidth="1"/>
    <col min="10765" max="11003" width="10" style="2300"/>
    <col min="11004" max="11004" width="6.75" style="2300" customWidth="1"/>
    <col min="11005" max="11015" width="10.5" style="2300" customWidth="1"/>
    <col min="11016" max="11019" width="10" style="2300"/>
    <col min="11020" max="11020" width="10.75" style="2300" bestFit="1" customWidth="1"/>
    <col min="11021" max="11259" width="10" style="2300"/>
    <col min="11260" max="11260" width="6.75" style="2300" customWidth="1"/>
    <col min="11261" max="11271" width="10.5" style="2300" customWidth="1"/>
    <col min="11272" max="11275" width="10" style="2300"/>
    <col min="11276" max="11276" width="10.75" style="2300" bestFit="1" customWidth="1"/>
    <col min="11277" max="11515" width="10" style="2300"/>
    <col min="11516" max="11516" width="6.75" style="2300" customWidth="1"/>
    <col min="11517" max="11527" width="10.5" style="2300" customWidth="1"/>
    <col min="11528" max="11531" width="10" style="2300"/>
    <col min="11532" max="11532" width="10.75" style="2300" bestFit="1" customWidth="1"/>
    <col min="11533" max="11771" width="10" style="2300"/>
    <col min="11772" max="11772" width="6.75" style="2300" customWidth="1"/>
    <col min="11773" max="11783" width="10.5" style="2300" customWidth="1"/>
    <col min="11784" max="11787" width="10" style="2300"/>
    <col min="11788" max="11788" width="10.75" style="2300" bestFit="1" customWidth="1"/>
    <col min="11789" max="12027" width="10" style="2300"/>
    <col min="12028" max="12028" width="6.75" style="2300" customWidth="1"/>
    <col min="12029" max="12039" width="10.5" style="2300" customWidth="1"/>
    <col min="12040" max="12043" width="10" style="2300"/>
    <col min="12044" max="12044" width="10.75" style="2300" bestFit="1" customWidth="1"/>
    <col min="12045" max="12283" width="10" style="2300"/>
    <col min="12284" max="12284" width="6.75" style="2300" customWidth="1"/>
    <col min="12285" max="12295" width="10.5" style="2300" customWidth="1"/>
    <col min="12296" max="12299" width="10" style="2300"/>
    <col min="12300" max="12300" width="10.75" style="2300" bestFit="1" customWidth="1"/>
    <col min="12301" max="12539" width="10" style="2300"/>
    <col min="12540" max="12540" width="6.75" style="2300" customWidth="1"/>
    <col min="12541" max="12551" width="10.5" style="2300" customWidth="1"/>
    <col min="12552" max="12555" width="10" style="2300"/>
    <col min="12556" max="12556" width="10.75" style="2300" bestFit="1" customWidth="1"/>
    <col min="12557" max="12795" width="10" style="2300"/>
    <col min="12796" max="12796" width="6.75" style="2300" customWidth="1"/>
    <col min="12797" max="12807" width="10.5" style="2300" customWidth="1"/>
    <col min="12808" max="12811" width="10" style="2300"/>
    <col min="12812" max="12812" width="10.75" style="2300" bestFit="1" customWidth="1"/>
    <col min="12813" max="13051" width="10" style="2300"/>
    <col min="13052" max="13052" width="6.75" style="2300" customWidth="1"/>
    <col min="13053" max="13063" width="10.5" style="2300" customWidth="1"/>
    <col min="13064" max="13067" width="10" style="2300"/>
    <col min="13068" max="13068" width="10.75" style="2300" bestFit="1" customWidth="1"/>
    <col min="13069" max="13307" width="10" style="2300"/>
    <col min="13308" max="13308" width="6.75" style="2300" customWidth="1"/>
    <col min="13309" max="13319" width="10.5" style="2300" customWidth="1"/>
    <col min="13320" max="13323" width="10" style="2300"/>
    <col min="13324" max="13324" width="10.75" style="2300" bestFit="1" customWidth="1"/>
    <col min="13325" max="13563" width="10" style="2300"/>
    <col min="13564" max="13564" width="6.75" style="2300" customWidth="1"/>
    <col min="13565" max="13575" width="10.5" style="2300" customWidth="1"/>
    <col min="13576" max="13579" width="10" style="2300"/>
    <col min="13580" max="13580" width="10.75" style="2300" bestFit="1" customWidth="1"/>
    <col min="13581" max="13819" width="10" style="2300"/>
    <col min="13820" max="13820" width="6.75" style="2300" customWidth="1"/>
    <col min="13821" max="13831" width="10.5" style="2300" customWidth="1"/>
    <col min="13832" max="13835" width="10" style="2300"/>
    <col min="13836" max="13836" width="10.75" style="2300" bestFit="1" customWidth="1"/>
    <col min="13837" max="14075" width="10" style="2300"/>
    <col min="14076" max="14076" width="6.75" style="2300" customWidth="1"/>
    <col min="14077" max="14087" width="10.5" style="2300" customWidth="1"/>
    <col min="14088" max="14091" width="10" style="2300"/>
    <col min="14092" max="14092" width="10.75" style="2300" bestFit="1" customWidth="1"/>
    <col min="14093" max="14331" width="10" style="2300"/>
    <col min="14332" max="14332" width="6.75" style="2300" customWidth="1"/>
    <col min="14333" max="14343" width="10.5" style="2300" customWidth="1"/>
    <col min="14344" max="14347" width="10" style="2300"/>
    <col min="14348" max="14348" width="10.75" style="2300" bestFit="1" customWidth="1"/>
    <col min="14349" max="14587" width="10" style="2300"/>
    <col min="14588" max="14588" width="6.75" style="2300" customWidth="1"/>
    <col min="14589" max="14599" width="10.5" style="2300" customWidth="1"/>
    <col min="14600" max="14603" width="10" style="2300"/>
    <col min="14604" max="14604" width="10.75" style="2300" bestFit="1" customWidth="1"/>
    <col min="14605" max="14843" width="10" style="2300"/>
    <col min="14844" max="14844" width="6.75" style="2300" customWidth="1"/>
    <col min="14845" max="14855" width="10.5" style="2300" customWidth="1"/>
    <col min="14856" max="14859" width="10" style="2300"/>
    <col min="14860" max="14860" width="10.75" style="2300" bestFit="1" customWidth="1"/>
    <col min="14861" max="15099" width="10" style="2300"/>
    <col min="15100" max="15100" width="6.75" style="2300" customWidth="1"/>
    <col min="15101" max="15111" width="10.5" style="2300" customWidth="1"/>
    <col min="15112" max="15115" width="10" style="2300"/>
    <col min="15116" max="15116" width="10.75" style="2300" bestFit="1" customWidth="1"/>
    <col min="15117" max="15355" width="10" style="2300"/>
    <col min="15356" max="15356" width="6.75" style="2300" customWidth="1"/>
    <col min="15357" max="15367" width="10.5" style="2300" customWidth="1"/>
    <col min="15368" max="15371" width="10" style="2300"/>
    <col min="15372" max="15372" width="10.75" style="2300" bestFit="1" customWidth="1"/>
    <col min="15373" max="15611" width="10" style="2300"/>
    <col min="15612" max="15612" width="6.75" style="2300" customWidth="1"/>
    <col min="15613" max="15623" width="10.5" style="2300" customWidth="1"/>
    <col min="15624" max="15627" width="10" style="2300"/>
    <col min="15628" max="15628" width="10.75" style="2300" bestFit="1" customWidth="1"/>
    <col min="15629" max="15867" width="10" style="2300"/>
    <col min="15868" max="15868" width="6.75" style="2300" customWidth="1"/>
    <col min="15869" max="15879" width="10.5" style="2300" customWidth="1"/>
    <col min="15880" max="15883" width="10" style="2300"/>
    <col min="15884" max="15884" width="10.75" style="2300" bestFit="1" customWidth="1"/>
    <col min="15885" max="16123" width="10" style="2300"/>
    <col min="16124" max="16124" width="6.75" style="2300" customWidth="1"/>
    <col min="16125" max="16135" width="10.5" style="2300" customWidth="1"/>
    <col min="16136" max="16139" width="10" style="2300"/>
    <col min="16140" max="16140" width="10.75" style="2300" bestFit="1" customWidth="1"/>
    <col min="16141" max="16384" width="10" style="2300"/>
  </cols>
  <sheetData>
    <row r="1" spans="1:30" ht="15" customHeight="1">
      <c r="A1" s="2299" t="s">
        <v>3420</v>
      </c>
    </row>
    <row r="2" spans="1:30" s="68" customFormat="1" ht="15" customHeight="1">
      <c r="A2" s="950" t="s">
        <v>2963</v>
      </c>
      <c r="B2" s="950" t="e">
        <f>#REF!</f>
        <v>#REF!</v>
      </c>
      <c r="N2" s="2300"/>
      <c r="O2" s="2300"/>
      <c r="P2" s="2300"/>
      <c r="Q2" s="2300"/>
      <c r="R2" s="2300"/>
      <c r="S2" s="2300"/>
      <c r="T2" s="2300"/>
      <c r="U2" s="2300"/>
      <c r="AD2" s="2301"/>
    </row>
    <row r="3" spans="1:30" s="68" customFormat="1" ht="15" customHeight="1">
      <c r="A3" s="950" t="s">
        <v>3421</v>
      </c>
      <c r="B3" s="950" t="s">
        <v>3422</v>
      </c>
      <c r="E3" s="478"/>
      <c r="F3" s="479"/>
      <c r="N3" s="2300"/>
      <c r="O3" s="2300"/>
      <c r="P3" s="2300"/>
      <c r="Q3" s="2300"/>
      <c r="R3" s="2300"/>
      <c r="S3" s="2300"/>
      <c r="T3" s="2300"/>
      <c r="U3" s="2300"/>
      <c r="AD3" s="2302"/>
    </row>
    <row r="4" spans="1:30" s="68" customFormat="1" ht="15" customHeight="1">
      <c r="A4" s="950" t="s">
        <v>3326</v>
      </c>
      <c r="B4" s="2303">
        <v>45383</v>
      </c>
      <c r="E4" s="478"/>
      <c r="F4" s="479"/>
      <c r="N4" s="2300"/>
      <c r="O4" s="2300"/>
      <c r="P4" s="2300"/>
      <c r="Q4" s="2300"/>
      <c r="R4" s="2300"/>
      <c r="S4" s="2300"/>
      <c r="T4" s="2300"/>
      <c r="U4" s="2300"/>
      <c r="AD4" s="2304"/>
    </row>
    <row r="5" spans="1:30" s="68" customFormat="1" ht="15" customHeight="1">
      <c r="O5" s="2300"/>
      <c r="P5" s="2300"/>
      <c r="Q5" s="2300"/>
      <c r="R5" s="2300"/>
      <c r="S5" s="2300"/>
      <c r="T5" s="2300"/>
      <c r="U5" s="2300"/>
      <c r="AD5" s="2304"/>
    </row>
    <row r="6" spans="1:30" s="68" customFormat="1" ht="15" customHeight="1">
      <c r="A6" s="2305" t="s">
        <v>3423</v>
      </c>
      <c r="B6" s="2305" t="s">
        <v>3424</v>
      </c>
      <c r="C6" s="2305"/>
      <c r="D6" s="2306"/>
      <c r="E6" s="2306"/>
      <c r="F6" s="2306"/>
      <c r="G6" s="2306"/>
      <c r="H6" s="2306"/>
      <c r="I6" s="2306"/>
      <c r="J6" s="2306"/>
      <c r="K6" s="2306"/>
      <c r="L6" s="2306"/>
      <c r="O6" s="2300"/>
      <c r="P6" s="2300"/>
      <c r="Q6" s="2300"/>
      <c r="R6" s="2300"/>
      <c r="S6" s="4"/>
      <c r="T6" s="4"/>
      <c r="U6" s="2300"/>
      <c r="AD6" s="2307"/>
    </row>
    <row r="7" spans="1:30" s="68" customFormat="1" ht="15" customHeight="1">
      <c r="O7" s="2300"/>
      <c r="P7" s="2300"/>
      <c r="Q7" s="2300"/>
      <c r="R7" s="2300"/>
      <c r="S7" s="2308"/>
      <c r="T7" s="2308"/>
      <c r="U7" s="2300"/>
      <c r="AD7" s="2309"/>
    </row>
    <row r="8" spans="1:30" s="68" customFormat="1" ht="15" customHeight="1" thickBot="1">
      <c r="A8" s="68" t="s">
        <v>3428</v>
      </c>
      <c r="B8" s="68" t="s">
        <v>3429</v>
      </c>
      <c r="O8" s="2300"/>
      <c r="P8" s="2300"/>
      <c r="Q8" s="2300"/>
      <c r="R8" s="2300"/>
      <c r="S8" s="2308"/>
      <c r="T8" s="2308"/>
      <c r="U8" s="2300"/>
    </row>
    <row r="9" spans="1:30" s="68" customFormat="1" ht="13.5" customHeight="1" thickTop="1">
      <c r="A9" s="25"/>
      <c r="B9" s="3217" t="s">
        <v>3430</v>
      </c>
      <c r="C9" s="3196" t="s">
        <v>3431</v>
      </c>
      <c r="D9" s="3196" t="s">
        <v>3432</v>
      </c>
      <c r="E9" s="3196" t="s">
        <v>3433</v>
      </c>
      <c r="F9" s="3196" t="s">
        <v>3435</v>
      </c>
      <c r="G9" s="3196" t="s">
        <v>3436</v>
      </c>
      <c r="H9" s="3199" t="s">
        <v>3437</v>
      </c>
      <c r="I9" s="3208" t="s">
        <v>3322</v>
      </c>
      <c r="J9" s="3209"/>
      <c r="K9" s="3209"/>
      <c r="L9" s="3210"/>
      <c r="O9" s="2300"/>
      <c r="P9" s="2300"/>
      <c r="Q9" s="2300"/>
      <c r="R9" s="2300"/>
      <c r="S9" s="2212"/>
      <c r="T9" s="2212"/>
      <c r="U9" s="2300"/>
    </row>
    <row r="10" spans="1:30" s="68" customFormat="1" ht="12.75">
      <c r="B10" s="3218"/>
      <c r="C10" s="3197"/>
      <c r="D10" s="3197"/>
      <c r="E10" s="3197"/>
      <c r="F10" s="3197"/>
      <c r="G10" s="3197"/>
      <c r="H10" s="3200"/>
      <c r="I10" s="3211" t="s">
        <v>3426</v>
      </c>
      <c r="J10" s="3212"/>
      <c r="K10" s="3212"/>
      <c r="L10" s="3213"/>
      <c r="O10" s="2300"/>
      <c r="P10" s="2300"/>
      <c r="Q10" s="2300"/>
      <c r="R10" s="2300"/>
      <c r="S10" s="2213"/>
      <c r="T10" s="2318"/>
      <c r="U10" s="2300"/>
    </row>
    <row r="11" spans="1:30" s="68" customFormat="1" ht="13.5" thickBot="1">
      <c r="A11" s="25"/>
      <c r="B11" s="3219"/>
      <c r="C11" s="3198"/>
      <c r="D11" s="3198"/>
      <c r="E11" s="3198"/>
      <c r="F11" s="3198"/>
      <c r="G11" s="3198"/>
      <c r="H11" s="3201"/>
      <c r="I11" s="3214"/>
      <c r="J11" s="3215"/>
      <c r="K11" s="3215"/>
      <c r="L11" s="3216"/>
      <c r="M11" s="2307"/>
      <c r="O11" s="2300"/>
      <c r="P11" s="2300"/>
      <c r="Q11" s="2300"/>
      <c r="R11" s="2300"/>
      <c r="S11" s="2213"/>
      <c r="T11" s="2319"/>
      <c r="U11" s="2300"/>
    </row>
    <row r="12" spans="1:30" s="68" customFormat="1" ht="15" customHeight="1" thickTop="1">
      <c r="B12" s="2320">
        <v>60</v>
      </c>
      <c r="C12" s="2321" t="e">
        <f>IF(B12=0,0,VLOOKUP(B12,Dren_Dim!A:Z,17,"falso"))</f>
        <v>#N/A</v>
      </c>
      <c r="D12" s="2321" t="e">
        <f>IF(B12=0,0,VLOOKUP(B12,Dren_Dim!A:Z,23,"falso")/1000)</f>
        <v>#N/A</v>
      </c>
      <c r="E12" s="2322" t="e">
        <f>IF(B12=0,0,VLOOKUP(B12,Dren_Dim!A:AO,38,"falso"))</f>
        <v>#N/A</v>
      </c>
      <c r="F12" s="2322" t="e">
        <f>IF(B12=0,0,VLOOKUP(B12,Dren_Dim!A:AO,6,"falso"))</f>
        <v>#N/A</v>
      </c>
      <c r="G12" s="2322" t="e">
        <f>IF(B12=0,0,VLOOKUP(B12,Dren_Dim!A:AO,7,"falso"))</f>
        <v>#N/A</v>
      </c>
      <c r="H12" s="2322" t="e">
        <f>IF(B12=0,0,VLOOKUP(B12,Dren_Dim!A:AO,8,"falso"))</f>
        <v>#N/A</v>
      </c>
      <c r="I12" s="2310" t="s">
        <v>3425</v>
      </c>
      <c r="J12" s="2311">
        <f>Dren_Dim!AM3</f>
        <v>1146.93</v>
      </c>
      <c r="K12" s="2310" t="s">
        <v>3325</v>
      </c>
      <c r="L12" s="2312">
        <f>Dren_Dim!AO3</f>
        <v>12</v>
      </c>
      <c r="M12" s="2309"/>
      <c r="O12" s="2300"/>
      <c r="P12" s="2300"/>
      <c r="Q12" s="2300"/>
      <c r="R12" s="2300"/>
      <c r="S12" s="2323"/>
      <c r="T12" s="2324"/>
      <c r="U12" s="2300"/>
    </row>
    <row r="13" spans="1:30" s="68" customFormat="1" ht="15" customHeight="1">
      <c r="A13" s="67"/>
      <c r="B13" s="2325">
        <v>63</v>
      </c>
      <c r="C13" s="2321" t="e">
        <f>IF(B13=0,0,VLOOKUP(B13,Dren_Dim!A:Z,17,"falso"))</f>
        <v>#N/A</v>
      </c>
      <c r="D13" s="2321" t="e">
        <f>IF(B13=0,0,VLOOKUP(B13,Dren_Dim!A:Z,23,"falso")/1000)</f>
        <v>#N/A</v>
      </c>
      <c r="E13" s="2322" t="e">
        <f>IF(B13=0,0,VLOOKUP(B13,Dren_Dim!A:AO,38,"falso"))</f>
        <v>#N/A</v>
      </c>
      <c r="F13" s="2322" t="e">
        <f>IF(B13=0,0,VLOOKUP(B13,Dren_Dim!A:AO,6,"falso"))</f>
        <v>#N/A</v>
      </c>
      <c r="G13" s="2322" t="e">
        <f>IF(B13=0,0,VLOOKUP(B13,Dren_Dim!A:AO,7,"falso"))</f>
        <v>#N/A</v>
      </c>
      <c r="H13" s="2322" t="e">
        <f>IF(B13=0,0,VLOOKUP(B13,Dren_Dim!A:AO,8,"falso"))</f>
        <v>#N/A</v>
      </c>
      <c r="I13" s="2313" t="s">
        <v>3329</v>
      </c>
      <c r="J13" s="2314">
        <f>Dren_Dim!AM4</f>
        <v>0.18</v>
      </c>
      <c r="K13" s="2313" t="s">
        <v>3328</v>
      </c>
      <c r="L13" s="2314">
        <f>Dren_Dim!AO4</f>
        <v>0.79</v>
      </c>
      <c r="O13" s="2300"/>
      <c r="P13" s="2300"/>
      <c r="Q13" s="2300"/>
      <c r="R13" s="2300"/>
      <c r="S13" s="2300"/>
      <c r="T13" s="2300"/>
      <c r="U13" s="2300"/>
    </row>
    <row r="14" spans="1:30" s="68" customFormat="1" ht="15" customHeight="1">
      <c r="A14" s="67"/>
      <c r="B14" s="2325"/>
      <c r="C14" s="2321">
        <f>IF(B14=0,0,VLOOKUP(B14,Dren_Dim!A:Z,17,"falso"))</f>
        <v>0</v>
      </c>
      <c r="D14" s="2321">
        <f>IF(B14=0,0,VLOOKUP(B14,Dren_Dim!A:Z,23,"falso")/1000)</f>
        <v>0</v>
      </c>
      <c r="E14" s="2322">
        <f>IF(B14=0,0,VLOOKUP(B14,Dren_Dim!A:AO,38,"falso"))</f>
        <v>0</v>
      </c>
      <c r="F14" s="2322">
        <f>IF(B14=0,0,VLOOKUP(B14,Dren_Dim!A:AO,6,"falso"))</f>
        <v>0</v>
      </c>
      <c r="G14" s="2322">
        <f>IF(B14=0,0,VLOOKUP(B14,Dren_Dim!A:AO,7,"falso"))</f>
        <v>0</v>
      </c>
      <c r="H14" s="2322">
        <f>IF(B14=0,0,VLOOKUP(B14,Dren_Dim!A:AO,8,"falso"))</f>
        <v>0</v>
      </c>
      <c r="I14" s="2313" t="s">
        <v>3331</v>
      </c>
      <c r="J14" s="2315" t="str">
        <f>Dren_Dim!AM5</f>
        <v xml:space="preserve"> | 10 | </v>
      </c>
      <c r="K14" s="2316" t="s">
        <v>3427</v>
      </c>
      <c r="L14" s="2317">
        <f>Dren_Dim!AO5</f>
        <v>0</v>
      </c>
      <c r="O14" s="2300"/>
      <c r="P14" s="2300"/>
      <c r="Q14" s="2300"/>
      <c r="R14" s="2300"/>
      <c r="S14" s="2300"/>
      <c r="T14" s="2300"/>
      <c r="U14" s="2300"/>
    </row>
    <row r="15" spans="1:30" s="68" customFormat="1" ht="15" customHeight="1" thickBot="1">
      <c r="A15" s="67"/>
      <c r="B15" s="2325"/>
      <c r="C15" s="2321">
        <f>IF(B15=0,0,VLOOKUP(B15,Dren_Dim!A:Z,17,"falso"))</f>
        <v>0</v>
      </c>
      <c r="D15" s="2321">
        <f>IF(B15=0,0,VLOOKUP(B15,Dren_Dim!A:Z,23,"falso")/1000)</f>
        <v>0</v>
      </c>
      <c r="E15" s="2322">
        <f>IF(B15=0,0,VLOOKUP(B15,Dren_Dim!A:AO,38,"falso"))</f>
        <v>0</v>
      </c>
      <c r="F15" s="2322">
        <f>IF(B15=0,0,VLOOKUP(B15,Dren_Dim!A:AO,6,"falso"))</f>
        <v>0</v>
      </c>
      <c r="G15" s="2322">
        <f>IF(B15=0,0,VLOOKUP(B15,Dren_Dim!A:AO,7,"falso"))</f>
        <v>0</v>
      </c>
      <c r="H15" s="2322">
        <f>IF(B15=0,0,VLOOKUP(B15,Dren_Dim!A:AO,8,"falso"))</f>
        <v>0</v>
      </c>
      <c r="I15" s="2213"/>
      <c r="J15" s="2389"/>
      <c r="K15" s="2390"/>
      <c r="L15" s="2318"/>
      <c r="O15" s="2300"/>
      <c r="P15" s="2300"/>
      <c r="Q15" s="2300"/>
      <c r="R15" s="2300"/>
      <c r="S15" s="2300"/>
      <c r="T15" s="2300"/>
      <c r="U15" s="2300"/>
    </row>
    <row r="16" spans="1:30" s="68" customFormat="1" ht="15" customHeight="1" thickTop="1" thickBot="1">
      <c r="A16" s="67"/>
      <c r="B16" s="2325"/>
      <c r="C16" s="2321">
        <f>IF(B16=0,0,VLOOKUP(B16,Dren_Dim!A:Z,17,"falso"))</f>
        <v>0</v>
      </c>
      <c r="D16" s="2321">
        <f>IF(B16=0,0,VLOOKUP(B16,Dren_Dim!A:Z,23,"falso")/1000)</f>
        <v>0</v>
      </c>
      <c r="E16" s="2322">
        <f>IF(B16=0,0,VLOOKUP(B16,Dren_Dim!A:AO,38,"falso"))</f>
        <v>0</v>
      </c>
      <c r="F16" s="2322">
        <f>IF(B16=0,0,VLOOKUP(B16,Dren_Dim!A:AO,6,"falso"))</f>
        <v>0</v>
      </c>
      <c r="G16" s="2322">
        <f>IF(B16=0,0,VLOOKUP(B16,Dren_Dim!A:AO,7,"falso"))</f>
        <v>0</v>
      </c>
      <c r="H16" s="2322">
        <f>IF(B16=0,0,VLOOKUP(B16,Dren_Dim!A:AO,8,"falso"))</f>
        <v>0</v>
      </c>
      <c r="I16" s="2213"/>
      <c r="J16" s="2339" t="s">
        <v>3430</v>
      </c>
      <c r="K16" s="2341" t="s">
        <v>3434</v>
      </c>
      <c r="L16" s="2318"/>
      <c r="O16" s="2300"/>
      <c r="P16" s="2300"/>
      <c r="Q16" s="2300"/>
      <c r="R16" s="2300"/>
      <c r="S16" s="2300"/>
      <c r="T16" s="2300"/>
      <c r="U16" s="2300"/>
    </row>
    <row r="17" spans="1:30" s="68" customFormat="1" ht="15" customHeight="1" thickTop="1">
      <c r="A17" s="67"/>
      <c r="B17" s="2325"/>
      <c r="C17" s="2321">
        <f>IF(B17=0,0,VLOOKUP(B17,Dren_Dim!A:Z,17,"falso"))</f>
        <v>0</v>
      </c>
      <c r="D17" s="2321">
        <f>IF(B17=0,0,VLOOKUP(B17,Dren_Dim!A:Z,23,"falso")/1000)</f>
        <v>0</v>
      </c>
      <c r="E17" s="2322">
        <f>IF(B17=0,0,VLOOKUP(B17,Dren_Dim!A:AO,38,"falso"))</f>
        <v>0</v>
      </c>
      <c r="F17" s="2322">
        <f>IF(B17=0,0,VLOOKUP(B17,Dren_Dim!A:AO,6,"falso"))</f>
        <v>0</v>
      </c>
      <c r="G17" s="2322">
        <f>IF(B17=0,0,VLOOKUP(B17,Dren_Dim!A:AO,7,"falso"))</f>
        <v>0</v>
      </c>
      <c r="H17" s="2322">
        <f>IF(B17=0,0,VLOOKUP(B17,Dren_Dim!A:AO,8,"falso"))</f>
        <v>0</v>
      </c>
      <c r="I17" s="2213"/>
      <c r="J17" s="2391">
        <f t="shared" ref="J17:J23" si="0">B12</f>
        <v>60</v>
      </c>
      <c r="K17" s="2392" t="e">
        <f t="shared" ref="K17:K23" si="1">IF(J17=0,0,+$E$25-E12)</f>
        <v>#N/A</v>
      </c>
      <c r="L17" s="2318"/>
      <c r="O17" s="2300"/>
      <c r="P17" s="2300"/>
      <c r="Q17" s="2300"/>
      <c r="R17" s="2300"/>
      <c r="S17" s="2300"/>
      <c r="T17" s="2300"/>
      <c r="U17" s="2300"/>
    </row>
    <row r="18" spans="1:30" s="68" customFormat="1" ht="15" customHeight="1">
      <c r="A18" s="67"/>
      <c r="B18" s="2325"/>
      <c r="C18" s="2321">
        <f>IF(B18=0,0,VLOOKUP(B18,Dren_Dim!A:Z,17,"falso"))</f>
        <v>0</v>
      </c>
      <c r="D18" s="2321">
        <f>IF(B18=0,0,VLOOKUP(B18,Dren_Dim!A:Z,23,"falso")/1000)</f>
        <v>0</v>
      </c>
      <c r="E18" s="2322">
        <f>IF(B18=0,0,VLOOKUP(B18,Dren_Dim!A:AO,38,"falso"))</f>
        <v>0</v>
      </c>
      <c r="F18" s="2322">
        <f>IF(B18=0,0,VLOOKUP(B18,Dren_Dim!A:AO,6,"falso"))</f>
        <v>0</v>
      </c>
      <c r="G18" s="2322">
        <f>IF(B18=0,0,VLOOKUP(B18,Dren_Dim!A:AO,7,"falso"))</f>
        <v>0</v>
      </c>
      <c r="H18" s="2322">
        <f>IF(B18=0,0,VLOOKUP(B18,Dren_Dim!A:AO,8,"falso"))</f>
        <v>0</v>
      </c>
      <c r="I18" s="2213"/>
      <c r="J18" s="2393">
        <f t="shared" si="0"/>
        <v>63</v>
      </c>
      <c r="K18" s="2394" t="e">
        <f t="shared" si="1"/>
        <v>#N/A</v>
      </c>
      <c r="L18" s="2318"/>
      <c r="O18" s="2300"/>
      <c r="P18" s="2300"/>
      <c r="Q18" s="2300"/>
      <c r="R18" s="2300"/>
      <c r="S18" s="2300"/>
      <c r="T18" s="2300"/>
      <c r="U18" s="2300"/>
    </row>
    <row r="19" spans="1:30" s="68" customFormat="1" ht="15" customHeight="1">
      <c r="A19" s="67"/>
      <c r="B19" s="2325"/>
      <c r="C19" s="2321">
        <f>IF(B19=0,0,VLOOKUP(B19,Dren_Dim!A:Z,17,"falso"))</f>
        <v>0</v>
      </c>
      <c r="D19" s="2321">
        <f>IF(B19=0,0,VLOOKUP(B19,Dren_Dim!A:Z,23,"falso")/1000)</f>
        <v>0</v>
      </c>
      <c r="E19" s="2322">
        <f>IF(B19=0,0,VLOOKUP(B19,Dren_Dim!A:AO,38,"falso"))</f>
        <v>0</v>
      </c>
      <c r="F19" s="2322">
        <f>IF(B19=0,0,VLOOKUP(B19,Dren_Dim!A:AO,6,"falso"))</f>
        <v>0</v>
      </c>
      <c r="G19" s="2322">
        <f>IF(B19=0,0,VLOOKUP(B19,Dren_Dim!A:AO,7,"falso"))</f>
        <v>0</v>
      </c>
      <c r="H19" s="2322">
        <f>IF(B19=0,0,VLOOKUP(B19,Dren_Dim!A:AO,8,"falso"))</f>
        <v>0</v>
      </c>
      <c r="J19" s="2393">
        <f t="shared" si="0"/>
        <v>0</v>
      </c>
      <c r="K19" s="2394">
        <f t="shared" si="1"/>
        <v>0</v>
      </c>
      <c r="L19" s="2318"/>
      <c r="O19" s="2300"/>
      <c r="P19" s="2300"/>
      <c r="Q19" s="2300"/>
      <c r="R19" s="2300"/>
      <c r="S19" s="2300"/>
      <c r="T19" s="2300"/>
      <c r="U19" s="2300"/>
    </row>
    <row r="20" spans="1:30" s="68" customFormat="1" ht="15" customHeight="1">
      <c r="A20" s="67"/>
      <c r="B20" s="2325"/>
      <c r="C20" s="2321">
        <f>IF(B20=0,0,VLOOKUP(B20,Dren_Dim!A:Z,17,"falso"))</f>
        <v>0</v>
      </c>
      <c r="D20" s="2321">
        <f>IF(B20=0,0,VLOOKUP(B20,Dren_Dim!A:Z,23,"falso")/1000)</f>
        <v>0</v>
      </c>
      <c r="E20" s="2322">
        <f>IF(B20=0,0,VLOOKUP(B20,Dren_Dim!A:AO,38,"falso"))</f>
        <v>0</v>
      </c>
      <c r="F20" s="2322">
        <f>IF(B20=0,0,VLOOKUP(B20,Dren_Dim!A:AO,6,"falso"))</f>
        <v>0</v>
      </c>
      <c r="G20" s="2322">
        <f>IF(B20=0,0,VLOOKUP(B20,Dren_Dim!A:AO,7,"falso"))</f>
        <v>0</v>
      </c>
      <c r="H20" s="2322">
        <f>IF(B20=0,0,VLOOKUP(B20,Dren_Dim!A:AO,8,"falso"))</f>
        <v>0</v>
      </c>
      <c r="J20" s="2393">
        <f t="shared" si="0"/>
        <v>0</v>
      </c>
      <c r="K20" s="2394">
        <f t="shared" si="1"/>
        <v>0</v>
      </c>
      <c r="L20" s="2318"/>
      <c r="O20" s="2300"/>
      <c r="P20" s="2300"/>
      <c r="Q20" s="2300"/>
      <c r="R20" s="2300"/>
      <c r="S20" s="2300"/>
      <c r="T20" s="2300"/>
      <c r="U20" s="2300"/>
    </row>
    <row r="21" spans="1:30" s="68" customFormat="1" ht="15" customHeight="1">
      <c r="A21" s="67"/>
      <c r="B21" s="2325"/>
      <c r="C21" s="2321">
        <f>IF(B21=0,0,VLOOKUP(B21,Dren_Dim!A:Z,17,"falso"))</f>
        <v>0</v>
      </c>
      <c r="D21" s="2321">
        <f>IF(B21=0,0,VLOOKUP(B21,Dren_Dim!A:Z,23,"falso")/1000)</f>
        <v>0</v>
      </c>
      <c r="E21" s="2322">
        <f>IF(B21=0,0,VLOOKUP(B21,Dren_Dim!A:AO,38,"falso"))</f>
        <v>0</v>
      </c>
      <c r="F21" s="2322">
        <f>IF(B21=0,0,VLOOKUP(B21,Dren_Dim!A:AO,6,"falso"))</f>
        <v>0</v>
      </c>
      <c r="G21" s="2322">
        <f>IF(B21=0,0,VLOOKUP(B21,Dren_Dim!A:AO,7,"falso"))</f>
        <v>0</v>
      </c>
      <c r="H21" s="2322">
        <f>IF(B21=0,0,VLOOKUP(B21,Dren_Dim!A:AO,8,"falso"))</f>
        <v>0</v>
      </c>
      <c r="J21" s="2393">
        <f t="shared" si="0"/>
        <v>0</v>
      </c>
      <c r="K21" s="2394">
        <f t="shared" si="1"/>
        <v>0</v>
      </c>
      <c r="O21" s="2300"/>
      <c r="P21" s="2300"/>
      <c r="Q21" s="2300"/>
      <c r="R21" s="2300"/>
      <c r="S21" s="2300"/>
      <c r="T21" s="2300"/>
      <c r="U21" s="2300"/>
    </row>
    <row r="22" spans="1:30" s="68" customFormat="1" ht="15" customHeight="1">
      <c r="A22" s="67"/>
      <c r="B22" s="2325"/>
      <c r="C22" s="2321">
        <f>IF(B22=0,0,VLOOKUP(B22,Dren_Dim!A:Z,17,"falso"))</f>
        <v>0</v>
      </c>
      <c r="D22" s="2321">
        <f>IF(B22=0,0,VLOOKUP(B22,Dren_Dim!A:Z,23,"falso")/1000)</f>
        <v>0</v>
      </c>
      <c r="E22" s="2322">
        <f>IF(B22=0,0,VLOOKUP(B22,Dren_Dim!A:AO,38,"falso"))</f>
        <v>0</v>
      </c>
      <c r="F22" s="2322">
        <f>IF(B22=0,0,VLOOKUP(B22,Dren_Dim!A:AO,6,"falso"))</f>
        <v>0</v>
      </c>
      <c r="G22" s="2322">
        <f>IF(B22=0,0,VLOOKUP(B22,Dren_Dim!A:AO,7,"falso"))</f>
        <v>0</v>
      </c>
      <c r="H22" s="2322">
        <f>IF(B22=0,0,VLOOKUP(B22,Dren_Dim!A:AO,8,"falso"))</f>
        <v>0</v>
      </c>
      <c r="J22" s="2393">
        <f t="shared" si="0"/>
        <v>0</v>
      </c>
      <c r="K22" s="2394">
        <f t="shared" si="1"/>
        <v>0</v>
      </c>
      <c r="O22" s="2300"/>
      <c r="P22" s="2300"/>
      <c r="Q22" s="2300"/>
      <c r="R22" s="2300"/>
      <c r="S22" s="2300"/>
      <c r="T22" s="2300"/>
      <c r="U22" s="2300"/>
    </row>
    <row r="23" spans="1:30" s="68" customFormat="1" ht="15" customHeight="1" thickBot="1">
      <c r="A23" s="67"/>
      <c r="B23" s="2325"/>
      <c r="C23" s="2321"/>
      <c r="D23" s="2321"/>
      <c r="E23" s="2322"/>
      <c r="F23" s="2322"/>
      <c r="G23" s="2322"/>
      <c r="H23" s="2322"/>
      <c r="J23" s="2395">
        <f t="shared" si="0"/>
        <v>0</v>
      </c>
      <c r="K23" s="2396">
        <f t="shared" si="1"/>
        <v>0</v>
      </c>
      <c r="O23" s="2300"/>
      <c r="P23" s="2300"/>
      <c r="Q23" s="2300"/>
      <c r="R23" s="2300"/>
      <c r="S23" s="2300"/>
      <c r="T23" s="2300"/>
      <c r="U23" s="2300"/>
    </row>
    <row r="24" spans="1:30" s="68" customFormat="1" ht="15" customHeight="1" thickTop="1">
      <c r="A24" s="67"/>
      <c r="B24" s="2325" t="s">
        <v>3511</v>
      </c>
      <c r="C24" s="2321"/>
      <c r="D24" s="2321"/>
      <c r="E24" s="2322"/>
      <c r="F24" s="2322"/>
      <c r="G24" s="2322"/>
      <c r="H24" s="2322"/>
      <c r="O24" s="2300"/>
      <c r="P24" s="2300"/>
      <c r="Q24" s="2300"/>
      <c r="R24" s="2300"/>
      <c r="S24" s="2300"/>
      <c r="T24" s="2300"/>
      <c r="U24" s="2300"/>
    </row>
    <row r="25" spans="1:30" s="68" customFormat="1" ht="15" customHeight="1">
      <c r="A25" s="67"/>
      <c r="B25" s="2325" t="s">
        <v>1178</v>
      </c>
      <c r="C25" s="2321" t="e">
        <f>SUM(C12:C24)</f>
        <v>#N/A</v>
      </c>
      <c r="D25" s="2321" t="e">
        <f>SUM(D12:D24)</f>
        <v>#N/A</v>
      </c>
      <c r="E25" s="2322" t="e">
        <f>MAX(E12:E24)</f>
        <v>#N/A</v>
      </c>
      <c r="F25" s="2322"/>
      <c r="G25" s="2322" t="e">
        <f>MIN(G12:G24)</f>
        <v>#N/A</v>
      </c>
      <c r="H25" s="2321" t="e">
        <f>MAX(H12:H24)</f>
        <v>#N/A</v>
      </c>
      <c r="I25" s="2325" t="s">
        <v>3444</v>
      </c>
      <c r="N25" s="2300"/>
      <c r="O25" s="2329"/>
      <c r="P25" s="2300"/>
      <c r="Q25" s="2300"/>
      <c r="R25" s="2300"/>
      <c r="S25" s="2300"/>
      <c r="T25" s="2300"/>
      <c r="U25" s="2300"/>
    </row>
    <row r="26" spans="1:30" s="68" customFormat="1" ht="15" customHeight="1">
      <c r="A26" s="67"/>
      <c r="B26" s="2325" t="s">
        <v>3445</v>
      </c>
      <c r="C26" s="2321" t="e">
        <f>C25</f>
        <v>#N/A</v>
      </c>
      <c r="D26" s="2321" t="e">
        <f>$D25*+(100-I26)/100</f>
        <v>#N/A</v>
      </c>
      <c r="E26" s="2322" t="e">
        <f>E25*(1+LOG(1/(+(100-I26)/100)))</f>
        <v>#N/A</v>
      </c>
      <c r="F26" s="2322"/>
      <c r="G26" s="2322" t="e">
        <f>G25</f>
        <v>#N/A</v>
      </c>
      <c r="H26" s="2321" t="e">
        <f>D25*E25*60*LOG(1/((100-I26)/100))/I32</f>
        <v>#N/A</v>
      </c>
      <c r="I26" s="2397">
        <v>24</v>
      </c>
      <c r="N26" s="2300"/>
      <c r="O26" s="2329"/>
      <c r="P26" s="2300"/>
      <c r="Q26" s="2300"/>
      <c r="R26" s="2300"/>
      <c r="S26" s="2300"/>
      <c r="T26" s="2300"/>
      <c r="U26" s="2300"/>
    </row>
    <row r="27" spans="1:30" s="68" customFormat="1" ht="15" customHeight="1">
      <c r="A27" s="67"/>
      <c r="B27" s="67"/>
      <c r="C27" s="67"/>
      <c r="D27" s="67"/>
      <c r="E27" s="67"/>
      <c r="F27" s="67"/>
      <c r="G27" s="67"/>
      <c r="N27" s="2300"/>
      <c r="O27" s="2329"/>
      <c r="P27" s="2300"/>
      <c r="Q27" s="2300"/>
      <c r="R27" s="2300"/>
      <c r="S27" s="2300"/>
      <c r="T27" s="2300"/>
      <c r="U27" s="2300"/>
    </row>
    <row r="28" spans="1:30" s="68" customFormat="1" ht="15" customHeight="1">
      <c r="A28" s="2305" t="s">
        <v>3447</v>
      </c>
      <c r="B28" s="2305" t="s">
        <v>3448</v>
      </c>
      <c r="C28" s="2305"/>
      <c r="D28" s="2306"/>
      <c r="E28" s="2306"/>
      <c r="F28" s="2306"/>
      <c r="G28" s="2306"/>
      <c r="H28" s="2306"/>
      <c r="I28" s="2306"/>
      <c r="J28" s="2306"/>
      <c r="K28" s="2306"/>
      <c r="L28" s="2306"/>
      <c r="O28" s="67"/>
      <c r="P28" s="67"/>
      <c r="Q28" s="67"/>
      <c r="R28" s="4"/>
      <c r="S28" s="4"/>
      <c r="T28" s="4"/>
      <c r="U28" s="2300"/>
      <c r="AD28" s="2307"/>
    </row>
    <row r="29" spans="1:30" s="68" customFormat="1" ht="15" customHeight="1">
      <c r="O29" s="67"/>
      <c r="P29" s="2161"/>
      <c r="Q29" s="2161"/>
      <c r="R29" s="2308"/>
      <c r="S29" s="2308"/>
      <c r="T29" s="2308"/>
      <c r="U29" s="2300"/>
      <c r="AD29" s="2309"/>
    </row>
    <row r="30" spans="1:30" s="68" customFormat="1" ht="15" customHeight="1">
      <c r="A30" s="68" t="s">
        <v>3449</v>
      </c>
      <c r="B30" s="68" t="s">
        <v>3450</v>
      </c>
      <c r="D30" s="2333" t="s">
        <v>3451</v>
      </c>
      <c r="F30" s="53" t="s">
        <v>3452</v>
      </c>
      <c r="J30" s="53"/>
      <c r="K30" s="2334"/>
      <c r="N30" s="2300"/>
      <c r="O30" s="2300"/>
      <c r="P30" s="2300"/>
      <c r="Q30" s="2300"/>
      <c r="R30" s="2300"/>
      <c r="S30" s="2300"/>
      <c r="T30" s="2300"/>
      <c r="U30" s="2300"/>
    </row>
    <row r="31" spans="1:30" s="68" customFormat="1" ht="15" customHeight="1">
      <c r="D31" s="2333"/>
      <c r="F31" s="53"/>
      <c r="J31" s="53"/>
      <c r="K31" s="2334"/>
      <c r="N31" s="2300"/>
      <c r="O31" s="2300"/>
      <c r="P31" s="2300"/>
      <c r="Q31" s="2300"/>
      <c r="R31" s="2300"/>
      <c r="S31" s="2300"/>
      <c r="T31" s="2300"/>
      <c r="U31" s="2300"/>
    </row>
    <row r="32" spans="1:30" s="68" customFormat="1" ht="15" customHeight="1">
      <c r="A32" s="68" t="s">
        <v>3453</v>
      </c>
      <c r="B32" s="68" t="s">
        <v>3454</v>
      </c>
      <c r="D32" s="53" t="s">
        <v>3455</v>
      </c>
      <c r="E32" s="2335">
        <v>110</v>
      </c>
      <c r="F32" s="53" t="s">
        <v>3456</v>
      </c>
      <c r="G32" s="2335">
        <v>7</v>
      </c>
      <c r="H32" s="53" t="s">
        <v>3457</v>
      </c>
      <c r="I32" s="2336">
        <f>G32*E32</f>
        <v>770</v>
      </c>
      <c r="J32" s="53"/>
      <c r="K32" s="2334"/>
      <c r="N32" s="2300"/>
      <c r="O32" s="2300"/>
      <c r="P32" s="2300"/>
      <c r="Q32" s="2300"/>
      <c r="R32" s="2300"/>
      <c r="S32" s="2300"/>
      <c r="T32" s="2300"/>
      <c r="U32" s="2300"/>
    </row>
    <row r="33" spans="1:30" s="68" customFormat="1" ht="15" customHeight="1">
      <c r="E33" s="2333"/>
      <c r="J33" s="53"/>
      <c r="K33" s="2334"/>
      <c r="N33" s="2300"/>
      <c r="O33" s="2300"/>
      <c r="P33" s="2300"/>
      <c r="Q33" s="2300"/>
      <c r="R33" s="2300"/>
      <c r="S33" s="2300"/>
      <c r="T33" s="2300"/>
      <c r="U33" s="2300"/>
    </row>
    <row r="34" spans="1:30" ht="15" customHeight="1" thickBot="1">
      <c r="A34" s="68" t="s">
        <v>3453</v>
      </c>
      <c r="B34" s="68" t="s">
        <v>3512</v>
      </c>
      <c r="C34" s="2338"/>
    </row>
    <row r="35" spans="1:30" s="68" customFormat="1" ht="15" customHeight="1" thickTop="1" thickBot="1">
      <c r="B35" s="2339" t="s">
        <v>3459</v>
      </c>
      <c r="C35" s="2340" t="s">
        <v>1228</v>
      </c>
      <c r="D35" s="2340" t="s">
        <v>3460</v>
      </c>
      <c r="E35" s="2340" t="s">
        <v>3461</v>
      </c>
      <c r="F35" s="2340" t="s">
        <v>3462</v>
      </c>
      <c r="G35" s="2340" t="s">
        <v>3463</v>
      </c>
      <c r="H35" s="2340" t="s">
        <v>3135</v>
      </c>
      <c r="I35" s="2340" t="s">
        <v>3464</v>
      </c>
      <c r="J35" s="2340" t="s">
        <v>3465</v>
      </c>
      <c r="K35" s="2340" t="s">
        <v>3466</v>
      </c>
      <c r="L35" s="2341" t="s">
        <v>4</v>
      </c>
      <c r="N35" s="2300"/>
      <c r="O35" s="2300"/>
      <c r="P35" s="2300"/>
      <c r="Q35" s="2300"/>
      <c r="R35" s="2300"/>
      <c r="S35" s="2300"/>
      <c r="T35" s="2300"/>
      <c r="U35" s="2300"/>
    </row>
    <row r="36" spans="1:30" ht="15" customHeight="1" thickTop="1">
      <c r="B36" s="2348" t="s">
        <v>3467</v>
      </c>
      <c r="C36" s="2275" t="e">
        <f>D25</f>
        <v>#N/A</v>
      </c>
      <c r="D36" s="2275" t="e">
        <f t="shared" ref="D36:L36" si="2">$C36*D38</f>
        <v>#N/A</v>
      </c>
      <c r="E36" s="2275" t="e">
        <f t="shared" si="2"/>
        <v>#N/A</v>
      </c>
      <c r="F36" s="2275" t="e">
        <f t="shared" si="2"/>
        <v>#N/A</v>
      </c>
      <c r="G36" s="2275" t="e">
        <f t="shared" si="2"/>
        <v>#N/A</v>
      </c>
      <c r="H36" s="2275" t="e">
        <f t="shared" si="2"/>
        <v>#N/A</v>
      </c>
      <c r="I36" s="2275" t="e">
        <f t="shared" si="2"/>
        <v>#N/A</v>
      </c>
      <c r="J36" s="2275" t="e">
        <f t="shared" si="2"/>
        <v>#N/A</v>
      </c>
      <c r="K36" s="2275" t="e">
        <f t="shared" si="2"/>
        <v>#N/A</v>
      </c>
      <c r="L36" s="2275" t="e">
        <f t="shared" si="2"/>
        <v>#N/A</v>
      </c>
    </row>
    <row r="37" spans="1:30" ht="15" customHeight="1">
      <c r="B37" s="2350" t="s">
        <v>3444</v>
      </c>
      <c r="C37" s="2345">
        <v>0</v>
      </c>
      <c r="D37" s="2345">
        <v>10</v>
      </c>
      <c r="E37" s="2345">
        <v>20</v>
      </c>
      <c r="F37" s="2345">
        <v>30</v>
      </c>
      <c r="G37" s="2345">
        <v>40</v>
      </c>
      <c r="H37" s="2345">
        <v>50</v>
      </c>
      <c r="I37" s="2345">
        <v>60</v>
      </c>
      <c r="J37" s="2345">
        <v>70</v>
      </c>
      <c r="K37" s="2345">
        <v>80</v>
      </c>
      <c r="L37" s="2345">
        <v>90</v>
      </c>
    </row>
    <row r="38" spans="1:30" ht="15" customHeight="1">
      <c r="B38" s="2350" t="s">
        <v>3468</v>
      </c>
      <c r="C38" s="2345">
        <f t="shared" ref="C38:L38" si="3">(100-C37)/100</f>
        <v>1</v>
      </c>
      <c r="D38" s="2345">
        <f t="shared" si="3"/>
        <v>0.9</v>
      </c>
      <c r="E38" s="2345">
        <f t="shared" si="3"/>
        <v>0.8</v>
      </c>
      <c r="F38" s="2345">
        <f t="shared" si="3"/>
        <v>0.7</v>
      </c>
      <c r="G38" s="2345">
        <f t="shared" si="3"/>
        <v>0.6</v>
      </c>
      <c r="H38" s="2345">
        <f t="shared" si="3"/>
        <v>0.5</v>
      </c>
      <c r="I38" s="2345">
        <f t="shared" si="3"/>
        <v>0.4</v>
      </c>
      <c r="J38" s="2345">
        <f t="shared" si="3"/>
        <v>0.3</v>
      </c>
      <c r="K38" s="2345">
        <f t="shared" si="3"/>
        <v>0.2</v>
      </c>
      <c r="L38" s="2345">
        <f t="shared" si="3"/>
        <v>0.1</v>
      </c>
    </row>
    <row r="39" spans="1:30" ht="15" customHeight="1">
      <c r="B39" s="2350" t="s">
        <v>3469</v>
      </c>
      <c r="C39" s="2345">
        <f t="shared" ref="C39:L39" si="4">LOG(1/C38)</f>
        <v>0</v>
      </c>
      <c r="D39" s="2345">
        <f t="shared" si="4"/>
        <v>4.5757490560675143E-2</v>
      </c>
      <c r="E39" s="2345">
        <f t="shared" si="4"/>
        <v>9.691001300805642E-2</v>
      </c>
      <c r="F39" s="2345">
        <f t="shared" si="4"/>
        <v>0.15490195998574319</v>
      </c>
      <c r="G39" s="2345">
        <f t="shared" si="4"/>
        <v>0.22184874961635639</v>
      </c>
      <c r="H39" s="2345">
        <f t="shared" si="4"/>
        <v>0.3010299956639812</v>
      </c>
      <c r="I39" s="2345">
        <f t="shared" si="4"/>
        <v>0.3979400086720376</v>
      </c>
      <c r="J39" s="2345">
        <f t="shared" si="4"/>
        <v>0.52287874528033762</v>
      </c>
      <c r="K39" s="2345">
        <f t="shared" si="4"/>
        <v>0.69897000433601886</v>
      </c>
      <c r="L39" s="2345">
        <f t="shared" si="4"/>
        <v>1</v>
      </c>
    </row>
    <row r="40" spans="1:30" ht="15" customHeight="1">
      <c r="B40" s="2350" t="s">
        <v>3470</v>
      </c>
      <c r="C40" s="2345" t="e">
        <f t="shared" ref="C40:L40" si="5">$C36*$E$25*60*C39</f>
        <v>#N/A</v>
      </c>
      <c r="D40" s="2345" t="e">
        <f t="shared" si="5"/>
        <v>#N/A</v>
      </c>
      <c r="E40" s="2345" t="e">
        <f t="shared" si="5"/>
        <v>#N/A</v>
      </c>
      <c r="F40" s="2345" t="e">
        <f t="shared" si="5"/>
        <v>#N/A</v>
      </c>
      <c r="G40" s="2345" t="e">
        <f t="shared" si="5"/>
        <v>#N/A</v>
      </c>
      <c r="H40" s="2345" t="e">
        <f t="shared" si="5"/>
        <v>#N/A</v>
      </c>
      <c r="I40" s="2345" t="e">
        <f t="shared" si="5"/>
        <v>#N/A</v>
      </c>
      <c r="J40" s="2345" t="e">
        <f t="shared" si="5"/>
        <v>#N/A</v>
      </c>
      <c r="K40" s="2345" t="e">
        <f t="shared" si="5"/>
        <v>#N/A</v>
      </c>
      <c r="L40" s="2345" t="e">
        <f t="shared" si="5"/>
        <v>#N/A</v>
      </c>
    </row>
    <row r="41" spans="1:30" ht="15" customHeight="1">
      <c r="B41" s="2350" t="s">
        <v>3471</v>
      </c>
      <c r="C41" s="2345" t="e">
        <f t="shared" ref="C41:L41" si="6">C40/$I$32</f>
        <v>#N/A</v>
      </c>
      <c r="D41" s="2345" t="e">
        <f t="shared" si="6"/>
        <v>#N/A</v>
      </c>
      <c r="E41" s="2345" t="e">
        <f t="shared" si="6"/>
        <v>#N/A</v>
      </c>
      <c r="F41" s="2345" t="e">
        <f t="shared" si="6"/>
        <v>#N/A</v>
      </c>
      <c r="G41" s="2345" t="e">
        <f t="shared" si="6"/>
        <v>#N/A</v>
      </c>
      <c r="H41" s="2345" t="e">
        <f t="shared" si="6"/>
        <v>#N/A</v>
      </c>
      <c r="I41" s="2345" t="e">
        <f t="shared" si="6"/>
        <v>#N/A</v>
      </c>
      <c r="J41" s="2345" t="e">
        <f t="shared" si="6"/>
        <v>#N/A</v>
      </c>
      <c r="K41" s="2345" t="e">
        <f t="shared" si="6"/>
        <v>#N/A</v>
      </c>
      <c r="L41" s="2345" t="e">
        <f t="shared" si="6"/>
        <v>#N/A</v>
      </c>
    </row>
    <row r="42" spans="1:30" ht="29.25" customHeight="1">
      <c r="B42" s="2352" t="s">
        <v>3472</v>
      </c>
      <c r="C42" s="2345" t="e">
        <f t="shared" ref="C42:L42" si="7">C40/$D$25/60</f>
        <v>#N/A</v>
      </c>
      <c r="D42" s="2345" t="e">
        <f t="shared" si="7"/>
        <v>#N/A</v>
      </c>
      <c r="E42" s="2345" t="e">
        <f t="shared" si="7"/>
        <v>#N/A</v>
      </c>
      <c r="F42" s="2345" t="e">
        <f t="shared" si="7"/>
        <v>#N/A</v>
      </c>
      <c r="G42" s="2345" t="e">
        <f t="shared" si="7"/>
        <v>#N/A</v>
      </c>
      <c r="H42" s="2345" t="e">
        <f t="shared" si="7"/>
        <v>#N/A</v>
      </c>
      <c r="I42" s="2345" t="e">
        <f t="shared" si="7"/>
        <v>#N/A</v>
      </c>
      <c r="J42" s="2345" t="e">
        <f t="shared" si="7"/>
        <v>#N/A</v>
      </c>
      <c r="K42" s="2345" t="e">
        <f t="shared" si="7"/>
        <v>#N/A</v>
      </c>
      <c r="L42" s="2345" t="e">
        <f t="shared" si="7"/>
        <v>#N/A</v>
      </c>
    </row>
    <row r="43" spans="1:30" ht="15" customHeight="1">
      <c r="F43" s="2300" t="s">
        <v>98</v>
      </c>
      <c r="N43" s="2292"/>
      <c r="O43" s="2292"/>
    </row>
    <row r="44" spans="1:30" s="68" customFormat="1" ht="15" customHeight="1">
      <c r="A44" s="2305" t="s">
        <v>3475</v>
      </c>
      <c r="B44" s="2305" t="s">
        <v>3476</v>
      </c>
      <c r="C44" s="2305"/>
      <c r="D44" s="2306"/>
      <c r="E44" s="2306"/>
      <c r="F44" s="2306"/>
      <c r="G44" s="2306"/>
      <c r="H44" s="2306"/>
      <c r="I44" s="2306"/>
      <c r="J44" s="2306"/>
      <c r="K44" s="2306"/>
      <c r="L44" s="2306"/>
      <c r="O44" s="67"/>
      <c r="P44" s="67"/>
      <c r="Q44" s="67"/>
      <c r="R44" s="4"/>
      <c r="S44" s="4"/>
      <c r="T44" s="4"/>
      <c r="U44" s="2300"/>
      <c r="AD44" s="2307"/>
    </row>
    <row r="45" spans="1:30" ht="15" customHeight="1" thickBot="1">
      <c r="K45" s="2161"/>
    </row>
    <row r="46" spans="1:30" ht="15" customHeight="1" thickTop="1">
      <c r="B46" s="2353" t="s">
        <v>3477</v>
      </c>
      <c r="C46" s="2354"/>
      <c r="D46" s="2354"/>
      <c r="E46" s="2354"/>
      <c r="F46" s="2355"/>
      <c r="G46" s="2354"/>
      <c r="H46" s="2356"/>
      <c r="L46" s="2357" t="s">
        <v>3513</v>
      </c>
    </row>
    <row r="47" spans="1:30" ht="29.25" customHeight="1" thickBot="1">
      <c r="B47" s="2358" t="s">
        <v>3479</v>
      </c>
      <c r="C47" s="2359" t="s">
        <v>3480</v>
      </c>
      <c r="D47" s="2359" t="s">
        <v>3481</v>
      </c>
      <c r="E47" s="2359" t="s">
        <v>3482</v>
      </c>
      <c r="F47" s="2359" t="s">
        <v>3483</v>
      </c>
      <c r="G47" s="2360" t="s">
        <v>3484</v>
      </c>
      <c r="H47" s="2361" t="s">
        <v>3485</v>
      </c>
      <c r="K47" s="2362" t="s">
        <v>3486</v>
      </c>
    </row>
    <row r="48" spans="1:30" ht="15" customHeight="1" thickTop="1">
      <c r="B48" s="2363"/>
      <c r="C48" s="2364"/>
      <c r="D48" s="2364"/>
      <c r="E48" s="2364"/>
      <c r="F48" s="2364"/>
      <c r="G48" s="2363">
        <f>SUM(C48:F48)</f>
        <v>0</v>
      </c>
      <c r="H48" s="2363">
        <f>1.71*G48*B48^1.5</f>
        <v>0</v>
      </c>
      <c r="J48" s="2292"/>
    </row>
    <row r="49" spans="1:15" ht="15" customHeight="1">
      <c r="A49" s="2338"/>
      <c r="B49" s="2365"/>
      <c r="C49" s="2365"/>
      <c r="D49" s="2365"/>
      <c r="E49" s="2365"/>
      <c r="F49" s="2365"/>
    </row>
    <row r="50" spans="1:15" ht="15" customHeight="1" thickBot="1">
      <c r="A50" s="2338"/>
      <c r="B50" s="2365"/>
      <c r="C50" s="2365"/>
      <c r="D50" s="2365"/>
      <c r="E50" s="2365"/>
      <c r="F50" s="2365"/>
    </row>
    <row r="51" spans="1:15" ht="15" customHeight="1" thickTop="1">
      <c r="A51" s="2338"/>
      <c r="B51" s="2353" t="s">
        <v>3487</v>
      </c>
      <c r="C51" s="2354"/>
      <c r="D51" s="2354"/>
      <c r="E51" s="2354"/>
      <c r="F51" s="2355"/>
      <c r="G51" s="2354"/>
      <c r="H51" s="2356"/>
      <c r="L51" s="2357" t="s">
        <v>3513</v>
      </c>
    </row>
    <row r="52" spans="1:15" ht="29.25" customHeight="1" thickBot="1">
      <c r="A52" s="2338"/>
      <c r="B52" s="2358" t="s">
        <v>3479</v>
      </c>
      <c r="C52" s="2359" t="s">
        <v>3480</v>
      </c>
      <c r="D52" s="2359" t="s">
        <v>3481</v>
      </c>
      <c r="E52" s="2359" t="s">
        <v>3482</v>
      </c>
      <c r="F52" s="2359" t="s">
        <v>3483</v>
      </c>
      <c r="G52" s="2360" t="s">
        <v>3484</v>
      </c>
      <c r="H52" s="2361" t="s">
        <v>3485</v>
      </c>
      <c r="K52" s="2362" t="s">
        <v>3488</v>
      </c>
      <c r="O52" s="2366"/>
    </row>
    <row r="53" spans="1:15" ht="15" customHeight="1" thickTop="1">
      <c r="A53" s="2338"/>
      <c r="B53" s="2363"/>
      <c r="C53" s="2364"/>
      <c r="D53" s="2364"/>
      <c r="E53" s="2364"/>
      <c r="F53" s="2364"/>
      <c r="G53" s="2363">
        <f>SUM(C53:F53)</f>
        <v>0</v>
      </c>
      <c r="H53" s="2322">
        <f>1.55*G53*B53^1.42</f>
        <v>0</v>
      </c>
    </row>
    <row r="54" spans="1:15" ht="15" customHeight="1">
      <c r="A54" s="2338"/>
      <c r="B54" s="2365"/>
      <c r="C54" s="2365"/>
      <c r="D54" s="2365"/>
      <c r="E54" s="2365"/>
      <c r="F54" s="2365"/>
    </row>
    <row r="55" spans="1:15" ht="15" customHeight="1" thickBot="1">
      <c r="A55" s="2338"/>
      <c r="B55" s="2365"/>
      <c r="C55" s="2365"/>
      <c r="D55" s="2365"/>
      <c r="E55" s="2365"/>
      <c r="F55" s="2365"/>
    </row>
    <row r="56" spans="1:15" ht="15" customHeight="1" thickTop="1">
      <c r="A56" s="2338"/>
      <c r="B56" s="3205" t="s">
        <v>3489</v>
      </c>
      <c r="C56" s="3206"/>
      <c r="D56" s="3206"/>
      <c r="E56" s="3206"/>
      <c r="F56" s="3206"/>
      <c r="G56" s="3206"/>
      <c r="H56" s="3207"/>
      <c r="I56" s="68"/>
      <c r="L56" s="2357" t="s">
        <v>3514</v>
      </c>
    </row>
    <row r="57" spans="1:15" ht="38.25" customHeight="1" thickBot="1">
      <c r="A57" s="2338"/>
      <c r="B57" s="2358" t="s">
        <v>3479</v>
      </c>
      <c r="C57" s="2359" t="s">
        <v>3491</v>
      </c>
      <c r="D57" s="2359" t="s">
        <v>3052</v>
      </c>
      <c r="E57" s="2367" t="s">
        <v>3492</v>
      </c>
      <c r="F57" s="2367" t="s">
        <v>3493</v>
      </c>
      <c r="G57" s="2367" t="s">
        <v>3494</v>
      </c>
      <c r="H57" s="2368" t="s">
        <v>3495</v>
      </c>
      <c r="K57" s="2362" t="s">
        <v>3496</v>
      </c>
    </row>
    <row r="58" spans="1:15" ht="15" customHeight="1" thickTop="1">
      <c r="A58" s="2338"/>
      <c r="B58" s="2363" t="e">
        <f>H26</f>
        <v>#N/A</v>
      </c>
      <c r="C58" s="2363">
        <v>1</v>
      </c>
      <c r="D58" s="2363">
        <v>1.1270870440513192</v>
      </c>
      <c r="E58" s="2364" t="e">
        <f>B58-D58/2</f>
        <v>#N/A</v>
      </c>
      <c r="F58" s="2369">
        <v>1</v>
      </c>
      <c r="G58" s="2363" t="e">
        <f>(2.791*C58*D58*E58^0.5)*F58</f>
        <v>#N/A</v>
      </c>
      <c r="H58" s="2370" t="e">
        <f>G58</f>
        <v>#N/A</v>
      </c>
      <c r="M58" s="2371" t="e">
        <f>D26</f>
        <v>#N/A</v>
      </c>
    </row>
    <row r="59" spans="1:15" ht="15" customHeight="1">
      <c r="A59" s="2338"/>
      <c r="B59" s="2372"/>
      <c r="C59" s="2372"/>
      <c r="D59" s="2372"/>
      <c r="E59" s="2373"/>
      <c r="F59" s="2374"/>
      <c r="G59" s="2372"/>
      <c r="H59" s="2321"/>
      <c r="L59" s="2292"/>
    </row>
    <row r="60" spans="1:15" ht="15" customHeight="1">
      <c r="A60" s="2338"/>
      <c r="B60" s="2372"/>
      <c r="C60" s="2372"/>
      <c r="D60" s="2372"/>
      <c r="E60" s="2373"/>
      <c r="F60" s="2374"/>
      <c r="G60" s="2372"/>
      <c r="H60" s="2321"/>
    </row>
    <row r="61" spans="1:15" ht="15" customHeight="1">
      <c r="A61" s="2338"/>
      <c r="B61" s="2372"/>
      <c r="C61" s="2372"/>
      <c r="D61" s="2372"/>
      <c r="E61" s="2373"/>
      <c r="F61" s="2374"/>
      <c r="G61" s="2372"/>
      <c r="H61" s="2321"/>
    </row>
    <row r="62" spans="1:15" ht="15" customHeight="1">
      <c r="A62" s="2338"/>
      <c r="B62" s="2372"/>
      <c r="C62" s="2372"/>
      <c r="D62" s="2372"/>
      <c r="E62" s="2373"/>
      <c r="F62" s="2374"/>
      <c r="G62" s="2372"/>
      <c r="H62" s="2321"/>
      <c r="K62" s="2375"/>
    </row>
    <row r="63" spans="1:15" ht="15" customHeight="1">
      <c r="A63" s="2338"/>
      <c r="B63" s="2365"/>
      <c r="C63" s="2365"/>
      <c r="D63" s="2376"/>
      <c r="E63" s="2377"/>
      <c r="F63" s="2376"/>
      <c r="G63" s="2365"/>
      <c r="H63" s="2365"/>
      <c r="I63" s="2378"/>
    </row>
    <row r="64" spans="1:15" ht="15" customHeight="1">
      <c r="A64" s="2338"/>
      <c r="B64" s="2365"/>
      <c r="C64" s="2365"/>
      <c r="D64" s="2376"/>
      <c r="E64" s="2377"/>
      <c r="F64" s="2376"/>
      <c r="G64" s="2365"/>
      <c r="H64" s="2365"/>
      <c r="I64" s="2378"/>
    </row>
    <row r="65" spans="1:53" s="68" customFormat="1" ht="15" customHeight="1">
      <c r="A65" s="2305" t="s">
        <v>3497</v>
      </c>
      <c r="B65" s="2305" t="s">
        <v>3498</v>
      </c>
      <c r="C65" s="2305"/>
      <c r="D65" s="2306"/>
      <c r="E65" s="2306"/>
      <c r="F65" s="2306"/>
      <c r="G65" s="2306"/>
      <c r="H65" s="2306"/>
      <c r="I65" s="2306"/>
      <c r="J65" s="2306"/>
      <c r="K65" s="2306"/>
      <c r="L65" s="2306"/>
      <c r="O65" s="67"/>
      <c r="P65" s="67"/>
      <c r="Q65" s="67"/>
      <c r="R65" s="4"/>
      <c r="S65" s="4"/>
      <c r="T65" s="4"/>
      <c r="U65" s="2300"/>
      <c r="AD65" s="2307"/>
    </row>
    <row r="67" spans="1:53" ht="15" customHeight="1" thickBot="1">
      <c r="B67" s="2379" t="s">
        <v>3515</v>
      </c>
      <c r="F67" s="2380" t="s">
        <v>3500</v>
      </c>
      <c r="H67" s="2379" t="s">
        <v>3515</v>
      </c>
      <c r="L67" s="2380" t="s">
        <v>3496</v>
      </c>
    </row>
    <row r="68" spans="1:53" s="68" customFormat="1" ht="15" customHeight="1" thickTop="1">
      <c r="B68" s="2381" t="s">
        <v>3501</v>
      </c>
      <c r="C68" s="2382"/>
      <c r="D68" s="2382"/>
      <c r="E68" s="2382"/>
      <c r="F68" s="2383"/>
      <c r="G68" s="3193" t="s">
        <v>3502</v>
      </c>
      <c r="H68" s="3194"/>
      <c r="I68" s="3194"/>
      <c r="J68" s="3194"/>
      <c r="K68" s="3194"/>
      <c r="L68" s="3195"/>
      <c r="AP68" s="2300"/>
      <c r="AQ68" s="2300"/>
      <c r="AR68" s="2300"/>
      <c r="AS68" s="2300"/>
      <c r="AT68" s="2300"/>
      <c r="AU68" s="2300"/>
      <c r="AV68" s="2300"/>
      <c r="AW68" s="2300"/>
      <c r="AX68" s="2300"/>
      <c r="AY68" s="2300"/>
      <c r="AZ68" s="2300"/>
      <c r="BA68" s="2300"/>
    </row>
    <row r="69" spans="1:53" s="68" customFormat="1" ht="29.25" customHeight="1" thickBot="1">
      <c r="B69" s="2384" t="s">
        <v>3503</v>
      </c>
      <c r="C69" s="2359" t="s">
        <v>3504</v>
      </c>
      <c r="D69" s="2367" t="s">
        <v>3492</v>
      </c>
      <c r="E69" s="2360" t="s">
        <v>3505</v>
      </c>
      <c r="F69" s="2361" t="s">
        <v>3485</v>
      </c>
      <c r="G69" s="2384" t="s">
        <v>3503</v>
      </c>
      <c r="H69" s="2359" t="s">
        <v>3491</v>
      </c>
      <c r="I69" s="2359" t="s">
        <v>3052</v>
      </c>
      <c r="J69" s="2367" t="s">
        <v>3492</v>
      </c>
      <c r="K69" s="2385" t="s">
        <v>3505</v>
      </c>
      <c r="L69" s="2361" t="s">
        <v>3485</v>
      </c>
      <c r="AP69" s="2300"/>
      <c r="AQ69" s="2300"/>
      <c r="AR69" s="2300"/>
      <c r="AS69" s="2300"/>
      <c r="AT69" s="2300"/>
      <c r="AU69" s="2300"/>
      <c r="AV69" s="2300"/>
      <c r="AW69" s="2300"/>
      <c r="AX69" s="2300"/>
      <c r="AY69" s="2300"/>
      <c r="AZ69" s="2300"/>
      <c r="BA69" s="2300"/>
    </row>
    <row r="70" spans="1:53" ht="15" customHeight="1" thickTop="1">
      <c r="B70" s="2386">
        <v>1</v>
      </c>
      <c r="C70" s="2363">
        <v>1.5</v>
      </c>
      <c r="D70" s="2363">
        <v>1.2214189870885843</v>
      </c>
      <c r="E70" s="2363">
        <f>2.79*D70^0.5</f>
        <v>3.08344734629866</v>
      </c>
      <c r="F70" s="2370">
        <f>IF(D70=0,+B70*C70^2.5*1.533,2.192*C70^2*D70^0.5*B70)</f>
        <v>5.4507391799085996</v>
      </c>
      <c r="G70" s="2387">
        <v>1</v>
      </c>
      <c r="H70" s="2322">
        <v>1.5</v>
      </c>
      <c r="I70" s="2322">
        <v>1.5</v>
      </c>
      <c r="J70" s="2322">
        <v>0.75323311010636329</v>
      </c>
      <c r="K70" s="2322">
        <f>2.79*J70^0.5</f>
        <v>2.4214131932363263</v>
      </c>
      <c r="L70" s="2322">
        <f>IF(J70=0,+G70*H70*I70^1.5*1.705,2.791*H70*I70*J70^0.5*G70)</f>
        <v>5.450132437356924</v>
      </c>
    </row>
    <row r="73" spans="1:53" ht="15" customHeight="1" thickBot="1">
      <c r="B73" s="2379" t="s">
        <v>3515</v>
      </c>
      <c r="F73" s="2380" t="s">
        <v>3506</v>
      </c>
      <c r="H73" s="2379" t="s">
        <v>3515</v>
      </c>
      <c r="L73" s="2380" t="s">
        <v>3507</v>
      </c>
    </row>
    <row r="74" spans="1:53" ht="15" customHeight="1" thickTop="1">
      <c r="B74" s="2381" t="s">
        <v>3508</v>
      </c>
      <c r="C74" s="2382"/>
      <c r="D74" s="2382"/>
      <c r="E74" s="2382"/>
      <c r="F74" s="2383"/>
      <c r="G74" s="3193" t="s">
        <v>3509</v>
      </c>
      <c r="H74" s="3194"/>
      <c r="I74" s="3194"/>
      <c r="J74" s="3194"/>
      <c r="K74" s="3194"/>
      <c r="L74" s="3195"/>
      <c r="M74" s="68"/>
    </row>
    <row r="75" spans="1:53" ht="29.25" customHeight="1" thickBot="1">
      <c r="B75" s="2384" t="s">
        <v>3503</v>
      </c>
      <c r="C75" s="2359" t="s">
        <v>3504</v>
      </c>
      <c r="D75" s="2360" t="s">
        <v>3510</v>
      </c>
      <c r="E75" s="2360" t="s">
        <v>3505</v>
      </c>
      <c r="F75" s="2361" t="s">
        <v>3485</v>
      </c>
      <c r="G75" s="2384" t="s">
        <v>3503</v>
      </c>
      <c r="H75" s="2359" t="s">
        <v>3491</v>
      </c>
      <c r="I75" s="2359" t="s">
        <v>3052</v>
      </c>
      <c r="J75" s="2385" t="s">
        <v>3510</v>
      </c>
      <c r="K75" s="2385" t="s">
        <v>3505</v>
      </c>
      <c r="L75" s="2361" t="s">
        <v>3485</v>
      </c>
      <c r="M75" s="68"/>
    </row>
    <row r="76" spans="1:53" ht="15" customHeight="1" thickTop="1">
      <c r="B76" s="2386">
        <f>B70</f>
        <v>1</v>
      </c>
      <c r="C76" s="2363">
        <f>C70</f>
        <v>1.5</v>
      </c>
      <c r="D76" s="2363">
        <f>0.739/C76^(0.333333333333333)</f>
        <v>0.64557596344012502</v>
      </c>
      <c r="E76" s="2363">
        <f>2.56*C76^0.5</f>
        <v>3.1353468707624677</v>
      </c>
      <c r="F76" s="2363">
        <f>B76*1.533*C76^2.5</f>
        <v>4.2244512476474387</v>
      </c>
      <c r="G76" s="2388">
        <f>G70</f>
        <v>1</v>
      </c>
      <c r="H76" s="2370">
        <f>H70</f>
        <v>1.5</v>
      </c>
      <c r="I76" s="2370">
        <f>I70</f>
        <v>1.5</v>
      </c>
      <c r="J76" s="2370">
        <f>IF(H76=0,0,0.0585/I76^0.333333333333333*(3+4*I76/H76)^(1.33333333333333))</f>
        <v>0.68431516812266135</v>
      </c>
      <c r="K76" s="2370">
        <f>2.56*I76^0.5</f>
        <v>3.1353468707624677</v>
      </c>
      <c r="L76" s="2370">
        <f>G76*H76*I76^1.5*1.705</f>
        <v>4.6984275128759831</v>
      </c>
      <c r="M76" s="2292"/>
    </row>
  </sheetData>
  <mergeCells count="12">
    <mergeCell ref="G74:L74"/>
    <mergeCell ref="B9:B11"/>
    <mergeCell ref="C9:C11"/>
    <mergeCell ref="D9:D11"/>
    <mergeCell ref="E9:E11"/>
    <mergeCell ref="F9:F11"/>
    <mergeCell ref="G9:G11"/>
    <mergeCell ref="H9:H11"/>
    <mergeCell ref="I9:L9"/>
    <mergeCell ref="I10:L11"/>
    <mergeCell ref="B56:H56"/>
    <mergeCell ref="G68:L68"/>
  </mergeCells>
  <dataValidations count="2">
    <dataValidation allowBlank="1" showInputMessage="1" showErrorMessage="1" prompt="saída sem_x000a_passar pela_x000a_obra de arte" sqref="WVJ1048561:WVJ1048562 WLN1048561:WLN1048562 WBR1048561:WBR1048562 VRV1048561:VRV1048562 VHZ1048561:VHZ1048562 UYD1048561:UYD1048562 UOH1048561:UOH1048562 UEL1048561:UEL1048562 TUP1048561:TUP1048562 TKT1048561:TKT1048562 TAX1048561:TAX1048562 SRB1048561:SRB1048562 SHF1048561:SHF1048562 RXJ1048561:RXJ1048562 RNN1048561:RNN1048562 RDR1048561:RDR1048562 QTV1048561:QTV1048562 QJZ1048561:QJZ1048562 QAD1048561:QAD1048562 PQH1048561:PQH1048562 PGL1048561:PGL1048562 OWP1048561:OWP1048562 OMT1048561:OMT1048562 OCX1048561:OCX1048562 NTB1048561:NTB1048562 NJF1048561:NJF1048562 MZJ1048561:MZJ1048562 MPN1048561:MPN1048562 MFR1048561:MFR1048562 LVV1048561:LVV1048562 LLZ1048561:LLZ1048562 LCD1048561:LCD1048562 KSH1048561:KSH1048562 KIL1048561:KIL1048562 JYP1048561:JYP1048562 JOT1048561:JOT1048562 JEX1048561:JEX1048562 IVB1048561:IVB1048562 ILF1048561:ILF1048562 IBJ1048561:IBJ1048562 HRN1048561:HRN1048562 HHR1048561:HHR1048562 GXV1048561:GXV1048562 GNZ1048561:GNZ1048562 GED1048561:GED1048562 FUH1048561:FUH1048562 FKL1048561:FKL1048562 FAP1048561:FAP1048562 EQT1048561:EQT1048562 EGX1048561:EGX1048562 DXB1048561:DXB1048562 DNF1048561:DNF1048562 DDJ1048561:DDJ1048562 CTN1048561:CTN1048562 CJR1048561:CJR1048562 BZV1048561:BZV1048562 BPZ1048561:BPZ1048562 BGD1048561:BGD1048562 AWH1048561:AWH1048562 AML1048561:AML1048562 ACP1048561:ACP1048562 ST1048561:ST1048562 IX1048561:IX1048562 WVJ983025:WVJ983026 WLN983025:WLN983026 WBR983025:WBR983026 VRV983025:VRV983026 VHZ983025:VHZ983026 UYD983025:UYD983026 UOH983025:UOH983026 UEL983025:UEL983026 TUP983025:TUP983026 TKT983025:TKT983026 TAX983025:TAX983026 SRB983025:SRB983026 SHF983025:SHF983026 RXJ983025:RXJ983026 RNN983025:RNN983026 RDR983025:RDR983026 QTV983025:QTV983026 QJZ983025:QJZ983026 QAD983025:QAD983026 PQH983025:PQH983026 PGL983025:PGL983026 OWP983025:OWP983026 OMT983025:OMT983026 OCX983025:OCX983026 NTB983025:NTB983026 NJF983025:NJF983026 MZJ983025:MZJ983026 MPN983025:MPN983026 MFR983025:MFR983026 LVV983025:LVV983026 LLZ983025:LLZ983026 LCD983025:LCD983026 KSH983025:KSH983026 KIL983025:KIL983026 JYP983025:JYP983026 JOT983025:JOT983026 JEX983025:JEX983026 IVB983025:IVB983026 ILF983025:ILF983026 IBJ983025:IBJ983026 HRN983025:HRN983026 HHR983025:HHR983026 GXV983025:GXV983026 GNZ983025:GNZ983026 GED983025:GED983026 FUH983025:FUH983026 FKL983025:FKL983026 FAP983025:FAP983026 EQT983025:EQT983026 EGX983025:EGX983026 DXB983025:DXB983026 DNF983025:DNF983026 DDJ983025:DDJ983026 CTN983025:CTN983026 CJR983025:CJR983026 BZV983025:BZV983026 BPZ983025:BPZ983026 BGD983025:BGD983026 AWH983025:AWH983026 AML983025:AML983026 ACP983025:ACP983026 ST983025:ST983026 IX983025:IX983026 WVJ917489:WVJ917490 WLN917489:WLN917490 WBR917489:WBR917490 VRV917489:VRV917490 VHZ917489:VHZ917490 UYD917489:UYD917490 UOH917489:UOH917490 UEL917489:UEL917490 TUP917489:TUP917490 TKT917489:TKT917490 TAX917489:TAX917490 SRB917489:SRB917490 SHF917489:SHF917490 RXJ917489:RXJ917490 RNN917489:RNN917490 RDR917489:RDR917490 QTV917489:QTV917490 QJZ917489:QJZ917490 QAD917489:QAD917490 PQH917489:PQH917490 PGL917489:PGL917490 OWP917489:OWP917490 OMT917489:OMT917490 OCX917489:OCX917490 NTB917489:NTB917490 NJF917489:NJF917490 MZJ917489:MZJ917490 MPN917489:MPN917490 MFR917489:MFR917490 LVV917489:LVV917490 LLZ917489:LLZ917490 LCD917489:LCD917490 KSH917489:KSH917490 KIL917489:KIL917490 JYP917489:JYP917490 JOT917489:JOT917490 JEX917489:JEX917490 IVB917489:IVB917490 ILF917489:ILF917490 IBJ917489:IBJ917490 HRN917489:HRN917490 HHR917489:HHR917490 GXV917489:GXV917490 GNZ917489:GNZ917490 GED917489:GED917490 FUH917489:FUH917490 FKL917489:FKL917490 FAP917489:FAP917490 EQT917489:EQT917490 EGX917489:EGX917490 DXB917489:DXB917490 DNF917489:DNF917490 DDJ917489:DDJ917490 CTN917489:CTN917490 CJR917489:CJR917490 BZV917489:BZV917490 BPZ917489:BPZ917490 BGD917489:BGD917490 AWH917489:AWH917490 AML917489:AML917490 ACP917489:ACP917490 ST917489:ST917490 IX917489:IX917490 WVJ851953:WVJ851954 WLN851953:WLN851954 WBR851953:WBR851954 VRV851953:VRV851954 VHZ851953:VHZ851954 UYD851953:UYD851954 UOH851953:UOH851954 UEL851953:UEL851954 TUP851953:TUP851954 TKT851953:TKT851954 TAX851953:TAX851954 SRB851953:SRB851954 SHF851953:SHF851954 RXJ851953:RXJ851954 RNN851953:RNN851954 RDR851953:RDR851954 QTV851953:QTV851954 QJZ851953:QJZ851954 QAD851953:QAD851954 PQH851953:PQH851954 PGL851953:PGL851954 OWP851953:OWP851954 OMT851953:OMT851954 OCX851953:OCX851954 NTB851953:NTB851954 NJF851953:NJF851954 MZJ851953:MZJ851954 MPN851953:MPN851954 MFR851953:MFR851954 LVV851953:LVV851954 LLZ851953:LLZ851954 LCD851953:LCD851954 KSH851953:KSH851954 KIL851953:KIL851954 JYP851953:JYP851954 JOT851953:JOT851954 JEX851953:JEX851954 IVB851953:IVB851954 ILF851953:ILF851954 IBJ851953:IBJ851954 HRN851953:HRN851954 HHR851953:HHR851954 GXV851953:GXV851954 GNZ851953:GNZ851954 GED851953:GED851954 FUH851953:FUH851954 FKL851953:FKL851954 FAP851953:FAP851954 EQT851953:EQT851954 EGX851953:EGX851954 DXB851953:DXB851954 DNF851953:DNF851954 DDJ851953:DDJ851954 CTN851953:CTN851954 CJR851953:CJR851954 BZV851953:BZV851954 BPZ851953:BPZ851954 BGD851953:BGD851954 AWH851953:AWH851954 AML851953:AML851954 ACP851953:ACP851954 ST851953:ST851954 IX851953:IX851954 WVJ786417:WVJ786418 WLN786417:WLN786418 WBR786417:WBR786418 VRV786417:VRV786418 VHZ786417:VHZ786418 UYD786417:UYD786418 UOH786417:UOH786418 UEL786417:UEL786418 TUP786417:TUP786418 TKT786417:TKT786418 TAX786417:TAX786418 SRB786417:SRB786418 SHF786417:SHF786418 RXJ786417:RXJ786418 RNN786417:RNN786418 RDR786417:RDR786418 QTV786417:QTV786418 QJZ786417:QJZ786418 QAD786417:QAD786418 PQH786417:PQH786418 PGL786417:PGL786418 OWP786417:OWP786418 OMT786417:OMT786418 OCX786417:OCX786418 NTB786417:NTB786418 NJF786417:NJF786418 MZJ786417:MZJ786418 MPN786417:MPN786418 MFR786417:MFR786418 LVV786417:LVV786418 LLZ786417:LLZ786418 LCD786417:LCD786418 KSH786417:KSH786418 KIL786417:KIL786418 JYP786417:JYP786418 JOT786417:JOT786418 JEX786417:JEX786418 IVB786417:IVB786418 ILF786417:ILF786418 IBJ786417:IBJ786418 HRN786417:HRN786418 HHR786417:HHR786418 GXV786417:GXV786418 GNZ786417:GNZ786418 GED786417:GED786418 FUH786417:FUH786418 FKL786417:FKL786418 FAP786417:FAP786418 EQT786417:EQT786418 EGX786417:EGX786418 DXB786417:DXB786418 DNF786417:DNF786418 DDJ786417:DDJ786418 CTN786417:CTN786418 CJR786417:CJR786418 BZV786417:BZV786418 BPZ786417:BPZ786418 BGD786417:BGD786418 AWH786417:AWH786418 AML786417:AML786418 ACP786417:ACP786418 ST786417:ST786418 IX786417:IX786418 WVJ720881:WVJ720882 WLN720881:WLN720882 WBR720881:WBR720882 VRV720881:VRV720882 VHZ720881:VHZ720882 UYD720881:UYD720882 UOH720881:UOH720882 UEL720881:UEL720882 TUP720881:TUP720882 TKT720881:TKT720882 TAX720881:TAX720882 SRB720881:SRB720882 SHF720881:SHF720882 RXJ720881:RXJ720882 RNN720881:RNN720882 RDR720881:RDR720882 QTV720881:QTV720882 QJZ720881:QJZ720882 QAD720881:QAD720882 PQH720881:PQH720882 PGL720881:PGL720882 OWP720881:OWP720882 OMT720881:OMT720882 OCX720881:OCX720882 NTB720881:NTB720882 NJF720881:NJF720882 MZJ720881:MZJ720882 MPN720881:MPN720882 MFR720881:MFR720882 LVV720881:LVV720882 LLZ720881:LLZ720882 LCD720881:LCD720882 KSH720881:KSH720882 KIL720881:KIL720882 JYP720881:JYP720882 JOT720881:JOT720882 JEX720881:JEX720882 IVB720881:IVB720882 ILF720881:ILF720882 IBJ720881:IBJ720882 HRN720881:HRN720882 HHR720881:HHR720882 GXV720881:GXV720882 GNZ720881:GNZ720882 GED720881:GED720882 FUH720881:FUH720882 FKL720881:FKL720882 FAP720881:FAP720882 EQT720881:EQT720882 EGX720881:EGX720882 DXB720881:DXB720882 DNF720881:DNF720882 DDJ720881:DDJ720882 CTN720881:CTN720882 CJR720881:CJR720882 BZV720881:BZV720882 BPZ720881:BPZ720882 BGD720881:BGD720882 AWH720881:AWH720882 AML720881:AML720882 ACP720881:ACP720882 ST720881:ST720882 IX720881:IX720882 WVJ655345:WVJ655346 WLN655345:WLN655346 WBR655345:WBR655346 VRV655345:VRV655346 VHZ655345:VHZ655346 UYD655345:UYD655346 UOH655345:UOH655346 UEL655345:UEL655346 TUP655345:TUP655346 TKT655345:TKT655346 TAX655345:TAX655346 SRB655345:SRB655346 SHF655345:SHF655346 RXJ655345:RXJ655346 RNN655345:RNN655346 RDR655345:RDR655346 QTV655345:QTV655346 QJZ655345:QJZ655346 QAD655345:QAD655346 PQH655345:PQH655346 PGL655345:PGL655346 OWP655345:OWP655346 OMT655345:OMT655346 OCX655345:OCX655346 NTB655345:NTB655346 NJF655345:NJF655346 MZJ655345:MZJ655346 MPN655345:MPN655346 MFR655345:MFR655346 LVV655345:LVV655346 LLZ655345:LLZ655346 LCD655345:LCD655346 KSH655345:KSH655346 KIL655345:KIL655346 JYP655345:JYP655346 JOT655345:JOT655346 JEX655345:JEX655346 IVB655345:IVB655346 ILF655345:ILF655346 IBJ655345:IBJ655346 HRN655345:HRN655346 HHR655345:HHR655346 GXV655345:GXV655346 GNZ655345:GNZ655346 GED655345:GED655346 FUH655345:FUH655346 FKL655345:FKL655346 FAP655345:FAP655346 EQT655345:EQT655346 EGX655345:EGX655346 DXB655345:DXB655346 DNF655345:DNF655346 DDJ655345:DDJ655346 CTN655345:CTN655346 CJR655345:CJR655346 BZV655345:BZV655346 BPZ655345:BPZ655346 BGD655345:BGD655346 AWH655345:AWH655346 AML655345:AML655346 ACP655345:ACP655346 ST655345:ST655346 IX655345:IX655346 WVJ589809:WVJ589810 WLN589809:WLN589810 WBR589809:WBR589810 VRV589809:VRV589810 VHZ589809:VHZ589810 UYD589809:UYD589810 UOH589809:UOH589810 UEL589809:UEL589810 TUP589809:TUP589810 TKT589809:TKT589810 TAX589809:TAX589810 SRB589809:SRB589810 SHF589809:SHF589810 RXJ589809:RXJ589810 RNN589809:RNN589810 RDR589809:RDR589810 QTV589809:QTV589810 QJZ589809:QJZ589810 QAD589809:QAD589810 PQH589809:PQH589810 PGL589809:PGL589810 OWP589809:OWP589810 OMT589809:OMT589810 OCX589809:OCX589810 NTB589809:NTB589810 NJF589809:NJF589810 MZJ589809:MZJ589810 MPN589809:MPN589810 MFR589809:MFR589810 LVV589809:LVV589810 LLZ589809:LLZ589810 LCD589809:LCD589810 KSH589809:KSH589810 KIL589809:KIL589810 JYP589809:JYP589810 JOT589809:JOT589810 JEX589809:JEX589810 IVB589809:IVB589810 ILF589809:ILF589810 IBJ589809:IBJ589810 HRN589809:HRN589810 HHR589809:HHR589810 GXV589809:GXV589810 GNZ589809:GNZ589810 GED589809:GED589810 FUH589809:FUH589810 FKL589809:FKL589810 FAP589809:FAP589810 EQT589809:EQT589810 EGX589809:EGX589810 DXB589809:DXB589810 DNF589809:DNF589810 DDJ589809:DDJ589810 CTN589809:CTN589810 CJR589809:CJR589810 BZV589809:BZV589810 BPZ589809:BPZ589810 BGD589809:BGD589810 AWH589809:AWH589810 AML589809:AML589810 ACP589809:ACP589810 ST589809:ST589810 IX589809:IX589810 WVJ524273:WVJ524274 WLN524273:WLN524274 WBR524273:WBR524274 VRV524273:VRV524274 VHZ524273:VHZ524274 UYD524273:UYD524274 UOH524273:UOH524274 UEL524273:UEL524274 TUP524273:TUP524274 TKT524273:TKT524274 TAX524273:TAX524274 SRB524273:SRB524274 SHF524273:SHF524274 RXJ524273:RXJ524274 RNN524273:RNN524274 RDR524273:RDR524274 QTV524273:QTV524274 QJZ524273:QJZ524274 QAD524273:QAD524274 PQH524273:PQH524274 PGL524273:PGL524274 OWP524273:OWP524274 OMT524273:OMT524274 OCX524273:OCX524274 NTB524273:NTB524274 NJF524273:NJF524274 MZJ524273:MZJ524274 MPN524273:MPN524274 MFR524273:MFR524274 LVV524273:LVV524274 LLZ524273:LLZ524274 LCD524273:LCD524274 KSH524273:KSH524274 KIL524273:KIL524274 JYP524273:JYP524274 JOT524273:JOT524274 JEX524273:JEX524274 IVB524273:IVB524274 ILF524273:ILF524274 IBJ524273:IBJ524274 HRN524273:HRN524274 HHR524273:HHR524274 GXV524273:GXV524274 GNZ524273:GNZ524274 GED524273:GED524274 FUH524273:FUH524274 FKL524273:FKL524274 FAP524273:FAP524274 EQT524273:EQT524274 EGX524273:EGX524274 DXB524273:DXB524274 DNF524273:DNF524274 DDJ524273:DDJ524274 CTN524273:CTN524274 CJR524273:CJR524274 BZV524273:BZV524274 BPZ524273:BPZ524274 BGD524273:BGD524274 AWH524273:AWH524274 AML524273:AML524274 ACP524273:ACP524274 ST524273:ST524274 IX524273:IX524274 WVJ458737:WVJ458738 WLN458737:WLN458738 WBR458737:WBR458738 VRV458737:VRV458738 VHZ458737:VHZ458738 UYD458737:UYD458738 UOH458737:UOH458738 UEL458737:UEL458738 TUP458737:TUP458738 TKT458737:TKT458738 TAX458737:TAX458738 SRB458737:SRB458738 SHF458737:SHF458738 RXJ458737:RXJ458738 RNN458737:RNN458738 RDR458737:RDR458738 QTV458737:QTV458738 QJZ458737:QJZ458738 QAD458737:QAD458738 PQH458737:PQH458738 PGL458737:PGL458738 OWP458737:OWP458738 OMT458737:OMT458738 OCX458737:OCX458738 NTB458737:NTB458738 NJF458737:NJF458738 MZJ458737:MZJ458738 MPN458737:MPN458738 MFR458737:MFR458738 LVV458737:LVV458738 LLZ458737:LLZ458738 LCD458737:LCD458738 KSH458737:KSH458738 KIL458737:KIL458738 JYP458737:JYP458738 JOT458737:JOT458738 JEX458737:JEX458738 IVB458737:IVB458738 ILF458737:ILF458738 IBJ458737:IBJ458738 HRN458737:HRN458738 HHR458737:HHR458738 GXV458737:GXV458738 GNZ458737:GNZ458738 GED458737:GED458738 FUH458737:FUH458738 FKL458737:FKL458738 FAP458737:FAP458738 EQT458737:EQT458738 EGX458737:EGX458738 DXB458737:DXB458738 DNF458737:DNF458738 DDJ458737:DDJ458738 CTN458737:CTN458738 CJR458737:CJR458738 BZV458737:BZV458738 BPZ458737:BPZ458738 BGD458737:BGD458738 AWH458737:AWH458738 AML458737:AML458738 ACP458737:ACP458738 ST458737:ST458738 IX458737:IX458738 WVJ393201:WVJ393202 WLN393201:WLN393202 WBR393201:WBR393202 VRV393201:VRV393202 VHZ393201:VHZ393202 UYD393201:UYD393202 UOH393201:UOH393202 UEL393201:UEL393202 TUP393201:TUP393202 TKT393201:TKT393202 TAX393201:TAX393202 SRB393201:SRB393202 SHF393201:SHF393202 RXJ393201:RXJ393202 RNN393201:RNN393202 RDR393201:RDR393202 QTV393201:QTV393202 QJZ393201:QJZ393202 QAD393201:QAD393202 PQH393201:PQH393202 PGL393201:PGL393202 OWP393201:OWP393202 OMT393201:OMT393202 OCX393201:OCX393202 NTB393201:NTB393202 NJF393201:NJF393202 MZJ393201:MZJ393202 MPN393201:MPN393202 MFR393201:MFR393202 LVV393201:LVV393202 LLZ393201:LLZ393202 LCD393201:LCD393202 KSH393201:KSH393202 KIL393201:KIL393202 JYP393201:JYP393202 JOT393201:JOT393202 JEX393201:JEX393202 IVB393201:IVB393202 ILF393201:ILF393202 IBJ393201:IBJ393202 HRN393201:HRN393202 HHR393201:HHR393202 GXV393201:GXV393202 GNZ393201:GNZ393202 GED393201:GED393202 FUH393201:FUH393202 FKL393201:FKL393202 FAP393201:FAP393202 EQT393201:EQT393202 EGX393201:EGX393202 DXB393201:DXB393202 DNF393201:DNF393202 DDJ393201:DDJ393202 CTN393201:CTN393202 CJR393201:CJR393202 BZV393201:BZV393202 BPZ393201:BPZ393202 BGD393201:BGD393202 AWH393201:AWH393202 AML393201:AML393202 ACP393201:ACP393202 ST393201:ST393202 IX393201:IX393202 WVJ327665:WVJ327666 WLN327665:WLN327666 WBR327665:WBR327666 VRV327665:VRV327666 VHZ327665:VHZ327666 UYD327665:UYD327666 UOH327665:UOH327666 UEL327665:UEL327666 TUP327665:TUP327666 TKT327665:TKT327666 TAX327665:TAX327666 SRB327665:SRB327666 SHF327665:SHF327666 RXJ327665:RXJ327666 RNN327665:RNN327666 RDR327665:RDR327666 QTV327665:QTV327666 QJZ327665:QJZ327666 QAD327665:QAD327666 PQH327665:PQH327666 PGL327665:PGL327666 OWP327665:OWP327666 OMT327665:OMT327666 OCX327665:OCX327666 NTB327665:NTB327666 NJF327665:NJF327666 MZJ327665:MZJ327666 MPN327665:MPN327666 MFR327665:MFR327666 LVV327665:LVV327666 LLZ327665:LLZ327666 LCD327665:LCD327666 KSH327665:KSH327666 KIL327665:KIL327666 JYP327665:JYP327666 JOT327665:JOT327666 JEX327665:JEX327666 IVB327665:IVB327666 ILF327665:ILF327666 IBJ327665:IBJ327666 HRN327665:HRN327666 HHR327665:HHR327666 GXV327665:GXV327666 GNZ327665:GNZ327666 GED327665:GED327666 FUH327665:FUH327666 FKL327665:FKL327666 FAP327665:FAP327666 EQT327665:EQT327666 EGX327665:EGX327666 DXB327665:DXB327666 DNF327665:DNF327666 DDJ327665:DDJ327666 CTN327665:CTN327666 CJR327665:CJR327666 BZV327665:BZV327666 BPZ327665:BPZ327666 BGD327665:BGD327666 AWH327665:AWH327666 AML327665:AML327666 ACP327665:ACP327666 ST327665:ST327666 IX327665:IX327666 WVJ262129:WVJ262130 WLN262129:WLN262130 WBR262129:WBR262130 VRV262129:VRV262130 VHZ262129:VHZ262130 UYD262129:UYD262130 UOH262129:UOH262130 UEL262129:UEL262130 TUP262129:TUP262130 TKT262129:TKT262130 TAX262129:TAX262130 SRB262129:SRB262130 SHF262129:SHF262130 RXJ262129:RXJ262130 RNN262129:RNN262130 RDR262129:RDR262130 QTV262129:QTV262130 QJZ262129:QJZ262130 QAD262129:QAD262130 PQH262129:PQH262130 PGL262129:PGL262130 OWP262129:OWP262130 OMT262129:OMT262130 OCX262129:OCX262130 NTB262129:NTB262130 NJF262129:NJF262130 MZJ262129:MZJ262130 MPN262129:MPN262130 MFR262129:MFR262130 LVV262129:LVV262130 LLZ262129:LLZ262130 LCD262129:LCD262130 KSH262129:KSH262130 KIL262129:KIL262130 JYP262129:JYP262130 JOT262129:JOT262130 JEX262129:JEX262130 IVB262129:IVB262130 ILF262129:ILF262130 IBJ262129:IBJ262130 HRN262129:HRN262130 HHR262129:HHR262130 GXV262129:GXV262130 GNZ262129:GNZ262130 GED262129:GED262130 FUH262129:FUH262130 FKL262129:FKL262130 FAP262129:FAP262130 EQT262129:EQT262130 EGX262129:EGX262130 DXB262129:DXB262130 DNF262129:DNF262130 DDJ262129:DDJ262130 CTN262129:CTN262130 CJR262129:CJR262130 BZV262129:BZV262130 BPZ262129:BPZ262130 BGD262129:BGD262130 AWH262129:AWH262130 AML262129:AML262130 ACP262129:ACP262130 ST262129:ST262130 IX262129:IX262130 WVJ196593:WVJ196594 WLN196593:WLN196594 WBR196593:WBR196594 VRV196593:VRV196594 VHZ196593:VHZ196594 UYD196593:UYD196594 UOH196593:UOH196594 UEL196593:UEL196594 TUP196593:TUP196594 TKT196593:TKT196594 TAX196593:TAX196594 SRB196593:SRB196594 SHF196593:SHF196594 RXJ196593:RXJ196594 RNN196593:RNN196594 RDR196593:RDR196594 QTV196593:QTV196594 QJZ196593:QJZ196594 QAD196593:QAD196594 PQH196593:PQH196594 PGL196593:PGL196594 OWP196593:OWP196594 OMT196593:OMT196594 OCX196593:OCX196594 NTB196593:NTB196594 NJF196593:NJF196594 MZJ196593:MZJ196594 MPN196593:MPN196594 MFR196593:MFR196594 LVV196593:LVV196594 LLZ196593:LLZ196594 LCD196593:LCD196594 KSH196593:KSH196594 KIL196593:KIL196594 JYP196593:JYP196594 JOT196593:JOT196594 JEX196593:JEX196594 IVB196593:IVB196594 ILF196593:ILF196594 IBJ196593:IBJ196594 HRN196593:HRN196594 HHR196593:HHR196594 GXV196593:GXV196594 GNZ196593:GNZ196594 GED196593:GED196594 FUH196593:FUH196594 FKL196593:FKL196594 FAP196593:FAP196594 EQT196593:EQT196594 EGX196593:EGX196594 DXB196593:DXB196594 DNF196593:DNF196594 DDJ196593:DDJ196594 CTN196593:CTN196594 CJR196593:CJR196594 BZV196593:BZV196594 BPZ196593:BPZ196594 BGD196593:BGD196594 AWH196593:AWH196594 AML196593:AML196594 ACP196593:ACP196594 ST196593:ST196594 IX196593:IX196594 WVJ131057:WVJ131058 WLN131057:WLN131058 WBR131057:WBR131058 VRV131057:VRV131058 VHZ131057:VHZ131058 UYD131057:UYD131058 UOH131057:UOH131058 UEL131057:UEL131058 TUP131057:TUP131058 TKT131057:TKT131058 TAX131057:TAX131058 SRB131057:SRB131058 SHF131057:SHF131058 RXJ131057:RXJ131058 RNN131057:RNN131058 RDR131057:RDR131058 QTV131057:QTV131058 QJZ131057:QJZ131058 QAD131057:QAD131058 PQH131057:PQH131058 PGL131057:PGL131058 OWP131057:OWP131058 OMT131057:OMT131058 OCX131057:OCX131058 NTB131057:NTB131058 NJF131057:NJF131058 MZJ131057:MZJ131058 MPN131057:MPN131058 MFR131057:MFR131058 LVV131057:LVV131058 LLZ131057:LLZ131058 LCD131057:LCD131058 KSH131057:KSH131058 KIL131057:KIL131058 JYP131057:JYP131058 JOT131057:JOT131058 JEX131057:JEX131058 IVB131057:IVB131058 ILF131057:ILF131058 IBJ131057:IBJ131058 HRN131057:HRN131058 HHR131057:HHR131058 GXV131057:GXV131058 GNZ131057:GNZ131058 GED131057:GED131058 FUH131057:FUH131058 FKL131057:FKL131058 FAP131057:FAP131058 EQT131057:EQT131058 EGX131057:EGX131058 DXB131057:DXB131058 DNF131057:DNF131058 DDJ131057:DDJ131058 CTN131057:CTN131058 CJR131057:CJR131058 BZV131057:BZV131058 BPZ131057:BPZ131058 BGD131057:BGD131058 AWH131057:AWH131058 AML131057:AML131058 ACP131057:ACP131058 ST131057:ST131058 IX131057:IX131058 WVJ65521:WVJ65522 WLN65521:WLN65522 WBR65521:WBR65522 VRV65521:VRV65522 VHZ65521:VHZ65522 UYD65521:UYD65522 UOH65521:UOH65522 UEL65521:UEL65522 TUP65521:TUP65522 TKT65521:TKT65522 TAX65521:TAX65522 SRB65521:SRB65522 SHF65521:SHF65522 RXJ65521:RXJ65522 RNN65521:RNN65522 RDR65521:RDR65522 QTV65521:QTV65522 QJZ65521:QJZ65522 QAD65521:QAD65522 PQH65521:PQH65522 PGL65521:PGL65522 OWP65521:OWP65522 OMT65521:OMT65522 OCX65521:OCX65522 NTB65521:NTB65522 NJF65521:NJF65522 MZJ65521:MZJ65522 MPN65521:MPN65522 MFR65521:MFR65522 LVV65521:LVV65522 LLZ65521:LLZ65522 LCD65521:LCD65522 KSH65521:KSH65522 KIL65521:KIL65522 JYP65521:JYP65522 JOT65521:JOT65522 JEX65521:JEX65522 IVB65521:IVB65522 ILF65521:ILF65522 IBJ65521:IBJ65522 HRN65521:HRN65522 HHR65521:HHR65522 GXV65521:GXV65522 GNZ65521:GNZ65522 GED65521:GED65522 FUH65521:FUH65522 FKL65521:FKL65522 FAP65521:FAP65522 EQT65521:EQT65522 EGX65521:EGX65522 DXB65521:DXB65522 DNF65521:DNF65522 DDJ65521:DDJ65522 CTN65521:CTN65522 CJR65521:CJR65522 BZV65521:BZV65522 BPZ65521:BPZ65522 BGD65521:BGD65522 AWH65521:AWH65522 AML65521:AML65522 ACP65521:ACP65522 ST65521:ST65522 IX65521:IX65522 G131057:G131058 G196593:G196594 G262129:G262130 G327665:G327666 G393201:G393202 G458737:G458738 G524273:G524274 G589809:G589810 G655345:G655346 G720881:G720882 G786417:G786418 G851953:G851954 G917489:G917490 G983025:G983026 G1048561:G1048562 G65521:G65522" xr:uid="{365B96C0-BEA5-4BD3-9903-D1DD19AE0AB6}"/>
    <dataValidation allowBlank="1" showInputMessage="1" showErrorMessage="1" prompt="contribuição_x000a_extra" sqref="WVI1048561:WVI1048562 WLM1048561:WLM1048562 WBQ1048561:WBQ1048562 VRU1048561:VRU1048562 VHY1048561:VHY1048562 UYC1048561:UYC1048562 UOG1048561:UOG1048562 UEK1048561:UEK1048562 TUO1048561:TUO1048562 TKS1048561:TKS1048562 TAW1048561:TAW1048562 SRA1048561:SRA1048562 SHE1048561:SHE1048562 RXI1048561:RXI1048562 RNM1048561:RNM1048562 RDQ1048561:RDQ1048562 QTU1048561:QTU1048562 QJY1048561:QJY1048562 QAC1048561:QAC1048562 PQG1048561:PQG1048562 PGK1048561:PGK1048562 OWO1048561:OWO1048562 OMS1048561:OMS1048562 OCW1048561:OCW1048562 NTA1048561:NTA1048562 NJE1048561:NJE1048562 MZI1048561:MZI1048562 MPM1048561:MPM1048562 MFQ1048561:MFQ1048562 LVU1048561:LVU1048562 LLY1048561:LLY1048562 LCC1048561:LCC1048562 KSG1048561:KSG1048562 KIK1048561:KIK1048562 JYO1048561:JYO1048562 JOS1048561:JOS1048562 JEW1048561:JEW1048562 IVA1048561:IVA1048562 ILE1048561:ILE1048562 IBI1048561:IBI1048562 HRM1048561:HRM1048562 HHQ1048561:HHQ1048562 GXU1048561:GXU1048562 GNY1048561:GNY1048562 GEC1048561:GEC1048562 FUG1048561:FUG1048562 FKK1048561:FKK1048562 FAO1048561:FAO1048562 EQS1048561:EQS1048562 EGW1048561:EGW1048562 DXA1048561:DXA1048562 DNE1048561:DNE1048562 DDI1048561:DDI1048562 CTM1048561:CTM1048562 CJQ1048561:CJQ1048562 BZU1048561:BZU1048562 BPY1048561:BPY1048562 BGC1048561:BGC1048562 AWG1048561:AWG1048562 AMK1048561:AMK1048562 ACO1048561:ACO1048562 SS1048561:SS1048562 IW1048561:IW1048562 WVI983025:WVI983026 WLM983025:WLM983026 WBQ983025:WBQ983026 VRU983025:VRU983026 VHY983025:VHY983026 UYC983025:UYC983026 UOG983025:UOG983026 UEK983025:UEK983026 TUO983025:TUO983026 TKS983025:TKS983026 TAW983025:TAW983026 SRA983025:SRA983026 SHE983025:SHE983026 RXI983025:RXI983026 RNM983025:RNM983026 RDQ983025:RDQ983026 QTU983025:QTU983026 QJY983025:QJY983026 QAC983025:QAC983026 PQG983025:PQG983026 PGK983025:PGK983026 OWO983025:OWO983026 OMS983025:OMS983026 OCW983025:OCW983026 NTA983025:NTA983026 NJE983025:NJE983026 MZI983025:MZI983026 MPM983025:MPM983026 MFQ983025:MFQ983026 LVU983025:LVU983026 LLY983025:LLY983026 LCC983025:LCC983026 KSG983025:KSG983026 KIK983025:KIK983026 JYO983025:JYO983026 JOS983025:JOS983026 JEW983025:JEW983026 IVA983025:IVA983026 ILE983025:ILE983026 IBI983025:IBI983026 HRM983025:HRM983026 HHQ983025:HHQ983026 GXU983025:GXU983026 GNY983025:GNY983026 GEC983025:GEC983026 FUG983025:FUG983026 FKK983025:FKK983026 FAO983025:FAO983026 EQS983025:EQS983026 EGW983025:EGW983026 DXA983025:DXA983026 DNE983025:DNE983026 DDI983025:DDI983026 CTM983025:CTM983026 CJQ983025:CJQ983026 BZU983025:BZU983026 BPY983025:BPY983026 BGC983025:BGC983026 AWG983025:AWG983026 AMK983025:AMK983026 ACO983025:ACO983026 SS983025:SS983026 IW983025:IW983026 WVI917489:WVI917490 WLM917489:WLM917490 WBQ917489:WBQ917490 VRU917489:VRU917490 VHY917489:VHY917490 UYC917489:UYC917490 UOG917489:UOG917490 UEK917489:UEK917490 TUO917489:TUO917490 TKS917489:TKS917490 TAW917489:TAW917490 SRA917489:SRA917490 SHE917489:SHE917490 RXI917489:RXI917490 RNM917489:RNM917490 RDQ917489:RDQ917490 QTU917489:QTU917490 QJY917489:QJY917490 QAC917489:QAC917490 PQG917489:PQG917490 PGK917489:PGK917490 OWO917489:OWO917490 OMS917489:OMS917490 OCW917489:OCW917490 NTA917489:NTA917490 NJE917489:NJE917490 MZI917489:MZI917490 MPM917489:MPM917490 MFQ917489:MFQ917490 LVU917489:LVU917490 LLY917489:LLY917490 LCC917489:LCC917490 KSG917489:KSG917490 KIK917489:KIK917490 JYO917489:JYO917490 JOS917489:JOS917490 JEW917489:JEW917490 IVA917489:IVA917490 ILE917489:ILE917490 IBI917489:IBI917490 HRM917489:HRM917490 HHQ917489:HHQ917490 GXU917489:GXU917490 GNY917489:GNY917490 GEC917489:GEC917490 FUG917489:FUG917490 FKK917489:FKK917490 FAO917489:FAO917490 EQS917489:EQS917490 EGW917489:EGW917490 DXA917489:DXA917490 DNE917489:DNE917490 DDI917489:DDI917490 CTM917489:CTM917490 CJQ917489:CJQ917490 BZU917489:BZU917490 BPY917489:BPY917490 BGC917489:BGC917490 AWG917489:AWG917490 AMK917489:AMK917490 ACO917489:ACO917490 SS917489:SS917490 IW917489:IW917490 WVI851953:WVI851954 WLM851953:WLM851954 WBQ851953:WBQ851954 VRU851953:VRU851954 VHY851953:VHY851954 UYC851953:UYC851954 UOG851953:UOG851954 UEK851953:UEK851954 TUO851953:TUO851954 TKS851953:TKS851954 TAW851953:TAW851954 SRA851953:SRA851954 SHE851953:SHE851954 RXI851953:RXI851954 RNM851953:RNM851954 RDQ851953:RDQ851954 QTU851953:QTU851954 QJY851953:QJY851954 QAC851953:QAC851954 PQG851953:PQG851954 PGK851953:PGK851954 OWO851953:OWO851954 OMS851953:OMS851954 OCW851953:OCW851954 NTA851953:NTA851954 NJE851953:NJE851954 MZI851953:MZI851954 MPM851953:MPM851954 MFQ851953:MFQ851954 LVU851953:LVU851954 LLY851953:LLY851954 LCC851953:LCC851954 KSG851953:KSG851954 KIK851953:KIK851954 JYO851953:JYO851954 JOS851953:JOS851954 JEW851953:JEW851954 IVA851953:IVA851954 ILE851953:ILE851954 IBI851953:IBI851954 HRM851953:HRM851954 HHQ851953:HHQ851954 GXU851953:GXU851954 GNY851953:GNY851954 GEC851953:GEC851954 FUG851953:FUG851954 FKK851953:FKK851954 FAO851953:FAO851954 EQS851953:EQS851954 EGW851953:EGW851954 DXA851953:DXA851954 DNE851953:DNE851954 DDI851953:DDI851954 CTM851953:CTM851954 CJQ851953:CJQ851954 BZU851953:BZU851954 BPY851953:BPY851954 BGC851953:BGC851954 AWG851953:AWG851954 AMK851953:AMK851954 ACO851953:ACO851954 SS851953:SS851954 IW851953:IW851954 WVI786417:WVI786418 WLM786417:WLM786418 WBQ786417:WBQ786418 VRU786417:VRU786418 VHY786417:VHY786418 UYC786417:UYC786418 UOG786417:UOG786418 UEK786417:UEK786418 TUO786417:TUO786418 TKS786417:TKS786418 TAW786417:TAW786418 SRA786417:SRA786418 SHE786417:SHE786418 RXI786417:RXI786418 RNM786417:RNM786418 RDQ786417:RDQ786418 QTU786417:QTU786418 QJY786417:QJY786418 QAC786417:QAC786418 PQG786417:PQG786418 PGK786417:PGK786418 OWO786417:OWO786418 OMS786417:OMS786418 OCW786417:OCW786418 NTA786417:NTA786418 NJE786417:NJE786418 MZI786417:MZI786418 MPM786417:MPM786418 MFQ786417:MFQ786418 LVU786417:LVU786418 LLY786417:LLY786418 LCC786417:LCC786418 KSG786417:KSG786418 KIK786417:KIK786418 JYO786417:JYO786418 JOS786417:JOS786418 JEW786417:JEW786418 IVA786417:IVA786418 ILE786417:ILE786418 IBI786417:IBI786418 HRM786417:HRM786418 HHQ786417:HHQ786418 GXU786417:GXU786418 GNY786417:GNY786418 GEC786417:GEC786418 FUG786417:FUG786418 FKK786417:FKK786418 FAO786417:FAO786418 EQS786417:EQS786418 EGW786417:EGW786418 DXA786417:DXA786418 DNE786417:DNE786418 DDI786417:DDI786418 CTM786417:CTM786418 CJQ786417:CJQ786418 BZU786417:BZU786418 BPY786417:BPY786418 BGC786417:BGC786418 AWG786417:AWG786418 AMK786417:AMK786418 ACO786417:ACO786418 SS786417:SS786418 IW786417:IW786418 WVI720881:WVI720882 WLM720881:WLM720882 WBQ720881:WBQ720882 VRU720881:VRU720882 VHY720881:VHY720882 UYC720881:UYC720882 UOG720881:UOG720882 UEK720881:UEK720882 TUO720881:TUO720882 TKS720881:TKS720882 TAW720881:TAW720882 SRA720881:SRA720882 SHE720881:SHE720882 RXI720881:RXI720882 RNM720881:RNM720882 RDQ720881:RDQ720882 QTU720881:QTU720882 QJY720881:QJY720882 QAC720881:QAC720882 PQG720881:PQG720882 PGK720881:PGK720882 OWO720881:OWO720882 OMS720881:OMS720882 OCW720881:OCW720882 NTA720881:NTA720882 NJE720881:NJE720882 MZI720881:MZI720882 MPM720881:MPM720882 MFQ720881:MFQ720882 LVU720881:LVU720882 LLY720881:LLY720882 LCC720881:LCC720882 KSG720881:KSG720882 KIK720881:KIK720882 JYO720881:JYO720882 JOS720881:JOS720882 JEW720881:JEW720882 IVA720881:IVA720882 ILE720881:ILE720882 IBI720881:IBI720882 HRM720881:HRM720882 HHQ720881:HHQ720882 GXU720881:GXU720882 GNY720881:GNY720882 GEC720881:GEC720882 FUG720881:FUG720882 FKK720881:FKK720882 FAO720881:FAO720882 EQS720881:EQS720882 EGW720881:EGW720882 DXA720881:DXA720882 DNE720881:DNE720882 DDI720881:DDI720882 CTM720881:CTM720882 CJQ720881:CJQ720882 BZU720881:BZU720882 BPY720881:BPY720882 BGC720881:BGC720882 AWG720881:AWG720882 AMK720881:AMK720882 ACO720881:ACO720882 SS720881:SS720882 IW720881:IW720882 WVI655345:WVI655346 WLM655345:WLM655346 WBQ655345:WBQ655346 VRU655345:VRU655346 VHY655345:VHY655346 UYC655345:UYC655346 UOG655345:UOG655346 UEK655345:UEK655346 TUO655345:TUO655346 TKS655345:TKS655346 TAW655345:TAW655346 SRA655345:SRA655346 SHE655345:SHE655346 RXI655345:RXI655346 RNM655345:RNM655346 RDQ655345:RDQ655346 QTU655345:QTU655346 QJY655345:QJY655346 QAC655345:QAC655346 PQG655345:PQG655346 PGK655345:PGK655346 OWO655345:OWO655346 OMS655345:OMS655346 OCW655345:OCW655346 NTA655345:NTA655346 NJE655345:NJE655346 MZI655345:MZI655346 MPM655345:MPM655346 MFQ655345:MFQ655346 LVU655345:LVU655346 LLY655345:LLY655346 LCC655345:LCC655346 KSG655345:KSG655346 KIK655345:KIK655346 JYO655345:JYO655346 JOS655345:JOS655346 JEW655345:JEW655346 IVA655345:IVA655346 ILE655345:ILE655346 IBI655345:IBI655346 HRM655345:HRM655346 HHQ655345:HHQ655346 GXU655345:GXU655346 GNY655345:GNY655346 GEC655345:GEC655346 FUG655345:FUG655346 FKK655345:FKK655346 FAO655345:FAO655346 EQS655345:EQS655346 EGW655345:EGW655346 DXA655345:DXA655346 DNE655345:DNE655346 DDI655345:DDI655346 CTM655345:CTM655346 CJQ655345:CJQ655346 BZU655345:BZU655346 BPY655345:BPY655346 BGC655345:BGC655346 AWG655345:AWG655346 AMK655345:AMK655346 ACO655345:ACO655346 SS655345:SS655346 IW655345:IW655346 WVI589809:WVI589810 WLM589809:WLM589810 WBQ589809:WBQ589810 VRU589809:VRU589810 VHY589809:VHY589810 UYC589809:UYC589810 UOG589809:UOG589810 UEK589809:UEK589810 TUO589809:TUO589810 TKS589809:TKS589810 TAW589809:TAW589810 SRA589809:SRA589810 SHE589809:SHE589810 RXI589809:RXI589810 RNM589809:RNM589810 RDQ589809:RDQ589810 QTU589809:QTU589810 QJY589809:QJY589810 QAC589809:QAC589810 PQG589809:PQG589810 PGK589809:PGK589810 OWO589809:OWO589810 OMS589809:OMS589810 OCW589809:OCW589810 NTA589809:NTA589810 NJE589809:NJE589810 MZI589809:MZI589810 MPM589809:MPM589810 MFQ589809:MFQ589810 LVU589809:LVU589810 LLY589809:LLY589810 LCC589809:LCC589810 KSG589809:KSG589810 KIK589809:KIK589810 JYO589809:JYO589810 JOS589809:JOS589810 JEW589809:JEW589810 IVA589809:IVA589810 ILE589809:ILE589810 IBI589809:IBI589810 HRM589809:HRM589810 HHQ589809:HHQ589810 GXU589809:GXU589810 GNY589809:GNY589810 GEC589809:GEC589810 FUG589809:FUG589810 FKK589809:FKK589810 FAO589809:FAO589810 EQS589809:EQS589810 EGW589809:EGW589810 DXA589809:DXA589810 DNE589809:DNE589810 DDI589809:DDI589810 CTM589809:CTM589810 CJQ589809:CJQ589810 BZU589809:BZU589810 BPY589809:BPY589810 BGC589809:BGC589810 AWG589809:AWG589810 AMK589809:AMK589810 ACO589809:ACO589810 SS589809:SS589810 IW589809:IW589810 WVI524273:WVI524274 WLM524273:WLM524274 WBQ524273:WBQ524274 VRU524273:VRU524274 VHY524273:VHY524274 UYC524273:UYC524274 UOG524273:UOG524274 UEK524273:UEK524274 TUO524273:TUO524274 TKS524273:TKS524274 TAW524273:TAW524274 SRA524273:SRA524274 SHE524273:SHE524274 RXI524273:RXI524274 RNM524273:RNM524274 RDQ524273:RDQ524274 QTU524273:QTU524274 QJY524273:QJY524274 QAC524273:QAC524274 PQG524273:PQG524274 PGK524273:PGK524274 OWO524273:OWO524274 OMS524273:OMS524274 OCW524273:OCW524274 NTA524273:NTA524274 NJE524273:NJE524274 MZI524273:MZI524274 MPM524273:MPM524274 MFQ524273:MFQ524274 LVU524273:LVU524274 LLY524273:LLY524274 LCC524273:LCC524274 KSG524273:KSG524274 KIK524273:KIK524274 JYO524273:JYO524274 JOS524273:JOS524274 JEW524273:JEW524274 IVA524273:IVA524274 ILE524273:ILE524274 IBI524273:IBI524274 HRM524273:HRM524274 HHQ524273:HHQ524274 GXU524273:GXU524274 GNY524273:GNY524274 GEC524273:GEC524274 FUG524273:FUG524274 FKK524273:FKK524274 FAO524273:FAO524274 EQS524273:EQS524274 EGW524273:EGW524274 DXA524273:DXA524274 DNE524273:DNE524274 DDI524273:DDI524274 CTM524273:CTM524274 CJQ524273:CJQ524274 BZU524273:BZU524274 BPY524273:BPY524274 BGC524273:BGC524274 AWG524273:AWG524274 AMK524273:AMK524274 ACO524273:ACO524274 SS524273:SS524274 IW524273:IW524274 WVI458737:WVI458738 WLM458737:WLM458738 WBQ458737:WBQ458738 VRU458737:VRU458738 VHY458737:VHY458738 UYC458737:UYC458738 UOG458737:UOG458738 UEK458737:UEK458738 TUO458737:TUO458738 TKS458737:TKS458738 TAW458737:TAW458738 SRA458737:SRA458738 SHE458737:SHE458738 RXI458737:RXI458738 RNM458737:RNM458738 RDQ458737:RDQ458738 QTU458737:QTU458738 QJY458737:QJY458738 QAC458737:QAC458738 PQG458737:PQG458738 PGK458737:PGK458738 OWO458737:OWO458738 OMS458737:OMS458738 OCW458737:OCW458738 NTA458737:NTA458738 NJE458737:NJE458738 MZI458737:MZI458738 MPM458737:MPM458738 MFQ458737:MFQ458738 LVU458737:LVU458738 LLY458737:LLY458738 LCC458737:LCC458738 KSG458737:KSG458738 KIK458737:KIK458738 JYO458737:JYO458738 JOS458737:JOS458738 JEW458737:JEW458738 IVA458737:IVA458738 ILE458737:ILE458738 IBI458737:IBI458738 HRM458737:HRM458738 HHQ458737:HHQ458738 GXU458737:GXU458738 GNY458737:GNY458738 GEC458737:GEC458738 FUG458737:FUG458738 FKK458737:FKK458738 FAO458737:FAO458738 EQS458737:EQS458738 EGW458737:EGW458738 DXA458737:DXA458738 DNE458737:DNE458738 DDI458737:DDI458738 CTM458737:CTM458738 CJQ458737:CJQ458738 BZU458737:BZU458738 BPY458737:BPY458738 BGC458737:BGC458738 AWG458737:AWG458738 AMK458737:AMK458738 ACO458737:ACO458738 SS458737:SS458738 IW458737:IW458738 WVI393201:WVI393202 WLM393201:WLM393202 WBQ393201:WBQ393202 VRU393201:VRU393202 VHY393201:VHY393202 UYC393201:UYC393202 UOG393201:UOG393202 UEK393201:UEK393202 TUO393201:TUO393202 TKS393201:TKS393202 TAW393201:TAW393202 SRA393201:SRA393202 SHE393201:SHE393202 RXI393201:RXI393202 RNM393201:RNM393202 RDQ393201:RDQ393202 QTU393201:QTU393202 QJY393201:QJY393202 QAC393201:QAC393202 PQG393201:PQG393202 PGK393201:PGK393202 OWO393201:OWO393202 OMS393201:OMS393202 OCW393201:OCW393202 NTA393201:NTA393202 NJE393201:NJE393202 MZI393201:MZI393202 MPM393201:MPM393202 MFQ393201:MFQ393202 LVU393201:LVU393202 LLY393201:LLY393202 LCC393201:LCC393202 KSG393201:KSG393202 KIK393201:KIK393202 JYO393201:JYO393202 JOS393201:JOS393202 JEW393201:JEW393202 IVA393201:IVA393202 ILE393201:ILE393202 IBI393201:IBI393202 HRM393201:HRM393202 HHQ393201:HHQ393202 GXU393201:GXU393202 GNY393201:GNY393202 GEC393201:GEC393202 FUG393201:FUG393202 FKK393201:FKK393202 FAO393201:FAO393202 EQS393201:EQS393202 EGW393201:EGW393202 DXA393201:DXA393202 DNE393201:DNE393202 DDI393201:DDI393202 CTM393201:CTM393202 CJQ393201:CJQ393202 BZU393201:BZU393202 BPY393201:BPY393202 BGC393201:BGC393202 AWG393201:AWG393202 AMK393201:AMK393202 ACO393201:ACO393202 SS393201:SS393202 IW393201:IW393202 WVI327665:WVI327666 WLM327665:WLM327666 WBQ327665:WBQ327666 VRU327665:VRU327666 VHY327665:VHY327666 UYC327665:UYC327666 UOG327665:UOG327666 UEK327665:UEK327666 TUO327665:TUO327666 TKS327665:TKS327666 TAW327665:TAW327666 SRA327665:SRA327666 SHE327665:SHE327666 RXI327665:RXI327666 RNM327665:RNM327666 RDQ327665:RDQ327666 QTU327665:QTU327666 QJY327665:QJY327666 QAC327665:QAC327666 PQG327665:PQG327666 PGK327665:PGK327666 OWO327665:OWO327666 OMS327665:OMS327666 OCW327665:OCW327666 NTA327665:NTA327666 NJE327665:NJE327666 MZI327665:MZI327666 MPM327665:MPM327666 MFQ327665:MFQ327666 LVU327665:LVU327666 LLY327665:LLY327666 LCC327665:LCC327666 KSG327665:KSG327666 KIK327665:KIK327666 JYO327665:JYO327666 JOS327665:JOS327666 JEW327665:JEW327666 IVA327665:IVA327666 ILE327665:ILE327666 IBI327665:IBI327666 HRM327665:HRM327666 HHQ327665:HHQ327666 GXU327665:GXU327666 GNY327665:GNY327666 GEC327665:GEC327666 FUG327665:FUG327666 FKK327665:FKK327666 FAO327665:FAO327666 EQS327665:EQS327666 EGW327665:EGW327666 DXA327665:DXA327666 DNE327665:DNE327666 DDI327665:DDI327666 CTM327665:CTM327666 CJQ327665:CJQ327666 BZU327665:BZU327666 BPY327665:BPY327666 BGC327665:BGC327666 AWG327665:AWG327666 AMK327665:AMK327666 ACO327665:ACO327666 SS327665:SS327666 IW327665:IW327666 WVI262129:WVI262130 WLM262129:WLM262130 WBQ262129:WBQ262130 VRU262129:VRU262130 VHY262129:VHY262130 UYC262129:UYC262130 UOG262129:UOG262130 UEK262129:UEK262130 TUO262129:TUO262130 TKS262129:TKS262130 TAW262129:TAW262130 SRA262129:SRA262130 SHE262129:SHE262130 RXI262129:RXI262130 RNM262129:RNM262130 RDQ262129:RDQ262130 QTU262129:QTU262130 QJY262129:QJY262130 QAC262129:QAC262130 PQG262129:PQG262130 PGK262129:PGK262130 OWO262129:OWO262130 OMS262129:OMS262130 OCW262129:OCW262130 NTA262129:NTA262130 NJE262129:NJE262130 MZI262129:MZI262130 MPM262129:MPM262130 MFQ262129:MFQ262130 LVU262129:LVU262130 LLY262129:LLY262130 LCC262129:LCC262130 KSG262129:KSG262130 KIK262129:KIK262130 JYO262129:JYO262130 JOS262129:JOS262130 JEW262129:JEW262130 IVA262129:IVA262130 ILE262129:ILE262130 IBI262129:IBI262130 HRM262129:HRM262130 HHQ262129:HHQ262130 GXU262129:GXU262130 GNY262129:GNY262130 GEC262129:GEC262130 FUG262129:FUG262130 FKK262129:FKK262130 FAO262129:FAO262130 EQS262129:EQS262130 EGW262129:EGW262130 DXA262129:DXA262130 DNE262129:DNE262130 DDI262129:DDI262130 CTM262129:CTM262130 CJQ262129:CJQ262130 BZU262129:BZU262130 BPY262129:BPY262130 BGC262129:BGC262130 AWG262129:AWG262130 AMK262129:AMK262130 ACO262129:ACO262130 SS262129:SS262130 IW262129:IW262130 WVI196593:WVI196594 WLM196593:WLM196594 WBQ196593:WBQ196594 VRU196593:VRU196594 VHY196593:VHY196594 UYC196593:UYC196594 UOG196593:UOG196594 UEK196593:UEK196594 TUO196593:TUO196594 TKS196593:TKS196594 TAW196593:TAW196594 SRA196593:SRA196594 SHE196593:SHE196594 RXI196593:RXI196594 RNM196593:RNM196594 RDQ196593:RDQ196594 QTU196593:QTU196594 QJY196593:QJY196594 QAC196593:QAC196594 PQG196593:PQG196594 PGK196593:PGK196594 OWO196593:OWO196594 OMS196593:OMS196594 OCW196593:OCW196594 NTA196593:NTA196594 NJE196593:NJE196594 MZI196593:MZI196594 MPM196593:MPM196594 MFQ196593:MFQ196594 LVU196593:LVU196594 LLY196593:LLY196594 LCC196593:LCC196594 KSG196593:KSG196594 KIK196593:KIK196594 JYO196593:JYO196594 JOS196593:JOS196594 JEW196593:JEW196594 IVA196593:IVA196594 ILE196593:ILE196594 IBI196593:IBI196594 HRM196593:HRM196594 HHQ196593:HHQ196594 GXU196593:GXU196594 GNY196593:GNY196594 GEC196593:GEC196594 FUG196593:FUG196594 FKK196593:FKK196594 FAO196593:FAO196594 EQS196593:EQS196594 EGW196593:EGW196594 DXA196593:DXA196594 DNE196593:DNE196594 DDI196593:DDI196594 CTM196593:CTM196594 CJQ196593:CJQ196594 BZU196593:BZU196594 BPY196593:BPY196594 BGC196593:BGC196594 AWG196593:AWG196594 AMK196593:AMK196594 ACO196593:ACO196594 SS196593:SS196594 IW196593:IW196594 WVI131057:WVI131058 WLM131057:WLM131058 WBQ131057:WBQ131058 VRU131057:VRU131058 VHY131057:VHY131058 UYC131057:UYC131058 UOG131057:UOG131058 UEK131057:UEK131058 TUO131057:TUO131058 TKS131057:TKS131058 TAW131057:TAW131058 SRA131057:SRA131058 SHE131057:SHE131058 RXI131057:RXI131058 RNM131057:RNM131058 RDQ131057:RDQ131058 QTU131057:QTU131058 QJY131057:QJY131058 QAC131057:QAC131058 PQG131057:PQG131058 PGK131057:PGK131058 OWO131057:OWO131058 OMS131057:OMS131058 OCW131057:OCW131058 NTA131057:NTA131058 NJE131057:NJE131058 MZI131057:MZI131058 MPM131057:MPM131058 MFQ131057:MFQ131058 LVU131057:LVU131058 LLY131057:LLY131058 LCC131057:LCC131058 KSG131057:KSG131058 KIK131057:KIK131058 JYO131057:JYO131058 JOS131057:JOS131058 JEW131057:JEW131058 IVA131057:IVA131058 ILE131057:ILE131058 IBI131057:IBI131058 HRM131057:HRM131058 HHQ131057:HHQ131058 GXU131057:GXU131058 GNY131057:GNY131058 GEC131057:GEC131058 FUG131057:FUG131058 FKK131057:FKK131058 FAO131057:FAO131058 EQS131057:EQS131058 EGW131057:EGW131058 DXA131057:DXA131058 DNE131057:DNE131058 DDI131057:DDI131058 CTM131057:CTM131058 CJQ131057:CJQ131058 BZU131057:BZU131058 BPY131057:BPY131058 BGC131057:BGC131058 AWG131057:AWG131058 AMK131057:AMK131058 ACO131057:ACO131058 SS131057:SS131058 IW131057:IW131058 WVI65521:WVI65522 WLM65521:WLM65522 WBQ65521:WBQ65522 VRU65521:VRU65522 VHY65521:VHY65522 UYC65521:UYC65522 UOG65521:UOG65522 UEK65521:UEK65522 TUO65521:TUO65522 TKS65521:TKS65522 TAW65521:TAW65522 SRA65521:SRA65522 SHE65521:SHE65522 RXI65521:RXI65522 RNM65521:RNM65522 RDQ65521:RDQ65522 QTU65521:QTU65522 QJY65521:QJY65522 QAC65521:QAC65522 PQG65521:PQG65522 PGK65521:PGK65522 OWO65521:OWO65522 OMS65521:OMS65522 OCW65521:OCW65522 NTA65521:NTA65522 NJE65521:NJE65522 MZI65521:MZI65522 MPM65521:MPM65522 MFQ65521:MFQ65522 LVU65521:LVU65522 LLY65521:LLY65522 LCC65521:LCC65522 KSG65521:KSG65522 KIK65521:KIK65522 JYO65521:JYO65522 JOS65521:JOS65522 JEW65521:JEW65522 IVA65521:IVA65522 ILE65521:ILE65522 IBI65521:IBI65522 HRM65521:HRM65522 HHQ65521:HHQ65522 GXU65521:GXU65522 GNY65521:GNY65522 GEC65521:GEC65522 FUG65521:FUG65522 FKK65521:FKK65522 FAO65521:FAO65522 EQS65521:EQS65522 EGW65521:EGW65522 DXA65521:DXA65522 DNE65521:DNE65522 DDI65521:DDI65522 CTM65521:CTM65522 CJQ65521:CJQ65522 BZU65521:BZU65522 BPY65521:BPY65522 BGC65521:BGC65522 AWG65521:AWG65522 AMK65521:AMK65522 ACO65521:ACO65522 SS65521:SS65522 IW65521:IW65522 F131057:F131058 F196593:F196594 F262129:F262130 F327665:F327666 F393201:F393202 F458737:F458738 F524273:F524274 F589809:F589810 F655345:F655346 F720881:F720882 F786417:F786418 F851953:F851954 F917489:F917490 F983025:F983026 F1048561:F1048562 F65521:F65522" xr:uid="{1CC2D4BB-3D1B-4E0A-9B51-50BD96544E5C}"/>
  </dataValidations>
  <pageMargins left="0.39370078740157477" right="0.59055118110236215" top="0.39370078740157477" bottom="0.59055118110236215" header="0.31496062000000002" footer="0.31496062000000002"/>
  <pageSetup paperSize="9" orientation="portrait" r:id="rId1"/>
  <headerFooter>
    <oddFooter>&amp;C&amp;8Página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A9A4F-6113-4613-8BCB-15008AF37AC8}">
  <sheetPr codeName="Planilha7" filterMode="1">
    <tabColor rgb="FF92D050"/>
  </sheetPr>
  <dimension ref="A1:BA242"/>
  <sheetViews>
    <sheetView showZeros="0" zoomScaleNormal="100" workbookViewId="0"/>
  </sheetViews>
  <sheetFormatPr defaultColWidth="9" defaultRowHeight="12"/>
  <cols>
    <col min="1" max="1" width="10.625" style="283" customWidth="1"/>
    <col min="2" max="2" width="45.625" style="283" customWidth="1"/>
    <col min="3" max="3" width="11.25" style="283" hidden="1" customWidth="1"/>
    <col min="4" max="4" width="12.75" style="283" customWidth="1"/>
    <col min="5" max="5" width="11.625" style="361" customWidth="1"/>
    <col min="6" max="6" width="11.625" style="361" hidden="1" customWidth="1"/>
    <col min="7" max="7" width="15.5" style="361" hidden="1" customWidth="1"/>
    <col min="8" max="19" width="14.625" style="283" customWidth="1"/>
    <col min="20" max="43" width="14.625" style="283" hidden="1" customWidth="1"/>
    <col min="44" max="44" width="16.625" style="283" customWidth="1"/>
    <col min="45" max="45" width="12.375" style="283" hidden="1" customWidth="1"/>
    <col min="46" max="46" width="10.5" style="283" hidden="1" customWidth="1"/>
    <col min="47" max="48" width="9" style="283" hidden="1" customWidth="1"/>
    <col min="49" max="49" width="18.125" style="283" hidden="1" customWidth="1"/>
    <col min="50" max="51" width="9" style="283" hidden="1" customWidth="1"/>
    <col min="52" max="52" width="18.125" style="283" hidden="1" customWidth="1"/>
    <col min="53" max="53" width="9" style="283" hidden="1" customWidth="1"/>
    <col min="54" max="54" width="9" style="283" customWidth="1"/>
    <col min="55" max="16384" width="9" style="283"/>
  </cols>
  <sheetData>
    <row r="1" spans="1:51" s="267" customFormat="1" ht="24.95" customHeight="1">
      <c r="A1" s="24" t="str">
        <f>Orcamento!B2</f>
        <v>PREFEITURA MUNICIPAL DE RIBAS DO RIO PARDO</v>
      </c>
      <c r="B1" s="261"/>
      <c r="C1" s="261"/>
      <c r="D1" s="262"/>
      <c r="E1" s="263"/>
      <c r="F1" s="263"/>
      <c r="G1" s="263"/>
      <c r="H1" s="263"/>
      <c r="I1" s="264" t="str">
        <f>Orcamento!B6</f>
        <v>OBRA :</v>
      </c>
      <c r="J1" s="265" t="str">
        <f>Orcamento!D6</f>
        <v>RESTAURAÇÃO FUNCIONAL DO PAVIMENTO</v>
      </c>
      <c r="K1" s="266"/>
      <c r="L1" s="266"/>
      <c r="M1" s="266"/>
      <c r="O1" s="266"/>
      <c r="P1" s="268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266"/>
      <c r="AD1" s="266"/>
      <c r="AE1" s="266"/>
      <c r="AF1" s="266"/>
      <c r="AG1" s="266"/>
      <c r="AH1" s="266"/>
      <c r="AI1" s="266"/>
      <c r="AJ1" s="266"/>
      <c r="AK1" s="266"/>
      <c r="AL1" s="266"/>
      <c r="AM1" s="266"/>
      <c r="AN1" s="266"/>
      <c r="AO1" s="266"/>
      <c r="AP1" s="266"/>
      <c r="AQ1" s="266"/>
      <c r="AR1" s="266"/>
      <c r="AW1" s="267" t="s">
        <v>0</v>
      </c>
      <c r="AX1" s="267" t="s">
        <v>1180</v>
      </c>
      <c r="AY1" s="267" t="s">
        <v>1181</v>
      </c>
    </row>
    <row r="2" spans="1:51" s="267" customFormat="1" ht="24.95" customHeight="1">
      <c r="A2" s="269" t="str">
        <f>Orcamento!B3</f>
        <v>ESTADO DE MATO GROSSO DO SUL</v>
      </c>
      <c r="B2" s="270"/>
      <c r="C2" s="270"/>
      <c r="D2" s="270"/>
      <c r="E2" s="270"/>
      <c r="F2" s="270"/>
      <c r="G2" s="270"/>
      <c r="H2" s="263"/>
      <c r="I2" s="264" t="str">
        <f>Orcamento!B7</f>
        <v>LOCAL :</v>
      </c>
      <c r="J2" s="271" t="str">
        <f>Orcamento!D7</f>
        <v>VÁRIAS RUAS</v>
      </c>
      <c r="K2" s="272"/>
      <c r="L2" s="272"/>
      <c r="M2" s="272"/>
      <c r="N2" s="272"/>
      <c r="O2" s="272"/>
      <c r="P2" s="272"/>
      <c r="Q2" s="272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W2" s="274" t="s">
        <v>4</v>
      </c>
      <c r="AX2" s="267" t="s">
        <v>4</v>
      </c>
      <c r="AY2" s="267">
        <f>[1]DADOS!B51</f>
        <v>12</v>
      </c>
    </row>
    <row r="3" spans="1:51" s="277" customFormat="1" ht="18" customHeight="1">
      <c r="A3" s="269">
        <f>Orcamento!B4</f>
        <v>0</v>
      </c>
      <c r="B3" s="270"/>
      <c r="C3" s="270"/>
      <c r="D3" s="270"/>
      <c r="E3" s="270"/>
      <c r="F3" s="270"/>
      <c r="G3" s="270"/>
      <c r="H3" s="275"/>
      <c r="I3" s="276"/>
      <c r="J3" s="272"/>
      <c r="K3" s="272"/>
      <c r="L3" s="272"/>
      <c r="M3" s="272"/>
      <c r="N3" s="272"/>
      <c r="O3" s="272"/>
      <c r="P3" s="272"/>
      <c r="Q3" s="272"/>
      <c r="AR3" s="266"/>
      <c r="AW3" s="274" t="s">
        <v>4</v>
      </c>
      <c r="AX3" s="267" t="s">
        <v>4</v>
      </c>
    </row>
    <row r="4" spans="1:51" s="277" customFormat="1" ht="18" customHeight="1">
      <c r="A4" s="278"/>
      <c r="D4" s="2512">
        <f>Orcamento!N10</f>
        <v>0</v>
      </c>
      <c r="E4" s="2512"/>
      <c r="F4" s="279"/>
      <c r="G4" s="279"/>
      <c r="H4" s="2513" t="e" vm="2">
        <f>Orcamento!S10</f>
        <v>#VALUE!</v>
      </c>
      <c r="I4" s="276"/>
      <c r="J4" s="266"/>
      <c r="K4" s="266"/>
      <c r="L4" s="266"/>
      <c r="O4" s="266"/>
      <c r="Q4" s="266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W4" s="274" t="s">
        <v>4</v>
      </c>
      <c r="AX4" s="267" t="s">
        <v>4</v>
      </c>
    </row>
    <row r="5" spans="1:51" s="277" customFormat="1" ht="24.95" customHeight="1">
      <c r="A5" s="278" t="s">
        <v>1182</v>
      </c>
      <c r="B5" s="280"/>
      <c r="C5" s="280"/>
      <c r="D5" s="2512"/>
      <c r="E5" s="2512"/>
      <c r="F5" s="280"/>
      <c r="G5" s="280"/>
      <c r="H5" s="2513"/>
      <c r="I5" s="108" t="s">
        <v>3</v>
      </c>
      <c r="J5" s="281">
        <f>Orcamento!O2</f>
        <v>45383</v>
      </c>
      <c r="K5" s="276"/>
      <c r="L5" s="266"/>
      <c r="O5" s="280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W5" s="274" t="s">
        <v>4</v>
      </c>
      <c r="AX5" s="267" t="s">
        <v>4</v>
      </c>
    </row>
    <row r="6" spans="1:51" ht="18" customHeight="1" thickBot="1">
      <c r="A6" s="282"/>
      <c r="D6" s="284"/>
      <c r="E6" s="285"/>
      <c r="F6" s="285"/>
      <c r="G6" s="285"/>
      <c r="I6" s="108" t="s">
        <v>7</v>
      </c>
      <c r="J6" s="286" t="s">
        <v>1183</v>
      </c>
      <c r="K6" s="282"/>
      <c r="P6" s="287"/>
      <c r="Q6" s="288"/>
      <c r="R6" s="288"/>
      <c r="S6" s="288"/>
      <c r="T6" s="288"/>
      <c r="U6" s="288"/>
      <c r="V6" s="288"/>
      <c r="W6" s="288"/>
      <c r="X6" s="288"/>
      <c r="Y6" s="288"/>
      <c r="Z6" s="288"/>
      <c r="AA6" s="288"/>
      <c r="AB6" s="288"/>
      <c r="AC6" s="288"/>
      <c r="AD6" s="288"/>
      <c r="AE6" s="288"/>
      <c r="AF6" s="288"/>
      <c r="AG6" s="288"/>
      <c r="AH6" s="288"/>
      <c r="AI6" s="288"/>
      <c r="AJ6" s="288"/>
      <c r="AK6" s="288"/>
      <c r="AL6" s="288"/>
      <c r="AM6" s="288"/>
      <c r="AN6" s="288"/>
      <c r="AO6" s="288"/>
      <c r="AP6" s="288"/>
      <c r="AQ6" s="288"/>
      <c r="AR6" s="288"/>
      <c r="AW6" s="274" t="s">
        <v>4</v>
      </c>
      <c r="AX6" s="267" t="s">
        <v>4</v>
      </c>
    </row>
    <row r="7" spans="1:51" s="295" customFormat="1" ht="24.95" customHeight="1">
      <c r="A7" s="2514" t="s">
        <v>26</v>
      </c>
      <c r="B7" s="2516" t="s">
        <v>1184</v>
      </c>
      <c r="C7" s="289" t="s">
        <v>1185</v>
      </c>
      <c r="D7" s="2518" t="s">
        <v>1186</v>
      </c>
      <c r="E7" s="2519"/>
      <c r="F7" s="290"/>
      <c r="G7" s="290"/>
      <c r="H7" s="291">
        <v>1</v>
      </c>
      <c r="I7" s="291">
        <v>2</v>
      </c>
      <c r="J7" s="291">
        <v>3</v>
      </c>
      <c r="K7" s="291">
        <v>4</v>
      </c>
      <c r="L7" s="291">
        <v>5</v>
      </c>
      <c r="M7" s="291">
        <v>6</v>
      </c>
      <c r="N7" s="291">
        <v>7</v>
      </c>
      <c r="O7" s="291">
        <v>8</v>
      </c>
      <c r="P7" s="291">
        <v>9</v>
      </c>
      <c r="Q7" s="291">
        <v>10</v>
      </c>
      <c r="R7" s="291">
        <v>11</v>
      </c>
      <c r="S7" s="291">
        <v>12</v>
      </c>
      <c r="T7" s="291">
        <v>13</v>
      </c>
      <c r="U7" s="291">
        <v>14</v>
      </c>
      <c r="V7" s="291">
        <v>15</v>
      </c>
      <c r="W7" s="291">
        <v>16</v>
      </c>
      <c r="X7" s="291">
        <v>17</v>
      </c>
      <c r="Y7" s="291">
        <v>18</v>
      </c>
      <c r="Z7" s="291">
        <v>19</v>
      </c>
      <c r="AA7" s="291">
        <v>20</v>
      </c>
      <c r="AB7" s="291">
        <v>21</v>
      </c>
      <c r="AC7" s="291">
        <v>22</v>
      </c>
      <c r="AD7" s="291">
        <v>23</v>
      </c>
      <c r="AE7" s="291">
        <v>24</v>
      </c>
      <c r="AF7" s="291">
        <v>25</v>
      </c>
      <c r="AG7" s="291">
        <v>26</v>
      </c>
      <c r="AH7" s="291">
        <v>27</v>
      </c>
      <c r="AI7" s="291">
        <v>28</v>
      </c>
      <c r="AJ7" s="291">
        <v>29</v>
      </c>
      <c r="AK7" s="291">
        <v>30</v>
      </c>
      <c r="AL7" s="291">
        <v>31</v>
      </c>
      <c r="AM7" s="291">
        <v>32</v>
      </c>
      <c r="AN7" s="291">
        <v>33</v>
      </c>
      <c r="AO7" s="291">
        <v>34</v>
      </c>
      <c r="AP7" s="291">
        <v>35</v>
      </c>
      <c r="AQ7" s="291">
        <v>36</v>
      </c>
      <c r="AR7" s="2520" t="s">
        <v>1187</v>
      </c>
      <c r="AS7" s="292"/>
      <c r="AT7" s="293" t="s">
        <v>1188</v>
      </c>
      <c r="AU7" s="294"/>
      <c r="AV7" s="294"/>
      <c r="AW7" s="274" t="s">
        <v>4</v>
      </c>
      <c r="AX7" s="267" t="s">
        <v>4</v>
      </c>
    </row>
    <row r="8" spans="1:51" s="304" customFormat="1" ht="24.95" customHeight="1" thickBot="1">
      <c r="A8" s="2515"/>
      <c r="B8" s="2517"/>
      <c r="C8" s="296" t="s">
        <v>1189</v>
      </c>
      <c r="D8" s="2522" t="s">
        <v>1190</v>
      </c>
      <c r="E8" s="2523"/>
      <c r="F8" s="297"/>
      <c r="G8" s="297"/>
      <c r="H8" s="298">
        <v>30</v>
      </c>
      <c r="I8" s="299">
        <v>60</v>
      </c>
      <c r="J8" s="298">
        <v>90</v>
      </c>
      <c r="K8" s="299">
        <v>120</v>
      </c>
      <c r="L8" s="298">
        <v>150</v>
      </c>
      <c r="M8" s="299">
        <v>180</v>
      </c>
      <c r="N8" s="298">
        <v>210</v>
      </c>
      <c r="O8" s="299">
        <v>240</v>
      </c>
      <c r="P8" s="298">
        <v>270</v>
      </c>
      <c r="Q8" s="299">
        <v>300</v>
      </c>
      <c r="R8" s="298">
        <v>330</v>
      </c>
      <c r="S8" s="299">
        <v>360</v>
      </c>
      <c r="T8" s="298">
        <v>390</v>
      </c>
      <c r="U8" s="299">
        <v>420</v>
      </c>
      <c r="V8" s="298">
        <v>450</v>
      </c>
      <c r="W8" s="299">
        <v>480</v>
      </c>
      <c r="X8" s="298">
        <v>510</v>
      </c>
      <c r="Y8" s="299">
        <v>540</v>
      </c>
      <c r="Z8" s="298">
        <v>570</v>
      </c>
      <c r="AA8" s="299">
        <v>600</v>
      </c>
      <c r="AB8" s="298">
        <v>630</v>
      </c>
      <c r="AC8" s="299">
        <v>660</v>
      </c>
      <c r="AD8" s="298">
        <v>690</v>
      </c>
      <c r="AE8" s="299">
        <v>720</v>
      </c>
      <c r="AF8" s="298">
        <v>750</v>
      </c>
      <c r="AG8" s="299">
        <v>780</v>
      </c>
      <c r="AH8" s="298">
        <v>810</v>
      </c>
      <c r="AI8" s="299">
        <v>840</v>
      </c>
      <c r="AJ8" s="298">
        <v>870</v>
      </c>
      <c r="AK8" s="299">
        <v>900</v>
      </c>
      <c r="AL8" s="298">
        <v>930</v>
      </c>
      <c r="AM8" s="299">
        <v>960</v>
      </c>
      <c r="AN8" s="298">
        <v>990</v>
      </c>
      <c r="AO8" s="299">
        <v>1020</v>
      </c>
      <c r="AP8" s="298">
        <v>1050</v>
      </c>
      <c r="AQ8" s="299">
        <v>1080</v>
      </c>
      <c r="AR8" s="2521"/>
      <c r="AS8" s="300"/>
      <c r="AT8" s="301" t="e">
        <f>+Orcamento!S43+Orcamento!S50+Orcamento!S67+Orcamento!#REF!</f>
        <v>#REF!</v>
      </c>
      <c r="AU8" s="302" t="s">
        <v>1191</v>
      </c>
      <c r="AV8" s="303" t="e">
        <f>+AT8/D11</f>
        <v>#REF!</v>
      </c>
      <c r="AW8" s="274" t="s">
        <v>4</v>
      </c>
      <c r="AX8" s="267" t="s">
        <v>4</v>
      </c>
    </row>
    <row r="9" spans="1:51" s="274" customFormat="1" ht="9.9499999999999993" customHeight="1">
      <c r="A9" s="2498">
        <f ca="1">Orcamento!B17</f>
        <v>1</v>
      </c>
      <c r="B9" s="2501" t="str">
        <f>Orcamento!D17</f>
        <v>SERVIÇOS PRELIMINARES</v>
      </c>
      <c r="C9" s="305"/>
      <c r="D9" s="306"/>
      <c r="E9" s="307"/>
      <c r="F9" s="307"/>
      <c r="G9" s="307"/>
      <c r="H9" s="308">
        <f>H10</f>
        <v>0.08</v>
      </c>
      <c r="I9" s="308">
        <f>I10</f>
        <v>0.09</v>
      </c>
      <c r="J9" s="308">
        <f t="shared" ref="J9:AQ9" si="0">J10</f>
        <v>0.08</v>
      </c>
      <c r="K9" s="308">
        <f t="shared" si="0"/>
        <v>0.09</v>
      </c>
      <c r="L9" s="308">
        <f t="shared" si="0"/>
        <v>0.08</v>
      </c>
      <c r="M9" s="308">
        <f t="shared" si="0"/>
        <v>0.09</v>
      </c>
      <c r="N9" s="308">
        <f t="shared" si="0"/>
        <v>0.08</v>
      </c>
      <c r="O9" s="308">
        <f t="shared" si="0"/>
        <v>0.09</v>
      </c>
      <c r="P9" s="308">
        <f t="shared" si="0"/>
        <v>0.08</v>
      </c>
      <c r="Q9" s="308">
        <f t="shared" si="0"/>
        <v>0.08</v>
      </c>
      <c r="R9" s="308">
        <f t="shared" si="0"/>
        <v>0.08</v>
      </c>
      <c r="S9" s="308">
        <f t="shared" si="0"/>
        <v>0.08</v>
      </c>
      <c r="T9" s="308">
        <f t="shared" si="0"/>
        <v>0</v>
      </c>
      <c r="U9" s="308">
        <f t="shared" si="0"/>
        <v>0</v>
      </c>
      <c r="V9" s="308">
        <f t="shared" si="0"/>
        <v>0</v>
      </c>
      <c r="W9" s="308">
        <f t="shared" si="0"/>
        <v>0</v>
      </c>
      <c r="X9" s="308">
        <f t="shared" si="0"/>
        <v>0</v>
      </c>
      <c r="Y9" s="308">
        <f t="shared" si="0"/>
        <v>0</v>
      </c>
      <c r="Z9" s="308">
        <f t="shared" si="0"/>
        <v>0</v>
      </c>
      <c r="AA9" s="308">
        <f t="shared" si="0"/>
        <v>0</v>
      </c>
      <c r="AB9" s="308">
        <f t="shared" si="0"/>
        <v>0</v>
      </c>
      <c r="AC9" s="308">
        <f t="shared" si="0"/>
        <v>0</v>
      </c>
      <c r="AD9" s="308">
        <f t="shared" si="0"/>
        <v>0</v>
      </c>
      <c r="AE9" s="308">
        <f t="shared" si="0"/>
        <v>0</v>
      </c>
      <c r="AF9" s="308">
        <f t="shared" si="0"/>
        <v>0</v>
      </c>
      <c r="AG9" s="308">
        <f t="shared" si="0"/>
        <v>0</v>
      </c>
      <c r="AH9" s="308">
        <f t="shared" si="0"/>
        <v>0</v>
      </c>
      <c r="AI9" s="308">
        <f t="shared" si="0"/>
        <v>0</v>
      </c>
      <c r="AJ9" s="308">
        <f t="shared" si="0"/>
        <v>0</v>
      </c>
      <c r="AK9" s="308">
        <f t="shared" si="0"/>
        <v>0</v>
      </c>
      <c r="AL9" s="308">
        <f t="shared" si="0"/>
        <v>0</v>
      </c>
      <c r="AM9" s="308">
        <f t="shared" si="0"/>
        <v>0</v>
      </c>
      <c r="AN9" s="308">
        <f t="shared" si="0"/>
        <v>0</v>
      </c>
      <c r="AO9" s="308">
        <f t="shared" si="0"/>
        <v>0</v>
      </c>
      <c r="AP9" s="308">
        <f t="shared" si="0"/>
        <v>0</v>
      </c>
      <c r="AQ9" s="308">
        <f t="shared" si="0"/>
        <v>0</v>
      </c>
      <c r="AR9" s="309"/>
      <c r="AS9" s="310">
        <f>+D11-AR13-AR15</f>
        <v>1.4551915228366852E-11</v>
      </c>
      <c r="AW9" s="274" t="str">
        <f>IF(F9="","X",F9)</f>
        <v>X</v>
      </c>
      <c r="AX9" s="274" t="str">
        <f ca="1">IF($A$9=0,"","X")</f>
        <v>X</v>
      </c>
    </row>
    <row r="10" spans="1:51" s="274" customFormat="1" ht="18" customHeight="1">
      <c r="A10" s="2499"/>
      <c r="B10" s="2502"/>
      <c r="C10" s="311" t="str">
        <f>CONCATENATE(Orcamento!K16," ",Orcamento!O16)</f>
        <v xml:space="preserve"> </v>
      </c>
      <c r="D10" s="2504">
        <f>Orcamento!S17</f>
        <v>101788.53</v>
      </c>
      <c r="E10" s="2505"/>
      <c r="F10" s="312" t="s">
        <v>1192</v>
      </c>
      <c r="G10" s="312"/>
      <c r="H10" s="313">
        <v>0.08</v>
      </c>
      <c r="I10" s="313">
        <v>0.09</v>
      </c>
      <c r="J10" s="313">
        <v>0.08</v>
      </c>
      <c r="K10" s="313">
        <v>0.09</v>
      </c>
      <c r="L10" s="313">
        <v>0.08</v>
      </c>
      <c r="M10" s="313">
        <v>0.09</v>
      </c>
      <c r="N10" s="313">
        <v>0.08</v>
      </c>
      <c r="O10" s="313">
        <v>0.09</v>
      </c>
      <c r="P10" s="313">
        <v>0.08</v>
      </c>
      <c r="Q10" s="313">
        <v>0.08</v>
      </c>
      <c r="R10" s="313">
        <v>0.08</v>
      </c>
      <c r="S10" s="313">
        <v>0.08</v>
      </c>
      <c r="T10" s="314"/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4"/>
      <c r="AI10" s="314"/>
      <c r="AJ10" s="314"/>
      <c r="AK10" s="314"/>
      <c r="AL10" s="314"/>
      <c r="AM10" s="314"/>
      <c r="AN10" s="314"/>
      <c r="AO10" s="314"/>
      <c r="AP10" s="314"/>
      <c r="AQ10" s="314"/>
      <c r="AR10" s="315">
        <f t="shared" ref="AR10:AR15" si="1">SUM(H10:AQ10)</f>
        <v>0.99999999999999978</v>
      </c>
      <c r="AS10" s="2506">
        <f>1-AR10</f>
        <v>0</v>
      </c>
      <c r="AU10" s="2507">
        <f>+COUNT(H10:AQ11)</f>
        <v>48</v>
      </c>
      <c r="AW10" s="274" t="str">
        <f>IF(F10="","X",F10)</f>
        <v>ND</v>
      </c>
      <c r="AX10" s="274" t="str">
        <f t="shared" ref="AX10:AX15" ca="1" si="2">IF($A$9=0,"","X")</f>
        <v>X</v>
      </c>
    </row>
    <row r="11" spans="1:51" s="274" customFormat="1" ht="18" hidden="1" customHeight="1">
      <c r="A11" s="2499"/>
      <c r="B11" s="2502"/>
      <c r="C11" s="311" t="str">
        <f>CONCATENATE(Orcamento!K17," ",Orcamento!G17)</f>
        <v>16 M2</v>
      </c>
      <c r="D11" s="2504">
        <f>Orcamento!T17</f>
        <v>104286.02</v>
      </c>
      <c r="E11" s="2505"/>
      <c r="F11" s="316" t="s">
        <v>1193</v>
      </c>
      <c r="G11" s="316"/>
      <c r="H11" s="314">
        <f>H10</f>
        <v>0.08</v>
      </c>
      <c r="I11" s="314">
        <f t="shared" ref="I11:AQ11" si="3">I10</f>
        <v>0.09</v>
      </c>
      <c r="J11" s="314">
        <f t="shared" si="3"/>
        <v>0.08</v>
      </c>
      <c r="K11" s="314">
        <f t="shared" si="3"/>
        <v>0.09</v>
      </c>
      <c r="L11" s="314">
        <f t="shared" si="3"/>
        <v>0.08</v>
      </c>
      <c r="M11" s="314">
        <f t="shared" si="3"/>
        <v>0.09</v>
      </c>
      <c r="N11" s="314">
        <f t="shared" si="3"/>
        <v>0.08</v>
      </c>
      <c r="O11" s="314">
        <f t="shared" si="3"/>
        <v>0.09</v>
      </c>
      <c r="P11" s="314">
        <f t="shared" si="3"/>
        <v>0.08</v>
      </c>
      <c r="Q11" s="314">
        <f t="shared" si="3"/>
        <v>0.08</v>
      </c>
      <c r="R11" s="314">
        <f t="shared" si="3"/>
        <v>0.08</v>
      </c>
      <c r="S11" s="314">
        <f t="shared" si="3"/>
        <v>0.08</v>
      </c>
      <c r="T11" s="314">
        <f t="shared" si="3"/>
        <v>0</v>
      </c>
      <c r="U11" s="314">
        <f t="shared" si="3"/>
        <v>0</v>
      </c>
      <c r="V11" s="314">
        <f t="shared" si="3"/>
        <v>0</v>
      </c>
      <c r="W11" s="314">
        <f t="shared" si="3"/>
        <v>0</v>
      </c>
      <c r="X11" s="314">
        <f t="shared" si="3"/>
        <v>0</v>
      </c>
      <c r="Y11" s="314">
        <f t="shared" si="3"/>
        <v>0</v>
      </c>
      <c r="Z11" s="314">
        <f t="shared" si="3"/>
        <v>0</v>
      </c>
      <c r="AA11" s="314">
        <f t="shared" si="3"/>
        <v>0</v>
      </c>
      <c r="AB11" s="314">
        <f t="shared" si="3"/>
        <v>0</v>
      </c>
      <c r="AC11" s="314">
        <f t="shared" si="3"/>
        <v>0</v>
      </c>
      <c r="AD11" s="314">
        <f t="shared" si="3"/>
        <v>0</v>
      </c>
      <c r="AE11" s="314">
        <f t="shared" si="3"/>
        <v>0</v>
      </c>
      <c r="AF11" s="314">
        <f t="shared" si="3"/>
        <v>0</v>
      </c>
      <c r="AG11" s="314">
        <f t="shared" si="3"/>
        <v>0</v>
      </c>
      <c r="AH11" s="314">
        <f t="shared" si="3"/>
        <v>0</v>
      </c>
      <c r="AI11" s="314">
        <f t="shared" si="3"/>
        <v>0</v>
      </c>
      <c r="AJ11" s="314">
        <f t="shared" si="3"/>
        <v>0</v>
      </c>
      <c r="AK11" s="314">
        <f t="shared" si="3"/>
        <v>0</v>
      </c>
      <c r="AL11" s="314">
        <f t="shared" si="3"/>
        <v>0</v>
      </c>
      <c r="AM11" s="314">
        <f t="shared" si="3"/>
        <v>0</v>
      </c>
      <c r="AN11" s="314">
        <f t="shared" si="3"/>
        <v>0</v>
      </c>
      <c r="AO11" s="314">
        <f t="shared" si="3"/>
        <v>0</v>
      </c>
      <c r="AP11" s="314">
        <f t="shared" si="3"/>
        <v>0</v>
      </c>
      <c r="AQ11" s="314">
        <f t="shared" si="3"/>
        <v>0</v>
      </c>
      <c r="AR11" s="315">
        <f t="shared" si="1"/>
        <v>0.99999999999999978</v>
      </c>
      <c r="AS11" s="2506"/>
      <c r="AU11" s="2507"/>
      <c r="AW11" s="274" t="str">
        <f>IF(F11="","X",F11)</f>
        <v>DE</v>
      </c>
      <c r="AX11" s="274" t="str">
        <f t="shared" ca="1" si="2"/>
        <v>X</v>
      </c>
    </row>
    <row r="12" spans="1:51" s="274" customFormat="1" ht="18" customHeight="1" thickBot="1">
      <c r="A12" s="2499"/>
      <c r="B12" s="2502"/>
      <c r="C12" s="311"/>
      <c r="D12" s="317" t="s">
        <v>1194</v>
      </c>
      <c r="E12" s="2508">
        <f>$D$159</f>
        <v>1</v>
      </c>
      <c r="F12" s="318" t="s">
        <v>1192</v>
      </c>
      <c r="G12" s="318" t="str">
        <f>D12&amp;" | "&amp;F12</f>
        <v>CONCEDENTE | ND</v>
      </c>
      <c r="H12" s="319">
        <f>IF($D10=0,0,IF(H10=0,0,($E12*$D10*H10)+$AU$163))</f>
        <v>8143.0824000000002</v>
      </c>
      <c r="I12" s="319">
        <f t="shared" ref="I12:AQ12" si="4">IF($D10=0,0,IF(I10=0,0,($E12*$D10*I10)+$AU$163))</f>
        <v>9160.9676999999992</v>
      </c>
      <c r="J12" s="319">
        <f t="shared" si="4"/>
        <v>8143.0824000000002</v>
      </c>
      <c r="K12" s="319">
        <f t="shared" si="4"/>
        <v>9160.9676999999992</v>
      </c>
      <c r="L12" s="319">
        <f t="shared" si="4"/>
        <v>8143.0824000000002</v>
      </c>
      <c r="M12" s="319">
        <f t="shared" si="4"/>
        <v>9160.9676999999992</v>
      </c>
      <c r="N12" s="319">
        <f t="shared" si="4"/>
        <v>8143.0824000000002</v>
      </c>
      <c r="O12" s="319">
        <f t="shared" si="4"/>
        <v>9160.9676999999992</v>
      </c>
      <c r="P12" s="319">
        <f t="shared" si="4"/>
        <v>8143.0824000000002</v>
      </c>
      <c r="Q12" s="319">
        <f t="shared" si="4"/>
        <v>8143.0824000000002</v>
      </c>
      <c r="R12" s="319">
        <f t="shared" si="4"/>
        <v>8143.0824000000002</v>
      </c>
      <c r="S12" s="319">
        <f t="shared" si="4"/>
        <v>8143.0824000000002</v>
      </c>
      <c r="T12" s="319">
        <f t="shared" si="4"/>
        <v>0</v>
      </c>
      <c r="U12" s="319">
        <f t="shared" si="4"/>
        <v>0</v>
      </c>
      <c r="V12" s="319">
        <f t="shared" si="4"/>
        <v>0</v>
      </c>
      <c r="W12" s="319">
        <f t="shared" si="4"/>
        <v>0</v>
      </c>
      <c r="X12" s="319">
        <f t="shared" si="4"/>
        <v>0</v>
      </c>
      <c r="Y12" s="319">
        <f t="shared" si="4"/>
        <v>0</v>
      </c>
      <c r="Z12" s="319">
        <f t="shared" si="4"/>
        <v>0</v>
      </c>
      <c r="AA12" s="319">
        <f t="shared" si="4"/>
        <v>0</v>
      </c>
      <c r="AB12" s="319">
        <f t="shared" si="4"/>
        <v>0</v>
      </c>
      <c r="AC12" s="319">
        <f t="shared" si="4"/>
        <v>0</v>
      </c>
      <c r="AD12" s="319">
        <f t="shared" si="4"/>
        <v>0</v>
      </c>
      <c r="AE12" s="319">
        <f t="shared" si="4"/>
        <v>0</v>
      </c>
      <c r="AF12" s="319">
        <f t="shared" si="4"/>
        <v>0</v>
      </c>
      <c r="AG12" s="319">
        <f t="shared" si="4"/>
        <v>0</v>
      </c>
      <c r="AH12" s="319">
        <f t="shared" si="4"/>
        <v>0</v>
      </c>
      <c r="AI12" s="319">
        <f t="shared" si="4"/>
        <v>0</v>
      </c>
      <c r="AJ12" s="319">
        <f t="shared" si="4"/>
        <v>0</v>
      </c>
      <c r="AK12" s="319">
        <f t="shared" si="4"/>
        <v>0</v>
      </c>
      <c r="AL12" s="319">
        <f t="shared" si="4"/>
        <v>0</v>
      </c>
      <c r="AM12" s="319">
        <f t="shared" si="4"/>
        <v>0</v>
      </c>
      <c r="AN12" s="319">
        <f t="shared" si="4"/>
        <v>0</v>
      </c>
      <c r="AO12" s="319">
        <f t="shared" si="4"/>
        <v>0</v>
      </c>
      <c r="AP12" s="319">
        <f t="shared" si="4"/>
        <v>0</v>
      </c>
      <c r="AQ12" s="319">
        <f t="shared" si="4"/>
        <v>0</v>
      </c>
      <c r="AR12" s="320">
        <f t="shared" si="1"/>
        <v>101788.53</v>
      </c>
      <c r="AS12" s="321">
        <f>TRUNC(AR12-D10*E12,2)</f>
        <v>0</v>
      </c>
      <c r="AT12" s="322">
        <f>+AR12/D10</f>
        <v>1</v>
      </c>
      <c r="AW12" s="274" t="str">
        <f>IF(F12="","X",IF(AND(E12&gt;0),F12,"-"))</f>
        <v>ND</v>
      </c>
      <c r="AX12" s="274" t="str">
        <f t="shared" ca="1" si="2"/>
        <v>X</v>
      </c>
    </row>
    <row r="13" spans="1:51" s="274" customFormat="1" ht="18" hidden="1" customHeight="1">
      <c r="A13" s="2499"/>
      <c r="B13" s="2502"/>
      <c r="C13" s="311"/>
      <c r="D13" s="317" t="s">
        <v>1194</v>
      </c>
      <c r="E13" s="2509"/>
      <c r="F13" s="323" t="s">
        <v>1193</v>
      </c>
      <c r="G13" s="323" t="str">
        <f>D13&amp;" | "&amp;F13</f>
        <v>CONCEDENTE | DE</v>
      </c>
      <c r="H13" s="319">
        <f>IF($D11=0,0,IF(H11=0,0,($E12*$D11*H11)+$AU$163))</f>
        <v>8342.8816000000006</v>
      </c>
      <c r="I13" s="319">
        <f t="shared" ref="I13:AQ13" si="5">IF($D11=0,0,IF(I11=0,0,($E12*$D11*I11)+$AU$163))</f>
        <v>9385.7417999999998</v>
      </c>
      <c r="J13" s="319">
        <f t="shared" si="5"/>
        <v>8342.8816000000006</v>
      </c>
      <c r="K13" s="319">
        <f t="shared" si="5"/>
        <v>9385.7417999999998</v>
      </c>
      <c r="L13" s="319">
        <f t="shared" si="5"/>
        <v>8342.8816000000006</v>
      </c>
      <c r="M13" s="319">
        <f t="shared" si="5"/>
        <v>9385.7417999999998</v>
      </c>
      <c r="N13" s="319">
        <f t="shared" si="5"/>
        <v>8342.8816000000006</v>
      </c>
      <c r="O13" s="319">
        <f t="shared" si="5"/>
        <v>9385.7417999999998</v>
      </c>
      <c r="P13" s="319">
        <f t="shared" si="5"/>
        <v>8342.8816000000006</v>
      </c>
      <c r="Q13" s="319">
        <f t="shared" si="5"/>
        <v>8342.8816000000006</v>
      </c>
      <c r="R13" s="319">
        <f t="shared" si="5"/>
        <v>8342.8816000000006</v>
      </c>
      <c r="S13" s="319">
        <f t="shared" si="5"/>
        <v>8342.8816000000006</v>
      </c>
      <c r="T13" s="319">
        <f t="shared" si="5"/>
        <v>0</v>
      </c>
      <c r="U13" s="319">
        <f t="shared" si="5"/>
        <v>0</v>
      </c>
      <c r="V13" s="319">
        <f t="shared" si="5"/>
        <v>0</v>
      </c>
      <c r="W13" s="319">
        <f t="shared" si="5"/>
        <v>0</v>
      </c>
      <c r="X13" s="319">
        <f t="shared" si="5"/>
        <v>0</v>
      </c>
      <c r="Y13" s="319">
        <f t="shared" si="5"/>
        <v>0</v>
      </c>
      <c r="Z13" s="319">
        <f t="shared" si="5"/>
        <v>0</v>
      </c>
      <c r="AA13" s="319">
        <f t="shared" si="5"/>
        <v>0</v>
      </c>
      <c r="AB13" s="319">
        <f t="shared" si="5"/>
        <v>0</v>
      </c>
      <c r="AC13" s="319">
        <f t="shared" si="5"/>
        <v>0</v>
      </c>
      <c r="AD13" s="319">
        <f t="shared" si="5"/>
        <v>0</v>
      </c>
      <c r="AE13" s="319">
        <f t="shared" si="5"/>
        <v>0</v>
      </c>
      <c r="AF13" s="319">
        <f t="shared" si="5"/>
        <v>0</v>
      </c>
      <c r="AG13" s="319">
        <f t="shared" si="5"/>
        <v>0</v>
      </c>
      <c r="AH13" s="319">
        <f t="shared" si="5"/>
        <v>0</v>
      </c>
      <c r="AI13" s="319">
        <f t="shared" si="5"/>
        <v>0</v>
      </c>
      <c r="AJ13" s="319">
        <f t="shared" si="5"/>
        <v>0</v>
      </c>
      <c r="AK13" s="319">
        <f t="shared" si="5"/>
        <v>0</v>
      </c>
      <c r="AL13" s="319">
        <f t="shared" si="5"/>
        <v>0</v>
      </c>
      <c r="AM13" s="319">
        <f t="shared" si="5"/>
        <v>0</v>
      </c>
      <c r="AN13" s="319">
        <f t="shared" si="5"/>
        <v>0</v>
      </c>
      <c r="AO13" s="319">
        <f t="shared" si="5"/>
        <v>0</v>
      </c>
      <c r="AP13" s="319">
        <f t="shared" si="5"/>
        <v>0</v>
      </c>
      <c r="AQ13" s="319">
        <f t="shared" si="5"/>
        <v>0</v>
      </c>
      <c r="AR13" s="320">
        <f t="shared" si="1"/>
        <v>104286.01999999999</v>
      </c>
      <c r="AS13" s="321">
        <f>TRUNC(AR13-D11*E12,2)</f>
        <v>0</v>
      </c>
      <c r="AT13" s="322">
        <f>+AR13/D11</f>
        <v>0.99999999999999989</v>
      </c>
      <c r="AW13" s="274" t="str">
        <f>IF(F13="","X",IF(AND(E12&gt;0),F13,"-"))</f>
        <v>DE</v>
      </c>
      <c r="AX13" s="274" t="str">
        <f t="shared" ca="1" si="2"/>
        <v>X</v>
      </c>
    </row>
    <row r="14" spans="1:51" s="274" customFormat="1" ht="18" hidden="1" customHeight="1" thickBot="1">
      <c r="A14" s="2499"/>
      <c r="B14" s="2502"/>
      <c r="C14" s="324"/>
      <c r="D14" s="325" t="s">
        <v>1195</v>
      </c>
      <c r="E14" s="2510">
        <f>1-E12</f>
        <v>0</v>
      </c>
      <c r="F14" s="326" t="s">
        <v>1192</v>
      </c>
      <c r="G14" s="326" t="str">
        <f>D14&amp;" | "&amp;F14</f>
        <v>PROPONENTE | ND</v>
      </c>
      <c r="H14" s="327">
        <f>($D10*H10-H12)</f>
        <v>0</v>
      </c>
      <c r="I14" s="327">
        <f t="shared" ref="I14:AQ15" si="6">($D10*I10-I12)</f>
        <v>0</v>
      </c>
      <c r="J14" s="327">
        <f t="shared" si="6"/>
        <v>0</v>
      </c>
      <c r="K14" s="327">
        <f t="shared" si="6"/>
        <v>0</v>
      </c>
      <c r="L14" s="327">
        <f t="shared" si="6"/>
        <v>0</v>
      </c>
      <c r="M14" s="327">
        <f t="shared" si="6"/>
        <v>0</v>
      </c>
      <c r="N14" s="327">
        <f t="shared" si="6"/>
        <v>0</v>
      </c>
      <c r="O14" s="327">
        <f t="shared" si="6"/>
        <v>0</v>
      </c>
      <c r="P14" s="327">
        <f t="shared" si="6"/>
        <v>0</v>
      </c>
      <c r="Q14" s="327">
        <f t="shared" si="6"/>
        <v>0</v>
      </c>
      <c r="R14" s="327">
        <f t="shared" si="6"/>
        <v>0</v>
      </c>
      <c r="S14" s="327">
        <f t="shared" si="6"/>
        <v>0</v>
      </c>
      <c r="T14" s="327">
        <f t="shared" si="6"/>
        <v>0</v>
      </c>
      <c r="U14" s="327">
        <f t="shared" si="6"/>
        <v>0</v>
      </c>
      <c r="V14" s="327">
        <f t="shared" si="6"/>
        <v>0</v>
      </c>
      <c r="W14" s="327">
        <f t="shared" si="6"/>
        <v>0</v>
      </c>
      <c r="X14" s="327">
        <f t="shared" si="6"/>
        <v>0</v>
      </c>
      <c r="Y14" s="327">
        <f t="shared" si="6"/>
        <v>0</v>
      </c>
      <c r="Z14" s="327">
        <f t="shared" si="6"/>
        <v>0</v>
      </c>
      <c r="AA14" s="327">
        <f t="shared" si="6"/>
        <v>0</v>
      </c>
      <c r="AB14" s="327">
        <f t="shared" si="6"/>
        <v>0</v>
      </c>
      <c r="AC14" s="327">
        <f t="shared" si="6"/>
        <v>0</v>
      </c>
      <c r="AD14" s="327">
        <f t="shared" si="6"/>
        <v>0</v>
      </c>
      <c r="AE14" s="327">
        <f t="shared" si="6"/>
        <v>0</v>
      </c>
      <c r="AF14" s="327">
        <f t="shared" si="6"/>
        <v>0</v>
      </c>
      <c r="AG14" s="327">
        <f t="shared" si="6"/>
        <v>0</v>
      </c>
      <c r="AH14" s="327">
        <f t="shared" si="6"/>
        <v>0</v>
      </c>
      <c r="AI14" s="327">
        <f t="shared" si="6"/>
        <v>0</v>
      </c>
      <c r="AJ14" s="327">
        <f t="shared" si="6"/>
        <v>0</v>
      </c>
      <c r="AK14" s="327">
        <f t="shared" si="6"/>
        <v>0</v>
      </c>
      <c r="AL14" s="327">
        <f t="shared" si="6"/>
        <v>0</v>
      </c>
      <c r="AM14" s="327">
        <f t="shared" si="6"/>
        <v>0</v>
      </c>
      <c r="AN14" s="327">
        <f t="shared" si="6"/>
        <v>0</v>
      </c>
      <c r="AO14" s="327">
        <f t="shared" si="6"/>
        <v>0</v>
      </c>
      <c r="AP14" s="327">
        <f t="shared" si="6"/>
        <v>0</v>
      </c>
      <c r="AQ14" s="327">
        <f t="shared" si="6"/>
        <v>0</v>
      </c>
      <c r="AR14" s="328">
        <f t="shared" si="1"/>
        <v>0</v>
      </c>
      <c r="AS14" s="321">
        <f>+D10-AR12-AR14</f>
        <v>0</v>
      </c>
      <c r="AW14" s="274" t="str">
        <f>IF(F14="","X",IF(AND(E14&gt;0),F14,"-"))</f>
        <v>-</v>
      </c>
      <c r="AX14" s="274" t="str">
        <f t="shared" ca="1" si="2"/>
        <v>X</v>
      </c>
    </row>
    <row r="15" spans="1:51" s="274" customFormat="1" ht="18" hidden="1" customHeight="1" thickBot="1">
      <c r="A15" s="2500"/>
      <c r="B15" s="2503"/>
      <c r="C15" s="324"/>
      <c r="D15" s="325" t="s">
        <v>1195</v>
      </c>
      <c r="E15" s="2511"/>
      <c r="F15" s="329" t="s">
        <v>1193</v>
      </c>
      <c r="G15" s="329" t="str">
        <f>D15&amp;" | "&amp;F15</f>
        <v>PROPONENTE | DE</v>
      </c>
      <c r="H15" s="327">
        <f>($D11*H11-H13)</f>
        <v>0</v>
      </c>
      <c r="I15" s="327">
        <f t="shared" si="6"/>
        <v>0</v>
      </c>
      <c r="J15" s="327">
        <f t="shared" si="6"/>
        <v>0</v>
      </c>
      <c r="K15" s="327">
        <f t="shared" si="6"/>
        <v>0</v>
      </c>
      <c r="L15" s="327">
        <f t="shared" si="6"/>
        <v>0</v>
      </c>
      <c r="M15" s="327">
        <f t="shared" si="6"/>
        <v>0</v>
      </c>
      <c r="N15" s="327">
        <f t="shared" si="6"/>
        <v>0</v>
      </c>
      <c r="O15" s="327">
        <f t="shared" si="6"/>
        <v>0</v>
      </c>
      <c r="P15" s="327">
        <f t="shared" si="6"/>
        <v>0</v>
      </c>
      <c r="Q15" s="327">
        <f t="shared" si="6"/>
        <v>0</v>
      </c>
      <c r="R15" s="327">
        <f t="shared" si="6"/>
        <v>0</v>
      </c>
      <c r="S15" s="327">
        <f t="shared" si="6"/>
        <v>0</v>
      </c>
      <c r="T15" s="327">
        <f t="shared" si="6"/>
        <v>0</v>
      </c>
      <c r="U15" s="327">
        <f t="shared" si="6"/>
        <v>0</v>
      </c>
      <c r="V15" s="327">
        <f t="shared" si="6"/>
        <v>0</v>
      </c>
      <c r="W15" s="327">
        <f t="shared" si="6"/>
        <v>0</v>
      </c>
      <c r="X15" s="327">
        <f t="shared" si="6"/>
        <v>0</v>
      </c>
      <c r="Y15" s="327">
        <f t="shared" si="6"/>
        <v>0</v>
      </c>
      <c r="Z15" s="327">
        <f t="shared" si="6"/>
        <v>0</v>
      </c>
      <c r="AA15" s="327">
        <f t="shared" si="6"/>
        <v>0</v>
      </c>
      <c r="AB15" s="327">
        <f t="shared" si="6"/>
        <v>0</v>
      </c>
      <c r="AC15" s="327">
        <f t="shared" si="6"/>
        <v>0</v>
      </c>
      <c r="AD15" s="327">
        <f t="shared" si="6"/>
        <v>0</v>
      </c>
      <c r="AE15" s="327">
        <f t="shared" si="6"/>
        <v>0</v>
      </c>
      <c r="AF15" s="327">
        <f t="shared" si="6"/>
        <v>0</v>
      </c>
      <c r="AG15" s="327">
        <f t="shared" si="6"/>
        <v>0</v>
      </c>
      <c r="AH15" s="327">
        <f t="shared" si="6"/>
        <v>0</v>
      </c>
      <c r="AI15" s="327">
        <f t="shared" si="6"/>
        <v>0</v>
      </c>
      <c r="AJ15" s="327">
        <f t="shared" si="6"/>
        <v>0</v>
      </c>
      <c r="AK15" s="327">
        <f t="shared" si="6"/>
        <v>0</v>
      </c>
      <c r="AL15" s="327">
        <f t="shared" si="6"/>
        <v>0</v>
      </c>
      <c r="AM15" s="327">
        <f t="shared" si="6"/>
        <v>0</v>
      </c>
      <c r="AN15" s="327">
        <f t="shared" si="6"/>
        <v>0</v>
      </c>
      <c r="AO15" s="327">
        <f t="shared" si="6"/>
        <v>0</v>
      </c>
      <c r="AP15" s="327">
        <f t="shared" si="6"/>
        <v>0</v>
      </c>
      <c r="AQ15" s="327">
        <f t="shared" si="6"/>
        <v>0</v>
      </c>
      <c r="AR15" s="328">
        <f t="shared" si="1"/>
        <v>0</v>
      </c>
      <c r="AS15" s="321">
        <f>+D11-AR13-AR15</f>
        <v>1.4551915228366852E-11</v>
      </c>
      <c r="AW15" s="274" t="str">
        <f>IF(F15="","X",IF(AND(E14&gt;0),F15,"-"))</f>
        <v>-</v>
      </c>
      <c r="AX15" s="274" t="str">
        <f t="shared" ca="1" si="2"/>
        <v>X</v>
      </c>
    </row>
    <row r="16" spans="1:51" s="274" customFormat="1" ht="9.9499999999999993" hidden="1" customHeight="1">
      <c r="A16" s="2498">
        <f ca="1">Orcamento!B18</f>
        <v>0</v>
      </c>
      <c r="B16" s="2501" t="str">
        <f>Orcamento!D18</f>
        <v>REMOÇÕES, DEMOLIÇÕES E SUPRESSÕES</v>
      </c>
      <c r="C16" s="305"/>
      <c r="D16" s="306"/>
      <c r="E16" s="307"/>
      <c r="F16" s="307"/>
      <c r="G16" s="307"/>
      <c r="H16" s="308">
        <f t="shared" ref="H16:AQ16" si="7">H17</f>
        <v>0</v>
      </c>
      <c r="I16" s="308">
        <f t="shared" si="7"/>
        <v>0</v>
      </c>
      <c r="J16" s="308">
        <f t="shared" si="7"/>
        <v>0</v>
      </c>
      <c r="K16" s="308">
        <f t="shared" si="7"/>
        <v>0</v>
      </c>
      <c r="L16" s="308">
        <f t="shared" si="7"/>
        <v>0</v>
      </c>
      <c r="M16" s="308">
        <f t="shared" si="7"/>
        <v>0</v>
      </c>
      <c r="N16" s="308">
        <f t="shared" si="7"/>
        <v>0</v>
      </c>
      <c r="O16" s="308">
        <f t="shared" si="7"/>
        <v>0</v>
      </c>
      <c r="P16" s="308">
        <f t="shared" si="7"/>
        <v>0</v>
      </c>
      <c r="Q16" s="308">
        <f t="shared" si="7"/>
        <v>0</v>
      </c>
      <c r="R16" s="308">
        <f t="shared" si="7"/>
        <v>0</v>
      </c>
      <c r="S16" s="308">
        <f t="shared" si="7"/>
        <v>0</v>
      </c>
      <c r="T16" s="308">
        <f t="shared" si="7"/>
        <v>0</v>
      </c>
      <c r="U16" s="308">
        <f t="shared" si="7"/>
        <v>0</v>
      </c>
      <c r="V16" s="308">
        <f t="shared" si="7"/>
        <v>0</v>
      </c>
      <c r="W16" s="308">
        <f t="shared" si="7"/>
        <v>0</v>
      </c>
      <c r="X16" s="308">
        <f t="shared" si="7"/>
        <v>0</v>
      </c>
      <c r="Y16" s="308">
        <f t="shared" si="7"/>
        <v>0</v>
      </c>
      <c r="Z16" s="308">
        <f t="shared" si="7"/>
        <v>0</v>
      </c>
      <c r="AA16" s="308">
        <f t="shared" si="7"/>
        <v>0</v>
      </c>
      <c r="AB16" s="308">
        <f t="shared" si="7"/>
        <v>0</v>
      </c>
      <c r="AC16" s="308">
        <f t="shared" si="7"/>
        <v>0</v>
      </c>
      <c r="AD16" s="308">
        <f t="shared" si="7"/>
        <v>0</v>
      </c>
      <c r="AE16" s="308">
        <f t="shared" si="7"/>
        <v>0</v>
      </c>
      <c r="AF16" s="308">
        <f t="shared" si="7"/>
        <v>0</v>
      </c>
      <c r="AG16" s="308">
        <f t="shared" si="7"/>
        <v>0</v>
      </c>
      <c r="AH16" s="308">
        <f t="shared" si="7"/>
        <v>0</v>
      </c>
      <c r="AI16" s="308">
        <f t="shared" si="7"/>
        <v>0</v>
      </c>
      <c r="AJ16" s="308">
        <f t="shared" si="7"/>
        <v>0</v>
      </c>
      <c r="AK16" s="308">
        <f t="shared" si="7"/>
        <v>0</v>
      </c>
      <c r="AL16" s="308">
        <f t="shared" si="7"/>
        <v>0</v>
      </c>
      <c r="AM16" s="308">
        <f t="shared" si="7"/>
        <v>0</v>
      </c>
      <c r="AN16" s="308">
        <f t="shared" si="7"/>
        <v>0</v>
      </c>
      <c r="AO16" s="308">
        <f t="shared" si="7"/>
        <v>0</v>
      </c>
      <c r="AP16" s="308">
        <f t="shared" si="7"/>
        <v>0</v>
      </c>
      <c r="AQ16" s="308">
        <f t="shared" si="7"/>
        <v>0</v>
      </c>
      <c r="AR16" s="309"/>
      <c r="AS16" s="310">
        <f>+D18-AR20-AR22</f>
        <v>0</v>
      </c>
      <c r="AW16" s="274" t="str">
        <f>IF(F16="","X",F16)</f>
        <v>X</v>
      </c>
      <c r="AX16" s="274" t="str">
        <f ca="1">IF($A$16=0,"","X")</f>
        <v/>
      </c>
    </row>
    <row r="17" spans="1:50" s="274" customFormat="1" ht="18" hidden="1" customHeight="1">
      <c r="A17" s="2499"/>
      <c r="B17" s="2502"/>
      <c r="C17" s="311" t="str">
        <f>CONCATENATE(Orcamento!K23," ",Orcamento!G23)</f>
        <v>0 M3</v>
      </c>
      <c r="D17" s="2504">
        <f>Orcamento!S18</f>
        <v>0</v>
      </c>
      <c r="E17" s="2505"/>
      <c r="F17" s="312" t="s">
        <v>1192</v>
      </c>
      <c r="G17" s="312"/>
      <c r="H17" s="314"/>
      <c r="I17" s="314"/>
      <c r="J17" s="314"/>
      <c r="K17" s="314"/>
      <c r="L17" s="314"/>
      <c r="M17" s="314"/>
      <c r="N17" s="314"/>
      <c r="O17" s="314"/>
      <c r="P17" s="314"/>
      <c r="Q17" s="314"/>
      <c r="R17" s="314"/>
      <c r="S17" s="314"/>
      <c r="T17" s="314"/>
      <c r="U17" s="314"/>
      <c r="V17" s="314"/>
      <c r="W17" s="314"/>
      <c r="X17" s="314"/>
      <c r="Y17" s="314"/>
      <c r="Z17" s="314"/>
      <c r="AA17" s="314"/>
      <c r="AB17" s="314"/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5">
        <f t="shared" ref="AR17:AR22" si="8">SUM(H17:AQ17)</f>
        <v>0</v>
      </c>
      <c r="AS17" s="2506">
        <f>1-AR17</f>
        <v>1</v>
      </c>
      <c r="AU17" s="2507">
        <f>+COUNT(H17:AQ18)</f>
        <v>36</v>
      </c>
      <c r="AW17" s="274" t="str">
        <f>IF(F17="","X",F17)</f>
        <v>ND</v>
      </c>
      <c r="AX17" s="274" t="str">
        <f t="shared" ref="AX17:AX22" ca="1" si="9">IF($A$16=0,"","X")</f>
        <v/>
      </c>
    </row>
    <row r="18" spans="1:50" s="274" customFormat="1" ht="18" hidden="1" customHeight="1">
      <c r="A18" s="2499"/>
      <c r="B18" s="2502"/>
      <c r="C18" s="311" t="str">
        <f>CONCATENATE(Orcamento!K24," ",Orcamento!G24)</f>
        <v>0 M</v>
      </c>
      <c r="D18" s="2504">
        <f>Orcamento!T18</f>
        <v>0</v>
      </c>
      <c r="E18" s="2505"/>
      <c r="F18" s="316" t="s">
        <v>1193</v>
      </c>
      <c r="G18" s="316"/>
      <c r="H18" s="314">
        <f t="shared" ref="H18:AQ18" si="10">H17</f>
        <v>0</v>
      </c>
      <c r="I18" s="314">
        <f t="shared" si="10"/>
        <v>0</v>
      </c>
      <c r="J18" s="314">
        <f t="shared" si="10"/>
        <v>0</v>
      </c>
      <c r="K18" s="314">
        <f t="shared" si="10"/>
        <v>0</v>
      </c>
      <c r="L18" s="314">
        <f t="shared" si="10"/>
        <v>0</v>
      </c>
      <c r="M18" s="314">
        <f t="shared" si="10"/>
        <v>0</v>
      </c>
      <c r="N18" s="314">
        <f t="shared" si="10"/>
        <v>0</v>
      </c>
      <c r="O18" s="314">
        <f t="shared" si="10"/>
        <v>0</v>
      </c>
      <c r="P18" s="314">
        <f t="shared" si="10"/>
        <v>0</v>
      </c>
      <c r="Q18" s="314">
        <f t="shared" si="10"/>
        <v>0</v>
      </c>
      <c r="R18" s="314">
        <f t="shared" si="10"/>
        <v>0</v>
      </c>
      <c r="S18" s="314">
        <f t="shared" si="10"/>
        <v>0</v>
      </c>
      <c r="T18" s="314">
        <f t="shared" si="10"/>
        <v>0</v>
      </c>
      <c r="U18" s="314">
        <f t="shared" si="10"/>
        <v>0</v>
      </c>
      <c r="V18" s="314">
        <f t="shared" si="10"/>
        <v>0</v>
      </c>
      <c r="W18" s="314">
        <f t="shared" si="10"/>
        <v>0</v>
      </c>
      <c r="X18" s="314">
        <f t="shared" si="10"/>
        <v>0</v>
      </c>
      <c r="Y18" s="314">
        <f t="shared" si="10"/>
        <v>0</v>
      </c>
      <c r="Z18" s="314">
        <f t="shared" si="10"/>
        <v>0</v>
      </c>
      <c r="AA18" s="314">
        <f t="shared" si="10"/>
        <v>0</v>
      </c>
      <c r="AB18" s="314">
        <f t="shared" si="10"/>
        <v>0</v>
      </c>
      <c r="AC18" s="314">
        <f t="shared" si="10"/>
        <v>0</v>
      </c>
      <c r="AD18" s="314">
        <f t="shared" si="10"/>
        <v>0</v>
      </c>
      <c r="AE18" s="314">
        <f t="shared" si="10"/>
        <v>0</v>
      </c>
      <c r="AF18" s="314">
        <f t="shared" si="10"/>
        <v>0</v>
      </c>
      <c r="AG18" s="314">
        <f t="shared" si="10"/>
        <v>0</v>
      </c>
      <c r="AH18" s="314">
        <f t="shared" si="10"/>
        <v>0</v>
      </c>
      <c r="AI18" s="314">
        <f t="shared" si="10"/>
        <v>0</v>
      </c>
      <c r="AJ18" s="314">
        <f t="shared" si="10"/>
        <v>0</v>
      </c>
      <c r="AK18" s="314">
        <f t="shared" si="10"/>
        <v>0</v>
      </c>
      <c r="AL18" s="314">
        <f t="shared" si="10"/>
        <v>0</v>
      </c>
      <c r="AM18" s="314">
        <f t="shared" si="10"/>
        <v>0</v>
      </c>
      <c r="AN18" s="314">
        <f t="shared" si="10"/>
        <v>0</v>
      </c>
      <c r="AO18" s="314">
        <f t="shared" si="10"/>
        <v>0</v>
      </c>
      <c r="AP18" s="314">
        <f t="shared" si="10"/>
        <v>0</v>
      </c>
      <c r="AQ18" s="314">
        <f t="shared" si="10"/>
        <v>0</v>
      </c>
      <c r="AR18" s="315">
        <f t="shared" si="8"/>
        <v>0</v>
      </c>
      <c r="AS18" s="2506"/>
      <c r="AU18" s="2507"/>
      <c r="AW18" s="274" t="str">
        <f>IF(F18="","X",F18)</f>
        <v>DE</v>
      </c>
      <c r="AX18" s="274" t="str">
        <f t="shared" ca="1" si="9"/>
        <v/>
      </c>
    </row>
    <row r="19" spans="1:50" s="274" customFormat="1" ht="18" hidden="1" customHeight="1">
      <c r="A19" s="2499"/>
      <c r="B19" s="2502"/>
      <c r="C19" s="311"/>
      <c r="D19" s="317" t="s">
        <v>1194</v>
      </c>
      <c r="E19" s="2508">
        <f>$D$159</f>
        <v>1</v>
      </c>
      <c r="F19" s="318" t="s">
        <v>1192</v>
      </c>
      <c r="G19" s="318" t="str">
        <f>D19&amp;" | "&amp;F19</f>
        <v>CONCEDENTE | ND</v>
      </c>
      <c r="H19" s="319">
        <f t="shared" ref="H19:AQ19" si="11">IF($D17=0,0,IF(H17=0,0,($E19*$D17*H17)+$AU$163))</f>
        <v>0</v>
      </c>
      <c r="I19" s="319">
        <f t="shared" si="11"/>
        <v>0</v>
      </c>
      <c r="J19" s="319">
        <f t="shared" si="11"/>
        <v>0</v>
      </c>
      <c r="K19" s="319">
        <f t="shared" si="11"/>
        <v>0</v>
      </c>
      <c r="L19" s="319">
        <f t="shared" si="11"/>
        <v>0</v>
      </c>
      <c r="M19" s="319">
        <f t="shared" si="11"/>
        <v>0</v>
      </c>
      <c r="N19" s="319">
        <f t="shared" si="11"/>
        <v>0</v>
      </c>
      <c r="O19" s="319">
        <f t="shared" si="11"/>
        <v>0</v>
      </c>
      <c r="P19" s="319">
        <f t="shared" si="11"/>
        <v>0</v>
      </c>
      <c r="Q19" s="319">
        <f t="shared" si="11"/>
        <v>0</v>
      </c>
      <c r="R19" s="319">
        <f t="shared" si="11"/>
        <v>0</v>
      </c>
      <c r="S19" s="319">
        <f t="shared" si="11"/>
        <v>0</v>
      </c>
      <c r="T19" s="319">
        <f t="shared" si="11"/>
        <v>0</v>
      </c>
      <c r="U19" s="319">
        <f t="shared" si="11"/>
        <v>0</v>
      </c>
      <c r="V19" s="319">
        <f t="shared" si="11"/>
        <v>0</v>
      </c>
      <c r="W19" s="319">
        <f t="shared" si="11"/>
        <v>0</v>
      </c>
      <c r="X19" s="319">
        <f t="shared" si="11"/>
        <v>0</v>
      </c>
      <c r="Y19" s="319">
        <f t="shared" si="11"/>
        <v>0</v>
      </c>
      <c r="Z19" s="319">
        <f t="shared" si="11"/>
        <v>0</v>
      </c>
      <c r="AA19" s="319">
        <f t="shared" si="11"/>
        <v>0</v>
      </c>
      <c r="AB19" s="319">
        <f t="shared" si="11"/>
        <v>0</v>
      </c>
      <c r="AC19" s="319">
        <f t="shared" si="11"/>
        <v>0</v>
      </c>
      <c r="AD19" s="319">
        <f t="shared" si="11"/>
        <v>0</v>
      </c>
      <c r="AE19" s="319">
        <f t="shared" si="11"/>
        <v>0</v>
      </c>
      <c r="AF19" s="319">
        <f t="shared" si="11"/>
        <v>0</v>
      </c>
      <c r="AG19" s="319">
        <f t="shared" si="11"/>
        <v>0</v>
      </c>
      <c r="AH19" s="319">
        <f t="shared" si="11"/>
        <v>0</v>
      </c>
      <c r="AI19" s="319">
        <f t="shared" si="11"/>
        <v>0</v>
      </c>
      <c r="AJ19" s="319">
        <f t="shared" si="11"/>
        <v>0</v>
      </c>
      <c r="AK19" s="319">
        <f t="shared" si="11"/>
        <v>0</v>
      </c>
      <c r="AL19" s="319">
        <f t="shared" si="11"/>
        <v>0</v>
      </c>
      <c r="AM19" s="319">
        <f t="shared" si="11"/>
        <v>0</v>
      </c>
      <c r="AN19" s="319">
        <f t="shared" si="11"/>
        <v>0</v>
      </c>
      <c r="AO19" s="319">
        <f t="shared" si="11"/>
        <v>0</v>
      </c>
      <c r="AP19" s="319">
        <f t="shared" si="11"/>
        <v>0</v>
      </c>
      <c r="AQ19" s="319">
        <f t="shared" si="11"/>
        <v>0</v>
      </c>
      <c r="AR19" s="320">
        <f t="shared" si="8"/>
        <v>0</v>
      </c>
      <c r="AS19" s="321">
        <f>TRUNC(AR19-D17*E19,2)</f>
        <v>0</v>
      </c>
      <c r="AT19" s="322" t="e">
        <f>+AR19/D17</f>
        <v>#DIV/0!</v>
      </c>
      <c r="AW19" s="274" t="str">
        <f>IF(F19="","X",IF(AND(E19&gt;0),F19,"-"))</f>
        <v>ND</v>
      </c>
      <c r="AX19" s="274" t="str">
        <f t="shared" ca="1" si="9"/>
        <v/>
      </c>
    </row>
    <row r="20" spans="1:50" s="274" customFormat="1" ht="18" hidden="1" customHeight="1">
      <c r="A20" s="2499"/>
      <c r="B20" s="2502"/>
      <c r="C20" s="311"/>
      <c r="D20" s="317" t="s">
        <v>1194</v>
      </c>
      <c r="E20" s="2509"/>
      <c r="F20" s="323" t="s">
        <v>1193</v>
      </c>
      <c r="G20" s="323" t="str">
        <f>D20&amp;" | "&amp;F20</f>
        <v>CONCEDENTE | DE</v>
      </c>
      <c r="H20" s="319">
        <f t="shared" ref="H20:AQ20" si="12">IF($D18=0,0,IF(H18=0,0,($E19*$D18*H18)+$AU$163))</f>
        <v>0</v>
      </c>
      <c r="I20" s="319">
        <f t="shared" si="12"/>
        <v>0</v>
      </c>
      <c r="J20" s="319">
        <f t="shared" si="12"/>
        <v>0</v>
      </c>
      <c r="K20" s="319">
        <f t="shared" si="12"/>
        <v>0</v>
      </c>
      <c r="L20" s="319">
        <f t="shared" si="12"/>
        <v>0</v>
      </c>
      <c r="M20" s="319">
        <f t="shared" si="12"/>
        <v>0</v>
      </c>
      <c r="N20" s="319">
        <f t="shared" si="12"/>
        <v>0</v>
      </c>
      <c r="O20" s="319">
        <f t="shared" si="12"/>
        <v>0</v>
      </c>
      <c r="P20" s="319">
        <f t="shared" si="12"/>
        <v>0</v>
      </c>
      <c r="Q20" s="319">
        <f t="shared" si="12"/>
        <v>0</v>
      </c>
      <c r="R20" s="319">
        <f t="shared" si="12"/>
        <v>0</v>
      </c>
      <c r="S20" s="319">
        <f t="shared" si="12"/>
        <v>0</v>
      </c>
      <c r="T20" s="319">
        <f t="shared" si="12"/>
        <v>0</v>
      </c>
      <c r="U20" s="319">
        <f t="shared" si="12"/>
        <v>0</v>
      </c>
      <c r="V20" s="319">
        <f t="shared" si="12"/>
        <v>0</v>
      </c>
      <c r="W20" s="319">
        <f t="shared" si="12"/>
        <v>0</v>
      </c>
      <c r="X20" s="319">
        <f t="shared" si="12"/>
        <v>0</v>
      </c>
      <c r="Y20" s="319">
        <f t="shared" si="12"/>
        <v>0</v>
      </c>
      <c r="Z20" s="319">
        <f t="shared" si="12"/>
        <v>0</v>
      </c>
      <c r="AA20" s="319">
        <f t="shared" si="12"/>
        <v>0</v>
      </c>
      <c r="AB20" s="319">
        <f t="shared" si="12"/>
        <v>0</v>
      </c>
      <c r="AC20" s="319">
        <f t="shared" si="12"/>
        <v>0</v>
      </c>
      <c r="AD20" s="319">
        <f t="shared" si="12"/>
        <v>0</v>
      </c>
      <c r="AE20" s="319">
        <f t="shared" si="12"/>
        <v>0</v>
      </c>
      <c r="AF20" s="319">
        <f t="shared" si="12"/>
        <v>0</v>
      </c>
      <c r="AG20" s="319">
        <f t="shared" si="12"/>
        <v>0</v>
      </c>
      <c r="AH20" s="319">
        <f t="shared" si="12"/>
        <v>0</v>
      </c>
      <c r="AI20" s="319">
        <f t="shared" si="12"/>
        <v>0</v>
      </c>
      <c r="AJ20" s="319">
        <f t="shared" si="12"/>
        <v>0</v>
      </c>
      <c r="AK20" s="319">
        <f t="shared" si="12"/>
        <v>0</v>
      </c>
      <c r="AL20" s="319">
        <f t="shared" si="12"/>
        <v>0</v>
      </c>
      <c r="AM20" s="319">
        <f t="shared" si="12"/>
        <v>0</v>
      </c>
      <c r="AN20" s="319">
        <f t="shared" si="12"/>
        <v>0</v>
      </c>
      <c r="AO20" s="319">
        <f t="shared" si="12"/>
        <v>0</v>
      </c>
      <c r="AP20" s="319">
        <f t="shared" si="12"/>
        <v>0</v>
      </c>
      <c r="AQ20" s="319">
        <f t="shared" si="12"/>
        <v>0</v>
      </c>
      <c r="AR20" s="320">
        <f t="shared" si="8"/>
        <v>0</v>
      </c>
      <c r="AS20" s="321">
        <f>TRUNC(AR20-D18*E19,2)</f>
        <v>0</v>
      </c>
      <c r="AT20" s="322" t="e">
        <f>+AR20/D18</f>
        <v>#DIV/0!</v>
      </c>
      <c r="AW20" s="274" t="str">
        <f>IF(F20="","X",IF(AND(E19&gt;0),F20,"-"))</f>
        <v>DE</v>
      </c>
      <c r="AX20" s="274" t="str">
        <f t="shared" ca="1" si="9"/>
        <v/>
      </c>
    </row>
    <row r="21" spans="1:50" s="274" customFormat="1" ht="18" hidden="1" customHeight="1" thickBot="1">
      <c r="A21" s="2499"/>
      <c r="B21" s="2502"/>
      <c r="C21" s="324"/>
      <c r="D21" s="325" t="s">
        <v>1195</v>
      </c>
      <c r="E21" s="2510">
        <f>1-E19</f>
        <v>0</v>
      </c>
      <c r="F21" s="326" t="s">
        <v>1192</v>
      </c>
      <c r="G21" s="326" t="str">
        <f>D21&amp;" | "&amp;F21</f>
        <v>PROPONENTE | ND</v>
      </c>
      <c r="H21" s="327">
        <f>($D17*H17-H19)</f>
        <v>0</v>
      </c>
      <c r="I21" s="327">
        <f t="shared" ref="I21:AQ22" si="13">($D17*I17-I19)</f>
        <v>0</v>
      </c>
      <c r="J21" s="327">
        <f t="shared" si="13"/>
        <v>0</v>
      </c>
      <c r="K21" s="327">
        <f t="shared" si="13"/>
        <v>0</v>
      </c>
      <c r="L21" s="327">
        <f t="shared" si="13"/>
        <v>0</v>
      </c>
      <c r="M21" s="327">
        <f t="shared" si="13"/>
        <v>0</v>
      </c>
      <c r="N21" s="327">
        <f t="shared" si="13"/>
        <v>0</v>
      </c>
      <c r="O21" s="327">
        <f t="shared" si="13"/>
        <v>0</v>
      </c>
      <c r="P21" s="327">
        <f t="shared" si="13"/>
        <v>0</v>
      </c>
      <c r="Q21" s="327">
        <f t="shared" si="13"/>
        <v>0</v>
      </c>
      <c r="R21" s="327">
        <f t="shared" si="13"/>
        <v>0</v>
      </c>
      <c r="S21" s="327">
        <f t="shared" si="13"/>
        <v>0</v>
      </c>
      <c r="T21" s="327">
        <f t="shared" si="13"/>
        <v>0</v>
      </c>
      <c r="U21" s="327">
        <f t="shared" si="13"/>
        <v>0</v>
      </c>
      <c r="V21" s="327">
        <f t="shared" si="13"/>
        <v>0</v>
      </c>
      <c r="W21" s="327">
        <f t="shared" si="13"/>
        <v>0</v>
      </c>
      <c r="X21" s="327">
        <f t="shared" si="13"/>
        <v>0</v>
      </c>
      <c r="Y21" s="327">
        <f t="shared" si="13"/>
        <v>0</v>
      </c>
      <c r="Z21" s="327">
        <f t="shared" si="13"/>
        <v>0</v>
      </c>
      <c r="AA21" s="327">
        <f t="shared" si="13"/>
        <v>0</v>
      </c>
      <c r="AB21" s="327">
        <f t="shared" si="13"/>
        <v>0</v>
      </c>
      <c r="AC21" s="327">
        <f t="shared" si="13"/>
        <v>0</v>
      </c>
      <c r="AD21" s="327">
        <f t="shared" si="13"/>
        <v>0</v>
      </c>
      <c r="AE21" s="327">
        <f t="shared" si="13"/>
        <v>0</v>
      </c>
      <c r="AF21" s="327">
        <f t="shared" si="13"/>
        <v>0</v>
      </c>
      <c r="AG21" s="327">
        <f t="shared" si="13"/>
        <v>0</v>
      </c>
      <c r="AH21" s="327">
        <f t="shared" si="13"/>
        <v>0</v>
      </c>
      <c r="AI21" s="327">
        <f t="shared" si="13"/>
        <v>0</v>
      </c>
      <c r="AJ21" s="327">
        <f t="shared" si="13"/>
        <v>0</v>
      </c>
      <c r="AK21" s="327">
        <f t="shared" si="13"/>
        <v>0</v>
      </c>
      <c r="AL21" s="327">
        <f t="shared" si="13"/>
        <v>0</v>
      </c>
      <c r="AM21" s="327">
        <f t="shared" si="13"/>
        <v>0</v>
      </c>
      <c r="AN21" s="327">
        <f t="shared" si="13"/>
        <v>0</v>
      </c>
      <c r="AO21" s="327">
        <f t="shared" si="13"/>
        <v>0</v>
      </c>
      <c r="AP21" s="327">
        <f t="shared" si="13"/>
        <v>0</v>
      </c>
      <c r="AQ21" s="327">
        <f t="shared" si="13"/>
        <v>0</v>
      </c>
      <c r="AR21" s="328">
        <f t="shared" si="8"/>
        <v>0</v>
      </c>
      <c r="AS21" s="321">
        <f>+D17-AR19-AR21</f>
        <v>0</v>
      </c>
      <c r="AW21" s="274" t="str">
        <f>IF(F21="","X",IF(AND(E21&gt;0),F21,"-"))</f>
        <v>-</v>
      </c>
      <c r="AX21" s="274" t="str">
        <f t="shared" ca="1" si="9"/>
        <v/>
      </c>
    </row>
    <row r="22" spans="1:50" s="274" customFormat="1" ht="18" hidden="1" customHeight="1" thickBot="1">
      <c r="A22" s="2500"/>
      <c r="B22" s="2503"/>
      <c r="C22" s="324"/>
      <c r="D22" s="325" t="s">
        <v>1195</v>
      </c>
      <c r="E22" s="2511"/>
      <c r="F22" s="329" t="s">
        <v>1193</v>
      </c>
      <c r="G22" s="329" t="str">
        <f>D22&amp;" | "&amp;F22</f>
        <v>PROPONENTE | DE</v>
      </c>
      <c r="H22" s="327">
        <f>($D18*H18-H20)</f>
        <v>0</v>
      </c>
      <c r="I22" s="327">
        <f t="shared" si="13"/>
        <v>0</v>
      </c>
      <c r="J22" s="327">
        <f t="shared" si="13"/>
        <v>0</v>
      </c>
      <c r="K22" s="327">
        <f t="shared" si="13"/>
        <v>0</v>
      </c>
      <c r="L22" s="327">
        <f t="shared" si="13"/>
        <v>0</v>
      </c>
      <c r="M22" s="327">
        <f t="shared" si="13"/>
        <v>0</v>
      </c>
      <c r="N22" s="327">
        <f t="shared" si="13"/>
        <v>0</v>
      </c>
      <c r="O22" s="327">
        <f t="shared" si="13"/>
        <v>0</v>
      </c>
      <c r="P22" s="327">
        <f t="shared" si="13"/>
        <v>0</v>
      </c>
      <c r="Q22" s="327">
        <f t="shared" si="13"/>
        <v>0</v>
      </c>
      <c r="R22" s="327">
        <f t="shared" si="13"/>
        <v>0</v>
      </c>
      <c r="S22" s="327">
        <f t="shared" si="13"/>
        <v>0</v>
      </c>
      <c r="T22" s="327">
        <f t="shared" si="13"/>
        <v>0</v>
      </c>
      <c r="U22" s="327">
        <f t="shared" si="13"/>
        <v>0</v>
      </c>
      <c r="V22" s="327">
        <f t="shared" si="13"/>
        <v>0</v>
      </c>
      <c r="W22" s="327">
        <f t="shared" si="13"/>
        <v>0</v>
      </c>
      <c r="X22" s="327">
        <f t="shared" si="13"/>
        <v>0</v>
      </c>
      <c r="Y22" s="327">
        <f t="shared" si="13"/>
        <v>0</v>
      </c>
      <c r="Z22" s="327">
        <f t="shared" si="13"/>
        <v>0</v>
      </c>
      <c r="AA22" s="327">
        <f t="shared" si="13"/>
        <v>0</v>
      </c>
      <c r="AB22" s="327">
        <f t="shared" si="13"/>
        <v>0</v>
      </c>
      <c r="AC22" s="327">
        <f t="shared" si="13"/>
        <v>0</v>
      </c>
      <c r="AD22" s="327">
        <f t="shared" si="13"/>
        <v>0</v>
      </c>
      <c r="AE22" s="327">
        <f t="shared" si="13"/>
        <v>0</v>
      </c>
      <c r="AF22" s="327">
        <f t="shared" si="13"/>
        <v>0</v>
      </c>
      <c r="AG22" s="327">
        <f t="shared" si="13"/>
        <v>0</v>
      </c>
      <c r="AH22" s="327">
        <f t="shared" si="13"/>
        <v>0</v>
      </c>
      <c r="AI22" s="327">
        <f t="shared" si="13"/>
        <v>0</v>
      </c>
      <c r="AJ22" s="327">
        <f t="shared" si="13"/>
        <v>0</v>
      </c>
      <c r="AK22" s="327">
        <f t="shared" si="13"/>
        <v>0</v>
      </c>
      <c r="AL22" s="327">
        <f t="shared" si="13"/>
        <v>0</v>
      </c>
      <c r="AM22" s="327">
        <f t="shared" si="13"/>
        <v>0</v>
      </c>
      <c r="AN22" s="327">
        <f t="shared" si="13"/>
        <v>0</v>
      </c>
      <c r="AO22" s="327">
        <f t="shared" si="13"/>
        <v>0</v>
      </c>
      <c r="AP22" s="327">
        <f t="shared" si="13"/>
        <v>0</v>
      </c>
      <c r="AQ22" s="327">
        <f t="shared" si="13"/>
        <v>0</v>
      </c>
      <c r="AR22" s="328">
        <f t="shared" si="8"/>
        <v>0</v>
      </c>
      <c r="AS22" s="321">
        <f>+D18-AR20-AR22</f>
        <v>0</v>
      </c>
      <c r="AW22" s="274" t="str">
        <f>IF(F22="","X",IF(AND(E21&gt;0),F22,"-"))</f>
        <v>-</v>
      </c>
      <c r="AX22" s="274" t="str">
        <f t="shared" ca="1" si="9"/>
        <v/>
      </c>
    </row>
    <row r="23" spans="1:50" s="274" customFormat="1" ht="9.9499999999999993" hidden="1" customHeight="1">
      <c r="A23" s="2498">
        <f ca="1">Orcamento!B19</f>
        <v>0</v>
      </c>
      <c r="B23" s="2501" t="str">
        <f>Orcamento!D19</f>
        <v>MICRODRENAGEM - TERRAPLENAGEM</v>
      </c>
      <c r="C23" s="305"/>
      <c r="D23" s="306"/>
      <c r="E23" s="307"/>
      <c r="F23" s="307"/>
      <c r="G23" s="307"/>
      <c r="H23" s="308">
        <f t="shared" ref="H23:AQ23" si="14">H24</f>
        <v>0.5</v>
      </c>
      <c r="I23" s="308">
        <f t="shared" si="14"/>
        <v>0.5</v>
      </c>
      <c r="J23" s="308">
        <f t="shared" si="14"/>
        <v>0</v>
      </c>
      <c r="K23" s="308">
        <f t="shared" si="14"/>
        <v>0</v>
      </c>
      <c r="L23" s="308">
        <f t="shared" si="14"/>
        <v>0</v>
      </c>
      <c r="M23" s="308">
        <f t="shared" si="14"/>
        <v>0</v>
      </c>
      <c r="N23" s="308">
        <f t="shared" si="14"/>
        <v>0</v>
      </c>
      <c r="O23" s="308">
        <f t="shared" si="14"/>
        <v>0</v>
      </c>
      <c r="P23" s="308">
        <f t="shared" si="14"/>
        <v>0</v>
      </c>
      <c r="Q23" s="308">
        <f t="shared" si="14"/>
        <v>0</v>
      </c>
      <c r="R23" s="308">
        <f t="shared" si="14"/>
        <v>0</v>
      </c>
      <c r="S23" s="308">
        <f t="shared" si="14"/>
        <v>0</v>
      </c>
      <c r="T23" s="308">
        <f t="shared" si="14"/>
        <v>0</v>
      </c>
      <c r="U23" s="308">
        <f t="shared" si="14"/>
        <v>0</v>
      </c>
      <c r="V23" s="308">
        <f t="shared" si="14"/>
        <v>0</v>
      </c>
      <c r="W23" s="308">
        <f t="shared" si="14"/>
        <v>0</v>
      </c>
      <c r="X23" s="308">
        <f t="shared" si="14"/>
        <v>0</v>
      </c>
      <c r="Y23" s="308">
        <f t="shared" si="14"/>
        <v>0</v>
      </c>
      <c r="Z23" s="308">
        <f t="shared" si="14"/>
        <v>0</v>
      </c>
      <c r="AA23" s="308">
        <f t="shared" si="14"/>
        <v>0</v>
      </c>
      <c r="AB23" s="308">
        <f t="shared" si="14"/>
        <v>0</v>
      </c>
      <c r="AC23" s="308">
        <f t="shared" si="14"/>
        <v>0</v>
      </c>
      <c r="AD23" s="308">
        <f t="shared" si="14"/>
        <v>0</v>
      </c>
      <c r="AE23" s="308">
        <f t="shared" si="14"/>
        <v>0</v>
      </c>
      <c r="AF23" s="308">
        <f t="shared" si="14"/>
        <v>0</v>
      </c>
      <c r="AG23" s="308">
        <f t="shared" si="14"/>
        <v>0</v>
      </c>
      <c r="AH23" s="308">
        <f t="shared" si="14"/>
        <v>0</v>
      </c>
      <c r="AI23" s="308">
        <f t="shared" si="14"/>
        <v>0</v>
      </c>
      <c r="AJ23" s="308">
        <f t="shared" si="14"/>
        <v>0</v>
      </c>
      <c r="AK23" s="308">
        <f t="shared" si="14"/>
        <v>0</v>
      </c>
      <c r="AL23" s="308">
        <f t="shared" si="14"/>
        <v>0</v>
      </c>
      <c r="AM23" s="308">
        <f t="shared" si="14"/>
        <v>0</v>
      </c>
      <c r="AN23" s="308">
        <f t="shared" si="14"/>
        <v>0</v>
      </c>
      <c r="AO23" s="308">
        <f t="shared" si="14"/>
        <v>0</v>
      </c>
      <c r="AP23" s="308">
        <f t="shared" si="14"/>
        <v>0</v>
      </c>
      <c r="AQ23" s="308">
        <f t="shared" si="14"/>
        <v>0</v>
      </c>
      <c r="AR23" s="309"/>
      <c r="AS23" s="310">
        <f>+D25-AR27-AR29</f>
        <v>0</v>
      </c>
      <c r="AW23" s="274" t="str">
        <f>IF(F23="","X",F23)</f>
        <v>X</v>
      </c>
      <c r="AX23" s="274" t="str">
        <f ca="1">IF($A$23=0,"","X")</f>
        <v/>
      </c>
    </row>
    <row r="24" spans="1:50" s="274" customFormat="1" ht="18" hidden="1" customHeight="1">
      <c r="A24" s="2499"/>
      <c r="B24" s="2502"/>
      <c r="C24" s="311" t="str">
        <f>CONCATENATE(Orcamento!K30," ",Orcamento!G30)</f>
        <v>0 M</v>
      </c>
      <c r="D24" s="2504">
        <f>Orcamento!S19</f>
        <v>0</v>
      </c>
      <c r="E24" s="2505"/>
      <c r="F24" s="312" t="s">
        <v>1192</v>
      </c>
      <c r="G24" s="312"/>
      <c r="H24" s="314">
        <v>0.5</v>
      </c>
      <c r="I24" s="314">
        <v>0.5</v>
      </c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5">
        <f t="shared" ref="AR24:AR29" si="15">SUM(H24:AQ24)</f>
        <v>1</v>
      </c>
      <c r="AS24" s="2506">
        <f>1-AR24</f>
        <v>0</v>
      </c>
      <c r="AU24" s="2507">
        <f>+COUNT(H24:AQ25)</f>
        <v>38</v>
      </c>
      <c r="AW24" s="274" t="str">
        <f>IF(F24="","X",F24)</f>
        <v>ND</v>
      </c>
      <c r="AX24" s="274" t="str">
        <f t="shared" ref="AX24:AX29" ca="1" si="16">IF($A$23=0,"","X")</f>
        <v/>
      </c>
    </row>
    <row r="25" spans="1:50" s="274" customFormat="1" ht="18" hidden="1" customHeight="1">
      <c r="A25" s="2499"/>
      <c r="B25" s="2502"/>
      <c r="C25" s="311" t="str">
        <f>CONCATENATE(Orcamento!K31," ",Orcamento!G31)</f>
        <v>0 M2</v>
      </c>
      <c r="D25" s="2504">
        <f>Orcamento!T19</f>
        <v>0</v>
      </c>
      <c r="E25" s="2505"/>
      <c r="F25" s="316" t="s">
        <v>1193</v>
      </c>
      <c r="G25" s="316"/>
      <c r="H25" s="314">
        <f t="shared" ref="H25:AQ25" si="17">H24</f>
        <v>0.5</v>
      </c>
      <c r="I25" s="314">
        <f t="shared" si="17"/>
        <v>0.5</v>
      </c>
      <c r="J25" s="314">
        <f t="shared" si="17"/>
        <v>0</v>
      </c>
      <c r="K25" s="314">
        <f t="shared" si="17"/>
        <v>0</v>
      </c>
      <c r="L25" s="314">
        <f t="shared" si="17"/>
        <v>0</v>
      </c>
      <c r="M25" s="314">
        <f t="shared" si="17"/>
        <v>0</v>
      </c>
      <c r="N25" s="314">
        <f t="shared" si="17"/>
        <v>0</v>
      </c>
      <c r="O25" s="314">
        <f t="shared" si="17"/>
        <v>0</v>
      </c>
      <c r="P25" s="314">
        <f t="shared" si="17"/>
        <v>0</v>
      </c>
      <c r="Q25" s="314">
        <f t="shared" si="17"/>
        <v>0</v>
      </c>
      <c r="R25" s="314">
        <f t="shared" si="17"/>
        <v>0</v>
      </c>
      <c r="S25" s="314">
        <f t="shared" si="17"/>
        <v>0</v>
      </c>
      <c r="T25" s="314">
        <f t="shared" si="17"/>
        <v>0</v>
      </c>
      <c r="U25" s="314">
        <f t="shared" si="17"/>
        <v>0</v>
      </c>
      <c r="V25" s="314">
        <f t="shared" si="17"/>
        <v>0</v>
      </c>
      <c r="W25" s="314">
        <f t="shared" si="17"/>
        <v>0</v>
      </c>
      <c r="X25" s="314">
        <f t="shared" si="17"/>
        <v>0</v>
      </c>
      <c r="Y25" s="314">
        <f t="shared" si="17"/>
        <v>0</v>
      </c>
      <c r="Z25" s="314">
        <f t="shared" si="17"/>
        <v>0</v>
      </c>
      <c r="AA25" s="314">
        <f t="shared" si="17"/>
        <v>0</v>
      </c>
      <c r="AB25" s="314">
        <f t="shared" si="17"/>
        <v>0</v>
      </c>
      <c r="AC25" s="314">
        <f t="shared" si="17"/>
        <v>0</v>
      </c>
      <c r="AD25" s="314">
        <f t="shared" si="17"/>
        <v>0</v>
      </c>
      <c r="AE25" s="314">
        <f t="shared" si="17"/>
        <v>0</v>
      </c>
      <c r="AF25" s="314">
        <f t="shared" si="17"/>
        <v>0</v>
      </c>
      <c r="AG25" s="314">
        <f t="shared" si="17"/>
        <v>0</v>
      </c>
      <c r="AH25" s="314">
        <f t="shared" si="17"/>
        <v>0</v>
      </c>
      <c r="AI25" s="314">
        <f t="shared" si="17"/>
        <v>0</v>
      </c>
      <c r="AJ25" s="314">
        <f t="shared" si="17"/>
        <v>0</v>
      </c>
      <c r="AK25" s="314">
        <f t="shared" si="17"/>
        <v>0</v>
      </c>
      <c r="AL25" s="314">
        <f t="shared" si="17"/>
        <v>0</v>
      </c>
      <c r="AM25" s="314">
        <f t="shared" si="17"/>
        <v>0</v>
      </c>
      <c r="AN25" s="314">
        <f t="shared" si="17"/>
        <v>0</v>
      </c>
      <c r="AO25" s="314">
        <f t="shared" si="17"/>
        <v>0</v>
      </c>
      <c r="AP25" s="314">
        <f t="shared" si="17"/>
        <v>0</v>
      </c>
      <c r="AQ25" s="314">
        <f t="shared" si="17"/>
        <v>0</v>
      </c>
      <c r="AR25" s="315">
        <f t="shared" si="15"/>
        <v>1</v>
      </c>
      <c r="AS25" s="2506"/>
      <c r="AU25" s="2507"/>
      <c r="AW25" s="274" t="str">
        <f>IF(F25="","X",F25)</f>
        <v>DE</v>
      </c>
      <c r="AX25" s="274" t="str">
        <f t="shared" ca="1" si="16"/>
        <v/>
      </c>
    </row>
    <row r="26" spans="1:50" s="274" customFormat="1" ht="18" hidden="1" customHeight="1">
      <c r="A26" s="2499"/>
      <c r="B26" s="2502"/>
      <c r="C26" s="311"/>
      <c r="D26" s="317" t="s">
        <v>1194</v>
      </c>
      <c r="E26" s="2508">
        <f>$D$159</f>
        <v>1</v>
      </c>
      <c r="F26" s="318" t="s">
        <v>1192</v>
      </c>
      <c r="G26" s="318" t="str">
        <f>D26&amp;" | "&amp;F26</f>
        <v>CONCEDENTE | ND</v>
      </c>
      <c r="H26" s="319">
        <f t="shared" ref="H26:AQ26" si="18">IF($D24=0,0,IF(H24=0,0,($E26*$D24*H24)+$AU$163))</f>
        <v>0</v>
      </c>
      <c r="I26" s="319">
        <f t="shared" si="18"/>
        <v>0</v>
      </c>
      <c r="J26" s="319">
        <f t="shared" si="18"/>
        <v>0</v>
      </c>
      <c r="K26" s="319">
        <f t="shared" si="18"/>
        <v>0</v>
      </c>
      <c r="L26" s="319">
        <f t="shared" si="18"/>
        <v>0</v>
      </c>
      <c r="M26" s="319">
        <f t="shared" si="18"/>
        <v>0</v>
      </c>
      <c r="N26" s="319">
        <f t="shared" si="18"/>
        <v>0</v>
      </c>
      <c r="O26" s="319">
        <f t="shared" si="18"/>
        <v>0</v>
      </c>
      <c r="P26" s="319">
        <f t="shared" si="18"/>
        <v>0</v>
      </c>
      <c r="Q26" s="319">
        <f t="shared" si="18"/>
        <v>0</v>
      </c>
      <c r="R26" s="319">
        <f t="shared" si="18"/>
        <v>0</v>
      </c>
      <c r="S26" s="319">
        <f t="shared" si="18"/>
        <v>0</v>
      </c>
      <c r="T26" s="319">
        <f t="shared" si="18"/>
        <v>0</v>
      </c>
      <c r="U26" s="319">
        <f t="shared" si="18"/>
        <v>0</v>
      </c>
      <c r="V26" s="319">
        <f t="shared" si="18"/>
        <v>0</v>
      </c>
      <c r="W26" s="319">
        <f t="shared" si="18"/>
        <v>0</v>
      </c>
      <c r="X26" s="319">
        <f t="shared" si="18"/>
        <v>0</v>
      </c>
      <c r="Y26" s="319">
        <f t="shared" si="18"/>
        <v>0</v>
      </c>
      <c r="Z26" s="319">
        <f t="shared" si="18"/>
        <v>0</v>
      </c>
      <c r="AA26" s="319">
        <f t="shared" si="18"/>
        <v>0</v>
      </c>
      <c r="AB26" s="319">
        <f t="shared" si="18"/>
        <v>0</v>
      </c>
      <c r="AC26" s="319">
        <f t="shared" si="18"/>
        <v>0</v>
      </c>
      <c r="AD26" s="319">
        <f t="shared" si="18"/>
        <v>0</v>
      </c>
      <c r="AE26" s="319">
        <f t="shared" si="18"/>
        <v>0</v>
      </c>
      <c r="AF26" s="319">
        <f t="shared" si="18"/>
        <v>0</v>
      </c>
      <c r="AG26" s="319">
        <f t="shared" si="18"/>
        <v>0</v>
      </c>
      <c r="AH26" s="319">
        <f t="shared" si="18"/>
        <v>0</v>
      </c>
      <c r="AI26" s="319">
        <f t="shared" si="18"/>
        <v>0</v>
      </c>
      <c r="AJ26" s="319">
        <f t="shared" si="18"/>
        <v>0</v>
      </c>
      <c r="AK26" s="319">
        <f t="shared" si="18"/>
        <v>0</v>
      </c>
      <c r="AL26" s="319">
        <f t="shared" si="18"/>
        <v>0</v>
      </c>
      <c r="AM26" s="319">
        <f t="shared" si="18"/>
        <v>0</v>
      </c>
      <c r="AN26" s="319">
        <f t="shared" si="18"/>
        <v>0</v>
      </c>
      <c r="AO26" s="319">
        <f t="shared" si="18"/>
        <v>0</v>
      </c>
      <c r="AP26" s="319">
        <f t="shared" si="18"/>
        <v>0</v>
      </c>
      <c r="AQ26" s="319">
        <f t="shared" si="18"/>
        <v>0</v>
      </c>
      <c r="AR26" s="320">
        <f t="shared" si="15"/>
        <v>0</v>
      </c>
      <c r="AS26" s="321">
        <f>TRUNC(AR26-D24*E26,2)</f>
        <v>0</v>
      </c>
      <c r="AT26" s="322" t="e">
        <f>+AR26/D24</f>
        <v>#DIV/0!</v>
      </c>
      <c r="AW26" s="274" t="str">
        <f>IF(F26="","X",IF(AND(E26&gt;0),F26,"-"))</f>
        <v>ND</v>
      </c>
      <c r="AX26" s="274" t="str">
        <f t="shared" ca="1" si="16"/>
        <v/>
      </c>
    </row>
    <row r="27" spans="1:50" s="274" customFormat="1" ht="18" hidden="1" customHeight="1">
      <c r="A27" s="2499"/>
      <c r="B27" s="2502"/>
      <c r="C27" s="311"/>
      <c r="D27" s="317" t="s">
        <v>1194</v>
      </c>
      <c r="E27" s="2509"/>
      <c r="F27" s="323" t="s">
        <v>1193</v>
      </c>
      <c r="G27" s="323" t="str">
        <f>D27&amp;" | "&amp;F27</f>
        <v>CONCEDENTE | DE</v>
      </c>
      <c r="H27" s="319">
        <f t="shared" ref="H27:AQ27" si="19">IF($D25=0,0,IF(H25=0,0,($E26*$D25*H25)+$AU$163))</f>
        <v>0</v>
      </c>
      <c r="I27" s="319">
        <f t="shared" si="19"/>
        <v>0</v>
      </c>
      <c r="J27" s="319">
        <f t="shared" si="19"/>
        <v>0</v>
      </c>
      <c r="K27" s="319">
        <f t="shared" si="19"/>
        <v>0</v>
      </c>
      <c r="L27" s="319">
        <f t="shared" si="19"/>
        <v>0</v>
      </c>
      <c r="M27" s="319">
        <f t="shared" si="19"/>
        <v>0</v>
      </c>
      <c r="N27" s="319">
        <f t="shared" si="19"/>
        <v>0</v>
      </c>
      <c r="O27" s="319">
        <f t="shared" si="19"/>
        <v>0</v>
      </c>
      <c r="P27" s="319">
        <f t="shared" si="19"/>
        <v>0</v>
      </c>
      <c r="Q27" s="319">
        <f t="shared" si="19"/>
        <v>0</v>
      </c>
      <c r="R27" s="319">
        <f t="shared" si="19"/>
        <v>0</v>
      </c>
      <c r="S27" s="319">
        <f t="shared" si="19"/>
        <v>0</v>
      </c>
      <c r="T27" s="319">
        <f t="shared" si="19"/>
        <v>0</v>
      </c>
      <c r="U27" s="319">
        <f t="shared" si="19"/>
        <v>0</v>
      </c>
      <c r="V27" s="319">
        <f t="shared" si="19"/>
        <v>0</v>
      </c>
      <c r="W27" s="319">
        <f t="shared" si="19"/>
        <v>0</v>
      </c>
      <c r="X27" s="319">
        <f t="shared" si="19"/>
        <v>0</v>
      </c>
      <c r="Y27" s="319">
        <f t="shared" si="19"/>
        <v>0</v>
      </c>
      <c r="Z27" s="319">
        <f t="shared" si="19"/>
        <v>0</v>
      </c>
      <c r="AA27" s="319">
        <f t="shared" si="19"/>
        <v>0</v>
      </c>
      <c r="AB27" s="319">
        <f t="shared" si="19"/>
        <v>0</v>
      </c>
      <c r="AC27" s="319">
        <f t="shared" si="19"/>
        <v>0</v>
      </c>
      <c r="AD27" s="319">
        <f t="shared" si="19"/>
        <v>0</v>
      </c>
      <c r="AE27" s="319">
        <f t="shared" si="19"/>
        <v>0</v>
      </c>
      <c r="AF27" s="319">
        <f t="shared" si="19"/>
        <v>0</v>
      </c>
      <c r="AG27" s="319">
        <f t="shared" si="19"/>
        <v>0</v>
      </c>
      <c r="AH27" s="319">
        <f t="shared" si="19"/>
        <v>0</v>
      </c>
      <c r="AI27" s="319">
        <f t="shared" si="19"/>
        <v>0</v>
      </c>
      <c r="AJ27" s="319">
        <f t="shared" si="19"/>
        <v>0</v>
      </c>
      <c r="AK27" s="319">
        <f t="shared" si="19"/>
        <v>0</v>
      </c>
      <c r="AL27" s="319">
        <f t="shared" si="19"/>
        <v>0</v>
      </c>
      <c r="AM27" s="319">
        <f t="shared" si="19"/>
        <v>0</v>
      </c>
      <c r="AN27" s="319">
        <f t="shared" si="19"/>
        <v>0</v>
      </c>
      <c r="AO27" s="319">
        <f t="shared" si="19"/>
        <v>0</v>
      </c>
      <c r="AP27" s="319">
        <f t="shared" si="19"/>
        <v>0</v>
      </c>
      <c r="AQ27" s="319">
        <f t="shared" si="19"/>
        <v>0</v>
      </c>
      <c r="AR27" s="320">
        <f t="shared" si="15"/>
        <v>0</v>
      </c>
      <c r="AS27" s="321">
        <f>TRUNC(AR27-D25*E26,2)</f>
        <v>0</v>
      </c>
      <c r="AT27" s="322" t="e">
        <f>+AR27/D25</f>
        <v>#DIV/0!</v>
      </c>
      <c r="AW27" s="274" t="str">
        <f>IF(F27="","X",IF(AND(E26&gt;0),F27,"-"))</f>
        <v>DE</v>
      </c>
      <c r="AX27" s="274" t="str">
        <f t="shared" ca="1" si="16"/>
        <v/>
      </c>
    </row>
    <row r="28" spans="1:50" s="274" customFormat="1" ht="18" hidden="1" customHeight="1" thickBot="1">
      <c r="A28" s="2499"/>
      <c r="B28" s="2502"/>
      <c r="C28" s="324"/>
      <c r="D28" s="325" t="s">
        <v>1195</v>
      </c>
      <c r="E28" s="2510">
        <f>1-E26</f>
        <v>0</v>
      </c>
      <c r="F28" s="326" t="s">
        <v>1192</v>
      </c>
      <c r="G28" s="326" t="str">
        <f>D28&amp;" | "&amp;F28</f>
        <v>PROPONENTE | ND</v>
      </c>
      <c r="H28" s="327">
        <f>($D24*H24-H26)</f>
        <v>0</v>
      </c>
      <c r="I28" s="327">
        <f t="shared" ref="I28:AQ29" si="20">($D24*I24-I26)</f>
        <v>0</v>
      </c>
      <c r="J28" s="327">
        <f t="shared" si="20"/>
        <v>0</v>
      </c>
      <c r="K28" s="327">
        <f t="shared" si="20"/>
        <v>0</v>
      </c>
      <c r="L28" s="327">
        <f t="shared" si="20"/>
        <v>0</v>
      </c>
      <c r="M28" s="327">
        <f t="shared" si="20"/>
        <v>0</v>
      </c>
      <c r="N28" s="327">
        <f t="shared" si="20"/>
        <v>0</v>
      </c>
      <c r="O28" s="327">
        <f t="shared" si="20"/>
        <v>0</v>
      </c>
      <c r="P28" s="327">
        <f t="shared" si="20"/>
        <v>0</v>
      </c>
      <c r="Q28" s="327">
        <f t="shared" si="20"/>
        <v>0</v>
      </c>
      <c r="R28" s="327">
        <f t="shared" si="20"/>
        <v>0</v>
      </c>
      <c r="S28" s="327">
        <f t="shared" si="20"/>
        <v>0</v>
      </c>
      <c r="T28" s="327">
        <f t="shared" si="20"/>
        <v>0</v>
      </c>
      <c r="U28" s="327">
        <f t="shared" si="20"/>
        <v>0</v>
      </c>
      <c r="V28" s="327">
        <f t="shared" si="20"/>
        <v>0</v>
      </c>
      <c r="W28" s="327">
        <f t="shared" si="20"/>
        <v>0</v>
      </c>
      <c r="X28" s="327">
        <f t="shared" si="20"/>
        <v>0</v>
      </c>
      <c r="Y28" s="327">
        <f t="shared" si="20"/>
        <v>0</v>
      </c>
      <c r="Z28" s="327">
        <f t="shared" si="20"/>
        <v>0</v>
      </c>
      <c r="AA28" s="327">
        <f t="shared" si="20"/>
        <v>0</v>
      </c>
      <c r="AB28" s="327">
        <f t="shared" si="20"/>
        <v>0</v>
      </c>
      <c r="AC28" s="327">
        <f t="shared" si="20"/>
        <v>0</v>
      </c>
      <c r="AD28" s="327">
        <f t="shared" si="20"/>
        <v>0</v>
      </c>
      <c r="AE28" s="327">
        <f t="shared" si="20"/>
        <v>0</v>
      </c>
      <c r="AF28" s="327">
        <f t="shared" si="20"/>
        <v>0</v>
      </c>
      <c r="AG28" s="327">
        <f t="shared" si="20"/>
        <v>0</v>
      </c>
      <c r="AH28" s="327">
        <f t="shared" si="20"/>
        <v>0</v>
      </c>
      <c r="AI28" s="327">
        <f t="shared" si="20"/>
        <v>0</v>
      </c>
      <c r="AJ28" s="327">
        <f t="shared" si="20"/>
        <v>0</v>
      </c>
      <c r="AK28" s="327">
        <f t="shared" si="20"/>
        <v>0</v>
      </c>
      <c r="AL28" s="327">
        <f t="shared" si="20"/>
        <v>0</v>
      </c>
      <c r="AM28" s="327">
        <f t="shared" si="20"/>
        <v>0</v>
      </c>
      <c r="AN28" s="327">
        <f t="shared" si="20"/>
        <v>0</v>
      </c>
      <c r="AO28" s="327">
        <f t="shared" si="20"/>
        <v>0</v>
      </c>
      <c r="AP28" s="327">
        <f t="shared" si="20"/>
        <v>0</v>
      </c>
      <c r="AQ28" s="327">
        <f t="shared" si="20"/>
        <v>0</v>
      </c>
      <c r="AR28" s="328">
        <f t="shared" si="15"/>
        <v>0</v>
      </c>
      <c r="AS28" s="321">
        <f>+D24-AR26-AR28</f>
        <v>0</v>
      </c>
      <c r="AW28" s="274" t="str">
        <f>IF(F28="","X",IF(AND(E28&gt;0),F28,"-"))</f>
        <v>-</v>
      </c>
      <c r="AX28" s="274" t="str">
        <f t="shared" ca="1" si="16"/>
        <v/>
      </c>
    </row>
    <row r="29" spans="1:50" s="274" customFormat="1" ht="18" hidden="1" customHeight="1" thickBot="1">
      <c r="A29" s="2500"/>
      <c r="B29" s="2503"/>
      <c r="C29" s="324"/>
      <c r="D29" s="325" t="s">
        <v>1195</v>
      </c>
      <c r="E29" s="2511"/>
      <c r="F29" s="329" t="s">
        <v>1193</v>
      </c>
      <c r="G29" s="329" t="str">
        <f>D29&amp;" | "&amp;F29</f>
        <v>PROPONENTE | DE</v>
      </c>
      <c r="H29" s="327">
        <f>($D25*H25-H27)</f>
        <v>0</v>
      </c>
      <c r="I29" s="327">
        <f t="shared" si="20"/>
        <v>0</v>
      </c>
      <c r="J29" s="327">
        <f t="shared" si="20"/>
        <v>0</v>
      </c>
      <c r="K29" s="327">
        <f t="shared" si="20"/>
        <v>0</v>
      </c>
      <c r="L29" s="327">
        <f t="shared" si="20"/>
        <v>0</v>
      </c>
      <c r="M29" s="327">
        <f t="shared" si="20"/>
        <v>0</v>
      </c>
      <c r="N29" s="327">
        <f t="shared" si="20"/>
        <v>0</v>
      </c>
      <c r="O29" s="327">
        <f t="shared" si="20"/>
        <v>0</v>
      </c>
      <c r="P29" s="327">
        <f t="shared" si="20"/>
        <v>0</v>
      </c>
      <c r="Q29" s="327">
        <f t="shared" si="20"/>
        <v>0</v>
      </c>
      <c r="R29" s="327">
        <f t="shared" si="20"/>
        <v>0</v>
      </c>
      <c r="S29" s="327">
        <f t="shared" si="20"/>
        <v>0</v>
      </c>
      <c r="T29" s="327">
        <f t="shared" si="20"/>
        <v>0</v>
      </c>
      <c r="U29" s="327">
        <f t="shared" si="20"/>
        <v>0</v>
      </c>
      <c r="V29" s="327">
        <f t="shared" si="20"/>
        <v>0</v>
      </c>
      <c r="W29" s="327">
        <f t="shared" si="20"/>
        <v>0</v>
      </c>
      <c r="X29" s="327">
        <f t="shared" si="20"/>
        <v>0</v>
      </c>
      <c r="Y29" s="327">
        <f t="shared" si="20"/>
        <v>0</v>
      </c>
      <c r="Z29" s="327">
        <f t="shared" si="20"/>
        <v>0</v>
      </c>
      <c r="AA29" s="327">
        <f t="shared" si="20"/>
        <v>0</v>
      </c>
      <c r="AB29" s="327">
        <f t="shared" si="20"/>
        <v>0</v>
      </c>
      <c r="AC29" s="327">
        <f t="shared" si="20"/>
        <v>0</v>
      </c>
      <c r="AD29" s="327">
        <f t="shared" si="20"/>
        <v>0</v>
      </c>
      <c r="AE29" s="327">
        <f t="shared" si="20"/>
        <v>0</v>
      </c>
      <c r="AF29" s="327">
        <f t="shared" si="20"/>
        <v>0</v>
      </c>
      <c r="AG29" s="327">
        <f t="shared" si="20"/>
        <v>0</v>
      </c>
      <c r="AH29" s="327">
        <f t="shared" si="20"/>
        <v>0</v>
      </c>
      <c r="AI29" s="327">
        <f t="shared" si="20"/>
        <v>0</v>
      </c>
      <c r="AJ29" s="327">
        <f t="shared" si="20"/>
        <v>0</v>
      </c>
      <c r="AK29" s="327">
        <f t="shared" si="20"/>
        <v>0</v>
      </c>
      <c r="AL29" s="327">
        <f t="shared" si="20"/>
        <v>0</v>
      </c>
      <c r="AM29" s="327">
        <f t="shared" si="20"/>
        <v>0</v>
      </c>
      <c r="AN29" s="327">
        <f t="shared" si="20"/>
        <v>0</v>
      </c>
      <c r="AO29" s="327">
        <f t="shared" si="20"/>
        <v>0</v>
      </c>
      <c r="AP29" s="327">
        <f t="shared" si="20"/>
        <v>0</v>
      </c>
      <c r="AQ29" s="327">
        <f t="shared" si="20"/>
        <v>0</v>
      </c>
      <c r="AR29" s="328">
        <f t="shared" si="15"/>
        <v>0</v>
      </c>
      <c r="AS29" s="321">
        <f>+D25-AR27-AR29</f>
        <v>0</v>
      </c>
      <c r="AW29" s="274" t="str">
        <f>IF(F29="","X",IF(AND(E28&gt;0),F29,"-"))</f>
        <v>-</v>
      </c>
      <c r="AX29" s="274" t="str">
        <f t="shared" ca="1" si="16"/>
        <v/>
      </c>
    </row>
    <row r="30" spans="1:50" s="274" customFormat="1" ht="9.9499999999999993" hidden="1" customHeight="1">
      <c r="A30" s="2498">
        <f ca="1">Orcamento!B20</f>
        <v>0</v>
      </c>
      <c r="B30" s="2501" t="str">
        <f>Orcamento!D20</f>
        <v>MICRODRENAGEM - GALERIAS</v>
      </c>
      <c r="C30" s="305"/>
      <c r="D30" s="306"/>
      <c r="E30" s="307"/>
      <c r="F30" s="307"/>
      <c r="G30" s="307"/>
      <c r="H30" s="308">
        <f t="shared" ref="H30:AQ30" si="21">H31</f>
        <v>0.5</v>
      </c>
      <c r="I30" s="308">
        <f t="shared" si="21"/>
        <v>0.5</v>
      </c>
      <c r="J30" s="308">
        <f t="shared" si="21"/>
        <v>0</v>
      </c>
      <c r="K30" s="308">
        <f t="shared" si="21"/>
        <v>0</v>
      </c>
      <c r="L30" s="308">
        <f t="shared" si="21"/>
        <v>0</v>
      </c>
      <c r="M30" s="308">
        <f t="shared" si="21"/>
        <v>0</v>
      </c>
      <c r="N30" s="308">
        <f t="shared" si="21"/>
        <v>0</v>
      </c>
      <c r="O30" s="308">
        <f t="shared" si="21"/>
        <v>0</v>
      </c>
      <c r="P30" s="308">
        <f t="shared" si="21"/>
        <v>0</v>
      </c>
      <c r="Q30" s="308">
        <f t="shared" si="21"/>
        <v>0</v>
      </c>
      <c r="R30" s="308">
        <f t="shared" si="21"/>
        <v>0</v>
      </c>
      <c r="S30" s="308">
        <f t="shared" si="21"/>
        <v>0</v>
      </c>
      <c r="T30" s="308">
        <f t="shared" si="21"/>
        <v>0</v>
      </c>
      <c r="U30" s="308">
        <f t="shared" si="21"/>
        <v>0</v>
      </c>
      <c r="V30" s="308">
        <f t="shared" si="21"/>
        <v>0</v>
      </c>
      <c r="W30" s="308">
        <f t="shared" si="21"/>
        <v>0</v>
      </c>
      <c r="X30" s="308">
        <f t="shared" si="21"/>
        <v>0</v>
      </c>
      <c r="Y30" s="308">
        <f t="shared" si="21"/>
        <v>0</v>
      </c>
      <c r="Z30" s="308">
        <f t="shared" si="21"/>
        <v>0</v>
      </c>
      <c r="AA30" s="308">
        <f t="shared" si="21"/>
        <v>0</v>
      </c>
      <c r="AB30" s="308">
        <f t="shared" si="21"/>
        <v>0</v>
      </c>
      <c r="AC30" s="308">
        <f t="shared" si="21"/>
        <v>0</v>
      </c>
      <c r="AD30" s="308">
        <f t="shared" si="21"/>
        <v>0</v>
      </c>
      <c r="AE30" s="308">
        <f t="shared" si="21"/>
        <v>0</v>
      </c>
      <c r="AF30" s="308">
        <f t="shared" si="21"/>
        <v>0</v>
      </c>
      <c r="AG30" s="308">
        <f t="shared" si="21"/>
        <v>0</v>
      </c>
      <c r="AH30" s="308">
        <f t="shared" si="21"/>
        <v>0</v>
      </c>
      <c r="AI30" s="308">
        <f t="shared" si="21"/>
        <v>0</v>
      </c>
      <c r="AJ30" s="308">
        <f t="shared" si="21"/>
        <v>0</v>
      </c>
      <c r="AK30" s="308">
        <f t="shared" si="21"/>
        <v>0</v>
      </c>
      <c r="AL30" s="308">
        <f t="shared" si="21"/>
        <v>0</v>
      </c>
      <c r="AM30" s="308">
        <f t="shared" si="21"/>
        <v>0</v>
      </c>
      <c r="AN30" s="308">
        <f t="shared" si="21"/>
        <v>0</v>
      </c>
      <c r="AO30" s="308">
        <f t="shared" si="21"/>
        <v>0</v>
      </c>
      <c r="AP30" s="308">
        <f t="shared" si="21"/>
        <v>0</v>
      </c>
      <c r="AQ30" s="308">
        <f t="shared" si="21"/>
        <v>0</v>
      </c>
      <c r="AR30" s="309"/>
      <c r="AS30" s="310">
        <f>+D32-AR34-AR36</f>
        <v>0</v>
      </c>
      <c r="AW30" s="274" t="str">
        <f>IF(F30="","X",F30)</f>
        <v>X</v>
      </c>
      <c r="AX30" s="274" t="str">
        <f ca="1">IF($A$30=0,"","X")</f>
        <v/>
      </c>
    </row>
    <row r="31" spans="1:50" s="274" customFormat="1" ht="18" hidden="1" customHeight="1">
      <c r="A31" s="2499"/>
      <c r="B31" s="2502"/>
      <c r="C31" s="311" t="str">
        <f>CONCATENATE(Orcamento!K37," ",Orcamento!G37)</f>
        <v>0 m²</v>
      </c>
      <c r="D31" s="2504">
        <f>Orcamento!S20</f>
        <v>0</v>
      </c>
      <c r="E31" s="2505"/>
      <c r="F31" s="312" t="s">
        <v>1192</v>
      </c>
      <c r="G31" s="312"/>
      <c r="H31" s="314">
        <v>0.5</v>
      </c>
      <c r="I31" s="314">
        <v>0.5</v>
      </c>
      <c r="J31" s="314"/>
      <c r="K31" s="314"/>
      <c r="L31" s="314"/>
      <c r="M31" s="314"/>
      <c r="N31" s="314"/>
      <c r="O31" s="314"/>
      <c r="P31" s="314"/>
      <c r="Q31" s="314"/>
      <c r="R31" s="314"/>
      <c r="S31" s="314"/>
      <c r="T31" s="314"/>
      <c r="U31" s="314"/>
      <c r="V31" s="314"/>
      <c r="W31" s="314"/>
      <c r="X31" s="314"/>
      <c r="Y31" s="314"/>
      <c r="Z31" s="314"/>
      <c r="AA31" s="314"/>
      <c r="AB31" s="314"/>
      <c r="AC31" s="314"/>
      <c r="AD31" s="314"/>
      <c r="AE31" s="314"/>
      <c r="AF31" s="314"/>
      <c r="AG31" s="314"/>
      <c r="AH31" s="314"/>
      <c r="AI31" s="314"/>
      <c r="AJ31" s="314"/>
      <c r="AK31" s="314"/>
      <c r="AL31" s="314"/>
      <c r="AM31" s="314"/>
      <c r="AN31" s="314"/>
      <c r="AO31" s="314"/>
      <c r="AP31" s="314"/>
      <c r="AQ31" s="314"/>
      <c r="AR31" s="315">
        <f t="shared" ref="AR31:AR36" si="22">SUM(H31:AQ31)</f>
        <v>1</v>
      </c>
      <c r="AS31" s="2506">
        <f>1-AR31</f>
        <v>0</v>
      </c>
      <c r="AU31" s="2507">
        <f>+COUNT(H31:AQ32)</f>
        <v>38</v>
      </c>
      <c r="AW31" s="274" t="str">
        <f>IF(F31="","X",F31)</f>
        <v>ND</v>
      </c>
      <c r="AX31" s="274" t="str">
        <f t="shared" ref="AX31:AX36" ca="1" si="23">IF($A$30=0,"","X")</f>
        <v/>
      </c>
    </row>
    <row r="32" spans="1:50" s="274" customFormat="1" ht="18" hidden="1" customHeight="1">
      <c r="A32" s="2499"/>
      <c r="B32" s="2502"/>
      <c r="C32" s="311" t="str">
        <f>CONCATENATE(Orcamento!K38," ",Orcamento!O38)</f>
        <v xml:space="preserve"> </v>
      </c>
      <c r="D32" s="2504">
        <f>Orcamento!T20</f>
        <v>0</v>
      </c>
      <c r="E32" s="2505"/>
      <c r="F32" s="316" t="s">
        <v>1193</v>
      </c>
      <c r="G32" s="316"/>
      <c r="H32" s="314">
        <f t="shared" ref="H32:AQ32" si="24">H31</f>
        <v>0.5</v>
      </c>
      <c r="I32" s="314">
        <f t="shared" si="24"/>
        <v>0.5</v>
      </c>
      <c r="J32" s="314">
        <f t="shared" si="24"/>
        <v>0</v>
      </c>
      <c r="K32" s="314">
        <f t="shared" si="24"/>
        <v>0</v>
      </c>
      <c r="L32" s="314">
        <f t="shared" si="24"/>
        <v>0</v>
      </c>
      <c r="M32" s="314">
        <f t="shared" si="24"/>
        <v>0</v>
      </c>
      <c r="N32" s="314">
        <f t="shared" si="24"/>
        <v>0</v>
      </c>
      <c r="O32" s="314">
        <f t="shared" si="24"/>
        <v>0</v>
      </c>
      <c r="P32" s="314">
        <f t="shared" si="24"/>
        <v>0</v>
      </c>
      <c r="Q32" s="314">
        <f t="shared" si="24"/>
        <v>0</v>
      </c>
      <c r="R32" s="314">
        <f t="shared" si="24"/>
        <v>0</v>
      </c>
      <c r="S32" s="314">
        <f t="shared" si="24"/>
        <v>0</v>
      </c>
      <c r="T32" s="314">
        <f t="shared" si="24"/>
        <v>0</v>
      </c>
      <c r="U32" s="314">
        <f t="shared" si="24"/>
        <v>0</v>
      </c>
      <c r="V32" s="314">
        <f t="shared" si="24"/>
        <v>0</v>
      </c>
      <c r="W32" s="314">
        <f t="shared" si="24"/>
        <v>0</v>
      </c>
      <c r="X32" s="314">
        <f t="shared" si="24"/>
        <v>0</v>
      </c>
      <c r="Y32" s="314">
        <f t="shared" si="24"/>
        <v>0</v>
      </c>
      <c r="Z32" s="314">
        <f t="shared" si="24"/>
        <v>0</v>
      </c>
      <c r="AA32" s="314">
        <f t="shared" si="24"/>
        <v>0</v>
      </c>
      <c r="AB32" s="314">
        <f t="shared" si="24"/>
        <v>0</v>
      </c>
      <c r="AC32" s="314">
        <f t="shared" si="24"/>
        <v>0</v>
      </c>
      <c r="AD32" s="314">
        <f t="shared" si="24"/>
        <v>0</v>
      </c>
      <c r="AE32" s="314">
        <f t="shared" si="24"/>
        <v>0</v>
      </c>
      <c r="AF32" s="314">
        <f t="shared" si="24"/>
        <v>0</v>
      </c>
      <c r="AG32" s="314">
        <f t="shared" si="24"/>
        <v>0</v>
      </c>
      <c r="AH32" s="314">
        <f t="shared" si="24"/>
        <v>0</v>
      </c>
      <c r="AI32" s="314">
        <f t="shared" si="24"/>
        <v>0</v>
      </c>
      <c r="AJ32" s="314">
        <f t="shared" si="24"/>
        <v>0</v>
      </c>
      <c r="AK32" s="314">
        <f t="shared" si="24"/>
        <v>0</v>
      </c>
      <c r="AL32" s="314">
        <f t="shared" si="24"/>
        <v>0</v>
      </c>
      <c r="AM32" s="314">
        <f t="shared" si="24"/>
        <v>0</v>
      </c>
      <c r="AN32" s="314">
        <f t="shared" si="24"/>
        <v>0</v>
      </c>
      <c r="AO32" s="314">
        <f t="shared" si="24"/>
        <v>0</v>
      </c>
      <c r="AP32" s="314">
        <f t="shared" si="24"/>
        <v>0</v>
      </c>
      <c r="AQ32" s="314">
        <f t="shared" si="24"/>
        <v>0</v>
      </c>
      <c r="AR32" s="315">
        <f t="shared" si="22"/>
        <v>1</v>
      </c>
      <c r="AS32" s="2506"/>
      <c r="AU32" s="2507"/>
      <c r="AW32" s="274" t="str">
        <f>IF(F32="","X",F32)</f>
        <v>DE</v>
      </c>
      <c r="AX32" s="274" t="str">
        <f t="shared" ca="1" si="23"/>
        <v/>
      </c>
    </row>
    <row r="33" spans="1:50" s="274" customFormat="1" ht="18" hidden="1" customHeight="1">
      <c r="A33" s="2499"/>
      <c r="B33" s="2502"/>
      <c r="C33" s="311"/>
      <c r="D33" s="317" t="s">
        <v>1194</v>
      </c>
      <c r="E33" s="2508">
        <f>$D$159</f>
        <v>1</v>
      </c>
      <c r="F33" s="318" t="s">
        <v>1192</v>
      </c>
      <c r="G33" s="318" t="str">
        <f>D33&amp;" | "&amp;F33</f>
        <v>CONCEDENTE | ND</v>
      </c>
      <c r="H33" s="319">
        <f t="shared" ref="H33:AQ33" si="25">IF($D31=0,0,IF(H31=0,0,($E33*$D31*H31)+$AU$163))</f>
        <v>0</v>
      </c>
      <c r="I33" s="319">
        <f t="shared" si="25"/>
        <v>0</v>
      </c>
      <c r="J33" s="319">
        <f t="shared" si="25"/>
        <v>0</v>
      </c>
      <c r="K33" s="319">
        <f t="shared" si="25"/>
        <v>0</v>
      </c>
      <c r="L33" s="319">
        <f t="shared" si="25"/>
        <v>0</v>
      </c>
      <c r="M33" s="319">
        <f t="shared" si="25"/>
        <v>0</v>
      </c>
      <c r="N33" s="319">
        <f t="shared" si="25"/>
        <v>0</v>
      </c>
      <c r="O33" s="319">
        <f t="shared" si="25"/>
        <v>0</v>
      </c>
      <c r="P33" s="319">
        <f t="shared" si="25"/>
        <v>0</v>
      </c>
      <c r="Q33" s="319">
        <f t="shared" si="25"/>
        <v>0</v>
      </c>
      <c r="R33" s="319">
        <f t="shared" si="25"/>
        <v>0</v>
      </c>
      <c r="S33" s="319">
        <f t="shared" si="25"/>
        <v>0</v>
      </c>
      <c r="T33" s="319">
        <f t="shared" si="25"/>
        <v>0</v>
      </c>
      <c r="U33" s="319">
        <f t="shared" si="25"/>
        <v>0</v>
      </c>
      <c r="V33" s="319">
        <f t="shared" si="25"/>
        <v>0</v>
      </c>
      <c r="W33" s="319">
        <f t="shared" si="25"/>
        <v>0</v>
      </c>
      <c r="X33" s="319">
        <f t="shared" si="25"/>
        <v>0</v>
      </c>
      <c r="Y33" s="319">
        <f t="shared" si="25"/>
        <v>0</v>
      </c>
      <c r="Z33" s="319">
        <f t="shared" si="25"/>
        <v>0</v>
      </c>
      <c r="AA33" s="319">
        <f t="shared" si="25"/>
        <v>0</v>
      </c>
      <c r="AB33" s="319">
        <f t="shared" si="25"/>
        <v>0</v>
      </c>
      <c r="AC33" s="319">
        <f t="shared" si="25"/>
        <v>0</v>
      </c>
      <c r="AD33" s="319">
        <f t="shared" si="25"/>
        <v>0</v>
      </c>
      <c r="AE33" s="319">
        <f t="shared" si="25"/>
        <v>0</v>
      </c>
      <c r="AF33" s="319">
        <f t="shared" si="25"/>
        <v>0</v>
      </c>
      <c r="AG33" s="319">
        <f t="shared" si="25"/>
        <v>0</v>
      </c>
      <c r="AH33" s="319">
        <f t="shared" si="25"/>
        <v>0</v>
      </c>
      <c r="AI33" s="319">
        <f t="shared" si="25"/>
        <v>0</v>
      </c>
      <c r="AJ33" s="319">
        <f t="shared" si="25"/>
        <v>0</v>
      </c>
      <c r="AK33" s="319">
        <f t="shared" si="25"/>
        <v>0</v>
      </c>
      <c r="AL33" s="319">
        <f t="shared" si="25"/>
        <v>0</v>
      </c>
      <c r="AM33" s="319">
        <f t="shared" si="25"/>
        <v>0</v>
      </c>
      <c r="AN33" s="319">
        <f t="shared" si="25"/>
        <v>0</v>
      </c>
      <c r="AO33" s="319">
        <f t="shared" si="25"/>
        <v>0</v>
      </c>
      <c r="AP33" s="319">
        <f t="shared" si="25"/>
        <v>0</v>
      </c>
      <c r="AQ33" s="319">
        <f t="shared" si="25"/>
        <v>0</v>
      </c>
      <c r="AR33" s="320">
        <f t="shared" si="22"/>
        <v>0</v>
      </c>
      <c r="AS33" s="321">
        <f>TRUNC(AR33-D31*E33,2)</f>
        <v>0</v>
      </c>
      <c r="AT33" s="322" t="e">
        <f>+AR33/D31</f>
        <v>#DIV/0!</v>
      </c>
      <c r="AW33" s="274" t="str">
        <f>IF(F33="","X",IF(AND(E33&gt;0),F33,"-"))</f>
        <v>ND</v>
      </c>
      <c r="AX33" s="274" t="str">
        <f t="shared" ca="1" si="23"/>
        <v/>
      </c>
    </row>
    <row r="34" spans="1:50" s="274" customFormat="1" ht="18" hidden="1" customHeight="1">
      <c r="A34" s="2499"/>
      <c r="B34" s="2502"/>
      <c r="C34" s="311"/>
      <c r="D34" s="317" t="s">
        <v>1194</v>
      </c>
      <c r="E34" s="2509"/>
      <c r="F34" s="323" t="s">
        <v>1193</v>
      </c>
      <c r="G34" s="323" t="str">
        <f>D34&amp;" | "&amp;F34</f>
        <v>CONCEDENTE | DE</v>
      </c>
      <c r="H34" s="319">
        <f t="shared" ref="H34:AQ34" si="26">IF($D32=0,0,IF(H32=0,0,($E33*$D32*H32)+$AU$163))</f>
        <v>0</v>
      </c>
      <c r="I34" s="319">
        <f t="shared" si="26"/>
        <v>0</v>
      </c>
      <c r="J34" s="319">
        <f t="shared" si="26"/>
        <v>0</v>
      </c>
      <c r="K34" s="319">
        <f t="shared" si="26"/>
        <v>0</v>
      </c>
      <c r="L34" s="319">
        <f t="shared" si="26"/>
        <v>0</v>
      </c>
      <c r="M34" s="319">
        <f t="shared" si="26"/>
        <v>0</v>
      </c>
      <c r="N34" s="319">
        <f t="shared" si="26"/>
        <v>0</v>
      </c>
      <c r="O34" s="319">
        <f t="shared" si="26"/>
        <v>0</v>
      </c>
      <c r="P34" s="319">
        <f t="shared" si="26"/>
        <v>0</v>
      </c>
      <c r="Q34" s="319">
        <f t="shared" si="26"/>
        <v>0</v>
      </c>
      <c r="R34" s="319">
        <f t="shared" si="26"/>
        <v>0</v>
      </c>
      <c r="S34" s="319">
        <f t="shared" si="26"/>
        <v>0</v>
      </c>
      <c r="T34" s="319">
        <f t="shared" si="26"/>
        <v>0</v>
      </c>
      <c r="U34" s="319">
        <f t="shared" si="26"/>
        <v>0</v>
      </c>
      <c r="V34" s="319">
        <f t="shared" si="26"/>
        <v>0</v>
      </c>
      <c r="W34" s="319">
        <f t="shared" si="26"/>
        <v>0</v>
      </c>
      <c r="X34" s="319">
        <f t="shared" si="26"/>
        <v>0</v>
      </c>
      <c r="Y34" s="319">
        <f t="shared" si="26"/>
        <v>0</v>
      </c>
      <c r="Z34" s="319">
        <f t="shared" si="26"/>
        <v>0</v>
      </c>
      <c r="AA34" s="319">
        <f t="shared" si="26"/>
        <v>0</v>
      </c>
      <c r="AB34" s="319">
        <f t="shared" si="26"/>
        <v>0</v>
      </c>
      <c r="AC34" s="319">
        <f t="shared" si="26"/>
        <v>0</v>
      </c>
      <c r="AD34" s="319">
        <f t="shared" si="26"/>
        <v>0</v>
      </c>
      <c r="AE34" s="319">
        <f t="shared" si="26"/>
        <v>0</v>
      </c>
      <c r="AF34" s="319">
        <f t="shared" si="26"/>
        <v>0</v>
      </c>
      <c r="AG34" s="319">
        <f t="shared" si="26"/>
        <v>0</v>
      </c>
      <c r="AH34" s="319">
        <f t="shared" si="26"/>
        <v>0</v>
      </c>
      <c r="AI34" s="319">
        <f t="shared" si="26"/>
        <v>0</v>
      </c>
      <c r="AJ34" s="319">
        <f t="shared" si="26"/>
        <v>0</v>
      </c>
      <c r="AK34" s="319">
        <f t="shared" si="26"/>
        <v>0</v>
      </c>
      <c r="AL34" s="319">
        <f t="shared" si="26"/>
        <v>0</v>
      </c>
      <c r="AM34" s="319">
        <f t="shared" si="26"/>
        <v>0</v>
      </c>
      <c r="AN34" s="319">
        <f t="shared" si="26"/>
        <v>0</v>
      </c>
      <c r="AO34" s="319">
        <f t="shared" si="26"/>
        <v>0</v>
      </c>
      <c r="AP34" s="319">
        <f t="shared" si="26"/>
        <v>0</v>
      </c>
      <c r="AQ34" s="319">
        <f t="shared" si="26"/>
        <v>0</v>
      </c>
      <c r="AR34" s="320">
        <f t="shared" si="22"/>
        <v>0</v>
      </c>
      <c r="AS34" s="321">
        <f>TRUNC(AR34-D32*E33,2)</f>
        <v>0</v>
      </c>
      <c r="AT34" s="322" t="e">
        <f>+AR34/D32</f>
        <v>#DIV/0!</v>
      </c>
      <c r="AW34" s="274" t="str">
        <f>IF(F34="","X",IF(AND(E33&gt;0),F34,"-"))</f>
        <v>DE</v>
      </c>
      <c r="AX34" s="274" t="str">
        <f t="shared" ca="1" si="23"/>
        <v/>
      </c>
    </row>
    <row r="35" spans="1:50" s="274" customFormat="1" ht="18" hidden="1" customHeight="1" thickBot="1">
      <c r="A35" s="2499"/>
      <c r="B35" s="2502"/>
      <c r="C35" s="324"/>
      <c r="D35" s="325" t="s">
        <v>1195</v>
      </c>
      <c r="E35" s="2510">
        <f>1-E33</f>
        <v>0</v>
      </c>
      <c r="F35" s="326" t="s">
        <v>1192</v>
      </c>
      <c r="G35" s="326" t="str">
        <f>D35&amp;" | "&amp;F35</f>
        <v>PROPONENTE | ND</v>
      </c>
      <c r="H35" s="327">
        <f>($D31*H31-H33)</f>
        <v>0</v>
      </c>
      <c r="I35" s="327">
        <f t="shared" ref="I35:AQ36" si="27">($D31*I31-I33)</f>
        <v>0</v>
      </c>
      <c r="J35" s="327">
        <f t="shared" si="27"/>
        <v>0</v>
      </c>
      <c r="K35" s="327">
        <f t="shared" si="27"/>
        <v>0</v>
      </c>
      <c r="L35" s="327">
        <f t="shared" si="27"/>
        <v>0</v>
      </c>
      <c r="M35" s="327">
        <f t="shared" si="27"/>
        <v>0</v>
      </c>
      <c r="N35" s="327">
        <f t="shared" si="27"/>
        <v>0</v>
      </c>
      <c r="O35" s="327">
        <f t="shared" si="27"/>
        <v>0</v>
      </c>
      <c r="P35" s="327">
        <f t="shared" si="27"/>
        <v>0</v>
      </c>
      <c r="Q35" s="327">
        <f t="shared" si="27"/>
        <v>0</v>
      </c>
      <c r="R35" s="327">
        <f t="shared" si="27"/>
        <v>0</v>
      </c>
      <c r="S35" s="327">
        <f t="shared" si="27"/>
        <v>0</v>
      </c>
      <c r="T35" s="327">
        <f t="shared" si="27"/>
        <v>0</v>
      </c>
      <c r="U35" s="327">
        <f t="shared" si="27"/>
        <v>0</v>
      </c>
      <c r="V35" s="327">
        <f t="shared" si="27"/>
        <v>0</v>
      </c>
      <c r="W35" s="327">
        <f t="shared" si="27"/>
        <v>0</v>
      </c>
      <c r="X35" s="327">
        <f t="shared" si="27"/>
        <v>0</v>
      </c>
      <c r="Y35" s="327">
        <f t="shared" si="27"/>
        <v>0</v>
      </c>
      <c r="Z35" s="327">
        <f t="shared" si="27"/>
        <v>0</v>
      </c>
      <c r="AA35" s="327">
        <f t="shared" si="27"/>
        <v>0</v>
      </c>
      <c r="AB35" s="327">
        <f t="shared" si="27"/>
        <v>0</v>
      </c>
      <c r="AC35" s="327">
        <f t="shared" si="27"/>
        <v>0</v>
      </c>
      <c r="AD35" s="327">
        <f t="shared" si="27"/>
        <v>0</v>
      </c>
      <c r="AE35" s="327">
        <f t="shared" si="27"/>
        <v>0</v>
      </c>
      <c r="AF35" s="327">
        <f t="shared" si="27"/>
        <v>0</v>
      </c>
      <c r="AG35" s="327">
        <f t="shared" si="27"/>
        <v>0</v>
      </c>
      <c r="AH35" s="327">
        <f t="shared" si="27"/>
        <v>0</v>
      </c>
      <c r="AI35" s="327">
        <f t="shared" si="27"/>
        <v>0</v>
      </c>
      <c r="AJ35" s="327">
        <f t="shared" si="27"/>
        <v>0</v>
      </c>
      <c r="AK35" s="327">
        <f t="shared" si="27"/>
        <v>0</v>
      </c>
      <c r="AL35" s="327">
        <f t="shared" si="27"/>
        <v>0</v>
      </c>
      <c r="AM35" s="327">
        <f t="shared" si="27"/>
        <v>0</v>
      </c>
      <c r="AN35" s="327">
        <f t="shared" si="27"/>
        <v>0</v>
      </c>
      <c r="AO35" s="327">
        <f t="shared" si="27"/>
        <v>0</v>
      </c>
      <c r="AP35" s="327">
        <f t="shared" si="27"/>
        <v>0</v>
      </c>
      <c r="AQ35" s="327">
        <f t="shared" si="27"/>
        <v>0</v>
      </c>
      <c r="AR35" s="328">
        <f t="shared" si="22"/>
        <v>0</v>
      </c>
      <c r="AS35" s="321">
        <f>+D31-AR33-AR35</f>
        <v>0</v>
      </c>
      <c r="AW35" s="274" t="str">
        <f>IF(F35="","X",IF(AND(E35&gt;0),F35,"-"))</f>
        <v>-</v>
      </c>
      <c r="AX35" s="274" t="str">
        <f t="shared" ca="1" si="23"/>
        <v/>
      </c>
    </row>
    <row r="36" spans="1:50" s="274" customFormat="1" ht="18" hidden="1" customHeight="1" thickBot="1">
      <c r="A36" s="2500"/>
      <c r="B36" s="2503"/>
      <c r="C36" s="324"/>
      <c r="D36" s="325" t="s">
        <v>1195</v>
      </c>
      <c r="E36" s="2511"/>
      <c r="F36" s="329" t="s">
        <v>1193</v>
      </c>
      <c r="G36" s="329" t="str">
        <f>D36&amp;" | "&amp;F36</f>
        <v>PROPONENTE | DE</v>
      </c>
      <c r="H36" s="327">
        <f>($D32*H32-H34)</f>
        <v>0</v>
      </c>
      <c r="I36" s="327">
        <f t="shared" si="27"/>
        <v>0</v>
      </c>
      <c r="J36" s="327">
        <f t="shared" si="27"/>
        <v>0</v>
      </c>
      <c r="K36" s="327">
        <f t="shared" si="27"/>
        <v>0</v>
      </c>
      <c r="L36" s="327">
        <f t="shared" si="27"/>
        <v>0</v>
      </c>
      <c r="M36" s="327">
        <f t="shared" si="27"/>
        <v>0</v>
      </c>
      <c r="N36" s="327">
        <f t="shared" si="27"/>
        <v>0</v>
      </c>
      <c r="O36" s="327">
        <f t="shared" si="27"/>
        <v>0</v>
      </c>
      <c r="P36" s="327">
        <f t="shared" si="27"/>
        <v>0</v>
      </c>
      <c r="Q36" s="327">
        <f t="shared" si="27"/>
        <v>0</v>
      </c>
      <c r="R36" s="327">
        <f t="shared" si="27"/>
        <v>0</v>
      </c>
      <c r="S36" s="327">
        <f t="shared" si="27"/>
        <v>0</v>
      </c>
      <c r="T36" s="327">
        <f t="shared" si="27"/>
        <v>0</v>
      </c>
      <c r="U36" s="327">
        <f t="shared" si="27"/>
        <v>0</v>
      </c>
      <c r="V36" s="327">
        <f t="shared" si="27"/>
        <v>0</v>
      </c>
      <c r="W36" s="327">
        <f t="shared" si="27"/>
        <v>0</v>
      </c>
      <c r="X36" s="327">
        <f t="shared" si="27"/>
        <v>0</v>
      </c>
      <c r="Y36" s="327">
        <f t="shared" si="27"/>
        <v>0</v>
      </c>
      <c r="Z36" s="327">
        <f t="shared" si="27"/>
        <v>0</v>
      </c>
      <c r="AA36" s="327">
        <f t="shared" si="27"/>
        <v>0</v>
      </c>
      <c r="AB36" s="327">
        <f t="shared" si="27"/>
        <v>0</v>
      </c>
      <c r="AC36" s="327">
        <f t="shared" si="27"/>
        <v>0</v>
      </c>
      <c r="AD36" s="327">
        <f t="shared" si="27"/>
        <v>0</v>
      </c>
      <c r="AE36" s="327">
        <f t="shared" si="27"/>
        <v>0</v>
      </c>
      <c r="AF36" s="327">
        <f t="shared" si="27"/>
        <v>0</v>
      </c>
      <c r="AG36" s="327">
        <f t="shared" si="27"/>
        <v>0</v>
      </c>
      <c r="AH36" s="327">
        <f t="shared" si="27"/>
        <v>0</v>
      </c>
      <c r="AI36" s="327">
        <f t="shared" si="27"/>
        <v>0</v>
      </c>
      <c r="AJ36" s="327">
        <f t="shared" si="27"/>
        <v>0</v>
      </c>
      <c r="AK36" s="327">
        <f t="shared" si="27"/>
        <v>0</v>
      </c>
      <c r="AL36" s="327">
        <f t="shared" si="27"/>
        <v>0</v>
      </c>
      <c r="AM36" s="327">
        <f t="shared" si="27"/>
        <v>0</v>
      </c>
      <c r="AN36" s="327">
        <f t="shared" si="27"/>
        <v>0</v>
      </c>
      <c r="AO36" s="327">
        <f t="shared" si="27"/>
        <v>0</v>
      </c>
      <c r="AP36" s="327">
        <f t="shared" si="27"/>
        <v>0</v>
      </c>
      <c r="AQ36" s="327">
        <f t="shared" si="27"/>
        <v>0</v>
      </c>
      <c r="AR36" s="328">
        <f t="shared" si="22"/>
        <v>0</v>
      </c>
      <c r="AS36" s="321">
        <f>+D32-AR34-AR36</f>
        <v>0</v>
      </c>
      <c r="AW36" s="274" t="str">
        <f>IF(F36="","X",IF(AND(E35&gt;0),F36,"-"))</f>
        <v>-</v>
      </c>
      <c r="AX36" s="274" t="str">
        <f t="shared" ca="1" si="23"/>
        <v/>
      </c>
    </row>
    <row r="37" spans="1:50" s="274" customFormat="1" ht="9.9499999999999993" hidden="1" customHeight="1">
      <c r="A37" s="2498">
        <f ca="1">Orcamento!B21</f>
        <v>0</v>
      </c>
      <c r="B37" s="2501" t="str">
        <f>Orcamento!D21</f>
        <v>MICRODRENAGEM - DISPOSITIVOS AUXILIARES</v>
      </c>
      <c r="C37" s="305"/>
      <c r="D37" s="306"/>
      <c r="E37" s="307"/>
      <c r="F37" s="307"/>
      <c r="G37" s="307"/>
      <c r="H37" s="308">
        <f t="shared" ref="H37:AQ37" si="28">H38</f>
        <v>0.5</v>
      </c>
      <c r="I37" s="308">
        <f t="shared" si="28"/>
        <v>0.5</v>
      </c>
      <c r="J37" s="308">
        <f t="shared" si="28"/>
        <v>0</v>
      </c>
      <c r="K37" s="308">
        <f t="shared" si="28"/>
        <v>0</v>
      </c>
      <c r="L37" s="308">
        <f t="shared" si="28"/>
        <v>0</v>
      </c>
      <c r="M37" s="308">
        <f t="shared" si="28"/>
        <v>0</v>
      </c>
      <c r="N37" s="308">
        <f t="shared" si="28"/>
        <v>0</v>
      </c>
      <c r="O37" s="308">
        <f t="shared" si="28"/>
        <v>0</v>
      </c>
      <c r="P37" s="308">
        <f t="shared" si="28"/>
        <v>0</v>
      </c>
      <c r="Q37" s="308">
        <f t="shared" si="28"/>
        <v>0</v>
      </c>
      <c r="R37" s="308">
        <f t="shared" si="28"/>
        <v>0</v>
      </c>
      <c r="S37" s="308">
        <f t="shared" si="28"/>
        <v>0</v>
      </c>
      <c r="T37" s="308">
        <f t="shared" si="28"/>
        <v>0</v>
      </c>
      <c r="U37" s="308">
        <f t="shared" si="28"/>
        <v>0</v>
      </c>
      <c r="V37" s="308">
        <f t="shared" si="28"/>
        <v>0</v>
      </c>
      <c r="W37" s="308">
        <f t="shared" si="28"/>
        <v>0</v>
      </c>
      <c r="X37" s="308">
        <f t="shared" si="28"/>
        <v>0</v>
      </c>
      <c r="Y37" s="308">
        <f t="shared" si="28"/>
        <v>0</v>
      </c>
      <c r="Z37" s="308">
        <f t="shared" si="28"/>
        <v>0</v>
      </c>
      <c r="AA37" s="308">
        <f t="shared" si="28"/>
        <v>0</v>
      </c>
      <c r="AB37" s="308">
        <f t="shared" si="28"/>
        <v>0</v>
      </c>
      <c r="AC37" s="308">
        <f t="shared" si="28"/>
        <v>0</v>
      </c>
      <c r="AD37" s="308">
        <f t="shared" si="28"/>
        <v>0</v>
      </c>
      <c r="AE37" s="308">
        <f t="shared" si="28"/>
        <v>0</v>
      </c>
      <c r="AF37" s="308">
        <f t="shared" si="28"/>
        <v>0</v>
      </c>
      <c r="AG37" s="308">
        <f t="shared" si="28"/>
        <v>0</v>
      </c>
      <c r="AH37" s="308">
        <f t="shared" si="28"/>
        <v>0</v>
      </c>
      <c r="AI37" s="308">
        <f t="shared" si="28"/>
        <v>0</v>
      </c>
      <c r="AJ37" s="308">
        <f t="shared" si="28"/>
        <v>0</v>
      </c>
      <c r="AK37" s="308">
        <f t="shared" si="28"/>
        <v>0</v>
      </c>
      <c r="AL37" s="308">
        <f t="shared" si="28"/>
        <v>0</v>
      </c>
      <c r="AM37" s="308">
        <f t="shared" si="28"/>
        <v>0</v>
      </c>
      <c r="AN37" s="308">
        <f t="shared" si="28"/>
        <v>0</v>
      </c>
      <c r="AO37" s="308">
        <f t="shared" si="28"/>
        <v>0</v>
      </c>
      <c r="AP37" s="308">
        <f t="shared" si="28"/>
        <v>0</v>
      </c>
      <c r="AQ37" s="308">
        <f t="shared" si="28"/>
        <v>0</v>
      </c>
      <c r="AR37" s="309"/>
      <c r="AS37" s="310">
        <f>+D39-AR41-AR43</f>
        <v>0</v>
      </c>
      <c r="AW37" s="274" t="str">
        <f>IF(F37="","X",F37)</f>
        <v>X</v>
      </c>
      <c r="AX37" s="274" t="str">
        <f ca="1">IF($A$37=0,"","X")</f>
        <v/>
      </c>
    </row>
    <row r="38" spans="1:50" s="274" customFormat="1" ht="18" hidden="1" customHeight="1">
      <c r="A38" s="2499"/>
      <c r="B38" s="2502"/>
      <c r="C38" s="311" t="str">
        <f>CONCATENATE(Orcamento!K44," ",Orcamento!O44)</f>
        <v xml:space="preserve"> </v>
      </c>
      <c r="D38" s="2504">
        <f>Orcamento!S21</f>
        <v>0</v>
      </c>
      <c r="E38" s="2505"/>
      <c r="F38" s="312" t="s">
        <v>1192</v>
      </c>
      <c r="G38" s="312"/>
      <c r="H38" s="314">
        <v>0.5</v>
      </c>
      <c r="I38" s="314">
        <v>0.5</v>
      </c>
      <c r="J38" s="314"/>
      <c r="K38" s="314"/>
      <c r="L38" s="314"/>
      <c r="M38" s="314"/>
      <c r="N38" s="314"/>
      <c r="O38" s="314"/>
      <c r="P38" s="314"/>
      <c r="Q38" s="314"/>
      <c r="R38" s="314"/>
      <c r="S38" s="314"/>
      <c r="T38" s="314"/>
      <c r="U38" s="314"/>
      <c r="V38" s="314"/>
      <c r="W38" s="314"/>
      <c r="X38" s="314"/>
      <c r="Y38" s="314"/>
      <c r="Z38" s="314"/>
      <c r="AA38" s="314"/>
      <c r="AB38" s="314"/>
      <c r="AC38" s="314"/>
      <c r="AD38" s="314"/>
      <c r="AE38" s="314"/>
      <c r="AF38" s="314"/>
      <c r="AG38" s="314"/>
      <c r="AH38" s="314"/>
      <c r="AI38" s="314"/>
      <c r="AJ38" s="314"/>
      <c r="AK38" s="314"/>
      <c r="AL38" s="314"/>
      <c r="AM38" s="314"/>
      <c r="AN38" s="314"/>
      <c r="AO38" s="314"/>
      <c r="AP38" s="314"/>
      <c r="AQ38" s="314"/>
      <c r="AR38" s="315">
        <f t="shared" ref="AR38:AR43" si="29">SUM(H38:AQ38)</f>
        <v>1</v>
      </c>
      <c r="AS38" s="2506">
        <f>1-AR38</f>
        <v>0</v>
      </c>
      <c r="AU38" s="2507">
        <f>+COUNT(H38:AQ39)</f>
        <v>38</v>
      </c>
      <c r="AW38" s="274" t="str">
        <f>IF(F38="","X",F38)</f>
        <v>ND</v>
      </c>
      <c r="AX38" s="274" t="str">
        <f t="shared" ref="AX38:AX43" ca="1" si="30">IF($A$37=0,"","X")</f>
        <v/>
      </c>
    </row>
    <row r="39" spans="1:50" s="274" customFormat="1" ht="18" hidden="1" customHeight="1">
      <c r="A39" s="2499"/>
      <c r="B39" s="2502"/>
      <c r="C39" s="311" t="str">
        <f>CONCATENATE(Orcamento!K45," ",Orcamento!O45)</f>
        <v>12 1004,82</v>
      </c>
      <c r="D39" s="2504">
        <f>Orcamento!T21</f>
        <v>0</v>
      </c>
      <c r="E39" s="2505"/>
      <c r="F39" s="316" t="s">
        <v>1193</v>
      </c>
      <c r="G39" s="316"/>
      <c r="H39" s="314">
        <f t="shared" ref="H39:AQ39" si="31">H38</f>
        <v>0.5</v>
      </c>
      <c r="I39" s="314">
        <f t="shared" si="31"/>
        <v>0.5</v>
      </c>
      <c r="J39" s="314">
        <f t="shared" si="31"/>
        <v>0</v>
      </c>
      <c r="K39" s="314">
        <f t="shared" si="31"/>
        <v>0</v>
      </c>
      <c r="L39" s="314">
        <f t="shared" si="31"/>
        <v>0</v>
      </c>
      <c r="M39" s="314">
        <f t="shared" si="31"/>
        <v>0</v>
      </c>
      <c r="N39" s="314">
        <f t="shared" si="31"/>
        <v>0</v>
      </c>
      <c r="O39" s="314">
        <f t="shared" si="31"/>
        <v>0</v>
      </c>
      <c r="P39" s="314">
        <f t="shared" si="31"/>
        <v>0</v>
      </c>
      <c r="Q39" s="314">
        <f t="shared" si="31"/>
        <v>0</v>
      </c>
      <c r="R39" s="314">
        <f t="shared" si="31"/>
        <v>0</v>
      </c>
      <c r="S39" s="314">
        <f t="shared" si="31"/>
        <v>0</v>
      </c>
      <c r="T39" s="314">
        <f t="shared" si="31"/>
        <v>0</v>
      </c>
      <c r="U39" s="314">
        <f t="shared" si="31"/>
        <v>0</v>
      </c>
      <c r="V39" s="314">
        <f t="shared" si="31"/>
        <v>0</v>
      </c>
      <c r="W39" s="314">
        <f t="shared" si="31"/>
        <v>0</v>
      </c>
      <c r="X39" s="314">
        <f t="shared" si="31"/>
        <v>0</v>
      </c>
      <c r="Y39" s="314">
        <f t="shared" si="31"/>
        <v>0</v>
      </c>
      <c r="Z39" s="314">
        <f t="shared" si="31"/>
        <v>0</v>
      </c>
      <c r="AA39" s="314">
        <f t="shared" si="31"/>
        <v>0</v>
      </c>
      <c r="AB39" s="314">
        <f t="shared" si="31"/>
        <v>0</v>
      </c>
      <c r="AC39" s="314">
        <f t="shared" si="31"/>
        <v>0</v>
      </c>
      <c r="AD39" s="314">
        <f t="shared" si="31"/>
        <v>0</v>
      </c>
      <c r="AE39" s="314">
        <f t="shared" si="31"/>
        <v>0</v>
      </c>
      <c r="AF39" s="314">
        <f t="shared" si="31"/>
        <v>0</v>
      </c>
      <c r="AG39" s="314">
        <f t="shared" si="31"/>
        <v>0</v>
      </c>
      <c r="AH39" s="314">
        <f t="shared" si="31"/>
        <v>0</v>
      </c>
      <c r="AI39" s="314">
        <f t="shared" si="31"/>
        <v>0</v>
      </c>
      <c r="AJ39" s="314">
        <f t="shared" si="31"/>
        <v>0</v>
      </c>
      <c r="AK39" s="314">
        <f t="shared" si="31"/>
        <v>0</v>
      </c>
      <c r="AL39" s="314">
        <f t="shared" si="31"/>
        <v>0</v>
      </c>
      <c r="AM39" s="314">
        <f t="shared" si="31"/>
        <v>0</v>
      </c>
      <c r="AN39" s="314">
        <f t="shared" si="31"/>
        <v>0</v>
      </c>
      <c r="AO39" s="314">
        <f t="shared" si="31"/>
        <v>0</v>
      </c>
      <c r="AP39" s="314">
        <f t="shared" si="31"/>
        <v>0</v>
      </c>
      <c r="AQ39" s="314">
        <f t="shared" si="31"/>
        <v>0</v>
      </c>
      <c r="AR39" s="315">
        <f t="shared" si="29"/>
        <v>1</v>
      </c>
      <c r="AS39" s="2506"/>
      <c r="AU39" s="2507"/>
      <c r="AW39" s="274" t="str">
        <f>IF(F39="","X",F39)</f>
        <v>DE</v>
      </c>
      <c r="AX39" s="274" t="str">
        <f t="shared" ca="1" si="30"/>
        <v/>
      </c>
    </row>
    <row r="40" spans="1:50" s="274" customFormat="1" ht="18" hidden="1" customHeight="1">
      <c r="A40" s="2499"/>
      <c r="B40" s="2502"/>
      <c r="C40" s="311"/>
      <c r="D40" s="317" t="s">
        <v>1194</v>
      </c>
      <c r="E40" s="2508">
        <f>$D$159</f>
        <v>1</v>
      </c>
      <c r="F40" s="318" t="s">
        <v>1192</v>
      </c>
      <c r="G40" s="318" t="str">
        <f>D40&amp;" | "&amp;F40</f>
        <v>CONCEDENTE | ND</v>
      </c>
      <c r="H40" s="319">
        <f t="shared" ref="H40:AQ40" si="32">IF($D38=0,0,IF(H38=0,0,($E40*$D38*H38)+$AU$163))</f>
        <v>0</v>
      </c>
      <c r="I40" s="319">
        <f t="shared" si="32"/>
        <v>0</v>
      </c>
      <c r="J40" s="319">
        <f t="shared" si="32"/>
        <v>0</v>
      </c>
      <c r="K40" s="319">
        <f t="shared" si="32"/>
        <v>0</v>
      </c>
      <c r="L40" s="319">
        <f t="shared" si="32"/>
        <v>0</v>
      </c>
      <c r="M40" s="319">
        <f t="shared" si="32"/>
        <v>0</v>
      </c>
      <c r="N40" s="319">
        <f t="shared" si="32"/>
        <v>0</v>
      </c>
      <c r="O40" s="319">
        <f t="shared" si="32"/>
        <v>0</v>
      </c>
      <c r="P40" s="319">
        <f t="shared" si="32"/>
        <v>0</v>
      </c>
      <c r="Q40" s="319">
        <f t="shared" si="32"/>
        <v>0</v>
      </c>
      <c r="R40" s="319">
        <f t="shared" si="32"/>
        <v>0</v>
      </c>
      <c r="S40" s="319">
        <f t="shared" si="32"/>
        <v>0</v>
      </c>
      <c r="T40" s="319">
        <f t="shared" si="32"/>
        <v>0</v>
      </c>
      <c r="U40" s="319">
        <f t="shared" si="32"/>
        <v>0</v>
      </c>
      <c r="V40" s="319">
        <f t="shared" si="32"/>
        <v>0</v>
      </c>
      <c r="W40" s="319">
        <f t="shared" si="32"/>
        <v>0</v>
      </c>
      <c r="X40" s="319">
        <f t="shared" si="32"/>
        <v>0</v>
      </c>
      <c r="Y40" s="319">
        <f t="shared" si="32"/>
        <v>0</v>
      </c>
      <c r="Z40" s="319">
        <f t="shared" si="32"/>
        <v>0</v>
      </c>
      <c r="AA40" s="319">
        <f t="shared" si="32"/>
        <v>0</v>
      </c>
      <c r="AB40" s="319">
        <f t="shared" si="32"/>
        <v>0</v>
      </c>
      <c r="AC40" s="319">
        <f t="shared" si="32"/>
        <v>0</v>
      </c>
      <c r="AD40" s="319">
        <f t="shared" si="32"/>
        <v>0</v>
      </c>
      <c r="AE40" s="319">
        <f t="shared" si="32"/>
        <v>0</v>
      </c>
      <c r="AF40" s="319">
        <f t="shared" si="32"/>
        <v>0</v>
      </c>
      <c r="AG40" s="319">
        <f t="shared" si="32"/>
        <v>0</v>
      </c>
      <c r="AH40" s="319">
        <f t="shared" si="32"/>
        <v>0</v>
      </c>
      <c r="AI40" s="319">
        <f t="shared" si="32"/>
        <v>0</v>
      </c>
      <c r="AJ40" s="319">
        <f t="shared" si="32"/>
        <v>0</v>
      </c>
      <c r="AK40" s="319">
        <f t="shared" si="32"/>
        <v>0</v>
      </c>
      <c r="AL40" s="319">
        <f t="shared" si="32"/>
        <v>0</v>
      </c>
      <c r="AM40" s="319">
        <f t="shared" si="32"/>
        <v>0</v>
      </c>
      <c r="AN40" s="319">
        <f t="shared" si="32"/>
        <v>0</v>
      </c>
      <c r="AO40" s="319">
        <f t="shared" si="32"/>
        <v>0</v>
      </c>
      <c r="AP40" s="319">
        <f t="shared" si="32"/>
        <v>0</v>
      </c>
      <c r="AQ40" s="319">
        <f t="shared" si="32"/>
        <v>0</v>
      </c>
      <c r="AR40" s="320">
        <f t="shared" si="29"/>
        <v>0</v>
      </c>
      <c r="AS40" s="321">
        <f>TRUNC(AR40-D38*E40,2)</f>
        <v>0</v>
      </c>
      <c r="AT40" s="322" t="e">
        <f>+AR40/D38</f>
        <v>#DIV/0!</v>
      </c>
      <c r="AW40" s="274" t="str">
        <f>IF(F40="","X",IF(AND(E40&gt;0),F40,"-"))</f>
        <v>ND</v>
      </c>
      <c r="AX40" s="274" t="str">
        <f t="shared" ca="1" si="30"/>
        <v/>
      </c>
    </row>
    <row r="41" spans="1:50" s="274" customFormat="1" ht="18" hidden="1" customHeight="1">
      <c r="A41" s="2499"/>
      <c r="B41" s="2502"/>
      <c r="C41" s="311"/>
      <c r="D41" s="317" t="s">
        <v>1194</v>
      </c>
      <c r="E41" s="2509"/>
      <c r="F41" s="323" t="s">
        <v>1193</v>
      </c>
      <c r="G41" s="323" t="str">
        <f>D41&amp;" | "&amp;F41</f>
        <v>CONCEDENTE | DE</v>
      </c>
      <c r="H41" s="319">
        <f t="shared" ref="H41:AQ41" si="33">IF($D39=0,0,IF(H39=0,0,($E40*$D39*H39)+$AU$163))</f>
        <v>0</v>
      </c>
      <c r="I41" s="319">
        <f t="shared" si="33"/>
        <v>0</v>
      </c>
      <c r="J41" s="319">
        <f t="shared" si="33"/>
        <v>0</v>
      </c>
      <c r="K41" s="319">
        <f t="shared" si="33"/>
        <v>0</v>
      </c>
      <c r="L41" s="319">
        <f t="shared" si="33"/>
        <v>0</v>
      </c>
      <c r="M41" s="319">
        <f t="shared" si="33"/>
        <v>0</v>
      </c>
      <c r="N41" s="319">
        <f t="shared" si="33"/>
        <v>0</v>
      </c>
      <c r="O41" s="319">
        <f t="shared" si="33"/>
        <v>0</v>
      </c>
      <c r="P41" s="319">
        <f t="shared" si="33"/>
        <v>0</v>
      </c>
      <c r="Q41" s="319">
        <f t="shared" si="33"/>
        <v>0</v>
      </c>
      <c r="R41" s="319">
        <f t="shared" si="33"/>
        <v>0</v>
      </c>
      <c r="S41" s="319">
        <f t="shared" si="33"/>
        <v>0</v>
      </c>
      <c r="T41" s="319">
        <f t="shared" si="33"/>
        <v>0</v>
      </c>
      <c r="U41" s="319">
        <f t="shared" si="33"/>
        <v>0</v>
      </c>
      <c r="V41" s="319">
        <f t="shared" si="33"/>
        <v>0</v>
      </c>
      <c r="W41" s="319">
        <f t="shared" si="33"/>
        <v>0</v>
      </c>
      <c r="X41" s="319">
        <f t="shared" si="33"/>
        <v>0</v>
      </c>
      <c r="Y41" s="319">
        <f t="shared" si="33"/>
        <v>0</v>
      </c>
      <c r="Z41" s="319">
        <f t="shared" si="33"/>
        <v>0</v>
      </c>
      <c r="AA41" s="319">
        <f t="shared" si="33"/>
        <v>0</v>
      </c>
      <c r="AB41" s="319">
        <f t="shared" si="33"/>
        <v>0</v>
      </c>
      <c r="AC41" s="319">
        <f t="shared" si="33"/>
        <v>0</v>
      </c>
      <c r="AD41" s="319">
        <f t="shared" si="33"/>
        <v>0</v>
      </c>
      <c r="AE41" s="319">
        <f t="shared" si="33"/>
        <v>0</v>
      </c>
      <c r="AF41" s="319">
        <f t="shared" si="33"/>
        <v>0</v>
      </c>
      <c r="AG41" s="319">
        <f t="shared" si="33"/>
        <v>0</v>
      </c>
      <c r="AH41" s="319">
        <f t="shared" si="33"/>
        <v>0</v>
      </c>
      <c r="AI41" s="319">
        <f t="shared" si="33"/>
        <v>0</v>
      </c>
      <c r="AJ41" s="319">
        <f t="shared" si="33"/>
        <v>0</v>
      </c>
      <c r="AK41" s="319">
        <f t="shared" si="33"/>
        <v>0</v>
      </c>
      <c r="AL41" s="319">
        <f t="shared" si="33"/>
        <v>0</v>
      </c>
      <c r="AM41" s="319">
        <f t="shared" si="33"/>
        <v>0</v>
      </c>
      <c r="AN41" s="319">
        <f t="shared" si="33"/>
        <v>0</v>
      </c>
      <c r="AO41" s="319">
        <f t="shared" si="33"/>
        <v>0</v>
      </c>
      <c r="AP41" s="319">
        <f t="shared" si="33"/>
        <v>0</v>
      </c>
      <c r="AQ41" s="319">
        <f t="shared" si="33"/>
        <v>0</v>
      </c>
      <c r="AR41" s="320">
        <f t="shared" si="29"/>
        <v>0</v>
      </c>
      <c r="AS41" s="321">
        <f>TRUNC(AR41-D39*E40,2)</f>
        <v>0</v>
      </c>
      <c r="AT41" s="322" t="e">
        <f>+AR41/D39</f>
        <v>#DIV/0!</v>
      </c>
      <c r="AW41" s="274" t="str">
        <f>IF(F41="","X",IF(AND(E40&gt;0),F41,"-"))</f>
        <v>DE</v>
      </c>
      <c r="AX41" s="274" t="str">
        <f t="shared" ca="1" si="30"/>
        <v/>
      </c>
    </row>
    <row r="42" spans="1:50" s="274" customFormat="1" ht="18" hidden="1" customHeight="1" thickBot="1">
      <c r="A42" s="2499"/>
      <c r="B42" s="2502"/>
      <c r="C42" s="324"/>
      <c r="D42" s="325" t="s">
        <v>1195</v>
      </c>
      <c r="E42" s="2510">
        <f>1-E40</f>
        <v>0</v>
      </c>
      <c r="F42" s="326" t="s">
        <v>1192</v>
      </c>
      <c r="G42" s="326" t="str">
        <f>D42&amp;" | "&amp;F42</f>
        <v>PROPONENTE | ND</v>
      </c>
      <c r="H42" s="327">
        <f>($D38*H38-H40)</f>
        <v>0</v>
      </c>
      <c r="I42" s="327">
        <f t="shared" ref="I42:AQ43" si="34">($D38*I38-I40)</f>
        <v>0</v>
      </c>
      <c r="J42" s="327">
        <f t="shared" si="34"/>
        <v>0</v>
      </c>
      <c r="K42" s="327">
        <f t="shared" si="34"/>
        <v>0</v>
      </c>
      <c r="L42" s="327">
        <f t="shared" si="34"/>
        <v>0</v>
      </c>
      <c r="M42" s="327">
        <f t="shared" si="34"/>
        <v>0</v>
      </c>
      <c r="N42" s="327">
        <f t="shared" si="34"/>
        <v>0</v>
      </c>
      <c r="O42" s="327">
        <f t="shared" si="34"/>
        <v>0</v>
      </c>
      <c r="P42" s="327">
        <f t="shared" si="34"/>
        <v>0</v>
      </c>
      <c r="Q42" s="327">
        <f t="shared" si="34"/>
        <v>0</v>
      </c>
      <c r="R42" s="327">
        <f t="shared" si="34"/>
        <v>0</v>
      </c>
      <c r="S42" s="327">
        <f t="shared" si="34"/>
        <v>0</v>
      </c>
      <c r="T42" s="327">
        <f t="shared" si="34"/>
        <v>0</v>
      </c>
      <c r="U42" s="327">
        <f t="shared" si="34"/>
        <v>0</v>
      </c>
      <c r="V42" s="327">
        <f t="shared" si="34"/>
        <v>0</v>
      </c>
      <c r="W42" s="327">
        <f t="shared" si="34"/>
        <v>0</v>
      </c>
      <c r="X42" s="327">
        <f t="shared" si="34"/>
        <v>0</v>
      </c>
      <c r="Y42" s="327">
        <f t="shared" si="34"/>
        <v>0</v>
      </c>
      <c r="Z42" s="327">
        <f t="shared" si="34"/>
        <v>0</v>
      </c>
      <c r="AA42" s="327">
        <f t="shared" si="34"/>
        <v>0</v>
      </c>
      <c r="AB42" s="327">
        <f t="shared" si="34"/>
        <v>0</v>
      </c>
      <c r="AC42" s="327">
        <f t="shared" si="34"/>
        <v>0</v>
      </c>
      <c r="AD42" s="327">
        <f t="shared" si="34"/>
        <v>0</v>
      </c>
      <c r="AE42" s="327">
        <f t="shared" si="34"/>
        <v>0</v>
      </c>
      <c r="AF42" s="327">
        <f t="shared" si="34"/>
        <v>0</v>
      </c>
      <c r="AG42" s="327">
        <f t="shared" si="34"/>
        <v>0</v>
      </c>
      <c r="AH42" s="327">
        <f t="shared" si="34"/>
        <v>0</v>
      </c>
      <c r="AI42" s="327">
        <f t="shared" si="34"/>
        <v>0</v>
      </c>
      <c r="AJ42" s="327">
        <f t="shared" si="34"/>
        <v>0</v>
      </c>
      <c r="AK42" s="327">
        <f t="shared" si="34"/>
        <v>0</v>
      </c>
      <c r="AL42" s="327">
        <f t="shared" si="34"/>
        <v>0</v>
      </c>
      <c r="AM42" s="327">
        <f t="shared" si="34"/>
        <v>0</v>
      </c>
      <c r="AN42" s="327">
        <f t="shared" si="34"/>
        <v>0</v>
      </c>
      <c r="AO42" s="327">
        <f t="shared" si="34"/>
        <v>0</v>
      </c>
      <c r="AP42" s="327">
        <f t="shared" si="34"/>
        <v>0</v>
      </c>
      <c r="AQ42" s="327">
        <f t="shared" si="34"/>
        <v>0</v>
      </c>
      <c r="AR42" s="328">
        <f t="shared" si="29"/>
        <v>0</v>
      </c>
      <c r="AS42" s="321">
        <f>+D38-AR40-AR42</f>
        <v>0</v>
      </c>
      <c r="AW42" s="274" t="str">
        <f>IF(F42="","X",IF(AND(E42&gt;0),F42,"-"))</f>
        <v>-</v>
      </c>
      <c r="AX42" s="274" t="str">
        <f t="shared" ca="1" si="30"/>
        <v/>
      </c>
    </row>
    <row r="43" spans="1:50" s="274" customFormat="1" ht="18" hidden="1" customHeight="1" thickBot="1">
      <c r="A43" s="2500"/>
      <c r="B43" s="2503"/>
      <c r="C43" s="324"/>
      <c r="D43" s="325" t="s">
        <v>1195</v>
      </c>
      <c r="E43" s="2511"/>
      <c r="F43" s="329" t="s">
        <v>1193</v>
      </c>
      <c r="G43" s="329" t="str">
        <f>D43&amp;" | "&amp;F43</f>
        <v>PROPONENTE | DE</v>
      </c>
      <c r="H43" s="327">
        <f>($D39*H39-H41)</f>
        <v>0</v>
      </c>
      <c r="I43" s="327">
        <f t="shared" si="34"/>
        <v>0</v>
      </c>
      <c r="J43" s="327">
        <f t="shared" si="34"/>
        <v>0</v>
      </c>
      <c r="K43" s="327">
        <f t="shared" si="34"/>
        <v>0</v>
      </c>
      <c r="L43" s="327">
        <f t="shared" si="34"/>
        <v>0</v>
      </c>
      <c r="M43" s="327">
        <f t="shared" si="34"/>
        <v>0</v>
      </c>
      <c r="N43" s="327">
        <f t="shared" si="34"/>
        <v>0</v>
      </c>
      <c r="O43" s="327">
        <f t="shared" si="34"/>
        <v>0</v>
      </c>
      <c r="P43" s="327">
        <f t="shared" si="34"/>
        <v>0</v>
      </c>
      <c r="Q43" s="327">
        <f t="shared" si="34"/>
        <v>0</v>
      </c>
      <c r="R43" s="327">
        <f t="shared" si="34"/>
        <v>0</v>
      </c>
      <c r="S43" s="327">
        <f t="shared" si="34"/>
        <v>0</v>
      </c>
      <c r="T43" s="327">
        <f t="shared" si="34"/>
        <v>0</v>
      </c>
      <c r="U43" s="327">
        <f t="shared" si="34"/>
        <v>0</v>
      </c>
      <c r="V43" s="327">
        <f t="shared" si="34"/>
        <v>0</v>
      </c>
      <c r="W43" s="327">
        <f t="shared" si="34"/>
        <v>0</v>
      </c>
      <c r="X43" s="327">
        <f t="shared" si="34"/>
        <v>0</v>
      </c>
      <c r="Y43" s="327">
        <f t="shared" si="34"/>
        <v>0</v>
      </c>
      <c r="Z43" s="327">
        <f t="shared" si="34"/>
        <v>0</v>
      </c>
      <c r="AA43" s="327">
        <f t="shared" si="34"/>
        <v>0</v>
      </c>
      <c r="AB43" s="327">
        <f t="shared" si="34"/>
        <v>0</v>
      </c>
      <c r="AC43" s="327">
        <f t="shared" si="34"/>
        <v>0</v>
      </c>
      <c r="AD43" s="327">
        <f t="shared" si="34"/>
        <v>0</v>
      </c>
      <c r="AE43" s="327">
        <f t="shared" si="34"/>
        <v>0</v>
      </c>
      <c r="AF43" s="327">
        <f t="shared" si="34"/>
        <v>0</v>
      </c>
      <c r="AG43" s="327">
        <f t="shared" si="34"/>
        <v>0</v>
      </c>
      <c r="AH43" s="327">
        <f t="shared" si="34"/>
        <v>0</v>
      </c>
      <c r="AI43" s="327">
        <f t="shared" si="34"/>
        <v>0</v>
      </c>
      <c r="AJ43" s="327">
        <f t="shared" si="34"/>
        <v>0</v>
      </c>
      <c r="AK43" s="327">
        <f t="shared" si="34"/>
        <v>0</v>
      </c>
      <c r="AL43" s="327">
        <f t="shared" si="34"/>
        <v>0</v>
      </c>
      <c r="AM43" s="327">
        <f t="shared" si="34"/>
        <v>0</v>
      </c>
      <c r="AN43" s="327">
        <f t="shared" si="34"/>
        <v>0</v>
      </c>
      <c r="AO43" s="327">
        <f t="shared" si="34"/>
        <v>0</v>
      </c>
      <c r="AP43" s="327">
        <f t="shared" si="34"/>
        <v>0</v>
      </c>
      <c r="AQ43" s="327">
        <f t="shared" si="34"/>
        <v>0</v>
      </c>
      <c r="AR43" s="328">
        <f t="shared" si="29"/>
        <v>0</v>
      </c>
      <c r="AS43" s="321">
        <f>+D39-AR41-AR43</f>
        <v>0</v>
      </c>
      <c r="AW43" s="274" t="str">
        <f>IF(F43="","X",IF(AND(E42&gt;0),F43,"-"))</f>
        <v>-</v>
      </c>
      <c r="AX43" s="274" t="str">
        <f t="shared" ca="1" si="30"/>
        <v/>
      </c>
    </row>
    <row r="44" spans="1:50" s="274" customFormat="1" ht="9.9499999999999993" hidden="1" customHeight="1">
      <c r="A44" s="2498">
        <f ca="1">Orcamento!B22</f>
        <v>0</v>
      </c>
      <c r="B44" s="2501" t="str">
        <f>Orcamento!D22</f>
        <v>MICRODRENAGEM - SERVIÇOS DE ESTRUTURAS</v>
      </c>
      <c r="C44" s="305"/>
      <c r="D44" s="306"/>
      <c r="E44" s="307"/>
      <c r="F44" s="307"/>
      <c r="G44" s="307"/>
      <c r="H44" s="308">
        <f t="shared" ref="H44:AQ44" si="35">H45</f>
        <v>0</v>
      </c>
      <c r="I44" s="308">
        <f t="shared" si="35"/>
        <v>0</v>
      </c>
      <c r="J44" s="308">
        <f t="shared" si="35"/>
        <v>0</v>
      </c>
      <c r="K44" s="308">
        <f t="shared" si="35"/>
        <v>0</v>
      </c>
      <c r="L44" s="308">
        <f t="shared" si="35"/>
        <v>0</v>
      </c>
      <c r="M44" s="308">
        <f t="shared" si="35"/>
        <v>0</v>
      </c>
      <c r="N44" s="308">
        <f t="shared" si="35"/>
        <v>0</v>
      </c>
      <c r="O44" s="308">
        <f t="shared" si="35"/>
        <v>0</v>
      </c>
      <c r="P44" s="308">
        <f t="shared" si="35"/>
        <v>0</v>
      </c>
      <c r="Q44" s="308">
        <f t="shared" si="35"/>
        <v>0</v>
      </c>
      <c r="R44" s="308">
        <f t="shared" si="35"/>
        <v>0</v>
      </c>
      <c r="S44" s="308">
        <f t="shared" si="35"/>
        <v>0</v>
      </c>
      <c r="T44" s="308">
        <f t="shared" si="35"/>
        <v>0</v>
      </c>
      <c r="U44" s="308">
        <f t="shared" si="35"/>
        <v>0</v>
      </c>
      <c r="V44" s="308">
        <f t="shared" si="35"/>
        <v>0</v>
      </c>
      <c r="W44" s="308">
        <f t="shared" si="35"/>
        <v>0</v>
      </c>
      <c r="X44" s="308">
        <f t="shared" si="35"/>
        <v>0</v>
      </c>
      <c r="Y44" s="308">
        <f t="shared" si="35"/>
        <v>0</v>
      </c>
      <c r="Z44" s="308">
        <f t="shared" si="35"/>
        <v>0</v>
      </c>
      <c r="AA44" s="308">
        <f t="shared" si="35"/>
        <v>0</v>
      </c>
      <c r="AB44" s="308">
        <f t="shared" si="35"/>
        <v>0</v>
      </c>
      <c r="AC44" s="308">
        <f t="shared" si="35"/>
        <v>0</v>
      </c>
      <c r="AD44" s="308">
        <f t="shared" si="35"/>
        <v>0</v>
      </c>
      <c r="AE44" s="308">
        <f t="shared" si="35"/>
        <v>0</v>
      </c>
      <c r="AF44" s="308">
        <f t="shared" si="35"/>
        <v>0</v>
      </c>
      <c r="AG44" s="308">
        <f t="shared" si="35"/>
        <v>0</v>
      </c>
      <c r="AH44" s="308">
        <f t="shared" si="35"/>
        <v>0</v>
      </c>
      <c r="AI44" s="308">
        <f t="shared" si="35"/>
        <v>0</v>
      </c>
      <c r="AJ44" s="308">
        <f t="shared" si="35"/>
        <v>0</v>
      </c>
      <c r="AK44" s="308">
        <f t="shared" si="35"/>
        <v>0</v>
      </c>
      <c r="AL44" s="308">
        <f t="shared" si="35"/>
        <v>0</v>
      </c>
      <c r="AM44" s="308">
        <f t="shared" si="35"/>
        <v>0</v>
      </c>
      <c r="AN44" s="308">
        <f t="shared" si="35"/>
        <v>0</v>
      </c>
      <c r="AO44" s="308">
        <f t="shared" si="35"/>
        <v>0</v>
      </c>
      <c r="AP44" s="308">
        <f t="shared" si="35"/>
        <v>0</v>
      </c>
      <c r="AQ44" s="308">
        <f t="shared" si="35"/>
        <v>0</v>
      </c>
      <c r="AR44" s="309"/>
      <c r="AS44" s="310">
        <f>+D46-AR48-AR50</f>
        <v>0</v>
      </c>
      <c r="AW44" s="274" t="str">
        <f>IF(F44="","X",F44)</f>
        <v>X</v>
      </c>
      <c r="AX44" s="274" t="str">
        <f ca="1">IF($A$44=0,"","X")</f>
        <v/>
      </c>
    </row>
    <row r="45" spans="1:50" s="274" customFormat="1" ht="18" hidden="1" customHeight="1">
      <c r="A45" s="2499"/>
      <c r="B45" s="2502"/>
      <c r="C45" s="311" t="str">
        <f>CONCATENATE(Orcamento!K51," ",Orcamento!O51)</f>
        <v>200 47,23</v>
      </c>
      <c r="D45" s="2504">
        <f>Orcamento!S22</f>
        <v>0</v>
      </c>
      <c r="E45" s="2505"/>
      <c r="F45" s="312" t="s">
        <v>1192</v>
      </c>
      <c r="G45" s="312"/>
      <c r="H45" s="314"/>
      <c r="I45" s="314"/>
      <c r="J45" s="314"/>
      <c r="K45" s="314"/>
      <c r="L45" s="314"/>
      <c r="M45" s="314"/>
      <c r="N45" s="314"/>
      <c r="O45" s="314"/>
      <c r="P45" s="314"/>
      <c r="Q45" s="314"/>
      <c r="R45" s="314"/>
      <c r="S45" s="314"/>
      <c r="T45" s="314"/>
      <c r="U45" s="314"/>
      <c r="V45" s="314"/>
      <c r="W45" s="314"/>
      <c r="X45" s="314"/>
      <c r="Y45" s="314"/>
      <c r="Z45" s="314"/>
      <c r="AA45" s="314"/>
      <c r="AB45" s="314"/>
      <c r="AC45" s="314"/>
      <c r="AD45" s="314"/>
      <c r="AE45" s="314"/>
      <c r="AF45" s="314"/>
      <c r="AG45" s="314"/>
      <c r="AH45" s="314"/>
      <c r="AI45" s="314"/>
      <c r="AJ45" s="314"/>
      <c r="AK45" s="314"/>
      <c r="AL45" s="314"/>
      <c r="AM45" s="314"/>
      <c r="AN45" s="314"/>
      <c r="AO45" s="314"/>
      <c r="AP45" s="314"/>
      <c r="AQ45" s="314"/>
      <c r="AR45" s="315">
        <f t="shared" ref="AR45:AR50" si="36">SUM(H45:AQ45)</f>
        <v>0</v>
      </c>
      <c r="AS45" s="2506">
        <f>1-AR45</f>
        <v>1</v>
      </c>
      <c r="AU45" s="2507">
        <f>+COUNT(H45:AQ46)</f>
        <v>36</v>
      </c>
      <c r="AW45" s="274" t="str">
        <f>IF(F45="","X",F45)</f>
        <v>ND</v>
      </c>
      <c r="AX45" s="274" t="str">
        <f t="shared" ref="AX45:AX50" ca="1" si="37">IF($A$44=0,"","X")</f>
        <v/>
      </c>
    </row>
    <row r="46" spans="1:50" s="274" customFormat="1" ht="18" hidden="1" customHeight="1">
      <c r="A46" s="2499"/>
      <c r="B46" s="2502"/>
      <c r="C46" s="311" t="str">
        <f>CONCATENATE(Orcamento!K52," ",Orcamento!O52)</f>
        <v xml:space="preserve"> 749,7</v>
      </c>
      <c r="D46" s="2504">
        <f>Orcamento!T22</f>
        <v>0</v>
      </c>
      <c r="E46" s="2505"/>
      <c r="F46" s="316" t="s">
        <v>1193</v>
      </c>
      <c r="G46" s="316"/>
      <c r="H46" s="314">
        <f t="shared" ref="H46:AQ46" si="38">H45</f>
        <v>0</v>
      </c>
      <c r="I46" s="314">
        <f t="shared" si="38"/>
        <v>0</v>
      </c>
      <c r="J46" s="314">
        <f t="shared" si="38"/>
        <v>0</v>
      </c>
      <c r="K46" s="314">
        <f t="shared" si="38"/>
        <v>0</v>
      </c>
      <c r="L46" s="314">
        <f t="shared" si="38"/>
        <v>0</v>
      </c>
      <c r="M46" s="314">
        <f t="shared" si="38"/>
        <v>0</v>
      </c>
      <c r="N46" s="314">
        <f t="shared" si="38"/>
        <v>0</v>
      </c>
      <c r="O46" s="314">
        <f t="shared" si="38"/>
        <v>0</v>
      </c>
      <c r="P46" s="314">
        <f t="shared" si="38"/>
        <v>0</v>
      </c>
      <c r="Q46" s="314">
        <f t="shared" si="38"/>
        <v>0</v>
      </c>
      <c r="R46" s="314">
        <f t="shared" si="38"/>
        <v>0</v>
      </c>
      <c r="S46" s="314">
        <f t="shared" si="38"/>
        <v>0</v>
      </c>
      <c r="T46" s="314">
        <f t="shared" si="38"/>
        <v>0</v>
      </c>
      <c r="U46" s="314">
        <f t="shared" si="38"/>
        <v>0</v>
      </c>
      <c r="V46" s="314">
        <f t="shared" si="38"/>
        <v>0</v>
      </c>
      <c r="W46" s="314">
        <f t="shared" si="38"/>
        <v>0</v>
      </c>
      <c r="X46" s="314">
        <f t="shared" si="38"/>
        <v>0</v>
      </c>
      <c r="Y46" s="314">
        <f t="shared" si="38"/>
        <v>0</v>
      </c>
      <c r="Z46" s="314">
        <f t="shared" si="38"/>
        <v>0</v>
      </c>
      <c r="AA46" s="314">
        <f t="shared" si="38"/>
        <v>0</v>
      </c>
      <c r="AB46" s="314">
        <f t="shared" si="38"/>
        <v>0</v>
      </c>
      <c r="AC46" s="314">
        <f t="shared" si="38"/>
        <v>0</v>
      </c>
      <c r="AD46" s="314">
        <f t="shared" si="38"/>
        <v>0</v>
      </c>
      <c r="AE46" s="314">
        <f t="shared" si="38"/>
        <v>0</v>
      </c>
      <c r="AF46" s="314">
        <f t="shared" si="38"/>
        <v>0</v>
      </c>
      <c r="AG46" s="314">
        <f t="shared" si="38"/>
        <v>0</v>
      </c>
      <c r="AH46" s="314">
        <f t="shared" si="38"/>
        <v>0</v>
      </c>
      <c r="AI46" s="314">
        <f t="shared" si="38"/>
        <v>0</v>
      </c>
      <c r="AJ46" s="314">
        <f t="shared" si="38"/>
        <v>0</v>
      </c>
      <c r="AK46" s="314">
        <f t="shared" si="38"/>
        <v>0</v>
      </c>
      <c r="AL46" s="314">
        <f t="shared" si="38"/>
        <v>0</v>
      </c>
      <c r="AM46" s="314">
        <f t="shared" si="38"/>
        <v>0</v>
      </c>
      <c r="AN46" s="314">
        <f t="shared" si="38"/>
        <v>0</v>
      </c>
      <c r="AO46" s="314">
        <f t="shared" si="38"/>
        <v>0</v>
      </c>
      <c r="AP46" s="314">
        <f t="shared" si="38"/>
        <v>0</v>
      </c>
      <c r="AQ46" s="314">
        <f t="shared" si="38"/>
        <v>0</v>
      </c>
      <c r="AR46" s="315">
        <f t="shared" si="36"/>
        <v>0</v>
      </c>
      <c r="AS46" s="2506"/>
      <c r="AU46" s="2507"/>
      <c r="AW46" s="274" t="str">
        <f>IF(F46="","X",F46)</f>
        <v>DE</v>
      </c>
      <c r="AX46" s="274" t="str">
        <f t="shared" ca="1" si="37"/>
        <v/>
      </c>
    </row>
    <row r="47" spans="1:50" s="274" customFormat="1" ht="18" hidden="1" customHeight="1">
      <c r="A47" s="2499"/>
      <c r="B47" s="2502"/>
      <c r="C47" s="311"/>
      <c r="D47" s="317" t="s">
        <v>1194</v>
      </c>
      <c r="E47" s="2508">
        <f>$D$159</f>
        <v>1</v>
      </c>
      <c r="F47" s="318" t="s">
        <v>1192</v>
      </c>
      <c r="G47" s="318" t="str">
        <f>D47&amp;" | "&amp;F47</f>
        <v>CONCEDENTE | ND</v>
      </c>
      <c r="H47" s="319">
        <f t="shared" ref="H47:AQ47" si="39">IF($D45=0,0,IF(H45=0,0,($E47*$D45*H45)+$AU$163))</f>
        <v>0</v>
      </c>
      <c r="I47" s="319">
        <f t="shared" si="39"/>
        <v>0</v>
      </c>
      <c r="J47" s="319">
        <f t="shared" si="39"/>
        <v>0</v>
      </c>
      <c r="K47" s="319">
        <f t="shared" si="39"/>
        <v>0</v>
      </c>
      <c r="L47" s="319">
        <f t="shared" si="39"/>
        <v>0</v>
      </c>
      <c r="M47" s="319">
        <f t="shared" si="39"/>
        <v>0</v>
      </c>
      <c r="N47" s="319">
        <f t="shared" si="39"/>
        <v>0</v>
      </c>
      <c r="O47" s="319">
        <f t="shared" si="39"/>
        <v>0</v>
      </c>
      <c r="P47" s="319">
        <f t="shared" si="39"/>
        <v>0</v>
      </c>
      <c r="Q47" s="319">
        <f t="shared" si="39"/>
        <v>0</v>
      </c>
      <c r="R47" s="319">
        <f t="shared" si="39"/>
        <v>0</v>
      </c>
      <c r="S47" s="319">
        <f t="shared" si="39"/>
        <v>0</v>
      </c>
      <c r="T47" s="319">
        <f t="shared" si="39"/>
        <v>0</v>
      </c>
      <c r="U47" s="319">
        <f t="shared" si="39"/>
        <v>0</v>
      </c>
      <c r="V47" s="319">
        <f t="shared" si="39"/>
        <v>0</v>
      </c>
      <c r="W47" s="319">
        <f t="shared" si="39"/>
        <v>0</v>
      </c>
      <c r="X47" s="319">
        <f t="shared" si="39"/>
        <v>0</v>
      </c>
      <c r="Y47" s="319">
        <f t="shared" si="39"/>
        <v>0</v>
      </c>
      <c r="Z47" s="319">
        <f t="shared" si="39"/>
        <v>0</v>
      </c>
      <c r="AA47" s="319">
        <f t="shared" si="39"/>
        <v>0</v>
      </c>
      <c r="AB47" s="319">
        <f t="shared" si="39"/>
        <v>0</v>
      </c>
      <c r="AC47" s="319">
        <f t="shared" si="39"/>
        <v>0</v>
      </c>
      <c r="AD47" s="319">
        <f t="shared" si="39"/>
        <v>0</v>
      </c>
      <c r="AE47" s="319">
        <f t="shared" si="39"/>
        <v>0</v>
      </c>
      <c r="AF47" s="319">
        <f t="shared" si="39"/>
        <v>0</v>
      </c>
      <c r="AG47" s="319">
        <f t="shared" si="39"/>
        <v>0</v>
      </c>
      <c r="AH47" s="319">
        <f t="shared" si="39"/>
        <v>0</v>
      </c>
      <c r="AI47" s="319">
        <f t="shared" si="39"/>
        <v>0</v>
      </c>
      <c r="AJ47" s="319">
        <f t="shared" si="39"/>
        <v>0</v>
      </c>
      <c r="AK47" s="319">
        <f t="shared" si="39"/>
        <v>0</v>
      </c>
      <c r="AL47" s="319">
        <f t="shared" si="39"/>
        <v>0</v>
      </c>
      <c r="AM47" s="319">
        <f t="shared" si="39"/>
        <v>0</v>
      </c>
      <c r="AN47" s="319">
        <f t="shared" si="39"/>
        <v>0</v>
      </c>
      <c r="AO47" s="319">
        <f t="shared" si="39"/>
        <v>0</v>
      </c>
      <c r="AP47" s="319">
        <f t="shared" si="39"/>
        <v>0</v>
      </c>
      <c r="AQ47" s="319">
        <f t="shared" si="39"/>
        <v>0</v>
      </c>
      <c r="AR47" s="320">
        <f t="shared" si="36"/>
        <v>0</v>
      </c>
      <c r="AS47" s="321">
        <f>TRUNC(AR47-D45*E47,2)</f>
        <v>0</v>
      </c>
      <c r="AT47" s="322" t="e">
        <f>+AR47/D45</f>
        <v>#DIV/0!</v>
      </c>
      <c r="AW47" s="274" t="str">
        <f>IF(F47="","X",IF(AND(E47&gt;0),F47,"-"))</f>
        <v>ND</v>
      </c>
      <c r="AX47" s="274" t="str">
        <f t="shared" ca="1" si="37"/>
        <v/>
      </c>
    </row>
    <row r="48" spans="1:50" s="274" customFormat="1" ht="18" hidden="1" customHeight="1">
      <c r="A48" s="2499"/>
      <c r="B48" s="2502"/>
      <c r="C48" s="311"/>
      <c r="D48" s="317" t="s">
        <v>1194</v>
      </c>
      <c r="E48" s="2509"/>
      <c r="F48" s="323" t="s">
        <v>1193</v>
      </c>
      <c r="G48" s="323" t="str">
        <f>D48&amp;" | "&amp;F48</f>
        <v>CONCEDENTE | DE</v>
      </c>
      <c r="H48" s="319">
        <f t="shared" ref="H48:AQ48" si="40">IF($D46=0,0,IF(H46=0,0,($E47*$D46*H46)+$AU$163))</f>
        <v>0</v>
      </c>
      <c r="I48" s="319">
        <f t="shared" si="40"/>
        <v>0</v>
      </c>
      <c r="J48" s="319">
        <f t="shared" si="40"/>
        <v>0</v>
      </c>
      <c r="K48" s="319">
        <f t="shared" si="40"/>
        <v>0</v>
      </c>
      <c r="L48" s="319">
        <f t="shared" si="40"/>
        <v>0</v>
      </c>
      <c r="M48" s="319">
        <f t="shared" si="40"/>
        <v>0</v>
      </c>
      <c r="N48" s="319">
        <f t="shared" si="40"/>
        <v>0</v>
      </c>
      <c r="O48" s="319">
        <f t="shared" si="40"/>
        <v>0</v>
      </c>
      <c r="P48" s="319">
        <f t="shared" si="40"/>
        <v>0</v>
      </c>
      <c r="Q48" s="319">
        <f t="shared" si="40"/>
        <v>0</v>
      </c>
      <c r="R48" s="319">
        <f t="shared" si="40"/>
        <v>0</v>
      </c>
      <c r="S48" s="319">
        <f t="shared" si="40"/>
        <v>0</v>
      </c>
      <c r="T48" s="319">
        <f t="shared" si="40"/>
        <v>0</v>
      </c>
      <c r="U48" s="319">
        <f t="shared" si="40"/>
        <v>0</v>
      </c>
      <c r="V48" s="319">
        <f t="shared" si="40"/>
        <v>0</v>
      </c>
      <c r="W48" s="319">
        <f t="shared" si="40"/>
        <v>0</v>
      </c>
      <c r="X48" s="319">
        <f t="shared" si="40"/>
        <v>0</v>
      </c>
      <c r="Y48" s="319">
        <f t="shared" si="40"/>
        <v>0</v>
      </c>
      <c r="Z48" s="319">
        <f t="shared" si="40"/>
        <v>0</v>
      </c>
      <c r="AA48" s="319">
        <f t="shared" si="40"/>
        <v>0</v>
      </c>
      <c r="AB48" s="319">
        <f t="shared" si="40"/>
        <v>0</v>
      </c>
      <c r="AC48" s="319">
        <f t="shared" si="40"/>
        <v>0</v>
      </c>
      <c r="AD48" s="319">
        <f t="shared" si="40"/>
        <v>0</v>
      </c>
      <c r="AE48" s="319">
        <f t="shared" si="40"/>
        <v>0</v>
      </c>
      <c r="AF48" s="319">
        <f t="shared" si="40"/>
        <v>0</v>
      </c>
      <c r="AG48" s="319">
        <f t="shared" si="40"/>
        <v>0</v>
      </c>
      <c r="AH48" s="319">
        <f t="shared" si="40"/>
        <v>0</v>
      </c>
      <c r="AI48" s="319">
        <f t="shared" si="40"/>
        <v>0</v>
      </c>
      <c r="AJ48" s="319">
        <f t="shared" si="40"/>
        <v>0</v>
      </c>
      <c r="AK48" s="319">
        <f t="shared" si="40"/>
        <v>0</v>
      </c>
      <c r="AL48" s="319">
        <f t="shared" si="40"/>
        <v>0</v>
      </c>
      <c r="AM48" s="319">
        <f t="shared" si="40"/>
        <v>0</v>
      </c>
      <c r="AN48" s="319">
        <f t="shared" si="40"/>
        <v>0</v>
      </c>
      <c r="AO48" s="319">
        <f t="shared" si="40"/>
        <v>0</v>
      </c>
      <c r="AP48" s="319">
        <f t="shared" si="40"/>
        <v>0</v>
      </c>
      <c r="AQ48" s="319">
        <f t="shared" si="40"/>
        <v>0</v>
      </c>
      <c r="AR48" s="320">
        <f t="shared" si="36"/>
        <v>0</v>
      </c>
      <c r="AS48" s="321">
        <f>TRUNC(AR48-D46*E47,2)</f>
        <v>0</v>
      </c>
      <c r="AT48" s="322" t="e">
        <f>+AR48/D46</f>
        <v>#DIV/0!</v>
      </c>
      <c r="AW48" s="274" t="str">
        <f>IF(F48="","X",IF(AND(E47&gt;0),F48,"-"))</f>
        <v>DE</v>
      </c>
      <c r="AX48" s="274" t="str">
        <f t="shared" ca="1" si="37"/>
        <v/>
      </c>
    </row>
    <row r="49" spans="1:50" s="274" customFormat="1" ht="18" hidden="1" customHeight="1" thickBot="1">
      <c r="A49" s="2499"/>
      <c r="B49" s="2502"/>
      <c r="C49" s="324"/>
      <c r="D49" s="325" t="s">
        <v>1195</v>
      </c>
      <c r="E49" s="2510">
        <f>1-E47</f>
        <v>0</v>
      </c>
      <c r="F49" s="326" t="s">
        <v>1192</v>
      </c>
      <c r="G49" s="326" t="str">
        <f>D49&amp;" | "&amp;F49</f>
        <v>PROPONENTE | ND</v>
      </c>
      <c r="H49" s="327">
        <f>($D45*H45-H47)</f>
        <v>0</v>
      </c>
      <c r="I49" s="327">
        <f t="shared" ref="I49:AQ50" si="41">($D45*I45-I47)</f>
        <v>0</v>
      </c>
      <c r="J49" s="327">
        <f t="shared" si="41"/>
        <v>0</v>
      </c>
      <c r="K49" s="327">
        <f t="shared" si="41"/>
        <v>0</v>
      </c>
      <c r="L49" s="327">
        <f t="shared" si="41"/>
        <v>0</v>
      </c>
      <c r="M49" s="327">
        <f t="shared" si="41"/>
        <v>0</v>
      </c>
      <c r="N49" s="327">
        <f t="shared" si="41"/>
        <v>0</v>
      </c>
      <c r="O49" s="327">
        <f t="shared" si="41"/>
        <v>0</v>
      </c>
      <c r="P49" s="327">
        <f t="shared" si="41"/>
        <v>0</v>
      </c>
      <c r="Q49" s="327">
        <f t="shared" si="41"/>
        <v>0</v>
      </c>
      <c r="R49" s="327">
        <f t="shared" si="41"/>
        <v>0</v>
      </c>
      <c r="S49" s="327">
        <f t="shared" si="41"/>
        <v>0</v>
      </c>
      <c r="T49" s="327">
        <f t="shared" si="41"/>
        <v>0</v>
      </c>
      <c r="U49" s="327">
        <f t="shared" si="41"/>
        <v>0</v>
      </c>
      <c r="V49" s="327">
        <f t="shared" si="41"/>
        <v>0</v>
      </c>
      <c r="W49" s="327">
        <f t="shared" si="41"/>
        <v>0</v>
      </c>
      <c r="X49" s="327">
        <f t="shared" si="41"/>
        <v>0</v>
      </c>
      <c r="Y49" s="327">
        <f t="shared" si="41"/>
        <v>0</v>
      </c>
      <c r="Z49" s="327">
        <f t="shared" si="41"/>
        <v>0</v>
      </c>
      <c r="AA49" s="327">
        <f t="shared" si="41"/>
        <v>0</v>
      </c>
      <c r="AB49" s="327">
        <f t="shared" si="41"/>
        <v>0</v>
      </c>
      <c r="AC49" s="327">
        <f t="shared" si="41"/>
        <v>0</v>
      </c>
      <c r="AD49" s="327">
        <f t="shared" si="41"/>
        <v>0</v>
      </c>
      <c r="AE49" s="327">
        <f t="shared" si="41"/>
        <v>0</v>
      </c>
      <c r="AF49" s="327">
        <f t="shared" si="41"/>
        <v>0</v>
      </c>
      <c r="AG49" s="327">
        <f t="shared" si="41"/>
        <v>0</v>
      </c>
      <c r="AH49" s="327">
        <f t="shared" si="41"/>
        <v>0</v>
      </c>
      <c r="AI49" s="327">
        <f t="shared" si="41"/>
        <v>0</v>
      </c>
      <c r="AJ49" s="327">
        <f t="shared" si="41"/>
        <v>0</v>
      </c>
      <c r="AK49" s="327">
        <f t="shared" si="41"/>
        <v>0</v>
      </c>
      <c r="AL49" s="327">
        <f t="shared" si="41"/>
        <v>0</v>
      </c>
      <c r="AM49" s="327">
        <f t="shared" si="41"/>
        <v>0</v>
      </c>
      <c r="AN49" s="327">
        <f t="shared" si="41"/>
        <v>0</v>
      </c>
      <c r="AO49" s="327">
        <f t="shared" si="41"/>
        <v>0</v>
      </c>
      <c r="AP49" s="327">
        <f t="shared" si="41"/>
        <v>0</v>
      </c>
      <c r="AQ49" s="327">
        <f t="shared" si="41"/>
        <v>0</v>
      </c>
      <c r="AR49" s="328">
        <f t="shared" si="36"/>
        <v>0</v>
      </c>
      <c r="AS49" s="321">
        <f>+D45-AR47-AR49</f>
        <v>0</v>
      </c>
      <c r="AW49" s="274" t="str">
        <f>IF(F49="","X",IF(AND(E49&gt;0),F49,"-"))</f>
        <v>-</v>
      </c>
      <c r="AX49" s="274" t="str">
        <f t="shared" ca="1" si="37"/>
        <v/>
      </c>
    </row>
    <row r="50" spans="1:50" s="274" customFormat="1" ht="18" hidden="1" customHeight="1" thickBot="1">
      <c r="A50" s="2500"/>
      <c r="B50" s="2503"/>
      <c r="C50" s="324"/>
      <c r="D50" s="325" t="s">
        <v>1195</v>
      </c>
      <c r="E50" s="2511"/>
      <c r="F50" s="329" t="s">
        <v>1193</v>
      </c>
      <c r="G50" s="329" t="str">
        <f>D50&amp;" | "&amp;F50</f>
        <v>PROPONENTE | DE</v>
      </c>
      <c r="H50" s="327">
        <f>($D46*H46-H48)</f>
        <v>0</v>
      </c>
      <c r="I50" s="327">
        <f t="shared" si="41"/>
        <v>0</v>
      </c>
      <c r="J50" s="327">
        <f t="shared" si="41"/>
        <v>0</v>
      </c>
      <c r="K50" s="327">
        <f t="shared" si="41"/>
        <v>0</v>
      </c>
      <c r="L50" s="327">
        <f t="shared" si="41"/>
        <v>0</v>
      </c>
      <c r="M50" s="327">
        <f t="shared" si="41"/>
        <v>0</v>
      </c>
      <c r="N50" s="327">
        <f t="shared" si="41"/>
        <v>0</v>
      </c>
      <c r="O50" s="327">
        <f t="shared" si="41"/>
        <v>0</v>
      </c>
      <c r="P50" s="327">
        <f t="shared" si="41"/>
        <v>0</v>
      </c>
      <c r="Q50" s="327">
        <f t="shared" si="41"/>
        <v>0</v>
      </c>
      <c r="R50" s="327">
        <f t="shared" si="41"/>
        <v>0</v>
      </c>
      <c r="S50" s="327">
        <f t="shared" si="41"/>
        <v>0</v>
      </c>
      <c r="T50" s="327">
        <f t="shared" si="41"/>
        <v>0</v>
      </c>
      <c r="U50" s="327">
        <f t="shared" si="41"/>
        <v>0</v>
      </c>
      <c r="V50" s="327">
        <f t="shared" si="41"/>
        <v>0</v>
      </c>
      <c r="W50" s="327">
        <f t="shared" si="41"/>
        <v>0</v>
      </c>
      <c r="X50" s="327">
        <f t="shared" si="41"/>
        <v>0</v>
      </c>
      <c r="Y50" s="327">
        <f t="shared" si="41"/>
        <v>0</v>
      </c>
      <c r="Z50" s="327">
        <f t="shared" si="41"/>
        <v>0</v>
      </c>
      <c r="AA50" s="327">
        <f t="shared" si="41"/>
        <v>0</v>
      </c>
      <c r="AB50" s="327">
        <f t="shared" si="41"/>
        <v>0</v>
      </c>
      <c r="AC50" s="327">
        <f t="shared" si="41"/>
        <v>0</v>
      </c>
      <c r="AD50" s="327">
        <f t="shared" si="41"/>
        <v>0</v>
      </c>
      <c r="AE50" s="327">
        <f t="shared" si="41"/>
        <v>0</v>
      </c>
      <c r="AF50" s="327">
        <f t="shared" si="41"/>
        <v>0</v>
      </c>
      <c r="AG50" s="327">
        <f t="shared" si="41"/>
        <v>0</v>
      </c>
      <c r="AH50" s="327">
        <f t="shared" si="41"/>
        <v>0</v>
      </c>
      <c r="AI50" s="327">
        <f t="shared" si="41"/>
        <v>0</v>
      </c>
      <c r="AJ50" s="327">
        <f t="shared" si="41"/>
        <v>0</v>
      </c>
      <c r="AK50" s="327">
        <f t="shared" si="41"/>
        <v>0</v>
      </c>
      <c r="AL50" s="327">
        <f t="shared" si="41"/>
        <v>0</v>
      </c>
      <c r="AM50" s="327">
        <f t="shared" si="41"/>
        <v>0</v>
      </c>
      <c r="AN50" s="327">
        <f t="shared" si="41"/>
        <v>0</v>
      </c>
      <c r="AO50" s="327">
        <f t="shared" si="41"/>
        <v>0</v>
      </c>
      <c r="AP50" s="327">
        <f t="shared" si="41"/>
        <v>0</v>
      </c>
      <c r="AQ50" s="327">
        <f t="shared" si="41"/>
        <v>0</v>
      </c>
      <c r="AR50" s="328">
        <f t="shared" si="36"/>
        <v>0</v>
      </c>
      <c r="AS50" s="321">
        <f>+D46-AR48-AR50</f>
        <v>0</v>
      </c>
      <c r="AW50" s="274" t="str">
        <f>IF(F50="","X",IF(AND(E49&gt;0),F50,"-"))</f>
        <v>-</v>
      </c>
      <c r="AX50" s="274" t="str">
        <f t="shared" ca="1" si="37"/>
        <v/>
      </c>
    </row>
    <row r="51" spans="1:50" s="274" customFormat="1" ht="9.9499999999999993" hidden="1" customHeight="1">
      <c r="A51" s="2498">
        <f ca="1">Orcamento!B23</f>
        <v>0</v>
      </c>
      <c r="B51" s="2501" t="str">
        <f>Orcamento!D23</f>
        <v>MICRODRENAGEM - BACIA DE AMORTECIMENTO</v>
      </c>
      <c r="C51" s="305"/>
      <c r="D51" s="306"/>
      <c r="E51" s="307"/>
      <c r="F51" s="307"/>
      <c r="G51" s="307"/>
      <c r="H51" s="308">
        <f t="shared" ref="H51:AQ51" si="42">H52</f>
        <v>0</v>
      </c>
      <c r="I51" s="308">
        <f t="shared" si="42"/>
        <v>0</v>
      </c>
      <c r="J51" s="308">
        <f t="shared" si="42"/>
        <v>0</v>
      </c>
      <c r="K51" s="308">
        <f t="shared" si="42"/>
        <v>0</v>
      </c>
      <c r="L51" s="308">
        <f t="shared" si="42"/>
        <v>0</v>
      </c>
      <c r="M51" s="308">
        <f t="shared" si="42"/>
        <v>0</v>
      </c>
      <c r="N51" s="308">
        <f t="shared" si="42"/>
        <v>0</v>
      </c>
      <c r="O51" s="308">
        <f t="shared" si="42"/>
        <v>0</v>
      </c>
      <c r="P51" s="308">
        <f t="shared" si="42"/>
        <v>0</v>
      </c>
      <c r="Q51" s="308">
        <f t="shared" si="42"/>
        <v>0</v>
      </c>
      <c r="R51" s="308">
        <f t="shared" si="42"/>
        <v>0</v>
      </c>
      <c r="S51" s="308">
        <f t="shared" si="42"/>
        <v>0</v>
      </c>
      <c r="T51" s="308">
        <f t="shared" si="42"/>
        <v>0</v>
      </c>
      <c r="U51" s="308">
        <f t="shared" si="42"/>
        <v>0</v>
      </c>
      <c r="V51" s="308">
        <f t="shared" si="42"/>
        <v>0</v>
      </c>
      <c r="W51" s="308">
        <f t="shared" si="42"/>
        <v>0</v>
      </c>
      <c r="X51" s="308">
        <f t="shared" si="42"/>
        <v>0</v>
      </c>
      <c r="Y51" s="308">
        <f t="shared" si="42"/>
        <v>0</v>
      </c>
      <c r="Z51" s="308">
        <f t="shared" si="42"/>
        <v>0</v>
      </c>
      <c r="AA51" s="308">
        <f t="shared" si="42"/>
        <v>0</v>
      </c>
      <c r="AB51" s="308">
        <f t="shared" si="42"/>
        <v>0</v>
      </c>
      <c r="AC51" s="308">
        <f t="shared" si="42"/>
        <v>0</v>
      </c>
      <c r="AD51" s="308">
        <f t="shared" si="42"/>
        <v>0</v>
      </c>
      <c r="AE51" s="308">
        <f t="shared" si="42"/>
        <v>0</v>
      </c>
      <c r="AF51" s="308">
        <f t="shared" si="42"/>
        <v>0</v>
      </c>
      <c r="AG51" s="308">
        <f t="shared" si="42"/>
        <v>0</v>
      </c>
      <c r="AH51" s="308">
        <f t="shared" si="42"/>
        <v>0</v>
      </c>
      <c r="AI51" s="308">
        <f t="shared" si="42"/>
        <v>0</v>
      </c>
      <c r="AJ51" s="308">
        <f t="shared" si="42"/>
        <v>0</v>
      </c>
      <c r="AK51" s="308">
        <f t="shared" si="42"/>
        <v>0</v>
      </c>
      <c r="AL51" s="308">
        <f t="shared" si="42"/>
        <v>0</v>
      </c>
      <c r="AM51" s="308">
        <f t="shared" si="42"/>
        <v>0</v>
      </c>
      <c r="AN51" s="308">
        <f t="shared" si="42"/>
        <v>0</v>
      </c>
      <c r="AO51" s="308">
        <f t="shared" si="42"/>
        <v>0</v>
      </c>
      <c r="AP51" s="308">
        <f t="shared" si="42"/>
        <v>0</v>
      </c>
      <c r="AQ51" s="308">
        <f t="shared" si="42"/>
        <v>0</v>
      </c>
      <c r="AR51" s="309"/>
      <c r="AS51" s="310">
        <f>+D53-AR55-AR57</f>
        <v>0</v>
      </c>
      <c r="AW51" s="274" t="str">
        <f>IF(F51="","X",F51)</f>
        <v>X</v>
      </c>
      <c r="AX51" s="274" t="str">
        <f ca="1">IF($A$51=0,"","X")</f>
        <v/>
      </c>
    </row>
    <row r="52" spans="1:50" s="274" customFormat="1" ht="18" hidden="1" customHeight="1">
      <c r="A52" s="2499"/>
      <c r="B52" s="2502"/>
      <c r="C52" s="311" t="str">
        <f>CONCATENATE(Orcamento!K58," ",Orcamento!O58)</f>
        <v xml:space="preserve"> 320,08</v>
      </c>
      <c r="D52" s="2504">
        <f>Orcamento!S23</f>
        <v>0</v>
      </c>
      <c r="E52" s="2505"/>
      <c r="F52" s="312" t="s">
        <v>1192</v>
      </c>
      <c r="G52" s="312"/>
      <c r="H52" s="314"/>
      <c r="I52" s="314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4"/>
      <c r="W52" s="314"/>
      <c r="X52" s="314"/>
      <c r="Y52" s="314"/>
      <c r="Z52" s="314"/>
      <c r="AA52" s="314"/>
      <c r="AB52" s="314"/>
      <c r="AC52" s="314"/>
      <c r="AD52" s="314"/>
      <c r="AE52" s="314"/>
      <c r="AF52" s="314"/>
      <c r="AG52" s="314"/>
      <c r="AH52" s="314"/>
      <c r="AI52" s="314"/>
      <c r="AJ52" s="314"/>
      <c r="AK52" s="314"/>
      <c r="AL52" s="314"/>
      <c r="AM52" s="314"/>
      <c r="AN52" s="314"/>
      <c r="AO52" s="314"/>
      <c r="AP52" s="314"/>
      <c r="AQ52" s="314"/>
      <c r="AR52" s="315">
        <f t="shared" ref="AR52:AR57" si="43">SUM(H52:AQ52)</f>
        <v>0</v>
      </c>
      <c r="AS52" s="2506">
        <f>1-AR52</f>
        <v>1</v>
      </c>
      <c r="AU52" s="2507">
        <f>+COUNT(H52:AQ53)</f>
        <v>36</v>
      </c>
      <c r="AW52" s="274" t="str">
        <f>IF(F52="","X",F52)</f>
        <v>ND</v>
      </c>
      <c r="AX52" s="274" t="str">
        <f t="shared" ref="AX52:AX57" ca="1" si="44">IF($A$51=0,"","X")</f>
        <v/>
      </c>
    </row>
    <row r="53" spans="1:50" s="274" customFormat="1" ht="18" hidden="1" customHeight="1">
      <c r="A53" s="2499"/>
      <c r="B53" s="2502"/>
      <c r="C53" s="311" t="str">
        <f>CONCATENATE(Orcamento!K59," ",Orcamento!O59)</f>
        <v xml:space="preserve"> 362,02</v>
      </c>
      <c r="D53" s="2504">
        <f>Orcamento!T23</f>
        <v>0</v>
      </c>
      <c r="E53" s="2505"/>
      <c r="F53" s="316" t="s">
        <v>1193</v>
      </c>
      <c r="G53" s="316"/>
      <c r="H53" s="314">
        <f t="shared" ref="H53:AQ53" si="45">H52</f>
        <v>0</v>
      </c>
      <c r="I53" s="314">
        <f t="shared" si="45"/>
        <v>0</v>
      </c>
      <c r="J53" s="314">
        <f t="shared" si="45"/>
        <v>0</v>
      </c>
      <c r="K53" s="314">
        <f t="shared" si="45"/>
        <v>0</v>
      </c>
      <c r="L53" s="314">
        <f t="shared" si="45"/>
        <v>0</v>
      </c>
      <c r="M53" s="314">
        <f t="shared" si="45"/>
        <v>0</v>
      </c>
      <c r="N53" s="314">
        <f t="shared" si="45"/>
        <v>0</v>
      </c>
      <c r="O53" s="314">
        <f t="shared" si="45"/>
        <v>0</v>
      </c>
      <c r="P53" s="314">
        <f t="shared" si="45"/>
        <v>0</v>
      </c>
      <c r="Q53" s="314">
        <f t="shared" si="45"/>
        <v>0</v>
      </c>
      <c r="R53" s="314">
        <f t="shared" si="45"/>
        <v>0</v>
      </c>
      <c r="S53" s="314">
        <f t="shared" si="45"/>
        <v>0</v>
      </c>
      <c r="T53" s="314">
        <f t="shared" si="45"/>
        <v>0</v>
      </c>
      <c r="U53" s="314">
        <f t="shared" si="45"/>
        <v>0</v>
      </c>
      <c r="V53" s="314">
        <f t="shared" si="45"/>
        <v>0</v>
      </c>
      <c r="W53" s="314">
        <f t="shared" si="45"/>
        <v>0</v>
      </c>
      <c r="X53" s="314">
        <f t="shared" si="45"/>
        <v>0</v>
      </c>
      <c r="Y53" s="314">
        <f t="shared" si="45"/>
        <v>0</v>
      </c>
      <c r="Z53" s="314">
        <f t="shared" si="45"/>
        <v>0</v>
      </c>
      <c r="AA53" s="314">
        <f t="shared" si="45"/>
        <v>0</v>
      </c>
      <c r="AB53" s="314">
        <f t="shared" si="45"/>
        <v>0</v>
      </c>
      <c r="AC53" s="314">
        <f t="shared" si="45"/>
        <v>0</v>
      </c>
      <c r="AD53" s="314">
        <f t="shared" si="45"/>
        <v>0</v>
      </c>
      <c r="AE53" s="314">
        <f t="shared" si="45"/>
        <v>0</v>
      </c>
      <c r="AF53" s="314">
        <f t="shared" si="45"/>
        <v>0</v>
      </c>
      <c r="AG53" s="314">
        <f t="shared" si="45"/>
        <v>0</v>
      </c>
      <c r="AH53" s="314">
        <f t="shared" si="45"/>
        <v>0</v>
      </c>
      <c r="AI53" s="314">
        <f t="shared" si="45"/>
        <v>0</v>
      </c>
      <c r="AJ53" s="314">
        <f t="shared" si="45"/>
        <v>0</v>
      </c>
      <c r="AK53" s="314">
        <f t="shared" si="45"/>
        <v>0</v>
      </c>
      <c r="AL53" s="314">
        <f t="shared" si="45"/>
        <v>0</v>
      </c>
      <c r="AM53" s="314">
        <f t="shared" si="45"/>
        <v>0</v>
      </c>
      <c r="AN53" s="314">
        <f t="shared" si="45"/>
        <v>0</v>
      </c>
      <c r="AO53" s="314">
        <f t="shared" si="45"/>
        <v>0</v>
      </c>
      <c r="AP53" s="314">
        <f t="shared" si="45"/>
        <v>0</v>
      </c>
      <c r="AQ53" s="314">
        <f t="shared" si="45"/>
        <v>0</v>
      </c>
      <c r="AR53" s="315">
        <f t="shared" si="43"/>
        <v>0</v>
      </c>
      <c r="AS53" s="2506"/>
      <c r="AU53" s="2507"/>
      <c r="AW53" s="274" t="str">
        <f>IF(F53="","X",F53)</f>
        <v>DE</v>
      </c>
      <c r="AX53" s="274" t="str">
        <f t="shared" ca="1" si="44"/>
        <v/>
      </c>
    </row>
    <row r="54" spans="1:50" s="274" customFormat="1" ht="18" hidden="1" customHeight="1">
      <c r="A54" s="2499"/>
      <c r="B54" s="2502"/>
      <c r="C54" s="311"/>
      <c r="D54" s="317" t="s">
        <v>1194</v>
      </c>
      <c r="E54" s="2508">
        <f>$D$159</f>
        <v>1</v>
      </c>
      <c r="F54" s="318" t="s">
        <v>1192</v>
      </c>
      <c r="G54" s="318" t="str">
        <f>D54&amp;" | "&amp;F54</f>
        <v>CONCEDENTE | ND</v>
      </c>
      <c r="H54" s="319">
        <f t="shared" ref="H54:AQ54" si="46">IF($D52=0,0,IF(H52=0,0,($E54*$D52*H52)+$AU$163))</f>
        <v>0</v>
      </c>
      <c r="I54" s="319">
        <f t="shared" si="46"/>
        <v>0</v>
      </c>
      <c r="J54" s="319">
        <f t="shared" si="46"/>
        <v>0</v>
      </c>
      <c r="K54" s="319">
        <f t="shared" si="46"/>
        <v>0</v>
      </c>
      <c r="L54" s="319">
        <f t="shared" si="46"/>
        <v>0</v>
      </c>
      <c r="M54" s="319">
        <f t="shared" si="46"/>
        <v>0</v>
      </c>
      <c r="N54" s="319">
        <f t="shared" si="46"/>
        <v>0</v>
      </c>
      <c r="O54" s="319">
        <f t="shared" si="46"/>
        <v>0</v>
      </c>
      <c r="P54" s="319">
        <f t="shared" si="46"/>
        <v>0</v>
      </c>
      <c r="Q54" s="319">
        <f t="shared" si="46"/>
        <v>0</v>
      </c>
      <c r="R54" s="319">
        <f t="shared" si="46"/>
        <v>0</v>
      </c>
      <c r="S54" s="319">
        <f t="shared" si="46"/>
        <v>0</v>
      </c>
      <c r="T54" s="319">
        <f t="shared" si="46"/>
        <v>0</v>
      </c>
      <c r="U54" s="319">
        <f t="shared" si="46"/>
        <v>0</v>
      </c>
      <c r="V54" s="319">
        <f t="shared" si="46"/>
        <v>0</v>
      </c>
      <c r="W54" s="319">
        <f t="shared" si="46"/>
        <v>0</v>
      </c>
      <c r="X54" s="319">
        <f t="shared" si="46"/>
        <v>0</v>
      </c>
      <c r="Y54" s="319">
        <f t="shared" si="46"/>
        <v>0</v>
      </c>
      <c r="Z54" s="319">
        <f t="shared" si="46"/>
        <v>0</v>
      </c>
      <c r="AA54" s="319">
        <f t="shared" si="46"/>
        <v>0</v>
      </c>
      <c r="AB54" s="319">
        <f t="shared" si="46"/>
        <v>0</v>
      </c>
      <c r="AC54" s="319">
        <f t="shared" si="46"/>
        <v>0</v>
      </c>
      <c r="AD54" s="319">
        <f t="shared" si="46"/>
        <v>0</v>
      </c>
      <c r="AE54" s="319">
        <f t="shared" si="46"/>
        <v>0</v>
      </c>
      <c r="AF54" s="319">
        <f t="shared" si="46"/>
        <v>0</v>
      </c>
      <c r="AG54" s="319">
        <f t="shared" si="46"/>
        <v>0</v>
      </c>
      <c r="AH54" s="319">
        <f t="shared" si="46"/>
        <v>0</v>
      </c>
      <c r="AI54" s="319">
        <f t="shared" si="46"/>
        <v>0</v>
      </c>
      <c r="AJ54" s="319">
        <f t="shared" si="46"/>
        <v>0</v>
      </c>
      <c r="AK54" s="319">
        <f t="shared" si="46"/>
        <v>0</v>
      </c>
      <c r="AL54" s="319">
        <f t="shared" si="46"/>
        <v>0</v>
      </c>
      <c r="AM54" s="319">
        <f t="shared" si="46"/>
        <v>0</v>
      </c>
      <c r="AN54" s="319">
        <f t="shared" si="46"/>
        <v>0</v>
      </c>
      <c r="AO54" s="319">
        <f t="shared" si="46"/>
        <v>0</v>
      </c>
      <c r="AP54" s="319">
        <f t="shared" si="46"/>
        <v>0</v>
      </c>
      <c r="AQ54" s="319">
        <f t="shared" si="46"/>
        <v>0</v>
      </c>
      <c r="AR54" s="320">
        <f t="shared" si="43"/>
        <v>0</v>
      </c>
      <c r="AS54" s="321">
        <f>TRUNC(AR54-D52*E54,2)</f>
        <v>0</v>
      </c>
      <c r="AT54" s="322" t="e">
        <f>+AR54/D52</f>
        <v>#DIV/0!</v>
      </c>
      <c r="AW54" s="274" t="str">
        <f>IF(F54="","X",IF(AND(E54&gt;0),F54,"-"))</f>
        <v>ND</v>
      </c>
      <c r="AX54" s="274" t="str">
        <f t="shared" ca="1" si="44"/>
        <v/>
      </c>
    </row>
    <row r="55" spans="1:50" s="274" customFormat="1" ht="18" hidden="1" customHeight="1">
      <c r="A55" s="2499"/>
      <c r="B55" s="2502"/>
      <c r="C55" s="311"/>
      <c r="D55" s="317" t="s">
        <v>1194</v>
      </c>
      <c r="E55" s="2509"/>
      <c r="F55" s="323" t="s">
        <v>1193</v>
      </c>
      <c r="G55" s="323" t="str">
        <f>D55&amp;" | "&amp;F55</f>
        <v>CONCEDENTE | DE</v>
      </c>
      <c r="H55" s="319">
        <f t="shared" ref="H55:AQ55" si="47">IF($D53=0,0,IF(H53=0,0,($E54*$D53*H53)+$AU$163))</f>
        <v>0</v>
      </c>
      <c r="I55" s="319">
        <f t="shared" si="47"/>
        <v>0</v>
      </c>
      <c r="J55" s="319">
        <f t="shared" si="47"/>
        <v>0</v>
      </c>
      <c r="K55" s="319">
        <f t="shared" si="47"/>
        <v>0</v>
      </c>
      <c r="L55" s="319">
        <f t="shared" si="47"/>
        <v>0</v>
      </c>
      <c r="M55" s="319">
        <f t="shared" si="47"/>
        <v>0</v>
      </c>
      <c r="N55" s="319">
        <f t="shared" si="47"/>
        <v>0</v>
      </c>
      <c r="O55" s="319">
        <f t="shared" si="47"/>
        <v>0</v>
      </c>
      <c r="P55" s="319">
        <f t="shared" si="47"/>
        <v>0</v>
      </c>
      <c r="Q55" s="319">
        <f t="shared" si="47"/>
        <v>0</v>
      </c>
      <c r="R55" s="319">
        <f t="shared" si="47"/>
        <v>0</v>
      </c>
      <c r="S55" s="319">
        <f t="shared" si="47"/>
        <v>0</v>
      </c>
      <c r="T55" s="319">
        <f t="shared" si="47"/>
        <v>0</v>
      </c>
      <c r="U55" s="319">
        <f t="shared" si="47"/>
        <v>0</v>
      </c>
      <c r="V55" s="319">
        <f t="shared" si="47"/>
        <v>0</v>
      </c>
      <c r="W55" s="319">
        <f t="shared" si="47"/>
        <v>0</v>
      </c>
      <c r="X55" s="319">
        <f t="shared" si="47"/>
        <v>0</v>
      </c>
      <c r="Y55" s="319">
        <f t="shared" si="47"/>
        <v>0</v>
      </c>
      <c r="Z55" s="319">
        <f t="shared" si="47"/>
        <v>0</v>
      </c>
      <c r="AA55" s="319">
        <f t="shared" si="47"/>
        <v>0</v>
      </c>
      <c r="AB55" s="319">
        <f t="shared" si="47"/>
        <v>0</v>
      </c>
      <c r="AC55" s="319">
        <f t="shared" si="47"/>
        <v>0</v>
      </c>
      <c r="AD55" s="319">
        <f t="shared" si="47"/>
        <v>0</v>
      </c>
      <c r="AE55" s="319">
        <f t="shared" si="47"/>
        <v>0</v>
      </c>
      <c r="AF55" s="319">
        <f t="shared" si="47"/>
        <v>0</v>
      </c>
      <c r="AG55" s="319">
        <f t="shared" si="47"/>
        <v>0</v>
      </c>
      <c r="AH55" s="319">
        <f t="shared" si="47"/>
        <v>0</v>
      </c>
      <c r="AI55" s="319">
        <f t="shared" si="47"/>
        <v>0</v>
      </c>
      <c r="AJ55" s="319">
        <f t="shared" si="47"/>
        <v>0</v>
      </c>
      <c r="AK55" s="319">
        <f t="shared" si="47"/>
        <v>0</v>
      </c>
      <c r="AL55" s="319">
        <f t="shared" si="47"/>
        <v>0</v>
      </c>
      <c r="AM55" s="319">
        <f t="shared" si="47"/>
        <v>0</v>
      </c>
      <c r="AN55" s="319">
        <f t="shared" si="47"/>
        <v>0</v>
      </c>
      <c r="AO55" s="319">
        <f t="shared" si="47"/>
        <v>0</v>
      </c>
      <c r="AP55" s="319">
        <f t="shared" si="47"/>
        <v>0</v>
      </c>
      <c r="AQ55" s="319">
        <f t="shared" si="47"/>
        <v>0</v>
      </c>
      <c r="AR55" s="320">
        <f t="shared" si="43"/>
        <v>0</v>
      </c>
      <c r="AS55" s="321">
        <f>TRUNC(AR55-D53*E54,2)</f>
        <v>0</v>
      </c>
      <c r="AT55" s="322" t="e">
        <f>+AR55/D53</f>
        <v>#DIV/0!</v>
      </c>
      <c r="AW55" s="274" t="str">
        <f>IF(F55="","X",IF(AND(E54&gt;0),F55,"-"))</f>
        <v>DE</v>
      </c>
      <c r="AX55" s="274" t="str">
        <f t="shared" ca="1" si="44"/>
        <v/>
      </c>
    </row>
    <row r="56" spans="1:50" s="274" customFormat="1" ht="18" hidden="1" customHeight="1" thickBot="1">
      <c r="A56" s="2499"/>
      <c r="B56" s="2502"/>
      <c r="C56" s="324"/>
      <c r="D56" s="325" t="s">
        <v>1195</v>
      </c>
      <c r="E56" s="2510">
        <f>1-E54</f>
        <v>0</v>
      </c>
      <c r="F56" s="326" t="s">
        <v>1192</v>
      </c>
      <c r="G56" s="326" t="str">
        <f>D56&amp;" | "&amp;F56</f>
        <v>PROPONENTE | ND</v>
      </c>
      <c r="H56" s="327">
        <f>($D52*H52-H54)</f>
        <v>0</v>
      </c>
      <c r="I56" s="327">
        <f t="shared" ref="I56:AQ57" si="48">($D52*I52-I54)</f>
        <v>0</v>
      </c>
      <c r="J56" s="327">
        <f t="shared" si="48"/>
        <v>0</v>
      </c>
      <c r="K56" s="327">
        <f t="shared" si="48"/>
        <v>0</v>
      </c>
      <c r="L56" s="327">
        <f t="shared" si="48"/>
        <v>0</v>
      </c>
      <c r="M56" s="327">
        <f t="shared" si="48"/>
        <v>0</v>
      </c>
      <c r="N56" s="327">
        <f t="shared" si="48"/>
        <v>0</v>
      </c>
      <c r="O56" s="327">
        <f t="shared" si="48"/>
        <v>0</v>
      </c>
      <c r="P56" s="327">
        <f t="shared" si="48"/>
        <v>0</v>
      </c>
      <c r="Q56" s="327">
        <f t="shared" si="48"/>
        <v>0</v>
      </c>
      <c r="R56" s="327">
        <f t="shared" si="48"/>
        <v>0</v>
      </c>
      <c r="S56" s="327">
        <f t="shared" si="48"/>
        <v>0</v>
      </c>
      <c r="T56" s="327">
        <f t="shared" si="48"/>
        <v>0</v>
      </c>
      <c r="U56" s="327">
        <f t="shared" si="48"/>
        <v>0</v>
      </c>
      <c r="V56" s="327">
        <f t="shared" si="48"/>
        <v>0</v>
      </c>
      <c r="W56" s="327">
        <f t="shared" si="48"/>
        <v>0</v>
      </c>
      <c r="X56" s="327">
        <f t="shared" si="48"/>
        <v>0</v>
      </c>
      <c r="Y56" s="327">
        <f t="shared" si="48"/>
        <v>0</v>
      </c>
      <c r="Z56" s="327">
        <f t="shared" si="48"/>
        <v>0</v>
      </c>
      <c r="AA56" s="327">
        <f t="shared" si="48"/>
        <v>0</v>
      </c>
      <c r="AB56" s="327">
        <f t="shared" si="48"/>
        <v>0</v>
      </c>
      <c r="AC56" s="327">
        <f t="shared" si="48"/>
        <v>0</v>
      </c>
      <c r="AD56" s="327">
        <f t="shared" si="48"/>
        <v>0</v>
      </c>
      <c r="AE56" s="327">
        <f t="shared" si="48"/>
        <v>0</v>
      </c>
      <c r="AF56" s="327">
        <f t="shared" si="48"/>
        <v>0</v>
      </c>
      <c r="AG56" s="327">
        <f t="shared" si="48"/>
        <v>0</v>
      </c>
      <c r="AH56" s="327">
        <f t="shared" si="48"/>
        <v>0</v>
      </c>
      <c r="AI56" s="327">
        <f t="shared" si="48"/>
        <v>0</v>
      </c>
      <c r="AJ56" s="327">
        <f t="shared" si="48"/>
        <v>0</v>
      </c>
      <c r="AK56" s="327">
        <f t="shared" si="48"/>
        <v>0</v>
      </c>
      <c r="AL56" s="327">
        <f t="shared" si="48"/>
        <v>0</v>
      </c>
      <c r="AM56" s="327">
        <f t="shared" si="48"/>
        <v>0</v>
      </c>
      <c r="AN56" s="327">
        <f t="shared" si="48"/>
        <v>0</v>
      </c>
      <c r="AO56" s="327">
        <f t="shared" si="48"/>
        <v>0</v>
      </c>
      <c r="AP56" s="327">
        <f t="shared" si="48"/>
        <v>0</v>
      </c>
      <c r="AQ56" s="327">
        <f t="shared" si="48"/>
        <v>0</v>
      </c>
      <c r="AR56" s="328">
        <f t="shared" si="43"/>
        <v>0</v>
      </c>
      <c r="AS56" s="321">
        <f>+D52-AR54-AR56</f>
        <v>0</v>
      </c>
      <c r="AW56" s="274" t="str">
        <f>IF(F56="","X",IF(AND(E56&gt;0),F56,"-"))</f>
        <v>-</v>
      </c>
      <c r="AX56" s="274" t="str">
        <f t="shared" ca="1" si="44"/>
        <v/>
      </c>
    </row>
    <row r="57" spans="1:50" s="274" customFormat="1" ht="18" hidden="1" customHeight="1" thickBot="1">
      <c r="A57" s="2500"/>
      <c r="B57" s="2503"/>
      <c r="C57" s="324"/>
      <c r="D57" s="325" t="s">
        <v>1195</v>
      </c>
      <c r="E57" s="2511"/>
      <c r="F57" s="329" t="s">
        <v>1193</v>
      </c>
      <c r="G57" s="329" t="str">
        <f>D57&amp;" | "&amp;F57</f>
        <v>PROPONENTE | DE</v>
      </c>
      <c r="H57" s="327">
        <f>($D53*H53-H55)</f>
        <v>0</v>
      </c>
      <c r="I57" s="327">
        <f t="shared" si="48"/>
        <v>0</v>
      </c>
      <c r="J57" s="327">
        <f t="shared" si="48"/>
        <v>0</v>
      </c>
      <c r="K57" s="327">
        <f t="shared" si="48"/>
        <v>0</v>
      </c>
      <c r="L57" s="327">
        <f t="shared" si="48"/>
        <v>0</v>
      </c>
      <c r="M57" s="327">
        <f t="shared" si="48"/>
        <v>0</v>
      </c>
      <c r="N57" s="327">
        <f t="shared" si="48"/>
        <v>0</v>
      </c>
      <c r="O57" s="327">
        <f t="shared" si="48"/>
        <v>0</v>
      </c>
      <c r="P57" s="327">
        <f t="shared" si="48"/>
        <v>0</v>
      </c>
      <c r="Q57" s="327">
        <f t="shared" si="48"/>
        <v>0</v>
      </c>
      <c r="R57" s="327">
        <f t="shared" si="48"/>
        <v>0</v>
      </c>
      <c r="S57" s="327">
        <f t="shared" si="48"/>
        <v>0</v>
      </c>
      <c r="T57" s="327">
        <f t="shared" si="48"/>
        <v>0</v>
      </c>
      <c r="U57" s="327">
        <f t="shared" si="48"/>
        <v>0</v>
      </c>
      <c r="V57" s="327">
        <f t="shared" si="48"/>
        <v>0</v>
      </c>
      <c r="W57" s="327">
        <f t="shared" si="48"/>
        <v>0</v>
      </c>
      <c r="X57" s="327">
        <f t="shared" si="48"/>
        <v>0</v>
      </c>
      <c r="Y57" s="327">
        <f t="shared" si="48"/>
        <v>0</v>
      </c>
      <c r="Z57" s="327">
        <f t="shared" si="48"/>
        <v>0</v>
      </c>
      <c r="AA57" s="327">
        <f t="shared" si="48"/>
        <v>0</v>
      </c>
      <c r="AB57" s="327">
        <f t="shared" si="48"/>
        <v>0</v>
      </c>
      <c r="AC57" s="327">
        <f t="shared" si="48"/>
        <v>0</v>
      </c>
      <c r="AD57" s="327">
        <f t="shared" si="48"/>
        <v>0</v>
      </c>
      <c r="AE57" s="327">
        <f t="shared" si="48"/>
        <v>0</v>
      </c>
      <c r="AF57" s="327">
        <f t="shared" si="48"/>
        <v>0</v>
      </c>
      <c r="AG57" s="327">
        <f t="shared" si="48"/>
        <v>0</v>
      </c>
      <c r="AH57" s="327">
        <f t="shared" si="48"/>
        <v>0</v>
      </c>
      <c r="AI57" s="327">
        <f t="shared" si="48"/>
        <v>0</v>
      </c>
      <c r="AJ57" s="327">
        <f t="shared" si="48"/>
        <v>0</v>
      </c>
      <c r="AK57" s="327">
        <f t="shared" si="48"/>
        <v>0</v>
      </c>
      <c r="AL57" s="327">
        <f t="shared" si="48"/>
        <v>0</v>
      </c>
      <c r="AM57" s="327">
        <f t="shared" si="48"/>
        <v>0</v>
      </c>
      <c r="AN57" s="327">
        <f t="shared" si="48"/>
        <v>0</v>
      </c>
      <c r="AO57" s="327">
        <f t="shared" si="48"/>
        <v>0</v>
      </c>
      <c r="AP57" s="327">
        <f t="shared" si="48"/>
        <v>0</v>
      </c>
      <c r="AQ57" s="327">
        <f t="shared" si="48"/>
        <v>0</v>
      </c>
      <c r="AR57" s="328">
        <f t="shared" si="43"/>
        <v>0</v>
      </c>
      <c r="AS57" s="321">
        <f>+D53-AR55-AR57</f>
        <v>0</v>
      </c>
      <c r="AW57" s="274" t="str">
        <f>IF(F57="","X",IF(AND(E56&gt;0),F57,"-"))</f>
        <v>-</v>
      </c>
      <c r="AX57" s="274" t="str">
        <f t="shared" ca="1" si="44"/>
        <v/>
      </c>
    </row>
    <row r="58" spans="1:50" s="274" customFormat="1" ht="9.9499999999999993" hidden="1" customHeight="1">
      <c r="A58" s="2498">
        <f ca="1">Orcamento!B24</f>
        <v>0</v>
      </c>
      <c r="B58" s="2501" t="str">
        <f>Orcamento!D24</f>
        <v>DRENAGEM DE LENÇOL FREÁTICO</v>
      </c>
      <c r="C58" s="305"/>
      <c r="D58" s="306"/>
      <c r="E58" s="307"/>
      <c r="F58" s="307"/>
      <c r="G58" s="307"/>
      <c r="H58" s="308">
        <f t="shared" ref="H58:AQ58" si="49">H59</f>
        <v>0</v>
      </c>
      <c r="I58" s="308">
        <f t="shared" si="49"/>
        <v>0</v>
      </c>
      <c r="J58" s="308">
        <f t="shared" si="49"/>
        <v>0.5</v>
      </c>
      <c r="K58" s="308">
        <f t="shared" si="49"/>
        <v>0.5</v>
      </c>
      <c r="L58" s="308">
        <f t="shared" si="49"/>
        <v>0</v>
      </c>
      <c r="M58" s="308">
        <f t="shared" si="49"/>
        <v>0</v>
      </c>
      <c r="N58" s="308">
        <f t="shared" si="49"/>
        <v>0</v>
      </c>
      <c r="O58" s="308">
        <f t="shared" si="49"/>
        <v>0</v>
      </c>
      <c r="P58" s="308">
        <f t="shared" si="49"/>
        <v>0</v>
      </c>
      <c r="Q58" s="308">
        <f t="shared" si="49"/>
        <v>0</v>
      </c>
      <c r="R58" s="308">
        <f t="shared" si="49"/>
        <v>0</v>
      </c>
      <c r="S58" s="308">
        <f t="shared" si="49"/>
        <v>0</v>
      </c>
      <c r="T58" s="308">
        <f t="shared" si="49"/>
        <v>0</v>
      </c>
      <c r="U58" s="308">
        <f t="shared" si="49"/>
        <v>0</v>
      </c>
      <c r="V58" s="308">
        <f t="shared" si="49"/>
        <v>0</v>
      </c>
      <c r="W58" s="308">
        <f t="shared" si="49"/>
        <v>0</v>
      </c>
      <c r="X58" s="308">
        <f t="shared" si="49"/>
        <v>0</v>
      </c>
      <c r="Y58" s="308">
        <f t="shared" si="49"/>
        <v>0</v>
      </c>
      <c r="Z58" s="308">
        <f t="shared" si="49"/>
        <v>0</v>
      </c>
      <c r="AA58" s="308">
        <f t="shared" si="49"/>
        <v>0</v>
      </c>
      <c r="AB58" s="308">
        <f t="shared" si="49"/>
        <v>0</v>
      </c>
      <c r="AC58" s="308">
        <f t="shared" si="49"/>
        <v>0</v>
      </c>
      <c r="AD58" s="308">
        <f t="shared" si="49"/>
        <v>0</v>
      </c>
      <c r="AE58" s="308">
        <f t="shared" si="49"/>
        <v>0</v>
      </c>
      <c r="AF58" s="308">
        <f t="shared" si="49"/>
        <v>0</v>
      </c>
      <c r="AG58" s="308">
        <f t="shared" si="49"/>
        <v>0</v>
      </c>
      <c r="AH58" s="308">
        <f t="shared" si="49"/>
        <v>0</v>
      </c>
      <c r="AI58" s="308">
        <f t="shared" si="49"/>
        <v>0</v>
      </c>
      <c r="AJ58" s="308">
        <f t="shared" si="49"/>
        <v>0</v>
      </c>
      <c r="AK58" s="308">
        <f t="shared" si="49"/>
        <v>0</v>
      </c>
      <c r="AL58" s="308">
        <f t="shared" si="49"/>
        <v>0</v>
      </c>
      <c r="AM58" s="308">
        <f t="shared" si="49"/>
        <v>0</v>
      </c>
      <c r="AN58" s="308">
        <f t="shared" si="49"/>
        <v>0</v>
      </c>
      <c r="AO58" s="308">
        <f t="shared" si="49"/>
        <v>0</v>
      </c>
      <c r="AP58" s="308">
        <f t="shared" si="49"/>
        <v>0</v>
      </c>
      <c r="AQ58" s="308">
        <f t="shared" si="49"/>
        <v>0</v>
      </c>
      <c r="AR58" s="309"/>
      <c r="AS58" s="310">
        <f>+D60-AR62-AR64</f>
        <v>0</v>
      </c>
      <c r="AW58" s="274" t="str">
        <f>IF(F58="","X",F58)</f>
        <v>X</v>
      </c>
      <c r="AX58" s="274" t="str">
        <f ca="1">IF($A$58=0,"","X")</f>
        <v/>
      </c>
    </row>
    <row r="59" spans="1:50" s="274" customFormat="1" ht="18" hidden="1" customHeight="1">
      <c r="A59" s="2499"/>
      <c r="B59" s="2502"/>
      <c r="C59" s="311" t="str">
        <f>CONCATENATE(Orcamento!K64," ",Orcamento!O64)</f>
        <v>0 8,03</v>
      </c>
      <c r="D59" s="2504">
        <f>Orcamento!S24</f>
        <v>0</v>
      </c>
      <c r="E59" s="2505"/>
      <c r="F59" s="312" t="s">
        <v>1192</v>
      </c>
      <c r="G59" s="312"/>
      <c r="H59" s="314"/>
      <c r="I59" s="314"/>
      <c r="J59" s="314">
        <v>0.5</v>
      </c>
      <c r="K59" s="314">
        <v>0.5</v>
      </c>
      <c r="L59" s="314"/>
      <c r="M59" s="314"/>
      <c r="N59" s="314"/>
      <c r="O59" s="314"/>
      <c r="P59" s="314"/>
      <c r="Q59" s="314"/>
      <c r="R59" s="314"/>
      <c r="S59" s="314"/>
      <c r="T59" s="314"/>
      <c r="U59" s="314"/>
      <c r="V59" s="314"/>
      <c r="W59" s="314"/>
      <c r="X59" s="314"/>
      <c r="Y59" s="314"/>
      <c r="Z59" s="314"/>
      <c r="AA59" s="314"/>
      <c r="AB59" s="314"/>
      <c r="AC59" s="314"/>
      <c r="AD59" s="314"/>
      <c r="AE59" s="314"/>
      <c r="AF59" s="314"/>
      <c r="AG59" s="314"/>
      <c r="AH59" s="314"/>
      <c r="AI59" s="314"/>
      <c r="AJ59" s="314"/>
      <c r="AK59" s="314"/>
      <c r="AL59" s="314"/>
      <c r="AM59" s="314"/>
      <c r="AN59" s="314"/>
      <c r="AO59" s="314"/>
      <c r="AP59" s="314"/>
      <c r="AQ59" s="314"/>
      <c r="AR59" s="315">
        <f t="shared" ref="AR59:AR64" si="50">SUM(H59:AQ59)</f>
        <v>1</v>
      </c>
      <c r="AS59" s="2506">
        <f>1-AR59</f>
        <v>0</v>
      </c>
      <c r="AU59" s="2507">
        <f>+COUNT(H59:AQ60)</f>
        <v>38</v>
      </c>
      <c r="AW59" s="274" t="str">
        <f>IF(F59="","X",F59)</f>
        <v>ND</v>
      </c>
      <c r="AX59" s="274" t="str">
        <f t="shared" ref="AX59:AX64" ca="1" si="51">IF($A$58=0,"","X")</f>
        <v/>
      </c>
    </row>
    <row r="60" spans="1:50" s="274" customFormat="1" ht="18" hidden="1" customHeight="1">
      <c r="A60" s="2499"/>
      <c r="B60" s="2502"/>
      <c r="C60" s="311" t="str">
        <f>CONCATENATE(Orcamento!K65," ",Orcamento!O65)</f>
        <v>0 53,88</v>
      </c>
      <c r="D60" s="2504">
        <f>Orcamento!T24</f>
        <v>0</v>
      </c>
      <c r="E60" s="2505"/>
      <c r="F60" s="316" t="s">
        <v>1193</v>
      </c>
      <c r="G60" s="316"/>
      <c r="H60" s="314">
        <f t="shared" ref="H60:AQ60" si="52">H59</f>
        <v>0</v>
      </c>
      <c r="I60" s="314">
        <f t="shared" si="52"/>
        <v>0</v>
      </c>
      <c r="J60" s="314">
        <f t="shared" si="52"/>
        <v>0.5</v>
      </c>
      <c r="K60" s="314">
        <f t="shared" si="52"/>
        <v>0.5</v>
      </c>
      <c r="L60" s="314">
        <f t="shared" si="52"/>
        <v>0</v>
      </c>
      <c r="M60" s="314">
        <f t="shared" si="52"/>
        <v>0</v>
      </c>
      <c r="N60" s="314">
        <f t="shared" si="52"/>
        <v>0</v>
      </c>
      <c r="O60" s="314">
        <f t="shared" si="52"/>
        <v>0</v>
      </c>
      <c r="P60" s="314">
        <f t="shared" si="52"/>
        <v>0</v>
      </c>
      <c r="Q60" s="314">
        <f t="shared" si="52"/>
        <v>0</v>
      </c>
      <c r="R60" s="314">
        <f t="shared" si="52"/>
        <v>0</v>
      </c>
      <c r="S60" s="314">
        <f t="shared" si="52"/>
        <v>0</v>
      </c>
      <c r="T60" s="314">
        <f t="shared" si="52"/>
        <v>0</v>
      </c>
      <c r="U60" s="314">
        <f t="shared" si="52"/>
        <v>0</v>
      </c>
      <c r="V60" s="314">
        <f t="shared" si="52"/>
        <v>0</v>
      </c>
      <c r="W60" s="314">
        <f t="shared" si="52"/>
        <v>0</v>
      </c>
      <c r="X60" s="314">
        <f t="shared" si="52"/>
        <v>0</v>
      </c>
      <c r="Y60" s="314">
        <f t="shared" si="52"/>
        <v>0</v>
      </c>
      <c r="Z60" s="314">
        <f t="shared" si="52"/>
        <v>0</v>
      </c>
      <c r="AA60" s="314">
        <f t="shared" si="52"/>
        <v>0</v>
      </c>
      <c r="AB60" s="314">
        <f t="shared" si="52"/>
        <v>0</v>
      </c>
      <c r="AC60" s="314">
        <f t="shared" si="52"/>
        <v>0</v>
      </c>
      <c r="AD60" s="314">
        <f t="shared" si="52"/>
        <v>0</v>
      </c>
      <c r="AE60" s="314">
        <f t="shared" si="52"/>
        <v>0</v>
      </c>
      <c r="AF60" s="314">
        <f t="shared" si="52"/>
        <v>0</v>
      </c>
      <c r="AG60" s="314">
        <f t="shared" si="52"/>
        <v>0</v>
      </c>
      <c r="AH60" s="314">
        <f t="shared" si="52"/>
        <v>0</v>
      </c>
      <c r="AI60" s="314">
        <f t="shared" si="52"/>
        <v>0</v>
      </c>
      <c r="AJ60" s="314">
        <f t="shared" si="52"/>
        <v>0</v>
      </c>
      <c r="AK60" s="314">
        <f t="shared" si="52"/>
        <v>0</v>
      </c>
      <c r="AL60" s="314">
        <f t="shared" si="52"/>
        <v>0</v>
      </c>
      <c r="AM60" s="314">
        <f t="shared" si="52"/>
        <v>0</v>
      </c>
      <c r="AN60" s="314">
        <f t="shared" si="52"/>
        <v>0</v>
      </c>
      <c r="AO60" s="314">
        <f t="shared" si="52"/>
        <v>0</v>
      </c>
      <c r="AP60" s="314">
        <f t="shared" si="52"/>
        <v>0</v>
      </c>
      <c r="AQ60" s="314">
        <f t="shared" si="52"/>
        <v>0</v>
      </c>
      <c r="AR60" s="315">
        <f t="shared" si="50"/>
        <v>1</v>
      </c>
      <c r="AS60" s="2506"/>
      <c r="AU60" s="2507"/>
      <c r="AW60" s="274" t="str">
        <f>IF(F60="","X",F60)</f>
        <v>DE</v>
      </c>
      <c r="AX60" s="274" t="str">
        <f t="shared" ca="1" si="51"/>
        <v/>
      </c>
    </row>
    <row r="61" spans="1:50" s="274" customFormat="1" ht="18" hidden="1" customHeight="1">
      <c r="A61" s="2499"/>
      <c r="B61" s="2502"/>
      <c r="C61" s="311"/>
      <c r="D61" s="317" t="s">
        <v>1194</v>
      </c>
      <c r="E61" s="2508">
        <f>$D$159</f>
        <v>1</v>
      </c>
      <c r="F61" s="318" t="s">
        <v>1192</v>
      </c>
      <c r="G61" s="318" t="str">
        <f>D61&amp;" | "&amp;F61</f>
        <v>CONCEDENTE | ND</v>
      </c>
      <c r="H61" s="319">
        <f t="shared" ref="H61:AQ61" si="53">IF($D59=0,0,IF(H59=0,0,($E61*$D59*H59)+$AU$163))</f>
        <v>0</v>
      </c>
      <c r="I61" s="319">
        <f t="shared" si="53"/>
        <v>0</v>
      </c>
      <c r="J61" s="319">
        <f t="shared" si="53"/>
        <v>0</v>
      </c>
      <c r="K61" s="319">
        <f t="shared" si="53"/>
        <v>0</v>
      </c>
      <c r="L61" s="319">
        <f t="shared" si="53"/>
        <v>0</v>
      </c>
      <c r="M61" s="319">
        <f t="shared" si="53"/>
        <v>0</v>
      </c>
      <c r="N61" s="319">
        <f t="shared" si="53"/>
        <v>0</v>
      </c>
      <c r="O61" s="319">
        <f t="shared" si="53"/>
        <v>0</v>
      </c>
      <c r="P61" s="319">
        <f t="shared" si="53"/>
        <v>0</v>
      </c>
      <c r="Q61" s="319">
        <f t="shared" si="53"/>
        <v>0</v>
      </c>
      <c r="R61" s="319">
        <f t="shared" si="53"/>
        <v>0</v>
      </c>
      <c r="S61" s="319">
        <f t="shared" si="53"/>
        <v>0</v>
      </c>
      <c r="T61" s="319">
        <f t="shared" si="53"/>
        <v>0</v>
      </c>
      <c r="U61" s="319">
        <f t="shared" si="53"/>
        <v>0</v>
      </c>
      <c r="V61" s="319">
        <f t="shared" si="53"/>
        <v>0</v>
      </c>
      <c r="W61" s="319">
        <f t="shared" si="53"/>
        <v>0</v>
      </c>
      <c r="X61" s="319">
        <f t="shared" si="53"/>
        <v>0</v>
      </c>
      <c r="Y61" s="319">
        <f t="shared" si="53"/>
        <v>0</v>
      </c>
      <c r="Z61" s="319">
        <f t="shared" si="53"/>
        <v>0</v>
      </c>
      <c r="AA61" s="319">
        <f t="shared" si="53"/>
        <v>0</v>
      </c>
      <c r="AB61" s="319">
        <f t="shared" si="53"/>
        <v>0</v>
      </c>
      <c r="AC61" s="319">
        <f t="shared" si="53"/>
        <v>0</v>
      </c>
      <c r="AD61" s="319">
        <f t="shared" si="53"/>
        <v>0</v>
      </c>
      <c r="AE61" s="319">
        <f t="shared" si="53"/>
        <v>0</v>
      </c>
      <c r="AF61" s="319">
        <f t="shared" si="53"/>
        <v>0</v>
      </c>
      <c r="AG61" s="319">
        <f t="shared" si="53"/>
        <v>0</v>
      </c>
      <c r="AH61" s="319">
        <f t="shared" si="53"/>
        <v>0</v>
      </c>
      <c r="AI61" s="319">
        <f t="shared" si="53"/>
        <v>0</v>
      </c>
      <c r="AJ61" s="319">
        <f t="shared" si="53"/>
        <v>0</v>
      </c>
      <c r="AK61" s="319">
        <f t="shared" si="53"/>
        <v>0</v>
      </c>
      <c r="AL61" s="319">
        <f t="shared" si="53"/>
        <v>0</v>
      </c>
      <c r="AM61" s="319">
        <f t="shared" si="53"/>
        <v>0</v>
      </c>
      <c r="AN61" s="319">
        <f t="shared" si="53"/>
        <v>0</v>
      </c>
      <c r="AO61" s="319">
        <f t="shared" si="53"/>
        <v>0</v>
      </c>
      <c r="AP61" s="319">
        <f t="shared" si="53"/>
        <v>0</v>
      </c>
      <c r="AQ61" s="319">
        <f t="shared" si="53"/>
        <v>0</v>
      </c>
      <c r="AR61" s="320">
        <f t="shared" si="50"/>
        <v>0</v>
      </c>
      <c r="AS61" s="321">
        <f>TRUNC(AR61-D59*E61,2)</f>
        <v>0</v>
      </c>
      <c r="AT61" s="322" t="e">
        <f>+AR61/D59</f>
        <v>#DIV/0!</v>
      </c>
      <c r="AW61" s="274" t="str">
        <f>IF(F61="","X",IF(AND(E61&gt;0),F61,"-"))</f>
        <v>ND</v>
      </c>
      <c r="AX61" s="274" t="str">
        <f t="shared" ca="1" si="51"/>
        <v/>
      </c>
    </row>
    <row r="62" spans="1:50" s="274" customFormat="1" ht="18" hidden="1" customHeight="1">
      <c r="A62" s="2499"/>
      <c r="B62" s="2502"/>
      <c r="C62" s="311"/>
      <c r="D62" s="317" t="s">
        <v>1194</v>
      </c>
      <c r="E62" s="2509"/>
      <c r="F62" s="323" t="s">
        <v>1193</v>
      </c>
      <c r="G62" s="323" t="str">
        <f>D62&amp;" | "&amp;F62</f>
        <v>CONCEDENTE | DE</v>
      </c>
      <c r="H62" s="319">
        <f t="shared" ref="H62:AQ62" si="54">IF($D60=0,0,IF(H60=0,0,($E61*$D60*H60)+$AU$163))</f>
        <v>0</v>
      </c>
      <c r="I62" s="319">
        <f t="shared" si="54"/>
        <v>0</v>
      </c>
      <c r="J62" s="319">
        <f t="shared" si="54"/>
        <v>0</v>
      </c>
      <c r="K62" s="319">
        <f t="shared" si="54"/>
        <v>0</v>
      </c>
      <c r="L62" s="319">
        <f t="shared" si="54"/>
        <v>0</v>
      </c>
      <c r="M62" s="319">
        <f t="shared" si="54"/>
        <v>0</v>
      </c>
      <c r="N62" s="319">
        <f t="shared" si="54"/>
        <v>0</v>
      </c>
      <c r="O62" s="319">
        <f t="shared" si="54"/>
        <v>0</v>
      </c>
      <c r="P62" s="319">
        <f t="shared" si="54"/>
        <v>0</v>
      </c>
      <c r="Q62" s="319">
        <f t="shared" si="54"/>
        <v>0</v>
      </c>
      <c r="R62" s="319">
        <f t="shared" si="54"/>
        <v>0</v>
      </c>
      <c r="S62" s="319">
        <f t="shared" si="54"/>
        <v>0</v>
      </c>
      <c r="T62" s="319">
        <f t="shared" si="54"/>
        <v>0</v>
      </c>
      <c r="U62" s="319">
        <f t="shared" si="54"/>
        <v>0</v>
      </c>
      <c r="V62" s="319">
        <f t="shared" si="54"/>
        <v>0</v>
      </c>
      <c r="W62" s="319">
        <f t="shared" si="54"/>
        <v>0</v>
      </c>
      <c r="X62" s="319">
        <f t="shared" si="54"/>
        <v>0</v>
      </c>
      <c r="Y62" s="319">
        <f t="shared" si="54"/>
        <v>0</v>
      </c>
      <c r="Z62" s="319">
        <f t="shared" si="54"/>
        <v>0</v>
      </c>
      <c r="AA62" s="319">
        <f t="shared" si="54"/>
        <v>0</v>
      </c>
      <c r="AB62" s="319">
        <f t="shared" si="54"/>
        <v>0</v>
      </c>
      <c r="AC62" s="319">
        <f t="shared" si="54"/>
        <v>0</v>
      </c>
      <c r="AD62" s="319">
        <f t="shared" si="54"/>
        <v>0</v>
      </c>
      <c r="AE62" s="319">
        <f t="shared" si="54"/>
        <v>0</v>
      </c>
      <c r="AF62" s="319">
        <f t="shared" si="54"/>
        <v>0</v>
      </c>
      <c r="AG62" s="319">
        <f t="shared" si="54"/>
        <v>0</v>
      </c>
      <c r="AH62" s="319">
        <f t="shared" si="54"/>
        <v>0</v>
      </c>
      <c r="AI62" s="319">
        <f t="shared" si="54"/>
        <v>0</v>
      </c>
      <c r="AJ62" s="319">
        <f t="shared" si="54"/>
        <v>0</v>
      </c>
      <c r="AK62" s="319">
        <f t="shared" si="54"/>
        <v>0</v>
      </c>
      <c r="AL62" s="319">
        <f t="shared" si="54"/>
        <v>0</v>
      </c>
      <c r="AM62" s="319">
        <f t="shared" si="54"/>
        <v>0</v>
      </c>
      <c r="AN62" s="319">
        <f t="shared" si="54"/>
        <v>0</v>
      </c>
      <c r="AO62" s="319">
        <f t="shared" si="54"/>
        <v>0</v>
      </c>
      <c r="AP62" s="319">
        <f t="shared" si="54"/>
        <v>0</v>
      </c>
      <c r="AQ62" s="319">
        <f t="shared" si="54"/>
        <v>0</v>
      </c>
      <c r="AR62" s="320">
        <f t="shared" si="50"/>
        <v>0</v>
      </c>
      <c r="AS62" s="321">
        <f>TRUNC(AR62-D60*E61,2)</f>
        <v>0</v>
      </c>
      <c r="AT62" s="322" t="e">
        <f>+AR62/D60</f>
        <v>#DIV/0!</v>
      </c>
      <c r="AW62" s="274" t="str">
        <f>IF(F62="","X",IF(AND(E61&gt;0),F62,"-"))</f>
        <v>DE</v>
      </c>
      <c r="AX62" s="274" t="str">
        <f t="shared" ca="1" si="51"/>
        <v/>
      </c>
    </row>
    <row r="63" spans="1:50" s="274" customFormat="1" ht="18" hidden="1" customHeight="1" thickBot="1">
      <c r="A63" s="2499"/>
      <c r="B63" s="2502"/>
      <c r="C63" s="324"/>
      <c r="D63" s="325" t="s">
        <v>1195</v>
      </c>
      <c r="E63" s="2510">
        <f>1-E61</f>
        <v>0</v>
      </c>
      <c r="F63" s="326" t="s">
        <v>1192</v>
      </c>
      <c r="G63" s="326" t="str">
        <f>D63&amp;" | "&amp;F63</f>
        <v>PROPONENTE | ND</v>
      </c>
      <c r="H63" s="327">
        <f>($D59*H59-H61)</f>
        <v>0</v>
      </c>
      <c r="I63" s="327">
        <f t="shared" ref="I63:AQ64" si="55">($D59*I59-I61)</f>
        <v>0</v>
      </c>
      <c r="J63" s="327">
        <f t="shared" si="55"/>
        <v>0</v>
      </c>
      <c r="K63" s="327">
        <f t="shared" si="55"/>
        <v>0</v>
      </c>
      <c r="L63" s="327">
        <f t="shared" si="55"/>
        <v>0</v>
      </c>
      <c r="M63" s="327">
        <f t="shared" si="55"/>
        <v>0</v>
      </c>
      <c r="N63" s="327">
        <f t="shared" si="55"/>
        <v>0</v>
      </c>
      <c r="O63" s="327">
        <f t="shared" si="55"/>
        <v>0</v>
      </c>
      <c r="P63" s="327">
        <f t="shared" si="55"/>
        <v>0</v>
      </c>
      <c r="Q63" s="327">
        <f t="shared" si="55"/>
        <v>0</v>
      </c>
      <c r="R63" s="327">
        <f t="shared" si="55"/>
        <v>0</v>
      </c>
      <c r="S63" s="327">
        <f t="shared" si="55"/>
        <v>0</v>
      </c>
      <c r="T63" s="327">
        <f t="shared" si="55"/>
        <v>0</v>
      </c>
      <c r="U63" s="327">
        <f t="shared" si="55"/>
        <v>0</v>
      </c>
      <c r="V63" s="327">
        <f t="shared" si="55"/>
        <v>0</v>
      </c>
      <c r="W63" s="327">
        <f t="shared" si="55"/>
        <v>0</v>
      </c>
      <c r="X63" s="327">
        <f t="shared" si="55"/>
        <v>0</v>
      </c>
      <c r="Y63" s="327">
        <f t="shared" si="55"/>
        <v>0</v>
      </c>
      <c r="Z63" s="327">
        <f t="shared" si="55"/>
        <v>0</v>
      </c>
      <c r="AA63" s="327">
        <f t="shared" si="55"/>
        <v>0</v>
      </c>
      <c r="AB63" s="327">
        <f t="shared" si="55"/>
        <v>0</v>
      </c>
      <c r="AC63" s="327">
        <f t="shared" si="55"/>
        <v>0</v>
      </c>
      <c r="AD63" s="327">
        <f t="shared" si="55"/>
        <v>0</v>
      </c>
      <c r="AE63" s="327">
        <f t="shared" si="55"/>
        <v>0</v>
      </c>
      <c r="AF63" s="327">
        <f t="shared" si="55"/>
        <v>0</v>
      </c>
      <c r="AG63" s="327">
        <f t="shared" si="55"/>
        <v>0</v>
      </c>
      <c r="AH63" s="327">
        <f t="shared" si="55"/>
        <v>0</v>
      </c>
      <c r="AI63" s="327">
        <f t="shared" si="55"/>
        <v>0</v>
      </c>
      <c r="AJ63" s="327">
        <f t="shared" si="55"/>
        <v>0</v>
      </c>
      <c r="AK63" s="327">
        <f t="shared" si="55"/>
        <v>0</v>
      </c>
      <c r="AL63" s="327">
        <f t="shared" si="55"/>
        <v>0</v>
      </c>
      <c r="AM63" s="327">
        <f t="shared" si="55"/>
        <v>0</v>
      </c>
      <c r="AN63" s="327">
        <f t="shared" si="55"/>
        <v>0</v>
      </c>
      <c r="AO63" s="327">
        <f t="shared" si="55"/>
        <v>0</v>
      </c>
      <c r="AP63" s="327">
        <f t="shared" si="55"/>
        <v>0</v>
      </c>
      <c r="AQ63" s="327">
        <f t="shared" si="55"/>
        <v>0</v>
      </c>
      <c r="AR63" s="328">
        <f t="shared" si="50"/>
        <v>0</v>
      </c>
      <c r="AS63" s="321">
        <f>+D59-AR61-AR63</f>
        <v>0</v>
      </c>
      <c r="AW63" s="274" t="str">
        <f>IF(F63="","X",IF(AND(E63&gt;0),F63,"-"))</f>
        <v>-</v>
      </c>
      <c r="AX63" s="274" t="str">
        <f t="shared" ca="1" si="51"/>
        <v/>
      </c>
    </row>
    <row r="64" spans="1:50" s="274" customFormat="1" ht="18" hidden="1" customHeight="1" thickBot="1">
      <c r="A64" s="2500"/>
      <c r="B64" s="2503"/>
      <c r="C64" s="324"/>
      <c r="D64" s="325" t="s">
        <v>1195</v>
      </c>
      <c r="E64" s="2511"/>
      <c r="F64" s="329" t="s">
        <v>1193</v>
      </c>
      <c r="G64" s="329" t="str">
        <f>D64&amp;" | "&amp;F64</f>
        <v>PROPONENTE | DE</v>
      </c>
      <c r="H64" s="327">
        <f>($D60*H60-H62)</f>
        <v>0</v>
      </c>
      <c r="I64" s="327">
        <f t="shared" si="55"/>
        <v>0</v>
      </c>
      <c r="J64" s="327">
        <f t="shared" si="55"/>
        <v>0</v>
      </c>
      <c r="K64" s="327">
        <f t="shared" si="55"/>
        <v>0</v>
      </c>
      <c r="L64" s="327">
        <f t="shared" si="55"/>
        <v>0</v>
      </c>
      <c r="M64" s="327">
        <f t="shared" si="55"/>
        <v>0</v>
      </c>
      <c r="N64" s="327">
        <f t="shared" si="55"/>
        <v>0</v>
      </c>
      <c r="O64" s="327">
        <f t="shared" si="55"/>
        <v>0</v>
      </c>
      <c r="P64" s="327">
        <f t="shared" si="55"/>
        <v>0</v>
      </c>
      <c r="Q64" s="327">
        <f t="shared" si="55"/>
        <v>0</v>
      </c>
      <c r="R64" s="327">
        <f t="shared" si="55"/>
        <v>0</v>
      </c>
      <c r="S64" s="327">
        <f t="shared" si="55"/>
        <v>0</v>
      </c>
      <c r="T64" s="327">
        <f t="shared" si="55"/>
        <v>0</v>
      </c>
      <c r="U64" s="327">
        <f t="shared" si="55"/>
        <v>0</v>
      </c>
      <c r="V64" s="327">
        <f t="shared" si="55"/>
        <v>0</v>
      </c>
      <c r="W64" s="327">
        <f t="shared" si="55"/>
        <v>0</v>
      </c>
      <c r="X64" s="327">
        <f t="shared" si="55"/>
        <v>0</v>
      </c>
      <c r="Y64" s="327">
        <f t="shared" si="55"/>
        <v>0</v>
      </c>
      <c r="Z64" s="327">
        <f t="shared" si="55"/>
        <v>0</v>
      </c>
      <c r="AA64" s="327">
        <f t="shared" si="55"/>
        <v>0</v>
      </c>
      <c r="AB64" s="327">
        <f t="shared" si="55"/>
        <v>0</v>
      </c>
      <c r="AC64" s="327">
        <f t="shared" si="55"/>
        <v>0</v>
      </c>
      <c r="AD64" s="327">
        <f t="shared" si="55"/>
        <v>0</v>
      </c>
      <c r="AE64" s="327">
        <f t="shared" si="55"/>
        <v>0</v>
      </c>
      <c r="AF64" s="327">
        <f t="shared" si="55"/>
        <v>0</v>
      </c>
      <c r="AG64" s="327">
        <f t="shared" si="55"/>
        <v>0</v>
      </c>
      <c r="AH64" s="327">
        <f t="shared" si="55"/>
        <v>0</v>
      </c>
      <c r="AI64" s="327">
        <f t="shared" si="55"/>
        <v>0</v>
      </c>
      <c r="AJ64" s="327">
        <f t="shared" si="55"/>
        <v>0</v>
      </c>
      <c r="AK64" s="327">
        <f t="shared" si="55"/>
        <v>0</v>
      </c>
      <c r="AL64" s="327">
        <f t="shared" si="55"/>
        <v>0</v>
      </c>
      <c r="AM64" s="327">
        <f t="shared" si="55"/>
        <v>0</v>
      </c>
      <c r="AN64" s="327">
        <f t="shared" si="55"/>
        <v>0</v>
      </c>
      <c r="AO64" s="327">
        <f t="shared" si="55"/>
        <v>0</v>
      </c>
      <c r="AP64" s="327">
        <f t="shared" si="55"/>
        <v>0</v>
      </c>
      <c r="AQ64" s="327">
        <f t="shared" si="55"/>
        <v>0</v>
      </c>
      <c r="AR64" s="328">
        <f t="shared" si="50"/>
        <v>0</v>
      </c>
      <c r="AS64" s="321">
        <f>+D60-AR62-AR64</f>
        <v>0</v>
      </c>
      <c r="AW64" s="274" t="str">
        <f>IF(F64="","X",IF(AND(E63&gt;0),F64,"-"))</f>
        <v>-</v>
      </c>
      <c r="AX64" s="274" t="str">
        <f t="shared" ca="1" si="51"/>
        <v/>
      </c>
    </row>
    <row r="65" spans="1:50" s="274" customFormat="1" ht="9.9499999999999993" hidden="1" customHeight="1">
      <c r="A65" s="2498">
        <f ca="1">Orcamento!B25</f>
        <v>0</v>
      </c>
      <c r="B65" s="2501" t="str">
        <f>Orcamento!D25</f>
        <v>MICRODRENAGEM - RECOMPOSIÇÃO DO PAVIMENTO</v>
      </c>
      <c r="C65" s="305"/>
      <c r="D65" s="306"/>
      <c r="E65" s="307"/>
      <c r="F65" s="307"/>
      <c r="G65" s="307"/>
      <c r="H65" s="308">
        <f t="shared" ref="H65:AQ65" si="56">H66</f>
        <v>0</v>
      </c>
      <c r="I65" s="308">
        <f t="shared" si="56"/>
        <v>0</v>
      </c>
      <c r="J65" s="308">
        <f t="shared" si="56"/>
        <v>0</v>
      </c>
      <c r="K65" s="308">
        <f t="shared" si="56"/>
        <v>0</v>
      </c>
      <c r="L65" s="308">
        <f t="shared" si="56"/>
        <v>0</v>
      </c>
      <c r="M65" s="308">
        <f t="shared" si="56"/>
        <v>0</v>
      </c>
      <c r="N65" s="308">
        <f t="shared" si="56"/>
        <v>0</v>
      </c>
      <c r="O65" s="308">
        <f t="shared" si="56"/>
        <v>0</v>
      </c>
      <c r="P65" s="308">
        <f t="shared" si="56"/>
        <v>0</v>
      </c>
      <c r="Q65" s="308">
        <f t="shared" si="56"/>
        <v>0</v>
      </c>
      <c r="R65" s="308">
        <f t="shared" si="56"/>
        <v>0</v>
      </c>
      <c r="S65" s="308">
        <f t="shared" si="56"/>
        <v>0</v>
      </c>
      <c r="T65" s="308">
        <f t="shared" si="56"/>
        <v>0</v>
      </c>
      <c r="U65" s="308">
        <f t="shared" si="56"/>
        <v>0</v>
      </c>
      <c r="V65" s="308">
        <f t="shared" si="56"/>
        <v>0</v>
      </c>
      <c r="W65" s="308">
        <f t="shared" si="56"/>
        <v>0</v>
      </c>
      <c r="X65" s="308">
        <f t="shared" si="56"/>
        <v>0</v>
      </c>
      <c r="Y65" s="308">
        <f t="shared" si="56"/>
        <v>0</v>
      </c>
      <c r="Z65" s="308">
        <f t="shared" si="56"/>
        <v>0</v>
      </c>
      <c r="AA65" s="308">
        <f t="shared" si="56"/>
        <v>0</v>
      </c>
      <c r="AB65" s="308">
        <f t="shared" si="56"/>
        <v>0</v>
      </c>
      <c r="AC65" s="308">
        <f t="shared" si="56"/>
        <v>0</v>
      </c>
      <c r="AD65" s="308">
        <f t="shared" si="56"/>
        <v>0</v>
      </c>
      <c r="AE65" s="308">
        <f t="shared" si="56"/>
        <v>0</v>
      </c>
      <c r="AF65" s="308">
        <f t="shared" si="56"/>
        <v>0</v>
      </c>
      <c r="AG65" s="308">
        <f t="shared" si="56"/>
        <v>0</v>
      </c>
      <c r="AH65" s="308">
        <f t="shared" si="56"/>
        <v>0</v>
      </c>
      <c r="AI65" s="308">
        <f t="shared" si="56"/>
        <v>0</v>
      </c>
      <c r="AJ65" s="308">
        <f t="shared" si="56"/>
        <v>0</v>
      </c>
      <c r="AK65" s="308">
        <f t="shared" si="56"/>
        <v>0</v>
      </c>
      <c r="AL65" s="308">
        <f t="shared" si="56"/>
        <v>0</v>
      </c>
      <c r="AM65" s="308">
        <f t="shared" si="56"/>
        <v>0</v>
      </c>
      <c r="AN65" s="308">
        <f t="shared" si="56"/>
        <v>0</v>
      </c>
      <c r="AO65" s="308">
        <f t="shared" si="56"/>
        <v>0</v>
      </c>
      <c r="AP65" s="308">
        <f t="shared" si="56"/>
        <v>0</v>
      </c>
      <c r="AQ65" s="308">
        <f t="shared" si="56"/>
        <v>0</v>
      </c>
      <c r="AR65" s="309"/>
      <c r="AS65" s="310">
        <f>+D67-AR69-AR71</f>
        <v>0</v>
      </c>
      <c r="AW65" s="274" t="str">
        <f>IF(F65="","X",F65)</f>
        <v>X</v>
      </c>
      <c r="AX65" s="274" t="str">
        <f ca="1">IF($A$65=0,"","X")</f>
        <v/>
      </c>
    </row>
    <row r="66" spans="1:50" s="274" customFormat="1" ht="18" hidden="1" customHeight="1">
      <c r="A66" s="2499"/>
      <c r="B66" s="2502"/>
      <c r="C66" s="311" t="str">
        <f>CONCATENATE(Orcamento!K71," ",Orcamento!O71)</f>
        <v>500 7,72</v>
      </c>
      <c r="D66" s="2504">
        <f>Orcamento!S25</f>
        <v>0</v>
      </c>
      <c r="E66" s="2505"/>
      <c r="F66" s="312" t="s">
        <v>1192</v>
      </c>
      <c r="G66" s="312"/>
      <c r="H66" s="314"/>
      <c r="I66" s="314"/>
      <c r="J66" s="314"/>
      <c r="K66" s="314"/>
      <c r="L66" s="314"/>
      <c r="M66" s="314"/>
      <c r="N66" s="314"/>
      <c r="O66" s="314"/>
      <c r="P66" s="314"/>
      <c r="Q66" s="314"/>
      <c r="R66" s="314"/>
      <c r="S66" s="314"/>
      <c r="T66" s="314"/>
      <c r="U66" s="314"/>
      <c r="V66" s="314"/>
      <c r="W66" s="314"/>
      <c r="X66" s="314"/>
      <c r="Y66" s="314"/>
      <c r="Z66" s="314"/>
      <c r="AA66" s="314"/>
      <c r="AB66" s="314"/>
      <c r="AC66" s="314"/>
      <c r="AD66" s="314"/>
      <c r="AE66" s="314"/>
      <c r="AF66" s="314"/>
      <c r="AG66" s="314"/>
      <c r="AH66" s="314"/>
      <c r="AI66" s="314"/>
      <c r="AJ66" s="314"/>
      <c r="AK66" s="314"/>
      <c r="AL66" s="314"/>
      <c r="AM66" s="314"/>
      <c r="AN66" s="314"/>
      <c r="AO66" s="314"/>
      <c r="AP66" s="314"/>
      <c r="AQ66" s="314"/>
      <c r="AR66" s="315">
        <f t="shared" ref="AR66:AR71" si="57">SUM(H66:AQ66)</f>
        <v>0</v>
      </c>
      <c r="AS66" s="2506">
        <f>1-AR66</f>
        <v>1</v>
      </c>
      <c r="AU66" s="2507">
        <f>+COUNT(H66:AQ67)</f>
        <v>36</v>
      </c>
      <c r="AW66" s="274" t="str">
        <f>IF(F66="","X",F66)</f>
        <v>ND</v>
      </c>
      <c r="AX66" s="274" t="str">
        <f t="shared" ref="AX66:AX71" ca="1" si="58">IF($A$65=0,"","X")</f>
        <v/>
      </c>
    </row>
    <row r="67" spans="1:50" s="274" customFormat="1" ht="18" hidden="1" customHeight="1">
      <c r="A67" s="2499"/>
      <c r="B67" s="2502"/>
      <c r="C67" s="311" t="str">
        <f>CONCATENATE(Orcamento!K72," ",Orcamento!O72)</f>
        <v xml:space="preserve"> </v>
      </c>
      <c r="D67" s="2504">
        <f>Orcamento!T25</f>
        <v>0</v>
      </c>
      <c r="E67" s="2505"/>
      <c r="F67" s="316" t="s">
        <v>1193</v>
      </c>
      <c r="G67" s="316"/>
      <c r="H67" s="314">
        <f t="shared" ref="H67:AQ67" si="59">H66</f>
        <v>0</v>
      </c>
      <c r="I67" s="314">
        <f t="shared" si="59"/>
        <v>0</v>
      </c>
      <c r="J67" s="314">
        <f t="shared" si="59"/>
        <v>0</v>
      </c>
      <c r="K67" s="314">
        <f t="shared" si="59"/>
        <v>0</v>
      </c>
      <c r="L67" s="314">
        <f t="shared" si="59"/>
        <v>0</v>
      </c>
      <c r="M67" s="314">
        <f t="shared" si="59"/>
        <v>0</v>
      </c>
      <c r="N67" s="314">
        <f t="shared" si="59"/>
        <v>0</v>
      </c>
      <c r="O67" s="314">
        <f t="shared" si="59"/>
        <v>0</v>
      </c>
      <c r="P67" s="314">
        <f t="shared" si="59"/>
        <v>0</v>
      </c>
      <c r="Q67" s="314">
        <f t="shared" si="59"/>
        <v>0</v>
      </c>
      <c r="R67" s="314">
        <f t="shared" si="59"/>
        <v>0</v>
      </c>
      <c r="S67" s="314">
        <f t="shared" si="59"/>
        <v>0</v>
      </c>
      <c r="T67" s="314">
        <f t="shared" si="59"/>
        <v>0</v>
      </c>
      <c r="U67" s="314">
        <f t="shared" si="59"/>
        <v>0</v>
      </c>
      <c r="V67" s="314">
        <f t="shared" si="59"/>
        <v>0</v>
      </c>
      <c r="W67" s="314">
        <f t="shared" si="59"/>
        <v>0</v>
      </c>
      <c r="X67" s="314">
        <f t="shared" si="59"/>
        <v>0</v>
      </c>
      <c r="Y67" s="314">
        <f t="shared" si="59"/>
        <v>0</v>
      </c>
      <c r="Z67" s="314">
        <f t="shared" si="59"/>
        <v>0</v>
      </c>
      <c r="AA67" s="314">
        <f t="shared" si="59"/>
        <v>0</v>
      </c>
      <c r="AB67" s="314">
        <f t="shared" si="59"/>
        <v>0</v>
      </c>
      <c r="AC67" s="314">
        <f t="shared" si="59"/>
        <v>0</v>
      </c>
      <c r="AD67" s="314">
        <f t="shared" si="59"/>
        <v>0</v>
      </c>
      <c r="AE67" s="314">
        <f t="shared" si="59"/>
        <v>0</v>
      </c>
      <c r="AF67" s="314">
        <f t="shared" si="59"/>
        <v>0</v>
      </c>
      <c r="AG67" s="314">
        <f t="shared" si="59"/>
        <v>0</v>
      </c>
      <c r="AH67" s="314">
        <f t="shared" si="59"/>
        <v>0</v>
      </c>
      <c r="AI67" s="314">
        <f t="shared" si="59"/>
        <v>0</v>
      </c>
      <c r="AJ67" s="314">
        <f t="shared" si="59"/>
        <v>0</v>
      </c>
      <c r="AK67" s="314">
        <f t="shared" si="59"/>
        <v>0</v>
      </c>
      <c r="AL67" s="314">
        <f t="shared" si="59"/>
        <v>0</v>
      </c>
      <c r="AM67" s="314">
        <f t="shared" si="59"/>
        <v>0</v>
      </c>
      <c r="AN67" s="314">
        <f t="shared" si="59"/>
        <v>0</v>
      </c>
      <c r="AO67" s="314">
        <f t="shared" si="59"/>
        <v>0</v>
      </c>
      <c r="AP67" s="314">
        <f t="shared" si="59"/>
        <v>0</v>
      </c>
      <c r="AQ67" s="314">
        <f t="shared" si="59"/>
        <v>0</v>
      </c>
      <c r="AR67" s="315">
        <f t="shared" si="57"/>
        <v>0</v>
      </c>
      <c r="AS67" s="2506"/>
      <c r="AU67" s="2507"/>
      <c r="AW67" s="274" t="str">
        <f>IF(F67="","X",F67)</f>
        <v>DE</v>
      </c>
      <c r="AX67" s="274" t="str">
        <f t="shared" ca="1" si="58"/>
        <v/>
      </c>
    </row>
    <row r="68" spans="1:50" s="274" customFormat="1" ht="18" hidden="1" customHeight="1">
      <c r="A68" s="2499"/>
      <c r="B68" s="2502"/>
      <c r="C68" s="311"/>
      <c r="D68" s="317" t="s">
        <v>1194</v>
      </c>
      <c r="E68" s="2508">
        <f>$D$159</f>
        <v>1</v>
      </c>
      <c r="F68" s="318" t="s">
        <v>1192</v>
      </c>
      <c r="G68" s="318" t="str">
        <f>D68&amp;" | "&amp;F68</f>
        <v>CONCEDENTE | ND</v>
      </c>
      <c r="H68" s="319">
        <f t="shared" ref="H68:AQ68" si="60">IF($D66=0,0,IF(H66=0,0,($E68*$D66*H66)+$AU$163))</f>
        <v>0</v>
      </c>
      <c r="I68" s="319">
        <f t="shared" si="60"/>
        <v>0</v>
      </c>
      <c r="J68" s="319">
        <f t="shared" si="60"/>
        <v>0</v>
      </c>
      <c r="K68" s="319">
        <f t="shared" si="60"/>
        <v>0</v>
      </c>
      <c r="L68" s="319">
        <f t="shared" si="60"/>
        <v>0</v>
      </c>
      <c r="M68" s="319">
        <f t="shared" si="60"/>
        <v>0</v>
      </c>
      <c r="N68" s="319">
        <f t="shared" si="60"/>
        <v>0</v>
      </c>
      <c r="O68" s="319">
        <f t="shared" si="60"/>
        <v>0</v>
      </c>
      <c r="P68" s="319">
        <f t="shared" si="60"/>
        <v>0</v>
      </c>
      <c r="Q68" s="319">
        <f t="shared" si="60"/>
        <v>0</v>
      </c>
      <c r="R68" s="319">
        <f t="shared" si="60"/>
        <v>0</v>
      </c>
      <c r="S68" s="319">
        <f t="shared" si="60"/>
        <v>0</v>
      </c>
      <c r="T68" s="319">
        <f t="shared" si="60"/>
        <v>0</v>
      </c>
      <c r="U68" s="319">
        <f t="shared" si="60"/>
        <v>0</v>
      </c>
      <c r="V68" s="319">
        <f t="shared" si="60"/>
        <v>0</v>
      </c>
      <c r="W68" s="319">
        <f t="shared" si="60"/>
        <v>0</v>
      </c>
      <c r="X68" s="319">
        <f t="shared" si="60"/>
        <v>0</v>
      </c>
      <c r="Y68" s="319">
        <f t="shared" si="60"/>
        <v>0</v>
      </c>
      <c r="Z68" s="319">
        <f t="shared" si="60"/>
        <v>0</v>
      </c>
      <c r="AA68" s="319">
        <f t="shared" si="60"/>
        <v>0</v>
      </c>
      <c r="AB68" s="319">
        <f t="shared" si="60"/>
        <v>0</v>
      </c>
      <c r="AC68" s="319">
        <f t="shared" si="60"/>
        <v>0</v>
      </c>
      <c r="AD68" s="319">
        <f t="shared" si="60"/>
        <v>0</v>
      </c>
      <c r="AE68" s="319">
        <f t="shared" si="60"/>
        <v>0</v>
      </c>
      <c r="AF68" s="319">
        <f t="shared" si="60"/>
        <v>0</v>
      </c>
      <c r="AG68" s="319">
        <f t="shared" si="60"/>
        <v>0</v>
      </c>
      <c r="AH68" s="319">
        <f t="shared" si="60"/>
        <v>0</v>
      </c>
      <c r="AI68" s="319">
        <f t="shared" si="60"/>
        <v>0</v>
      </c>
      <c r="AJ68" s="319">
        <f t="shared" si="60"/>
        <v>0</v>
      </c>
      <c r="AK68" s="319">
        <f t="shared" si="60"/>
        <v>0</v>
      </c>
      <c r="AL68" s="319">
        <f t="shared" si="60"/>
        <v>0</v>
      </c>
      <c r="AM68" s="319">
        <f t="shared" si="60"/>
        <v>0</v>
      </c>
      <c r="AN68" s="319">
        <f t="shared" si="60"/>
        <v>0</v>
      </c>
      <c r="AO68" s="319">
        <f t="shared" si="60"/>
        <v>0</v>
      </c>
      <c r="AP68" s="319">
        <f t="shared" si="60"/>
        <v>0</v>
      </c>
      <c r="AQ68" s="319">
        <f t="shared" si="60"/>
        <v>0</v>
      </c>
      <c r="AR68" s="320">
        <f t="shared" si="57"/>
        <v>0</v>
      </c>
      <c r="AS68" s="321">
        <f>TRUNC(AR68-D66*E68,2)</f>
        <v>0</v>
      </c>
      <c r="AT68" s="322" t="e">
        <f>+AR68/D66</f>
        <v>#DIV/0!</v>
      </c>
      <c r="AW68" s="274" t="str">
        <f>IF(F68="","X",IF(AND(E68&gt;0),F68,"-"))</f>
        <v>ND</v>
      </c>
      <c r="AX68" s="274" t="str">
        <f t="shared" ca="1" si="58"/>
        <v/>
      </c>
    </row>
    <row r="69" spans="1:50" s="274" customFormat="1" ht="18" hidden="1" customHeight="1">
      <c r="A69" s="2499"/>
      <c r="B69" s="2502"/>
      <c r="C69" s="311"/>
      <c r="D69" s="317" t="s">
        <v>1194</v>
      </c>
      <c r="E69" s="2509"/>
      <c r="F69" s="323" t="s">
        <v>1193</v>
      </c>
      <c r="G69" s="323" t="str">
        <f>D69&amp;" | "&amp;F69</f>
        <v>CONCEDENTE | DE</v>
      </c>
      <c r="H69" s="319">
        <f t="shared" ref="H69:AQ69" si="61">IF($D67=0,0,IF(H67=0,0,($E68*$D67*H67)+$AU$163))</f>
        <v>0</v>
      </c>
      <c r="I69" s="319">
        <f t="shared" si="61"/>
        <v>0</v>
      </c>
      <c r="J69" s="319">
        <f t="shared" si="61"/>
        <v>0</v>
      </c>
      <c r="K69" s="319">
        <f t="shared" si="61"/>
        <v>0</v>
      </c>
      <c r="L69" s="319">
        <f t="shared" si="61"/>
        <v>0</v>
      </c>
      <c r="M69" s="319">
        <f t="shared" si="61"/>
        <v>0</v>
      </c>
      <c r="N69" s="319">
        <f t="shared" si="61"/>
        <v>0</v>
      </c>
      <c r="O69" s="319">
        <f t="shared" si="61"/>
        <v>0</v>
      </c>
      <c r="P69" s="319">
        <f t="shared" si="61"/>
        <v>0</v>
      </c>
      <c r="Q69" s="319">
        <f t="shared" si="61"/>
        <v>0</v>
      </c>
      <c r="R69" s="319">
        <f t="shared" si="61"/>
        <v>0</v>
      </c>
      <c r="S69" s="319">
        <f t="shared" si="61"/>
        <v>0</v>
      </c>
      <c r="T69" s="319">
        <f t="shared" si="61"/>
        <v>0</v>
      </c>
      <c r="U69" s="319">
        <f t="shared" si="61"/>
        <v>0</v>
      </c>
      <c r="V69" s="319">
        <f t="shared" si="61"/>
        <v>0</v>
      </c>
      <c r="W69" s="319">
        <f t="shared" si="61"/>
        <v>0</v>
      </c>
      <c r="X69" s="319">
        <f t="shared" si="61"/>
        <v>0</v>
      </c>
      <c r="Y69" s="319">
        <f t="shared" si="61"/>
        <v>0</v>
      </c>
      <c r="Z69" s="319">
        <f t="shared" si="61"/>
        <v>0</v>
      </c>
      <c r="AA69" s="319">
        <f t="shared" si="61"/>
        <v>0</v>
      </c>
      <c r="AB69" s="319">
        <f t="shared" si="61"/>
        <v>0</v>
      </c>
      <c r="AC69" s="319">
        <f t="shared" si="61"/>
        <v>0</v>
      </c>
      <c r="AD69" s="319">
        <f t="shared" si="61"/>
        <v>0</v>
      </c>
      <c r="AE69" s="319">
        <f t="shared" si="61"/>
        <v>0</v>
      </c>
      <c r="AF69" s="319">
        <f t="shared" si="61"/>
        <v>0</v>
      </c>
      <c r="AG69" s="319">
        <f t="shared" si="61"/>
        <v>0</v>
      </c>
      <c r="AH69" s="319">
        <f t="shared" si="61"/>
        <v>0</v>
      </c>
      <c r="AI69" s="319">
        <f t="shared" si="61"/>
        <v>0</v>
      </c>
      <c r="AJ69" s="319">
        <f t="shared" si="61"/>
        <v>0</v>
      </c>
      <c r="AK69" s="319">
        <f t="shared" si="61"/>
        <v>0</v>
      </c>
      <c r="AL69" s="319">
        <f t="shared" si="61"/>
        <v>0</v>
      </c>
      <c r="AM69" s="319">
        <f t="shared" si="61"/>
        <v>0</v>
      </c>
      <c r="AN69" s="319">
        <f t="shared" si="61"/>
        <v>0</v>
      </c>
      <c r="AO69" s="319">
        <f t="shared" si="61"/>
        <v>0</v>
      </c>
      <c r="AP69" s="319">
        <f t="shared" si="61"/>
        <v>0</v>
      </c>
      <c r="AQ69" s="319">
        <f t="shared" si="61"/>
        <v>0</v>
      </c>
      <c r="AR69" s="320">
        <f t="shared" si="57"/>
        <v>0</v>
      </c>
      <c r="AS69" s="321">
        <f>TRUNC(AR69-D67*E68,2)</f>
        <v>0</v>
      </c>
      <c r="AT69" s="322" t="e">
        <f>+AR69/D67</f>
        <v>#DIV/0!</v>
      </c>
      <c r="AW69" s="274" t="str">
        <f>IF(F69="","X",IF(AND(E68&gt;0),F69,"-"))</f>
        <v>DE</v>
      </c>
      <c r="AX69" s="274" t="str">
        <f t="shared" ca="1" si="58"/>
        <v/>
      </c>
    </row>
    <row r="70" spans="1:50" s="274" customFormat="1" ht="18" hidden="1" customHeight="1" thickBot="1">
      <c r="A70" s="2499"/>
      <c r="B70" s="2502"/>
      <c r="C70" s="324"/>
      <c r="D70" s="325" t="s">
        <v>1195</v>
      </c>
      <c r="E70" s="2510">
        <f>1-E68</f>
        <v>0</v>
      </c>
      <c r="F70" s="326" t="s">
        <v>1192</v>
      </c>
      <c r="G70" s="326" t="str">
        <f>D70&amp;" | "&amp;F70</f>
        <v>PROPONENTE | ND</v>
      </c>
      <c r="H70" s="327">
        <f>($D66*H66-H68)</f>
        <v>0</v>
      </c>
      <c r="I70" s="327">
        <f t="shared" ref="I70:AQ71" si="62">($D66*I66-I68)</f>
        <v>0</v>
      </c>
      <c r="J70" s="327">
        <f t="shared" si="62"/>
        <v>0</v>
      </c>
      <c r="K70" s="327">
        <f t="shared" si="62"/>
        <v>0</v>
      </c>
      <c r="L70" s="327">
        <f t="shared" si="62"/>
        <v>0</v>
      </c>
      <c r="M70" s="327">
        <f t="shared" si="62"/>
        <v>0</v>
      </c>
      <c r="N70" s="327">
        <f t="shared" si="62"/>
        <v>0</v>
      </c>
      <c r="O70" s="327">
        <f t="shared" si="62"/>
        <v>0</v>
      </c>
      <c r="P70" s="327">
        <f t="shared" si="62"/>
        <v>0</v>
      </c>
      <c r="Q70" s="327">
        <f t="shared" si="62"/>
        <v>0</v>
      </c>
      <c r="R70" s="327">
        <f t="shared" si="62"/>
        <v>0</v>
      </c>
      <c r="S70" s="327">
        <f t="shared" si="62"/>
        <v>0</v>
      </c>
      <c r="T70" s="327">
        <f t="shared" si="62"/>
        <v>0</v>
      </c>
      <c r="U70" s="327">
        <f t="shared" si="62"/>
        <v>0</v>
      </c>
      <c r="V70" s="327">
        <f t="shared" si="62"/>
        <v>0</v>
      </c>
      <c r="W70" s="327">
        <f t="shared" si="62"/>
        <v>0</v>
      </c>
      <c r="X70" s="327">
        <f t="shared" si="62"/>
        <v>0</v>
      </c>
      <c r="Y70" s="327">
        <f t="shared" si="62"/>
        <v>0</v>
      </c>
      <c r="Z70" s="327">
        <f t="shared" si="62"/>
        <v>0</v>
      </c>
      <c r="AA70" s="327">
        <f t="shared" si="62"/>
        <v>0</v>
      </c>
      <c r="AB70" s="327">
        <f t="shared" si="62"/>
        <v>0</v>
      </c>
      <c r="AC70" s="327">
        <f t="shared" si="62"/>
        <v>0</v>
      </c>
      <c r="AD70" s="327">
        <f t="shared" si="62"/>
        <v>0</v>
      </c>
      <c r="AE70" s="327">
        <f t="shared" si="62"/>
        <v>0</v>
      </c>
      <c r="AF70" s="327">
        <f t="shared" si="62"/>
        <v>0</v>
      </c>
      <c r="AG70" s="327">
        <f t="shared" si="62"/>
        <v>0</v>
      </c>
      <c r="AH70" s="327">
        <f t="shared" si="62"/>
        <v>0</v>
      </c>
      <c r="AI70" s="327">
        <f t="shared" si="62"/>
        <v>0</v>
      </c>
      <c r="AJ70" s="327">
        <f t="shared" si="62"/>
        <v>0</v>
      </c>
      <c r="AK70" s="327">
        <f t="shared" si="62"/>
        <v>0</v>
      </c>
      <c r="AL70" s="327">
        <f t="shared" si="62"/>
        <v>0</v>
      </c>
      <c r="AM70" s="327">
        <f t="shared" si="62"/>
        <v>0</v>
      </c>
      <c r="AN70" s="327">
        <f t="shared" si="62"/>
        <v>0</v>
      </c>
      <c r="AO70" s="327">
        <f t="shared" si="62"/>
        <v>0</v>
      </c>
      <c r="AP70" s="327">
        <f t="shared" si="62"/>
        <v>0</v>
      </c>
      <c r="AQ70" s="327">
        <f t="shared" si="62"/>
        <v>0</v>
      </c>
      <c r="AR70" s="328">
        <f t="shared" si="57"/>
        <v>0</v>
      </c>
      <c r="AS70" s="321">
        <f>+D66-AR68-AR70</f>
        <v>0</v>
      </c>
      <c r="AW70" s="274" t="str">
        <f>IF(F70="","X",IF(AND(E70&gt;0),F70,"-"))</f>
        <v>-</v>
      </c>
      <c r="AX70" s="274" t="str">
        <f t="shared" ca="1" si="58"/>
        <v/>
      </c>
    </row>
    <row r="71" spans="1:50" s="274" customFormat="1" ht="18" hidden="1" customHeight="1" thickBot="1">
      <c r="A71" s="2500"/>
      <c r="B71" s="2503"/>
      <c r="C71" s="324"/>
      <c r="D71" s="325" t="s">
        <v>1195</v>
      </c>
      <c r="E71" s="2511"/>
      <c r="F71" s="329" t="s">
        <v>1193</v>
      </c>
      <c r="G71" s="329" t="str">
        <f>D71&amp;" | "&amp;F71</f>
        <v>PROPONENTE | DE</v>
      </c>
      <c r="H71" s="327">
        <f>($D67*H67-H69)</f>
        <v>0</v>
      </c>
      <c r="I71" s="327">
        <f t="shared" si="62"/>
        <v>0</v>
      </c>
      <c r="J71" s="327">
        <f t="shared" si="62"/>
        <v>0</v>
      </c>
      <c r="K71" s="327">
        <f t="shared" si="62"/>
        <v>0</v>
      </c>
      <c r="L71" s="327">
        <f t="shared" si="62"/>
        <v>0</v>
      </c>
      <c r="M71" s="327">
        <f t="shared" si="62"/>
        <v>0</v>
      </c>
      <c r="N71" s="327">
        <f t="shared" si="62"/>
        <v>0</v>
      </c>
      <c r="O71" s="327">
        <f t="shared" si="62"/>
        <v>0</v>
      </c>
      <c r="P71" s="327">
        <f t="shared" si="62"/>
        <v>0</v>
      </c>
      <c r="Q71" s="327">
        <f t="shared" si="62"/>
        <v>0</v>
      </c>
      <c r="R71" s="327">
        <f t="shared" si="62"/>
        <v>0</v>
      </c>
      <c r="S71" s="327">
        <f t="shared" si="62"/>
        <v>0</v>
      </c>
      <c r="T71" s="327">
        <f t="shared" si="62"/>
        <v>0</v>
      </c>
      <c r="U71" s="327">
        <f t="shared" si="62"/>
        <v>0</v>
      </c>
      <c r="V71" s="327">
        <f t="shared" si="62"/>
        <v>0</v>
      </c>
      <c r="W71" s="327">
        <f t="shared" si="62"/>
        <v>0</v>
      </c>
      <c r="X71" s="327">
        <f t="shared" si="62"/>
        <v>0</v>
      </c>
      <c r="Y71" s="327">
        <f t="shared" si="62"/>
        <v>0</v>
      </c>
      <c r="Z71" s="327">
        <f t="shared" si="62"/>
        <v>0</v>
      </c>
      <c r="AA71" s="327">
        <f t="shared" si="62"/>
        <v>0</v>
      </c>
      <c r="AB71" s="327">
        <f t="shared" si="62"/>
        <v>0</v>
      </c>
      <c r="AC71" s="327">
        <f t="shared" si="62"/>
        <v>0</v>
      </c>
      <c r="AD71" s="327">
        <f t="shared" si="62"/>
        <v>0</v>
      </c>
      <c r="AE71" s="327">
        <f t="shared" si="62"/>
        <v>0</v>
      </c>
      <c r="AF71" s="327">
        <f t="shared" si="62"/>
        <v>0</v>
      </c>
      <c r="AG71" s="327">
        <f t="shared" si="62"/>
        <v>0</v>
      </c>
      <c r="AH71" s="327">
        <f t="shared" si="62"/>
        <v>0</v>
      </c>
      <c r="AI71" s="327">
        <f t="shared" si="62"/>
        <v>0</v>
      </c>
      <c r="AJ71" s="327">
        <f t="shared" si="62"/>
        <v>0</v>
      </c>
      <c r="AK71" s="327">
        <f t="shared" si="62"/>
        <v>0</v>
      </c>
      <c r="AL71" s="327">
        <f t="shared" si="62"/>
        <v>0</v>
      </c>
      <c r="AM71" s="327">
        <f t="shared" si="62"/>
        <v>0</v>
      </c>
      <c r="AN71" s="327">
        <f t="shared" si="62"/>
        <v>0</v>
      </c>
      <c r="AO71" s="327">
        <f t="shared" si="62"/>
        <v>0</v>
      </c>
      <c r="AP71" s="327">
        <f t="shared" si="62"/>
        <v>0</v>
      </c>
      <c r="AQ71" s="327">
        <f t="shared" si="62"/>
        <v>0</v>
      </c>
      <c r="AR71" s="328">
        <f t="shared" si="57"/>
        <v>0</v>
      </c>
      <c r="AS71" s="321">
        <f>+D67-AR69-AR71</f>
        <v>0</v>
      </c>
      <c r="AW71" s="274" t="str">
        <f>IF(F71="","X",IF(AND(E70&gt;0),F71,"-"))</f>
        <v>-</v>
      </c>
      <c r="AX71" s="274" t="str">
        <f t="shared" ca="1" si="58"/>
        <v/>
      </c>
    </row>
    <row r="72" spans="1:50" s="274" customFormat="1" ht="9.9499999999999993" customHeight="1">
      <c r="A72" s="2498">
        <f ca="1">Orcamento!B26</f>
        <v>2</v>
      </c>
      <c r="B72" s="2501" t="str">
        <f>Orcamento!D26</f>
        <v>RESTAURAÇÃO DO PAVIMENTO - RECUPERAÇÃO PRÉVIA DO PAVIMENTO</v>
      </c>
      <c r="C72" s="305"/>
      <c r="D72" s="306"/>
      <c r="E72" s="307"/>
      <c r="F72" s="307"/>
      <c r="G72" s="307"/>
      <c r="H72" s="308">
        <f t="shared" ref="H72:AQ72" si="63">H73</f>
        <v>0.08</v>
      </c>
      <c r="I72" s="308">
        <f t="shared" si="63"/>
        <v>0.09</v>
      </c>
      <c r="J72" s="308">
        <f t="shared" si="63"/>
        <v>0.08</v>
      </c>
      <c r="K72" s="308">
        <f t="shared" si="63"/>
        <v>0.09</v>
      </c>
      <c r="L72" s="308">
        <f t="shared" si="63"/>
        <v>0.08</v>
      </c>
      <c r="M72" s="308">
        <f t="shared" si="63"/>
        <v>0.09</v>
      </c>
      <c r="N72" s="308">
        <f t="shared" si="63"/>
        <v>0.08</v>
      </c>
      <c r="O72" s="308">
        <f t="shared" si="63"/>
        <v>0.09</v>
      </c>
      <c r="P72" s="308">
        <f t="shared" si="63"/>
        <v>0.08</v>
      </c>
      <c r="Q72" s="308">
        <f t="shared" si="63"/>
        <v>0.08</v>
      </c>
      <c r="R72" s="308">
        <f t="shared" si="63"/>
        <v>0.08</v>
      </c>
      <c r="S72" s="308">
        <f t="shared" si="63"/>
        <v>0.08</v>
      </c>
      <c r="T72" s="308">
        <f t="shared" si="63"/>
        <v>0</v>
      </c>
      <c r="U72" s="308">
        <f t="shared" si="63"/>
        <v>0</v>
      </c>
      <c r="V72" s="308">
        <f t="shared" si="63"/>
        <v>0</v>
      </c>
      <c r="W72" s="308">
        <f t="shared" si="63"/>
        <v>0</v>
      </c>
      <c r="X72" s="308">
        <f t="shared" si="63"/>
        <v>0</v>
      </c>
      <c r="Y72" s="308">
        <f t="shared" si="63"/>
        <v>0</v>
      </c>
      <c r="Z72" s="308">
        <f t="shared" si="63"/>
        <v>0</v>
      </c>
      <c r="AA72" s="308">
        <f t="shared" si="63"/>
        <v>0</v>
      </c>
      <c r="AB72" s="308">
        <f t="shared" si="63"/>
        <v>0</v>
      </c>
      <c r="AC72" s="308">
        <f t="shared" si="63"/>
        <v>0</v>
      </c>
      <c r="AD72" s="308">
        <f t="shared" si="63"/>
        <v>0</v>
      </c>
      <c r="AE72" s="308">
        <f t="shared" si="63"/>
        <v>0</v>
      </c>
      <c r="AF72" s="308">
        <f t="shared" si="63"/>
        <v>0</v>
      </c>
      <c r="AG72" s="308">
        <f t="shared" si="63"/>
        <v>0</v>
      </c>
      <c r="AH72" s="308">
        <f t="shared" si="63"/>
        <v>0</v>
      </c>
      <c r="AI72" s="308">
        <f t="shared" si="63"/>
        <v>0</v>
      </c>
      <c r="AJ72" s="308">
        <f t="shared" si="63"/>
        <v>0</v>
      </c>
      <c r="AK72" s="308">
        <f t="shared" si="63"/>
        <v>0</v>
      </c>
      <c r="AL72" s="308">
        <f t="shared" si="63"/>
        <v>0</v>
      </c>
      <c r="AM72" s="308">
        <f t="shared" si="63"/>
        <v>0</v>
      </c>
      <c r="AN72" s="308">
        <f t="shared" si="63"/>
        <v>0</v>
      </c>
      <c r="AO72" s="308">
        <f t="shared" si="63"/>
        <v>0</v>
      </c>
      <c r="AP72" s="308">
        <f t="shared" si="63"/>
        <v>0</v>
      </c>
      <c r="AQ72" s="308">
        <f t="shared" si="63"/>
        <v>0</v>
      </c>
      <c r="AR72" s="309"/>
      <c r="AS72" s="310">
        <f>+D74-AR76-AR78</f>
        <v>4.6566128730773926E-10</v>
      </c>
      <c r="AW72" s="274" t="str">
        <f>IF(F72="","X",F72)</f>
        <v>X</v>
      </c>
      <c r="AX72" s="274" t="str">
        <f ca="1">IF($A$72=0,"","X")</f>
        <v>X</v>
      </c>
    </row>
    <row r="73" spans="1:50" s="274" customFormat="1" ht="18" customHeight="1">
      <c r="A73" s="2499"/>
      <c r="B73" s="2502"/>
      <c r="C73" s="311" t="str">
        <f>CONCATENATE(Orcamento!K78," ",Orcamento!O78)</f>
        <v xml:space="preserve"> </v>
      </c>
      <c r="D73" s="2504">
        <f>Orcamento!S26</f>
        <v>2889957.2299999995</v>
      </c>
      <c r="E73" s="2505"/>
      <c r="F73" s="312" t="s">
        <v>1192</v>
      </c>
      <c r="G73" s="312"/>
      <c r="H73" s="313">
        <v>0.08</v>
      </c>
      <c r="I73" s="313">
        <v>0.09</v>
      </c>
      <c r="J73" s="313">
        <v>0.08</v>
      </c>
      <c r="K73" s="313">
        <v>0.09</v>
      </c>
      <c r="L73" s="313">
        <v>0.08</v>
      </c>
      <c r="M73" s="313">
        <v>0.09</v>
      </c>
      <c r="N73" s="313">
        <v>0.08</v>
      </c>
      <c r="O73" s="313">
        <v>0.09</v>
      </c>
      <c r="P73" s="313">
        <v>0.08</v>
      </c>
      <c r="Q73" s="313">
        <v>0.08</v>
      </c>
      <c r="R73" s="313">
        <v>0.08</v>
      </c>
      <c r="S73" s="313">
        <v>0.08</v>
      </c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  <c r="AF73" s="314"/>
      <c r="AG73" s="314"/>
      <c r="AH73" s="314"/>
      <c r="AI73" s="314"/>
      <c r="AJ73" s="314"/>
      <c r="AK73" s="314"/>
      <c r="AL73" s="314"/>
      <c r="AM73" s="314"/>
      <c r="AN73" s="314"/>
      <c r="AO73" s="314"/>
      <c r="AP73" s="314"/>
      <c r="AQ73" s="314"/>
      <c r="AR73" s="315">
        <f t="shared" ref="AR73:AR78" si="64">SUM(H73:AQ73)</f>
        <v>0.99999999999999978</v>
      </c>
      <c r="AS73" s="2506">
        <f>1-AR73</f>
        <v>0</v>
      </c>
      <c r="AU73" s="2507">
        <f>+COUNT(H73:AQ74)</f>
        <v>48</v>
      </c>
      <c r="AW73" s="274" t="str">
        <f>IF(F73="","X",F73)</f>
        <v>ND</v>
      </c>
      <c r="AX73" s="274" t="str">
        <f t="shared" ref="AX73:AX78" ca="1" si="65">IF($A$72=0,"","X")</f>
        <v>X</v>
      </c>
    </row>
    <row r="74" spans="1:50" s="274" customFormat="1" ht="18" hidden="1" customHeight="1">
      <c r="A74" s="2499"/>
      <c r="B74" s="2502"/>
      <c r="C74" s="311" t="str">
        <f ca="1">CONCATENATE(Orcamento!K79," ",Orcamento!O79)</f>
        <v xml:space="preserve"> SUB-TOTAL 0</v>
      </c>
      <c r="D74" s="2504">
        <f>Orcamento!T26</f>
        <v>2959263.83</v>
      </c>
      <c r="E74" s="2505"/>
      <c r="F74" s="316" t="s">
        <v>1193</v>
      </c>
      <c r="G74" s="316"/>
      <c r="H74" s="314">
        <f t="shared" ref="H74:AQ74" si="66">H73</f>
        <v>0.08</v>
      </c>
      <c r="I74" s="314">
        <f t="shared" si="66"/>
        <v>0.09</v>
      </c>
      <c r="J74" s="314">
        <f t="shared" si="66"/>
        <v>0.08</v>
      </c>
      <c r="K74" s="314">
        <f t="shared" si="66"/>
        <v>0.09</v>
      </c>
      <c r="L74" s="314">
        <f t="shared" si="66"/>
        <v>0.08</v>
      </c>
      <c r="M74" s="314">
        <f t="shared" si="66"/>
        <v>0.09</v>
      </c>
      <c r="N74" s="314">
        <f t="shared" si="66"/>
        <v>0.08</v>
      </c>
      <c r="O74" s="314">
        <f t="shared" si="66"/>
        <v>0.09</v>
      </c>
      <c r="P74" s="314">
        <f t="shared" si="66"/>
        <v>0.08</v>
      </c>
      <c r="Q74" s="314">
        <f t="shared" si="66"/>
        <v>0.08</v>
      </c>
      <c r="R74" s="314">
        <f t="shared" si="66"/>
        <v>0.08</v>
      </c>
      <c r="S74" s="314">
        <f t="shared" si="66"/>
        <v>0.08</v>
      </c>
      <c r="T74" s="314">
        <f t="shared" si="66"/>
        <v>0</v>
      </c>
      <c r="U74" s="314">
        <f t="shared" si="66"/>
        <v>0</v>
      </c>
      <c r="V74" s="314">
        <f t="shared" si="66"/>
        <v>0</v>
      </c>
      <c r="W74" s="314">
        <f t="shared" si="66"/>
        <v>0</v>
      </c>
      <c r="X74" s="314">
        <f t="shared" si="66"/>
        <v>0</v>
      </c>
      <c r="Y74" s="314">
        <f t="shared" si="66"/>
        <v>0</v>
      </c>
      <c r="Z74" s="314">
        <f t="shared" si="66"/>
        <v>0</v>
      </c>
      <c r="AA74" s="314">
        <f t="shared" si="66"/>
        <v>0</v>
      </c>
      <c r="AB74" s="314">
        <f t="shared" si="66"/>
        <v>0</v>
      </c>
      <c r="AC74" s="314">
        <f t="shared" si="66"/>
        <v>0</v>
      </c>
      <c r="AD74" s="314">
        <f t="shared" si="66"/>
        <v>0</v>
      </c>
      <c r="AE74" s="314">
        <f t="shared" si="66"/>
        <v>0</v>
      </c>
      <c r="AF74" s="314">
        <f t="shared" si="66"/>
        <v>0</v>
      </c>
      <c r="AG74" s="314">
        <f t="shared" si="66"/>
        <v>0</v>
      </c>
      <c r="AH74" s="314">
        <f t="shared" si="66"/>
        <v>0</v>
      </c>
      <c r="AI74" s="314">
        <f t="shared" si="66"/>
        <v>0</v>
      </c>
      <c r="AJ74" s="314">
        <f t="shared" si="66"/>
        <v>0</v>
      </c>
      <c r="AK74" s="314">
        <f t="shared" si="66"/>
        <v>0</v>
      </c>
      <c r="AL74" s="314">
        <f t="shared" si="66"/>
        <v>0</v>
      </c>
      <c r="AM74" s="314">
        <f t="shared" si="66"/>
        <v>0</v>
      </c>
      <c r="AN74" s="314">
        <f t="shared" si="66"/>
        <v>0</v>
      </c>
      <c r="AO74" s="314">
        <f t="shared" si="66"/>
        <v>0</v>
      </c>
      <c r="AP74" s="314">
        <f t="shared" si="66"/>
        <v>0</v>
      </c>
      <c r="AQ74" s="314">
        <f t="shared" si="66"/>
        <v>0</v>
      </c>
      <c r="AR74" s="315">
        <f t="shared" si="64"/>
        <v>0.99999999999999978</v>
      </c>
      <c r="AS74" s="2506"/>
      <c r="AU74" s="2507"/>
      <c r="AW74" s="274" t="str">
        <f>IF(F74="","X",F74)</f>
        <v>DE</v>
      </c>
      <c r="AX74" s="274" t="str">
        <f t="shared" ca="1" si="65"/>
        <v>X</v>
      </c>
    </row>
    <row r="75" spans="1:50" s="274" customFormat="1" ht="18" customHeight="1" thickBot="1">
      <c r="A75" s="2499"/>
      <c r="B75" s="2502"/>
      <c r="C75" s="311"/>
      <c r="D75" s="317" t="s">
        <v>1194</v>
      </c>
      <c r="E75" s="2508">
        <f>$D$159</f>
        <v>1</v>
      </c>
      <c r="F75" s="318" t="s">
        <v>1192</v>
      </c>
      <c r="G75" s="318" t="str">
        <f>D75&amp;" | "&amp;F75</f>
        <v>CONCEDENTE | ND</v>
      </c>
      <c r="H75" s="319">
        <f t="shared" ref="H75:AQ75" si="67">IF($D73=0,0,IF(H73=0,0,($E75*$D73*H73)+$AU$163))</f>
        <v>231196.57839999997</v>
      </c>
      <c r="I75" s="319">
        <f t="shared" si="67"/>
        <v>260096.15069999994</v>
      </c>
      <c r="J75" s="319">
        <f t="shared" si="67"/>
        <v>231196.57839999997</v>
      </c>
      <c r="K75" s="319">
        <f t="shared" si="67"/>
        <v>260096.15069999994</v>
      </c>
      <c r="L75" s="319">
        <f t="shared" si="67"/>
        <v>231196.57839999997</v>
      </c>
      <c r="M75" s="319">
        <f t="shared" si="67"/>
        <v>260096.15069999994</v>
      </c>
      <c r="N75" s="319">
        <f t="shared" si="67"/>
        <v>231196.57839999997</v>
      </c>
      <c r="O75" s="319">
        <f t="shared" si="67"/>
        <v>260096.15069999994</v>
      </c>
      <c r="P75" s="319">
        <f t="shared" si="67"/>
        <v>231196.57839999997</v>
      </c>
      <c r="Q75" s="319">
        <f t="shared" si="67"/>
        <v>231196.57839999997</v>
      </c>
      <c r="R75" s="319">
        <f t="shared" si="67"/>
        <v>231196.57839999997</v>
      </c>
      <c r="S75" s="319">
        <f t="shared" si="67"/>
        <v>231196.57839999997</v>
      </c>
      <c r="T75" s="319">
        <f t="shared" si="67"/>
        <v>0</v>
      </c>
      <c r="U75" s="319">
        <f t="shared" si="67"/>
        <v>0</v>
      </c>
      <c r="V75" s="319">
        <f t="shared" si="67"/>
        <v>0</v>
      </c>
      <c r="W75" s="319">
        <f t="shared" si="67"/>
        <v>0</v>
      </c>
      <c r="X75" s="319">
        <f t="shared" si="67"/>
        <v>0</v>
      </c>
      <c r="Y75" s="319">
        <f t="shared" si="67"/>
        <v>0</v>
      </c>
      <c r="Z75" s="319">
        <f t="shared" si="67"/>
        <v>0</v>
      </c>
      <c r="AA75" s="319">
        <f t="shared" si="67"/>
        <v>0</v>
      </c>
      <c r="AB75" s="319">
        <f t="shared" si="67"/>
        <v>0</v>
      </c>
      <c r="AC75" s="319">
        <f t="shared" si="67"/>
        <v>0</v>
      </c>
      <c r="AD75" s="319">
        <f t="shared" si="67"/>
        <v>0</v>
      </c>
      <c r="AE75" s="319">
        <f t="shared" si="67"/>
        <v>0</v>
      </c>
      <c r="AF75" s="319">
        <f t="shared" si="67"/>
        <v>0</v>
      </c>
      <c r="AG75" s="319">
        <f t="shared" si="67"/>
        <v>0</v>
      </c>
      <c r="AH75" s="319">
        <f t="shared" si="67"/>
        <v>0</v>
      </c>
      <c r="AI75" s="319">
        <f t="shared" si="67"/>
        <v>0</v>
      </c>
      <c r="AJ75" s="319">
        <f t="shared" si="67"/>
        <v>0</v>
      </c>
      <c r="AK75" s="319">
        <f t="shared" si="67"/>
        <v>0</v>
      </c>
      <c r="AL75" s="319">
        <f t="shared" si="67"/>
        <v>0</v>
      </c>
      <c r="AM75" s="319">
        <f t="shared" si="67"/>
        <v>0</v>
      </c>
      <c r="AN75" s="319">
        <f t="shared" si="67"/>
        <v>0</v>
      </c>
      <c r="AO75" s="319">
        <f t="shared" si="67"/>
        <v>0</v>
      </c>
      <c r="AP75" s="319">
        <f t="shared" si="67"/>
        <v>0</v>
      </c>
      <c r="AQ75" s="319">
        <f t="shared" si="67"/>
        <v>0</v>
      </c>
      <c r="AR75" s="320">
        <f t="shared" si="64"/>
        <v>2889957.2299999995</v>
      </c>
      <c r="AS75" s="321">
        <f>TRUNC(AR75-D73*E75,2)</f>
        <v>0</v>
      </c>
      <c r="AT75" s="322">
        <f>+AR75/D73</f>
        <v>1</v>
      </c>
      <c r="AW75" s="274" t="str">
        <f>IF(F75="","X",IF(AND(E75&gt;0),F75,"-"))</f>
        <v>ND</v>
      </c>
      <c r="AX75" s="274" t="str">
        <f t="shared" ca="1" si="65"/>
        <v>X</v>
      </c>
    </row>
    <row r="76" spans="1:50" s="274" customFormat="1" ht="18" hidden="1" customHeight="1">
      <c r="A76" s="2499"/>
      <c r="B76" s="2502"/>
      <c r="C76" s="311"/>
      <c r="D76" s="317" t="s">
        <v>1194</v>
      </c>
      <c r="E76" s="2509"/>
      <c r="F76" s="323" t="s">
        <v>1193</v>
      </c>
      <c r="G76" s="323" t="str">
        <f>D76&amp;" | "&amp;F76</f>
        <v>CONCEDENTE | DE</v>
      </c>
      <c r="H76" s="319">
        <f t="shared" ref="H76:AQ76" si="68">IF($D74=0,0,IF(H74=0,0,($E75*$D74*H74)+$AU$163))</f>
        <v>236741.10640000002</v>
      </c>
      <c r="I76" s="319">
        <f t="shared" si="68"/>
        <v>266333.74469999998</v>
      </c>
      <c r="J76" s="319">
        <f t="shared" si="68"/>
        <v>236741.10640000002</v>
      </c>
      <c r="K76" s="319">
        <f t="shared" si="68"/>
        <v>266333.74469999998</v>
      </c>
      <c r="L76" s="319">
        <f t="shared" si="68"/>
        <v>236741.10640000002</v>
      </c>
      <c r="M76" s="319">
        <f t="shared" si="68"/>
        <v>266333.74469999998</v>
      </c>
      <c r="N76" s="319">
        <f t="shared" si="68"/>
        <v>236741.10640000002</v>
      </c>
      <c r="O76" s="319">
        <f t="shared" si="68"/>
        <v>266333.74469999998</v>
      </c>
      <c r="P76" s="319">
        <f t="shared" si="68"/>
        <v>236741.10640000002</v>
      </c>
      <c r="Q76" s="319">
        <f t="shared" si="68"/>
        <v>236741.10640000002</v>
      </c>
      <c r="R76" s="319">
        <f t="shared" si="68"/>
        <v>236741.10640000002</v>
      </c>
      <c r="S76" s="319">
        <f t="shared" si="68"/>
        <v>236741.10640000002</v>
      </c>
      <c r="T76" s="319">
        <f t="shared" si="68"/>
        <v>0</v>
      </c>
      <c r="U76" s="319">
        <f t="shared" si="68"/>
        <v>0</v>
      </c>
      <c r="V76" s="319">
        <f t="shared" si="68"/>
        <v>0</v>
      </c>
      <c r="W76" s="319">
        <f t="shared" si="68"/>
        <v>0</v>
      </c>
      <c r="X76" s="319">
        <f t="shared" si="68"/>
        <v>0</v>
      </c>
      <c r="Y76" s="319">
        <f t="shared" si="68"/>
        <v>0</v>
      </c>
      <c r="Z76" s="319">
        <f t="shared" si="68"/>
        <v>0</v>
      </c>
      <c r="AA76" s="319">
        <f t="shared" si="68"/>
        <v>0</v>
      </c>
      <c r="AB76" s="319">
        <f t="shared" si="68"/>
        <v>0</v>
      </c>
      <c r="AC76" s="319">
        <f t="shared" si="68"/>
        <v>0</v>
      </c>
      <c r="AD76" s="319">
        <f t="shared" si="68"/>
        <v>0</v>
      </c>
      <c r="AE76" s="319">
        <f t="shared" si="68"/>
        <v>0</v>
      </c>
      <c r="AF76" s="319">
        <f t="shared" si="68"/>
        <v>0</v>
      </c>
      <c r="AG76" s="319">
        <f t="shared" si="68"/>
        <v>0</v>
      </c>
      <c r="AH76" s="319">
        <f t="shared" si="68"/>
        <v>0</v>
      </c>
      <c r="AI76" s="319">
        <f t="shared" si="68"/>
        <v>0</v>
      </c>
      <c r="AJ76" s="319">
        <f t="shared" si="68"/>
        <v>0</v>
      </c>
      <c r="AK76" s="319">
        <f t="shared" si="68"/>
        <v>0</v>
      </c>
      <c r="AL76" s="319">
        <f t="shared" si="68"/>
        <v>0</v>
      </c>
      <c r="AM76" s="319">
        <f t="shared" si="68"/>
        <v>0</v>
      </c>
      <c r="AN76" s="319">
        <f t="shared" si="68"/>
        <v>0</v>
      </c>
      <c r="AO76" s="319">
        <f t="shared" si="68"/>
        <v>0</v>
      </c>
      <c r="AP76" s="319">
        <f t="shared" si="68"/>
        <v>0</v>
      </c>
      <c r="AQ76" s="319">
        <f t="shared" si="68"/>
        <v>0</v>
      </c>
      <c r="AR76" s="320">
        <f t="shared" si="64"/>
        <v>2959263.8299999996</v>
      </c>
      <c r="AS76" s="321">
        <f>TRUNC(AR76-D74*E75,2)</f>
        <v>0</v>
      </c>
      <c r="AT76" s="322">
        <f>+AR76/D74</f>
        <v>0.99999999999999989</v>
      </c>
      <c r="AW76" s="274" t="str">
        <f>IF(F76="","X",IF(AND(E75&gt;0),F76,"-"))</f>
        <v>DE</v>
      </c>
      <c r="AX76" s="274" t="str">
        <f t="shared" ca="1" si="65"/>
        <v>X</v>
      </c>
    </row>
    <row r="77" spans="1:50" s="274" customFormat="1" ht="18" hidden="1" customHeight="1" thickBot="1">
      <c r="A77" s="2499"/>
      <c r="B77" s="2502"/>
      <c r="C77" s="324"/>
      <c r="D77" s="325" t="s">
        <v>1195</v>
      </c>
      <c r="E77" s="2510">
        <f>1-E75</f>
        <v>0</v>
      </c>
      <c r="F77" s="326" t="s">
        <v>1192</v>
      </c>
      <c r="G77" s="326" t="str">
        <f>D77&amp;" | "&amp;F77</f>
        <v>PROPONENTE | ND</v>
      </c>
      <c r="H77" s="327">
        <f>($D73*H73-H75)</f>
        <v>0</v>
      </c>
      <c r="I77" s="327">
        <f t="shared" ref="I77:AQ78" si="69">($D73*I73-I75)</f>
        <v>0</v>
      </c>
      <c r="J77" s="327">
        <f t="shared" si="69"/>
        <v>0</v>
      </c>
      <c r="K77" s="327">
        <f t="shared" si="69"/>
        <v>0</v>
      </c>
      <c r="L77" s="327">
        <f t="shared" si="69"/>
        <v>0</v>
      </c>
      <c r="M77" s="327">
        <f t="shared" si="69"/>
        <v>0</v>
      </c>
      <c r="N77" s="327">
        <f t="shared" si="69"/>
        <v>0</v>
      </c>
      <c r="O77" s="327">
        <f t="shared" si="69"/>
        <v>0</v>
      </c>
      <c r="P77" s="327">
        <f t="shared" si="69"/>
        <v>0</v>
      </c>
      <c r="Q77" s="327">
        <f t="shared" si="69"/>
        <v>0</v>
      </c>
      <c r="R77" s="327">
        <f t="shared" si="69"/>
        <v>0</v>
      </c>
      <c r="S77" s="327">
        <f t="shared" si="69"/>
        <v>0</v>
      </c>
      <c r="T77" s="327">
        <f t="shared" si="69"/>
        <v>0</v>
      </c>
      <c r="U77" s="327">
        <f t="shared" si="69"/>
        <v>0</v>
      </c>
      <c r="V77" s="327">
        <f t="shared" si="69"/>
        <v>0</v>
      </c>
      <c r="W77" s="327">
        <f t="shared" si="69"/>
        <v>0</v>
      </c>
      <c r="X77" s="327">
        <f t="shared" si="69"/>
        <v>0</v>
      </c>
      <c r="Y77" s="327">
        <f t="shared" si="69"/>
        <v>0</v>
      </c>
      <c r="Z77" s="327">
        <f t="shared" si="69"/>
        <v>0</v>
      </c>
      <c r="AA77" s="327">
        <f t="shared" si="69"/>
        <v>0</v>
      </c>
      <c r="AB77" s="327">
        <f t="shared" si="69"/>
        <v>0</v>
      </c>
      <c r="AC77" s="327">
        <f t="shared" si="69"/>
        <v>0</v>
      </c>
      <c r="AD77" s="327">
        <f t="shared" si="69"/>
        <v>0</v>
      </c>
      <c r="AE77" s="327">
        <f t="shared" si="69"/>
        <v>0</v>
      </c>
      <c r="AF77" s="327">
        <f t="shared" si="69"/>
        <v>0</v>
      </c>
      <c r="AG77" s="327">
        <f t="shared" si="69"/>
        <v>0</v>
      </c>
      <c r="AH77" s="327">
        <f t="shared" si="69"/>
        <v>0</v>
      </c>
      <c r="AI77" s="327">
        <f t="shared" si="69"/>
        <v>0</v>
      </c>
      <c r="AJ77" s="327">
        <f t="shared" si="69"/>
        <v>0</v>
      </c>
      <c r="AK77" s="327">
        <f t="shared" si="69"/>
        <v>0</v>
      </c>
      <c r="AL77" s="327">
        <f t="shared" si="69"/>
        <v>0</v>
      </c>
      <c r="AM77" s="327">
        <f t="shared" si="69"/>
        <v>0</v>
      </c>
      <c r="AN77" s="327">
        <f t="shared" si="69"/>
        <v>0</v>
      </c>
      <c r="AO77" s="327">
        <f t="shared" si="69"/>
        <v>0</v>
      </c>
      <c r="AP77" s="327">
        <f t="shared" si="69"/>
        <v>0</v>
      </c>
      <c r="AQ77" s="327">
        <f t="shared" si="69"/>
        <v>0</v>
      </c>
      <c r="AR77" s="328">
        <f t="shared" si="64"/>
        <v>0</v>
      </c>
      <c r="AS77" s="321">
        <f>+D73-AR75-AR77</f>
        <v>0</v>
      </c>
      <c r="AW77" s="274" t="str">
        <f>IF(F77="","X",IF(AND(E77&gt;0),F77,"-"))</f>
        <v>-</v>
      </c>
      <c r="AX77" s="274" t="str">
        <f t="shared" ca="1" si="65"/>
        <v>X</v>
      </c>
    </row>
    <row r="78" spans="1:50" s="274" customFormat="1" ht="18" hidden="1" customHeight="1" thickBot="1">
      <c r="A78" s="2500"/>
      <c r="B78" s="2503"/>
      <c r="C78" s="324"/>
      <c r="D78" s="325" t="s">
        <v>1195</v>
      </c>
      <c r="E78" s="2511"/>
      <c r="F78" s="329" t="s">
        <v>1193</v>
      </c>
      <c r="G78" s="329" t="str">
        <f>D78&amp;" | "&amp;F78</f>
        <v>PROPONENTE | DE</v>
      </c>
      <c r="H78" s="327">
        <f>($D74*H74-H76)</f>
        <v>0</v>
      </c>
      <c r="I78" s="327">
        <f t="shared" si="69"/>
        <v>0</v>
      </c>
      <c r="J78" s="327">
        <f t="shared" si="69"/>
        <v>0</v>
      </c>
      <c r="K78" s="327">
        <f t="shared" si="69"/>
        <v>0</v>
      </c>
      <c r="L78" s="327">
        <f t="shared" si="69"/>
        <v>0</v>
      </c>
      <c r="M78" s="327">
        <f t="shared" si="69"/>
        <v>0</v>
      </c>
      <c r="N78" s="327">
        <f t="shared" si="69"/>
        <v>0</v>
      </c>
      <c r="O78" s="327">
        <f t="shared" si="69"/>
        <v>0</v>
      </c>
      <c r="P78" s="327">
        <f t="shared" si="69"/>
        <v>0</v>
      </c>
      <c r="Q78" s="327">
        <f t="shared" si="69"/>
        <v>0</v>
      </c>
      <c r="R78" s="327">
        <f t="shared" si="69"/>
        <v>0</v>
      </c>
      <c r="S78" s="327">
        <f t="shared" si="69"/>
        <v>0</v>
      </c>
      <c r="T78" s="327">
        <f t="shared" si="69"/>
        <v>0</v>
      </c>
      <c r="U78" s="327">
        <f t="shared" si="69"/>
        <v>0</v>
      </c>
      <c r="V78" s="327">
        <f t="shared" si="69"/>
        <v>0</v>
      </c>
      <c r="W78" s="327">
        <f t="shared" si="69"/>
        <v>0</v>
      </c>
      <c r="X78" s="327">
        <f t="shared" si="69"/>
        <v>0</v>
      </c>
      <c r="Y78" s="327">
        <f t="shared" si="69"/>
        <v>0</v>
      </c>
      <c r="Z78" s="327">
        <f t="shared" si="69"/>
        <v>0</v>
      </c>
      <c r="AA78" s="327">
        <f t="shared" si="69"/>
        <v>0</v>
      </c>
      <c r="AB78" s="327">
        <f t="shared" si="69"/>
        <v>0</v>
      </c>
      <c r="AC78" s="327">
        <f t="shared" si="69"/>
        <v>0</v>
      </c>
      <c r="AD78" s="327">
        <f t="shared" si="69"/>
        <v>0</v>
      </c>
      <c r="AE78" s="327">
        <f t="shared" si="69"/>
        <v>0</v>
      </c>
      <c r="AF78" s="327">
        <f t="shared" si="69"/>
        <v>0</v>
      </c>
      <c r="AG78" s="327">
        <f t="shared" si="69"/>
        <v>0</v>
      </c>
      <c r="AH78" s="327">
        <f t="shared" si="69"/>
        <v>0</v>
      </c>
      <c r="AI78" s="327">
        <f t="shared" si="69"/>
        <v>0</v>
      </c>
      <c r="AJ78" s="327">
        <f t="shared" si="69"/>
        <v>0</v>
      </c>
      <c r="AK78" s="327">
        <f t="shared" si="69"/>
        <v>0</v>
      </c>
      <c r="AL78" s="327">
        <f t="shared" si="69"/>
        <v>0</v>
      </c>
      <c r="AM78" s="327">
        <f t="shared" si="69"/>
        <v>0</v>
      </c>
      <c r="AN78" s="327">
        <f t="shared" si="69"/>
        <v>0</v>
      </c>
      <c r="AO78" s="327">
        <f t="shared" si="69"/>
        <v>0</v>
      </c>
      <c r="AP78" s="327">
        <f t="shared" si="69"/>
        <v>0</v>
      </c>
      <c r="AQ78" s="327">
        <f t="shared" si="69"/>
        <v>0</v>
      </c>
      <c r="AR78" s="328">
        <f t="shared" si="64"/>
        <v>0</v>
      </c>
      <c r="AS78" s="321">
        <f>+D74-AR76-AR78</f>
        <v>4.6566128730773926E-10</v>
      </c>
      <c r="AW78" s="274" t="str">
        <f>IF(F78="","X",IF(AND(E77&gt;0),F78,"-"))</f>
        <v>-</v>
      </c>
      <c r="AX78" s="274" t="str">
        <f t="shared" ca="1" si="65"/>
        <v>X</v>
      </c>
    </row>
    <row r="79" spans="1:50" s="274" customFormat="1" ht="9.9499999999999993" hidden="1" customHeight="1">
      <c r="A79" s="2498">
        <f ca="1">Orcamento!B27</f>
        <v>0</v>
      </c>
      <c r="B79" s="2501" t="str">
        <f>Orcamento!D27</f>
        <v>RESTAURAÇÃO DO PAVIMENTO - RECAPEAMENTO ASFÁLTICO</v>
      </c>
      <c r="C79" s="305"/>
      <c r="D79" s="306"/>
      <c r="E79" s="307"/>
      <c r="F79" s="307"/>
      <c r="G79" s="307"/>
      <c r="H79" s="308">
        <f t="shared" ref="H79:AQ79" si="70">H80</f>
        <v>0</v>
      </c>
      <c r="I79" s="308">
        <f t="shared" si="70"/>
        <v>0</v>
      </c>
      <c r="J79" s="308">
        <f t="shared" si="70"/>
        <v>0</v>
      </c>
      <c r="K79" s="308">
        <f t="shared" si="70"/>
        <v>0</v>
      </c>
      <c r="L79" s="308">
        <f t="shared" si="70"/>
        <v>0</v>
      </c>
      <c r="M79" s="308">
        <f t="shared" si="70"/>
        <v>0</v>
      </c>
      <c r="N79" s="308">
        <f t="shared" si="70"/>
        <v>0</v>
      </c>
      <c r="O79" s="308">
        <f t="shared" si="70"/>
        <v>0</v>
      </c>
      <c r="P79" s="308">
        <f t="shared" si="70"/>
        <v>0</v>
      </c>
      <c r="Q79" s="308">
        <f t="shared" si="70"/>
        <v>0</v>
      </c>
      <c r="R79" s="308">
        <f t="shared" si="70"/>
        <v>0</v>
      </c>
      <c r="S79" s="308">
        <f t="shared" si="70"/>
        <v>0</v>
      </c>
      <c r="T79" s="308">
        <f t="shared" si="70"/>
        <v>0</v>
      </c>
      <c r="U79" s="308">
        <f t="shared" si="70"/>
        <v>0</v>
      </c>
      <c r="V79" s="308">
        <f t="shared" si="70"/>
        <v>0</v>
      </c>
      <c r="W79" s="308">
        <f t="shared" si="70"/>
        <v>0</v>
      </c>
      <c r="X79" s="308">
        <f t="shared" si="70"/>
        <v>0</v>
      </c>
      <c r="Y79" s="308">
        <f t="shared" si="70"/>
        <v>0</v>
      </c>
      <c r="Z79" s="308">
        <f t="shared" si="70"/>
        <v>0</v>
      </c>
      <c r="AA79" s="308">
        <f t="shared" si="70"/>
        <v>0</v>
      </c>
      <c r="AB79" s="308">
        <f t="shared" si="70"/>
        <v>0</v>
      </c>
      <c r="AC79" s="308">
        <f t="shared" si="70"/>
        <v>0</v>
      </c>
      <c r="AD79" s="308">
        <f t="shared" si="70"/>
        <v>0</v>
      </c>
      <c r="AE79" s="308">
        <f t="shared" si="70"/>
        <v>0</v>
      </c>
      <c r="AF79" s="308">
        <f t="shared" si="70"/>
        <v>0</v>
      </c>
      <c r="AG79" s="308">
        <f t="shared" si="70"/>
        <v>0</v>
      </c>
      <c r="AH79" s="308">
        <f t="shared" si="70"/>
        <v>0</v>
      </c>
      <c r="AI79" s="308">
        <f t="shared" si="70"/>
        <v>0</v>
      </c>
      <c r="AJ79" s="308">
        <f t="shared" si="70"/>
        <v>0</v>
      </c>
      <c r="AK79" s="308">
        <f t="shared" si="70"/>
        <v>0</v>
      </c>
      <c r="AL79" s="308">
        <f t="shared" si="70"/>
        <v>0</v>
      </c>
      <c r="AM79" s="308">
        <f t="shared" si="70"/>
        <v>0</v>
      </c>
      <c r="AN79" s="308">
        <f t="shared" si="70"/>
        <v>0</v>
      </c>
      <c r="AO79" s="308">
        <f t="shared" si="70"/>
        <v>0</v>
      </c>
      <c r="AP79" s="308">
        <f t="shared" si="70"/>
        <v>0</v>
      </c>
      <c r="AQ79" s="308">
        <f t="shared" si="70"/>
        <v>0</v>
      </c>
      <c r="AR79" s="309"/>
      <c r="AS79" s="310">
        <f>+D81-AR83-AR85</f>
        <v>0</v>
      </c>
      <c r="AW79" s="274" t="str">
        <f>IF(F79="","X",F79)</f>
        <v>X</v>
      </c>
      <c r="AX79" s="274" t="str">
        <f ca="1">IF($A$79=0,"","X")</f>
        <v/>
      </c>
    </row>
    <row r="80" spans="1:50" s="274" customFormat="1" ht="18" hidden="1" customHeight="1">
      <c r="A80" s="2499"/>
      <c r="B80" s="2502"/>
      <c r="C80" s="311" t="str">
        <f>CONCATENATE(Orcamento!K85," ",Orcamento!O85)</f>
        <v>0 109,22</v>
      </c>
      <c r="D80" s="2504">
        <f>Orcamento!S27</f>
        <v>0</v>
      </c>
      <c r="E80" s="2505"/>
      <c r="F80" s="312" t="s">
        <v>1192</v>
      </c>
      <c r="G80" s="312"/>
      <c r="H80" s="314"/>
      <c r="I80" s="314"/>
      <c r="J80" s="314"/>
      <c r="K80" s="314"/>
      <c r="L80" s="314"/>
      <c r="M80" s="314"/>
      <c r="N80" s="314"/>
      <c r="O80" s="314"/>
      <c r="P80" s="314"/>
      <c r="Q80" s="314"/>
      <c r="R80" s="314"/>
      <c r="S80" s="314"/>
      <c r="T80" s="314"/>
      <c r="U80" s="314"/>
      <c r="V80" s="314"/>
      <c r="W80" s="314"/>
      <c r="X80" s="314"/>
      <c r="Y80" s="314"/>
      <c r="Z80" s="314"/>
      <c r="AA80" s="314"/>
      <c r="AB80" s="314"/>
      <c r="AC80" s="314"/>
      <c r="AD80" s="314"/>
      <c r="AE80" s="314"/>
      <c r="AF80" s="314"/>
      <c r="AG80" s="314"/>
      <c r="AH80" s="314"/>
      <c r="AI80" s="314"/>
      <c r="AJ80" s="314"/>
      <c r="AK80" s="314"/>
      <c r="AL80" s="314"/>
      <c r="AM80" s="314"/>
      <c r="AN80" s="314"/>
      <c r="AO80" s="314"/>
      <c r="AP80" s="314"/>
      <c r="AQ80" s="314"/>
      <c r="AR80" s="315">
        <f t="shared" ref="AR80:AR85" si="71">SUM(H80:AQ80)</f>
        <v>0</v>
      </c>
      <c r="AS80" s="2506">
        <f>1-AR80</f>
        <v>1</v>
      </c>
      <c r="AU80" s="2507">
        <f>+COUNT(H80:AQ81)</f>
        <v>36</v>
      </c>
      <c r="AW80" s="274" t="str">
        <f>IF(F80="","X",F80)</f>
        <v>ND</v>
      </c>
      <c r="AX80" s="274" t="str">
        <f t="shared" ref="AX80:AX85" ca="1" si="72">IF($A$79=0,"","X")</f>
        <v/>
      </c>
    </row>
    <row r="81" spans="1:50" s="274" customFormat="1" ht="18" hidden="1" customHeight="1">
      <c r="A81" s="2499"/>
      <c r="B81" s="2502"/>
      <c r="C81" s="311" t="str">
        <f>CONCATENATE(Orcamento!K86," ",Orcamento!O86)</f>
        <v>0 14,32</v>
      </c>
      <c r="D81" s="2504">
        <f>Orcamento!T27</f>
        <v>0</v>
      </c>
      <c r="E81" s="2505"/>
      <c r="F81" s="316" t="s">
        <v>1193</v>
      </c>
      <c r="G81" s="316"/>
      <c r="H81" s="314">
        <f t="shared" ref="H81:AQ81" si="73">H80</f>
        <v>0</v>
      </c>
      <c r="I81" s="314">
        <f t="shared" si="73"/>
        <v>0</v>
      </c>
      <c r="J81" s="314">
        <f t="shared" si="73"/>
        <v>0</v>
      </c>
      <c r="K81" s="314">
        <f t="shared" si="73"/>
        <v>0</v>
      </c>
      <c r="L81" s="314">
        <f t="shared" si="73"/>
        <v>0</v>
      </c>
      <c r="M81" s="314">
        <f t="shared" si="73"/>
        <v>0</v>
      </c>
      <c r="N81" s="314">
        <f t="shared" si="73"/>
        <v>0</v>
      </c>
      <c r="O81" s="314">
        <f t="shared" si="73"/>
        <v>0</v>
      </c>
      <c r="P81" s="314">
        <f t="shared" si="73"/>
        <v>0</v>
      </c>
      <c r="Q81" s="314">
        <f t="shared" si="73"/>
        <v>0</v>
      </c>
      <c r="R81" s="314">
        <f t="shared" si="73"/>
        <v>0</v>
      </c>
      <c r="S81" s="314">
        <f t="shared" si="73"/>
        <v>0</v>
      </c>
      <c r="T81" s="314">
        <f t="shared" si="73"/>
        <v>0</v>
      </c>
      <c r="U81" s="314">
        <f t="shared" si="73"/>
        <v>0</v>
      </c>
      <c r="V81" s="314">
        <f t="shared" si="73"/>
        <v>0</v>
      </c>
      <c r="W81" s="314">
        <f t="shared" si="73"/>
        <v>0</v>
      </c>
      <c r="X81" s="314">
        <f t="shared" si="73"/>
        <v>0</v>
      </c>
      <c r="Y81" s="314">
        <f t="shared" si="73"/>
        <v>0</v>
      </c>
      <c r="Z81" s="314">
        <f t="shared" si="73"/>
        <v>0</v>
      </c>
      <c r="AA81" s="314">
        <f t="shared" si="73"/>
        <v>0</v>
      </c>
      <c r="AB81" s="314">
        <f t="shared" si="73"/>
        <v>0</v>
      </c>
      <c r="AC81" s="314">
        <f t="shared" si="73"/>
        <v>0</v>
      </c>
      <c r="AD81" s="314">
        <f t="shared" si="73"/>
        <v>0</v>
      </c>
      <c r="AE81" s="314">
        <f t="shared" si="73"/>
        <v>0</v>
      </c>
      <c r="AF81" s="314">
        <f t="shared" si="73"/>
        <v>0</v>
      </c>
      <c r="AG81" s="314">
        <f t="shared" si="73"/>
        <v>0</v>
      </c>
      <c r="AH81" s="314">
        <f t="shared" si="73"/>
        <v>0</v>
      </c>
      <c r="AI81" s="314">
        <f t="shared" si="73"/>
        <v>0</v>
      </c>
      <c r="AJ81" s="314">
        <f t="shared" si="73"/>
        <v>0</v>
      </c>
      <c r="AK81" s="314">
        <f t="shared" si="73"/>
        <v>0</v>
      </c>
      <c r="AL81" s="314">
        <f t="shared" si="73"/>
        <v>0</v>
      </c>
      <c r="AM81" s="314">
        <f t="shared" si="73"/>
        <v>0</v>
      </c>
      <c r="AN81" s="314">
        <f t="shared" si="73"/>
        <v>0</v>
      </c>
      <c r="AO81" s="314">
        <f t="shared" si="73"/>
        <v>0</v>
      </c>
      <c r="AP81" s="314">
        <f t="shared" si="73"/>
        <v>0</v>
      </c>
      <c r="AQ81" s="314">
        <f t="shared" si="73"/>
        <v>0</v>
      </c>
      <c r="AR81" s="315">
        <f t="shared" si="71"/>
        <v>0</v>
      </c>
      <c r="AS81" s="2506"/>
      <c r="AU81" s="2507"/>
      <c r="AW81" s="274" t="str">
        <f>IF(F81="","X",F81)</f>
        <v>DE</v>
      </c>
      <c r="AX81" s="274" t="str">
        <f t="shared" ca="1" si="72"/>
        <v/>
      </c>
    </row>
    <row r="82" spans="1:50" s="274" customFormat="1" ht="18" hidden="1" customHeight="1">
      <c r="A82" s="2499"/>
      <c r="B82" s="2502"/>
      <c r="C82" s="311"/>
      <c r="D82" s="317" t="s">
        <v>1194</v>
      </c>
      <c r="E82" s="2508">
        <f>$D$159</f>
        <v>1</v>
      </c>
      <c r="F82" s="318" t="s">
        <v>1192</v>
      </c>
      <c r="G82" s="318" t="str">
        <f>D82&amp;" | "&amp;F82</f>
        <v>CONCEDENTE | ND</v>
      </c>
      <c r="H82" s="319">
        <f t="shared" ref="H82:AQ82" si="74">IF($D80=0,0,IF(H80=0,0,($E82*$D80*H80)+$AU$163))</f>
        <v>0</v>
      </c>
      <c r="I82" s="319">
        <f t="shared" si="74"/>
        <v>0</v>
      </c>
      <c r="J82" s="319">
        <f t="shared" si="74"/>
        <v>0</v>
      </c>
      <c r="K82" s="319">
        <f t="shared" si="74"/>
        <v>0</v>
      </c>
      <c r="L82" s="319">
        <f t="shared" si="74"/>
        <v>0</v>
      </c>
      <c r="M82" s="319">
        <f t="shared" si="74"/>
        <v>0</v>
      </c>
      <c r="N82" s="319">
        <f t="shared" si="74"/>
        <v>0</v>
      </c>
      <c r="O82" s="319">
        <f t="shared" si="74"/>
        <v>0</v>
      </c>
      <c r="P82" s="319">
        <f t="shared" si="74"/>
        <v>0</v>
      </c>
      <c r="Q82" s="319">
        <f t="shared" si="74"/>
        <v>0</v>
      </c>
      <c r="R82" s="319">
        <f t="shared" si="74"/>
        <v>0</v>
      </c>
      <c r="S82" s="319">
        <f t="shared" si="74"/>
        <v>0</v>
      </c>
      <c r="T82" s="319">
        <f t="shared" si="74"/>
        <v>0</v>
      </c>
      <c r="U82" s="319">
        <f t="shared" si="74"/>
        <v>0</v>
      </c>
      <c r="V82" s="319">
        <f t="shared" si="74"/>
        <v>0</v>
      </c>
      <c r="W82" s="319">
        <f t="shared" si="74"/>
        <v>0</v>
      </c>
      <c r="X82" s="319">
        <f t="shared" si="74"/>
        <v>0</v>
      </c>
      <c r="Y82" s="319">
        <f t="shared" si="74"/>
        <v>0</v>
      </c>
      <c r="Z82" s="319">
        <f t="shared" si="74"/>
        <v>0</v>
      </c>
      <c r="AA82" s="319">
        <f t="shared" si="74"/>
        <v>0</v>
      </c>
      <c r="AB82" s="319">
        <f t="shared" si="74"/>
        <v>0</v>
      </c>
      <c r="AC82" s="319">
        <f t="shared" si="74"/>
        <v>0</v>
      </c>
      <c r="AD82" s="319">
        <f t="shared" si="74"/>
        <v>0</v>
      </c>
      <c r="AE82" s="319">
        <f t="shared" si="74"/>
        <v>0</v>
      </c>
      <c r="AF82" s="319">
        <f t="shared" si="74"/>
        <v>0</v>
      </c>
      <c r="AG82" s="319">
        <f t="shared" si="74"/>
        <v>0</v>
      </c>
      <c r="AH82" s="319">
        <f t="shared" si="74"/>
        <v>0</v>
      </c>
      <c r="AI82" s="319">
        <f t="shared" si="74"/>
        <v>0</v>
      </c>
      <c r="AJ82" s="319">
        <f t="shared" si="74"/>
        <v>0</v>
      </c>
      <c r="AK82" s="319">
        <f t="shared" si="74"/>
        <v>0</v>
      </c>
      <c r="AL82" s="319">
        <f t="shared" si="74"/>
        <v>0</v>
      </c>
      <c r="AM82" s="319">
        <f t="shared" si="74"/>
        <v>0</v>
      </c>
      <c r="AN82" s="319">
        <f t="shared" si="74"/>
        <v>0</v>
      </c>
      <c r="AO82" s="319">
        <f t="shared" si="74"/>
        <v>0</v>
      </c>
      <c r="AP82" s="319">
        <f t="shared" si="74"/>
        <v>0</v>
      </c>
      <c r="AQ82" s="319">
        <f t="shared" si="74"/>
        <v>0</v>
      </c>
      <c r="AR82" s="320">
        <f t="shared" si="71"/>
        <v>0</v>
      </c>
      <c r="AS82" s="321">
        <f>TRUNC(AR82-D80*E82,2)</f>
        <v>0</v>
      </c>
      <c r="AT82" s="322" t="e">
        <f>+AR82/D80</f>
        <v>#DIV/0!</v>
      </c>
      <c r="AW82" s="274" t="str">
        <f>IF(F82="","X",IF(AND(E82&gt;0),F82,"-"))</f>
        <v>ND</v>
      </c>
      <c r="AX82" s="274" t="str">
        <f t="shared" ca="1" si="72"/>
        <v/>
      </c>
    </row>
    <row r="83" spans="1:50" s="274" customFormat="1" ht="18" hidden="1" customHeight="1">
      <c r="A83" s="2499"/>
      <c r="B83" s="2502"/>
      <c r="C83" s="311"/>
      <c r="D83" s="317" t="s">
        <v>1194</v>
      </c>
      <c r="E83" s="2509"/>
      <c r="F83" s="323" t="s">
        <v>1193</v>
      </c>
      <c r="G83" s="323" t="str">
        <f>D83&amp;" | "&amp;F83</f>
        <v>CONCEDENTE | DE</v>
      </c>
      <c r="H83" s="319">
        <f t="shared" ref="H83:AQ83" si="75">IF($D81=0,0,IF(H81=0,0,($E82*$D81*H81)+$AU$163))</f>
        <v>0</v>
      </c>
      <c r="I83" s="319">
        <f t="shared" si="75"/>
        <v>0</v>
      </c>
      <c r="J83" s="319">
        <f t="shared" si="75"/>
        <v>0</v>
      </c>
      <c r="K83" s="319">
        <f t="shared" si="75"/>
        <v>0</v>
      </c>
      <c r="L83" s="319">
        <f t="shared" si="75"/>
        <v>0</v>
      </c>
      <c r="M83" s="319">
        <f t="shared" si="75"/>
        <v>0</v>
      </c>
      <c r="N83" s="319">
        <f t="shared" si="75"/>
        <v>0</v>
      </c>
      <c r="O83" s="319">
        <f t="shared" si="75"/>
        <v>0</v>
      </c>
      <c r="P83" s="319">
        <f t="shared" si="75"/>
        <v>0</v>
      </c>
      <c r="Q83" s="319">
        <f t="shared" si="75"/>
        <v>0</v>
      </c>
      <c r="R83" s="319">
        <f t="shared" si="75"/>
        <v>0</v>
      </c>
      <c r="S83" s="319">
        <f t="shared" si="75"/>
        <v>0</v>
      </c>
      <c r="T83" s="319">
        <f t="shared" si="75"/>
        <v>0</v>
      </c>
      <c r="U83" s="319">
        <f t="shared" si="75"/>
        <v>0</v>
      </c>
      <c r="V83" s="319">
        <f t="shared" si="75"/>
        <v>0</v>
      </c>
      <c r="W83" s="319">
        <f t="shared" si="75"/>
        <v>0</v>
      </c>
      <c r="X83" s="319">
        <f t="shared" si="75"/>
        <v>0</v>
      </c>
      <c r="Y83" s="319">
        <f t="shared" si="75"/>
        <v>0</v>
      </c>
      <c r="Z83" s="319">
        <f t="shared" si="75"/>
        <v>0</v>
      </c>
      <c r="AA83" s="319">
        <f t="shared" si="75"/>
        <v>0</v>
      </c>
      <c r="AB83" s="319">
        <f t="shared" si="75"/>
        <v>0</v>
      </c>
      <c r="AC83" s="319">
        <f t="shared" si="75"/>
        <v>0</v>
      </c>
      <c r="AD83" s="319">
        <f t="shared" si="75"/>
        <v>0</v>
      </c>
      <c r="AE83" s="319">
        <f t="shared" si="75"/>
        <v>0</v>
      </c>
      <c r="AF83" s="319">
        <f t="shared" si="75"/>
        <v>0</v>
      </c>
      <c r="AG83" s="319">
        <f t="shared" si="75"/>
        <v>0</v>
      </c>
      <c r="AH83" s="319">
        <f t="shared" si="75"/>
        <v>0</v>
      </c>
      <c r="AI83" s="319">
        <f t="shared" si="75"/>
        <v>0</v>
      </c>
      <c r="AJ83" s="319">
        <f t="shared" si="75"/>
        <v>0</v>
      </c>
      <c r="AK83" s="319">
        <f t="shared" si="75"/>
        <v>0</v>
      </c>
      <c r="AL83" s="319">
        <f t="shared" si="75"/>
        <v>0</v>
      </c>
      <c r="AM83" s="319">
        <f t="shared" si="75"/>
        <v>0</v>
      </c>
      <c r="AN83" s="319">
        <f t="shared" si="75"/>
        <v>0</v>
      </c>
      <c r="AO83" s="319">
        <f t="shared" si="75"/>
        <v>0</v>
      </c>
      <c r="AP83" s="319">
        <f t="shared" si="75"/>
        <v>0</v>
      </c>
      <c r="AQ83" s="319">
        <f t="shared" si="75"/>
        <v>0</v>
      </c>
      <c r="AR83" s="320">
        <f t="shared" si="71"/>
        <v>0</v>
      </c>
      <c r="AS83" s="321">
        <f>TRUNC(AR83-D81*E82,2)</f>
        <v>0</v>
      </c>
      <c r="AT83" s="322" t="e">
        <f>+AR83/D81</f>
        <v>#DIV/0!</v>
      </c>
      <c r="AW83" s="274" t="str">
        <f>IF(F83="","X",IF(AND(E82&gt;0),F83,"-"))</f>
        <v>DE</v>
      </c>
      <c r="AX83" s="274" t="str">
        <f t="shared" ca="1" si="72"/>
        <v/>
      </c>
    </row>
    <row r="84" spans="1:50" s="274" customFormat="1" ht="18" hidden="1" customHeight="1" thickBot="1">
      <c r="A84" s="2499"/>
      <c r="B84" s="2502"/>
      <c r="C84" s="324"/>
      <c r="D84" s="325" t="s">
        <v>1195</v>
      </c>
      <c r="E84" s="2510">
        <f>1-E82</f>
        <v>0</v>
      </c>
      <c r="F84" s="326" t="s">
        <v>1192</v>
      </c>
      <c r="G84" s="326" t="str">
        <f>D84&amp;" | "&amp;F84</f>
        <v>PROPONENTE | ND</v>
      </c>
      <c r="H84" s="327">
        <f>($D80*H80-H82)</f>
        <v>0</v>
      </c>
      <c r="I84" s="327">
        <f t="shared" ref="I84:AQ85" si="76">($D80*I80-I82)</f>
        <v>0</v>
      </c>
      <c r="J84" s="327">
        <f t="shared" si="76"/>
        <v>0</v>
      </c>
      <c r="K84" s="327">
        <f t="shared" si="76"/>
        <v>0</v>
      </c>
      <c r="L84" s="327">
        <f t="shared" si="76"/>
        <v>0</v>
      </c>
      <c r="M84" s="327">
        <f t="shared" si="76"/>
        <v>0</v>
      </c>
      <c r="N84" s="327">
        <f t="shared" si="76"/>
        <v>0</v>
      </c>
      <c r="O84" s="327">
        <f t="shared" si="76"/>
        <v>0</v>
      </c>
      <c r="P84" s="327">
        <f t="shared" si="76"/>
        <v>0</v>
      </c>
      <c r="Q84" s="327">
        <f t="shared" si="76"/>
        <v>0</v>
      </c>
      <c r="R84" s="327">
        <f t="shared" si="76"/>
        <v>0</v>
      </c>
      <c r="S84" s="327">
        <f t="shared" si="76"/>
        <v>0</v>
      </c>
      <c r="T84" s="327">
        <f t="shared" si="76"/>
        <v>0</v>
      </c>
      <c r="U84" s="327">
        <f t="shared" si="76"/>
        <v>0</v>
      </c>
      <c r="V84" s="327">
        <f t="shared" si="76"/>
        <v>0</v>
      </c>
      <c r="W84" s="327">
        <f t="shared" si="76"/>
        <v>0</v>
      </c>
      <c r="X84" s="327">
        <f t="shared" si="76"/>
        <v>0</v>
      </c>
      <c r="Y84" s="327">
        <f t="shared" si="76"/>
        <v>0</v>
      </c>
      <c r="Z84" s="327">
        <f t="shared" si="76"/>
        <v>0</v>
      </c>
      <c r="AA84" s="327">
        <f t="shared" si="76"/>
        <v>0</v>
      </c>
      <c r="AB84" s="327">
        <f t="shared" si="76"/>
        <v>0</v>
      </c>
      <c r="AC84" s="327">
        <f t="shared" si="76"/>
        <v>0</v>
      </c>
      <c r="AD84" s="327">
        <f t="shared" si="76"/>
        <v>0</v>
      </c>
      <c r="AE84" s="327">
        <f t="shared" si="76"/>
        <v>0</v>
      </c>
      <c r="AF84" s="327">
        <f t="shared" si="76"/>
        <v>0</v>
      </c>
      <c r="AG84" s="327">
        <f t="shared" si="76"/>
        <v>0</v>
      </c>
      <c r="AH84" s="327">
        <f t="shared" si="76"/>
        <v>0</v>
      </c>
      <c r="AI84" s="327">
        <f t="shared" si="76"/>
        <v>0</v>
      </c>
      <c r="AJ84" s="327">
        <f t="shared" si="76"/>
        <v>0</v>
      </c>
      <c r="AK84" s="327">
        <f t="shared" si="76"/>
        <v>0</v>
      </c>
      <c r="AL84" s="327">
        <f t="shared" si="76"/>
        <v>0</v>
      </c>
      <c r="AM84" s="327">
        <f t="shared" si="76"/>
        <v>0</v>
      </c>
      <c r="AN84" s="327">
        <f t="shared" si="76"/>
        <v>0</v>
      </c>
      <c r="AO84" s="327">
        <f t="shared" si="76"/>
        <v>0</v>
      </c>
      <c r="AP84" s="327">
        <f t="shared" si="76"/>
        <v>0</v>
      </c>
      <c r="AQ84" s="327">
        <f t="shared" si="76"/>
        <v>0</v>
      </c>
      <c r="AR84" s="328">
        <f t="shared" si="71"/>
        <v>0</v>
      </c>
      <c r="AS84" s="321">
        <f>+D80-AR82-AR84</f>
        <v>0</v>
      </c>
      <c r="AW84" s="274" t="str">
        <f>IF(F84="","X",IF(AND(E84&gt;0),F84,"-"))</f>
        <v>-</v>
      </c>
      <c r="AX84" s="274" t="str">
        <f t="shared" ca="1" si="72"/>
        <v/>
      </c>
    </row>
    <row r="85" spans="1:50" s="274" customFormat="1" ht="18" hidden="1" customHeight="1" thickBot="1">
      <c r="A85" s="2500"/>
      <c r="B85" s="2503"/>
      <c r="C85" s="324"/>
      <c r="D85" s="325" t="s">
        <v>1195</v>
      </c>
      <c r="E85" s="2511"/>
      <c r="F85" s="329" t="s">
        <v>1193</v>
      </c>
      <c r="G85" s="329" t="str">
        <f>D85&amp;" | "&amp;F85</f>
        <v>PROPONENTE | DE</v>
      </c>
      <c r="H85" s="327">
        <f>($D81*H81-H83)</f>
        <v>0</v>
      </c>
      <c r="I85" s="327">
        <f t="shared" si="76"/>
        <v>0</v>
      </c>
      <c r="J85" s="327">
        <f t="shared" si="76"/>
        <v>0</v>
      </c>
      <c r="K85" s="327">
        <f t="shared" si="76"/>
        <v>0</v>
      </c>
      <c r="L85" s="327">
        <f t="shared" si="76"/>
        <v>0</v>
      </c>
      <c r="M85" s="327">
        <f t="shared" si="76"/>
        <v>0</v>
      </c>
      <c r="N85" s="327">
        <f t="shared" si="76"/>
        <v>0</v>
      </c>
      <c r="O85" s="327">
        <f t="shared" si="76"/>
        <v>0</v>
      </c>
      <c r="P85" s="327">
        <f t="shared" si="76"/>
        <v>0</v>
      </c>
      <c r="Q85" s="327">
        <f t="shared" si="76"/>
        <v>0</v>
      </c>
      <c r="R85" s="327">
        <f t="shared" si="76"/>
        <v>0</v>
      </c>
      <c r="S85" s="327">
        <f t="shared" si="76"/>
        <v>0</v>
      </c>
      <c r="T85" s="327">
        <f t="shared" si="76"/>
        <v>0</v>
      </c>
      <c r="U85" s="327">
        <f t="shared" si="76"/>
        <v>0</v>
      </c>
      <c r="V85" s="327">
        <f t="shared" si="76"/>
        <v>0</v>
      </c>
      <c r="W85" s="327">
        <f t="shared" si="76"/>
        <v>0</v>
      </c>
      <c r="X85" s="327">
        <f t="shared" si="76"/>
        <v>0</v>
      </c>
      <c r="Y85" s="327">
        <f t="shared" si="76"/>
        <v>0</v>
      </c>
      <c r="Z85" s="327">
        <f t="shared" si="76"/>
        <v>0</v>
      </c>
      <c r="AA85" s="327">
        <f t="shared" si="76"/>
        <v>0</v>
      </c>
      <c r="AB85" s="327">
        <f t="shared" si="76"/>
        <v>0</v>
      </c>
      <c r="AC85" s="327">
        <f t="shared" si="76"/>
        <v>0</v>
      </c>
      <c r="AD85" s="327">
        <f t="shared" si="76"/>
        <v>0</v>
      </c>
      <c r="AE85" s="327">
        <f t="shared" si="76"/>
        <v>0</v>
      </c>
      <c r="AF85" s="327">
        <f t="shared" si="76"/>
        <v>0</v>
      </c>
      <c r="AG85" s="327">
        <f t="shared" si="76"/>
        <v>0</v>
      </c>
      <c r="AH85" s="327">
        <f t="shared" si="76"/>
        <v>0</v>
      </c>
      <c r="AI85" s="327">
        <f t="shared" si="76"/>
        <v>0</v>
      </c>
      <c r="AJ85" s="327">
        <f t="shared" si="76"/>
        <v>0</v>
      </c>
      <c r="AK85" s="327">
        <f t="shared" si="76"/>
        <v>0</v>
      </c>
      <c r="AL85" s="327">
        <f t="shared" si="76"/>
        <v>0</v>
      </c>
      <c r="AM85" s="327">
        <f t="shared" si="76"/>
        <v>0</v>
      </c>
      <c r="AN85" s="327">
        <f t="shared" si="76"/>
        <v>0</v>
      </c>
      <c r="AO85" s="327">
        <f t="shared" si="76"/>
        <v>0</v>
      </c>
      <c r="AP85" s="327">
        <f t="shared" si="76"/>
        <v>0</v>
      </c>
      <c r="AQ85" s="327">
        <f t="shared" si="76"/>
        <v>0</v>
      </c>
      <c r="AR85" s="328">
        <f t="shared" si="71"/>
        <v>0</v>
      </c>
      <c r="AS85" s="321">
        <f>+D81-AR83-AR85</f>
        <v>0</v>
      </c>
      <c r="AW85" s="274" t="str">
        <f>IF(F85="","X",IF(AND(E84&gt;0),F85,"-"))</f>
        <v>-</v>
      </c>
      <c r="AX85" s="274" t="str">
        <f t="shared" ca="1" si="72"/>
        <v/>
      </c>
    </row>
    <row r="86" spans="1:50" s="274" customFormat="1" ht="9.9499999999999993" hidden="1" customHeight="1">
      <c r="A86" s="2498">
        <f ca="1">Orcamento!B28</f>
        <v>0</v>
      </c>
      <c r="B86" s="2501" t="str">
        <f>Orcamento!D28</f>
        <v>IMPLANTAÇÃO DE TERRAPLENAGEM</v>
      </c>
      <c r="C86" s="305"/>
      <c r="D86" s="306"/>
      <c r="E86" s="307"/>
      <c r="F86" s="307"/>
      <c r="G86" s="307"/>
      <c r="H86" s="308">
        <f t="shared" ref="H86:AQ86" si="77">H87</f>
        <v>0</v>
      </c>
      <c r="I86" s="308">
        <f t="shared" si="77"/>
        <v>0</v>
      </c>
      <c r="J86" s="308">
        <f t="shared" si="77"/>
        <v>0</v>
      </c>
      <c r="K86" s="308">
        <f t="shared" si="77"/>
        <v>0</v>
      </c>
      <c r="L86" s="308">
        <f t="shared" si="77"/>
        <v>0</v>
      </c>
      <c r="M86" s="308">
        <f t="shared" si="77"/>
        <v>0</v>
      </c>
      <c r="N86" s="308">
        <f t="shared" si="77"/>
        <v>0</v>
      </c>
      <c r="O86" s="308">
        <f t="shared" si="77"/>
        <v>0</v>
      </c>
      <c r="P86" s="308">
        <f t="shared" si="77"/>
        <v>0</v>
      </c>
      <c r="Q86" s="308">
        <f t="shared" si="77"/>
        <v>0</v>
      </c>
      <c r="R86" s="308">
        <f t="shared" si="77"/>
        <v>0</v>
      </c>
      <c r="S86" s="308">
        <f t="shared" si="77"/>
        <v>0</v>
      </c>
      <c r="T86" s="308">
        <f t="shared" si="77"/>
        <v>0</v>
      </c>
      <c r="U86" s="308">
        <f t="shared" si="77"/>
        <v>0</v>
      </c>
      <c r="V86" s="308">
        <f t="shared" si="77"/>
        <v>0</v>
      </c>
      <c r="W86" s="308">
        <f t="shared" si="77"/>
        <v>0</v>
      </c>
      <c r="X86" s="308">
        <f t="shared" si="77"/>
        <v>0</v>
      </c>
      <c r="Y86" s="308">
        <f t="shared" si="77"/>
        <v>0</v>
      </c>
      <c r="Z86" s="308">
        <f t="shared" si="77"/>
        <v>0</v>
      </c>
      <c r="AA86" s="308">
        <f t="shared" si="77"/>
        <v>0</v>
      </c>
      <c r="AB86" s="308">
        <f t="shared" si="77"/>
        <v>0</v>
      </c>
      <c r="AC86" s="308">
        <f t="shared" si="77"/>
        <v>0</v>
      </c>
      <c r="AD86" s="308">
        <f t="shared" si="77"/>
        <v>0</v>
      </c>
      <c r="AE86" s="308">
        <f t="shared" si="77"/>
        <v>0</v>
      </c>
      <c r="AF86" s="308">
        <f t="shared" si="77"/>
        <v>0</v>
      </c>
      <c r="AG86" s="308">
        <f t="shared" si="77"/>
        <v>0</v>
      </c>
      <c r="AH86" s="308">
        <f t="shared" si="77"/>
        <v>0</v>
      </c>
      <c r="AI86" s="308">
        <f t="shared" si="77"/>
        <v>0</v>
      </c>
      <c r="AJ86" s="308">
        <f t="shared" si="77"/>
        <v>0</v>
      </c>
      <c r="AK86" s="308">
        <f t="shared" si="77"/>
        <v>0</v>
      </c>
      <c r="AL86" s="308">
        <f t="shared" si="77"/>
        <v>0</v>
      </c>
      <c r="AM86" s="308">
        <f t="shared" si="77"/>
        <v>0</v>
      </c>
      <c r="AN86" s="308">
        <f t="shared" si="77"/>
        <v>0</v>
      </c>
      <c r="AO86" s="308">
        <f t="shared" si="77"/>
        <v>0</v>
      </c>
      <c r="AP86" s="308">
        <f t="shared" si="77"/>
        <v>0</v>
      </c>
      <c r="AQ86" s="308">
        <f t="shared" si="77"/>
        <v>0</v>
      </c>
      <c r="AR86" s="309"/>
      <c r="AS86" s="310">
        <f>+D88-AR90-AR92</f>
        <v>0</v>
      </c>
      <c r="AW86" s="274" t="str">
        <f>IF(F86="","X",F86)</f>
        <v>X</v>
      </c>
      <c r="AX86" s="274" t="str">
        <f ca="1">IF($A$86=0,"","X")</f>
        <v/>
      </c>
    </row>
    <row r="87" spans="1:50" s="274" customFormat="1" ht="18" hidden="1" customHeight="1">
      <c r="A87" s="2499"/>
      <c r="B87" s="2502"/>
      <c r="C87" s="311" t="str">
        <f>CONCATENATE(Orcamento!K92," ",Orcamento!O92)</f>
        <v>0 61,06</v>
      </c>
      <c r="D87" s="2504">
        <f>Orcamento!S28</f>
        <v>0</v>
      </c>
      <c r="E87" s="2505"/>
      <c r="F87" s="312" t="s">
        <v>1192</v>
      </c>
      <c r="G87" s="312"/>
      <c r="H87" s="314"/>
      <c r="I87" s="314"/>
      <c r="J87" s="314"/>
      <c r="K87" s="314"/>
      <c r="L87" s="314"/>
      <c r="M87" s="314"/>
      <c r="N87" s="314"/>
      <c r="O87" s="314"/>
      <c r="P87" s="314"/>
      <c r="Q87" s="314"/>
      <c r="R87" s="314"/>
      <c r="S87" s="314"/>
      <c r="T87" s="314"/>
      <c r="U87" s="314"/>
      <c r="V87" s="314"/>
      <c r="W87" s="314"/>
      <c r="X87" s="314"/>
      <c r="Y87" s="314"/>
      <c r="Z87" s="314"/>
      <c r="AA87" s="314"/>
      <c r="AB87" s="314"/>
      <c r="AC87" s="314"/>
      <c r="AD87" s="314"/>
      <c r="AE87" s="314"/>
      <c r="AF87" s="314"/>
      <c r="AG87" s="314"/>
      <c r="AH87" s="314"/>
      <c r="AI87" s="314"/>
      <c r="AJ87" s="314"/>
      <c r="AK87" s="314"/>
      <c r="AL87" s="314"/>
      <c r="AM87" s="314"/>
      <c r="AN87" s="314"/>
      <c r="AO87" s="314"/>
      <c r="AP87" s="314"/>
      <c r="AQ87" s="314"/>
      <c r="AR87" s="315">
        <f t="shared" ref="AR87:AR92" si="78">SUM(H87:AQ87)</f>
        <v>0</v>
      </c>
      <c r="AS87" s="2506">
        <f>1-AR87</f>
        <v>1</v>
      </c>
      <c r="AU87" s="2507">
        <f>+COUNT(H87:AQ88)</f>
        <v>36</v>
      </c>
      <c r="AW87" s="274" t="str">
        <f>IF(F87="","X",F87)</f>
        <v>ND</v>
      </c>
      <c r="AX87" s="274" t="str">
        <f t="shared" ref="AX87:AX92" ca="1" si="79">IF($A$86=0,"","X")</f>
        <v/>
      </c>
    </row>
    <row r="88" spans="1:50" s="274" customFormat="1" ht="18" hidden="1" customHeight="1">
      <c r="A88" s="2499"/>
      <c r="B88" s="2502"/>
      <c r="C88" s="311" t="str">
        <f>CONCATENATE(Orcamento!K93," ",Orcamento!O93)</f>
        <v>0 154,2</v>
      </c>
      <c r="D88" s="2504">
        <f>Orcamento!T28</f>
        <v>0</v>
      </c>
      <c r="E88" s="2505"/>
      <c r="F88" s="316" t="s">
        <v>1193</v>
      </c>
      <c r="G88" s="316"/>
      <c r="H88" s="314">
        <f t="shared" ref="H88:AQ88" si="80">H87</f>
        <v>0</v>
      </c>
      <c r="I88" s="314">
        <f t="shared" si="80"/>
        <v>0</v>
      </c>
      <c r="J88" s="314">
        <f t="shared" si="80"/>
        <v>0</v>
      </c>
      <c r="K88" s="314">
        <f t="shared" si="80"/>
        <v>0</v>
      </c>
      <c r="L88" s="314">
        <f t="shared" si="80"/>
        <v>0</v>
      </c>
      <c r="M88" s="314">
        <f t="shared" si="80"/>
        <v>0</v>
      </c>
      <c r="N88" s="314">
        <f t="shared" si="80"/>
        <v>0</v>
      </c>
      <c r="O88" s="314">
        <f t="shared" si="80"/>
        <v>0</v>
      </c>
      <c r="P88" s="314">
        <f t="shared" si="80"/>
        <v>0</v>
      </c>
      <c r="Q88" s="314">
        <f t="shared" si="80"/>
        <v>0</v>
      </c>
      <c r="R88" s="314">
        <f t="shared" si="80"/>
        <v>0</v>
      </c>
      <c r="S88" s="314">
        <f t="shared" si="80"/>
        <v>0</v>
      </c>
      <c r="T88" s="314">
        <f t="shared" si="80"/>
        <v>0</v>
      </c>
      <c r="U88" s="314">
        <f t="shared" si="80"/>
        <v>0</v>
      </c>
      <c r="V88" s="314">
        <f t="shared" si="80"/>
        <v>0</v>
      </c>
      <c r="W88" s="314">
        <f t="shared" si="80"/>
        <v>0</v>
      </c>
      <c r="X88" s="314">
        <f t="shared" si="80"/>
        <v>0</v>
      </c>
      <c r="Y88" s="314">
        <f t="shared" si="80"/>
        <v>0</v>
      </c>
      <c r="Z88" s="314">
        <f t="shared" si="80"/>
        <v>0</v>
      </c>
      <c r="AA88" s="314">
        <f t="shared" si="80"/>
        <v>0</v>
      </c>
      <c r="AB88" s="314">
        <f t="shared" si="80"/>
        <v>0</v>
      </c>
      <c r="AC88" s="314">
        <f t="shared" si="80"/>
        <v>0</v>
      </c>
      <c r="AD88" s="314">
        <f t="shared" si="80"/>
        <v>0</v>
      </c>
      <c r="AE88" s="314">
        <f t="shared" si="80"/>
        <v>0</v>
      </c>
      <c r="AF88" s="314">
        <f t="shared" si="80"/>
        <v>0</v>
      </c>
      <c r="AG88" s="314">
        <f t="shared" si="80"/>
        <v>0</v>
      </c>
      <c r="AH88" s="314">
        <f t="shared" si="80"/>
        <v>0</v>
      </c>
      <c r="AI88" s="314">
        <f t="shared" si="80"/>
        <v>0</v>
      </c>
      <c r="AJ88" s="314">
        <f t="shared" si="80"/>
        <v>0</v>
      </c>
      <c r="AK88" s="314">
        <f t="shared" si="80"/>
        <v>0</v>
      </c>
      <c r="AL88" s="314">
        <f t="shared" si="80"/>
        <v>0</v>
      </c>
      <c r="AM88" s="314">
        <f t="shared" si="80"/>
        <v>0</v>
      </c>
      <c r="AN88" s="314">
        <f t="shared" si="80"/>
        <v>0</v>
      </c>
      <c r="AO88" s="314">
        <f t="shared" si="80"/>
        <v>0</v>
      </c>
      <c r="AP88" s="314">
        <f t="shared" si="80"/>
        <v>0</v>
      </c>
      <c r="AQ88" s="314">
        <f t="shared" si="80"/>
        <v>0</v>
      </c>
      <c r="AR88" s="315">
        <f t="shared" si="78"/>
        <v>0</v>
      </c>
      <c r="AS88" s="2506"/>
      <c r="AU88" s="2507"/>
      <c r="AW88" s="274" t="str">
        <f>IF(F88="","X",F88)</f>
        <v>DE</v>
      </c>
      <c r="AX88" s="274" t="str">
        <f t="shared" ca="1" si="79"/>
        <v/>
      </c>
    </row>
    <row r="89" spans="1:50" s="274" customFormat="1" ht="18" hidden="1" customHeight="1">
      <c r="A89" s="2499"/>
      <c r="B89" s="2502"/>
      <c r="C89" s="311"/>
      <c r="D89" s="317" t="s">
        <v>1194</v>
      </c>
      <c r="E89" s="2508">
        <f>$D$159</f>
        <v>1</v>
      </c>
      <c r="F89" s="318" t="s">
        <v>1192</v>
      </c>
      <c r="G89" s="318" t="str">
        <f>D89&amp;" | "&amp;F89</f>
        <v>CONCEDENTE | ND</v>
      </c>
      <c r="H89" s="319">
        <f t="shared" ref="H89:AQ89" si="81">IF($D87=0,0,IF(H87=0,0,($E89*$D87*H87)+$AU$163))</f>
        <v>0</v>
      </c>
      <c r="I89" s="319">
        <f t="shared" si="81"/>
        <v>0</v>
      </c>
      <c r="J89" s="319">
        <f t="shared" si="81"/>
        <v>0</v>
      </c>
      <c r="K89" s="319">
        <f t="shared" si="81"/>
        <v>0</v>
      </c>
      <c r="L89" s="319">
        <f t="shared" si="81"/>
        <v>0</v>
      </c>
      <c r="M89" s="319">
        <f t="shared" si="81"/>
        <v>0</v>
      </c>
      <c r="N89" s="319">
        <f t="shared" si="81"/>
        <v>0</v>
      </c>
      <c r="O89" s="319">
        <f t="shared" si="81"/>
        <v>0</v>
      </c>
      <c r="P89" s="319">
        <f t="shared" si="81"/>
        <v>0</v>
      </c>
      <c r="Q89" s="319">
        <f t="shared" si="81"/>
        <v>0</v>
      </c>
      <c r="R89" s="319">
        <f t="shared" si="81"/>
        <v>0</v>
      </c>
      <c r="S89" s="319">
        <f t="shared" si="81"/>
        <v>0</v>
      </c>
      <c r="T89" s="319">
        <f t="shared" si="81"/>
        <v>0</v>
      </c>
      <c r="U89" s="319">
        <f t="shared" si="81"/>
        <v>0</v>
      </c>
      <c r="V89" s="319">
        <f t="shared" si="81"/>
        <v>0</v>
      </c>
      <c r="W89" s="319">
        <f t="shared" si="81"/>
        <v>0</v>
      </c>
      <c r="X89" s="319">
        <f t="shared" si="81"/>
        <v>0</v>
      </c>
      <c r="Y89" s="319">
        <f t="shared" si="81"/>
        <v>0</v>
      </c>
      <c r="Z89" s="319">
        <f t="shared" si="81"/>
        <v>0</v>
      </c>
      <c r="AA89" s="319">
        <f t="shared" si="81"/>
        <v>0</v>
      </c>
      <c r="AB89" s="319">
        <f t="shared" si="81"/>
        <v>0</v>
      </c>
      <c r="AC89" s="319">
        <f t="shared" si="81"/>
        <v>0</v>
      </c>
      <c r="AD89" s="319">
        <f t="shared" si="81"/>
        <v>0</v>
      </c>
      <c r="AE89" s="319">
        <f t="shared" si="81"/>
        <v>0</v>
      </c>
      <c r="AF89" s="319">
        <f t="shared" si="81"/>
        <v>0</v>
      </c>
      <c r="AG89" s="319">
        <f t="shared" si="81"/>
        <v>0</v>
      </c>
      <c r="AH89" s="319">
        <f t="shared" si="81"/>
        <v>0</v>
      </c>
      <c r="AI89" s="319">
        <f t="shared" si="81"/>
        <v>0</v>
      </c>
      <c r="AJ89" s="319">
        <f t="shared" si="81"/>
        <v>0</v>
      </c>
      <c r="AK89" s="319">
        <f t="shared" si="81"/>
        <v>0</v>
      </c>
      <c r="AL89" s="319">
        <f t="shared" si="81"/>
        <v>0</v>
      </c>
      <c r="AM89" s="319">
        <f t="shared" si="81"/>
        <v>0</v>
      </c>
      <c r="AN89" s="319">
        <f t="shared" si="81"/>
        <v>0</v>
      </c>
      <c r="AO89" s="319">
        <f t="shared" si="81"/>
        <v>0</v>
      </c>
      <c r="AP89" s="319">
        <f t="shared" si="81"/>
        <v>0</v>
      </c>
      <c r="AQ89" s="319">
        <f t="shared" si="81"/>
        <v>0</v>
      </c>
      <c r="AR89" s="320">
        <f t="shared" si="78"/>
        <v>0</v>
      </c>
      <c r="AS89" s="321">
        <f>TRUNC(AR89-D87*E89,2)</f>
        <v>0</v>
      </c>
      <c r="AT89" s="322" t="e">
        <f>+AR89/D87</f>
        <v>#DIV/0!</v>
      </c>
      <c r="AW89" s="274" t="str">
        <f>IF(F89="","X",IF(AND(E89&gt;0),F89,"-"))</f>
        <v>ND</v>
      </c>
      <c r="AX89" s="274" t="str">
        <f t="shared" ca="1" si="79"/>
        <v/>
      </c>
    </row>
    <row r="90" spans="1:50" s="274" customFormat="1" ht="18" hidden="1" customHeight="1">
      <c r="A90" s="2499"/>
      <c r="B90" s="2502"/>
      <c r="C90" s="311"/>
      <c r="D90" s="317" t="s">
        <v>1194</v>
      </c>
      <c r="E90" s="2509"/>
      <c r="F90" s="323" t="s">
        <v>1193</v>
      </c>
      <c r="G90" s="323" t="str">
        <f>D90&amp;" | "&amp;F90</f>
        <v>CONCEDENTE | DE</v>
      </c>
      <c r="H90" s="319">
        <f t="shared" ref="H90:AQ90" si="82">IF($D88=0,0,IF(H88=0,0,($E89*$D88*H88)+$AU$163))</f>
        <v>0</v>
      </c>
      <c r="I90" s="319">
        <f t="shared" si="82"/>
        <v>0</v>
      </c>
      <c r="J90" s="319">
        <f t="shared" si="82"/>
        <v>0</v>
      </c>
      <c r="K90" s="319">
        <f t="shared" si="82"/>
        <v>0</v>
      </c>
      <c r="L90" s="319">
        <f t="shared" si="82"/>
        <v>0</v>
      </c>
      <c r="M90" s="319">
        <f t="shared" si="82"/>
        <v>0</v>
      </c>
      <c r="N90" s="319">
        <f t="shared" si="82"/>
        <v>0</v>
      </c>
      <c r="O90" s="319">
        <f t="shared" si="82"/>
        <v>0</v>
      </c>
      <c r="P90" s="319">
        <f t="shared" si="82"/>
        <v>0</v>
      </c>
      <c r="Q90" s="319">
        <f t="shared" si="82"/>
        <v>0</v>
      </c>
      <c r="R90" s="319">
        <f t="shared" si="82"/>
        <v>0</v>
      </c>
      <c r="S90" s="319">
        <f t="shared" si="82"/>
        <v>0</v>
      </c>
      <c r="T90" s="319">
        <f t="shared" si="82"/>
        <v>0</v>
      </c>
      <c r="U90" s="319">
        <f t="shared" si="82"/>
        <v>0</v>
      </c>
      <c r="V90" s="319">
        <f t="shared" si="82"/>
        <v>0</v>
      </c>
      <c r="W90" s="319">
        <f t="shared" si="82"/>
        <v>0</v>
      </c>
      <c r="X90" s="319">
        <f t="shared" si="82"/>
        <v>0</v>
      </c>
      <c r="Y90" s="319">
        <f t="shared" si="82"/>
        <v>0</v>
      </c>
      <c r="Z90" s="319">
        <f t="shared" si="82"/>
        <v>0</v>
      </c>
      <c r="AA90" s="319">
        <f t="shared" si="82"/>
        <v>0</v>
      </c>
      <c r="AB90" s="319">
        <f t="shared" si="82"/>
        <v>0</v>
      </c>
      <c r="AC90" s="319">
        <f t="shared" si="82"/>
        <v>0</v>
      </c>
      <c r="AD90" s="319">
        <f t="shared" si="82"/>
        <v>0</v>
      </c>
      <c r="AE90" s="319">
        <f t="shared" si="82"/>
        <v>0</v>
      </c>
      <c r="AF90" s="319">
        <f t="shared" si="82"/>
        <v>0</v>
      </c>
      <c r="AG90" s="319">
        <f t="shared" si="82"/>
        <v>0</v>
      </c>
      <c r="AH90" s="319">
        <f t="shared" si="82"/>
        <v>0</v>
      </c>
      <c r="AI90" s="319">
        <f t="shared" si="82"/>
        <v>0</v>
      </c>
      <c r="AJ90" s="319">
        <f t="shared" si="82"/>
        <v>0</v>
      </c>
      <c r="AK90" s="319">
        <f t="shared" si="82"/>
        <v>0</v>
      </c>
      <c r="AL90" s="319">
        <f t="shared" si="82"/>
        <v>0</v>
      </c>
      <c r="AM90" s="319">
        <f t="shared" si="82"/>
        <v>0</v>
      </c>
      <c r="AN90" s="319">
        <f t="shared" si="82"/>
        <v>0</v>
      </c>
      <c r="AO90" s="319">
        <f t="shared" si="82"/>
        <v>0</v>
      </c>
      <c r="AP90" s="319">
        <f t="shared" si="82"/>
        <v>0</v>
      </c>
      <c r="AQ90" s="319">
        <f t="shared" si="82"/>
        <v>0</v>
      </c>
      <c r="AR90" s="320">
        <f t="shared" si="78"/>
        <v>0</v>
      </c>
      <c r="AS90" s="321">
        <f>TRUNC(AR90-D88*E89,2)</f>
        <v>0</v>
      </c>
      <c r="AT90" s="322" t="e">
        <f>+AR90/D88</f>
        <v>#DIV/0!</v>
      </c>
      <c r="AW90" s="274" t="str">
        <f>IF(F90="","X",IF(AND(E89&gt;0),F90,"-"))</f>
        <v>DE</v>
      </c>
      <c r="AX90" s="274" t="str">
        <f t="shared" ca="1" si="79"/>
        <v/>
      </c>
    </row>
    <row r="91" spans="1:50" s="274" customFormat="1" ht="18" hidden="1" customHeight="1" thickBot="1">
      <c r="A91" s="2499"/>
      <c r="B91" s="2502"/>
      <c r="C91" s="324"/>
      <c r="D91" s="325" t="s">
        <v>1195</v>
      </c>
      <c r="E91" s="2510">
        <f>1-E89</f>
        <v>0</v>
      </c>
      <c r="F91" s="326" t="s">
        <v>1192</v>
      </c>
      <c r="G91" s="326" t="str">
        <f>D91&amp;" | "&amp;F91</f>
        <v>PROPONENTE | ND</v>
      </c>
      <c r="H91" s="327">
        <f>($D87*H87-H89)</f>
        <v>0</v>
      </c>
      <c r="I91" s="327">
        <f t="shared" ref="I91:AQ92" si="83">($D87*I87-I89)</f>
        <v>0</v>
      </c>
      <c r="J91" s="327">
        <f t="shared" si="83"/>
        <v>0</v>
      </c>
      <c r="K91" s="327">
        <f t="shared" si="83"/>
        <v>0</v>
      </c>
      <c r="L91" s="327">
        <f t="shared" si="83"/>
        <v>0</v>
      </c>
      <c r="M91" s="327">
        <f t="shared" si="83"/>
        <v>0</v>
      </c>
      <c r="N91" s="327">
        <f t="shared" si="83"/>
        <v>0</v>
      </c>
      <c r="O91" s="327">
        <f t="shared" si="83"/>
        <v>0</v>
      </c>
      <c r="P91" s="327">
        <f t="shared" si="83"/>
        <v>0</v>
      </c>
      <c r="Q91" s="327">
        <f t="shared" si="83"/>
        <v>0</v>
      </c>
      <c r="R91" s="327">
        <f t="shared" si="83"/>
        <v>0</v>
      </c>
      <c r="S91" s="327">
        <f t="shared" si="83"/>
        <v>0</v>
      </c>
      <c r="T91" s="327">
        <f t="shared" si="83"/>
        <v>0</v>
      </c>
      <c r="U91" s="327">
        <f t="shared" si="83"/>
        <v>0</v>
      </c>
      <c r="V91" s="327">
        <f t="shared" si="83"/>
        <v>0</v>
      </c>
      <c r="W91" s="327">
        <f t="shared" si="83"/>
        <v>0</v>
      </c>
      <c r="X91" s="327">
        <f t="shared" si="83"/>
        <v>0</v>
      </c>
      <c r="Y91" s="327">
        <f t="shared" si="83"/>
        <v>0</v>
      </c>
      <c r="Z91" s="327">
        <f t="shared" si="83"/>
        <v>0</v>
      </c>
      <c r="AA91" s="327">
        <f t="shared" si="83"/>
        <v>0</v>
      </c>
      <c r="AB91" s="327">
        <f t="shared" si="83"/>
        <v>0</v>
      </c>
      <c r="AC91" s="327">
        <f t="shared" si="83"/>
        <v>0</v>
      </c>
      <c r="AD91" s="327">
        <f t="shared" si="83"/>
        <v>0</v>
      </c>
      <c r="AE91" s="327">
        <f t="shared" si="83"/>
        <v>0</v>
      </c>
      <c r="AF91" s="327">
        <f t="shared" si="83"/>
        <v>0</v>
      </c>
      <c r="AG91" s="327">
        <f t="shared" si="83"/>
        <v>0</v>
      </c>
      <c r="AH91" s="327">
        <f t="shared" si="83"/>
        <v>0</v>
      </c>
      <c r="AI91" s="327">
        <f t="shared" si="83"/>
        <v>0</v>
      </c>
      <c r="AJ91" s="327">
        <f t="shared" si="83"/>
        <v>0</v>
      </c>
      <c r="AK91" s="327">
        <f t="shared" si="83"/>
        <v>0</v>
      </c>
      <c r="AL91" s="327">
        <f t="shared" si="83"/>
        <v>0</v>
      </c>
      <c r="AM91" s="327">
        <f t="shared" si="83"/>
        <v>0</v>
      </c>
      <c r="AN91" s="327">
        <f t="shared" si="83"/>
        <v>0</v>
      </c>
      <c r="AO91" s="327">
        <f t="shared" si="83"/>
        <v>0</v>
      </c>
      <c r="AP91" s="327">
        <f t="shared" si="83"/>
        <v>0</v>
      </c>
      <c r="AQ91" s="327">
        <f t="shared" si="83"/>
        <v>0</v>
      </c>
      <c r="AR91" s="328">
        <f t="shared" si="78"/>
        <v>0</v>
      </c>
      <c r="AS91" s="321">
        <f>+D87-AR89-AR91</f>
        <v>0</v>
      </c>
      <c r="AW91" s="274" t="str">
        <f>IF(F91="","X",IF(AND(E91&gt;0),F91,"-"))</f>
        <v>-</v>
      </c>
      <c r="AX91" s="274" t="str">
        <f t="shared" ca="1" si="79"/>
        <v/>
      </c>
    </row>
    <row r="92" spans="1:50" s="274" customFormat="1" ht="18" hidden="1" customHeight="1" thickBot="1">
      <c r="A92" s="2500"/>
      <c r="B92" s="2503"/>
      <c r="C92" s="324"/>
      <c r="D92" s="325" t="s">
        <v>1195</v>
      </c>
      <c r="E92" s="2511"/>
      <c r="F92" s="329" t="s">
        <v>1193</v>
      </c>
      <c r="G92" s="329" t="str">
        <f>D92&amp;" | "&amp;F92</f>
        <v>PROPONENTE | DE</v>
      </c>
      <c r="H92" s="327">
        <f>($D88*H88-H90)</f>
        <v>0</v>
      </c>
      <c r="I92" s="327">
        <f t="shared" si="83"/>
        <v>0</v>
      </c>
      <c r="J92" s="327">
        <f t="shared" si="83"/>
        <v>0</v>
      </c>
      <c r="K92" s="327">
        <f t="shared" si="83"/>
        <v>0</v>
      </c>
      <c r="L92" s="327">
        <f t="shared" si="83"/>
        <v>0</v>
      </c>
      <c r="M92" s="327">
        <f t="shared" si="83"/>
        <v>0</v>
      </c>
      <c r="N92" s="327">
        <f t="shared" si="83"/>
        <v>0</v>
      </c>
      <c r="O92" s="327">
        <f t="shared" si="83"/>
        <v>0</v>
      </c>
      <c r="P92" s="327">
        <f t="shared" si="83"/>
        <v>0</v>
      </c>
      <c r="Q92" s="327">
        <f t="shared" si="83"/>
        <v>0</v>
      </c>
      <c r="R92" s="327">
        <f t="shared" si="83"/>
        <v>0</v>
      </c>
      <c r="S92" s="327">
        <f t="shared" si="83"/>
        <v>0</v>
      </c>
      <c r="T92" s="327">
        <f t="shared" si="83"/>
        <v>0</v>
      </c>
      <c r="U92" s="327">
        <f t="shared" si="83"/>
        <v>0</v>
      </c>
      <c r="V92" s="327">
        <f t="shared" si="83"/>
        <v>0</v>
      </c>
      <c r="W92" s="327">
        <f t="shared" si="83"/>
        <v>0</v>
      </c>
      <c r="X92" s="327">
        <f t="shared" si="83"/>
        <v>0</v>
      </c>
      <c r="Y92" s="327">
        <f t="shared" si="83"/>
        <v>0</v>
      </c>
      <c r="Z92" s="327">
        <f t="shared" si="83"/>
        <v>0</v>
      </c>
      <c r="AA92" s="327">
        <f t="shared" si="83"/>
        <v>0</v>
      </c>
      <c r="AB92" s="327">
        <f t="shared" si="83"/>
        <v>0</v>
      </c>
      <c r="AC92" s="327">
        <f t="shared" si="83"/>
        <v>0</v>
      </c>
      <c r="AD92" s="327">
        <f t="shared" si="83"/>
        <v>0</v>
      </c>
      <c r="AE92" s="327">
        <f t="shared" si="83"/>
        <v>0</v>
      </c>
      <c r="AF92" s="327">
        <f t="shared" si="83"/>
        <v>0</v>
      </c>
      <c r="AG92" s="327">
        <f t="shared" si="83"/>
        <v>0</v>
      </c>
      <c r="AH92" s="327">
        <f t="shared" si="83"/>
        <v>0</v>
      </c>
      <c r="AI92" s="327">
        <f t="shared" si="83"/>
        <v>0</v>
      </c>
      <c r="AJ92" s="327">
        <f t="shared" si="83"/>
        <v>0</v>
      </c>
      <c r="AK92" s="327">
        <f t="shared" si="83"/>
        <v>0</v>
      </c>
      <c r="AL92" s="327">
        <f t="shared" si="83"/>
        <v>0</v>
      </c>
      <c r="AM92" s="327">
        <f t="shared" si="83"/>
        <v>0</v>
      </c>
      <c r="AN92" s="327">
        <f t="shared" si="83"/>
        <v>0</v>
      </c>
      <c r="AO92" s="327">
        <f t="shared" si="83"/>
        <v>0</v>
      </c>
      <c r="AP92" s="327">
        <f t="shared" si="83"/>
        <v>0</v>
      </c>
      <c r="AQ92" s="327">
        <f t="shared" si="83"/>
        <v>0</v>
      </c>
      <c r="AR92" s="328">
        <f t="shared" si="78"/>
        <v>0</v>
      </c>
      <c r="AS92" s="321">
        <f>+D88-AR90-AR92</f>
        <v>0</v>
      </c>
      <c r="AW92" s="274" t="str">
        <f>IF(F92="","X",IF(AND(E91&gt;0),F92,"-"))</f>
        <v>-</v>
      </c>
      <c r="AX92" s="274" t="str">
        <f t="shared" ca="1" si="79"/>
        <v/>
      </c>
    </row>
    <row r="93" spans="1:50" s="274" customFormat="1" ht="9.9499999999999993" hidden="1" customHeight="1">
      <c r="A93" s="2498">
        <f ca="1">Orcamento!B29</f>
        <v>0</v>
      </c>
      <c r="B93" s="2501" t="str">
        <f>Orcamento!D29</f>
        <v>IMPLANTAÇÃO DE PAVIMENTAÇÃO</v>
      </c>
      <c r="C93" s="305"/>
      <c r="D93" s="306"/>
      <c r="E93" s="307"/>
      <c r="F93" s="307"/>
      <c r="G93" s="307"/>
      <c r="H93" s="308">
        <f t="shared" ref="H93:AQ93" si="84">H94</f>
        <v>0</v>
      </c>
      <c r="I93" s="308">
        <f t="shared" si="84"/>
        <v>0</v>
      </c>
      <c r="J93" s="308">
        <f t="shared" si="84"/>
        <v>0</v>
      </c>
      <c r="K93" s="308">
        <f t="shared" si="84"/>
        <v>0</v>
      </c>
      <c r="L93" s="308">
        <f t="shared" si="84"/>
        <v>0</v>
      </c>
      <c r="M93" s="308">
        <f t="shared" si="84"/>
        <v>0</v>
      </c>
      <c r="N93" s="308">
        <f t="shared" si="84"/>
        <v>0</v>
      </c>
      <c r="O93" s="308">
        <f t="shared" si="84"/>
        <v>0</v>
      </c>
      <c r="P93" s="308">
        <f t="shared" si="84"/>
        <v>0</v>
      </c>
      <c r="Q93" s="308">
        <f t="shared" si="84"/>
        <v>0</v>
      </c>
      <c r="R93" s="308">
        <f t="shared" si="84"/>
        <v>0</v>
      </c>
      <c r="S93" s="308">
        <f t="shared" si="84"/>
        <v>0</v>
      </c>
      <c r="T93" s="308">
        <f t="shared" si="84"/>
        <v>0</v>
      </c>
      <c r="U93" s="308">
        <f t="shared" si="84"/>
        <v>0</v>
      </c>
      <c r="V93" s="308">
        <f t="shared" si="84"/>
        <v>0</v>
      </c>
      <c r="W93" s="308">
        <f t="shared" si="84"/>
        <v>0</v>
      </c>
      <c r="X93" s="308">
        <f t="shared" si="84"/>
        <v>0</v>
      </c>
      <c r="Y93" s="308">
        <f t="shared" si="84"/>
        <v>0</v>
      </c>
      <c r="Z93" s="308">
        <f t="shared" si="84"/>
        <v>0</v>
      </c>
      <c r="AA93" s="308">
        <f t="shared" si="84"/>
        <v>0</v>
      </c>
      <c r="AB93" s="308">
        <f t="shared" si="84"/>
        <v>0</v>
      </c>
      <c r="AC93" s="308">
        <f t="shared" si="84"/>
        <v>0</v>
      </c>
      <c r="AD93" s="308">
        <f t="shared" si="84"/>
        <v>0</v>
      </c>
      <c r="AE93" s="308">
        <f t="shared" si="84"/>
        <v>0</v>
      </c>
      <c r="AF93" s="308">
        <f t="shared" si="84"/>
        <v>0</v>
      </c>
      <c r="AG93" s="308">
        <f t="shared" si="84"/>
        <v>0</v>
      </c>
      <c r="AH93" s="308">
        <f t="shared" si="84"/>
        <v>0</v>
      </c>
      <c r="AI93" s="308">
        <f t="shared" si="84"/>
        <v>0</v>
      </c>
      <c r="AJ93" s="308">
        <f t="shared" si="84"/>
        <v>0</v>
      </c>
      <c r="AK93" s="308">
        <f t="shared" si="84"/>
        <v>0</v>
      </c>
      <c r="AL93" s="308">
        <f t="shared" si="84"/>
        <v>0</v>
      </c>
      <c r="AM93" s="308">
        <f t="shared" si="84"/>
        <v>0</v>
      </c>
      <c r="AN93" s="308">
        <f t="shared" si="84"/>
        <v>0</v>
      </c>
      <c r="AO93" s="308">
        <f t="shared" si="84"/>
        <v>0</v>
      </c>
      <c r="AP93" s="308">
        <f t="shared" si="84"/>
        <v>0</v>
      </c>
      <c r="AQ93" s="308">
        <f t="shared" si="84"/>
        <v>0</v>
      </c>
      <c r="AR93" s="309"/>
      <c r="AS93" s="310">
        <f>+D95-AR97-AR99</f>
        <v>0</v>
      </c>
      <c r="AW93" s="274" t="str">
        <f>IF(F93="","X",F93)</f>
        <v>X</v>
      </c>
      <c r="AX93" s="274" t="str">
        <f ca="1">IF($A$93=0,"","X")</f>
        <v/>
      </c>
    </row>
    <row r="94" spans="1:50" s="274" customFormat="1" ht="18" hidden="1" customHeight="1">
      <c r="A94" s="2499"/>
      <c r="B94" s="2502"/>
      <c r="C94" s="311" t="str">
        <f>CONCATENATE(Orcamento!K99," ",Orcamento!O99)</f>
        <v>0 35,57</v>
      </c>
      <c r="D94" s="2504">
        <f>Orcamento!S29</f>
        <v>0</v>
      </c>
      <c r="E94" s="2505"/>
      <c r="F94" s="312" t="s">
        <v>1192</v>
      </c>
      <c r="G94" s="312"/>
      <c r="H94" s="314"/>
      <c r="I94" s="314"/>
      <c r="J94" s="314"/>
      <c r="K94" s="314"/>
      <c r="L94" s="314"/>
      <c r="M94" s="314"/>
      <c r="N94" s="314"/>
      <c r="O94" s="314"/>
      <c r="P94" s="314"/>
      <c r="Q94" s="314"/>
      <c r="R94" s="314"/>
      <c r="S94" s="314"/>
      <c r="T94" s="314"/>
      <c r="U94" s="314"/>
      <c r="V94" s="314"/>
      <c r="W94" s="314"/>
      <c r="X94" s="314"/>
      <c r="Y94" s="314"/>
      <c r="Z94" s="314"/>
      <c r="AA94" s="314"/>
      <c r="AB94" s="314"/>
      <c r="AC94" s="314"/>
      <c r="AD94" s="314"/>
      <c r="AE94" s="314"/>
      <c r="AF94" s="314"/>
      <c r="AG94" s="314"/>
      <c r="AH94" s="314"/>
      <c r="AI94" s="314"/>
      <c r="AJ94" s="314"/>
      <c r="AK94" s="314"/>
      <c r="AL94" s="314"/>
      <c r="AM94" s="314"/>
      <c r="AN94" s="314"/>
      <c r="AO94" s="314"/>
      <c r="AP94" s="314"/>
      <c r="AQ94" s="314"/>
      <c r="AR94" s="315">
        <f t="shared" ref="AR94:AR99" si="85">SUM(H94:AQ94)</f>
        <v>0</v>
      </c>
      <c r="AS94" s="2506">
        <f>1-AR94</f>
        <v>1</v>
      </c>
      <c r="AU94" s="2507">
        <f>+COUNT(H94:AQ95)</f>
        <v>36</v>
      </c>
      <c r="AW94" s="274" t="str">
        <f>IF(F94="","X",F94)</f>
        <v>ND</v>
      </c>
      <c r="AX94" s="274" t="str">
        <f t="shared" ref="AX94:AX99" ca="1" si="86">IF($A$93=0,"","X")</f>
        <v/>
      </c>
    </row>
    <row r="95" spans="1:50" s="274" customFormat="1" ht="18" hidden="1" customHeight="1">
      <c r="A95" s="2499"/>
      <c r="B95" s="2502"/>
      <c r="C95" s="311" t="str">
        <f>CONCATENATE(Orcamento!K100," ",Orcamento!O100)</f>
        <v>0 134,41</v>
      </c>
      <c r="D95" s="2504">
        <f>Orcamento!T29</f>
        <v>0</v>
      </c>
      <c r="E95" s="2505"/>
      <c r="F95" s="316" t="s">
        <v>1193</v>
      </c>
      <c r="G95" s="316"/>
      <c r="H95" s="314">
        <f t="shared" ref="H95:AQ95" si="87">H94</f>
        <v>0</v>
      </c>
      <c r="I95" s="314">
        <f t="shared" si="87"/>
        <v>0</v>
      </c>
      <c r="J95" s="314">
        <f t="shared" si="87"/>
        <v>0</v>
      </c>
      <c r="K95" s="314">
        <f t="shared" si="87"/>
        <v>0</v>
      </c>
      <c r="L95" s="314">
        <f t="shared" si="87"/>
        <v>0</v>
      </c>
      <c r="M95" s="314">
        <f t="shared" si="87"/>
        <v>0</v>
      </c>
      <c r="N95" s="314">
        <f t="shared" si="87"/>
        <v>0</v>
      </c>
      <c r="O95" s="314">
        <f t="shared" si="87"/>
        <v>0</v>
      </c>
      <c r="P95" s="314">
        <f t="shared" si="87"/>
        <v>0</v>
      </c>
      <c r="Q95" s="314">
        <f t="shared" si="87"/>
        <v>0</v>
      </c>
      <c r="R95" s="314">
        <f t="shared" si="87"/>
        <v>0</v>
      </c>
      <c r="S95" s="314">
        <f t="shared" si="87"/>
        <v>0</v>
      </c>
      <c r="T95" s="314">
        <f t="shared" si="87"/>
        <v>0</v>
      </c>
      <c r="U95" s="314">
        <f t="shared" si="87"/>
        <v>0</v>
      </c>
      <c r="V95" s="314">
        <f t="shared" si="87"/>
        <v>0</v>
      </c>
      <c r="W95" s="314">
        <f t="shared" si="87"/>
        <v>0</v>
      </c>
      <c r="X95" s="314">
        <f t="shared" si="87"/>
        <v>0</v>
      </c>
      <c r="Y95" s="314">
        <f t="shared" si="87"/>
        <v>0</v>
      </c>
      <c r="Z95" s="314">
        <f t="shared" si="87"/>
        <v>0</v>
      </c>
      <c r="AA95" s="314">
        <f t="shared" si="87"/>
        <v>0</v>
      </c>
      <c r="AB95" s="314">
        <f t="shared" si="87"/>
        <v>0</v>
      </c>
      <c r="AC95" s="314">
        <f t="shared" si="87"/>
        <v>0</v>
      </c>
      <c r="AD95" s="314">
        <f t="shared" si="87"/>
        <v>0</v>
      </c>
      <c r="AE95" s="314">
        <f t="shared" si="87"/>
        <v>0</v>
      </c>
      <c r="AF95" s="314">
        <f t="shared" si="87"/>
        <v>0</v>
      </c>
      <c r="AG95" s="314">
        <f t="shared" si="87"/>
        <v>0</v>
      </c>
      <c r="AH95" s="314">
        <f t="shared" si="87"/>
        <v>0</v>
      </c>
      <c r="AI95" s="314">
        <f t="shared" si="87"/>
        <v>0</v>
      </c>
      <c r="AJ95" s="314">
        <f t="shared" si="87"/>
        <v>0</v>
      </c>
      <c r="AK95" s="314">
        <f t="shared" si="87"/>
        <v>0</v>
      </c>
      <c r="AL95" s="314">
        <f t="shared" si="87"/>
        <v>0</v>
      </c>
      <c r="AM95" s="314">
        <f t="shared" si="87"/>
        <v>0</v>
      </c>
      <c r="AN95" s="314">
        <f t="shared" si="87"/>
        <v>0</v>
      </c>
      <c r="AO95" s="314">
        <f t="shared" si="87"/>
        <v>0</v>
      </c>
      <c r="AP95" s="314">
        <f t="shared" si="87"/>
        <v>0</v>
      </c>
      <c r="AQ95" s="314">
        <f t="shared" si="87"/>
        <v>0</v>
      </c>
      <c r="AR95" s="315">
        <f t="shared" si="85"/>
        <v>0</v>
      </c>
      <c r="AS95" s="2506"/>
      <c r="AU95" s="2507"/>
      <c r="AW95" s="274" t="str">
        <f>IF(F95="","X",F95)</f>
        <v>DE</v>
      </c>
      <c r="AX95" s="274" t="str">
        <f t="shared" ca="1" si="86"/>
        <v/>
      </c>
    </row>
    <row r="96" spans="1:50" s="274" customFormat="1" ht="18" hidden="1" customHeight="1">
      <c r="A96" s="2499"/>
      <c r="B96" s="2502"/>
      <c r="C96" s="311"/>
      <c r="D96" s="317" t="s">
        <v>1194</v>
      </c>
      <c r="E96" s="2508">
        <f>$D$159</f>
        <v>1</v>
      </c>
      <c r="F96" s="318" t="s">
        <v>1192</v>
      </c>
      <c r="G96" s="318" t="str">
        <f>D96&amp;" | "&amp;F96</f>
        <v>CONCEDENTE | ND</v>
      </c>
      <c r="H96" s="319">
        <f t="shared" ref="H96:AQ96" si="88">IF($D94=0,0,IF(H94=0,0,($E96*$D94*H94)+$AU$163))</f>
        <v>0</v>
      </c>
      <c r="I96" s="319">
        <f t="shared" si="88"/>
        <v>0</v>
      </c>
      <c r="J96" s="319">
        <f t="shared" si="88"/>
        <v>0</v>
      </c>
      <c r="K96" s="319">
        <f t="shared" si="88"/>
        <v>0</v>
      </c>
      <c r="L96" s="319">
        <f t="shared" si="88"/>
        <v>0</v>
      </c>
      <c r="M96" s="319">
        <f t="shared" si="88"/>
        <v>0</v>
      </c>
      <c r="N96" s="319">
        <f t="shared" si="88"/>
        <v>0</v>
      </c>
      <c r="O96" s="319">
        <f t="shared" si="88"/>
        <v>0</v>
      </c>
      <c r="P96" s="319">
        <f t="shared" si="88"/>
        <v>0</v>
      </c>
      <c r="Q96" s="319">
        <f t="shared" si="88"/>
        <v>0</v>
      </c>
      <c r="R96" s="319">
        <f t="shared" si="88"/>
        <v>0</v>
      </c>
      <c r="S96" s="319">
        <f t="shared" si="88"/>
        <v>0</v>
      </c>
      <c r="T96" s="319">
        <f t="shared" si="88"/>
        <v>0</v>
      </c>
      <c r="U96" s="319">
        <f t="shared" si="88"/>
        <v>0</v>
      </c>
      <c r="V96" s="319">
        <f t="shared" si="88"/>
        <v>0</v>
      </c>
      <c r="W96" s="319">
        <f t="shared" si="88"/>
        <v>0</v>
      </c>
      <c r="X96" s="319">
        <f t="shared" si="88"/>
        <v>0</v>
      </c>
      <c r="Y96" s="319">
        <f t="shared" si="88"/>
        <v>0</v>
      </c>
      <c r="Z96" s="319">
        <f t="shared" si="88"/>
        <v>0</v>
      </c>
      <c r="AA96" s="319">
        <f t="shared" si="88"/>
        <v>0</v>
      </c>
      <c r="AB96" s="319">
        <f t="shared" si="88"/>
        <v>0</v>
      </c>
      <c r="AC96" s="319">
        <f t="shared" si="88"/>
        <v>0</v>
      </c>
      <c r="AD96" s="319">
        <f t="shared" si="88"/>
        <v>0</v>
      </c>
      <c r="AE96" s="319">
        <f t="shared" si="88"/>
        <v>0</v>
      </c>
      <c r="AF96" s="319">
        <f t="shared" si="88"/>
        <v>0</v>
      </c>
      <c r="AG96" s="319">
        <f t="shared" si="88"/>
        <v>0</v>
      </c>
      <c r="AH96" s="319">
        <f t="shared" si="88"/>
        <v>0</v>
      </c>
      <c r="AI96" s="319">
        <f t="shared" si="88"/>
        <v>0</v>
      </c>
      <c r="AJ96" s="319">
        <f t="shared" si="88"/>
        <v>0</v>
      </c>
      <c r="AK96" s="319">
        <f t="shared" si="88"/>
        <v>0</v>
      </c>
      <c r="AL96" s="319">
        <f t="shared" si="88"/>
        <v>0</v>
      </c>
      <c r="AM96" s="319">
        <f t="shared" si="88"/>
        <v>0</v>
      </c>
      <c r="AN96" s="319">
        <f t="shared" si="88"/>
        <v>0</v>
      </c>
      <c r="AO96" s="319">
        <f t="shared" si="88"/>
        <v>0</v>
      </c>
      <c r="AP96" s="319">
        <f t="shared" si="88"/>
        <v>0</v>
      </c>
      <c r="AQ96" s="319">
        <f t="shared" si="88"/>
        <v>0</v>
      </c>
      <c r="AR96" s="320">
        <f t="shared" si="85"/>
        <v>0</v>
      </c>
      <c r="AS96" s="321">
        <f>TRUNC(AR96-D94*E96,2)</f>
        <v>0</v>
      </c>
      <c r="AT96" s="322" t="e">
        <f>+AR96/D94</f>
        <v>#DIV/0!</v>
      </c>
      <c r="AW96" s="274" t="str">
        <f>IF(F96="","X",IF(AND(E96&gt;0),F96,"-"))</f>
        <v>ND</v>
      </c>
      <c r="AX96" s="274" t="str">
        <f t="shared" ca="1" si="86"/>
        <v/>
      </c>
    </row>
    <row r="97" spans="1:50" s="274" customFormat="1" ht="18" hidden="1" customHeight="1">
      <c r="A97" s="2499"/>
      <c r="B97" s="2502"/>
      <c r="C97" s="311"/>
      <c r="D97" s="317" t="s">
        <v>1194</v>
      </c>
      <c r="E97" s="2509"/>
      <c r="F97" s="323" t="s">
        <v>1193</v>
      </c>
      <c r="G97" s="323" t="str">
        <f>D97&amp;" | "&amp;F97</f>
        <v>CONCEDENTE | DE</v>
      </c>
      <c r="H97" s="319">
        <f t="shared" ref="H97:AQ97" si="89">IF($D95=0,0,IF(H95=0,0,($E96*$D95*H95)+$AU$163))</f>
        <v>0</v>
      </c>
      <c r="I97" s="319">
        <f t="shared" si="89"/>
        <v>0</v>
      </c>
      <c r="J97" s="319">
        <f t="shared" si="89"/>
        <v>0</v>
      </c>
      <c r="K97" s="319">
        <f t="shared" si="89"/>
        <v>0</v>
      </c>
      <c r="L97" s="319">
        <f t="shared" si="89"/>
        <v>0</v>
      </c>
      <c r="M97" s="319">
        <f t="shared" si="89"/>
        <v>0</v>
      </c>
      <c r="N97" s="319">
        <f t="shared" si="89"/>
        <v>0</v>
      </c>
      <c r="O97" s="319">
        <f t="shared" si="89"/>
        <v>0</v>
      </c>
      <c r="P97" s="319">
        <f t="shared" si="89"/>
        <v>0</v>
      </c>
      <c r="Q97" s="319">
        <f t="shared" si="89"/>
        <v>0</v>
      </c>
      <c r="R97" s="319">
        <f t="shared" si="89"/>
        <v>0</v>
      </c>
      <c r="S97" s="319">
        <f t="shared" si="89"/>
        <v>0</v>
      </c>
      <c r="T97" s="319">
        <f t="shared" si="89"/>
        <v>0</v>
      </c>
      <c r="U97" s="319">
        <f t="shared" si="89"/>
        <v>0</v>
      </c>
      <c r="V97" s="319">
        <f t="shared" si="89"/>
        <v>0</v>
      </c>
      <c r="W97" s="319">
        <f t="shared" si="89"/>
        <v>0</v>
      </c>
      <c r="X97" s="319">
        <f t="shared" si="89"/>
        <v>0</v>
      </c>
      <c r="Y97" s="319">
        <f t="shared" si="89"/>
        <v>0</v>
      </c>
      <c r="Z97" s="319">
        <f t="shared" si="89"/>
        <v>0</v>
      </c>
      <c r="AA97" s="319">
        <f t="shared" si="89"/>
        <v>0</v>
      </c>
      <c r="AB97" s="319">
        <f t="shared" si="89"/>
        <v>0</v>
      </c>
      <c r="AC97" s="319">
        <f t="shared" si="89"/>
        <v>0</v>
      </c>
      <c r="AD97" s="319">
        <f t="shared" si="89"/>
        <v>0</v>
      </c>
      <c r="AE97" s="319">
        <f t="shared" si="89"/>
        <v>0</v>
      </c>
      <c r="AF97" s="319">
        <f t="shared" si="89"/>
        <v>0</v>
      </c>
      <c r="AG97" s="319">
        <f t="shared" si="89"/>
        <v>0</v>
      </c>
      <c r="AH97" s="319">
        <f t="shared" si="89"/>
        <v>0</v>
      </c>
      <c r="AI97" s="319">
        <f t="shared" si="89"/>
        <v>0</v>
      </c>
      <c r="AJ97" s="319">
        <f t="shared" si="89"/>
        <v>0</v>
      </c>
      <c r="AK97" s="319">
        <f t="shared" si="89"/>
        <v>0</v>
      </c>
      <c r="AL97" s="319">
        <f t="shared" si="89"/>
        <v>0</v>
      </c>
      <c r="AM97" s="319">
        <f t="shared" si="89"/>
        <v>0</v>
      </c>
      <c r="AN97" s="319">
        <f t="shared" si="89"/>
        <v>0</v>
      </c>
      <c r="AO97" s="319">
        <f t="shared" si="89"/>
        <v>0</v>
      </c>
      <c r="AP97" s="319">
        <f t="shared" si="89"/>
        <v>0</v>
      </c>
      <c r="AQ97" s="319">
        <f t="shared" si="89"/>
        <v>0</v>
      </c>
      <c r="AR97" s="320">
        <f t="shared" si="85"/>
        <v>0</v>
      </c>
      <c r="AS97" s="321">
        <f>TRUNC(AR97-D95*E96,2)</f>
        <v>0</v>
      </c>
      <c r="AT97" s="322" t="e">
        <f>+AR97/D95</f>
        <v>#DIV/0!</v>
      </c>
      <c r="AW97" s="274" t="str">
        <f>IF(F97="","X",IF(AND(E96&gt;0),F97,"-"))</f>
        <v>DE</v>
      </c>
      <c r="AX97" s="274" t="str">
        <f t="shared" ca="1" si="86"/>
        <v/>
      </c>
    </row>
    <row r="98" spans="1:50" s="274" customFormat="1" ht="18" hidden="1" customHeight="1" thickBot="1">
      <c r="A98" s="2499"/>
      <c r="B98" s="2502"/>
      <c r="C98" s="324"/>
      <c r="D98" s="325" t="s">
        <v>1195</v>
      </c>
      <c r="E98" s="2510">
        <f>1-E96</f>
        <v>0</v>
      </c>
      <c r="F98" s="326" t="s">
        <v>1192</v>
      </c>
      <c r="G98" s="326" t="str">
        <f>D98&amp;" | "&amp;F98</f>
        <v>PROPONENTE | ND</v>
      </c>
      <c r="H98" s="327">
        <f>($D94*H94-H96)</f>
        <v>0</v>
      </c>
      <c r="I98" s="327">
        <f t="shared" ref="I98:AQ99" si="90">($D94*I94-I96)</f>
        <v>0</v>
      </c>
      <c r="J98" s="327">
        <f t="shared" si="90"/>
        <v>0</v>
      </c>
      <c r="K98" s="327">
        <f t="shared" si="90"/>
        <v>0</v>
      </c>
      <c r="L98" s="327">
        <f t="shared" si="90"/>
        <v>0</v>
      </c>
      <c r="M98" s="327">
        <f t="shared" si="90"/>
        <v>0</v>
      </c>
      <c r="N98" s="327">
        <f t="shared" si="90"/>
        <v>0</v>
      </c>
      <c r="O98" s="327">
        <f t="shared" si="90"/>
        <v>0</v>
      </c>
      <c r="P98" s="327">
        <f t="shared" si="90"/>
        <v>0</v>
      </c>
      <c r="Q98" s="327">
        <f t="shared" si="90"/>
        <v>0</v>
      </c>
      <c r="R98" s="327">
        <f t="shared" si="90"/>
        <v>0</v>
      </c>
      <c r="S98" s="327">
        <f t="shared" si="90"/>
        <v>0</v>
      </c>
      <c r="T98" s="327">
        <f t="shared" si="90"/>
        <v>0</v>
      </c>
      <c r="U98" s="327">
        <f t="shared" si="90"/>
        <v>0</v>
      </c>
      <c r="V98" s="327">
        <f t="shared" si="90"/>
        <v>0</v>
      </c>
      <c r="W98" s="327">
        <f t="shared" si="90"/>
        <v>0</v>
      </c>
      <c r="X98" s="327">
        <f t="shared" si="90"/>
        <v>0</v>
      </c>
      <c r="Y98" s="327">
        <f t="shared" si="90"/>
        <v>0</v>
      </c>
      <c r="Z98" s="327">
        <f t="shared" si="90"/>
        <v>0</v>
      </c>
      <c r="AA98" s="327">
        <f t="shared" si="90"/>
        <v>0</v>
      </c>
      <c r="AB98" s="327">
        <f t="shared" si="90"/>
        <v>0</v>
      </c>
      <c r="AC98" s="327">
        <f t="shared" si="90"/>
        <v>0</v>
      </c>
      <c r="AD98" s="327">
        <f t="shared" si="90"/>
        <v>0</v>
      </c>
      <c r="AE98" s="327">
        <f t="shared" si="90"/>
        <v>0</v>
      </c>
      <c r="AF98" s="327">
        <f t="shared" si="90"/>
        <v>0</v>
      </c>
      <c r="AG98" s="327">
        <f t="shared" si="90"/>
        <v>0</v>
      </c>
      <c r="AH98" s="327">
        <f t="shared" si="90"/>
        <v>0</v>
      </c>
      <c r="AI98" s="327">
        <f t="shared" si="90"/>
        <v>0</v>
      </c>
      <c r="AJ98" s="327">
        <f t="shared" si="90"/>
        <v>0</v>
      </c>
      <c r="AK98" s="327">
        <f t="shared" si="90"/>
        <v>0</v>
      </c>
      <c r="AL98" s="327">
        <f t="shared" si="90"/>
        <v>0</v>
      </c>
      <c r="AM98" s="327">
        <f t="shared" si="90"/>
        <v>0</v>
      </c>
      <c r="AN98" s="327">
        <f t="shared" si="90"/>
        <v>0</v>
      </c>
      <c r="AO98" s="327">
        <f t="shared" si="90"/>
        <v>0</v>
      </c>
      <c r="AP98" s="327">
        <f t="shared" si="90"/>
        <v>0</v>
      </c>
      <c r="AQ98" s="327">
        <f t="shared" si="90"/>
        <v>0</v>
      </c>
      <c r="AR98" s="328">
        <f t="shared" si="85"/>
        <v>0</v>
      </c>
      <c r="AS98" s="321">
        <f>+D94-AR96-AR98</f>
        <v>0</v>
      </c>
      <c r="AW98" s="274" t="str">
        <f>IF(F98="","X",IF(AND(E98&gt;0),F98,"-"))</f>
        <v>-</v>
      </c>
      <c r="AX98" s="274" t="str">
        <f t="shared" ca="1" si="86"/>
        <v/>
      </c>
    </row>
    <row r="99" spans="1:50" s="274" customFormat="1" ht="18" hidden="1" customHeight="1" thickBot="1">
      <c r="A99" s="2500"/>
      <c r="B99" s="2503"/>
      <c r="C99" s="324"/>
      <c r="D99" s="325" t="s">
        <v>1195</v>
      </c>
      <c r="E99" s="2511"/>
      <c r="F99" s="329" t="s">
        <v>1193</v>
      </c>
      <c r="G99" s="329" t="str">
        <f>D99&amp;" | "&amp;F99</f>
        <v>PROPONENTE | DE</v>
      </c>
      <c r="H99" s="327">
        <f>($D95*H95-H97)</f>
        <v>0</v>
      </c>
      <c r="I99" s="327">
        <f t="shared" si="90"/>
        <v>0</v>
      </c>
      <c r="J99" s="327">
        <f t="shared" si="90"/>
        <v>0</v>
      </c>
      <c r="K99" s="327">
        <f t="shared" si="90"/>
        <v>0</v>
      </c>
      <c r="L99" s="327">
        <f t="shared" si="90"/>
        <v>0</v>
      </c>
      <c r="M99" s="327">
        <f t="shared" si="90"/>
        <v>0</v>
      </c>
      <c r="N99" s="327">
        <f t="shared" si="90"/>
        <v>0</v>
      </c>
      <c r="O99" s="327">
        <f t="shared" si="90"/>
        <v>0</v>
      </c>
      <c r="P99" s="327">
        <f t="shared" si="90"/>
        <v>0</v>
      </c>
      <c r="Q99" s="327">
        <f t="shared" si="90"/>
        <v>0</v>
      </c>
      <c r="R99" s="327">
        <f t="shared" si="90"/>
        <v>0</v>
      </c>
      <c r="S99" s="327">
        <f t="shared" si="90"/>
        <v>0</v>
      </c>
      <c r="T99" s="327">
        <f t="shared" si="90"/>
        <v>0</v>
      </c>
      <c r="U99" s="327">
        <f t="shared" si="90"/>
        <v>0</v>
      </c>
      <c r="V99" s="327">
        <f t="shared" si="90"/>
        <v>0</v>
      </c>
      <c r="W99" s="327">
        <f t="shared" si="90"/>
        <v>0</v>
      </c>
      <c r="X99" s="327">
        <f t="shared" si="90"/>
        <v>0</v>
      </c>
      <c r="Y99" s="327">
        <f t="shared" si="90"/>
        <v>0</v>
      </c>
      <c r="Z99" s="327">
        <f t="shared" si="90"/>
        <v>0</v>
      </c>
      <c r="AA99" s="327">
        <f t="shared" si="90"/>
        <v>0</v>
      </c>
      <c r="AB99" s="327">
        <f t="shared" si="90"/>
        <v>0</v>
      </c>
      <c r="AC99" s="327">
        <f t="shared" si="90"/>
        <v>0</v>
      </c>
      <c r="AD99" s="327">
        <f t="shared" si="90"/>
        <v>0</v>
      </c>
      <c r="AE99" s="327">
        <f t="shared" si="90"/>
        <v>0</v>
      </c>
      <c r="AF99" s="327">
        <f t="shared" si="90"/>
        <v>0</v>
      </c>
      <c r="AG99" s="327">
        <f t="shared" si="90"/>
        <v>0</v>
      </c>
      <c r="AH99" s="327">
        <f t="shared" si="90"/>
        <v>0</v>
      </c>
      <c r="AI99" s="327">
        <f t="shared" si="90"/>
        <v>0</v>
      </c>
      <c r="AJ99" s="327">
        <f t="shared" si="90"/>
        <v>0</v>
      </c>
      <c r="AK99" s="327">
        <f t="shared" si="90"/>
        <v>0</v>
      </c>
      <c r="AL99" s="327">
        <f t="shared" si="90"/>
        <v>0</v>
      </c>
      <c r="AM99" s="327">
        <f t="shared" si="90"/>
        <v>0</v>
      </c>
      <c r="AN99" s="327">
        <f t="shared" si="90"/>
        <v>0</v>
      </c>
      <c r="AO99" s="327">
        <f t="shared" si="90"/>
        <v>0</v>
      </c>
      <c r="AP99" s="327">
        <f t="shared" si="90"/>
        <v>0</v>
      </c>
      <c r="AQ99" s="327">
        <f t="shared" si="90"/>
        <v>0</v>
      </c>
      <c r="AR99" s="328">
        <f t="shared" si="85"/>
        <v>0</v>
      </c>
      <c r="AS99" s="321">
        <f>+D95-AR97-AR99</f>
        <v>0</v>
      </c>
      <c r="AW99" s="274" t="str">
        <f>IF(F99="","X",IF(AND(E98&gt;0),F99,"-"))</f>
        <v>-</v>
      </c>
      <c r="AX99" s="274" t="str">
        <f t="shared" ca="1" si="86"/>
        <v/>
      </c>
    </row>
    <row r="100" spans="1:50" s="274" customFormat="1" ht="9.9499999999999993" hidden="1" customHeight="1">
      <c r="A100" s="2498">
        <f ca="1">Orcamento!B30</f>
        <v>0</v>
      </c>
      <c r="B100" s="2501" t="str">
        <f>Orcamento!D30</f>
        <v>SERVIÇOS COMPLEMENTARES</v>
      </c>
      <c r="C100" s="305"/>
      <c r="D100" s="306"/>
      <c r="E100" s="307"/>
      <c r="F100" s="307"/>
      <c r="G100" s="307"/>
      <c r="H100" s="308">
        <f t="shared" ref="H100:AQ100" si="91">H101</f>
        <v>0</v>
      </c>
      <c r="I100" s="308">
        <f t="shared" si="91"/>
        <v>0</v>
      </c>
      <c r="J100" s="308">
        <f t="shared" si="91"/>
        <v>0</v>
      </c>
      <c r="K100" s="308">
        <f t="shared" si="91"/>
        <v>0</v>
      </c>
      <c r="L100" s="308">
        <f t="shared" si="91"/>
        <v>0.5</v>
      </c>
      <c r="M100" s="308">
        <f t="shared" si="91"/>
        <v>0.5</v>
      </c>
      <c r="N100" s="308">
        <f t="shared" si="91"/>
        <v>0</v>
      </c>
      <c r="O100" s="308">
        <f t="shared" si="91"/>
        <v>0</v>
      </c>
      <c r="P100" s="308">
        <f t="shared" si="91"/>
        <v>0</v>
      </c>
      <c r="Q100" s="308">
        <f t="shared" si="91"/>
        <v>0</v>
      </c>
      <c r="R100" s="308">
        <f t="shared" si="91"/>
        <v>0</v>
      </c>
      <c r="S100" s="308">
        <f t="shared" si="91"/>
        <v>0</v>
      </c>
      <c r="T100" s="308">
        <f t="shared" si="91"/>
        <v>0</v>
      </c>
      <c r="U100" s="308">
        <f t="shared" si="91"/>
        <v>0</v>
      </c>
      <c r="V100" s="308">
        <f t="shared" si="91"/>
        <v>0</v>
      </c>
      <c r="W100" s="308">
        <f t="shared" si="91"/>
        <v>0</v>
      </c>
      <c r="X100" s="308">
        <f t="shared" si="91"/>
        <v>0</v>
      </c>
      <c r="Y100" s="308">
        <f t="shared" si="91"/>
        <v>0</v>
      </c>
      <c r="Z100" s="308">
        <f t="shared" si="91"/>
        <v>0</v>
      </c>
      <c r="AA100" s="308">
        <f t="shared" si="91"/>
        <v>0</v>
      </c>
      <c r="AB100" s="308">
        <f t="shared" si="91"/>
        <v>0</v>
      </c>
      <c r="AC100" s="308">
        <f t="shared" si="91"/>
        <v>0</v>
      </c>
      <c r="AD100" s="308">
        <f t="shared" si="91"/>
        <v>0</v>
      </c>
      <c r="AE100" s="308">
        <f t="shared" si="91"/>
        <v>0</v>
      </c>
      <c r="AF100" s="308">
        <f t="shared" si="91"/>
        <v>0</v>
      </c>
      <c r="AG100" s="308">
        <f t="shared" si="91"/>
        <v>0</v>
      </c>
      <c r="AH100" s="308">
        <f t="shared" si="91"/>
        <v>0</v>
      </c>
      <c r="AI100" s="308">
        <f t="shared" si="91"/>
        <v>0</v>
      </c>
      <c r="AJ100" s="308">
        <f t="shared" si="91"/>
        <v>0</v>
      </c>
      <c r="AK100" s="308">
        <f t="shared" si="91"/>
        <v>0</v>
      </c>
      <c r="AL100" s="308">
        <f t="shared" si="91"/>
        <v>0</v>
      </c>
      <c r="AM100" s="308">
        <f t="shared" si="91"/>
        <v>0</v>
      </c>
      <c r="AN100" s="308">
        <f t="shared" si="91"/>
        <v>0</v>
      </c>
      <c r="AO100" s="308">
        <f t="shared" si="91"/>
        <v>0</v>
      </c>
      <c r="AP100" s="308">
        <f t="shared" si="91"/>
        <v>0</v>
      </c>
      <c r="AQ100" s="308">
        <f t="shared" si="91"/>
        <v>0</v>
      </c>
      <c r="AR100" s="309"/>
      <c r="AS100" s="310">
        <f>+D102-AR104-AR106</f>
        <v>0</v>
      </c>
      <c r="AW100" s="274" t="str">
        <f>IF(F100="","X",F100)</f>
        <v>X</v>
      </c>
      <c r="AX100" s="274" t="str">
        <f ca="1">IF($A$100=0,"","X")</f>
        <v/>
      </c>
    </row>
    <row r="101" spans="1:50" s="274" customFormat="1" ht="18" hidden="1" customHeight="1">
      <c r="A101" s="2499"/>
      <c r="B101" s="2502"/>
      <c r="C101" s="311" t="str">
        <f>CONCATENATE(Orcamento!K106," ",Orcamento!O106)</f>
        <v xml:space="preserve"> </v>
      </c>
      <c r="D101" s="2504">
        <f>Orcamento!S30</f>
        <v>0</v>
      </c>
      <c r="E101" s="2505"/>
      <c r="F101" s="312" t="s">
        <v>1192</v>
      </c>
      <c r="G101" s="312"/>
      <c r="H101" s="314"/>
      <c r="I101" s="314"/>
      <c r="J101" s="314"/>
      <c r="K101" s="314"/>
      <c r="L101" s="314">
        <v>0.5</v>
      </c>
      <c r="M101" s="314">
        <v>0.5</v>
      </c>
      <c r="N101" s="314"/>
      <c r="O101" s="314"/>
      <c r="P101" s="314"/>
      <c r="Q101" s="314"/>
      <c r="R101" s="314"/>
      <c r="S101" s="314"/>
      <c r="T101" s="314"/>
      <c r="U101" s="314"/>
      <c r="V101" s="314"/>
      <c r="W101" s="314"/>
      <c r="X101" s="314"/>
      <c r="Y101" s="314"/>
      <c r="Z101" s="314"/>
      <c r="AA101" s="314"/>
      <c r="AB101" s="314"/>
      <c r="AC101" s="314"/>
      <c r="AD101" s="314"/>
      <c r="AE101" s="314"/>
      <c r="AF101" s="314"/>
      <c r="AG101" s="314"/>
      <c r="AH101" s="314"/>
      <c r="AI101" s="314"/>
      <c r="AJ101" s="314"/>
      <c r="AK101" s="314"/>
      <c r="AL101" s="314"/>
      <c r="AM101" s="314"/>
      <c r="AN101" s="314"/>
      <c r="AO101" s="314"/>
      <c r="AP101" s="314"/>
      <c r="AQ101" s="314"/>
      <c r="AR101" s="315">
        <f t="shared" ref="AR101:AR106" si="92">SUM(H101:AQ101)</f>
        <v>1</v>
      </c>
      <c r="AS101" s="2506">
        <f>1-AR101</f>
        <v>0</v>
      </c>
      <c r="AU101" s="2507">
        <f>+COUNT(H101:AQ102)</f>
        <v>38</v>
      </c>
      <c r="AW101" s="274" t="str">
        <f>IF(F101="","X",F101)</f>
        <v>ND</v>
      </c>
      <c r="AX101" s="274" t="str">
        <f t="shared" ref="AX101:AX106" ca="1" si="93">IF($A$100=0,"","X")</f>
        <v/>
      </c>
    </row>
    <row r="102" spans="1:50" s="274" customFormat="1" ht="18" hidden="1" customHeight="1">
      <c r="A102" s="2499"/>
      <c r="B102" s="2502"/>
      <c r="C102" s="311" t="str">
        <f>CONCATENATE(Orcamento!K107," ",Orcamento!O107)</f>
        <v>0 2,52</v>
      </c>
      <c r="D102" s="2504">
        <f>Orcamento!T30</f>
        <v>0</v>
      </c>
      <c r="E102" s="2505"/>
      <c r="F102" s="316" t="s">
        <v>1193</v>
      </c>
      <c r="G102" s="316"/>
      <c r="H102" s="314">
        <f t="shared" ref="H102:AQ102" si="94">H101</f>
        <v>0</v>
      </c>
      <c r="I102" s="314">
        <f t="shared" si="94"/>
        <v>0</v>
      </c>
      <c r="J102" s="314">
        <f t="shared" si="94"/>
        <v>0</v>
      </c>
      <c r="K102" s="314">
        <f t="shared" si="94"/>
        <v>0</v>
      </c>
      <c r="L102" s="314">
        <f t="shared" si="94"/>
        <v>0.5</v>
      </c>
      <c r="M102" s="314">
        <f t="shared" si="94"/>
        <v>0.5</v>
      </c>
      <c r="N102" s="314">
        <f t="shared" si="94"/>
        <v>0</v>
      </c>
      <c r="O102" s="314">
        <f t="shared" si="94"/>
        <v>0</v>
      </c>
      <c r="P102" s="314">
        <f t="shared" si="94"/>
        <v>0</v>
      </c>
      <c r="Q102" s="314">
        <f t="shared" si="94"/>
        <v>0</v>
      </c>
      <c r="R102" s="314">
        <f t="shared" si="94"/>
        <v>0</v>
      </c>
      <c r="S102" s="314">
        <f t="shared" si="94"/>
        <v>0</v>
      </c>
      <c r="T102" s="314">
        <f t="shared" si="94"/>
        <v>0</v>
      </c>
      <c r="U102" s="314">
        <f t="shared" si="94"/>
        <v>0</v>
      </c>
      <c r="V102" s="314">
        <f t="shared" si="94"/>
        <v>0</v>
      </c>
      <c r="W102" s="314">
        <f t="shared" si="94"/>
        <v>0</v>
      </c>
      <c r="X102" s="314">
        <f t="shared" si="94"/>
        <v>0</v>
      </c>
      <c r="Y102" s="314">
        <f t="shared" si="94"/>
        <v>0</v>
      </c>
      <c r="Z102" s="314">
        <f t="shared" si="94"/>
        <v>0</v>
      </c>
      <c r="AA102" s="314">
        <f t="shared" si="94"/>
        <v>0</v>
      </c>
      <c r="AB102" s="314">
        <f t="shared" si="94"/>
        <v>0</v>
      </c>
      <c r="AC102" s="314">
        <f t="shared" si="94"/>
        <v>0</v>
      </c>
      <c r="AD102" s="314">
        <f t="shared" si="94"/>
        <v>0</v>
      </c>
      <c r="AE102" s="314">
        <f t="shared" si="94"/>
        <v>0</v>
      </c>
      <c r="AF102" s="314">
        <f t="shared" si="94"/>
        <v>0</v>
      </c>
      <c r="AG102" s="314">
        <f t="shared" si="94"/>
        <v>0</v>
      </c>
      <c r="AH102" s="314">
        <f t="shared" si="94"/>
        <v>0</v>
      </c>
      <c r="AI102" s="314">
        <f t="shared" si="94"/>
        <v>0</v>
      </c>
      <c r="AJ102" s="314">
        <f t="shared" si="94"/>
        <v>0</v>
      </c>
      <c r="AK102" s="314">
        <f t="shared" si="94"/>
        <v>0</v>
      </c>
      <c r="AL102" s="314">
        <f t="shared" si="94"/>
        <v>0</v>
      </c>
      <c r="AM102" s="314">
        <f t="shared" si="94"/>
        <v>0</v>
      </c>
      <c r="AN102" s="314">
        <f t="shared" si="94"/>
        <v>0</v>
      </c>
      <c r="AO102" s="314">
        <f t="shared" si="94"/>
        <v>0</v>
      </c>
      <c r="AP102" s="314">
        <f t="shared" si="94"/>
        <v>0</v>
      </c>
      <c r="AQ102" s="314">
        <f t="shared" si="94"/>
        <v>0</v>
      </c>
      <c r="AR102" s="315">
        <f t="shared" si="92"/>
        <v>1</v>
      </c>
      <c r="AS102" s="2506"/>
      <c r="AU102" s="2507"/>
      <c r="AW102" s="274" t="str">
        <f>IF(F102="","X",F102)</f>
        <v>DE</v>
      </c>
      <c r="AX102" s="274" t="str">
        <f t="shared" ca="1" si="93"/>
        <v/>
      </c>
    </row>
    <row r="103" spans="1:50" s="274" customFormat="1" ht="18" hidden="1" customHeight="1">
      <c r="A103" s="2499"/>
      <c r="B103" s="2502"/>
      <c r="C103" s="311"/>
      <c r="D103" s="317" t="s">
        <v>1194</v>
      </c>
      <c r="E103" s="2508">
        <f>$D$159</f>
        <v>1</v>
      </c>
      <c r="F103" s="318" t="s">
        <v>1192</v>
      </c>
      <c r="G103" s="318" t="str">
        <f>D103&amp;" | "&amp;F103</f>
        <v>CONCEDENTE | ND</v>
      </c>
      <c r="H103" s="319">
        <f t="shared" ref="H103:AQ103" si="95">IF($D101=0,0,IF(H101=0,0,($E103*$D101*H101)+$AU$163))</f>
        <v>0</v>
      </c>
      <c r="I103" s="319">
        <f t="shared" si="95"/>
        <v>0</v>
      </c>
      <c r="J103" s="319">
        <f t="shared" si="95"/>
        <v>0</v>
      </c>
      <c r="K103" s="319">
        <f t="shared" si="95"/>
        <v>0</v>
      </c>
      <c r="L103" s="319">
        <f t="shared" si="95"/>
        <v>0</v>
      </c>
      <c r="M103" s="319">
        <f t="shared" si="95"/>
        <v>0</v>
      </c>
      <c r="N103" s="319">
        <f t="shared" si="95"/>
        <v>0</v>
      </c>
      <c r="O103" s="319">
        <f t="shared" si="95"/>
        <v>0</v>
      </c>
      <c r="P103" s="319">
        <f t="shared" si="95"/>
        <v>0</v>
      </c>
      <c r="Q103" s="319">
        <f t="shared" si="95"/>
        <v>0</v>
      </c>
      <c r="R103" s="319">
        <f t="shared" si="95"/>
        <v>0</v>
      </c>
      <c r="S103" s="319">
        <f t="shared" si="95"/>
        <v>0</v>
      </c>
      <c r="T103" s="319">
        <f t="shared" si="95"/>
        <v>0</v>
      </c>
      <c r="U103" s="319">
        <f t="shared" si="95"/>
        <v>0</v>
      </c>
      <c r="V103" s="319">
        <f t="shared" si="95"/>
        <v>0</v>
      </c>
      <c r="W103" s="319">
        <f t="shared" si="95"/>
        <v>0</v>
      </c>
      <c r="X103" s="319">
        <f t="shared" si="95"/>
        <v>0</v>
      </c>
      <c r="Y103" s="319">
        <f t="shared" si="95"/>
        <v>0</v>
      </c>
      <c r="Z103" s="319">
        <f t="shared" si="95"/>
        <v>0</v>
      </c>
      <c r="AA103" s="319">
        <f t="shared" si="95"/>
        <v>0</v>
      </c>
      <c r="AB103" s="319">
        <f t="shared" si="95"/>
        <v>0</v>
      </c>
      <c r="AC103" s="319">
        <f t="shared" si="95"/>
        <v>0</v>
      </c>
      <c r="AD103" s="319">
        <f t="shared" si="95"/>
        <v>0</v>
      </c>
      <c r="AE103" s="319">
        <f t="shared" si="95"/>
        <v>0</v>
      </c>
      <c r="AF103" s="319">
        <f t="shared" si="95"/>
        <v>0</v>
      </c>
      <c r="AG103" s="319">
        <f t="shared" si="95"/>
        <v>0</v>
      </c>
      <c r="AH103" s="319">
        <f t="shared" si="95"/>
        <v>0</v>
      </c>
      <c r="AI103" s="319">
        <f t="shared" si="95"/>
        <v>0</v>
      </c>
      <c r="AJ103" s="319">
        <f t="shared" si="95"/>
        <v>0</v>
      </c>
      <c r="AK103" s="319">
        <f t="shared" si="95"/>
        <v>0</v>
      </c>
      <c r="AL103" s="319">
        <f t="shared" si="95"/>
        <v>0</v>
      </c>
      <c r="AM103" s="319">
        <f t="shared" si="95"/>
        <v>0</v>
      </c>
      <c r="AN103" s="319">
        <f t="shared" si="95"/>
        <v>0</v>
      </c>
      <c r="AO103" s="319">
        <f t="shared" si="95"/>
        <v>0</v>
      </c>
      <c r="AP103" s="319">
        <f t="shared" si="95"/>
        <v>0</v>
      </c>
      <c r="AQ103" s="319">
        <f t="shared" si="95"/>
        <v>0</v>
      </c>
      <c r="AR103" s="320">
        <f t="shared" si="92"/>
        <v>0</v>
      </c>
      <c r="AS103" s="321">
        <f>TRUNC(AR103-D101*E103,2)</f>
        <v>0</v>
      </c>
      <c r="AT103" s="322" t="e">
        <f>+AR103/D101</f>
        <v>#DIV/0!</v>
      </c>
      <c r="AW103" s="274" t="str">
        <f>IF(F103="","X",IF(AND(E103&gt;0),F103,"-"))</f>
        <v>ND</v>
      </c>
      <c r="AX103" s="274" t="str">
        <f t="shared" ca="1" si="93"/>
        <v/>
      </c>
    </row>
    <row r="104" spans="1:50" s="274" customFormat="1" ht="18" hidden="1" customHeight="1">
      <c r="A104" s="2499"/>
      <c r="B104" s="2502"/>
      <c r="C104" s="311"/>
      <c r="D104" s="317" t="s">
        <v>1194</v>
      </c>
      <c r="E104" s="2509"/>
      <c r="F104" s="323" t="s">
        <v>1193</v>
      </c>
      <c r="G104" s="323" t="str">
        <f>D104&amp;" | "&amp;F104</f>
        <v>CONCEDENTE | DE</v>
      </c>
      <c r="H104" s="319">
        <f t="shared" ref="H104:AQ104" si="96">IF($D102=0,0,IF(H102=0,0,($E103*$D102*H102)+$AU$163))</f>
        <v>0</v>
      </c>
      <c r="I104" s="319">
        <f t="shared" si="96"/>
        <v>0</v>
      </c>
      <c r="J104" s="319">
        <f t="shared" si="96"/>
        <v>0</v>
      </c>
      <c r="K104" s="319">
        <f t="shared" si="96"/>
        <v>0</v>
      </c>
      <c r="L104" s="319">
        <f t="shared" si="96"/>
        <v>0</v>
      </c>
      <c r="M104" s="319">
        <f t="shared" si="96"/>
        <v>0</v>
      </c>
      <c r="N104" s="319">
        <f t="shared" si="96"/>
        <v>0</v>
      </c>
      <c r="O104" s="319">
        <f t="shared" si="96"/>
        <v>0</v>
      </c>
      <c r="P104" s="319">
        <f t="shared" si="96"/>
        <v>0</v>
      </c>
      <c r="Q104" s="319">
        <f t="shared" si="96"/>
        <v>0</v>
      </c>
      <c r="R104" s="319">
        <f t="shared" si="96"/>
        <v>0</v>
      </c>
      <c r="S104" s="319">
        <f t="shared" si="96"/>
        <v>0</v>
      </c>
      <c r="T104" s="319">
        <f t="shared" si="96"/>
        <v>0</v>
      </c>
      <c r="U104" s="319">
        <f t="shared" si="96"/>
        <v>0</v>
      </c>
      <c r="V104" s="319">
        <f t="shared" si="96"/>
        <v>0</v>
      </c>
      <c r="W104" s="319">
        <f t="shared" si="96"/>
        <v>0</v>
      </c>
      <c r="X104" s="319">
        <f t="shared" si="96"/>
        <v>0</v>
      </c>
      <c r="Y104" s="319">
        <f t="shared" si="96"/>
        <v>0</v>
      </c>
      <c r="Z104" s="319">
        <f t="shared" si="96"/>
        <v>0</v>
      </c>
      <c r="AA104" s="319">
        <f t="shared" si="96"/>
        <v>0</v>
      </c>
      <c r="AB104" s="319">
        <f t="shared" si="96"/>
        <v>0</v>
      </c>
      <c r="AC104" s="319">
        <f t="shared" si="96"/>
        <v>0</v>
      </c>
      <c r="AD104" s="319">
        <f t="shared" si="96"/>
        <v>0</v>
      </c>
      <c r="AE104" s="319">
        <f t="shared" si="96"/>
        <v>0</v>
      </c>
      <c r="AF104" s="319">
        <f t="shared" si="96"/>
        <v>0</v>
      </c>
      <c r="AG104" s="319">
        <f t="shared" si="96"/>
        <v>0</v>
      </c>
      <c r="AH104" s="319">
        <f t="shared" si="96"/>
        <v>0</v>
      </c>
      <c r="AI104" s="319">
        <f t="shared" si="96"/>
        <v>0</v>
      </c>
      <c r="AJ104" s="319">
        <f t="shared" si="96"/>
        <v>0</v>
      </c>
      <c r="AK104" s="319">
        <f t="shared" si="96"/>
        <v>0</v>
      </c>
      <c r="AL104" s="319">
        <f t="shared" si="96"/>
        <v>0</v>
      </c>
      <c r="AM104" s="319">
        <f t="shared" si="96"/>
        <v>0</v>
      </c>
      <c r="AN104" s="319">
        <f t="shared" si="96"/>
        <v>0</v>
      </c>
      <c r="AO104" s="319">
        <f t="shared" si="96"/>
        <v>0</v>
      </c>
      <c r="AP104" s="319">
        <f t="shared" si="96"/>
        <v>0</v>
      </c>
      <c r="AQ104" s="319">
        <f t="shared" si="96"/>
        <v>0</v>
      </c>
      <c r="AR104" s="320">
        <f t="shared" si="92"/>
        <v>0</v>
      </c>
      <c r="AS104" s="321">
        <f>TRUNC(AR104-D102*E103,2)</f>
        <v>0</v>
      </c>
      <c r="AT104" s="322" t="e">
        <f>+AR104/D102</f>
        <v>#DIV/0!</v>
      </c>
      <c r="AW104" s="274" t="str">
        <f>IF(F104="","X",IF(AND(E103&gt;0),F104,"-"))</f>
        <v>DE</v>
      </c>
      <c r="AX104" s="274" t="str">
        <f t="shared" ca="1" si="93"/>
        <v/>
      </c>
    </row>
    <row r="105" spans="1:50" s="274" customFormat="1" ht="18" hidden="1" customHeight="1" thickBot="1">
      <c r="A105" s="2499"/>
      <c r="B105" s="2502"/>
      <c r="C105" s="324"/>
      <c r="D105" s="325" t="s">
        <v>1195</v>
      </c>
      <c r="E105" s="2510">
        <f>1-E103</f>
        <v>0</v>
      </c>
      <c r="F105" s="326" t="s">
        <v>1192</v>
      </c>
      <c r="G105" s="326" t="str">
        <f>D105&amp;" | "&amp;F105</f>
        <v>PROPONENTE | ND</v>
      </c>
      <c r="H105" s="327">
        <f>($D101*H101-H103)</f>
        <v>0</v>
      </c>
      <c r="I105" s="327">
        <f t="shared" ref="I105:AQ106" si="97">($D101*I101-I103)</f>
        <v>0</v>
      </c>
      <c r="J105" s="327">
        <f t="shared" si="97"/>
        <v>0</v>
      </c>
      <c r="K105" s="327">
        <f t="shared" si="97"/>
        <v>0</v>
      </c>
      <c r="L105" s="327">
        <f t="shared" si="97"/>
        <v>0</v>
      </c>
      <c r="M105" s="327">
        <f t="shared" si="97"/>
        <v>0</v>
      </c>
      <c r="N105" s="327">
        <f t="shared" si="97"/>
        <v>0</v>
      </c>
      <c r="O105" s="327">
        <f t="shared" si="97"/>
        <v>0</v>
      </c>
      <c r="P105" s="327">
        <f t="shared" si="97"/>
        <v>0</v>
      </c>
      <c r="Q105" s="327">
        <f t="shared" si="97"/>
        <v>0</v>
      </c>
      <c r="R105" s="327">
        <f t="shared" si="97"/>
        <v>0</v>
      </c>
      <c r="S105" s="327">
        <f t="shared" si="97"/>
        <v>0</v>
      </c>
      <c r="T105" s="327">
        <f t="shared" si="97"/>
        <v>0</v>
      </c>
      <c r="U105" s="327">
        <f t="shared" si="97"/>
        <v>0</v>
      </c>
      <c r="V105" s="327">
        <f t="shared" si="97"/>
        <v>0</v>
      </c>
      <c r="W105" s="327">
        <f t="shared" si="97"/>
        <v>0</v>
      </c>
      <c r="X105" s="327">
        <f t="shared" si="97"/>
        <v>0</v>
      </c>
      <c r="Y105" s="327">
        <f t="shared" si="97"/>
        <v>0</v>
      </c>
      <c r="Z105" s="327">
        <f t="shared" si="97"/>
        <v>0</v>
      </c>
      <c r="AA105" s="327">
        <f t="shared" si="97"/>
        <v>0</v>
      </c>
      <c r="AB105" s="327">
        <f t="shared" si="97"/>
        <v>0</v>
      </c>
      <c r="AC105" s="327">
        <f t="shared" si="97"/>
        <v>0</v>
      </c>
      <c r="AD105" s="327">
        <f t="shared" si="97"/>
        <v>0</v>
      </c>
      <c r="AE105" s="327">
        <f t="shared" si="97"/>
        <v>0</v>
      </c>
      <c r="AF105" s="327">
        <f t="shared" si="97"/>
        <v>0</v>
      </c>
      <c r="AG105" s="327">
        <f t="shared" si="97"/>
        <v>0</v>
      </c>
      <c r="AH105" s="327">
        <f t="shared" si="97"/>
        <v>0</v>
      </c>
      <c r="AI105" s="327">
        <f t="shared" si="97"/>
        <v>0</v>
      </c>
      <c r="AJ105" s="327">
        <f t="shared" si="97"/>
        <v>0</v>
      </c>
      <c r="AK105" s="327">
        <f t="shared" si="97"/>
        <v>0</v>
      </c>
      <c r="AL105" s="327">
        <f t="shared" si="97"/>
        <v>0</v>
      </c>
      <c r="AM105" s="327">
        <f t="shared" si="97"/>
        <v>0</v>
      </c>
      <c r="AN105" s="327">
        <f t="shared" si="97"/>
        <v>0</v>
      </c>
      <c r="AO105" s="327">
        <f t="shared" si="97"/>
        <v>0</v>
      </c>
      <c r="AP105" s="327">
        <f t="shared" si="97"/>
        <v>0</v>
      </c>
      <c r="AQ105" s="327">
        <f t="shared" si="97"/>
        <v>0</v>
      </c>
      <c r="AR105" s="328">
        <f t="shared" si="92"/>
        <v>0</v>
      </c>
      <c r="AS105" s="321">
        <f>+D101-AR103-AR105</f>
        <v>0</v>
      </c>
      <c r="AW105" s="274" t="str">
        <f>IF(F105="","X",IF(AND(E105&gt;0),F105,"-"))</f>
        <v>-</v>
      </c>
      <c r="AX105" s="274" t="str">
        <f t="shared" ca="1" si="93"/>
        <v/>
      </c>
    </row>
    <row r="106" spans="1:50" s="274" customFormat="1" ht="18" hidden="1" customHeight="1" thickBot="1">
      <c r="A106" s="2500"/>
      <c r="B106" s="2503"/>
      <c r="C106" s="324"/>
      <c r="D106" s="325" t="s">
        <v>1195</v>
      </c>
      <c r="E106" s="2511"/>
      <c r="F106" s="329" t="s">
        <v>1193</v>
      </c>
      <c r="G106" s="329" t="str">
        <f>D106&amp;" | "&amp;F106</f>
        <v>PROPONENTE | DE</v>
      </c>
      <c r="H106" s="327">
        <f>($D102*H102-H104)</f>
        <v>0</v>
      </c>
      <c r="I106" s="327">
        <f t="shared" si="97"/>
        <v>0</v>
      </c>
      <c r="J106" s="327">
        <f t="shared" si="97"/>
        <v>0</v>
      </c>
      <c r="K106" s="327">
        <f t="shared" si="97"/>
        <v>0</v>
      </c>
      <c r="L106" s="327">
        <f t="shared" si="97"/>
        <v>0</v>
      </c>
      <c r="M106" s="327">
        <f t="shared" si="97"/>
        <v>0</v>
      </c>
      <c r="N106" s="327">
        <f t="shared" si="97"/>
        <v>0</v>
      </c>
      <c r="O106" s="327">
        <f t="shared" si="97"/>
        <v>0</v>
      </c>
      <c r="P106" s="327">
        <f t="shared" si="97"/>
        <v>0</v>
      </c>
      <c r="Q106" s="327">
        <f t="shared" si="97"/>
        <v>0</v>
      </c>
      <c r="R106" s="327">
        <f t="shared" si="97"/>
        <v>0</v>
      </c>
      <c r="S106" s="327">
        <f t="shared" si="97"/>
        <v>0</v>
      </c>
      <c r="T106" s="327">
        <f t="shared" si="97"/>
        <v>0</v>
      </c>
      <c r="U106" s="327">
        <f t="shared" si="97"/>
        <v>0</v>
      </c>
      <c r="V106" s="327">
        <f t="shared" si="97"/>
        <v>0</v>
      </c>
      <c r="W106" s="327">
        <f t="shared" si="97"/>
        <v>0</v>
      </c>
      <c r="X106" s="327">
        <f t="shared" si="97"/>
        <v>0</v>
      </c>
      <c r="Y106" s="327">
        <f t="shared" si="97"/>
        <v>0</v>
      </c>
      <c r="Z106" s="327">
        <f t="shared" si="97"/>
        <v>0</v>
      </c>
      <c r="AA106" s="327">
        <f t="shared" si="97"/>
        <v>0</v>
      </c>
      <c r="AB106" s="327">
        <f t="shared" si="97"/>
        <v>0</v>
      </c>
      <c r="AC106" s="327">
        <f t="shared" si="97"/>
        <v>0</v>
      </c>
      <c r="AD106" s="327">
        <f t="shared" si="97"/>
        <v>0</v>
      </c>
      <c r="AE106" s="327">
        <f t="shared" si="97"/>
        <v>0</v>
      </c>
      <c r="AF106" s="327">
        <f t="shared" si="97"/>
        <v>0</v>
      </c>
      <c r="AG106" s="327">
        <f t="shared" si="97"/>
        <v>0</v>
      </c>
      <c r="AH106" s="327">
        <f t="shared" si="97"/>
        <v>0</v>
      </c>
      <c r="AI106" s="327">
        <f t="shared" si="97"/>
        <v>0</v>
      </c>
      <c r="AJ106" s="327">
        <f t="shared" si="97"/>
        <v>0</v>
      </c>
      <c r="AK106" s="327">
        <f t="shared" si="97"/>
        <v>0</v>
      </c>
      <c r="AL106" s="327">
        <f t="shared" si="97"/>
        <v>0</v>
      </c>
      <c r="AM106" s="327">
        <f t="shared" si="97"/>
        <v>0</v>
      </c>
      <c r="AN106" s="327">
        <f t="shared" si="97"/>
        <v>0</v>
      </c>
      <c r="AO106" s="327">
        <f t="shared" si="97"/>
        <v>0</v>
      </c>
      <c r="AP106" s="327">
        <f t="shared" si="97"/>
        <v>0</v>
      </c>
      <c r="AQ106" s="327">
        <f t="shared" si="97"/>
        <v>0</v>
      </c>
      <c r="AR106" s="328">
        <f t="shared" si="92"/>
        <v>0</v>
      </c>
      <c r="AS106" s="321">
        <f>+D102-AR104-AR106</f>
        <v>0</v>
      </c>
      <c r="AW106" s="274" t="str">
        <f>IF(F106="","X",IF(AND(E105&gt;0),F106,"-"))</f>
        <v>-</v>
      </c>
      <c r="AX106" s="274" t="str">
        <f t="shared" ca="1" si="93"/>
        <v/>
      </c>
    </row>
    <row r="107" spans="1:50" s="274" customFormat="1" ht="9.9499999999999993" hidden="1" customHeight="1">
      <c r="A107" s="2498">
        <f ca="1">Orcamento!B31</f>
        <v>0</v>
      </c>
      <c r="B107" s="2501" t="str">
        <f>Orcamento!D31</f>
        <v>PASSEIO COM ACESSIBILIDADE</v>
      </c>
      <c r="C107" s="305"/>
      <c r="D107" s="306"/>
      <c r="E107" s="307"/>
      <c r="F107" s="307"/>
      <c r="G107" s="307"/>
      <c r="H107" s="308">
        <f t="shared" ref="H107:AQ107" si="98">H108</f>
        <v>0</v>
      </c>
      <c r="I107" s="308">
        <f t="shared" si="98"/>
        <v>0</v>
      </c>
      <c r="J107" s="308">
        <f t="shared" si="98"/>
        <v>0</v>
      </c>
      <c r="K107" s="308">
        <f t="shared" si="98"/>
        <v>0</v>
      </c>
      <c r="L107" s="308">
        <f t="shared" si="98"/>
        <v>0</v>
      </c>
      <c r="M107" s="308">
        <f t="shared" si="98"/>
        <v>0</v>
      </c>
      <c r="N107" s="308">
        <f t="shared" si="98"/>
        <v>0</v>
      </c>
      <c r="O107" s="308">
        <f t="shared" si="98"/>
        <v>0</v>
      </c>
      <c r="P107" s="308">
        <f t="shared" si="98"/>
        <v>0</v>
      </c>
      <c r="Q107" s="308">
        <f t="shared" si="98"/>
        <v>0</v>
      </c>
      <c r="R107" s="308">
        <f t="shared" si="98"/>
        <v>0</v>
      </c>
      <c r="S107" s="308">
        <f t="shared" si="98"/>
        <v>0</v>
      </c>
      <c r="T107" s="308">
        <f t="shared" si="98"/>
        <v>0</v>
      </c>
      <c r="U107" s="308">
        <f t="shared" si="98"/>
        <v>0</v>
      </c>
      <c r="V107" s="308">
        <f t="shared" si="98"/>
        <v>0</v>
      </c>
      <c r="W107" s="308">
        <f t="shared" si="98"/>
        <v>0</v>
      </c>
      <c r="X107" s="308">
        <f t="shared" si="98"/>
        <v>0</v>
      </c>
      <c r="Y107" s="308">
        <f t="shared" si="98"/>
        <v>0</v>
      </c>
      <c r="Z107" s="308">
        <f t="shared" si="98"/>
        <v>0</v>
      </c>
      <c r="AA107" s="308">
        <f t="shared" si="98"/>
        <v>0</v>
      </c>
      <c r="AB107" s="308">
        <f t="shared" si="98"/>
        <v>0</v>
      </c>
      <c r="AC107" s="308">
        <f t="shared" si="98"/>
        <v>0</v>
      </c>
      <c r="AD107" s="308">
        <f t="shared" si="98"/>
        <v>0</v>
      </c>
      <c r="AE107" s="308">
        <f t="shared" si="98"/>
        <v>0</v>
      </c>
      <c r="AF107" s="308">
        <f t="shared" si="98"/>
        <v>0</v>
      </c>
      <c r="AG107" s="308">
        <f t="shared" si="98"/>
        <v>0</v>
      </c>
      <c r="AH107" s="308">
        <f t="shared" si="98"/>
        <v>0</v>
      </c>
      <c r="AI107" s="308">
        <f t="shared" si="98"/>
        <v>0</v>
      </c>
      <c r="AJ107" s="308">
        <f t="shared" si="98"/>
        <v>0</v>
      </c>
      <c r="AK107" s="308">
        <f t="shared" si="98"/>
        <v>0</v>
      </c>
      <c r="AL107" s="308">
        <f t="shared" si="98"/>
        <v>0</v>
      </c>
      <c r="AM107" s="308">
        <f t="shared" si="98"/>
        <v>0</v>
      </c>
      <c r="AN107" s="308">
        <f t="shared" si="98"/>
        <v>0</v>
      </c>
      <c r="AO107" s="308">
        <f t="shared" si="98"/>
        <v>0</v>
      </c>
      <c r="AP107" s="308">
        <f t="shared" si="98"/>
        <v>0</v>
      </c>
      <c r="AQ107" s="308">
        <f t="shared" si="98"/>
        <v>0</v>
      </c>
      <c r="AR107" s="309"/>
      <c r="AS107" s="310">
        <f>+D109-AR111-AR113</f>
        <v>0</v>
      </c>
      <c r="AW107" s="274" t="str">
        <f>IF(F107="","X",F107)</f>
        <v>X</v>
      </c>
      <c r="AX107" s="274" t="str">
        <f ca="1">IF($A$107=0,"","X")</f>
        <v/>
      </c>
    </row>
    <row r="108" spans="1:50" s="274" customFormat="1" ht="18" hidden="1" customHeight="1">
      <c r="A108" s="2499"/>
      <c r="B108" s="2502"/>
      <c r="C108" s="311" t="str">
        <f>CONCATENATE(Orcamento!K113," ",Orcamento!O113)</f>
        <v>0 1,01</v>
      </c>
      <c r="D108" s="2504">
        <f>Orcamento!S31</f>
        <v>0</v>
      </c>
      <c r="E108" s="2505"/>
      <c r="F108" s="312" t="s">
        <v>1192</v>
      </c>
      <c r="G108" s="312"/>
      <c r="H108" s="314"/>
      <c r="I108" s="314"/>
      <c r="J108" s="314"/>
      <c r="K108" s="314"/>
      <c r="L108" s="314"/>
      <c r="M108" s="314"/>
      <c r="N108" s="314"/>
      <c r="O108" s="314"/>
      <c r="P108" s="314"/>
      <c r="Q108" s="314"/>
      <c r="R108" s="314"/>
      <c r="S108" s="314"/>
      <c r="T108" s="314"/>
      <c r="U108" s="314"/>
      <c r="V108" s="314"/>
      <c r="W108" s="314"/>
      <c r="X108" s="314"/>
      <c r="Y108" s="314"/>
      <c r="Z108" s="314"/>
      <c r="AA108" s="314"/>
      <c r="AB108" s="314"/>
      <c r="AC108" s="314"/>
      <c r="AD108" s="314"/>
      <c r="AE108" s="314"/>
      <c r="AF108" s="314"/>
      <c r="AG108" s="314"/>
      <c r="AH108" s="314"/>
      <c r="AI108" s="314"/>
      <c r="AJ108" s="314"/>
      <c r="AK108" s="314"/>
      <c r="AL108" s="314"/>
      <c r="AM108" s="314"/>
      <c r="AN108" s="314"/>
      <c r="AO108" s="314"/>
      <c r="AP108" s="314"/>
      <c r="AQ108" s="314"/>
      <c r="AR108" s="315">
        <f t="shared" ref="AR108:AR113" si="99">SUM(H108:AQ108)</f>
        <v>0</v>
      </c>
      <c r="AS108" s="2506">
        <f>1-AR108</f>
        <v>1</v>
      </c>
      <c r="AU108" s="2507">
        <f>+COUNT(H108:AQ109)</f>
        <v>36</v>
      </c>
      <c r="AW108" s="274" t="str">
        <f>IF(F108="","X",F108)</f>
        <v>ND</v>
      </c>
      <c r="AX108" s="274" t="str">
        <f t="shared" ref="AX108:AX113" ca="1" si="100">IF($A$107=0,"","X")</f>
        <v/>
      </c>
    </row>
    <row r="109" spans="1:50" s="274" customFormat="1" ht="18" hidden="1" customHeight="1">
      <c r="A109" s="2499"/>
      <c r="B109" s="2502"/>
      <c r="C109" s="311" t="str">
        <f>CONCATENATE(Orcamento!K114," ",Orcamento!O114)</f>
        <v xml:space="preserve"> </v>
      </c>
      <c r="D109" s="2504">
        <f>Orcamento!T31</f>
        <v>0</v>
      </c>
      <c r="E109" s="2505"/>
      <c r="F109" s="316" t="s">
        <v>1193</v>
      </c>
      <c r="G109" s="316"/>
      <c r="H109" s="314">
        <f t="shared" ref="H109:AQ109" si="101">H108</f>
        <v>0</v>
      </c>
      <c r="I109" s="314">
        <f t="shared" si="101"/>
        <v>0</v>
      </c>
      <c r="J109" s="314">
        <f t="shared" si="101"/>
        <v>0</v>
      </c>
      <c r="K109" s="314">
        <f t="shared" si="101"/>
        <v>0</v>
      </c>
      <c r="L109" s="314">
        <f t="shared" si="101"/>
        <v>0</v>
      </c>
      <c r="M109" s="314">
        <f t="shared" si="101"/>
        <v>0</v>
      </c>
      <c r="N109" s="314">
        <f t="shared" si="101"/>
        <v>0</v>
      </c>
      <c r="O109" s="314">
        <f t="shared" si="101"/>
        <v>0</v>
      </c>
      <c r="P109" s="314">
        <f t="shared" si="101"/>
        <v>0</v>
      </c>
      <c r="Q109" s="314">
        <f t="shared" si="101"/>
        <v>0</v>
      </c>
      <c r="R109" s="314">
        <f t="shared" si="101"/>
        <v>0</v>
      </c>
      <c r="S109" s="314">
        <f t="shared" si="101"/>
        <v>0</v>
      </c>
      <c r="T109" s="314">
        <f t="shared" si="101"/>
        <v>0</v>
      </c>
      <c r="U109" s="314">
        <f t="shared" si="101"/>
        <v>0</v>
      </c>
      <c r="V109" s="314">
        <f t="shared" si="101"/>
        <v>0</v>
      </c>
      <c r="W109" s="314">
        <f t="shared" si="101"/>
        <v>0</v>
      </c>
      <c r="X109" s="314">
        <f t="shared" si="101"/>
        <v>0</v>
      </c>
      <c r="Y109" s="314">
        <f t="shared" si="101"/>
        <v>0</v>
      </c>
      <c r="Z109" s="314">
        <f t="shared" si="101"/>
        <v>0</v>
      </c>
      <c r="AA109" s="314">
        <f t="shared" si="101"/>
        <v>0</v>
      </c>
      <c r="AB109" s="314">
        <f t="shared" si="101"/>
        <v>0</v>
      </c>
      <c r="AC109" s="314">
        <f t="shared" si="101"/>
        <v>0</v>
      </c>
      <c r="AD109" s="314">
        <f t="shared" si="101"/>
        <v>0</v>
      </c>
      <c r="AE109" s="314">
        <f t="shared" si="101"/>
        <v>0</v>
      </c>
      <c r="AF109" s="314">
        <f t="shared" si="101"/>
        <v>0</v>
      </c>
      <c r="AG109" s="314">
        <f t="shared" si="101"/>
        <v>0</v>
      </c>
      <c r="AH109" s="314">
        <f t="shared" si="101"/>
        <v>0</v>
      </c>
      <c r="AI109" s="314">
        <f t="shared" si="101"/>
        <v>0</v>
      </c>
      <c r="AJ109" s="314">
        <f t="shared" si="101"/>
        <v>0</v>
      </c>
      <c r="AK109" s="314">
        <f t="shared" si="101"/>
        <v>0</v>
      </c>
      <c r="AL109" s="314">
        <f t="shared" si="101"/>
        <v>0</v>
      </c>
      <c r="AM109" s="314">
        <f t="shared" si="101"/>
        <v>0</v>
      </c>
      <c r="AN109" s="314">
        <f t="shared" si="101"/>
        <v>0</v>
      </c>
      <c r="AO109" s="314">
        <f t="shared" si="101"/>
        <v>0</v>
      </c>
      <c r="AP109" s="314">
        <f t="shared" si="101"/>
        <v>0</v>
      </c>
      <c r="AQ109" s="314">
        <f t="shared" si="101"/>
        <v>0</v>
      </c>
      <c r="AR109" s="315">
        <f t="shared" si="99"/>
        <v>0</v>
      </c>
      <c r="AS109" s="2506"/>
      <c r="AU109" s="2507"/>
      <c r="AW109" s="274" t="str">
        <f>IF(F109="","X",F109)</f>
        <v>DE</v>
      </c>
      <c r="AX109" s="274" t="str">
        <f t="shared" ca="1" si="100"/>
        <v/>
      </c>
    </row>
    <row r="110" spans="1:50" s="274" customFormat="1" ht="18" hidden="1" customHeight="1">
      <c r="A110" s="2499"/>
      <c r="B110" s="2502"/>
      <c r="C110" s="311"/>
      <c r="D110" s="317" t="s">
        <v>1194</v>
      </c>
      <c r="E110" s="2508">
        <f>$D$159</f>
        <v>1</v>
      </c>
      <c r="F110" s="318" t="s">
        <v>1192</v>
      </c>
      <c r="G110" s="318" t="str">
        <f>D110&amp;" | "&amp;F110</f>
        <v>CONCEDENTE | ND</v>
      </c>
      <c r="H110" s="319">
        <f t="shared" ref="H110:AQ110" si="102">IF($D108=0,0,IF(H108=0,0,($E110*$D108*H108)+$AU$163))</f>
        <v>0</v>
      </c>
      <c r="I110" s="319">
        <f t="shared" si="102"/>
        <v>0</v>
      </c>
      <c r="J110" s="319">
        <f t="shared" si="102"/>
        <v>0</v>
      </c>
      <c r="K110" s="319">
        <f t="shared" si="102"/>
        <v>0</v>
      </c>
      <c r="L110" s="319">
        <f t="shared" si="102"/>
        <v>0</v>
      </c>
      <c r="M110" s="319">
        <f t="shared" si="102"/>
        <v>0</v>
      </c>
      <c r="N110" s="319">
        <f t="shared" si="102"/>
        <v>0</v>
      </c>
      <c r="O110" s="319">
        <f t="shared" si="102"/>
        <v>0</v>
      </c>
      <c r="P110" s="319">
        <f t="shared" si="102"/>
        <v>0</v>
      </c>
      <c r="Q110" s="319">
        <f t="shared" si="102"/>
        <v>0</v>
      </c>
      <c r="R110" s="319">
        <f t="shared" si="102"/>
        <v>0</v>
      </c>
      <c r="S110" s="319">
        <f t="shared" si="102"/>
        <v>0</v>
      </c>
      <c r="T110" s="319">
        <f t="shared" si="102"/>
        <v>0</v>
      </c>
      <c r="U110" s="319">
        <f t="shared" si="102"/>
        <v>0</v>
      </c>
      <c r="V110" s="319">
        <f t="shared" si="102"/>
        <v>0</v>
      </c>
      <c r="W110" s="319">
        <f t="shared" si="102"/>
        <v>0</v>
      </c>
      <c r="X110" s="319">
        <f t="shared" si="102"/>
        <v>0</v>
      </c>
      <c r="Y110" s="319">
        <f t="shared" si="102"/>
        <v>0</v>
      </c>
      <c r="Z110" s="319">
        <f t="shared" si="102"/>
        <v>0</v>
      </c>
      <c r="AA110" s="319">
        <f t="shared" si="102"/>
        <v>0</v>
      </c>
      <c r="AB110" s="319">
        <f t="shared" si="102"/>
        <v>0</v>
      </c>
      <c r="AC110" s="319">
        <f t="shared" si="102"/>
        <v>0</v>
      </c>
      <c r="AD110" s="319">
        <f t="shared" si="102"/>
        <v>0</v>
      </c>
      <c r="AE110" s="319">
        <f t="shared" si="102"/>
        <v>0</v>
      </c>
      <c r="AF110" s="319">
        <f t="shared" si="102"/>
        <v>0</v>
      </c>
      <c r="AG110" s="319">
        <f t="shared" si="102"/>
        <v>0</v>
      </c>
      <c r="AH110" s="319">
        <f t="shared" si="102"/>
        <v>0</v>
      </c>
      <c r="AI110" s="319">
        <f t="shared" si="102"/>
        <v>0</v>
      </c>
      <c r="AJ110" s="319">
        <f t="shared" si="102"/>
        <v>0</v>
      </c>
      <c r="AK110" s="319">
        <f t="shared" si="102"/>
        <v>0</v>
      </c>
      <c r="AL110" s="319">
        <f t="shared" si="102"/>
        <v>0</v>
      </c>
      <c r="AM110" s="319">
        <f t="shared" si="102"/>
        <v>0</v>
      </c>
      <c r="AN110" s="319">
        <f t="shared" si="102"/>
        <v>0</v>
      </c>
      <c r="AO110" s="319">
        <f t="shared" si="102"/>
        <v>0</v>
      </c>
      <c r="AP110" s="319">
        <f t="shared" si="102"/>
        <v>0</v>
      </c>
      <c r="AQ110" s="319">
        <f t="shared" si="102"/>
        <v>0</v>
      </c>
      <c r="AR110" s="320">
        <f t="shared" si="99"/>
        <v>0</v>
      </c>
      <c r="AS110" s="321">
        <f>TRUNC(AR110-D108*E110,2)</f>
        <v>0</v>
      </c>
      <c r="AT110" s="322" t="e">
        <f>+AR110/D108</f>
        <v>#DIV/0!</v>
      </c>
      <c r="AW110" s="274" t="str">
        <f>IF(F110="","X",IF(AND(E110&gt;0),F110,"-"))</f>
        <v>ND</v>
      </c>
      <c r="AX110" s="274" t="str">
        <f t="shared" ca="1" si="100"/>
        <v/>
      </c>
    </row>
    <row r="111" spans="1:50" s="274" customFormat="1" ht="18" hidden="1" customHeight="1">
      <c r="A111" s="2499"/>
      <c r="B111" s="2502"/>
      <c r="C111" s="311"/>
      <c r="D111" s="317" t="s">
        <v>1194</v>
      </c>
      <c r="E111" s="2509"/>
      <c r="F111" s="323" t="s">
        <v>1193</v>
      </c>
      <c r="G111" s="323" t="str">
        <f>D111&amp;" | "&amp;F111</f>
        <v>CONCEDENTE | DE</v>
      </c>
      <c r="H111" s="319">
        <f t="shared" ref="H111:AQ111" si="103">IF($D109=0,0,IF(H109=0,0,($E110*$D109*H109)+$AU$163))</f>
        <v>0</v>
      </c>
      <c r="I111" s="319">
        <f t="shared" si="103"/>
        <v>0</v>
      </c>
      <c r="J111" s="319">
        <f t="shared" si="103"/>
        <v>0</v>
      </c>
      <c r="K111" s="319">
        <f t="shared" si="103"/>
        <v>0</v>
      </c>
      <c r="L111" s="319">
        <f t="shared" si="103"/>
        <v>0</v>
      </c>
      <c r="M111" s="319">
        <f t="shared" si="103"/>
        <v>0</v>
      </c>
      <c r="N111" s="319">
        <f t="shared" si="103"/>
        <v>0</v>
      </c>
      <c r="O111" s="319">
        <f t="shared" si="103"/>
        <v>0</v>
      </c>
      <c r="P111" s="319">
        <f t="shared" si="103"/>
        <v>0</v>
      </c>
      <c r="Q111" s="319">
        <f t="shared" si="103"/>
        <v>0</v>
      </c>
      <c r="R111" s="319">
        <f t="shared" si="103"/>
        <v>0</v>
      </c>
      <c r="S111" s="319">
        <f t="shared" si="103"/>
        <v>0</v>
      </c>
      <c r="T111" s="319">
        <f t="shared" si="103"/>
        <v>0</v>
      </c>
      <c r="U111" s="319">
        <f t="shared" si="103"/>
        <v>0</v>
      </c>
      <c r="V111" s="319">
        <f t="shared" si="103"/>
        <v>0</v>
      </c>
      <c r="W111" s="319">
        <f t="shared" si="103"/>
        <v>0</v>
      </c>
      <c r="X111" s="319">
        <f t="shared" si="103"/>
        <v>0</v>
      </c>
      <c r="Y111" s="319">
        <f t="shared" si="103"/>
        <v>0</v>
      </c>
      <c r="Z111" s="319">
        <f t="shared" si="103"/>
        <v>0</v>
      </c>
      <c r="AA111" s="319">
        <f t="shared" si="103"/>
        <v>0</v>
      </c>
      <c r="AB111" s="319">
        <f t="shared" si="103"/>
        <v>0</v>
      </c>
      <c r="AC111" s="319">
        <f t="shared" si="103"/>
        <v>0</v>
      </c>
      <c r="AD111" s="319">
        <f t="shared" si="103"/>
        <v>0</v>
      </c>
      <c r="AE111" s="319">
        <f t="shared" si="103"/>
        <v>0</v>
      </c>
      <c r="AF111" s="319">
        <f t="shared" si="103"/>
        <v>0</v>
      </c>
      <c r="AG111" s="319">
        <f t="shared" si="103"/>
        <v>0</v>
      </c>
      <c r="AH111" s="319">
        <f t="shared" si="103"/>
        <v>0</v>
      </c>
      <c r="AI111" s="319">
        <f t="shared" si="103"/>
        <v>0</v>
      </c>
      <c r="AJ111" s="319">
        <f t="shared" si="103"/>
        <v>0</v>
      </c>
      <c r="AK111" s="319">
        <f t="shared" si="103"/>
        <v>0</v>
      </c>
      <c r="AL111" s="319">
        <f t="shared" si="103"/>
        <v>0</v>
      </c>
      <c r="AM111" s="319">
        <f t="shared" si="103"/>
        <v>0</v>
      </c>
      <c r="AN111" s="319">
        <f t="shared" si="103"/>
        <v>0</v>
      </c>
      <c r="AO111" s="319">
        <f t="shared" si="103"/>
        <v>0</v>
      </c>
      <c r="AP111" s="319">
        <f t="shared" si="103"/>
        <v>0</v>
      </c>
      <c r="AQ111" s="319">
        <f t="shared" si="103"/>
        <v>0</v>
      </c>
      <c r="AR111" s="320">
        <f t="shared" si="99"/>
        <v>0</v>
      </c>
      <c r="AS111" s="321">
        <f>TRUNC(AR111-D109*E110,2)</f>
        <v>0</v>
      </c>
      <c r="AT111" s="322" t="e">
        <f>+AR111/D109</f>
        <v>#DIV/0!</v>
      </c>
      <c r="AW111" s="274" t="str">
        <f>IF(F111="","X",IF(AND(E110&gt;0),F111,"-"))</f>
        <v>DE</v>
      </c>
      <c r="AX111" s="274" t="str">
        <f t="shared" ca="1" si="100"/>
        <v/>
      </c>
    </row>
    <row r="112" spans="1:50" s="274" customFormat="1" ht="18" hidden="1" customHeight="1" thickBot="1">
      <c r="A112" s="2499"/>
      <c r="B112" s="2502"/>
      <c r="C112" s="324"/>
      <c r="D112" s="325" t="s">
        <v>1195</v>
      </c>
      <c r="E112" s="2510">
        <f>1-E110</f>
        <v>0</v>
      </c>
      <c r="F112" s="326" t="s">
        <v>1192</v>
      </c>
      <c r="G112" s="326" t="str">
        <f>D112&amp;" | "&amp;F112</f>
        <v>PROPONENTE | ND</v>
      </c>
      <c r="H112" s="327">
        <f>($D108*H108-H110)</f>
        <v>0</v>
      </c>
      <c r="I112" s="327">
        <f t="shared" ref="I112:AQ113" si="104">($D108*I108-I110)</f>
        <v>0</v>
      </c>
      <c r="J112" s="327">
        <f t="shared" si="104"/>
        <v>0</v>
      </c>
      <c r="K112" s="327">
        <f t="shared" si="104"/>
        <v>0</v>
      </c>
      <c r="L112" s="327">
        <f t="shared" si="104"/>
        <v>0</v>
      </c>
      <c r="M112" s="327">
        <f t="shared" si="104"/>
        <v>0</v>
      </c>
      <c r="N112" s="327">
        <f t="shared" si="104"/>
        <v>0</v>
      </c>
      <c r="O112" s="327">
        <f t="shared" si="104"/>
        <v>0</v>
      </c>
      <c r="P112" s="327">
        <f t="shared" si="104"/>
        <v>0</v>
      </c>
      <c r="Q112" s="327">
        <f t="shared" si="104"/>
        <v>0</v>
      </c>
      <c r="R112" s="327">
        <f t="shared" si="104"/>
        <v>0</v>
      </c>
      <c r="S112" s="327">
        <f t="shared" si="104"/>
        <v>0</v>
      </c>
      <c r="T112" s="327">
        <f t="shared" si="104"/>
        <v>0</v>
      </c>
      <c r="U112" s="327">
        <f t="shared" si="104"/>
        <v>0</v>
      </c>
      <c r="V112" s="327">
        <f t="shared" si="104"/>
        <v>0</v>
      </c>
      <c r="W112" s="327">
        <f t="shared" si="104"/>
        <v>0</v>
      </c>
      <c r="X112" s="327">
        <f t="shared" si="104"/>
        <v>0</v>
      </c>
      <c r="Y112" s="327">
        <f t="shared" si="104"/>
        <v>0</v>
      </c>
      <c r="Z112" s="327">
        <f t="shared" si="104"/>
        <v>0</v>
      </c>
      <c r="AA112" s="327">
        <f t="shared" si="104"/>
        <v>0</v>
      </c>
      <c r="AB112" s="327">
        <f t="shared" si="104"/>
        <v>0</v>
      </c>
      <c r="AC112" s="327">
        <f t="shared" si="104"/>
        <v>0</v>
      </c>
      <c r="AD112" s="327">
        <f t="shared" si="104"/>
        <v>0</v>
      </c>
      <c r="AE112" s="327">
        <f t="shared" si="104"/>
        <v>0</v>
      </c>
      <c r="AF112" s="327">
        <f t="shared" si="104"/>
        <v>0</v>
      </c>
      <c r="AG112" s="327">
        <f t="shared" si="104"/>
        <v>0</v>
      </c>
      <c r="AH112" s="327">
        <f t="shared" si="104"/>
        <v>0</v>
      </c>
      <c r="AI112" s="327">
        <f t="shared" si="104"/>
        <v>0</v>
      </c>
      <c r="AJ112" s="327">
        <f t="shared" si="104"/>
        <v>0</v>
      </c>
      <c r="AK112" s="327">
        <f t="shared" si="104"/>
        <v>0</v>
      </c>
      <c r="AL112" s="327">
        <f t="shared" si="104"/>
        <v>0</v>
      </c>
      <c r="AM112" s="327">
        <f t="shared" si="104"/>
        <v>0</v>
      </c>
      <c r="AN112" s="327">
        <f t="shared" si="104"/>
        <v>0</v>
      </c>
      <c r="AO112" s="327">
        <f t="shared" si="104"/>
        <v>0</v>
      </c>
      <c r="AP112" s="327">
        <f t="shared" si="104"/>
        <v>0</v>
      </c>
      <c r="AQ112" s="327">
        <f t="shared" si="104"/>
        <v>0</v>
      </c>
      <c r="AR112" s="328">
        <f t="shared" si="99"/>
        <v>0</v>
      </c>
      <c r="AS112" s="321">
        <f>+D108-AR110-AR112</f>
        <v>0</v>
      </c>
      <c r="AW112" s="274" t="str">
        <f>IF(F112="","X",IF(AND(E112&gt;0),F112,"-"))</f>
        <v>-</v>
      </c>
      <c r="AX112" s="274" t="str">
        <f t="shared" ca="1" si="100"/>
        <v/>
      </c>
    </row>
    <row r="113" spans="1:50" s="274" customFormat="1" ht="18" hidden="1" customHeight="1" thickBot="1">
      <c r="A113" s="2500"/>
      <c r="B113" s="2503"/>
      <c r="C113" s="324"/>
      <c r="D113" s="325" t="s">
        <v>1195</v>
      </c>
      <c r="E113" s="2511"/>
      <c r="F113" s="329" t="s">
        <v>1193</v>
      </c>
      <c r="G113" s="329" t="str">
        <f>D113&amp;" | "&amp;F113</f>
        <v>PROPONENTE | DE</v>
      </c>
      <c r="H113" s="327">
        <f>($D109*H109-H111)</f>
        <v>0</v>
      </c>
      <c r="I113" s="327">
        <f t="shared" si="104"/>
        <v>0</v>
      </c>
      <c r="J113" s="327">
        <f t="shared" si="104"/>
        <v>0</v>
      </c>
      <c r="K113" s="327">
        <f t="shared" si="104"/>
        <v>0</v>
      </c>
      <c r="L113" s="327">
        <f t="shared" si="104"/>
        <v>0</v>
      </c>
      <c r="M113" s="327">
        <f t="shared" si="104"/>
        <v>0</v>
      </c>
      <c r="N113" s="327">
        <f t="shared" si="104"/>
        <v>0</v>
      </c>
      <c r="O113" s="327">
        <f t="shared" si="104"/>
        <v>0</v>
      </c>
      <c r="P113" s="327">
        <f t="shared" si="104"/>
        <v>0</v>
      </c>
      <c r="Q113" s="327">
        <f t="shared" si="104"/>
        <v>0</v>
      </c>
      <c r="R113" s="327">
        <f t="shared" si="104"/>
        <v>0</v>
      </c>
      <c r="S113" s="327">
        <f t="shared" si="104"/>
        <v>0</v>
      </c>
      <c r="T113" s="327">
        <f t="shared" si="104"/>
        <v>0</v>
      </c>
      <c r="U113" s="327">
        <f t="shared" si="104"/>
        <v>0</v>
      </c>
      <c r="V113" s="327">
        <f t="shared" si="104"/>
        <v>0</v>
      </c>
      <c r="W113" s="327">
        <f t="shared" si="104"/>
        <v>0</v>
      </c>
      <c r="X113" s="327">
        <f t="shared" si="104"/>
        <v>0</v>
      </c>
      <c r="Y113" s="327">
        <f t="shared" si="104"/>
        <v>0</v>
      </c>
      <c r="Z113" s="327">
        <f t="shared" si="104"/>
        <v>0</v>
      </c>
      <c r="AA113" s="327">
        <f t="shared" si="104"/>
        <v>0</v>
      </c>
      <c r="AB113" s="327">
        <f t="shared" si="104"/>
        <v>0</v>
      </c>
      <c r="AC113" s="327">
        <f t="shared" si="104"/>
        <v>0</v>
      </c>
      <c r="AD113" s="327">
        <f t="shared" si="104"/>
        <v>0</v>
      </c>
      <c r="AE113" s="327">
        <f t="shared" si="104"/>
        <v>0</v>
      </c>
      <c r="AF113" s="327">
        <f t="shared" si="104"/>
        <v>0</v>
      </c>
      <c r="AG113" s="327">
        <f t="shared" si="104"/>
        <v>0</v>
      </c>
      <c r="AH113" s="327">
        <f t="shared" si="104"/>
        <v>0</v>
      </c>
      <c r="AI113" s="327">
        <f t="shared" si="104"/>
        <v>0</v>
      </c>
      <c r="AJ113" s="327">
        <f t="shared" si="104"/>
        <v>0</v>
      </c>
      <c r="AK113" s="327">
        <f t="shared" si="104"/>
        <v>0</v>
      </c>
      <c r="AL113" s="327">
        <f t="shared" si="104"/>
        <v>0</v>
      </c>
      <c r="AM113" s="327">
        <f t="shared" si="104"/>
        <v>0</v>
      </c>
      <c r="AN113" s="327">
        <f t="shared" si="104"/>
        <v>0</v>
      </c>
      <c r="AO113" s="327">
        <f t="shared" si="104"/>
        <v>0</v>
      </c>
      <c r="AP113" s="327">
        <f t="shared" si="104"/>
        <v>0</v>
      </c>
      <c r="AQ113" s="327">
        <f t="shared" si="104"/>
        <v>0</v>
      </c>
      <c r="AR113" s="328">
        <f t="shared" si="99"/>
        <v>0</v>
      </c>
      <c r="AS113" s="321">
        <f>+D109-AR111-AR113</f>
        <v>0</v>
      </c>
      <c r="AW113" s="274" t="str">
        <f>IF(F113="","X",IF(AND(E112&gt;0),F113,"-"))</f>
        <v>-</v>
      </c>
      <c r="AX113" s="274" t="str">
        <f t="shared" ca="1" si="100"/>
        <v/>
      </c>
    </row>
    <row r="114" spans="1:50" s="274" customFormat="1" ht="9.9499999999999993" hidden="1" customHeight="1">
      <c r="A114" s="2498">
        <f ca="1">Orcamento!B32</f>
        <v>0</v>
      </c>
      <c r="B114" s="2501" t="str">
        <f>Orcamento!D32</f>
        <v>PARADA DE ÔNIBUS - PAVIMENTO RÍGIDO E PLATAFORMA</v>
      </c>
      <c r="C114" s="305"/>
      <c r="D114" s="306"/>
      <c r="E114" s="307"/>
      <c r="F114" s="307"/>
      <c r="G114" s="307"/>
      <c r="H114" s="308">
        <f t="shared" ref="H114:AQ114" si="105">H115</f>
        <v>0</v>
      </c>
      <c r="I114" s="308">
        <f t="shared" si="105"/>
        <v>0</v>
      </c>
      <c r="J114" s="308">
        <f t="shared" si="105"/>
        <v>0</v>
      </c>
      <c r="K114" s="308">
        <f t="shared" si="105"/>
        <v>0</v>
      </c>
      <c r="L114" s="308">
        <f t="shared" si="105"/>
        <v>0</v>
      </c>
      <c r="M114" s="308">
        <f t="shared" si="105"/>
        <v>0</v>
      </c>
      <c r="N114" s="308">
        <f t="shared" si="105"/>
        <v>0</v>
      </c>
      <c r="O114" s="308">
        <f t="shared" si="105"/>
        <v>0</v>
      </c>
      <c r="P114" s="308">
        <f t="shared" si="105"/>
        <v>0</v>
      </c>
      <c r="Q114" s="308">
        <f t="shared" si="105"/>
        <v>0</v>
      </c>
      <c r="R114" s="308">
        <f t="shared" si="105"/>
        <v>0</v>
      </c>
      <c r="S114" s="308">
        <f t="shared" si="105"/>
        <v>0</v>
      </c>
      <c r="T114" s="308">
        <f t="shared" si="105"/>
        <v>0</v>
      </c>
      <c r="U114" s="308">
        <f t="shared" si="105"/>
        <v>0</v>
      </c>
      <c r="V114" s="308">
        <f t="shared" si="105"/>
        <v>0</v>
      </c>
      <c r="W114" s="308">
        <f t="shared" si="105"/>
        <v>0</v>
      </c>
      <c r="X114" s="308">
        <f t="shared" si="105"/>
        <v>0</v>
      </c>
      <c r="Y114" s="308">
        <f t="shared" si="105"/>
        <v>0</v>
      </c>
      <c r="Z114" s="308">
        <f t="shared" si="105"/>
        <v>0</v>
      </c>
      <c r="AA114" s="308">
        <f t="shared" si="105"/>
        <v>0</v>
      </c>
      <c r="AB114" s="308">
        <f t="shared" si="105"/>
        <v>0</v>
      </c>
      <c r="AC114" s="308">
        <f t="shared" si="105"/>
        <v>0</v>
      </c>
      <c r="AD114" s="308">
        <f t="shared" si="105"/>
        <v>0</v>
      </c>
      <c r="AE114" s="308">
        <f t="shared" si="105"/>
        <v>0</v>
      </c>
      <c r="AF114" s="308">
        <f t="shared" si="105"/>
        <v>0</v>
      </c>
      <c r="AG114" s="308">
        <f t="shared" si="105"/>
        <v>0</v>
      </c>
      <c r="AH114" s="308">
        <f t="shared" si="105"/>
        <v>0</v>
      </c>
      <c r="AI114" s="308">
        <f t="shared" si="105"/>
        <v>0</v>
      </c>
      <c r="AJ114" s="308">
        <f t="shared" si="105"/>
        <v>0</v>
      </c>
      <c r="AK114" s="308">
        <f t="shared" si="105"/>
        <v>0</v>
      </c>
      <c r="AL114" s="308">
        <f t="shared" si="105"/>
        <v>0</v>
      </c>
      <c r="AM114" s="308">
        <f t="shared" si="105"/>
        <v>0</v>
      </c>
      <c r="AN114" s="308">
        <f t="shared" si="105"/>
        <v>0</v>
      </c>
      <c r="AO114" s="308">
        <f t="shared" si="105"/>
        <v>0</v>
      </c>
      <c r="AP114" s="308">
        <f t="shared" si="105"/>
        <v>0</v>
      </c>
      <c r="AQ114" s="308">
        <f t="shared" si="105"/>
        <v>0</v>
      </c>
      <c r="AR114" s="309"/>
      <c r="AS114" s="310">
        <f>+D116-AR118-AR120</f>
        <v>0</v>
      </c>
      <c r="AW114" s="274" t="str">
        <f>IF(F114="","X",F114)</f>
        <v>X</v>
      </c>
      <c r="AX114" s="274" t="str">
        <f ca="1">IF($A$114=0,"","X")</f>
        <v/>
      </c>
    </row>
    <row r="115" spans="1:50" s="274" customFormat="1" ht="18" hidden="1" customHeight="1">
      <c r="A115" s="2499"/>
      <c r="B115" s="2502"/>
      <c r="C115" s="311" t="str">
        <f>CONCATENATE(Orcamento!K120," ",Orcamento!O120)</f>
        <v>0 95,58</v>
      </c>
      <c r="D115" s="2504">
        <f>Orcamento!S32</f>
        <v>0</v>
      </c>
      <c r="E115" s="2505"/>
      <c r="F115" s="312" t="s">
        <v>1192</v>
      </c>
      <c r="G115" s="312"/>
      <c r="H115" s="314"/>
      <c r="I115" s="314"/>
      <c r="J115" s="314"/>
      <c r="K115" s="314"/>
      <c r="L115" s="314"/>
      <c r="M115" s="314"/>
      <c r="N115" s="314"/>
      <c r="O115" s="314"/>
      <c r="P115" s="314"/>
      <c r="Q115" s="314"/>
      <c r="R115" s="314"/>
      <c r="S115" s="314"/>
      <c r="T115" s="314"/>
      <c r="U115" s="314"/>
      <c r="V115" s="314"/>
      <c r="W115" s="314"/>
      <c r="X115" s="314"/>
      <c r="Y115" s="314"/>
      <c r="Z115" s="314"/>
      <c r="AA115" s="314"/>
      <c r="AB115" s="314"/>
      <c r="AC115" s="314"/>
      <c r="AD115" s="314"/>
      <c r="AE115" s="314"/>
      <c r="AF115" s="314"/>
      <c r="AG115" s="314"/>
      <c r="AH115" s="314"/>
      <c r="AI115" s="314"/>
      <c r="AJ115" s="314"/>
      <c r="AK115" s="314"/>
      <c r="AL115" s="314"/>
      <c r="AM115" s="314"/>
      <c r="AN115" s="314"/>
      <c r="AO115" s="314"/>
      <c r="AP115" s="314"/>
      <c r="AQ115" s="314"/>
      <c r="AR115" s="315">
        <f t="shared" ref="AR115:AR120" si="106">SUM(H115:AQ115)</f>
        <v>0</v>
      </c>
      <c r="AS115" s="2506">
        <f>1-AR115</f>
        <v>1</v>
      </c>
      <c r="AU115" s="2507">
        <f>+COUNT(H115:AQ116)</f>
        <v>36</v>
      </c>
      <c r="AW115" s="274" t="str">
        <f>IF(F115="","X",F115)</f>
        <v>ND</v>
      </c>
      <c r="AX115" s="274" t="str">
        <f t="shared" ref="AX115:AX120" ca="1" si="107">IF($A$114=0,"","X")</f>
        <v/>
      </c>
    </row>
    <row r="116" spans="1:50" s="274" customFormat="1" ht="18" hidden="1" customHeight="1">
      <c r="A116" s="2499"/>
      <c r="B116" s="2502"/>
      <c r="C116" s="311" t="str">
        <f>CONCATENATE(Orcamento!K121," ",Orcamento!O121)</f>
        <v>0 162,02</v>
      </c>
      <c r="D116" s="2504">
        <f>Orcamento!T32</f>
        <v>0</v>
      </c>
      <c r="E116" s="2505"/>
      <c r="F116" s="316" t="s">
        <v>1193</v>
      </c>
      <c r="G116" s="316"/>
      <c r="H116" s="314">
        <f t="shared" ref="H116:AQ116" si="108">H115</f>
        <v>0</v>
      </c>
      <c r="I116" s="314">
        <f t="shared" si="108"/>
        <v>0</v>
      </c>
      <c r="J116" s="314">
        <f t="shared" si="108"/>
        <v>0</v>
      </c>
      <c r="K116" s="314">
        <f t="shared" si="108"/>
        <v>0</v>
      </c>
      <c r="L116" s="314">
        <f t="shared" si="108"/>
        <v>0</v>
      </c>
      <c r="M116" s="314">
        <f t="shared" si="108"/>
        <v>0</v>
      </c>
      <c r="N116" s="314">
        <f t="shared" si="108"/>
        <v>0</v>
      </c>
      <c r="O116" s="314">
        <f t="shared" si="108"/>
        <v>0</v>
      </c>
      <c r="P116" s="314">
        <f t="shared" si="108"/>
        <v>0</v>
      </c>
      <c r="Q116" s="314">
        <f t="shared" si="108"/>
        <v>0</v>
      </c>
      <c r="R116" s="314">
        <f t="shared" si="108"/>
        <v>0</v>
      </c>
      <c r="S116" s="314">
        <f t="shared" si="108"/>
        <v>0</v>
      </c>
      <c r="T116" s="314">
        <f t="shared" si="108"/>
        <v>0</v>
      </c>
      <c r="U116" s="314">
        <f t="shared" si="108"/>
        <v>0</v>
      </c>
      <c r="V116" s="314">
        <f t="shared" si="108"/>
        <v>0</v>
      </c>
      <c r="W116" s="314">
        <f t="shared" si="108"/>
        <v>0</v>
      </c>
      <c r="X116" s="314">
        <f t="shared" si="108"/>
        <v>0</v>
      </c>
      <c r="Y116" s="314">
        <f t="shared" si="108"/>
        <v>0</v>
      </c>
      <c r="Z116" s="314">
        <f t="shared" si="108"/>
        <v>0</v>
      </c>
      <c r="AA116" s="314">
        <f t="shared" si="108"/>
        <v>0</v>
      </c>
      <c r="AB116" s="314">
        <f t="shared" si="108"/>
        <v>0</v>
      </c>
      <c r="AC116" s="314">
        <f t="shared" si="108"/>
        <v>0</v>
      </c>
      <c r="AD116" s="314">
        <f t="shared" si="108"/>
        <v>0</v>
      </c>
      <c r="AE116" s="314">
        <f t="shared" si="108"/>
        <v>0</v>
      </c>
      <c r="AF116" s="314">
        <f t="shared" si="108"/>
        <v>0</v>
      </c>
      <c r="AG116" s="314">
        <f t="shared" si="108"/>
        <v>0</v>
      </c>
      <c r="AH116" s="314">
        <f t="shared" si="108"/>
        <v>0</v>
      </c>
      <c r="AI116" s="314">
        <f t="shared" si="108"/>
        <v>0</v>
      </c>
      <c r="AJ116" s="314">
        <f t="shared" si="108"/>
        <v>0</v>
      </c>
      <c r="AK116" s="314">
        <f t="shared" si="108"/>
        <v>0</v>
      </c>
      <c r="AL116" s="314">
        <f t="shared" si="108"/>
        <v>0</v>
      </c>
      <c r="AM116" s="314">
        <f t="shared" si="108"/>
        <v>0</v>
      </c>
      <c r="AN116" s="314">
        <f t="shared" si="108"/>
        <v>0</v>
      </c>
      <c r="AO116" s="314">
        <f t="shared" si="108"/>
        <v>0</v>
      </c>
      <c r="AP116" s="314">
        <f t="shared" si="108"/>
        <v>0</v>
      </c>
      <c r="AQ116" s="314">
        <f t="shared" si="108"/>
        <v>0</v>
      </c>
      <c r="AR116" s="315">
        <f t="shared" si="106"/>
        <v>0</v>
      </c>
      <c r="AS116" s="2506"/>
      <c r="AU116" s="2507"/>
      <c r="AW116" s="274" t="str">
        <f>IF(F116="","X",F116)</f>
        <v>DE</v>
      </c>
      <c r="AX116" s="274" t="str">
        <f t="shared" ca="1" si="107"/>
        <v/>
      </c>
    </row>
    <row r="117" spans="1:50" s="274" customFormat="1" ht="18" hidden="1" customHeight="1">
      <c r="A117" s="2499"/>
      <c r="B117" s="2502"/>
      <c r="C117" s="311"/>
      <c r="D117" s="317" t="s">
        <v>1194</v>
      </c>
      <c r="E117" s="2508">
        <f>$D$159</f>
        <v>1</v>
      </c>
      <c r="F117" s="318" t="s">
        <v>1192</v>
      </c>
      <c r="G117" s="318" t="str">
        <f>D117&amp;" | "&amp;F117</f>
        <v>CONCEDENTE | ND</v>
      </c>
      <c r="H117" s="319">
        <f t="shared" ref="H117:AQ117" si="109">IF($D115=0,0,IF(H115=0,0,($E117*$D115*H115)+$AU$163))</f>
        <v>0</v>
      </c>
      <c r="I117" s="319">
        <f t="shared" si="109"/>
        <v>0</v>
      </c>
      <c r="J117" s="319">
        <f t="shared" si="109"/>
        <v>0</v>
      </c>
      <c r="K117" s="319">
        <f t="shared" si="109"/>
        <v>0</v>
      </c>
      <c r="L117" s="319">
        <f t="shared" si="109"/>
        <v>0</v>
      </c>
      <c r="M117" s="319">
        <f t="shared" si="109"/>
        <v>0</v>
      </c>
      <c r="N117" s="319">
        <f t="shared" si="109"/>
        <v>0</v>
      </c>
      <c r="O117" s="319">
        <f t="shared" si="109"/>
        <v>0</v>
      </c>
      <c r="P117" s="319">
        <f t="shared" si="109"/>
        <v>0</v>
      </c>
      <c r="Q117" s="319">
        <f t="shared" si="109"/>
        <v>0</v>
      </c>
      <c r="R117" s="319">
        <f t="shared" si="109"/>
        <v>0</v>
      </c>
      <c r="S117" s="319">
        <f t="shared" si="109"/>
        <v>0</v>
      </c>
      <c r="T117" s="319">
        <f t="shared" si="109"/>
        <v>0</v>
      </c>
      <c r="U117" s="319">
        <f t="shared" si="109"/>
        <v>0</v>
      </c>
      <c r="V117" s="319">
        <f t="shared" si="109"/>
        <v>0</v>
      </c>
      <c r="W117" s="319">
        <f t="shared" si="109"/>
        <v>0</v>
      </c>
      <c r="X117" s="319">
        <f t="shared" si="109"/>
        <v>0</v>
      </c>
      <c r="Y117" s="319">
        <f t="shared" si="109"/>
        <v>0</v>
      </c>
      <c r="Z117" s="319">
        <f t="shared" si="109"/>
        <v>0</v>
      </c>
      <c r="AA117" s="319">
        <f t="shared" si="109"/>
        <v>0</v>
      </c>
      <c r="AB117" s="319">
        <f t="shared" si="109"/>
        <v>0</v>
      </c>
      <c r="AC117" s="319">
        <f t="shared" si="109"/>
        <v>0</v>
      </c>
      <c r="AD117" s="319">
        <f t="shared" si="109"/>
        <v>0</v>
      </c>
      <c r="AE117" s="319">
        <f t="shared" si="109"/>
        <v>0</v>
      </c>
      <c r="AF117" s="319">
        <f t="shared" si="109"/>
        <v>0</v>
      </c>
      <c r="AG117" s="319">
        <f t="shared" si="109"/>
        <v>0</v>
      </c>
      <c r="AH117" s="319">
        <f t="shared" si="109"/>
        <v>0</v>
      </c>
      <c r="AI117" s="319">
        <f t="shared" si="109"/>
        <v>0</v>
      </c>
      <c r="AJ117" s="319">
        <f t="shared" si="109"/>
        <v>0</v>
      </c>
      <c r="AK117" s="319">
        <f t="shared" si="109"/>
        <v>0</v>
      </c>
      <c r="AL117" s="319">
        <f t="shared" si="109"/>
        <v>0</v>
      </c>
      <c r="AM117" s="319">
        <f t="shared" si="109"/>
        <v>0</v>
      </c>
      <c r="AN117" s="319">
        <f t="shared" si="109"/>
        <v>0</v>
      </c>
      <c r="AO117" s="319">
        <f t="shared" si="109"/>
        <v>0</v>
      </c>
      <c r="AP117" s="319">
        <f t="shared" si="109"/>
        <v>0</v>
      </c>
      <c r="AQ117" s="319">
        <f t="shared" si="109"/>
        <v>0</v>
      </c>
      <c r="AR117" s="320">
        <f t="shared" si="106"/>
        <v>0</v>
      </c>
      <c r="AS117" s="321">
        <f>TRUNC(AR117-D115*E117,2)</f>
        <v>0</v>
      </c>
      <c r="AT117" s="322" t="e">
        <f>+AR117/D115</f>
        <v>#DIV/0!</v>
      </c>
      <c r="AW117" s="274" t="str">
        <f>IF(F117="","X",IF(AND(E117&gt;0),F117,"-"))</f>
        <v>ND</v>
      </c>
      <c r="AX117" s="274" t="str">
        <f t="shared" ca="1" si="107"/>
        <v/>
      </c>
    </row>
    <row r="118" spans="1:50" s="274" customFormat="1" ht="18" hidden="1" customHeight="1">
      <c r="A118" s="2499"/>
      <c r="B118" s="2502"/>
      <c r="C118" s="311"/>
      <c r="D118" s="317" t="s">
        <v>1194</v>
      </c>
      <c r="E118" s="2509"/>
      <c r="F118" s="323" t="s">
        <v>1193</v>
      </c>
      <c r="G118" s="323" t="str">
        <f>D118&amp;" | "&amp;F118</f>
        <v>CONCEDENTE | DE</v>
      </c>
      <c r="H118" s="319">
        <f t="shared" ref="H118:AQ118" si="110">IF($D116=0,0,IF(H116=0,0,($E117*$D116*H116)+$AU$163))</f>
        <v>0</v>
      </c>
      <c r="I118" s="319">
        <f t="shared" si="110"/>
        <v>0</v>
      </c>
      <c r="J118" s="319">
        <f t="shared" si="110"/>
        <v>0</v>
      </c>
      <c r="K118" s="319">
        <f t="shared" si="110"/>
        <v>0</v>
      </c>
      <c r="L118" s="319">
        <f t="shared" si="110"/>
        <v>0</v>
      </c>
      <c r="M118" s="319">
        <f t="shared" si="110"/>
        <v>0</v>
      </c>
      <c r="N118" s="319">
        <f t="shared" si="110"/>
        <v>0</v>
      </c>
      <c r="O118" s="319">
        <f t="shared" si="110"/>
        <v>0</v>
      </c>
      <c r="P118" s="319">
        <f t="shared" si="110"/>
        <v>0</v>
      </c>
      <c r="Q118" s="319">
        <f t="shared" si="110"/>
        <v>0</v>
      </c>
      <c r="R118" s="319">
        <f t="shared" si="110"/>
        <v>0</v>
      </c>
      <c r="S118" s="319">
        <f t="shared" si="110"/>
        <v>0</v>
      </c>
      <c r="T118" s="319">
        <f t="shared" si="110"/>
        <v>0</v>
      </c>
      <c r="U118" s="319">
        <f t="shared" si="110"/>
        <v>0</v>
      </c>
      <c r="V118" s="319">
        <f t="shared" si="110"/>
        <v>0</v>
      </c>
      <c r="W118" s="319">
        <f t="shared" si="110"/>
        <v>0</v>
      </c>
      <c r="X118" s="319">
        <f t="shared" si="110"/>
        <v>0</v>
      </c>
      <c r="Y118" s="319">
        <f t="shared" si="110"/>
        <v>0</v>
      </c>
      <c r="Z118" s="319">
        <f t="shared" si="110"/>
        <v>0</v>
      </c>
      <c r="AA118" s="319">
        <f t="shared" si="110"/>
        <v>0</v>
      </c>
      <c r="AB118" s="319">
        <f t="shared" si="110"/>
        <v>0</v>
      </c>
      <c r="AC118" s="319">
        <f t="shared" si="110"/>
        <v>0</v>
      </c>
      <c r="AD118" s="319">
        <f t="shared" si="110"/>
        <v>0</v>
      </c>
      <c r="AE118" s="319">
        <f t="shared" si="110"/>
        <v>0</v>
      </c>
      <c r="AF118" s="319">
        <f t="shared" si="110"/>
        <v>0</v>
      </c>
      <c r="AG118" s="319">
        <f t="shared" si="110"/>
        <v>0</v>
      </c>
      <c r="AH118" s="319">
        <f t="shared" si="110"/>
        <v>0</v>
      </c>
      <c r="AI118" s="319">
        <f t="shared" si="110"/>
        <v>0</v>
      </c>
      <c r="AJ118" s="319">
        <f t="shared" si="110"/>
        <v>0</v>
      </c>
      <c r="AK118" s="319">
        <f t="shared" si="110"/>
        <v>0</v>
      </c>
      <c r="AL118" s="319">
        <f t="shared" si="110"/>
        <v>0</v>
      </c>
      <c r="AM118" s="319">
        <f t="shared" si="110"/>
        <v>0</v>
      </c>
      <c r="AN118" s="319">
        <f t="shared" si="110"/>
        <v>0</v>
      </c>
      <c r="AO118" s="319">
        <f t="shared" si="110"/>
        <v>0</v>
      </c>
      <c r="AP118" s="319">
        <f t="shared" si="110"/>
        <v>0</v>
      </c>
      <c r="AQ118" s="319">
        <f t="shared" si="110"/>
        <v>0</v>
      </c>
      <c r="AR118" s="320">
        <f t="shared" si="106"/>
        <v>0</v>
      </c>
      <c r="AS118" s="321">
        <f>TRUNC(AR118-D116*E117,2)</f>
        <v>0</v>
      </c>
      <c r="AT118" s="322" t="e">
        <f>+AR118/D116</f>
        <v>#DIV/0!</v>
      </c>
      <c r="AW118" s="274" t="str">
        <f>IF(F118="","X",IF(AND(E117&gt;0),F118,"-"))</f>
        <v>DE</v>
      </c>
      <c r="AX118" s="274" t="str">
        <f t="shared" ca="1" si="107"/>
        <v/>
      </c>
    </row>
    <row r="119" spans="1:50" s="274" customFormat="1" ht="18" hidden="1" customHeight="1" thickBot="1">
      <c r="A119" s="2499"/>
      <c r="B119" s="2502"/>
      <c r="C119" s="324"/>
      <c r="D119" s="325" t="s">
        <v>1195</v>
      </c>
      <c r="E119" s="2510">
        <f>1-E117</f>
        <v>0</v>
      </c>
      <c r="F119" s="326" t="s">
        <v>1192</v>
      </c>
      <c r="G119" s="326" t="str">
        <f>D119&amp;" | "&amp;F119</f>
        <v>PROPONENTE | ND</v>
      </c>
      <c r="H119" s="327">
        <f>($D115*H115-H117)</f>
        <v>0</v>
      </c>
      <c r="I119" s="327">
        <f t="shared" ref="I119:AQ120" si="111">($D115*I115-I117)</f>
        <v>0</v>
      </c>
      <c r="J119" s="327">
        <f t="shared" si="111"/>
        <v>0</v>
      </c>
      <c r="K119" s="327">
        <f t="shared" si="111"/>
        <v>0</v>
      </c>
      <c r="L119" s="327">
        <f t="shared" si="111"/>
        <v>0</v>
      </c>
      <c r="M119" s="327">
        <f t="shared" si="111"/>
        <v>0</v>
      </c>
      <c r="N119" s="327">
        <f t="shared" si="111"/>
        <v>0</v>
      </c>
      <c r="O119" s="327">
        <f t="shared" si="111"/>
        <v>0</v>
      </c>
      <c r="P119" s="327">
        <f t="shared" si="111"/>
        <v>0</v>
      </c>
      <c r="Q119" s="327">
        <f t="shared" si="111"/>
        <v>0</v>
      </c>
      <c r="R119" s="327">
        <f t="shared" si="111"/>
        <v>0</v>
      </c>
      <c r="S119" s="327">
        <f t="shared" si="111"/>
        <v>0</v>
      </c>
      <c r="T119" s="327">
        <f t="shared" si="111"/>
        <v>0</v>
      </c>
      <c r="U119" s="327">
        <f t="shared" si="111"/>
        <v>0</v>
      </c>
      <c r="V119" s="327">
        <f t="shared" si="111"/>
        <v>0</v>
      </c>
      <c r="W119" s="327">
        <f t="shared" si="111"/>
        <v>0</v>
      </c>
      <c r="X119" s="327">
        <f t="shared" si="111"/>
        <v>0</v>
      </c>
      <c r="Y119" s="327">
        <f t="shared" si="111"/>
        <v>0</v>
      </c>
      <c r="Z119" s="327">
        <f t="shared" si="111"/>
        <v>0</v>
      </c>
      <c r="AA119" s="327">
        <f t="shared" si="111"/>
        <v>0</v>
      </c>
      <c r="AB119" s="327">
        <f t="shared" si="111"/>
        <v>0</v>
      </c>
      <c r="AC119" s="327">
        <f t="shared" si="111"/>
        <v>0</v>
      </c>
      <c r="AD119" s="327">
        <f t="shared" si="111"/>
        <v>0</v>
      </c>
      <c r="AE119" s="327">
        <f t="shared" si="111"/>
        <v>0</v>
      </c>
      <c r="AF119" s="327">
        <f t="shared" si="111"/>
        <v>0</v>
      </c>
      <c r="AG119" s="327">
        <f t="shared" si="111"/>
        <v>0</v>
      </c>
      <c r="AH119" s="327">
        <f t="shared" si="111"/>
        <v>0</v>
      </c>
      <c r="AI119" s="327">
        <f t="shared" si="111"/>
        <v>0</v>
      </c>
      <c r="AJ119" s="327">
        <f t="shared" si="111"/>
        <v>0</v>
      </c>
      <c r="AK119" s="327">
        <f t="shared" si="111"/>
        <v>0</v>
      </c>
      <c r="AL119" s="327">
        <f t="shared" si="111"/>
        <v>0</v>
      </c>
      <c r="AM119" s="327">
        <f t="shared" si="111"/>
        <v>0</v>
      </c>
      <c r="AN119" s="327">
        <f t="shared" si="111"/>
        <v>0</v>
      </c>
      <c r="AO119" s="327">
        <f t="shared" si="111"/>
        <v>0</v>
      </c>
      <c r="AP119" s="327">
        <f t="shared" si="111"/>
        <v>0</v>
      </c>
      <c r="AQ119" s="327">
        <f t="shared" si="111"/>
        <v>0</v>
      </c>
      <c r="AR119" s="328">
        <f t="shared" si="106"/>
        <v>0</v>
      </c>
      <c r="AS119" s="321">
        <f>+D115-AR117-AR119</f>
        <v>0</v>
      </c>
      <c r="AW119" s="274" t="str">
        <f>IF(F119="","X",IF(AND(E119&gt;0),F119,"-"))</f>
        <v>-</v>
      </c>
      <c r="AX119" s="274" t="str">
        <f t="shared" ca="1" si="107"/>
        <v/>
      </c>
    </row>
    <row r="120" spans="1:50" s="274" customFormat="1" ht="18" hidden="1" customHeight="1" thickBot="1">
      <c r="A120" s="2500"/>
      <c r="B120" s="2503"/>
      <c r="C120" s="324"/>
      <c r="D120" s="325" t="s">
        <v>1195</v>
      </c>
      <c r="E120" s="2511"/>
      <c r="F120" s="329" t="s">
        <v>1193</v>
      </c>
      <c r="G120" s="329" t="str">
        <f>D120&amp;" | "&amp;F120</f>
        <v>PROPONENTE | DE</v>
      </c>
      <c r="H120" s="327">
        <f>($D116*H116-H118)</f>
        <v>0</v>
      </c>
      <c r="I120" s="327">
        <f t="shared" si="111"/>
        <v>0</v>
      </c>
      <c r="J120" s="327">
        <f t="shared" si="111"/>
        <v>0</v>
      </c>
      <c r="K120" s="327">
        <f t="shared" si="111"/>
        <v>0</v>
      </c>
      <c r="L120" s="327">
        <f t="shared" si="111"/>
        <v>0</v>
      </c>
      <c r="M120" s="327">
        <f t="shared" si="111"/>
        <v>0</v>
      </c>
      <c r="N120" s="327">
        <f t="shared" si="111"/>
        <v>0</v>
      </c>
      <c r="O120" s="327">
        <f t="shared" si="111"/>
        <v>0</v>
      </c>
      <c r="P120" s="327">
        <f t="shared" si="111"/>
        <v>0</v>
      </c>
      <c r="Q120" s="327">
        <f t="shared" si="111"/>
        <v>0</v>
      </c>
      <c r="R120" s="327">
        <f t="shared" si="111"/>
        <v>0</v>
      </c>
      <c r="S120" s="327">
        <f t="shared" si="111"/>
        <v>0</v>
      </c>
      <c r="T120" s="327">
        <f t="shared" si="111"/>
        <v>0</v>
      </c>
      <c r="U120" s="327">
        <f t="shared" si="111"/>
        <v>0</v>
      </c>
      <c r="V120" s="327">
        <f t="shared" si="111"/>
        <v>0</v>
      </c>
      <c r="W120" s="327">
        <f t="shared" si="111"/>
        <v>0</v>
      </c>
      <c r="X120" s="327">
        <f t="shared" si="111"/>
        <v>0</v>
      </c>
      <c r="Y120" s="327">
        <f t="shared" si="111"/>
        <v>0</v>
      </c>
      <c r="Z120" s="327">
        <f t="shared" si="111"/>
        <v>0</v>
      </c>
      <c r="AA120" s="327">
        <f t="shared" si="111"/>
        <v>0</v>
      </c>
      <c r="AB120" s="327">
        <f t="shared" si="111"/>
        <v>0</v>
      </c>
      <c r="AC120" s="327">
        <f t="shared" si="111"/>
        <v>0</v>
      </c>
      <c r="AD120" s="327">
        <f t="shared" si="111"/>
        <v>0</v>
      </c>
      <c r="AE120" s="327">
        <f t="shared" si="111"/>
        <v>0</v>
      </c>
      <c r="AF120" s="327">
        <f t="shared" si="111"/>
        <v>0</v>
      </c>
      <c r="AG120" s="327">
        <f t="shared" si="111"/>
        <v>0</v>
      </c>
      <c r="AH120" s="327">
        <f t="shared" si="111"/>
        <v>0</v>
      </c>
      <c r="AI120" s="327">
        <f t="shared" si="111"/>
        <v>0</v>
      </c>
      <c r="AJ120" s="327">
        <f t="shared" si="111"/>
        <v>0</v>
      </c>
      <c r="AK120" s="327">
        <f t="shared" si="111"/>
        <v>0</v>
      </c>
      <c r="AL120" s="327">
        <f t="shared" si="111"/>
        <v>0</v>
      </c>
      <c r="AM120" s="327">
        <f t="shared" si="111"/>
        <v>0</v>
      </c>
      <c r="AN120" s="327">
        <f t="shared" si="111"/>
        <v>0</v>
      </c>
      <c r="AO120" s="327">
        <f t="shared" si="111"/>
        <v>0</v>
      </c>
      <c r="AP120" s="327">
        <f t="shared" si="111"/>
        <v>0</v>
      </c>
      <c r="AQ120" s="327">
        <f t="shared" si="111"/>
        <v>0</v>
      </c>
      <c r="AR120" s="328">
        <f t="shared" si="106"/>
        <v>0</v>
      </c>
      <c r="AS120" s="321">
        <f>+D116-AR118-AR120</f>
        <v>0</v>
      </c>
      <c r="AW120" s="274" t="str">
        <f>IF(F120="","X",IF(AND(E119&gt;0),F120,"-"))</f>
        <v>-</v>
      </c>
      <c r="AX120" s="274" t="str">
        <f t="shared" ca="1" si="107"/>
        <v/>
      </c>
    </row>
    <row r="121" spans="1:50" s="274" customFormat="1" ht="9.9499999999999993" hidden="1" customHeight="1">
      <c r="A121" s="2498">
        <f ca="1">Orcamento!B33</f>
        <v>0</v>
      </c>
      <c r="B121" s="2501" t="str">
        <f>Orcamento!D33</f>
        <v>OBRAS DE ARTE ESPECIAIS - PONTE SOBRE O CÓRREGO MONTALVÃO - OPÇÃO PRÉ-TENSÃO</v>
      </c>
      <c r="C121" s="305"/>
      <c r="D121" s="306"/>
      <c r="E121" s="307"/>
      <c r="F121" s="307"/>
      <c r="G121" s="307"/>
      <c r="H121" s="308">
        <f t="shared" ref="H121:AQ121" si="112">H122</f>
        <v>0</v>
      </c>
      <c r="I121" s="308">
        <f t="shared" si="112"/>
        <v>0</v>
      </c>
      <c r="J121" s="308">
        <f t="shared" si="112"/>
        <v>0</v>
      </c>
      <c r="K121" s="308">
        <f t="shared" si="112"/>
        <v>0</v>
      </c>
      <c r="L121" s="308">
        <f t="shared" si="112"/>
        <v>0</v>
      </c>
      <c r="M121" s="308">
        <f t="shared" si="112"/>
        <v>0</v>
      </c>
      <c r="N121" s="308">
        <f t="shared" si="112"/>
        <v>0</v>
      </c>
      <c r="O121" s="308">
        <f t="shared" si="112"/>
        <v>0</v>
      </c>
      <c r="P121" s="308">
        <f t="shared" si="112"/>
        <v>0</v>
      </c>
      <c r="Q121" s="308">
        <f t="shared" si="112"/>
        <v>0</v>
      </c>
      <c r="R121" s="308">
        <f t="shared" si="112"/>
        <v>0</v>
      </c>
      <c r="S121" s="308">
        <f t="shared" si="112"/>
        <v>0</v>
      </c>
      <c r="T121" s="308">
        <f t="shared" si="112"/>
        <v>0</v>
      </c>
      <c r="U121" s="308">
        <f t="shared" si="112"/>
        <v>0</v>
      </c>
      <c r="V121" s="308">
        <f t="shared" si="112"/>
        <v>0</v>
      </c>
      <c r="W121" s="308">
        <f t="shared" si="112"/>
        <v>0</v>
      </c>
      <c r="X121" s="308">
        <f t="shared" si="112"/>
        <v>0</v>
      </c>
      <c r="Y121" s="308">
        <f t="shared" si="112"/>
        <v>0</v>
      </c>
      <c r="Z121" s="308">
        <f t="shared" si="112"/>
        <v>0</v>
      </c>
      <c r="AA121" s="308">
        <f t="shared" si="112"/>
        <v>0</v>
      </c>
      <c r="AB121" s="308">
        <f t="shared" si="112"/>
        <v>0</v>
      </c>
      <c r="AC121" s="308">
        <f t="shared" si="112"/>
        <v>0</v>
      </c>
      <c r="AD121" s="308">
        <f t="shared" si="112"/>
        <v>0</v>
      </c>
      <c r="AE121" s="308">
        <f t="shared" si="112"/>
        <v>0</v>
      </c>
      <c r="AF121" s="308">
        <f t="shared" si="112"/>
        <v>0</v>
      </c>
      <c r="AG121" s="308">
        <f t="shared" si="112"/>
        <v>0</v>
      </c>
      <c r="AH121" s="308">
        <f t="shared" si="112"/>
        <v>0</v>
      </c>
      <c r="AI121" s="308">
        <f t="shared" si="112"/>
        <v>0</v>
      </c>
      <c r="AJ121" s="308">
        <f t="shared" si="112"/>
        <v>0</v>
      </c>
      <c r="AK121" s="308">
        <f t="shared" si="112"/>
        <v>0</v>
      </c>
      <c r="AL121" s="308">
        <f t="shared" si="112"/>
        <v>0</v>
      </c>
      <c r="AM121" s="308">
        <f t="shared" si="112"/>
        <v>0</v>
      </c>
      <c r="AN121" s="308">
        <f t="shared" si="112"/>
        <v>0</v>
      </c>
      <c r="AO121" s="308">
        <f t="shared" si="112"/>
        <v>0</v>
      </c>
      <c r="AP121" s="308">
        <f t="shared" si="112"/>
        <v>0</v>
      </c>
      <c r="AQ121" s="308">
        <f t="shared" si="112"/>
        <v>0</v>
      </c>
      <c r="AR121" s="309"/>
      <c r="AS121" s="310">
        <f>+D123-AR125-AR127</f>
        <v>0</v>
      </c>
      <c r="AW121" s="274" t="str">
        <f>IF(F121="","X",F121)</f>
        <v>X</v>
      </c>
      <c r="AX121" s="274" t="str">
        <f ca="1">IF($A$121=0,"","X")</f>
        <v/>
      </c>
    </row>
    <row r="122" spans="1:50" s="274" customFormat="1" ht="18" hidden="1" customHeight="1">
      <c r="A122" s="2499"/>
      <c r="B122" s="2502"/>
      <c r="C122" s="311" t="str">
        <f>CONCATENATE(Orcamento!K127," ",Orcamento!O127)</f>
        <v>0 11,15</v>
      </c>
      <c r="D122" s="2504">
        <f>Orcamento!S33</f>
        <v>0</v>
      </c>
      <c r="E122" s="2505"/>
      <c r="F122" s="312" t="s">
        <v>1192</v>
      </c>
      <c r="G122" s="312"/>
      <c r="H122" s="314"/>
      <c r="I122" s="314"/>
      <c r="J122" s="314"/>
      <c r="K122" s="314"/>
      <c r="L122" s="314"/>
      <c r="M122" s="314"/>
      <c r="N122" s="314"/>
      <c r="O122" s="314"/>
      <c r="P122" s="314"/>
      <c r="Q122" s="314"/>
      <c r="R122" s="314"/>
      <c r="S122" s="314"/>
      <c r="T122" s="314"/>
      <c r="U122" s="314"/>
      <c r="V122" s="314"/>
      <c r="W122" s="314"/>
      <c r="X122" s="314"/>
      <c r="Y122" s="314"/>
      <c r="Z122" s="314"/>
      <c r="AA122" s="314"/>
      <c r="AB122" s="314"/>
      <c r="AC122" s="314"/>
      <c r="AD122" s="314"/>
      <c r="AE122" s="314"/>
      <c r="AF122" s="314"/>
      <c r="AG122" s="314"/>
      <c r="AH122" s="314"/>
      <c r="AI122" s="314"/>
      <c r="AJ122" s="314"/>
      <c r="AK122" s="314"/>
      <c r="AL122" s="314"/>
      <c r="AM122" s="314"/>
      <c r="AN122" s="314"/>
      <c r="AO122" s="314"/>
      <c r="AP122" s="314"/>
      <c r="AQ122" s="314"/>
      <c r="AR122" s="315">
        <f t="shared" ref="AR122:AR127" si="113">SUM(H122:AQ122)</f>
        <v>0</v>
      </c>
      <c r="AS122" s="2506">
        <f>1-AR122</f>
        <v>1</v>
      </c>
      <c r="AU122" s="2507">
        <f>+COUNT(H122:AQ123)</f>
        <v>36</v>
      </c>
      <c r="AW122" s="274" t="str">
        <f>IF(F122="","X",F122)</f>
        <v>ND</v>
      </c>
      <c r="AX122" s="274" t="str">
        <f t="shared" ref="AX122:AX127" ca="1" si="114">IF($A$121=0,"","X")</f>
        <v/>
      </c>
    </row>
    <row r="123" spans="1:50" s="274" customFormat="1" ht="18" hidden="1" customHeight="1">
      <c r="A123" s="2499"/>
      <c r="B123" s="2502"/>
      <c r="C123" s="311" t="str">
        <f>CONCATENATE(Orcamento!K128," ",Orcamento!O128)</f>
        <v>0 11,7</v>
      </c>
      <c r="D123" s="2504">
        <f>Orcamento!T33</f>
        <v>0</v>
      </c>
      <c r="E123" s="2505"/>
      <c r="F123" s="316" t="s">
        <v>1193</v>
      </c>
      <c r="G123" s="316"/>
      <c r="H123" s="314">
        <f t="shared" ref="H123:AQ123" si="115">H122</f>
        <v>0</v>
      </c>
      <c r="I123" s="314">
        <f t="shared" si="115"/>
        <v>0</v>
      </c>
      <c r="J123" s="314">
        <f t="shared" si="115"/>
        <v>0</v>
      </c>
      <c r="K123" s="314">
        <f t="shared" si="115"/>
        <v>0</v>
      </c>
      <c r="L123" s="314">
        <f t="shared" si="115"/>
        <v>0</v>
      </c>
      <c r="M123" s="314">
        <f t="shared" si="115"/>
        <v>0</v>
      </c>
      <c r="N123" s="314">
        <f t="shared" si="115"/>
        <v>0</v>
      </c>
      <c r="O123" s="314">
        <f t="shared" si="115"/>
        <v>0</v>
      </c>
      <c r="P123" s="314">
        <f t="shared" si="115"/>
        <v>0</v>
      </c>
      <c r="Q123" s="314">
        <f t="shared" si="115"/>
        <v>0</v>
      </c>
      <c r="R123" s="314">
        <f t="shared" si="115"/>
        <v>0</v>
      </c>
      <c r="S123" s="314">
        <f t="shared" si="115"/>
        <v>0</v>
      </c>
      <c r="T123" s="314">
        <f t="shared" si="115"/>
        <v>0</v>
      </c>
      <c r="U123" s="314">
        <f t="shared" si="115"/>
        <v>0</v>
      </c>
      <c r="V123" s="314">
        <f t="shared" si="115"/>
        <v>0</v>
      </c>
      <c r="W123" s="314">
        <f t="shared" si="115"/>
        <v>0</v>
      </c>
      <c r="X123" s="314">
        <f t="shared" si="115"/>
        <v>0</v>
      </c>
      <c r="Y123" s="314">
        <f t="shared" si="115"/>
        <v>0</v>
      </c>
      <c r="Z123" s="314">
        <f t="shared" si="115"/>
        <v>0</v>
      </c>
      <c r="AA123" s="314">
        <f t="shared" si="115"/>
        <v>0</v>
      </c>
      <c r="AB123" s="314">
        <f t="shared" si="115"/>
        <v>0</v>
      </c>
      <c r="AC123" s="314">
        <f t="shared" si="115"/>
        <v>0</v>
      </c>
      <c r="AD123" s="314">
        <f t="shared" si="115"/>
        <v>0</v>
      </c>
      <c r="AE123" s="314">
        <f t="shared" si="115"/>
        <v>0</v>
      </c>
      <c r="AF123" s="314">
        <f t="shared" si="115"/>
        <v>0</v>
      </c>
      <c r="AG123" s="314">
        <f t="shared" si="115"/>
        <v>0</v>
      </c>
      <c r="AH123" s="314">
        <f t="shared" si="115"/>
        <v>0</v>
      </c>
      <c r="AI123" s="314">
        <f t="shared" si="115"/>
        <v>0</v>
      </c>
      <c r="AJ123" s="314">
        <f t="shared" si="115"/>
        <v>0</v>
      </c>
      <c r="AK123" s="314">
        <f t="shared" si="115"/>
        <v>0</v>
      </c>
      <c r="AL123" s="314">
        <f t="shared" si="115"/>
        <v>0</v>
      </c>
      <c r="AM123" s="314">
        <f t="shared" si="115"/>
        <v>0</v>
      </c>
      <c r="AN123" s="314">
        <f t="shared" si="115"/>
        <v>0</v>
      </c>
      <c r="AO123" s="314">
        <f t="shared" si="115"/>
        <v>0</v>
      </c>
      <c r="AP123" s="314">
        <f t="shared" si="115"/>
        <v>0</v>
      </c>
      <c r="AQ123" s="314">
        <f t="shared" si="115"/>
        <v>0</v>
      </c>
      <c r="AR123" s="315">
        <f t="shared" si="113"/>
        <v>0</v>
      </c>
      <c r="AS123" s="2506"/>
      <c r="AU123" s="2507"/>
      <c r="AW123" s="274" t="str">
        <f>IF(F123="","X",F123)</f>
        <v>DE</v>
      </c>
      <c r="AX123" s="274" t="str">
        <f t="shared" ca="1" si="114"/>
        <v/>
      </c>
    </row>
    <row r="124" spans="1:50" s="274" customFormat="1" ht="18" hidden="1" customHeight="1">
      <c r="A124" s="2499"/>
      <c r="B124" s="2502"/>
      <c r="C124" s="311"/>
      <c r="D124" s="317" t="s">
        <v>1194</v>
      </c>
      <c r="E124" s="2508">
        <f>$D$159</f>
        <v>1</v>
      </c>
      <c r="F124" s="318" t="s">
        <v>1192</v>
      </c>
      <c r="G124" s="318" t="str">
        <f>D124&amp;" | "&amp;F124</f>
        <v>CONCEDENTE | ND</v>
      </c>
      <c r="H124" s="319">
        <f t="shared" ref="H124:AQ124" si="116">IF($D122=0,0,IF(H122=0,0,($E124*$D122*H122)+$AU$163))</f>
        <v>0</v>
      </c>
      <c r="I124" s="319">
        <f t="shared" si="116"/>
        <v>0</v>
      </c>
      <c r="J124" s="319">
        <f t="shared" si="116"/>
        <v>0</v>
      </c>
      <c r="K124" s="319">
        <f t="shared" si="116"/>
        <v>0</v>
      </c>
      <c r="L124" s="319">
        <f t="shared" si="116"/>
        <v>0</v>
      </c>
      <c r="M124" s="319">
        <f t="shared" si="116"/>
        <v>0</v>
      </c>
      <c r="N124" s="319">
        <f t="shared" si="116"/>
        <v>0</v>
      </c>
      <c r="O124" s="319">
        <f t="shared" si="116"/>
        <v>0</v>
      </c>
      <c r="P124" s="319">
        <f t="shared" si="116"/>
        <v>0</v>
      </c>
      <c r="Q124" s="319">
        <f t="shared" si="116"/>
        <v>0</v>
      </c>
      <c r="R124" s="319">
        <f t="shared" si="116"/>
        <v>0</v>
      </c>
      <c r="S124" s="319">
        <f t="shared" si="116"/>
        <v>0</v>
      </c>
      <c r="T124" s="319">
        <f t="shared" si="116"/>
        <v>0</v>
      </c>
      <c r="U124" s="319">
        <f t="shared" si="116"/>
        <v>0</v>
      </c>
      <c r="V124" s="319">
        <f t="shared" si="116"/>
        <v>0</v>
      </c>
      <c r="W124" s="319">
        <f t="shared" si="116"/>
        <v>0</v>
      </c>
      <c r="X124" s="319">
        <f t="shared" si="116"/>
        <v>0</v>
      </c>
      <c r="Y124" s="319">
        <f t="shared" si="116"/>
        <v>0</v>
      </c>
      <c r="Z124" s="319">
        <f t="shared" si="116"/>
        <v>0</v>
      </c>
      <c r="AA124" s="319">
        <f t="shared" si="116"/>
        <v>0</v>
      </c>
      <c r="AB124" s="319">
        <f t="shared" si="116"/>
        <v>0</v>
      </c>
      <c r="AC124" s="319">
        <f t="shared" si="116"/>
        <v>0</v>
      </c>
      <c r="AD124" s="319">
        <f t="shared" si="116"/>
        <v>0</v>
      </c>
      <c r="AE124" s="319">
        <f t="shared" si="116"/>
        <v>0</v>
      </c>
      <c r="AF124" s="319">
        <f t="shared" si="116"/>
        <v>0</v>
      </c>
      <c r="AG124" s="319">
        <f t="shared" si="116"/>
        <v>0</v>
      </c>
      <c r="AH124" s="319">
        <f t="shared" si="116"/>
        <v>0</v>
      </c>
      <c r="AI124" s="319">
        <f t="shared" si="116"/>
        <v>0</v>
      </c>
      <c r="AJ124" s="319">
        <f t="shared" si="116"/>
        <v>0</v>
      </c>
      <c r="AK124" s="319">
        <f t="shared" si="116"/>
        <v>0</v>
      </c>
      <c r="AL124" s="319">
        <f t="shared" si="116"/>
        <v>0</v>
      </c>
      <c r="AM124" s="319">
        <f t="shared" si="116"/>
        <v>0</v>
      </c>
      <c r="AN124" s="319">
        <f t="shared" si="116"/>
        <v>0</v>
      </c>
      <c r="AO124" s="319">
        <f t="shared" si="116"/>
        <v>0</v>
      </c>
      <c r="AP124" s="319">
        <f t="shared" si="116"/>
        <v>0</v>
      </c>
      <c r="AQ124" s="319">
        <f t="shared" si="116"/>
        <v>0</v>
      </c>
      <c r="AR124" s="320">
        <f t="shared" si="113"/>
        <v>0</v>
      </c>
      <c r="AS124" s="321">
        <f>TRUNC(AR124-D122*E124,2)</f>
        <v>0</v>
      </c>
      <c r="AT124" s="322" t="e">
        <f>+AR124/D122</f>
        <v>#DIV/0!</v>
      </c>
      <c r="AW124" s="274" t="str">
        <f>IF(F124="","X",IF(AND(E124&gt;0),F124,"-"))</f>
        <v>ND</v>
      </c>
      <c r="AX124" s="274" t="str">
        <f t="shared" ca="1" si="114"/>
        <v/>
      </c>
    </row>
    <row r="125" spans="1:50" s="274" customFormat="1" ht="18" hidden="1" customHeight="1">
      <c r="A125" s="2499"/>
      <c r="B125" s="2502"/>
      <c r="C125" s="311"/>
      <c r="D125" s="317" t="s">
        <v>1194</v>
      </c>
      <c r="E125" s="2509"/>
      <c r="F125" s="323" t="s">
        <v>1193</v>
      </c>
      <c r="G125" s="323" t="str">
        <f>D125&amp;" | "&amp;F125</f>
        <v>CONCEDENTE | DE</v>
      </c>
      <c r="H125" s="319">
        <f t="shared" ref="H125:AQ125" si="117">IF($D123=0,0,IF(H123=0,0,($E124*$D123*H123)+$AU$163))</f>
        <v>0</v>
      </c>
      <c r="I125" s="319">
        <f t="shared" si="117"/>
        <v>0</v>
      </c>
      <c r="J125" s="319">
        <f t="shared" si="117"/>
        <v>0</v>
      </c>
      <c r="K125" s="319">
        <f t="shared" si="117"/>
        <v>0</v>
      </c>
      <c r="L125" s="319">
        <f t="shared" si="117"/>
        <v>0</v>
      </c>
      <c r="M125" s="319">
        <f t="shared" si="117"/>
        <v>0</v>
      </c>
      <c r="N125" s="319">
        <f t="shared" si="117"/>
        <v>0</v>
      </c>
      <c r="O125" s="319">
        <f t="shared" si="117"/>
        <v>0</v>
      </c>
      <c r="P125" s="319">
        <f t="shared" si="117"/>
        <v>0</v>
      </c>
      <c r="Q125" s="319">
        <f t="shared" si="117"/>
        <v>0</v>
      </c>
      <c r="R125" s="319">
        <f t="shared" si="117"/>
        <v>0</v>
      </c>
      <c r="S125" s="319">
        <f t="shared" si="117"/>
        <v>0</v>
      </c>
      <c r="T125" s="319">
        <f t="shared" si="117"/>
        <v>0</v>
      </c>
      <c r="U125" s="319">
        <f t="shared" si="117"/>
        <v>0</v>
      </c>
      <c r="V125" s="319">
        <f t="shared" si="117"/>
        <v>0</v>
      </c>
      <c r="W125" s="319">
        <f t="shared" si="117"/>
        <v>0</v>
      </c>
      <c r="X125" s="319">
        <f t="shared" si="117"/>
        <v>0</v>
      </c>
      <c r="Y125" s="319">
        <f t="shared" si="117"/>
        <v>0</v>
      </c>
      <c r="Z125" s="319">
        <f t="shared" si="117"/>
        <v>0</v>
      </c>
      <c r="AA125" s="319">
        <f t="shared" si="117"/>
        <v>0</v>
      </c>
      <c r="AB125" s="319">
        <f t="shared" si="117"/>
        <v>0</v>
      </c>
      <c r="AC125" s="319">
        <f t="shared" si="117"/>
        <v>0</v>
      </c>
      <c r="AD125" s="319">
        <f t="shared" si="117"/>
        <v>0</v>
      </c>
      <c r="AE125" s="319">
        <f t="shared" si="117"/>
        <v>0</v>
      </c>
      <c r="AF125" s="319">
        <f t="shared" si="117"/>
        <v>0</v>
      </c>
      <c r="AG125" s="319">
        <f t="shared" si="117"/>
        <v>0</v>
      </c>
      <c r="AH125" s="319">
        <f t="shared" si="117"/>
        <v>0</v>
      </c>
      <c r="AI125" s="319">
        <f t="shared" si="117"/>
        <v>0</v>
      </c>
      <c r="AJ125" s="319">
        <f t="shared" si="117"/>
        <v>0</v>
      </c>
      <c r="AK125" s="319">
        <f t="shared" si="117"/>
        <v>0</v>
      </c>
      <c r="AL125" s="319">
        <f t="shared" si="117"/>
        <v>0</v>
      </c>
      <c r="AM125" s="319">
        <f t="shared" si="117"/>
        <v>0</v>
      </c>
      <c r="AN125" s="319">
        <f t="shared" si="117"/>
        <v>0</v>
      </c>
      <c r="AO125" s="319">
        <f t="shared" si="117"/>
        <v>0</v>
      </c>
      <c r="AP125" s="319">
        <f t="shared" si="117"/>
        <v>0</v>
      </c>
      <c r="AQ125" s="319">
        <f t="shared" si="117"/>
        <v>0</v>
      </c>
      <c r="AR125" s="320">
        <f t="shared" si="113"/>
        <v>0</v>
      </c>
      <c r="AS125" s="321">
        <f>TRUNC(AR125-D123*E124,2)</f>
        <v>0</v>
      </c>
      <c r="AT125" s="322" t="e">
        <f>+AR125/D123</f>
        <v>#DIV/0!</v>
      </c>
      <c r="AW125" s="274" t="str">
        <f>IF(F125="","X",IF(AND(E124&gt;0),F125,"-"))</f>
        <v>DE</v>
      </c>
      <c r="AX125" s="274" t="str">
        <f t="shared" ca="1" si="114"/>
        <v/>
      </c>
    </row>
    <row r="126" spans="1:50" s="274" customFormat="1" ht="18" hidden="1" customHeight="1" thickBot="1">
      <c r="A126" s="2499"/>
      <c r="B126" s="2502"/>
      <c r="C126" s="324"/>
      <c r="D126" s="325" t="s">
        <v>1195</v>
      </c>
      <c r="E126" s="2510">
        <f>1-E124</f>
        <v>0</v>
      </c>
      <c r="F126" s="326" t="s">
        <v>1192</v>
      </c>
      <c r="G126" s="326" t="str">
        <f>D126&amp;" | "&amp;F126</f>
        <v>PROPONENTE | ND</v>
      </c>
      <c r="H126" s="327">
        <f>($D122*H122-H124)</f>
        <v>0</v>
      </c>
      <c r="I126" s="327">
        <f t="shared" ref="I126:AQ127" si="118">($D122*I122-I124)</f>
        <v>0</v>
      </c>
      <c r="J126" s="327">
        <f t="shared" si="118"/>
        <v>0</v>
      </c>
      <c r="K126" s="327">
        <f t="shared" si="118"/>
        <v>0</v>
      </c>
      <c r="L126" s="327">
        <f t="shared" si="118"/>
        <v>0</v>
      </c>
      <c r="M126" s="327">
        <f t="shared" si="118"/>
        <v>0</v>
      </c>
      <c r="N126" s="327">
        <f t="shared" si="118"/>
        <v>0</v>
      </c>
      <c r="O126" s="327">
        <f t="shared" si="118"/>
        <v>0</v>
      </c>
      <c r="P126" s="327">
        <f t="shared" si="118"/>
        <v>0</v>
      </c>
      <c r="Q126" s="327">
        <f t="shared" si="118"/>
        <v>0</v>
      </c>
      <c r="R126" s="327">
        <f t="shared" si="118"/>
        <v>0</v>
      </c>
      <c r="S126" s="327">
        <f t="shared" si="118"/>
        <v>0</v>
      </c>
      <c r="T126" s="327">
        <f t="shared" si="118"/>
        <v>0</v>
      </c>
      <c r="U126" s="327">
        <f t="shared" si="118"/>
        <v>0</v>
      </c>
      <c r="V126" s="327">
        <f t="shared" si="118"/>
        <v>0</v>
      </c>
      <c r="W126" s="327">
        <f t="shared" si="118"/>
        <v>0</v>
      </c>
      <c r="X126" s="327">
        <f t="shared" si="118"/>
        <v>0</v>
      </c>
      <c r="Y126" s="327">
        <f t="shared" si="118"/>
        <v>0</v>
      </c>
      <c r="Z126" s="327">
        <f t="shared" si="118"/>
        <v>0</v>
      </c>
      <c r="AA126" s="327">
        <f t="shared" si="118"/>
        <v>0</v>
      </c>
      <c r="AB126" s="327">
        <f t="shared" si="118"/>
        <v>0</v>
      </c>
      <c r="AC126" s="327">
        <f t="shared" si="118"/>
        <v>0</v>
      </c>
      <c r="AD126" s="327">
        <f t="shared" si="118"/>
        <v>0</v>
      </c>
      <c r="AE126" s="327">
        <f t="shared" si="118"/>
        <v>0</v>
      </c>
      <c r="AF126" s="327">
        <f t="shared" si="118"/>
        <v>0</v>
      </c>
      <c r="AG126" s="327">
        <f t="shared" si="118"/>
        <v>0</v>
      </c>
      <c r="AH126" s="327">
        <f t="shared" si="118"/>
        <v>0</v>
      </c>
      <c r="AI126" s="327">
        <f t="shared" si="118"/>
        <v>0</v>
      </c>
      <c r="AJ126" s="327">
        <f t="shared" si="118"/>
        <v>0</v>
      </c>
      <c r="AK126" s="327">
        <f t="shared" si="118"/>
        <v>0</v>
      </c>
      <c r="AL126" s="327">
        <f t="shared" si="118"/>
        <v>0</v>
      </c>
      <c r="AM126" s="327">
        <f t="shared" si="118"/>
        <v>0</v>
      </c>
      <c r="AN126" s="327">
        <f t="shared" si="118"/>
        <v>0</v>
      </c>
      <c r="AO126" s="327">
        <f t="shared" si="118"/>
        <v>0</v>
      </c>
      <c r="AP126" s="327">
        <f t="shared" si="118"/>
        <v>0</v>
      </c>
      <c r="AQ126" s="327">
        <f t="shared" si="118"/>
        <v>0</v>
      </c>
      <c r="AR126" s="328">
        <f t="shared" si="113"/>
        <v>0</v>
      </c>
      <c r="AS126" s="321">
        <f>+D122-AR124-AR126</f>
        <v>0</v>
      </c>
      <c r="AW126" s="274" t="str">
        <f>IF(F126="","X",IF(AND(E126&gt;0),F126,"-"))</f>
        <v>-</v>
      </c>
      <c r="AX126" s="274" t="str">
        <f t="shared" ca="1" si="114"/>
        <v/>
      </c>
    </row>
    <row r="127" spans="1:50" s="274" customFormat="1" ht="18" hidden="1" customHeight="1" thickBot="1">
      <c r="A127" s="2500"/>
      <c r="B127" s="2503"/>
      <c r="C127" s="324"/>
      <c r="D127" s="325" t="s">
        <v>1195</v>
      </c>
      <c r="E127" s="2511"/>
      <c r="F127" s="329" t="s">
        <v>1193</v>
      </c>
      <c r="G127" s="329" t="str">
        <f>D127&amp;" | "&amp;F127</f>
        <v>PROPONENTE | DE</v>
      </c>
      <c r="H127" s="327">
        <f>($D123*H123-H125)</f>
        <v>0</v>
      </c>
      <c r="I127" s="327">
        <f t="shared" si="118"/>
        <v>0</v>
      </c>
      <c r="J127" s="327">
        <f t="shared" si="118"/>
        <v>0</v>
      </c>
      <c r="K127" s="327">
        <f t="shared" si="118"/>
        <v>0</v>
      </c>
      <c r="L127" s="327">
        <f t="shared" si="118"/>
        <v>0</v>
      </c>
      <c r="M127" s="327">
        <f t="shared" si="118"/>
        <v>0</v>
      </c>
      <c r="N127" s="327">
        <f t="shared" si="118"/>
        <v>0</v>
      </c>
      <c r="O127" s="327">
        <f t="shared" si="118"/>
        <v>0</v>
      </c>
      <c r="P127" s="327">
        <f t="shared" si="118"/>
        <v>0</v>
      </c>
      <c r="Q127" s="327">
        <f t="shared" si="118"/>
        <v>0</v>
      </c>
      <c r="R127" s="327">
        <f t="shared" si="118"/>
        <v>0</v>
      </c>
      <c r="S127" s="327">
        <f t="shared" si="118"/>
        <v>0</v>
      </c>
      <c r="T127" s="327">
        <f t="shared" si="118"/>
        <v>0</v>
      </c>
      <c r="U127" s="327">
        <f t="shared" si="118"/>
        <v>0</v>
      </c>
      <c r="V127" s="327">
        <f t="shared" si="118"/>
        <v>0</v>
      </c>
      <c r="W127" s="327">
        <f t="shared" si="118"/>
        <v>0</v>
      </c>
      <c r="X127" s="327">
        <f t="shared" si="118"/>
        <v>0</v>
      </c>
      <c r="Y127" s="327">
        <f t="shared" si="118"/>
        <v>0</v>
      </c>
      <c r="Z127" s="327">
        <f t="shared" si="118"/>
        <v>0</v>
      </c>
      <c r="AA127" s="327">
        <f t="shared" si="118"/>
        <v>0</v>
      </c>
      <c r="AB127" s="327">
        <f t="shared" si="118"/>
        <v>0</v>
      </c>
      <c r="AC127" s="327">
        <f t="shared" si="118"/>
        <v>0</v>
      </c>
      <c r="AD127" s="327">
        <f t="shared" si="118"/>
        <v>0</v>
      </c>
      <c r="AE127" s="327">
        <f t="shared" si="118"/>
        <v>0</v>
      </c>
      <c r="AF127" s="327">
        <f t="shared" si="118"/>
        <v>0</v>
      </c>
      <c r="AG127" s="327">
        <f t="shared" si="118"/>
        <v>0</v>
      </c>
      <c r="AH127" s="327">
        <f t="shared" si="118"/>
        <v>0</v>
      </c>
      <c r="AI127" s="327">
        <f t="shared" si="118"/>
        <v>0</v>
      </c>
      <c r="AJ127" s="327">
        <f t="shared" si="118"/>
        <v>0</v>
      </c>
      <c r="AK127" s="327">
        <f t="shared" si="118"/>
        <v>0</v>
      </c>
      <c r="AL127" s="327">
        <f t="shared" si="118"/>
        <v>0</v>
      </c>
      <c r="AM127" s="327">
        <f t="shared" si="118"/>
        <v>0</v>
      </c>
      <c r="AN127" s="327">
        <f t="shared" si="118"/>
        <v>0</v>
      </c>
      <c r="AO127" s="327">
        <f t="shared" si="118"/>
        <v>0</v>
      </c>
      <c r="AP127" s="327">
        <f t="shared" si="118"/>
        <v>0</v>
      </c>
      <c r="AQ127" s="327">
        <f t="shared" si="118"/>
        <v>0</v>
      </c>
      <c r="AR127" s="328">
        <f t="shared" si="113"/>
        <v>0</v>
      </c>
      <c r="AS127" s="321">
        <f>+D123-AR125-AR127</f>
        <v>0</v>
      </c>
      <c r="AW127" s="274" t="str">
        <f>IF(F127="","X",IF(AND(E126&gt;0),F127,"-"))</f>
        <v>-</v>
      </c>
      <c r="AX127" s="274" t="str">
        <f t="shared" ca="1" si="114"/>
        <v/>
      </c>
    </row>
    <row r="128" spans="1:50" s="274" customFormat="1" ht="9.9499999999999993" hidden="1" customHeight="1">
      <c r="A128" s="2498">
        <f ca="1">Orcamento!B34</f>
        <v>0</v>
      </c>
      <c r="B128" s="2501" t="str">
        <f>Orcamento!D34</f>
        <v>IMPLANTAÇÃO / ADEQUAÇÃO GEOMÉTRICA DE CICLOVIA</v>
      </c>
      <c r="C128" s="305"/>
      <c r="D128" s="306"/>
      <c r="E128" s="307"/>
      <c r="F128" s="307"/>
      <c r="G128" s="307"/>
      <c r="H128" s="308">
        <f t="shared" ref="H128:AQ128" si="119">H129</f>
        <v>0</v>
      </c>
      <c r="I128" s="308">
        <f t="shared" si="119"/>
        <v>0</v>
      </c>
      <c r="J128" s="308">
        <f t="shared" si="119"/>
        <v>0</v>
      </c>
      <c r="K128" s="308">
        <f t="shared" si="119"/>
        <v>0</v>
      </c>
      <c r="L128" s="308">
        <f t="shared" si="119"/>
        <v>0</v>
      </c>
      <c r="M128" s="308">
        <f t="shared" si="119"/>
        <v>0</v>
      </c>
      <c r="N128" s="308">
        <f t="shared" si="119"/>
        <v>0</v>
      </c>
      <c r="O128" s="308">
        <f t="shared" si="119"/>
        <v>0</v>
      </c>
      <c r="P128" s="308">
        <f t="shared" si="119"/>
        <v>0</v>
      </c>
      <c r="Q128" s="308">
        <f t="shared" si="119"/>
        <v>0</v>
      </c>
      <c r="R128" s="308">
        <f t="shared" si="119"/>
        <v>0</v>
      </c>
      <c r="S128" s="308">
        <f t="shared" si="119"/>
        <v>0</v>
      </c>
      <c r="T128" s="308">
        <f t="shared" si="119"/>
        <v>0</v>
      </c>
      <c r="U128" s="308">
        <f t="shared" si="119"/>
        <v>0</v>
      </c>
      <c r="V128" s="308">
        <f t="shared" si="119"/>
        <v>0</v>
      </c>
      <c r="W128" s="308">
        <f t="shared" si="119"/>
        <v>0</v>
      </c>
      <c r="X128" s="308">
        <f t="shared" si="119"/>
        <v>0</v>
      </c>
      <c r="Y128" s="308">
        <f t="shared" si="119"/>
        <v>0</v>
      </c>
      <c r="Z128" s="308">
        <f t="shared" si="119"/>
        <v>0</v>
      </c>
      <c r="AA128" s="308">
        <f t="shared" si="119"/>
        <v>0</v>
      </c>
      <c r="AB128" s="308">
        <f t="shared" si="119"/>
        <v>0</v>
      </c>
      <c r="AC128" s="308">
        <f t="shared" si="119"/>
        <v>0</v>
      </c>
      <c r="AD128" s="308">
        <f t="shared" si="119"/>
        <v>0</v>
      </c>
      <c r="AE128" s="308">
        <f t="shared" si="119"/>
        <v>0</v>
      </c>
      <c r="AF128" s="308">
        <f t="shared" si="119"/>
        <v>0</v>
      </c>
      <c r="AG128" s="308">
        <f t="shared" si="119"/>
        <v>0</v>
      </c>
      <c r="AH128" s="308">
        <f t="shared" si="119"/>
        <v>0</v>
      </c>
      <c r="AI128" s="308">
        <f t="shared" si="119"/>
        <v>0</v>
      </c>
      <c r="AJ128" s="308">
        <f t="shared" si="119"/>
        <v>0</v>
      </c>
      <c r="AK128" s="308">
        <f t="shared" si="119"/>
        <v>0</v>
      </c>
      <c r="AL128" s="308">
        <f t="shared" si="119"/>
        <v>0</v>
      </c>
      <c r="AM128" s="308">
        <f t="shared" si="119"/>
        <v>0</v>
      </c>
      <c r="AN128" s="308">
        <f t="shared" si="119"/>
        <v>0</v>
      </c>
      <c r="AO128" s="308">
        <f t="shared" si="119"/>
        <v>0</v>
      </c>
      <c r="AP128" s="308">
        <f t="shared" si="119"/>
        <v>0</v>
      </c>
      <c r="AQ128" s="308">
        <f t="shared" si="119"/>
        <v>0</v>
      </c>
      <c r="AR128" s="309"/>
      <c r="AS128" s="310">
        <f>+D130-AR132-AR134</f>
        <v>0</v>
      </c>
      <c r="AW128" s="274" t="str">
        <f>IF(F128="","X",F128)</f>
        <v>X</v>
      </c>
      <c r="AX128" s="274" t="str">
        <f ca="1">IF($A$128=0,"","X")</f>
        <v/>
      </c>
    </row>
    <row r="129" spans="1:50" s="274" customFormat="1" ht="18" hidden="1" customHeight="1">
      <c r="A129" s="2499"/>
      <c r="B129" s="2502"/>
      <c r="C129" s="311" t="str">
        <f>CONCATENATE(Orcamento!K134," ",Orcamento!O134)</f>
        <v>0 6,9</v>
      </c>
      <c r="D129" s="2504">
        <f>Orcamento!S34</f>
        <v>0</v>
      </c>
      <c r="E129" s="2505"/>
      <c r="F129" s="312" t="s">
        <v>1192</v>
      </c>
      <c r="G129" s="312"/>
      <c r="H129" s="314"/>
      <c r="I129" s="314"/>
      <c r="J129" s="314"/>
      <c r="K129" s="314"/>
      <c r="L129" s="314"/>
      <c r="M129" s="314"/>
      <c r="N129" s="314"/>
      <c r="O129" s="314"/>
      <c r="P129" s="314"/>
      <c r="Q129" s="314"/>
      <c r="R129" s="314"/>
      <c r="S129" s="314"/>
      <c r="T129" s="314"/>
      <c r="U129" s="314"/>
      <c r="V129" s="314"/>
      <c r="W129" s="314"/>
      <c r="X129" s="314"/>
      <c r="Y129" s="314"/>
      <c r="Z129" s="314"/>
      <c r="AA129" s="314"/>
      <c r="AB129" s="314"/>
      <c r="AC129" s="314"/>
      <c r="AD129" s="314"/>
      <c r="AE129" s="314"/>
      <c r="AF129" s="314"/>
      <c r="AG129" s="314"/>
      <c r="AH129" s="314"/>
      <c r="AI129" s="314"/>
      <c r="AJ129" s="314"/>
      <c r="AK129" s="314"/>
      <c r="AL129" s="314"/>
      <c r="AM129" s="314"/>
      <c r="AN129" s="314"/>
      <c r="AO129" s="314"/>
      <c r="AP129" s="314"/>
      <c r="AQ129" s="314"/>
      <c r="AR129" s="315">
        <f t="shared" ref="AR129:AR134" si="120">SUM(H129:AQ129)</f>
        <v>0</v>
      </c>
      <c r="AS129" s="2506">
        <f>1-AR129</f>
        <v>1</v>
      </c>
      <c r="AU129" s="2507">
        <f>+COUNT(H129:AQ130)</f>
        <v>36</v>
      </c>
      <c r="AW129" s="274" t="str">
        <f>IF(F129="","X",F129)</f>
        <v>ND</v>
      </c>
      <c r="AX129" s="274" t="str">
        <f t="shared" ref="AX129:AX134" ca="1" si="121">IF($A$128=0,"","X")</f>
        <v/>
      </c>
    </row>
    <row r="130" spans="1:50" s="274" customFormat="1" ht="18" hidden="1" customHeight="1">
      <c r="A130" s="2499"/>
      <c r="B130" s="2502"/>
      <c r="C130" s="311" t="str">
        <f>CONCATENATE(Orcamento!K135," ",Orcamento!O135)</f>
        <v>0 8,78</v>
      </c>
      <c r="D130" s="2504">
        <f>Orcamento!T34</f>
        <v>0</v>
      </c>
      <c r="E130" s="2505"/>
      <c r="F130" s="316" t="s">
        <v>1193</v>
      </c>
      <c r="G130" s="316"/>
      <c r="H130" s="314">
        <f t="shared" ref="H130:AQ130" si="122">H129</f>
        <v>0</v>
      </c>
      <c r="I130" s="314">
        <f t="shared" si="122"/>
        <v>0</v>
      </c>
      <c r="J130" s="314">
        <f t="shared" si="122"/>
        <v>0</v>
      </c>
      <c r="K130" s="314">
        <f t="shared" si="122"/>
        <v>0</v>
      </c>
      <c r="L130" s="314">
        <f t="shared" si="122"/>
        <v>0</v>
      </c>
      <c r="M130" s="314">
        <f t="shared" si="122"/>
        <v>0</v>
      </c>
      <c r="N130" s="314">
        <f t="shared" si="122"/>
        <v>0</v>
      </c>
      <c r="O130" s="314">
        <f t="shared" si="122"/>
        <v>0</v>
      </c>
      <c r="P130" s="314">
        <f t="shared" si="122"/>
        <v>0</v>
      </c>
      <c r="Q130" s="314">
        <f t="shared" si="122"/>
        <v>0</v>
      </c>
      <c r="R130" s="314">
        <f t="shared" si="122"/>
        <v>0</v>
      </c>
      <c r="S130" s="314">
        <f t="shared" si="122"/>
        <v>0</v>
      </c>
      <c r="T130" s="314">
        <f t="shared" si="122"/>
        <v>0</v>
      </c>
      <c r="U130" s="314">
        <f t="shared" si="122"/>
        <v>0</v>
      </c>
      <c r="V130" s="314">
        <f t="shared" si="122"/>
        <v>0</v>
      </c>
      <c r="W130" s="314">
        <f t="shared" si="122"/>
        <v>0</v>
      </c>
      <c r="X130" s="314">
        <f t="shared" si="122"/>
        <v>0</v>
      </c>
      <c r="Y130" s="314">
        <f t="shared" si="122"/>
        <v>0</v>
      </c>
      <c r="Z130" s="314">
        <f t="shared" si="122"/>
        <v>0</v>
      </c>
      <c r="AA130" s="314">
        <f t="shared" si="122"/>
        <v>0</v>
      </c>
      <c r="AB130" s="314">
        <f t="shared" si="122"/>
        <v>0</v>
      </c>
      <c r="AC130" s="314">
        <f t="shared" si="122"/>
        <v>0</v>
      </c>
      <c r="AD130" s="314">
        <f t="shared" si="122"/>
        <v>0</v>
      </c>
      <c r="AE130" s="314">
        <f t="shared" si="122"/>
        <v>0</v>
      </c>
      <c r="AF130" s="314">
        <f t="shared" si="122"/>
        <v>0</v>
      </c>
      <c r="AG130" s="314">
        <f t="shared" si="122"/>
        <v>0</v>
      </c>
      <c r="AH130" s="314">
        <f t="shared" si="122"/>
        <v>0</v>
      </c>
      <c r="AI130" s="314">
        <f t="shared" si="122"/>
        <v>0</v>
      </c>
      <c r="AJ130" s="314">
        <f t="shared" si="122"/>
        <v>0</v>
      </c>
      <c r="AK130" s="314">
        <f t="shared" si="122"/>
        <v>0</v>
      </c>
      <c r="AL130" s="314">
        <f t="shared" si="122"/>
        <v>0</v>
      </c>
      <c r="AM130" s="314">
        <f t="shared" si="122"/>
        <v>0</v>
      </c>
      <c r="AN130" s="314">
        <f t="shared" si="122"/>
        <v>0</v>
      </c>
      <c r="AO130" s="314">
        <f t="shared" si="122"/>
        <v>0</v>
      </c>
      <c r="AP130" s="314">
        <f t="shared" si="122"/>
        <v>0</v>
      </c>
      <c r="AQ130" s="314">
        <f t="shared" si="122"/>
        <v>0</v>
      </c>
      <c r="AR130" s="315">
        <f t="shared" si="120"/>
        <v>0</v>
      </c>
      <c r="AS130" s="2506"/>
      <c r="AU130" s="2507"/>
      <c r="AW130" s="274" t="str">
        <f>IF(F130="","X",F130)</f>
        <v>DE</v>
      </c>
      <c r="AX130" s="274" t="str">
        <f t="shared" ca="1" si="121"/>
        <v/>
      </c>
    </row>
    <row r="131" spans="1:50" s="274" customFormat="1" ht="18" hidden="1" customHeight="1">
      <c r="A131" s="2499"/>
      <c r="B131" s="2502"/>
      <c r="C131" s="311"/>
      <c r="D131" s="317" t="s">
        <v>1194</v>
      </c>
      <c r="E131" s="2508">
        <f>$D$159</f>
        <v>1</v>
      </c>
      <c r="F131" s="318" t="s">
        <v>1192</v>
      </c>
      <c r="G131" s="318" t="str">
        <f>D131&amp;" | "&amp;F131</f>
        <v>CONCEDENTE | ND</v>
      </c>
      <c r="H131" s="319">
        <f t="shared" ref="H131:AQ131" si="123">IF($D129=0,0,IF(H129=0,0,($E131*$D129*H129)+$AU$163))</f>
        <v>0</v>
      </c>
      <c r="I131" s="319">
        <f t="shared" si="123"/>
        <v>0</v>
      </c>
      <c r="J131" s="319">
        <f t="shared" si="123"/>
        <v>0</v>
      </c>
      <c r="K131" s="319">
        <f t="shared" si="123"/>
        <v>0</v>
      </c>
      <c r="L131" s="319">
        <f t="shared" si="123"/>
        <v>0</v>
      </c>
      <c r="M131" s="319">
        <f t="shared" si="123"/>
        <v>0</v>
      </c>
      <c r="N131" s="319">
        <f t="shared" si="123"/>
        <v>0</v>
      </c>
      <c r="O131" s="319">
        <f t="shared" si="123"/>
        <v>0</v>
      </c>
      <c r="P131" s="319">
        <f t="shared" si="123"/>
        <v>0</v>
      </c>
      <c r="Q131" s="319">
        <f t="shared" si="123"/>
        <v>0</v>
      </c>
      <c r="R131" s="319">
        <f t="shared" si="123"/>
        <v>0</v>
      </c>
      <c r="S131" s="319">
        <f t="shared" si="123"/>
        <v>0</v>
      </c>
      <c r="T131" s="319">
        <f t="shared" si="123"/>
        <v>0</v>
      </c>
      <c r="U131" s="319">
        <f t="shared" si="123"/>
        <v>0</v>
      </c>
      <c r="V131" s="319">
        <f t="shared" si="123"/>
        <v>0</v>
      </c>
      <c r="W131" s="319">
        <f t="shared" si="123"/>
        <v>0</v>
      </c>
      <c r="X131" s="319">
        <f t="shared" si="123"/>
        <v>0</v>
      </c>
      <c r="Y131" s="319">
        <f t="shared" si="123"/>
        <v>0</v>
      </c>
      <c r="Z131" s="319">
        <f t="shared" si="123"/>
        <v>0</v>
      </c>
      <c r="AA131" s="319">
        <f t="shared" si="123"/>
        <v>0</v>
      </c>
      <c r="AB131" s="319">
        <f t="shared" si="123"/>
        <v>0</v>
      </c>
      <c r="AC131" s="319">
        <f t="shared" si="123"/>
        <v>0</v>
      </c>
      <c r="AD131" s="319">
        <f t="shared" si="123"/>
        <v>0</v>
      </c>
      <c r="AE131" s="319">
        <f t="shared" si="123"/>
        <v>0</v>
      </c>
      <c r="AF131" s="319">
        <f t="shared" si="123"/>
        <v>0</v>
      </c>
      <c r="AG131" s="319">
        <f t="shared" si="123"/>
        <v>0</v>
      </c>
      <c r="AH131" s="319">
        <f t="shared" si="123"/>
        <v>0</v>
      </c>
      <c r="AI131" s="319">
        <f t="shared" si="123"/>
        <v>0</v>
      </c>
      <c r="AJ131" s="319">
        <f t="shared" si="123"/>
        <v>0</v>
      </c>
      <c r="AK131" s="319">
        <f t="shared" si="123"/>
        <v>0</v>
      </c>
      <c r="AL131" s="319">
        <f t="shared" si="123"/>
        <v>0</v>
      </c>
      <c r="AM131" s="319">
        <f t="shared" si="123"/>
        <v>0</v>
      </c>
      <c r="AN131" s="319">
        <f t="shared" si="123"/>
        <v>0</v>
      </c>
      <c r="AO131" s="319">
        <f t="shared" si="123"/>
        <v>0</v>
      </c>
      <c r="AP131" s="319">
        <f t="shared" si="123"/>
        <v>0</v>
      </c>
      <c r="AQ131" s="319">
        <f t="shared" si="123"/>
        <v>0</v>
      </c>
      <c r="AR131" s="320">
        <f t="shared" si="120"/>
        <v>0</v>
      </c>
      <c r="AS131" s="321">
        <f>TRUNC(AR131-D129*E131,2)</f>
        <v>0</v>
      </c>
      <c r="AT131" s="322" t="e">
        <f>+AR131/D129</f>
        <v>#DIV/0!</v>
      </c>
      <c r="AW131" s="274" t="str">
        <f>IF(F131="","X",IF(AND(E131&gt;0),F131,"-"))</f>
        <v>ND</v>
      </c>
      <c r="AX131" s="274" t="str">
        <f t="shared" ca="1" si="121"/>
        <v/>
      </c>
    </row>
    <row r="132" spans="1:50" s="274" customFormat="1" ht="18" hidden="1" customHeight="1">
      <c r="A132" s="2499"/>
      <c r="B132" s="2502"/>
      <c r="C132" s="311"/>
      <c r="D132" s="317" t="s">
        <v>1194</v>
      </c>
      <c r="E132" s="2509"/>
      <c r="F132" s="323" t="s">
        <v>1193</v>
      </c>
      <c r="G132" s="323" t="str">
        <f>D132&amp;" | "&amp;F132</f>
        <v>CONCEDENTE | DE</v>
      </c>
      <c r="H132" s="319">
        <f t="shared" ref="H132:AQ132" si="124">IF($D130=0,0,IF(H130=0,0,($E131*$D130*H130)+$AU$163))</f>
        <v>0</v>
      </c>
      <c r="I132" s="319">
        <f t="shared" si="124"/>
        <v>0</v>
      </c>
      <c r="J132" s="319">
        <f t="shared" si="124"/>
        <v>0</v>
      </c>
      <c r="K132" s="319">
        <f t="shared" si="124"/>
        <v>0</v>
      </c>
      <c r="L132" s="319">
        <f t="shared" si="124"/>
        <v>0</v>
      </c>
      <c r="M132" s="319">
        <f t="shared" si="124"/>
        <v>0</v>
      </c>
      <c r="N132" s="319">
        <f t="shared" si="124"/>
        <v>0</v>
      </c>
      <c r="O132" s="319">
        <f t="shared" si="124"/>
        <v>0</v>
      </c>
      <c r="P132" s="319">
        <f t="shared" si="124"/>
        <v>0</v>
      </c>
      <c r="Q132" s="319">
        <f t="shared" si="124"/>
        <v>0</v>
      </c>
      <c r="R132" s="319">
        <f t="shared" si="124"/>
        <v>0</v>
      </c>
      <c r="S132" s="319">
        <f t="shared" si="124"/>
        <v>0</v>
      </c>
      <c r="T132" s="319">
        <f t="shared" si="124"/>
        <v>0</v>
      </c>
      <c r="U132" s="319">
        <f t="shared" si="124"/>
        <v>0</v>
      </c>
      <c r="V132" s="319">
        <f t="shared" si="124"/>
        <v>0</v>
      </c>
      <c r="W132" s="319">
        <f t="shared" si="124"/>
        <v>0</v>
      </c>
      <c r="X132" s="319">
        <f t="shared" si="124"/>
        <v>0</v>
      </c>
      <c r="Y132" s="319">
        <f t="shared" si="124"/>
        <v>0</v>
      </c>
      <c r="Z132" s="319">
        <f t="shared" si="124"/>
        <v>0</v>
      </c>
      <c r="AA132" s="319">
        <f t="shared" si="124"/>
        <v>0</v>
      </c>
      <c r="AB132" s="319">
        <f t="shared" si="124"/>
        <v>0</v>
      </c>
      <c r="AC132" s="319">
        <f t="shared" si="124"/>
        <v>0</v>
      </c>
      <c r="AD132" s="319">
        <f t="shared" si="124"/>
        <v>0</v>
      </c>
      <c r="AE132" s="319">
        <f t="shared" si="124"/>
        <v>0</v>
      </c>
      <c r="AF132" s="319">
        <f t="shared" si="124"/>
        <v>0</v>
      </c>
      <c r="AG132" s="319">
        <f t="shared" si="124"/>
        <v>0</v>
      </c>
      <c r="AH132" s="319">
        <f t="shared" si="124"/>
        <v>0</v>
      </c>
      <c r="AI132" s="319">
        <f t="shared" si="124"/>
        <v>0</v>
      </c>
      <c r="AJ132" s="319">
        <f t="shared" si="124"/>
        <v>0</v>
      </c>
      <c r="AK132" s="319">
        <f t="shared" si="124"/>
        <v>0</v>
      </c>
      <c r="AL132" s="319">
        <f t="shared" si="124"/>
        <v>0</v>
      </c>
      <c r="AM132" s="319">
        <f t="shared" si="124"/>
        <v>0</v>
      </c>
      <c r="AN132" s="319">
        <f t="shared" si="124"/>
        <v>0</v>
      </c>
      <c r="AO132" s="319">
        <f t="shared" si="124"/>
        <v>0</v>
      </c>
      <c r="AP132" s="319">
        <f t="shared" si="124"/>
        <v>0</v>
      </c>
      <c r="AQ132" s="319">
        <f t="shared" si="124"/>
        <v>0</v>
      </c>
      <c r="AR132" s="320">
        <f t="shared" si="120"/>
        <v>0</v>
      </c>
      <c r="AS132" s="321">
        <f>TRUNC(AR132-D130*E131,2)</f>
        <v>0</v>
      </c>
      <c r="AT132" s="322" t="e">
        <f>+AR132/D130</f>
        <v>#DIV/0!</v>
      </c>
      <c r="AW132" s="274" t="str">
        <f>IF(F132="","X",IF(AND(E131&gt;0),F132,"-"))</f>
        <v>DE</v>
      </c>
      <c r="AX132" s="274" t="str">
        <f t="shared" ca="1" si="121"/>
        <v/>
      </c>
    </row>
    <row r="133" spans="1:50" s="274" customFormat="1" ht="18" hidden="1" customHeight="1" thickBot="1">
      <c r="A133" s="2499"/>
      <c r="B133" s="2502"/>
      <c r="C133" s="324"/>
      <c r="D133" s="325" t="s">
        <v>1195</v>
      </c>
      <c r="E133" s="2510">
        <f>1-E131</f>
        <v>0</v>
      </c>
      <c r="F133" s="326" t="s">
        <v>1192</v>
      </c>
      <c r="G133" s="326" t="str">
        <f>D133&amp;" | "&amp;F133</f>
        <v>PROPONENTE | ND</v>
      </c>
      <c r="H133" s="327">
        <f>($D129*H129-H131)</f>
        <v>0</v>
      </c>
      <c r="I133" s="327">
        <f t="shared" ref="I133:AQ134" si="125">($D129*I129-I131)</f>
        <v>0</v>
      </c>
      <c r="J133" s="327">
        <f t="shared" si="125"/>
        <v>0</v>
      </c>
      <c r="K133" s="327">
        <f t="shared" si="125"/>
        <v>0</v>
      </c>
      <c r="L133" s="327">
        <f t="shared" si="125"/>
        <v>0</v>
      </c>
      <c r="M133" s="327">
        <f t="shared" si="125"/>
        <v>0</v>
      </c>
      <c r="N133" s="327">
        <f t="shared" si="125"/>
        <v>0</v>
      </c>
      <c r="O133" s="327">
        <f t="shared" si="125"/>
        <v>0</v>
      </c>
      <c r="P133" s="327">
        <f t="shared" si="125"/>
        <v>0</v>
      </c>
      <c r="Q133" s="327">
        <f t="shared" si="125"/>
        <v>0</v>
      </c>
      <c r="R133" s="327">
        <f t="shared" si="125"/>
        <v>0</v>
      </c>
      <c r="S133" s="327">
        <f t="shared" si="125"/>
        <v>0</v>
      </c>
      <c r="T133" s="327">
        <f t="shared" si="125"/>
        <v>0</v>
      </c>
      <c r="U133" s="327">
        <f t="shared" si="125"/>
        <v>0</v>
      </c>
      <c r="V133" s="327">
        <f t="shared" si="125"/>
        <v>0</v>
      </c>
      <c r="W133" s="327">
        <f t="shared" si="125"/>
        <v>0</v>
      </c>
      <c r="X133" s="327">
        <f t="shared" si="125"/>
        <v>0</v>
      </c>
      <c r="Y133" s="327">
        <f t="shared" si="125"/>
        <v>0</v>
      </c>
      <c r="Z133" s="327">
        <f t="shared" si="125"/>
        <v>0</v>
      </c>
      <c r="AA133" s="327">
        <f t="shared" si="125"/>
        <v>0</v>
      </c>
      <c r="AB133" s="327">
        <f t="shared" si="125"/>
        <v>0</v>
      </c>
      <c r="AC133" s="327">
        <f t="shared" si="125"/>
        <v>0</v>
      </c>
      <c r="AD133" s="327">
        <f t="shared" si="125"/>
        <v>0</v>
      </c>
      <c r="AE133" s="327">
        <f t="shared" si="125"/>
        <v>0</v>
      </c>
      <c r="AF133" s="327">
        <f t="shared" si="125"/>
        <v>0</v>
      </c>
      <c r="AG133" s="327">
        <f t="shared" si="125"/>
        <v>0</v>
      </c>
      <c r="AH133" s="327">
        <f t="shared" si="125"/>
        <v>0</v>
      </c>
      <c r="AI133" s="327">
        <f t="shared" si="125"/>
        <v>0</v>
      </c>
      <c r="AJ133" s="327">
        <f t="shared" si="125"/>
        <v>0</v>
      </c>
      <c r="AK133" s="327">
        <f t="shared" si="125"/>
        <v>0</v>
      </c>
      <c r="AL133" s="327">
        <f t="shared" si="125"/>
        <v>0</v>
      </c>
      <c r="AM133" s="327">
        <f t="shared" si="125"/>
        <v>0</v>
      </c>
      <c r="AN133" s="327">
        <f t="shared" si="125"/>
        <v>0</v>
      </c>
      <c r="AO133" s="327">
        <f t="shared" si="125"/>
        <v>0</v>
      </c>
      <c r="AP133" s="327">
        <f t="shared" si="125"/>
        <v>0</v>
      </c>
      <c r="AQ133" s="327">
        <f t="shared" si="125"/>
        <v>0</v>
      </c>
      <c r="AR133" s="328">
        <f t="shared" si="120"/>
        <v>0</v>
      </c>
      <c r="AS133" s="321">
        <f>+D129-AR131-AR133</f>
        <v>0</v>
      </c>
      <c r="AW133" s="274" t="str">
        <f>IF(F133="","X",IF(AND(E133&gt;0),F133,"-"))</f>
        <v>-</v>
      </c>
      <c r="AX133" s="274" t="str">
        <f t="shared" ca="1" si="121"/>
        <v/>
      </c>
    </row>
    <row r="134" spans="1:50" s="274" customFormat="1" ht="18" hidden="1" customHeight="1" thickBot="1">
      <c r="A134" s="2500"/>
      <c r="B134" s="2503"/>
      <c r="C134" s="324"/>
      <c r="D134" s="325" t="s">
        <v>1195</v>
      </c>
      <c r="E134" s="2511"/>
      <c r="F134" s="329" t="s">
        <v>1193</v>
      </c>
      <c r="G134" s="329" t="str">
        <f>D134&amp;" | "&amp;F134</f>
        <v>PROPONENTE | DE</v>
      </c>
      <c r="H134" s="327">
        <f>($D130*H130-H132)</f>
        <v>0</v>
      </c>
      <c r="I134" s="327">
        <f t="shared" si="125"/>
        <v>0</v>
      </c>
      <c r="J134" s="327">
        <f t="shared" si="125"/>
        <v>0</v>
      </c>
      <c r="K134" s="327">
        <f t="shared" si="125"/>
        <v>0</v>
      </c>
      <c r="L134" s="327">
        <f t="shared" si="125"/>
        <v>0</v>
      </c>
      <c r="M134" s="327">
        <f t="shared" si="125"/>
        <v>0</v>
      </c>
      <c r="N134" s="327">
        <f t="shared" si="125"/>
        <v>0</v>
      </c>
      <c r="O134" s="327">
        <f t="shared" si="125"/>
        <v>0</v>
      </c>
      <c r="P134" s="327">
        <f t="shared" si="125"/>
        <v>0</v>
      </c>
      <c r="Q134" s="327">
        <f t="shared" si="125"/>
        <v>0</v>
      </c>
      <c r="R134" s="327">
        <f t="shared" si="125"/>
        <v>0</v>
      </c>
      <c r="S134" s="327">
        <f t="shared" si="125"/>
        <v>0</v>
      </c>
      <c r="T134" s="327">
        <f t="shared" si="125"/>
        <v>0</v>
      </c>
      <c r="U134" s="327">
        <f t="shared" si="125"/>
        <v>0</v>
      </c>
      <c r="V134" s="327">
        <f t="shared" si="125"/>
        <v>0</v>
      </c>
      <c r="W134" s="327">
        <f t="shared" si="125"/>
        <v>0</v>
      </c>
      <c r="X134" s="327">
        <f t="shared" si="125"/>
        <v>0</v>
      </c>
      <c r="Y134" s="327">
        <f t="shared" si="125"/>
        <v>0</v>
      </c>
      <c r="Z134" s="327">
        <f t="shared" si="125"/>
        <v>0</v>
      </c>
      <c r="AA134" s="327">
        <f t="shared" si="125"/>
        <v>0</v>
      </c>
      <c r="AB134" s="327">
        <f t="shared" si="125"/>
        <v>0</v>
      </c>
      <c r="AC134" s="327">
        <f t="shared" si="125"/>
        <v>0</v>
      </c>
      <c r="AD134" s="327">
        <f t="shared" si="125"/>
        <v>0</v>
      </c>
      <c r="AE134" s="327">
        <f t="shared" si="125"/>
        <v>0</v>
      </c>
      <c r="AF134" s="327">
        <f t="shared" si="125"/>
        <v>0</v>
      </c>
      <c r="AG134" s="327">
        <f t="shared" si="125"/>
        <v>0</v>
      </c>
      <c r="AH134" s="327">
        <f t="shared" si="125"/>
        <v>0</v>
      </c>
      <c r="AI134" s="327">
        <f t="shared" si="125"/>
        <v>0</v>
      </c>
      <c r="AJ134" s="327">
        <f t="shared" si="125"/>
        <v>0</v>
      </c>
      <c r="AK134" s="327">
        <f t="shared" si="125"/>
        <v>0</v>
      </c>
      <c r="AL134" s="327">
        <f t="shared" si="125"/>
        <v>0</v>
      </c>
      <c r="AM134" s="327">
        <f t="shared" si="125"/>
        <v>0</v>
      </c>
      <c r="AN134" s="327">
        <f t="shared" si="125"/>
        <v>0</v>
      </c>
      <c r="AO134" s="327">
        <f t="shared" si="125"/>
        <v>0</v>
      </c>
      <c r="AP134" s="327">
        <f t="shared" si="125"/>
        <v>0</v>
      </c>
      <c r="AQ134" s="327">
        <f t="shared" si="125"/>
        <v>0</v>
      </c>
      <c r="AR134" s="328">
        <f t="shared" si="120"/>
        <v>0</v>
      </c>
      <c r="AS134" s="321">
        <f>+D130-AR132-AR134</f>
        <v>0</v>
      </c>
      <c r="AW134" s="274" t="str">
        <f>IF(F134="","X",IF(AND(E133&gt;0),F134,"-"))</f>
        <v>-</v>
      </c>
      <c r="AX134" s="274" t="str">
        <f t="shared" ca="1" si="121"/>
        <v/>
      </c>
    </row>
    <row r="135" spans="1:50" s="274" customFormat="1" ht="9.9499999999999993" hidden="1" customHeight="1">
      <c r="A135" s="2498">
        <f ca="1">Orcamento!B35</f>
        <v>0</v>
      </c>
      <c r="B135" s="2501" t="str">
        <f>Orcamento!D35</f>
        <v>SINALIZAÇÃO VIÁRIA DEFINITIVA HORIZONTAL E VERTICAL E DISPOSITIVOS DE SEGURANÇA</v>
      </c>
      <c r="C135" s="305"/>
      <c r="D135" s="306"/>
      <c r="E135" s="307"/>
      <c r="F135" s="307"/>
      <c r="G135" s="307"/>
      <c r="H135" s="308">
        <f t="shared" ref="H135:AQ135" si="126">H136</f>
        <v>0</v>
      </c>
      <c r="I135" s="308">
        <f t="shared" si="126"/>
        <v>0</v>
      </c>
      <c r="J135" s="308">
        <f t="shared" si="126"/>
        <v>0</v>
      </c>
      <c r="K135" s="308">
        <f t="shared" si="126"/>
        <v>0</v>
      </c>
      <c r="L135" s="308">
        <f t="shared" si="126"/>
        <v>0</v>
      </c>
      <c r="M135" s="308">
        <f t="shared" si="126"/>
        <v>0</v>
      </c>
      <c r="N135" s="308">
        <f t="shared" si="126"/>
        <v>0</v>
      </c>
      <c r="O135" s="308">
        <f t="shared" si="126"/>
        <v>0</v>
      </c>
      <c r="P135" s="308">
        <f t="shared" si="126"/>
        <v>0</v>
      </c>
      <c r="Q135" s="308">
        <f t="shared" si="126"/>
        <v>0</v>
      </c>
      <c r="R135" s="308">
        <f t="shared" si="126"/>
        <v>0</v>
      </c>
      <c r="S135" s="308">
        <f t="shared" si="126"/>
        <v>0</v>
      </c>
      <c r="T135" s="308">
        <f t="shared" si="126"/>
        <v>0</v>
      </c>
      <c r="U135" s="308">
        <f t="shared" si="126"/>
        <v>0</v>
      </c>
      <c r="V135" s="308">
        <f t="shared" si="126"/>
        <v>0</v>
      </c>
      <c r="W135" s="308">
        <f t="shared" si="126"/>
        <v>0</v>
      </c>
      <c r="X135" s="308">
        <f t="shared" si="126"/>
        <v>0</v>
      </c>
      <c r="Y135" s="308">
        <f t="shared" si="126"/>
        <v>0</v>
      </c>
      <c r="Z135" s="308">
        <f t="shared" si="126"/>
        <v>0</v>
      </c>
      <c r="AA135" s="308">
        <f t="shared" si="126"/>
        <v>0</v>
      </c>
      <c r="AB135" s="308">
        <f t="shared" si="126"/>
        <v>0</v>
      </c>
      <c r="AC135" s="308">
        <f t="shared" si="126"/>
        <v>0</v>
      </c>
      <c r="AD135" s="308">
        <f t="shared" si="126"/>
        <v>0</v>
      </c>
      <c r="AE135" s="308">
        <f t="shared" si="126"/>
        <v>0</v>
      </c>
      <c r="AF135" s="308">
        <f t="shared" si="126"/>
        <v>0</v>
      </c>
      <c r="AG135" s="308">
        <f t="shared" si="126"/>
        <v>0</v>
      </c>
      <c r="AH135" s="308">
        <f t="shared" si="126"/>
        <v>0</v>
      </c>
      <c r="AI135" s="308">
        <f t="shared" si="126"/>
        <v>0</v>
      </c>
      <c r="AJ135" s="308">
        <f t="shared" si="126"/>
        <v>0</v>
      </c>
      <c r="AK135" s="308">
        <f t="shared" si="126"/>
        <v>0</v>
      </c>
      <c r="AL135" s="308">
        <f t="shared" si="126"/>
        <v>0</v>
      </c>
      <c r="AM135" s="308">
        <f t="shared" si="126"/>
        <v>0</v>
      </c>
      <c r="AN135" s="308">
        <f t="shared" si="126"/>
        <v>0</v>
      </c>
      <c r="AO135" s="308">
        <f t="shared" si="126"/>
        <v>0</v>
      </c>
      <c r="AP135" s="308">
        <f t="shared" si="126"/>
        <v>0</v>
      </c>
      <c r="AQ135" s="308">
        <f t="shared" si="126"/>
        <v>0</v>
      </c>
      <c r="AR135" s="309"/>
      <c r="AS135" s="310">
        <f>+D137-AR139-AR141</f>
        <v>0</v>
      </c>
      <c r="AW135" s="274" t="str">
        <f>IF(F135="","X",F135)</f>
        <v>X</v>
      </c>
      <c r="AX135" s="274" t="str">
        <f ca="1">IF($A$135=0,"","X")</f>
        <v/>
      </c>
    </row>
    <row r="136" spans="1:50" s="274" customFormat="1" ht="18" hidden="1" customHeight="1">
      <c r="A136" s="2499"/>
      <c r="B136" s="2502"/>
      <c r="C136" s="311" t="str">
        <f>CONCATENATE(Orcamento!K141," ",Orcamento!O141)</f>
        <v>0 5,79</v>
      </c>
      <c r="D136" s="2504">
        <f>Orcamento!S35</f>
        <v>0</v>
      </c>
      <c r="E136" s="2505"/>
      <c r="F136" s="312" t="s">
        <v>1192</v>
      </c>
      <c r="G136" s="312"/>
      <c r="H136" s="314"/>
      <c r="I136" s="314"/>
      <c r="J136" s="314"/>
      <c r="K136" s="314"/>
      <c r="L136" s="314"/>
      <c r="M136" s="314"/>
      <c r="N136" s="314"/>
      <c r="O136" s="314"/>
      <c r="P136" s="314"/>
      <c r="Q136" s="314"/>
      <c r="R136" s="314"/>
      <c r="S136" s="314"/>
      <c r="T136" s="314"/>
      <c r="U136" s="314"/>
      <c r="V136" s="314"/>
      <c r="W136" s="314"/>
      <c r="X136" s="314"/>
      <c r="Y136" s="314"/>
      <c r="Z136" s="314"/>
      <c r="AA136" s="314"/>
      <c r="AB136" s="314"/>
      <c r="AC136" s="314"/>
      <c r="AD136" s="314"/>
      <c r="AE136" s="314"/>
      <c r="AF136" s="314"/>
      <c r="AG136" s="314"/>
      <c r="AH136" s="314"/>
      <c r="AI136" s="314"/>
      <c r="AJ136" s="314"/>
      <c r="AK136" s="314"/>
      <c r="AL136" s="314"/>
      <c r="AM136" s="314"/>
      <c r="AN136" s="314"/>
      <c r="AO136" s="314"/>
      <c r="AP136" s="314"/>
      <c r="AQ136" s="314"/>
      <c r="AR136" s="315">
        <f t="shared" ref="AR136:AR141" si="127">SUM(H136:AQ136)</f>
        <v>0</v>
      </c>
      <c r="AS136" s="2506">
        <f>1-AR136</f>
        <v>1</v>
      </c>
      <c r="AU136" s="2507">
        <f>+COUNT(H136:AQ137)</f>
        <v>36</v>
      </c>
      <c r="AW136" s="274" t="str">
        <f>IF(F136="","X",F136)</f>
        <v>ND</v>
      </c>
      <c r="AX136" s="274" t="str">
        <f t="shared" ref="AX136:AX141" ca="1" si="128">IF($A$135=0,"","X")</f>
        <v/>
      </c>
    </row>
    <row r="137" spans="1:50" s="274" customFormat="1" ht="18" hidden="1" customHeight="1">
      <c r="A137" s="2499"/>
      <c r="B137" s="2502"/>
      <c r="C137" s="311" t="str">
        <f>CONCATENATE(Orcamento!K142," ",Orcamento!O142)</f>
        <v>0 96,11</v>
      </c>
      <c r="D137" s="2504">
        <f>Orcamento!T35</f>
        <v>0</v>
      </c>
      <c r="E137" s="2505"/>
      <c r="F137" s="316" t="s">
        <v>1193</v>
      </c>
      <c r="G137" s="316"/>
      <c r="H137" s="314">
        <f t="shared" ref="H137:AQ137" si="129">H136</f>
        <v>0</v>
      </c>
      <c r="I137" s="314">
        <f t="shared" si="129"/>
        <v>0</v>
      </c>
      <c r="J137" s="314">
        <f t="shared" si="129"/>
        <v>0</v>
      </c>
      <c r="K137" s="314">
        <f t="shared" si="129"/>
        <v>0</v>
      </c>
      <c r="L137" s="314">
        <f t="shared" si="129"/>
        <v>0</v>
      </c>
      <c r="M137" s="314">
        <f t="shared" si="129"/>
        <v>0</v>
      </c>
      <c r="N137" s="314">
        <f t="shared" si="129"/>
        <v>0</v>
      </c>
      <c r="O137" s="314">
        <f t="shared" si="129"/>
        <v>0</v>
      </c>
      <c r="P137" s="314">
        <f t="shared" si="129"/>
        <v>0</v>
      </c>
      <c r="Q137" s="314">
        <f t="shared" si="129"/>
        <v>0</v>
      </c>
      <c r="R137" s="314">
        <f t="shared" si="129"/>
        <v>0</v>
      </c>
      <c r="S137" s="314">
        <f t="shared" si="129"/>
        <v>0</v>
      </c>
      <c r="T137" s="314">
        <f t="shared" si="129"/>
        <v>0</v>
      </c>
      <c r="U137" s="314">
        <f t="shared" si="129"/>
        <v>0</v>
      </c>
      <c r="V137" s="314">
        <f t="shared" si="129"/>
        <v>0</v>
      </c>
      <c r="W137" s="314">
        <f t="shared" si="129"/>
        <v>0</v>
      </c>
      <c r="X137" s="314">
        <f t="shared" si="129"/>
        <v>0</v>
      </c>
      <c r="Y137" s="314">
        <f t="shared" si="129"/>
        <v>0</v>
      </c>
      <c r="Z137" s="314">
        <f t="shared" si="129"/>
        <v>0</v>
      </c>
      <c r="AA137" s="314">
        <f t="shared" si="129"/>
        <v>0</v>
      </c>
      <c r="AB137" s="314">
        <f t="shared" si="129"/>
        <v>0</v>
      </c>
      <c r="AC137" s="314">
        <f t="shared" si="129"/>
        <v>0</v>
      </c>
      <c r="AD137" s="314">
        <f t="shared" si="129"/>
        <v>0</v>
      </c>
      <c r="AE137" s="314">
        <f t="shared" si="129"/>
        <v>0</v>
      </c>
      <c r="AF137" s="314">
        <f t="shared" si="129"/>
        <v>0</v>
      </c>
      <c r="AG137" s="314">
        <f t="shared" si="129"/>
        <v>0</v>
      </c>
      <c r="AH137" s="314">
        <f t="shared" si="129"/>
        <v>0</v>
      </c>
      <c r="AI137" s="314">
        <f t="shared" si="129"/>
        <v>0</v>
      </c>
      <c r="AJ137" s="314">
        <f t="shared" si="129"/>
        <v>0</v>
      </c>
      <c r="AK137" s="314">
        <f t="shared" si="129"/>
        <v>0</v>
      </c>
      <c r="AL137" s="314">
        <f t="shared" si="129"/>
        <v>0</v>
      </c>
      <c r="AM137" s="314">
        <f t="shared" si="129"/>
        <v>0</v>
      </c>
      <c r="AN137" s="314">
        <f t="shared" si="129"/>
        <v>0</v>
      </c>
      <c r="AO137" s="314">
        <f t="shared" si="129"/>
        <v>0</v>
      </c>
      <c r="AP137" s="314">
        <f t="shared" si="129"/>
        <v>0</v>
      </c>
      <c r="AQ137" s="314">
        <f t="shared" si="129"/>
        <v>0</v>
      </c>
      <c r="AR137" s="315">
        <f t="shared" si="127"/>
        <v>0</v>
      </c>
      <c r="AS137" s="2506"/>
      <c r="AU137" s="2507"/>
      <c r="AW137" s="274" t="str">
        <f>IF(F137="","X",F137)</f>
        <v>DE</v>
      </c>
      <c r="AX137" s="274" t="str">
        <f t="shared" ca="1" si="128"/>
        <v/>
      </c>
    </row>
    <row r="138" spans="1:50" s="274" customFormat="1" ht="18" hidden="1" customHeight="1">
      <c r="A138" s="2499"/>
      <c r="B138" s="2502"/>
      <c r="C138" s="311"/>
      <c r="D138" s="317" t="s">
        <v>1194</v>
      </c>
      <c r="E138" s="2508">
        <f>$D$159</f>
        <v>1</v>
      </c>
      <c r="F138" s="318" t="s">
        <v>1192</v>
      </c>
      <c r="G138" s="318" t="str">
        <f>D138&amp;" | "&amp;F138</f>
        <v>CONCEDENTE | ND</v>
      </c>
      <c r="H138" s="319">
        <f t="shared" ref="H138:AQ138" si="130">IF($D136=0,0,IF(H136=0,0,($E138*$D136*H136)+$AU$163))</f>
        <v>0</v>
      </c>
      <c r="I138" s="319">
        <f t="shared" si="130"/>
        <v>0</v>
      </c>
      <c r="J138" s="319">
        <f t="shared" si="130"/>
        <v>0</v>
      </c>
      <c r="K138" s="319">
        <f t="shared" si="130"/>
        <v>0</v>
      </c>
      <c r="L138" s="319">
        <f t="shared" si="130"/>
        <v>0</v>
      </c>
      <c r="M138" s="319">
        <f t="shared" si="130"/>
        <v>0</v>
      </c>
      <c r="N138" s="319">
        <f t="shared" si="130"/>
        <v>0</v>
      </c>
      <c r="O138" s="319">
        <f t="shared" si="130"/>
        <v>0</v>
      </c>
      <c r="P138" s="319">
        <f t="shared" si="130"/>
        <v>0</v>
      </c>
      <c r="Q138" s="319">
        <f t="shared" si="130"/>
        <v>0</v>
      </c>
      <c r="R138" s="319">
        <f t="shared" si="130"/>
        <v>0</v>
      </c>
      <c r="S138" s="319">
        <f t="shared" si="130"/>
        <v>0</v>
      </c>
      <c r="T138" s="319">
        <f t="shared" si="130"/>
        <v>0</v>
      </c>
      <c r="U138" s="319">
        <f t="shared" si="130"/>
        <v>0</v>
      </c>
      <c r="V138" s="319">
        <f t="shared" si="130"/>
        <v>0</v>
      </c>
      <c r="W138" s="319">
        <f t="shared" si="130"/>
        <v>0</v>
      </c>
      <c r="X138" s="319">
        <f t="shared" si="130"/>
        <v>0</v>
      </c>
      <c r="Y138" s="319">
        <f t="shared" si="130"/>
        <v>0</v>
      </c>
      <c r="Z138" s="319">
        <f t="shared" si="130"/>
        <v>0</v>
      </c>
      <c r="AA138" s="319">
        <f t="shared" si="130"/>
        <v>0</v>
      </c>
      <c r="AB138" s="319">
        <f t="shared" si="130"/>
        <v>0</v>
      </c>
      <c r="AC138" s="319">
        <f t="shared" si="130"/>
        <v>0</v>
      </c>
      <c r="AD138" s="319">
        <f t="shared" si="130"/>
        <v>0</v>
      </c>
      <c r="AE138" s="319">
        <f t="shared" si="130"/>
        <v>0</v>
      </c>
      <c r="AF138" s="319">
        <f t="shared" si="130"/>
        <v>0</v>
      </c>
      <c r="AG138" s="319">
        <f t="shared" si="130"/>
        <v>0</v>
      </c>
      <c r="AH138" s="319">
        <f t="shared" si="130"/>
        <v>0</v>
      </c>
      <c r="AI138" s="319">
        <f t="shared" si="130"/>
        <v>0</v>
      </c>
      <c r="AJ138" s="319">
        <f t="shared" si="130"/>
        <v>0</v>
      </c>
      <c r="AK138" s="319">
        <f t="shared" si="130"/>
        <v>0</v>
      </c>
      <c r="AL138" s="319">
        <f t="shared" si="130"/>
        <v>0</v>
      </c>
      <c r="AM138" s="319">
        <f t="shared" si="130"/>
        <v>0</v>
      </c>
      <c r="AN138" s="319">
        <f t="shared" si="130"/>
        <v>0</v>
      </c>
      <c r="AO138" s="319">
        <f t="shared" si="130"/>
        <v>0</v>
      </c>
      <c r="AP138" s="319">
        <f t="shared" si="130"/>
        <v>0</v>
      </c>
      <c r="AQ138" s="319">
        <f t="shared" si="130"/>
        <v>0</v>
      </c>
      <c r="AR138" s="320">
        <f t="shared" si="127"/>
        <v>0</v>
      </c>
      <c r="AS138" s="321">
        <f>TRUNC(AR138-D136*E138,2)</f>
        <v>0</v>
      </c>
      <c r="AT138" s="322" t="e">
        <f>+AR138/D136</f>
        <v>#DIV/0!</v>
      </c>
      <c r="AW138" s="274" t="str">
        <f>IF(F138="","X",IF(AND(E138&gt;0),F138,"-"))</f>
        <v>ND</v>
      </c>
      <c r="AX138" s="274" t="str">
        <f t="shared" ca="1" si="128"/>
        <v/>
      </c>
    </row>
    <row r="139" spans="1:50" s="274" customFormat="1" ht="18" hidden="1" customHeight="1">
      <c r="A139" s="2499"/>
      <c r="B139" s="2502"/>
      <c r="C139" s="311"/>
      <c r="D139" s="317" t="s">
        <v>1194</v>
      </c>
      <c r="E139" s="2509"/>
      <c r="F139" s="323" t="s">
        <v>1193</v>
      </c>
      <c r="G139" s="323" t="str">
        <f>D139&amp;" | "&amp;F139</f>
        <v>CONCEDENTE | DE</v>
      </c>
      <c r="H139" s="319">
        <f t="shared" ref="H139:AQ139" si="131">IF($D137=0,0,IF(H137=0,0,($E138*$D137*H137)+$AU$163))</f>
        <v>0</v>
      </c>
      <c r="I139" s="319">
        <f t="shared" si="131"/>
        <v>0</v>
      </c>
      <c r="J139" s="319">
        <f t="shared" si="131"/>
        <v>0</v>
      </c>
      <c r="K139" s="319">
        <f t="shared" si="131"/>
        <v>0</v>
      </c>
      <c r="L139" s="319">
        <f t="shared" si="131"/>
        <v>0</v>
      </c>
      <c r="M139" s="319">
        <f t="shared" si="131"/>
        <v>0</v>
      </c>
      <c r="N139" s="319">
        <f t="shared" si="131"/>
        <v>0</v>
      </c>
      <c r="O139" s="319">
        <f t="shared" si="131"/>
        <v>0</v>
      </c>
      <c r="P139" s="319">
        <f t="shared" si="131"/>
        <v>0</v>
      </c>
      <c r="Q139" s="319">
        <f t="shared" si="131"/>
        <v>0</v>
      </c>
      <c r="R139" s="319">
        <f t="shared" si="131"/>
        <v>0</v>
      </c>
      <c r="S139" s="319">
        <f t="shared" si="131"/>
        <v>0</v>
      </c>
      <c r="T139" s="319">
        <f t="shared" si="131"/>
        <v>0</v>
      </c>
      <c r="U139" s="319">
        <f t="shared" si="131"/>
        <v>0</v>
      </c>
      <c r="V139" s="319">
        <f t="shared" si="131"/>
        <v>0</v>
      </c>
      <c r="W139" s="319">
        <f t="shared" si="131"/>
        <v>0</v>
      </c>
      <c r="X139" s="319">
        <f t="shared" si="131"/>
        <v>0</v>
      </c>
      <c r="Y139" s="319">
        <f t="shared" si="131"/>
        <v>0</v>
      </c>
      <c r="Z139" s="319">
        <f t="shared" si="131"/>
        <v>0</v>
      </c>
      <c r="AA139" s="319">
        <f t="shared" si="131"/>
        <v>0</v>
      </c>
      <c r="AB139" s="319">
        <f t="shared" si="131"/>
        <v>0</v>
      </c>
      <c r="AC139" s="319">
        <f t="shared" si="131"/>
        <v>0</v>
      </c>
      <c r="AD139" s="319">
        <f t="shared" si="131"/>
        <v>0</v>
      </c>
      <c r="AE139" s="319">
        <f t="shared" si="131"/>
        <v>0</v>
      </c>
      <c r="AF139" s="319">
        <f t="shared" si="131"/>
        <v>0</v>
      </c>
      <c r="AG139" s="319">
        <f t="shared" si="131"/>
        <v>0</v>
      </c>
      <c r="AH139" s="319">
        <f t="shared" si="131"/>
        <v>0</v>
      </c>
      <c r="AI139" s="319">
        <f t="shared" si="131"/>
        <v>0</v>
      </c>
      <c r="AJ139" s="319">
        <f t="shared" si="131"/>
        <v>0</v>
      </c>
      <c r="AK139" s="319">
        <f t="shared" si="131"/>
        <v>0</v>
      </c>
      <c r="AL139" s="319">
        <f t="shared" si="131"/>
        <v>0</v>
      </c>
      <c r="AM139" s="319">
        <f t="shared" si="131"/>
        <v>0</v>
      </c>
      <c r="AN139" s="319">
        <f t="shared" si="131"/>
        <v>0</v>
      </c>
      <c r="AO139" s="319">
        <f t="shared" si="131"/>
        <v>0</v>
      </c>
      <c r="AP139" s="319">
        <f t="shared" si="131"/>
        <v>0</v>
      </c>
      <c r="AQ139" s="319">
        <f t="shared" si="131"/>
        <v>0</v>
      </c>
      <c r="AR139" s="320">
        <f t="shared" si="127"/>
        <v>0</v>
      </c>
      <c r="AS139" s="321">
        <f>TRUNC(AR139-D137*E138,2)</f>
        <v>0</v>
      </c>
      <c r="AT139" s="322" t="e">
        <f>+AR139/D137</f>
        <v>#DIV/0!</v>
      </c>
      <c r="AW139" s="274" t="str">
        <f>IF(F139="","X",IF(AND(E138&gt;0),F139,"-"))</f>
        <v>DE</v>
      </c>
      <c r="AX139" s="274" t="str">
        <f t="shared" ca="1" si="128"/>
        <v/>
      </c>
    </row>
    <row r="140" spans="1:50" s="274" customFormat="1" ht="18" hidden="1" customHeight="1" thickBot="1">
      <c r="A140" s="2499"/>
      <c r="B140" s="2502"/>
      <c r="C140" s="324"/>
      <c r="D140" s="325" t="s">
        <v>1195</v>
      </c>
      <c r="E140" s="2510">
        <f>1-E138</f>
        <v>0</v>
      </c>
      <c r="F140" s="326" t="s">
        <v>1192</v>
      </c>
      <c r="G140" s="326" t="str">
        <f>D140&amp;" | "&amp;F140</f>
        <v>PROPONENTE | ND</v>
      </c>
      <c r="H140" s="327">
        <f>($D136*H136-H138)</f>
        <v>0</v>
      </c>
      <c r="I140" s="327">
        <f t="shared" ref="I140:AQ141" si="132">($D136*I136-I138)</f>
        <v>0</v>
      </c>
      <c r="J140" s="327">
        <f t="shared" si="132"/>
        <v>0</v>
      </c>
      <c r="K140" s="327">
        <f t="shared" si="132"/>
        <v>0</v>
      </c>
      <c r="L140" s="327">
        <f t="shared" si="132"/>
        <v>0</v>
      </c>
      <c r="M140" s="327">
        <f t="shared" si="132"/>
        <v>0</v>
      </c>
      <c r="N140" s="327">
        <f t="shared" si="132"/>
        <v>0</v>
      </c>
      <c r="O140" s="327">
        <f t="shared" si="132"/>
        <v>0</v>
      </c>
      <c r="P140" s="327">
        <f t="shared" si="132"/>
        <v>0</v>
      </c>
      <c r="Q140" s="327">
        <f t="shared" si="132"/>
        <v>0</v>
      </c>
      <c r="R140" s="327">
        <f t="shared" si="132"/>
        <v>0</v>
      </c>
      <c r="S140" s="327">
        <f t="shared" si="132"/>
        <v>0</v>
      </c>
      <c r="T140" s="327">
        <f t="shared" si="132"/>
        <v>0</v>
      </c>
      <c r="U140" s="327">
        <f t="shared" si="132"/>
        <v>0</v>
      </c>
      <c r="V140" s="327">
        <f t="shared" si="132"/>
        <v>0</v>
      </c>
      <c r="W140" s="327">
        <f t="shared" si="132"/>
        <v>0</v>
      </c>
      <c r="X140" s="327">
        <f t="shared" si="132"/>
        <v>0</v>
      </c>
      <c r="Y140" s="327">
        <f t="shared" si="132"/>
        <v>0</v>
      </c>
      <c r="Z140" s="327">
        <f t="shared" si="132"/>
        <v>0</v>
      </c>
      <c r="AA140" s="327">
        <f t="shared" si="132"/>
        <v>0</v>
      </c>
      <c r="AB140" s="327">
        <f t="shared" si="132"/>
        <v>0</v>
      </c>
      <c r="AC140" s="327">
        <f t="shared" si="132"/>
        <v>0</v>
      </c>
      <c r="AD140" s="327">
        <f t="shared" si="132"/>
        <v>0</v>
      </c>
      <c r="AE140" s="327">
        <f t="shared" si="132"/>
        <v>0</v>
      </c>
      <c r="AF140" s="327">
        <f t="shared" si="132"/>
        <v>0</v>
      </c>
      <c r="AG140" s="327">
        <f t="shared" si="132"/>
        <v>0</v>
      </c>
      <c r="AH140" s="327">
        <f t="shared" si="132"/>
        <v>0</v>
      </c>
      <c r="AI140" s="327">
        <f t="shared" si="132"/>
        <v>0</v>
      </c>
      <c r="AJ140" s="327">
        <f t="shared" si="132"/>
        <v>0</v>
      </c>
      <c r="AK140" s="327">
        <f t="shared" si="132"/>
        <v>0</v>
      </c>
      <c r="AL140" s="327">
        <f t="shared" si="132"/>
        <v>0</v>
      </c>
      <c r="AM140" s="327">
        <f t="shared" si="132"/>
        <v>0</v>
      </c>
      <c r="AN140" s="327">
        <f t="shared" si="132"/>
        <v>0</v>
      </c>
      <c r="AO140" s="327">
        <f t="shared" si="132"/>
        <v>0</v>
      </c>
      <c r="AP140" s="327">
        <f t="shared" si="132"/>
        <v>0</v>
      </c>
      <c r="AQ140" s="327">
        <f t="shared" si="132"/>
        <v>0</v>
      </c>
      <c r="AR140" s="328">
        <f t="shared" si="127"/>
        <v>0</v>
      </c>
      <c r="AS140" s="321">
        <f>+D136-AR138-AR140</f>
        <v>0</v>
      </c>
      <c r="AW140" s="274" t="str">
        <f>IF(F140="","X",IF(AND(E140&gt;0),F140,"-"))</f>
        <v>-</v>
      </c>
      <c r="AX140" s="274" t="str">
        <f t="shared" ca="1" si="128"/>
        <v/>
      </c>
    </row>
    <row r="141" spans="1:50" s="274" customFormat="1" ht="18" hidden="1" customHeight="1" thickBot="1">
      <c r="A141" s="2500"/>
      <c r="B141" s="2503"/>
      <c r="C141" s="324"/>
      <c r="D141" s="325" t="s">
        <v>1195</v>
      </c>
      <c r="E141" s="2511"/>
      <c r="F141" s="329" t="s">
        <v>1193</v>
      </c>
      <c r="G141" s="329" t="str">
        <f>D141&amp;" | "&amp;F141</f>
        <v>PROPONENTE | DE</v>
      </c>
      <c r="H141" s="327">
        <f>($D137*H137-H139)</f>
        <v>0</v>
      </c>
      <c r="I141" s="327">
        <f t="shared" si="132"/>
        <v>0</v>
      </c>
      <c r="J141" s="327">
        <f t="shared" si="132"/>
        <v>0</v>
      </c>
      <c r="K141" s="327">
        <f t="shared" si="132"/>
        <v>0</v>
      </c>
      <c r="L141" s="327">
        <f t="shared" si="132"/>
        <v>0</v>
      </c>
      <c r="M141" s="327">
        <f t="shared" si="132"/>
        <v>0</v>
      </c>
      <c r="N141" s="327">
        <f t="shared" si="132"/>
        <v>0</v>
      </c>
      <c r="O141" s="327">
        <f t="shared" si="132"/>
        <v>0</v>
      </c>
      <c r="P141" s="327">
        <f t="shared" si="132"/>
        <v>0</v>
      </c>
      <c r="Q141" s="327">
        <f t="shared" si="132"/>
        <v>0</v>
      </c>
      <c r="R141" s="327">
        <f t="shared" si="132"/>
        <v>0</v>
      </c>
      <c r="S141" s="327">
        <f t="shared" si="132"/>
        <v>0</v>
      </c>
      <c r="T141" s="327">
        <f t="shared" si="132"/>
        <v>0</v>
      </c>
      <c r="U141" s="327">
        <f t="shared" si="132"/>
        <v>0</v>
      </c>
      <c r="V141" s="327">
        <f t="shared" si="132"/>
        <v>0</v>
      </c>
      <c r="W141" s="327">
        <f t="shared" si="132"/>
        <v>0</v>
      </c>
      <c r="X141" s="327">
        <f t="shared" si="132"/>
        <v>0</v>
      </c>
      <c r="Y141" s="327">
        <f t="shared" si="132"/>
        <v>0</v>
      </c>
      <c r="Z141" s="327">
        <f t="shared" si="132"/>
        <v>0</v>
      </c>
      <c r="AA141" s="327">
        <f t="shared" si="132"/>
        <v>0</v>
      </c>
      <c r="AB141" s="327">
        <f t="shared" si="132"/>
        <v>0</v>
      </c>
      <c r="AC141" s="327">
        <f t="shared" si="132"/>
        <v>0</v>
      </c>
      <c r="AD141" s="327">
        <f t="shared" si="132"/>
        <v>0</v>
      </c>
      <c r="AE141" s="327">
        <f t="shared" si="132"/>
        <v>0</v>
      </c>
      <c r="AF141" s="327">
        <f t="shared" si="132"/>
        <v>0</v>
      </c>
      <c r="AG141" s="327">
        <f t="shared" si="132"/>
        <v>0</v>
      </c>
      <c r="AH141" s="327">
        <f t="shared" si="132"/>
        <v>0</v>
      </c>
      <c r="AI141" s="327">
        <f t="shared" si="132"/>
        <v>0</v>
      </c>
      <c r="AJ141" s="327">
        <f t="shared" si="132"/>
        <v>0</v>
      </c>
      <c r="AK141" s="327">
        <f t="shared" si="132"/>
        <v>0</v>
      </c>
      <c r="AL141" s="327">
        <f t="shared" si="132"/>
        <v>0</v>
      </c>
      <c r="AM141" s="327">
        <f t="shared" si="132"/>
        <v>0</v>
      </c>
      <c r="AN141" s="327">
        <f t="shared" si="132"/>
        <v>0</v>
      </c>
      <c r="AO141" s="327">
        <f t="shared" si="132"/>
        <v>0</v>
      </c>
      <c r="AP141" s="327">
        <f t="shared" si="132"/>
        <v>0</v>
      </c>
      <c r="AQ141" s="327">
        <f t="shared" si="132"/>
        <v>0</v>
      </c>
      <c r="AR141" s="328">
        <f t="shared" si="127"/>
        <v>0</v>
      </c>
      <c r="AS141" s="321">
        <f>+D137-AR139-AR141</f>
        <v>0</v>
      </c>
      <c r="AW141" s="274" t="str">
        <f>IF(F141="","X",IF(AND(E140&gt;0),F141,"-"))</f>
        <v>-</v>
      </c>
      <c r="AX141" s="274" t="str">
        <f t="shared" ca="1" si="128"/>
        <v/>
      </c>
    </row>
    <row r="142" spans="1:50" s="274" customFormat="1" ht="9.9499999999999993" customHeight="1">
      <c r="A142" s="2498">
        <f ca="1">Orcamento!B36</f>
        <v>3</v>
      </c>
      <c r="B142" s="2501" t="str">
        <f>Orcamento!D36</f>
        <v>ADMINISTRAÇÃO LOCAL</v>
      </c>
      <c r="C142" s="305"/>
      <c r="D142" s="306"/>
      <c r="E142" s="307"/>
      <c r="F142" s="307"/>
      <c r="G142" s="307"/>
      <c r="H142" s="308">
        <f t="shared" ref="H142:AQ142" si="133">H143</f>
        <v>0.08</v>
      </c>
      <c r="I142" s="308">
        <f t="shared" si="133"/>
        <v>0.09</v>
      </c>
      <c r="J142" s="308">
        <f t="shared" si="133"/>
        <v>0.08</v>
      </c>
      <c r="K142" s="308">
        <f t="shared" si="133"/>
        <v>0.09</v>
      </c>
      <c r="L142" s="308">
        <f t="shared" si="133"/>
        <v>0.08</v>
      </c>
      <c r="M142" s="308">
        <f t="shared" si="133"/>
        <v>0.09</v>
      </c>
      <c r="N142" s="308">
        <f t="shared" si="133"/>
        <v>0.08</v>
      </c>
      <c r="O142" s="308">
        <f t="shared" si="133"/>
        <v>0.09</v>
      </c>
      <c r="P142" s="308">
        <f t="shared" si="133"/>
        <v>0.08</v>
      </c>
      <c r="Q142" s="308">
        <f t="shared" si="133"/>
        <v>0.08</v>
      </c>
      <c r="R142" s="308">
        <f t="shared" si="133"/>
        <v>0.08</v>
      </c>
      <c r="S142" s="308">
        <f t="shared" si="133"/>
        <v>0.08</v>
      </c>
      <c r="T142" s="308">
        <f t="shared" si="133"/>
        <v>0</v>
      </c>
      <c r="U142" s="308">
        <f t="shared" si="133"/>
        <v>0</v>
      </c>
      <c r="V142" s="308">
        <f t="shared" si="133"/>
        <v>0</v>
      </c>
      <c r="W142" s="308">
        <f t="shared" si="133"/>
        <v>0</v>
      </c>
      <c r="X142" s="308">
        <f t="shared" si="133"/>
        <v>0</v>
      </c>
      <c r="Y142" s="308">
        <f t="shared" si="133"/>
        <v>0</v>
      </c>
      <c r="Z142" s="308">
        <f t="shared" si="133"/>
        <v>0</v>
      </c>
      <c r="AA142" s="308">
        <f t="shared" si="133"/>
        <v>0</v>
      </c>
      <c r="AB142" s="308">
        <f t="shared" si="133"/>
        <v>0</v>
      </c>
      <c r="AC142" s="308">
        <f t="shared" si="133"/>
        <v>0</v>
      </c>
      <c r="AD142" s="308">
        <f t="shared" si="133"/>
        <v>0</v>
      </c>
      <c r="AE142" s="308">
        <f t="shared" si="133"/>
        <v>0</v>
      </c>
      <c r="AF142" s="308">
        <f t="shared" si="133"/>
        <v>0</v>
      </c>
      <c r="AG142" s="308">
        <f t="shared" si="133"/>
        <v>0</v>
      </c>
      <c r="AH142" s="308">
        <f t="shared" si="133"/>
        <v>0</v>
      </c>
      <c r="AI142" s="308">
        <f t="shared" si="133"/>
        <v>0</v>
      </c>
      <c r="AJ142" s="308">
        <f t="shared" si="133"/>
        <v>0</v>
      </c>
      <c r="AK142" s="308">
        <f t="shared" si="133"/>
        <v>0</v>
      </c>
      <c r="AL142" s="308">
        <f t="shared" si="133"/>
        <v>0</v>
      </c>
      <c r="AM142" s="308">
        <f t="shared" si="133"/>
        <v>0</v>
      </c>
      <c r="AN142" s="308">
        <f t="shared" si="133"/>
        <v>0</v>
      </c>
      <c r="AO142" s="308">
        <f t="shared" si="133"/>
        <v>0</v>
      </c>
      <c r="AP142" s="308">
        <f t="shared" si="133"/>
        <v>0</v>
      </c>
      <c r="AQ142" s="308">
        <f t="shared" si="133"/>
        <v>0</v>
      </c>
      <c r="AR142" s="309"/>
      <c r="AS142" s="310">
        <f>+D144-AR146-AR148</f>
        <v>0</v>
      </c>
      <c r="AW142" s="274" t="str">
        <f>IF(F142="","X",F142)</f>
        <v>X</v>
      </c>
      <c r="AX142" s="274" t="str">
        <f ca="1">IF($A$142=0,"","X")</f>
        <v>X</v>
      </c>
    </row>
    <row r="143" spans="1:50" s="274" customFormat="1" ht="18" customHeight="1">
      <c r="A143" s="2499"/>
      <c r="B143" s="2502"/>
      <c r="C143" s="311" t="str">
        <f>CONCATENATE(Orcamento!K148," ",Orcamento!O148)</f>
        <v>0 41,89</v>
      </c>
      <c r="D143" s="2504">
        <f>Orcamento!S36</f>
        <v>100703.92</v>
      </c>
      <c r="E143" s="2505"/>
      <c r="F143" s="312" t="s">
        <v>1192</v>
      </c>
      <c r="G143" s="312"/>
      <c r="H143" s="313">
        <v>0.08</v>
      </c>
      <c r="I143" s="313">
        <v>0.09</v>
      </c>
      <c r="J143" s="313">
        <v>0.08</v>
      </c>
      <c r="K143" s="313">
        <v>0.09</v>
      </c>
      <c r="L143" s="313">
        <v>0.08</v>
      </c>
      <c r="M143" s="313">
        <v>0.09</v>
      </c>
      <c r="N143" s="313">
        <v>0.08</v>
      </c>
      <c r="O143" s="313">
        <v>0.09</v>
      </c>
      <c r="P143" s="313">
        <v>0.08</v>
      </c>
      <c r="Q143" s="313">
        <v>0.08</v>
      </c>
      <c r="R143" s="313">
        <v>0.08</v>
      </c>
      <c r="S143" s="313">
        <v>0.08</v>
      </c>
      <c r="T143" s="314"/>
      <c r="U143" s="314"/>
      <c r="V143" s="314"/>
      <c r="W143" s="314"/>
      <c r="X143" s="314"/>
      <c r="Y143" s="314"/>
      <c r="Z143" s="314"/>
      <c r="AA143" s="314"/>
      <c r="AB143" s="314"/>
      <c r="AC143" s="314"/>
      <c r="AD143" s="314"/>
      <c r="AE143" s="314"/>
      <c r="AF143" s="314"/>
      <c r="AG143" s="314"/>
      <c r="AH143" s="314"/>
      <c r="AI143" s="314"/>
      <c r="AJ143" s="314"/>
      <c r="AK143" s="314"/>
      <c r="AL143" s="314"/>
      <c r="AM143" s="314"/>
      <c r="AN143" s="314"/>
      <c r="AO143" s="314"/>
      <c r="AP143" s="314"/>
      <c r="AQ143" s="314"/>
      <c r="AR143" s="315">
        <f t="shared" ref="AR143:AR148" si="134">SUM(H143:AQ143)</f>
        <v>0.99999999999999978</v>
      </c>
      <c r="AS143" s="2506">
        <f>1-AR143</f>
        <v>0</v>
      </c>
      <c r="AU143" s="2507">
        <f>+COUNT(H143:AQ144)</f>
        <v>48</v>
      </c>
      <c r="AW143" s="274" t="str">
        <f>IF(F143="","X",F143)</f>
        <v>ND</v>
      </c>
      <c r="AX143" s="274" t="str">
        <f t="shared" ref="AX143:AX148" ca="1" si="135">IF($A$142=0,"","X")</f>
        <v>X</v>
      </c>
    </row>
    <row r="144" spans="1:50" s="274" customFormat="1" ht="18" hidden="1" customHeight="1">
      <c r="A144" s="2499"/>
      <c r="B144" s="2502"/>
      <c r="C144" s="311" t="str">
        <f>CONCATENATE(Orcamento!K149," ",Orcamento!O149)</f>
        <v>0 54,21</v>
      </c>
      <c r="D144" s="2504">
        <f>Orcamento!T36</f>
        <v>337648.59</v>
      </c>
      <c r="E144" s="2505"/>
      <c r="F144" s="316" t="s">
        <v>1193</v>
      </c>
      <c r="G144" s="316"/>
      <c r="H144" s="314">
        <f t="shared" ref="H144:AQ144" si="136">H143</f>
        <v>0.08</v>
      </c>
      <c r="I144" s="314">
        <f t="shared" si="136"/>
        <v>0.09</v>
      </c>
      <c r="J144" s="314">
        <f t="shared" si="136"/>
        <v>0.08</v>
      </c>
      <c r="K144" s="314">
        <f t="shared" si="136"/>
        <v>0.09</v>
      </c>
      <c r="L144" s="314">
        <f t="shared" si="136"/>
        <v>0.08</v>
      </c>
      <c r="M144" s="314">
        <f t="shared" si="136"/>
        <v>0.09</v>
      </c>
      <c r="N144" s="314">
        <f t="shared" si="136"/>
        <v>0.08</v>
      </c>
      <c r="O144" s="314">
        <f t="shared" si="136"/>
        <v>0.09</v>
      </c>
      <c r="P144" s="314">
        <f t="shared" si="136"/>
        <v>0.08</v>
      </c>
      <c r="Q144" s="314">
        <f t="shared" si="136"/>
        <v>0.08</v>
      </c>
      <c r="R144" s="314">
        <f t="shared" si="136"/>
        <v>0.08</v>
      </c>
      <c r="S144" s="314">
        <f t="shared" si="136"/>
        <v>0.08</v>
      </c>
      <c r="T144" s="314">
        <f t="shared" si="136"/>
        <v>0</v>
      </c>
      <c r="U144" s="314">
        <f t="shared" si="136"/>
        <v>0</v>
      </c>
      <c r="V144" s="314">
        <f t="shared" si="136"/>
        <v>0</v>
      </c>
      <c r="W144" s="314">
        <f t="shared" si="136"/>
        <v>0</v>
      </c>
      <c r="X144" s="314">
        <f t="shared" si="136"/>
        <v>0</v>
      </c>
      <c r="Y144" s="314">
        <f t="shared" si="136"/>
        <v>0</v>
      </c>
      <c r="Z144" s="314">
        <f t="shared" si="136"/>
        <v>0</v>
      </c>
      <c r="AA144" s="314">
        <f t="shared" si="136"/>
        <v>0</v>
      </c>
      <c r="AB144" s="314">
        <f t="shared" si="136"/>
        <v>0</v>
      </c>
      <c r="AC144" s="314">
        <f t="shared" si="136"/>
        <v>0</v>
      </c>
      <c r="AD144" s="314">
        <f t="shared" si="136"/>
        <v>0</v>
      </c>
      <c r="AE144" s="314">
        <f t="shared" si="136"/>
        <v>0</v>
      </c>
      <c r="AF144" s="314">
        <f t="shared" si="136"/>
        <v>0</v>
      </c>
      <c r="AG144" s="314">
        <f t="shared" si="136"/>
        <v>0</v>
      </c>
      <c r="AH144" s="314">
        <f t="shared" si="136"/>
        <v>0</v>
      </c>
      <c r="AI144" s="314">
        <f t="shared" si="136"/>
        <v>0</v>
      </c>
      <c r="AJ144" s="314">
        <f t="shared" si="136"/>
        <v>0</v>
      </c>
      <c r="AK144" s="314">
        <f t="shared" si="136"/>
        <v>0</v>
      </c>
      <c r="AL144" s="314">
        <f t="shared" si="136"/>
        <v>0</v>
      </c>
      <c r="AM144" s="314">
        <f t="shared" si="136"/>
        <v>0</v>
      </c>
      <c r="AN144" s="314">
        <f t="shared" si="136"/>
        <v>0</v>
      </c>
      <c r="AO144" s="314">
        <f t="shared" si="136"/>
        <v>0</v>
      </c>
      <c r="AP144" s="314">
        <f t="shared" si="136"/>
        <v>0</v>
      </c>
      <c r="AQ144" s="314">
        <f t="shared" si="136"/>
        <v>0</v>
      </c>
      <c r="AR144" s="315">
        <f t="shared" si="134"/>
        <v>0.99999999999999978</v>
      </c>
      <c r="AS144" s="2506"/>
      <c r="AU144" s="2507"/>
      <c r="AW144" s="274" t="str">
        <f>IF(F144="","X",F144)</f>
        <v>DE</v>
      </c>
      <c r="AX144" s="274" t="str">
        <f t="shared" ca="1" si="135"/>
        <v>X</v>
      </c>
    </row>
    <row r="145" spans="1:50" s="274" customFormat="1" ht="18" customHeight="1" thickBot="1">
      <c r="A145" s="2499"/>
      <c r="B145" s="2502"/>
      <c r="C145" s="311"/>
      <c r="D145" s="317" t="s">
        <v>1194</v>
      </c>
      <c r="E145" s="2508">
        <f>$D$159</f>
        <v>1</v>
      </c>
      <c r="F145" s="318" t="s">
        <v>1192</v>
      </c>
      <c r="G145" s="318" t="str">
        <f>D145&amp;" | "&amp;F145</f>
        <v>CONCEDENTE | ND</v>
      </c>
      <c r="H145" s="319">
        <f t="shared" ref="H145:AQ145" si="137">IF($D143=0,0,IF(H143=0,0,($E145*$D143*H143)+$AU$163))</f>
        <v>8056.3136000000004</v>
      </c>
      <c r="I145" s="319">
        <f t="shared" si="137"/>
        <v>9063.3527999999988</v>
      </c>
      <c r="J145" s="319">
        <f t="shared" si="137"/>
        <v>8056.3136000000004</v>
      </c>
      <c r="K145" s="319">
        <f t="shared" si="137"/>
        <v>9063.3527999999988</v>
      </c>
      <c r="L145" s="319">
        <f t="shared" si="137"/>
        <v>8056.3136000000004</v>
      </c>
      <c r="M145" s="319">
        <f t="shared" si="137"/>
        <v>9063.3527999999988</v>
      </c>
      <c r="N145" s="319">
        <f t="shared" si="137"/>
        <v>8056.3136000000004</v>
      </c>
      <c r="O145" s="319">
        <f t="shared" si="137"/>
        <v>9063.3527999999988</v>
      </c>
      <c r="P145" s="319">
        <f t="shared" si="137"/>
        <v>8056.3136000000004</v>
      </c>
      <c r="Q145" s="319">
        <f t="shared" si="137"/>
        <v>8056.3136000000004</v>
      </c>
      <c r="R145" s="319">
        <f t="shared" si="137"/>
        <v>8056.3136000000004</v>
      </c>
      <c r="S145" s="319">
        <f t="shared" si="137"/>
        <v>8056.3136000000004</v>
      </c>
      <c r="T145" s="319">
        <f t="shared" si="137"/>
        <v>0</v>
      </c>
      <c r="U145" s="319">
        <f t="shared" si="137"/>
        <v>0</v>
      </c>
      <c r="V145" s="319">
        <f t="shared" si="137"/>
        <v>0</v>
      </c>
      <c r="W145" s="319">
        <f t="shared" si="137"/>
        <v>0</v>
      </c>
      <c r="X145" s="319">
        <f t="shared" si="137"/>
        <v>0</v>
      </c>
      <c r="Y145" s="319">
        <f t="shared" si="137"/>
        <v>0</v>
      </c>
      <c r="Z145" s="319">
        <f t="shared" si="137"/>
        <v>0</v>
      </c>
      <c r="AA145" s="319">
        <f t="shared" si="137"/>
        <v>0</v>
      </c>
      <c r="AB145" s="319">
        <f t="shared" si="137"/>
        <v>0</v>
      </c>
      <c r="AC145" s="319">
        <f t="shared" si="137"/>
        <v>0</v>
      </c>
      <c r="AD145" s="319">
        <f t="shared" si="137"/>
        <v>0</v>
      </c>
      <c r="AE145" s="319">
        <f t="shared" si="137"/>
        <v>0</v>
      </c>
      <c r="AF145" s="319">
        <f t="shared" si="137"/>
        <v>0</v>
      </c>
      <c r="AG145" s="319">
        <f t="shared" si="137"/>
        <v>0</v>
      </c>
      <c r="AH145" s="319">
        <f t="shared" si="137"/>
        <v>0</v>
      </c>
      <c r="AI145" s="319">
        <f t="shared" si="137"/>
        <v>0</v>
      </c>
      <c r="AJ145" s="319">
        <f t="shared" si="137"/>
        <v>0</v>
      </c>
      <c r="AK145" s="319">
        <f t="shared" si="137"/>
        <v>0</v>
      </c>
      <c r="AL145" s="319">
        <f t="shared" si="137"/>
        <v>0</v>
      </c>
      <c r="AM145" s="319">
        <f t="shared" si="137"/>
        <v>0</v>
      </c>
      <c r="AN145" s="319">
        <f t="shared" si="137"/>
        <v>0</v>
      </c>
      <c r="AO145" s="319">
        <f t="shared" si="137"/>
        <v>0</v>
      </c>
      <c r="AP145" s="319">
        <f t="shared" si="137"/>
        <v>0</v>
      </c>
      <c r="AQ145" s="319">
        <f t="shared" si="137"/>
        <v>0</v>
      </c>
      <c r="AR145" s="320">
        <f t="shared" si="134"/>
        <v>100703.91999999997</v>
      </c>
      <c r="AS145" s="321">
        <f>TRUNC(AR145-D143*E145,2)</f>
        <v>0</v>
      </c>
      <c r="AT145" s="322">
        <f>+AR145/D143</f>
        <v>0.99999999999999967</v>
      </c>
      <c r="AW145" s="274" t="str">
        <f>IF(F145="","X",IF(AND(E145&gt;0),F145,"-"))</f>
        <v>ND</v>
      </c>
      <c r="AX145" s="274" t="str">
        <f t="shared" ca="1" si="135"/>
        <v>X</v>
      </c>
    </row>
    <row r="146" spans="1:50" s="274" customFormat="1" ht="18" hidden="1" customHeight="1">
      <c r="A146" s="2499"/>
      <c r="B146" s="2502"/>
      <c r="C146" s="311"/>
      <c r="D146" s="317" t="s">
        <v>1194</v>
      </c>
      <c r="E146" s="2509"/>
      <c r="F146" s="323" t="s">
        <v>1193</v>
      </c>
      <c r="G146" s="323" t="str">
        <f>D146&amp;" | "&amp;F146</f>
        <v>CONCEDENTE | DE</v>
      </c>
      <c r="H146" s="319">
        <f t="shared" ref="H146:AQ146" si="138">IF($D144=0,0,IF(H144=0,0,($E145*$D144*H144)+$AU$163))</f>
        <v>27011.887200000001</v>
      </c>
      <c r="I146" s="319">
        <f t="shared" si="138"/>
        <v>30388.373100000001</v>
      </c>
      <c r="J146" s="319">
        <f t="shared" si="138"/>
        <v>27011.887200000001</v>
      </c>
      <c r="K146" s="319">
        <f t="shared" si="138"/>
        <v>30388.373100000001</v>
      </c>
      <c r="L146" s="319">
        <f t="shared" si="138"/>
        <v>27011.887200000001</v>
      </c>
      <c r="M146" s="319">
        <f t="shared" si="138"/>
        <v>30388.373100000001</v>
      </c>
      <c r="N146" s="319">
        <f t="shared" si="138"/>
        <v>27011.887200000001</v>
      </c>
      <c r="O146" s="319">
        <f t="shared" si="138"/>
        <v>30388.373100000001</v>
      </c>
      <c r="P146" s="319">
        <f t="shared" si="138"/>
        <v>27011.887200000001</v>
      </c>
      <c r="Q146" s="319">
        <f t="shared" si="138"/>
        <v>27011.887200000001</v>
      </c>
      <c r="R146" s="319">
        <f t="shared" si="138"/>
        <v>27011.887200000001</v>
      </c>
      <c r="S146" s="319">
        <f t="shared" si="138"/>
        <v>27011.887200000001</v>
      </c>
      <c r="T146" s="319">
        <f t="shared" si="138"/>
        <v>0</v>
      </c>
      <c r="U146" s="319">
        <f t="shared" si="138"/>
        <v>0</v>
      </c>
      <c r="V146" s="319">
        <f t="shared" si="138"/>
        <v>0</v>
      </c>
      <c r="W146" s="319">
        <f t="shared" si="138"/>
        <v>0</v>
      </c>
      <c r="X146" s="319">
        <f t="shared" si="138"/>
        <v>0</v>
      </c>
      <c r="Y146" s="319">
        <f t="shared" si="138"/>
        <v>0</v>
      </c>
      <c r="Z146" s="319">
        <f t="shared" si="138"/>
        <v>0</v>
      </c>
      <c r="AA146" s="319">
        <f t="shared" si="138"/>
        <v>0</v>
      </c>
      <c r="AB146" s="319">
        <f t="shared" si="138"/>
        <v>0</v>
      </c>
      <c r="AC146" s="319">
        <f t="shared" si="138"/>
        <v>0</v>
      </c>
      <c r="AD146" s="319">
        <f t="shared" si="138"/>
        <v>0</v>
      </c>
      <c r="AE146" s="319">
        <f t="shared" si="138"/>
        <v>0</v>
      </c>
      <c r="AF146" s="319">
        <f t="shared" si="138"/>
        <v>0</v>
      </c>
      <c r="AG146" s="319">
        <f t="shared" si="138"/>
        <v>0</v>
      </c>
      <c r="AH146" s="319">
        <f t="shared" si="138"/>
        <v>0</v>
      </c>
      <c r="AI146" s="319">
        <f t="shared" si="138"/>
        <v>0</v>
      </c>
      <c r="AJ146" s="319">
        <f t="shared" si="138"/>
        <v>0</v>
      </c>
      <c r="AK146" s="319">
        <f t="shared" si="138"/>
        <v>0</v>
      </c>
      <c r="AL146" s="319">
        <f t="shared" si="138"/>
        <v>0</v>
      </c>
      <c r="AM146" s="319">
        <f t="shared" si="138"/>
        <v>0</v>
      </c>
      <c r="AN146" s="319">
        <f t="shared" si="138"/>
        <v>0</v>
      </c>
      <c r="AO146" s="319">
        <f t="shared" si="138"/>
        <v>0</v>
      </c>
      <c r="AP146" s="319">
        <f t="shared" si="138"/>
        <v>0</v>
      </c>
      <c r="AQ146" s="319">
        <f t="shared" si="138"/>
        <v>0</v>
      </c>
      <c r="AR146" s="320">
        <f t="shared" si="134"/>
        <v>337648.59</v>
      </c>
      <c r="AS146" s="321">
        <f>TRUNC(AR146-D144*E145,2)</f>
        <v>0</v>
      </c>
      <c r="AT146" s="322">
        <f>+AR146/D144</f>
        <v>1</v>
      </c>
      <c r="AW146" s="274" t="str">
        <f>IF(F146="","X",IF(AND(E145&gt;0),F146,"-"))</f>
        <v>DE</v>
      </c>
      <c r="AX146" s="274" t="str">
        <f t="shared" ca="1" si="135"/>
        <v>X</v>
      </c>
    </row>
    <row r="147" spans="1:50" s="274" customFormat="1" ht="18" hidden="1" customHeight="1" thickBot="1">
      <c r="A147" s="2499"/>
      <c r="B147" s="2502"/>
      <c r="C147" s="324"/>
      <c r="D147" s="325" t="s">
        <v>1195</v>
      </c>
      <c r="E147" s="2510">
        <f>1-E145</f>
        <v>0</v>
      </c>
      <c r="F147" s="326" t="s">
        <v>1192</v>
      </c>
      <c r="G147" s="326" t="str">
        <f>D147&amp;" | "&amp;F147</f>
        <v>PROPONENTE | ND</v>
      </c>
      <c r="H147" s="327">
        <f>($D143*H143-H145)</f>
        <v>0</v>
      </c>
      <c r="I147" s="327">
        <f t="shared" ref="I147:AQ148" si="139">($D143*I143-I145)</f>
        <v>0</v>
      </c>
      <c r="J147" s="327">
        <f t="shared" si="139"/>
        <v>0</v>
      </c>
      <c r="K147" s="327">
        <f t="shared" si="139"/>
        <v>0</v>
      </c>
      <c r="L147" s="327">
        <f t="shared" si="139"/>
        <v>0</v>
      </c>
      <c r="M147" s="327">
        <f t="shared" si="139"/>
        <v>0</v>
      </c>
      <c r="N147" s="327">
        <f t="shared" si="139"/>
        <v>0</v>
      </c>
      <c r="O147" s="327">
        <f t="shared" si="139"/>
        <v>0</v>
      </c>
      <c r="P147" s="327">
        <f t="shared" si="139"/>
        <v>0</v>
      </c>
      <c r="Q147" s="327">
        <f t="shared" si="139"/>
        <v>0</v>
      </c>
      <c r="R147" s="327">
        <f t="shared" si="139"/>
        <v>0</v>
      </c>
      <c r="S147" s="327">
        <f t="shared" si="139"/>
        <v>0</v>
      </c>
      <c r="T147" s="327">
        <f t="shared" si="139"/>
        <v>0</v>
      </c>
      <c r="U147" s="327">
        <f t="shared" si="139"/>
        <v>0</v>
      </c>
      <c r="V147" s="327">
        <f t="shared" si="139"/>
        <v>0</v>
      </c>
      <c r="W147" s="327">
        <f t="shared" si="139"/>
        <v>0</v>
      </c>
      <c r="X147" s="327">
        <f t="shared" si="139"/>
        <v>0</v>
      </c>
      <c r="Y147" s="327">
        <f t="shared" si="139"/>
        <v>0</v>
      </c>
      <c r="Z147" s="327">
        <f t="shared" si="139"/>
        <v>0</v>
      </c>
      <c r="AA147" s="327">
        <f t="shared" si="139"/>
        <v>0</v>
      </c>
      <c r="AB147" s="327">
        <f t="shared" si="139"/>
        <v>0</v>
      </c>
      <c r="AC147" s="327">
        <f t="shared" si="139"/>
        <v>0</v>
      </c>
      <c r="AD147" s="327">
        <f t="shared" si="139"/>
        <v>0</v>
      </c>
      <c r="AE147" s="327">
        <f t="shared" si="139"/>
        <v>0</v>
      </c>
      <c r="AF147" s="327">
        <f t="shared" si="139"/>
        <v>0</v>
      </c>
      <c r="AG147" s="327">
        <f t="shared" si="139"/>
        <v>0</v>
      </c>
      <c r="AH147" s="327">
        <f t="shared" si="139"/>
        <v>0</v>
      </c>
      <c r="AI147" s="327">
        <f t="shared" si="139"/>
        <v>0</v>
      </c>
      <c r="AJ147" s="327">
        <f t="shared" si="139"/>
        <v>0</v>
      </c>
      <c r="AK147" s="327">
        <f t="shared" si="139"/>
        <v>0</v>
      </c>
      <c r="AL147" s="327">
        <f t="shared" si="139"/>
        <v>0</v>
      </c>
      <c r="AM147" s="327">
        <f t="shared" si="139"/>
        <v>0</v>
      </c>
      <c r="AN147" s="327">
        <f t="shared" si="139"/>
        <v>0</v>
      </c>
      <c r="AO147" s="327">
        <f t="shared" si="139"/>
        <v>0</v>
      </c>
      <c r="AP147" s="327">
        <f t="shared" si="139"/>
        <v>0</v>
      </c>
      <c r="AQ147" s="327">
        <f t="shared" si="139"/>
        <v>0</v>
      </c>
      <c r="AR147" s="328">
        <f t="shared" si="134"/>
        <v>0</v>
      </c>
      <c r="AS147" s="321">
        <f>+D143-AR145-AR147</f>
        <v>2.9103830456733704E-11</v>
      </c>
      <c r="AW147" s="274" t="str">
        <f>IF(F147="","X",IF(AND(E147&gt;0),F147,"-"))</f>
        <v>-</v>
      </c>
      <c r="AX147" s="274" t="str">
        <f t="shared" ca="1" si="135"/>
        <v>X</v>
      </c>
    </row>
    <row r="148" spans="1:50" s="274" customFormat="1" ht="18" hidden="1" customHeight="1" thickBot="1">
      <c r="A148" s="2500"/>
      <c r="B148" s="2503"/>
      <c r="C148" s="324"/>
      <c r="D148" s="325" t="s">
        <v>1195</v>
      </c>
      <c r="E148" s="2511"/>
      <c r="F148" s="329" t="s">
        <v>1193</v>
      </c>
      <c r="G148" s="329" t="str">
        <f>D148&amp;" | "&amp;F148</f>
        <v>PROPONENTE | DE</v>
      </c>
      <c r="H148" s="327">
        <f>($D144*H144-H146)</f>
        <v>0</v>
      </c>
      <c r="I148" s="327">
        <f t="shared" si="139"/>
        <v>0</v>
      </c>
      <c r="J148" s="327">
        <f t="shared" si="139"/>
        <v>0</v>
      </c>
      <c r="K148" s="327">
        <f t="shared" si="139"/>
        <v>0</v>
      </c>
      <c r="L148" s="327">
        <f t="shared" si="139"/>
        <v>0</v>
      </c>
      <c r="M148" s="327">
        <f t="shared" si="139"/>
        <v>0</v>
      </c>
      <c r="N148" s="327">
        <f t="shared" si="139"/>
        <v>0</v>
      </c>
      <c r="O148" s="327">
        <f t="shared" si="139"/>
        <v>0</v>
      </c>
      <c r="P148" s="327">
        <f t="shared" si="139"/>
        <v>0</v>
      </c>
      <c r="Q148" s="327">
        <f t="shared" si="139"/>
        <v>0</v>
      </c>
      <c r="R148" s="327">
        <f t="shared" si="139"/>
        <v>0</v>
      </c>
      <c r="S148" s="327">
        <f t="shared" si="139"/>
        <v>0</v>
      </c>
      <c r="T148" s="327">
        <f t="shared" si="139"/>
        <v>0</v>
      </c>
      <c r="U148" s="327">
        <f t="shared" si="139"/>
        <v>0</v>
      </c>
      <c r="V148" s="327">
        <f t="shared" si="139"/>
        <v>0</v>
      </c>
      <c r="W148" s="327">
        <f t="shared" si="139"/>
        <v>0</v>
      </c>
      <c r="X148" s="327">
        <f t="shared" si="139"/>
        <v>0</v>
      </c>
      <c r="Y148" s="327">
        <f t="shared" si="139"/>
        <v>0</v>
      </c>
      <c r="Z148" s="327">
        <f t="shared" si="139"/>
        <v>0</v>
      </c>
      <c r="AA148" s="327">
        <f t="shared" si="139"/>
        <v>0</v>
      </c>
      <c r="AB148" s="327">
        <f t="shared" si="139"/>
        <v>0</v>
      </c>
      <c r="AC148" s="327">
        <f t="shared" si="139"/>
        <v>0</v>
      </c>
      <c r="AD148" s="327">
        <f t="shared" si="139"/>
        <v>0</v>
      </c>
      <c r="AE148" s="327">
        <f t="shared" si="139"/>
        <v>0</v>
      </c>
      <c r="AF148" s="327">
        <f t="shared" si="139"/>
        <v>0</v>
      </c>
      <c r="AG148" s="327">
        <f t="shared" si="139"/>
        <v>0</v>
      </c>
      <c r="AH148" s="327">
        <f t="shared" si="139"/>
        <v>0</v>
      </c>
      <c r="AI148" s="327">
        <f t="shared" si="139"/>
        <v>0</v>
      </c>
      <c r="AJ148" s="327">
        <f t="shared" si="139"/>
        <v>0</v>
      </c>
      <c r="AK148" s="327">
        <f t="shared" si="139"/>
        <v>0</v>
      </c>
      <c r="AL148" s="327">
        <f t="shared" si="139"/>
        <v>0</v>
      </c>
      <c r="AM148" s="327">
        <f t="shared" si="139"/>
        <v>0</v>
      </c>
      <c r="AN148" s="327">
        <f t="shared" si="139"/>
        <v>0</v>
      </c>
      <c r="AO148" s="327">
        <f t="shared" si="139"/>
        <v>0</v>
      </c>
      <c r="AP148" s="327">
        <f t="shared" si="139"/>
        <v>0</v>
      </c>
      <c r="AQ148" s="327">
        <f t="shared" si="139"/>
        <v>0</v>
      </c>
      <c r="AR148" s="328">
        <f t="shared" si="134"/>
        <v>0</v>
      </c>
      <c r="AS148" s="321">
        <f>+D144-AR146-AR148</f>
        <v>0</v>
      </c>
      <c r="AW148" s="274" t="str">
        <f>IF(F148="","X",IF(AND(E147&gt;0),F148,"-"))</f>
        <v>-</v>
      </c>
      <c r="AX148" s="274" t="str">
        <f t="shared" ca="1" si="135"/>
        <v>X</v>
      </c>
    </row>
    <row r="149" spans="1:50" s="274" customFormat="1" ht="9.9499999999999993" hidden="1" customHeight="1">
      <c r="A149" s="2498">
        <f ca="1">Orcamento!B37</f>
        <v>0</v>
      </c>
      <c r="B149" s="2501" t="str">
        <f>Orcamento!D37</f>
        <v>SERVIÇOS DE ENGENHARIA</v>
      </c>
      <c r="C149" s="305"/>
      <c r="D149" s="306"/>
      <c r="E149" s="307"/>
      <c r="F149" s="307"/>
      <c r="G149" s="307"/>
      <c r="H149" s="308">
        <f t="shared" ref="H149:AQ149" si="140">H150</f>
        <v>0</v>
      </c>
      <c r="I149" s="308">
        <f t="shared" si="140"/>
        <v>0</v>
      </c>
      <c r="J149" s="308">
        <f t="shared" si="140"/>
        <v>0</v>
      </c>
      <c r="K149" s="308">
        <f t="shared" si="140"/>
        <v>0</v>
      </c>
      <c r="L149" s="308">
        <f t="shared" si="140"/>
        <v>0</v>
      </c>
      <c r="M149" s="308">
        <f t="shared" si="140"/>
        <v>0</v>
      </c>
      <c r="N149" s="308">
        <f t="shared" si="140"/>
        <v>0</v>
      </c>
      <c r="O149" s="308">
        <f t="shared" si="140"/>
        <v>0</v>
      </c>
      <c r="P149" s="308">
        <f t="shared" si="140"/>
        <v>0</v>
      </c>
      <c r="Q149" s="308">
        <f t="shared" si="140"/>
        <v>0</v>
      </c>
      <c r="R149" s="308">
        <f t="shared" si="140"/>
        <v>0</v>
      </c>
      <c r="S149" s="308">
        <f t="shared" si="140"/>
        <v>0</v>
      </c>
      <c r="T149" s="308">
        <f t="shared" si="140"/>
        <v>0</v>
      </c>
      <c r="U149" s="308">
        <f t="shared" si="140"/>
        <v>0</v>
      </c>
      <c r="V149" s="308">
        <f t="shared" si="140"/>
        <v>0</v>
      </c>
      <c r="W149" s="308">
        <f t="shared" si="140"/>
        <v>0</v>
      </c>
      <c r="X149" s="308">
        <f t="shared" si="140"/>
        <v>0</v>
      </c>
      <c r="Y149" s="308">
        <f t="shared" si="140"/>
        <v>0</v>
      </c>
      <c r="Z149" s="308">
        <f t="shared" si="140"/>
        <v>0</v>
      </c>
      <c r="AA149" s="308">
        <f t="shared" si="140"/>
        <v>0</v>
      </c>
      <c r="AB149" s="308">
        <f t="shared" si="140"/>
        <v>0</v>
      </c>
      <c r="AC149" s="308">
        <f t="shared" si="140"/>
        <v>0</v>
      </c>
      <c r="AD149" s="308">
        <f t="shared" si="140"/>
        <v>0</v>
      </c>
      <c r="AE149" s="308">
        <f t="shared" si="140"/>
        <v>0</v>
      </c>
      <c r="AF149" s="308">
        <f t="shared" si="140"/>
        <v>0</v>
      </c>
      <c r="AG149" s="308">
        <f t="shared" si="140"/>
        <v>0</v>
      </c>
      <c r="AH149" s="308">
        <f t="shared" si="140"/>
        <v>0</v>
      </c>
      <c r="AI149" s="308">
        <f t="shared" si="140"/>
        <v>0</v>
      </c>
      <c r="AJ149" s="308">
        <f t="shared" si="140"/>
        <v>0</v>
      </c>
      <c r="AK149" s="308">
        <f t="shared" si="140"/>
        <v>0</v>
      </c>
      <c r="AL149" s="308">
        <f t="shared" si="140"/>
        <v>0</v>
      </c>
      <c r="AM149" s="308">
        <f t="shared" si="140"/>
        <v>0</v>
      </c>
      <c r="AN149" s="308">
        <f t="shared" si="140"/>
        <v>0</v>
      </c>
      <c r="AO149" s="308">
        <f t="shared" si="140"/>
        <v>0</v>
      </c>
      <c r="AP149" s="308">
        <f t="shared" si="140"/>
        <v>0</v>
      </c>
      <c r="AQ149" s="308">
        <f t="shared" si="140"/>
        <v>0</v>
      </c>
      <c r="AR149" s="309"/>
      <c r="AS149" s="310">
        <f>+D151-AR153-AR155</f>
        <v>0</v>
      </c>
      <c r="AW149" s="274" t="str">
        <f>IF(F149="","X",F149)</f>
        <v>X</v>
      </c>
      <c r="AX149" s="274" t="str">
        <f t="shared" ref="AX149:AX155" ca="1" si="141">IF($A$149=0,"","X")</f>
        <v/>
      </c>
    </row>
    <row r="150" spans="1:50" s="274" customFormat="1" ht="18" hidden="1" customHeight="1">
      <c r="A150" s="2499"/>
      <c r="B150" s="2502"/>
      <c r="C150" s="311" t="str">
        <f>CONCATENATE(Orcamento!K155," ",Orcamento!O155)</f>
        <v>0 3,46</v>
      </c>
      <c r="D150" s="2504">
        <f>Orcamento!S37</f>
        <v>0</v>
      </c>
      <c r="E150" s="2505"/>
      <c r="F150" s="312" t="s">
        <v>1192</v>
      </c>
      <c r="G150" s="312"/>
      <c r="H150" s="314"/>
      <c r="I150" s="314"/>
      <c r="J150" s="314"/>
      <c r="K150" s="314"/>
      <c r="L150" s="314"/>
      <c r="M150" s="314"/>
      <c r="N150" s="314"/>
      <c r="O150" s="314"/>
      <c r="P150" s="314"/>
      <c r="Q150" s="314"/>
      <c r="R150" s="314"/>
      <c r="S150" s="314"/>
      <c r="T150" s="314"/>
      <c r="U150" s="314"/>
      <c r="V150" s="314"/>
      <c r="W150" s="314"/>
      <c r="X150" s="314"/>
      <c r="Y150" s="314"/>
      <c r="Z150" s="314"/>
      <c r="AA150" s="314"/>
      <c r="AB150" s="314"/>
      <c r="AC150" s="314"/>
      <c r="AD150" s="314"/>
      <c r="AE150" s="314"/>
      <c r="AF150" s="314"/>
      <c r="AG150" s="314"/>
      <c r="AH150" s="314"/>
      <c r="AI150" s="314"/>
      <c r="AJ150" s="314"/>
      <c r="AK150" s="314"/>
      <c r="AL150" s="314"/>
      <c r="AM150" s="314"/>
      <c r="AN150" s="314"/>
      <c r="AO150" s="314"/>
      <c r="AP150" s="314"/>
      <c r="AQ150" s="314"/>
      <c r="AR150" s="315">
        <f t="shared" ref="AR150:AR161" si="142">SUM(H150:AQ150)</f>
        <v>0</v>
      </c>
      <c r="AS150" s="2506">
        <f>1-AR150</f>
        <v>1</v>
      </c>
      <c r="AU150" s="2507">
        <f>+COUNT(H150:AQ151)</f>
        <v>36</v>
      </c>
      <c r="AW150" s="274" t="str">
        <f>IF(F150="","X",F150)</f>
        <v>ND</v>
      </c>
      <c r="AX150" s="274" t="str">
        <f t="shared" ca="1" si="141"/>
        <v/>
      </c>
    </row>
    <row r="151" spans="1:50" s="274" customFormat="1" ht="18" hidden="1" customHeight="1">
      <c r="A151" s="2499"/>
      <c r="B151" s="2502"/>
      <c r="C151" s="311" t="str">
        <f>CONCATENATE(Orcamento!K156," ",Orcamento!O156)</f>
        <v>0 285,61</v>
      </c>
      <c r="D151" s="2504">
        <f>Orcamento!T37</f>
        <v>0</v>
      </c>
      <c r="E151" s="2505"/>
      <c r="F151" s="316" t="s">
        <v>1193</v>
      </c>
      <c r="G151" s="316"/>
      <c r="H151" s="314">
        <f t="shared" ref="H151:AQ151" si="143">H150</f>
        <v>0</v>
      </c>
      <c r="I151" s="314">
        <f t="shared" si="143"/>
        <v>0</v>
      </c>
      <c r="J151" s="314">
        <f t="shared" si="143"/>
        <v>0</v>
      </c>
      <c r="K151" s="314">
        <f t="shared" si="143"/>
        <v>0</v>
      </c>
      <c r="L151" s="314">
        <f t="shared" si="143"/>
        <v>0</v>
      </c>
      <c r="M151" s="314">
        <f t="shared" si="143"/>
        <v>0</v>
      </c>
      <c r="N151" s="314">
        <f t="shared" si="143"/>
        <v>0</v>
      </c>
      <c r="O151" s="314">
        <f t="shared" si="143"/>
        <v>0</v>
      </c>
      <c r="P151" s="314">
        <f t="shared" si="143"/>
        <v>0</v>
      </c>
      <c r="Q151" s="314">
        <f t="shared" si="143"/>
        <v>0</v>
      </c>
      <c r="R151" s="314">
        <f t="shared" si="143"/>
        <v>0</v>
      </c>
      <c r="S151" s="314">
        <f t="shared" si="143"/>
        <v>0</v>
      </c>
      <c r="T151" s="314">
        <f t="shared" si="143"/>
        <v>0</v>
      </c>
      <c r="U151" s="314">
        <f t="shared" si="143"/>
        <v>0</v>
      </c>
      <c r="V151" s="314">
        <f t="shared" si="143"/>
        <v>0</v>
      </c>
      <c r="W151" s="314">
        <f t="shared" si="143"/>
        <v>0</v>
      </c>
      <c r="X151" s="314">
        <f t="shared" si="143"/>
        <v>0</v>
      </c>
      <c r="Y151" s="314">
        <f t="shared" si="143"/>
        <v>0</v>
      </c>
      <c r="Z151" s="314">
        <f t="shared" si="143"/>
        <v>0</v>
      </c>
      <c r="AA151" s="314">
        <f t="shared" si="143"/>
        <v>0</v>
      </c>
      <c r="AB151" s="314">
        <f t="shared" si="143"/>
        <v>0</v>
      </c>
      <c r="AC151" s="314">
        <f t="shared" si="143"/>
        <v>0</v>
      </c>
      <c r="AD151" s="314">
        <f t="shared" si="143"/>
        <v>0</v>
      </c>
      <c r="AE151" s="314">
        <f t="shared" si="143"/>
        <v>0</v>
      </c>
      <c r="AF151" s="314">
        <f t="shared" si="143"/>
        <v>0</v>
      </c>
      <c r="AG151" s="314">
        <f t="shared" si="143"/>
        <v>0</v>
      </c>
      <c r="AH151" s="314">
        <f t="shared" si="143"/>
        <v>0</v>
      </c>
      <c r="AI151" s="314">
        <f t="shared" si="143"/>
        <v>0</v>
      </c>
      <c r="AJ151" s="314">
        <f t="shared" si="143"/>
        <v>0</v>
      </c>
      <c r="AK151" s="314">
        <f t="shared" si="143"/>
        <v>0</v>
      </c>
      <c r="AL151" s="314">
        <f t="shared" si="143"/>
        <v>0</v>
      </c>
      <c r="AM151" s="314">
        <f t="shared" si="143"/>
        <v>0</v>
      </c>
      <c r="AN151" s="314">
        <f t="shared" si="143"/>
        <v>0</v>
      </c>
      <c r="AO151" s="314">
        <f t="shared" si="143"/>
        <v>0</v>
      </c>
      <c r="AP151" s="314">
        <f t="shared" si="143"/>
        <v>0</v>
      </c>
      <c r="AQ151" s="314">
        <f t="shared" si="143"/>
        <v>0</v>
      </c>
      <c r="AR151" s="315">
        <f t="shared" si="142"/>
        <v>0</v>
      </c>
      <c r="AS151" s="2506"/>
      <c r="AU151" s="2507"/>
      <c r="AW151" s="274" t="str">
        <f>IF(F151="","X",F151)</f>
        <v>DE</v>
      </c>
      <c r="AX151" s="274" t="str">
        <f t="shared" ca="1" si="141"/>
        <v/>
      </c>
    </row>
    <row r="152" spans="1:50" s="274" customFormat="1" ht="18" hidden="1" customHeight="1">
      <c r="A152" s="2499"/>
      <c r="B152" s="2502"/>
      <c r="C152" s="311"/>
      <c r="D152" s="317" t="s">
        <v>1194</v>
      </c>
      <c r="E152" s="2508">
        <f>$D$159</f>
        <v>1</v>
      </c>
      <c r="F152" s="318" t="s">
        <v>1192</v>
      </c>
      <c r="G152" s="318" t="str">
        <f>D152&amp;" | "&amp;F152</f>
        <v>CONCEDENTE | ND</v>
      </c>
      <c r="H152" s="319">
        <f t="shared" ref="H152:AQ152" si="144">IF($D150=0,0,IF(H150=0,0,($E152*$D150*H150)+$AU$163))</f>
        <v>0</v>
      </c>
      <c r="I152" s="319">
        <f t="shared" si="144"/>
        <v>0</v>
      </c>
      <c r="J152" s="319">
        <f t="shared" si="144"/>
        <v>0</v>
      </c>
      <c r="K152" s="319">
        <f t="shared" si="144"/>
        <v>0</v>
      </c>
      <c r="L152" s="319">
        <f t="shared" si="144"/>
        <v>0</v>
      </c>
      <c r="M152" s="319">
        <f t="shared" si="144"/>
        <v>0</v>
      </c>
      <c r="N152" s="319">
        <f t="shared" si="144"/>
        <v>0</v>
      </c>
      <c r="O152" s="319">
        <f t="shared" si="144"/>
        <v>0</v>
      </c>
      <c r="P152" s="319">
        <f t="shared" si="144"/>
        <v>0</v>
      </c>
      <c r="Q152" s="319">
        <f t="shared" si="144"/>
        <v>0</v>
      </c>
      <c r="R152" s="319">
        <f t="shared" si="144"/>
        <v>0</v>
      </c>
      <c r="S152" s="319">
        <f t="shared" si="144"/>
        <v>0</v>
      </c>
      <c r="T152" s="319">
        <f t="shared" si="144"/>
        <v>0</v>
      </c>
      <c r="U152" s="319">
        <f t="shared" si="144"/>
        <v>0</v>
      </c>
      <c r="V152" s="319">
        <f t="shared" si="144"/>
        <v>0</v>
      </c>
      <c r="W152" s="319">
        <f t="shared" si="144"/>
        <v>0</v>
      </c>
      <c r="X152" s="319">
        <f t="shared" si="144"/>
        <v>0</v>
      </c>
      <c r="Y152" s="319">
        <f t="shared" si="144"/>
        <v>0</v>
      </c>
      <c r="Z152" s="319">
        <f t="shared" si="144"/>
        <v>0</v>
      </c>
      <c r="AA152" s="319">
        <f t="shared" si="144"/>
        <v>0</v>
      </c>
      <c r="AB152" s="319">
        <f t="shared" si="144"/>
        <v>0</v>
      </c>
      <c r="AC152" s="319">
        <f t="shared" si="144"/>
        <v>0</v>
      </c>
      <c r="AD152" s="319">
        <f t="shared" si="144"/>
        <v>0</v>
      </c>
      <c r="AE152" s="319">
        <f t="shared" si="144"/>
        <v>0</v>
      </c>
      <c r="AF152" s="319">
        <f t="shared" si="144"/>
        <v>0</v>
      </c>
      <c r="AG152" s="319">
        <f t="shared" si="144"/>
        <v>0</v>
      </c>
      <c r="AH152" s="319">
        <f t="shared" si="144"/>
        <v>0</v>
      </c>
      <c r="AI152" s="319">
        <f t="shared" si="144"/>
        <v>0</v>
      </c>
      <c r="AJ152" s="319">
        <f t="shared" si="144"/>
        <v>0</v>
      </c>
      <c r="AK152" s="319">
        <f t="shared" si="144"/>
        <v>0</v>
      </c>
      <c r="AL152" s="319">
        <f t="shared" si="144"/>
        <v>0</v>
      </c>
      <c r="AM152" s="319">
        <f t="shared" si="144"/>
        <v>0</v>
      </c>
      <c r="AN152" s="319">
        <f t="shared" si="144"/>
        <v>0</v>
      </c>
      <c r="AO152" s="319">
        <f t="shared" si="144"/>
        <v>0</v>
      </c>
      <c r="AP152" s="319">
        <f t="shared" si="144"/>
        <v>0</v>
      </c>
      <c r="AQ152" s="319">
        <f t="shared" si="144"/>
        <v>0</v>
      </c>
      <c r="AR152" s="320">
        <f t="shared" si="142"/>
        <v>0</v>
      </c>
      <c r="AS152" s="321">
        <f>TRUNC(AR152-D150*E152,2)</f>
        <v>0</v>
      </c>
      <c r="AT152" s="322" t="e">
        <f>+AR152/D150</f>
        <v>#DIV/0!</v>
      </c>
      <c r="AW152" s="274" t="str">
        <f>IF(F152="","X",IF(AND(E152&gt;0),F152,"-"))</f>
        <v>ND</v>
      </c>
      <c r="AX152" s="274" t="str">
        <f t="shared" ca="1" si="141"/>
        <v/>
      </c>
    </row>
    <row r="153" spans="1:50" s="274" customFormat="1" ht="18" hidden="1" customHeight="1">
      <c r="A153" s="2499"/>
      <c r="B153" s="2502"/>
      <c r="C153" s="311"/>
      <c r="D153" s="317" t="s">
        <v>1194</v>
      </c>
      <c r="E153" s="2509"/>
      <c r="F153" s="323" t="s">
        <v>1193</v>
      </c>
      <c r="G153" s="323" t="str">
        <f>D153&amp;" | "&amp;F153</f>
        <v>CONCEDENTE | DE</v>
      </c>
      <c r="H153" s="319">
        <f t="shared" ref="H153:AQ153" si="145">IF($D151=0,0,IF(H151=0,0,($E152*$D151*H151)+$AU$163))</f>
        <v>0</v>
      </c>
      <c r="I153" s="319">
        <f t="shared" si="145"/>
        <v>0</v>
      </c>
      <c r="J153" s="319">
        <f t="shared" si="145"/>
        <v>0</v>
      </c>
      <c r="K153" s="319">
        <f t="shared" si="145"/>
        <v>0</v>
      </c>
      <c r="L153" s="319">
        <f t="shared" si="145"/>
        <v>0</v>
      </c>
      <c r="M153" s="319">
        <f t="shared" si="145"/>
        <v>0</v>
      </c>
      <c r="N153" s="319">
        <f t="shared" si="145"/>
        <v>0</v>
      </c>
      <c r="O153" s="319">
        <f t="shared" si="145"/>
        <v>0</v>
      </c>
      <c r="P153" s="319">
        <f t="shared" si="145"/>
        <v>0</v>
      </c>
      <c r="Q153" s="319">
        <f t="shared" si="145"/>
        <v>0</v>
      </c>
      <c r="R153" s="319">
        <f t="shared" si="145"/>
        <v>0</v>
      </c>
      <c r="S153" s="319">
        <f t="shared" si="145"/>
        <v>0</v>
      </c>
      <c r="T153" s="319">
        <f t="shared" si="145"/>
        <v>0</v>
      </c>
      <c r="U153" s="319">
        <f t="shared" si="145"/>
        <v>0</v>
      </c>
      <c r="V153" s="319">
        <f t="shared" si="145"/>
        <v>0</v>
      </c>
      <c r="W153" s="319">
        <f t="shared" si="145"/>
        <v>0</v>
      </c>
      <c r="X153" s="319">
        <f t="shared" si="145"/>
        <v>0</v>
      </c>
      <c r="Y153" s="319">
        <f t="shared" si="145"/>
        <v>0</v>
      </c>
      <c r="Z153" s="319">
        <f t="shared" si="145"/>
        <v>0</v>
      </c>
      <c r="AA153" s="319">
        <f t="shared" si="145"/>
        <v>0</v>
      </c>
      <c r="AB153" s="319">
        <f t="shared" si="145"/>
        <v>0</v>
      </c>
      <c r="AC153" s="319">
        <f t="shared" si="145"/>
        <v>0</v>
      </c>
      <c r="AD153" s="319">
        <f t="shared" si="145"/>
        <v>0</v>
      </c>
      <c r="AE153" s="319">
        <f t="shared" si="145"/>
        <v>0</v>
      </c>
      <c r="AF153" s="319">
        <f t="shared" si="145"/>
        <v>0</v>
      </c>
      <c r="AG153" s="319">
        <f t="shared" si="145"/>
        <v>0</v>
      </c>
      <c r="AH153" s="319">
        <f t="shared" si="145"/>
        <v>0</v>
      </c>
      <c r="AI153" s="319">
        <f t="shared" si="145"/>
        <v>0</v>
      </c>
      <c r="AJ153" s="319">
        <f t="shared" si="145"/>
        <v>0</v>
      </c>
      <c r="AK153" s="319">
        <f t="shared" si="145"/>
        <v>0</v>
      </c>
      <c r="AL153" s="319">
        <f t="shared" si="145"/>
        <v>0</v>
      </c>
      <c r="AM153" s="319">
        <f t="shared" si="145"/>
        <v>0</v>
      </c>
      <c r="AN153" s="319">
        <f t="shared" si="145"/>
        <v>0</v>
      </c>
      <c r="AO153" s="319">
        <f t="shared" si="145"/>
        <v>0</v>
      </c>
      <c r="AP153" s="319">
        <f t="shared" si="145"/>
        <v>0</v>
      </c>
      <c r="AQ153" s="319">
        <f t="shared" si="145"/>
        <v>0</v>
      </c>
      <c r="AR153" s="320">
        <f t="shared" si="142"/>
        <v>0</v>
      </c>
      <c r="AS153" s="321">
        <f>TRUNC(AR153-D151*E152,2)</f>
        <v>0</v>
      </c>
      <c r="AT153" s="322" t="e">
        <f>+AR153/D151</f>
        <v>#DIV/0!</v>
      </c>
      <c r="AW153" s="274" t="str">
        <f>IF(F153="","X",IF(AND(E152&gt;0),F153,"-"))</f>
        <v>DE</v>
      </c>
      <c r="AX153" s="274" t="str">
        <f t="shared" ca="1" si="141"/>
        <v/>
      </c>
    </row>
    <row r="154" spans="1:50" s="274" customFormat="1" ht="18" hidden="1" customHeight="1" thickBot="1">
      <c r="A154" s="2499"/>
      <c r="B154" s="2502"/>
      <c r="C154" s="324"/>
      <c r="D154" s="325" t="s">
        <v>1195</v>
      </c>
      <c r="E154" s="2510">
        <f>1-E152</f>
        <v>0</v>
      </c>
      <c r="F154" s="326" t="s">
        <v>1192</v>
      </c>
      <c r="G154" s="326" t="str">
        <f>D154&amp;" | "&amp;F154</f>
        <v>PROPONENTE | ND</v>
      </c>
      <c r="H154" s="327">
        <f>($D150*H150-H152)</f>
        <v>0</v>
      </c>
      <c r="I154" s="327">
        <f t="shared" ref="I154:AQ155" si="146">($D150*I150-I152)</f>
        <v>0</v>
      </c>
      <c r="J154" s="327">
        <f t="shared" si="146"/>
        <v>0</v>
      </c>
      <c r="K154" s="327">
        <f t="shared" si="146"/>
        <v>0</v>
      </c>
      <c r="L154" s="327">
        <f t="shared" si="146"/>
        <v>0</v>
      </c>
      <c r="M154" s="327">
        <f t="shared" si="146"/>
        <v>0</v>
      </c>
      <c r="N154" s="327">
        <f t="shared" si="146"/>
        <v>0</v>
      </c>
      <c r="O154" s="327">
        <f t="shared" si="146"/>
        <v>0</v>
      </c>
      <c r="P154" s="327">
        <f t="shared" si="146"/>
        <v>0</v>
      </c>
      <c r="Q154" s="327">
        <f t="shared" si="146"/>
        <v>0</v>
      </c>
      <c r="R154" s="327">
        <f t="shared" si="146"/>
        <v>0</v>
      </c>
      <c r="S154" s="327">
        <f t="shared" si="146"/>
        <v>0</v>
      </c>
      <c r="T154" s="327">
        <f t="shared" si="146"/>
        <v>0</v>
      </c>
      <c r="U154" s="327">
        <f t="shared" si="146"/>
        <v>0</v>
      </c>
      <c r="V154" s="327">
        <f t="shared" si="146"/>
        <v>0</v>
      </c>
      <c r="W154" s="327">
        <f t="shared" si="146"/>
        <v>0</v>
      </c>
      <c r="X154" s="327">
        <f t="shared" si="146"/>
        <v>0</v>
      </c>
      <c r="Y154" s="327">
        <f t="shared" si="146"/>
        <v>0</v>
      </c>
      <c r="Z154" s="327">
        <f t="shared" si="146"/>
        <v>0</v>
      </c>
      <c r="AA154" s="327">
        <f t="shared" si="146"/>
        <v>0</v>
      </c>
      <c r="AB154" s="327">
        <f t="shared" si="146"/>
        <v>0</v>
      </c>
      <c r="AC154" s="327">
        <f t="shared" si="146"/>
        <v>0</v>
      </c>
      <c r="AD154" s="327">
        <f t="shared" si="146"/>
        <v>0</v>
      </c>
      <c r="AE154" s="327">
        <f t="shared" si="146"/>
        <v>0</v>
      </c>
      <c r="AF154" s="327">
        <f t="shared" si="146"/>
        <v>0</v>
      </c>
      <c r="AG154" s="327">
        <f t="shared" si="146"/>
        <v>0</v>
      </c>
      <c r="AH154" s="327">
        <f t="shared" si="146"/>
        <v>0</v>
      </c>
      <c r="AI154" s="327">
        <f t="shared" si="146"/>
        <v>0</v>
      </c>
      <c r="AJ154" s="327">
        <f t="shared" si="146"/>
        <v>0</v>
      </c>
      <c r="AK154" s="327">
        <f t="shared" si="146"/>
        <v>0</v>
      </c>
      <c r="AL154" s="327">
        <f t="shared" si="146"/>
        <v>0</v>
      </c>
      <c r="AM154" s="327">
        <f t="shared" si="146"/>
        <v>0</v>
      </c>
      <c r="AN154" s="327">
        <f t="shared" si="146"/>
        <v>0</v>
      </c>
      <c r="AO154" s="327">
        <f t="shared" si="146"/>
        <v>0</v>
      </c>
      <c r="AP154" s="327">
        <f t="shared" si="146"/>
        <v>0</v>
      </c>
      <c r="AQ154" s="327">
        <f t="shared" si="146"/>
        <v>0</v>
      </c>
      <c r="AR154" s="328">
        <f t="shared" si="142"/>
        <v>0</v>
      </c>
      <c r="AS154" s="321">
        <f>+D150-AR152-AR154</f>
        <v>0</v>
      </c>
      <c r="AW154" s="274" t="str">
        <f>IF(F154="","X",IF(AND(E154&gt;0),F154,"-"))</f>
        <v>-</v>
      </c>
      <c r="AX154" s="274" t="str">
        <f t="shared" ca="1" si="141"/>
        <v/>
      </c>
    </row>
    <row r="155" spans="1:50" s="274" customFormat="1" ht="18" hidden="1" customHeight="1" thickBot="1">
      <c r="A155" s="2500"/>
      <c r="B155" s="2503"/>
      <c r="C155" s="324"/>
      <c r="D155" s="325" t="s">
        <v>1195</v>
      </c>
      <c r="E155" s="2511"/>
      <c r="F155" s="329" t="s">
        <v>1193</v>
      </c>
      <c r="G155" s="329" t="str">
        <f>D155&amp;" | "&amp;F155</f>
        <v>PROPONENTE | DE</v>
      </c>
      <c r="H155" s="327">
        <f>($D151*H151-H153)</f>
        <v>0</v>
      </c>
      <c r="I155" s="327">
        <f t="shared" si="146"/>
        <v>0</v>
      </c>
      <c r="J155" s="327">
        <f t="shared" si="146"/>
        <v>0</v>
      </c>
      <c r="K155" s="327">
        <f t="shared" si="146"/>
        <v>0</v>
      </c>
      <c r="L155" s="327">
        <f t="shared" si="146"/>
        <v>0</v>
      </c>
      <c r="M155" s="327">
        <f t="shared" si="146"/>
        <v>0</v>
      </c>
      <c r="N155" s="327">
        <f t="shared" si="146"/>
        <v>0</v>
      </c>
      <c r="O155" s="327">
        <f t="shared" si="146"/>
        <v>0</v>
      </c>
      <c r="P155" s="327">
        <f t="shared" si="146"/>
        <v>0</v>
      </c>
      <c r="Q155" s="327">
        <f t="shared" si="146"/>
        <v>0</v>
      </c>
      <c r="R155" s="327">
        <f t="shared" si="146"/>
        <v>0</v>
      </c>
      <c r="S155" s="327">
        <f t="shared" si="146"/>
        <v>0</v>
      </c>
      <c r="T155" s="327">
        <f t="shared" si="146"/>
        <v>0</v>
      </c>
      <c r="U155" s="327">
        <f t="shared" si="146"/>
        <v>0</v>
      </c>
      <c r="V155" s="327">
        <f t="shared" si="146"/>
        <v>0</v>
      </c>
      <c r="W155" s="327">
        <f t="shared" si="146"/>
        <v>0</v>
      </c>
      <c r="X155" s="327">
        <f t="shared" si="146"/>
        <v>0</v>
      </c>
      <c r="Y155" s="327">
        <f t="shared" si="146"/>
        <v>0</v>
      </c>
      <c r="Z155" s="327">
        <f t="shared" si="146"/>
        <v>0</v>
      </c>
      <c r="AA155" s="327">
        <f t="shared" si="146"/>
        <v>0</v>
      </c>
      <c r="AB155" s="327">
        <f t="shared" si="146"/>
        <v>0</v>
      </c>
      <c r="AC155" s="327">
        <f t="shared" si="146"/>
        <v>0</v>
      </c>
      <c r="AD155" s="327">
        <f t="shared" si="146"/>
        <v>0</v>
      </c>
      <c r="AE155" s="327">
        <f t="shared" si="146"/>
        <v>0</v>
      </c>
      <c r="AF155" s="327">
        <f t="shared" si="146"/>
        <v>0</v>
      </c>
      <c r="AG155" s="327">
        <f t="shared" si="146"/>
        <v>0</v>
      </c>
      <c r="AH155" s="327">
        <f t="shared" si="146"/>
        <v>0</v>
      </c>
      <c r="AI155" s="327">
        <f t="shared" si="146"/>
        <v>0</v>
      </c>
      <c r="AJ155" s="327">
        <f t="shared" si="146"/>
        <v>0</v>
      </c>
      <c r="AK155" s="327">
        <f t="shared" si="146"/>
        <v>0</v>
      </c>
      <c r="AL155" s="327">
        <f t="shared" si="146"/>
        <v>0</v>
      </c>
      <c r="AM155" s="327">
        <f t="shared" si="146"/>
        <v>0</v>
      </c>
      <c r="AN155" s="327">
        <f t="shared" si="146"/>
        <v>0</v>
      </c>
      <c r="AO155" s="327">
        <f t="shared" si="146"/>
        <v>0</v>
      </c>
      <c r="AP155" s="327">
        <f t="shared" si="146"/>
        <v>0</v>
      </c>
      <c r="AQ155" s="327">
        <f t="shared" si="146"/>
        <v>0</v>
      </c>
      <c r="AR155" s="328">
        <f t="shared" si="142"/>
        <v>0</v>
      </c>
      <c r="AS155" s="321">
        <f>+D151-AR153-AR155</f>
        <v>0</v>
      </c>
      <c r="AW155" s="274" t="str">
        <f>IF(F155="","X",IF(AND(E154&gt;0),F155,"-"))</f>
        <v>-</v>
      </c>
      <c r="AX155" s="274" t="str">
        <f t="shared" ca="1" si="141"/>
        <v/>
      </c>
    </row>
    <row r="156" spans="1:50" s="335" customFormat="1" ht="18" customHeight="1">
      <c r="A156" s="330"/>
      <c r="B156" s="2494" t="s">
        <v>1196</v>
      </c>
      <c r="C156" s="331"/>
      <c r="D156" s="2496">
        <f>ORCAMENTO_VALOR_TOTAL_ND</f>
        <v>3092449.6799999997</v>
      </c>
      <c r="E156" s="2497"/>
      <c r="F156" s="332" t="s">
        <v>1192</v>
      </c>
      <c r="G156" s="332"/>
      <c r="H156" s="333">
        <f t="shared" ref="H156:AQ156" si="147">H158+H160</f>
        <v>247395.97439999998</v>
      </c>
      <c r="I156" s="333">
        <f t="shared" si="147"/>
        <v>278320.47119999991</v>
      </c>
      <c r="J156" s="333">
        <f t="shared" si="147"/>
        <v>247395.97439999998</v>
      </c>
      <c r="K156" s="333">
        <f t="shared" si="147"/>
        <v>278320.47119999991</v>
      </c>
      <c r="L156" s="333">
        <f t="shared" si="147"/>
        <v>247395.97439999998</v>
      </c>
      <c r="M156" s="333">
        <f t="shared" si="147"/>
        <v>278320.47119999991</v>
      </c>
      <c r="N156" s="333">
        <f t="shared" si="147"/>
        <v>247395.97439999998</v>
      </c>
      <c r="O156" s="333">
        <f t="shared" si="147"/>
        <v>278320.47119999991</v>
      </c>
      <c r="P156" s="333">
        <f t="shared" si="147"/>
        <v>247395.97439999998</v>
      </c>
      <c r="Q156" s="333">
        <f t="shared" si="147"/>
        <v>247395.97439999998</v>
      </c>
      <c r="R156" s="333">
        <f t="shared" si="147"/>
        <v>247395.97439999998</v>
      </c>
      <c r="S156" s="333">
        <f t="shared" si="147"/>
        <v>247395.97439999998</v>
      </c>
      <c r="T156" s="333">
        <f t="shared" si="147"/>
        <v>0</v>
      </c>
      <c r="U156" s="333">
        <f t="shared" si="147"/>
        <v>0</v>
      </c>
      <c r="V156" s="333">
        <f t="shared" si="147"/>
        <v>0</v>
      </c>
      <c r="W156" s="333">
        <f t="shared" si="147"/>
        <v>0</v>
      </c>
      <c r="X156" s="333">
        <f t="shared" si="147"/>
        <v>0</v>
      </c>
      <c r="Y156" s="333">
        <f t="shared" si="147"/>
        <v>0</v>
      </c>
      <c r="Z156" s="333">
        <f t="shared" si="147"/>
        <v>0</v>
      </c>
      <c r="AA156" s="333">
        <f t="shared" si="147"/>
        <v>0</v>
      </c>
      <c r="AB156" s="333">
        <f t="shared" si="147"/>
        <v>0</v>
      </c>
      <c r="AC156" s="333">
        <f t="shared" si="147"/>
        <v>0</v>
      </c>
      <c r="AD156" s="333">
        <f t="shared" si="147"/>
        <v>0</v>
      </c>
      <c r="AE156" s="333">
        <f t="shared" si="147"/>
        <v>0</v>
      </c>
      <c r="AF156" s="333">
        <f t="shared" si="147"/>
        <v>0</v>
      </c>
      <c r="AG156" s="333">
        <f t="shared" si="147"/>
        <v>0</v>
      </c>
      <c r="AH156" s="333">
        <f t="shared" si="147"/>
        <v>0</v>
      </c>
      <c r="AI156" s="333">
        <f t="shared" si="147"/>
        <v>0</v>
      </c>
      <c r="AJ156" s="333">
        <f t="shared" si="147"/>
        <v>0</v>
      </c>
      <c r="AK156" s="333">
        <f t="shared" si="147"/>
        <v>0</v>
      </c>
      <c r="AL156" s="333">
        <f t="shared" si="147"/>
        <v>0</v>
      </c>
      <c r="AM156" s="333">
        <f t="shared" si="147"/>
        <v>0</v>
      </c>
      <c r="AN156" s="333">
        <f t="shared" si="147"/>
        <v>0</v>
      </c>
      <c r="AO156" s="333">
        <f t="shared" si="147"/>
        <v>0</v>
      </c>
      <c r="AP156" s="333">
        <f t="shared" si="147"/>
        <v>0</v>
      </c>
      <c r="AQ156" s="333">
        <f t="shared" si="147"/>
        <v>0</v>
      </c>
      <c r="AR156" s="334">
        <f t="shared" si="142"/>
        <v>3092449.68</v>
      </c>
      <c r="AS156" s="321">
        <f>+AR156-D156</f>
        <v>0</v>
      </c>
      <c r="AW156" s="274" t="str">
        <f>IF(F156="","X",F156)</f>
        <v>ND</v>
      </c>
      <c r="AX156" s="335" t="s">
        <v>4</v>
      </c>
    </row>
    <row r="157" spans="1:50" s="335" customFormat="1" ht="18" customHeight="1">
      <c r="A157" s="336"/>
      <c r="B157" s="2495"/>
      <c r="C157" s="337"/>
      <c r="D157" s="2490">
        <v>1</v>
      </c>
      <c r="E157" s="2491"/>
      <c r="F157" s="338" t="s">
        <v>1192</v>
      </c>
      <c r="G157" s="338"/>
      <c r="H157" s="339">
        <f t="shared" ref="H157:AQ157" si="148">H156/$D156</f>
        <v>0.08</v>
      </c>
      <c r="I157" s="339">
        <f t="shared" si="148"/>
        <v>8.9999999999999983E-2</v>
      </c>
      <c r="J157" s="339">
        <f t="shared" si="148"/>
        <v>0.08</v>
      </c>
      <c r="K157" s="339">
        <f t="shared" si="148"/>
        <v>8.9999999999999983E-2</v>
      </c>
      <c r="L157" s="339">
        <f t="shared" si="148"/>
        <v>0.08</v>
      </c>
      <c r="M157" s="339">
        <f t="shared" si="148"/>
        <v>8.9999999999999983E-2</v>
      </c>
      <c r="N157" s="339">
        <f t="shared" si="148"/>
        <v>0.08</v>
      </c>
      <c r="O157" s="339">
        <f t="shared" si="148"/>
        <v>8.9999999999999983E-2</v>
      </c>
      <c r="P157" s="339">
        <f t="shared" si="148"/>
        <v>0.08</v>
      </c>
      <c r="Q157" s="339">
        <f t="shared" si="148"/>
        <v>0.08</v>
      </c>
      <c r="R157" s="339">
        <f t="shared" si="148"/>
        <v>0.08</v>
      </c>
      <c r="S157" s="339">
        <f t="shared" si="148"/>
        <v>0.08</v>
      </c>
      <c r="T157" s="339">
        <f t="shared" si="148"/>
        <v>0</v>
      </c>
      <c r="U157" s="339">
        <f t="shared" si="148"/>
        <v>0</v>
      </c>
      <c r="V157" s="339">
        <f t="shared" si="148"/>
        <v>0</v>
      </c>
      <c r="W157" s="339">
        <f t="shared" si="148"/>
        <v>0</v>
      </c>
      <c r="X157" s="339">
        <f t="shared" si="148"/>
        <v>0</v>
      </c>
      <c r="Y157" s="339">
        <f t="shared" si="148"/>
        <v>0</v>
      </c>
      <c r="Z157" s="339">
        <f t="shared" si="148"/>
        <v>0</v>
      </c>
      <c r="AA157" s="339">
        <f t="shared" si="148"/>
        <v>0</v>
      </c>
      <c r="AB157" s="339">
        <f t="shared" si="148"/>
        <v>0</v>
      </c>
      <c r="AC157" s="339">
        <f t="shared" si="148"/>
        <v>0</v>
      </c>
      <c r="AD157" s="339">
        <f t="shared" si="148"/>
        <v>0</v>
      </c>
      <c r="AE157" s="339">
        <f t="shared" si="148"/>
        <v>0</v>
      </c>
      <c r="AF157" s="339">
        <f t="shared" si="148"/>
        <v>0</v>
      </c>
      <c r="AG157" s="339">
        <f t="shared" si="148"/>
        <v>0</v>
      </c>
      <c r="AH157" s="339">
        <f t="shared" si="148"/>
        <v>0</v>
      </c>
      <c r="AI157" s="339">
        <f t="shared" si="148"/>
        <v>0</v>
      </c>
      <c r="AJ157" s="339">
        <f t="shared" si="148"/>
        <v>0</v>
      </c>
      <c r="AK157" s="339">
        <f t="shared" si="148"/>
        <v>0</v>
      </c>
      <c r="AL157" s="339">
        <f t="shared" si="148"/>
        <v>0</v>
      </c>
      <c r="AM157" s="339">
        <f t="shared" si="148"/>
        <v>0</v>
      </c>
      <c r="AN157" s="339">
        <f t="shared" si="148"/>
        <v>0</v>
      </c>
      <c r="AO157" s="339">
        <f t="shared" si="148"/>
        <v>0</v>
      </c>
      <c r="AP157" s="339">
        <f t="shared" si="148"/>
        <v>0</v>
      </c>
      <c r="AQ157" s="339">
        <f t="shared" si="148"/>
        <v>0</v>
      </c>
      <c r="AR157" s="340">
        <f t="shared" si="142"/>
        <v>0.99999999999999978</v>
      </c>
      <c r="AS157" s="321"/>
      <c r="AW157" s="274" t="str">
        <f>IF(F157="","X",F157)</f>
        <v>ND</v>
      </c>
      <c r="AX157" s="335" t="s">
        <v>4</v>
      </c>
    </row>
    <row r="158" spans="1:50" s="335" customFormat="1" ht="18" customHeight="1">
      <c r="A158" s="341"/>
      <c r="B158" s="2483" t="s">
        <v>1197</v>
      </c>
      <c r="C158" s="342"/>
      <c r="D158" s="2488">
        <f>TRUNC(D156*D159,2)</f>
        <v>3092449.68</v>
      </c>
      <c r="E158" s="2489"/>
      <c r="F158" s="343" t="s">
        <v>1192</v>
      </c>
      <c r="G158" s="343"/>
      <c r="H158" s="344">
        <f t="shared" ref="H158:AQ158" si="149">SUMIFS(H9:H155,$G$9:$G$155,"CONCEDENTE | ND")</f>
        <v>247395.97439999998</v>
      </c>
      <c r="I158" s="344">
        <f t="shared" si="149"/>
        <v>278320.47119999991</v>
      </c>
      <c r="J158" s="344">
        <f t="shared" si="149"/>
        <v>247395.97439999998</v>
      </c>
      <c r="K158" s="344">
        <f t="shared" si="149"/>
        <v>278320.47119999991</v>
      </c>
      <c r="L158" s="344">
        <f t="shared" si="149"/>
        <v>247395.97439999998</v>
      </c>
      <c r="M158" s="344">
        <f t="shared" si="149"/>
        <v>278320.47119999991</v>
      </c>
      <c r="N158" s="344">
        <f t="shared" si="149"/>
        <v>247395.97439999998</v>
      </c>
      <c r="O158" s="344">
        <f t="shared" si="149"/>
        <v>278320.47119999991</v>
      </c>
      <c r="P158" s="344">
        <f t="shared" si="149"/>
        <v>247395.97439999998</v>
      </c>
      <c r="Q158" s="344">
        <f t="shared" si="149"/>
        <v>247395.97439999998</v>
      </c>
      <c r="R158" s="344">
        <f t="shared" si="149"/>
        <v>247395.97439999998</v>
      </c>
      <c r="S158" s="344">
        <f t="shared" si="149"/>
        <v>247395.97439999998</v>
      </c>
      <c r="T158" s="344">
        <f t="shared" si="149"/>
        <v>0</v>
      </c>
      <c r="U158" s="344">
        <f t="shared" si="149"/>
        <v>0</v>
      </c>
      <c r="V158" s="344">
        <f t="shared" si="149"/>
        <v>0</v>
      </c>
      <c r="W158" s="344">
        <f t="shared" si="149"/>
        <v>0</v>
      </c>
      <c r="X158" s="344">
        <f t="shared" si="149"/>
        <v>0</v>
      </c>
      <c r="Y158" s="344">
        <f t="shared" si="149"/>
        <v>0</v>
      </c>
      <c r="Z158" s="344">
        <f t="shared" si="149"/>
        <v>0</v>
      </c>
      <c r="AA158" s="344">
        <f t="shared" si="149"/>
        <v>0</v>
      </c>
      <c r="AB158" s="344">
        <f t="shared" si="149"/>
        <v>0</v>
      </c>
      <c r="AC158" s="344">
        <f t="shared" si="149"/>
        <v>0</v>
      </c>
      <c r="AD158" s="344">
        <f t="shared" si="149"/>
        <v>0</v>
      </c>
      <c r="AE158" s="344">
        <f t="shared" si="149"/>
        <v>0</v>
      </c>
      <c r="AF158" s="344">
        <f t="shared" si="149"/>
        <v>0</v>
      </c>
      <c r="AG158" s="344">
        <f t="shared" si="149"/>
        <v>0</v>
      </c>
      <c r="AH158" s="344">
        <f t="shared" si="149"/>
        <v>0</v>
      </c>
      <c r="AI158" s="344">
        <f t="shared" si="149"/>
        <v>0</v>
      </c>
      <c r="AJ158" s="344">
        <f t="shared" si="149"/>
        <v>0</v>
      </c>
      <c r="AK158" s="344">
        <f t="shared" si="149"/>
        <v>0</v>
      </c>
      <c r="AL158" s="344">
        <f t="shared" si="149"/>
        <v>0</v>
      </c>
      <c r="AM158" s="344">
        <f t="shared" si="149"/>
        <v>0</v>
      </c>
      <c r="AN158" s="344">
        <f t="shared" si="149"/>
        <v>0</v>
      </c>
      <c r="AO158" s="344">
        <f t="shared" si="149"/>
        <v>0</v>
      </c>
      <c r="AP158" s="344">
        <f t="shared" si="149"/>
        <v>0</v>
      </c>
      <c r="AQ158" s="344">
        <f t="shared" si="149"/>
        <v>0</v>
      </c>
      <c r="AR158" s="345">
        <f t="shared" si="142"/>
        <v>3092449.68</v>
      </c>
      <c r="AS158" s="321">
        <f>+AR158-D158</f>
        <v>0</v>
      </c>
      <c r="AT158" s="322">
        <f>+AR158/AR156</f>
        <v>1</v>
      </c>
      <c r="AU158" s="346">
        <f>SUM(AU11:AU155)</f>
        <v>754</v>
      </c>
      <c r="AW158" s="274" t="str">
        <f>IF($D$159&gt;0,F158,"")</f>
        <v>ND</v>
      </c>
      <c r="AX158" s="335" t="s">
        <v>4</v>
      </c>
    </row>
    <row r="159" spans="1:50" s="335" customFormat="1" ht="18" customHeight="1">
      <c r="A159" s="336"/>
      <c r="B159" s="2487"/>
      <c r="C159" s="347"/>
      <c r="D159" s="2490">
        <v>1</v>
      </c>
      <c r="E159" s="2491"/>
      <c r="F159" s="338" t="s">
        <v>1192</v>
      </c>
      <c r="G159" s="338"/>
      <c r="H159" s="339">
        <f>H158/$D158</f>
        <v>7.9999999999999988E-2</v>
      </c>
      <c r="I159" s="339">
        <f t="shared" ref="I159:AQ159" si="150">I158/$D158</f>
        <v>8.9999999999999969E-2</v>
      </c>
      <c r="J159" s="339">
        <f t="shared" si="150"/>
        <v>7.9999999999999988E-2</v>
      </c>
      <c r="K159" s="339">
        <f t="shared" si="150"/>
        <v>8.9999999999999969E-2</v>
      </c>
      <c r="L159" s="339">
        <f t="shared" si="150"/>
        <v>7.9999999999999988E-2</v>
      </c>
      <c r="M159" s="339">
        <f t="shared" si="150"/>
        <v>8.9999999999999969E-2</v>
      </c>
      <c r="N159" s="339">
        <f t="shared" si="150"/>
        <v>7.9999999999999988E-2</v>
      </c>
      <c r="O159" s="339">
        <f t="shared" si="150"/>
        <v>8.9999999999999969E-2</v>
      </c>
      <c r="P159" s="339">
        <f t="shared" si="150"/>
        <v>7.9999999999999988E-2</v>
      </c>
      <c r="Q159" s="339">
        <f t="shared" si="150"/>
        <v>7.9999999999999988E-2</v>
      </c>
      <c r="R159" s="339">
        <f t="shared" si="150"/>
        <v>7.9999999999999988E-2</v>
      </c>
      <c r="S159" s="339">
        <f t="shared" si="150"/>
        <v>7.9999999999999988E-2</v>
      </c>
      <c r="T159" s="339">
        <f t="shared" si="150"/>
        <v>0</v>
      </c>
      <c r="U159" s="339">
        <f t="shared" si="150"/>
        <v>0</v>
      </c>
      <c r="V159" s="339">
        <f t="shared" si="150"/>
        <v>0</v>
      </c>
      <c r="W159" s="339">
        <f t="shared" si="150"/>
        <v>0</v>
      </c>
      <c r="X159" s="339">
        <f t="shared" si="150"/>
        <v>0</v>
      </c>
      <c r="Y159" s="339">
        <f t="shared" si="150"/>
        <v>0</v>
      </c>
      <c r="Z159" s="339">
        <f t="shared" si="150"/>
        <v>0</v>
      </c>
      <c r="AA159" s="339">
        <f t="shared" si="150"/>
        <v>0</v>
      </c>
      <c r="AB159" s="339">
        <f t="shared" si="150"/>
        <v>0</v>
      </c>
      <c r="AC159" s="339">
        <f t="shared" si="150"/>
        <v>0</v>
      </c>
      <c r="AD159" s="339">
        <f t="shared" si="150"/>
        <v>0</v>
      </c>
      <c r="AE159" s="339">
        <f t="shared" si="150"/>
        <v>0</v>
      </c>
      <c r="AF159" s="339">
        <f t="shared" si="150"/>
        <v>0</v>
      </c>
      <c r="AG159" s="339">
        <f t="shared" si="150"/>
        <v>0</v>
      </c>
      <c r="AH159" s="339">
        <f t="shared" si="150"/>
        <v>0</v>
      </c>
      <c r="AI159" s="339">
        <f t="shared" si="150"/>
        <v>0</v>
      </c>
      <c r="AJ159" s="339">
        <f t="shared" si="150"/>
        <v>0</v>
      </c>
      <c r="AK159" s="339">
        <f t="shared" si="150"/>
        <v>0</v>
      </c>
      <c r="AL159" s="339">
        <f t="shared" si="150"/>
        <v>0</v>
      </c>
      <c r="AM159" s="339">
        <f t="shared" si="150"/>
        <v>0</v>
      </c>
      <c r="AN159" s="339">
        <f t="shared" si="150"/>
        <v>0</v>
      </c>
      <c r="AO159" s="339">
        <f t="shared" si="150"/>
        <v>0</v>
      </c>
      <c r="AP159" s="339">
        <f t="shared" si="150"/>
        <v>0</v>
      </c>
      <c r="AQ159" s="339">
        <f t="shared" si="150"/>
        <v>0</v>
      </c>
      <c r="AR159" s="340">
        <f t="shared" si="142"/>
        <v>0.99999999999999967</v>
      </c>
      <c r="AS159" s="321"/>
      <c r="AT159" s="348">
        <f>+AS158/AU158</f>
        <v>0</v>
      </c>
      <c r="AU159" s="346"/>
      <c r="AW159" s="274" t="str">
        <f>IF($D$159&gt;0,F159,"")</f>
        <v>ND</v>
      </c>
      <c r="AX159" s="335" t="s">
        <v>4</v>
      </c>
    </row>
    <row r="160" spans="1:50" s="335" customFormat="1" ht="18" hidden="1" customHeight="1">
      <c r="A160" s="341"/>
      <c r="B160" s="2483" t="s">
        <v>1198</v>
      </c>
      <c r="C160" s="342"/>
      <c r="D160" s="2488">
        <f>D156-D158</f>
        <v>0</v>
      </c>
      <c r="E160" s="2489"/>
      <c r="F160" s="343" t="s">
        <v>1192</v>
      </c>
      <c r="G160" s="343"/>
      <c r="H160" s="344">
        <f t="shared" ref="H160:AQ160" si="151">SUMIFS(H9:H155,$G$9:$G$155,"PROPONENTE | ND")</f>
        <v>0</v>
      </c>
      <c r="I160" s="344">
        <f t="shared" si="151"/>
        <v>0</v>
      </c>
      <c r="J160" s="344">
        <f t="shared" si="151"/>
        <v>0</v>
      </c>
      <c r="K160" s="344">
        <f t="shared" si="151"/>
        <v>0</v>
      </c>
      <c r="L160" s="344">
        <f t="shared" si="151"/>
        <v>0</v>
      </c>
      <c r="M160" s="344">
        <f t="shared" si="151"/>
        <v>0</v>
      </c>
      <c r="N160" s="344">
        <f t="shared" si="151"/>
        <v>0</v>
      </c>
      <c r="O160" s="344">
        <f t="shared" si="151"/>
        <v>0</v>
      </c>
      <c r="P160" s="344">
        <f t="shared" si="151"/>
        <v>0</v>
      </c>
      <c r="Q160" s="344">
        <f t="shared" si="151"/>
        <v>0</v>
      </c>
      <c r="R160" s="344">
        <f t="shared" si="151"/>
        <v>0</v>
      </c>
      <c r="S160" s="344">
        <f t="shared" si="151"/>
        <v>0</v>
      </c>
      <c r="T160" s="344">
        <f t="shared" si="151"/>
        <v>0</v>
      </c>
      <c r="U160" s="344">
        <f t="shared" si="151"/>
        <v>0</v>
      </c>
      <c r="V160" s="344">
        <f t="shared" si="151"/>
        <v>0</v>
      </c>
      <c r="W160" s="344">
        <f t="shared" si="151"/>
        <v>0</v>
      </c>
      <c r="X160" s="344">
        <f t="shared" si="151"/>
        <v>0</v>
      </c>
      <c r="Y160" s="344">
        <f t="shared" si="151"/>
        <v>0</v>
      </c>
      <c r="Z160" s="344">
        <f t="shared" si="151"/>
        <v>0</v>
      </c>
      <c r="AA160" s="344">
        <f t="shared" si="151"/>
        <v>0</v>
      </c>
      <c r="AB160" s="344">
        <f t="shared" si="151"/>
        <v>0</v>
      </c>
      <c r="AC160" s="344">
        <f t="shared" si="151"/>
        <v>0</v>
      </c>
      <c r="AD160" s="344">
        <f t="shared" si="151"/>
        <v>0</v>
      </c>
      <c r="AE160" s="344">
        <f t="shared" si="151"/>
        <v>0</v>
      </c>
      <c r="AF160" s="344">
        <f t="shared" si="151"/>
        <v>0</v>
      </c>
      <c r="AG160" s="344">
        <f t="shared" si="151"/>
        <v>0</v>
      </c>
      <c r="AH160" s="344">
        <f t="shared" si="151"/>
        <v>0</v>
      </c>
      <c r="AI160" s="344">
        <f t="shared" si="151"/>
        <v>0</v>
      </c>
      <c r="AJ160" s="344">
        <f t="shared" si="151"/>
        <v>0</v>
      </c>
      <c r="AK160" s="344">
        <f t="shared" si="151"/>
        <v>0</v>
      </c>
      <c r="AL160" s="344">
        <f t="shared" si="151"/>
        <v>0</v>
      </c>
      <c r="AM160" s="344">
        <f t="shared" si="151"/>
        <v>0</v>
      </c>
      <c r="AN160" s="344">
        <f t="shared" si="151"/>
        <v>0</v>
      </c>
      <c r="AO160" s="344">
        <f t="shared" si="151"/>
        <v>0</v>
      </c>
      <c r="AP160" s="344">
        <f t="shared" si="151"/>
        <v>0</v>
      </c>
      <c r="AQ160" s="344">
        <f t="shared" si="151"/>
        <v>0</v>
      </c>
      <c r="AR160" s="345">
        <f t="shared" si="142"/>
        <v>0</v>
      </c>
      <c r="AS160" s="321">
        <f>+AR160-D160</f>
        <v>0</v>
      </c>
      <c r="AW160" s="274" t="str">
        <f>IF($D$160&gt;0,F160,"")</f>
        <v/>
      </c>
      <c r="AX160" s="335" t="s">
        <v>4</v>
      </c>
    </row>
    <row r="161" spans="1:50" s="335" customFormat="1" ht="18" hidden="1" customHeight="1">
      <c r="A161" s="336"/>
      <c r="B161" s="2487"/>
      <c r="C161" s="347"/>
      <c r="D161" s="2490">
        <v>0</v>
      </c>
      <c r="E161" s="2491"/>
      <c r="F161" s="349" t="s">
        <v>1192</v>
      </c>
      <c r="G161" s="349"/>
      <c r="H161" s="339">
        <f t="shared" ref="H161:AQ161" si="152">IF(H160=0,0,H160/$D160)</f>
        <v>0</v>
      </c>
      <c r="I161" s="339">
        <f t="shared" si="152"/>
        <v>0</v>
      </c>
      <c r="J161" s="339">
        <f t="shared" si="152"/>
        <v>0</v>
      </c>
      <c r="K161" s="339">
        <f t="shared" si="152"/>
        <v>0</v>
      </c>
      <c r="L161" s="339">
        <f t="shared" si="152"/>
        <v>0</v>
      </c>
      <c r="M161" s="339">
        <f t="shared" si="152"/>
        <v>0</v>
      </c>
      <c r="N161" s="339">
        <f t="shared" si="152"/>
        <v>0</v>
      </c>
      <c r="O161" s="339">
        <f t="shared" si="152"/>
        <v>0</v>
      </c>
      <c r="P161" s="339">
        <f t="shared" si="152"/>
        <v>0</v>
      </c>
      <c r="Q161" s="339">
        <f t="shared" si="152"/>
        <v>0</v>
      </c>
      <c r="R161" s="339">
        <f t="shared" si="152"/>
        <v>0</v>
      </c>
      <c r="S161" s="339">
        <f t="shared" si="152"/>
        <v>0</v>
      </c>
      <c r="T161" s="339">
        <f t="shared" si="152"/>
        <v>0</v>
      </c>
      <c r="U161" s="339">
        <f t="shared" si="152"/>
        <v>0</v>
      </c>
      <c r="V161" s="339">
        <f t="shared" si="152"/>
        <v>0</v>
      </c>
      <c r="W161" s="339">
        <f t="shared" si="152"/>
        <v>0</v>
      </c>
      <c r="X161" s="339">
        <f t="shared" si="152"/>
        <v>0</v>
      </c>
      <c r="Y161" s="339">
        <f t="shared" si="152"/>
        <v>0</v>
      </c>
      <c r="Z161" s="339">
        <f t="shared" si="152"/>
        <v>0</v>
      </c>
      <c r="AA161" s="339">
        <f t="shared" si="152"/>
        <v>0</v>
      </c>
      <c r="AB161" s="339">
        <f t="shared" si="152"/>
        <v>0</v>
      </c>
      <c r="AC161" s="339">
        <f t="shared" si="152"/>
        <v>0</v>
      </c>
      <c r="AD161" s="339">
        <f t="shared" si="152"/>
        <v>0</v>
      </c>
      <c r="AE161" s="339">
        <f t="shared" si="152"/>
        <v>0</v>
      </c>
      <c r="AF161" s="339">
        <f t="shared" si="152"/>
        <v>0</v>
      </c>
      <c r="AG161" s="339">
        <f t="shared" si="152"/>
        <v>0</v>
      </c>
      <c r="AH161" s="339">
        <f t="shared" si="152"/>
        <v>0</v>
      </c>
      <c r="AI161" s="339">
        <f t="shared" si="152"/>
        <v>0</v>
      </c>
      <c r="AJ161" s="339">
        <f t="shared" si="152"/>
        <v>0</v>
      </c>
      <c r="AK161" s="339">
        <f t="shared" si="152"/>
        <v>0</v>
      </c>
      <c r="AL161" s="339">
        <f t="shared" si="152"/>
        <v>0</v>
      </c>
      <c r="AM161" s="339">
        <f t="shared" si="152"/>
        <v>0</v>
      </c>
      <c r="AN161" s="339">
        <f t="shared" si="152"/>
        <v>0</v>
      </c>
      <c r="AO161" s="339">
        <f t="shared" si="152"/>
        <v>0</v>
      </c>
      <c r="AP161" s="339">
        <f t="shared" si="152"/>
        <v>0</v>
      </c>
      <c r="AQ161" s="339">
        <f t="shared" si="152"/>
        <v>0</v>
      </c>
      <c r="AR161" s="340">
        <f t="shared" si="142"/>
        <v>0</v>
      </c>
      <c r="AS161" s="321"/>
      <c r="AW161" s="274" t="str">
        <f>IF($D$160&gt;0,F161,"")</f>
        <v/>
      </c>
      <c r="AX161" s="335" t="s">
        <v>4</v>
      </c>
    </row>
    <row r="162" spans="1:50" s="335" customFormat="1" ht="18" customHeight="1" thickBot="1">
      <c r="A162" s="341"/>
      <c r="B162" s="2483" t="s">
        <v>1199</v>
      </c>
      <c r="C162" s="350"/>
      <c r="D162" s="351"/>
      <c r="E162" s="351" t="s">
        <v>1200</v>
      </c>
      <c r="F162" s="351" t="s">
        <v>1192</v>
      </c>
      <c r="G162" s="351"/>
      <c r="H162" s="344">
        <f>H156</f>
        <v>247395.97439999998</v>
      </c>
      <c r="I162" s="344">
        <f>I156+H162</f>
        <v>525716.44559999986</v>
      </c>
      <c r="J162" s="344">
        <f t="shared" ref="J162:AQ162" si="153">J156+I162</f>
        <v>773112.41999999981</v>
      </c>
      <c r="K162" s="344">
        <f t="shared" si="153"/>
        <v>1051432.8911999997</v>
      </c>
      <c r="L162" s="344">
        <f t="shared" si="153"/>
        <v>1298828.8655999997</v>
      </c>
      <c r="M162" s="344">
        <f t="shared" si="153"/>
        <v>1577149.3367999997</v>
      </c>
      <c r="N162" s="344">
        <f t="shared" si="153"/>
        <v>1824545.3111999996</v>
      </c>
      <c r="O162" s="344">
        <f t="shared" si="153"/>
        <v>2102865.7823999994</v>
      </c>
      <c r="P162" s="344">
        <f t="shared" si="153"/>
        <v>2350261.7567999996</v>
      </c>
      <c r="Q162" s="344">
        <f t="shared" si="153"/>
        <v>2597657.7311999998</v>
      </c>
      <c r="R162" s="344">
        <f t="shared" si="153"/>
        <v>2845053.7056</v>
      </c>
      <c r="S162" s="344">
        <f t="shared" si="153"/>
        <v>3092449.68</v>
      </c>
      <c r="T162" s="344">
        <f t="shared" si="153"/>
        <v>3092449.68</v>
      </c>
      <c r="U162" s="344">
        <f t="shared" si="153"/>
        <v>3092449.68</v>
      </c>
      <c r="V162" s="344">
        <f t="shared" si="153"/>
        <v>3092449.68</v>
      </c>
      <c r="W162" s="344">
        <f t="shared" si="153"/>
        <v>3092449.68</v>
      </c>
      <c r="X162" s="344">
        <f t="shared" si="153"/>
        <v>3092449.68</v>
      </c>
      <c r="Y162" s="344">
        <f t="shared" si="153"/>
        <v>3092449.68</v>
      </c>
      <c r="Z162" s="344">
        <f t="shared" si="153"/>
        <v>3092449.68</v>
      </c>
      <c r="AA162" s="344">
        <f t="shared" si="153"/>
        <v>3092449.68</v>
      </c>
      <c r="AB162" s="344">
        <f t="shared" si="153"/>
        <v>3092449.68</v>
      </c>
      <c r="AC162" s="344">
        <f t="shared" si="153"/>
        <v>3092449.68</v>
      </c>
      <c r="AD162" s="344">
        <f t="shared" si="153"/>
        <v>3092449.68</v>
      </c>
      <c r="AE162" s="344">
        <f t="shared" si="153"/>
        <v>3092449.68</v>
      </c>
      <c r="AF162" s="344">
        <f t="shared" si="153"/>
        <v>3092449.68</v>
      </c>
      <c r="AG162" s="344">
        <f t="shared" si="153"/>
        <v>3092449.68</v>
      </c>
      <c r="AH162" s="344">
        <f t="shared" si="153"/>
        <v>3092449.68</v>
      </c>
      <c r="AI162" s="344">
        <f t="shared" si="153"/>
        <v>3092449.68</v>
      </c>
      <c r="AJ162" s="344">
        <f t="shared" si="153"/>
        <v>3092449.68</v>
      </c>
      <c r="AK162" s="344">
        <f t="shared" si="153"/>
        <v>3092449.68</v>
      </c>
      <c r="AL162" s="344">
        <f t="shared" si="153"/>
        <v>3092449.68</v>
      </c>
      <c r="AM162" s="344">
        <f t="shared" si="153"/>
        <v>3092449.68</v>
      </c>
      <c r="AN162" s="344">
        <f t="shared" si="153"/>
        <v>3092449.68</v>
      </c>
      <c r="AO162" s="344">
        <f t="shared" si="153"/>
        <v>3092449.68</v>
      </c>
      <c r="AP162" s="344">
        <f t="shared" si="153"/>
        <v>3092449.68</v>
      </c>
      <c r="AQ162" s="344">
        <f t="shared" si="153"/>
        <v>3092449.68</v>
      </c>
      <c r="AR162" s="352"/>
      <c r="AS162" s="321">
        <f>+AR160+AR158-AR156</f>
        <v>0</v>
      </c>
      <c r="AW162" s="274" t="str">
        <f>IF(F162="","X",F162)</f>
        <v>ND</v>
      </c>
      <c r="AX162" s="335" t="s">
        <v>4</v>
      </c>
    </row>
    <row r="163" spans="1:50" ht="18" customHeight="1" thickBot="1">
      <c r="A163" s="353"/>
      <c r="B163" s="2484"/>
      <c r="C163" s="354"/>
      <c r="D163" s="355"/>
      <c r="E163" s="355" t="s">
        <v>34</v>
      </c>
      <c r="F163" s="356" t="s">
        <v>1192</v>
      </c>
      <c r="G163" s="356"/>
      <c r="H163" s="357">
        <f t="shared" ref="H163:AQ163" si="154">H162/$D156</f>
        <v>0.08</v>
      </c>
      <c r="I163" s="357">
        <f t="shared" si="154"/>
        <v>0.16999999999999998</v>
      </c>
      <c r="J163" s="357">
        <f t="shared" si="154"/>
        <v>0.24999999999999997</v>
      </c>
      <c r="K163" s="357">
        <f t="shared" si="154"/>
        <v>0.33999999999999997</v>
      </c>
      <c r="L163" s="357">
        <f t="shared" si="154"/>
        <v>0.41999999999999993</v>
      </c>
      <c r="M163" s="357">
        <f t="shared" si="154"/>
        <v>0.5099999999999999</v>
      </c>
      <c r="N163" s="357">
        <f t="shared" si="154"/>
        <v>0.59</v>
      </c>
      <c r="O163" s="357">
        <f t="shared" si="154"/>
        <v>0.67999999999999994</v>
      </c>
      <c r="P163" s="357">
        <f t="shared" si="154"/>
        <v>0.7599999999999999</v>
      </c>
      <c r="Q163" s="357">
        <f t="shared" si="154"/>
        <v>0.84</v>
      </c>
      <c r="R163" s="357">
        <f t="shared" si="154"/>
        <v>0.92</v>
      </c>
      <c r="S163" s="357">
        <f t="shared" si="154"/>
        <v>1.0000000000000002</v>
      </c>
      <c r="T163" s="357">
        <f t="shared" si="154"/>
        <v>1.0000000000000002</v>
      </c>
      <c r="U163" s="357">
        <f t="shared" si="154"/>
        <v>1.0000000000000002</v>
      </c>
      <c r="V163" s="357">
        <f t="shared" si="154"/>
        <v>1.0000000000000002</v>
      </c>
      <c r="W163" s="357">
        <f t="shared" si="154"/>
        <v>1.0000000000000002</v>
      </c>
      <c r="X163" s="357">
        <f t="shared" si="154"/>
        <v>1.0000000000000002</v>
      </c>
      <c r="Y163" s="357">
        <f t="shared" si="154"/>
        <v>1.0000000000000002</v>
      </c>
      <c r="Z163" s="357">
        <f t="shared" si="154"/>
        <v>1.0000000000000002</v>
      </c>
      <c r="AA163" s="357">
        <f t="shared" si="154"/>
        <v>1.0000000000000002</v>
      </c>
      <c r="AB163" s="357">
        <f t="shared" si="154"/>
        <v>1.0000000000000002</v>
      </c>
      <c r="AC163" s="357">
        <f t="shared" si="154"/>
        <v>1.0000000000000002</v>
      </c>
      <c r="AD163" s="357">
        <f t="shared" si="154"/>
        <v>1.0000000000000002</v>
      </c>
      <c r="AE163" s="357">
        <f t="shared" si="154"/>
        <v>1.0000000000000002</v>
      </c>
      <c r="AF163" s="357">
        <f t="shared" si="154"/>
        <v>1.0000000000000002</v>
      </c>
      <c r="AG163" s="357">
        <f t="shared" si="154"/>
        <v>1.0000000000000002</v>
      </c>
      <c r="AH163" s="357">
        <f t="shared" si="154"/>
        <v>1.0000000000000002</v>
      </c>
      <c r="AI163" s="357">
        <f t="shared" si="154"/>
        <v>1.0000000000000002</v>
      </c>
      <c r="AJ163" s="357">
        <f t="shared" si="154"/>
        <v>1.0000000000000002</v>
      </c>
      <c r="AK163" s="357">
        <f t="shared" si="154"/>
        <v>1.0000000000000002</v>
      </c>
      <c r="AL163" s="357">
        <f t="shared" si="154"/>
        <v>1.0000000000000002</v>
      </c>
      <c r="AM163" s="357">
        <f t="shared" si="154"/>
        <v>1.0000000000000002</v>
      </c>
      <c r="AN163" s="357">
        <f t="shared" si="154"/>
        <v>1.0000000000000002</v>
      </c>
      <c r="AO163" s="357">
        <f t="shared" si="154"/>
        <v>1.0000000000000002</v>
      </c>
      <c r="AP163" s="357">
        <f t="shared" si="154"/>
        <v>1.0000000000000002</v>
      </c>
      <c r="AQ163" s="357">
        <f t="shared" si="154"/>
        <v>1.0000000000000002</v>
      </c>
      <c r="AR163" s="352"/>
      <c r="AW163" s="274" t="str">
        <f>IF(F163="","X",F163)</f>
        <v>ND</v>
      </c>
      <c r="AX163" s="335" t="s">
        <v>4</v>
      </c>
    </row>
    <row r="164" spans="1:50" s="335" customFormat="1" ht="18" hidden="1" customHeight="1">
      <c r="A164" s="330"/>
      <c r="B164" s="2494" t="s">
        <v>1196</v>
      </c>
      <c r="C164" s="331"/>
      <c r="D164" s="2496">
        <f>ORCAMENTO_VALOR_TOTAL_DE</f>
        <v>3401198.4399999995</v>
      </c>
      <c r="E164" s="2497"/>
      <c r="F164" s="332" t="s">
        <v>1193</v>
      </c>
      <c r="G164" s="332"/>
      <c r="H164" s="333">
        <f>H166+H168</f>
        <v>272095.87520000001</v>
      </c>
      <c r="I164" s="333">
        <f>I166+I168</f>
        <v>306107.85960000003</v>
      </c>
      <c r="J164" s="333">
        <f t="shared" ref="J164:AQ164" si="155">J166+J168</f>
        <v>272095.87520000001</v>
      </c>
      <c r="K164" s="333">
        <f t="shared" si="155"/>
        <v>306107.85960000003</v>
      </c>
      <c r="L164" s="333">
        <f t="shared" si="155"/>
        <v>272095.87520000001</v>
      </c>
      <c r="M164" s="333">
        <f t="shared" si="155"/>
        <v>306107.85960000003</v>
      </c>
      <c r="N164" s="333">
        <f t="shared" si="155"/>
        <v>272095.87520000001</v>
      </c>
      <c r="O164" s="333">
        <f t="shared" si="155"/>
        <v>306107.85960000003</v>
      </c>
      <c r="P164" s="333">
        <f t="shared" si="155"/>
        <v>272095.87520000001</v>
      </c>
      <c r="Q164" s="333">
        <f t="shared" si="155"/>
        <v>272095.87520000001</v>
      </c>
      <c r="R164" s="333">
        <f t="shared" si="155"/>
        <v>272095.87520000001</v>
      </c>
      <c r="S164" s="333">
        <f t="shared" si="155"/>
        <v>272095.87520000001</v>
      </c>
      <c r="T164" s="333">
        <f t="shared" si="155"/>
        <v>0</v>
      </c>
      <c r="U164" s="333">
        <f t="shared" si="155"/>
        <v>0</v>
      </c>
      <c r="V164" s="333">
        <f t="shared" si="155"/>
        <v>0</v>
      </c>
      <c r="W164" s="333">
        <f t="shared" si="155"/>
        <v>0</v>
      </c>
      <c r="X164" s="333">
        <f t="shared" si="155"/>
        <v>0</v>
      </c>
      <c r="Y164" s="333">
        <f t="shared" si="155"/>
        <v>0</v>
      </c>
      <c r="Z164" s="333">
        <f t="shared" si="155"/>
        <v>0</v>
      </c>
      <c r="AA164" s="333">
        <f t="shared" si="155"/>
        <v>0</v>
      </c>
      <c r="AB164" s="333">
        <f t="shared" si="155"/>
        <v>0</v>
      </c>
      <c r="AC164" s="333">
        <f t="shared" si="155"/>
        <v>0</v>
      </c>
      <c r="AD164" s="333">
        <f t="shared" si="155"/>
        <v>0</v>
      </c>
      <c r="AE164" s="333">
        <f t="shared" si="155"/>
        <v>0</v>
      </c>
      <c r="AF164" s="333">
        <f t="shared" si="155"/>
        <v>0</v>
      </c>
      <c r="AG164" s="333">
        <f t="shared" si="155"/>
        <v>0</v>
      </c>
      <c r="AH164" s="333">
        <f t="shared" si="155"/>
        <v>0</v>
      </c>
      <c r="AI164" s="333">
        <f t="shared" si="155"/>
        <v>0</v>
      </c>
      <c r="AJ164" s="333">
        <f t="shared" si="155"/>
        <v>0</v>
      </c>
      <c r="AK164" s="333">
        <f t="shared" si="155"/>
        <v>0</v>
      </c>
      <c r="AL164" s="333">
        <f t="shared" si="155"/>
        <v>0</v>
      </c>
      <c r="AM164" s="333">
        <f t="shared" si="155"/>
        <v>0</v>
      </c>
      <c r="AN164" s="333">
        <f t="shared" si="155"/>
        <v>0</v>
      </c>
      <c r="AO164" s="333">
        <f t="shared" si="155"/>
        <v>0</v>
      </c>
      <c r="AP164" s="333">
        <f t="shared" si="155"/>
        <v>0</v>
      </c>
      <c r="AQ164" s="333">
        <f t="shared" si="155"/>
        <v>0</v>
      </c>
      <c r="AR164" s="334">
        <f t="shared" ref="AR164:AR169" si="156">SUM(H164:AQ164)</f>
        <v>3401198.4400000009</v>
      </c>
      <c r="AS164" s="321">
        <f>+AR164-D164</f>
        <v>0</v>
      </c>
      <c r="AW164" s="274" t="str">
        <f>IF(F164="","X",F164)</f>
        <v>DE</v>
      </c>
      <c r="AX164" s="335" t="s">
        <v>4</v>
      </c>
    </row>
    <row r="165" spans="1:50" s="335" customFormat="1" ht="18" hidden="1" customHeight="1">
      <c r="A165" s="336"/>
      <c r="B165" s="2495"/>
      <c r="C165" s="337"/>
      <c r="D165" s="2490">
        <v>1</v>
      </c>
      <c r="E165" s="2491"/>
      <c r="F165" s="338" t="s">
        <v>1193</v>
      </c>
      <c r="G165" s="338"/>
      <c r="H165" s="339">
        <f>H164/$D164</f>
        <v>8.0000000000000016E-2</v>
      </c>
      <c r="I165" s="339">
        <f>I164/$D164</f>
        <v>9.0000000000000024E-2</v>
      </c>
      <c r="J165" s="339">
        <f t="shared" ref="J165:AQ165" si="157">J164/$D164</f>
        <v>8.0000000000000016E-2</v>
      </c>
      <c r="K165" s="339">
        <f t="shared" si="157"/>
        <v>9.0000000000000024E-2</v>
      </c>
      <c r="L165" s="339">
        <f t="shared" si="157"/>
        <v>8.0000000000000016E-2</v>
      </c>
      <c r="M165" s="339">
        <f t="shared" si="157"/>
        <v>9.0000000000000024E-2</v>
      </c>
      <c r="N165" s="339">
        <f t="shared" si="157"/>
        <v>8.0000000000000016E-2</v>
      </c>
      <c r="O165" s="339">
        <f t="shared" si="157"/>
        <v>9.0000000000000024E-2</v>
      </c>
      <c r="P165" s="339">
        <f t="shared" si="157"/>
        <v>8.0000000000000016E-2</v>
      </c>
      <c r="Q165" s="339">
        <f t="shared" si="157"/>
        <v>8.0000000000000016E-2</v>
      </c>
      <c r="R165" s="339">
        <f t="shared" si="157"/>
        <v>8.0000000000000016E-2</v>
      </c>
      <c r="S165" s="339">
        <f t="shared" si="157"/>
        <v>8.0000000000000016E-2</v>
      </c>
      <c r="T165" s="339">
        <f t="shared" si="157"/>
        <v>0</v>
      </c>
      <c r="U165" s="339">
        <f t="shared" si="157"/>
        <v>0</v>
      </c>
      <c r="V165" s="339">
        <f t="shared" si="157"/>
        <v>0</v>
      </c>
      <c r="W165" s="339">
        <f t="shared" si="157"/>
        <v>0</v>
      </c>
      <c r="X165" s="339">
        <f t="shared" si="157"/>
        <v>0</v>
      </c>
      <c r="Y165" s="339">
        <f t="shared" si="157"/>
        <v>0</v>
      </c>
      <c r="Z165" s="339">
        <f t="shared" si="157"/>
        <v>0</v>
      </c>
      <c r="AA165" s="339">
        <f t="shared" si="157"/>
        <v>0</v>
      </c>
      <c r="AB165" s="339">
        <f t="shared" si="157"/>
        <v>0</v>
      </c>
      <c r="AC165" s="339">
        <f t="shared" si="157"/>
        <v>0</v>
      </c>
      <c r="AD165" s="339">
        <f t="shared" si="157"/>
        <v>0</v>
      </c>
      <c r="AE165" s="339">
        <f t="shared" si="157"/>
        <v>0</v>
      </c>
      <c r="AF165" s="339">
        <f t="shared" si="157"/>
        <v>0</v>
      </c>
      <c r="AG165" s="339">
        <f t="shared" si="157"/>
        <v>0</v>
      </c>
      <c r="AH165" s="339">
        <f t="shared" si="157"/>
        <v>0</v>
      </c>
      <c r="AI165" s="339">
        <f t="shared" si="157"/>
        <v>0</v>
      </c>
      <c r="AJ165" s="339">
        <f t="shared" si="157"/>
        <v>0</v>
      </c>
      <c r="AK165" s="339">
        <f t="shared" si="157"/>
        <v>0</v>
      </c>
      <c r="AL165" s="339">
        <f t="shared" si="157"/>
        <v>0</v>
      </c>
      <c r="AM165" s="339">
        <f t="shared" si="157"/>
        <v>0</v>
      </c>
      <c r="AN165" s="339">
        <f t="shared" si="157"/>
        <v>0</v>
      </c>
      <c r="AO165" s="339">
        <f t="shared" si="157"/>
        <v>0</v>
      </c>
      <c r="AP165" s="339">
        <f t="shared" si="157"/>
        <v>0</v>
      </c>
      <c r="AQ165" s="339">
        <f t="shared" si="157"/>
        <v>0</v>
      </c>
      <c r="AR165" s="340">
        <f t="shared" si="156"/>
        <v>1.0000000000000004</v>
      </c>
      <c r="AS165" s="321"/>
      <c r="AW165" s="274" t="str">
        <f>IF(F165="","X",F165)</f>
        <v>DE</v>
      </c>
      <c r="AX165" s="335" t="s">
        <v>4</v>
      </c>
    </row>
    <row r="166" spans="1:50" s="335" customFormat="1" ht="18" hidden="1" customHeight="1">
      <c r="A166" s="341"/>
      <c r="B166" s="2483" t="s">
        <v>1197</v>
      </c>
      <c r="C166" s="342"/>
      <c r="D166" s="2488">
        <f>TRUNC(D164*D167,2)</f>
        <v>3401198.44</v>
      </c>
      <c r="E166" s="2489"/>
      <c r="F166" s="343" t="s">
        <v>1193</v>
      </c>
      <c r="G166" s="343"/>
      <c r="H166" s="344">
        <f>SUMIFS(H9:H155,$G$9:$G$155,"CONCEDENTE | DE")</f>
        <v>272095.87520000001</v>
      </c>
      <c r="I166" s="344">
        <f>SUMIFS(I9:I155,$G$9:$G$155,"CONCEDENTE | DE")</f>
        <v>306107.85960000003</v>
      </c>
      <c r="J166" s="344">
        <f t="shared" ref="J166:AQ166" si="158">SUMIFS(J9:J155,$G$9:$G$155,"CONCEDENTE | DE")</f>
        <v>272095.87520000001</v>
      </c>
      <c r="K166" s="344">
        <f t="shared" si="158"/>
        <v>306107.85960000003</v>
      </c>
      <c r="L166" s="344">
        <f t="shared" si="158"/>
        <v>272095.87520000001</v>
      </c>
      <c r="M166" s="344">
        <f t="shared" si="158"/>
        <v>306107.85960000003</v>
      </c>
      <c r="N166" s="344">
        <f t="shared" si="158"/>
        <v>272095.87520000001</v>
      </c>
      <c r="O166" s="344">
        <f t="shared" si="158"/>
        <v>306107.85960000003</v>
      </c>
      <c r="P166" s="344">
        <f t="shared" si="158"/>
        <v>272095.87520000001</v>
      </c>
      <c r="Q166" s="344">
        <f t="shared" si="158"/>
        <v>272095.87520000001</v>
      </c>
      <c r="R166" s="344">
        <f t="shared" si="158"/>
        <v>272095.87520000001</v>
      </c>
      <c r="S166" s="344">
        <f t="shared" si="158"/>
        <v>272095.87520000001</v>
      </c>
      <c r="T166" s="344">
        <f t="shared" si="158"/>
        <v>0</v>
      </c>
      <c r="U166" s="344">
        <f t="shared" si="158"/>
        <v>0</v>
      </c>
      <c r="V166" s="344">
        <f t="shared" si="158"/>
        <v>0</v>
      </c>
      <c r="W166" s="344">
        <f t="shared" si="158"/>
        <v>0</v>
      </c>
      <c r="X166" s="344">
        <f t="shared" si="158"/>
        <v>0</v>
      </c>
      <c r="Y166" s="344">
        <f t="shared" si="158"/>
        <v>0</v>
      </c>
      <c r="Z166" s="344">
        <f t="shared" si="158"/>
        <v>0</v>
      </c>
      <c r="AA166" s="344">
        <f t="shared" si="158"/>
        <v>0</v>
      </c>
      <c r="AB166" s="344">
        <f t="shared" si="158"/>
        <v>0</v>
      </c>
      <c r="AC166" s="344">
        <f t="shared" si="158"/>
        <v>0</v>
      </c>
      <c r="AD166" s="344">
        <f t="shared" si="158"/>
        <v>0</v>
      </c>
      <c r="AE166" s="344">
        <f t="shared" si="158"/>
        <v>0</v>
      </c>
      <c r="AF166" s="344">
        <f t="shared" si="158"/>
        <v>0</v>
      </c>
      <c r="AG166" s="344">
        <f t="shared" si="158"/>
        <v>0</v>
      </c>
      <c r="AH166" s="344">
        <f t="shared" si="158"/>
        <v>0</v>
      </c>
      <c r="AI166" s="344">
        <f t="shared" si="158"/>
        <v>0</v>
      </c>
      <c r="AJ166" s="344">
        <f t="shared" si="158"/>
        <v>0</v>
      </c>
      <c r="AK166" s="344">
        <f t="shared" si="158"/>
        <v>0</v>
      </c>
      <c r="AL166" s="344">
        <f t="shared" si="158"/>
        <v>0</v>
      </c>
      <c r="AM166" s="344">
        <f t="shared" si="158"/>
        <v>0</v>
      </c>
      <c r="AN166" s="344">
        <f t="shared" si="158"/>
        <v>0</v>
      </c>
      <c r="AO166" s="344">
        <f t="shared" si="158"/>
        <v>0</v>
      </c>
      <c r="AP166" s="344">
        <f t="shared" si="158"/>
        <v>0</v>
      </c>
      <c r="AQ166" s="344">
        <f t="shared" si="158"/>
        <v>0</v>
      </c>
      <c r="AR166" s="345">
        <f t="shared" si="156"/>
        <v>3401198.4400000009</v>
      </c>
      <c r="AS166" s="321">
        <f>+AR166-D166</f>
        <v>0</v>
      </c>
      <c r="AT166" s="322">
        <f>+AR166/AR164</f>
        <v>1</v>
      </c>
      <c r="AU166" s="346">
        <f>SUM(AU19:AU155)</f>
        <v>718</v>
      </c>
      <c r="AW166" s="274" t="str">
        <f>IF($D$165&gt;0,F166,"")</f>
        <v>DE</v>
      </c>
      <c r="AX166" s="335" t="s">
        <v>4</v>
      </c>
    </row>
    <row r="167" spans="1:50" s="335" customFormat="1" ht="18" hidden="1" customHeight="1">
      <c r="A167" s="336"/>
      <c r="B167" s="2487"/>
      <c r="C167" s="347"/>
      <c r="D167" s="2490">
        <v>1</v>
      </c>
      <c r="E167" s="2491"/>
      <c r="F167" s="338" t="s">
        <v>1193</v>
      </c>
      <c r="G167" s="338"/>
      <c r="H167" s="339">
        <f>H166/$D166</f>
        <v>0.08</v>
      </c>
      <c r="I167" s="339">
        <f>I166/$D166</f>
        <v>9.0000000000000011E-2</v>
      </c>
      <c r="J167" s="339">
        <f t="shared" ref="J167:AQ167" si="159">J166/$D166</f>
        <v>0.08</v>
      </c>
      <c r="K167" s="339">
        <f t="shared" si="159"/>
        <v>9.0000000000000011E-2</v>
      </c>
      <c r="L167" s="339">
        <f t="shared" si="159"/>
        <v>0.08</v>
      </c>
      <c r="M167" s="339">
        <f t="shared" si="159"/>
        <v>9.0000000000000011E-2</v>
      </c>
      <c r="N167" s="339">
        <f t="shared" si="159"/>
        <v>0.08</v>
      </c>
      <c r="O167" s="339">
        <f t="shared" si="159"/>
        <v>9.0000000000000011E-2</v>
      </c>
      <c r="P167" s="339">
        <f t="shared" si="159"/>
        <v>0.08</v>
      </c>
      <c r="Q167" s="339">
        <f t="shared" si="159"/>
        <v>0.08</v>
      </c>
      <c r="R167" s="339">
        <f t="shared" si="159"/>
        <v>0.08</v>
      </c>
      <c r="S167" s="339">
        <f t="shared" si="159"/>
        <v>0.08</v>
      </c>
      <c r="T167" s="339">
        <f t="shared" si="159"/>
        <v>0</v>
      </c>
      <c r="U167" s="339">
        <f t="shared" si="159"/>
        <v>0</v>
      </c>
      <c r="V167" s="339">
        <f t="shared" si="159"/>
        <v>0</v>
      </c>
      <c r="W167" s="339">
        <f t="shared" si="159"/>
        <v>0</v>
      </c>
      <c r="X167" s="339">
        <f t="shared" si="159"/>
        <v>0</v>
      </c>
      <c r="Y167" s="339">
        <f t="shared" si="159"/>
        <v>0</v>
      </c>
      <c r="Z167" s="339">
        <f t="shared" si="159"/>
        <v>0</v>
      </c>
      <c r="AA167" s="339">
        <f t="shared" si="159"/>
        <v>0</v>
      </c>
      <c r="AB167" s="339">
        <f t="shared" si="159"/>
        <v>0</v>
      </c>
      <c r="AC167" s="339">
        <f t="shared" si="159"/>
        <v>0</v>
      </c>
      <c r="AD167" s="339">
        <f t="shared" si="159"/>
        <v>0</v>
      </c>
      <c r="AE167" s="339">
        <f t="shared" si="159"/>
        <v>0</v>
      </c>
      <c r="AF167" s="339">
        <f t="shared" si="159"/>
        <v>0</v>
      </c>
      <c r="AG167" s="339">
        <f t="shared" si="159"/>
        <v>0</v>
      </c>
      <c r="AH167" s="339">
        <f t="shared" si="159"/>
        <v>0</v>
      </c>
      <c r="AI167" s="339">
        <f t="shared" si="159"/>
        <v>0</v>
      </c>
      <c r="AJ167" s="339">
        <f t="shared" si="159"/>
        <v>0</v>
      </c>
      <c r="AK167" s="339">
        <f t="shared" si="159"/>
        <v>0</v>
      </c>
      <c r="AL167" s="339">
        <f t="shared" si="159"/>
        <v>0</v>
      </c>
      <c r="AM167" s="339">
        <f t="shared" si="159"/>
        <v>0</v>
      </c>
      <c r="AN167" s="339">
        <f t="shared" si="159"/>
        <v>0</v>
      </c>
      <c r="AO167" s="339">
        <f t="shared" si="159"/>
        <v>0</v>
      </c>
      <c r="AP167" s="339">
        <f t="shared" si="159"/>
        <v>0</v>
      </c>
      <c r="AQ167" s="339">
        <f t="shared" si="159"/>
        <v>0</v>
      </c>
      <c r="AR167" s="340">
        <f t="shared" si="156"/>
        <v>0.99999999999999978</v>
      </c>
      <c r="AS167" s="321"/>
      <c r="AT167" s="348">
        <f>+AS166/AU166</f>
        <v>0</v>
      </c>
      <c r="AU167" s="346"/>
      <c r="AW167" s="274" t="str">
        <f>IF($D$167&gt;0,F167,"")</f>
        <v>DE</v>
      </c>
      <c r="AX167" s="335" t="s">
        <v>4</v>
      </c>
    </row>
    <row r="168" spans="1:50" s="335" customFormat="1" ht="18" hidden="1" customHeight="1">
      <c r="A168" s="341"/>
      <c r="B168" s="2483" t="s">
        <v>1198</v>
      </c>
      <c r="C168" s="342"/>
      <c r="D168" s="2488">
        <f>D164-D166</f>
        <v>0</v>
      </c>
      <c r="E168" s="2489"/>
      <c r="F168" s="343" t="s">
        <v>1193</v>
      </c>
      <c r="G168" s="343"/>
      <c r="H168" s="344">
        <f>SUMIFS(H9:H155,$G$9:$G$155,"PROPONENTE | DE")</f>
        <v>0</v>
      </c>
      <c r="I168" s="344">
        <f>SUMIFS(I9:I155,$G$9:$G$155,"PROPONENTE | DE")</f>
        <v>0</v>
      </c>
      <c r="J168" s="344">
        <f t="shared" ref="J168:AQ168" si="160">SUMIFS(J9:J155,$G$9:$G$155,"PROPONENTE | DE")</f>
        <v>0</v>
      </c>
      <c r="K168" s="344">
        <f t="shared" si="160"/>
        <v>0</v>
      </c>
      <c r="L168" s="344">
        <f t="shared" si="160"/>
        <v>0</v>
      </c>
      <c r="M168" s="344">
        <f t="shared" si="160"/>
        <v>0</v>
      </c>
      <c r="N168" s="344">
        <f t="shared" si="160"/>
        <v>0</v>
      </c>
      <c r="O168" s="344">
        <f t="shared" si="160"/>
        <v>0</v>
      </c>
      <c r="P168" s="344">
        <f t="shared" si="160"/>
        <v>0</v>
      </c>
      <c r="Q168" s="344">
        <f t="shared" si="160"/>
        <v>0</v>
      </c>
      <c r="R168" s="344">
        <f t="shared" si="160"/>
        <v>0</v>
      </c>
      <c r="S168" s="344">
        <f t="shared" si="160"/>
        <v>0</v>
      </c>
      <c r="T168" s="344">
        <f t="shared" si="160"/>
        <v>0</v>
      </c>
      <c r="U168" s="344">
        <f t="shared" si="160"/>
        <v>0</v>
      </c>
      <c r="V168" s="344">
        <f t="shared" si="160"/>
        <v>0</v>
      </c>
      <c r="W168" s="344">
        <f t="shared" si="160"/>
        <v>0</v>
      </c>
      <c r="X168" s="344">
        <f t="shared" si="160"/>
        <v>0</v>
      </c>
      <c r="Y168" s="344">
        <f t="shared" si="160"/>
        <v>0</v>
      </c>
      <c r="Z168" s="344">
        <f t="shared" si="160"/>
        <v>0</v>
      </c>
      <c r="AA168" s="344">
        <f t="shared" si="160"/>
        <v>0</v>
      </c>
      <c r="AB168" s="344">
        <f t="shared" si="160"/>
        <v>0</v>
      </c>
      <c r="AC168" s="344">
        <f t="shared" si="160"/>
        <v>0</v>
      </c>
      <c r="AD168" s="344">
        <f t="shared" si="160"/>
        <v>0</v>
      </c>
      <c r="AE168" s="344">
        <f t="shared" si="160"/>
        <v>0</v>
      </c>
      <c r="AF168" s="344">
        <f t="shared" si="160"/>
        <v>0</v>
      </c>
      <c r="AG168" s="344">
        <f t="shared" si="160"/>
        <v>0</v>
      </c>
      <c r="AH168" s="344">
        <f t="shared" si="160"/>
        <v>0</v>
      </c>
      <c r="AI168" s="344">
        <f t="shared" si="160"/>
        <v>0</v>
      </c>
      <c r="AJ168" s="344">
        <f t="shared" si="160"/>
        <v>0</v>
      </c>
      <c r="AK168" s="344">
        <f t="shared" si="160"/>
        <v>0</v>
      </c>
      <c r="AL168" s="344">
        <f t="shared" si="160"/>
        <v>0</v>
      </c>
      <c r="AM168" s="344">
        <f t="shared" si="160"/>
        <v>0</v>
      </c>
      <c r="AN168" s="344">
        <f t="shared" si="160"/>
        <v>0</v>
      </c>
      <c r="AO168" s="344">
        <f t="shared" si="160"/>
        <v>0</v>
      </c>
      <c r="AP168" s="344">
        <f t="shared" si="160"/>
        <v>0</v>
      </c>
      <c r="AQ168" s="344">
        <f t="shared" si="160"/>
        <v>0</v>
      </c>
      <c r="AR168" s="345">
        <f t="shared" si="156"/>
        <v>0</v>
      </c>
      <c r="AS168" s="321">
        <f>+AR168-D168</f>
        <v>0</v>
      </c>
      <c r="AW168" s="274" t="str">
        <f>IF($D$168&gt;0,F168,"")</f>
        <v/>
      </c>
      <c r="AX168" s="335" t="s">
        <v>4</v>
      </c>
    </row>
    <row r="169" spans="1:50" s="335" customFormat="1" ht="18" hidden="1" customHeight="1">
      <c r="A169" s="336"/>
      <c r="B169" s="2487"/>
      <c r="C169" s="347"/>
      <c r="D169" s="2492">
        <v>0</v>
      </c>
      <c r="E169" s="2493"/>
      <c r="F169" s="349" t="s">
        <v>1193</v>
      </c>
      <c r="G169" s="349"/>
      <c r="H169" s="339">
        <f>IF(H168=0,0,H168/$D168)</f>
        <v>0</v>
      </c>
      <c r="I169" s="339">
        <f>IF(I168=0,0,I168/$D168)</f>
        <v>0</v>
      </c>
      <c r="J169" s="339">
        <f t="shared" ref="J169:AQ169" si="161">IF(J168=0,0,J168/$D168)</f>
        <v>0</v>
      </c>
      <c r="K169" s="339">
        <f t="shared" si="161"/>
        <v>0</v>
      </c>
      <c r="L169" s="339">
        <f t="shared" si="161"/>
        <v>0</v>
      </c>
      <c r="M169" s="339">
        <f t="shared" si="161"/>
        <v>0</v>
      </c>
      <c r="N169" s="339">
        <f t="shared" si="161"/>
        <v>0</v>
      </c>
      <c r="O169" s="339">
        <f t="shared" si="161"/>
        <v>0</v>
      </c>
      <c r="P169" s="339">
        <f t="shared" si="161"/>
        <v>0</v>
      </c>
      <c r="Q169" s="339">
        <f t="shared" si="161"/>
        <v>0</v>
      </c>
      <c r="R169" s="339">
        <f t="shared" si="161"/>
        <v>0</v>
      </c>
      <c r="S169" s="339">
        <f t="shared" si="161"/>
        <v>0</v>
      </c>
      <c r="T169" s="339">
        <f t="shared" si="161"/>
        <v>0</v>
      </c>
      <c r="U169" s="339">
        <f t="shared" si="161"/>
        <v>0</v>
      </c>
      <c r="V169" s="339">
        <f t="shared" si="161"/>
        <v>0</v>
      </c>
      <c r="W169" s="339">
        <f t="shared" si="161"/>
        <v>0</v>
      </c>
      <c r="X169" s="339">
        <f t="shared" si="161"/>
        <v>0</v>
      </c>
      <c r="Y169" s="339">
        <f t="shared" si="161"/>
        <v>0</v>
      </c>
      <c r="Z169" s="339">
        <f t="shared" si="161"/>
        <v>0</v>
      </c>
      <c r="AA169" s="339">
        <f t="shared" si="161"/>
        <v>0</v>
      </c>
      <c r="AB169" s="339">
        <f t="shared" si="161"/>
        <v>0</v>
      </c>
      <c r="AC169" s="339">
        <f t="shared" si="161"/>
        <v>0</v>
      </c>
      <c r="AD169" s="339">
        <f t="shared" si="161"/>
        <v>0</v>
      </c>
      <c r="AE169" s="339">
        <f t="shared" si="161"/>
        <v>0</v>
      </c>
      <c r="AF169" s="339">
        <f t="shared" si="161"/>
        <v>0</v>
      </c>
      <c r="AG169" s="339">
        <f t="shared" si="161"/>
        <v>0</v>
      </c>
      <c r="AH169" s="339">
        <f t="shared" si="161"/>
        <v>0</v>
      </c>
      <c r="AI169" s="339">
        <f t="shared" si="161"/>
        <v>0</v>
      </c>
      <c r="AJ169" s="339">
        <f t="shared" si="161"/>
        <v>0</v>
      </c>
      <c r="AK169" s="339">
        <f t="shared" si="161"/>
        <v>0</v>
      </c>
      <c r="AL169" s="339">
        <f t="shared" si="161"/>
        <v>0</v>
      </c>
      <c r="AM169" s="339">
        <f t="shared" si="161"/>
        <v>0</v>
      </c>
      <c r="AN169" s="339">
        <f t="shared" si="161"/>
        <v>0</v>
      </c>
      <c r="AO169" s="339">
        <f t="shared" si="161"/>
        <v>0</v>
      </c>
      <c r="AP169" s="339">
        <f t="shared" si="161"/>
        <v>0</v>
      </c>
      <c r="AQ169" s="339">
        <f t="shared" si="161"/>
        <v>0</v>
      </c>
      <c r="AR169" s="340">
        <f t="shared" si="156"/>
        <v>0</v>
      </c>
      <c r="AS169" s="321"/>
      <c r="AW169" s="274" t="str">
        <f>IF($D$168&gt;0,F169,"")</f>
        <v/>
      </c>
      <c r="AX169" s="335" t="s">
        <v>4</v>
      </c>
    </row>
    <row r="170" spans="1:50" s="335" customFormat="1" ht="18" hidden="1" customHeight="1" thickBot="1">
      <c r="A170" s="341"/>
      <c r="B170" s="2483" t="s">
        <v>1199</v>
      </c>
      <c r="C170" s="350"/>
      <c r="D170" s="351"/>
      <c r="E170" s="351" t="s">
        <v>1200</v>
      </c>
      <c r="F170" s="351" t="s">
        <v>1193</v>
      </c>
      <c r="G170" s="351"/>
      <c r="H170" s="344">
        <f>H164</f>
        <v>272095.87520000001</v>
      </c>
      <c r="I170" s="344">
        <f>I164+H170</f>
        <v>578203.73479999998</v>
      </c>
      <c r="J170" s="344">
        <f t="shared" ref="J170:AQ170" si="162">J164+I170</f>
        <v>850299.61</v>
      </c>
      <c r="K170" s="344">
        <f t="shared" si="162"/>
        <v>1156407.4696</v>
      </c>
      <c r="L170" s="344">
        <f t="shared" si="162"/>
        <v>1428503.3448000001</v>
      </c>
      <c r="M170" s="344">
        <f t="shared" si="162"/>
        <v>1734611.2044000002</v>
      </c>
      <c r="N170" s="344">
        <f t="shared" si="162"/>
        <v>2006707.0796000003</v>
      </c>
      <c r="O170" s="344">
        <f t="shared" si="162"/>
        <v>2312814.9392000004</v>
      </c>
      <c r="P170" s="344">
        <f t="shared" si="162"/>
        <v>2584910.8144000005</v>
      </c>
      <c r="Q170" s="344">
        <f t="shared" si="162"/>
        <v>2857006.6896000006</v>
      </c>
      <c r="R170" s="344">
        <f t="shared" si="162"/>
        <v>3129102.5648000007</v>
      </c>
      <c r="S170" s="344">
        <f t="shared" si="162"/>
        <v>3401198.4400000009</v>
      </c>
      <c r="T170" s="344">
        <f t="shared" si="162"/>
        <v>3401198.4400000009</v>
      </c>
      <c r="U170" s="344">
        <f t="shared" si="162"/>
        <v>3401198.4400000009</v>
      </c>
      <c r="V170" s="344">
        <f t="shared" si="162"/>
        <v>3401198.4400000009</v>
      </c>
      <c r="W170" s="344">
        <f t="shared" si="162"/>
        <v>3401198.4400000009</v>
      </c>
      <c r="X170" s="344">
        <f t="shared" si="162"/>
        <v>3401198.4400000009</v>
      </c>
      <c r="Y170" s="344">
        <f t="shared" si="162"/>
        <v>3401198.4400000009</v>
      </c>
      <c r="Z170" s="344">
        <f t="shared" si="162"/>
        <v>3401198.4400000009</v>
      </c>
      <c r="AA170" s="344">
        <f t="shared" si="162"/>
        <v>3401198.4400000009</v>
      </c>
      <c r="AB170" s="344">
        <f t="shared" si="162"/>
        <v>3401198.4400000009</v>
      </c>
      <c r="AC170" s="344">
        <f t="shared" si="162"/>
        <v>3401198.4400000009</v>
      </c>
      <c r="AD170" s="344">
        <f t="shared" si="162"/>
        <v>3401198.4400000009</v>
      </c>
      <c r="AE170" s="344">
        <f t="shared" si="162"/>
        <v>3401198.4400000009</v>
      </c>
      <c r="AF170" s="344">
        <f t="shared" si="162"/>
        <v>3401198.4400000009</v>
      </c>
      <c r="AG170" s="344">
        <f t="shared" si="162"/>
        <v>3401198.4400000009</v>
      </c>
      <c r="AH170" s="344">
        <f t="shared" si="162"/>
        <v>3401198.4400000009</v>
      </c>
      <c r="AI170" s="344">
        <f t="shared" si="162"/>
        <v>3401198.4400000009</v>
      </c>
      <c r="AJ170" s="344">
        <f t="shared" si="162"/>
        <v>3401198.4400000009</v>
      </c>
      <c r="AK170" s="344">
        <f t="shared" si="162"/>
        <v>3401198.4400000009</v>
      </c>
      <c r="AL170" s="344">
        <f t="shared" si="162"/>
        <v>3401198.4400000009</v>
      </c>
      <c r="AM170" s="344">
        <f t="shared" si="162"/>
        <v>3401198.4400000009</v>
      </c>
      <c r="AN170" s="344">
        <f t="shared" si="162"/>
        <v>3401198.4400000009</v>
      </c>
      <c r="AO170" s="344">
        <f t="shared" si="162"/>
        <v>3401198.4400000009</v>
      </c>
      <c r="AP170" s="344">
        <f t="shared" si="162"/>
        <v>3401198.4400000009</v>
      </c>
      <c r="AQ170" s="344">
        <f t="shared" si="162"/>
        <v>3401198.4400000009</v>
      </c>
      <c r="AR170" s="352"/>
      <c r="AS170" s="321">
        <f>+AR168+AR166-AR164</f>
        <v>0</v>
      </c>
      <c r="AW170" s="274" t="str">
        <f>IF(F170="","X",F170)</f>
        <v>DE</v>
      </c>
      <c r="AX170" s="335" t="s">
        <v>4</v>
      </c>
    </row>
    <row r="171" spans="1:50" ht="18" hidden="1" customHeight="1" thickBot="1">
      <c r="A171" s="353"/>
      <c r="B171" s="2484"/>
      <c r="C171" s="354"/>
      <c r="D171" s="355"/>
      <c r="E171" s="355" t="s">
        <v>34</v>
      </c>
      <c r="F171" s="356" t="s">
        <v>1193</v>
      </c>
      <c r="G171" s="356"/>
      <c r="H171" s="357">
        <f>H170/$D164</f>
        <v>8.0000000000000016E-2</v>
      </c>
      <c r="I171" s="357">
        <f>I170/$D164</f>
        <v>0.17</v>
      </c>
      <c r="J171" s="357">
        <f t="shared" ref="J171:AQ171" si="163">J170/$D164</f>
        <v>0.25000000000000006</v>
      </c>
      <c r="K171" s="357">
        <f t="shared" si="163"/>
        <v>0.34</v>
      </c>
      <c r="L171" s="357">
        <f t="shared" si="163"/>
        <v>0.4200000000000001</v>
      </c>
      <c r="M171" s="357">
        <f t="shared" si="163"/>
        <v>0.51000000000000012</v>
      </c>
      <c r="N171" s="357">
        <f t="shared" si="163"/>
        <v>0.59000000000000019</v>
      </c>
      <c r="O171" s="357">
        <f t="shared" si="163"/>
        <v>0.68000000000000016</v>
      </c>
      <c r="P171" s="357">
        <f t="shared" si="163"/>
        <v>0.76000000000000023</v>
      </c>
      <c r="Q171" s="357">
        <f t="shared" si="163"/>
        <v>0.8400000000000003</v>
      </c>
      <c r="R171" s="357">
        <f t="shared" si="163"/>
        <v>0.92000000000000037</v>
      </c>
      <c r="S171" s="357">
        <f t="shared" si="163"/>
        <v>1.0000000000000004</v>
      </c>
      <c r="T171" s="357">
        <f t="shared" si="163"/>
        <v>1.0000000000000004</v>
      </c>
      <c r="U171" s="357">
        <f t="shared" si="163"/>
        <v>1.0000000000000004</v>
      </c>
      <c r="V171" s="357">
        <f t="shared" si="163"/>
        <v>1.0000000000000004</v>
      </c>
      <c r="W171" s="357">
        <f t="shared" si="163"/>
        <v>1.0000000000000004</v>
      </c>
      <c r="X171" s="357">
        <f t="shared" si="163"/>
        <v>1.0000000000000004</v>
      </c>
      <c r="Y171" s="357">
        <f t="shared" si="163"/>
        <v>1.0000000000000004</v>
      </c>
      <c r="Z171" s="357">
        <f t="shared" si="163"/>
        <v>1.0000000000000004</v>
      </c>
      <c r="AA171" s="357">
        <f t="shared" si="163"/>
        <v>1.0000000000000004</v>
      </c>
      <c r="AB171" s="357">
        <f t="shared" si="163"/>
        <v>1.0000000000000004</v>
      </c>
      <c r="AC171" s="357">
        <f t="shared" si="163"/>
        <v>1.0000000000000004</v>
      </c>
      <c r="AD171" s="357">
        <f t="shared" si="163"/>
        <v>1.0000000000000004</v>
      </c>
      <c r="AE171" s="357">
        <f t="shared" si="163"/>
        <v>1.0000000000000004</v>
      </c>
      <c r="AF171" s="357">
        <f t="shared" si="163"/>
        <v>1.0000000000000004</v>
      </c>
      <c r="AG171" s="357">
        <f t="shared" si="163"/>
        <v>1.0000000000000004</v>
      </c>
      <c r="AH171" s="357">
        <f t="shared" si="163"/>
        <v>1.0000000000000004</v>
      </c>
      <c r="AI171" s="357">
        <f t="shared" si="163"/>
        <v>1.0000000000000004</v>
      </c>
      <c r="AJ171" s="357">
        <f t="shared" si="163"/>
        <v>1.0000000000000004</v>
      </c>
      <c r="AK171" s="357">
        <f t="shared" si="163"/>
        <v>1.0000000000000004</v>
      </c>
      <c r="AL171" s="357">
        <f t="shared" si="163"/>
        <v>1.0000000000000004</v>
      </c>
      <c r="AM171" s="357">
        <f t="shared" si="163"/>
        <v>1.0000000000000004</v>
      </c>
      <c r="AN171" s="357">
        <f t="shared" si="163"/>
        <v>1.0000000000000004</v>
      </c>
      <c r="AO171" s="357">
        <f t="shared" si="163"/>
        <v>1.0000000000000004</v>
      </c>
      <c r="AP171" s="357">
        <f t="shared" si="163"/>
        <v>1.0000000000000004</v>
      </c>
      <c r="AQ171" s="357">
        <f t="shared" si="163"/>
        <v>1.0000000000000004</v>
      </c>
      <c r="AR171" s="352"/>
      <c r="AW171" s="274" t="str">
        <f>IF(F171="","X",F171)</f>
        <v>DE</v>
      </c>
      <c r="AX171" s="335" t="s">
        <v>4</v>
      </c>
    </row>
    <row r="172" spans="1:50" s="295" customFormat="1" ht="18" hidden="1" customHeight="1" thickBot="1">
      <c r="A172" s="292"/>
      <c r="B172" s="292"/>
      <c r="C172" s="292"/>
      <c r="D172" s="292"/>
      <c r="E172" s="358"/>
      <c r="F172" s="358"/>
      <c r="G172" s="358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321"/>
    </row>
    <row r="173" spans="1:50" s="295" customFormat="1" ht="18" hidden="1" customHeight="1">
      <c r="A173" s="292"/>
      <c r="B173" s="292"/>
      <c r="C173" s="292"/>
      <c r="D173" s="292"/>
      <c r="E173" s="358"/>
      <c r="F173" s="358"/>
      <c r="G173" s="358"/>
      <c r="H173" s="292"/>
      <c r="I173" s="292"/>
      <c r="J173" s="292"/>
      <c r="K173" s="292"/>
      <c r="L173" s="308" t="str">
        <f>L174</f>
        <v>ATENÇÃO: A ÚLTIMA MEDIÇÃO DO CONCEDENTE TEM DE SER MAIOR QUE 10%</v>
      </c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321"/>
    </row>
    <row r="174" spans="1:50" s="295" customFormat="1" ht="18" hidden="1" customHeight="1">
      <c r="H174" s="2485" t="s">
        <v>1201</v>
      </c>
      <c r="I174" s="2485"/>
      <c r="J174" s="2485"/>
      <c r="K174" s="2485"/>
      <c r="L174" s="2486" t="s">
        <v>1202</v>
      </c>
      <c r="M174" s="2486"/>
      <c r="N174" s="2486"/>
      <c r="O174" s="2486"/>
    </row>
    <row r="175" spans="1:50" s="295" customFormat="1" ht="18" hidden="1" customHeight="1">
      <c r="B175" s="359" t="e">
        <f>IF(B174=#REF!,"PLANILHA CORRETA","PLANILHA ERRADA")</f>
        <v>#REF!</v>
      </c>
      <c r="C175" s="359"/>
      <c r="D175" s="335">
        <f>Orcamento!S14</f>
        <v>0</v>
      </c>
      <c r="H175" s="2485"/>
      <c r="I175" s="2485"/>
      <c r="J175" s="2485"/>
      <c r="K175" s="2485"/>
      <c r="L175" s="2486"/>
      <c r="M175" s="2486"/>
      <c r="N175" s="2486"/>
      <c r="O175" s="2486"/>
    </row>
    <row r="176" spans="1:50" s="295" customFormat="1" ht="18" hidden="1" customHeight="1"/>
    <row r="177" spans="4:7" ht="18" hidden="1" customHeight="1">
      <c r="E177" s="283"/>
      <c r="F177" s="283"/>
      <c r="G177" s="283"/>
    </row>
    <row r="178" spans="4:7" ht="18" hidden="1" customHeight="1">
      <c r="E178" s="283"/>
      <c r="F178" s="283"/>
      <c r="G178" s="283"/>
    </row>
    <row r="179" spans="4:7" hidden="1">
      <c r="E179" s="283"/>
      <c r="F179" s="283"/>
      <c r="G179" s="283"/>
    </row>
    <row r="180" spans="4:7" hidden="1">
      <c r="E180" s="283"/>
      <c r="F180" s="283"/>
      <c r="G180" s="283"/>
    </row>
    <row r="181" spans="4:7" hidden="1">
      <c r="E181" s="283"/>
      <c r="F181" s="283"/>
      <c r="G181" s="283"/>
    </row>
    <row r="182" spans="4:7" hidden="1">
      <c r="E182" s="283"/>
      <c r="F182" s="283"/>
      <c r="G182" s="283"/>
    </row>
    <row r="183" spans="4:7" hidden="1">
      <c r="D183" s="360"/>
    </row>
    <row r="184" spans="4:7" hidden="1">
      <c r="D184" s="360"/>
    </row>
    <row r="185" spans="4:7" ht="12.75" hidden="1">
      <c r="E185" s="362"/>
      <c r="F185" s="362"/>
      <c r="G185" s="362"/>
    </row>
    <row r="186" spans="4:7" ht="12.75" hidden="1">
      <c r="D186" s="362"/>
      <c r="E186" s="362"/>
      <c r="F186" s="362"/>
      <c r="G186" s="362"/>
    </row>
    <row r="187" spans="4:7" ht="12.75" hidden="1">
      <c r="D187" s="362"/>
      <c r="E187" s="362"/>
      <c r="F187" s="362"/>
      <c r="G187" s="362"/>
    </row>
    <row r="188" spans="4:7" hidden="1">
      <c r="E188" s="283"/>
      <c r="F188" s="283"/>
      <c r="G188" s="283"/>
    </row>
    <row r="189" spans="4:7" ht="12.75" hidden="1">
      <c r="E189" s="362"/>
      <c r="F189" s="362"/>
      <c r="G189" s="362"/>
    </row>
    <row r="190" spans="4:7" ht="12.75" hidden="1">
      <c r="D190" s="362"/>
      <c r="E190" s="362"/>
      <c r="F190" s="362"/>
      <c r="G190" s="362"/>
    </row>
    <row r="191" spans="4:7" ht="12.75" hidden="1">
      <c r="D191" s="362"/>
      <c r="E191" s="362"/>
      <c r="F191" s="362"/>
      <c r="G191" s="362"/>
    </row>
    <row r="192" spans="4:7" ht="12.75" hidden="1">
      <c r="D192" s="362"/>
      <c r="E192" s="362"/>
      <c r="F192" s="362"/>
      <c r="G192" s="362"/>
    </row>
    <row r="193" spans="4:7" ht="12.75" hidden="1">
      <c r="D193" s="68"/>
      <c r="E193" s="67"/>
      <c r="F193" s="67"/>
      <c r="G193" s="67"/>
    </row>
    <row r="194" spans="4:7" ht="12.75" hidden="1">
      <c r="D194" s="68"/>
      <c r="E194" s="67"/>
      <c r="F194" s="67"/>
      <c r="G194" s="67"/>
    </row>
    <row r="195" spans="4:7" ht="12.75" hidden="1">
      <c r="D195" s="68"/>
      <c r="E195" s="67"/>
      <c r="F195" s="67"/>
      <c r="G195" s="67"/>
    </row>
    <row r="196" spans="4:7" ht="12.75" hidden="1">
      <c r="D196" s="68"/>
      <c r="E196" s="67"/>
      <c r="F196" s="67"/>
      <c r="G196" s="67"/>
    </row>
    <row r="197" spans="4:7" ht="12.75" hidden="1">
      <c r="E197" s="67"/>
      <c r="F197" s="67"/>
      <c r="G197" s="67"/>
    </row>
    <row r="198" spans="4:7" ht="12.75" hidden="1">
      <c r="D198" s="362"/>
      <c r="E198" s="67"/>
      <c r="F198" s="67"/>
      <c r="G198" s="67"/>
    </row>
    <row r="199" spans="4:7" ht="12.75" hidden="1">
      <c r="D199" s="362"/>
      <c r="E199" s="67"/>
      <c r="F199" s="67"/>
      <c r="G199" s="67"/>
    </row>
    <row r="200" spans="4:7" ht="12.75" hidden="1">
      <c r="D200" s="362"/>
      <c r="E200" s="67"/>
      <c r="F200" s="67"/>
      <c r="G200" s="67"/>
    </row>
    <row r="201" spans="4:7" ht="12.75" hidden="1">
      <c r="D201" s="67"/>
      <c r="E201" s="67"/>
      <c r="F201" s="67"/>
      <c r="G201" s="67"/>
    </row>
    <row r="202" spans="4:7" ht="12.75" hidden="1">
      <c r="D202" s="67"/>
      <c r="E202" s="67"/>
      <c r="F202" s="67"/>
      <c r="G202" s="67"/>
    </row>
    <row r="203" spans="4:7" ht="12.75" hidden="1">
      <c r="D203" s="67"/>
      <c r="E203" s="67"/>
      <c r="F203" s="67"/>
      <c r="G203" s="67"/>
    </row>
    <row r="204" spans="4:7" ht="12.75" hidden="1">
      <c r="D204" s="67"/>
      <c r="E204" s="67"/>
      <c r="F204" s="67"/>
      <c r="G204" s="67"/>
    </row>
    <row r="205" spans="4:7" ht="12.75" hidden="1">
      <c r="D205" s="67"/>
      <c r="E205" s="67"/>
      <c r="F205" s="67"/>
      <c r="G205" s="67"/>
    </row>
    <row r="206" spans="4:7" ht="12.75" hidden="1">
      <c r="D206" s="67"/>
      <c r="E206" s="67"/>
      <c r="F206" s="67"/>
      <c r="G206" s="67"/>
    </row>
    <row r="207" spans="4:7" ht="12.75" hidden="1">
      <c r="D207" s="67"/>
      <c r="E207" s="67"/>
      <c r="F207" s="67"/>
      <c r="G207" s="67"/>
    </row>
    <row r="208" spans="4:7" ht="12.75" hidden="1">
      <c r="D208" s="67"/>
      <c r="E208" s="67"/>
      <c r="F208" s="67"/>
      <c r="G208" s="67"/>
    </row>
    <row r="209" spans="4:7" hidden="1">
      <c r="E209" s="283"/>
      <c r="F209" s="283"/>
      <c r="G209" s="283"/>
    </row>
    <row r="210" spans="4:7" ht="12.75" hidden="1">
      <c r="D210" s="363"/>
      <c r="E210" s="362"/>
      <c r="F210" s="362"/>
      <c r="G210" s="362"/>
    </row>
    <row r="211" spans="4:7" ht="12.75" hidden="1">
      <c r="D211" s="363"/>
      <c r="E211" s="362"/>
      <c r="F211" s="362"/>
      <c r="G211" s="362"/>
    </row>
    <row r="212" spans="4:7" ht="12.75" hidden="1">
      <c r="D212" s="363"/>
      <c r="E212" s="362"/>
      <c r="F212" s="362"/>
      <c r="G212" s="362"/>
    </row>
    <row r="213" spans="4:7" ht="12.75" hidden="1">
      <c r="D213" s="67"/>
      <c r="E213" s="67"/>
      <c r="F213" s="67"/>
      <c r="G213" s="67"/>
    </row>
    <row r="214" spans="4:7" ht="12.75" hidden="1">
      <c r="D214" s="67"/>
      <c r="E214" s="67"/>
      <c r="F214" s="67"/>
      <c r="G214" s="67"/>
    </row>
    <row r="215" spans="4:7" ht="12.75" hidden="1">
      <c r="D215" s="67"/>
      <c r="E215" s="67"/>
      <c r="F215" s="67"/>
      <c r="G215" s="67"/>
    </row>
    <row r="216" spans="4:7" ht="12.75" hidden="1">
      <c r="D216" s="67"/>
      <c r="E216" s="67"/>
      <c r="F216" s="67"/>
      <c r="G216" s="67"/>
    </row>
    <row r="217" spans="4:7" hidden="1">
      <c r="E217" s="283"/>
      <c r="F217" s="283"/>
      <c r="G217" s="283"/>
    </row>
    <row r="218" spans="4:7" ht="12.75" hidden="1">
      <c r="D218" s="363"/>
      <c r="E218" s="362"/>
      <c r="F218" s="362"/>
      <c r="G218" s="362"/>
    </row>
    <row r="219" spans="4:7" ht="12.75" hidden="1">
      <c r="D219" s="363"/>
      <c r="E219" s="362"/>
      <c r="F219" s="362"/>
      <c r="G219" s="362"/>
    </row>
    <row r="220" spans="4:7" ht="12.75" hidden="1">
      <c r="D220" s="363"/>
      <c r="E220" s="362"/>
      <c r="F220" s="362"/>
      <c r="G220" s="362"/>
    </row>
    <row r="221" spans="4:7" hidden="1">
      <c r="D221" s="364"/>
    </row>
    <row r="222" spans="4:7" hidden="1">
      <c r="D222" s="364"/>
    </row>
    <row r="223" spans="4:7" hidden="1">
      <c r="D223" s="364"/>
    </row>
    <row r="224" spans="4:7" hidden="1">
      <c r="D224" s="364"/>
    </row>
    <row r="225" spans="4:4" hidden="1">
      <c r="D225" s="364"/>
    </row>
    <row r="226" spans="4:4" hidden="1">
      <c r="D226" s="364"/>
    </row>
    <row r="227" spans="4:4" hidden="1">
      <c r="D227" s="364"/>
    </row>
    <row r="228" spans="4:4" hidden="1">
      <c r="D228" s="364"/>
    </row>
    <row r="229" spans="4:4" hidden="1">
      <c r="D229" s="364"/>
    </row>
    <row r="230" spans="4:4" hidden="1">
      <c r="D230" s="364"/>
    </row>
    <row r="231" spans="4:4" hidden="1">
      <c r="D231" s="364"/>
    </row>
    <row r="232" spans="4:4" hidden="1">
      <c r="D232" s="364"/>
    </row>
    <row r="233" spans="4:4" hidden="1">
      <c r="D233" s="364"/>
    </row>
    <row r="234" spans="4:4" hidden="1">
      <c r="D234" s="364"/>
    </row>
    <row r="235" spans="4:4" hidden="1">
      <c r="D235" s="364"/>
    </row>
    <row r="236" spans="4:4" hidden="1">
      <c r="D236" s="364"/>
    </row>
    <row r="237" spans="4:4" hidden="1">
      <c r="D237" s="364"/>
    </row>
    <row r="238" spans="4:4" hidden="1">
      <c r="D238" s="364"/>
    </row>
    <row r="239" spans="4:4" hidden="1">
      <c r="D239" s="364"/>
    </row>
    <row r="240" spans="4:4" hidden="1">
      <c r="D240" s="364"/>
    </row>
    <row r="241" spans="4:4" hidden="1">
      <c r="D241" s="364"/>
    </row>
    <row r="242" spans="4:4" hidden="1">
      <c r="D242" s="364"/>
    </row>
  </sheetData>
  <autoFilter ref="A1:AX242" xr:uid="{00000000-0001-0000-0600-000000000000}">
    <filterColumn colId="48">
      <filters>
        <filter val="ND"/>
        <filter val="X"/>
      </filters>
    </filterColumn>
    <filterColumn colId="49">
      <filters>
        <filter val="X"/>
      </filters>
    </filterColumn>
  </autoFilter>
  <mergeCells count="197">
    <mergeCell ref="A9:A15"/>
    <mergeCell ref="B9:B15"/>
    <mergeCell ref="D10:E10"/>
    <mergeCell ref="AS10:AS11"/>
    <mergeCell ref="AU10:AU11"/>
    <mergeCell ref="D11:E11"/>
    <mergeCell ref="E12:E13"/>
    <mergeCell ref="E14:E15"/>
    <mergeCell ref="D4:E5"/>
    <mergeCell ref="H4:H5"/>
    <mergeCell ref="A7:A8"/>
    <mergeCell ref="B7:B8"/>
    <mergeCell ref="D7:E7"/>
    <mergeCell ref="AR7:AR8"/>
    <mergeCell ref="D8:E8"/>
    <mergeCell ref="A23:A29"/>
    <mergeCell ref="B23:B29"/>
    <mergeCell ref="D24:E24"/>
    <mergeCell ref="AS24:AS25"/>
    <mergeCell ref="AU24:AU25"/>
    <mergeCell ref="D25:E25"/>
    <mergeCell ref="E26:E27"/>
    <mergeCell ref="E28:E29"/>
    <mergeCell ref="A16:A22"/>
    <mergeCell ref="B16:B22"/>
    <mergeCell ref="D17:E17"/>
    <mergeCell ref="AS17:AS18"/>
    <mergeCell ref="AU17:AU18"/>
    <mergeCell ref="D18:E18"/>
    <mergeCell ref="E19:E20"/>
    <mergeCell ref="E21:E22"/>
    <mergeCell ref="A37:A43"/>
    <mergeCell ref="B37:B43"/>
    <mergeCell ref="D38:E38"/>
    <mergeCell ref="AS38:AS39"/>
    <mergeCell ref="AU38:AU39"/>
    <mergeCell ref="D39:E39"/>
    <mergeCell ref="E40:E41"/>
    <mergeCell ref="E42:E43"/>
    <mergeCell ref="A30:A36"/>
    <mergeCell ref="B30:B36"/>
    <mergeCell ref="D31:E31"/>
    <mergeCell ref="AS31:AS32"/>
    <mergeCell ref="AU31:AU32"/>
    <mergeCell ref="D32:E32"/>
    <mergeCell ref="E33:E34"/>
    <mergeCell ref="E35:E36"/>
    <mergeCell ref="A51:A57"/>
    <mergeCell ref="B51:B57"/>
    <mergeCell ref="D52:E52"/>
    <mergeCell ref="AS52:AS53"/>
    <mergeCell ref="AU52:AU53"/>
    <mergeCell ref="D53:E53"/>
    <mergeCell ref="E54:E55"/>
    <mergeCell ref="E56:E57"/>
    <mergeCell ref="A44:A50"/>
    <mergeCell ref="B44:B50"/>
    <mergeCell ref="D45:E45"/>
    <mergeCell ref="AS45:AS46"/>
    <mergeCell ref="AU45:AU46"/>
    <mergeCell ref="D46:E46"/>
    <mergeCell ref="E47:E48"/>
    <mergeCell ref="E49:E50"/>
    <mergeCell ref="A65:A71"/>
    <mergeCell ref="B65:B71"/>
    <mergeCell ref="D66:E66"/>
    <mergeCell ref="AS66:AS67"/>
    <mergeCell ref="AU66:AU67"/>
    <mergeCell ref="D67:E67"/>
    <mergeCell ref="E68:E69"/>
    <mergeCell ref="E70:E71"/>
    <mergeCell ref="A58:A64"/>
    <mergeCell ref="B58:B64"/>
    <mergeCell ref="D59:E59"/>
    <mergeCell ref="AS59:AS60"/>
    <mergeCell ref="AU59:AU60"/>
    <mergeCell ref="D60:E60"/>
    <mergeCell ref="E61:E62"/>
    <mergeCell ref="E63:E64"/>
    <mergeCell ref="A79:A85"/>
    <mergeCell ref="B79:B85"/>
    <mergeCell ref="D80:E80"/>
    <mergeCell ref="AS80:AS81"/>
    <mergeCell ref="AU80:AU81"/>
    <mergeCell ref="D81:E81"/>
    <mergeCell ref="E82:E83"/>
    <mergeCell ref="E84:E85"/>
    <mergeCell ref="A72:A78"/>
    <mergeCell ref="B72:B78"/>
    <mergeCell ref="D73:E73"/>
    <mergeCell ref="AS73:AS74"/>
    <mergeCell ref="AU73:AU74"/>
    <mergeCell ref="D74:E74"/>
    <mergeCell ref="E75:E76"/>
    <mergeCell ref="E77:E78"/>
    <mergeCell ref="A93:A99"/>
    <mergeCell ref="B93:B99"/>
    <mergeCell ref="D94:E94"/>
    <mergeCell ref="AS94:AS95"/>
    <mergeCell ref="AU94:AU95"/>
    <mergeCell ref="D95:E95"/>
    <mergeCell ref="E96:E97"/>
    <mergeCell ref="E98:E99"/>
    <mergeCell ref="A86:A92"/>
    <mergeCell ref="B86:B92"/>
    <mergeCell ref="D87:E87"/>
    <mergeCell ref="AS87:AS88"/>
    <mergeCell ref="AU87:AU88"/>
    <mergeCell ref="D88:E88"/>
    <mergeCell ref="E89:E90"/>
    <mergeCell ref="E91:E92"/>
    <mergeCell ref="A107:A113"/>
    <mergeCell ref="B107:B113"/>
    <mergeCell ref="D108:E108"/>
    <mergeCell ref="AS108:AS109"/>
    <mergeCell ref="AU108:AU109"/>
    <mergeCell ref="D109:E109"/>
    <mergeCell ref="E110:E111"/>
    <mergeCell ref="E112:E113"/>
    <mergeCell ref="A100:A106"/>
    <mergeCell ref="B100:B106"/>
    <mergeCell ref="D101:E101"/>
    <mergeCell ref="AS101:AS102"/>
    <mergeCell ref="AU101:AU102"/>
    <mergeCell ref="D102:E102"/>
    <mergeCell ref="E103:E104"/>
    <mergeCell ref="E105:E106"/>
    <mergeCell ref="A121:A127"/>
    <mergeCell ref="B121:B127"/>
    <mergeCell ref="D122:E122"/>
    <mergeCell ref="AS122:AS123"/>
    <mergeCell ref="AU122:AU123"/>
    <mergeCell ref="D123:E123"/>
    <mergeCell ref="E124:E125"/>
    <mergeCell ref="E126:E127"/>
    <mergeCell ref="A114:A120"/>
    <mergeCell ref="B114:B120"/>
    <mergeCell ref="D115:E115"/>
    <mergeCell ref="AS115:AS116"/>
    <mergeCell ref="AU115:AU116"/>
    <mergeCell ref="D116:E116"/>
    <mergeCell ref="E117:E118"/>
    <mergeCell ref="E119:E120"/>
    <mergeCell ref="A135:A141"/>
    <mergeCell ref="B135:B141"/>
    <mergeCell ref="D136:E136"/>
    <mergeCell ref="AS136:AS137"/>
    <mergeCell ref="AU136:AU137"/>
    <mergeCell ref="D137:E137"/>
    <mergeCell ref="E138:E139"/>
    <mergeCell ref="E140:E141"/>
    <mergeCell ref="A128:A134"/>
    <mergeCell ref="B128:B134"/>
    <mergeCell ref="D129:E129"/>
    <mergeCell ref="AS129:AS130"/>
    <mergeCell ref="AU129:AU130"/>
    <mergeCell ref="D130:E130"/>
    <mergeCell ref="E131:E132"/>
    <mergeCell ref="E133:E134"/>
    <mergeCell ref="A149:A155"/>
    <mergeCell ref="B149:B155"/>
    <mergeCell ref="D150:E150"/>
    <mergeCell ref="AS150:AS151"/>
    <mergeCell ref="AU150:AU151"/>
    <mergeCell ref="D151:E151"/>
    <mergeCell ref="E152:E153"/>
    <mergeCell ref="E154:E155"/>
    <mergeCell ref="A142:A148"/>
    <mergeCell ref="B142:B148"/>
    <mergeCell ref="D143:E143"/>
    <mergeCell ref="AS143:AS144"/>
    <mergeCell ref="AU143:AU144"/>
    <mergeCell ref="D144:E144"/>
    <mergeCell ref="E145:E146"/>
    <mergeCell ref="E147:E148"/>
    <mergeCell ref="B160:B161"/>
    <mergeCell ref="D160:E160"/>
    <mergeCell ref="D161:E161"/>
    <mergeCell ref="B162:B163"/>
    <mergeCell ref="B164:B165"/>
    <mergeCell ref="D164:E164"/>
    <mergeCell ref="D165:E165"/>
    <mergeCell ref="B156:B157"/>
    <mergeCell ref="D156:E156"/>
    <mergeCell ref="D157:E157"/>
    <mergeCell ref="B158:B159"/>
    <mergeCell ref="D158:E158"/>
    <mergeCell ref="D159:E159"/>
    <mergeCell ref="B170:B171"/>
    <mergeCell ref="H174:K175"/>
    <mergeCell ref="L174:O175"/>
    <mergeCell ref="B166:B167"/>
    <mergeCell ref="D166:E166"/>
    <mergeCell ref="D167:E167"/>
    <mergeCell ref="B168:B169"/>
    <mergeCell ref="D168:E168"/>
    <mergeCell ref="D169:E169"/>
  </mergeCells>
  <conditionalFormatting sqref="H72:S72">
    <cfRule type="cellIs" dxfId="124" priority="2" operator="greaterThan">
      <formula>0</formula>
    </cfRule>
  </conditionalFormatting>
  <conditionalFormatting sqref="H142:S142">
    <cfRule type="cellIs" dxfId="123" priority="1" operator="greaterThan">
      <formula>0</formula>
    </cfRule>
  </conditionalFormatting>
  <conditionalFormatting sqref="H9:AQ9">
    <cfRule type="cellIs" dxfId="122" priority="4" operator="greaterThan">
      <formula>0</formula>
    </cfRule>
  </conditionalFormatting>
  <conditionalFormatting sqref="H10:AR11 H17:AR18 H24:AR25 H31:AR32 H38:AR39 H45:AR46 H52:AR53 H59:AR60 H66:AR67 H73:AR74 H80:AR81 H87:AR88 H94:AR95 H101:AR102 H108:AR109 H115:AR116 H122:AR123 H129:AR130 H136:AR137 H143:AR144 H150:AR151">
    <cfRule type="expression" dxfId="121" priority="7">
      <formula>$AR10&lt;&gt;1</formula>
    </cfRule>
  </conditionalFormatting>
  <conditionalFormatting sqref="L173">
    <cfRule type="cellIs" dxfId="120" priority="3" operator="greaterThan">
      <formula>0</formula>
    </cfRule>
  </conditionalFormatting>
  <conditionalFormatting sqref="AS14:AS15 AS21:AS22 AS28:AS29 AS35:AS36 AS42:AS43 AS49:AS50 AS56:AS57 AS63:AS64 AS70:AS71 AS77:AS78 AS84:AS85 AS91:AS92 AS98:AS99 AS105:AS106 AS112:AS113 AS119:AS120 AS126:AS127 AS133:AS134 AS140:AS141 AS147:AS148 AS154:AS155">
    <cfRule type="cellIs" dxfId="119" priority="5" operator="lessThan">
      <formula>0</formula>
    </cfRule>
    <cfRule type="cellIs" dxfId="118" priority="6" operator="greaterThan">
      <formula>0</formula>
    </cfRule>
  </conditionalFormatting>
  <hyperlinks>
    <hyperlink ref="A7:A8" location="PAINEL!A1" display="ITEM" xr:uid="{BDE7E567-080E-4C64-B0D9-26261ED60798}"/>
  </hyperlinks>
  <printOptions horizontalCentered="1"/>
  <pageMargins left="0.39370078740157477" right="0.59055118110236215" top="0.39370078740157477" bottom="0.59055118110236215" header="0.31496062992125984" footer="0.23622047244094491"/>
  <pageSetup paperSize="9" scale="52" orientation="landscape" r:id="rId1"/>
  <headerFooter>
    <oddFooter>&amp;C&amp;8Página &amp;P/&amp;N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FC57C-C35C-4641-B9DC-BC305C92C932}">
  <sheetPr codeName="Planilha10" filterMode="1">
    <tabColor rgb="FF92D050"/>
  </sheetPr>
  <dimension ref="A1:BA242"/>
  <sheetViews>
    <sheetView showZeros="0" topLeftCell="D1" zoomScaleNormal="100" workbookViewId="0">
      <selection activeCell="D75" sqref="D75"/>
    </sheetView>
  </sheetViews>
  <sheetFormatPr defaultColWidth="9" defaultRowHeight="12"/>
  <cols>
    <col min="1" max="1" width="10.625" style="283" customWidth="1"/>
    <col min="2" max="2" width="45.625" style="283" customWidth="1"/>
    <col min="3" max="3" width="11.25" style="283" hidden="1" customWidth="1"/>
    <col min="4" max="4" width="12.75" style="283" customWidth="1"/>
    <col min="5" max="5" width="11.625" style="361" customWidth="1"/>
    <col min="6" max="6" width="11.625" style="361" hidden="1" customWidth="1"/>
    <col min="7" max="7" width="15.5" style="361" hidden="1" customWidth="1"/>
    <col min="8" max="19" width="14.625" style="283" customWidth="1"/>
    <col min="20" max="43" width="14.625" style="283" hidden="1" customWidth="1"/>
    <col min="44" max="44" width="16.625" style="283" customWidth="1"/>
    <col min="45" max="45" width="12.375" style="283" hidden="1" customWidth="1"/>
    <col min="46" max="46" width="10.5" style="283" hidden="1" customWidth="1"/>
    <col min="47" max="48" width="9" style="283" hidden="1" customWidth="1"/>
    <col min="49" max="49" width="18.125" style="283" hidden="1" customWidth="1"/>
    <col min="50" max="51" width="9" style="283" hidden="1" customWidth="1"/>
    <col min="52" max="52" width="18.125" style="283" hidden="1" customWidth="1"/>
    <col min="53" max="53" width="9" style="283" hidden="1" customWidth="1"/>
    <col min="54" max="54" width="9" style="283" customWidth="1"/>
    <col min="55" max="16384" width="9" style="283"/>
  </cols>
  <sheetData>
    <row r="1" spans="1:51" s="267" customFormat="1" ht="24.95" customHeight="1">
      <c r="A1" s="24" t="str">
        <f>Orcamento!B2</f>
        <v>PREFEITURA MUNICIPAL DE RIBAS DO RIO PARDO</v>
      </c>
      <c r="B1" s="261"/>
      <c r="C1" s="261"/>
      <c r="D1" s="262"/>
      <c r="E1" s="263"/>
      <c r="F1" s="263"/>
      <c r="G1" s="263"/>
      <c r="H1" s="263"/>
      <c r="I1" s="264" t="str">
        <f>Orcamento!B6</f>
        <v>OBRA :</v>
      </c>
      <c r="J1" s="265" t="str">
        <f>Orcamento!D6</f>
        <v>RESTAURAÇÃO FUNCIONAL DO PAVIMENTO</v>
      </c>
      <c r="K1" s="266"/>
      <c r="L1" s="266"/>
      <c r="M1" s="266"/>
      <c r="O1" s="266"/>
      <c r="P1" s="268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266"/>
      <c r="AD1" s="266"/>
      <c r="AE1" s="266"/>
      <c r="AF1" s="266"/>
      <c r="AG1" s="266"/>
      <c r="AH1" s="266"/>
      <c r="AI1" s="266"/>
      <c r="AJ1" s="266"/>
      <c r="AK1" s="266"/>
      <c r="AL1" s="266"/>
      <c r="AM1" s="266"/>
      <c r="AN1" s="266"/>
      <c r="AO1" s="266"/>
      <c r="AP1" s="266"/>
      <c r="AQ1" s="266"/>
      <c r="AR1" s="266"/>
      <c r="AW1" s="267" t="s">
        <v>0</v>
      </c>
      <c r="AX1" s="267" t="s">
        <v>1180</v>
      </c>
      <c r="AY1" s="267" t="s">
        <v>1181</v>
      </c>
    </row>
    <row r="2" spans="1:51" s="267" customFormat="1" ht="24.95" customHeight="1">
      <c r="A2" s="269" t="str">
        <f>Orcamento!B3</f>
        <v>ESTADO DE MATO GROSSO DO SUL</v>
      </c>
      <c r="B2" s="270"/>
      <c r="C2" s="270"/>
      <c r="D2" s="270"/>
      <c r="E2" s="270"/>
      <c r="F2" s="270"/>
      <c r="G2" s="270"/>
      <c r="H2" s="263"/>
      <c r="I2" s="264" t="str">
        <f>Orcamento!B7</f>
        <v>LOCAL :</v>
      </c>
      <c r="J2" s="271" t="str">
        <f>Orcamento!D7</f>
        <v>VÁRIAS RUAS</v>
      </c>
      <c r="K2" s="272"/>
      <c r="L2" s="272"/>
      <c r="M2" s="272"/>
      <c r="N2" s="272"/>
      <c r="O2" s="272"/>
      <c r="P2" s="272"/>
      <c r="Q2" s="272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W2" s="274" t="s">
        <v>4</v>
      </c>
      <c r="AX2" s="267" t="s">
        <v>4</v>
      </c>
      <c r="AY2" s="267">
        <f>[1]DADOS!B51</f>
        <v>12</v>
      </c>
    </row>
    <row r="3" spans="1:51" s="277" customFormat="1" ht="18" customHeight="1">
      <c r="A3" s="269">
        <f>Orcamento!B4</f>
        <v>0</v>
      </c>
      <c r="B3" s="270"/>
      <c r="C3" s="270"/>
      <c r="D3" s="270"/>
      <c r="E3" s="270"/>
      <c r="F3" s="270"/>
      <c r="G3" s="270"/>
      <c r="H3" s="275"/>
      <c r="I3" s="276"/>
      <c r="J3" s="272"/>
      <c r="K3" s="272"/>
      <c r="L3" s="272"/>
      <c r="M3" s="272"/>
      <c r="N3" s="272"/>
      <c r="O3" s="272"/>
      <c r="P3" s="272"/>
      <c r="Q3" s="272"/>
      <c r="AR3" s="266"/>
      <c r="AW3" s="274" t="s">
        <v>4</v>
      </c>
      <c r="AX3" s="267" t="s">
        <v>4</v>
      </c>
    </row>
    <row r="4" spans="1:51" s="277" customFormat="1" ht="18" customHeight="1">
      <c r="A4" s="278"/>
      <c r="D4" s="2512">
        <f>Orcamento!N10</f>
        <v>0</v>
      </c>
      <c r="E4" s="2512"/>
      <c r="F4" s="279"/>
      <c r="G4" s="279"/>
      <c r="H4" s="2513" t="e" vm="2">
        <f>Orcamento!S10</f>
        <v>#VALUE!</v>
      </c>
      <c r="I4" s="276"/>
      <c r="J4" s="266"/>
      <c r="K4" s="266"/>
      <c r="L4" s="266"/>
      <c r="O4" s="266"/>
      <c r="Q4" s="266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W4" s="274" t="s">
        <v>4</v>
      </c>
      <c r="AX4" s="267" t="s">
        <v>4</v>
      </c>
    </row>
    <row r="5" spans="1:51" s="277" customFormat="1" ht="24.95" customHeight="1">
      <c r="A5" s="278" t="s">
        <v>1182</v>
      </c>
      <c r="B5" s="280"/>
      <c r="C5" s="280"/>
      <c r="D5" s="2512"/>
      <c r="E5" s="2512"/>
      <c r="F5" s="280"/>
      <c r="G5" s="280"/>
      <c r="H5" s="2513"/>
      <c r="I5" s="108" t="s">
        <v>3</v>
      </c>
      <c r="J5" s="281">
        <f>Orcamento!O2</f>
        <v>45383</v>
      </c>
      <c r="K5" s="276"/>
      <c r="L5" s="266"/>
      <c r="O5" s="280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W5" s="274" t="s">
        <v>4</v>
      </c>
      <c r="AX5" s="267" t="s">
        <v>4</v>
      </c>
    </row>
    <row r="6" spans="1:51" ht="18" customHeight="1" thickBot="1">
      <c r="A6" s="282"/>
      <c r="D6" s="284"/>
      <c r="E6" s="285"/>
      <c r="F6" s="285"/>
      <c r="G6" s="285"/>
      <c r="I6" s="108" t="s">
        <v>7</v>
      </c>
      <c r="J6" s="286" t="s">
        <v>1183</v>
      </c>
      <c r="K6" s="282"/>
      <c r="P6" s="287"/>
      <c r="Q6" s="288"/>
      <c r="R6" s="288"/>
      <c r="S6" s="288"/>
      <c r="T6" s="288"/>
      <c r="U6" s="288"/>
      <c r="V6" s="288"/>
      <c r="W6" s="288"/>
      <c r="X6" s="288"/>
      <c r="Y6" s="288"/>
      <c r="Z6" s="288"/>
      <c r="AA6" s="288"/>
      <c r="AB6" s="288"/>
      <c r="AC6" s="288"/>
      <c r="AD6" s="288"/>
      <c r="AE6" s="288"/>
      <c r="AF6" s="288"/>
      <c r="AG6" s="288"/>
      <c r="AH6" s="288"/>
      <c r="AI6" s="288"/>
      <c r="AJ6" s="288"/>
      <c r="AK6" s="288"/>
      <c r="AL6" s="288"/>
      <c r="AM6" s="288"/>
      <c r="AN6" s="288"/>
      <c r="AO6" s="288"/>
      <c r="AP6" s="288"/>
      <c r="AQ6" s="288"/>
      <c r="AR6" s="288"/>
      <c r="AW6" s="274" t="s">
        <v>4</v>
      </c>
      <c r="AX6" s="267" t="s">
        <v>4</v>
      </c>
    </row>
    <row r="7" spans="1:51" s="295" customFormat="1" ht="24.95" customHeight="1">
      <c r="A7" s="2514" t="s">
        <v>26</v>
      </c>
      <c r="B7" s="2516" t="s">
        <v>1184</v>
      </c>
      <c r="C7" s="289" t="s">
        <v>1185</v>
      </c>
      <c r="D7" s="2518" t="s">
        <v>1186</v>
      </c>
      <c r="E7" s="2519"/>
      <c r="F7" s="290"/>
      <c r="G7" s="290"/>
      <c r="H7" s="291">
        <v>1</v>
      </c>
      <c r="I7" s="291">
        <v>2</v>
      </c>
      <c r="J7" s="291">
        <v>3</v>
      </c>
      <c r="K7" s="291">
        <v>4</v>
      </c>
      <c r="L7" s="291">
        <v>5</v>
      </c>
      <c r="M7" s="291">
        <v>6</v>
      </c>
      <c r="N7" s="291">
        <v>7</v>
      </c>
      <c r="O7" s="291">
        <v>8</v>
      </c>
      <c r="P7" s="291">
        <v>9</v>
      </c>
      <c r="Q7" s="291">
        <v>10</v>
      </c>
      <c r="R7" s="291">
        <v>11</v>
      </c>
      <c r="S7" s="291">
        <v>12</v>
      </c>
      <c r="T7" s="291">
        <v>13</v>
      </c>
      <c r="U7" s="291">
        <v>14</v>
      </c>
      <c r="V7" s="291">
        <v>15</v>
      </c>
      <c r="W7" s="291">
        <v>16</v>
      </c>
      <c r="X7" s="291">
        <v>17</v>
      </c>
      <c r="Y7" s="291">
        <v>18</v>
      </c>
      <c r="Z7" s="291">
        <v>19</v>
      </c>
      <c r="AA7" s="291">
        <v>20</v>
      </c>
      <c r="AB7" s="291">
        <v>21</v>
      </c>
      <c r="AC7" s="291">
        <v>22</v>
      </c>
      <c r="AD7" s="291">
        <v>23</v>
      </c>
      <c r="AE7" s="291">
        <v>24</v>
      </c>
      <c r="AF7" s="291">
        <v>25</v>
      </c>
      <c r="AG7" s="291">
        <v>26</v>
      </c>
      <c r="AH7" s="291">
        <v>27</v>
      </c>
      <c r="AI7" s="291">
        <v>28</v>
      </c>
      <c r="AJ7" s="291">
        <v>29</v>
      </c>
      <c r="AK7" s="291">
        <v>30</v>
      </c>
      <c r="AL7" s="291">
        <v>31</v>
      </c>
      <c r="AM7" s="291">
        <v>32</v>
      </c>
      <c r="AN7" s="291">
        <v>33</v>
      </c>
      <c r="AO7" s="291">
        <v>34</v>
      </c>
      <c r="AP7" s="291">
        <v>35</v>
      </c>
      <c r="AQ7" s="291">
        <v>36</v>
      </c>
      <c r="AR7" s="2520" t="s">
        <v>1187</v>
      </c>
      <c r="AS7" s="292"/>
      <c r="AT7" s="293" t="s">
        <v>1188</v>
      </c>
      <c r="AU7" s="294"/>
      <c r="AV7" s="294"/>
      <c r="AW7" s="274" t="s">
        <v>4</v>
      </c>
      <c r="AX7" s="267" t="s">
        <v>4</v>
      </c>
    </row>
    <row r="8" spans="1:51" s="304" customFormat="1" ht="24.95" customHeight="1" thickBot="1">
      <c r="A8" s="2515"/>
      <c r="B8" s="2517"/>
      <c r="C8" s="296" t="s">
        <v>1189</v>
      </c>
      <c r="D8" s="2522" t="s">
        <v>1190</v>
      </c>
      <c r="E8" s="2523"/>
      <c r="F8" s="297"/>
      <c r="G8" s="297"/>
      <c r="H8" s="298">
        <v>30</v>
      </c>
      <c r="I8" s="299">
        <v>60</v>
      </c>
      <c r="J8" s="298">
        <v>90</v>
      </c>
      <c r="K8" s="299">
        <v>120</v>
      </c>
      <c r="L8" s="298">
        <v>150</v>
      </c>
      <c r="M8" s="299">
        <v>180</v>
      </c>
      <c r="N8" s="298">
        <v>210</v>
      </c>
      <c r="O8" s="299">
        <v>240</v>
      </c>
      <c r="P8" s="298">
        <v>270</v>
      </c>
      <c r="Q8" s="299">
        <v>300</v>
      </c>
      <c r="R8" s="298">
        <v>330</v>
      </c>
      <c r="S8" s="299">
        <v>360</v>
      </c>
      <c r="T8" s="298">
        <v>390</v>
      </c>
      <c r="U8" s="299">
        <v>420</v>
      </c>
      <c r="V8" s="298">
        <v>450</v>
      </c>
      <c r="W8" s="299">
        <v>480</v>
      </c>
      <c r="X8" s="298">
        <v>510</v>
      </c>
      <c r="Y8" s="299">
        <v>540</v>
      </c>
      <c r="Z8" s="298">
        <v>570</v>
      </c>
      <c r="AA8" s="299">
        <v>600</v>
      </c>
      <c r="AB8" s="298">
        <v>630</v>
      </c>
      <c r="AC8" s="299">
        <v>660</v>
      </c>
      <c r="AD8" s="298">
        <v>690</v>
      </c>
      <c r="AE8" s="299">
        <v>720</v>
      </c>
      <c r="AF8" s="298">
        <v>750</v>
      </c>
      <c r="AG8" s="299">
        <v>780</v>
      </c>
      <c r="AH8" s="298">
        <v>810</v>
      </c>
      <c r="AI8" s="299">
        <v>840</v>
      </c>
      <c r="AJ8" s="298">
        <v>870</v>
      </c>
      <c r="AK8" s="299">
        <v>900</v>
      </c>
      <c r="AL8" s="298">
        <v>930</v>
      </c>
      <c r="AM8" s="299">
        <v>960</v>
      </c>
      <c r="AN8" s="298">
        <v>990</v>
      </c>
      <c r="AO8" s="299">
        <v>1020</v>
      </c>
      <c r="AP8" s="298">
        <v>1050</v>
      </c>
      <c r="AQ8" s="299">
        <v>1080</v>
      </c>
      <c r="AR8" s="2521"/>
      <c r="AS8" s="300"/>
      <c r="AT8" s="301" t="e">
        <f>+Orcamento!S43+Orcamento!S50+Orcamento!S67+Orcamento!#REF!</f>
        <v>#REF!</v>
      </c>
      <c r="AU8" s="302" t="s">
        <v>1191</v>
      </c>
      <c r="AV8" s="303" t="e">
        <f>+AT8/D11</f>
        <v>#REF!</v>
      </c>
      <c r="AW8" s="274" t="s">
        <v>4</v>
      </c>
      <c r="AX8" s="267" t="s">
        <v>4</v>
      </c>
    </row>
    <row r="9" spans="1:51" s="274" customFormat="1" ht="9.9499999999999993" customHeight="1">
      <c r="A9" s="2498">
        <f ca="1">Orcamento!B17</f>
        <v>1</v>
      </c>
      <c r="B9" s="2501" t="str">
        <f>Orcamento!D17</f>
        <v>SERVIÇOS PRELIMINARES</v>
      </c>
      <c r="C9" s="305"/>
      <c r="D9" s="306"/>
      <c r="E9" s="307"/>
      <c r="F9" s="307"/>
      <c r="G9" s="307"/>
      <c r="H9" s="308">
        <f>H10</f>
        <v>0.08</v>
      </c>
      <c r="I9" s="308">
        <f>I10</f>
        <v>0.09</v>
      </c>
      <c r="J9" s="308">
        <f t="shared" ref="J9:AQ9" si="0">J10</f>
        <v>0.08</v>
      </c>
      <c r="K9" s="308">
        <f t="shared" si="0"/>
        <v>0.09</v>
      </c>
      <c r="L9" s="308">
        <f t="shared" si="0"/>
        <v>0.08</v>
      </c>
      <c r="M9" s="308">
        <f t="shared" si="0"/>
        <v>0.09</v>
      </c>
      <c r="N9" s="308">
        <f t="shared" si="0"/>
        <v>0.08</v>
      </c>
      <c r="O9" s="308">
        <f t="shared" si="0"/>
        <v>0.09</v>
      </c>
      <c r="P9" s="308">
        <f t="shared" si="0"/>
        <v>0.08</v>
      </c>
      <c r="Q9" s="308">
        <f t="shared" si="0"/>
        <v>0.08</v>
      </c>
      <c r="R9" s="308">
        <f t="shared" si="0"/>
        <v>0.08</v>
      </c>
      <c r="S9" s="308">
        <f t="shared" si="0"/>
        <v>0.08</v>
      </c>
      <c r="T9" s="308">
        <f t="shared" si="0"/>
        <v>0</v>
      </c>
      <c r="U9" s="308">
        <f t="shared" si="0"/>
        <v>0</v>
      </c>
      <c r="V9" s="308">
        <f t="shared" si="0"/>
        <v>0</v>
      </c>
      <c r="W9" s="308">
        <f t="shared" si="0"/>
        <v>0</v>
      </c>
      <c r="X9" s="308">
        <f t="shared" si="0"/>
        <v>0</v>
      </c>
      <c r="Y9" s="308">
        <f t="shared" si="0"/>
        <v>0</v>
      </c>
      <c r="Z9" s="308">
        <f t="shared" si="0"/>
        <v>0</v>
      </c>
      <c r="AA9" s="308">
        <f t="shared" si="0"/>
        <v>0</v>
      </c>
      <c r="AB9" s="308">
        <f t="shared" si="0"/>
        <v>0</v>
      </c>
      <c r="AC9" s="308">
        <f t="shared" si="0"/>
        <v>0</v>
      </c>
      <c r="AD9" s="308">
        <f t="shared" si="0"/>
        <v>0</v>
      </c>
      <c r="AE9" s="308">
        <f t="shared" si="0"/>
        <v>0</v>
      </c>
      <c r="AF9" s="308">
        <f t="shared" si="0"/>
        <v>0</v>
      </c>
      <c r="AG9" s="308">
        <f t="shared" si="0"/>
        <v>0</v>
      </c>
      <c r="AH9" s="308">
        <f t="shared" si="0"/>
        <v>0</v>
      </c>
      <c r="AI9" s="308">
        <f t="shared" si="0"/>
        <v>0</v>
      </c>
      <c r="AJ9" s="308">
        <f t="shared" si="0"/>
        <v>0</v>
      </c>
      <c r="AK9" s="308">
        <f t="shared" si="0"/>
        <v>0</v>
      </c>
      <c r="AL9" s="308">
        <f t="shared" si="0"/>
        <v>0</v>
      </c>
      <c r="AM9" s="308">
        <f t="shared" si="0"/>
        <v>0</v>
      </c>
      <c r="AN9" s="308">
        <f t="shared" si="0"/>
        <v>0</v>
      </c>
      <c r="AO9" s="308">
        <f t="shared" si="0"/>
        <v>0</v>
      </c>
      <c r="AP9" s="308">
        <f t="shared" si="0"/>
        <v>0</v>
      </c>
      <c r="AQ9" s="308">
        <f t="shared" si="0"/>
        <v>0</v>
      </c>
      <c r="AR9" s="309"/>
      <c r="AS9" s="310">
        <f>+D11-AR13-AR15</f>
        <v>1.4551915228366852E-11</v>
      </c>
      <c r="AW9" s="274" t="str">
        <f>IF(F9="","X",F9)</f>
        <v>X</v>
      </c>
      <c r="AX9" s="274" t="str">
        <f ca="1">IF($A$9=0,"","X")</f>
        <v>X</v>
      </c>
    </row>
    <row r="10" spans="1:51" s="274" customFormat="1" ht="18" customHeight="1">
      <c r="A10" s="2499"/>
      <c r="B10" s="2502"/>
      <c r="C10" s="311" t="str">
        <f>CONCATENATE(Orcamento!K16," ",Orcamento!O16)</f>
        <v xml:space="preserve"> </v>
      </c>
      <c r="D10" s="2504">
        <f>Orcamento!S17</f>
        <v>101788.53</v>
      </c>
      <c r="E10" s="2505"/>
      <c r="F10" s="312" t="s">
        <v>1192</v>
      </c>
      <c r="G10" s="312"/>
      <c r="H10" s="313">
        <v>0.08</v>
      </c>
      <c r="I10" s="313">
        <v>0.09</v>
      </c>
      <c r="J10" s="313">
        <v>0.08</v>
      </c>
      <c r="K10" s="313">
        <v>0.09</v>
      </c>
      <c r="L10" s="313">
        <v>0.08</v>
      </c>
      <c r="M10" s="313">
        <v>0.09</v>
      </c>
      <c r="N10" s="313">
        <v>0.08</v>
      </c>
      <c r="O10" s="313">
        <v>0.09</v>
      </c>
      <c r="P10" s="313">
        <v>0.08</v>
      </c>
      <c r="Q10" s="313">
        <v>0.08</v>
      </c>
      <c r="R10" s="313">
        <v>0.08</v>
      </c>
      <c r="S10" s="313">
        <v>0.08</v>
      </c>
      <c r="T10" s="314"/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4"/>
      <c r="AI10" s="314"/>
      <c r="AJ10" s="314"/>
      <c r="AK10" s="314"/>
      <c r="AL10" s="314"/>
      <c r="AM10" s="314"/>
      <c r="AN10" s="314"/>
      <c r="AO10" s="314"/>
      <c r="AP10" s="314"/>
      <c r="AQ10" s="314"/>
      <c r="AR10" s="315">
        <f t="shared" ref="AR10:AR15" si="1">SUM(H10:AQ10)</f>
        <v>0.99999999999999978</v>
      </c>
      <c r="AS10" s="2506">
        <f>1-AR10</f>
        <v>0</v>
      </c>
      <c r="AU10" s="2507">
        <f>+COUNT(H10:AQ11)</f>
        <v>48</v>
      </c>
      <c r="AW10" s="274" t="str">
        <f>IF(F10="","X",F10)</f>
        <v>ND</v>
      </c>
      <c r="AX10" s="274" t="str">
        <f t="shared" ref="AX10:AX15" ca="1" si="2">IF($A$9=0,"","X")</f>
        <v>X</v>
      </c>
    </row>
    <row r="11" spans="1:51" s="274" customFormat="1" ht="18" hidden="1" customHeight="1">
      <c r="A11" s="2499"/>
      <c r="B11" s="2502"/>
      <c r="C11" s="311" t="str">
        <f>CONCATENATE(Orcamento!K17," ",Orcamento!G17)</f>
        <v>16 M2</v>
      </c>
      <c r="D11" s="2504">
        <f>Orcamento!T17</f>
        <v>104286.02</v>
      </c>
      <c r="E11" s="2505"/>
      <c r="F11" s="316" t="s">
        <v>1193</v>
      </c>
      <c r="G11" s="316"/>
      <c r="H11" s="314">
        <f>H10</f>
        <v>0.08</v>
      </c>
      <c r="I11" s="314">
        <f t="shared" ref="I11:AQ11" si="3">I10</f>
        <v>0.09</v>
      </c>
      <c r="J11" s="314">
        <f t="shared" si="3"/>
        <v>0.08</v>
      </c>
      <c r="K11" s="314">
        <f t="shared" si="3"/>
        <v>0.09</v>
      </c>
      <c r="L11" s="314">
        <f t="shared" si="3"/>
        <v>0.08</v>
      </c>
      <c r="M11" s="314">
        <f t="shared" si="3"/>
        <v>0.09</v>
      </c>
      <c r="N11" s="314">
        <f t="shared" si="3"/>
        <v>0.08</v>
      </c>
      <c r="O11" s="314">
        <f t="shared" si="3"/>
        <v>0.09</v>
      </c>
      <c r="P11" s="314">
        <f t="shared" si="3"/>
        <v>0.08</v>
      </c>
      <c r="Q11" s="314">
        <f t="shared" si="3"/>
        <v>0.08</v>
      </c>
      <c r="R11" s="314">
        <f t="shared" si="3"/>
        <v>0.08</v>
      </c>
      <c r="S11" s="314">
        <f t="shared" si="3"/>
        <v>0.08</v>
      </c>
      <c r="T11" s="314">
        <f t="shared" si="3"/>
        <v>0</v>
      </c>
      <c r="U11" s="314">
        <f t="shared" si="3"/>
        <v>0</v>
      </c>
      <c r="V11" s="314">
        <f t="shared" si="3"/>
        <v>0</v>
      </c>
      <c r="W11" s="314">
        <f t="shared" si="3"/>
        <v>0</v>
      </c>
      <c r="X11" s="314">
        <f t="shared" si="3"/>
        <v>0</v>
      </c>
      <c r="Y11" s="314">
        <f t="shared" si="3"/>
        <v>0</v>
      </c>
      <c r="Z11" s="314">
        <f t="shared" si="3"/>
        <v>0</v>
      </c>
      <c r="AA11" s="314">
        <f t="shared" si="3"/>
        <v>0</v>
      </c>
      <c r="AB11" s="314">
        <f t="shared" si="3"/>
        <v>0</v>
      </c>
      <c r="AC11" s="314">
        <f t="shared" si="3"/>
        <v>0</v>
      </c>
      <c r="AD11" s="314">
        <f t="shared" si="3"/>
        <v>0</v>
      </c>
      <c r="AE11" s="314">
        <f t="shared" si="3"/>
        <v>0</v>
      </c>
      <c r="AF11" s="314">
        <f t="shared" si="3"/>
        <v>0</v>
      </c>
      <c r="AG11" s="314">
        <f t="shared" si="3"/>
        <v>0</v>
      </c>
      <c r="AH11" s="314">
        <f t="shared" si="3"/>
        <v>0</v>
      </c>
      <c r="AI11" s="314">
        <f t="shared" si="3"/>
        <v>0</v>
      </c>
      <c r="AJ11" s="314">
        <f t="shared" si="3"/>
        <v>0</v>
      </c>
      <c r="AK11" s="314">
        <f t="shared" si="3"/>
        <v>0</v>
      </c>
      <c r="AL11" s="314">
        <f t="shared" si="3"/>
        <v>0</v>
      </c>
      <c r="AM11" s="314">
        <f t="shared" si="3"/>
        <v>0</v>
      </c>
      <c r="AN11" s="314">
        <f t="shared" si="3"/>
        <v>0</v>
      </c>
      <c r="AO11" s="314">
        <f t="shared" si="3"/>
        <v>0</v>
      </c>
      <c r="AP11" s="314">
        <f t="shared" si="3"/>
        <v>0</v>
      </c>
      <c r="AQ11" s="314">
        <f t="shared" si="3"/>
        <v>0</v>
      </c>
      <c r="AR11" s="315">
        <f t="shared" si="1"/>
        <v>0.99999999999999978</v>
      </c>
      <c r="AS11" s="2506"/>
      <c r="AU11" s="2507"/>
      <c r="AW11" s="274" t="str">
        <f>IF(F11="","X",F11)</f>
        <v>DE</v>
      </c>
      <c r="AX11" s="274" t="str">
        <f t="shared" ca="1" si="2"/>
        <v>X</v>
      </c>
    </row>
    <row r="12" spans="1:51" s="274" customFormat="1" ht="18" customHeight="1" thickBot="1">
      <c r="A12" s="2499"/>
      <c r="B12" s="2502"/>
      <c r="C12" s="311"/>
      <c r="D12" s="317" t="s">
        <v>1194</v>
      </c>
      <c r="E12" s="2508">
        <f>$D$159</f>
        <v>1</v>
      </c>
      <c r="F12" s="318" t="s">
        <v>1192</v>
      </c>
      <c r="G12" s="318" t="str">
        <f>D12&amp;" | "&amp;F12</f>
        <v>CONCEDENTE | ND</v>
      </c>
      <c r="H12" s="319">
        <f>IF($D10=0,0,IF(H10=0,0,($E12*$D10*H10)+$AU$163))</f>
        <v>8143.0824000000002</v>
      </c>
      <c r="I12" s="319">
        <f t="shared" ref="I12:AQ12" si="4">IF($D10=0,0,IF(I10=0,0,($E12*$D10*I10)+$AU$163))</f>
        <v>9160.9676999999992</v>
      </c>
      <c r="J12" s="319">
        <f t="shared" si="4"/>
        <v>8143.0824000000002</v>
      </c>
      <c r="K12" s="319">
        <f t="shared" si="4"/>
        <v>9160.9676999999992</v>
      </c>
      <c r="L12" s="319">
        <f t="shared" si="4"/>
        <v>8143.0824000000002</v>
      </c>
      <c r="M12" s="319">
        <f t="shared" si="4"/>
        <v>9160.9676999999992</v>
      </c>
      <c r="N12" s="319">
        <f t="shared" si="4"/>
        <v>8143.0824000000002</v>
      </c>
      <c r="O12" s="319">
        <f t="shared" si="4"/>
        <v>9160.9676999999992</v>
      </c>
      <c r="P12" s="319">
        <f t="shared" si="4"/>
        <v>8143.0824000000002</v>
      </c>
      <c r="Q12" s="319">
        <f t="shared" si="4"/>
        <v>8143.0824000000002</v>
      </c>
      <c r="R12" s="319">
        <f t="shared" si="4"/>
        <v>8143.0824000000002</v>
      </c>
      <c r="S12" s="319">
        <f t="shared" si="4"/>
        <v>8143.0824000000002</v>
      </c>
      <c r="T12" s="319">
        <f t="shared" si="4"/>
        <v>0</v>
      </c>
      <c r="U12" s="319">
        <f t="shared" si="4"/>
        <v>0</v>
      </c>
      <c r="V12" s="319">
        <f t="shared" si="4"/>
        <v>0</v>
      </c>
      <c r="W12" s="319">
        <f t="shared" si="4"/>
        <v>0</v>
      </c>
      <c r="X12" s="319">
        <f t="shared" si="4"/>
        <v>0</v>
      </c>
      <c r="Y12" s="319">
        <f t="shared" si="4"/>
        <v>0</v>
      </c>
      <c r="Z12" s="319">
        <f t="shared" si="4"/>
        <v>0</v>
      </c>
      <c r="AA12" s="319">
        <f t="shared" si="4"/>
        <v>0</v>
      </c>
      <c r="AB12" s="319">
        <f t="shared" si="4"/>
        <v>0</v>
      </c>
      <c r="AC12" s="319">
        <f t="shared" si="4"/>
        <v>0</v>
      </c>
      <c r="AD12" s="319">
        <f t="shared" si="4"/>
        <v>0</v>
      </c>
      <c r="AE12" s="319">
        <f t="shared" si="4"/>
        <v>0</v>
      </c>
      <c r="AF12" s="319">
        <f t="shared" si="4"/>
        <v>0</v>
      </c>
      <c r="AG12" s="319">
        <f t="shared" si="4"/>
        <v>0</v>
      </c>
      <c r="AH12" s="319">
        <f t="shared" si="4"/>
        <v>0</v>
      </c>
      <c r="AI12" s="319">
        <f t="shared" si="4"/>
        <v>0</v>
      </c>
      <c r="AJ12" s="319">
        <f t="shared" si="4"/>
        <v>0</v>
      </c>
      <c r="AK12" s="319">
        <f t="shared" si="4"/>
        <v>0</v>
      </c>
      <c r="AL12" s="319">
        <f t="shared" si="4"/>
        <v>0</v>
      </c>
      <c r="AM12" s="319">
        <f t="shared" si="4"/>
        <v>0</v>
      </c>
      <c r="AN12" s="319">
        <f t="shared" si="4"/>
        <v>0</v>
      </c>
      <c r="AO12" s="319">
        <f t="shared" si="4"/>
        <v>0</v>
      </c>
      <c r="AP12" s="319">
        <f t="shared" si="4"/>
        <v>0</v>
      </c>
      <c r="AQ12" s="319">
        <f t="shared" si="4"/>
        <v>0</v>
      </c>
      <c r="AR12" s="320">
        <f t="shared" si="1"/>
        <v>101788.53</v>
      </c>
      <c r="AS12" s="321">
        <f>TRUNC(AR12-D10*E12,2)</f>
        <v>0</v>
      </c>
      <c r="AT12" s="322">
        <f>+AR12/D10</f>
        <v>1</v>
      </c>
      <c r="AW12" s="274" t="str">
        <f>IF(F12="","X",IF(AND(E12&gt;0),F12,"-"))</f>
        <v>ND</v>
      </c>
      <c r="AX12" s="274" t="str">
        <f t="shared" ca="1" si="2"/>
        <v>X</v>
      </c>
    </row>
    <row r="13" spans="1:51" s="274" customFormat="1" ht="18" hidden="1" customHeight="1">
      <c r="A13" s="2499"/>
      <c r="B13" s="2502"/>
      <c r="C13" s="311"/>
      <c r="D13" s="317" t="s">
        <v>1194</v>
      </c>
      <c r="E13" s="2509"/>
      <c r="F13" s="323" t="s">
        <v>1193</v>
      </c>
      <c r="G13" s="323" t="str">
        <f>D13&amp;" | "&amp;F13</f>
        <v>CONCEDENTE | DE</v>
      </c>
      <c r="H13" s="319">
        <f>IF($D11=0,0,IF(H11=0,0,($E12*$D11*H11)+$AU$163))</f>
        <v>8342.8816000000006</v>
      </c>
      <c r="I13" s="319">
        <f t="shared" ref="I13:AQ13" si="5">IF($D11=0,0,IF(I11=0,0,($E12*$D11*I11)+$AU$163))</f>
        <v>9385.7417999999998</v>
      </c>
      <c r="J13" s="319">
        <f t="shared" si="5"/>
        <v>8342.8816000000006</v>
      </c>
      <c r="K13" s="319">
        <f t="shared" si="5"/>
        <v>9385.7417999999998</v>
      </c>
      <c r="L13" s="319">
        <f t="shared" si="5"/>
        <v>8342.8816000000006</v>
      </c>
      <c r="M13" s="319">
        <f t="shared" si="5"/>
        <v>9385.7417999999998</v>
      </c>
      <c r="N13" s="319">
        <f t="shared" si="5"/>
        <v>8342.8816000000006</v>
      </c>
      <c r="O13" s="319">
        <f t="shared" si="5"/>
        <v>9385.7417999999998</v>
      </c>
      <c r="P13" s="319">
        <f t="shared" si="5"/>
        <v>8342.8816000000006</v>
      </c>
      <c r="Q13" s="319">
        <f t="shared" si="5"/>
        <v>8342.8816000000006</v>
      </c>
      <c r="R13" s="319">
        <f t="shared" si="5"/>
        <v>8342.8816000000006</v>
      </c>
      <c r="S13" s="319">
        <f t="shared" si="5"/>
        <v>8342.8816000000006</v>
      </c>
      <c r="T13" s="319">
        <f t="shared" si="5"/>
        <v>0</v>
      </c>
      <c r="U13" s="319">
        <f t="shared" si="5"/>
        <v>0</v>
      </c>
      <c r="V13" s="319">
        <f t="shared" si="5"/>
        <v>0</v>
      </c>
      <c r="W13" s="319">
        <f t="shared" si="5"/>
        <v>0</v>
      </c>
      <c r="X13" s="319">
        <f t="shared" si="5"/>
        <v>0</v>
      </c>
      <c r="Y13" s="319">
        <f t="shared" si="5"/>
        <v>0</v>
      </c>
      <c r="Z13" s="319">
        <f t="shared" si="5"/>
        <v>0</v>
      </c>
      <c r="AA13" s="319">
        <f t="shared" si="5"/>
        <v>0</v>
      </c>
      <c r="AB13" s="319">
        <f t="shared" si="5"/>
        <v>0</v>
      </c>
      <c r="AC13" s="319">
        <f t="shared" si="5"/>
        <v>0</v>
      </c>
      <c r="AD13" s="319">
        <f t="shared" si="5"/>
        <v>0</v>
      </c>
      <c r="AE13" s="319">
        <f t="shared" si="5"/>
        <v>0</v>
      </c>
      <c r="AF13" s="319">
        <f t="shared" si="5"/>
        <v>0</v>
      </c>
      <c r="AG13" s="319">
        <f t="shared" si="5"/>
        <v>0</v>
      </c>
      <c r="AH13" s="319">
        <f t="shared" si="5"/>
        <v>0</v>
      </c>
      <c r="AI13" s="319">
        <f t="shared" si="5"/>
        <v>0</v>
      </c>
      <c r="AJ13" s="319">
        <f t="shared" si="5"/>
        <v>0</v>
      </c>
      <c r="AK13" s="319">
        <f t="shared" si="5"/>
        <v>0</v>
      </c>
      <c r="AL13" s="319">
        <f t="shared" si="5"/>
        <v>0</v>
      </c>
      <c r="AM13" s="319">
        <f t="shared" si="5"/>
        <v>0</v>
      </c>
      <c r="AN13" s="319">
        <f t="shared" si="5"/>
        <v>0</v>
      </c>
      <c r="AO13" s="319">
        <f t="shared" si="5"/>
        <v>0</v>
      </c>
      <c r="AP13" s="319">
        <f t="shared" si="5"/>
        <v>0</v>
      </c>
      <c r="AQ13" s="319">
        <f t="shared" si="5"/>
        <v>0</v>
      </c>
      <c r="AR13" s="320">
        <f t="shared" si="1"/>
        <v>104286.01999999999</v>
      </c>
      <c r="AS13" s="321">
        <f>TRUNC(AR13-D11*E12,2)</f>
        <v>0</v>
      </c>
      <c r="AT13" s="322">
        <f>+AR13/D11</f>
        <v>0.99999999999999989</v>
      </c>
      <c r="AW13" s="274" t="str">
        <f>IF(F13="","X",IF(AND(E12&gt;0),F13,"-"))</f>
        <v>DE</v>
      </c>
      <c r="AX13" s="274" t="str">
        <f t="shared" ca="1" si="2"/>
        <v>X</v>
      </c>
    </row>
    <row r="14" spans="1:51" s="274" customFormat="1" ht="18" hidden="1" customHeight="1" thickBot="1">
      <c r="A14" s="2499"/>
      <c r="B14" s="2502"/>
      <c r="C14" s="324"/>
      <c r="D14" s="325" t="s">
        <v>1195</v>
      </c>
      <c r="E14" s="2510">
        <f>1-E12</f>
        <v>0</v>
      </c>
      <c r="F14" s="326" t="s">
        <v>1192</v>
      </c>
      <c r="G14" s="326" t="str">
        <f>D14&amp;" | "&amp;F14</f>
        <v>PROPONENTE | ND</v>
      </c>
      <c r="H14" s="327">
        <f>($D10*H10-H12)</f>
        <v>0</v>
      </c>
      <c r="I14" s="327">
        <f t="shared" ref="I14:AQ15" si="6">($D10*I10-I12)</f>
        <v>0</v>
      </c>
      <c r="J14" s="327">
        <f t="shared" si="6"/>
        <v>0</v>
      </c>
      <c r="K14" s="327">
        <f t="shared" si="6"/>
        <v>0</v>
      </c>
      <c r="L14" s="327">
        <f t="shared" si="6"/>
        <v>0</v>
      </c>
      <c r="M14" s="327">
        <f t="shared" si="6"/>
        <v>0</v>
      </c>
      <c r="N14" s="327">
        <f t="shared" si="6"/>
        <v>0</v>
      </c>
      <c r="O14" s="327">
        <f t="shared" si="6"/>
        <v>0</v>
      </c>
      <c r="P14" s="327">
        <f t="shared" si="6"/>
        <v>0</v>
      </c>
      <c r="Q14" s="327">
        <f t="shared" si="6"/>
        <v>0</v>
      </c>
      <c r="R14" s="327">
        <f t="shared" si="6"/>
        <v>0</v>
      </c>
      <c r="S14" s="327">
        <f t="shared" si="6"/>
        <v>0</v>
      </c>
      <c r="T14" s="327">
        <f t="shared" si="6"/>
        <v>0</v>
      </c>
      <c r="U14" s="327">
        <f t="shared" si="6"/>
        <v>0</v>
      </c>
      <c r="V14" s="327">
        <f t="shared" si="6"/>
        <v>0</v>
      </c>
      <c r="W14" s="327">
        <f t="shared" si="6"/>
        <v>0</v>
      </c>
      <c r="X14" s="327">
        <f t="shared" si="6"/>
        <v>0</v>
      </c>
      <c r="Y14" s="327">
        <f t="shared" si="6"/>
        <v>0</v>
      </c>
      <c r="Z14" s="327">
        <f t="shared" si="6"/>
        <v>0</v>
      </c>
      <c r="AA14" s="327">
        <f t="shared" si="6"/>
        <v>0</v>
      </c>
      <c r="AB14" s="327">
        <f t="shared" si="6"/>
        <v>0</v>
      </c>
      <c r="AC14" s="327">
        <f t="shared" si="6"/>
        <v>0</v>
      </c>
      <c r="AD14" s="327">
        <f t="shared" si="6"/>
        <v>0</v>
      </c>
      <c r="AE14" s="327">
        <f t="shared" si="6"/>
        <v>0</v>
      </c>
      <c r="AF14" s="327">
        <f t="shared" si="6"/>
        <v>0</v>
      </c>
      <c r="AG14" s="327">
        <f t="shared" si="6"/>
        <v>0</v>
      </c>
      <c r="AH14" s="327">
        <f t="shared" si="6"/>
        <v>0</v>
      </c>
      <c r="AI14" s="327">
        <f t="shared" si="6"/>
        <v>0</v>
      </c>
      <c r="AJ14" s="327">
        <f t="shared" si="6"/>
        <v>0</v>
      </c>
      <c r="AK14" s="327">
        <f t="shared" si="6"/>
        <v>0</v>
      </c>
      <c r="AL14" s="327">
        <f t="shared" si="6"/>
        <v>0</v>
      </c>
      <c r="AM14" s="327">
        <f t="shared" si="6"/>
        <v>0</v>
      </c>
      <c r="AN14" s="327">
        <f t="shared" si="6"/>
        <v>0</v>
      </c>
      <c r="AO14" s="327">
        <f t="shared" si="6"/>
        <v>0</v>
      </c>
      <c r="AP14" s="327">
        <f t="shared" si="6"/>
        <v>0</v>
      </c>
      <c r="AQ14" s="327">
        <f t="shared" si="6"/>
        <v>0</v>
      </c>
      <c r="AR14" s="328">
        <f t="shared" si="1"/>
        <v>0</v>
      </c>
      <c r="AS14" s="321">
        <f>+D10-AR12-AR14</f>
        <v>0</v>
      </c>
      <c r="AW14" s="274" t="str">
        <f>IF(F14="","X",IF(AND(E14&gt;0),F14,"-"))</f>
        <v>-</v>
      </c>
      <c r="AX14" s="274" t="str">
        <f t="shared" ca="1" si="2"/>
        <v>X</v>
      </c>
    </row>
    <row r="15" spans="1:51" s="274" customFormat="1" ht="18" hidden="1" customHeight="1" thickBot="1">
      <c r="A15" s="2500"/>
      <c r="B15" s="2503"/>
      <c r="C15" s="324"/>
      <c r="D15" s="325" t="s">
        <v>1195</v>
      </c>
      <c r="E15" s="2511"/>
      <c r="F15" s="329" t="s">
        <v>1193</v>
      </c>
      <c r="G15" s="329" t="str">
        <f>D15&amp;" | "&amp;F15</f>
        <v>PROPONENTE | DE</v>
      </c>
      <c r="H15" s="327">
        <f>($D11*H11-H13)</f>
        <v>0</v>
      </c>
      <c r="I15" s="327">
        <f t="shared" si="6"/>
        <v>0</v>
      </c>
      <c r="J15" s="327">
        <f t="shared" si="6"/>
        <v>0</v>
      </c>
      <c r="K15" s="327">
        <f t="shared" si="6"/>
        <v>0</v>
      </c>
      <c r="L15" s="327">
        <f t="shared" si="6"/>
        <v>0</v>
      </c>
      <c r="M15" s="327">
        <f t="shared" si="6"/>
        <v>0</v>
      </c>
      <c r="N15" s="327">
        <f t="shared" si="6"/>
        <v>0</v>
      </c>
      <c r="O15" s="327">
        <f t="shared" si="6"/>
        <v>0</v>
      </c>
      <c r="P15" s="327">
        <f t="shared" si="6"/>
        <v>0</v>
      </c>
      <c r="Q15" s="327">
        <f t="shared" si="6"/>
        <v>0</v>
      </c>
      <c r="R15" s="327">
        <f t="shared" si="6"/>
        <v>0</v>
      </c>
      <c r="S15" s="327">
        <f t="shared" si="6"/>
        <v>0</v>
      </c>
      <c r="T15" s="327">
        <f t="shared" si="6"/>
        <v>0</v>
      </c>
      <c r="U15" s="327">
        <f t="shared" si="6"/>
        <v>0</v>
      </c>
      <c r="V15" s="327">
        <f t="shared" si="6"/>
        <v>0</v>
      </c>
      <c r="W15" s="327">
        <f t="shared" si="6"/>
        <v>0</v>
      </c>
      <c r="X15" s="327">
        <f t="shared" si="6"/>
        <v>0</v>
      </c>
      <c r="Y15" s="327">
        <f t="shared" si="6"/>
        <v>0</v>
      </c>
      <c r="Z15" s="327">
        <f t="shared" si="6"/>
        <v>0</v>
      </c>
      <c r="AA15" s="327">
        <f t="shared" si="6"/>
        <v>0</v>
      </c>
      <c r="AB15" s="327">
        <f t="shared" si="6"/>
        <v>0</v>
      </c>
      <c r="AC15" s="327">
        <f t="shared" si="6"/>
        <v>0</v>
      </c>
      <c r="AD15" s="327">
        <f t="shared" si="6"/>
        <v>0</v>
      </c>
      <c r="AE15" s="327">
        <f t="shared" si="6"/>
        <v>0</v>
      </c>
      <c r="AF15" s="327">
        <f t="shared" si="6"/>
        <v>0</v>
      </c>
      <c r="AG15" s="327">
        <f t="shared" si="6"/>
        <v>0</v>
      </c>
      <c r="AH15" s="327">
        <f t="shared" si="6"/>
        <v>0</v>
      </c>
      <c r="AI15" s="327">
        <f t="shared" si="6"/>
        <v>0</v>
      </c>
      <c r="AJ15" s="327">
        <f t="shared" si="6"/>
        <v>0</v>
      </c>
      <c r="AK15" s="327">
        <f t="shared" si="6"/>
        <v>0</v>
      </c>
      <c r="AL15" s="327">
        <f t="shared" si="6"/>
        <v>0</v>
      </c>
      <c r="AM15" s="327">
        <f t="shared" si="6"/>
        <v>0</v>
      </c>
      <c r="AN15" s="327">
        <f t="shared" si="6"/>
        <v>0</v>
      </c>
      <c r="AO15" s="327">
        <f t="shared" si="6"/>
        <v>0</v>
      </c>
      <c r="AP15" s="327">
        <f t="shared" si="6"/>
        <v>0</v>
      </c>
      <c r="AQ15" s="327">
        <f t="shared" si="6"/>
        <v>0</v>
      </c>
      <c r="AR15" s="328">
        <f t="shared" si="1"/>
        <v>0</v>
      </c>
      <c r="AS15" s="321">
        <f>+D11-AR13-AR15</f>
        <v>1.4551915228366852E-11</v>
      </c>
      <c r="AW15" s="274" t="str">
        <f>IF(F15="","X",IF(AND(E14&gt;0),F15,"-"))</f>
        <v>-</v>
      </c>
      <c r="AX15" s="274" t="str">
        <f t="shared" ca="1" si="2"/>
        <v>X</v>
      </c>
    </row>
    <row r="16" spans="1:51" s="274" customFormat="1" ht="9.9499999999999993" hidden="1" customHeight="1">
      <c r="A16" s="2498">
        <f ca="1">Orcamento!B18</f>
        <v>0</v>
      </c>
      <c r="B16" s="2501" t="str">
        <f>Orcamento!D18</f>
        <v>REMOÇÕES, DEMOLIÇÕES E SUPRESSÕES</v>
      </c>
      <c r="C16" s="305"/>
      <c r="D16" s="306"/>
      <c r="E16" s="307"/>
      <c r="F16" s="307"/>
      <c r="G16" s="307"/>
      <c r="H16" s="308">
        <f t="shared" ref="H16:AQ16" si="7">H17</f>
        <v>0</v>
      </c>
      <c r="I16" s="308">
        <f t="shared" si="7"/>
        <v>0</v>
      </c>
      <c r="J16" s="308">
        <f t="shared" si="7"/>
        <v>0</v>
      </c>
      <c r="K16" s="308">
        <f t="shared" si="7"/>
        <v>0</v>
      </c>
      <c r="L16" s="308">
        <f t="shared" si="7"/>
        <v>0</v>
      </c>
      <c r="M16" s="308">
        <f t="shared" si="7"/>
        <v>0</v>
      </c>
      <c r="N16" s="308">
        <f t="shared" si="7"/>
        <v>0</v>
      </c>
      <c r="O16" s="308">
        <f t="shared" si="7"/>
        <v>0</v>
      </c>
      <c r="P16" s="308">
        <f t="shared" si="7"/>
        <v>0</v>
      </c>
      <c r="Q16" s="308">
        <f t="shared" si="7"/>
        <v>0</v>
      </c>
      <c r="R16" s="308">
        <f t="shared" si="7"/>
        <v>0</v>
      </c>
      <c r="S16" s="308">
        <f t="shared" si="7"/>
        <v>0</v>
      </c>
      <c r="T16" s="308">
        <f t="shared" si="7"/>
        <v>0</v>
      </c>
      <c r="U16" s="308">
        <f t="shared" si="7"/>
        <v>0</v>
      </c>
      <c r="V16" s="308">
        <f t="shared" si="7"/>
        <v>0</v>
      </c>
      <c r="W16" s="308">
        <f t="shared" si="7"/>
        <v>0</v>
      </c>
      <c r="X16" s="308">
        <f t="shared" si="7"/>
        <v>0</v>
      </c>
      <c r="Y16" s="308">
        <f t="shared" si="7"/>
        <v>0</v>
      </c>
      <c r="Z16" s="308">
        <f t="shared" si="7"/>
        <v>0</v>
      </c>
      <c r="AA16" s="308">
        <f t="shared" si="7"/>
        <v>0</v>
      </c>
      <c r="AB16" s="308">
        <f t="shared" si="7"/>
        <v>0</v>
      </c>
      <c r="AC16" s="308">
        <f t="shared" si="7"/>
        <v>0</v>
      </c>
      <c r="AD16" s="308">
        <f t="shared" si="7"/>
        <v>0</v>
      </c>
      <c r="AE16" s="308">
        <f t="shared" si="7"/>
        <v>0</v>
      </c>
      <c r="AF16" s="308">
        <f t="shared" si="7"/>
        <v>0</v>
      </c>
      <c r="AG16" s="308">
        <f t="shared" si="7"/>
        <v>0</v>
      </c>
      <c r="AH16" s="308">
        <f t="shared" si="7"/>
        <v>0</v>
      </c>
      <c r="AI16" s="308">
        <f t="shared" si="7"/>
        <v>0</v>
      </c>
      <c r="AJ16" s="308">
        <f t="shared" si="7"/>
        <v>0</v>
      </c>
      <c r="AK16" s="308">
        <f t="shared" si="7"/>
        <v>0</v>
      </c>
      <c r="AL16" s="308">
        <f t="shared" si="7"/>
        <v>0</v>
      </c>
      <c r="AM16" s="308">
        <f t="shared" si="7"/>
        <v>0</v>
      </c>
      <c r="AN16" s="308">
        <f t="shared" si="7"/>
        <v>0</v>
      </c>
      <c r="AO16" s="308">
        <f t="shared" si="7"/>
        <v>0</v>
      </c>
      <c r="AP16" s="308">
        <f t="shared" si="7"/>
        <v>0</v>
      </c>
      <c r="AQ16" s="308">
        <f t="shared" si="7"/>
        <v>0</v>
      </c>
      <c r="AR16" s="309"/>
      <c r="AS16" s="310">
        <f>+D18-AR20-AR22</f>
        <v>0</v>
      </c>
      <c r="AW16" s="274" t="str">
        <f>IF(F16="","X",F16)</f>
        <v>X</v>
      </c>
      <c r="AX16" s="274" t="str">
        <f ca="1">IF($A$16=0,"","X")</f>
        <v/>
      </c>
    </row>
    <row r="17" spans="1:50" s="274" customFormat="1" ht="18" hidden="1" customHeight="1">
      <c r="A17" s="2499"/>
      <c r="B17" s="2502"/>
      <c r="C17" s="311" t="str">
        <f>CONCATENATE(Orcamento!K23," ",Orcamento!G23)</f>
        <v>0 M3</v>
      </c>
      <c r="D17" s="2504">
        <f>Orcamento!S18</f>
        <v>0</v>
      </c>
      <c r="E17" s="2505"/>
      <c r="F17" s="312" t="s">
        <v>1192</v>
      </c>
      <c r="G17" s="312"/>
      <c r="H17" s="314"/>
      <c r="I17" s="314"/>
      <c r="J17" s="314"/>
      <c r="K17" s="314"/>
      <c r="L17" s="314"/>
      <c r="M17" s="314"/>
      <c r="N17" s="314"/>
      <c r="O17" s="314"/>
      <c r="P17" s="314"/>
      <c r="Q17" s="314"/>
      <c r="R17" s="314"/>
      <c r="S17" s="314"/>
      <c r="T17" s="314"/>
      <c r="U17" s="314"/>
      <c r="V17" s="314"/>
      <c r="W17" s="314"/>
      <c r="X17" s="314"/>
      <c r="Y17" s="314"/>
      <c r="Z17" s="314"/>
      <c r="AA17" s="314"/>
      <c r="AB17" s="314"/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5">
        <f t="shared" ref="AR17:AR22" si="8">SUM(H17:AQ17)</f>
        <v>0</v>
      </c>
      <c r="AS17" s="2506">
        <f>1-AR17</f>
        <v>1</v>
      </c>
      <c r="AU17" s="2507">
        <f>+COUNT(H17:AQ18)</f>
        <v>36</v>
      </c>
      <c r="AW17" s="274" t="str">
        <f>IF(F17="","X",F17)</f>
        <v>ND</v>
      </c>
      <c r="AX17" s="274" t="str">
        <f t="shared" ref="AX17:AX22" ca="1" si="9">IF($A$16=0,"","X")</f>
        <v/>
      </c>
    </row>
    <row r="18" spans="1:50" s="274" customFormat="1" ht="18" hidden="1" customHeight="1">
      <c r="A18" s="2499"/>
      <c r="B18" s="2502"/>
      <c r="C18" s="311" t="str">
        <f>CONCATENATE(Orcamento!K24," ",Orcamento!G24)</f>
        <v>0 M</v>
      </c>
      <c r="D18" s="2504">
        <f>Orcamento!T18</f>
        <v>0</v>
      </c>
      <c r="E18" s="2505"/>
      <c r="F18" s="316" t="s">
        <v>1193</v>
      </c>
      <c r="G18" s="316"/>
      <c r="H18" s="314">
        <f t="shared" ref="H18:AQ18" si="10">H17</f>
        <v>0</v>
      </c>
      <c r="I18" s="314">
        <f t="shared" si="10"/>
        <v>0</v>
      </c>
      <c r="J18" s="314">
        <f t="shared" si="10"/>
        <v>0</v>
      </c>
      <c r="K18" s="314">
        <f t="shared" si="10"/>
        <v>0</v>
      </c>
      <c r="L18" s="314">
        <f t="shared" si="10"/>
        <v>0</v>
      </c>
      <c r="M18" s="314">
        <f t="shared" si="10"/>
        <v>0</v>
      </c>
      <c r="N18" s="314">
        <f t="shared" si="10"/>
        <v>0</v>
      </c>
      <c r="O18" s="314">
        <f t="shared" si="10"/>
        <v>0</v>
      </c>
      <c r="P18" s="314">
        <f t="shared" si="10"/>
        <v>0</v>
      </c>
      <c r="Q18" s="314">
        <f t="shared" si="10"/>
        <v>0</v>
      </c>
      <c r="R18" s="314">
        <f t="shared" si="10"/>
        <v>0</v>
      </c>
      <c r="S18" s="314">
        <f t="shared" si="10"/>
        <v>0</v>
      </c>
      <c r="T18" s="314">
        <f t="shared" si="10"/>
        <v>0</v>
      </c>
      <c r="U18" s="314">
        <f t="shared" si="10"/>
        <v>0</v>
      </c>
      <c r="V18" s="314">
        <f t="shared" si="10"/>
        <v>0</v>
      </c>
      <c r="W18" s="314">
        <f t="shared" si="10"/>
        <v>0</v>
      </c>
      <c r="X18" s="314">
        <f t="shared" si="10"/>
        <v>0</v>
      </c>
      <c r="Y18" s="314">
        <f t="shared" si="10"/>
        <v>0</v>
      </c>
      <c r="Z18" s="314">
        <f t="shared" si="10"/>
        <v>0</v>
      </c>
      <c r="AA18" s="314">
        <f t="shared" si="10"/>
        <v>0</v>
      </c>
      <c r="AB18" s="314">
        <f t="shared" si="10"/>
        <v>0</v>
      </c>
      <c r="AC18" s="314">
        <f t="shared" si="10"/>
        <v>0</v>
      </c>
      <c r="AD18" s="314">
        <f t="shared" si="10"/>
        <v>0</v>
      </c>
      <c r="AE18" s="314">
        <f t="shared" si="10"/>
        <v>0</v>
      </c>
      <c r="AF18" s="314">
        <f t="shared" si="10"/>
        <v>0</v>
      </c>
      <c r="AG18" s="314">
        <f t="shared" si="10"/>
        <v>0</v>
      </c>
      <c r="AH18" s="314">
        <f t="shared" si="10"/>
        <v>0</v>
      </c>
      <c r="AI18" s="314">
        <f t="shared" si="10"/>
        <v>0</v>
      </c>
      <c r="AJ18" s="314">
        <f t="shared" si="10"/>
        <v>0</v>
      </c>
      <c r="AK18" s="314">
        <f t="shared" si="10"/>
        <v>0</v>
      </c>
      <c r="AL18" s="314">
        <f t="shared" si="10"/>
        <v>0</v>
      </c>
      <c r="AM18" s="314">
        <f t="shared" si="10"/>
        <v>0</v>
      </c>
      <c r="AN18" s="314">
        <f t="shared" si="10"/>
        <v>0</v>
      </c>
      <c r="AO18" s="314">
        <f t="shared" si="10"/>
        <v>0</v>
      </c>
      <c r="AP18" s="314">
        <f t="shared" si="10"/>
        <v>0</v>
      </c>
      <c r="AQ18" s="314">
        <f t="shared" si="10"/>
        <v>0</v>
      </c>
      <c r="AR18" s="315">
        <f t="shared" si="8"/>
        <v>0</v>
      </c>
      <c r="AS18" s="2506"/>
      <c r="AU18" s="2507"/>
      <c r="AW18" s="274" t="str">
        <f>IF(F18="","X",F18)</f>
        <v>DE</v>
      </c>
      <c r="AX18" s="274" t="str">
        <f t="shared" ca="1" si="9"/>
        <v/>
      </c>
    </row>
    <row r="19" spans="1:50" s="274" customFormat="1" ht="18" hidden="1" customHeight="1">
      <c r="A19" s="2499"/>
      <c r="B19" s="2502"/>
      <c r="C19" s="311"/>
      <c r="D19" s="317" t="s">
        <v>1194</v>
      </c>
      <c r="E19" s="2508">
        <f>$D$159</f>
        <v>1</v>
      </c>
      <c r="F19" s="318" t="s">
        <v>1192</v>
      </c>
      <c r="G19" s="318" t="str">
        <f>D19&amp;" | "&amp;F19</f>
        <v>CONCEDENTE | ND</v>
      </c>
      <c r="H19" s="319">
        <f t="shared" ref="H19:AQ19" si="11">IF($D17=0,0,IF(H17=0,0,($E19*$D17*H17)+$AU$163))</f>
        <v>0</v>
      </c>
      <c r="I19" s="319">
        <f t="shared" si="11"/>
        <v>0</v>
      </c>
      <c r="J19" s="319">
        <f t="shared" si="11"/>
        <v>0</v>
      </c>
      <c r="K19" s="319">
        <f t="shared" si="11"/>
        <v>0</v>
      </c>
      <c r="L19" s="319">
        <f t="shared" si="11"/>
        <v>0</v>
      </c>
      <c r="M19" s="319">
        <f t="shared" si="11"/>
        <v>0</v>
      </c>
      <c r="N19" s="319">
        <f t="shared" si="11"/>
        <v>0</v>
      </c>
      <c r="O19" s="319">
        <f t="shared" si="11"/>
        <v>0</v>
      </c>
      <c r="P19" s="319">
        <f t="shared" si="11"/>
        <v>0</v>
      </c>
      <c r="Q19" s="319">
        <f t="shared" si="11"/>
        <v>0</v>
      </c>
      <c r="R19" s="319">
        <f t="shared" si="11"/>
        <v>0</v>
      </c>
      <c r="S19" s="319">
        <f t="shared" si="11"/>
        <v>0</v>
      </c>
      <c r="T19" s="319">
        <f t="shared" si="11"/>
        <v>0</v>
      </c>
      <c r="U19" s="319">
        <f t="shared" si="11"/>
        <v>0</v>
      </c>
      <c r="V19" s="319">
        <f t="shared" si="11"/>
        <v>0</v>
      </c>
      <c r="W19" s="319">
        <f t="shared" si="11"/>
        <v>0</v>
      </c>
      <c r="X19" s="319">
        <f t="shared" si="11"/>
        <v>0</v>
      </c>
      <c r="Y19" s="319">
        <f t="shared" si="11"/>
        <v>0</v>
      </c>
      <c r="Z19" s="319">
        <f t="shared" si="11"/>
        <v>0</v>
      </c>
      <c r="AA19" s="319">
        <f t="shared" si="11"/>
        <v>0</v>
      </c>
      <c r="AB19" s="319">
        <f t="shared" si="11"/>
        <v>0</v>
      </c>
      <c r="AC19" s="319">
        <f t="shared" si="11"/>
        <v>0</v>
      </c>
      <c r="AD19" s="319">
        <f t="shared" si="11"/>
        <v>0</v>
      </c>
      <c r="AE19" s="319">
        <f t="shared" si="11"/>
        <v>0</v>
      </c>
      <c r="AF19" s="319">
        <f t="shared" si="11"/>
        <v>0</v>
      </c>
      <c r="AG19" s="319">
        <f t="shared" si="11"/>
        <v>0</v>
      </c>
      <c r="AH19" s="319">
        <f t="shared" si="11"/>
        <v>0</v>
      </c>
      <c r="AI19" s="319">
        <f t="shared" si="11"/>
        <v>0</v>
      </c>
      <c r="AJ19" s="319">
        <f t="shared" si="11"/>
        <v>0</v>
      </c>
      <c r="AK19" s="319">
        <f t="shared" si="11"/>
        <v>0</v>
      </c>
      <c r="AL19" s="319">
        <f t="shared" si="11"/>
        <v>0</v>
      </c>
      <c r="AM19" s="319">
        <f t="shared" si="11"/>
        <v>0</v>
      </c>
      <c r="AN19" s="319">
        <f t="shared" si="11"/>
        <v>0</v>
      </c>
      <c r="AO19" s="319">
        <f t="shared" si="11"/>
        <v>0</v>
      </c>
      <c r="AP19" s="319">
        <f t="shared" si="11"/>
        <v>0</v>
      </c>
      <c r="AQ19" s="319">
        <f t="shared" si="11"/>
        <v>0</v>
      </c>
      <c r="AR19" s="320">
        <f t="shared" si="8"/>
        <v>0</v>
      </c>
      <c r="AS19" s="321">
        <f>TRUNC(AR19-D17*E19,2)</f>
        <v>0</v>
      </c>
      <c r="AT19" s="322" t="e">
        <f>+AR19/D17</f>
        <v>#DIV/0!</v>
      </c>
      <c r="AW19" s="274" t="str">
        <f>IF(F19="","X",IF(AND(E19&gt;0),F19,"-"))</f>
        <v>ND</v>
      </c>
      <c r="AX19" s="274" t="str">
        <f t="shared" ca="1" si="9"/>
        <v/>
      </c>
    </row>
    <row r="20" spans="1:50" s="274" customFormat="1" ht="18" hidden="1" customHeight="1">
      <c r="A20" s="2499"/>
      <c r="B20" s="2502"/>
      <c r="C20" s="311"/>
      <c r="D20" s="317" t="s">
        <v>1194</v>
      </c>
      <c r="E20" s="2509"/>
      <c r="F20" s="323" t="s">
        <v>1193</v>
      </c>
      <c r="G20" s="323" t="str">
        <f>D20&amp;" | "&amp;F20</f>
        <v>CONCEDENTE | DE</v>
      </c>
      <c r="H20" s="319">
        <f t="shared" ref="H20:AQ20" si="12">IF($D18=0,0,IF(H18=0,0,($E19*$D18*H18)+$AU$163))</f>
        <v>0</v>
      </c>
      <c r="I20" s="319">
        <f t="shared" si="12"/>
        <v>0</v>
      </c>
      <c r="J20" s="319">
        <f t="shared" si="12"/>
        <v>0</v>
      </c>
      <c r="K20" s="319">
        <f t="shared" si="12"/>
        <v>0</v>
      </c>
      <c r="L20" s="319">
        <f t="shared" si="12"/>
        <v>0</v>
      </c>
      <c r="M20" s="319">
        <f t="shared" si="12"/>
        <v>0</v>
      </c>
      <c r="N20" s="319">
        <f t="shared" si="12"/>
        <v>0</v>
      </c>
      <c r="O20" s="319">
        <f t="shared" si="12"/>
        <v>0</v>
      </c>
      <c r="P20" s="319">
        <f t="shared" si="12"/>
        <v>0</v>
      </c>
      <c r="Q20" s="319">
        <f t="shared" si="12"/>
        <v>0</v>
      </c>
      <c r="R20" s="319">
        <f t="shared" si="12"/>
        <v>0</v>
      </c>
      <c r="S20" s="319">
        <f t="shared" si="12"/>
        <v>0</v>
      </c>
      <c r="T20" s="319">
        <f t="shared" si="12"/>
        <v>0</v>
      </c>
      <c r="U20" s="319">
        <f t="shared" si="12"/>
        <v>0</v>
      </c>
      <c r="V20" s="319">
        <f t="shared" si="12"/>
        <v>0</v>
      </c>
      <c r="W20" s="319">
        <f t="shared" si="12"/>
        <v>0</v>
      </c>
      <c r="X20" s="319">
        <f t="shared" si="12"/>
        <v>0</v>
      </c>
      <c r="Y20" s="319">
        <f t="shared" si="12"/>
        <v>0</v>
      </c>
      <c r="Z20" s="319">
        <f t="shared" si="12"/>
        <v>0</v>
      </c>
      <c r="AA20" s="319">
        <f t="shared" si="12"/>
        <v>0</v>
      </c>
      <c r="AB20" s="319">
        <f t="shared" si="12"/>
        <v>0</v>
      </c>
      <c r="AC20" s="319">
        <f t="shared" si="12"/>
        <v>0</v>
      </c>
      <c r="AD20" s="319">
        <f t="shared" si="12"/>
        <v>0</v>
      </c>
      <c r="AE20" s="319">
        <f t="shared" si="12"/>
        <v>0</v>
      </c>
      <c r="AF20" s="319">
        <f t="shared" si="12"/>
        <v>0</v>
      </c>
      <c r="AG20" s="319">
        <f t="shared" si="12"/>
        <v>0</v>
      </c>
      <c r="AH20" s="319">
        <f t="shared" si="12"/>
        <v>0</v>
      </c>
      <c r="AI20" s="319">
        <f t="shared" si="12"/>
        <v>0</v>
      </c>
      <c r="AJ20" s="319">
        <f t="shared" si="12"/>
        <v>0</v>
      </c>
      <c r="AK20" s="319">
        <f t="shared" si="12"/>
        <v>0</v>
      </c>
      <c r="AL20" s="319">
        <f t="shared" si="12"/>
        <v>0</v>
      </c>
      <c r="AM20" s="319">
        <f t="shared" si="12"/>
        <v>0</v>
      </c>
      <c r="AN20" s="319">
        <f t="shared" si="12"/>
        <v>0</v>
      </c>
      <c r="AO20" s="319">
        <f t="shared" si="12"/>
        <v>0</v>
      </c>
      <c r="AP20" s="319">
        <f t="shared" si="12"/>
        <v>0</v>
      </c>
      <c r="AQ20" s="319">
        <f t="shared" si="12"/>
        <v>0</v>
      </c>
      <c r="AR20" s="320">
        <f t="shared" si="8"/>
        <v>0</v>
      </c>
      <c r="AS20" s="321">
        <f>TRUNC(AR20-D18*E19,2)</f>
        <v>0</v>
      </c>
      <c r="AT20" s="322" t="e">
        <f>+AR20/D18</f>
        <v>#DIV/0!</v>
      </c>
      <c r="AW20" s="274" t="str">
        <f>IF(F20="","X",IF(AND(E19&gt;0),F20,"-"))</f>
        <v>DE</v>
      </c>
      <c r="AX20" s="274" t="str">
        <f t="shared" ca="1" si="9"/>
        <v/>
      </c>
    </row>
    <row r="21" spans="1:50" s="274" customFormat="1" ht="18" hidden="1" customHeight="1" thickBot="1">
      <c r="A21" s="2499"/>
      <c r="B21" s="2502"/>
      <c r="C21" s="324"/>
      <c r="D21" s="325" t="s">
        <v>1195</v>
      </c>
      <c r="E21" s="2510">
        <f>1-E19</f>
        <v>0</v>
      </c>
      <c r="F21" s="326" t="s">
        <v>1192</v>
      </c>
      <c r="G21" s="326" t="str">
        <f>D21&amp;" | "&amp;F21</f>
        <v>PROPONENTE | ND</v>
      </c>
      <c r="H21" s="327">
        <f>($D17*H17-H19)</f>
        <v>0</v>
      </c>
      <c r="I21" s="327">
        <f t="shared" ref="I21:AQ22" si="13">($D17*I17-I19)</f>
        <v>0</v>
      </c>
      <c r="J21" s="327">
        <f t="shared" si="13"/>
        <v>0</v>
      </c>
      <c r="K21" s="327">
        <f t="shared" si="13"/>
        <v>0</v>
      </c>
      <c r="L21" s="327">
        <f t="shared" si="13"/>
        <v>0</v>
      </c>
      <c r="M21" s="327">
        <f t="shared" si="13"/>
        <v>0</v>
      </c>
      <c r="N21" s="327">
        <f t="shared" si="13"/>
        <v>0</v>
      </c>
      <c r="O21" s="327">
        <f t="shared" si="13"/>
        <v>0</v>
      </c>
      <c r="P21" s="327">
        <f t="shared" si="13"/>
        <v>0</v>
      </c>
      <c r="Q21" s="327">
        <f t="shared" si="13"/>
        <v>0</v>
      </c>
      <c r="R21" s="327">
        <f t="shared" si="13"/>
        <v>0</v>
      </c>
      <c r="S21" s="327">
        <f t="shared" si="13"/>
        <v>0</v>
      </c>
      <c r="T21" s="327">
        <f t="shared" si="13"/>
        <v>0</v>
      </c>
      <c r="U21" s="327">
        <f t="shared" si="13"/>
        <v>0</v>
      </c>
      <c r="V21" s="327">
        <f t="shared" si="13"/>
        <v>0</v>
      </c>
      <c r="W21" s="327">
        <f t="shared" si="13"/>
        <v>0</v>
      </c>
      <c r="X21" s="327">
        <f t="shared" si="13"/>
        <v>0</v>
      </c>
      <c r="Y21" s="327">
        <f t="shared" si="13"/>
        <v>0</v>
      </c>
      <c r="Z21" s="327">
        <f t="shared" si="13"/>
        <v>0</v>
      </c>
      <c r="AA21" s="327">
        <f t="shared" si="13"/>
        <v>0</v>
      </c>
      <c r="AB21" s="327">
        <f t="shared" si="13"/>
        <v>0</v>
      </c>
      <c r="AC21" s="327">
        <f t="shared" si="13"/>
        <v>0</v>
      </c>
      <c r="AD21" s="327">
        <f t="shared" si="13"/>
        <v>0</v>
      </c>
      <c r="AE21" s="327">
        <f t="shared" si="13"/>
        <v>0</v>
      </c>
      <c r="AF21" s="327">
        <f t="shared" si="13"/>
        <v>0</v>
      </c>
      <c r="AG21" s="327">
        <f t="shared" si="13"/>
        <v>0</v>
      </c>
      <c r="AH21" s="327">
        <f t="shared" si="13"/>
        <v>0</v>
      </c>
      <c r="AI21" s="327">
        <f t="shared" si="13"/>
        <v>0</v>
      </c>
      <c r="AJ21" s="327">
        <f t="shared" si="13"/>
        <v>0</v>
      </c>
      <c r="AK21" s="327">
        <f t="shared" si="13"/>
        <v>0</v>
      </c>
      <c r="AL21" s="327">
        <f t="shared" si="13"/>
        <v>0</v>
      </c>
      <c r="AM21" s="327">
        <f t="shared" si="13"/>
        <v>0</v>
      </c>
      <c r="AN21" s="327">
        <f t="shared" si="13"/>
        <v>0</v>
      </c>
      <c r="AO21" s="327">
        <f t="shared" si="13"/>
        <v>0</v>
      </c>
      <c r="AP21" s="327">
        <f t="shared" si="13"/>
        <v>0</v>
      </c>
      <c r="AQ21" s="327">
        <f t="shared" si="13"/>
        <v>0</v>
      </c>
      <c r="AR21" s="328">
        <f t="shared" si="8"/>
        <v>0</v>
      </c>
      <c r="AS21" s="321">
        <f>+D17-AR19-AR21</f>
        <v>0</v>
      </c>
      <c r="AW21" s="274" t="str">
        <f>IF(F21="","X",IF(AND(E21&gt;0),F21,"-"))</f>
        <v>-</v>
      </c>
      <c r="AX21" s="274" t="str">
        <f t="shared" ca="1" si="9"/>
        <v/>
      </c>
    </row>
    <row r="22" spans="1:50" s="274" customFormat="1" ht="18" hidden="1" customHeight="1" thickBot="1">
      <c r="A22" s="2500"/>
      <c r="B22" s="2503"/>
      <c r="C22" s="324"/>
      <c r="D22" s="325" t="s">
        <v>1195</v>
      </c>
      <c r="E22" s="2511"/>
      <c r="F22" s="329" t="s">
        <v>1193</v>
      </c>
      <c r="G22" s="329" t="str">
        <f>D22&amp;" | "&amp;F22</f>
        <v>PROPONENTE | DE</v>
      </c>
      <c r="H22" s="327">
        <f>($D18*H18-H20)</f>
        <v>0</v>
      </c>
      <c r="I22" s="327">
        <f t="shared" si="13"/>
        <v>0</v>
      </c>
      <c r="J22" s="327">
        <f t="shared" si="13"/>
        <v>0</v>
      </c>
      <c r="K22" s="327">
        <f t="shared" si="13"/>
        <v>0</v>
      </c>
      <c r="L22" s="327">
        <f t="shared" si="13"/>
        <v>0</v>
      </c>
      <c r="M22" s="327">
        <f t="shared" si="13"/>
        <v>0</v>
      </c>
      <c r="N22" s="327">
        <f t="shared" si="13"/>
        <v>0</v>
      </c>
      <c r="O22" s="327">
        <f t="shared" si="13"/>
        <v>0</v>
      </c>
      <c r="P22" s="327">
        <f t="shared" si="13"/>
        <v>0</v>
      </c>
      <c r="Q22" s="327">
        <f t="shared" si="13"/>
        <v>0</v>
      </c>
      <c r="R22" s="327">
        <f t="shared" si="13"/>
        <v>0</v>
      </c>
      <c r="S22" s="327">
        <f t="shared" si="13"/>
        <v>0</v>
      </c>
      <c r="T22" s="327">
        <f t="shared" si="13"/>
        <v>0</v>
      </c>
      <c r="U22" s="327">
        <f t="shared" si="13"/>
        <v>0</v>
      </c>
      <c r="V22" s="327">
        <f t="shared" si="13"/>
        <v>0</v>
      </c>
      <c r="W22" s="327">
        <f t="shared" si="13"/>
        <v>0</v>
      </c>
      <c r="X22" s="327">
        <f t="shared" si="13"/>
        <v>0</v>
      </c>
      <c r="Y22" s="327">
        <f t="shared" si="13"/>
        <v>0</v>
      </c>
      <c r="Z22" s="327">
        <f t="shared" si="13"/>
        <v>0</v>
      </c>
      <c r="AA22" s="327">
        <f t="shared" si="13"/>
        <v>0</v>
      </c>
      <c r="AB22" s="327">
        <f t="shared" si="13"/>
        <v>0</v>
      </c>
      <c r="AC22" s="327">
        <f t="shared" si="13"/>
        <v>0</v>
      </c>
      <c r="AD22" s="327">
        <f t="shared" si="13"/>
        <v>0</v>
      </c>
      <c r="AE22" s="327">
        <f t="shared" si="13"/>
        <v>0</v>
      </c>
      <c r="AF22" s="327">
        <f t="shared" si="13"/>
        <v>0</v>
      </c>
      <c r="AG22" s="327">
        <f t="shared" si="13"/>
        <v>0</v>
      </c>
      <c r="AH22" s="327">
        <f t="shared" si="13"/>
        <v>0</v>
      </c>
      <c r="AI22" s="327">
        <f t="shared" si="13"/>
        <v>0</v>
      </c>
      <c r="AJ22" s="327">
        <f t="shared" si="13"/>
        <v>0</v>
      </c>
      <c r="AK22" s="327">
        <f t="shared" si="13"/>
        <v>0</v>
      </c>
      <c r="AL22" s="327">
        <f t="shared" si="13"/>
        <v>0</v>
      </c>
      <c r="AM22" s="327">
        <f t="shared" si="13"/>
        <v>0</v>
      </c>
      <c r="AN22" s="327">
        <f t="shared" si="13"/>
        <v>0</v>
      </c>
      <c r="AO22" s="327">
        <f t="shared" si="13"/>
        <v>0</v>
      </c>
      <c r="AP22" s="327">
        <f t="shared" si="13"/>
        <v>0</v>
      </c>
      <c r="AQ22" s="327">
        <f t="shared" si="13"/>
        <v>0</v>
      </c>
      <c r="AR22" s="328">
        <f t="shared" si="8"/>
        <v>0</v>
      </c>
      <c r="AS22" s="321">
        <f>+D18-AR20-AR22</f>
        <v>0</v>
      </c>
      <c r="AW22" s="274" t="str">
        <f>IF(F22="","X",IF(AND(E21&gt;0),F22,"-"))</f>
        <v>-</v>
      </c>
      <c r="AX22" s="274" t="str">
        <f t="shared" ca="1" si="9"/>
        <v/>
      </c>
    </row>
    <row r="23" spans="1:50" s="274" customFormat="1" ht="9.9499999999999993" hidden="1" customHeight="1">
      <c r="A23" s="2498">
        <f ca="1">Orcamento!B19</f>
        <v>0</v>
      </c>
      <c r="B23" s="2501" t="str">
        <f>Orcamento!D19</f>
        <v>MICRODRENAGEM - TERRAPLENAGEM</v>
      </c>
      <c r="C23" s="305"/>
      <c r="D23" s="306"/>
      <c r="E23" s="307"/>
      <c r="F23" s="307"/>
      <c r="G23" s="307"/>
      <c r="H23" s="308">
        <f t="shared" ref="H23:AQ23" si="14">H24</f>
        <v>0.5</v>
      </c>
      <c r="I23" s="308">
        <f t="shared" si="14"/>
        <v>0.5</v>
      </c>
      <c r="J23" s="308">
        <f t="shared" si="14"/>
        <v>0</v>
      </c>
      <c r="K23" s="308">
        <f t="shared" si="14"/>
        <v>0</v>
      </c>
      <c r="L23" s="308">
        <f t="shared" si="14"/>
        <v>0</v>
      </c>
      <c r="M23" s="308">
        <f t="shared" si="14"/>
        <v>0</v>
      </c>
      <c r="N23" s="308">
        <f t="shared" si="14"/>
        <v>0</v>
      </c>
      <c r="O23" s="308">
        <f t="shared" si="14"/>
        <v>0</v>
      </c>
      <c r="P23" s="308">
        <f t="shared" si="14"/>
        <v>0</v>
      </c>
      <c r="Q23" s="308">
        <f t="shared" si="14"/>
        <v>0</v>
      </c>
      <c r="R23" s="308">
        <f t="shared" si="14"/>
        <v>0</v>
      </c>
      <c r="S23" s="308">
        <f t="shared" si="14"/>
        <v>0</v>
      </c>
      <c r="T23" s="308">
        <f t="shared" si="14"/>
        <v>0</v>
      </c>
      <c r="U23" s="308">
        <f t="shared" si="14"/>
        <v>0</v>
      </c>
      <c r="V23" s="308">
        <f t="shared" si="14"/>
        <v>0</v>
      </c>
      <c r="W23" s="308">
        <f t="shared" si="14"/>
        <v>0</v>
      </c>
      <c r="X23" s="308">
        <f t="shared" si="14"/>
        <v>0</v>
      </c>
      <c r="Y23" s="308">
        <f t="shared" si="14"/>
        <v>0</v>
      </c>
      <c r="Z23" s="308">
        <f t="shared" si="14"/>
        <v>0</v>
      </c>
      <c r="AA23" s="308">
        <f t="shared" si="14"/>
        <v>0</v>
      </c>
      <c r="AB23" s="308">
        <f t="shared" si="14"/>
        <v>0</v>
      </c>
      <c r="AC23" s="308">
        <f t="shared" si="14"/>
        <v>0</v>
      </c>
      <c r="AD23" s="308">
        <f t="shared" si="14"/>
        <v>0</v>
      </c>
      <c r="AE23" s="308">
        <f t="shared" si="14"/>
        <v>0</v>
      </c>
      <c r="AF23" s="308">
        <f t="shared" si="14"/>
        <v>0</v>
      </c>
      <c r="AG23" s="308">
        <f t="shared" si="14"/>
        <v>0</v>
      </c>
      <c r="AH23" s="308">
        <f t="shared" si="14"/>
        <v>0</v>
      </c>
      <c r="AI23" s="308">
        <f t="shared" si="14"/>
        <v>0</v>
      </c>
      <c r="AJ23" s="308">
        <f t="shared" si="14"/>
        <v>0</v>
      </c>
      <c r="AK23" s="308">
        <f t="shared" si="14"/>
        <v>0</v>
      </c>
      <c r="AL23" s="308">
        <f t="shared" si="14"/>
        <v>0</v>
      </c>
      <c r="AM23" s="308">
        <f t="shared" si="14"/>
        <v>0</v>
      </c>
      <c r="AN23" s="308">
        <f t="shared" si="14"/>
        <v>0</v>
      </c>
      <c r="AO23" s="308">
        <f t="shared" si="14"/>
        <v>0</v>
      </c>
      <c r="AP23" s="308">
        <f t="shared" si="14"/>
        <v>0</v>
      </c>
      <c r="AQ23" s="308">
        <f t="shared" si="14"/>
        <v>0</v>
      </c>
      <c r="AR23" s="309"/>
      <c r="AS23" s="310">
        <f>+D25-AR27-AR29</f>
        <v>0</v>
      </c>
      <c r="AW23" s="274" t="str">
        <f>IF(F23="","X",F23)</f>
        <v>X</v>
      </c>
      <c r="AX23" s="274" t="str">
        <f ca="1">IF($A$23=0,"","X")</f>
        <v/>
      </c>
    </row>
    <row r="24" spans="1:50" s="274" customFormat="1" ht="18" hidden="1" customHeight="1">
      <c r="A24" s="2499"/>
      <c r="B24" s="2502"/>
      <c r="C24" s="311" t="str">
        <f>CONCATENATE(Orcamento!K30," ",Orcamento!G30)</f>
        <v>0 M</v>
      </c>
      <c r="D24" s="2504">
        <f>Orcamento!S19</f>
        <v>0</v>
      </c>
      <c r="E24" s="2505"/>
      <c r="F24" s="312" t="s">
        <v>1192</v>
      </c>
      <c r="G24" s="312"/>
      <c r="H24" s="314">
        <v>0.5</v>
      </c>
      <c r="I24" s="314">
        <v>0.5</v>
      </c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5">
        <f t="shared" ref="AR24:AR29" si="15">SUM(H24:AQ24)</f>
        <v>1</v>
      </c>
      <c r="AS24" s="2506">
        <f>1-AR24</f>
        <v>0</v>
      </c>
      <c r="AU24" s="2507">
        <f>+COUNT(H24:AQ25)</f>
        <v>38</v>
      </c>
      <c r="AW24" s="274" t="str">
        <f>IF(F24="","X",F24)</f>
        <v>ND</v>
      </c>
      <c r="AX24" s="274" t="str">
        <f t="shared" ref="AX24:AX29" ca="1" si="16">IF($A$23=0,"","X")</f>
        <v/>
      </c>
    </row>
    <row r="25" spans="1:50" s="274" customFormat="1" ht="18" hidden="1" customHeight="1">
      <c r="A25" s="2499"/>
      <c r="B25" s="2502"/>
      <c r="C25" s="311" t="str">
        <f>CONCATENATE(Orcamento!K31," ",Orcamento!G31)</f>
        <v>0 M2</v>
      </c>
      <c r="D25" s="2504">
        <f>Orcamento!T19</f>
        <v>0</v>
      </c>
      <c r="E25" s="2505"/>
      <c r="F25" s="316" t="s">
        <v>1193</v>
      </c>
      <c r="G25" s="316"/>
      <c r="H25" s="314">
        <f t="shared" ref="H25:AQ25" si="17">H24</f>
        <v>0.5</v>
      </c>
      <c r="I25" s="314">
        <f t="shared" si="17"/>
        <v>0.5</v>
      </c>
      <c r="J25" s="314">
        <f t="shared" si="17"/>
        <v>0</v>
      </c>
      <c r="K25" s="314">
        <f t="shared" si="17"/>
        <v>0</v>
      </c>
      <c r="L25" s="314">
        <f t="shared" si="17"/>
        <v>0</v>
      </c>
      <c r="M25" s="314">
        <f t="shared" si="17"/>
        <v>0</v>
      </c>
      <c r="N25" s="314">
        <f t="shared" si="17"/>
        <v>0</v>
      </c>
      <c r="O25" s="314">
        <f t="shared" si="17"/>
        <v>0</v>
      </c>
      <c r="P25" s="314">
        <f t="shared" si="17"/>
        <v>0</v>
      </c>
      <c r="Q25" s="314">
        <f t="shared" si="17"/>
        <v>0</v>
      </c>
      <c r="R25" s="314">
        <f t="shared" si="17"/>
        <v>0</v>
      </c>
      <c r="S25" s="314">
        <f t="shared" si="17"/>
        <v>0</v>
      </c>
      <c r="T25" s="314">
        <f t="shared" si="17"/>
        <v>0</v>
      </c>
      <c r="U25" s="314">
        <f t="shared" si="17"/>
        <v>0</v>
      </c>
      <c r="V25" s="314">
        <f t="shared" si="17"/>
        <v>0</v>
      </c>
      <c r="W25" s="314">
        <f t="shared" si="17"/>
        <v>0</v>
      </c>
      <c r="X25" s="314">
        <f t="shared" si="17"/>
        <v>0</v>
      </c>
      <c r="Y25" s="314">
        <f t="shared" si="17"/>
        <v>0</v>
      </c>
      <c r="Z25" s="314">
        <f t="shared" si="17"/>
        <v>0</v>
      </c>
      <c r="AA25" s="314">
        <f t="shared" si="17"/>
        <v>0</v>
      </c>
      <c r="AB25" s="314">
        <f t="shared" si="17"/>
        <v>0</v>
      </c>
      <c r="AC25" s="314">
        <f t="shared" si="17"/>
        <v>0</v>
      </c>
      <c r="AD25" s="314">
        <f t="shared" si="17"/>
        <v>0</v>
      </c>
      <c r="AE25" s="314">
        <f t="shared" si="17"/>
        <v>0</v>
      </c>
      <c r="AF25" s="314">
        <f t="shared" si="17"/>
        <v>0</v>
      </c>
      <c r="AG25" s="314">
        <f t="shared" si="17"/>
        <v>0</v>
      </c>
      <c r="AH25" s="314">
        <f t="shared" si="17"/>
        <v>0</v>
      </c>
      <c r="AI25" s="314">
        <f t="shared" si="17"/>
        <v>0</v>
      </c>
      <c r="AJ25" s="314">
        <f t="shared" si="17"/>
        <v>0</v>
      </c>
      <c r="AK25" s="314">
        <f t="shared" si="17"/>
        <v>0</v>
      </c>
      <c r="AL25" s="314">
        <f t="shared" si="17"/>
        <v>0</v>
      </c>
      <c r="AM25" s="314">
        <f t="shared" si="17"/>
        <v>0</v>
      </c>
      <c r="AN25" s="314">
        <f t="shared" si="17"/>
        <v>0</v>
      </c>
      <c r="AO25" s="314">
        <f t="shared" si="17"/>
        <v>0</v>
      </c>
      <c r="AP25" s="314">
        <f t="shared" si="17"/>
        <v>0</v>
      </c>
      <c r="AQ25" s="314">
        <f t="shared" si="17"/>
        <v>0</v>
      </c>
      <c r="AR25" s="315">
        <f t="shared" si="15"/>
        <v>1</v>
      </c>
      <c r="AS25" s="2506"/>
      <c r="AU25" s="2507"/>
      <c r="AW25" s="274" t="str">
        <f>IF(F25="","X",F25)</f>
        <v>DE</v>
      </c>
      <c r="AX25" s="274" t="str">
        <f t="shared" ca="1" si="16"/>
        <v/>
      </c>
    </row>
    <row r="26" spans="1:50" s="274" customFormat="1" ht="18" hidden="1" customHeight="1">
      <c r="A26" s="2499"/>
      <c r="B26" s="2502"/>
      <c r="C26" s="311"/>
      <c r="D26" s="317" t="s">
        <v>1194</v>
      </c>
      <c r="E26" s="2508">
        <f>$D$159</f>
        <v>1</v>
      </c>
      <c r="F26" s="318" t="s">
        <v>1192</v>
      </c>
      <c r="G26" s="318" t="str">
        <f>D26&amp;" | "&amp;F26</f>
        <v>CONCEDENTE | ND</v>
      </c>
      <c r="H26" s="319">
        <f t="shared" ref="H26:AQ26" si="18">IF($D24=0,0,IF(H24=0,0,($E26*$D24*H24)+$AU$163))</f>
        <v>0</v>
      </c>
      <c r="I26" s="319">
        <f t="shared" si="18"/>
        <v>0</v>
      </c>
      <c r="J26" s="319">
        <f t="shared" si="18"/>
        <v>0</v>
      </c>
      <c r="K26" s="319">
        <f t="shared" si="18"/>
        <v>0</v>
      </c>
      <c r="L26" s="319">
        <f t="shared" si="18"/>
        <v>0</v>
      </c>
      <c r="M26" s="319">
        <f t="shared" si="18"/>
        <v>0</v>
      </c>
      <c r="N26" s="319">
        <f t="shared" si="18"/>
        <v>0</v>
      </c>
      <c r="O26" s="319">
        <f t="shared" si="18"/>
        <v>0</v>
      </c>
      <c r="P26" s="319">
        <f t="shared" si="18"/>
        <v>0</v>
      </c>
      <c r="Q26" s="319">
        <f t="shared" si="18"/>
        <v>0</v>
      </c>
      <c r="R26" s="319">
        <f t="shared" si="18"/>
        <v>0</v>
      </c>
      <c r="S26" s="319">
        <f t="shared" si="18"/>
        <v>0</v>
      </c>
      <c r="T26" s="319">
        <f t="shared" si="18"/>
        <v>0</v>
      </c>
      <c r="U26" s="319">
        <f t="shared" si="18"/>
        <v>0</v>
      </c>
      <c r="V26" s="319">
        <f t="shared" si="18"/>
        <v>0</v>
      </c>
      <c r="W26" s="319">
        <f t="shared" si="18"/>
        <v>0</v>
      </c>
      <c r="X26" s="319">
        <f t="shared" si="18"/>
        <v>0</v>
      </c>
      <c r="Y26" s="319">
        <f t="shared" si="18"/>
        <v>0</v>
      </c>
      <c r="Z26" s="319">
        <f t="shared" si="18"/>
        <v>0</v>
      </c>
      <c r="AA26" s="319">
        <f t="shared" si="18"/>
        <v>0</v>
      </c>
      <c r="AB26" s="319">
        <f t="shared" si="18"/>
        <v>0</v>
      </c>
      <c r="AC26" s="319">
        <f t="shared" si="18"/>
        <v>0</v>
      </c>
      <c r="AD26" s="319">
        <f t="shared" si="18"/>
        <v>0</v>
      </c>
      <c r="AE26" s="319">
        <f t="shared" si="18"/>
        <v>0</v>
      </c>
      <c r="AF26" s="319">
        <f t="shared" si="18"/>
        <v>0</v>
      </c>
      <c r="AG26" s="319">
        <f t="shared" si="18"/>
        <v>0</v>
      </c>
      <c r="AH26" s="319">
        <f t="shared" si="18"/>
        <v>0</v>
      </c>
      <c r="AI26" s="319">
        <f t="shared" si="18"/>
        <v>0</v>
      </c>
      <c r="AJ26" s="319">
        <f t="shared" si="18"/>
        <v>0</v>
      </c>
      <c r="AK26" s="319">
        <f t="shared" si="18"/>
        <v>0</v>
      </c>
      <c r="AL26" s="319">
        <f t="shared" si="18"/>
        <v>0</v>
      </c>
      <c r="AM26" s="319">
        <f t="shared" si="18"/>
        <v>0</v>
      </c>
      <c r="AN26" s="319">
        <f t="shared" si="18"/>
        <v>0</v>
      </c>
      <c r="AO26" s="319">
        <f t="shared" si="18"/>
        <v>0</v>
      </c>
      <c r="AP26" s="319">
        <f t="shared" si="18"/>
        <v>0</v>
      </c>
      <c r="AQ26" s="319">
        <f t="shared" si="18"/>
        <v>0</v>
      </c>
      <c r="AR26" s="320">
        <f t="shared" si="15"/>
        <v>0</v>
      </c>
      <c r="AS26" s="321">
        <f>TRUNC(AR26-D24*E26,2)</f>
        <v>0</v>
      </c>
      <c r="AT26" s="322" t="e">
        <f>+AR26/D24</f>
        <v>#DIV/0!</v>
      </c>
      <c r="AW26" s="274" t="str">
        <f>IF(F26="","X",IF(AND(E26&gt;0),F26,"-"))</f>
        <v>ND</v>
      </c>
      <c r="AX26" s="274" t="str">
        <f t="shared" ca="1" si="16"/>
        <v/>
      </c>
    </row>
    <row r="27" spans="1:50" s="274" customFormat="1" ht="18" hidden="1" customHeight="1">
      <c r="A27" s="2499"/>
      <c r="B27" s="2502"/>
      <c r="C27" s="311"/>
      <c r="D27" s="317" t="s">
        <v>1194</v>
      </c>
      <c r="E27" s="2509"/>
      <c r="F27" s="323" t="s">
        <v>1193</v>
      </c>
      <c r="G27" s="323" t="str">
        <f>D27&amp;" | "&amp;F27</f>
        <v>CONCEDENTE | DE</v>
      </c>
      <c r="H27" s="319">
        <f t="shared" ref="H27:AQ27" si="19">IF($D25=0,0,IF(H25=0,0,($E26*$D25*H25)+$AU$163))</f>
        <v>0</v>
      </c>
      <c r="I27" s="319">
        <f t="shared" si="19"/>
        <v>0</v>
      </c>
      <c r="J27" s="319">
        <f t="shared" si="19"/>
        <v>0</v>
      </c>
      <c r="K27" s="319">
        <f t="shared" si="19"/>
        <v>0</v>
      </c>
      <c r="L27" s="319">
        <f t="shared" si="19"/>
        <v>0</v>
      </c>
      <c r="M27" s="319">
        <f t="shared" si="19"/>
        <v>0</v>
      </c>
      <c r="N27" s="319">
        <f t="shared" si="19"/>
        <v>0</v>
      </c>
      <c r="O27" s="319">
        <f t="shared" si="19"/>
        <v>0</v>
      </c>
      <c r="P27" s="319">
        <f t="shared" si="19"/>
        <v>0</v>
      </c>
      <c r="Q27" s="319">
        <f t="shared" si="19"/>
        <v>0</v>
      </c>
      <c r="R27" s="319">
        <f t="shared" si="19"/>
        <v>0</v>
      </c>
      <c r="S27" s="319">
        <f t="shared" si="19"/>
        <v>0</v>
      </c>
      <c r="T27" s="319">
        <f t="shared" si="19"/>
        <v>0</v>
      </c>
      <c r="U27" s="319">
        <f t="shared" si="19"/>
        <v>0</v>
      </c>
      <c r="V27" s="319">
        <f t="shared" si="19"/>
        <v>0</v>
      </c>
      <c r="W27" s="319">
        <f t="shared" si="19"/>
        <v>0</v>
      </c>
      <c r="X27" s="319">
        <f t="shared" si="19"/>
        <v>0</v>
      </c>
      <c r="Y27" s="319">
        <f t="shared" si="19"/>
        <v>0</v>
      </c>
      <c r="Z27" s="319">
        <f t="shared" si="19"/>
        <v>0</v>
      </c>
      <c r="AA27" s="319">
        <f t="shared" si="19"/>
        <v>0</v>
      </c>
      <c r="AB27" s="319">
        <f t="shared" si="19"/>
        <v>0</v>
      </c>
      <c r="AC27" s="319">
        <f t="shared" si="19"/>
        <v>0</v>
      </c>
      <c r="AD27" s="319">
        <f t="shared" si="19"/>
        <v>0</v>
      </c>
      <c r="AE27" s="319">
        <f t="shared" si="19"/>
        <v>0</v>
      </c>
      <c r="AF27" s="319">
        <f t="shared" si="19"/>
        <v>0</v>
      </c>
      <c r="AG27" s="319">
        <f t="shared" si="19"/>
        <v>0</v>
      </c>
      <c r="AH27" s="319">
        <f t="shared" si="19"/>
        <v>0</v>
      </c>
      <c r="AI27" s="319">
        <f t="shared" si="19"/>
        <v>0</v>
      </c>
      <c r="AJ27" s="319">
        <f t="shared" si="19"/>
        <v>0</v>
      </c>
      <c r="AK27" s="319">
        <f t="shared" si="19"/>
        <v>0</v>
      </c>
      <c r="AL27" s="319">
        <f t="shared" si="19"/>
        <v>0</v>
      </c>
      <c r="AM27" s="319">
        <f t="shared" si="19"/>
        <v>0</v>
      </c>
      <c r="AN27" s="319">
        <f t="shared" si="19"/>
        <v>0</v>
      </c>
      <c r="AO27" s="319">
        <f t="shared" si="19"/>
        <v>0</v>
      </c>
      <c r="AP27" s="319">
        <f t="shared" si="19"/>
        <v>0</v>
      </c>
      <c r="AQ27" s="319">
        <f t="shared" si="19"/>
        <v>0</v>
      </c>
      <c r="AR27" s="320">
        <f t="shared" si="15"/>
        <v>0</v>
      </c>
      <c r="AS27" s="321">
        <f>TRUNC(AR27-D25*E26,2)</f>
        <v>0</v>
      </c>
      <c r="AT27" s="322" t="e">
        <f>+AR27/D25</f>
        <v>#DIV/0!</v>
      </c>
      <c r="AW27" s="274" t="str">
        <f>IF(F27="","X",IF(AND(E26&gt;0),F27,"-"))</f>
        <v>DE</v>
      </c>
      <c r="AX27" s="274" t="str">
        <f t="shared" ca="1" si="16"/>
        <v/>
      </c>
    </row>
    <row r="28" spans="1:50" s="274" customFormat="1" ht="18" hidden="1" customHeight="1" thickBot="1">
      <c r="A28" s="2499"/>
      <c r="B28" s="2502"/>
      <c r="C28" s="324"/>
      <c r="D28" s="325" t="s">
        <v>1195</v>
      </c>
      <c r="E28" s="2510">
        <f>1-E26</f>
        <v>0</v>
      </c>
      <c r="F28" s="326" t="s">
        <v>1192</v>
      </c>
      <c r="G28" s="326" t="str">
        <f>D28&amp;" | "&amp;F28</f>
        <v>PROPONENTE | ND</v>
      </c>
      <c r="H28" s="327">
        <f>($D24*H24-H26)</f>
        <v>0</v>
      </c>
      <c r="I28" s="327">
        <f t="shared" ref="I28:AQ29" si="20">($D24*I24-I26)</f>
        <v>0</v>
      </c>
      <c r="J28" s="327">
        <f t="shared" si="20"/>
        <v>0</v>
      </c>
      <c r="K28" s="327">
        <f t="shared" si="20"/>
        <v>0</v>
      </c>
      <c r="L28" s="327">
        <f t="shared" si="20"/>
        <v>0</v>
      </c>
      <c r="M28" s="327">
        <f t="shared" si="20"/>
        <v>0</v>
      </c>
      <c r="N28" s="327">
        <f t="shared" si="20"/>
        <v>0</v>
      </c>
      <c r="O28" s="327">
        <f t="shared" si="20"/>
        <v>0</v>
      </c>
      <c r="P28" s="327">
        <f t="shared" si="20"/>
        <v>0</v>
      </c>
      <c r="Q28" s="327">
        <f t="shared" si="20"/>
        <v>0</v>
      </c>
      <c r="R28" s="327">
        <f t="shared" si="20"/>
        <v>0</v>
      </c>
      <c r="S28" s="327">
        <f t="shared" si="20"/>
        <v>0</v>
      </c>
      <c r="T28" s="327">
        <f t="shared" si="20"/>
        <v>0</v>
      </c>
      <c r="U28" s="327">
        <f t="shared" si="20"/>
        <v>0</v>
      </c>
      <c r="V28" s="327">
        <f t="shared" si="20"/>
        <v>0</v>
      </c>
      <c r="W28" s="327">
        <f t="shared" si="20"/>
        <v>0</v>
      </c>
      <c r="X28" s="327">
        <f t="shared" si="20"/>
        <v>0</v>
      </c>
      <c r="Y28" s="327">
        <f t="shared" si="20"/>
        <v>0</v>
      </c>
      <c r="Z28" s="327">
        <f t="shared" si="20"/>
        <v>0</v>
      </c>
      <c r="AA28" s="327">
        <f t="shared" si="20"/>
        <v>0</v>
      </c>
      <c r="AB28" s="327">
        <f t="shared" si="20"/>
        <v>0</v>
      </c>
      <c r="AC28" s="327">
        <f t="shared" si="20"/>
        <v>0</v>
      </c>
      <c r="AD28" s="327">
        <f t="shared" si="20"/>
        <v>0</v>
      </c>
      <c r="AE28" s="327">
        <f t="shared" si="20"/>
        <v>0</v>
      </c>
      <c r="AF28" s="327">
        <f t="shared" si="20"/>
        <v>0</v>
      </c>
      <c r="AG28" s="327">
        <f t="shared" si="20"/>
        <v>0</v>
      </c>
      <c r="AH28" s="327">
        <f t="shared" si="20"/>
        <v>0</v>
      </c>
      <c r="AI28" s="327">
        <f t="shared" si="20"/>
        <v>0</v>
      </c>
      <c r="AJ28" s="327">
        <f t="shared" si="20"/>
        <v>0</v>
      </c>
      <c r="AK28" s="327">
        <f t="shared" si="20"/>
        <v>0</v>
      </c>
      <c r="AL28" s="327">
        <f t="shared" si="20"/>
        <v>0</v>
      </c>
      <c r="AM28" s="327">
        <f t="shared" si="20"/>
        <v>0</v>
      </c>
      <c r="AN28" s="327">
        <f t="shared" si="20"/>
        <v>0</v>
      </c>
      <c r="AO28" s="327">
        <f t="shared" si="20"/>
        <v>0</v>
      </c>
      <c r="AP28" s="327">
        <f t="shared" si="20"/>
        <v>0</v>
      </c>
      <c r="AQ28" s="327">
        <f t="shared" si="20"/>
        <v>0</v>
      </c>
      <c r="AR28" s="328">
        <f t="shared" si="15"/>
        <v>0</v>
      </c>
      <c r="AS28" s="321">
        <f>+D24-AR26-AR28</f>
        <v>0</v>
      </c>
      <c r="AW28" s="274" t="str">
        <f>IF(F28="","X",IF(AND(E28&gt;0),F28,"-"))</f>
        <v>-</v>
      </c>
      <c r="AX28" s="274" t="str">
        <f t="shared" ca="1" si="16"/>
        <v/>
      </c>
    </row>
    <row r="29" spans="1:50" s="274" customFormat="1" ht="18" hidden="1" customHeight="1" thickBot="1">
      <c r="A29" s="2500"/>
      <c r="B29" s="2503"/>
      <c r="C29" s="324"/>
      <c r="D29" s="325" t="s">
        <v>1195</v>
      </c>
      <c r="E29" s="2511"/>
      <c r="F29" s="329" t="s">
        <v>1193</v>
      </c>
      <c r="G29" s="329" t="str">
        <f>D29&amp;" | "&amp;F29</f>
        <v>PROPONENTE | DE</v>
      </c>
      <c r="H29" s="327">
        <f>($D25*H25-H27)</f>
        <v>0</v>
      </c>
      <c r="I29" s="327">
        <f t="shared" si="20"/>
        <v>0</v>
      </c>
      <c r="J29" s="327">
        <f t="shared" si="20"/>
        <v>0</v>
      </c>
      <c r="K29" s="327">
        <f t="shared" si="20"/>
        <v>0</v>
      </c>
      <c r="L29" s="327">
        <f t="shared" si="20"/>
        <v>0</v>
      </c>
      <c r="M29" s="327">
        <f t="shared" si="20"/>
        <v>0</v>
      </c>
      <c r="N29" s="327">
        <f t="shared" si="20"/>
        <v>0</v>
      </c>
      <c r="O29" s="327">
        <f t="shared" si="20"/>
        <v>0</v>
      </c>
      <c r="P29" s="327">
        <f t="shared" si="20"/>
        <v>0</v>
      </c>
      <c r="Q29" s="327">
        <f t="shared" si="20"/>
        <v>0</v>
      </c>
      <c r="R29" s="327">
        <f t="shared" si="20"/>
        <v>0</v>
      </c>
      <c r="S29" s="327">
        <f t="shared" si="20"/>
        <v>0</v>
      </c>
      <c r="T29" s="327">
        <f t="shared" si="20"/>
        <v>0</v>
      </c>
      <c r="U29" s="327">
        <f t="shared" si="20"/>
        <v>0</v>
      </c>
      <c r="V29" s="327">
        <f t="shared" si="20"/>
        <v>0</v>
      </c>
      <c r="W29" s="327">
        <f t="shared" si="20"/>
        <v>0</v>
      </c>
      <c r="X29" s="327">
        <f t="shared" si="20"/>
        <v>0</v>
      </c>
      <c r="Y29" s="327">
        <f t="shared" si="20"/>
        <v>0</v>
      </c>
      <c r="Z29" s="327">
        <f t="shared" si="20"/>
        <v>0</v>
      </c>
      <c r="AA29" s="327">
        <f t="shared" si="20"/>
        <v>0</v>
      </c>
      <c r="AB29" s="327">
        <f t="shared" si="20"/>
        <v>0</v>
      </c>
      <c r="AC29" s="327">
        <f t="shared" si="20"/>
        <v>0</v>
      </c>
      <c r="AD29" s="327">
        <f t="shared" si="20"/>
        <v>0</v>
      </c>
      <c r="AE29" s="327">
        <f t="shared" si="20"/>
        <v>0</v>
      </c>
      <c r="AF29" s="327">
        <f t="shared" si="20"/>
        <v>0</v>
      </c>
      <c r="AG29" s="327">
        <f t="shared" si="20"/>
        <v>0</v>
      </c>
      <c r="AH29" s="327">
        <f t="shared" si="20"/>
        <v>0</v>
      </c>
      <c r="AI29" s="327">
        <f t="shared" si="20"/>
        <v>0</v>
      </c>
      <c r="AJ29" s="327">
        <f t="shared" si="20"/>
        <v>0</v>
      </c>
      <c r="AK29" s="327">
        <f t="shared" si="20"/>
        <v>0</v>
      </c>
      <c r="AL29" s="327">
        <f t="shared" si="20"/>
        <v>0</v>
      </c>
      <c r="AM29" s="327">
        <f t="shared" si="20"/>
        <v>0</v>
      </c>
      <c r="AN29" s="327">
        <f t="shared" si="20"/>
        <v>0</v>
      </c>
      <c r="AO29" s="327">
        <f t="shared" si="20"/>
        <v>0</v>
      </c>
      <c r="AP29" s="327">
        <f t="shared" si="20"/>
        <v>0</v>
      </c>
      <c r="AQ29" s="327">
        <f t="shared" si="20"/>
        <v>0</v>
      </c>
      <c r="AR29" s="328">
        <f t="shared" si="15"/>
        <v>0</v>
      </c>
      <c r="AS29" s="321">
        <f>+D25-AR27-AR29</f>
        <v>0</v>
      </c>
      <c r="AW29" s="274" t="str">
        <f>IF(F29="","X",IF(AND(E28&gt;0),F29,"-"))</f>
        <v>-</v>
      </c>
      <c r="AX29" s="274" t="str">
        <f t="shared" ca="1" si="16"/>
        <v/>
      </c>
    </row>
    <row r="30" spans="1:50" s="274" customFormat="1" ht="9.9499999999999993" hidden="1" customHeight="1">
      <c r="A30" s="2498">
        <f ca="1">Orcamento!B20</f>
        <v>0</v>
      </c>
      <c r="B30" s="2501" t="str">
        <f>Orcamento!D20</f>
        <v>MICRODRENAGEM - GALERIAS</v>
      </c>
      <c r="C30" s="305"/>
      <c r="D30" s="306"/>
      <c r="E30" s="307"/>
      <c r="F30" s="307"/>
      <c r="G30" s="307"/>
      <c r="H30" s="308">
        <f t="shared" ref="H30:AQ30" si="21">H31</f>
        <v>0.5</v>
      </c>
      <c r="I30" s="308">
        <f t="shared" si="21"/>
        <v>0.5</v>
      </c>
      <c r="J30" s="308">
        <f t="shared" si="21"/>
        <v>0</v>
      </c>
      <c r="K30" s="308">
        <f t="shared" si="21"/>
        <v>0</v>
      </c>
      <c r="L30" s="308">
        <f t="shared" si="21"/>
        <v>0</v>
      </c>
      <c r="M30" s="308">
        <f t="shared" si="21"/>
        <v>0</v>
      </c>
      <c r="N30" s="308">
        <f t="shared" si="21"/>
        <v>0</v>
      </c>
      <c r="O30" s="308">
        <f t="shared" si="21"/>
        <v>0</v>
      </c>
      <c r="P30" s="308">
        <f t="shared" si="21"/>
        <v>0</v>
      </c>
      <c r="Q30" s="308">
        <f t="shared" si="21"/>
        <v>0</v>
      </c>
      <c r="R30" s="308">
        <f t="shared" si="21"/>
        <v>0</v>
      </c>
      <c r="S30" s="308">
        <f t="shared" si="21"/>
        <v>0</v>
      </c>
      <c r="T30" s="308">
        <f t="shared" si="21"/>
        <v>0</v>
      </c>
      <c r="U30" s="308">
        <f t="shared" si="21"/>
        <v>0</v>
      </c>
      <c r="V30" s="308">
        <f t="shared" si="21"/>
        <v>0</v>
      </c>
      <c r="W30" s="308">
        <f t="shared" si="21"/>
        <v>0</v>
      </c>
      <c r="X30" s="308">
        <f t="shared" si="21"/>
        <v>0</v>
      </c>
      <c r="Y30" s="308">
        <f t="shared" si="21"/>
        <v>0</v>
      </c>
      <c r="Z30" s="308">
        <f t="shared" si="21"/>
        <v>0</v>
      </c>
      <c r="AA30" s="308">
        <f t="shared" si="21"/>
        <v>0</v>
      </c>
      <c r="AB30" s="308">
        <f t="shared" si="21"/>
        <v>0</v>
      </c>
      <c r="AC30" s="308">
        <f t="shared" si="21"/>
        <v>0</v>
      </c>
      <c r="AD30" s="308">
        <f t="shared" si="21"/>
        <v>0</v>
      </c>
      <c r="AE30" s="308">
        <f t="shared" si="21"/>
        <v>0</v>
      </c>
      <c r="AF30" s="308">
        <f t="shared" si="21"/>
        <v>0</v>
      </c>
      <c r="AG30" s="308">
        <f t="shared" si="21"/>
        <v>0</v>
      </c>
      <c r="AH30" s="308">
        <f t="shared" si="21"/>
        <v>0</v>
      </c>
      <c r="AI30" s="308">
        <f t="shared" si="21"/>
        <v>0</v>
      </c>
      <c r="AJ30" s="308">
        <f t="shared" si="21"/>
        <v>0</v>
      </c>
      <c r="AK30" s="308">
        <f t="shared" si="21"/>
        <v>0</v>
      </c>
      <c r="AL30" s="308">
        <f t="shared" si="21"/>
        <v>0</v>
      </c>
      <c r="AM30" s="308">
        <f t="shared" si="21"/>
        <v>0</v>
      </c>
      <c r="AN30" s="308">
        <f t="shared" si="21"/>
        <v>0</v>
      </c>
      <c r="AO30" s="308">
        <f t="shared" si="21"/>
        <v>0</v>
      </c>
      <c r="AP30" s="308">
        <f t="shared" si="21"/>
        <v>0</v>
      </c>
      <c r="AQ30" s="308">
        <f t="shared" si="21"/>
        <v>0</v>
      </c>
      <c r="AR30" s="309"/>
      <c r="AS30" s="310">
        <f>+D32-AR34-AR36</f>
        <v>0</v>
      </c>
      <c r="AW30" s="274" t="str">
        <f>IF(F30="","X",F30)</f>
        <v>X</v>
      </c>
      <c r="AX30" s="274" t="str">
        <f ca="1">IF($A$30=0,"","X")</f>
        <v/>
      </c>
    </row>
    <row r="31" spans="1:50" s="274" customFormat="1" ht="18" hidden="1" customHeight="1">
      <c r="A31" s="2499"/>
      <c r="B31" s="2502"/>
      <c r="C31" s="311" t="str">
        <f>CONCATENATE(Orcamento!K37," ",Orcamento!G37)</f>
        <v>0 m²</v>
      </c>
      <c r="D31" s="2504">
        <f>Orcamento!S20</f>
        <v>0</v>
      </c>
      <c r="E31" s="2505"/>
      <c r="F31" s="312" t="s">
        <v>1192</v>
      </c>
      <c r="G31" s="312"/>
      <c r="H31" s="314">
        <v>0.5</v>
      </c>
      <c r="I31" s="314">
        <v>0.5</v>
      </c>
      <c r="J31" s="314"/>
      <c r="K31" s="314"/>
      <c r="L31" s="314"/>
      <c r="M31" s="314"/>
      <c r="N31" s="314"/>
      <c r="O31" s="314"/>
      <c r="P31" s="314"/>
      <c r="Q31" s="314"/>
      <c r="R31" s="314"/>
      <c r="S31" s="314"/>
      <c r="T31" s="314"/>
      <c r="U31" s="314"/>
      <c r="V31" s="314"/>
      <c r="W31" s="314"/>
      <c r="X31" s="314"/>
      <c r="Y31" s="314"/>
      <c r="Z31" s="314"/>
      <c r="AA31" s="314"/>
      <c r="AB31" s="314"/>
      <c r="AC31" s="314"/>
      <c r="AD31" s="314"/>
      <c r="AE31" s="314"/>
      <c r="AF31" s="314"/>
      <c r="AG31" s="314"/>
      <c r="AH31" s="314"/>
      <c r="AI31" s="314"/>
      <c r="AJ31" s="314"/>
      <c r="AK31" s="314"/>
      <c r="AL31" s="314"/>
      <c r="AM31" s="314"/>
      <c r="AN31" s="314"/>
      <c r="AO31" s="314"/>
      <c r="AP31" s="314"/>
      <c r="AQ31" s="314"/>
      <c r="AR31" s="315">
        <f t="shared" ref="AR31:AR36" si="22">SUM(H31:AQ31)</f>
        <v>1</v>
      </c>
      <c r="AS31" s="2506">
        <f>1-AR31</f>
        <v>0</v>
      </c>
      <c r="AU31" s="2507">
        <f>+COUNT(H31:AQ32)</f>
        <v>38</v>
      </c>
      <c r="AW31" s="274" t="str">
        <f>IF(F31="","X",F31)</f>
        <v>ND</v>
      </c>
      <c r="AX31" s="274" t="str">
        <f t="shared" ref="AX31:AX36" ca="1" si="23">IF($A$30=0,"","X")</f>
        <v/>
      </c>
    </row>
    <row r="32" spans="1:50" s="274" customFormat="1" ht="18" hidden="1" customHeight="1">
      <c r="A32" s="2499"/>
      <c r="B32" s="2502"/>
      <c r="C32" s="311" t="str">
        <f>CONCATENATE(Orcamento!K38," ",Orcamento!O38)</f>
        <v xml:space="preserve"> </v>
      </c>
      <c r="D32" s="2504">
        <f>Orcamento!T20</f>
        <v>0</v>
      </c>
      <c r="E32" s="2505"/>
      <c r="F32" s="316" t="s">
        <v>1193</v>
      </c>
      <c r="G32" s="316"/>
      <c r="H32" s="314">
        <f t="shared" ref="H32:AQ32" si="24">H31</f>
        <v>0.5</v>
      </c>
      <c r="I32" s="314">
        <f t="shared" si="24"/>
        <v>0.5</v>
      </c>
      <c r="J32" s="314">
        <f t="shared" si="24"/>
        <v>0</v>
      </c>
      <c r="K32" s="314">
        <f t="shared" si="24"/>
        <v>0</v>
      </c>
      <c r="L32" s="314">
        <f t="shared" si="24"/>
        <v>0</v>
      </c>
      <c r="M32" s="314">
        <f t="shared" si="24"/>
        <v>0</v>
      </c>
      <c r="N32" s="314">
        <f t="shared" si="24"/>
        <v>0</v>
      </c>
      <c r="O32" s="314">
        <f t="shared" si="24"/>
        <v>0</v>
      </c>
      <c r="P32" s="314">
        <f t="shared" si="24"/>
        <v>0</v>
      </c>
      <c r="Q32" s="314">
        <f t="shared" si="24"/>
        <v>0</v>
      </c>
      <c r="R32" s="314">
        <f t="shared" si="24"/>
        <v>0</v>
      </c>
      <c r="S32" s="314">
        <f t="shared" si="24"/>
        <v>0</v>
      </c>
      <c r="T32" s="314">
        <f t="shared" si="24"/>
        <v>0</v>
      </c>
      <c r="U32" s="314">
        <f t="shared" si="24"/>
        <v>0</v>
      </c>
      <c r="V32" s="314">
        <f t="shared" si="24"/>
        <v>0</v>
      </c>
      <c r="W32" s="314">
        <f t="shared" si="24"/>
        <v>0</v>
      </c>
      <c r="X32" s="314">
        <f t="shared" si="24"/>
        <v>0</v>
      </c>
      <c r="Y32" s="314">
        <f t="shared" si="24"/>
        <v>0</v>
      </c>
      <c r="Z32" s="314">
        <f t="shared" si="24"/>
        <v>0</v>
      </c>
      <c r="AA32" s="314">
        <f t="shared" si="24"/>
        <v>0</v>
      </c>
      <c r="AB32" s="314">
        <f t="shared" si="24"/>
        <v>0</v>
      </c>
      <c r="AC32" s="314">
        <f t="shared" si="24"/>
        <v>0</v>
      </c>
      <c r="AD32" s="314">
        <f t="shared" si="24"/>
        <v>0</v>
      </c>
      <c r="AE32" s="314">
        <f t="shared" si="24"/>
        <v>0</v>
      </c>
      <c r="AF32" s="314">
        <f t="shared" si="24"/>
        <v>0</v>
      </c>
      <c r="AG32" s="314">
        <f t="shared" si="24"/>
        <v>0</v>
      </c>
      <c r="AH32" s="314">
        <f t="shared" si="24"/>
        <v>0</v>
      </c>
      <c r="AI32" s="314">
        <f t="shared" si="24"/>
        <v>0</v>
      </c>
      <c r="AJ32" s="314">
        <f t="shared" si="24"/>
        <v>0</v>
      </c>
      <c r="AK32" s="314">
        <f t="shared" si="24"/>
        <v>0</v>
      </c>
      <c r="AL32" s="314">
        <f t="shared" si="24"/>
        <v>0</v>
      </c>
      <c r="AM32" s="314">
        <f t="shared" si="24"/>
        <v>0</v>
      </c>
      <c r="AN32" s="314">
        <f t="shared" si="24"/>
        <v>0</v>
      </c>
      <c r="AO32" s="314">
        <f t="shared" si="24"/>
        <v>0</v>
      </c>
      <c r="AP32" s="314">
        <f t="shared" si="24"/>
        <v>0</v>
      </c>
      <c r="AQ32" s="314">
        <f t="shared" si="24"/>
        <v>0</v>
      </c>
      <c r="AR32" s="315">
        <f t="shared" si="22"/>
        <v>1</v>
      </c>
      <c r="AS32" s="2506"/>
      <c r="AU32" s="2507"/>
      <c r="AW32" s="274" t="str">
        <f>IF(F32="","X",F32)</f>
        <v>DE</v>
      </c>
      <c r="AX32" s="274" t="str">
        <f t="shared" ca="1" si="23"/>
        <v/>
      </c>
    </row>
    <row r="33" spans="1:50" s="274" customFormat="1" ht="18" hidden="1" customHeight="1">
      <c r="A33" s="2499"/>
      <c r="B33" s="2502"/>
      <c r="C33" s="311"/>
      <c r="D33" s="317" t="s">
        <v>1194</v>
      </c>
      <c r="E33" s="2508">
        <f>$D$159</f>
        <v>1</v>
      </c>
      <c r="F33" s="318" t="s">
        <v>1192</v>
      </c>
      <c r="G33" s="318" t="str">
        <f>D33&amp;" | "&amp;F33</f>
        <v>CONCEDENTE | ND</v>
      </c>
      <c r="H33" s="319">
        <f t="shared" ref="H33:AQ33" si="25">IF($D31=0,0,IF(H31=0,0,($E33*$D31*H31)+$AU$163))</f>
        <v>0</v>
      </c>
      <c r="I33" s="319">
        <f t="shared" si="25"/>
        <v>0</v>
      </c>
      <c r="J33" s="319">
        <f t="shared" si="25"/>
        <v>0</v>
      </c>
      <c r="K33" s="319">
        <f t="shared" si="25"/>
        <v>0</v>
      </c>
      <c r="L33" s="319">
        <f t="shared" si="25"/>
        <v>0</v>
      </c>
      <c r="M33" s="319">
        <f t="shared" si="25"/>
        <v>0</v>
      </c>
      <c r="N33" s="319">
        <f t="shared" si="25"/>
        <v>0</v>
      </c>
      <c r="O33" s="319">
        <f t="shared" si="25"/>
        <v>0</v>
      </c>
      <c r="P33" s="319">
        <f t="shared" si="25"/>
        <v>0</v>
      </c>
      <c r="Q33" s="319">
        <f t="shared" si="25"/>
        <v>0</v>
      </c>
      <c r="R33" s="319">
        <f t="shared" si="25"/>
        <v>0</v>
      </c>
      <c r="S33" s="319">
        <f t="shared" si="25"/>
        <v>0</v>
      </c>
      <c r="T33" s="319">
        <f t="shared" si="25"/>
        <v>0</v>
      </c>
      <c r="U33" s="319">
        <f t="shared" si="25"/>
        <v>0</v>
      </c>
      <c r="V33" s="319">
        <f t="shared" si="25"/>
        <v>0</v>
      </c>
      <c r="W33" s="319">
        <f t="shared" si="25"/>
        <v>0</v>
      </c>
      <c r="X33" s="319">
        <f t="shared" si="25"/>
        <v>0</v>
      </c>
      <c r="Y33" s="319">
        <f t="shared" si="25"/>
        <v>0</v>
      </c>
      <c r="Z33" s="319">
        <f t="shared" si="25"/>
        <v>0</v>
      </c>
      <c r="AA33" s="319">
        <f t="shared" si="25"/>
        <v>0</v>
      </c>
      <c r="AB33" s="319">
        <f t="shared" si="25"/>
        <v>0</v>
      </c>
      <c r="AC33" s="319">
        <f t="shared" si="25"/>
        <v>0</v>
      </c>
      <c r="AD33" s="319">
        <f t="shared" si="25"/>
        <v>0</v>
      </c>
      <c r="AE33" s="319">
        <f t="shared" si="25"/>
        <v>0</v>
      </c>
      <c r="AF33" s="319">
        <f t="shared" si="25"/>
        <v>0</v>
      </c>
      <c r="AG33" s="319">
        <f t="shared" si="25"/>
        <v>0</v>
      </c>
      <c r="AH33" s="319">
        <f t="shared" si="25"/>
        <v>0</v>
      </c>
      <c r="AI33" s="319">
        <f t="shared" si="25"/>
        <v>0</v>
      </c>
      <c r="AJ33" s="319">
        <f t="shared" si="25"/>
        <v>0</v>
      </c>
      <c r="AK33" s="319">
        <f t="shared" si="25"/>
        <v>0</v>
      </c>
      <c r="AL33" s="319">
        <f t="shared" si="25"/>
        <v>0</v>
      </c>
      <c r="AM33" s="319">
        <f t="shared" si="25"/>
        <v>0</v>
      </c>
      <c r="AN33" s="319">
        <f t="shared" si="25"/>
        <v>0</v>
      </c>
      <c r="AO33" s="319">
        <f t="shared" si="25"/>
        <v>0</v>
      </c>
      <c r="AP33" s="319">
        <f t="shared" si="25"/>
        <v>0</v>
      </c>
      <c r="AQ33" s="319">
        <f t="shared" si="25"/>
        <v>0</v>
      </c>
      <c r="AR33" s="320">
        <f t="shared" si="22"/>
        <v>0</v>
      </c>
      <c r="AS33" s="321">
        <f>TRUNC(AR33-D31*E33,2)</f>
        <v>0</v>
      </c>
      <c r="AT33" s="322" t="e">
        <f>+AR33/D31</f>
        <v>#DIV/0!</v>
      </c>
      <c r="AW33" s="274" t="str">
        <f>IF(F33="","X",IF(AND(E33&gt;0),F33,"-"))</f>
        <v>ND</v>
      </c>
      <c r="AX33" s="274" t="str">
        <f t="shared" ca="1" si="23"/>
        <v/>
      </c>
    </row>
    <row r="34" spans="1:50" s="274" customFormat="1" ht="18" hidden="1" customHeight="1">
      <c r="A34" s="2499"/>
      <c r="B34" s="2502"/>
      <c r="C34" s="311"/>
      <c r="D34" s="317" t="s">
        <v>1194</v>
      </c>
      <c r="E34" s="2509"/>
      <c r="F34" s="323" t="s">
        <v>1193</v>
      </c>
      <c r="G34" s="323" t="str">
        <f>D34&amp;" | "&amp;F34</f>
        <v>CONCEDENTE | DE</v>
      </c>
      <c r="H34" s="319">
        <f t="shared" ref="H34:AQ34" si="26">IF($D32=0,0,IF(H32=0,0,($E33*$D32*H32)+$AU$163))</f>
        <v>0</v>
      </c>
      <c r="I34" s="319">
        <f t="shared" si="26"/>
        <v>0</v>
      </c>
      <c r="J34" s="319">
        <f t="shared" si="26"/>
        <v>0</v>
      </c>
      <c r="K34" s="319">
        <f t="shared" si="26"/>
        <v>0</v>
      </c>
      <c r="L34" s="319">
        <f t="shared" si="26"/>
        <v>0</v>
      </c>
      <c r="M34" s="319">
        <f t="shared" si="26"/>
        <v>0</v>
      </c>
      <c r="N34" s="319">
        <f t="shared" si="26"/>
        <v>0</v>
      </c>
      <c r="O34" s="319">
        <f t="shared" si="26"/>
        <v>0</v>
      </c>
      <c r="P34" s="319">
        <f t="shared" si="26"/>
        <v>0</v>
      </c>
      <c r="Q34" s="319">
        <f t="shared" si="26"/>
        <v>0</v>
      </c>
      <c r="R34" s="319">
        <f t="shared" si="26"/>
        <v>0</v>
      </c>
      <c r="S34" s="319">
        <f t="shared" si="26"/>
        <v>0</v>
      </c>
      <c r="T34" s="319">
        <f t="shared" si="26"/>
        <v>0</v>
      </c>
      <c r="U34" s="319">
        <f t="shared" si="26"/>
        <v>0</v>
      </c>
      <c r="V34" s="319">
        <f t="shared" si="26"/>
        <v>0</v>
      </c>
      <c r="W34" s="319">
        <f t="shared" si="26"/>
        <v>0</v>
      </c>
      <c r="X34" s="319">
        <f t="shared" si="26"/>
        <v>0</v>
      </c>
      <c r="Y34" s="319">
        <f t="shared" si="26"/>
        <v>0</v>
      </c>
      <c r="Z34" s="319">
        <f t="shared" si="26"/>
        <v>0</v>
      </c>
      <c r="AA34" s="319">
        <f t="shared" si="26"/>
        <v>0</v>
      </c>
      <c r="AB34" s="319">
        <f t="shared" si="26"/>
        <v>0</v>
      </c>
      <c r="AC34" s="319">
        <f t="shared" si="26"/>
        <v>0</v>
      </c>
      <c r="AD34" s="319">
        <f t="shared" si="26"/>
        <v>0</v>
      </c>
      <c r="AE34" s="319">
        <f t="shared" si="26"/>
        <v>0</v>
      </c>
      <c r="AF34" s="319">
        <f t="shared" si="26"/>
        <v>0</v>
      </c>
      <c r="AG34" s="319">
        <f t="shared" si="26"/>
        <v>0</v>
      </c>
      <c r="AH34" s="319">
        <f t="shared" si="26"/>
        <v>0</v>
      </c>
      <c r="AI34" s="319">
        <f t="shared" si="26"/>
        <v>0</v>
      </c>
      <c r="AJ34" s="319">
        <f t="shared" si="26"/>
        <v>0</v>
      </c>
      <c r="AK34" s="319">
        <f t="shared" si="26"/>
        <v>0</v>
      </c>
      <c r="AL34" s="319">
        <f t="shared" si="26"/>
        <v>0</v>
      </c>
      <c r="AM34" s="319">
        <f t="shared" si="26"/>
        <v>0</v>
      </c>
      <c r="AN34" s="319">
        <f t="shared" si="26"/>
        <v>0</v>
      </c>
      <c r="AO34" s="319">
        <f t="shared" si="26"/>
        <v>0</v>
      </c>
      <c r="AP34" s="319">
        <f t="shared" si="26"/>
        <v>0</v>
      </c>
      <c r="AQ34" s="319">
        <f t="shared" si="26"/>
        <v>0</v>
      </c>
      <c r="AR34" s="320">
        <f t="shared" si="22"/>
        <v>0</v>
      </c>
      <c r="AS34" s="321">
        <f>TRUNC(AR34-D32*E33,2)</f>
        <v>0</v>
      </c>
      <c r="AT34" s="322" t="e">
        <f>+AR34/D32</f>
        <v>#DIV/0!</v>
      </c>
      <c r="AW34" s="274" t="str">
        <f>IF(F34="","X",IF(AND(E33&gt;0),F34,"-"))</f>
        <v>DE</v>
      </c>
      <c r="AX34" s="274" t="str">
        <f t="shared" ca="1" si="23"/>
        <v/>
      </c>
    </row>
    <row r="35" spans="1:50" s="274" customFormat="1" ht="18" hidden="1" customHeight="1" thickBot="1">
      <c r="A35" s="2499"/>
      <c r="B35" s="2502"/>
      <c r="C35" s="324"/>
      <c r="D35" s="325" t="s">
        <v>1195</v>
      </c>
      <c r="E35" s="2510">
        <f>1-E33</f>
        <v>0</v>
      </c>
      <c r="F35" s="326" t="s">
        <v>1192</v>
      </c>
      <c r="G35" s="326" t="str">
        <f>D35&amp;" | "&amp;F35</f>
        <v>PROPONENTE | ND</v>
      </c>
      <c r="H35" s="327">
        <f>($D31*H31-H33)</f>
        <v>0</v>
      </c>
      <c r="I35" s="327">
        <f t="shared" ref="I35:AQ36" si="27">($D31*I31-I33)</f>
        <v>0</v>
      </c>
      <c r="J35" s="327">
        <f t="shared" si="27"/>
        <v>0</v>
      </c>
      <c r="K35" s="327">
        <f t="shared" si="27"/>
        <v>0</v>
      </c>
      <c r="L35" s="327">
        <f t="shared" si="27"/>
        <v>0</v>
      </c>
      <c r="M35" s="327">
        <f t="shared" si="27"/>
        <v>0</v>
      </c>
      <c r="N35" s="327">
        <f t="shared" si="27"/>
        <v>0</v>
      </c>
      <c r="O35" s="327">
        <f t="shared" si="27"/>
        <v>0</v>
      </c>
      <c r="P35" s="327">
        <f t="shared" si="27"/>
        <v>0</v>
      </c>
      <c r="Q35" s="327">
        <f t="shared" si="27"/>
        <v>0</v>
      </c>
      <c r="R35" s="327">
        <f t="shared" si="27"/>
        <v>0</v>
      </c>
      <c r="S35" s="327">
        <f t="shared" si="27"/>
        <v>0</v>
      </c>
      <c r="T35" s="327">
        <f t="shared" si="27"/>
        <v>0</v>
      </c>
      <c r="U35" s="327">
        <f t="shared" si="27"/>
        <v>0</v>
      </c>
      <c r="V35" s="327">
        <f t="shared" si="27"/>
        <v>0</v>
      </c>
      <c r="W35" s="327">
        <f t="shared" si="27"/>
        <v>0</v>
      </c>
      <c r="X35" s="327">
        <f t="shared" si="27"/>
        <v>0</v>
      </c>
      <c r="Y35" s="327">
        <f t="shared" si="27"/>
        <v>0</v>
      </c>
      <c r="Z35" s="327">
        <f t="shared" si="27"/>
        <v>0</v>
      </c>
      <c r="AA35" s="327">
        <f t="shared" si="27"/>
        <v>0</v>
      </c>
      <c r="AB35" s="327">
        <f t="shared" si="27"/>
        <v>0</v>
      </c>
      <c r="AC35" s="327">
        <f t="shared" si="27"/>
        <v>0</v>
      </c>
      <c r="AD35" s="327">
        <f t="shared" si="27"/>
        <v>0</v>
      </c>
      <c r="AE35" s="327">
        <f t="shared" si="27"/>
        <v>0</v>
      </c>
      <c r="AF35" s="327">
        <f t="shared" si="27"/>
        <v>0</v>
      </c>
      <c r="AG35" s="327">
        <f t="shared" si="27"/>
        <v>0</v>
      </c>
      <c r="AH35" s="327">
        <f t="shared" si="27"/>
        <v>0</v>
      </c>
      <c r="AI35" s="327">
        <f t="shared" si="27"/>
        <v>0</v>
      </c>
      <c r="AJ35" s="327">
        <f t="shared" si="27"/>
        <v>0</v>
      </c>
      <c r="AK35" s="327">
        <f t="shared" si="27"/>
        <v>0</v>
      </c>
      <c r="AL35" s="327">
        <f t="shared" si="27"/>
        <v>0</v>
      </c>
      <c r="AM35" s="327">
        <f t="shared" si="27"/>
        <v>0</v>
      </c>
      <c r="AN35" s="327">
        <f t="shared" si="27"/>
        <v>0</v>
      </c>
      <c r="AO35" s="327">
        <f t="shared" si="27"/>
        <v>0</v>
      </c>
      <c r="AP35" s="327">
        <f t="shared" si="27"/>
        <v>0</v>
      </c>
      <c r="AQ35" s="327">
        <f t="shared" si="27"/>
        <v>0</v>
      </c>
      <c r="AR35" s="328">
        <f t="shared" si="22"/>
        <v>0</v>
      </c>
      <c r="AS35" s="321">
        <f>+D31-AR33-AR35</f>
        <v>0</v>
      </c>
      <c r="AW35" s="274" t="str">
        <f>IF(F35="","X",IF(AND(E35&gt;0),F35,"-"))</f>
        <v>-</v>
      </c>
      <c r="AX35" s="274" t="str">
        <f t="shared" ca="1" si="23"/>
        <v/>
      </c>
    </row>
    <row r="36" spans="1:50" s="274" customFormat="1" ht="18" hidden="1" customHeight="1" thickBot="1">
      <c r="A36" s="2500"/>
      <c r="B36" s="2503"/>
      <c r="C36" s="324"/>
      <c r="D36" s="325" t="s">
        <v>1195</v>
      </c>
      <c r="E36" s="2511"/>
      <c r="F36" s="329" t="s">
        <v>1193</v>
      </c>
      <c r="G36" s="329" t="str">
        <f>D36&amp;" | "&amp;F36</f>
        <v>PROPONENTE | DE</v>
      </c>
      <c r="H36" s="327">
        <f>($D32*H32-H34)</f>
        <v>0</v>
      </c>
      <c r="I36" s="327">
        <f t="shared" si="27"/>
        <v>0</v>
      </c>
      <c r="J36" s="327">
        <f t="shared" si="27"/>
        <v>0</v>
      </c>
      <c r="K36" s="327">
        <f t="shared" si="27"/>
        <v>0</v>
      </c>
      <c r="L36" s="327">
        <f t="shared" si="27"/>
        <v>0</v>
      </c>
      <c r="M36" s="327">
        <f t="shared" si="27"/>
        <v>0</v>
      </c>
      <c r="N36" s="327">
        <f t="shared" si="27"/>
        <v>0</v>
      </c>
      <c r="O36" s="327">
        <f t="shared" si="27"/>
        <v>0</v>
      </c>
      <c r="P36" s="327">
        <f t="shared" si="27"/>
        <v>0</v>
      </c>
      <c r="Q36" s="327">
        <f t="shared" si="27"/>
        <v>0</v>
      </c>
      <c r="R36" s="327">
        <f t="shared" si="27"/>
        <v>0</v>
      </c>
      <c r="S36" s="327">
        <f t="shared" si="27"/>
        <v>0</v>
      </c>
      <c r="T36" s="327">
        <f t="shared" si="27"/>
        <v>0</v>
      </c>
      <c r="U36" s="327">
        <f t="shared" si="27"/>
        <v>0</v>
      </c>
      <c r="V36" s="327">
        <f t="shared" si="27"/>
        <v>0</v>
      </c>
      <c r="W36" s="327">
        <f t="shared" si="27"/>
        <v>0</v>
      </c>
      <c r="X36" s="327">
        <f t="shared" si="27"/>
        <v>0</v>
      </c>
      <c r="Y36" s="327">
        <f t="shared" si="27"/>
        <v>0</v>
      </c>
      <c r="Z36" s="327">
        <f t="shared" si="27"/>
        <v>0</v>
      </c>
      <c r="AA36" s="327">
        <f t="shared" si="27"/>
        <v>0</v>
      </c>
      <c r="AB36" s="327">
        <f t="shared" si="27"/>
        <v>0</v>
      </c>
      <c r="AC36" s="327">
        <f t="shared" si="27"/>
        <v>0</v>
      </c>
      <c r="AD36" s="327">
        <f t="shared" si="27"/>
        <v>0</v>
      </c>
      <c r="AE36" s="327">
        <f t="shared" si="27"/>
        <v>0</v>
      </c>
      <c r="AF36" s="327">
        <f t="shared" si="27"/>
        <v>0</v>
      </c>
      <c r="AG36" s="327">
        <f t="shared" si="27"/>
        <v>0</v>
      </c>
      <c r="AH36" s="327">
        <f t="shared" si="27"/>
        <v>0</v>
      </c>
      <c r="AI36" s="327">
        <f t="shared" si="27"/>
        <v>0</v>
      </c>
      <c r="AJ36" s="327">
        <f t="shared" si="27"/>
        <v>0</v>
      </c>
      <c r="AK36" s="327">
        <f t="shared" si="27"/>
        <v>0</v>
      </c>
      <c r="AL36" s="327">
        <f t="shared" si="27"/>
        <v>0</v>
      </c>
      <c r="AM36" s="327">
        <f t="shared" si="27"/>
        <v>0</v>
      </c>
      <c r="AN36" s="327">
        <f t="shared" si="27"/>
        <v>0</v>
      </c>
      <c r="AO36" s="327">
        <f t="shared" si="27"/>
        <v>0</v>
      </c>
      <c r="AP36" s="327">
        <f t="shared" si="27"/>
        <v>0</v>
      </c>
      <c r="AQ36" s="327">
        <f t="shared" si="27"/>
        <v>0</v>
      </c>
      <c r="AR36" s="328">
        <f t="shared" si="22"/>
        <v>0</v>
      </c>
      <c r="AS36" s="321">
        <f>+D32-AR34-AR36</f>
        <v>0</v>
      </c>
      <c r="AW36" s="274" t="str">
        <f>IF(F36="","X",IF(AND(E35&gt;0),F36,"-"))</f>
        <v>-</v>
      </c>
      <c r="AX36" s="274" t="str">
        <f t="shared" ca="1" si="23"/>
        <v/>
      </c>
    </row>
    <row r="37" spans="1:50" s="274" customFormat="1" ht="9.9499999999999993" hidden="1" customHeight="1">
      <c r="A37" s="2498">
        <f ca="1">Orcamento!B21</f>
        <v>0</v>
      </c>
      <c r="B37" s="2501" t="str">
        <f>Orcamento!D21</f>
        <v>MICRODRENAGEM - DISPOSITIVOS AUXILIARES</v>
      </c>
      <c r="C37" s="305"/>
      <c r="D37" s="306"/>
      <c r="E37" s="307"/>
      <c r="F37" s="307"/>
      <c r="G37" s="307"/>
      <c r="H37" s="308">
        <f t="shared" ref="H37:AQ37" si="28">H38</f>
        <v>0.5</v>
      </c>
      <c r="I37" s="308">
        <f t="shared" si="28"/>
        <v>0.5</v>
      </c>
      <c r="J37" s="308">
        <f t="shared" si="28"/>
        <v>0</v>
      </c>
      <c r="K37" s="308">
        <f t="shared" si="28"/>
        <v>0</v>
      </c>
      <c r="L37" s="308">
        <f t="shared" si="28"/>
        <v>0</v>
      </c>
      <c r="M37" s="308">
        <f t="shared" si="28"/>
        <v>0</v>
      </c>
      <c r="N37" s="308">
        <f t="shared" si="28"/>
        <v>0</v>
      </c>
      <c r="O37" s="308">
        <f t="shared" si="28"/>
        <v>0</v>
      </c>
      <c r="P37" s="308">
        <f t="shared" si="28"/>
        <v>0</v>
      </c>
      <c r="Q37" s="308">
        <f t="shared" si="28"/>
        <v>0</v>
      </c>
      <c r="R37" s="308">
        <f t="shared" si="28"/>
        <v>0</v>
      </c>
      <c r="S37" s="308">
        <f t="shared" si="28"/>
        <v>0</v>
      </c>
      <c r="T37" s="308">
        <f t="shared" si="28"/>
        <v>0</v>
      </c>
      <c r="U37" s="308">
        <f t="shared" si="28"/>
        <v>0</v>
      </c>
      <c r="V37" s="308">
        <f t="shared" si="28"/>
        <v>0</v>
      </c>
      <c r="W37" s="308">
        <f t="shared" si="28"/>
        <v>0</v>
      </c>
      <c r="X37" s="308">
        <f t="shared" si="28"/>
        <v>0</v>
      </c>
      <c r="Y37" s="308">
        <f t="shared" si="28"/>
        <v>0</v>
      </c>
      <c r="Z37" s="308">
        <f t="shared" si="28"/>
        <v>0</v>
      </c>
      <c r="AA37" s="308">
        <f t="shared" si="28"/>
        <v>0</v>
      </c>
      <c r="AB37" s="308">
        <f t="shared" si="28"/>
        <v>0</v>
      </c>
      <c r="AC37" s="308">
        <f t="shared" si="28"/>
        <v>0</v>
      </c>
      <c r="AD37" s="308">
        <f t="shared" si="28"/>
        <v>0</v>
      </c>
      <c r="AE37" s="308">
        <f t="shared" si="28"/>
        <v>0</v>
      </c>
      <c r="AF37" s="308">
        <f t="shared" si="28"/>
        <v>0</v>
      </c>
      <c r="AG37" s="308">
        <f t="shared" si="28"/>
        <v>0</v>
      </c>
      <c r="AH37" s="308">
        <f t="shared" si="28"/>
        <v>0</v>
      </c>
      <c r="AI37" s="308">
        <f t="shared" si="28"/>
        <v>0</v>
      </c>
      <c r="AJ37" s="308">
        <f t="shared" si="28"/>
        <v>0</v>
      </c>
      <c r="AK37" s="308">
        <f t="shared" si="28"/>
        <v>0</v>
      </c>
      <c r="AL37" s="308">
        <f t="shared" si="28"/>
        <v>0</v>
      </c>
      <c r="AM37" s="308">
        <f t="shared" si="28"/>
        <v>0</v>
      </c>
      <c r="AN37" s="308">
        <f t="shared" si="28"/>
        <v>0</v>
      </c>
      <c r="AO37" s="308">
        <f t="shared" si="28"/>
        <v>0</v>
      </c>
      <c r="AP37" s="308">
        <f t="shared" si="28"/>
        <v>0</v>
      </c>
      <c r="AQ37" s="308">
        <f t="shared" si="28"/>
        <v>0</v>
      </c>
      <c r="AR37" s="309"/>
      <c r="AS37" s="310">
        <f>+D39-AR41-AR43</f>
        <v>0</v>
      </c>
      <c r="AW37" s="274" t="str">
        <f>IF(F37="","X",F37)</f>
        <v>X</v>
      </c>
      <c r="AX37" s="274" t="str">
        <f ca="1">IF($A$37=0,"","X")</f>
        <v/>
      </c>
    </row>
    <row r="38" spans="1:50" s="274" customFormat="1" ht="18" hidden="1" customHeight="1">
      <c r="A38" s="2499"/>
      <c r="B38" s="2502"/>
      <c r="C38" s="311" t="str">
        <f>CONCATENATE(Orcamento!K44," ",Orcamento!O44)</f>
        <v xml:space="preserve"> </v>
      </c>
      <c r="D38" s="2504">
        <f>Orcamento!S21</f>
        <v>0</v>
      </c>
      <c r="E38" s="2505"/>
      <c r="F38" s="312" t="s">
        <v>1192</v>
      </c>
      <c r="G38" s="312"/>
      <c r="H38" s="314">
        <v>0.5</v>
      </c>
      <c r="I38" s="314">
        <v>0.5</v>
      </c>
      <c r="J38" s="314"/>
      <c r="K38" s="314"/>
      <c r="L38" s="314"/>
      <c r="M38" s="314"/>
      <c r="N38" s="314"/>
      <c r="O38" s="314"/>
      <c r="P38" s="314"/>
      <c r="Q38" s="314"/>
      <c r="R38" s="314"/>
      <c r="S38" s="314"/>
      <c r="T38" s="314"/>
      <c r="U38" s="314"/>
      <c r="V38" s="314"/>
      <c r="W38" s="314"/>
      <c r="X38" s="314"/>
      <c r="Y38" s="314"/>
      <c r="Z38" s="314"/>
      <c r="AA38" s="314"/>
      <c r="AB38" s="314"/>
      <c r="AC38" s="314"/>
      <c r="AD38" s="314"/>
      <c r="AE38" s="314"/>
      <c r="AF38" s="314"/>
      <c r="AG38" s="314"/>
      <c r="AH38" s="314"/>
      <c r="AI38" s="314"/>
      <c r="AJ38" s="314"/>
      <c r="AK38" s="314"/>
      <c r="AL38" s="314"/>
      <c r="AM38" s="314"/>
      <c r="AN38" s="314"/>
      <c r="AO38" s="314"/>
      <c r="AP38" s="314"/>
      <c r="AQ38" s="314"/>
      <c r="AR38" s="315">
        <f t="shared" ref="AR38:AR43" si="29">SUM(H38:AQ38)</f>
        <v>1</v>
      </c>
      <c r="AS38" s="2506">
        <f>1-AR38</f>
        <v>0</v>
      </c>
      <c r="AU38" s="2507">
        <f>+COUNT(H38:AQ39)</f>
        <v>38</v>
      </c>
      <c r="AW38" s="274" t="str">
        <f>IF(F38="","X",F38)</f>
        <v>ND</v>
      </c>
      <c r="AX38" s="274" t="str">
        <f t="shared" ref="AX38:AX43" ca="1" si="30">IF($A$37=0,"","X")</f>
        <v/>
      </c>
    </row>
    <row r="39" spans="1:50" s="274" customFormat="1" ht="18" hidden="1" customHeight="1">
      <c r="A39" s="2499"/>
      <c r="B39" s="2502"/>
      <c r="C39" s="311" t="str">
        <f>CONCATENATE(Orcamento!K45," ",Orcamento!O45)</f>
        <v>12 1004,82</v>
      </c>
      <c r="D39" s="2504">
        <f>Orcamento!T21</f>
        <v>0</v>
      </c>
      <c r="E39" s="2505"/>
      <c r="F39" s="316" t="s">
        <v>1193</v>
      </c>
      <c r="G39" s="316"/>
      <c r="H39" s="314">
        <f t="shared" ref="H39:AQ39" si="31">H38</f>
        <v>0.5</v>
      </c>
      <c r="I39" s="314">
        <f t="shared" si="31"/>
        <v>0.5</v>
      </c>
      <c r="J39" s="314">
        <f t="shared" si="31"/>
        <v>0</v>
      </c>
      <c r="K39" s="314">
        <f t="shared" si="31"/>
        <v>0</v>
      </c>
      <c r="L39" s="314">
        <f t="shared" si="31"/>
        <v>0</v>
      </c>
      <c r="M39" s="314">
        <f t="shared" si="31"/>
        <v>0</v>
      </c>
      <c r="N39" s="314">
        <f t="shared" si="31"/>
        <v>0</v>
      </c>
      <c r="O39" s="314">
        <f t="shared" si="31"/>
        <v>0</v>
      </c>
      <c r="P39" s="314">
        <f t="shared" si="31"/>
        <v>0</v>
      </c>
      <c r="Q39" s="314">
        <f t="shared" si="31"/>
        <v>0</v>
      </c>
      <c r="R39" s="314">
        <f t="shared" si="31"/>
        <v>0</v>
      </c>
      <c r="S39" s="314">
        <f t="shared" si="31"/>
        <v>0</v>
      </c>
      <c r="T39" s="314">
        <f t="shared" si="31"/>
        <v>0</v>
      </c>
      <c r="U39" s="314">
        <f t="shared" si="31"/>
        <v>0</v>
      </c>
      <c r="V39" s="314">
        <f t="shared" si="31"/>
        <v>0</v>
      </c>
      <c r="W39" s="314">
        <f t="shared" si="31"/>
        <v>0</v>
      </c>
      <c r="X39" s="314">
        <f t="shared" si="31"/>
        <v>0</v>
      </c>
      <c r="Y39" s="314">
        <f t="shared" si="31"/>
        <v>0</v>
      </c>
      <c r="Z39" s="314">
        <f t="shared" si="31"/>
        <v>0</v>
      </c>
      <c r="AA39" s="314">
        <f t="shared" si="31"/>
        <v>0</v>
      </c>
      <c r="AB39" s="314">
        <f t="shared" si="31"/>
        <v>0</v>
      </c>
      <c r="AC39" s="314">
        <f t="shared" si="31"/>
        <v>0</v>
      </c>
      <c r="AD39" s="314">
        <f t="shared" si="31"/>
        <v>0</v>
      </c>
      <c r="AE39" s="314">
        <f t="shared" si="31"/>
        <v>0</v>
      </c>
      <c r="AF39" s="314">
        <f t="shared" si="31"/>
        <v>0</v>
      </c>
      <c r="AG39" s="314">
        <f t="shared" si="31"/>
        <v>0</v>
      </c>
      <c r="AH39" s="314">
        <f t="shared" si="31"/>
        <v>0</v>
      </c>
      <c r="AI39" s="314">
        <f t="shared" si="31"/>
        <v>0</v>
      </c>
      <c r="AJ39" s="314">
        <f t="shared" si="31"/>
        <v>0</v>
      </c>
      <c r="AK39" s="314">
        <f t="shared" si="31"/>
        <v>0</v>
      </c>
      <c r="AL39" s="314">
        <f t="shared" si="31"/>
        <v>0</v>
      </c>
      <c r="AM39" s="314">
        <f t="shared" si="31"/>
        <v>0</v>
      </c>
      <c r="AN39" s="314">
        <f t="shared" si="31"/>
        <v>0</v>
      </c>
      <c r="AO39" s="314">
        <f t="shared" si="31"/>
        <v>0</v>
      </c>
      <c r="AP39" s="314">
        <f t="shared" si="31"/>
        <v>0</v>
      </c>
      <c r="AQ39" s="314">
        <f t="shared" si="31"/>
        <v>0</v>
      </c>
      <c r="AR39" s="315">
        <f t="shared" si="29"/>
        <v>1</v>
      </c>
      <c r="AS39" s="2506"/>
      <c r="AU39" s="2507"/>
      <c r="AW39" s="274" t="str">
        <f>IF(F39="","X",F39)</f>
        <v>DE</v>
      </c>
      <c r="AX39" s="274" t="str">
        <f t="shared" ca="1" si="30"/>
        <v/>
      </c>
    </row>
    <row r="40" spans="1:50" s="274" customFormat="1" ht="18" hidden="1" customHeight="1">
      <c r="A40" s="2499"/>
      <c r="B40" s="2502"/>
      <c r="C40" s="311"/>
      <c r="D40" s="317" t="s">
        <v>1194</v>
      </c>
      <c r="E40" s="2508">
        <f>$D$159</f>
        <v>1</v>
      </c>
      <c r="F40" s="318" t="s">
        <v>1192</v>
      </c>
      <c r="G40" s="318" t="str">
        <f>D40&amp;" | "&amp;F40</f>
        <v>CONCEDENTE | ND</v>
      </c>
      <c r="H40" s="319">
        <f t="shared" ref="H40:AQ40" si="32">IF($D38=0,0,IF(H38=0,0,($E40*$D38*H38)+$AU$163))</f>
        <v>0</v>
      </c>
      <c r="I40" s="319">
        <f t="shared" si="32"/>
        <v>0</v>
      </c>
      <c r="J40" s="319">
        <f t="shared" si="32"/>
        <v>0</v>
      </c>
      <c r="K40" s="319">
        <f t="shared" si="32"/>
        <v>0</v>
      </c>
      <c r="L40" s="319">
        <f t="shared" si="32"/>
        <v>0</v>
      </c>
      <c r="M40" s="319">
        <f t="shared" si="32"/>
        <v>0</v>
      </c>
      <c r="N40" s="319">
        <f t="shared" si="32"/>
        <v>0</v>
      </c>
      <c r="O40" s="319">
        <f t="shared" si="32"/>
        <v>0</v>
      </c>
      <c r="P40" s="319">
        <f t="shared" si="32"/>
        <v>0</v>
      </c>
      <c r="Q40" s="319">
        <f t="shared" si="32"/>
        <v>0</v>
      </c>
      <c r="R40" s="319">
        <f t="shared" si="32"/>
        <v>0</v>
      </c>
      <c r="S40" s="319">
        <f t="shared" si="32"/>
        <v>0</v>
      </c>
      <c r="T40" s="319">
        <f t="shared" si="32"/>
        <v>0</v>
      </c>
      <c r="U40" s="319">
        <f t="shared" si="32"/>
        <v>0</v>
      </c>
      <c r="V40" s="319">
        <f t="shared" si="32"/>
        <v>0</v>
      </c>
      <c r="W40" s="319">
        <f t="shared" si="32"/>
        <v>0</v>
      </c>
      <c r="X40" s="319">
        <f t="shared" si="32"/>
        <v>0</v>
      </c>
      <c r="Y40" s="319">
        <f t="shared" si="32"/>
        <v>0</v>
      </c>
      <c r="Z40" s="319">
        <f t="shared" si="32"/>
        <v>0</v>
      </c>
      <c r="AA40" s="319">
        <f t="shared" si="32"/>
        <v>0</v>
      </c>
      <c r="AB40" s="319">
        <f t="shared" si="32"/>
        <v>0</v>
      </c>
      <c r="AC40" s="319">
        <f t="shared" si="32"/>
        <v>0</v>
      </c>
      <c r="AD40" s="319">
        <f t="shared" si="32"/>
        <v>0</v>
      </c>
      <c r="AE40" s="319">
        <f t="shared" si="32"/>
        <v>0</v>
      </c>
      <c r="AF40" s="319">
        <f t="shared" si="32"/>
        <v>0</v>
      </c>
      <c r="AG40" s="319">
        <f t="shared" si="32"/>
        <v>0</v>
      </c>
      <c r="AH40" s="319">
        <f t="shared" si="32"/>
        <v>0</v>
      </c>
      <c r="AI40" s="319">
        <f t="shared" si="32"/>
        <v>0</v>
      </c>
      <c r="AJ40" s="319">
        <f t="shared" si="32"/>
        <v>0</v>
      </c>
      <c r="AK40" s="319">
        <f t="shared" si="32"/>
        <v>0</v>
      </c>
      <c r="AL40" s="319">
        <f t="shared" si="32"/>
        <v>0</v>
      </c>
      <c r="AM40" s="319">
        <f t="shared" si="32"/>
        <v>0</v>
      </c>
      <c r="AN40" s="319">
        <f t="shared" si="32"/>
        <v>0</v>
      </c>
      <c r="AO40" s="319">
        <f t="shared" si="32"/>
        <v>0</v>
      </c>
      <c r="AP40" s="319">
        <f t="shared" si="32"/>
        <v>0</v>
      </c>
      <c r="AQ40" s="319">
        <f t="shared" si="32"/>
        <v>0</v>
      </c>
      <c r="AR40" s="320">
        <f t="shared" si="29"/>
        <v>0</v>
      </c>
      <c r="AS40" s="321">
        <f>TRUNC(AR40-D38*E40,2)</f>
        <v>0</v>
      </c>
      <c r="AT40" s="322" t="e">
        <f>+AR40/D38</f>
        <v>#DIV/0!</v>
      </c>
      <c r="AW40" s="274" t="str">
        <f>IF(F40="","X",IF(AND(E40&gt;0),F40,"-"))</f>
        <v>ND</v>
      </c>
      <c r="AX40" s="274" t="str">
        <f t="shared" ca="1" si="30"/>
        <v/>
      </c>
    </row>
    <row r="41" spans="1:50" s="274" customFormat="1" ht="18" hidden="1" customHeight="1">
      <c r="A41" s="2499"/>
      <c r="B41" s="2502"/>
      <c r="C41" s="311"/>
      <c r="D41" s="317" t="s">
        <v>1194</v>
      </c>
      <c r="E41" s="2509"/>
      <c r="F41" s="323" t="s">
        <v>1193</v>
      </c>
      <c r="G41" s="323" t="str">
        <f>D41&amp;" | "&amp;F41</f>
        <v>CONCEDENTE | DE</v>
      </c>
      <c r="H41" s="319">
        <f t="shared" ref="H41:AQ41" si="33">IF($D39=0,0,IF(H39=0,0,($E40*$D39*H39)+$AU$163))</f>
        <v>0</v>
      </c>
      <c r="I41" s="319">
        <f t="shared" si="33"/>
        <v>0</v>
      </c>
      <c r="J41" s="319">
        <f t="shared" si="33"/>
        <v>0</v>
      </c>
      <c r="K41" s="319">
        <f t="shared" si="33"/>
        <v>0</v>
      </c>
      <c r="L41" s="319">
        <f t="shared" si="33"/>
        <v>0</v>
      </c>
      <c r="M41" s="319">
        <f t="shared" si="33"/>
        <v>0</v>
      </c>
      <c r="N41" s="319">
        <f t="shared" si="33"/>
        <v>0</v>
      </c>
      <c r="O41" s="319">
        <f t="shared" si="33"/>
        <v>0</v>
      </c>
      <c r="P41" s="319">
        <f t="shared" si="33"/>
        <v>0</v>
      </c>
      <c r="Q41" s="319">
        <f t="shared" si="33"/>
        <v>0</v>
      </c>
      <c r="R41" s="319">
        <f t="shared" si="33"/>
        <v>0</v>
      </c>
      <c r="S41" s="319">
        <f t="shared" si="33"/>
        <v>0</v>
      </c>
      <c r="T41" s="319">
        <f t="shared" si="33"/>
        <v>0</v>
      </c>
      <c r="U41" s="319">
        <f t="shared" si="33"/>
        <v>0</v>
      </c>
      <c r="V41" s="319">
        <f t="shared" si="33"/>
        <v>0</v>
      </c>
      <c r="W41" s="319">
        <f t="shared" si="33"/>
        <v>0</v>
      </c>
      <c r="X41" s="319">
        <f t="shared" si="33"/>
        <v>0</v>
      </c>
      <c r="Y41" s="319">
        <f t="shared" si="33"/>
        <v>0</v>
      </c>
      <c r="Z41" s="319">
        <f t="shared" si="33"/>
        <v>0</v>
      </c>
      <c r="AA41" s="319">
        <f t="shared" si="33"/>
        <v>0</v>
      </c>
      <c r="AB41" s="319">
        <f t="shared" si="33"/>
        <v>0</v>
      </c>
      <c r="AC41" s="319">
        <f t="shared" si="33"/>
        <v>0</v>
      </c>
      <c r="AD41" s="319">
        <f t="shared" si="33"/>
        <v>0</v>
      </c>
      <c r="AE41" s="319">
        <f t="shared" si="33"/>
        <v>0</v>
      </c>
      <c r="AF41" s="319">
        <f t="shared" si="33"/>
        <v>0</v>
      </c>
      <c r="AG41" s="319">
        <f t="shared" si="33"/>
        <v>0</v>
      </c>
      <c r="AH41" s="319">
        <f t="shared" si="33"/>
        <v>0</v>
      </c>
      <c r="AI41" s="319">
        <f t="shared" si="33"/>
        <v>0</v>
      </c>
      <c r="AJ41" s="319">
        <f t="shared" si="33"/>
        <v>0</v>
      </c>
      <c r="AK41" s="319">
        <f t="shared" si="33"/>
        <v>0</v>
      </c>
      <c r="AL41" s="319">
        <f t="shared" si="33"/>
        <v>0</v>
      </c>
      <c r="AM41" s="319">
        <f t="shared" si="33"/>
        <v>0</v>
      </c>
      <c r="AN41" s="319">
        <f t="shared" si="33"/>
        <v>0</v>
      </c>
      <c r="AO41" s="319">
        <f t="shared" si="33"/>
        <v>0</v>
      </c>
      <c r="AP41" s="319">
        <f t="shared" si="33"/>
        <v>0</v>
      </c>
      <c r="AQ41" s="319">
        <f t="shared" si="33"/>
        <v>0</v>
      </c>
      <c r="AR41" s="320">
        <f t="shared" si="29"/>
        <v>0</v>
      </c>
      <c r="AS41" s="321">
        <f>TRUNC(AR41-D39*E40,2)</f>
        <v>0</v>
      </c>
      <c r="AT41" s="322" t="e">
        <f>+AR41/D39</f>
        <v>#DIV/0!</v>
      </c>
      <c r="AW41" s="274" t="str">
        <f>IF(F41="","X",IF(AND(E40&gt;0),F41,"-"))</f>
        <v>DE</v>
      </c>
      <c r="AX41" s="274" t="str">
        <f t="shared" ca="1" si="30"/>
        <v/>
      </c>
    </row>
    <row r="42" spans="1:50" s="274" customFormat="1" ht="18" hidden="1" customHeight="1" thickBot="1">
      <c r="A42" s="2499"/>
      <c r="B42" s="2502"/>
      <c r="C42" s="324"/>
      <c r="D42" s="325" t="s">
        <v>1195</v>
      </c>
      <c r="E42" s="2510">
        <f>1-E40</f>
        <v>0</v>
      </c>
      <c r="F42" s="326" t="s">
        <v>1192</v>
      </c>
      <c r="G42" s="326" t="str">
        <f>D42&amp;" | "&amp;F42</f>
        <v>PROPONENTE | ND</v>
      </c>
      <c r="H42" s="327">
        <f>($D38*H38-H40)</f>
        <v>0</v>
      </c>
      <c r="I42" s="327">
        <f t="shared" ref="I42:AQ43" si="34">($D38*I38-I40)</f>
        <v>0</v>
      </c>
      <c r="J42" s="327">
        <f t="shared" si="34"/>
        <v>0</v>
      </c>
      <c r="K42" s="327">
        <f t="shared" si="34"/>
        <v>0</v>
      </c>
      <c r="L42" s="327">
        <f t="shared" si="34"/>
        <v>0</v>
      </c>
      <c r="M42" s="327">
        <f t="shared" si="34"/>
        <v>0</v>
      </c>
      <c r="N42" s="327">
        <f t="shared" si="34"/>
        <v>0</v>
      </c>
      <c r="O42" s="327">
        <f t="shared" si="34"/>
        <v>0</v>
      </c>
      <c r="P42" s="327">
        <f t="shared" si="34"/>
        <v>0</v>
      </c>
      <c r="Q42" s="327">
        <f t="shared" si="34"/>
        <v>0</v>
      </c>
      <c r="R42" s="327">
        <f t="shared" si="34"/>
        <v>0</v>
      </c>
      <c r="S42" s="327">
        <f t="shared" si="34"/>
        <v>0</v>
      </c>
      <c r="T42" s="327">
        <f t="shared" si="34"/>
        <v>0</v>
      </c>
      <c r="U42" s="327">
        <f t="shared" si="34"/>
        <v>0</v>
      </c>
      <c r="V42" s="327">
        <f t="shared" si="34"/>
        <v>0</v>
      </c>
      <c r="W42" s="327">
        <f t="shared" si="34"/>
        <v>0</v>
      </c>
      <c r="X42" s="327">
        <f t="shared" si="34"/>
        <v>0</v>
      </c>
      <c r="Y42" s="327">
        <f t="shared" si="34"/>
        <v>0</v>
      </c>
      <c r="Z42" s="327">
        <f t="shared" si="34"/>
        <v>0</v>
      </c>
      <c r="AA42" s="327">
        <f t="shared" si="34"/>
        <v>0</v>
      </c>
      <c r="AB42" s="327">
        <f t="shared" si="34"/>
        <v>0</v>
      </c>
      <c r="AC42" s="327">
        <f t="shared" si="34"/>
        <v>0</v>
      </c>
      <c r="AD42" s="327">
        <f t="shared" si="34"/>
        <v>0</v>
      </c>
      <c r="AE42" s="327">
        <f t="shared" si="34"/>
        <v>0</v>
      </c>
      <c r="AF42" s="327">
        <f t="shared" si="34"/>
        <v>0</v>
      </c>
      <c r="AG42" s="327">
        <f t="shared" si="34"/>
        <v>0</v>
      </c>
      <c r="AH42" s="327">
        <f t="shared" si="34"/>
        <v>0</v>
      </c>
      <c r="AI42" s="327">
        <f t="shared" si="34"/>
        <v>0</v>
      </c>
      <c r="AJ42" s="327">
        <f t="shared" si="34"/>
        <v>0</v>
      </c>
      <c r="AK42" s="327">
        <f t="shared" si="34"/>
        <v>0</v>
      </c>
      <c r="AL42" s="327">
        <f t="shared" si="34"/>
        <v>0</v>
      </c>
      <c r="AM42" s="327">
        <f t="shared" si="34"/>
        <v>0</v>
      </c>
      <c r="AN42" s="327">
        <f t="shared" si="34"/>
        <v>0</v>
      </c>
      <c r="AO42" s="327">
        <f t="shared" si="34"/>
        <v>0</v>
      </c>
      <c r="AP42" s="327">
        <f t="shared" si="34"/>
        <v>0</v>
      </c>
      <c r="AQ42" s="327">
        <f t="shared" si="34"/>
        <v>0</v>
      </c>
      <c r="AR42" s="328">
        <f t="shared" si="29"/>
        <v>0</v>
      </c>
      <c r="AS42" s="321">
        <f>+D38-AR40-AR42</f>
        <v>0</v>
      </c>
      <c r="AW42" s="274" t="str">
        <f>IF(F42="","X",IF(AND(E42&gt;0),F42,"-"))</f>
        <v>-</v>
      </c>
      <c r="AX42" s="274" t="str">
        <f t="shared" ca="1" si="30"/>
        <v/>
      </c>
    </row>
    <row r="43" spans="1:50" s="274" customFormat="1" ht="18" hidden="1" customHeight="1" thickBot="1">
      <c r="A43" s="2500"/>
      <c r="B43" s="2503"/>
      <c r="C43" s="324"/>
      <c r="D43" s="325" t="s">
        <v>1195</v>
      </c>
      <c r="E43" s="2511"/>
      <c r="F43" s="329" t="s">
        <v>1193</v>
      </c>
      <c r="G43" s="329" t="str">
        <f>D43&amp;" | "&amp;F43</f>
        <v>PROPONENTE | DE</v>
      </c>
      <c r="H43" s="327">
        <f>($D39*H39-H41)</f>
        <v>0</v>
      </c>
      <c r="I43" s="327">
        <f t="shared" si="34"/>
        <v>0</v>
      </c>
      <c r="J43" s="327">
        <f t="shared" si="34"/>
        <v>0</v>
      </c>
      <c r="K43" s="327">
        <f t="shared" si="34"/>
        <v>0</v>
      </c>
      <c r="L43" s="327">
        <f t="shared" si="34"/>
        <v>0</v>
      </c>
      <c r="M43" s="327">
        <f t="shared" si="34"/>
        <v>0</v>
      </c>
      <c r="N43" s="327">
        <f t="shared" si="34"/>
        <v>0</v>
      </c>
      <c r="O43" s="327">
        <f t="shared" si="34"/>
        <v>0</v>
      </c>
      <c r="P43" s="327">
        <f t="shared" si="34"/>
        <v>0</v>
      </c>
      <c r="Q43" s="327">
        <f t="shared" si="34"/>
        <v>0</v>
      </c>
      <c r="R43" s="327">
        <f t="shared" si="34"/>
        <v>0</v>
      </c>
      <c r="S43" s="327">
        <f t="shared" si="34"/>
        <v>0</v>
      </c>
      <c r="T43" s="327">
        <f t="shared" si="34"/>
        <v>0</v>
      </c>
      <c r="U43" s="327">
        <f t="shared" si="34"/>
        <v>0</v>
      </c>
      <c r="V43" s="327">
        <f t="shared" si="34"/>
        <v>0</v>
      </c>
      <c r="W43" s="327">
        <f t="shared" si="34"/>
        <v>0</v>
      </c>
      <c r="X43" s="327">
        <f t="shared" si="34"/>
        <v>0</v>
      </c>
      <c r="Y43" s="327">
        <f t="shared" si="34"/>
        <v>0</v>
      </c>
      <c r="Z43" s="327">
        <f t="shared" si="34"/>
        <v>0</v>
      </c>
      <c r="AA43" s="327">
        <f t="shared" si="34"/>
        <v>0</v>
      </c>
      <c r="AB43" s="327">
        <f t="shared" si="34"/>
        <v>0</v>
      </c>
      <c r="AC43" s="327">
        <f t="shared" si="34"/>
        <v>0</v>
      </c>
      <c r="AD43" s="327">
        <f t="shared" si="34"/>
        <v>0</v>
      </c>
      <c r="AE43" s="327">
        <f t="shared" si="34"/>
        <v>0</v>
      </c>
      <c r="AF43" s="327">
        <f t="shared" si="34"/>
        <v>0</v>
      </c>
      <c r="AG43" s="327">
        <f t="shared" si="34"/>
        <v>0</v>
      </c>
      <c r="AH43" s="327">
        <f t="shared" si="34"/>
        <v>0</v>
      </c>
      <c r="AI43" s="327">
        <f t="shared" si="34"/>
        <v>0</v>
      </c>
      <c r="AJ43" s="327">
        <f t="shared" si="34"/>
        <v>0</v>
      </c>
      <c r="AK43" s="327">
        <f t="shared" si="34"/>
        <v>0</v>
      </c>
      <c r="AL43" s="327">
        <f t="shared" si="34"/>
        <v>0</v>
      </c>
      <c r="AM43" s="327">
        <f t="shared" si="34"/>
        <v>0</v>
      </c>
      <c r="AN43" s="327">
        <f t="shared" si="34"/>
        <v>0</v>
      </c>
      <c r="AO43" s="327">
        <f t="shared" si="34"/>
        <v>0</v>
      </c>
      <c r="AP43" s="327">
        <f t="shared" si="34"/>
        <v>0</v>
      </c>
      <c r="AQ43" s="327">
        <f t="shared" si="34"/>
        <v>0</v>
      </c>
      <c r="AR43" s="328">
        <f t="shared" si="29"/>
        <v>0</v>
      </c>
      <c r="AS43" s="321">
        <f>+D39-AR41-AR43</f>
        <v>0</v>
      </c>
      <c r="AW43" s="274" t="str">
        <f>IF(F43="","X",IF(AND(E42&gt;0),F43,"-"))</f>
        <v>-</v>
      </c>
      <c r="AX43" s="274" t="str">
        <f t="shared" ca="1" si="30"/>
        <v/>
      </c>
    </row>
    <row r="44" spans="1:50" s="274" customFormat="1" ht="9.9499999999999993" hidden="1" customHeight="1">
      <c r="A44" s="2498">
        <f ca="1">Orcamento!B22</f>
        <v>0</v>
      </c>
      <c r="B44" s="2501" t="str">
        <f>Orcamento!D22</f>
        <v>MICRODRENAGEM - SERVIÇOS DE ESTRUTURAS</v>
      </c>
      <c r="C44" s="305"/>
      <c r="D44" s="306"/>
      <c r="E44" s="307"/>
      <c r="F44" s="307"/>
      <c r="G44" s="307"/>
      <c r="H44" s="308">
        <f t="shared" ref="H44:AQ44" si="35">H45</f>
        <v>0</v>
      </c>
      <c r="I44" s="308">
        <f t="shared" si="35"/>
        <v>0</v>
      </c>
      <c r="J44" s="308">
        <f t="shared" si="35"/>
        <v>0</v>
      </c>
      <c r="K44" s="308">
        <f t="shared" si="35"/>
        <v>0</v>
      </c>
      <c r="L44" s="308">
        <f t="shared" si="35"/>
        <v>0</v>
      </c>
      <c r="M44" s="308">
        <f t="shared" si="35"/>
        <v>0</v>
      </c>
      <c r="N44" s="308">
        <f t="shared" si="35"/>
        <v>0</v>
      </c>
      <c r="O44" s="308">
        <f t="shared" si="35"/>
        <v>0</v>
      </c>
      <c r="P44" s="308">
        <f t="shared" si="35"/>
        <v>0</v>
      </c>
      <c r="Q44" s="308">
        <f t="shared" si="35"/>
        <v>0</v>
      </c>
      <c r="R44" s="308">
        <f t="shared" si="35"/>
        <v>0</v>
      </c>
      <c r="S44" s="308">
        <f t="shared" si="35"/>
        <v>0</v>
      </c>
      <c r="T44" s="308">
        <f t="shared" si="35"/>
        <v>0</v>
      </c>
      <c r="U44" s="308">
        <f t="shared" si="35"/>
        <v>0</v>
      </c>
      <c r="V44" s="308">
        <f t="shared" si="35"/>
        <v>0</v>
      </c>
      <c r="W44" s="308">
        <f t="shared" si="35"/>
        <v>0</v>
      </c>
      <c r="X44" s="308">
        <f t="shared" si="35"/>
        <v>0</v>
      </c>
      <c r="Y44" s="308">
        <f t="shared" si="35"/>
        <v>0</v>
      </c>
      <c r="Z44" s="308">
        <f t="shared" si="35"/>
        <v>0</v>
      </c>
      <c r="AA44" s="308">
        <f t="shared" si="35"/>
        <v>0</v>
      </c>
      <c r="AB44" s="308">
        <f t="shared" si="35"/>
        <v>0</v>
      </c>
      <c r="AC44" s="308">
        <f t="shared" si="35"/>
        <v>0</v>
      </c>
      <c r="AD44" s="308">
        <f t="shared" si="35"/>
        <v>0</v>
      </c>
      <c r="AE44" s="308">
        <f t="shared" si="35"/>
        <v>0</v>
      </c>
      <c r="AF44" s="308">
        <f t="shared" si="35"/>
        <v>0</v>
      </c>
      <c r="AG44" s="308">
        <f t="shared" si="35"/>
        <v>0</v>
      </c>
      <c r="AH44" s="308">
        <f t="shared" si="35"/>
        <v>0</v>
      </c>
      <c r="AI44" s="308">
        <f t="shared" si="35"/>
        <v>0</v>
      </c>
      <c r="AJ44" s="308">
        <f t="shared" si="35"/>
        <v>0</v>
      </c>
      <c r="AK44" s="308">
        <f t="shared" si="35"/>
        <v>0</v>
      </c>
      <c r="AL44" s="308">
        <f t="shared" si="35"/>
        <v>0</v>
      </c>
      <c r="AM44" s="308">
        <f t="shared" si="35"/>
        <v>0</v>
      </c>
      <c r="AN44" s="308">
        <f t="shared" si="35"/>
        <v>0</v>
      </c>
      <c r="AO44" s="308">
        <f t="shared" si="35"/>
        <v>0</v>
      </c>
      <c r="AP44" s="308">
        <f t="shared" si="35"/>
        <v>0</v>
      </c>
      <c r="AQ44" s="308">
        <f t="shared" si="35"/>
        <v>0</v>
      </c>
      <c r="AR44" s="309"/>
      <c r="AS44" s="310">
        <f>+D46-AR48-AR50</f>
        <v>0</v>
      </c>
      <c r="AW44" s="274" t="str">
        <f>IF(F44="","X",F44)</f>
        <v>X</v>
      </c>
      <c r="AX44" s="274" t="str">
        <f ca="1">IF($A$44=0,"","X")</f>
        <v/>
      </c>
    </row>
    <row r="45" spans="1:50" s="274" customFormat="1" ht="18" hidden="1" customHeight="1">
      <c r="A45" s="2499"/>
      <c r="B45" s="2502"/>
      <c r="C45" s="311" t="str">
        <f>CONCATENATE(Orcamento!K51," ",Orcamento!O51)</f>
        <v>200 47,23</v>
      </c>
      <c r="D45" s="2504">
        <f>Orcamento!S22</f>
        <v>0</v>
      </c>
      <c r="E45" s="2505"/>
      <c r="F45" s="312" t="s">
        <v>1192</v>
      </c>
      <c r="G45" s="312"/>
      <c r="H45" s="314"/>
      <c r="I45" s="314"/>
      <c r="J45" s="314"/>
      <c r="K45" s="314"/>
      <c r="L45" s="314"/>
      <c r="M45" s="314"/>
      <c r="N45" s="314"/>
      <c r="O45" s="314"/>
      <c r="P45" s="314"/>
      <c r="Q45" s="314"/>
      <c r="R45" s="314"/>
      <c r="S45" s="314"/>
      <c r="T45" s="314"/>
      <c r="U45" s="314"/>
      <c r="V45" s="314"/>
      <c r="W45" s="314"/>
      <c r="X45" s="314"/>
      <c r="Y45" s="314"/>
      <c r="Z45" s="314"/>
      <c r="AA45" s="314"/>
      <c r="AB45" s="314"/>
      <c r="AC45" s="314"/>
      <c r="AD45" s="314"/>
      <c r="AE45" s="314"/>
      <c r="AF45" s="314"/>
      <c r="AG45" s="314"/>
      <c r="AH45" s="314"/>
      <c r="AI45" s="314"/>
      <c r="AJ45" s="314"/>
      <c r="AK45" s="314"/>
      <c r="AL45" s="314"/>
      <c r="AM45" s="314"/>
      <c r="AN45" s="314"/>
      <c r="AO45" s="314"/>
      <c r="AP45" s="314"/>
      <c r="AQ45" s="314"/>
      <c r="AR45" s="315">
        <f t="shared" ref="AR45:AR50" si="36">SUM(H45:AQ45)</f>
        <v>0</v>
      </c>
      <c r="AS45" s="2506">
        <f>1-AR45</f>
        <v>1</v>
      </c>
      <c r="AU45" s="2507">
        <f>+COUNT(H45:AQ46)</f>
        <v>36</v>
      </c>
      <c r="AW45" s="274" t="str">
        <f>IF(F45="","X",F45)</f>
        <v>ND</v>
      </c>
      <c r="AX45" s="274" t="str">
        <f t="shared" ref="AX45:AX50" ca="1" si="37">IF($A$44=0,"","X")</f>
        <v/>
      </c>
    </row>
    <row r="46" spans="1:50" s="274" customFormat="1" ht="18" hidden="1" customHeight="1">
      <c r="A46" s="2499"/>
      <c r="B46" s="2502"/>
      <c r="C46" s="311" t="str">
        <f>CONCATENATE(Orcamento!K52," ",Orcamento!O52)</f>
        <v xml:space="preserve"> 749,7</v>
      </c>
      <c r="D46" s="2504">
        <f>Orcamento!T22</f>
        <v>0</v>
      </c>
      <c r="E46" s="2505"/>
      <c r="F46" s="316" t="s">
        <v>1193</v>
      </c>
      <c r="G46" s="316"/>
      <c r="H46" s="314">
        <f t="shared" ref="H46:AQ46" si="38">H45</f>
        <v>0</v>
      </c>
      <c r="I46" s="314">
        <f t="shared" si="38"/>
        <v>0</v>
      </c>
      <c r="J46" s="314">
        <f t="shared" si="38"/>
        <v>0</v>
      </c>
      <c r="K46" s="314">
        <f t="shared" si="38"/>
        <v>0</v>
      </c>
      <c r="L46" s="314">
        <f t="shared" si="38"/>
        <v>0</v>
      </c>
      <c r="M46" s="314">
        <f t="shared" si="38"/>
        <v>0</v>
      </c>
      <c r="N46" s="314">
        <f t="shared" si="38"/>
        <v>0</v>
      </c>
      <c r="O46" s="314">
        <f t="shared" si="38"/>
        <v>0</v>
      </c>
      <c r="P46" s="314">
        <f t="shared" si="38"/>
        <v>0</v>
      </c>
      <c r="Q46" s="314">
        <f t="shared" si="38"/>
        <v>0</v>
      </c>
      <c r="R46" s="314">
        <f t="shared" si="38"/>
        <v>0</v>
      </c>
      <c r="S46" s="314">
        <f t="shared" si="38"/>
        <v>0</v>
      </c>
      <c r="T46" s="314">
        <f t="shared" si="38"/>
        <v>0</v>
      </c>
      <c r="U46" s="314">
        <f t="shared" si="38"/>
        <v>0</v>
      </c>
      <c r="V46" s="314">
        <f t="shared" si="38"/>
        <v>0</v>
      </c>
      <c r="W46" s="314">
        <f t="shared" si="38"/>
        <v>0</v>
      </c>
      <c r="X46" s="314">
        <f t="shared" si="38"/>
        <v>0</v>
      </c>
      <c r="Y46" s="314">
        <f t="shared" si="38"/>
        <v>0</v>
      </c>
      <c r="Z46" s="314">
        <f t="shared" si="38"/>
        <v>0</v>
      </c>
      <c r="AA46" s="314">
        <f t="shared" si="38"/>
        <v>0</v>
      </c>
      <c r="AB46" s="314">
        <f t="shared" si="38"/>
        <v>0</v>
      </c>
      <c r="AC46" s="314">
        <f t="shared" si="38"/>
        <v>0</v>
      </c>
      <c r="AD46" s="314">
        <f t="shared" si="38"/>
        <v>0</v>
      </c>
      <c r="AE46" s="314">
        <f t="shared" si="38"/>
        <v>0</v>
      </c>
      <c r="AF46" s="314">
        <f t="shared" si="38"/>
        <v>0</v>
      </c>
      <c r="AG46" s="314">
        <f t="shared" si="38"/>
        <v>0</v>
      </c>
      <c r="AH46" s="314">
        <f t="shared" si="38"/>
        <v>0</v>
      </c>
      <c r="AI46" s="314">
        <f t="shared" si="38"/>
        <v>0</v>
      </c>
      <c r="AJ46" s="314">
        <f t="shared" si="38"/>
        <v>0</v>
      </c>
      <c r="AK46" s="314">
        <f t="shared" si="38"/>
        <v>0</v>
      </c>
      <c r="AL46" s="314">
        <f t="shared" si="38"/>
        <v>0</v>
      </c>
      <c r="AM46" s="314">
        <f t="shared" si="38"/>
        <v>0</v>
      </c>
      <c r="AN46" s="314">
        <f t="shared" si="38"/>
        <v>0</v>
      </c>
      <c r="AO46" s="314">
        <f t="shared" si="38"/>
        <v>0</v>
      </c>
      <c r="AP46" s="314">
        <f t="shared" si="38"/>
        <v>0</v>
      </c>
      <c r="AQ46" s="314">
        <f t="shared" si="38"/>
        <v>0</v>
      </c>
      <c r="AR46" s="315">
        <f t="shared" si="36"/>
        <v>0</v>
      </c>
      <c r="AS46" s="2506"/>
      <c r="AU46" s="2507"/>
      <c r="AW46" s="274" t="str">
        <f>IF(F46="","X",F46)</f>
        <v>DE</v>
      </c>
      <c r="AX46" s="274" t="str">
        <f t="shared" ca="1" si="37"/>
        <v/>
      </c>
    </row>
    <row r="47" spans="1:50" s="274" customFormat="1" ht="18" hidden="1" customHeight="1">
      <c r="A47" s="2499"/>
      <c r="B47" s="2502"/>
      <c r="C47" s="311"/>
      <c r="D47" s="317" t="s">
        <v>1194</v>
      </c>
      <c r="E47" s="2508">
        <f>$D$159</f>
        <v>1</v>
      </c>
      <c r="F47" s="318" t="s">
        <v>1192</v>
      </c>
      <c r="G47" s="318" t="str">
        <f>D47&amp;" | "&amp;F47</f>
        <v>CONCEDENTE | ND</v>
      </c>
      <c r="H47" s="319">
        <f t="shared" ref="H47:AQ47" si="39">IF($D45=0,0,IF(H45=0,0,($E47*$D45*H45)+$AU$163))</f>
        <v>0</v>
      </c>
      <c r="I47" s="319">
        <f t="shared" si="39"/>
        <v>0</v>
      </c>
      <c r="J47" s="319">
        <f t="shared" si="39"/>
        <v>0</v>
      </c>
      <c r="K47" s="319">
        <f t="shared" si="39"/>
        <v>0</v>
      </c>
      <c r="L47" s="319">
        <f t="shared" si="39"/>
        <v>0</v>
      </c>
      <c r="M47" s="319">
        <f t="shared" si="39"/>
        <v>0</v>
      </c>
      <c r="N47" s="319">
        <f t="shared" si="39"/>
        <v>0</v>
      </c>
      <c r="O47" s="319">
        <f t="shared" si="39"/>
        <v>0</v>
      </c>
      <c r="P47" s="319">
        <f t="shared" si="39"/>
        <v>0</v>
      </c>
      <c r="Q47" s="319">
        <f t="shared" si="39"/>
        <v>0</v>
      </c>
      <c r="R47" s="319">
        <f t="shared" si="39"/>
        <v>0</v>
      </c>
      <c r="S47" s="319">
        <f t="shared" si="39"/>
        <v>0</v>
      </c>
      <c r="T47" s="319">
        <f t="shared" si="39"/>
        <v>0</v>
      </c>
      <c r="U47" s="319">
        <f t="shared" si="39"/>
        <v>0</v>
      </c>
      <c r="V47" s="319">
        <f t="shared" si="39"/>
        <v>0</v>
      </c>
      <c r="W47" s="319">
        <f t="shared" si="39"/>
        <v>0</v>
      </c>
      <c r="X47" s="319">
        <f t="shared" si="39"/>
        <v>0</v>
      </c>
      <c r="Y47" s="319">
        <f t="shared" si="39"/>
        <v>0</v>
      </c>
      <c r="Z47" s="319">
        <f t="shared" si="39"/>
        <v>0</v>
      </c>
      <c r="AA47" s="319">
        <f t="shared" si="39"/>
        <v>0</v>
      </c>
      <c r="AB47" s="319">
        <f t="shared" si="39"/>
        <v>0</v>
      </c>
      <c r="AC47" s="319">
        <f t="shared" si="39"/>
        <v>0</v>
      </c>
      <c r="AD47" s="319">
        <f t="shared" si="39"/>
        <v>0</v>
      </c>
      <c r="AE47" s="319">
        <f t="shared" si="39"/>
        <v>0</v>
      </c>
      <c r="AF47" s="319">
        <f t="shared" si="39"/>
        <v>0</v>
      </c>
      <c r="AG47" s="319">
        <f t="shared" si="39"/>
        <v>0</v>
      </c>
      <c r="AH47" s="319">
        <f t="shared" si="39"/>
        <v>0</v>
      </c>
      <c r="AI47" s="319">
        <f t="shared" si="39"/>
        <v>0</v>
      </c>
      <c r="AJ47" s="319">
        <f t="shared" si="39"/>
        <v>0</v>
      </c>
      <c r="AK47" s="319">
        <f t="shared" si="39"/>
        <v>0</v>
      </c>
      <c r="AL47" s="319">
        <f t="shared" si="39"/>
        <v>0</v>
      </c>
      <c r="AM47" s="319">
        <f t="shared" si="39"/>
        <v>0</v>
      </c>
      <c r="AN47" s="319">
        <f t="shared" si="39"/>
        <v>0</v>
      </c>
      <c r="AO47" s="319">
        <f t="shared" si="39"/>
        <v>0</v>
      </c>
      <c r="AP47" s="319">
        <f t="shared" si="39"/>
        <v>0</v>
      </c>
      <c r="AQ47" s="319">
        <f t="shared" si="39"/>
        <v>0</v>
      </c>
      <c r="AR47" s="320">
        <f t="shared" si="36"/>
        <v>0</v>
      </c>
      <c r="AS47" s="321">
        <f>TRUNC(AR47-D45*E47,2)</f>
        <v>0</v>
      </c>
      <c r="AT47" s="322" t="e">
        <f>+AR47/D45</f>
        <v>#DIV/0!</v>
      </c>
      <c r="AW47" s="274" t="str">
        <f>IF(F47="","X",IF(AND(E47&gt;0),F47,"-"))</f>
        <v>ND</v>
      </c>
      <c r="AX47" s="274" t="str">
        <f t="shared" ca="1" si="37"/>
        <v/>
      </c>
    </row>
    <row r="48" spans="1:50" s="274" customFormat="1" ht="18" hidden="1" customHeight="1">
      <c r="A48" s="2499"/>
      <c r="B48" s="2502"/>
      <c r="C48" s="311"/>
      <c r="D48" s="317" t="s">
        <v>1194</v>
      </c>
      <c r="E48" s="2509"/>
      <c r="F48" s="323" t="s">
        <v>1193</v>
      </c>
      <c r="G48" s="323" t="str">
        <f>D48&amp;" | "&amp;F48</f>
        <v>CONCEDENTE | DE</v>
      </c>
      <c r="H48" s="319">
        <f t="shared" ref="H48:AQ48" si="40">IF($D46=0,0,IF(H46=0,0,($E47*$D46*H46)+$AU$163))</f>
        <v>0</v>
      </c>
      <c r="I48" s="319">
        <f t="shared" si="40"/>
        <v>0</v>
      </c>
      <c r="J48" s="319">
        <f t="shared" si="40"/>
        <v>0</v>
      </c>
      <c r="K48" s="319">
        <f t="shared" si="40"/>
        <v>0</v>
      </c>
      <c r="L48" s="319">
        <f t="shared" si="40"/>
        <v>0</v>
      </c>
      <c r="M48" s="319">
        <f t="shared" si="40"/>
        <v>0</v>
      </c>
      <c r="N48" s="319">
        <f t="shared" si="40"/>
        <v>0</v>
      </c>
      <c r="O48" s="319">
        <f t="shared" si="40"/>
        <v>0</v>
      </c>
      <c r="P48" s="319">
        <f t="shared" si="40"/>
        <v>0</v>
      </c>
      <c r="Q48" s="319">
        <f t="shared" si="40"/>
        <v>0</v>
      </c>
      <c r="R48" s="319">
        <f t="shared" si="40"/>
        <v>0</v>
      </c>
      <c r="S48" s="319">
        <f t="shared" si="40"/>
        <v>0</v>
      </c>
      <c r="T48" s="319">
        <f t="shared" si="40"/>
        <v>0</v>
      </c>
      <c r="U48" s="319">
        <f t="shared" si="40"/>
        <v>0</v>
      </c>
      <c r="V48" s="319">
        <f t="shared" si="40"/>
        <v>0</v>
      </c>
      <c r="W48" s="319">
        <f t="shared" si="40"/>
        <v>0</v>
      </c>
      <c r="X48" s="319">
        <f t="shared" si="40"/>
        <v>0</v>
      </c>
      <c r="Y48" s="319">
        <f t="shared" si="40"/>
        <v>0</v>
      </c>
      <c r="Z48" s="319">
        <f t="shared" si="40"/>
        <v>0</v>
      </c>
      <c r="AA48" s="319">
        <f t="shared" si="40"/>
        <v>0</v>
      </c>
      <c r="AB48" s="319">
        <f t="shared" si="40"/>
        <v>0</v>
      </c>
      <c r="AC48" s="319">
        <f t="shared" si="40"/>
        <v>0</v>
      </c>
      <c r="AD48" s="319">
        <f t="shared" si="40"/>
        <v>0</v>
      </c>
      <c r="AE48" s="319">
        <f t="shared" si="40"/>
        <v>0</v>
      </c>
      <c r="AF48" s="319">
        <f t="shared" si="40"/>
        <v>0</v>
      </c>
      <c r="AG48" s="319">
        <f t="shared" si="40"/>
        <v>0</v>
      </c>
      <c r="AH48" s="319">
        <f t="shared" si="40"/>
        <v>0</v>
      </c>
      <c r="AI48" s="319">
        <f t="shared" si="40"/>
        <v>0</v>
      </c>
      <c r="AJ48" s="319">
        <f t="shared" si="40"/>
        <v>0</v>
      </c>
      <c r="AK48" s="319">
        <f t="shared" si="40"/>
        <v>0</v>
      </c>
      <c r="AL48" s="319">
        <f t="shared" si="40"/>
        <v>0</v>
      </c>
      <c r="AM48" s="319">
        <f t="shared" si="40"/>
        <v>0</v>
      </c>
      <c r="AN48" s="319">
        <f t="shared" si="40"/>
        <v>0</v>
      </c>
      <c r="AO48" s="319">
        <f t="shared" si="40"/>
        <v>0</v>
      </c>
      <c r="AP48" s="319">
        <f t="shared" si="40"/>
        <v>0</v>
      </c>
      <c r="AQ48" s="319">
        <f t="shared" si="40"/>
        <v>0</v>
      </c>
      <c r="AR48" s="320">
        <f t="shared" si="36"/>
        <v>0</v>
      </c>
      <c r="AS48" s="321">
        <f>TRUNC(AR48-D46*E47,2)</f>
        <v>0</v>
      </c>
      <c r="AT48" s="322" t="e">
        <f>+AR48/D46</f>
        <v>#DIV/0!</v>
      </c>
      <c r="AW48" s="274" t="str">
        <f>IF(F48="","X",IF(AND(E47&gt;0),F48,"-"))</f>
        <v>DE</v>
      </c>
      <c r="AX48" s="274" t="str">
        <f t="shared" ca="1" si="37"/>
        <v/>
      </c>
    </row>
    <row r="49" spans="1:50" s="274" customFormat="1" ht="18" hidden="1" customHeight="1" thickBot="1">
      <c r="A49" s="2499"/>
      <c r="B49" s="2502"/>
      <c r="C49" s="324"/>
      <c r="D49" s="325" t="s">
        <v>1195</v>
      </c>
      <c r="E49" s="2510">
        <f>1-E47</f>
        <v>0</v>
      </c>
      <c r="F49" s="326" t="s">
        <v>1192</v>
      </c>
      <c r="G49" s="326" t="str">
        <f>D49&amp;" | "&amp;F49</f>
        <v>PROPONENTE | ND</v>
      </c>
      <c r="H49" s="327">
        <f>($D45*H45-H47)</f>
        <v>0</v>
      </c>
      <c r="I49" s="327">
        <f t="shared" ref="I49:AQ50" si="41">($D45*I45-I47)</f>
        <v>0</v>
      </c>
      <c r="J49" s="327">
        <f t="shared" si="41"/>
        <v>0</v>
      </c>
      <c r="K49" s="327">
        <f t="shared" si="41"/>
        <v>0</v>
      </c>
      <c r="L49" s="327">
        <f t="shared" si="41"/>
        <v>0</v>
      </c>
      <c r="M49" s="327">
        <f t="shared" si="41"/>
        <v>0</v>
      </c>
      <c r="N49" s="327">
        <f t="shared" si="41"/>
        <v>0</v>
      </c>
      <c r="O49" s="327">
        <f t="shared" si="41"/>
        <v>0</v>
      </c>
      <c r="P49" s="327">
        <f t="shared" si="41"/>
        <v>0</v>
      </c>
      <c r="Q49" s="327">
        <f t="shared" si="41"/>
        <v>0</v>
      </c>
      <c r="R49" s="327">
        <f t="shared" si="41"/>
        <v>0</v>
      </c>
      <c r="S49" s="327">
        <f t="shared" si="41"/>
        <v>0</v>
      </c>
      <c r="T49" s="327">
        <f t="shared" si="41"/>
        <v>0</v>
      </c>
      <c r="U49" s="327">
        <f t="shared" si="41"/>
        <v>0</v>
      </c>
      <c r="V49" s="327">
        <f t="shared" si="41"/>
        <v>0</v>
      </c>
      <c r="W49" s="327">
        <f t="shared" si="41"/>
        <v>0</v>
      </c>
      <c r="X49" s="327">
        <f t="shared" si="41"/>
        <v>0</v>
      </c>
      <c r="Y49" s="327">
        <f t="shared" si="41"/>
        <v>0</v>
      </c>
      <c r="Z49" s="327">
        <f t="shared" si="41"/>
        <v>0</v>
      </c>
      <c r="AA49" s="327">
        <f t="shared" si="41"/>
        <v>0</v>
      </c>
      <c r="AB49" s="327">
        <f t="shared" si="41"/>
        <v>0</v>
      </c>
      <c r="AC49" s="327">
        <f t="shared" si="41"/>
        <v>0</v>
      </c>
      <c r="AD49" s="327">
        <f t="shared" si="41"/>
        <v>0</v>
      </c>
      <c r="AE49" s="327">
        <f t="shared" si="41"/>
        <v>0</v>
      </c>
      <c r="AF49" s="327">
        <f t="shared" si="41"/>
        <v>0</v>
      </c>
      <c r="AG49" s="327">
        <f t="shared" si="41"/>
        <v>0</v>
      </c>
      <c r="AH49" s="327">
        <f t="shared" si="41"/>
        <v>0</v>
      </c>
      <c r="AI49" s="327">
        <f t="shared" si="41"/>
        <v>0</v>
      </c>
      <c r="AJ49" s="327">
        <f t="shared" si="41"/>
        <v>0</v>
      </c>
      <c r="AK49" s="327">
        <f t="shared" si="41"/>
        <v>0</v>
      </c>
      <c r="AL49" s="327">
        <f t="shared" si="41"/>
        <v>0</v>
      </c>
      <c r="AM49" s="327">
        <f t="shared" si="41"/>
        <v>0</v>
      </c>
      <c r="AN49" s="327">
        <f t="shared" si="41"/>
        <v>0</v>
      </c>
      <c r="AO49" s="327">
        <f t="shared" si="41"/>
        <v>0</v>
      </c>
      <c r="AP49" s="327">
        <f t="shared" si="41"/>
        <v>0</v>
      </c>
      <c r="AQ49" s="327">
        <f t="shared" si="41"/>
        <v>0</v>
      </c>
      <c r="AR49" s="328">
        <f t="shared" si="36"/>
        <v>0</v>
      </c>
      <c r="AS49" s="321">
        <f>+D45-AR47-AR49</f>
        <v>0</v>
      </c>
      <c r="AW49" s="274" t="str">
        <f>IF(F49="","X",IF(AND(E49&gt;0),F49,"-"))</f>
        <v>-</v>
      </c>
      <c r="AX49" s="274" t="str">
        <f t="shared" ca="1" si="37"/>
        <v/>
      </c>
    </row>
    <row r="50" spans="1:50" s="274" customFormat="1" ht="18" hidden="1" customHeight="1" thickBot="1">
      <c r="A50" s="2500"/>
      <c r="B50" s="2503"/>
      <c r="C50" s="324"/>
      <c r="D50" s="325" t="s">
        <v>1195</v>
      </c>
      <c r="E50" s="2511"/>
      <c r="F50" s="329" t="s">
        <v>1193</v>
      </c>
      <c r="G50" s="329" t="str">
        <f>D50&amp;" | "&amp;F50</f>
        <v>PROPONENTE | DE</v>
      </c>
      <c r="H50" s="327">
        <f>($D46*H46-H48)</f>
        <v>0</v>
      </c>
      <c r="I50" s="327">
        <f t="shared" si="41"/>
        <v>0</v>
      </c>
      <c r="J50" s="327">
        <f t="shared" si="41"/>
        <v>0</v>
      </c>
      <c r="K50" s="327">
        <f t="shared" si="41"/>
        <v>0</v>
      </c>
      <c r="L50" s="327">
        <f t="shared" si="41"/>
        <v>0</v>
      </c>
      <c r="M50" s="327">
        <f t="shared" si="41"/>
        <v>0</v>
      </c>
      <c r="N50" s="327">
        <f t="shared" si="41"/>
        <v>0</v>
      </c>
      <c r="O50" s="327">
        <f t="shared" si="41"/>
        <v>0</v>
      </c>
      <c r="P50" s="327">
        <f t="shared" si="41"/>
        <v>0</v>
      </c>
      <c r="Q50" s="327">
        <f t="shared" si="41"/>
        <v>0</v>
      </c>
      <c r="R50" s="327">
        <f t="shared" si="41"/>
        <v>0</v>
      </c>
      <c r="S50" s="327">
        <f t="shared" si="41"/>
        <v>0</v>
      </c>
      <c r="T50" s="327">
        <f t="shared" si="41"/>
        <v>0</v>
      </c>
      <c r="U50" s="327">
        <f t="shared" si="41"/>
        <v>0</v>
      </c>
      <c r="V50" s="327">
        <f t="shared" si="41"/>
        <v>0</v>
      </c>
      <c r="W50" s="327">
        <f t="shared" si="41"/>
        <v>0</v>
      </c>
      <c r="X50" s="327">
        <f t="shared" si="41"/>
        <v>0</v>
      </c>
      <c r="Y50" s="327">
        <f t="shared" si="41"/>
        <v>0</v>
      </c>
      <c r="Z50" s="327">
        <f t="shared" si="41"/>
        <v>0</v>
      </c>
      <c r="AA50" s="327">
        <f t="shared" si="41"/>
        <v>0</v>
      </c>
      <c r="AB50" s="327">
        <f t="shared" si="41"/>
        <v>0</v>
      </c>
      <c r="AC50" s="327">
        <f t="shared" si="41"/>
        <v>0</v>
      </c>
      <c r="AD50" s="327">
        <f t="shared" si="41"/>
        <v>0</v>
      </c>
      <c r="AE50" s="327">
        <f t="shared" si="41"/>
        <v>0</v>
      </c>
      <c r="AF50" s="327">
        <f t="shared" si="41"/>
        <v>0</v>
      </c>
      <c r="AG50" s="327">
        <f t="shared" si="41"/>
        <v>0</v>
      </c>
      <c r="AH50" s="327">
        <f t="shared" si="41"/>
        <v>0</v>
      </c>
      <c r="AI50" s="327">
        <f t="shared" si="41"/>
        <v>0</v>
      </c>
      <c r="AJ50" s="327">
        <f t="shared" si="41"/>
        <v>0</v>
      </c>
      <c r="AK50" s="327">
        <f t="shared" si="41"/>
        <v>0</v>
      </c>
      <c r="AL50" s="327">
        <f t="shared" si="41"/>
        <v>0</v>
      </c>
      <c r="AM50" s="327">
        <f t="shared" si="41"/>
        <v>0</v>
      </c>
      <c r="AN50" s="327">
        <f t="shared" si="41"/>
        <v>0</v>
      </c>
      <c r="AO50" s="327">
        <f t="shared" si="41"/>
        <v>0</v>
      </c>
      <c r="AP50" s="327">
        <f t="shared" si="41"/>
        <v>0</v>
      </c>
      <c r="AQ50" s="327">
        <f t="shared" si="41"/>
        <v>0</v>
      </c>
      <c r="AR50" s="328">
        <f t="shared" si="36"/>
        <v>0</v>
      </c>
      <c r="AS50" s="321">
        <f>+D46-AR48-AR50</f>
        <v>0</v>
      </c>
      <c r="AW50" s="274" t="str">
        <f>IF(F50="","X",IF(AND(E49&gt;0),F50,"-"))</f>
        <v>-</v>
      </c>
      <c r="AX50" s="274" t="str">
        <f t="shared" ca="1" si="37"/>
        <v/>
      </c>
    </row>
    <row r="51" spans="1:50" s="274" customFormat="1" ht="9.9499999999999993" hidden="1" customHeight="1">
      <c r="A51" s="2498">
        <f ca="1">Orcamento!B23</f>
        <v>0</v>
      </c>
      <c r="B51" s="2501" t="str">
        <f>Orcamento!D23</f>
        <v>MICRODRENAGEM - BACIA DE AMORTECIMENTO</v>
      </c>
      <c r="C51" s="305"/>
      <c r="D51" s="306"/>
      <c r="E51" s="307"/>
      <c r="F51" s="307"/>
      <c r="G51" s="307"/>
      <c r="H51" s="308">
        <f t="shared" ref="H51:AQ51" si="42">H52</f>
        <v>0</v>
      </c>
      <c r="I51" s="308">
        <f t="shared" si="42"/>
        <v>0</v>
      </c>
      <c r="J51" s="308">
        <f t="shared" si="42"/>
        <v>0</v>
      </c>
      <c r="K51" s="308">
        <f t="shared" si="42"/>
        <v>0</v>
      </c>
      <c r="L51" s="308">
        <f t="shared" si="42"/>
        <v>0</v>
      </c>
      <c r="M51" s="308">
        <f t="shared" si="42"/>
        <v>0</v>
      </c>
      <c r="N51" s="308">
        <f t="shared" si="42"/>
        <v>0</v>
      </c>
      <c r="O51" s="308">
        <f t="shared" si="42"/>
        <v>0</v>
      </c>
      <c r="P51" s="308">
        <f t="shared" si="42"/>
        <v>0</v>
      </c>
      <c r="Q51" s="308">
        <f t="shared" si="42"/>
        <v>0</v>
      </c>
      <c r="R51" s="308">
        <f t="shared" si="42"/>
        <v>0</v>
      </c>
      <c r="S51" s="308">
        <f t="shared" si="42"/>
        <v>0</v>
      </c>
      <c r="T51" s="308">
        <f t="shared" si="42"/>
        <v>0</v>
      </c>
      <c r="U51" s="308">
        <f t="shared" si="42"/>
        <v>0</v>
      </c>
      <c r="V51" s="308">
        <f t="shared" si="42"/>
        <v>0</v>
      </c>
      <c r="W51" s="308">
        <f t="shared" si="42"/>
        <v>0</v>
      </c>
      <c r="X51" s="308">
        <f t="shared" si="42"/>
        <v>0</v>
      </c>
      <c r="Y51" s="308">
        <f t="shared" si="42"/>
        <v>0</v>
      </c>
      <c r="Z51" s="308">
        <f t="shared" si="42"/>
        <v>0</v>
      </c>
      <c r="AA51" s="308">
        <f t="shared" si="42"/>
        <v>0</v>
      </c>
      <c r="AB51" s="308">
        <f t="shared" si="42"/>
        <v>0</v>
      </c>
      <c r="AC51" s="308">
        <f t="shared" si="42"/>
        <v>0</v>
      </c>
      <c r="AD51" s="308">
        <f t="shared" si="42"/>
        <v>0</v>
      </c>
      <c r="AE51" s="308">
        <f t="shared" si="42"/>
        <v>0</v>
      </c>
      <c r="AF51" s="308">
        <f t="shared" si="42"/>
        <v>0</v>
      </c>
      <c r="AG51" s="308">
        <f t="shared" si="42"/>
        <v>0</v>
      </c>
      <c r="AH51" s="308">
        <f t="shared" si="42"/>
        <v>0</v>
      </c>
      <c r="AI51" s="308">
        <f t="shared" si="42"/>
        <v>0</v>
      </c>
      <c r="AJ51" s="308">
        <f t="shared" si="42"/>
        <v>0</v>
      </c>
      <c r="AK51" s="308">
        <f t="shared" si="42"/>
        <v>0</v>
      </c>
      <c r="AL51" s="308">
        <f t="shared" si="42"/>
        <v>0</v>
      </c>
      <c r="AM51" s="308">
        <f t="shared" si="42"/>
        <v>0</v>
      </c>
      <c r="AN51" s="308">
        <f t="shared" si="42"/>
        <v>0</v>
      </c>
      <c r="AO51" s="308">
        <f t="shared" si="42"/>
        <v>0</v>
      </c>
      <c r="AP51" s="308">
        <f t="shared" si="42"/>
        <v>0</v>
      </c>
      <c r="AQ51" s="308">
        <f t="shared" si="42"/>
        <v>0</v>
      </c>
      <c r="AR51" s="309"/>
      <c r="AS51" s="310">
        <f>+D53-AR55-AR57</f>
        <v>0</v>
      </c>
      <c r="AW51" s="274" t="str">
        <f>IF(F51="","X",F51)</f>
        <v>X</v>
      </c>
      <c r="AX51" s="274" t="str">
        <f ca="1">IF($A$51=0,"","X")</f>
        <v/>
      </c>
    </row>
    <row r="52" spans="1:50" s="274" customFormat="1" ht="18" hidden="1" customHeight="1">
      <c r="A52" s="2499"/>
      <c r="B52" s="2502"/>
      <c r="C52" s="311" t="str">
        <f>CONCATENATE(Orcamento!K58," ",Orcamento!O58)</f>
        <v xml:space="preserve"> 320,08</v>
      </c>
      <c r="D52" s="2504">
        <f>Orcamento!S23</f>
        <v>0</v>
      </c>
      <c r="E52" s="2505"/>
      <c r="F52" s="312" t="s">
        <v>1192</v>
      </c>
      <c r="G52" s="312"/>
      <c r="H52" s="314"/>
      <c r="I52" s="314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4"/>
      <c r="W52" s="314"/>
      <c r="X52" s="314"/>
      <c r="Y52" s="314"/>
      <c r="Z52" s="314"/>
      <c r="AA52" s="314"/>
      <c r="AB52" s="314"/>
      <c r="AC52" s="314"/>
      <c r="AD52" s="314"/>
      <c r="AE52" s="314"/>
      <c r="AF52" s="314"/>
      <c r="AG52" s="314"/>
      <c r="AH52" s="314"/>
      <c r="AI52" s="314"/>
      <c r="AJ52" s="314"/>
      <c r="AK52" s="314"/>
      <c r="AL52" s="314"/>
      <c r="AM52" s="314"/>
      <c r="AN52" s="314"/>
      <c r="AO52" s="314"/>
      <c r="AP52" s="314"/>
      <c r="AQ52" s="314"/>
      <c r="AR52" s="315">
        <f t="shared" ref="AR52:AR57" si="43">SUM(H52:AQ52)</f>
        <v>0</v>
      </c>
      <c r="AS52" s="2506">
        <f>1-AR52</f>
        <v>1</v>
      </c>
      <c r="AU52" s="2507">
        <f>+COUNT(H52:AQ53)</f>
        <v>36</v>
      </c>
      <c r="AW52" s="274" t="str">
        <f>IF(F52="","X",F52)</f>
        <v>ND</v>
      </c>
      <c r="AX52" s="274" t="str">
        <f t="shared" ref="AX52:AX57" ca="1" si="44">IF($A$51=0,"","X")</f>
        <v/>
      </c>
    </row>
    <row r="53" spans="1:50" s="274" customFormat="1" ht="18" hidden="1" customHeight="1">
      <c r="A53" s="2499"/>
      <c r="B53" s="2502"/>
      <c r="C53" s="311" t="str">
        <f>CONCATENATE(Orcamento!K59," ",Orcamento!O59)</f>
        <v xml:space="preserve"> 362,02</v>
      </c>
      <c r="D53" s="2504">
        <f>Orcamento!T23</f>
        <v>0</v>
      </c>
      <c r="E53" s="2505"/>
      <c r="F53" s="316" t="s">
        <v>1193</v>
      </c>
      <c r="G53" s="316"/>
      <c r="H53" s="314">
        <f t="shared" ref="H53:AQ53" si="45">H52</f>
        <v>0</v>
      </c>
      <c r="I53" s="314">
        <f t="shared" si="45"/>
        <v>0</v>
      </c>
      <c r="J53" s="314">
        <f t="shared" si="45"/>
        <v>0</v>
      </c>
      <c r="K53" s="314">
        <f t="shared" si="45"/>
        <v>0</v>
      </c>
      <c r="L53" s="314">
        <f t="shared" si="45"/>
        <v>0</v>
      </c>
      <c r="M53" s="314">
        <f t="shared" si="45"/>
        <v>0</v>
      </c>
      <c r="N53" s="314">
        <f t="shared" si="45"/>
        <v>0</v>
      </c>
      <c r="O53" s="314">
        <f t="shared" si="45"/>
        <v>0</v>
      </c>
      <c r="P53" s="314">
        <f t="shared" si="45"/>
        <v>0</v>
      </c>
      <c r="Q53" s="314">
        <f t="shared" si="45"/>
        <v>0</v>
      </c>
      <c r="R53" s="314">
        <f t="shared" si="45"/>
        <v>0</v>
      </c>
      <c r="S53" s="314">
        <f t="shared" si="45"/>
        <v>0</v>
      </c>
      <c r="T53" s="314">
        <f t="shared" si="45"/>
        <v>0</v>
      </c>
      <c r="U53" s="314">
        <f t="shared" si="45"/>
        <v>0</v>
      </c>
      <c r="V53" s="314">
        <f t="shared" si="45"/>
        <v>0</v>
      </c>
      <c r="W53" s="314">
        <f t="shared" si="45"/>
        <v>0</v>
      </c>
      <c r="X53" s="314">
        <f t="shared" si="45"/>
        <v>0</v>
      </c>
      <c r="Y53" s="314">
        <f t="shared" si="45"/>
        <v>0</v>
      </c>
      <c r="Z53" s="314">
        <f t="shared" si="45"/>
        <v>0</v>
      </c>
      <c r="AA53" s="314">
        <f t="shared" si="45"/>
        <v>0</v>
      </c>
      <c r="AB53" s="314">
        <f t="shared" si="45"/>
        <v>0</v>
      </c>
      <c r="AC53" s="314">
        <f t="shared" si="45"/>
        <v>0</v>
      </c>
      <c r="AD53" s="314">
        <f t="shared" si="45"/>
        <v>0</v>
      </c>
      <c r="AE53" s="314">
        <f t="shared" si="45"/>
        <v>0</v>
      </c>
      <c r="AF53" s="314">
        <f t="shared" si="45"/>
        <v>0</v>
      </c>
      <c r="AG53" s="314">
        <f t="shared" si="45"/>
        <v>0</v>
      </c>
      <c r="AH53" s="314">
        <f t="shared" si="45"/>
        <v>0</v>
      </c>
      <c r="AI53" s="314">
        <f t="shared" si="45"/>
        <v>0</v>
      </c>
      <c r="AJ53" s="314">
        <f t="shared" si="45"/>
        <v>0</v>
      </c>
      <c r="AK53" s="314">
        <f t="shared" si="45"/>
        <v>0</v>
      </c>
      <c r="AL53" s="314">
        <f t="shared" si="45"/>
        <v>0</v>
      </c>
      <c r="AM53" s="314">
        <f t="shared" si="45"/>
        <v>0</v>
      </c>
      <c r="AN53" s="314">
        <f t="shared" si="45"/>
        <v>0</v>
      </c>
      <c r="AO53" s="314">
        <f t="shared" si="45"/>
        <v>0</v>
      </c>
      <c r="AP53" s="314">
        <f t="shared" si="45"/>
        <v>0</v>
      </c>
      <c r="AQ53" s="314">
        <f t="shared" si="45"/>
        <v>0</v>
      </c>
      <c r="AR53" s="315">
        <f t="shared" si="43"/>
        <v>0</v>
      </c>
      <c r="AS53" s="2506"/>
      <c r="AU53" s="2507"/>
      <c r="AW53" s="274" t="str">
        <f>IF(F53="","X",F53)</f>
        <v>DE</v>
      </c>
      <c r="AX53" s="274" t="str">
        <f t="shared" ca="1" si="44"/>
        <v/>
      </c>
    </row>
    <row r="54" spans="1:50" s="274" customFormat="1" ht="18" hidden="1" customHeight="1">
      <c r="A54" s="2499"/>
      <c r="B54" s="2502"/>
      <c r="C54" s="311"/>
      <c r="D54" s="317" t="s">
        <v>1194</v>
      </c>
      <c r="E54" s="2508">
        <f>$D$159</f>
        <v>1</v>
      </c>
      <c r="F54" s="318" t="s">
        <v>1192</v>
      </c>
      <c r="G54" s="318" t="str">
        <f>D54&amp;" | "&amp;F54</f>
        <v>CONCEDENTE | ND</v>
      </c>
      <c r="H54" s="319">
        <f t="shared" ref="H54:AQ54" si="46">IF($D52=0,0,IF(H52=0,0,($E54*$D52*H52)+$AU$163))</f>
        <v>0</v>
      </c>
      <c r="I54" s="319">
        <f t="shared" si="46"/>
        <v>0</v>
      </c>
      <c r="J54" s="319">
        <f t="shared" si="46"/>
        <v>0</v>
      </c>
      <c r="K54" s="319">
        <f t="shared" si="46"/>
        <v>0</v>
      </c>
      <c r="L54" s="319">
        <f t="shared" si="46"/>
        <v>0</v>
      </c>
      <c r="M54" s="319">
        <f t="shared" si="46"/>
        <v>0</v>
      </c>
      <c r="N54" s="319">
        <f t="shared" si="46"/>
        <v>0</v>
      </c>
      <c r="O54" s="319">
        <f t="shared" si="46"/>
        <v>0</v>
      </c>
      <c r="P54" s="319">
        <f t="shared" si="46"/>
        <v>0</v>
      </c>
      <c r="Q54" s="319">
        <f t="shared" si="46"/>
        <v>0</v>
      </c>
      <c r="R54" s="319">
        <f t="shared" si="46"/>
        <v>0</v>
      </c>
      <c r="S54" s="319">
        <f t="shared" si="46"/>
        <v>0</v>
      </c>
      <c r="T54" s="319">
        <f t="shared" si="46"/>
        <v>0</v>
      </c>
      <c r="U54" s="319">
        <f t="shared" si="46"/>
        <v>0</v>
      </c>
      <c r="V54" s="319">
        <f t="shared" si="46"/>
        <v>0</v>
      </c>
      <c r="W54" s="319">
        <f t="shared" si="46"/>
        <v>0</v>
      </c>
      <c r="X54" s="319">
        <f t="shared" si="46"/>
        <v>0</v>
      </c>
      <c r="Y54" s="319">
        <f t="shared" si="46"/>
        <v>0</v>
      </c>
      <c r="Z54" s="319">
        <f t="shared" si="46"/>
        <v>0</v>
      </c>
      <c r="AA54" s="319">
        <f t="shared" si="46"/>
        <v>0</v>
      </c>
      <c r="AB54" s="319">
        <f t="shared" si="46"/>
        <v>0</v>
      </c>
      <c r="AC54" s="319">
        <f t="shared" si="46"/>
        <v>0</v>
      </c>
      <c r="AD54" s="319">
        <f t="shared" si="46"/>
        <v>0</v>
      </c>
      <c r="AE54" s="319">
        <f t="shared" si="46"/>
        <v>0</v>
      </c>
      <c r="AF54" s="319">
        <f t="shared" si="46"/>
        <v>0</v>
      </c>
      <c r="AG54" s="319">
        <f t="shared" si="46"/>
        <v>0</v>
      </c>
      <c r="AH54" s="319">
        <f t="shared" si="46"/>
        <v>0</v>
      </c>
      <c r="AI54" s="319">
        <f t="shared" si="46"/>
        <v>0</v>
      </c>
      <c r="AJ54" s="319">
        <f t="shared" si="46"/>
        <v>0</v>
      </c>
      <c r="AK54" s="319">
        <f t="shared" si="46"/>
        <v>0</v>
      </c>
      <c r="AL54" s="319">
        <f t="shared" si="46"/>
        <v>0</v>
      </c>
      <c r="AM54" s="319">
        <f t="shared" si="46"/>
        <v>0</v>
      </c>
      <c r="AN54" s="319">
        <f t="shared" si="46"/>
        <v>0</v>
      </c>
      <c r="AO54" s="319">
        <f t="shared" si="46"/>
        <v>0</v>
      </c>
      <c r="AP54" s="319">
        <f t="shared" si="46"/>
        <v>0</v>
      </c>
      <c r="AQ54" s="319">
        <f t="shared" si="46"/>
        <v>0</v>
      </c>
      <c r="AR54" s="320">
        <f t="shared" si="43"/>
        <v>0</v>
      </c>
      <c r="AS54" s="321">
        <f>TRUNC(AR54-D52*E54,2)</f>
        <v>0</v>
      </c>
      <c r="AT54" s="322" t="e">
        <f>+AR54/D52</f>
        <v>#DIV/0!</v>
      </c>
      <c r="AW54" s="274" t="str">
        <f>IF(F54="","X",IF(AND(E54&gt;0),F54,"-"))</f>
        <v>ND</v>
      </c>
      <c r="AX54" s="274" t="str">
        <f t="shared" ca="1" si="44"/>
        <v/>
      </c>
    </row>
    <row r="55" spans="1:50" s="274" customFormat="1" ht="18" hidden="1" customHeight="1">
      <c r="A55" s="2499"/>
      <c r="B55" s="2502"/>
      <c r="C55" s="311"/>
      <c r="D55" s="317" t="s">
        <v>1194</v>
      </c>
      <c r="E55" s="2509"/>
      <c r="F55" s="323" t="s">
        <v>1193</v>
      </c>
      <c r="G55" s="323" t="str">
        <f>D55&amp;" | "&amp;F55</f>
        <v>CONCEDENTE | DE</v>
      </c>
      <c r="H55" s="319">
        <f t="shared" ref="H55:AQ55" si="47">IF($D53=0,0,IF(H53=0,0,($E54*$D53*H53)+$AU$163))</f>
        <v>0</v>
      </c>
      <c r="I55" s="319">
        <f t="shared" si="47"/>
        <v>0</v>
      </c>
      <c r="J55" s="319">
        <f t="shared" si="47"/>
        <v>0</v>
      </c>
      <c r="K55" s="319">
        <f t="shared" si="47"/>
        <v>0</v>
      </c>
      <c r="L55" s="319">
        <f t="shared" si="47"/>
        <v>0</v>
      </c>
      <c r="M55" s="319">
        <f t="shared" si="47"/>
        <v>0</v>
      </c>
      <c r="N55" s="319">
        <f t="shared" si="47"/>
        <v>0</v>
      </c>
      <c r="O55" s="319">
        <f t="shared" si="47"/>
        <v>0</v>
      </c>
      <c r="P55" s="319">
        <f t="shared" si="47"/>
        <v>0</v>
      </c>
      <c r="Q55" s="319">
        <f t="shared" si="47"/>
        <v>0</v>
      </c>
      <c r="R55" s="319">
        <f t="shared" si="47"/>
        <v>0</v>
      </c>
      <c r="S55" s="319">
        <f t="shared" si="47"/>
        <v>0</v>
      </c>
      <c r="T55" s="319">
        <f t="shared" si="47"/>
        <v>0</v>
      </c>
      <c r="U55" s="319">
        <f t="shared" si="47"/>
        <v>0</v>
      </c>
      <c r="V55" s="319">
        <f t="shared" si="47"/>
        <v>0</v>
      </c>
      <c r="W55" s="319">
        <f t="shared" si="47"/>
        <v>0</v>
      </c>
      <c r="X55" s="319">
        <f t="shared" si="47"/>
        <v>0</v>
      </c>
      <c r="Y55" s="319">
        <f t="shared" si="47"/>
        <v>0</v>
      </c>
      <c r="Z55" s="319">
        <f t="shared" si="47"/>
        <v>0</v>
      </c>
      <c r="AA55" s="319">
        <f t="shared" si="47"/>
        <v>0</v>
      </c>
      <c r="AB55" s="319">
        <f t="shared" si="47"/>
        <v>0</v>
      </c>
      <c r="AC55" s="319">
        <f t="shared" si="47"/>
        <v>0</v>
      </c>
      <c r="AD55" s="319">
        <f t="shared" si="47"/>
        <v>0</v>
      </c>
      <c r="AE55" s="319">
        <f t="shared" si="47"/>
        <v>0</v>
      </c>
      <c r="AF55" s="319">
        <f t="shared" si="47"/>
        <v>0</v>
      </c>
      <c r="AG55" s="319">
        <f t="shared" si="47"/>
        <v>0</v>
      </c>
      <c r="AH55" s="319">
        <f t="shared" si="47"/>
        <v>0</v>
      </c>
      <c r="AI55" s="319">
        <f t="shared" si="47"/>
        <v>0</v>
      </c>
      <c r="AJ55" s="319">
        <f t="shared" si="47"/>
        <v>0</v>
      </c>
      <c r="AK55" s="319">
        <f t="shared" si="47"/>
        <v>0</v>
      </c>
      <c r="AL55" s="319">
        <f t="shared" si="47"/>
        <v>0</v>
      </c>
      <c r="AM55" s="319">
        <f t="shared" si="47"/>
        <v>0</v>
      </c>
      <c r="AN55" s="319">
        <f t="shared" si="47"/>
        <v>0</v>
      </c>
      <c r="AO55" s="319">
        <f t="shared" si="47"/>
        <v>0</v>
      </c>
      <c r="AP55" s="319">
        <f t="shared" si="47"/>
        <v>0</v>
      </c>
      <c r="AQ55" s="319">
        <f t="shared" si="47"/>
        <v>0</v>
      </c>
      <c r="AR55" s="320">
        <f t="shared" si="43"/>
        <v>0</v>
      </c>
      <c r="AS55" s="321">
        <f>TRUNC(AR55-D53*E54,2)</f>
        <v>0</v>
      </c>
      <c r="AT55" s="322" t="e">
        <f>+AR55/D53</f>
        <v>#DIV/0!</v>
      </c>
      <c r="AW55" s="274" t="str">
        <f>IF(F55="","X",IF(AND(E54&gt;0),F55,"-"))</f>
        <v>DE</v>
      </c>
      <c r="AX55" s="274" t="str">
        <f t="shared" ca="1" si="44"/>
        <v/>
      </c>
    </row>
    <row r="56" spans="1:50" s="274" customFormat="1" ht="18" hidden="1" customHeight="1" thickBot="1">
      <c r="A56" s="2499"/>
      <c r="B56" s="2502"/>
      <c r="C56" s="324"/>
      <c r="D56" s="325" t="s">
        <v>1195</v>
      </c>
      <c r="E56" s="2510">
        <f>1-E54</f>
        <v>0</v>
      </c>
      <c r="F56" s="326" t="s">
        <v>1192</v>
      </c>
      <c r="G56" s="326" t="str">
        <f>D56&amp;" | "&amp;F56</f>
        <v>PROPONENTE | ND</v>
      </c>
      <c r="H56" s="327">
        <f>($D52*H52-H54)</f>
        <v>0</v>
      </c>
      <c r="I56" s="327">
        <f t="shared" ref="I56:AQ57" si="48">($D52*I52-I54)</f>
        <v>0</v>
      </c>
      <c r="J56" s="327">
        <f t="shared" si="48"/>
        <v>0</v>
      </c>
      <c r="K56" s="327">
        <f t="shared" si="48"/>
        <v>0</v>
      </c>
      <c r="L56" s="327">
        <f t="shared" si="48"/>
        <v>0</v>
      </c>
      <c r="M56" s="327">
        <f t="shared" si="48"/>
        <v>0</v>
      </c>
      <c r="N56" s="327">
        <f t="shared" si="48"/>
        <v>0</v>
      </c>
      <c r="O56" s="327">
        <f t="shared" si="48"/>
        <v>0</v>
      </c>
      <c r="P56" s="327">
        <f t="shared" si="48"/>
        <v>0</v>
      </c>
      <c r="Q56" s="327">
        <f t="shared" si="48"/>
        <v>0</v>
      </c>
      <c r="R56" s="327">
        <f t="shared" si="48"/>
        <v>0</v>
      </c>
      <c r="S56" s="327">
        <f t="shared" si="48"/>
        <v>0</v>
      </c>
      <c r="T56" s="327">
        <f t="shared" si="48"/>
        <v>0</v>
      </c>
      <c r="U56" s="327">
        <f t="shared" si="48"/>
        <v>0</v>
      </c>
      <c r="V56" s="327">
        <f t="shared" si="48"/>
        <v>0</v>
      </c>
      <c r="W56" s="327">
        <f t="shared" si="48"/>
        <v>0</v>
      </c>
      <c r="X56" s="327">
        <f t="shared" si="48"/>
        <v>0</v>
      </c>
      <c r="Y56" s="327">
        <f t="shared" si="48"/>
        <v>0</v>
      </c>
      <c r="Z56" s="327">
        <f t="shared" si="48"/>
        <v>0</v>
      </c>
      <c r="AA56" s="327">
        <f t="shared" si="48"/>
        <v>0</v>
      </c>
      <c r="AB56" s="327">
        <f t="shared" si="48"/>
        <v>0</v>
      </c>
      <c r="AC56" s="327">
        <f t="shared" si="48"/>
        <v>0</v>
      </c>
      <c r="AD56" s="327">
        <f t="shared" si="48"/>
        <v>0</v>
      </c>
      <c r="AE56" s="327">
        <f t="shared" si="48"/>
        <v>0</v>
      </c>
      <c r="AF56" s="327">
        <f t="shared" si="48"/>
        <v>0</v>
      </c>
      <c r="AG56" s="327">
        <f t="shared" si="48"/>
        <v>0</v>
      </c>
      <c r="AH56" s="327">
        <f t="shared" si="48"/>
        <v>0</v>
      </c>
      <c r="AI56" s="327">
        <f t="shared" si="48"/>
        <v>0</v>
      </c>
      <c r="AJ56" s="327">
        <f t="shared" si="48"/>
        <v>0</v>
      </c>
      <c r="AK56" s="327">
        <f t="shared" si="48"/>
        <v>0</v>
      </c>
      <c r="AL56" s="327">
        <f t="shared" si="48"/>
        <v>0</v>
      </c>
      <c r="AM56" s="327">
        <f t="shared" si="48"/>
        <v>0</v>
      </c>
      <c r="AN56" s="327">
        <f t="shared" si="48"/>
        <v>0</v>
      </c>
      <c r="AO56" s="327">
        <f t="shared" si="48"/>
        <v>0</v>
      </c>
      <c r="AP56" s="327">
        <f t="shared" si="48"/>
        <v>0</v>
      </c>
      <c r="AQ56" s="327">
        <f t="shared" si="48"/>
        <v>0</v>
      </c>
      <c r="AR56" s="328">
        <f t="shared" si="43"/>
        <v>0</v>
      </c>
      <c r="AS56" s="321">
        <f>+D52-AR54-AR56</f>
        <v>0</v>
      </c>
      <c r="AW56" s="274" t="str">
        <f>IF(F56="","X",IF(AND(E56&gt;0),F56,"-"))</f>
        <v>-</v>
      </c>
      <c r="AX56" s="274" t="str">
        <f t="shared" ca="1" si="44"/>
        <v/>
      </c>
    </row>
    <row r="57" spans="1:50" s="274" customFormat="1" ht="18" hidden="1" customHeight="1" thickBot="1">
      <c r="A57" s="2500"/>
      <c r="B57" s="2503"/>
      <c r="C57" s="324"/>
      <c r="D57" s="325" t="s">
        <v>1195</v>
      </c>
      <c r="E57" s="2511"/>
      <c r="F57" s="329" t="s">
        <v>1193</v>
      </c>
      <c r="G57" s="329" t="str">
        <f>D57&amp;" | "&amp;F57</f>
        <v>PROPONENTE | DE</v>
      </c>
      <c r="H57" s="327">
        <f>($D53*H53-H55)</f>
        <v>0</v>
      </c>
      <c r="I57" s="327">
        <f t="shared" si="48"/>
        <v>0</v>
      </c>
      <c r="J57" s="327">
        <f t="shared" si="48"/>
        <v>0</v>
      </c>
      <c r="K57" s="327">
        <f t="shared" si="48"/>
        <v>0</v>
      </c>
      <c r="L57" s="327">
        <f t="shared" si="48"/>
        <v>0</v>
      </c>
      <c r="M57" s="327">
        <f t="shared" si="48"/>
        <v>0</v>
      </c>
      <c r="N57" s="327">
        <f t="shared" si="48"/>
        <v>0</v>
      </c>
      <c r="O57" s="327">
        <f t="shared" si="48"/>
        <v>0</v>
      </c>
      <c r="P57" s="327">
        <f t="shared" si="48"/>
        <v>0</v>
      </c>
      <c r="Q57" s="327">
        <f t="shared" si="48"/>
        <v>0</v>
      </c>
      <c r="R57" s="327">
        <f t="shared" si="48"/>
        <v>0</v>
      </c>
      <c r="S57" s="327">
        <f t="shared" si="48"/>
        <v>0</v>
      </c>
      <c r="T57" s="327">
        <f t="shared" si="48"/>
        <v>0</v>
      </c>
      <c r="U57" s="327">
        <f t="shared" si="48"/>
        <v>0</v>
      </c>
      <c r="V57" s="327">
        <f t="shared" si="48"/>
        <v>0</v>
      </c>
      <c r="W57" s="327">
        <f t="shared" si="48"/>
        <v>0</v>
      </c>
      <c r="X57" s="327">
        <f t="shared" si="48"/>
        <v>0</v>
      </c>
      <c r="Y57" s="327">
        <f t="shared" si="48"/>
        <v>0</v>
      </c>
      <c r="Z57" s="327">
        <f t="shared" si="48"/>
        <v>0</v>
      </c>
      <c r="AA57" s="327">
        <f t="shared" si="48"/>
        <v>0</v>
      </c>
      <c r="AB57" s="327">
        <f t="shared" si="48"/>
        <v>0</v>
      </c>
      <c r="AC57" s="327">
        <f t="shared" si="48"/>
        <v>0</v>
      </c>
      <c r="AD57" s="327">
        <f t="shared" si="48"/>
        <v>0</v>
      </c>
      <c r="AE57" s="327">
        <f t="shared" si="48"/>
        <v>0</v>
      </c>
      <c r="AF57" s="327">
        <f t="shared" si="48"/>
        <v>0</v>
      </c>
      <c r="AG57" s="327">
        <f t="shared" si="48"/>
        <v>0</v>
      </c>
      <c r="AH57" s="327">
        <f t="shared" si="48"/>
        <v>0</v>
      </c>
      <c r="AI57" s="327">
        <f t="shared" si="48"/>
        <v>0</v>
      </c>
      <c r="AJ57" s="327">
        <f t="shared" si="48"/>
        <v>0</v>
      </c>
      <c r="AK57" s="327">
        <f t="shared" si="48"/>
        <v>0</v>
      </c>
      <c r="AL57" s="327">
        <f t="shared" si="48"/>
        <v>0</v>
      </c>
      <c r="AM57" s="327">
        <f t="shared" si="48"/>
        <v>0</v>
      </c>
      <c r="AN57" s="327">
        <f t="shared" si="48"/>
        <v>0</v>
      </c>
      <c r="AO57" s="327">
        <f t="shared" si="48"/>
        <v>0</v>
      </c>
      <c r="AP57" s="327">
        <f t="shared" si="48"/>
        <v>0</v>
      </c>
      <c r="AQ57" s="327">
        <f t="shared" si="48"/>
        <v>0</v>
      </c>
      <c r="AR57" s="328">
        <f t="shared" si="43"/>
        <v>0</v>
      </c>
      <c r="AS57" s="321">
        <f>+D53-AR55-AR57</f>
        <v>0</v>
      </c>
      <c r="AW57" s="274" t="str">
        <f>IF(F57="","X",IF(AND(E56&gt;0),F57,"-"))</f>
        <v>-</v>
      </c>
      <c r="AX57" s="274" t="str">
        <f t="shared" ca="1" si="44"/>
        <v/>
      </c>
    </row>
    <row r="58" spans="1:50" s="274" customFormat="1" ht="9.9499999999999993" hidden="1" customHeight="1">
      <c r="A58" s="2498">
        <f ca="1">Orcamento!B24</f>
        <v>0</v>
      </c>
      <c r="B58" s="2501" t="str">
        <f>Orcamento!D24</f>
        <v>DRENAGEM DE LENÇOL FREÁTICO</v>
      </c>
      <c r="C58" s="305"/>
      <c r="D58" s="306"/>
      <c r="E58" s="307"/>
      <c r="F58" s="307"/>
      <c r="G58" s="307"/>
      <c r="H58" s="308">
        <f t="shared" ref="H58:AQ58" si="49">H59</f>
        <v>0</v>
      </c>
      <c r="I58" s="308">
        <f t="shared" si="49"/>
        <v>0</v>
      </c>
      <c r="J58" s="308">
        <f t="shared" si="49"/>
        <v>0.5</v>
      </c>
      <c r="K58" s="308">
        <f t="shared" si="49"/>
        <v>0.5</v>
      </c>
      <c r="L58" s="308">
        <f t="shared" si="49"/>
        <v>0</v>
      </c>
      <c r="M58" s="308">
        <f t="shared" si="49"/>
        <v>0</v>
      </c>
      <c r="N58" s="308">
        <f t="shared" si="49"/>
        <v>0</v>
      </c>
      <c r="O58" s="308">
        <f t="shared" si="49"/>
        <v>0</v>
      </c>
      <c r="P58" s="308">
        <f t="shared" si="49"/>
        <v>0</v>
      </c>
      <c r="Q58" s="308">
        <f t="shared" si="49"/>
        <v>0</v>
      </c>
      <c r="R58" s="308">
        <f t="shared" si="49"/>
        <v>0</v>
      </c>
      <c r="S58" s="308">
        <f t="shared" si="49"/>
        <v>0</v>
      </c>
      <c r="T58" s="308">
        <f t="shared" si="49"/>
        <v>0</v>
      </c>
      <c r="U58" s="308">
        <f t="shared" si="49"/>
        <v>0</v>
      </c>
      <c r="V58" s="308">
        <f t="shared" si="49"/>
        <v>0</v>
      </c>
      <c r="W58" s="308">
        <f t="shared" si="49"/>
        <v>0</v>
      </c>
      <c r="X58" s="308">
        <f t="shared" si="49"/>
        <v>0</v>
      </c>
      <c r="Y58" s="308">
        <f t="shared" si="49"/>
        <v>0</v>
      </c>
      <c r="Z58" s="308">
        <f t="shared" si="49"/>
        <v>0</v>
      </c>
      <c r="AA58" s="308">
        <f t="shared" si="49"/>
        <v>0</v>
      </c>
      <c r="AB58" s="308">
        <f t="shared" si="49"/>
        <v>0</v>
      </c>
      <c r="AC58" s="308">
        <f t="shared" si="49"/>
        <v>0</v>
      </c>
      <c r="AD58" s="308">
        <f t="shared" si="49"/>
        <v>0</v>
      </c>
      <c r="AE58" s="308">
        <f t="shared" si="49"/>
        <v>0</v>
      </c>
      <c r="AF58" s="308">
        <f t="shared" si="49"/>
        <v>0</v>
      </c>
      <c r="AG58" s="308">
        <f t="shared" si="49"/>
        <v>0</v>
      </c>
      <c r="AH58" s="308">
        <f t="shared" si="49"/>
        <v>0</v>
      </c>
      <c r="AI58" s="308">
        <f t="shared" si="49"/>
        <v>0</v>
      </c>
      <c r="AJ58" s="308">
        <f t="shared" si="49"/>
        <v>0</v>
      </c>
      <c r="AK58" s="308">
        <f t="shared" si="49"/>
        <v>0</v>
      </c>
      <c r="AL58" s="308">
        <f t="shared" si="49"/>
        <v>0</v>
      </c>
      <c r="AM58" s="308">
        <f t="shared" si="49"/>
        <v>0</v>
      </c>
      <c r="AN58" s="308">
        <f t="shared" si="49"/>
        <v>0</v>
      </c>
      <c r="AO58" s="308">
        <f t="shared" si="49"/>
        <v>0</v>
      </c>
      <c r="AP58" s="308">
        <f t="shared" si="49"/>
        <v>0</v>
      </c>
      <c r="AQ58" s="308">
        <f t="shared" si="49"/>
        <v>0</v>
      </c>
      <c r="AR58" s="309"/>
      <c r="AS58" s="310">
        <f>+D60-AR62-AR64</f>
        <v>0</v>
      </c>
      <c r="AW58" s="274" t="str">
        <f>IF(F58="","X",F58)</f>
        <v>X</v>
      </c>
      <c r="AX58" s="274" t="str">
        <f ca="1">IF($A$58=0,"","X")</f>
        <v/>
      </c>
    </row>
    <row r="59" spans="1:50" s="274" customFormat="1" ht="18" hidden="1" customHeight="1">
      <c r="A59" s="2499"/>
      <c r="B59" s="2502"/>
      <c r="C59" s="311" t="str">
        <f>CONCATENATE(Orcamento!K64," ",Orcamento!O64)</f>
        <v>0 8,03</v>
      </c>
      <c r="D59" s="2504">
        <f>Orcamento!S24</f>
        <v>0</v>
      </c>
      <c r="E59" s="2505"/>
      <c r="F59" s="312" t="s">
        <v>1192</v>
      </c>
      <c r="G59" s="312"/>
      <c r="H59" s="314"/>
      <c r="I59" s="314"/>
      <c r="J59" s="314">
        <v>0.5</v>
      </c>
      <c r="K59" s="314">
        <v>0.5</v>
      </c>
      <c r="L59" s="314"/>
      <c r="M59" s="314"/>
      <c r="N59" s="314"/>
      <c r="O59" s="314"/>
      <c r="P59" s="314"/>
      <c r="Q59" s="314"/>
      <c r="R59" s="314"/>
      <c r="S59" s="314"/>
      <c r="T59" s="314"/>
      <c r="U59" s="314"/>
      <c r="V59" s="314"/>
      <c r="W59" s="314"/>
      <c r="X59" s="314"/>
      <c r="Y59" s="314"/>
      <c r="Z59" s="314"/>
      <c r="AA59" s="314"/>
      <c r="AB59" s="314"/>
      <c r="AC59" s="314"/>
      <c r="AD59" s="314"/>
      <c r="AE59" s="314"/>
      <c r="AF59" s="314"/>
      <c r="AG59" s="314"/>
      <c r="AH59" s="314"/>
      <c r="AI59" s="314"/>
      <c r="AJ59" s="314"/>
      <c r="AK59" s="314"/>
      <c r="AL59" s="314"/>
      <c r="AM59" s="314"/>
      <c r="AN59" s="314"/>
      <c r="AO59" s="314"/>
      <c r="AP59" s="314"/>
      <c r="AQ59" s="314"/>
      <c r="AR59" s="315">
        <f t="shared" ref="AR59:AR64" si="50">SUM(H59:AQ59)</f>
        <v>1</v>
      </c>
      <c r="AS59" s="2506">
        <f>1-AR59</f>
        <v>0</v>
      </c>
      <c r="AU59" s="2507">
        <f>+COUNT(H59:AQ60)</f>
        <v>38</v>
      </c>
      <c r="AW59" s="274" t="str">
        <f>IF(F59="","X",F59)</f>
        <v>ND</v>
      </c>
      <c r="AX59" s="274" t="str">
        <f t="shared" ref="AX59:AX64" ca="1" si="51">IF($A$58=0,"","X")</f>
        <v/>
      </c>
    </row>
    <row r="60" spans="1:50" s="274" customFormat="1" ht="18" hidden="1" customHeight="1">
      <c r="A60" s="2499"/>
      <c r="B60" s="2502"/>
      <c r="C60" s="311" t="str">
        <f>CONCATENATE(Orcamento!K65," ",Orcamento!O65)</f>
        <v>0 53,88</v>
      </c>
      <c r="D60" s="2504">
        <f>Orcamento!T24</f>
        <v>0</v>
      </c>
      <c r="E60" s="2505"/>
      <c r="F60" s="316" t="s">
        <v>1193</v>
      </c>
      <c r="G60" s="316"/>
      <c r="H60" s="314">
        <f t="shared" ref="H60:AQ60" si="52">H59</f>
        <v>0</v>
      </c>
      <c r="I60" s="314">
        <f t="shared" si="52"/>
        <v>0</v>
      </c>
      <c r="J60" s="314">
        <f t="shared" si="52"/>
        <v>0.5</v>
      </c>
      <c r="K60" s="314">
        <f t="shared" si="52"/>
        <v>0.5</v>
      </c>
      <c r="L60" s="314">
        <f t="shared" si="52"/>
        <v>0</v>
      </c>
      <c r="M60" s="314">
        <f t="shared" si="52"/>
        <v>0</v>
      </c>
      <c r="N60" s="314">
        <f t="shared" si="52"/>
        <v>0</v>
      </c>
      <c r="O60" s="314">
        <f t="shared" si="52"/>
        <v>0</v>
      </c>
      <c r="P60" s="314">
        <f t="shared" si="52"/>
        <v>0</v>
      </c>
      <c r="Q60" s="314">
        <f t="shared" si="52"/>
        <v>0</v>
      </c>
      <c r="R60" s="314">
        <f t="shared" si="52"/>
        <v>0</v>
      </c>
      <c r="S60" s="314">
        <f t="shared" si="52"/>
        <v>0</v>
      </c>
      <c r="T60" s="314">
        <f t="shared" si="52"/>
        <v>0</v>
      </c>
      <c r="U60" s="314">
        <f t="shared" si="52"/>
        <v>0</v>
      </c>
      <c r="V60" s="314">
        <f t="shared" si="52"/>
        <v>0</v>
      </c>
      <c r="W60" s="314">
        <f t="shared" si="52"/>
        <v>0</v>
      </c>
      <c r="X60" s="314">
        <f t="shared" si="52"/>
        <v>0</v>
      </c>
      <c r="Y60" s="314">
        <f t="shared" si="52"/>
        <v>0</v>
      </c>
      <c r="Z60" s="314">
        <f t="shared" si="52"/>
        <v>0</v>
      </c>
      <c r="AA60" s="314">
        <f t="shared" si="52"/>
        <v>0</v>
      </c>
      <c r="AB60" s="314">
        <f t="shared" si="52"/>
        <v>0</v>
      </c>
      <c r="AC60" s="314">
        <f t="shared" si="52"/>
        <v>0</v>
      </c>
      <c r="AD60" s="314">
        <f t="shared" si="52"/>
        <v>0</v>
      </c>
      <c r="AE60" s="314">
        <f t="shared" si="52"/>
        <v>0</v>
      </c>
      <c r="AF60" s="314">
        <f t="shared" si="52"/>
        <v>0</v>
      </c>
      <c r="AG60" s="314">
        <f t="shared" si="52"/>
        <v>0</v>
      </c>
      <c r="AH60" s="314">
        <f t="shared" si="52"/>
        <v>0</v>
      </c>
      <c r="AI60" s="314">
        <f t="shared" si="52"/>
        <v>0</v>
      </c>
      <c r="AJ60" s="314">
        <f t="shared" si="52"/>
        <v>0</v>
      </c>
      <c r="AK60" s="314">
        <f t="shared" si="52"/>
        <v>0</v>
      </c>
      <c r="AL60" s="314">
        <f t="shared" si="52"/>
        <v>0</v>
      </c>
      <c r="AM60" s="314">
        <f t="shared" si="52"/>
        <v>0</v>
      </c>
      <c r="AN60" s="314">
        <f t="shared" si="52"/>
        <v>0</v>
      </c>
      <c r="AO60" s="314">
        <f t="shared" si="52"/>
        <v>0</v>
      </c>
      <c r="AP60" s="314">
        <f t="shared" si="52"/>
        <v>0</v>
      </c>
      <c r="AQ60" s="314">
        <f t="shared" si="52"/>
        <v>0</v>
      </c>
      <c r="AR60" s="315">
        <f t="shared" si="50"/>
        <v>1</v>
      </c>
      <c r="AS60" s="2506"/>
      <c r="AU60" s="2507"/>
      <c r="AW60" s="274" t="str">
        <f>IF(F60="","X",F60)</f>
        <v>DE</v>
      </c>
      <c r="AX60" s="274" t="str">
        <f t="shared" ca="1" si="51"/>
        <v/>
      </c>
    </row>
    <row r="61" spans="1:50" s="274" customFormat="1" ht="18" hidden="1" customHeight="1">
      <c r="A61" s="2499"/>
      <c r="B61" s="2502"/>
      <c r="C61" s="311"/>
      <c r="D61" s="317" t="s">
        <v>1194</v>
      </c>
      <c r="E61" s="2508">
        <f>$D$159</f>
        <v>1</v>
      </c>
      <c r="F61" s="318" t="s">
        <v>1192</v>
      </c>
      <c r="G61" s="318" t="str">
        <f>D61&amp;" | "&amp;F61</f>
        <v>CONCEDENTE | ND</v>
      </c>
      <c r="H61" s="319">
        <f t="shared" ref="H61:AQ61" si="53">IF($D59=0,0,IF(H59=0,0,($E61*$D59*H59)+$AU$163))</f>
        <v>0</v>
      </c>
      <c r="I61" s="319">
        <f t="shared" si="53"/>
        <v>0</v>
      </c>
      <c r="J61" s="319">
        <f t="shared" si="53"/>
        <v>0</v>
      </c>
      <c r="K61" s="319">
        <f t="shared" si="53"/>
        <v>0</v>
      </c>
      <c r="L61" s="319">
        <f t="shared" si="53"/>
        <v>0</v>
      </c>
      <c r="M61" s="319">
        <f t="shared" si="53"/>
        <v>0</v>
      </c>
      <c r="N61" s="319">
        <f t="shared" si="53"/>
        <v>0</v>
      </c>
      <c r="O61" s="319">
        <f t="shared" si="53"/>
        <v>0</v>
      </c>
      <c r="P61" s="319">
        <f t="shared" si="53"/>
        <v>0</v>
      </c>
      <c r="Q61" s="319">
        <f t="shared" si="53"/>
        <v>0</v>
      </c>
      <c r="R61" s="319">
        <f t="shared" si="53"/>
        <v>0</v>
      </c>
      <c r="S61" s="319">
        <f t="shared" si="53"/>
        <v>0</v>
      </c>
      <c r="T61" s="319">
        <f t="shared" si="53"/>
        <v>0</v>
      </c>
      <c r="U61" s="319">
        <f t="shared" si="53"/>
        <v>0</v>
      </c>
      <c r="V61" s="319">
        <f t="shared" si="53"/>
        <v>0</v>
      </c>
      <c r="W61" s="319">
        <f t="shared" si="53"/>
        <v>0</v>
      </c>
      <c r="X61" s="319">
        <f t="shared" si="53"/>
        <v>0</v>
      </c>
      <c r="Y61" s="319">
        <f t="shared" si="53"/>
        <v>0</v>
      </c>
      <c r="Z61" s="319">
        <f t="shared" si="53"/>
        <v>0</v>
      </c>
      <c r="AA61" s="319">
        <f t="shared" si="53"/>
        <v>0</v>
      </c>
      <c r="AB61" s="319">
        <f t="shared" si="53"/>
        <v>0</v>
      </c>
      <c r="AC61" s="319">
        <f t="shared" si="53"/>
        <v>0</v>
      </c>
      <c r="AD61" s="319">
        <f t="shared" si="53"/>
        <v>0</v>
      </c>
      <c r="AE61" s="319">
        <f t="shared" si="53"/>
        <v>0</v>
      </c>
      <c r="AF61" s="319">
        <f t="shared" si="53"/>
        <v>0</v>
      </c>
      <c r="AG61" s="319">
        <f t="shared" si="53"/>
        <v>0</v>
      </c>
      <c r="AH61" s="319">
        <f t="shared" si="53"/>
        <v>0</v>
      </c>
      <c r="AI61" s="319">
        <f t="shared" si="53"/>
        <v>0</v>
      </c>
      <c r="AJ61" s="319">
        <f t="shared" si="53"/>
        <v>0</v>
      </c>
      <c r="AK61" s="319">
        <f t="shared" si="53"/>
        <v>0</v>
      </c>
      <c r="AL61" s="319">
        <f t="shared" si="53"/>
        <v>0</v>
      </c>
      <c r="AM61" s="319">
        <f t="shared" si="53"/>
        <v>0</v>
      </c>
      <c r="AN61" s="319">
        <f t="shared" si="53"/>
        <v>0</v>
      </c>
      <c r="AO61" s="319">
        <f t="shared" si="53"/>
        <v>0</v>
      </c>
      <c r="AP61" s="319">
        <f t="shared" si="53"/>
        <v>0</v>
      </c>
      <c r="AQ61" s="319">
        <f t="shared" si="53"/>
        <v>0</v>
      </c>
      <c r="AR61" s="320">
        <f t="shared" si="50"/>
        <v>0</v>
      </c>
      <c r="AS61" s="321">
        <f>TRUNC(AR61-D59*E61,2)</f>
        <v>0</v>
      </c>
      <c r="AT61" s="322" t="e">
        <f>+AR61/D59</f>
        <v>#DIV/0!</v>
      </c>
      <c r="AW61" s="274" t="str">
        <f>IF(F61="","X",IF(AND(E61&gt;0),F61,"-"))</f>
        <v>ND</v>
      </c>
      <c r="AX61" s="274" t="str">
        <f t="shared" ca="1" si="51"/>
        <v/>
      </c>
    </row>
    <row r="62" spans="1:50" s="274" customFormat="1" ht="18" hidden="1" customHeight="1">
      <c r="A62" s="2499"/>
      <c r="B62" s="2502"/>
      <c r="C62" s="311"/>
      <c r="D62" s="317" t="s">
        <v>1194</v>
      </c>
      <c r="E62" s="2509"/>
      <c r="F62" s="323" t="s">
        <v>1193</v>
      </c>
      <c r="G62" s="323" t="str">
        <f>D62&amp;" | "&amp;F62</f>
        <v>CONCEDENTE | DE</v>
      </c>
      <c r="H62" s="319">
        <f t="shared" ref="H62:AQ62" si="54">IF($D60=0,0,IF(H60=0,0,($E61*$D60*H60)+$AU$163))</f>
        <v>0</v>
      </c>
      <c r="I62" s="319">
        <f t="shared" si="54"/>
        <v>0</v>
      </c>
      <c r="J62" s="319">
        <f t="shared" si="54"/>
        <v>0</v>
      </c>
      <c r="K62" s="319">
        <f t="shared" si="54"/>
        <v>0</v>
      </c>
      <c r="L62" s="319">
        <f t="shared" si="54"/>
        <v>0</v>
      </c>
      <c r="M62" s="319">
        <f t="shared" si="54"/>
        <v>0</v>
      </c>
      <c r="N62" s="319">
        <f t="shared" si="54"/>
        <v>0</v>
      </c>
      <c r="O62" s="319">
        <f t="shared" si="54"/>
        <v>0</v>
      </c>
      <c r="P62" s="319">
        <f t="shared" si="54"/>
        <v>0</v>
      </c>
      <c r="Q62" s="319">
        <f t="shared" si="54"/>
        <v>0</v>
      </c>
      <c r="R62" s="319">
        <f t="shared" si="54"/>
        <v>0</v>
      </c>
      <c r="S62" s="319">
        <f t="shared" si="54"/>
        <v>0</v>
      </c>
      <c r="T62" s="319">
        <f t="shared" si="54"/>
        <v>0</v>
      </c>
      <c r="U62" s="319">
        <f t="shared" si="54"/>
        <v>0</v>
      </c>
      <c r="V62" s="319">
        <f t="shared" si="54"/>
        <v>0</v>
      </c>
      <c r="W62" s="319">
        <f t="shared" si="54"/>
        <v>0</v>
      </c>
      <c r="X62" s="319">
        <f t="shared" si="54"/>
        <v>0</v>
      </c>
      <c r="Y62" s="319">
        <f t="shared" si="54"/>
        <v>0</v>
      </c>
      <c r="Z62" s="319">
        <f t="shared" si="54"/>
        <v>0</v>
      </c>
      <c r="AA62" s="319">
        <f t="shared" si="54"/>
        <v>0</v>
      </c>
      <c r="AB62" s="319">
        <f t="shared" si="54"/>
        <v>0</v>
      </c>
      <c r="AC62" s="319">
        <f t="shared" si="54"/>
        <v>0</v>
      </c>
      <c r="AD62" s="319">
        <f t="shared" si="54"/>
        <v>0</v>
      </c>
      <c r="AE62" s="319">
        <f t="shared" si="54"/>
        <v>0</v>
      </c>
      <c r="AF62" s="319">
        <f t="shared" si="54"/>
        <v>0</v>
      </c>
      <c r="AG62" s="319">
        <f t="shared" si="54"/>
        <v>0</v>
      </c>
      <c r="AH62" s="319">
        <f t="shared" si="54"/>
        <v>0</v>
      </c>
      <c r="AI62" s="319">
        <f t="shared" si="54"/>
        <v>0</v>
      </c>
      <c r="AJ62" s="319">
        <f t="shared" si="54"/>
        <v>0</v>
      </c>
      <c r="AK62" s="319">
        <f t="shared" si="54"/>
        <v>0</v>
      </c>
      <c r="AL62" s="319">
        <f t="shared" si="54"/>
        <v>0</v>
      </c>
      <c r="AM62" s="319">
        <f t="shared" si="54"/>
        <v>0</v>
      </c>
      <c r="AN62" s="319">
        <f t="shared" si="54"/>
        <v>0</v>
      </c>
      <c r="AO62" s="319">
        <f t="shared" si="54"/>
        <v>0</v>
      </c>
      <c r="AP62" s="319">
        <f t="shared" si="54"/>
        <v>0</v>
      </c>
      <c r="AQ62" s="319">
        <f t="shared" si="54"/>
        <v>0</v>
      </c>
      <c r="AR62" s="320">
        <f t="shared" si="50"/>
        <v>0</v>
      </c>
      <c r="AS62" s="321">
        <f>TRUNC(AR62-D60*E61,2)</f>
        <v>0</v>
      </c>
      <c r="AT62" s="322" t="e">
        <f>+AR62/D60</f>
        <v>#DIV/0!</v>
      </c>
      <c r="AW62" s="274" t="str">
        <f>IF(F62="","X",IF(AND(E61&gt;0),F62,"-"))</f>
        <v>DE</v>
      </c>
      <c r="AX62" s="274" t="str">
        <f t="shared" ca="1" si="51"/>
        <v/>
      </c>
    </row>
    <row r="63" spans="1:50" s="274" customFormat="1" ht="18" hidden="1" customHeight="1" thickBot="1">
      <c r="A63" s="2499"/>
      <c r="B63" s="2502"/>
      <c r="C63" s="324"/>
      <c r="D63" s="325" t="s">
        <v>1195</v>
      </c>
      <c r="E63" s="2510">
        <f>1-E61</f>
        <v>0</v>
      </c>
      <c r="F63" s="326" t="s">
        <v>1192</v>
      </c>
      <c r="G63" s="326" t="str">
        <f>D63&amp;" | "&amp;F63</f>
        <v>PROPONENTE | ND</v>
      </c>
      <c r="H63" s="327">
        <f>($D59*H59-H61)</f>
        <v>0</v>
      </c>
      <c r="I63" s="327">
        <f t="shared" ref="I63:AQ64" si="55">($D59*I59-I61)</f>
        <v>0</v>
      </c>
      <c r="J63" s="327">
        <f t="shared" si="55"/>
        <v>0</v>
      </c>
      <c r="K63" s="327">
        <f t="shared" si="55"/>
        <v>0</v>
      </c>
      <c r="L63" s="327">
        <f t="shared" si="55"/>
        <v>0</v>
      </c>
      <c r="M63" s="327">
        <f t="shared" si="55"/>
        <v>0</v>
      </c>
      <c r="N63" s="327">
        <f t="shared" si="55"/>
        <v>0</v>
      </c>
      <c r="O63" s="327">
        <f t="shared" si="55"/>
        <v>0</v>
      </c>
      <c r="P63" s="327">
        <f t="shared" si="55"/>
        <v>0</v>
      </c>
      <c r="Q63" s="327">
        <f t="shared" si="55"/>
        <v>0</v>
      </c>
      <c r="R63" s="327">
        <f t="shared" si="55"/>
        <v>0</v>
      </c>
      <c r="S63" s="327">
        <f t="shared" si="55"/>
        <v>0</v>
      </c>
      <c r="T63" s="327">
        <f t="shared" si="55"/>
        <v>0</v>
      </c>
      <c r="U63" s="327">
        <f t="shared" si="55"/>
        <v>0</v>
      </c>
      <c r="V63" s="327">
        <f t="shared" si="55"/>
        <v>0</v>
      </c>
      <c r="W63" s="327">
        <f t="shared" si="55"/>
        <v>0</v>
      </c>
      <c r="X63" s="327">
        <f t="shared" si="55"/>
        <v>0</v>
      </c>
      <c r="Y63" s="327">
        <f t="shared" si="55"/>
        <v>0</v>
      </c>
      <c r="Z63" s="327">
        <f t="shared" si="55"/>
        <v>0</v>
      </c>
      <c r="AA63" s="327">
        <f t="shared" si="55"/>
        <v>0</v>
      </c>
      <c r="AB63" s="327">
        <f t="shared" si="55"/>
        <v>0</v>
      </c>
      <c r="AC63" s="327">
        <f t="shared" si="55"/>
        <v>0</v>
      </c>
      <c r="AD63" s="327">
        <f t="shared" si="55"/>
        <v>0</v>
      </c>
      <c r="AE63" s="327">
        <f t="shared" si="55"/>
        <v>0</v>
      </c>
      <c r="AF63" s="327">
        <f t="shared" si="55"/>
        <v>0</v>
      </c>
      <c r="AG63" s="327">
        <f t="shared" si="55"/>
        <v>0</v>
      </c>
      <c r="AH63" s="327">
        <f t="shared" si="55"/>
        <v>0</v>
      </c>
      <c r="AI63" s="327">
        <f t="shared" si="55"/>
        <v>0</v>
      </c>
      <c r="AJ63" s="327">
        <f t="shared" si="55"/>
        <v>0</v>
      </c>
      <c r="AK63" s="327">
        <f t="shared" si="55"/>
        <v>0</v>
      </c>
      <c r="AL63" s="327">
        <f t="shared" si="55"/>
        <v>0</v>
      </c>
      <c r="AM63" s="327">
        <f t="shared" si="55"/>
        <v>0</v>
      </c>
      <c r="AN63" s="327">
        <f t="shared" si="55"/>
        <v>0</v>
      </c>
      <c r="AO63" s="327">
        <f t="shared" si="55"/>
        <v>0</v>
      </c>
      <c r="AP63" s="327">
        <f t="shared" si="55"/>
        <v>0</v>
      </c>
      <c r="AQ63" s="327">
        <f t="shared" si="55"/>
        <v>0</v>
      </c>
      <c r="AR63" s="328">
        <f t="shared" si="50"/>
        <v>0</v>
      </c>
      <c r="AS63" s="321">
        <f>+D59-AR61-AR63</f>
        <v>0</v>
      </c>
      <c r="AW63" s="274" t="str">
        <f>IF(F63="","X",IF(AND(E63&gt;0),F63,"-"))</f>
        <v>-</v>
      </c>
      <c r="AX63" s="274" t="str">
        <f t="shared" ca="1" si="51"/>
        <v/>
      </c>
    </row>
    <row r="64" spans="1:50" s="274" customFormat="1" ht="18" hidden="1" customHeight="1" thickBot="1">
      <c r="A64" s="2500"/>
      <c r="B64" s="2503"/>
      <c r="C64" s="324"/>
      <c r="D64" s="325" t="s">
        <v>1195</v>
      </c>
      <c r="E64" s="2511"/>
      <c r="F64" s="329" t="s">
        <v>1193</v>
      </c>
      <c r="G64" s="329" t="str">
        <f>D64&amp;" | "&amp;F64</f>
        <v>PROPONENTE | DE</v>
      </c>
      <c r="H64" s="327">
        <f>($D60*H60-H62)</f>
        <v>0</v>
      </c>
      <c r="I64" s="327">
        <f t="shared" si="55"/>
        <v>0</v>
      </c>
      <c r="J64" s="327">
        <f t="shared" si="55"/>
        <v>0</v>
      </c>
      <c r="K64" s="327">
        <f t="shared" si="55"/>
        <v>0</v>
      </c>
      <c r="L64" s="327">
        <f t="shared" si="55"/>
        <v>0</v>
      </c>
      <c r="M64" s="327">
        <f t="shared" si="55"/>
        <v>0</v>
      </c>
      <c r="N64" s="327">
        <f t="shared" si="55"/>
        <v>0</v>
      </c>
      <c r="O64" s="327">
        <f t="shared" si="55"/>
        <v>0</v>
      </c>
      <c r="P64" s="327">
        <f t="shared" si="55"/>
        <v>0</v>
      </c>
      <c r="Q64" s="327">
        <f t="shared" si="55"/>
        <v>0</v>
      </c>
      <c r="R64" s="327">
        <f t="shared" si="55"/>
        <v>0</v>
      </c>
      <c r="S64" s="327">
        <f t="shared" si="55"/>
        <v>0</v>
      </c>
      <c r="T64" s="327">
        <f t="shared" si="55"/>
        <v>0</v>
      </c>
      <c r="U64" s="327">
        <f t="shared" si="55"/>
        <v>0</v>
      </c>
      <c r="V64" s="327">
        <f t="shared" si="55"/>
        <v>0</v>
      </c>
      <c r="W64" s="327">
        <f t="shared" si="55"/>
        <v>0</v>
      </c>
      <c r="X64" s="327">
        <f t="shared" si="55"/>
        <v>0</v>
      </c>
      <c r="Y64" s="327">
        <f t="shared" si="55"/>
        <v>0</v>
      </c>
      <c r="Z64" s="327">
        <f t="shared" si="55"/>
        <v>0</v>
      </c>
      <c r="AA64" s="327">
        <f t="shared" si="55"/>
        <v>0</v>
      </c>
      <c r="AB64" s="327">
        <f t="shared" si="55"/>
        <v>0</v>
      </c>
      <c r="AC64" s="327">
        <f t="shared" si="55"/>
        <v>0</v>
      </c>
      <c r="AD64" s="327">
        <f t="shared" si="55"/>
        <v>0</v>
      </c>
      <c r="AE64" s="327">
        <f t="shared" si="55"/>
        <v>0</v>
      </c>
      <c r="AF64" s="327">
        <f t="shared" si="55"/>
        <v>0</v>
      </c>
      <c r="AG64" s="327">
        <f t="shared" si="55"/>
        <v>0</v>
      </c>
      <c r="AH64" s="327">
        <f t="shared" si="55"/>
        <v>0</v>
      </c>
      <c r="AI64" s="327">
        <f t="shared" si="55"/>
        <v>0</v>
      </c>
      <c r="AJ64" s="327">
        <f t="shared" si="55"/>
        <v>0</v>
      </c>
      <c r="AK64" s="327">
        <f t="shared" si="55"/>
        <v>0</v>
      </c>
      <c r="AL64" s="327">
        <f t="shared" si="55"/>
        <v>0</v>
      </c>
      <c r="AM64" s="327">
        <f t="shared" si="55"/>
        <v>0</v>
      </c>
      <c r="AN64" s="327">
        <f t="shared" si="55"/>
        <v>0</v>
      </c>
      <c r="AO64" s="327">
        <f t="shared" si="55"/>
        <v>0</v>
      </c>
      <c r="AP64" s="327">
        <f t="shared" si="55"/>
        <v>0</v>
      </c>
      <c r="AQ64" s="327">
        <f t="shared" si="55"/>
        <v>0</v>
      </c>
      <c r="AR64" s="328">
        <f t="shared" si="50"/>
        <v>0</v>
      </c>
      <c r="AS64" s="321">
        <f>+D60-AR62-AR64</f>
        <v>0</v>
      </c>
      <c r="AW64" s="274" t="str">
        <f>IF(F64="","X",IF(AND(E63&gt;0),F64,"-"))</f>
        <v>-</v>
      </c>
      <c r="AX64" s="274" t="str">
        <f t="shared" ca="1" si="51"/>
        <v/>
      </c>
    </row>
    <row r="65" spans="1:50" s="274" customFormat="1" ht="9.9499999999999993" hidden="1" customHeight="1">
      <c r="A65" s="2498">
        <f ca="1">Orcamento!B25</f>
        <v>0</v>
      </c>
      <c r="B65" s="2501" t="str">
        <f>Orcamento!D25</f>
        <v>MICRODRENAGEM - RECOMPOSIÇÃO DO PAVIMENTO</v>
      </c>
      <c r="C65" s="305"/>
      <c r="D65" s="306"/>
      <c r="E65" s="307"/>
      <c r="F65" s="307"/>
      <c r="G65" s="307"/>
      <c r="H65" s="308">
        <f t="shared" ref="H65:AQ65" si="56">H66</f>
        <v>0</v>
      </c>
      <c r="I65" s="308">
        <f t="shared" si="56"/>
        <v>0</v>
      </c>
      <c r="J65" s="308">
        <f t="shared" si="56"/>
        <v>0</v>
      </c>
      <c r="K65" s="308">
        <f t="shared" si="56"/>
        <v>0</v>
      </c>
      <c r="L65" s="308">
        <f t="shared" si="56"/>
        <v>0</v>
      </c>
      <c r="M65" s="308">
        <f t="shared" si="56"/>
        <v>0</v>
      </c>
      <c r="N65" s="308">
        <f t="shared" si="56"/>
        <v>0</v>
      </c>
      <c r="O65" s="308">
        <f t="shared" si="56"/>
        <v>0</v>
      </c>
      <c r="P65" s="308">
        <f t="shared" si="56"/>
        <v>0</v>
      </c>
      <c r="Q65" s="308">
        <f t="shared" si="56"/>
        <v>0</v>
      </c>
      <c r="R65" s="308">
        <f t="shared" si="56"/>
        <v>0</v>
      </c>
      <c r="S65" s="308">
        <f t="shared" si="56"/>
        <v>0</v>
      </c>
      <c r="T65" s="308">
        <f t="shared" si="56"/>
        <v>0</v>
      </c>
      <c r="U65" s="308">
        <f t="shared" si="56"/>
        <v>0</v>
      </c>
      <c r="V65" s="308">
        <f t="shared" si="56"/>
        <v>0</v>
      </c>
      <c r="W65" s="308">
        <f t="shared" si="56"/>
        <v>0</v>
      </c>
      <c r="X65" s="308">
        <f t="shared" si="56"/>
        <v>0</v>
      </c>
      <c r="Y65" s="308">
        <f t="shared" si="56"/>
        <v>0</v>
      </c>
      <c r="Z65" s="308">
        <f t="shared" si="56"/>
        <v>0</v>
      </c>
      <c r="AA65" s="308">
        <f t="shared" si="56"/>
        <v>0</v>
      </c>
      <c r="AB65" s="308">
        <f t="shared" si="56"/>
        <v>0</v>
      </c>
      <c r="AC65" s="308">
        <f t="shared" si="56"/>
        <v>0</v>
      </c>
      <c r="AD65" s="308">
        <f t="shared" si="56"/>
        <v>0</v>
      </c>
      <c r="AE65" s="308">
        <f t="shared" si="56"/>
        <v>0</v>
      </c>
      <c r="AF65" s="308">
        <f t="shared" si="56"/>
        <v>0</v>
      </c>
      <c r="AG65" s="308">
        <f t="shared" si="56"/>
        <v>0</v>
      </c>
      <c r="AH65" s="308">
        <f t="shared" si="56"/>
        <v>0</v>
      </c>
      <c r="AI65" s="308">
        <f t="shared" si="56"/>
        <v>0</v>
      </c>
      <c r="AJ65" s="308">
        <f t="shared" si="56"/>
        <v>0</v>
      </c>
      <c r="AK65" s="308">
        <f t="shared" si="56"/>
        <v>0</v>
      </c>
      <c r="AL65" s="308">
        <f t="shared" si="56"/>
        <v>0</v>
      </c>
      <c r="AM65" s="308">
        <f t="shared" si="56"/>
        <v>0</v>
      </c>
      <c r="AN65" s="308">
        <f t="shared" si="56"/>
        <v>0</v>
      </c>
      <c r="AO65" s="308">
        <f t="shared" si="56"/>
        <v>0</v>
      </c>
      <c r="AP65" s="308">
        <f t="shared" si="56"/>
        <v>0</v>
      </c>
      <c r="AQ65" s="308">
        <f t="shared" si="56"/>
        <v>0</v>
      </c>
      <c r="AR65" s="309"/>
      <c r="AS65" s="310">
        <f>+D67-AR69-AR71</f>
        <v>0</v>
      </c>
      <c r="AW65" s="274" t="str">
        <f>IF(F65="","X",F65)</f>
        <v>X</v>
      </c>
      <c r="AX65" s="274" t="str">
        <f ca="1">IF($A$65=0,"","X")</f>
        <v/>
      </c>
    </row>
    <row r="66" spans="1:50" s="274" customFormat="1" ht="18" hidden="1" customHeight="1">
      <c r="A66" s="2499"/>
      <c r="B66" s="2502"/>
      <c r="C66" s="311" t="str">
        <f>CONCATENATE(Orcamento!K71," ",Orcamento!O71)</f>
        <v>500 7,72</v>
      </c>
      <c r="D66" s="2504">
        <f>Orcamento!S25</f>
        <v>0</v>
      </c>
      <c r="E66" s="2505"/>
      <c r="F66" s="312" t="s">
        <v>1192</v>
      </c>
      <c r="G66" s="312"/>
      <c r="H66" s="314"/>
      <c r="I66" s="314"/>
      <c r="J66" s="314"/>
      <c r="K66" s="314"/>
      <c r="L66" s="314"/>
      <c r="M66" s="314"/>
      <c r="N66" s="314"/>
      <c r="O66" s="314"/>
      <c r="P66" s="314"/>
      <c r="Q66" s="314"/>
      <c r="R66" s="314"/>
      <c r="S66" s="314"/>
      <c r="T66" s="314"/>
      <c r="U66" s="314"/>
      <c r="V66" s="314"/>
      <c r="W66" s="314"/>
      <c r="X66" s="314"/>
      <c r="Y66" s="314"/>
      <c r="Z66" s="314"/>
      <c r="AA66" s="314"/>
      <c r="AB66" s="314"/>
      <c r="AC66" s="314"/>
      <c r="AD66" s="314"/>
      <c r="AE66" s="314"/>
      <c r="AF66" s="314"/>
      <c r="AG66" s="314"/>
      <c r="AH66" s="314"/>
      <c r="AI66" s="314"/>
      <c r="AJ66" s="314"/>
      <c r="AK66" s="314"/>
      <c r="AL66" s="314"/>
      <c r="AM66" s="314"/>
      <c r="AN66" s="314"/>
      <c r="AO66" s="314"/>
      <c r="AP66" s="314"/>
      <c r="AQ66" s="314"/>
      <c r="AR66" s="315">
        <f t="shared" ref="AR66:AR71" si="57">SUM(H66:AQ66)</f>
        <v>0</v>
      </c>
      <c r="AS66" s="2506">
        <f>1-AR66</f>
        <v>1</v>
      </c>
      <c r="AU66" s="2507">
        <f>+COUNT(H66:AQ67)</f>
        <v>36</v>
      </c>
      <c r="AW66" s="274" t="str">
        <f>IF(F66="","X",F66)</f>
        <v>ND</v>
      </c>
      <c r="AX66" s="274" t="str">
        <f t="shared" ref="AX66:AX71" ca="1" si="58">IF($A$65=0,"","X")</f>
        <v/>
      </c>
    </row>
    <row r="67" spans="1:50" s="274" customFormat="1" ht="18" hidden="1" customHeight="1">
      <c r="A67" s="2499"/>
      <c r="B67" s="2502"/>
      <c r="C67" s="311" t="str">
        <f>CONCATENATE(Orcamento!K72," ",Orcamento!O72)</f>
        <v xml:space="preserve"> </v>
      </c>
      <c r="D67" s="2504">
        <f>Orcamento!T25</f>
        <v>0</v>
      </c>
      <c r="E67" s="2505"/>
      <c r="F67" s="316" t="s">
        <v>1193</v>
      </c>
      <c r="G67" s="316"/>
      <c r="H67" s="314">
        <f t="shared" ref="H67:AQ67" si="59">H66</f>
        <v>0</v>
      </c>
      <c r="I67" s="314">
        <f t="shared" si="59"/>
        <v>0</v>
      </c>
      <c r="J67" s="314">
        <f t="shared" si="59"/>
        <v>0</v>
      </c>
      <c r="K67" s="314">
        <f t="shared" si="59"/>
        <v>0</v>
      </c>
      <c r="L67" s="314">
        <f t="shared" si="59"/>
        <v>0</v>
      </c>
      <c r="M67" s="314">
        <f t="shared" si="59"/>
        <v>0</v>
      </c>
      <c r="N67" s="314">
        <f t="shared" si="59"/>
        <v>0</v>
      </c>
      <c r="O67" s="314">
        <f t="shared" si="59"/>
        <v>0</v>
      </c>
      <c r="P67" s="314">
        <f t="shared" si="59"/>
        <v>0</v>
      </c>
      <c r="Q67" s="314">
        <f t="shared" si="59"/>
        <v>0</v>
      </c>
      <c r="R67" s="314">
        <f t="shared" si="59"/>
        <v>0</v>
      </c>
      <c r="S67" s="314">
        <f t="shared" si="59"/>
        <v>0</v>
      </c>
      <c r="T67" s="314">
        <f t="shared" si="59"/>
        <v>0</v>
      </c>
      <c r="U67" s="314">
        <f t="shared" si="59"/>
        <v>0</v>
      </c>
      <c r="V67" s="314">
        <f t="shared" si="59"/>
        <v>0</v>
      </c>
      <c r="W67" s="314">
        <f t="shared" si="59"/>
        <v>0</v>
      </c>
      <c r="X67" s="314">
        <f t="shared" si="59"/>
        <v>0</v>
      </c>
      <c r="Y67" s="314">
        <f t="shared" si="59"/>
        <v>0</v>
      </c>
      <c r="Z67" s="314">
        <f t="shared" si="59"/>
        <v>0</v>
      </c>
      <c r="AA67" s="314">
        <f t="shared" si="59"/>
        <v>0</v>
      </c>
      <c r="AB67" s="314">
        <f t="shared" si="59"/>
        <v>0</v>
      </c>
      <c r="AC67" s="314">
        <f t="shared" si="59"/>
        <v>0</v>
      </c>
      <c r="AD67" s="314">
        <f t="shared" si="59"/>
        <v>0</v>
      </c>
      <c r="AE67" s="314">
        <f t="shared" si="59"/>
        <v>0</v>
      </c>
      <c r="AF67" s="314">
        <f t="shared" si="59"/>
        <v>0</v>
      </c>
      <c r="AG67" s="314">
        <f t="shared" si="59"/>
        <v>0</v>
      </c>
      <c r="AH67" s="314">
        <f t="shared" si="59"/>
        <v>0</v>
      </c>
      <c r="AI67" s="314">
        <f t="shared" si="59"/>
        <v>0</v>
      </c>
      <c r="AJ67" s="314">
        <f t="shared" si="59"/>
        <v>0</v>
      </c>
      <c r="AK67" s="314">
        <f t="shared" si="59"/>
        <v>0</v>
      </c>
      <c r="AL67" s="314">
        <f t="shared" si="59"/>
        <v>0</v>
      </c>
      <c r="AM67" s="314">
        <f t="shared" si="59"/>
        <v>0</v>
      </c>
      <c r="AN67" s="314">
        <f t="shared" si="59"/>
        <v>0</v>
      </c>
      <c r="AO67" s="314">
        <f t="shared" si="59"/>
        <v>0</v>
      </c>
      <c r="AP67" s="314">
        <f t="shared" si="59"/>
        <v>0</v>
      </c>
      <c r="AQ67" s="314">
        <f t="shared" si="59"/>
        <v>0</v>
      </c>
      <c r="AR67" s="315">
        <f t="shared" si="57"/>
        <v>0</v>
      </c>
      <c r="AS67" s="2506"/>
      <c r="AU67" s="2507"/>
      <c r="AW67" s="274" t="str">
        <f>IF(F67="","X",F67)</f>
        <v>DE</v>
      </c>
      <c r="AX67" s="274" t="str">
        <f t="shared" ca="1" si="58"/>
        <v/>
      </c>
    </row>
    <row r="68" spans="1:50" s="274" customFormat="1" ht="18" hidden="1" customHeight="1">
      <c r="A68" s="2499"/>
      <c r="B68" s="2502"/>
      <c r="C68" s="311"/>
      <c r="D68" s="317" t="s">
        <v>1194</v>
      </c>
      <c r="E68" s="2508">
        <f>$D$159</f>
        <v>1</v>
      </c>
      <c r="F68" s="318" t="s">
        <v>1192</v>
      </c>
      <c r="G68" s="318" t="str">
        <f>D68&amp;" | "&amp;F68</f>
        <v>CONCEDENTE | ND</v>
      </c>
      <c r="H68" s="319">
        <f t="shared" ref="H68:AQ68" si="60">IF($D66=0,0,IF(H66=0,0,($E68*$D66*H66)+$AU$163))</f>
        <v>0</v>
      </c>
      <c r="I68" s="319">
        <f t="shared" si="60"/>
        <v>0</v>
      </c>
      <c r="J68" s="319">
        <f t="shared" si="60"/>
        <v>0</v>
      </c>
      <c r="K68" s="319">
        <f t="shared" si="60"/>
        <v>0</v>
      </c>
      <c r="L68" s="319">
        <f t="shared" si="60"/>
        <v>0</v>
      </c>
      <c r="M68" s="319">
        <f t="shared" si="60"/>
        <v>0</v>
      </c>
      <c r="N68" s="319">
        <f t="shared" si="60"/>
        <v>0</v>
      </c>
      <c r="O68" s="319">
        <f t="shared" si="60"/>
        <v>0</v>
      </c>
      <c r="P68" s="319">
        <f t="shared" si="60"/>
        <v>0</v>
      </c>
      <c r="Q68" s="319">
        <f t="shared" si="60"/>
        <v>0</v>
      </c>
      <c r="R68" s="319">
        <f t="shared" si="60"/>
        <v>0</v>
      </c>
      <c r="S68" s="319">
        <f t="shared" si="60"/>
        <v>0</v>
      </c>
      <c r="T68" s="319">
        <f t="shared" si="60"/>
        <v>0</v>
      </c>
      <c r="U68" s="319">
        <f t="shared" si="60"/>
        <v>0</v>
      </c>
      <c r="V68" s="319">
        <f t="shared" si="60"/>
        <v>0</v>
      </c>
      <c r="W68" s="319">
        <f t="shared" si="60"/>
        <v>0</v>
      </c>
      <c r="X68" s="319">
        <f t="shared" si="60"/>
        <v>0</v>
      </c>
      <c r="Y68" s="319">
        <f t="shared" si="60"/>
        <v>0</v>
      </c>
      <c r="Z68" s="319">
        <f t="shared" si="60"/>
        <v>0</v>
      </c>
      <c r="AA68" s="319">
        <f t="shared" si="60"/>
        <v>0</v>
      </c>
      <c r="AB68" s="319">
        <f t="shared" si="60"/>
        <v>0</v>
      </c>
      <c r="AC68" s="319">
        <f t="shared" si="60"/>
        <v>0</v>
      </c>
      <c r="AD68" s="319">
        <f t="shared" si="60"/>
        <v>0</v>
      </c>
      <c r="AE68" s="319">
        <f t="shared" si="60"/>
        <v>0</v>
      </c>
      <c r="AF68" s="319">
        <f t="shared" si="60"/>
        <v>0</v>
      </c>
      <c r="AG68" s="319">
        <f t="shared" si="60"/>
        <v>0</v>
      </c>
      <c r="AH68" s="319">
        <f t="shared" si="60"/>
        <v>0</v>
      </c>
      <c r="AI68" s="319">
        <f t="shared" si="60"/>
        <v>0</v>
      </c>
      <c r="AJ68" s="319">
        <f t="shared" si="60"/>
        <v>0</v>
      </c>
      <c r="AK68" s="319">
        <f t="shared" si="60"/>
        <v>0</v>
      </c>
      <c r="AL68" s="319">
        <f t="shared" si="60"/>
        <v>0</v>
      </c>
      <c r="AM68" s="319">
        <f t="shared" si="60"/>
        <v>0</v>
      </c>
      <c r="AN68" s="319">
        <f t="shared" si="60"/>
        <v>0</v>
      </c>
      <c r="AO68" s="319">
        <f t="shared" si="60"/>
        <v>0</v>
      </c>
      <c r="AP68" s="319">
        <f t="shared" si="60"/>
        <v>0</v>
      </c>
      <c r="AQ68" s="319">
        <f t="shared" si="60"/>
        <v>0</v>
      </c>
      <c r="AR68" s="320">
        <f t="shared" si="57"/>
        <v>0</v>
      </c>
      <c r="AS68" s="321">
        <f>TRUNC(AR68-D66*E68,2)</f>
        <v>0</v>
      </c>
      <c r="AT68" s="322" t="e">
        <f>+AR68/D66</f>
        <v>#DIV/0!</v>
      </c>
      <c r="AW68" s="274" t="str">
        <f>IF(F68="","X",IF(AND(E68&gt;0),F68,"-"))</f>
        <v>ND</v>
      </c>
      <c r="AX68" s="274" t="str">
        <f t="shared" ca="1" si="58"/>
        <v/>
      </c>
    </row>
    <row r="69" spans="1:50" s="274" customFormat="1" ht="18" hidden="1" customHeight="1">
      <c r="A69" s="2499"/>
      <c r="B69" s="2502"/>
      <c r="C69" s="311"/>
      <c r="D69" s="317" t="s">
        <v>1194</v>
      </c>
      <c r="E69" s="2509"/>
      <c r="F69" s="323" t="s">
        <v>1193</v>
      </c>
      <c r="G69" s="323" t="str">
        <f>D69&amp;" | "&amp;F69</f>
        <v>CONCEDENTE | DE</v>
      </c>
      <c r="H69" s="319">
        <f t="shared" ref="H69:AQ69" si="61">IF($D67=0,0,IF(H67=0,0,($E68*$D67*H67)+$AU$163))</f>
        <v>0</v>
      </c>
      <c r="I69" s="319">
        <f t="shared" si="61"/>
        <v>0</v>
      </c>
      <c r="J69" s="319">
        <f t="shared" si="61"/>
        <v>0</v>
      </c>
      <c r="K69" s="319">
        <f t="shared" si="61"/>
        <v>0</v>
      </c>
      <c r="L69" s="319">
        <f t="shared" si="61"/>
        <v>0</v>
      </c>
      <c r="M69" s="319">
        <f t="shared" si="61"/>
        <v>0</v>
      </c>
      <c r="N69" s="319">
        <f t="shared" si="61"/>
        <v>0</v>
      </c>
      <c r="O69" s="319">
        <f t="shared" si="61"/>
        <v>0</v>
      </c>
      <c r="P69" s="319">
        <f t="shared" si="61"/>
        <v>0</v>
      </c>
      <c r="Q69" s="319">
        <f t="shared" si="61"/>
        <v>0</v>
      </c>
      <c r="R69" s="319">
        <f t="shared" si="61"/>
        <v>0</v>
      </c>
      <c r="S69" s="319">
        <f t="shared" si="61"/>
        <v>0</v>
      </c>
      <c r="T69" s="319">
        <f t="shared" si="61"/>
        <v>0</v>
      </c>
      <c r="U69" s="319">
        <f t="shared" si="61"/>
        <v>0</v>
      </c>
      <c r="V69" s="319">
        <f t="shared" si="61"/>
        <v>0</v>
      </c>
      <c r="W69" s="319">
        <f t="shared" si="61"/>
        <v>0</v>
      </c>
      <c r="X69" s="319">
        <f t="shared" si="61"/>
        <v>0</v>
      </c>
      <c r="Y69" s="319">
        <f t="shared" si="61"/>
        <v>0</v>
      </c>
      <c r="Z69" s="319">
        <f t="shared" si="61"/>
        <v>0</v>
      </c>
      <c r="AA69" s="319">
        <f t="shared" si="61"/>
        <v>0</v>
      </c>
      <c r="AB69" s="319">
        <f t="shared" si="61"/>
        <v>0</v>
      </c>
      <c r="AC69" s="319">
        <f t="shared" si="61"/>
        <v>0</v>
      </c>
      <c r="AD69" s="319">
        <f t="shared" si="61"/>
        <v>0</v>
      </c>
      <c r="AE69" s="319">
        <f t="shared" si="61"/>
        <v>0</v>
      </c>
      <c r="AF69" s="319">
        <f t="shared" si="61"/>
        <v>0</v>
      </c>
      <c r="AG69" s="319">
        <f t="shared" si="61"/>
        <v>0</v>
      </c>
      <c r="AH69" s="319">
        <f t="shared" si="61"/>
        <v>0</v>
      </c>
      <c r="AI69" s="319">
        <f t="shared" si="61"/>
        <v>0</v>
      </c>
      <c r="AJ69" s="319">
        <f t="shared" si="61"/>
        <v>0</v>
      </c>
      <c r="AK69" s="319">
        <f t="shared" si="61"/>
        <v>0</v>
      </c>
      <c r="AL69" s="319">
        <f t="shared" si="61"/>
        <v>0</v>
      </c>
      <c r="AM69" s="319">
        <f t="shared" si="61"/>
        <v>0</v>
      </c>
      <c r="AN69" s="319">
        <f t="shared" si="61"/>
        <v>0</v>
      </c>
      <c r="AO69" s="319">
        <f t="shared" si="61"/>
        <v>0</v>
      </c>
      <c r="AP69" s="319">
        <f t="shared" si="61"/>
        <v>0</v>
      </c>
      <c r="AQ69" s="319">
        <f t="shared" si="61"/>
        <v>0</v>
      </c>
      <c r="AR69" s="320">
        <f t="shared" si="57"/>
        <v>0</v>
      </c>
      <c r="AS69" s="321">
        <f>TRUNC(AR69-D67*E68,2)</f>
        <v>0</v>
      </c>
      <c r="AT69" s="322" t="e">
        <f>+AR69/D67</f>
        <v>#DIV/0!</v>
      </c>
      <c r="AW69" s="274" t="str">
        <f>IF(F69="","X",IF(AND(E68&gt;0),F69,"-"))</f>
        <v>DE</v>
      </c>
      <c r="AX69" s="274" t="str">
        <f t="shared" ca="1" si="58"/>
        <v/>
      </c>
    </row>
    <row r="70" spans="1:50" s="274" customFormat="1" ht="18" hidden="1" customHeight="1" thickBot="1">
      <c r="A70" s="2499"/>
      <c r="B70" s="2502"/>
      <c r="C70" s="324"/>
      <c r="D70" s="325" t="s">
        <v>1195</v>
      </c>
      <c r="E70" s="2510">
        <f>1-E68</f>
        <v>0</v>
      </c>
      <c r="F70" s="326" t="s">
        <v>1192</v>
      </c>
      <c r="G70" s="326" t="str">
        <f>D70&amp;" | "&amp;F70</f>
        <v>PROPONENTE | ND</v>
      </c>
      <c r="H70" s="327">
        <f>($D66*H66-H68)</f>
        <v>0</v>
      </c>
      <c r="I70" s="327">
        <f t="shared" ref="I70:AQ71" si="62">($D66*I66-I68)</f>
        <v>0</v>
      </c>
      <c r="J70" s="327">
        <f t="shared" si="62"/>
        <v>0</v>
      </c>
      <c r="K70" s="327">
        <f t="shared" si="62"/>
        <v>0</v>
      </c>
      <c r="L70" s="327">
        <f t="shared" si="62"/>
        <v>0</v>
      </c>
      <c r="M70" s="327">
        <f t="shared" si="62"/>
        <v>0</v>
      </c>
      <c r="N70" s="327">
        <f t="shared" si="62"/>
        <v>0</v>
      </c>
      <c r="O70" s="327">
        <f t="shared" si="62"/>
        <v>0</v>
      </c>
      <c r="P70" s="327">
        <f t="shared" si="62"/>
        <v>0</v>
      </c>
      <c r="Q70" s="327">
        <f t="shared" si="62"/>
        <v>0</v>
      </c>
      <c r="R70" s="327">
        <f t="shared" si="62"/>
        <v>0</v>
      </c>
      <c r="S70" s="327">
        <f t="shared" si="62"/>
        <v>0</v>
      </c>
      <c r="T70" s="327">
        <f t="shared" si="62"/>
        <v>0</v>
      </c>
      <c r="U70" s="327">
        <f t="shared" si="62"/>
        <v>0</v>
      </c>
      <c r="V70" s="327">
        <f t="shared" si="62"/>
        <v>0</v>
      </c>
      <c r="W70" s="327">
        <f t="shared" si="62"/>
        <v>0</v>
      </c>
      <c r="X70" s="327">
        <f t="shared" si="62"/>
        <v>0</v>
      </c>
      <c r="Y70" s="327">
        <f t="shared" si="62"/>
        <v>0</v>
      </c>
      <c r="Z70" s="327">
        <f t="shared" si="62"/>
        <v>0</v>
      </c>
      <c r="AA70" s="327">
        <f t="shared" si="62"/>
        <v>0</v>
      </c>
      <c r="AB70" s="327">
        <f t="shared" si="62"/>
        <v>0</v>
      </c>
      <c r="AC70" s="327">
        <f t="shared" si="62"/>
        <v>0</v>
      </c>
      <c r="AD70" s="327">
        <f t="shared" si="62"/>
        <v>0</v>
      </c>
      <c r="AE70" s="327">
        <f t="shared" si="62"/>
        <v>0</v>
      </c>
      <c r="AF70" s="327">
        <f t="shared" si="62"/>
        <v>0</v>
      </c>
      <c r="AG70" s="327">
        <f t="shared" si="62"/>
        <v>0</v>
      </c>
      <c r="AH70" s="327">
        <f t="shared" si="62"/>
        <v>0</v>
      </c>
      <c r="AI70" s="327">
        <f t="shared" si="62"/>
        <v>0</v>
      </c>
      <c r="AJ70" s="327">
        <f t="shared" si="62"/>
        <v>0</v>
      </c>
      <c r="AK70" s="327">
        <f t="shared" si="62"/>
        <v>0</v>
      </c>
      <c r="AL70" s="327">
        <f t="shared" si="62"/>
        <v>0</v>
      </c>
      <c r="AM70" s="327">
        <f t="shared" si="62"/>
        <v>0</v>
      </c>
      <c r="AN70" s="327">
        <f t="shared" si="62"/>
        <v>0</v>
      </c>
      <c r="AO70" s="327">
        <f t="shared" si="62"/>
        <v>0</v>
      </c>
      <c r="AP70" s="327">
        <f t="shared" si="62"/>
        <v>0</v>
      </c>
      <c r="AQ70" s="327">
        <f t="shared" si="62"/>
        <v>0</v>
      </c>
      <c r="AR70" s="328">
        <f t="shared" si="57"/>
        <v>0</v>
      </c>
      <c r="AS70" s="321">
        <f>+D66-AR68-AR70</f>
        <v>0</v>
      </c>
      <c r="AW70" s="274" t="str">
        <f>IF(F70="","X",IF(AND(E70&gt;0),F70,"-"))</f>
        <v>-</v>
      </c>
      <c r="AX70" s="274" t="str">
        <f t="shared" ca="1" si="58"/>
        <v/>
      </c>
    </row>
    <row r="71" spans="1:50" s="274" customFormat="1" ht="18" hidden="1" customHeight="1" thickBot="1">
      <c r="A71" s="2500"/>
      <c r="B71" s="2503"/>
      <c r="C71" s="324"/>
      <c r="D71" s="325" t="s">
        <v>1195</v>
      </c>
      <c r="E71" s="2511"/>
      <c r="F71" s="329" t="s">
        <v>1193</v>
      </c>
      <c r="G71" s="329" t="str">
        <f>D71&amp;" | "&amp;F71</f>
        <v>PROPONENTE | DE</v>
      </c>
      <c r="H71" s="327">
        <f>($D67*H67-H69)</f>
        <v>0</v>
      </c>
      <c r="I71" s="327">
        <f t="shared" si="62"/>
        <v>0</v>
      </c>
      <c r="J71" s="327">
        <f t="shared" si="62"/>
        <v>0</v>
      </c>
      <c r="K71" s="327">
        <f t="shared" si="62"/>
        <v>0</v>
      </c>
      <c r="L71" s="327">
        <f t="shared" si="62"/>
        <v>0</v>
      </c>
      <c r="M71" s="327">
        <f t="shared" si="62"/>
        <v>0</v>
      </c>
      <c r="N71" s="327">
        <f t="shared" si="62"/>
        <v>0</v>
      </c>
      <c r="O71" s="327">
        <f t="shared" si="62"/>
        <v>0</v>
      </c>
      <c r="P71" s="327">
        <f t="shared" si="62"/>
        <v>0</v>
      </c>
      <c r="Q71" s="327">
        <f t="shared" si="62"/>
        <v>0</v>
      </c>
      <c r="R71" s="327">
        <f t="shared" si="62"/>
        <v>0</v>
      </c>
      <c r="S71" s="327">
        <f t="shared" si="62"/>
        <v>0</v>
      </c>
      <c r="T71" s="327">
        <f t="shared" si="62"/>
        <v>0</v>
      </c>
      <c r="U71" s="327">
        <f t="shared" si="62"/>
        <v>0</v>
      </c>
      <c r="V71" s="327">
        <f t="shared" si="62"/>
        <v>0</v>
      </c>
      <c r="W71" s="327">
        <f t="shared" si="62"/>
        <v>0</v>
      </c>
      <c r="X71" s="327">
        <f t="shared" si="62"/>
        <v>0</v>
      </c>
      <c r="Y71" s="327">
        <f t="shared" si="62"/>
        <v>0</v>
      </c>
      <c r="Z71" s="327">
        <f t="shared" si="62"/>
        <v>0</v>
      </c>
      <c r="AA71" s="327">
        <f t="shared" si="62"/>
        <v>0</v>
      </c>
      <c r="AB71" s="327">
        <f t="shared" si="62"/>
        <v>0</v>
      </c>
      <c r="AC71" s="327">
        <f t="shared" si="62"/>
        <v>0</v>
      </c>
      <c r="AD71" s="327">
        <f t="shared" si="62"/>
        <v>0</v>
      </c>
      <c r="AE71" s="327">
        <f t="shared" si="62"/>
        <v>0</v>
      </c>
      <c r="AF71" s="327">
        <f t="shared" si="62"/>
        <v>0</v>
      </c>
      <c r="AG71" s="327">
        <f t="shared" si="62"/>
        <v>0</v>
      </c>
      <c r="AH71" s="327">
        <f t="shared" si="62"/>
        <v>0</v>
      </c>
      <c r="AI71" s="327">
        <f t="shared" si="62"/>
        <v>0</v>
      </c>
      <c r="AJ71" s="327">
        <f t="shared" si="62"/>
        <v>0</v>
      </c>
      <c r="AK71" s="327">
        <f t="shared" si="62"/>
        <v>0</v>
      </c>
      <c r="AL71" s="327">
        <f t="shared" si="62"/>
        <v>0</v>
      </c>
      <c r="AM71" s="327">
        <f t="shared" si="62"/>
        <v>0</v>
      </c>
      <c r="AN71" s="327">
        <f t="shared" si="62"/>
        <v>0</v>
      </c>
      <c r="AO71" s="327">
        <f t="shared" si="62"/>
        <v>0</v>
      </c>
      <c r="AP71" s="327">
        <f t="shared" si="62"/>
        <v>0</v>
      </c>
      <c r="AQ71" s="327">
        <f t="shared" si="62"/>
        <v>0</v>
      </c>
      <c r="AR71" s="328">
        <f t="shared" si="57"/>
        <v>0</v>
      </c>
      <c r="AS71" s="321">
        <f>+D67-AR69-AR71</f>
        <v>0</v>
      </c>
      <c r="AW71" s="274" t="str">
        <f>IF(F71="","X",IF(AND(E70&gt;0),F71,"-"))</f>
        <v>-</v>
      </c>
      <c r="AX71" s="274" t="str">
        <f t="shared" ca="1" si="58"/>
        <v/>
      </c>
    </row>
    <row r="72" spans="1:50" s="274" customFormat="1" ht="9.9499999999999993" customHeight="1">
      <c r="A72" s="2498">
        <f ca="1">Orcamento!B26</f>
        <v>2</v>
      </c>
      <c r="B72" s="2501" t="str">
        <f>Orcamento!D26</f>
        <v>RESTAURAÇÃO DO PAVIMENTO - RECUPERAÇÃO PRÉVIA DO PAVIMENTO</v>
      </c>
      <c r="C72" s="305"/>
      <c r="D72" s="306"/>
      <c r="E72" s="307"/>
      <c r="F72" s="307"/>
      <c r="G72" s="307"/>
      <c r="H72" s="308">
        <f t="shared" ref="H72:AQ72" si="63">H73</f>
        <v>0.08</v>
      </c>
      <c r="I72" s="308">
        <f t="shared" si="63"/>
        <v>0.09</v>
      </c>
      <c r="J72" s="308">
        <f t="shared" si="63"/>
        <v>0.08</v>
      </c>
      <c r="K72" s="308">
        <f t="shared" si="63"/>
        <v>0.09</v>
      </c>
      <c r="L72" s="308">
        <f t="shared" si="63"/>
        <v>0.08</v>
      </c>
      <c r="M72" s="308">
        <f t="shared" si="63"/>
        <v>0.09</v>
      </c>
      <c r="N72" s="308">
        <f t="shared" si="63"/>
        <v>0.08</v>
      </c>
      <c r="O72" s="308">
        <f t="shared" si="63"/>
        <v>0.09</v>
      </c>
      <c r="P72" s="308">
        <f t="shared" si="63"/>
        <v>0.08</v>
      </c>
      <c r="Q72" s="308">
        <f t="shared" si="63"/>
        <v>0.08</v>
      </c>
      <c r="R72" s="308">
        <f t="shared" si="63"/>
        <v>0.08</v>
      </c>
      <c r="S72" s="308">
        <f t="shared" si="63"/>
        <v>0.08</v>
      </c>
      <c r="T72" s="308">
        <f t="shared" si="63"/>
        <v>0</v>
      </c>
      <c r="U72" s="308">
        <f t="shared" si="63"/>
        <v>0</v>
      </c>
      <c r="V72" s="308">
        <f t="shared" si="63"/>
        <v>0</v>
      </c>
      <c r="W72" s="308">
        <f t="shared" si="63"/>
        <v>0</v>
      </c>
      <c r="X72" s="308">
        <f t="shared" si="63"/>
        <v>0</v>
      </c>
      <c r="Y72" s="308">
        <f t="shared" si="63"/>
        <v>0</v>
      </c>
      <c r="Z72" s="308">
        <f t="shared" si="63"/>
        <v>0</v>
      </c>
      <c r="AA72" s="308">
        <f t="shared" si="63"/>
        <v>0</v>
      </c>
      <c r="AB72" s="308">
        <f t="shared" si="63"/>
        <v>0</v>
      </c>
      <c r="AC72" s="308">
        <f t="shared" si="63"/>
        <v>0</v>
      </c>
      <c r="AD72" s="308">
        <f t="shared" si="63"/>
        <v>0</v>
      </c>
      <c r="AE72" s="308">
        <f t="shared" si="63"/>
        <v>0</v>
      </c>
      <c r="AF72" s="308">
        <f t="shared" si="63"/>
        <v>0</v>
      </c>
      <c r="AG72" s="308">
        <f t="shared" si="63"/>
        <v>0</v>
      </c>
      <c r="AH72" s="308">
        <f t="shared" si="63"/>
        <v>0</v>
      </c>
      <c r="AI72" s="308">
        <f t="shared" si="63"/>
        <v>0</v>
      </c>
      <c r="AJ72" s="308">
        <f t="shared" si="63"/>
        <v>0</v>
      </c>
      <c r="AK72" s="308">
        <f t="shared" si="63"/>
        <v>0</v>
      </c>
      <c r="AL72" s="308">
        <f t="shared" si="63"/>
        <v>0</v>
      </c>
      <c r="AM72" s="308">
        <f t="shared" si="63"/>
        <v>0</v>
      </c>
      <c r="AN72" s="308">
        <f t="shared" si="63"/>
        <v>0</v>
      </c>
      <c r="AO72" s="308">
        <f t="shared" si="63"/>
        <v>0</v>
      </c>
      <c r="AP72" s="308">
        <f t="shared" si="63"/>
        <v>0</v>
      </c>
      <c r="AQ72" s="308">
        <f t="shared" si="63"/>
        <v>0</v>
      </c>
      <c r="AR72" s="309"/>
      <c r="AS72" s="310">
        <f>+D74-AR76-AR78</f>
        <v>4.6566128730773926E-10</v>
      </c>
      <c r="AW72" s="274" t="str">
        <f>IF(F72="","X",F72)</f>
        <v>X</v>
      </c>
      <c r="AX72" s="274" t="str">
        <f ca="1">IF($A$72=0,"","X")</f>
        <v>X</v>
      </c>
    </row>
    <row r="73" spans="1:50" s="274" customFormat="1" ht="18" customHeight="1">
      <c r="A73" s="2499"/>
      <c r="B73" s="2502"/>
      <c r="C73" s="311" t="str">
        <f>CONCATENATE(Orcamento!K78," ",Orcamento!O78)</f>
        <v xml:space="preserve"> </v>
      </c>
      <c r="D73" s="2504">
        <f>Orcamento!S26</f>
        <v>2889957.2299999995</v>
      </c>
      <c r="E73" s="2505"/>
      <c r="F73" s="312" t="s">
        <v>1192</v>
      </c>
      <c r="G73" s="312"/>
      <c r="H73" s="313">
        <v>0.08</v>
      </c>
      <c r="I73" s="313">
        <v>0.09</v>
      </c>
      <c r="J73" s="313">
        <v>0.08</v>
      </c>
      <c r="K73" s="313">
        <v>0.09</v>
      </c>
      <c r="L73" s="313">
        <v>0.08</v>
      </c>
      <c r="M73" s="313">
        <v>0.09</v>
      </c>
      <c r="N73" s="313">
        <v>0.08</v>
      </c>
      <c r="O73" s="313">
        <v>0.09</v>
      </c>
      <c r="P73" s="313">
        <v>0.08</v>
      </c>
      <c r="Q73" s="313">
        <v>0.08</v>
      </c>
      <c r="R73" s="313">
        <v>0.08</v>
      </c>
      <c r="S73" s="313">
        <v>0.08</v>
      </c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  <c r="AF73" s="314"/>
      <c r="AG73" s="314"/>
      <c r="AH73" s="314"/>
      <c r="AI73" s="314"/>
      <c r="AJ73" s="314"/>
      <c r="AK73" s="314"/>
      <c r="AL73" s="314"/>
      <c r="AM73" s="314"/>
      <c r="AN73" s="314"/>
      <c r="AO73" s="314"/>
      <c r="AP73" s="314"/>
      <c r="AQ73" s="314"/>
      <c r="AR73" s="315">
        <f t="shared" ref="AR73:AR78" si="64">SUM(H73:AQ73)</f>
        <v>0.99999999999999978</v>
      </c>
      <c r="AS73" s="2506">
        <f>1-AR73</f>
        <v>0</v>
      </c>
      <c r="AU73" s="2507">
        <f>+COUNT(H73:AQ74)</f>
        <v>48</v>
      </c>
      <c r="AW73" s="274" t="str">
        <f>IF(F73="","X",F73)</f>
        <v>ND</v>
      </c>
      <c r="AX73" s="274" t="str">
        <f t="shared" ref="AX73:AX78" ca="1" si="65">IF($A$72=0,"","X")</f>
        <v>X</v>
      </c>
    </row>
    <row r="74" spans="1:50" s="274" customFormat="1" ht="18" hidden="1" customHeight="1">
      <c r="A74" s="2499"/>
      <c r="B74" s="2502"/>
      <c r="C74" s="311" t="str">
        <f ca="1">CONCATENATE(Orcamento!K79," ",Orcamento!O79)</f>
        <v xml:space="preserve"> SUB-TOTAL 0</v>
      </c>
      <c r="D74" s="2504">
        <f>Orcamento!T26</f>
        <v>2959263.83</v>
      </c>
      <c r="E74" s="2505"/>
      <c r="F74" s="316" t="s">
        <v>1193</v>
      </c>
      <c r="G74" s="316"/>
      <c r="H74" s="314">
        <f t="shared" ref="H74:AQ74" si="66">H73</f>
        <v>0.08</v>
      </c>
      <c r="I74" s="314">
        <f t="shared" si="66"/>
        <v>0.09</v>
      </c>
      <c r="J74" s="314">
        <f t="shared" si="66"/>
        <v>0.08</v>
      </c>
      <c r="K74" s="314">
        <f t="shared" si="66"/>
        <v>0.09</v>
      </c>
      <c r="L74" s="314">
        <f t="shared" si="66"/>
        <v>0.08</v>
      </c>
      <c r="M74" s="314">
        <f t="shared" si="66"/>
        <v>0.09</v>
      </c>
      <c r="N74" s="314">
        <f t="shared" si="66"/>
        <v>0.08</v>
      </c>
      <c r="O74" s="314">
        <f t="shared" si="66"/>
        <v>0.09</v>
      </c>
      <c r="P74" s="314">
        <f t="shared" si="66"/>
        <v>0.08</v>
      </c>
      <c r="Q74" s="314">
        <f t="shared" si="66"/>
        <v>0.08</v>
      </c>
      <c r="R74" s="314">
        <f t="shared" si="66"/>
        <v>0.08</v>
      </c>
      <c r="S74" s="314">
        <f t="shared" si="66"/>
        <v>0.08</v>
      </c>
      <c r="T74" s="314">
        <f t="shared" si="66"/>
        <v>0</v>
      </c>
      <c r="U74" s="314">
        <f t="shared" si="66"/>
        <v>0</v>
      </c>
      <c r="V74" s="314">
        <f t="shared" si="66"/>
        <v>0</v>
      </c>
      <c r="W74" s="314">
        <f t="shared" si="66"/>
        <v>0</v>
      </c>
      <c r="X74" s="314">
        <f t="shared" si="66"/>
        <v>0</v>
      </c>
      <c r="Y74" s="314">
        <f t="shared" si="66"/>
        <v>0</v>
      </c>
      <c r="Z74" s="314">
        <f t="shared" si="66"/>
        <v>0</v>
      </c>
      <c r="AA74" s="314">
        <f t="shared" si="66"/>
        <v>0</v>
      </c>
      <c r="AB74" s="314">
        <f t="shared" si="66"/>
        <v>0</v>
      </c>
      <c r="AC74" s="314">
        <f t="shared" si="66"/>
        <v>0</v>
      </c>
      <c r="AD74" s="314">
        <f t="shared" si="66"/>
        <v>0</v>
      </c>
      <c r="AE74" s="314">
        <f t="shared" si="66"/>
        <v>0</v>
      </c>
      <c r="AF74" s="314">
        <f t="shared" si="66"/>
        <v>0</v>
      </c>
      <c r="AG74" s="314">
        <f t="shared" si="66"/>
        <v>0</v>
      </c>
      <c r="AH74" s="314">
        <f t="shared" si="66"/>
        <v>0</v>
      </c>
      <c r="AI74" s="314">
        <f t="shared" si="66"/>
        <v>0</v>
      </c>
      <c r="AJ74" s="314">
        <f t="shared" si="66"/>
        <v>0</v>
      </c>
      <c r="AK74" s="314">
        <f t="shared" si="66"/>
        <v>0</v>
      </c>
      <c r="AL74" s="314">
        <f t="shared" si="66"/>
        <v>0</v>
      </c>
      <c r="AM74" s="314">
        <f t="shared" si="66"/>
        <v>0</v>
      </c>
      <c r="AN74" s="314">
        <f t="shared" si="66"/>
        <v>0</v>
      </c>
      <c r="AO74" s="314">
        <f t="shared" si="66"/>
        <v>0</v>
      </c>
      <c r="AP74" s="314">
        <f t="shared" si="66"/>
        <v>0</v>
      </c>
      <c r="AQ74" s="314">
        <f t="shared" si="66"/>
        <v>0</v>
      </c>
      <c r="AR74" s="315">
        <f t="shared" si="64"/>
        <v>0.99999999999999978</v>
      </c>
      <c r="AS74" s="2506"/>
      <c r="AU74" s="2507"/>
      <c r="AW74" s="274" t="str">
        <f>IF(F74="","X",F74)</f>
        <v>DE</v>
      </c>
      <c r="AX74" s="274" t="str">
        <f t="shared" ca="1" si="65"/>
        <v>X</v>
      </c>
    </row>
    <row r="75" spans="1:50" s="274" customFormat="1" ht="18" customHeight="1" thickBot="1">
      <c r="A75" s="2499"/>
      <c r="B75" s="2502"/>
      <c r="C75" s="311"/>
      <c r="D75" s="317" t="s">
        <v>1194</v>
      </c>
      <c r="E75" s="2508">
        <f>$D$159</f>
        <v>1</v>
      </c>
      <c r="F75" s="318" t="s">
        <v>1192</v>
      </c>
      <c r="G75" s="318" t="str">
        <f>D75&amp;" | "&amp;F75</f>
        <v>CONCEDENTE | ND</v>
      </c>
      <c r="H75" s="319">
        <f t="shared" ref="H75:AQ75" si="67">IF($D73=0,0,IF(H73=0,0,($E75*$D73*H73)+$AU$163))</f>
        <v>231196.57839999997</v>
      </c>
      <c r="I75" s="319">
        <f t="shared" si="67"/>
        <v>260096.15069999994</v>
      </c>
      <c r="J75" s="319">
        <f t="shared" si="67"/>
        <v>231196.57839999997</v>
      </c>
      <c r="K75" s="319">
        <f t="shared" si="67"/>
        <v>260096.15069999994</v>
      </c>
      <c r="L75" s="319">
        <f t="shared" si="67"/>
        <v>231196.57839999997</v>
      </c>
      <c r="M75" s="319">
        <f t="shared" si="67"/>
        <v>260096.15069999994</v>
      </c>
      <c r="N75" s="319">
        <f t="shared" si="67"/>
        <v>231196.57839999997</v>
      </c>
      <c r="O75" s="319">
        <f t="shared" si="67"/>
        <v>260096.15069999994</v>
      </c>
      <c r="P75" s="319">
        <f t="shared" si="67"/>
        <v>231196.57839999997</v>
      </c>
      <c r="Q75" s="319">
        <f t="shared" si="67"/>
        <v>231196.57839999997</v>
      </c>
      <c r="R75" s="319">
        <f t="shared" si="67"/>
        <v>231196.57839999997</v>
      </c>
      <c r="S75" s="319">
        <f t="shared" si="67"/>
        <v>231196.57839999997</v>
      </c>
      <c r="T75" s="319">
        <f t="shared" si="67"/>
        <v>0</v>
      </c>
      <c r="U75" s="319">
        <f t="shared" si="67"/>
        <v>0</v>
      </c>
      <c r="V75" s="319">
        <f t="shared" si="67"/>
        <v>0</v>
      </c>
      <c r="W75" s="319">
        <f t="shared" si="67"/>
        <v>0</v>
      </c>
      <c r="X75" s="319">
        <f t="shared" si="67"/>
        <v>0</v>
      </c>
      <c r="Y75" s="319">
        <f t="shared" si="67"/>
        <v>0</v>
      </c>
      <c r="Z75" s="319">
        <f t="shared" si="67"/>
        <v>0</v>
      </c>
      <c r="AA75" s="319">
        <f t="shared" si="67"/>
        <v>0</v>
      </c>
      <c r="AB75" s="319">
        <f t="shared" si="67"/>
        <v>0</v>
      </c>
      <c r="AC75" s="319">
        <f t="shared" si="67"/>
        <v>0</v>
      </c>
      <c r="AD75" s="319">
        <f t="shared" si="67"/>
        <v>0</v>
      </c>
      <c r="AE75" s="319">
        <f t="shared" si="67"/>
        <v>0</v>
      </c>
      <c r="AF75" s="319">
        <f t="shared" si="67"/>
        <v>0</v>
      </c>
      <c r="AG75" s="319">
        <f t="shared" si="67"/>
        <v>0</v>
      </c>
      <c r="AH75" s="319">
        <f t="shared" si="67"/>
        <v>0</v>
      </c>
      <c r="AI75" s="319">
        <f t="shared" si="67"/>
        <v>0</v>
      </c>
      <c r="AJ75" s="319">
        <f t="shared" si="67"/>
        <v>0</v>
      </c>
      <c r="AK75" s="319">
        <f t="shared" si="67"/>
        <v>0</v>
      </c>
      <c r="AL75" s="319">
        <f t="shared" si="67"/>
        <v>0</v>
      </c>
      <c r="AM75" s="319">
        <f t="shared" si="67"/>
        <v>0</v>
      </c>
      <c r="AN75" s="319">
        <f t="shared" si="67"/>
        <v>0</v>
      </c>
      <c r="AO75" s="319">
        <f t="shared" si="67"/>
        <v>0</v>
      </c>
      <c r="AP75" s="319">
        <f t="shared" si="67"/>
        <v>0</v>
      </c>
      <c r="AQ75" s="319">
        <f t="shared" si="67"/>
        <v>0</v>
      </c>
      <c r="AR75" s="320">
        <f t="shared" si="64"/>
        <v>2889957.2299999995</v>
      </c>
      <c r="AS75" s="321">
        <f>TRUNC(AR75-D73*E75,2)</f>
        <v>0</v>
      </c>
      <c r="AT75" s="322">
        <f>+AR75/D73</f>
        <v>1</v>
      </c>
      <c r="AW75" s="274" t="str">
        <f>IF(F75="","X",IF(AND(E75&gt;0),F75,"-"))</f>
        <v>ND</v>
      </c>
      <c r="AX75" s="274" t="str">
        <f t="shared" ca="1" si="65"/>
        <v>X</v>
      </c>
    </row>
    <row r="76" spans="1:50" s="274" customFormat="1" ht="18" hidden="1" customHeight="1">
      <c r="A76" s="2499"/>
      <c r="B76" s="2502"/>
      <c r="C76" s="311"/>
      <c r="D76" s="317" t="s">
        <v>1194</v>
      </c>
      <c r="E76" s="2509"/>
      <c r="F76" s="323" t="s">
        <v>1193</v>
      </c>
      <c r="G76" s="323" t="str">
        <f>D76&amp;" | "&amp;F76</f>
        <v>CONCEDENTE | DE</v>
      </c>
      <c r="H76" s="319">
        <f t="shared" ref="H76:AQ76" si="68">IF($D74=0,0,IF(H74=0,0,($E75*$D74*H74)+$AU$163))</f>
        <v>236741.10640000002</v>
      </c>
      <c r="I76" s="319">
        <f t="shared" si="68"/>
        <v>266333.74469999998</v>
      </c>
      <c r="J76" s="319">
        <f t="shared" si="68"/>
        <v>236741.10640000002</v>
      </c>
      <c r="K76" s="319">
        <f t="shared" si="68"/>
        <v>266333.74469999998</v>
      </c>
      <c r="L76" s="319">
        <f t="shared" si="68"/>
        <v>236741.10640000002</v>
      </c>
      <c r="M76" s="319">
        <f t="shared" si="68"/>
        <v>266333.74469999998</v>
      </c>
      <c r="N76" s="319">
        <f t="shared" si="68"/>
        <v>236741.10640000002</v>
      </c>
      <c r="O76" s="319">
        <f t="shared" si="68"/>
        <v>266333.74469999998</v>
      </c>
      <c r="P76" s="319">
        <f t="shared" si="68"/>
        <v>236741.10640000002</v>
      </c>
      <c r="Q76" s="319">
        <f t="shared" si="68"/>
        <v>236741.10640000002</v>
      </c>
      <c r="R76" s="319">
        <f t="shared" si="68"/>
        <v>236741.10640000002</v>
      </c>
      <c r="S76" s="319">
        <f t="shared" si="68"/>
        <v>236741.10640000002</v>
      </c>
      <c r="T76" s="319">
        <f t="shared" si="68"/>
        <v>0</v>
      </c>
      <c r="U76" s="319">
        <f t="shared" si="68"/>
        <v>0</v>
      </c>
      <c r="V76" s="319">
        <f t="shared" si="68"/>
        <v>0</v>
      </c>
      <c r="W76" s="319">
        <f t="shared" si="68"/>
        <v>0</v>
      </c>
      <c r="X76" s="319">
        <f t="shared" si="68"/>
        <v>0</v>
      </c>
      <c r="Y76" s="319">
        <f t="shared" si="68"/>
        <v>0</v>
      </c>
      <c r="Z76" s="319">
        <f t="shared" si="68"/>
        <v>0</v>
      </c>
      <c r="AA76" s="319">
        <f t="shared" si="68"/>
        <v>0</v>
      </c>
      <c r="AB76" s="319">
        <f t="shared" si="68"/>
        <v>0</v>
      </c>
      <c r="AC76" s="319">
        <f t="shared" si="68"/>
        <v>0</v>
      </c>
      <c r="AD76" s="319">
        <f t="shared" si="68"/>
        <v>0</v>
      </c>
      <c r="AE76" s="319">
        <f t="shared" si="68"/>
        <v>0</v>
      </c>
      <c r="AF76" s="319">
        <f t="shared" si="68"/>
        <v>0</v>
      </c>
      <c r="AG76" s="319">
        <f t="shared" si="68"/>
        <v>0</v>
      </c>
      <c r="AH76" s="319">
        <f t="shared" si="68"/>
        <v>0</v>
      </c>
      <c r="AI76" s="319">
        <f t="shared" si="68"/>
        <v>0</v>
      </c>
      <c r="AJ76" s="319">
        <f t="shared" si="68"/>
        <v>0</v>
      </c>
      <c r="AK76" s="319">
        <f t="shared" si="68"/>
        <v>0</v>
      </c>
      <c r="AL76" s="319">
        <f t="shared" si="68"/>
        <v>0</v>
      </c>
      <c r="AM76" s="319">
        <f t="shared" si="68"/>
        <v>0</v>
      </c>
      <c r="AN76" s="319">
        <f t="shared" si="68"/>
        <v>0</v>
      </c>
      <c r="AO76" s="319">
        <f t="shared" si="68"/>
        <v>0</v>
      </c>
      <c r="AP76" s="319">
        <f t="shared" si="68"/>
        <v>0</v>
      </c>
      <c r="AQ76" s="319">
        <f t="shared" si="68"/>
        <v>0</v>
      </c>
      <c r="AR76" s="320">
        <f t="shared" si="64"/>
        <v>2959263.8299999996</v>
      </c>
      <c r="AS76" s="321">
        <f>TRUNC(AR76-D74*E75,2)</f>
        <v>0</v>
      </c>
      <c r="AT76" s="322">
        <f>+AR76/D74</f>
        <v>0.99999999999999989</v>
      </c>
      <c r="AW76" s="274" t="str">
        <f>IF(F76="","X",IF(AND(E75&gt;0),F76,"-"))</f>
        <v>DE</v>
      </c>
      <c r="AX76" s="274" t="str">
        <f t="shared" ca="1" si="65"/>
        <v>X</v>
      </c>
    </row>
    <row r="77" spans="1:50" s="274" customFormat="1" ht="18" hidden="1" customHeight="1" thickBot="1">
      <c r="A77" s="2499"/>
      <c r="B77" s="2502"/>
      <c r="C77" s="324"/>
      <c r="D77" s="325" t="s">
        <v>1195</v>
      </c>
      <c r="E77" s="2510">
        <f>1-E75</f>
        <v>0</v>
      </c>
      <c r="F77" s="326" t="s">
        <v>1192</v>
      </c>
      <c r="G77" s="326" t="str">
        <f>D77&amp;" | "&amp;F77</f>
        <v>PROPONENTE | ND</v>
      </c>
      <c r="H77" s="327">
        <f>($D73*H73-H75)</f>
        <v>0</v>
      </c>
      <c r="I77" s="327">
        <f t="shared" ref="I77:AQ78" si="69">($D73*I73-I75)</f>
        <v>0</v>
      </c>
      <c r="J77" s="327">
        <f t="shared" si="69"/>
        <v>0</v>
      </c>
      <c r="K77" s="327">
        <f t="shared" si="69"/>
        <v>0</v>
      </c>
      <c r="L77" s="327">
        <f t="shared" si="69"/>
        <v>0</v>
      </c>
      <c r="M77" s="327">
        <f t="shared" si="69"/>
        <v>0</v>
      </c>
      <c r="N77" s="327">
        <f t="shared" si="69"/>
        <v>0</v>
      </c>
      <c r="O77" s="327">
        <f t="shared" si="69"/>
        <v>0</v>
      </c>
      <c r="P77" s="327">
        <f t="shared" si="69"/>
        <v>0</v>
      </c>
      <c r="Q77" s="327">
        <f t="shared" si="69"/>
        <v>0</v>
      </c>
      <c r="R77" s="327">
        <f t="shared" si="69"/>
        <v>0</v>
      </c>
      <c r="S77" s="327">
        <f t="shared" si="69"/>
        <v>0</v>
      </c>
      <c r="T77" s="327">
        <f t="shared" si="69"/>
        <v>0</v>
      </c>
      <c r="U77" s="327">
        <f t="shared" si="69"/>
        <v>0</v>
      </c>
      <c r="V77" s="327">
        <f t="shared" si="69"/>
        <v>0</v>
      </c>
      <c r="W77" s="327">
        <f t="shared" si="69"/>
        <v>0</v>
      </c>
      <c r="X77" s="327">
        <f t="shared" si="69"/>
        <v>0</v>
      </c>
      <c r="Y77" s="327">
        <f t="shared" si="69"/>
        <v>0</v>
      </c>
      <c r="Z77" s="327">
        <f t="shared" si="69"/>
        <v>0</v>
      </c>
      <c r="AA77" s="327">
        <f t="shared" si="69"/>
        <v>0</v>
      </c>
      <c r="AB77" s="327">
        <f t="shared" si="69"/>
        <v>0</v>
      </c>
      <c r="AC77" s="327">
        <f t="shared" si="69"/>
        <v>0</v>
      </c>
      <c r="AD77" s="327">
        <f t="shared" si="69"/>
        <v>0</v>
      </c>
      <c r="AE77" s="327">
        <f t="shared" si="69"/>
        <v>0</v>
      </c>
      <c r="AF77" s="327">
        <f t="shared" si="69"/>
        <v>0</v>
      </c>
      <c r="AG77" s="327">
        <f t="shared" si="69"/>
        <v>0</v>
      </c>
      <c r="AH77" s="327">
        <f t="shared" si="69"/>
        <v>0</v>
      </c>
      <c r="AI77" s="327">
        <f t="shared" si="69"/>
        <v>0</v>
      </c>
      <c r="AJ77" s="327">
        <f t="shared" si="69"/>
        <v>0</v>
      </c>
      <c r="AK77" s="327">
        <f t="shared" si="69"/>
        <v>0</v>
      </c>
      <c r="AL77" s="327">
        <f t="shared" si="69"/>
        <v>0</v>
      </c>
      <c r="AM77" s="327">
        <f t="shared" si="69"/>
        <v>0</v>
      </c>
      <c r="AN77" s="327">
        <f t="shared" si="69"/>
        <v>0</v>
      </c>
      <c r="AO77" s="327">
        <f t="shared" si="69"/>
        <v>0</v>
      </c>
      <c r="AP77" s="327">
        <f t="shared" si="69"/>
        <v>0</v>
      </c>
      <c r="AQ77" s="327">
        <f t="shared" si="69"/>
        <v>0</v>
      </c>
      <c r="AR77" s="328">
        <f t="shared" si="64"/>
        <v>0</v>
      </c>
      <c r="AS77" s="321">
        <f>+D73-AR75-AR77</f>
        <v>0</v>
      </c>
      <c r="AW77" s="274" t="str">
        <f>IF(F77="","X",IF(AND(E77&gt;0),F77,"-"))</f>
        <v>-</v>
      </c>
      <c r="AX77" s="274" t="str">
        <f t="shared" ca="1" si="65"/>
        <v>X</v>
      </c>
    </row>
    <row r="78" spans="1:50" s="274" customFormat="1" ht="18" hidden="1" customHeight="1" thickBot="1">
      <c r="A78" s="2500"/>
      <c r="B78" s="2503"/>
      <c r="C78" s="324"/>
      <c r="D78" s="325" t="s">
        <v>1195</v>
      </c>
      <c r="E78" s="2511"/>
      <c r="F78" s="329" t="s">
        <v>1193</v>
      </c>
      <c r="G78" s="329" t="str">
        <f>D78&amp;" | "&amp;F78</f>
        <v>PROPONENTE | DE</v>
      </c>
      <c r="H78" s="327">
        <f>($D74*H74-H76)</f>
        <v>0</v>
      </c>
      <c r="I78" s="327">
        <f t="shared" si="69"/>
        <v>0</v>
      </c>
      <c r="J78" s="327">
        <f t="shared" si="69"/>
        <v>0</v>
      </c>
      <c r="K78" s="327">
        <f t="shared" si="69"/>
        <v>0</v>
      </c>
      <c r="L78" s="327">
        <f t="shared" si="69"/>
        <v>0</v>
      </c>
      <c r="M78" s="327">
        <f t="shared" si="69"/>
        <v>0</v>
      </c>
      <c r="N78" s="327">
        <f t="shared" si="69"/>
        <v>0</v>
      </c>
      <c r="O78" s="327">
        <f t="shared" si="69"/>
        <v>0</v>
      </c>
      <c r="P78" s="327">
        <f t="shared" si="69"/>
        <v>0</v>
      </c>
      <c r="Q78" s="327">
        <f t="shared" si="69"/>
        <v>0</v>
      </c>
      <c r="R78" s="327">
        <f t="shared" si="69"/>
        <v>0</v>
      </c>
      <c r="S78" s="327">
        <f t="shared" si="69"/>
        <v>0</v>
      </c>
      <c r="T78" s="327">
        <f t="shared" si="69"/>
        <v>0</v>
      </c>
      <c r="U78" s="327">
        <f t="shared" si="69"/>
        <v>0</v>
      </c>
      <c r="V78" s="327">
        <f t="shared" si="69"/>
        <v>0</v>
      </c>
      <c r="W78" s="327">
        <f t="shared" si="69"/>
        <v>0</v>
      </c>
      <c r="X78" s="327">
        <f t="shared" si="69"/>
        <v>0</v>
      </c>
      <c r="Y78" s="327">
        <f t="shared" si="69"/>
        <v>0</v>
      </c>
      <c r="Z78" s="327">
        <f t="shared" si="69"/>
        <v>0</v>
      </c>
      <c r="AA78" s="327">
        <f t="shared" si="69"/>
        <v>0</v>
      </c>
      <c r="AB78" s="327">
        <f t="shared" si="69"/>
        <v>0</v>
      </c>
      <c r="AC78" s="327">
        <f t="shared" si="69"/>
        <v>0</v>
      </c>
      <c r="AD78" s="327">
        <f t="shared" si="69"/>
        <v>0</v>
      </c>
      <c r="AE78" s="327">
        <f t="shared" si="69"/>
        <v>0</v>
      </c>
      <c r="AF78" s="327">
        <f t="shared" si="69"/>
        <v>0</v>
      </c>
      <c r="AG78" s="327">
        <f t="shared" si="69"/>
        <v>0</v>
      </c>
      <c r="AH78" s="327">
        <f t="shared" si="69"/>
        <v>0</v>
      </c>
      <c r="AI78" s="327">
        <f t="shared" si="69"/>
        <v>0</v>
      </c>
      <c r="AJ78" s="327">
        <f t="shared" si="69"/>
        <v>0</v>
      </c>
      <c r="AK78" s="327">
        <f t="shared" si="69"/>
        <v>0</v>
      </c>
      <c r="AL78" s="327">
        <f t="shared" si="69"/>
        <v>0</v>
      </c>
      <c r="AM78" s="327">
        <f t="shared" si="69"/>
        <v>0</v>
      </c>
      <c r="AN78" s="327">
        <f t="shared" si="69"/>
        <v>0</v>
      </c>
      <c r="AO78" s="327">
        <f t="shared" si="69"/>
        <v>0</v>
      </c>
      <c r="AP78" s="327">
        <f t="shared" si="69"/>
        <v>0</v>
      </c>
      <c r="AQ78" s="327">
        <f t="shared" si="69"/>
        <v>0</v>
      </c>
      <c r="AR78" s="328">
        <f t="shared" si="64"/>
        <v>0</v>
      </c>
      <c r="AS78" s="321">
        <f>+D74-AR76-AR78</f>
        <v>4.6566128730773926E-10</v>
      </c>
      <c r="AW78" s="274" t="str">
        <f>IF(F78="","X",IF(AND(E77&gt;0),F78,"-"))</f>
        <v>-</v>
      </c>
      <c r="AX78" s="274" t="str">
        <f t="shared" ca="1" si="65"/>
        <v>X</v>
      </c>
    </row>
    <row r="79" spans="1:50" s="274" customFormat="1" ht="9.9499999999999993" hidden="1" customHeight="1">
      <c r="A79" s="2498">
        <f ca="1">Orcamento!B27</f>
        <v>0</v>
      </c>
      <c r="B79" s="2501" t="str">
        <f>Orcamento!D27</f>
        <v>RESTAURAÇÃO DO PAVIMENTO - RECAPEAMENTO ASFÁLTICO</v>
      </c>
      <c r="C79" s="305"/>
      <c r="D79" s="306"/>
      <c r="E79" s="307"/>
      <c r="F79" s="307"/>
      <c r="G79" s="307"/>
      <c r="H79" s="308">
        <f t="shared" ref="H79:AQ79" si="70">H80</f>
        <v>0</v>
      </c>
      <c r="I79" s="308">
        <f t="shared" si="70"/>
        <v>0</v>
      </c>
      <c r="J79" s="308">
        <f t="shared" si="70"/>
        <v>0</v>
      </c>
      <c r="K79" s="308">
        <f t="shared" si="70"/>
        <v>0</v>
      </c>
      <c r="L79" s="308">
        <f t="shared" si="70"/>
        <v>0</v>
      </c>
      <c r="M79" s="308">
        <f t="shared" si="70"/>
        <v>0</v>
      </c>
      <c r="N79" s="308">
        <f t="shared" si="70"/>
        <v>0</v>
      </c>
      <c r="O79" s="308">
        <f t="shared" si="70"/>
        <v>0</v>
      </c>
      <c r="P79" s="308">
        <f t="shared" si="70"/>
        <v>0</v>
      </c>
      <c r="Q79" s="308">
        <f t="shared" si="70"/>
        <v>0</v>
      </c>
      <c r="R79" s="308">
        <f t="shared" si="70"/>
        <v>0</v>
      </c>
      <c r="S79" s="308">
        <f t="shared" si="70"/>
        <v>0</v>
      </c>
      <c r="T79" s="308">
        <f t="shared" si="70"/>
        <v>0</v>
      </c>
      <c r="U79" s="308">
        <f t="shared" si="70"/>
        <v>0</v>
      </c>
      <c r="V79" s="308">
        <f t="shared" si="70"/>
        <v>0</v>
      </c>
      <c r="W79" s="308">
        <f t="shared" si="70"/>
        <v>0</v>
      </c>
      <c r="X79" s="308">
        <f t="shared" si="70"/>
        <v>0</v>
      </c>
      <c r="Y79" s="308">
        <f t="shared" si="70"/>
        <v>0</v>
      </c>
      <c r="Z79" s="308">
        <f t="shared" si="70"/>
        <v>0</v>
      </c>
      <c r="AA79" s="308">
        <f t="shared" si="70"/>
        <v>0</v>
      </c>
      <c r="AB79" s="308">
        <f t="shared" si="70"/>
        <v>0</v>
      </c>
      <c r="AC79" s="308">
        <f t="shared" si="70"/>
        <v>0</v>
      </c>
      <c r="AD79" s="308">
        <f t="shared" si="70"/>
        <v>0</v>
      </c>
      <c r="AE79" s="308">
        <f t="shared" si="70"/>
        <v>0</v>
      </c>
      <c r="AF79" s="308">
        <f t="shared" si="70"/>
        <v>0</v>
      </c>
      <c r="AG79" s="308">
        <f t="shared" si="70"/>
        <v>0</v>
      </c>
      <c r="AH79" s="308">
        <f t="shared" si="70"/>
        <v>0</v>
      </c>
      <c r="AI79" s="308">
        <f t="shared" si="70"/>
        <v>0</v>
      </c>
      <c r="AJ79" s="308">
        <f t="shared" si="70"/>
        <v>0</v>
      </c>
      <c r="AK79" s="308">
        <f t="shared" si="70"/>
        <v>0</v>
      </c>
      <c r="AL79" s="308">
        <f t="shared" si="70"/>
        <v>0</v>
      </c>
      <c r="AM79" s="308">
        <f t="shared" si="70"/>
        <v>0</v>
      </c>
      <c r="AN79" s="308">
        <f t="shared" si="70"/>
        <v>0</v>
      </c>
      <c r="AO79" s="308">
        <f t="shared" si="70"/>
        <v>0</v>
      </c>
      <c r="AP79" s="308">
        <f t="shared" si="70"/>
        <v>0</v>
      </c>
      <c r="AQ79" s="308">
        <f t="shared" si="70"/>
        <v>0</v>
      </c>
      <c r="AR79" s="309"/>
      <c r="AS79" s="310">
        <f>+D81-AR83-AR85</f>
        <v>0</v>
      </c>
      <c r="AW79" s="274" t="str">
        <f>IF(F79="","X",F79)</f>
        <v>X</v>
      </c>
      <c r="AX79" s="274" t="str">
        <f ca="1">IF($A$79=0,"","X")</f>
        <v/>
      </c>
    </row>
    <row r="80" spans="1:50" s="274" customFormat="1" ht="18" hidden="1" customHeight="1">
      <c r="A80" s="2499"/>
      <c r="B80" s="2502"/>
      <c r="C80" s="311" t="str">
        <f>CONCATENATE(Orcamento!K85," ",Orcamento!O85)</f>
        <v>0 109,22</v>
      </c>
      <c r="D80" s="2504">
        <f>Orcamento!S27</f>
        <v>0</v>
      </c>
      <c r="E80" s="2505"/>
      <c r="F80" s="312" t="s">
        <v>1192</v>
      </c>
      <c r="G80" s="312"/>
      <c r="H80" s="314"/>
      <c r="I80" s="314"/>
      <c r="J80" s="314"/>
      <c r="K80" s="314"/>
      <c r="L80" s="314"/>
      <c r="M80" s="314"/>
      <c r="N80" s="314"/>
      <c r="O80" s="314"/>
      <c r="P80" s="314"/>
      <c r="Q80" s="314"/>
      <c r="R80" s="314"/>
      <c r="S80" s="314"/>
      <c r="T80" s="314"/>
      <c r="U80" s="314"/>
      <c r="V80" s="314"/>
      <c r="W80" s="314"/>
      <c r="X80" s="314"/>
      <c r="Y80" s="314"/>
      <c r="Z80" s="314"/>
      <c r="AA80" s="314"/>
      <c r="AB80" s="314"/>
      <c r="AC80" s="314"/>
      <c r="AD80" s="314"/>
      <c r="AE80" s="314"/>
      <c r="AF80" s="314"/>
      <c r="AG80" s="314"/>
      <c r="AH80" s="314"/>
      <c r="AI80" s="314"/>
      <c r="AJ80" s="314"/>
      <c r="AK80" s="314"/>
      <c r="AL80" s="314"/>
      <c r="AM80" s="314"/>
      <c r="AN80" s="314"/>
      <c r="AO80" s="314"/>
      <c r="AP80" s="314"/>
      <c r="AQ80" s="314"/>
      <c r="AR80" s="315">
        <f t="shared" ref="AR80:AR85" si="71">SUM(H80:AQ80)</f>
        <v>0</v>
      </c>
      <c r="AS80" s="2506">
        <f>1-AR80</f>
        <v>1</v>
      </c>
      <c r="AU80" s="2507">
        <f>+COUNT(H80:AQ81)</f>
        <v>36</v>
      </c>
      <c r="AW80" s="274" t="str">
        <f>IF(F80="","X",F80)</f>
        <v>ND</v>
      </c>
      <c r="AX80" s="274" t="str">
        <f t="shared" ref="AX80:AX85" ca="1" si="72">IF($A$79=0,"","X")</f>
        <v/>
      </c>
    </row>
    <row r="81" spans="1:50" s="274" customFormat="1" ht="18" hidden="1" customHeight="1">
      <c r="A81" s="2499"/>
      <c r="B81" s="2502"/>
      <c r="C81" s="311" t="str">
        <f>CONCATENATE(Orcamento!K86," ",Orcamento!O86)</f>
        <v>0 14,32</v>
      </c>
      <c r="D81" s="2504">
        <f>Orcamento!T27</f>
        <v>0</v>
      </c>
      <c r="E81" s="2505"/>
      <c r="F81" s="316" t="s">
        <v>1193</v>
      </c>
      <c r="G81" s="316"/>
      <c r="H81" s="314">
        <f t="shared" ref="H81:AQ81" si="73">H80</f>
        <v>0</v>
      </c>
      <c r="I81" s="314">
        <f t="shared" si="73"/>
        <v>0</v>
      </c>
      <c r="J81" s="314">
        <f t="shared" si="73"/>
        <v>0</v>
      </c>
      <c r="K81" s="314">
        <f t="shared" si="73"/>
        <v>0</v>
      </c>
      <c r="L81" s="314">
        <f t="shared" si="73"/>
        <v>0</v>
      </c>
      <c r="M81" s="314">
        <f t="shared" si="73"/>
        <v>0</v>
      </c>
      <c r="N81" s="314">
        <f t="shared" si="73"/>
        <v>0</v>
      </c>
      <c r="O81" s="314">
        <f t="shared" si="73"/>
        <v>0</v>
      </c>
      <c r="P81" s="314">
        <f t="shared" si="73"/>
        <v>0</v>
      </c>
      <c r="Q81" s="314">
        <f t="shared" si="73"/>
        <v>0</v>
      </c>
      <c r="R81" s="314">
        <f t="shared" si="73"/>
        <v>0</v>
      </c>
      <c r="S81" s="314">
        <f t="shared" si="73"/>
        <v>0</v>
      </c>
      <c r="T81" s="314">
        <f t="shared" si="73"/>
        <v>0</v>
      </c>
      <c r="U81" s="314">
        <f t="shared" si="73"/>
        <v>0</v>
      </c>
      <c r="V81" s="314">
        <f t="shared" si="73"/>
        <v>0</v>
      </c>
      <c r="W81" s="314">
        <f t="shared" si="73"/>
        <v>0</v>
      </c>
      <c r="X81" s="314">
        <f t="shared" si="73"/>
        <v>0</v>
      </c>
      <c r="Y81" s="314">
        <f t="shared" si="73"/>
        <v>0</v>
      </c>
      <c r="Z81" s="314">
        <f t="shared" si="73"/>
        <v>0</v>
      </c>
      <c r="AA81" s="314">
        <f t="shared" si="73"/>
        <v>0</v>
      </c>
      <c r="AB81" s="314">
        <f t="shared" si="73"/>
        <v>0</v>
      </c>
      <c r="AC81" s="314">
        <f t="shared" si="73"/>
        <v>0</v>
      </c>
      <c r="AD81" s="314">
        <f t="shared" si="73"/>
        <v>0</v>
      </c>
      <c r="AE81" s="314">
        <f t="shared" si="73"/>
        <v>0</v>
      </c>
      <c r="AF81" s="314">
        <f t="shared" si="73"/>
        <v>0</v>
      </c>
      <c r="AG81" s="314">
        <f t="shared" si="73"/>
        <v>0</v>
      </c>
      <c r="AH81" s="314">
        <f t="shared" si="73"/>
        <v>0</v>
      </c>
      <c r="AI81" s="314">
        <f t="shared" si="73"/>
        <v>0</v>
      </c>
      <c r="AJ81" s="314">
        <f t="shared" si="73"/>
        <v>0</v>
      </c>
      <c r="AK81" s="314">
        <f t="shared" si="73"/>
        <v>0</v>
      </c>
      <c r="AL81" s="314">
        <f t="shared" si="73"/>
        <v>0</v>
      </c>
      <c r="AM81" s="314">
        <f t="shared" si="73"/>
        <v>0</v>
      </c>
      <c r="AN81" s="314">
        <f t="shared" si="73"/>
        <v>0</v>
      </c>
      <c r="AO81" s="314">
        <f t="shared" si="73"/>
        <v>0</v>
      </c>
      <c r="AP81" s="314">
        <f t="shared" si="73"/>
        <v>0</v>
      </c>
      <c r="AQ81" s="314">
        <f t="shared" si="73"/>
        <v>0</v>
      </c>
      <c r="AR81" s="315">
        <f t="shared" si="71"/>
        <v>0</v>
      </c>
      <c r="AS81" s="2506"/>
      <c r="AU81" s="2507"/>
      <c r="AW81" s="274" t="str">
        <f>IF(F81="","X",F81)</f>
        <v>DE</v>
      </c>
      <c r="AX81" s="274" t="str">
        <f t="shared" ca="1" si="72"/>
        <v/>
      </c>
    </row>
    <row r="82" spans="1:50" s="274" customFormat="1" ht="18" hidden="1" customHeight="1">
      <c r="A82" s="2499"/>
      <c r="B82" s="2502"/>
      <c r="C82" s="311"/>
      <c r="D82" s="317" t="s">
        <v>1194</v>
      </c>
      <c r="E82" s="2508">
        <f>$D$159</f>
        <v>1</v>
      </c>
      <c r="F82" s="318" t="s">
        <v>1192</v>
      </c>
      <c r="G82" s="318" t="str">
        <f>D82&amp;" | "&amp;F82</f>
        <v>CONCEDENTE | ND</v>
      </c>
      <c r="H82" s="319">
        <f t="shared" ref="H82:AQ82" si="74">IF($D80=0,0,IF(H80=0,0,($E82*$D80*H80)+$AU$163))</f>
        <v>0</v>
      </c>
      <c r="I82" s="319">
        <f t="shared" si="74"/>
        <v>0</v>
      </c>
      <c r="J82" s="319">
        <f t="shared" si="74"/>
        <v>0</v>
      </c>
      <c r="K82" s="319">
        <f t="shared" si="74"/>
        <v>0</v>
      </c>
      <c r="L82" s="319">
        <f t="shared" si="74"/>
        <v>0</v>
      </c>
      <c r="M82" s="319">
        <f t="shared" si="74"/>
        <v>0</v>
      </c>
      <c r="N82" s="319">
        <f t="shared" si="74"/>
        <v>0</v>
      </c>
      <c r="O82" s="319">
        <f t="shared" si="74"/>
        <v>0</v>
      </c>
      <c r="P82" s="319">
        <f t="shared" si="74"/>
        <v>0</v>
      </c>
      <c r="Q82" s="319">
        <f t="shared" si="74"/>
        <v>0</v>
      </c>
      <c r="R82" s="319">
        <f t="shared" si="74"/>
        <v>0</v>
      </c>
      <c r="S82" s="319">
        <f t="shared" si="74"/>
        <v>0</v>
      </c>
      <c r="T82" s="319">
        <f t="shared" si="74"/>
        <v>0</v>
      </c>
      <c r="U82" s="319">
        <f t="shared" si="74"/>
        <v>0</v>
      </c>
      <c r="V82" s="319">
        <f t="shared" si="74"/>
        <v>0</v>
      </c>
      <c r="W82" s="319">
        <f t="shared" si="74"/>
        <v>0</v>
      </c>
      <c r="X82" s="319">
        <f t="shared" si="74"/>
        <v>0</v>
      </c>
      <c r="Y82" s="319">
        <f t="shared" si="74"/>
        <v>0</v>
      </c>
      <c r="Z82" s="319">
        <f t="shared" si="74"/>
        <v>0</v>
      </c>
      <c r="AA82" s="319">
        <f t="shared" si="74"/>
        <v>0</v>
      </c>
      <c r="AB82" s="319">
        <f t="shared" si="74"/>
        <v>0</v>
      </c>
      <c r="AC82" s="319">
        <f t="shared" si="74"/>
        <v>0</v>
      </c>
      <c r="AD82" s="319">
        <f t="shared" si="74"/>
        <v>0</v>
      </c>
      <c r="AE82" s="319">
        <f t="shared" si="74"/>
        <v>0</v>
      </c>
      <c r="AF82" s="319">
        <f t="shared" si="74"/>
        <v>0</v>
      </c>
      <c r="AG82" s="319">
        <f t="shared" si="74"/>
        <v>0</v>
      </c>
      <c r="AH82" s="319">
        <f t="shared" si="74"/>
        <v>0</v>
      </c>
      <c r="AI82" s="319">
        <f t="shared" si="74"/>
        <v>0</v>
      </c>
      <c r="AJ82" s="319">
        <f t="shared" si="74"/>
        <v>0</v>
      </c>
      <c r="AK82" s="319">
        <f t="shared" si="74"/>
        <v>0</v>
      </c>
      <c r="AL82" s="319">
        <f t="shared" si="74"/>
        <v>0</v>
      </c>
      <c r="AM82" s="319">
        <f t="shared" si="74"/>
        <v>0</v>
      </c>
      <c r="AN82" s="319">
        <f t="shared" si="74"/>
        <v>0</v>
      </c>
      <c r="AO82" s="319">
        <f t="shared" si="74"/>
        <v>0</v>
      </c>
      <c r="AP82" s="319">
        <f t="shared" si="74"/>
        <v>0</v>
      </c>
      <c r="AQ82" s="319">
        <f t="shared" si="74"/>
        <v>0</v>
      </c>
      <c r="AR82" s="320">
        <f t="shared" si="71"/>
        <v>0</v>
      </c>
      <c r="AS82" s="321">
        <f>TRUNC(AR82-D80*E82,2)</f>
        <v>0</v>
      </c>
      <c r="AT82" s="322" t="e">
        <f>+AR82/D80</f>
        <v>#DIV/0!</v>
      </c>
      <c r="AW82" s="274" t="str">
        <f>IF(F82="","X",IF(AND(E82&gt;0),F82,"-"))</f>
        <v>ND</v>
      </c>
      <c r="AX82" s="274" t="str">
        <f t="shared" ca="1" si="72"/>
        <v/>
      </c>
    </row>
    <row r="83" spans="1:50" s="274" customFormat="1" ht="18" hidden="1" customHeight="1">
      <c r="A83" s="2499"/>
      <c r="B83" s="2502"/>
      <c r="C83" s="311"/>
      <c r="D83" s="317" t="s">
        <v>1194</v>
      </c>
      <c r="E83" s="2509"/>
      <c r="F83" s="323" t="s">
        <v>1193</v>
      </c>
      <c r="G83" s="323" t="str">
        <f>D83&amp;" | "&amp;F83</f>
        <v>CONCEDENTE | DE</v>
      </c>
      <c r="H83" s="319">
        <f t="shared" ref="H83:AQ83" si="75">IF($D81=0,0,IF(H81=0,0,($E82*$D81*H81)+$AU$163))</f>
        <v>0</v>
      </c>
      <c r="I83" s="319">
        <f t="shared" si="75"/>
        <v>0</v>
      </c>
      <c r="J83" s="319">
        <f t="shared" si="75"/>
        <v>0</v>
      </c>
      <c r="K83" s="319">
        <f t="shared" si="75"/>
        <v>0</v>
      </c>
      <c r="L83" s="319">
        <f t="shared" si="75"/>
        <v>0</v>
      </c>
      <c r="M83" s="319">
        <f t="shared" si="75"/>
        <v>0</v>
      </c>
      <c r="N83" s="319">
        <f t="shared" si="75"/>
        <v>0</v>
      </c>
      <c r="O83" s="319">
        <f t="shared" si="75"/>
        <v>0</v>
      </c>
      <c r="P83" s="319">
        <f t="shared" si="75"/>
        <v>0</v>
      </c>
      <c r="Q83" s="319">
        <f t="shared" si="75"/>
        <v>0</v>
      </c>
      <c r="R83" s="319">
        <f t="shared" si="75"/>
        <v>0</v>
      </c>
      <c r="S83" s="319">
        <f t="shared" si="75"/>
        <v>0</v>
      </c>
      <c r="T83" s="319">
        <f t="shared" si="75"/>
        <v>0</v>
      </c>
      <c r="U83" s="319">
        <f t="shared" si="75"/>
        <v>0</v>
      </c>
      <c r="V83" s="319">
        <f t="shared" si="75"/>
        <v>0</v>
      </c>
      <c r="W83" s="319">
        <f t="shared" si="75"/>
        <v>0</v>
      </c>
      <c r="X83" s="319">
        <f t="shared" si="75"/>
        <v>0</v>
      </c>
      <c r="Y83" s="319">
        <f t="shared" si="75"/>
        <v>0</v>
      </c>
      <c r="Z83" s="319">
        <f t="shared" si="75"/>
        <v>0</v>
      </c>
      <c r="AA83" s="319">
        <f t="shared" si="75"/>
        <v>0</v>
      </c>
      <c r="AB83" s="319">
        <f t="shared" si="75"/>
        <v>0</v>
      </c>
      <c r="AC83" s="319">
        <f t="shared" si="75"/>
        <v>0</v>
      </c>
      <c r="AD83" s="319">
        <f t="shared" si="75"/>
        <v>0</v>
      </c>
      <c r="AE83" s="319">
        <f t="shared" si="75"/>
        <v>0</v>
      </c>
      <c r="AF83" s="319">
        <f t="shared" si="75"/>
        <v>0</v>
      </c>
      <c r="AG83" s="319">
        <f t="shared" si="75"/>
        <v>0</v>
      </c>
      <c r="AH83" s="319">
        <f t="shared" si="75"/>
        <v>0</v>
      </c>
      <c r="AI83" s="319">
        <f t="shared" si="75"/>
        <v>0</v>
      </c>
      <c r="AJ83" s="319">
        <f t="shared" si="75"/>
        <v>0</v>
      </c>
      <c r="AK83" s="319">
        <f t="shared" si="75"/>
        <v>0</v>
      </c>
      <c r="AL83" s="319">
        <f t="shared" si="75"/>
        <v>0</v>
      </c>
      <c r="AM83" s="319">
        <f t="shared" si="75"/>
        <v>0</v>
      </c>
      <c r="AN83" s="319">
        <f t="shared" si="75"/>
        <v>0</v>
      </c>
      <c r="AO83" s="319">
        <f t="shared" si="75"/>
        <v>0</v>
      </c>
      <c r="AP83" s="319">
        <f t="shared" si="75"/>
        <v>0</v>
      </c>
      <c r="AQ83" s="319">
        <f t="shared" si="75"/>
        <v>0</v>
      </c>
      <c r="AR83" s="320">
        <f t="shared" si="71"/>
        <v>0</v>
      </c>
      <c r="AS83" s="321">
        <f>TRUNC(AR83-D81*E82,2)</f>
        <v>0</v>
      </c>
      <c r="AT83" s="322" t="e">
        <f>+AR83/D81</f>
        <v>#DIV/0!</v>
      </c>
      <c r="AW83" s="274" t="str">
        <f>IF(F83="","X",IF(AND(E82&gt;0),F83,"-"))</f>
        <v>DE</v>
      </c>
      <c r="AX83" s="274" t="str">
        <f t="shared" ca="1" si="72"/>
        <v/>
      </c>
    </row>
    <row r="84" spans="1:50" s="274" customFormat="1" ht="18" hidden="1" customHeight="1" thickBot="1">
      <c r="A84" s="2499"/>
      <c r="B84" s="2502"/>
      <c r="C84" s="324"/>
      <c r="D84" s="325" t="s">
        <v>1195</v>
      </c>
      <c r="E84" s="2510">
        <f>1-E82</f>
        <v>0</v>
      </c>
      <c r="F84" s="326" t="s">
        <v>1192</v>
      </c>
      <c r="G84" s="326" t="str">
        <f>D84&amp;" | "&amp;F84</f>
        <v>PROPONENTE | ND</v>
      </c>
      <c r="H84" s="327">
        <f>($D80*H80-H82)</f>
        <v>0</v>
      </c>
      <c r="I84" s="327">
        <f t="shared" ref="I84:AQ85" si="76">($D80*I80-I82)</f>
        <v>0</v>
      </c>
      <c r="J84" s="327">
        <f t="shared" si="76"/>
        <v>0</v>
      </c>
      <c r="K84" s="327">
        <f t="shared" si="76"/>
        <v>0</v>
      </c>
      <c r="L84" s="327">
        <f t="shared" si="76"/>
        <v>0</v>
      </c>
      <c r="M84" s="327">
        <f t="shared" si="76"/>
        <v>0</v>
      </c>
      <c r="N84" s="327">
        <f t="shared" si="76"/>
        <v>0</v>
      </c>
      <c r="O84" s="327">
        <f t="shared" si="76"/>
        <v>0</v>
      </c>
      <c r="P84" s="327">
        <f t="shared" si="76"/>
        <v>0</v>
      </c>
      <c r="Q84" s="327">
        <f t="shared" si="76"/>
        <v>0</v>
      </c>
      <c r="R84" s="327">
        <f t="shared" si="76"/>
        <v>0</v>
      </c>
      <c r="S84" s="327">
        <f t="shared" si="76"/>
        <v>0</v>
      </c>
      <c r="T84" s="327">
        <f t="shared" si="76"/>
        <v>0</v>
      </c>
      <c r="U84" s="327">
        <f t="shared" si="76"/>
        <v>0</v>
      </c>
      <c r="V84" s="327">
        <f t="shared" si="76"/>
        <v>0</v>
      </c>
      <c r="W84" s="327">
        <f t="shared" si="76"/>
        <v>0</v>
      </c>
      <c r="X84" s="327">
        <f t="shared" si="76"/>
        <v>0</v>
      </c>
      <c r="Y84" s="327">
        <f t="shared" si="76"/>
        <v>0</v>
      </c>
      <c r="Z84" s="327">
        <f t="shared" si="76"/>
        <v>0</v>
      </c>
      <c r="AA84" s="327">
        <f t="shared" si="76"/>
        <v>0</v>
      </c>
      <c r="AB84" s="327">
        <f t="shared" si="76"/>
        <v>0</v>
      </c>
      <c r="AC84" s="327">
        <f t="shared" si="76"/>
        <v>0</v>
      </c>
      <c r="AD84" s="327">
        <f t="shared" si="76"/>
        <v>0</v>
      </c>
      <c r="AE84" s="327">
        <f t="shared" si="76"/>
        <v>0</v>
      </c>
      <c r="AF84" s="327">
        <f t="shared" si="76"/>
        <v>0</v>
      </c>
      <c r="AG84" s="327">
        <f t="shared" si="76"/>
        <v>0</v>
      </c>
      <c r="AH84" s="327">
        <f t="shared" si="76"/>
        <v>0</v>
      </c>
      <c r="AI84" s="327">
        <f t="shared" si="76"/>
        <v>0</v>
      </c>
      <c r="AJ84" s="327">
        <f t="shared" si="76"/>
        <v>0</v>
      </c>
      <c r="AK84" s="327">
        <f t="shared" si="76"/>
        <v>0</v>
      </c>
      <c r="AL84" s="327">
        <f t="shared" si="76"/>
        <v>0</v>
      </c>
      <c r="AM84" s="327">
        <f t="shared" si="76"/>
        <v>0</v>
      </c>
      <c r="AN84" s="327">
        <f t="shared" si="76"/>
        <v>0</v>
      </c>
      <c r="AO84" s="327">
        <f t="shared" si="76"/>
        <v>0</v>
      </c>
      <c r="AP84" s="327">
        <f t="shared" si="76"/>
        <v>0</v>
      </c>
      <c r="AQ84" s="327">
        <f t="shared" si="76"/>
        <v>0</v>
      </c>
      <c r="AR84" s="328">
        <f t="shared" si="71"/>
        <v>0</v>
      </c>
      <c r="AS84" s="321">
        <f>+D80-AR82-AR84</f>
        <v>0</v>
      </c>
      <c r="AW84" s="274" t="str">
        <f>IF(F84="","X",IF(AND(E84&gt;0),F84,"-"))</f>
        <v>-</v>
      </c>
      <c r="AX84" s="274" t="str">
        <f t="shared" ca="1" si="72"/>
        <v/>
      </c>
    </row>
    <row r="85" spans="1:50" s="274" customFormat="1" ht="18" hidden="1" customHeight="1" thickBot="1">
      <c r="A85" s="2500"/>
      <c r="B85" s="2503"/>
      <c r="C85" s="324"/>
      <c r="D85" s="325" t="s">
        <v>1195</v>
      </c>
      <c r="E85" s="2511"/>
      <c r="F85" s="329" t="s">
        <v>1193</v>
      </c>
      <c r="G85" s="329" t="str">
        <f>D85&amp;" | "&amp;F85</f>
        <v>PROPONENTE | DE</v>
      </c>
      <c r="H85" s="327">
        <f>($D81*H81-H83)</f>
        <v>0</v>
      </c>
      <c r="I85" s="327">
        <f t="shared" si="76"/>
        <v>0</v>
      </c>
      <c r="J85" s="327">
        <f t="shared" si="76"/>
        <v>0</v>
      </c>
      <c r="K85" s="327">
        <f t="shared" si="76"/>
        <v>0</v>
      </c>
      <c r="L85" s="327">
        <f t="shared" si="76"/>
        <v>0</v>
      </c>
      <c r="M85" s="327">
        <f t="shared" si="76"/>
        <v>0</v>
      </c>
      <c r="N85" s="327">
        <f t="shared" si="76"/>
        <v>0</v>
      </c>
      <c r="O85" s="327">
        <f t="shared" si="76"/>
        <v>0</v>
      </c>
      <c r="P85" s="327">
        <f t="shared" si="76"/>
        <v>0</v>
      </c>
      <c r="Q85" s="327">
        <f t="shared" si="76"/>
        <v>0</v>
      </c>
      <c r="R85" s="327">
        <f t="shared" si="76"/>
        <v>0</v>
      </c>
      <c r="S85" s="327">
        <f t="shared" si="76"/>
        <v>0</v>
      </c>
      <c r="T85" s="327">
        <f t="shared" si="76"/>
        <v>0</v>
      </c>
      <c r="U85" s="327">
        <f t="shared" si="76"/>
        <v>0</v>
      </c>
      <c r="V85" s="327">
        <f t="shared" si="76"/>
        <v>0</v>
      </c>
      <c r="W85" s="327">
        <f t="shared" si="76"/>
        <v>0</v>
      </c>
      <c r="X85" s="327">
        <f t="shared" si="76"/>
        <v>0</v>
      </c>
      <c r="Y85" s="327">
        <f t="shared" si="76"/>
        <v>0</v>
      </c>
      <c r="Z85" s="327">
        <f t="shared" si="76"/>
        <v>0</v>
      </c>
      <c r="AA85" s="327">
        <f t="shared" si="76"/>
        <v>0</v>
      </c>
      <c r="AB85" s="327">
        <f t="shared" si="76"/>
        <v>0</v>
      </c>
      <c r="AC85" s="327">
        <f t="shared" si="76"/>
        <v>0</v>
      </c>
      <c r="AD85" s="327">
        <f t="shared" si="76"/>
        <v>0</v>
      </c>
      <c r="AE85" s="327">
        <f t="shared" si="76"/>
        <v>0</v>
      </c>
      <c r="AF85" s="327">
        <f t="shared" si="76"/>
        <v>0</v>
      </c>
      <c r="AG85" s="327">
        <f t="shared" si="76"/>
        <v>0</v>
      </c>
      <c r="AH85" s="327">
        <f t="shared" si="76"/>
        <v>0</v>
      </c>
      <c r="AI85" s="327">
        <f t="shared" si="76"/>
        <v>0</v>
      </c>
      <c r="AJ85" s="327">
        <f t="shared" si="76"/>
        <v>0</v>
      </c>
      <c r="AK85" s="327">
        <f t="shared" si="76"/>
        <v>0</v>
      </c>
      <c r="AL85" s="327">
        <f t="shared" si="76"/>
        <v>0</v>
      </c>
      <c r="AM85" s="327">
        <f t="shared" si="76"/>
        <v>0</v>
      </c>
      <c r="AN85" s="327">
        <f t="shared" si="76"/>
        <v>0</v>
      </c>
      <c r="AO85" s="327">
        <f t="shared" si="76"/>
        <v>0</v>
      </c>
      <c r="AP85" s="327">
        <f t="shared" si="76"/>
        <v>0</v>
      </c>
      <c r="AQ85" s="327">
        <f t="shared" si="76"/>
        <v>0</v>
      </c>
      <c r="AR85" s="328">
        <f t="shared" si="71"/>
        <v>0</v>
      </c>
      <c r="AS85" s="321">
        <f>+D81-AR83-AR85</f>
        <v>0</v>
      </c>
      <c r="AW85" s="274" t="str">
        <f>IF(F85="","X",IF(AND(E84&gt;0),F85,"-"))</f>
        <v>-</v>
      </c>
      <c r="AX85" s="274" t="str">
        <f t="shared" ca="1" si="72"/>
        <v/>
      </c>
    </row>
    <row r="86" spans="1:50" s="274" customFormat="1" ht="9.9499999999999993" hidden="1" customHeight="1">
      <c r="A86" s="2498">
        <f ca="1">Orcamento!B28</f>
        <v>0</v>
      </c>
      <c r="B86" s="2501" t="str">
        <f>Orcamento!D28</f>
        <v>IMPLANTAÇÃO DE TERRAPLENAGEM</v>
      </c>
      <c r="C86" s="305"/>
      <c r="D86" s="306"/>
      <c r="E86" s="307"/>
      <c r="F86" s="307"/>
      <c r="G86" s="307"/>
      <c r="H86" s="308">
        <f t="shared" ref="H86:AQ86" si="77">H87</f>
        <v>0</v>
      </c>
      <c r="I86" s="308">
        <f t="shared" si="77"/>
        <v>0</v>
      </c>
      <c r="J86" s="308">
        <f t="shared" si="77"/>
        <v>0</v>
      </c>
      <c r="K86" s="308">
        <f t="shared" si="77"/>
        <v>0</v>
      </c>
      <c r="L86" s="308">
        <f t="shared" si="77"/>
        <v>0</v>
      </c>
      <c r="M86" s="308">
        <f t="shared" si="77"/>
        <v>0</v>
      </c>
      <c r="N86" s="308">
        <f t="shared" si="77"/>
        <v>0</v>
      </c>
      <c r="O86" s="308">
        <f t="shared" si="77"/>
        <v>0</v>
      </c>
      <c r="P86" s="308">
        <f t="shared" si="77"/>
        <v>0</v>
      </c>
      <c r="Q86" s="308">
        <f t="shared" si="77"/>
        <v>0</v>
      </c>
      <c r="R86" s="308">
        <f t="shared" si="77"/>
        <v>0</v>
      </c>
      <c r="S86" s="308">
        <f t="shared" si="77"/>
        <v>0</v>
      </c>
      <c r="T86" s="308">
        <f t="shared" si="77"/>
        <v>0</v>
      </c>
      <c r="U86" s="308">
        <f t="shared" si="77"/>
        <v>0</v>
      </c>
      <c r="V86" s="308">
        <f t="shared" si="77"/>
        <v>0</v>
      </c>
      <c r="W86" s="308">
        <f t="shared" si="77"/>
        <v>0</v>
      </c>
      <c r="X86" s="308">
        <f t="shared" si="77"/>
        <v>0</v>
      </c>
      <c r="Y86" s="308">
        <f t="shared" si="77"/>
        <v>0</v>
      </c>
      <c r="Z86" s="308">
        <f t="shared" si="77"/>
        <v>0</v>
      </c>
      <c r="AA86" s="308">
        <f t="shared" si="77"/>
        <v>0</v>
      </c>
      <c r="AB86" s="308">
        <f t="shared" si="77"/>
        <v>0</v>
      </c>
      <c r="AC86" s="308">
        <f t="shared" si="77"/>
        <v>0</v>
      </c>
      <c r="AD86" s="308">
        <f t="shared" si="77"/>
        <v>0</v>
      </c>
      <c r="AE86" s="308">
        <f t="shared" si="77"/>
        <v>0</v>
      </c>
      <c r="AF86" s="308">
        <f t="shared" si="77"/>
        <v>0</v>
      </c>
      <c r="AG86" s="308">
        <f t="shared" si="77"/>
        <v>0</v>
      </c>
      <c r="AH86" s="308">
        <f t="shared" si="77"/>
        <v>0</v>
      </c>
      <c r="AI86" s="308">
        <f t="shared" si="77"/>
        <v>0</v>
      </c>
      <c r="AJ86" s="308">
        <f t="shared" si="77"/>
        <v>0</v>
      </c>
      <c r="AK86" s="308">
        <f t="shared" si="77"/>
        <v>0</v>
      </c>
      <c r="AL86" s="308">
        <f t="shared" si="77"/>
        <v>0</v>
      </c>
      <c r="AM86" s="308">
        <f t="shared" si="77"/>
        <v>0</v>
      </c>
      <c r="AN86" s="308">
        <f t="shared" si="77"/>
        <v>0</v>
      </c>
      <c r="AO86" s="308">
        <f t="shared" si="77"/>
        <v>0</v>
      </c>
      <c r="AP86" s="308">
        <f t="shared" si="77"/>
        <v>0</v>
      </c>
      <c r="AQ86" s="308">
        <f t="shared" si="77"/>
        <v>0</v>
      </c>
      <c r="AR86" s="309"/>
      <c r="AS86" s="310">
        <f>+D88-AR90-AR92</f>
        <v>0</v>
      </c>
      <c r="AW86" s="274" t="str">
        <f>IF(F86="","X",F86)</f>
        <v>X</v>
      </c>
      <c r="AX86" s="274" t="str">
        <f ca="1">IF($A$86=0,"","X")</f>
        <v/>
      </c>
    </row>
    <row r="87" spans="1:50" s="274" customFormat="1" ht="18" hidden="1" customHeight="1">
      <c r="A87" s="2499"/>
      <c r="B87" s="2502"/>
      <c r="C87" s="311" t="str">
        <f>CONCATENATE(Orcamento!K92," ",Orcamento!O92)</f>
        <v>0 61,06</v>
      </c>
      <c r="D87" s="2504">
        <f>Orcamento!S28</f>
        <v>0</v>
      </c>
      <c r="E87" s="2505"/>
      <c r="F87" s="312" t="s">
        <v>1192</v>
      </c>
      <c r="G87" s="312"/>
      <c r="H87" s="314"/>
      <c r="I87" s="314"/>
      <c r="J87" s="314"/>
      <c r="K87" s="314"/>
      <c r="L87" s="314"/>
      <c r="M87" s="314"/>
      <c r="N87" s="314"/>
      <c r="O87" s="314"/>
      <c r="P87" s="314"/>
      <c r="Q87" s="314"/>
      <c r="R87" s="314"/>
      <c r="S87" s="314"/>
      <c r="T87" s="314"/>
      <c r="U87" s="314"/>
      <c r="V87" s="314"/>
      <c r="W87" s="314"/>
      <c r="X87" s="314"/>
      <c r="Y87" s="314"/>
      <c r="Z87" s="314"/>
      <c r="AA87" s="314"/>
      <c r="AB87" s="314"/>
      <c r="AC87" s="314"/>
      <c r="AD87" s="314"/>
      <c r="AE87" s="314"/>
      <c r="AF87" s="314"/>
      <c r="AG87" s="314"/>
      <c r="AH87" s="314"/>
      <c r="AI87" s="314"/>
      <c r="AJ87" s="314"/>
      <c r="AK87" s="314"/>
      <c r="AL87" s="314"/>
      <c r="AM87" s="314"/>
      <c r="AN87" s="314"/>
      <c r="AO87" s="314"/>
      <c r="AP87" s="314"/>
      <c r="AQ87" s="314"/>
      <c r="AR87" s="315">
        <f t="shared" ref="AR87:AR92" si="78">SUM(H87:AQ87)</f>
        <v>0</v>
      </c>
      <c r="AS87" s="2506">
        <f>1-AR87</f>
        <v>1</v>
      </c>
      <c r="AU87" s="2507">
        <f>+COUNT(H87:AQ88)</f>
        <v>36</v>
      </c>
      <c r="AW87" s="274" t="str">
        <f>IF(F87="","X",F87)</f>
        <v>ND</v>
      </c>
      <c r="AX87" s="274" t="str">
        <f t="shared" ref="AX87:AX92" ca="1" si="79">IF($A$86=0,"","X")</f>
        <v/>
      </c>
    </row>
    <row r="88" spans="1:50" s="274" customFormat="1" ht="18" hidden="1" customHeight="1">
      <c r="A88" s="2499"/>
      <c r="B88" s="2502"/>
      <c r="C88" s="311" t="str">
        <f>CONCATENATE(Orcamento!K93," ",Orcamento!O93)</f>
        <v>0 154,2</v>
      </c>
      <c r="D88" s="2504">
        <f>Orcamento!T28</f>
        <v>0</v>
      </c>
      <c r="E88" s="2505"/>
      <c r="F88" s="316" t="s">
        <v>1193</v>
      </c>
      <c r="G88" s="316"/>
      <c r="H88" s="314">
        <f t="shared" ref="H88:AQ88" si="80">H87</f>
        <v>0</v>
      </c>
      <c r="I88" s="314">
        <f t="shared" si="80"/>
        <v>0</v>
      </c>
      <c r="J88" s="314">
        <f t="shared" si="80"/>
        <v>0</v>
      </c>
      <c r="K88" s="314">
        <f t="shared" si="80"/>
        <v>0</v>
      </c>
      <c r="L88" s="314">
        <f t="shared" si="80"/>
        <v>0</v>
      </c>
      <c r="M88" s="314">
        <f t="shared" si="80"/>
        <v>0</v>
      </c>
      <c r="N88" s="314">
        <f t="shared" si="80"/>
        <v>0</v>
      </c>
      <c r="O88" s="314">
        <f t="shared" si="80"/>
        <v>0</v>
      </c>
      <c r="P88" s="314">
        <f t="shared" si="80"/>
        <v>0</v>
      </c>
      <c r="Q88" s="314">
        <f t="shared" si="80"/>
        <v>0</v>
      </c>
      <c r="R88" s="314">
        <f t="shared" si="80"/>
        <v>0</v>
      </c>
      <c r="S88" s="314">
        <f t="shared" si="80"/>
        <v>0</v>
      </c>
      <c r="T88" s="314">
        <f t="shared" si="80"/>
        <v>0</v>
      </c>
      <c r="U88" s="314">
        <f t="shared" si="80"/>
        <v>0</v>
      </c>
      <c r="V88" s="314">
        <f t="shared" si="80"/>
        <v>0</v>
      </c>
      <c r="W88" s="314">
        <f t="shared" si="80"/>
        <v>0</v>
      </c>
      <c r="X88" s="314">
        <f t="shared" si="80"/>
        <v>0</v>
      </c>
      <c r="Y88" s="314">
        <f t="shared" si="80"/>
        <v>0</v>
      </c>
      <c r="Z88" s="314">
        <f t="shared" si="80"/>
        <v>0</v>
      </c>
      <c r="AA88" s="314">
        <f t="shared" si="80"/>
        <v>0</v>
      </c>
      <c r="AB88" s="314">
        <f t="shared" si="80"/>
        <v>0</v>
      </c>
      <c r="AC88" s="314">
        <f t="shared" si="80"/>
        <v>0</v>
      </c>
      <c r="AD88" s="314">
        <f t="shared" si="80"/>
        <v>0</v>
      </c>
      <c r="AE88" s="314">
        <f t="shared" si="80"/>
        <v>0</v>
      </c>
      <c r="AF88" s="314">
        <f t="shared" si="80"/>
        <v>0</v>
      </c>
      <c r="AG88" s="314">
        <f t="shared" si="80"/>
        <v>0</v>
      </c>
      <c r="AH88" s="314">
        <f t="shared" si="80"/>
        <v>0</v>
      </c>
      <c r="AI88" s="314">
        <f t="shared" si="80"/>
        <v>0</v>
      </c>
      <c r="AJ88" s="314">
        <f t="shared" si="80"/>
        <v>0</v>
      </c>
      <c r="AK88" s="314">
        <f t="shared" si="80"/>
        <v>0</v>
      </c>
      <c r="AL88" s="314">
        <f t="shared" si="80"/>
        <v>0</v>
      </c>
      <c r="AM88" s="314">
        <f t="shared" si="80"/>
        <v>0</v>
      </c>
      <c r="AN88" s="314">
        <f t="shared" si="80"/>
        <v>0</v>
      </c>
      <c r="AO88" s="314">
        <f t="shared" si="80"/>
        <v>0</v>
      </c>
      <c r="AP88" s="314">
        <f t="shared" si="80"/>
        <v>0</v>
      </c>
      <c r="AQ88" s="314">
        <f t="shared" si="80"/>
        <v>0</v>
      </c>
      <c r="AR88" s="315">
        <f t="shared" si="78"/>
        <v>0</v>
      </c>
      <c r="AS88" s="2506"/>
      <c r="AU88" s="2507"/>
      <c r="AW88" s="274" t="str">
        <f>IF(F88="","X",F88)</f>
        <v>DE</v>
      </c>
      <c r="AX88" s="274" t="str">
        <f t="shared" ca="1" si="79"/>
        <v/>
      </c>
    </row>
    <row r="89" spans="1:50" s="274" customFormat="1" ht="18" hidden="1" customHeight="1">
      <c r="A89" s="2499"/>
      <c r="B89" s="2502"/>
      <c r="C89" s="311"/>
      <c r="D89" s="317" t="s">
        <v>1194</v>
      </c>
      <c r="E89" s="2508">
        <f>$D$159</f>
        <v>1</v>
      </c>
      <c r="F89" s="318" t="s">
        <v>1192</v>
      </c>
      <c r="G89" s="318" t="str">
        <f>D89&amp;" | "&amp;F89</f>
        <v>CONCEDENTE | ND</v>
      </c>
      <c r="H89" s="319">
        <f t="shared" ref="H89:AQ89" si="81">IF($D87=0,0,IF(H87=0,0,($E89*$D87*H87)+$AU$163))</f>
        <v>0</v>
      </c>
      <c r="I89" s="319">
        <f t="shared" si="81"/>
        <v>0</v>
      </c>
      <c r="J89" s="319">
        <f t="shared" si="81"/>
        <v>0</v>
      </c>
      <c r="K89" s="319">
        <f t="shared" si="81"/>
        <v>0</v>
      </c>
      <c r="L89" s="319">
        <f t="shared" si="81"/>
        <v>0</v>
      </c>
      <c r="M89" s="319">
        <f t="shared" si="81"/>
        <v>0</v>
      </c>
      <c r="N89" s="319">
        <f t="shared" si="81"/>
        <v>0</v>
      </c>
      <c r="O89" s="319">
        <f t="shared" si="81"/>
        <v>0</v>
      </c>
      <c r="P89" s="319">
        <f t="shared" si="81"/>
        <v>0</v>
      </c>
      <c r="Q89" s="319">
        <f t="shared" si="81"/>
        <v>0</v>
      </c>
      <c r="R89" s="319">
        <f t="shared" si="81"/>
        <v>0</v>
      </c>
      <c r="S89" s="319">
        <f t="shared" si="81"/>
        <v>0</v>
      </c>
      <c r="T89" s="319">
        <f t="shared" si="81"/>
        <v>0</v>
      </c>
      <c r="U89" s="319">
        <f t="shared" si="81"/>
        <v>0</v>
      </c>
      <c r="V89" s="319">
        <f t="shared" si="81"/>
        <v>0</v>
      </c>
      <c r="W89" s="319">
        <f t="shared" si="81"/>
        <v>0</v>
      </c>
      <c r="X89" s="319">
        <f t="shared" si="81"/>
        <v>0</v>
      </c>
      <c r="Y89" s="319">
        <f t="shared" si="81"/>
        <v>0</v>
      </c>
      <c r="Z89" s="319">
        <f t="shared" si="81"/>
        <v>0</v>
      </c>
      <c r="AA89" s="319">
        <f t="shared" si="81"/>
        <v>0</v>
      </c>
      <c r="AB89" s="319">
        <f t="shared" si="81"/>
        <v>0</v>
      </c>
      <c r="AC89" s="319">
        <f t="shared" si="81"/>
        <v>0</v>
      </c>
      <c r="AD89" s="319">
        <f t="shared" si="81"/>
        <v>0</v>
      </c>
      <c r="AE89" s="319">
        <f t="shared" si="81"/>
        <v>0</v>
      </c>
      <c r="AF89" s="319">
        <f t="shared" si="81"/>
        <v>0</v>
      </c>
      <c r="AG89" s="319">
        <f t="shared" si="81"/>
        <v>0</v>
      </c>
      <c r="AH89" s="319">
        <f t="shared" si="81"/>
        <v>0</v>
      </c>
      <c r="AI89" s="319">
        <f t="shared" si="81"/>
        <v>0</v>
      </c>
      <c r="AJ89" s="319">
        <f t="shared" si="81"/>
        <v>0</v>
      </c>
      <c r="AK89" s="319">
        <f t="shared" si="81"/>
        <v>0</v>
      </c>
      <c r="AL89" s="319">
        <f t="shared" si="81"/>
        <v>0</v>
      </c>
      <c r="AM89" s="319">
        <f t="shared" si="81"/>
        <v>0</v>
      </c>
      <c r="AN89" s="319">
        <f t="shared" si="81"/>
        <v>0</v>
      </c>
      <c r="AO89" s="319">
        <f t="shared" si="81"/>
        <v>0</v>
      </c>
      <c r="AP89" s="319">
        <f t="shared" si="81"/>
        <v>0</v>
      </c>
      <c r="AQ89" s="319">
        <f t="shared" si="81"/>
        <v>0</v>
      </c>
      <c r="AR89" s="320">
        <f t="shared" si="78"/>
        <v>0</v>
      </c>
      <c r="AS89" s="321">
        <f>TRUNC(AR89-D87*E89,2)</f>
        <v>0</v>
      </c>
      <c r="AT89" s="322" t="e">
        <f>+AR89/D87</f>
        <v>#DIV/0!</v>
      </c>
      <c r="AW89" s="274" t="str">
        <f>IF(F89="","X",IF(AND(E89&gt;0),F89,"-"))</f>
        <v>ND</v>
      </c>
      <c r="AX89" s="274" t="str">
        <f t="shared" ca="1" si="79"/>
        <v/>
      </c>
    </row>
    <row r="90" spans="1:50" s="274" customFormat="1" ht="18" hidden="1" customHeight="1">
      <c r="A90" s="2499"/>
      <c r="B90" s="2502"/>
      <c r="C90" s="311"/>
      <c r="D90" s="317" t="s">
        <v>1194</v>
      </c>
      <c r="E90" s="2509"/>
      <c r="F90" s="323" t="s">
        <v>1193</v>
      </c>
      <c r="G90" s="323" t="str">
        <f>D90&amp;" | "&amp;F90</f>
        <v>CONCEDENTE | DE</v>
      </c>
      <c r="H90" s="319">
        <f t="shared" ref="H90:AQ90" si="82">IF($D88=0,0,IF(H88=0,0,($E89*$D88*H88)+$AU$163))</f>
        <v>0</v>
      </c>
      <c r="I90" s="319">
        <f t="shared" si="82"/>
        <v>0</v>
      </c>
      <c r="J90" s="319">
        <f t="shared" si="82"/>
        <v>0</v>
      </c>
      <c r="K90" s="319">
        <f t="shared" si="82"/>
        <v>0</v>
      </c>
      <c r="L90" s="319">
        <f t="shared" si="82"/>
        <v>0</v>
      </c>
      <c r="M90" s="319">
        <f t="shared" si="82"/>
        <v>0</v>
      </c>
      <c r="N90" s="319">
        <f t="shared" si="82"/>
        <v>0</v>
      </c>
      <c r="O90" s="319">
        <f t="shared" si="82"/>
        <v>0</v>
      </c>
      <c r="P90" s="319">
        <f t="shared" si="82"/>
        <v>0</v>
      </c>
      <c r="Q90" s="319">
        <f t="shared" si="82"/>
        <v>0</v>
      </c>
      <c r="R90" s="319">
        <f t="shared" si="82"/>
        <v>0</v>
      </c>
      <c r="S90" s="319">
        <f t="shared" si="82"/>
        <v>0</v>
      </c>
      <c r="T90" s="319">
        <f t="shared" si="82"/>
        <v>0</v>
      </c>
      <c r="U90" s="319">
        <f t="shared" si="82"/>
        <v>0</v>
      </c>
      <c r="V90" s="319">
        <f t="shared" si="82"/>
        <v>0</v>
      </c>
      <c r="W90" s="319">
        <f t="shared" si="82"/>
        <v>0</v>
      </c>
      <c r="X90" s="319">
        <f t="shared" si="82"/>
        <v>0</v>
      </c>
      <c r="Y90" s="319">
        <f t="shared" si="82"/>
        <v>0</v>
      </c>
      <c r="Z90" s="319">
        <f t="shared" si="82"/>
        <v>0</v>
      </c>
      <c r="AA90" s="319">
        <f t="shared" si="82"/>
        <v>0</v>
      </c>
      <c r="AB90" s="319">
        <f t="shared" si="82"/>
        <v>0</v>
      </c>
      <c r="AC90" s="319">
        <f t="shared" si="82"/>
        <v>0</v>
      </c>
      <c r="AD90" s="319">
        <f t="shared" si="82"/>
        <v>0</v>
      </c>
      <c r="AE90" s="319">
        <f t="shared" si="82"/>
        <v>0</v>
      </c>
      <c r="AF90" s="319">
        <f t="shared" si="82"/>
        <v>0</v>
      </c>
      <c r="AG90" s="319">
        <f t="shared" si="82"/>
        <v>0</v>
      </c>
      <c r="AH90" s="319">
        <f t="shared" si="82"/>
        <v>0</v>
      </c>
      <c r="AI90" s="319">
        <f t="shared" si="82"/>
        <v>0</v>
      </c>
      <c r="AJ90" s="319">
        <f t="shared" si="82"/>
        <v>0</v>
      </c>
      <c r="AK90" s="319">
        <f t="shared" si="82"/>
        <v>0</v>
      </c>
      <c r="AL90" s="319">
        <f t="shared" si="82"/>
        <v>0</v>
      </c>
      <c r="AM90" s="319">
        <f t="shared" si="82"/>
        <v>0</v>
      </c>
      <c r="AN90" s="319">
        <f t="shared" si="82"/>
        <v>0</v>
      </c>
      <c r="AO90" s="319">
        <f t="shared" si="82"/>
        <v>0</v>
      </c>
      <c r="AP90" s="319">
        <f t="shared" si="82"/>
        <v>0</v>
      </c>
      <c r="AQ90" s="319">
        <f t="shared" si="82"/>
        <v>0</v>
      </c>
      <c r="AR90" s="320">
        <f t="shared" si="78"/>
        <v>0</v>
      </c>
      <c r="AS90" s="321">
        <f>TRUNC(AR90-D88*E89,2)</f>
        <v>0</v>
      </c>
      <c r="AT90" s="322" t="e">
        <f>+AR90/D88</f>
        <v>#DIV/0!</v>
      </c>
      <c r="AW90" s="274" t="str">
        <f>IF(F90="","X",IF(AND(E89&gt;0),F90,"-"))</f>
        <v>DE</v>
      </c>
      <c r="AX90" s="274" t="str">
        <f t="shared" ca="1" si="79"/>
        <v/>
      </c>
    </row>
    <row r="91" spans="1:50" s="274" customFormat="1" ht="18" hidden="1" customHeight="1" thickBot="1">
      <c r="A91" s="2499"/>
      <c r="B91" s="2502"/>
      <c r="C91" s="324"/>
      <c r="D91" s="325" t="s">
        <v>1195</v>
      </c>
      <c r="E91" s="2510">
        <f>1-E89</f>
        <v>0</v>
      </c>
      <c r="F91" s="326" t="s">
        <v>1192</v>
      </c>
      <c r="G91" s="326" t="str">
        <f>D91&amp;" | "&amp;F91</f>
        <v>PROPONENTE | ND</v>
      </c>
      <c r="H91" s="327">
        <f>($D87*H87-H89)</f>
        <v>0</v>
      </c>
      <c r="I91" s="327">
        <f t="shared" ref="I91:AQ92" si="83">($D87*I87-I89)</f>
        <v>0</v>
      </c>
      <c r="J91" s="327">
        <f t="shared" si="83"/>
        <v>0</v>
      </c>
      <c r="K91" s="327">
        <f t="shared" si="83"/>
        <v>0</v>
      </c>
      <c r="L91" s="327">
        <f t="shared" si="83"/>
        <v>0</v>
      </c>
      <c r="M91" s="327">
        <f t="shared" si="83"/>
        <v>0</v>
      </c>
      <c r="N91" s="327">
        <f t="shared" si="83"/>
        <v>0</v>
      </c>
      <c r="O91" s="327">
        <f t="shared" si="83"/>
        <v>0</v>
      </c>
      <c r="P91" s="327">
        <f t="shared" si="83"/>
        <v>0</v>
      </c>
      <c r="Q91" s="327">
        <f t="shared" si="83"/>
        <v>0</v>
      </c>
      <c r="R91" s="327">
        <f t="shared" si="83"/>
        <v>0</v>
      </c>
      <c r="S91" s="327">
        <f t="shared" si="83"/>
        <v>0</v>
      </c>
      <c r="T91" s="327">
        <f t="shared" si="83"/>
        <v>0</v>
      </c>
      <c r="U91" s="327">
        <f t="shared" si="83"/>
        <v>0</v>
      </c>
      <c r="V91" s="327">
        <f t="shared" si="83"/>
        <v>0</v>
      </c>
      <c r="W91" s="327">
        <f t="shared" si="83"/>
        <v>0</v>
      </c>
      <c r="X91" s="327">
        <f t="shared" si="83"/>
        <v>0</v>
      </c>
      <c r="Y91" s="327">
        <f t="shared" si="83"/>
        <v>0</v>
      </c>
      <c r="Z91" s="327">
        <f t="shared" si="83"/>
        <v>0</v>
      </c>
      <c r="AA91" s="327">
        <f t="shared" si="83"/>
        <v>0</v>
      </c>
      <c r="AB91" s="327">
        <f t="shared" si="83"/>
        <v>0</v>
      </c>
      <c r="AC91" s="327">
        <f t="shared" si="83"/>
        <v>0</v>
      </c>
      <c r="AD91" s="327">
        <f t="shared" si="83"/>
        <v>0</v>
      </c>
      <c r="AE91" s="327">
        <f t="shared" si="83"/>
        <v>0</v>
      </c>
      <c r="AF91" s="327">
        <f t="shared" si="83"/>
        <v>0</v>
      </c>
      <c r="AG91" s="327">
        <f t="shared" si="83"/>
        <v>0</v>
      </c>
      <c r="AH91" s="327">
        <f t="shared" si="83"/>
        <v>0</v>
      </c>
      <c r="AI91" s="327">
        <f t="shared" si="83"/>
        <v>0</v>
      </c>
      <c r="AJ91" s="327">
        <f t="shared" si="83"/>
        <v>0</v>
      </c>
      <c r="AK91" s="327">
        <f t="shared" si="83"/>
        <v>0</v>
      </c>
      <c r="AL91" s="327">
        <f t="shared" si="83"/>
        <v>0</v>
      </c>
      <c r="AM91" s="327">
        <f t="shared" si="83"/>
        <v>0</v>
      </c>
      <c r="AN91" s="327">
        <f t="shared" si="83"/>
        <v>0</v>
      </c>
      <c r="AO91" s="327">
        <f t="shared" si="83"/>
        <v>0</v>
      </c>
      <c r="AP91" s="327">
        <f t="shared" si="83"/>
        <v>0</v>
      </c>
      <c r="AQ91" s="327">
        <f t="shared" si="83"/>
        <v>0</v>
      </c>
      <c r="AR91" s="328">
        <f t="shared" si="78"/>
        <v>0</v>
      </c>
      <c r="AS91" s="321">
        <f>+D87-AR89-AR91</f>
        <v>0</v>
      </c>
      <c r="AW91" s="274" t="str">
        <f>IF(F91="","X",IF(AND(E91&gt;0),F91,"-"))</f>
        <v>-</v>
      </c>
      <c r="AX91" s="274" t="str">
        <f t="shared" ca="1" si="79"/>
        <v/>
      </c>
    </row>
    <row r="92" spans="1:50" s="274" customFormat="1" ht="18" hidden="1" customHeight="1" thickBot="1">
      <c r="A92" s="2500"/>
      <c r="B92" s="2503"/>
      <c r="C92" s="324"/>
      <c r="D92" s="325" t="s">
        <v>1195</v>
      </c>
      <c r="E92" s="2511"/>
      <c r="F92" s="329" t="s">
        <v>1193</v>
      </c>
      <c r="G92" s="329" t="str">
        <f>D92&amp;" | "&amp;F92</f>
        <v>PROPONENTE | DE</v>
      </c>
      <c r="H92" s="327">
        <f>($D88*H88-H90)</f>
        <v>0</v>
      </c>
      <c r="I92" s="327">
        <f t="shared" si="83"/>
        <v>0</v>
      </c>
      <c r="J92" s="327">
        <f t="shared" si="83"/>
        <v>0</v>
      </c>
      <c r="K92" s="327">
        <f t="shared" si="83"/>
        <v>0</v>
      </c>
      <c r="L92" s="327">
        <f t="shared" si="83"/>
        <v>0</v>
      </c>
      <c r="M92" s="327">
        <f t="shared" si="83"/>
        <v>0</v>
      </c>
      <c r="N92" s="327">
        <f t="shared" si="83"/>
        <v>0</v>
      </c>
      <c r="O92" s="327">
        <f t="shared" si="83"/>
        <v>0</v>
      </c>
      <c r="P92" s="327">
        <f t="shared" si="83"/>
        <v>0</v>
      </c>
      <c r="Q92" s="327">
        <f t="shared" si="83"/>
        <v>0</v>
      </c>
      <c r="R92" s="327">
        <f t="shared" si="83"/>
        <v>0</v>
      </c>
      <c r="S92" s="327">
        <f t="shared" si="83"/>
        <v>0</v>
      </c>
      <c r="T92" s="327">
        <f t="shared" si="83"/>
        <v>0</v>
      </c>
      <c r="U92" s="327">
        <f t="shared" si="83"/>
        <v>0</v>
      </c>
      <c r="V92" s="327">
        <f t="shared" si="83"/>
        <v>0</v>
      </c>
      <c r="W92" s="327">
        <f t="shared" si="83"/>
        <v>0</v>
      </c>
      <c r="X92" s="327">
        <f t="shared" si="83"/>
        <v>0</v>
      </c>
      <c r="Y92" s="327">
        <f t="shared" si="83"/>
        <v>0</v>
      </c>
      <c r="Z92" s="327">
        <f t="shared" si="83"/>
        <v>0</v>
      </c>
      <c r="AA92" s="327">
        <f t="shared" si="83"/>
        <v>0</v>
      </c>
      <c r="AB92" s="327">
        <f t="shared" si="83"/>
        <v>0</v>
      </c>
      <c r="AC92" s="327">
        <f t="shared" si="83"/>
        <v>0</v>
      </c>
      <c r="AD92" s="327">
        <f t="shared" si="83"/>
        <v>0</v>
      </c>
      <c r="AE92" s="327">
        <f t="shared" si="83"/>
        <v>0</v>
      </c>
      <c r="AF92" s="327">
        <f t="shared" si="83"/>
        <v>0</v>
      </c>
      <c r="AG92" s="327">
        <f t="shared" si="83"/>
        <v>0</v>
      </c>
      <c r="AH92" s="327">
        <f t="shared" si="83"/>
        <v>0</v>
      </c>
      <c r="AI92" s="327">
        <f t="shared" si="83"/>
        <v>0</v>
      </c>
      <c r="AJ92" s="327">
        <f t="shared" si="83"/>
        <v>0</v>
      </c>
      <c r="AK92" s="327">
        <f t="shared" si="83"/>
        <v>0</v>
      </c>
      <c r="AL92" s="327">
        <f t="shared" si="83"/>
        <v>0</v>
      </c>
      <c r="AM92" s="327">
        <f t="shared" si="83"/>
        <v>0</v>
      </c>
      <c r="AN92" s="327">
        <f t="shared" si="83"/>
        <v>0</v>
      </c>
      <c r="AO92" s="327">
        <f t="shared" si="83"/>
        <v>0</v>
      </c>
      <c r="AP92" s="327">
        <f t="shared" si="83"/>
        <v>0</v>
      </c>
      <c r="AQ92" s="327">
        <f t="shared" si="83"/>
        <v>0</v>
      </c>
      <c r="AR92" s="328">
        <f t="shared" si="78"/>
        <v>0</v>
      </c>
      <c r="AS92" s="321">
        <f>+D88-AR90-AR92</f>
        <v>0</v>
      </c>
      <c r="AW92" s="274" t="str">
        <f>IF(F92="","X",IF(AND(E91&gt;0),F92,"-"))</f>
        <v>-</v>
      </c>
      <c r="AX92" s="274" t="str">
        <f t="shared" ca="1" si="79"/>
        <v/>
      </c>
    </row>
    <row r="93" spans="1:50" s="274" customFormat="1" ht="9.9499999999999993" hidden="1" customHeight="1">
      <c r="A93" s="2498">
        <f ca="1">Orcamento!B29</f>
        <v>0</v>
      </c>
      <c r="B93" s="2501" t="str">
        <f>Orcamento!D29</f>
        <v>IMPLANTAÇÃO DE PAVIMENTAÇÃO</v>
      </c>
      <c r="C93" s="305"/>
      <c r="D93" s="306"/>
      <c r="E93" s="307"/>
      <c r="F93" s="307"/>
      <c r="G93" s="307"/>
      <c r="H93" s="308">
        <f t="shared" ref="H93:AQ93" si="84">H94</f>
        <v>0</v>
      </c>
      <c r="I93" s="308">
        <f t="shared" si="84"/>
        <v>0</v>
      </c>
      <c r="J93" s="308">
        <f t="shared" si="84"/>
        <v>0</v>
      </c>
      <c r="K93" s="308">
        <f t="shared" si="84"/>
        <v>0</v>
      </c>
      <c r="L93" s="308">
        <f t="shared" si="84"/>
        <v>0</v>
      </c>
      <c r="M93" s="308">
        <f t="shared" si="84"/>
        <v>0</v>
      </c>
      <c r="N93" s="308">
        <f t="shared" si="84"/>
        <v>0</v>
      </c>
      <c r="O93" s="308">
        <f t="shared" si="84"/>
        <v>0</v>
      </c>
      <c r="P93" s="308">
        <f t="shared" si="84"/>
        <v>0</v>
      </c>
      <c r="Q93" s="308">
        <f t="shared" si="84"/>
        <v>0</v>
      </c>
      <c r="R93" s="308">
        <f t="shared" si="84"/>
        <v>0</v>
      </c>
      <c r="S93" s="308">
        <f t="shared" si="84"/>
        <v>0</v>
      </c>
      <c r="T93" s="308">
        <f t="shared" si="84"/>
        <v>0</v>
      </c>
      <c r="U93" s="308">
        <f t="shared" si="84"/>
        <v>0</v>
      </c>
      <c r="V93" s="308">
        <f t="shared" si="84"/>
        <v>0</v>
      </c>
      <c r="W93" s="308">
        <f t="shared" si="84"/>
        <v>0</v>
      </c>
      <c r="X93" s="308">
        <f t="shared" si="84"/>
        <v>0</v>
      </c>
      <c r="Y93" s="308">
        <f t="shared" si="84"/>
        <v>0</v>
      </c>
      <c r="Z93" s="308">
        <f t="shared" si="84"/>
        <v>0</v>
      </c>
      <c r="AA93" s="308">
        <f t="shared" si="84"/>
        <v>0</v>
      </c>
      <c r="AB93" s="308">
        <f t="shared" si="84"/>
        <v>0</v>
      </c>
      <c r="AC93" s="308">
        <f t="shared" si="84"/>
        <v>0</v>
      </c>
      <c r="AD93" s="308">
        <f t="shared" si="84"/>
        <v>0</v>
      </c>
      <c r="AE93" s="308">
        <f t="shared" si="84"/>
        <v>0</v>
      </c>
      <c r="AF93" s="308">
        <f t="shared" si="84"/>
        <v>0</v>
      </c>
      <c r="AG93" s="308">
        <f t="shared" si="84"/>
        <v>0</v>
      </c>
      <c r="AH93" s="308">
        <f t="shared" si="84"/>
        <v>0</v>
      </c>
      <c r="AI93" s="308">
        <f t="shared" si="84"/>
        <v>0</v>
      </c>
      <c r="AJ93" s="308">
        <f t="shared" si="84"/>
        <v>0</v>
      </c>
      <c r="AK93" s="308">
        <f t="shared" si="84"/>
        <v>0</v>
      </c>
      <c r="AL93" s="308">
        <f t="shared" si="84"/>
        <v>0</v>
      </c>
      <c r="AM93" s="308">
        <f t="shared" si="84"/>
        <v>0</v>
      </c>
      <c r="AN93" s="308">
        <f t="shared" si="84"/>
        <v>0</v>
      </c>
      <c r="AO93" s="308">
        <f t="shared" si="84"/>
        <v>0</v>
      </c>
      <c r="AP93" s="308">
        <f t="shared" si="84"/>
        <v>0</v>
      </c>
      <c r="AQ93" s="308">
        <f t="shared" si="84"/>
        <v>0</v>
      </c>
      <c r="AR93" s="309"/>
      <c r="AS93" s="310">
        <f>+D95-AR97-AR99</f>
        <v>0</v>
      </c>
      <c r="AW93" s="274" t="str">
        <f>IF(F93="","X",F93)</f>
        <v>X</v>
      </c>
      <c r="AX93" s="274" t="str">
        <f ca="1">IF($A$93=0,"","X")</f>
        <v/>
      </c>
    </row>
    <row r="94" spans="1:50" s="274" customFormat="1" ht="18" hidden="1" customHeight="1">
      <c r="A94" s="2499"/>
      <c r="B94" s="2502"/>
      <c r="C94" s="311" t="str">
        <f>CONCATENATE(Orcamento!K99," ",Orcamento!O99)</f>
        <v>0 35,57</v>
      </c>
      <c r="D94" s="2504">
        <f>Orcamento!S29</f>
        <v>0</v>
      </c>
      <c r="E94" s="2505"/>
      <c r="F94" s="312" t="s">
        <v>1192</v>
      </c>
      <c r="G94" s="312"/>
      <c r="H94" s="314"/>
      <c r="I94" s="314"/>
      <c r="J94" s="314"/>
      <c r="K94" s="314"/>
      <c r="L94" s="314"/>
      <c r="M94" s="314"/>
      <c r="N94" s="314"/>
      <c r="O94" s="314"/>
      <c r="P94" s="314"/>
      <c r="Q94" s="314"/>
      <c r="R94" s="314"/>
      <c r="S94" s="314"/>
      <c r="T94" s="314"/>
      <c r="U94" s="314"/>
      <c r="V94" s="314"/>
      <c r="W94" s="314"/>
      <c r="X94" s="314"/>
      <c r="Y94" s="314"/>
      <c r="Z94" s="314"/>
      <c r="AA94" s="314"/>
      <c r="AB94" s="314"/>
      <c r="AC94" s="314"/>
      <c r="AD94" s="314"/>
      <c r="AE94" s="314"/>
      <c r="AF94" s="314"/>
      <c r="AG94" s="314"/>
      <c r="AH94" s="314"/>
      <c r="AI94" s="314"/>
      <c r="AJ94" s="314"/>
      <c r="AK94" s="314"/>
      <c r="AL94" s="314"/>
      <c r="AM94" s="314"/>
      <c r="AN94" s="314"/>
      <c r="AO94" s="314"/>
      <c r="AP94" s="314"/>
      <c r="AQ94" s="314"/>
      <c r="AR94" s="315">
        <f t="shared" ref="AR94:AR99" si="85">SUM(H94:AQ94)</f>
        <v>0</v>
      </c>
      <c r="AS94" s="2506">
        <f>1-AR94</f>
        <v>1</v>
      </c>
      <c r="AU94" s="2507">
        <f>+COUNT(H94:AQ95)</f>
        <v>36</v>
      </c>
      <c r="AW94" s="274" t="str">
        <f>IF(F94="","X",F94)</f>
        <v>ND</v>
      </c>
      <c r="AX94" s="274" t="str">
        <f t="shared" ref="AX94:AX99" ca="1" si="86">IF($A$93=0,"","X")</f>
        <v/>
      </c>
    </row>
    <row r="95" spans="1:50" s="274" customFormat="1" ht="18" hidden="1" customHeight="1">
      <c r="A95" s="2499"/>
      <c r="B95" s="2502"/>
      <c r="C95" s="311" t="str">
        <f>CONCATENATE(Orcamento!K100," ",Orcamento!O100)</f>
        <v>0 134,41</v>
      </c>
      <c r="D95" s="2504">
        <f>Orcamento!T29</f>
        <v>0</v>
      </c>
      <c r="E95" s="2505"/>
      <c r="F95" s="316" t="s">
        <v>1193</v>
      </c>
      <c r="G95" s="316"/>
      <c r="H95" s="314">
        <f t="shared" ref="H95:AQ95" si="87">H94</f>
        <v>0</v>
      </c>
      <c r="I95" s="314">
        <f t="shared" si="87"/>
        <v>0</v>
      </c>
      <c r="J95" s="314">
        <f t="shared" si="87"/>
        <v>0</v>
      </c>
      <c r="K95" s="314">
        <f t="shared" si="87"/>
        <v>0</v>
      </c>
      <c r="L95" s="314">
        <f t="shared" si="87"/>
        <v>0</v>
      </c>
      <c r="M95" s="314">
        <f t="shared" si="87"/>
        <v>0</v>
      </c>
      <c r="N95" s="314">
        <f t="shared" si="87"/>
        <v>0</v>
      </c>
      <c r="O95" s="314">
        <f t="shared" si="87"/>
        <v>0</v>
      </c>
      <c r="P95" s="314">
        <f t="shared" si="87"/>
        <v>0</v>
      </c>
      <c r="Q95" s="314">
        <f t="shared" si="87"/>
        <v>0</v>
      </c>
      <c r="R95" s="314">
        <f t="shared" si="87"/>
        <v>0</v>
      </c>
      <c r="S95" s="314">
        <f t="shared" si="87"/>
        <v>0</v>
      </c>
      <c r="T95" s="314">
        <f t="shared" si="87"/>
        <v>0</v>
      </c>
      <c r="U95" s="314">
        <f t="shared" si="87"/>
        <v>0</v>
      </c>
      <c r="V95" s="314">
        <f t="shared" si="87"/>
        <v>0</v>
      </c>
      <c r="W95" s="314">
        <f t="shared" si="87"/>
        <v>0</v>
      </c>
      <c r="X95" s="314">
        <f t="shared" si="87"/>
        <v>0</v>
      </c>
      <c r="Y95" s="314">
        <f t="shared" si="87"/>
        <v>0</v>
      </c>
      <c r="Z95" s="314">
        <f t="shared" si="87"/>
        <v>0</v>
      </c>
      <c r="AA95" s="314">
        <f t="shared" si="87"/>
        <v>0</v>
      </c>
      <c r="AB95" s="314">
        <f t="shared" si="87"/>
        <v>0</v>
      </c>
      <c r="AC95" s="314">
        <f t="shared" si="87"/>
        <v>0</v>
      </c>
      <c r="AD95" s="314">
        <f t="shared" si="87"/>
        <v>0</v>
      </c>
      <c r="AE95" s="314">
        <f t="shared" si="87"/>
        <v>0</v>
      </c>
      <c r="AF95" s="314">
        <f t="shared" si="87"/>
        <v>0</v>
      </c>
      <c r="AG95" s="314">
        <f t="shared" si="87"/>
        <v>0</v>
      </c>
      <c r="AH95" s="314">
        <f t="shared" si="87"/>
        <v>0</v>
      </c>
      <c r="AI95" s="314">
        <f t="shared" si="87"/>
        <v>0</v>
      </c>
      <c r="AJ95" s="314">
        <f t="shared" si="87"/>
        <v>0</v>
      </c>
      <c r="AK95" s="314">
        <f t="shared" si="87"/>
        <v>0</v>
      </c>
      <c r="AL95" s="314">
        <f t="shared" si="87"/>
        <v>0</v>
      </c>
      <c r="AM95" s="314">
        <f t="shared" si="87"/>
        <v>0</v>
      </c>
      <c r="AN95" s="314">
        <f t="shared" si="87"/>
        <v>0</v>
      </c>
      <c r="AO95" s="314">
        <f t="shared" si="87"/>
        <v>0</v>
      </c>
      <c r="AP95" s="314">
        <f t="shared" si="87"/>
        <v>0</v>
      </c>
      <c r="AQ95" s="314">
        <f t="shared" si="87"/>
        <v>0</v>
      </c>
      <c r="AR95" s="315">
        <f t="shared" si="85"/>
        <v>0</v>
      </c>
      <c r="AS95" s="2506"/>
      <c r="AU95" s="2507"/>
      <c r="AW95" s="274" t="str">
        <f>IF(F95="","X",F95)</f>
        <v>DE</v>
      </c>
      <c r="AX95" s="274" t="str">
        <f t="shared" ca="1" si="86"/>
        <v/>
      </c>
    </row>
    <row r="96" spans="1:50" s="274" customFormat="1" ht="18" hidden="1" customHeight="1">
      <c r="A96" s="2499"/>
      <c r="B96" s="2502"/>
      <c r="C96" s="311"/>
      <c r="D96" s="317" t="s">
        <v>1194</v>
      </c>
      <c r="E96" s="2508">
        <f>$D$159</f>
        <v>1</v>
      </c>
      <c r="F96" s="318" t="s">
        <v>1192</v>
      </c>
      <c r="G96" s="318" t="str">
        <f>D96&amp;" | "&amp;F96</f>
        <v>CONCEDENTE | ND</v>
      </c>
      <c r="H96" s="319">
        <f t="shared" ref="H96:AQ96" si="88">IF($D94=0,0,IF(H94=0,0,($E96*$D94*H94)+$AU$163))</f>
        <v>0</v>
      </c>
      <c r="I96" s="319">
        <f t="shared" si="88"/>
        <v>0</v>
      </c>
      <c r="J96" s="319">
        <f t="shared" si="88"/>
        <v>0</v>
      </c>
      <c r="K96" s="319">
        <f t="shared" si="88"/>
        <v>0</v>
      </c>
      <c r="L96" s="319">
        <f t="shared" si="88"/>
        <v>0</v>
      </c>
      <c r="M96" s="319">
        <f t="shared" si="88"/>
        <v>0</v>
      </c>
      <c r="N96" s="319">
        <f t="shared" si="88"/>
        <v>0</v>
      </c>
      <c r="O96" s="319">
        <f t="shared" si="88"/>
        <v>0</v>
      </c>
      <c r="P96" s="319">
        <f t="shared" si="88"/>
        <v>0</v>
      </c>
      <c r="Q96" s="319">
        <f t="shared" si="88"/>
        <v>0</v>
      </c>
      <c r="R96" s="319">
        <f t="shared" si="88"/>
        <v>0</v>
      </c>
      <c r="S96" s="319">
        <f t="shared" si="88"/>
        <v>0</v>
      </c>
      <c r="T96" s="319">
        <f t="shared" si="88"/>
        <v>0</v>
      </c>
      <c r="U96" s="319">
        <f t="shared" si="88"/>
        <v>0</v>
      </c>
      <c r="V96" s="319">
        <f t="shared" si="88"/>
        <v>0</v>
      </c>
      <c r="W96" s="319">
        <f t="shared" si="88"/>
        <v>0</v>
      </c>
      <c r="X96" s="319">
        <f t="shared" si="88"/>
        <v>0</v>
      </c>
      <c r="Y96" s="319">
        <f t="shared" si="88"/>
        <v>0</v>
      </c>
      <c r="Z96" s="319">
        <f t="shared" si="88"/>
        <v>0</v>
      </c>
      <c r="AA96" s="319">
        <f t="shared" si="88"/>
        <v>0</v>
      </c>
      <c r="AB96" s="319">
        <f t="shared" si="88"/>
        <v>0</v>
      </c>
      <c r="AC96" s="319">
        <f t="shared" si="88"/>
        <v>0</v>
      </c>
      <c r="AD96" s="319">
        <f t="shared" si="88"/>
        <v>0</v>
      </c>
      <c r="AE96" s="319">
        <f t="shared" si="88"/>
        <v>0</v>
      </c>
      <c r="AF96" s="319">
        <f t="shared" si="88"/>
        <v>0</v>
      </c>
      <c r="AG96" s="319">
        <f t="shared" si="88"/>
        <v>0</v>
      </c>
      <c r="AH96" s="319">
        <f t="shared" si="88"/>
        <v>0</v>
      </c>
      <c r="AI96" s="319">
        <f t="shared" si="88"/>
        <v>0</v>
      </c>
      <c r="AJ96" s="319">
        <f t="shared" si="88"/>
        <v>0</v>
      </c>
      <c r="AK96" s="319">
        <f t="shared" si="88"/>
        <v>0</v>
      </c>
      <c r="AL96" s="319">
        <f t="shared" si="88"/>
        <v>0</v>
      </c>
      <c r="AM96" s="319">
        <f t="shared" si="88"/>
        <v>0</v>
      </c>
      <c r="AN96" s="319">
        <f t="shared" si="88"/>
        <v>0</v>
      </c>
      <c r="AO96" s="319">
        <f t="shared" si="88"/>
        <v>0</v>
      </c>
      <c r="AP96" s="319">
        <f t="shared" si="88"/>
        <v>0</v>
      </c>
      <c r="AQ96" s="319">
        <f t="shared" si="88"/>
        <v>0</v>
      </c>
      <c r="AR96" s="320">
        <f t="shared" si="85"/>
        <v>0</v>
      </c>
      <c r="AS96" s="321">
        <f>TRUNC(AR96-D94*E96,2)</f>
        <v>0</v>
      </c>
      <c r="AT96" s="322" t="e">
        <f>+AR96/D94</f>
        <v>#DIV/0!</v>
      </c>
      <c r="AW96" s="274" t="str">
        <f>IF(F96="","X",IF(AND(E96&gt;0),F96,"-"))</f>
        <v>ND</v>
      </c>
      <c r="AX96" s="274" t="str">
        <f t="shared" ca="1" si="86"/>
        <v/>
      </c>
    </row>
    <row r="97" spans="1:50" s="274" customFormat="1" ht="18" hidden="1" customHeight="1">
      <c r="A97" s="2499"/>
      <c r="B97" s="2502"/>
      <c r="C97" s="311"/>
      <c r="D97" s="317" t="s">
        <v>1194</v>
      </c>
      <c r="E97" s="2509"/>
      <c r="F97" s="323" t="s">
        <v>1193</v>
      </c>
      <c r="G97" s="323" t="str">
        <f>D97&amp;" | "&amp;F97</f>
        <v>CONCEDENTE | DE</v>
      </c>
      <c r="H97" s="319">
        <f t="shared" ref="H97:AQ97" si="89">IF($D95=0,0,IF(H95=0,0,($E96*$D95*H95)+$AU$163))</f>
        <v>0</v>
      </c>
      <c r="I97" s="319">
        <f t="shared" si="89"/>
        <v>0</v>
      </c>
      <c r="J97" s="319">
        <f t="shared" si="89"/>
        <v>0</v>
      </c>
      <c r="K97" s="319">
        <f t="shared" si="89"/>
        <v>0</v>
      </c>
      <c r="L97" s="319">
        <f t="shared" si="89"/>
        <v>0</v>
      </c>
      <c r="M97" s="319">
        <f t="shared" si="89"/>
        <v>0</v>
      </c>
      <c r="N97" s="319">
        <f t="shared" si="89"/>
        <v>0</v>
      </c>
      <c r="O97" s="319">
        <f t="shared" si="89"/>
        <v>0</v>
      </c>
      <c r="P97" s="319">
        <f t="shared" si="89"/>
        <v>0</v>
      </c>
      <c r="Q97" s="319">
        <f t="shared" si="89"/>
        <v>0</v>
      </c>
      <c r="R97" s="319">
        <f t="shared" si="89"/>
        <v>0</v>
      </c>
      <c r="S97" s="319">
        <f t="shared" si="89"/>
        <v>0</v>
      </c>
      <c r="T97" s="319">
        <f t="shared" si="89"/>
        <v>0</v>
      </c>
      <c r="U97" s="319">
        <f t="shared" si="89"/>
        <v>0</v>
      </c>
      <c r="V97" s="319">
        <f t="shared" si="89"/>
        <v>0</v>
      </c>
      <c r="W97" s="319">
        <f t="shared" si="89"/>
        <v>0</v>
      </c>
      <c r="X97" s="319">
        <f t="shared" si="89"/>
        <v>0</v>
      </c>
      <c r="Y97" s="319">
        <f t="shared" si="89"/>
        <v>0</v>
      </c>
      <c r="Z97" s="319">
        <f t="shared" si="89"/>
        <v>0</v>
      </c>
      <c r="AA97" s="319">
        <f t="shared" si="89"/>
        <v>0</v>
      </c>
      <c r="AB97" s="319">
        <f t="shared" si="89"/>
        <v>0</v>
      </c>
      <c r="AC97" s="319">
        <f t="shared" si="89"/>
        <v>0</v>
      </c>
      <c r="AD97" s="319">
        <f t="shared" si="89"/>
        <v>0</v>
      </c>
      <c r="AE97" s="319">
        <f t="shared" si="89"/>
        <v>0</v>
      </c>
      <c r="AF97" s="319">
        <f t="shared" si="89"/>
        <v>0</v>
      </c>
      <c r="AG97" s="319">
        <f t="shared" si="89"/>
        <v>0</v>
      </c>
      <c r="AH97" s="319">
        <f t="shared" si="89"/>
        <v>0</v>
      </c>
      <c r="AI97" s="319">
        <f t="shared" si="89"/>
        <v>0</v>
      </c>
      <c r="AJ97" s="319">
        <f t="shared" si="89"/>
        <v>0</v>
      </c>
      <c r="AK97" s="319">
        <f t="shared" si="89"/>
        <v>0</v>
      </c>
      <c r="AL97" s="319">
        <f t="shared" si="89"/>
        <v>0</v>
      </c>
      <c r="AM97" s="319">
        <f t="shared" si="89"/>
        <v>0</v>
      </c>
      <c r="AN97" s="319">
        <f t="shared" si="89"/>
        <v>0</v>
      </c>
      <c r="AO97" s="319">
        <f t="shared" si="89"/>
        <v>0</v>
      </c>
      <c r="AP97" s="319">
        <f t="shared" si="89"/>
        <v>0</v>
      </c>
      <c r="AQ97" s="319">
        <f t="shared" si="89"/>
        <v>0</v>
      </c>
      <c r="AR97" s="320">
        <f t="shared" si="85"/>
        <v>0</v>
      </c>
      <c r="AS97" s="321">
        <f>TRUNC(AR97-D95*E96,2)</f>
        <v>0</v>
      </c>
      <c r="AT97" s="322" t="e">
        <f>+AR97/D95</f>
        <v>#DIV/0!</v>
      </c>
      <c r="AW97" s="274" t="str">
        <f>IF(F97="","X",IF(AND(E96&gt;0),F97,"-"))</f>
        <v>DE</v>
      </c>
      <c r="AX97" s="274" t="str">
        <f t="shared" ca="1" si="86"/>
        <v/>
      </c>
    </row>
    <row r="98" spans="1:50" s="274" customFormat="1" ht="18" hidden="1" customHeight="1" thickBot="1">
      <c r="A98" s="2499"/>
      <c r="B98" s="2502"/>
      <c r="C98" s="324"/>
      <c r="D98" s="325" t="s">
        <v>1195</v>
      </c>
      <c r="E98" s="2510">
        <f>1-E96</f>
        <v>0</v>
      </c>
      <c r="F98" s="326" t="s">
        <v>1192</v>
      </c>
      <c r="G98" s="326" t="str">
        <f>D98&amp;" | "&amp;F98</f>
        <v>PROPONENTE | ND</v>
      </c>
      <c r="H98" s="327">
        <f>($D94*H94-H96)</f>
        <v>0</v>
      </c>
      <c r="I98" s="327">
        <f t="shared" ref="I98:AQ99" si="90">($D94*I94-I96)</f>
        <v>0</v>
      </c>
      <c r="J98" s="327">
        <f t="shared" si="90"/>
        <v>0</v>
      </c>
      <c r="K98" s="327">
        <f t="shared" si="90"/>
        <v>0</v>
      </c>
      <c r="L98" s="327">
        <f t="shared" si="90"/>
        <v>0</v>
      </c>
      <c r="M98" s="327">
        <f t="shared" si="90"/>
        <v>0</v>
      </c>
      <c r="N98" s="327">
        <f t="shared" si="90"/>
        <v>0</v>
      </c>
      <c r="O98" s="327">
        <f t="shared" si="90"/>
        <v>0</v>
      </c>
      <c r="P98" s="327">
        <f t="shared" si="90"/>
        <v>0</v>
      </c>
      <c r="Q98" s="327">
        <f t="shared" si="90"/>
        <v>0</v>
      </c>
      <c r="R98" s="327">
        <f t="shared" si="90"/>
        <v>0</v>
      </c>
      <c r="S98" s="327">
        <f t="shared" si="90"/>
        <v>0</v>
      </c>
      <c r="T98" s="327">
        <f t="shared" si="90"/>
        <v>0</v>
      </c>
      <c r="U98" s="327">
        <f t="shared" si="90"/>
        <v>0</v>
      </c>
      <c r="V98" s="327">
        <f t="shared" si="90"/>
        <v>0</v>
      </c>
      <c r="W98" s="327">
        <f t="shared" si="90"/>
        <v>0</v>
      </c>
      <c r="X98" s="327">
        <f t="shared" si="90"/>
        <v>0</v>
      </c>
      <c r="Y98" s="327">
        <f t="shared" si="90"/>
        <v>0</v>
      </c>
      <c r="Z98" s="327">
        <f t="shared" si="90"/>
        <v>0</v>
      </c>
      <c r="AA98" s="327">
        <f t="shared" si="90"/>
        <v>0</v>
      </c>
      <c r="AB98" s="327">
        <f t="shared" si="90"/>
        <v>0</v>
      </c>
      <c r="AC98" s="327">
        <f t="shared" si="90"/>
        <v>0</v>
      </c>
      <c r="AD98" s="327">
        <f t="shared" si="90"/>
        <v>0</v>
      </c>
      <c r="AE98" s="327">
        <f t="shared" si="90"/>
        <v>0</v>
      </c>
      <c r="AF98" s="327">
        <f t="shared" si="90"/>
        <v>0</v>
      </c>
      <c r="AG98" s="327">
        <f t="shared" si="90"/>
        <v>0</v>
      </c>
      <c r="AH98" s="327">
        <f t="shared" si="90"/>
        <v>0</v>
      </c>
      <c r="AI98" s="327">
        <f t="shared" si="90"/>
        <v>0</v>
      </c>
      <c r="AJ98" s="327">
        <f t="shared" si="90"/>
        <v>0</v>
      </c>
      <c r="AK98" s="327">
        <f t="shared" si="90"/>
        <v>0</v>
      </c>
      <c r="AL98" s="327">
        <f t="shared" si="90"/>
        <v>0</v>
      </c>
      <c r="AM98" s="327">
        <f t="shared" si="90"/>
        <v>0</v>
      </c>
      <c r="AN98" s="327">
        <f t="shared" si="90"/>
        <v>0</v>
      </c>
      <c r="AO98" s="327">
        <f t="shared" si="90"/>
        <v>0</v>
      </c>
      <c r="AP98" s="327">
        <f t="shared" si="90"/>
        <v>0</v>
      </c>
      <c r="AQ98" s="327">
        <f t="shared" si="90"/>
        <v>0</v>
      </c>
      <c r="AR98" s="328">
        <f t="shared" si="85"/>
        <v>0</v>
      </c>
      <c r="AS98" s="321">
        <f>+D94-AR96-AR98</f>
        <v>0</v>
      </c>
      <c r="AW98" s="274" t="str">
        <f>IF(F98="","X",IF(AND(E98&gt;0),F98,"-"))</f>
        <v>-</v>
      </c>
      <c r="AX98" s="274" t="str">
        <f t="shared" ca="1" si="86"/>
        <v/>
      </c>
    </row>
    <row r="99" spans="1:50" s="274" customFormat="1" ht="18" hidden="1" customHeight="1" thickBot="1">
      <c r="A99" s="2500"/>
      <c r="B99" s="2503"/>
      <c r="C99" s="324"/>
      <c r="D99" s="325" t="s">
        <v>1195</v>
      </c>
      <c r="E99" s="2511"/>
      <c r="F99" s="329" t="s">
        <v>1193</v>
      </c>
      <c r="G99" s="329" t="str">
        <f>D99&amp;" | "&amp;F99</f>
        <v>PROPONENTE | DE</v>
      </c>
      <c r="H99" s="327">
        <f>($D95*H95-H97)</f>
        <v>0</v>
      </c>
      <c r="I99" s="327">
        <f t="shared" si="90"/>
        <v>0</v>
      </c>
      <c r="J99" s="327">
        <f t="shared" si="90"/>
        <v>0</v>
      </c>
      <c r="K99" s="327">
        <f t="shared" si="90"/>
        <v>0</v>
      </c>
      <c r="L99" s="327">
        <f t="shared" si="90"/>
        <v>0</v>
      </c>
      <c r="M99" s="327">
        <f t="shared" si="90"/>
        <v>0</v>
      </c>
      <c r="N99" s="327">
        <f t="shared" si="90"/>
        <v>0</v>
      </c>
      <c r="O99" s="327">
        <f t="shared" si="90"/>
        <v>0</v>
      </c>
      <c r="P99" s="327">
        <f t="shared" si="90"/>
        <v>0</v>
      </c>
      <c r="Q99" s="327">
        <f t="shared" si="90"/>
        <v>0</v>
      </c>
      <c r="R99" s="327">
        <f t="shared" si="90"/>
        <v>0</v>
      </c>
      <c r="S99" s="327">
        <f t="shared" si="90"/>
        <v>0</v>
      </c>
      <c r="T99" s="327">
        <f t="shared" si="90"/>
        <v>0</v>
      </c>
      <c r="U99" s="327">
        <f t="shared" si="90"/>
        <v>0</v>
      </c>
      <c r="V99" s="327">
        <f t="shared" si="90"/>
        <v>0</v>
      </c>
      <c r="W99" s="327">
        <f t="shared" si="90"/>
        <v>0</v>
      </c>
      <c r="X99" s="327">
        <f t="shared" si="90"/>
        <v>0</v>
      </c>
      <c r="Y99" s="327">
        <f t="shared" si="90"/>
        <v>0</v>
      </c>
      <c r="Z99" s="327">
        <f t="shared" si="90"/>
        <v>0</v>
      </c>
      <c r="AA99" s="327">
        <f t="shared" si="90"/>
        <v>0</v>
      </c>
      <c r="AB99" s="327">
        <f t="shared" si="90"/>
        <v>0</v>
      </c>
      <c r="AC99" s="327">
        <f t="shared" si="90"/>
        <v>0</v>
      </c>
      <c r="AD99" s="327">
        <f t="shared" si="90"/>
        <v>0</v>
      </c>
      <c r="AE99" s="327">
        <f t="shared" si="90"/>
        <v>0</v>
      </c>
      <c r="AF99" s="327">
        <f t="shared" si="90"/>
        <v>0</v>
      </c>
      <c r="AG99" s="327">
        <f t="shared" si="90"/>
        <v>0</v>
      </c>
      <c r="AH99" s="327">
        <f t="shared" si="90"/>
        <v>0</v>
      </c>
      <c r="AI99" s="327">
        <f t="shared" si="90"/>
        <v>0</v>
      </c>
      <c r="AJ99" s="327">
        <f t="shared" si="90"/>
        <v>0</v>
      </c>
      <c r="AK99" s="327">
        <f t="shared" si="90"/>
        <v>0</v>
      </c>
      <c r="AL99" s="327">
        <f t="shared" si="90"/>
        <v>0</v>
      </c>
      <c r="AM99" s="327">
        <f t="shared" si="90"/>
        <v>0</v>
      </c>
      <c r="AN99" s="327">
        <f t="shared" si="90"/>
        <v>0</v>
      </c>
      <c r="AO99" s="327">
        <f t="shared" si="90"/>
        <v>0</v>
      </c>
      <c r="AP99" s="327">
        <f t="shared" si="90"/>
        <v>0</v>
      </c>
      <c r="AQ99" s="327">
        <f t="shared" si="90"/>
        <v>0</v>
      </c>
      <c r="AR99" s="328">
        <f t="shared" si="85"/>
        <v>0</v>
      </c>
      <c r="AS99" s="321">
        <f>+D95-AR97-AR99</f>
        <v>0</v>
      </c>
      <c r="AW99" s="274" t="str">
        <f>IF(F99="","X",IF(AND(E98&gt;0),F99,"-"))</f>
        <v>-</v>
      </c>
      <c r="AX99" s="274" t="str">
        <f t="shared" ca="1" si="86"/>
        <v/>
      </c>
    </row>
    <row r="100" spans="1:50" s="274" customFormat="1" ht="9.9499999999999993" hidden="1" customHeight="1">
      <c r="A100" s="2498">
        <f ca="1">Orcamento!B30</f>
        <v>0</v>
      </c>
      <c r="B100" s="2501" t="str">
        <f>Orcamento!D30</f>
        <v>SERVIÇOS COMPLEMENTARES</v>
      </c>
      <c r="C100" s="305"/>
      <c r="D100" s="306"/>
      <c r="E100" s="307"/>
      <c r="F100" s="307"/>
      <c r="G100" s="307"/>
      <c r="H100" s="308">
        <f t="shared" ref="H100:AQ100" si="91">H101</f>
        <v>0</v>
      </c>
      <c r="I100" s="308">
        <f t="shared" si="91"/>
        <v>0</v>
      </c>
      <c r="J100" s="308">
        <f t="shared" si="91"/>
        <v>0</v>
      </c>
      <c r="K100" s="308">
        <f t="shared" si="91"/>
        <v>0</v>
      </c>
      <c r="L100" s="308">
        <f t="shared" si="91"/>
        <v>0.5</v>
      </c>
      <c r="M100" s="308">
        <f t="shared" si="91"/>
        <v>0.5</v>
      </c>
      <c r="N100" s="308">
        <f t="shared" si="91"/>
        <v>0</v>
      </c>
      <c r="O100" s="308">
        <f t="shared" si="91"/>
        <v>0</v>
      </c>
      <c r="P100" s="308">
        <f t="shared" si="91"/>
        <v>0</v>
      </c>
      <c r="Q100" s="308">
        <f t="shared" si="91"/>
        <v>0</v>
      </c>
      <c r="R100" s="308">
        <f t="shared" si="91"/>
        <v>0</v>
      </c>
      <c r="S100" s="308">
        <f t="shared" si="91"/>
        <v>0</v>
      </c>
      <c r="T100" s="308">
        <f t="shared" si="91"/>
        <v>0</v>
      </c>
      <c r="U100" s="308">
        <f t="shared" si="91"/>
        <v>0</v>
      </c>
      <c r="V100" s="308">
        <f t="shared" si="91"/>
        <v>0</v>
      </c>
      <c r="W100" s="308">
        <f t="shared" si="91"/>
        <v>0</v>
      </c>
      <c r="X100" s="308">
        <f t="shared" si="91"/>
        <v>0</v>
      </c>
      <c r="Y100" s="308">
        <f t="shared" si="91"/>
        <v>0</v>
      </c>
      <c r="Z100" s="308">
        <f t="shared" si="91"/>
        <v>0</v>
      </c>
      <c r="AA100" s="308">
        <f t="shared" si="91"/>
        <v>0</v>
      </c>
      <c r="AB100" s="308">
        <f t="shared" si="91"/>
        <v>0</v>
      </c>
      <c r="AC100" s="308">
        <f t="shared" si="91"/>
        <v>0</v>
      </c>
      <c r="AD100" s="308">
        <f t="shared" si="91"/>
        <v>0</v>
      </c>
      <c r="AE100" s="308">
        <f t="shared" si="91"/>
        <v>0</v>
      </c>
      <c r="AF100" s="308">
        <f t="shared" si="91"/>
        <v>0</v>
      </c>
      <c r="AG100" s="308">
        <f t="shared" si="91"/>
        <v>0</v>
      </c>
      <c r="AH100" s="308">
        <f t="shared" si="91"/>
        <v>0</v>
      </c>
      <c r="AI100" s="308">
        <f t="shared" si="91"/>
        <v>0</v>
      </c>
      <c r="AJ100" s="308">
        <f t="shared" si="91"/>
        <v>0</v>
      </c>
      <c r="AK100" s="308">
        <f t="shared" si="91"/>
        <v>0</v>
      </c>
      <c r="AL100" s="308">
        <f t="shared" si="91"/>
        <v>0</v>
      </c>
      <c r="AM100" s="308">
        <f t="shared" si="91"/>
        <v>0</v>
      </c>
      <c r="AN100" s="308">
        <f t="shared" si="91"/>
        <v>0</v>
      </c>
      <c r="AO100" s="308">
        <f t="shared" si="91"/>
        <v>0</v>
      </c>
      <c r="AP100" s="308">
        <f t="shared" si="91"/>
        <v>0</v>
      </c>
      <c r="AQ100" s="308">
        <f t="shared" si="91"/>
        <v>0</v>
      </c>
      <c r="AR100" s="309"/>
      <c r="AS100" s="310">
        <f>+D102-AR104-AR106</f>
        <v>0</v>
      </c>
      <c r="AW100" s="274" t="str">
        <f>IF(F100="","X",F100)</f>
        <v>X</v>
      </c>
      <c r="AX100" s="274" t="str">
        <f ca="1">IF($A$100=0,"","X")</f>
        <v/>
      </c>
    </row>
    <row r="101" spans="1:50" s="274" customFormat="1" ht="18" hidden="1" customHeight="1">
      <c r="A101" s="2499"/>
      <c r="B101" s="2502"/>
      <c r="C101" s="311" t="str">
        <f>CONCATENATE(Orcamento!K106," ",Orcamento!O106)</f>
        <v xml:space="preserve"> </v>
      </c>
      <c r="D101" s="2504">
        <f>Orcamento!S30</f>
        <v>0</v>
      </c>
      <c r="E101" s="2505"/>
      <c r="F101" s="312" t="s">
        <v>1192</v>
      </c>
      <c r="G101" s="312"/>
      <c r="H101" s="314"/>
      <c r="I101" s="314"/>
      <c r="J101" s="314"/>
      <c r="K101" s="314"/>
      <c r="L101" s="314">
        <v>0.5</v>
      </c>
      <c r="M101" s="314">
        <v>0.5</v>
      </c>
      <c r="N101" s="314"/>
      <c r="O101" s="314"/>
      <c r="P101" s="314"/>
      <c r="Q101" s="314"/>
      <c r="R101" s="314"/>
      <c r="S101" s="314"/>
      <c r="T101" s="314"/>
      <c r="U101" s="314"/>
      <c r="V101" s="314"/>
      <c r="W101" s="314"/>
      <c r="X101" s="314"/>
      <c r="Y101" s="314"/>
      <c r="Z101" s="314"/>
      <c r="AA101" s="314"/>
      <c r="AB101" s="314"/>
      <c r="AC101" s="314"/>
      <c r="AD101" s="314"/>
      <c r="AE101" s="314"/>
      <c r="AF101" s="314"/>
      <c r="AG101" s="314"/>
      <c r="AH101" s="314"/>
      <c r="AI101" s="314"/>
      <c r="AJ101" s="314"/>
      <c r="AK101" s="314"/>
      <c r="AL101" s="314"/>
      <c r="AM101" s="314"/>
      <c r="AN101" s="314"/>
      <c r="AO101" s="314"/>
      <c r="AP101" s="314"/>
      <c r="AQ101" s="314"/>
      <c r="AR101" s="315">
        <f t="shared" ref="AR101:AR106" si="92">SUM(H101:AQ101)</f>
        <v>1</v>
      </c>
      <c r="AS101" s="2506">
        <f>1-AR101</f>
        <v>0</v>
      </c>
      <c r="AU101" s="2507">
        <f>+COUNT(H101:AQ102)</f>
        <v>38</v>
      </c>
      <c r="AW101" s="274" t="str">
        <f>IF(F101="","X",F101)</f>
        <v>ND</v>
      </c>
      <c r="AX101" s="274" t="str">
        <f t="shared" ref="AX101:AX106" ca="1" si="93">IF($A$100=0,"","X")</f>
        <v/>
      </c>
    </row>
    <row r="102" spans="1:50" s="274" customFormat="1" ht="18" hidden="1" customHeight="1">
      <c r="A102" s="2499"/>
      <c r="B102" s="2502"/>
      <c r="C102" s="311" t="str">
        <f>CONCATENATE(Orcamento!K107," ",Orcamento!O107)</f>
        <v>0 2,52</v>
      </c>
      <c r="D102" s="2504">
        <f>Orcamento!T30</f>
        <v>0</v>
      </c>
      <c r="E102" s="2505"/>
      <c r="F102" s="316" t="s">
        <v>1193</v>
      </c>
      <c r="G102" s="316"/>
      <c r="H102" s="314">
        <f t="shared" ref="H102:AQ102" si="94">H101</f>
        <v>0</v>
      </c>
      <c r="I102" s="314">
        <f t="shared" si="94"/>
        <v>0</v>
      </c>
      <c r="J102" s="314">
        <f t="shared" si="94"/>
        <v>0</v>
      </c>
      <c r="K102" s="314">
        <f t="shared" si="94"/>
        <v>0</v>
      </c>
      <c r="L102" s="314">
        <f t="shared" si="94"/>
        <v>0.5</v>
      </c>
      <c r="M102" s="314">
        <f t="shared" si="94"/>
        <v>0.5</v>
      </c>
      <c r="N102" s="314">
        <f t="shared" si="94"/>
        <v>0</v>
      </c>
      <c r="O102" s="314">
        <f t="shared" si="94"/>
        <v>0</v>
      </c>
      <c r="P102" s="314">
        <f t="shared" si="94"/>
        <v>0</v>
      </c>
      <c r="Q102" s="314">
        <f t="shared" si="94"/>
        <v>0</v>
      </c>
      <c r="R102" s="314">
        <f t="shared" si="94"/>
        <v>0</v>
      </c>
      <c r="S102" s="314">
        <f t="shared" si="94"/>
        <v>0</v>
      </c>
      <c r="T102" s="314">
        <f t="shared" si="94"/>
        <v>0</v>
      </c>
      <c r="U102" s="314">
        <f t="shared" si="94"/>
        <v>0</v>
      </c>
      <c r="V102" s="314">
        <f t="shared" si="94"/>
        <v>0</v>
      </c>
      <c r="W102" s="314">
        <f t="shared" si="94"/>
        <v>0</v>
      </c>
      <c r="X102" s="314">
        <f t="shared" si="94"/>
        <v>0</v>
      </c>
      <c r="Y102" s="314">
        <f t="shared" si="94"/>
        <v>0</v>
      </c>
      <c r="Z102" s="314">
        <f t="shared" si="94"/>
        <v>0</v>
      </c>
      <c r="AA102" s="314">
        <f t="shared" si="94"/>
        <v>0</v>
      </c>
      <c r="AB102" s="314">
        <f t="shared" si="94"/>
        <v>0</v>
      </c>
      <c r="AC102" s="314">
        <f t="shared" si="94"/>
        <v>0</v>
      </c>
      <c r="AD102" s="314">
        <f t="shared" si="94"/>
        <v>0</v>
      </c>
      <c r="AE102" s="314">
        <f t="shared" si="94"/>
        <v>0</v>
      </c>
      <c r="AF102" s="314">
        <f t="shared" si="94"/>
        <v>0</v>
      </c>
      <c r="AG102" s="314">
        <f t="shared" si="94"/>
        <v>0</v>
      </c>
      <c r="AH102" s="314">
        <f t="shared" si="94"/>
        <v>0</v>
      </c>
      <c r="AI102" s="314">
        <f t="shared" si="94"/>
        <v>0</v>
      </c>
      <c r="AJ102" s="314">
        <f t="shared" si="94"/>
        <v>0</v>
      </c>
      <c r="AK102" s="314">
        <f t="shared" si="94"/>
        <v>0</v>
      </c>
      <c r="AL102" s="314">
        <f t="shared" si="94"/>
        <v>0</v>
      </c>
      <c r="AM102" s="314">
        <f t="shared" si="94"/>
        <v>0</v>
      </c>
      <c r="AN102" s="314">
        <f t="shared" si="94"/>
        <v>0</v>
      </c>
      <c r="AO102" s="314">
        <f t="shared" si="94"/>
        <v>0</v>
      </c>
      <c r="AP102" s="314">
        <f t="shared" si="94"/>
        <v>0</v>
      </c>
      <c r="AQ102" s="314">
        <f t="shared" si="94"/>
        <v>0</v>
      </c>
      <c r="AR102" s="315">
        <f t="shared" si="92"/>
        <v>1</v>
      </c>
      <c r="AS102" s="2506"/>
      <c r="AU102" s="2507"/>
      <c r="AW102" s="274" t="str">
        <f>IF(F102="","X",F102)</f>
        <v>DE</v>
      </c>
      <c r="AX102" s="274" t="str">
        <f t="shared" ca="1" si="93"/>
        <v/>
      </c>
    </row>
    <row r="103" spans="1:50" s="274" customFormat="1" ht="18" hidden="1" customHeight="1">
      <c r="A103" s="2499"/>
      <c r="B103" s="2502"/>
      <c r="C103" s="311"/>
      <c r="D103" s="317" t="s">
        <v>1194</v>
      </c>
      <c r="E103" s="2508">
        <f>$D$159</f>
        <v>1</v>
      </c>
      <c r="F103" s="318" t="s">
        <v>1192</v>
      </c>
      <c r="G103" s="318" t="str">
        <f>D103&amp;" | "&amp;F103</f>
        <v>CONCEDENTE | ND</v>
      </c>
      <c r="H103" s="319">
        <f t="shared" ref="H103:AQ103" si="95">IF($D101=0,0,IF(H101=0,0,($E103*$D101*H101)+$AU$163))</f>
        <v>0</v>
      </c>
      <c r="I103" s="319">
        <f t="shared" si="95"/>
        <v>0</v>
      </c>
      <c r="J103" s="319">
        <f t="shared" si="95"/>
        <v>0</v>
      </c>
      <c r="K103" s="319">
        <f t="shared" si="95"/>
        <v>0</v>
      </c>
      <c r="L103" s="319">
        <f t="shared" si="95"/>
        <v>0</v>
      </c>
      <c r="M103" s="319">
        <f t="shared" si="95"/>
        <v>0</v>
      </c>
      <c r="N103" s="319">
        <f t="shared" si="95"/>
        <v>0</v>
      </c>
      <c r="O103" s="319">
        <f t="shared" si="95"/>
        <v>0</v>
      </c>
      <c r="P103" s="319">
        <f t="shared" si="95"/>
        <v>0</v>
      </c>
      <c r="Q103" s="319">
        <f t="shared" si="95"/>
        <v>0</v>
      </c>
      <c r="R103" s="319">
        <f t="shared" si="95"/>
        <v>0</v>
      </c>
      <c r="S103" s="319">
        <f t="shared" si="95"/>
        <v>0</v>
      </c>
      <c r="T103" s="319">
        <f t="shared" si="95"/>
        <v>0</v>
      </c>
      <c r="U103" s="319">
        <f t="shared" si="95"/>
        <v>0</v>
      </c>
      <c r="V103" s="319">
        <f t="shared" si="95"/>
        <v>0</v>
      </c>
      <c r="W103" s="319">
        <f t="shared" si="95"/>
        <v>0</v>
      </c>
      <c r="X103" s="319">
        <f t="shared" si="95"/>
        <v>0</v>
      </c>
      <c r="Y103" s="319">
        <f t="shared" si="95"/>
        <v>0</v>
      </c>
      <c r="Z103" s="319">
        <f t="shared" si="95"/>
        <v>0</v>
      </c>
      <c r="AA103" s="319">
        <f t="shared" si="95"/>
        <v>0</v>
      </c>
      <c r="AB103" s="319">
        <f t="shared" si="95"/>
        <v>0</v>
      </c>
      <c r="AC103" s="319">
        <f t="shared" si="95"/>
        <v>0</v>
      </c>
      <c r="AD103" s="319">
        <f t="shared" si="95"/>
        <v>0</v>
      </c>
      <c r="AE103" s="319">
        <f t="shared" si="95"/>
        <v>0</v>
      </c>
      <c r="AF103" s="319">
        <f t="shared" si="95"/>
        <v>0</v>
      </c>
      <c r="AG103" s="319">
        <f t="shared" si="95"/>
        <v>0</v>
      </c>
      <c r="AH103" s="319">
        <f t="shared" si="95"/>
        <v>0</v>
      </c>
      <c r="AI103" s="319">
        <f t="shared" si="95"/>
        <v>0</v>
      </c>
      <c r="AJ103" s="319">
        <f t="shared" si="95"/>
        <v>0</v>
      </c>
      <c r="AK103" s="319">
        <f t="shared" si="95"/>
        <v>0</v>
      </c>
      <c r="AL103" s="319">
        <f t="shared" si="95"/>
        <v>0</v>
      </c>
      <c r="AM103" s="319">
        <f t="shared" si="95"/>
        <v>0</v>
      </c>
      <c r="AN103" s="319">
        <f t="shared" si="95"/>
        <v>0</v>
      </c>
      <c r="AO103" s="319">
        <f t="shared" si="95"/>
        <v>0</v>
      </c>
      <c r="AP103" s="319">
        <f t="shared" si="95"/>
        <v>0</v>
      </c>
      <c r="AQ103" s="319">
        <f t="shared" si="95"/>
        <v>0</v>
      </c>
      <c r="AR103" s="320">
        <f t="shared" si="92"/>
        <v>0</v>
      </c>
      <c r="AS103" s="321">
        <f>TRUNC(AR103-D101*E103,2)</f>
        <v>0</v>
      </c>
      <c r="AT103" s="322" t="e">
        <f>+AR103/D101</f>
        <v>#DIV/0!</v>
      </c>
      <c r="AW103" s="274" t="str">
        <f>IF(F103="","X",IF(AND(E103&gt;0),F103,"-"))</f>
        <v>ND</v>
      </c>
      <c r="AX103" s="274" t="str">
        <f t="shared" ca="1" si="93"/>
        <v/>
      </c>
    </row>
    <row r="104" spans="1:50" s="274" customFormat="1" ht="18" hidden="1" customHeight="1">
      <c r="A104" s="2499"/>
      <c r="B104" s="2502"/>
      <c r="C104" s="311"/>
      <c r="D104" s="317" t="s">
        <v>1194</v>
      </c>
      <c r="E104" s="2509"/>
      <c r="F104" s="323" t="s">
        <v>1193</v>
      </c>
      <c r="G104" s="323" t="str">
        <f>D104&amp;" | "&amp;F104</f>
        <v>CONCEDENTE | DE</v>
      </c>
      <c r="H104" s="319">
        <f t="shared" ref="H104:AQ104" si="96">IF($D102=0,0,IF(H102=0,0,($E103*$D102*H102)+$AU$163))</f>
        <v>0</v>
      </c>
      <c r="I104" s="319">
        <f t="shared" si="96"/>
        <v>0</v>
      </c>
      <c r="J104" s="319">
        <f t="shared" si="96"/>
        <v>0</v>
      </c>
      <c r="K104" s="319">
        <f t="shared" si="96"/>
        <v>0</v>
      </c>
      <c r="L104" s="319">
        <f t="shared" si="96"/>
        <v>0</v>
      </c>
      <c r="M104" s="319">
        <f t="shared" si="96"/>
        <v>0</v>
      </c>
      <c r="N104" s="319">
        <f t="shared" si="96"/>
        <v>0</v>
      </c>
      <c r="O104" s="319">
        <f t="shared" si="96"/>
        <v>0</v>
      </c>
      <c r="P104" s="319">
        <f t="shared" si="96"/>
        <v>0</v>
      </c>
      <c r="Q104" s="319">
        <f t="shared" si="96"/>
        <v>0</v>
      </c>
      <c r="R104" s="319">
        <f t="shared" si="96"/>
        <v>0</v>
      </c>
      <c r="S104" s="319">
        <f t="shared" si="96"/>
        <v>0</v>
      </c>
      <c r="T104" s="319">
        <f t="shared" si="96"/>
        <v>0</v>
      </c>
      <c r="U104" s="319">
        <f t="shared" si="96"/>
        <v>0</v>
      </c>
      <c r="V104" s="319">
        <f t="shared" si="96"/>
        <v>0</v>
      </c>
      <c r="W104" s="319">
        <f t="shared" si="96"/>
        <v>0</v>
      </c>
      <c r="X104" s="319">
        <f t="shared" si="96"/>
        <v>0</v>
      </c>
      <c r="Y104" s="319">
        <f t="shared" si="96"/>
        <v>0</v>
      </c>
      <c r="Z104" s="319">
        <f t="shared" si="96"/>
        <v>0</v>
      </c>
      <c r="AA104" s="319">
        <f t="shared" si="96"/>
        <v>0</v>
      </c>
      <c r="AB104" s="319">
        <f t="shared" si="96"/>
        <v>0</v>
      </c>
      <c r="AC104" s="319">
        <f t="shared" si="96"/>
        <v>0</v>
      </c>
      <c r="AD104" s="319">
        <f t="shared" si="96"/>
        <v>0</v>
      </c>
      <c r="AE104" s="319">
        <f t="shared" si="96"/>
        <v>0</v>
      </c>
      <c r="AF104" s="319">
        <f t="shared" si="96"/>
        <v>0</v>
      </c>
      <c r="AG104" s="319">
        <f t="shared" si="96"/>
        <v>0</v>
      </c>
      <c r="AH104" s="319">
        <f t="shared" si="96"/>
        <v>0</v>
      </c>
      <c r="AI104" s="319">
        <f t="shared" si="96"/>
        <v>0</v>
      </c>
      <c r="AJ104" s="319">
        <f t="shared" si="96"/>
        <v>0</v>
      </c>
      <c r="AK104" s="319">
        <f t="shared" si="96"/>
        <v>0</v>
      </c>
      <c r="AL104" s="319">
        <f t="shared" si="96"/>
        <v>0</v>
      </c>
      <c r="AM104" s="319">
        <f t="shared" si="96"/>
        <v>0</v>
      </c>
      <c r="AN104" s="319">
        <f t="shared" si="96"/>
        <v>0</v>
      </c>
      <c r="AO104" s="319">
        <f t="shared" si="96"/>
        <v>0</v>
      </c>
      <c r="AP104" s="319">
        <f t="shared" si="96"/>
        <v>0</v>
      </c>
      <c r="AQ104" s="319">
        <f t="shared" si="96"/>
        <v>0</v>
      </c>
      <c r="AR104" s="320">
        <f t="shared" si="92"/>
        <v>0</v>
      </c>
      <c r="AS104" s="321">
        <f>TRUNC(AR104-D102*E103,2)</f>
        <v>0</v>
      </c>
      <c r="AT104" s="322" t="e">
        <f>+AR104/D102</f>
        <v>#DIV/0!</v>
      </c>
      <c r="AW104" s="274" t="str">
        <f>IF(F104="","X",IF(AND(E103&gt;0),F104,"-"))</f>
        <v>DE</v>
      </c>
      <c r="AX104" s="274" t="str">
        <f t="shared" ca="1" si="93"/>
        <v/>
      </c>
    </row>
    <row r="105" spans="1:50" s="274" customFormat="1" ht="18" hidden="1" customHeight="1" thickBot="1">
      <c r="A105" s="2499"/>
      <c r="B105" s="2502"/>
      <c r="C105" s="324"/>
      <c r="D105" s="325" t="s">
        <v>1195</v>
      </c>
      <c r="E105" s="2510">
        <f>1-E103</f>
        <v>0</v>
      </c>
      <c r="F105" s="326" t="s">
        <v>1192</v>
      </c>
      <c r="G105" s="326" t="str">
        <f>D105&amp;" | "&amp;F105</f>
        <v>PROPONENTE | ND</v>
      </c>
      <c r="H105" s="327">
        <f>($D101*H101-H103)</f>
        <v>0</v>
      </c>
      <c r="I105" s="327">
        <f t="shared" ref="I105:AQ106" si="97">($D101*I101-I103)</f>
        <v>0</v>
      </c>
      <c r="J105" s="327">
        <f t="shared" si="97"/>
        <v>0</v>
      </c>
      <c r="K105" s="327">
        <f t="shared" si="97"/>
        <v>0</v>
      </c>
      <c r="L105" s="327">
        <f t="shared" si="97"/>
        <v>0</v>
      </c>
      <c r="M105" s="327">
        <f t="shared" si="97"/>
        <v>0</v>
      </c>
      <c r="N105" s="327">
        <f t="shared" si="97"/>
        <v>0</v>
      </c>
      <c r="O105" s="327">
        <f t="shared" si="97"/>
        <v>0</v>
      </c>
      <c r="P105" s="327">
        <f t="shared" si="97"/>
        <v>0</v>
      </c>
      <c r="Q105" s="327">
        <f t="shared" si="97"/>
        <v>0</v>
      </c>
      <c r="R105" s="327">
        <f t="shared" si="97"/>
        <v>0</v>
      </c>
      <c r="S105" s="327">
        <f t="shared" si="97"/>
        <v>0</v>
      </c>
      <c r="T105" s="327">
        <f t="shared" si="97"/>
        <v>0</v>
      </c>
      <c r="U105" s="327">
        <f t="shared" si="97"/>
        <v>0</v>
      </c>
      <c r="V105" s="327">
        <f t="shared" si="97"/>
        <v>0</v>
      </c>
      <c r="W105" s="327">
        <f t="shared" si="97"/>
        <v>0</v>
      </c>
      <c r="X105" s="327">
        <f t="shared" si="97"/>
        <v>0</v>
      </c>
      <c r="Y105" s="327">
        <f t="shared" si="97"/>
        <v>0</v>
      </c>
      <c r="Z105" s="327">
        <f t="shared" si="97"/>
        <v>0</v>
      </c>
      <c r="AA105" s="327">
        <f t="shared" si="97"/>
        <v>0</v>
      </c>
      <c r="AB105" s="327">
        <f t="shared" si="97"/>
        <v>0</v>
      </c>
      <c r="AC105" s="327">
        <f t="shared" si="97"/>
        <v>0</v>
      </c>
      <c r="AD105" s="327">
        <f t="shared" si="97"/>
        <v>0</v>
      </c>
      <c r="AE105" s="327">
        <f t="shared" si="97"/>
        <v>0</v>
      </c>
      <c r="AF105" s="327">
        <f t="shared" si="97"/>
        <v>0</v>
      </c>
      <c r="AG105" s="327">
        <f t="shared" si="97"/>
        <v>0</v>
      </c>
      <c r="AH105" s="327">
        <f t="shared" si="97"/>
        <v>0</v>
      </c>
      <c r="AI105" s="327">
        <f t="shared" si="97"/>
        <v>0</v>
      </c>
      <c r="AJ105" s="327">
        <f t="shared" si="97"/>
        <v>0</v>
      </c>
      <c r="AK105" s="327">
        <f t="shared" si="97"/>
        <v>0</v>
      </c>
      <c r="AL105" s="327">
        <f t="shared" si="97"/>
        <v>0</v>
      </c>
      <c r="AM105" s="327">
        <f t="shared" si="97"/>
        <v>0</v>
      </c>
      <c r="AN105" s="327">
        <f t="shared" si="97"/>
        <v>0</v>
      </c>
      <c r="AO105" s="327">
        <f t="shared" si="97"/>
        <v>0</v>
      </c>
      <c r="AP105" s="327">
        <f t="shared" si="97"/>
        <v>0</v>
      </c>
      <c r="AQ105" s="327">
        <f t="shared" si="97"/>
        <v>0</v>
      </c>
      <c r="AR105" s="328">
        <f t="shared" si="92"/>
        <v>0</v>
      </c>
      <c r="AS105" s="321">
        <f>+D101-AR103-AR105</f>
        <v>0</v>
      </c>
      <c r="AW105" s="274" t="str">
        <f>IF(F105="","X",IF(AND(E105&gt;0),F105,"-"))</f>
        <v>-</v>
      </c>
      <c r="AX105" s="274" t="str">
        <f t="shared" ca="1" si="93"/>
        <v/>
      </c>
    </row>
    <row r="106" spans="1:50" s="274" customFormat="1" ht="18" hidden="1" customHeight="1" thickBot="1">
      <c r="A106" s="2500"/>
      <c r="B106" s="2503"/>
      <c r="C106" s="324"/>
      <c r="D106" s="325" t="s">
        <v>1195</v>
      </c>
      <c r="E106" s="2511"/>
      <c r="F106" s="329" t="s">
        <v>1193</v>
      </c>
      <c r="G106" s="329" t="str">
        <f>D106&amp;" | "&amp;F106</f>
        <v>PROPONENTE | DE</v>
      </c>
      <c r="H106" s="327">
        <f>($D102*H102-H104)</f>
        <v>0</v>
      </c>
      <c r="I106" s="327">
        <f t="shared" si="97"/>
        <v>0</v>
      </c>
      <c r="J106" s="327">
        <f t="shared" si="97"/>
        <v>0</v>
      </c>
      <c r="K106" s="327">
        <f t="shared" si="97"/>
        <v>0</v>
      </c>
      <c r="L106" s="327">
        <f t="shared" si="97"/>
        <v>0</v>
      </c>
      <c r="M106" s="327">
        <f t="shared" si="97"/>
        <v>0</v>
      </c>
      <c r="N106" s="327">
        <f t="shared" si="97"/>
        <v>0</v>
      </c>
      <c r="O106" s="327">
        <f t="shared" si="97"/>
        <v>0</v>
      </c>
      <c r="P106" s="327">
        <f t="shared" si="97"/>
        <v>0</v>
      </c>
      <c r="Q106" s="327">
        <f t="shared" si="97"/>
        <v>0</v>
      </c>
      <c r="R106" s="327">
        <f t="shared" si="97"/>
        <v>0</v>
      </c>
      <c r="S106" s="327">
        <f t="shared" si="97"/>
        <v>0</v>
      </c>
      <c r="T106" s="327">
        <f t="shared" si="97"/>
        <v>0</v>
      </c>
      <c r="U106" s="327">
        <f t="shared" si="97"/>
        <v>0</v>
      </c>
      <c r="V106" s="327">
        <f t="shared" si="97"/>
        <v>0</v>
      </c>
      <c r="W106" s="327">
        <f t="shared" si="97"/>
        <v>0</v>
      </c>
      <c r="X106" s="327">
        <f t="shared" si="97"/>
        <v>0</v>
      </c>
      <c r="Y106" s="327">
        <f t="shared" si="97"/>
        <v>0</v>
      </c>
      <c r="Z106" s="327">
        <f t="shared" si="97"/>
        <v>0</v>
      </c>
      <c r="AA106" s="327">
        <f t="shared" si="97"/>
        <v>0</v>
      </c>
      <c r="AB106" s="327">
        <f t="shared" si="97"/>
        <v>0</v>
      </c>
      <c r="AC106" s="327">
        <f t="shared" si="97"/>
        <v>0</v>
      </c>
      <c r="AD106" s="327">
        <f t="shared" si="97"/>
        <v>0</v>
      </c>
      <c r="AE106" s="327">
        <f t="shared" si="97"/>
        <v>0</v>
      </c>
      <c r="AF106" s="327">
        <f t="shared" si="97"/>
        <v>0</v>
      </c>
      <c r="AG106" s="327">
        <f t="shared" si="97"/>
        <v>0</v>
      </c>
      <c r="AH106" s="327">
        <f t="shared" si="97"/>
        <v>0</v>
      </c>
      <c r="AI106" s="327">
        <f t="shared" si="97"/>
        <v>0</v>
      </c>
      <c r="AJ106" s="327">
        <f t="shared" si="97"/>
        <v>0</v>
      </c>
      <c r="AK106" s="327">
        <f t="shared" si="97"/>
        <v>0</v>
      </c>
      <c r="AL106" s="327">
        <f t="shared" si="97"/>
        <v>0</v>
      </c>
      <c r="AM106" s="327">
        <f t="shared" si="97"/>
        <v>0</v>
      </c>
      <c r="AN106" s="327">
        <f t="shared" si="97"/>
        <v>0</v>
      </c>
      <c r="AO106" s="327">
        <f t="shared" si="97"/>
        <v>0</v>
      </c>
      <c r="AP106" s="327">
        <f t="shared" si="97"/>
        <v>0</v>
      </c>
      <c r="AQ106" s="327">
        <f t="shared" si="97"/>
        <v>0</v>
      </c>
      <c r="AR106" s="328">
        <f t="shared" si="92"/>
        <v>0</v>
      </c>
      <c r="AS106" s="321">
        <f>+D102-AR104-AR106</f>
        <v>0</v>
      </c>
      <c r="AW106" s="274" t="str">
        <f>IF(F106="","X",IF(AND(E105&gt;0),F106,"-"))</f>
        <v>-</v>
      </c>
      <c r="AX106" s="274" t="str">
        <f t="shared" ca="1" si="93"/>
        <v/>
      </c>
    </row>
    <row r="107" spans="1:50" s="274" customFormat="1" ht="9.9499999999999993" hidden="1" customHeight="1">
      <c r="A107" s="2498">
        <f ca="1">Orcamento!B31</f>
        <v>0</v>
      </c>
      <c r="B107" s="2501" t="str">
        <f>Orcamento!D31</f>
        <v>PASSEIO COM ACESSIBILIDADE</v>
      </c>
      <c r="C107" s="305"/>
      <c r="D107" s="306"/>
      <c r="E107" s="307"/>
      <c r="F107" s="307"/>
      <c r="G107" s="307"/>
      <c r="H107" s="308">
        <f t="shared" ref="H107:AQ107" si="98">H108</f>
        <v>0</v>
      </c>
      <c r="I107" s="308">
        <f t="shared" si="98"/>
        <v>0</v>
      </c>
      <c r="J107" s="308">
        <f t="shared" si="98"/>
        <v>0</v>
      </c>
      <c r="K107" s="308">
        <f t="shared" si="98"/>
        <v>0</v>
      </c>
      <c r="L107" s="308">
        <f t="shared" si="98"/>
        <v>0</v>
      </c>
      <c r="M107" s="308">
        <f t="shared" si="98"/>
        <v>0</v>
      </c>
      <c r="N107" s="308">
        <f t="shared" si="98"/>
        <v>0</v>
      </c>
      <c r="O107" s="308">
        <f t="shared" si="98"/>
        <v>0</v>
      </c>
      <c r="P107" s="308">
        <f t="shared" si="98"/>
        <v>0</v>
      </c>
      <c r="Q107" s="308">
        <f t="shared" si="98"/>
        <v>0</v>
      </c>
      <c r="R107" s="308">
        <f t="shared" si="98"/>
        <v>0</v>
      </c>
      <c r="S107" s="308">
        <f t="shared" si="98"/>
        <v>0</v>
      </c>
      <c r="T107" s="308">
        <f t="shared" si="98"/>
        <v>0</v>
      </c>
      <c r="U107" s="308">
        <f t="shared" si="98"/>
        <v>0</v>
      </c>
      <c r="V107" s="308">
        <f t="shared" si="98"/>
        <v>0</v>
      </c>
      <c r="W107" s="308">
        <f t="shared" si="98"/>
        <v>0</v>
      </c>
      <c r="X107" s="308">
        <f t="shared" si="98"/>
        <v>0</v>
      </c>
      <c r="Y107" s="308">
        <f t="shared" si="98"/>
        <v>0</v>
      </c>
      <c r="Z107" s="308">
        <f t="shared" si="98"/>
        <v>0</v>
      </c>
      <c r="AA107" s="308">
        <f t="shared" si="98"/>
        <v>0</v>
      </c>
      <c r="AB107" s="308">
        <f t="shared" si="98"/>
        <v>0</v>
      </c>
      <c r="AC107" s="308">
        <f t="shared" si="98"/>
        <v>0</v>
      </c>
      <c r="AD107" s="308">
        <f t="shared" si="98"/>
        <v>0</v>
      </c>
      <c r="AE107" s="308">
        <f t="shared" si="98"/>
        <v>0</v>
      </c>
      <c r="AF107" s="308">
        <f t="shared" si="98"/>
        <v>0</v>
      </c>
      <c r="AG107" s="308">
        <f t="shared" si="98"/>
        <v>0</v>
      </c>
      <c r="AH107" s="308">
        <f t="shared" si="98"/>
        <v>0</v>
      </c>
      <c r="AI107" s="308">
        <f t="shared" si="98"/>
        <v>0</v>
      </c>
      <c r="AJ107" s="308">
        <f t="shared" si="98"/>
        <v>0</v>
      </c>
      <c r="AK107" s="308">
        <f t="shared" si="98"/>
        <v>0</v>
      </c>
      <c r="AL107" s="308">
        <f t="shared" si="98"/>
        <v>0</v>
      </c>
      <c r="AM107" s="308">
        <f t="shared" si="98"/>
        <v>0</v>
      </c>
      <c r="AN107" s="308">
        <f t="shared" si="98"/>
        <v>0</v>
      </c>
      <c r="AO107" s="308">
        <f t="shared" si="98"/>
        <v>0</v>
      </c>
      <c r="AP107" s="308">
        <f t="shared" si="98"/>
        <v>0</v>
      </c>
      <c r="AQ107" s="308">
        <f t="shared" si="98"/>
        <v>0</v>
      </c>
      <c r="AR107" s="309"/>
      <c r="AS107" s="310">
        <f>+D109-AR111-AR113</f>
        <v>0</v>
      </c>
      <c r="AW107" s="274" t="str">
        <f>IF(F107="","X",F107)</f>
        <v>X</v>
      </c>
      <c r="AX107" s="274" t="str">
        <f ca="1">IF($A$107=0,"","X")</f>
        <v/>
      </c>
    </row>
    <row r="108" spans="1:50" s="274" customFormat="1" ht="18" hidden="1" customHeight="1">
      <c r="A108" s="2499"/>
      <c r="B108" s="2502"/>
      <c r="C108" s="311" t="str">
        <f>CONCATENATE(Orcamento!K113," ",Orcamento!O113)</f>
        <v>0 1,01</v>
      </c>
      <c r="D108" s="2504">
        <f>Orcamento!S31</f>
        <v>0</v>
      </c>
      <c r="E108" s="2505"/>
      <c r="F108" s="312" t="s">
        <v>1192</v>
      </c>
      <c r="G108" s="312"/>
      <c r="H108" s="314"/>
      <c r="I108" s="314"/>
      <c r="J108" s="314"/>
      <c r="K108" s="314"/>
      <c r="L108" s="314"/>
      <c r="M108" s="314"/>
      <c r="N108" s="314"/>
      <c r="O108" s="314"/>
      <c r="P108" s="314"/>
      <c r="Q108" s="314"/>
      <c r="R108" s="314"/>
      <c r="S108" s="314"/>
      <c r="T108" s="314"/>
      <c r="U108" s="314"/>
      <c r="V108" s="314"/>
      <c r="W108" s="314"/>
      <c r="X108" s="314"/>
      <c r="Y108" s="314"/>
      <c r="Z108" s="314"/>
      <c r="AA108" s="314"/>
      <c r="AB108" s="314"/>
      <c r="AC108" s="314"/>
      <c r="AD108" s="314"/>
      <c r="AE108" s="314"/>
      <c r="AF108" s="314"/>
      <c r="AG108" s="314"/>
      <c r="AH108" s="314"/>
      <c r="AI108" s="314"/>
      <c r="AJ108" s="314"/>
      <c r="AK108" s="314"/>
      <c r="AL108" s="314"/>
      <c r="AM108" s="314"/>
      <c r="AN108" s="314"/>
      <c r="AO108" s="314"/>
      <c r="AP108" s="314"/>
      <c r="AQ108" s="314"/>
      <c r="AR108" s="315">
        <f t="shared" ref="AR108:AR113" si="99">SUM(H108:AQ108)</f>
        <v>0</v>
      </c>
      <c r="AS108" s="2506">
        <f>1-AR108</f>
        <v>1</v>
      </c>
      <c r="AU108" s="2507">
        <f>+COUNT(H108:AQ109)</f>
        <v>36</v>
      </c>
      <c r="AW108" s="274" t="str">
        <f>IF(F108="","X",F108)</f>
        <v>ND</v>
      </c>
      <c r="AX108" s="274" t="str">
        <f t="shared" ref="AX108:AX113" ca="1" si="100">IF($A$107=0,"","X")</f>
        <v/>
      </c>
    </row>
    <row r="109" spans="1:50" s="274" customFormat="1" ht="18" hidden="1" customHeight="1">
      <c r="A109" s="2499"/>
      <c r="B109" s="2502"/>
      <c r="C109" s="311" t="str">
        <f>CONCATENATE(Orcamento!K114," ",Orcamento!O114)</f>
        <v xml:space="preserve"> </v>
      </c>
      <c r="D109" s="2504">
        <f>Orcamento!T31</f>
        <v>0</v>
      </c>
      <c r="E109" s="2505"/>
      <c r="F109" s="316" t="s">
        <v>1193</v>
      </c>
      <c r="G109" s="316"/>
      <c r="H109" s="314">
        <f t="shared" ref="H109:AQ109" si="101">H108</f>
        <v>0</v>
      </c>
      <c r="I109" s="314">
        <f t="shared" si="101"/>
        <v>0</v>
      </c>
      <c r="J109" s="314">
        <f t="shared" si="101"/>
        <v>0</v>
      </c>
      <c r="K109" s="314">
        <f t="shared" si="101"/>
        <v>0</v>
      </c>
      <c r="L109" s="314">
        <f t="shared" si="101"/>
        <v>0</v>
      </c>
      <c r="M109" s="314">
        <f t="shared" si="101"/>
        <v>0</v>
      </c>
      <c r="N109" s="314">
        <f t="shared" si="101"/>
        <v>0</v>
      </c>
      <c r="O109" s="314">
        <f t="shared" si="101"/>
        <v>0</v>
      </c>
      <c r="P109" s="314">
        <f t="shared" si="101"/>
        <v>0</v>
      </c>
      <c r="Q109" s="314">
        <f t="shared" si="101"/>
        <v>0</v>
      </c>
      <c r="R109" s="314">
        <f t="shared" si="101"/>
        <v>0</v>
      </c>
      <c r="S109" s="314">
        <f t="shared" si="101"/>
        <v>0</v>
      </c>
      <c r="T109" s="314">
        <f t="shared" si="101"/>
        <v>0</v>
      </c>
      <c r="U109" s="314">
        <f t="shared" si="101"/>
        <v>0</v>
      </c>
      <c r="V109" s="314">
        <f t="shared" si="101"/>
        <v>0</v>
      </c>
      <c r="W109" s="314">
        <f t="shared" si="101"/>
        <v>0</v>
      </c>
      <c r="X109" s="314">
        <f t="shared" si="101"/>
        <v>0</v>
      </c>
      <c r="Y109" s="314">
        <f t="shared" si="101"/>
        <v>0</v>
      </c>
      <c r="Z109" s="314">
        <f t="shared" si="101"/>
        <v>0</v>
      </c>
      <c r="AA109" s="314">
        <f t="shared" si="101"/>
        <v>0</v>
      </c>
      <c r="AB109" s="314">
        <f t="shared" si="101"/>
        <v>0</v>
      </c>
      <c r="AC109" s="314">
        <f t="shared" si="101"/>
        <v>0</v>
      </c>
      <c r="AD109" s="314">
        <f t="shared" si="101"/>
        <v>0</v>
      </c>
      <c r="AE109" s="314">
        <f t="shared" si="101"/>
        <v>0</v>
      </c>
      <c r="AF109" s="314">
        <f t="shared" si="101"/>
        <v>0</v>
      </c>
      <c r="AG109" s="314">
        <f t="shared" si="101"/>
        <v>0</v>
      </c>
      <c r="AH109" s="314">
        <f t="shared" si="101"/>
        <v>0</v>
      </c>
      <c r="AI109" s="314">
        <f t="shared" si="101"/>
        <v>0</v>
      </c>
      <c r="AJ109" s="314">
        <f t="shared" si="101"/>
        <v>0</v>
      </c>
      <c r="AK109" s="314">
        <f t="shared" si="101"/>
        <v>0</v>
      </c>
      <c r="AL109" s="314">
        <f t="shared" si="101"/>
        <v>0</v>
      </c>
      <c r="AM109" s="314">
        <f t="shared" si="101"/>
        <v>0</v>
      </c>
      <c r="AN109" s="314">
        <f t="shared" si="101"/>
        <v>0</v>
      </c>
      <c r="AO109" s="314">
        <f t="shared" si="101"/>
        <v>0</v>
      </c>
      <c r="AP109" s="314">
        <f t="shared" si="101"/>
        <v>0</v>
      </c>
      <c r="AQ109" s="314">
        <f t="shared" si="101"/>
        <v>0</v>
      </c>
      <c r="AR109" s="315">
        <f t="shared" si="99"/>
        <v>0</v>
      </c>
      <c r="AS109" s="2506"/>
      <c r="AU109" s="2507"/>
      <c r="AW109" s="274" t="str">
        <f>IF(F109="","X",F109)</f>
        <v>DE</v>
      </c>
      <c r="AX109" s="274" t="str">
        <f t="shared" ca="1" si="100"/>
        <v/>
      </c>
    </row>
    <row r="110" spans="1:50" s="274" customFormat="1" ht="18" hidden="1" customHeight="1">
      <c r="A110" s="2499"/>
      <c r="B110" s="2502"/>
      <c r="C110" s="311"/>
      <c r="D110" s="317" t="s">
        <v>1194</v>
      </c>
      <c r="E110" s="2508">
        <f>$D$159</f>
        <v>1</v>
      </c>
      <c r="F110" s="318" t="s">
        <v>1192</v>
      </c>
      <c r="G110" s="318" t="str">
        <f>D110&amp;" | "&amp;F110</f>
        <v>CONCEDENTE | ND</v>
      </c>
      <c r="H110" s="319">
        <f t="shared" ref="H110:AQ110" si="102">IF($D108=0,0,IF(H108=0,0,($E110*$D108*H108)+$AU$163))</f>
        <v>0</v>
      </c>
      <c r="I110" s="319">
        <f t="shared" si="102"/>
        <v>0</v>
      </c>
      <c r="J110" s="319">
        <f t="shared" si="102"/>
        <v>0</v>
      </c>
      <c r="K110" s="319">
        <f t="shared" si="102"/>
        <v>0</v>
      </c>
      <c r="L110" s="319">
        <f t="shared" si="102"/>
        <v>0</v>
      </c>
      <c r="M110" s="319">
        <f t="shared" si="102"/>
        <v>0</v>
      </c>
      <c r="N110" s="319">
        <f t="shared" si="102"/>
        <v>0</v>
      </c>
      <c r="O110" s="319">
        <f t="shared" si="102"/>
        <v>0</v>
      </c>
      <c r="P110" s="319">
        <f t="shared" si="102"/>
        <v>0</v>
      </c>
      <c r="Q110" s="319">
        <f t="shared" si="102"/>
        <v>0</v>
      </c>
      <c r="R110" s="319">
        <f t="shared" si="102"/>
        <v>0</v>
      </c>
      <c r="S110" s="319">
        <f t="shared" si="102"/>
        <v>0</v>
      </c>
      <c r="T110" s="319">
        <f t="shared" si="102"/>
        <v>0</v>
      </c>
      <c r="U110" s="319">
        <f t="shared" si="102"/>
        <v>0</v>
      </c>
      <c r="V110" s="319">
        <f t="shared" si="102"/>
        <v>0</v>
      </c>
      <c r="W110" s="319">
        <f t="shared" si="102"/>
        <v>0</v>
      </c>
      <c r="X110" s="319">
        <f t="shared" si="102"/>
        <v>0</v>
      </c>
      <c r="Y110" s="319">
        <f t="shared" si="102"/>
        <v>0</v>
      </c>
      <c r="Z110" s="319">
        <f t="shared" si="102"/>
        <v>0</v>
      </c>
      <c r="AA110" s="319">
        <f t="shared" si="102"/>
        <v>0</v>
      </c>
      <c r="AB110" s="319">
        <f t="shared" si="102"/>
        <v>0</v>
      </c>
      <c r="AC110" s="319">
        <f t="shared" si="102"/>
        <v>0</v>
      </c>
      <c r="AD110" s="319">
        <f t="shared" si="102"/>
        <v>0</v>
      </c>
      <c r="AE110" s="319">
        <f t="shared" si="102"/>
        <v>0</v>
      </c>
      <c r="AF110" s="319">
        <f t="shared" si="102"/>
        <v>0</v>
      </c>
      <c r="AG110" s="319">
        <f t="shared" si="102"/>
        <v>0</v>
      </c>
      <c r="AH110" s="319">
        <f t="shared" si="102"/>
        <v>0</v>
      </c>
      <c r="AI110" s="319">
        <f t="shared" si="102"/>
        <v>0</v>
      </c>
      <c r="AJ110" s="319">
        <f t="shared" si="102"/>
        <v>0</v>
      </c>
      <c r="AK110" s="319">
        <f t="shared" si="102"/>
        <v>0</v>
      </c>
      <c r="AL110" s="319">
        <f t="shared" si="102"/>
        <v>0</v>
      </c>
      <c r="AM110" s="319">
        <f t="shared" si="102"/>
        <v>0</v>
      </c>
      <c r="AN110" s="319">
        <f t="shared" si="102"/>
        <v>0</v>
      </c>
      <c r="AO110" s="319">
        <f t="shared" si="102"/>
        <v>0</v>
      </c>
      <c r="AP110" s="319">
        <f t="shared" si="102"/>
        <v>0</v>
      </c>
      <c r="AQ110" s="319">
        <f t="shared" si="102"/>
        <v>0</v>
      </c>
      <c r="AR110" s="320">
        <f t="shared" si="99"/>
        <v>0</v>
      </c>
      <c r="AS110" s="321">
        <f>TRUNC(AR110-D108*E110,2)</f>
        <v>0</v>
      </c>
      <c r="AT110" s="322" t="e">
        <f>+AR110/D108</f>
        <v>#DIV/0!</v>
      </c>
      <c r="AW110" s="274" t="str">
        <f>IF(F110="","X",IF(AND(E110&gt;0),F110,"-"))</f>
        <v>ND</v>
      </c>
      <c r="AX110" s="274" t="str">
        <f t="shared" ca="1" si="100"/>
        <v/>
      </c>
    </row>
    <row r="111" spans="1:50" s="274" customFormat="1" ht="18" hidden="1" customHeight="1">
      <c r="A111" s="2499"/>
      <c r="B111" s="2502"/>
      <c r="C111" s="311"/>
      <c r="D111" s="317" t="s">
        <v>1194</v>
      </c>
      <c r="E111" s="2509"/>
      <c r="F111" s="323" t="s">
        <v>1193</v>
      </c>
      <c r="G111" s="323" t="str">
        <f>D111&amp;" | "&amp;F111</f>
        <v>CONCEDENTE | DE</v>
      </c>
      <c r="H111" s="319">
        <f t="shared" ref="H111:AQ111" si="103">IF($D109=0,0,IF(H109=0,0,($E110*$D109*H109)+$AU$163))</f>
        <v>0</v>
      </c>
      <c r="I111" s="319">
        <f t="shared" si="103"/>
        <v>0</v>
      </c>
      <c r="J111" s="319">
        <f t="shared" si="103"/>
        <v>0</v>
      </c>
      <c r="K111" s="319">
        <f t="shared" si="103"/>
        <v>0</v>
      </c>
      <c r="L111" s="319">
        <f t="shared" si="103"/>
        <v>0</v>
      </c>
      <c r="M111" s="319">
        <f t="shared" si="103"/>
        <v>0</v>
      </c>
      <c r="N111" s="319">
        <f t="shared" si="103"/>
        <v>0</v>
      </c>
      <c r="O111" s="319">
        <f t="shared" si="103"/>
        <v>0</v>
      </c>
      <c r="P111" s="319">
        <f t="shared" si="103"/>
        <v>0</v>
      </c>
      <c r="Q111" s="319">
        <f t="shared" si="103"/>
        <v>0</v>
      </c>
      <c r="R111" s="319">
        <f t="shared" si="103"/>
        <v>0</v>
      </c>
      <c r="S111" s="319">
        <f t="shared" si="103"/>
        <v>0</v>
      </c>
      <c r="T111" s="319">
        <f t="shared" si="103"/>
        <v>0</v>
      </c>
      <c r="U111" s="319">
        <f t="shared" si="103"/>
        <v>0</v>
      </c>
      <c r="V111" s="319">
        <f t="shared" si="103"/>
        <v>0</v>
      </c>
      <c r="W111" s="319">
        <f t="shared" si="103"/>
        <v>0</v>
      </c>
      <c r="X111" s="319">
        <f t="shared" si="103"/>
        <v>0</v>
      </c>
      <c r="Y111" s="319">
        <f t="shared" si="103"/>
        <v>0</v>
      </c>
      <c r="Z111" s="319">
        <f t="shared" si="103"/>
        <v>0</v>
      </c>
      <c r="AA111" s="319">
        <f t="shared" si="103"/>
        <v>0</v>
      </c>
      <c r="AB111" s="319">
        <f t="shared" si="103"/>
        <v>0</v>
      </c>
      <c r="AC111" s="319">
        <f t="shared" si="103"/>
        <v>0</v>
      </c>
      <c r="AD111" s="319">
        <f t="shared" si="103"/>
        <v>0</v>
      </c>
      <c r="AE111" s="319">
        <f t="shared" si="103"/>
        <v>0</v>
      </c>
      <c r="AF111" s="319">
        <f t="shared" si="103"/>
        <v>0</v>
      </c>
      <c r="AG111" s="319">
        <f t="shared" si="103"/>
        <v>0</v>
      </c>
      <c r="AH111" s="319">
        <f t="shared" si="103"/>
        <v>0</v>
      </c>
      <c r="AI111" s="319">
        <f t="shared" si="103"/>
        <v>0</v>
      </c>
      <c r="AJ111" s="319">
        <f t="shared" si="103"/>
        <v>0</v>
      </c>
      <c r="AK111" s="319">
        <f t="shared" si="103"/>
        <v>0</v>
      </c>
      <c r="AL111" s="319">
        <f t="shared" si="103"/>
        <v>0</v>
      </c>
      <c r="AM111" s="319">
        <f t="shared" si="103"/>
        <v>0</v>
      </c>
      <c r="AN111" s="319">
        <f t="shared" si="103"/>
        <v>0</v>
      </c>
      <c r="AO111" s="319">
        <f t="shared" si="103"/>
        <v>0</v>
      </c>
      <c r="AP111" s="319">
        <f t="shared" si="103"/>
        <v>0</v>
      </c>
      <c r="AQ111" s="319">
        <f t="shared" si="103"/>
        <v>0</v>
      </c>
      <c r="AR111" s="320">
        <f t="shared" si="99"/>
        <v>0</v>
      </c>
      <c r="AS111" s="321">
        <f>TRUNC(AR111-D109*E110,2)</f>
        <v>0</v>
      </c>
      <c r="AT111" s="322" t="e">
        <f>+AR111/D109</f>
        <v>#DIV/0!</v>
      </c>
      <c r="AW111" s="274" t="str">
        <f>IF(F111="","X",IF(AND(E110&gt;0),F111,"-"))</f>
        <v>DE</v>
      </c>
      <c r="AX111" s="274" t="str">
        <f t="shared" ca="1" si="100"/>
        <v/>
      </c>
    </row>
    <row r="112" spans="1:50" s="274" customFormat="1" ht="18" hidden="1" customHeight="1" thickBot="1">
      <c r="A112" s="2499"/>
      <c r="B112" s="2502"/>
      <c r="C112" s="324"/>
      <c r="D112" s="325" t="s">
        <v>1195</v>
      </c>
      <c r="E112" s="2510">
        <f>1-E110</f>
        <v>0</v>
      </c>
      <c r="F112" s="326" t="s">
        <v>1192</v>
      </c>
      <c r="G112" s="326" t="str">
        <f>D112&amp;" | "&amp;F112</f>
        <v>PROPONENTE | ND</v>
      </c>
      <c r="H112" s="327">
        <f>($D108*H108-H110)</f>
        <v>0</v>
      </c>
      <c r="I112" s="327">
        <f t="shared" ref="I112:AQ113" si="104">($D108*I108-I110)</f>
        <v>0</v>
      </c>
      <c r="J112" s="327">
        <f t="shared" si="104"/>
        <v>0</v>
      </c>
      <c r="K112" s="327">
        <f t="shared" si="104"/>
        <v>0</v>
      </c>
      <c r="L112" s="327">
        <f t="shared" si="104"/>
        <v>0</v>
      </c>
      <c r="M112" s="327">
        <f t="shared" si="104"/>
        <v>0</v>
      </c>
      <c r="N112" s="327">
        <f t="shared" si="104"/>
        <v>0</v>
      </c>
      <c r="O112" s="327">
        <f t="shared" si="104"/>
        <v>0</v>
      </c>
      <c r="P112" s="327">
        <f t="shared" si="104"/>
        <v>0</v>
      </c>
      <c r="Q112" s="327">
        <f t="shared" si="104"/>
        <v>0</v>
      </c>
      <c r="R112" s="327">
        <f t="shared" si="104"/>
        <v>0</v>
      </c>
      <c r="S112" s="327">
        <f t="shared" si="104"/>
        <v>0</v>
      </c>
      <c r="T112" s="327">
        <f t="shared" si="104"/>
        <v>0</v>
      </c>
      <c r="U112" s="327">
        <f t="shared" si="104"/>
        <v>0</v>
      </c>
      <c r="V112" s="327">
        <f t="shared" si="104"/>
        <v>0</v>
      </c>
      <c r="W112" s="327">
        <f t="shared" si="104"/>
        <v>0</v>
      </c>
      <c r="X112" s="327">
        <f t="shared" si="104"/>
        <v>0</v>
      </c>
      <c r="Y112" s="327">
        <f t="shared" si="104"/>
        <v>0</v>
      </c>
      <c r="Z112" s="327">
        <f t="shared" si="104"/>
        <v>0</v>
      </c>
      <c r="AA112" s="327">
        <f t="shared" si="104"/>
        <v>0</v>
      </c>
      <c r="AB112" s="327">
        <f t="shared" si="104"/>
        <v>0</v>
      </c>
      <c r="AC112" s="327">
        <f t="shared" si="104"/>
        <v>0</v>
      </c>
      <c r="AD112" s="327">
        <f t="shared" si="104"/>
        <v>0</v>
      </c>
      <c r="AE112" s="327">
        <f t="shared" si="104"/>
        <v>0</v>
      </c>
      <c r="AF112" s="327">
        <f t="shared" si="104"/>
        <v>0</v>
      </c>
      <c r="AG112" s="327">
        <f t="shared" si="104"/>
        <v>0</v>
      </c>
      <c r="AH112" s="327">
        <f t="shared" si="104"/>
        <v>0</v>
      </c>
      <c r="AI112" s="327">
        <f t="shared" si="104"/>
        <v>0</v>
      </c>
      <c r="AJ112" s="327">
        <f t="shared" si="104"/>
        <v>0</v>
      </c>
      <c r="AK112" s="327">
        <f t="shared" si="104"/>
        <v>0</v>
      </c>
      <c r="AL112" s="327">
        <f t="shared" si="104"/>
        <v>0</v>
      </c>
      <c r="AM112" s="327">
        <f t="shared" si="104"/>
        <v>0</v>
      </c>
      <c r="AN112" s="327">
        <f t="shared" si="104"/>
        <v>0</v>
      </c>
      <c r="AO112" s="327">
        <f t="shared" si="104"/>
        <v>0</v>
      </c>
      <c r="AP112" s="327">
        <f t="shared" si="104"/>
        <v>0</v>
      </c>
      <c r="AQ112" s="327">
        <f t="shared" si="104"/>
        <v>0</v>
      </c>
      <c r="AR112" s="328">
        <f t="shared" si="99"/>
        <v>0</v>
      </c>
      <c r="AS112" s="321">
        <f>+D108-AR110-AR112</f>
        <v>0</v>
      </c>
      <c r="AW112" s="274" t="str">
        <f>IF(F112="","X",IF(AND(E112&gt;0),F112,"-"))</f>
        <v>-</v>
      </c>
      <c r="AX112" s="274" t="str">
        <f t="shared" ca="1" si="100"/>
        <v/>
      </c>
    </row>
    <row r="113" spans="1:50" s="274" customFormat="1" ht="18" hidden="1" customHeight="1" thickBot="1">
      <c r="A113" s="2500"/>
      <c r="B113" s="2503"/>
      <c r="C113" s="324"/>
      <c r="D113" s="325" t="s">
        <v>1195</v>
      </c>
      <c r="E113" s="2511"/>
      <c r="F113" s="329" t="s">
        <v>1193</v>
      </c>
      <c r="G113" s="329" t="str">
        <f>D113&amp;" | "&amp;F113</f>
        <v>PROPONENTE | DE</v>
      </c>
      <c r="H113" s="327">
        <f>($D109*H109-H111)</f>
        <v>0</v>
      </c>
      <c r="I113" s="327">
        <f t="shared" si="104"/>
        <v>0</v>
      </c>
      <c r="J113" s="327">
        <f t="shared" si="104"/>
        <v>0</v>
      </c>
      <c r="K113" s="327">
        <f t="shared" si="104"/>
        <v>0</v>
      </c>
      <c r="L113" s="327">
        <f t="shared" si="104"/>
        <v>0</v>
      </c>
      <c r="M113" s="327">
        <f t="shared" si="104"/>
        <v>0</v>
      </c>
      <c r="N113" s="327">
        <f t="shared" si="104"/>
        <v>0</v>
      </c>
      <c r="O113" s="327">
        <f t="shared" si="104"/>
        <v>0</v>
      </c>
      <c r="P113" s="327">
        <f t="shared" si="104"/>
        <v>0</v>
      </c>
      <c r="Q113" s="327">
        <f t="shared" si="104"/>
        <v>0</v>
      </c>
      <c r="R113" s="327">
        <f t="shared" si="104"/>
        <v>0</v>
      </c>
      <c r="S113" s="327">
        <f t="shared" si="104"/>
        <v>0</v>
      </c>
      <c r="T113" s="327">
        <f t="shared" si="104"/>
        <v>0</v>
      </c>
      <c r="U113" s="327">
        <f t="shared" si="104"/>
        <v>0</v>
      </c>
      <c r="V113" s="327">
        <f t="shared" si="104"/>
        <v>0</v>
      </c>
      <c r="W113" s="327">
        <f t="shared" si="104"/>
        <v>0</v>
      </c>
      <c r="X113" s="327">
        <f t="shared" si="104"/>
        <v>0</v>
      </c>
      <c r="Y113" s="327">
        <f t="shared" si="104"/>
        <v>0</v>
      </c>
      <c r="Z113" s="327">
        <f t="shared" si="104"/>
        <v>0</v>
      </c>
      <c r="AA113" s="327">
        <f t="shared" si="104"/>
        <v>0</v>
      </c>
      <c r="AB113" s="327">
        <f t="shared" si="104"/>
        <v>0</v>
      </c>
      <c r="AC113" s="327">
        <f t="shared" si="104"/>
        <v>0</v>
      </c>
      <c r="AD113" s="327">
        <f t="shared" si="104"/>
        <v>0</v>
      </c>
      <c r="AE113" s="327">
        <f t="shared" si="104"/>
        <v>0</v>
      </c>
      <c r="AF113" s="327">
        <f t="shared" si="104"/>
        <v>0</v>
      </c>
      <c r="AG113" s="327">
        <f t="shared" si="104"/>
        <v>0</v>
      </c>
      <c r="AH113" s="327">
        <f t="shared" si="104"/>
        <v>0</v>
      </c>
      <c r="AI113" s="327">
        <f t="shared" si="104"/>
        <v>0</v>
      </c>
      <c r="AJ113" s="327">
        <f t="shared" si="104"/>
        <v>0</v>
      </c>
      <c r="AK113" s="327">
        <f t="shared" si="104"/>
        <v>0</v>
      </c>
      <c r="AL113" s="327">
        <f t="shared" si="104"/>
        <v>0</v>
      </c>
      <c r="AM113" s="327">
        <f t="shared" si="104"/>
        <v>0</v>
      </c>
      <c r="AN113" s="327">
        <f t="shared" si="104"/>
        <v>0</v>
      </c>
      <c r="AO113" s="327">
        <f t="shared" si="104"/>
        <v>0</v>
      </c>
      <c r="AP113" s="327">
        <f t="shared" si="104"/>
        <v>0</v>
      </c>
      <c r="AQ113" s="327">
        <f t="shared" si="104"/>
        <v>0</v>
      </c>
      <c r="AR113" s="328">
        <f t="shared" si="99"/>
        <v>0</v>
      </c>
      <c r="AS113" s="321">
        <f>+D109-AR111-AR113</f>
        <v>0</v>
      </c>
      <c r="AW113" s="274" t="str">
        <f>IF(F113="","X",IF(AND(E112&gt;0),F113,"-"))</f>
        <v>-</v>
      </c>
      <c r="AX113" s="274" t="str">
        <f t="shared" ca="1" si="100"/>
        <v/>
      </c>
    </row>
    <row r="114" spans="1:50" s="274" customFormat="1" ht="9.9499999999999993" hidden="1" customHeight="1">
      <c r="A114" s="2498">
        <f ca="1">Orcamento!B32</f>
        <v>0</v>
      </c>
      <c r="B114" s="2501" t="str">
        <f>Orcamento!D32</f>
        <v>PARADA DE ÔNIBUS - PAVIMENTO RÍGIDO E PLATAFORMA</v>
      </c>
      <c r="C114" s="305"/>
      <c r="D114" s="306"/>
      <c r="E114" s="307"/>
      <c r="F114" s="307"/>
      <c r="G114" s="307"/>
      <c r="H114" s="308">
        <f t="shared" ref="H114:AQ114" si="105">H115</f>
        <v>0</v>
      </c>
      <c r="I114" s="308">
        <f t="shared" si="105"/>
        <v>0</v>
      </c>
      <c r="J114" s="308">
        <f t="shared" si="105"/>
        <v>0</v>
      </c>
      <c r="K114" s="308">
        <f t="shared" si="105"/>
        <v>0</v>
      </c>
      <c r="L114" s="308">
        <f t="shared" si="105"/>
        <v>0</v>
      </c>
      <c r="M114" s="308">
        <f t="shared" si="105"/>
        <v>0</v>
      </c>
      <c r="N114" s="308">
        <f t="shared" si="105"/>
        <v>0</v>
      </c>
      <c r="O114" s="308">
        <f t="shared" si="105"/>
        <v>0</v>
      </c>
      <c r="P114" s="308">
        <f t="shared" si="105"/>
        <v>0</v>
      </c>
      <c r="Q114" s="308">
        <f t="shared" si="105"/>
        <v>0</v>
      </c>
      <c r="R114" s="308">
        <f t="shared" si="105"/>
        <v>0</v>
      </c>
      <c r="S114" s="308">
        <f t="shared" si="105"/>
        <v>0</v>
      </c>
      <c r="T114" s="308">
        <f t="shared" si="105"/>
        <v>0</v>
      </c>
      <c r="U114" s="308">
        <f t="shared" si="105"/>
        <v>0</v>
      </c>
      <c r="V114" s="308">
        <f t="shared" si="105"/>
        <v>0</v>
      </c>
      <c r="W114" s="308">
        <f t="shared" si="105"/>
        <v>0</v>
      </c>
      <c r="X114" s="308">
        <f t="shared" si="105"/>
        <v>0</v>
      </c>
      <c r="Y114" s="308">
        <f t="shared" si="105"/>
        <v>0</v>
      </c>
      <c r="Z114" s="308">
        <f t="shared" si="105"/>
        <v>0</v>
      </c>
      <c r="AA114" s="308">
        <f t="shared" si="105"/>
        <v>0</v>
      </c>
      <c r="AB114" s="308">
        <f t="shared" si="105"/>
        <v>0</v>
      </c>
      <c r="AC114" s="308">
        <f t="shared" si="105"/>
        <v>0</v>
      </c>
      <c r="AD114" s="308">
        <f t="shared" si="105"/>
        <v>0</v>
      </c>
      <c r="AE114" s="308">
        <f t="shared" si="105"/>
        <v>0</v>
      </c>
      <c r="AF114" s="308">
        <f t="shared" si="105"/>
        <v>0</v>
      </c>
      <c r="AG114" s="308">
        <f t="shared" si="105"/>
        <v>0</v>
      </c>
      <c r="AH114" s="308">
        <f t="shared" si="105"/>
        <v>0</v>
      </c>
      <c r="AI114" s="308">
        <f t="shared" si="105"/>
        <v>0</v>
      </c>
      <c r="AJ114" s="308">
        <f t="shared" si="105"/>
        <v>0</v>
      </c>
      <c r="AK114" s="308">
        <f t="shared" si="105"/>
        <v>0</v>
      </c>
      <c r="AL114" s="308">
        <f t="shared" si="105"/>
        <v>0</v>
      </c>
      <c r="AM114" s="308">
        <f t="shared" si="105"/>
        <v>0</v>
      </c>
      <c r="AN114" s="308">
        <f t="shared" si="105"/>
        <v>0</v>
      </c>
      <c r="AO114" s="308">
        <f t="shared" si="105"/>
        <v>0</v>
      </c>
      <c r="AP114" s="308">
        <f t="shared" si="105"/>
        <v>0</v>
      </c>
      <c r="AQ114" s="308">
        <f t="shared" si="105"/>
        <v>0</v>
      </c>
      <c r="AR114" s="309"/>
      <c r="AS114" s="310">
        <f>+D116-AR118-AR120</f>
        <v>0</v>
      </c>
      <c r="AW114" s="274" t="str">
        <f>IF(F114="","X",F114)</f>
        <v>X</v>
      </c>
      <c r="AX114" s="274" t="str">
        <f ca="1">IF($A$114=0,"","X")</f>
        <v/>
      </c>
    </row>
    <row r="115" spans="1:50" s="274" customFormat="1" ht="18" hidden="1" customHeight="1">
      <c r="A115" s="2499"/>
      <c r="B115" s="2502"/>
      <c r="C115" s="311" t="str">
        <f>CONCATENATE(Orcamento!K120," ",Orcamento!O120)</f>
        <v>0 95,58</v>
      </c>
      <c r="D115" s="2504">
        <f>Orcamento!S32</f>
        <v>0</v>
      </c>
      <c r="E115" s="2505"/>
      <c r="F115" s="312" t="s">
        <v>1192</v>
      </c>
      <c r="G115" s="312"/>
      <c r="H115" s="314"/>
      <c r="I115" s="314"/>
      <c r="J115" s="314"/>
      <c r="K115" s="314"/>
      <c r="L115" s="314"/>
      <c r="M115" s="314"/>
      <c r="N115" s="314"/>
      <c r="O115" s="314"/>
      <c r="P115" s="314"/>
      <c r="Q115" s="314"/>
      <c r="R115" s="314"/>
      <c r="S115" s="314"/>
      <c r="T115" s="314"/>
      <c r="U115" s="314"/>
      <c r="V115" s="314"/>
      <c r="W115" s="314"/>
      <c r="X115" s="314"/>
      <c r="Y115" s="314"/>
      <c r="Z115" s="314"/>
      <c r="AA115" s="314"/>
      <c r="AB115" s="314"/>
      <c r="AC115" s="314"/>
      <c r="AD115" s="314"/>
      <c r="AE115" s="314"/>
      <c r="AF115" s="314"/>
      <c r="AG115" s="314"/>
      <c r="AH115" s="314"/>
      <c r="AI115" s="314"/>
      <c r="AJ115" s="314"/>
      <c r="AK115" s="314"/>
      <c r="AL115" s="314"/>
      <c r="AM115" s="314"/>
      <c r="AN115" s="314"/>
      <c r="AO115" s="314"/>
      <c r="AP115" s="314"/>
      <c r="AQ115" s="314"/>
      <c r="AR115" s="315">
        <f t="shared" ref="AR115:AR120" si="106">SUM(H115:AQ115)</f>
        <v>0</v>
      </c>
      <c r="AS115" s="2506">
        <f>1-AR115</f>
        <v>1</v>
      </c>
      <c r="AU115" s="2507">
        <f>+COUNT(H115:AQ116)</f>
        <v>36</v>
      </c>
      <c r="AW115" s="274" t="str">
        <f>IF(F115="","X",F115)</f>
        <v>ND</v>
      </c>
      <c r="AX115" s="274" t="str">
        <f t="shared" ref="AX115:AX120" ca="1" si="107">IF($A$114=0,"","X")</f>
        <v/>
      </c>
    </row>
    <row r="116" spans="1:50" s="274" customFormat="1" ht="18" hidden="1" customHeight="1">
      <c r="A116" s="2499"/>
      <c r="B116" s="2502"/>
      <c r="C116" s="311" t="str">
        <f>CONCATENATE(Orcamento!K121," ",Orcamento!O121)</f>
        <v>0 162,02</v>
      </c>
      <c r="D116" s="2504">
        <f>Orcamento!T32</f>
        <v>0</v>
      </c>
      <c r="E116" s="2505"/>
      <c r="F116" s="316" t="s">
        <v>1193</v>
      </c>
      <c r="G116" s="316"/>
      <c r="H116" s="314">
        <f t="shared" ref="H116:AQ116" si="108">H115</f>
        <v>0</v>
      </c>
      <c r="I116" s="314">
        <f t="shared" si="108"/>
        <v>0</v>
      </c>
      <c r="J116" s="314">
        <f t="shared" si="108"/>
        <v>0</v>
      </c>
      <c r="K116" s="314">
        <f t="shared" si="108"/>
        <v>0</v>
      </c>
      <c r="L116" s="314">
        <f t="shared" si="108"/>
        <v>0</v>
      </c>
      <c r="M116" s="314">
        <f t="shared" si="108"/>
        <v>0</v>
      </c>
      <c r="N116" s="314">
        <f t="shared" si="108"/>
        <v>0</v>
      </c>
      <c r="O116" s="314">
        <f t="shared" si="108"/>
        <v>0</v>
      </c>
      <c r="P116" s="314">
        <f t="shared" si="108"/>
        <v>0</v>
      </c>
      <c r="Q116" s="314">
        <f t="shared" si="108"/>
        <v>0</v>
      </c>
      <c r="R116" s="314">
        <f t="shared" si="108"/>
        <v>0</v>
      </c>
      <c r="S116" s="314">
        <f t="shared" si="108"/>
        <v>0</v>
      </c>
      <c r="T116" s="314">
        <f t="shared" si="108"/>
        <v>0</v>
      </c>
      <c r="U116" s="314">
        <f t="shared" si="108"/>
        <v>0</v>
      </c>
      <c r="V116" s="314">
        <f t="shared" si="108"/>
        <v>0</v>
      </c>
      <c r="W116" s="314">
        <f t="shared" si="108"/>
        <v>0</v>
      </c>
      <c r="X116" s="314">
        <f t="shared" si="108"/>
        <v>0</v>
      </c>
      <c r="Y116" s="314">
        <f t="shared" si="108"/>
        <v>0</v>
      </c>
      <c r="Z116" s="314">
        <f t="shared" si="108"/>
        <v>0</v>
      </c>
      <c r="AA116" s="314">
        <f t="shared" si="108"/>
        <v>0</v>
      </c>
      <c r="AB116" s="314">
        <f t="shared" si="108"/>
        <v>0</v>
      </c>
      <c r="AC116" s="314">
        <f t="shared" si="108"/>
        <v>0</v>
      </c>
      <c r="AD116" s="314">
        <f t="shared" si="108"/>
        <v>0</v>
      </c>
      <c r="AE116" s="314">
        <f t="shared" si="108"/>
        <v>0</v>
      </c>
      <c r="AF116" s="314">
        <f t="shared" si="108"/>
        <v>0</v>
      </c>
      <c r="AG116" s="314">
        <f t="shared" si="108"/>
        <v>0</v>
      </c>
      <c r="AH116" s="314">
        <f t="shared" si="108"/>
        <v>0</v>
      </c>
      <c r="AI116" s="314">
        <f t="shared" si="108"/>
        <v>0</v>
      </c>
      <c r="AJ116" s="314">
        <f t="shared" si="108"/>
        <v>0</v>
      </c>
      <c r="AK116" s="314">
        <f t="shared" si="108"/>
        <v>0</v>
      </c>
      <c r="AL116" s="314">
        <f t="shared" si="108"/>
        <v>0</v>
      </c>
      <c r="AM116" s="314">
        <f t="shared" si="108"/>
        <v>0</v>
      </c>
      <c r="AN116" s="314">
        <f t="shared" si="108"/>
        <v>0</v>
      </c>
      <c r="AO116" s="314">
        <f t="shared" si="108"/>
        <v>0</v>
      </c>
      <c r="AP116" s="314">
        <f t="shared" si="108"/>
        <v>0</v>
      </c>
      <c r="AQ116" s="314">
        <f t="shared" si="108"/>
        <v>0</v>
      </c>
      <c r="AR116" s="315">
        <f t="shared" si="106"/>
        <v>0</v>
      </c>
      <c r="AS116" s="2506"/>
      <c r="AU116" s="2507"/>
      <c r="AW116" s="274" t="str">
        <f>IF(F116="","X",F116)</f>
        <v>DE</v>
      </c>
      <c r="AX116" s="274" t="str">
        <f t="shared" ca="1" si="107"/>
        <v/>
      </c>
    </row>
    <row r="117" spans="1:50" s="274" customFormat="1" ht="18" hidden="1" customHeight="1">
      <c r="A117" s="2499"/>
      <c r="B117" s="2502"/>
      <c r="C117" s="311"/>
      <c r="D117" s="317" t="s">
        <v>1194</v>
      </c>
      <c r="E117" s="2508">
        <f>$D$159</f>
        <v>1</v>
      </c>
      <c r="F117" s="318" t="s">
        <v>1192</v>
      </c>
      <c r="G117" s="318" t="str">
        <f>D117&amp;" | "&amp;F117</f>
        <v>CONCEDENTE | ND</v>
      </c>
      <c r="H117" s="319">
        <f t="shared" ref="H117:AQ117" si="109">IF($D115=0,0,IF(H115=0,0,($E117*$D115*H115)+$AU$163))</f>
        <v>0</v>
      </c>
      <c r="I117" s="319">
        <f t="shared" si="109"/>
        <v>0</v>
      </c>
      <c r="J117" s="319">
        <f t="shared" si="109"/>
        <v>0</v>
      </c>
      <c r="K117" s="319">
        <f t="shared" si="109"/>
        <v>0</v>
      </c>
      <c r="L117" s="319">
        <f t="shared" si="109"/>
        <v>0</v>
      </c>
      <c r="M117" s="319">
        <f t="shared" si="109"/>
        <v>0</v>
      </c>
      <c r="N117" s="319">
        <f t="shared" si="109"/>
        <v>0</v>
      </c>
      <c r="O117" s="319">
        <f t="shared" si="109"/>
        <v>0</v>
      </c>
      <c r="P117" s="319">
        <f t="shared" si="109"/>
        <v>0</v>
      </c>
      <c r="Q117" s="319">
        <f t="shared" si="109"/>
        <v>0</v>
      </c>
      <c r="R117" s="319">
        <f t="shared" si="109"/>
        <v>0</v>
      </c>
      <c r="S117" s="319">
        <f t="shared" si="109"/>
        <v>0</v>
      </c>
      <c r="T117" s="319">
        <f t="shared" si="109"/>
        <v>0</v>
      </c>
      <c r="U117" s="319">
        <f t="shared" si="109"/>
        <v>0</v>
      </c>
      <c r="V117" s="319">
        <f t="shared" si="109"/>
        <v>0</v>
      </c>
      <c r="W117" s="319">
        <f t="shared" si="109"/>
        <v>0</v>
      </c>
      <c r="X117" s="319">
        <f t="shared" si="109"/>
        <v>0</v>
      </c>
      <c r="Y117" s="319">
        <f t="shared" si="109"/>
        <v>0</v>
      </c>
      <c r="Z117" s="319">
        <f t="shared" si="109"/>
        <v>0</v>
      </c>
      <c r="AA117" s="319">
        <f t="shared" si="109"/>
        <v>0</v>
      </c>
      <c r="AB117" s="319">
        <f t="shared" si="109"/>
        <v>0</v>
      </c>
      <c r="AC117" s="319">
        <f t="shared" si="109"/>
        <v>0</v>
      </c>
      <c r="AD117" s="319">
        <f t="shared" si="109"/>
        <v>0</v>
      </c>
      <c r="AE117" s="319">
        <f t="shared" si="109"/>
        <v>0</v>
      </c>
      <c r="AF117" s="319">
        <f t="shared" si="109"/>
        <v>0</v>
      </c>
      <c r="AG117" s="319">
        <f t="shared" si="109"/>
        <v>0</v>
      </c>
      <c r="AH117" s="319">
        <f t="shared" si="109"/>
        <v>0</v>
      </c>
      <c r="AI117" s="319">
        <f t="shared" si="109"/>
        <v>0</v>
      </c>
      <c r="AJ117" s="319">
        <f t="shared" si="109"/>
        <v>0</v>
      </c>
      <c r="AK117" s="319">
        <f t="shared" si="109"/>
        <v>0</v>
      </c>
      <c r="AL117" s="319">
        <f t="shared" si="109"/>
        <v>0</v>
      </c>
      <c r="AM117" s="319">
        <f t="shared" si="109"/>
        <v>0</v>
      </c>
      <c r="AN117" s="319">
        <f t="shared" si="109"/>
        <v>0</v>
      </c>
      <c r="AO117" s="319">
        <f t="shared" si="109"/>
        <v>0</v>
      </c>
      <c r="AP117" s="319">
        <f t="shared" si="109"/>
        <v>0</v>
      </c>
      <c r="AQ117" s="319">
        <f t="shared" si="109"/>
        <v>0</v>
      </c>
      <c r="AR117" s="320">
        <f t="shared" si="106"/>
        <v>0</v>
      </c>
      <c r="AS117" s="321">
        <f>TRUNC(AR117-D115*E117,2)</f>
        <v>0</v>
      </c>
      <c r="AT117" s="322" t="e">
        <f>+AR117/D115</f>
        <v>#DIV/0!</v>
      </c>
      <c r="AW117" s="274" t="str">
        <f>IF(F117="","X",IF(AND(E117&gt;0),F117,"-"))</f>
        <v>ND</v>
      </c>
      <c r="AX117" s="274" t="str">
        <f t="shared" ca="1" si="107"/>
        <v/>
      </c>
    </row>
    <row r="118" spans="1:50" s="274" customFormat="1" ht="18" hidden="1" customHeight="1">
      <c r="A118" s="2499"/>
      <c r="B118" s="2502"/>
      <c r="C118" s="311"/>
      <c r="D118" s="317" t="s">
        <v>1194</v>
      </c>
      <c r="E118" s="2509"/>
      <c r="F118" s="323" t="s">
        <v>1193</v>
      </c>
      <c r="G118" s="323" t="str">
        <f>D118&amp;" | "&amp;F118</f>
        <v>CONCEDENTE | DE</v>
      </c>
      <c r="H118" s="319">
        <f t="shared" ref="H118:AQ118" si="110">IF($D116=0,0,IF(H116=0,0,($E117*$D116*H116)+$AU$163))</f>
        <v>0</v>
      </c>
      <c r="I118" s="319">
        <f t="shared" si="110"/>
        <v>0</v>
      </c>
      <c r="J118" s="319">
        <f t="shared" si="110"/>
        <v>0</v>
      </c>
      <c r="K118" s="319">
        <f t="shared" si="110"/>
        <v>0</v>
      </c>
      <c r="L118" s="319">
        <f t="shared" si="110"/>
        <v>0</v>
      </c>
      <c r="M118" s="319">
        <f t="shared" si="110"/>
        <v>0</v>
      </c>
      <c r="N118" s="319">
        <f t="shared" si="110"/>
        <v>0</v>
      </c>
      <c r="O118" s="319">
        <f t="shared" si="110"/>
        <v>0</v>
      </c>
      <c r="P118" s="319">
        <f t="shared" si="110"/>
        <v>0</v>
      </c>
      <c r="Q118" s="319">
        <f t="shared" si="110"/>
        <v>0</v>
      </c>
      <c r="R118" s="319">
        <f t="shared" si="110"/>
        <v>0</v>
      </c>
      <c r="S118" s="319">
        <f t="shared" si="110"/>
        <v>0</v>
      </c>
      <c r="T118" s="319">
        <f t="shared" si="110"/>
        <v>0</v>
      </c>
      <c r="U118" s="319">
        <f t="shared" si="110"/>
        <v>0</v>
      </c>
      <c r="V118" s="319">
        <f t="shared" si="110"/>
        <v>0</v>
      </c>
      <c r="W118" s="319">
        <f t="shared" si="110"/>
        <v>0</v>
      </c>
      <c r="X118" s="319">
        <f t="shared" si="110"/>
        <v>0</v>
      </c>
      <c r="Y118" s="319">
        <f t="shared" si="110"/>
        <v>0</v>
      </c>
      <c r="Z118" s="319">
        <f t="shared" si="110"/>
        <v>0</v>
      </c>
      <c r="AA118" s="319">
        <f t="shared" si="110"/>
        <v>0</v>
      </c>
      <c r="AB118" s="319">
        <f t="shared" si="110"/>
        <v>0</v>
      </c>
      <c r="AC118" s="319">
        <f t="shared" si="110"/>
        <v>0</v>
      </c>
      <c r="AD118" s="319">
        <f t="shared" si="110"/>
        <v>0</v>
      </c>
      <c r="AE118" s="319">
        <f t="shared" si="110"/>
        <v>0</v>
      </c>
      <c r="AF118" s="319">
        <f t="shared" si="110"/>
        <v>0</v>
      </c>
      <c r="AG118" s="319">
        <f t="shared" si="110"/>
        <v>0</v>
      </c>
      <c r="AH118" s="319">
        <f t="shared" si="110"/>
        <v>0</v>
      </c>
      <c r="AI118" s="319">
        <f t="shared" si="110"/>
        <v>0</v>
      </c>
      <c r="AJ118" s="319">
        <f t="shared" si="110"/>
        <v>0</v>
      </c>
      <c r="AK118" s="319">
        <f t="shared" si="110"/>
        <v>0</v>
      </c>
      <c r="AL118" s="319">
        <f t="shared" si="110"/>
        <v>0</v>
      </c>
      <c r="AM118" s="319">
        <f t="shared" si="110"/>
        <v>0</v>
      </c>
      <c r="AN118" s="319">
        <f t="shared" si="110"/>
        <v>0</v>
      </c>
      <c r="AO118" s="319">
        <f t="shared" si="110"/>
        <v>0</v>
      </c>
      <c r="AP118" s="319">
        <f t="shared" si="110"/>
        <v>0</v>
      </c>
      <c r="AQ118" s="319">
        <f t="shared" si="110"/>
        <v>0</v>
      </c>
      <c r="AR118" s="320">
        <f t="shared" si="106"/>
        <v>0</v>
      </c>
      <c r="AS118" s="321">
        <f>TRUNC(AR118-D116*E117,2)</f>
        <v>0</v>
      </c>
      <c r="AT118" s="322" t="e">
        <f>+AR118/D116</f>
        <v>#DIV/0!</v>
      </c>
      <c r="AW118" s="274" t="str">
        <f>IF(F118="","X",IF(AND(E117&gt;0),F118,"-"))</f>
        <v>DE</v>
      </c>
      <c r="AX118" s="274" t="str">
        <f t="shared" ca="1" si="107"/>
        <v/>
      </c>
    </row>
    <row r="119" spans="1:50" s="274" customFormat="1" ht="18" hidden="1" customHeight="1" thickBot="1">
      <c r="A119" s="2499"/>
      <c r="B119" s="2502"/>
      <c r="C119" s="324"/>
      <c r="D119" s="325" t="s">
        <v>1195</v>
      </c>
      <c r="E119" s="2510">
        <f>1-E117</f>
        <v>0</v>
      </c>
      <c r="F119" s="326" t="s">
        <v>1192</v>
      </c>
      <c r="G119" s="326" t="str">
        <f>D119&amp;" | "&amp;F119</f>
        <v>PROPONENTE | ND</v>
      </c>
      <c r="H119" s="327">
        <f>($D115*H115-H117)</f>
        <v>0</v>
      </c>
      <c r="I119" s="327">
        <f t="shared" ref="I119:AQ120" si="111">($D115*I115-I117)</f>
        <v>0</v>
      </c>
      <c r="J119" s="327">
        <f t="shared" si="111"/>
        <v>0</v>
      </c>
      <c r="K119" s="327">
        <f t="shared" si="111"/>
        <v>0</v>
      </c>
      <c r="L119" s="327">
        <f t="shared" si="111"/>
        <v>0</v>
      </c>
      <c r="M119" s="327">
        <f t="shared" si="111"/>
        <v>0</v>
      </c>
      <c r="N119" s="327">
        <f t="shared" si="111"/>
        <v>0</v>
      </c>
      <c r="O119" s="327">
        <f t="shared" si="111"/>
        <v>0</v>
      </c>
      <c r="P119" s="327">
        <f t="shared" si="111"/>
        <v>0</v>
      </c>
      <c r="Q119" s="327">
        <f t="shared" si="111"/>
        <v>0</v>
      </c>
      <c r="R119" s="327">
        <f t="shared" si="111"/>
        <v>0</v>
      </c>
      <c r="S119" s="327">
        <f t="shared" si="111"/>
        <v>0</v>
      </c>
      <c r="T119" s="327">
        <f t="shared" si="111"/>
        <v>0</v>
      </c>
      <c r="U119" s="327">
        <f t="shared" si="111"/>
        <v>0</v>
      </c>
      <c r="V119" s="327">
        <f t="shared" si="111"/>
        <v>0</v>
      </c>
      <c r="W119" s="327">
        <f t="shared" si="111"/>
        <v>0</v>
      </c>
      <c r="X119" s="327">
        <f t="shared" si="111"/>
        <v>0</v>
      </c>
      <c r="Y119" s="327">
        <f t="shared" si="111"/>
        <v>0</v>
      </c>
      <c r="Z119" s="327">
        <f t="shared" si="111"/>
        <v>0</v>
      </c>
      <c r="AA119" s="327">
        <f t="shared" si="111"/>
        <v>0</v>
      </c>
      <c r="AB119" s="327">
        <f t="shared" si="111"/>
        <v>0</v>
      </c>
      <c r="AC119" s="327">
        <f t="shared" si="111"/>
        <v>0</v>
      </c>
      <c r="AD119" s="327">
        <f t="shared" si="111"/>
        <v>0</v>
      </c>
      <c r="AE119" s="327">
        <f t="shared" si="111"/>
        <v>0</v>
      </c>
      <c r="AF119" s="327">
        <f t="shared" si="111"/>
        <v>0</v>
      </c>
      <c r="AG119" s="327">
        <f t="shared" si="111"/>
        <v>0</v>
      </c>
      <c r="AH119" s="327">
        <f t="shared" si="111"/>
        <v>0</v>
      </c>
      <c r="AI119" s="327">
        <f t="shared" si="111"/>
        <v>0</v>
      </c>
      <c r="AJ119" s="327">
        <f t="shared" si="111"/>
        <v>0</v>
      </c>
      <c r="AK119" s="327">
        <f t="shared" si="111"/>
        <v>0</v>
      </c>
      <c r="AL119" s="327">
        <f t="shared" si="111"/>
        <v>0</v>
      </c>
      <c r="AM119" s="327">
        <f t="shared" si="111"/>
        <v>0</v>
      </c>
      <c r="AN119" s="327">
        <f t="shared" si="111"/>
        <v>0</v>
      </c>
      <c r="AO119" s="327">
        <f t="shared" si="111"/>
        <v>0</v>
      </c>
      <c r="AP119" s="327">
        <f t="shared" si="111"/>
        <v>0</v>
      </c>
      <c r="AQ119" s="327">
        <f t="shared" si="111"/>
        <v>0</v>
      </c>
      <c r="AR119" s="328">
        <f t="shared" si="106"/>
        <v>0</v>
      </c>
      <c r="AS119" s="321">
        <f>+D115-AR117-AR119</f>
        <v>0</v>
      </c>
      <c r="AW119" s="274" t="str">
        <f>IF(F119="","X",IF(AND(E119&gt;0),F119,"-"))</f>
        <v>-</v>
      </c>
      <c r="AX119" s="274" t="str">
        <f t="shared" ca="1" si="107"/>
        <v/>
      </c>
    </row>
    <row r="120" spans="1:50" s="274" customFormat="1" ht="18" hidden="1" customHeight="1" thickBot="1">
      <c r="A120" s="2500"/>
      <c r="B120" s="2503"/>
      <c r="C120" s="324"/>
      <c r="D120" s="325" t="s">
        <v>1195</v>
      </c>
      <c r="E120" s="2511"/>
      <c r="F120" s="329" t="s">
        <v>1193</v>
      </c>
      <c r="G120" s="329" t="str">
        <f>D120&amp;" | "&amp;F120</f>
        <v>PROPONENTE | DE</v>
      </c>
      <c r="H120" s="327">
        <f>($D116*H116-H118)</f>
        <v>0</v>
      </c>
      <c r="I120" s="327">
        <f t="shared" si="111"/>
        <v>0</v>
      </c>
      <c r="J120" s="327">
        <f t="shared" si="111"/>
        <v>0</v>
      </c>
      <c r="K120" s="327">
        <f t="shared" si="111"/>
        <v>0</v>
      </c>
      <c r="L120" s="327">
        <f t="shared" si="111"/>
        <v>0</v>
      </c>
      <c r="M120" s="327">
        <f t="shared" si="111"/>
        <v>0</v>
      </c>
      <c r="N120" s="327">
        <f t="shared" si="111"/>
        <v>0</v>
      </c>
      <c r="O120" s="327">
        <f t="shared" si="111"/>
        <v>0</v>
      </c>
      <c r="P120" s="327">
        <f t="shared" si="111"/>
        <v>0</v>
      </c>
      <c r="Q120" s="327">
        <f t="shared" si="111"/>
        <v>0</v>
      </c>
      <c r="R120" s="327">
        <f t="shared" si="111"/>
        <v>0</v>
      </c>
      <c r="S120" s="327">
        <f t="shared" si="111"/>
        <v>0</v>
      </c>
      <c r="T120" s="327">
        <f t="shared" si="111"/>
        <v>0</v>
      </c>
      <c r="U120" s="327">
        <f t="shared" si="111"/>
        <v>0</v>
      </c>
      <c r="V120" s="327">
        <f t="shared" si="111"/>
        <v>0</v>
      </c>
      <c r="W120" s="327">
        <f t="shared" si="111"/>
        <v>0</v>
      </c>
      <c r="X120" s="327">
        <f t="shared" si="111"/>
        <v>0</v>
      </c>
      <c r="Y120" s="327">
        <f t="shared" si="111"/>
        <v>0</v>
      </c>
      <c r="Z120" s="327">
        <f t="shared" si="111"/>
        <v>0</v>
      </c>
      <c r="AA120" s="327">
        <f t="shared" si="111"/>
        <v>0</v>
      </c>
      <c r="AB120" s="327">
        <f t="shared" si="111"/>
        <v>0</v>
      </c>
      <c r="AC120" s="327">
        <f t="shared" si="111"/>
        <v>0</v>
      </c>
      <c r="AD120" s="327">
        <f t="shared" si="111"/>
        <v>0</v>
      </c>
      <c r="AE120" s="327">
        <f t="shared" si="111"/>
        <v>0</v>
      </c>
      <c r="AF120" s="327">
        <f t="shared" si="111"/>
        <v>0</v>
      </c>
      <c r="AG120" s="327">
        <f t="shared" si="111"/>
        <v>0</v>
      </c>
      <c r="AH120" s="327">
        <f t="shared" si="111"/>
        <v>0</v>
      </c>
      <c r="AI120" s="327">
        <f t="shared" si="111"/>
        <v>0</v>
      </c>
      <c r="AJ120" s="327">
        <f t="shared" si="111"/>
        <v>0</v>
      </c>
      <c r="AK120" s="327">
        <f t="shared" si="111"/>
        <v>0</v>
      </c>
      <c r="AL120" s="327">
        <f t="shared" si="111"/>
        <v>0</v>
      </c>
      <c r="AM120" s="327">
        <f t="shared" si="111"/>
        <v>0</v>
      </c>
      <c r="AN120" s="327">
        <f t="shared" si="111"/>
        <v>0</v>
      </c>
      <c r="AO120" s="327">
        <f t="shared" si="111"/>
        <v>0</v>
      </c>
      <c r="AP120" s="327">
        <f t="shared" si="111"/>
        <v>0</v>
      </c>
      <c r="AQ120" s="327">
        <f t="shared" si="111"/>
        <v>0</v>
      </c>
      <c r="AR120" s="328">
        <f t="shared" si="106"/>
        <v>0</v>
      </c>
      <c r="AS120" s="321">
        <f>+D116-AR118-AR120</f>
        <v>0</v>
      </c>
      <c r="AW120" s="274" t="str">
        <f>IF(F120="","X",IF(AND(E119&gt;0),F120,"-"))</f>
        <v>-</v>
      </c>
      <c r="AX120" s="274" t="str">
        <f t="shared" ca="1" si="107"/>
        <v/>
      </c>
    </row>
    <row r="121" spans="1:50" s="274" customFormat="1" ht="9.9499999999999993" hidden="1" customHeight="1">
      <c r="A121" s="2498">
        <f ca="1">Orcamento!B33</f>
        <v>0</v>
      </c>
      <c r="B121" s="2501" t="str">
        <f>Orcamento!D33</f>
        <v>OBRAS DE ARTE ESPECIAIS - PONTE SOBRE O CÓRREGO MONTALVÃO - OPÇÃO PRÉ-TENSÃO</v>
      </c>
      <c r="C121" s="305"/>
      <c r="D121" s="306"/>
      <c r="E121" s="307"/>
      <c r="F121" s="307"/>
      <c r="G121" s="307"/>
      <c r="H121" s="308">
        <f t="shared" ref="H121:AQ121" si="112">H122</f>
        <v>0</v>
      </c>
      <c r="I121" s="308">
        <f t="shared" si="112"/>
        <v>0</v>
      </c>
      <c r="J121" s="308">
        <f t="shared" si="112"/>
        <v>0</v>
      </c>
      <c r="K121" s="308">
        <f t="shared" si="112"/>
        <v>0</v>
      </c>
      <c r="L121" s="308">
        <f t="shared" si="112"/>
        <v>0</v>
      </c>
      <c r="M121" s="308">
        <f t="shared" si="112"/>
        <v>0</v>
      </c>
      <c r="N121" s="308">
        <f t="shared" si="112"/>
        <v>0</v>
      </c>
      <c r="O121" s="308">
        <f t="shared" si="112"/>
        <v>0</v>
      </c>
      <c r="P121" s="308">
        <f t="shared" si="112"/>
        <v>0</v>
      </c>
      <c r="Q121" s="308">
        <f t="shared" si="112"/>
        <v>0</v>
      </c>
      <c r="R121" s="308">
        <f t="shared" si="112"/>
        <v>0</v>
      </c>
      <c r="S121" s="308">
        <f t="shared" si="112"/>
        <v>0</v>
      </c>
      <c r="T121" s="308">
        <f t="shared" si="112"/>
        <v>0</v>
      </c>
      <c r="U121" s="308">
        <f t="shared" si="112"/>
        <v>0</v>
      </c>
      <c r="V121" s="308">
        <f t="shared" si="112"/>
        <v>0</v>
      </c>
      <c r="W121" s="308">
        <f t="shared" si="112"/>
        <v>0</v>
      </c>
      <c r="X121" s="308">
        <f t="shared" si="112"/>
        <v>0</v>
      </c>
      <c r="Y121" s="308">
        <f t="shared" si="112"/>
        <v>0</v>
      </c>
      <c r="Z121" s="308">
        <f t="shared" si="112"/>
        <v>0</v>
      </c>
      <c r="AA121" s="308">
        <f t="shared" si="112"/>
        <v>0</v>
      </c>
      <c r="AB121" s="308">
        <f t="shared" si="112"/>
        <v>0</v>
      </c>
      <c r="AC121" s="308">
        <f t="shared" si="112"/>
        <v>0</v>
      </c>
      <c r="AD121" s="308">
        <f t="shared" si="112"/>
        <v>0</v>
      </c>
      <c r="AE121" s="308">
        <f t="shared" si="112"/>
        <v>0</v>
      </c>
      <c r="AF121" s="308">
        <f t="shared" si="112"/>
        <v>0</v>
      </c>
      <c r="AG121" s="308">
        <f t="shared" si="112"/>
        <v>0</v>
      </c>
      <c r="AH121" s="308">
        <f t="shared" si="112"/>
        <v>0</v>
      </c>
      <c r="AI121" s="308">
        <f t="shared" si="112"/>
        <v>0</v>
      </c>
      <c r="AJ121" s="308">
        <f t="shared" si="112"/>
        <v>0</v>
      </c>
      <c r="AK121" s="308">
        <f t="shared" si="112"/>
        <v>0</v>
      </c>
      <c r="AL121" s="308">
        <f t="shared" si="112"/>
        <v>0</v>
      </c>
      <c r="AM121" s="308">
        <f t="shared" si="112"/>
        <v>0</v>
      </c>
      <c r="AN121" s="308">
        <f t="shared" si="112"/>
        <v>0</v>
      </c>
      <c r="AO121" s="308">
        <f t="shared" si="112"/>
        <v>0</v>
      </c>
      <c r="AP121" s="308">
        <f t="shared" si="112"/>
        <v>0</v>
      </c>
      <c r="AQ121" s="308">
        <f t="shared" si="112"/>
        <v>0</v>
      </c>
      <c r="AR121" s="309"/>
      <c r="AS121" s="310">
        <f>+D123-AR125-AR127</f>
        <v>0</v>
      </c>
      <c r="AW121" s="274" t="str">
        <f>IF(F121="","X",F121)</f>
        <v>X</v>
      </c>
      <c r="AX121" s="274" t="str">
        <f ca="1">IF($A$121=0,"","X")</f>
        <v/>
      </c>
    </row>
    <row r="122" spans="1:50" s="274" customFormat="1" ht="18" hidden="1" customHeight="1">
      <c r="A122" s="2499"/>
      <c r="B122" s="2502"/>
      <c r="C122" s="311" t="str">
        <f>CONCATENATE(Orcamento!K127," ",Orcamento!O127)</f>
        <v>0 11,15</v>
      </c>
      <c r="D122" s="2504">
        <f>Orcamento!S33</f>
        <v>0</v>
      </c>
      <c r="E122" s="2505"/>
      <c r="F122" s="312" t="s">
        <v>1192</v>
      </c>
      <c r="G122" s="312"/>
      <c r="H122" s="314"/>
      <c r="I122" s="314"/>
      <c r="J122" s="314"/>
      <c r="K122" s="314"/>
      <c r="L122" s="314"/>
      <c r="M122" s="314"/>
      <c r="N122" s="314"/>
      <c r="O122" s="314"/>
      <c r="P122" s="314"/>
      <c r="Q122" s="314"/>
      <c r="R122" s="314"/>
      <c r="S122" s="314"/>
      <c r="T122" s="314"/>
      <c r="U122" s="314"/>
      <c r="V122" s="314"/>
      <c r="W122" s="314"/>
      <c r="X122" s="314"/>
      <c r="Y122" s="314"/>
      <c r="Z122" s="314"/>
      <c r="AA122" s="314"/>
      <c r="AB122" s="314"/>
      <c r="AC122" s="314"/>
      <c r="AD122" s="314"/>
      <c r="AE122" s="314"/>
      <c r="AF122" s="314"/>
      <c r="AG122" s="314"/>
      <c r="AH122" s="314"/>
      <c r="AI122" s="314"/>
      <c r="AJ122" s="314"/>
      <c r="AK122" s="314"/>
      <c r="AL122" s="314"/>
      <c r="AM122" s="314"/>
      <c r="AN122" s="314"/>
      <c r="AO122" s="314"/>
      <c r="AP122" s="314"/>
      <c r="AQ122" s="314"/>
      <c r="AR122" s="315">
        <f t="shared" ref="AR122:AR127" si="113">SUM(H122:AQ122)</f>
        <v>0</v>
      </c>
      <c r="AS122" s="2506">
        <f>1-AR122</f>
        <v>1</v>
      </c>
      <c r="AU122" s="2507">
        <f>+COUNT(H122:AQ123)</f>
        <v>36</v>
      </c>
      <c r="AW122" s="274" t="str">
        <f>IF(F122="","X",F122)</f>
        <v>ND</v>
      </c>
      <c r="AX122" s="274" t="str">
        <f t="shared" ref="AX122:AX127" ca="1" si="114">IF($A$121=0,"","X")</f>
        <v/>
      </c>
    </row>
    <row r="123" spans="1:50" s="274" customFormat="1" ht="18" hidden="1" customHeight="1">
      <c r="A123" s="2499"/>
      <c r="B123" s="2502"/>
      <c r="C123" s="311" t="str">
        <f>CONCATENATE(Orcamento!K128," ",Orcamento!O128)</f>
        <v>0 11,7</v>
      </c>
      <c r="D123" s="2504">
        <f>Orcamento!T33</f>
        <v>0</v>
      </c>
      <c r="E123" s="2505"/>
      <c r="F123" s="316" t="s">
        <v>1193</v>
      </c>
      <c r="G123" s="316"/>
      <c r="H123" s="314">
        <f t="shared" ref="H123:AQ123" si="115">H122</f>
        <v>0</v>
      </c>
      <c r="I123" s="314">
        <f t="shared" si="115"/>
        <v>0</v>
      </c>
      <c r="J123" s="314">
        <f t="shared" si="115"/>
        <v>0</v>
      </c>
      <c r="K123" s="314">
        <f t="shared" si="115"/>
        <v>0</v>
      </c>
      <c r="L123" s="314">
        <f t="shared" si="115"/>
        <v>0</v>
      </c>
      <c r="M123" s="314">
        <f t="shared" si="115"/>
        <v>0</v>
      </c>
      <c r="N123" s="314">
        <f t="shared" si="115"/>
        <v>0</v>
      </c>
      <c r="O123" s="314">
        <f t="shared" si="115"/>
        <v>0</v>
      </c>
      <c r="P123" s="314">
        <f t="shared" si="115"/>
        <v>0</v>
      </c>
      <c r="Q123" s="314">
        <f t="shared" si="115"/>
        <v>0</v>
      </c>
      <c r="R123" s="314">
        <f t="shared" si="115"/>
        <v>0</v>
      </c>
      <c r="S123" s="314">
        <f t="shared" si="115"/>
        <v>0</v>
      </c>
      <c r="T123" s="314">
        <f t="shared" si="115"/>
        <v>0</v>
      </c>
      <c r="U123" s="314">
        <f t="shared" si="115"/>
        <v>0</v>
      </c>
      <c r="V123" s="314">
        <f t="shared" si="115"/>
        <v>0</v>
      </c>
      <c r="W123" s="314">
        <f t="shared" si="115"/>
        <v>0</v>
      </c>
      <c r="X123" s="314">
        <f t="shared" si="115"/>
        <v>0</v>
      </c>
      <c r="Y123" s="314">
        <f t="shared" si="115"/>
        <v>0</v>
      </c>
      <c r="Z123" s="314">
        <f t="shared" si="115"/>
        <v>0</v>
      </c>
      <c r="AA123" s="314">
        <f t="shared" si="115"/>
        <v>0</v>
      </c>
      <c r="AB123" s="314">
        <f t="shared" si="115"/>
        <v>0</v>
      </c>
      <c r="AC123" s="314">
        <f t="shared" si="115"/>
        <v>0</v>
      </c>
      <c r="AD123" s="314">
        <f t="shared" si="115"/>
        <v>0</v>
      </c>
      <c r="AE123" s="314">
        <f t="shared" si="115"/>
        <v>0</v>
      </c>
      <c r="AF123" s="314">
        <f t="shared" si="115"/>
        <v>0</v>
      </c>
      <c r="AG123" s="314">
        <f t="shared" si="115"/>
        <v>0</v>
      </c>
      <c r="AH123" s="314">
        <f t="shared" si="115"/>
        <v>0</v>
      </c>
      <c r="AI123" s="314">
        <f t="shared" si="115"/>
        <v>0</v>
      </c>
      <c r="AJ123" s="314">
        <f t="shared" si="115"/>
        <v>0</v>
      </c>
      <c r="AK123" s="314">
        <f t="shared" si="115"/>
        <v>0</v>
      </c>
      <c r="AL123" s="314">
        <f t="shared" si="115"/>
        <v>0</v>
      </c>
      <c r="AM123" s="314">
        <f t="shared" si="115"/>
        <v>0</v>
      </c>
      <c r="AN123" s="314">
        <f t="shared" si="115"/>
        <v>0</v>
      </c>
      <c r="AO123" s="314">
        <f t="shared" si="115"/>
        <v>0</v>
      </c>
      <c r="AP123" s="314">
        <f t="shared" si="115"/>
        <v>0</v>
      </c>
      <c r="AQ123" s="314">
        <f t="shared" si="115"/>
        <v>0</v>
      </c>
      <c r="AR123" s="315">
        <f t="shared" si="113"/>
        <v>0</v>
      </c>
      <c r="AS123" s="2506"/>
      <c r="AU123" s="2507"/>
      <c r="AW123" s="274" t="str">
        <f>IF(F123="","X",F123)</f>
        <v>DE</v>
      </c>
      <c r="AX123" s="274" t="str">
        <f t="shared" ca="1" si="114"/>
        <v/>
      </c>
    </row>
    <row r="124" spans="1:50" s="274" customFormat="1" ht="18" hidden="1" customHeight="1">
      <c r="A124" s="2499"/>
      <c r="B124" s="2502"/>
      <c r="C124" s="311"/>
      <c r="D124" s="317" t="s">
        <v>1194</v>
      </c>
      <c r="E124" s="2508">
        <f>$D$159</f>
        <v>1</v>
      </c>
      <c r="F124" s="318" t="s">
        <v>1192</v>
      </c>
      <c r="G124" s="318" t="str">
        <f>D124&amp;" | "&amp;F124</f>
        <v>CONCEDENTE | ND</v>
      </c>
      <c r="H124" s="319">
        <f t="shared" ref="H124:AQ124" si="116">IF($D122=0,0,IF(H122=0,0,($E124*$D122*H122)+$AU$163))</f>
        <v>0</v>
      </c>
      <c r="I124" s="319">
        <f t="shared" si="116"/>
        <v>0</v>
      </c>
      <c r="J124" s="319">
        <f t="shared" si="116"/>
        <v>0</v>
      </c>
      <c r="K124" s="319">
        <f t="shared" si="116"/>
        <v>0</v>
      </c>
      <c r="L124" s="319">
        <f t="shared" si="116"/>
        <v>0</v>
      </c>
      <c r="M124" s="319">
        <f t="shared" si="116"/>
        <v>0</v>
      </c>
      <c r="N124" s="319">
        <f t="shared" si="116"/>
        <v>0</v>
      </c>
      <c r="O124" s="319">
        <f t="shared" si="116"/>
        <v>0</v>
      </c>
      <c r="P124" s="319">
        <f t="shared" si="116"/>
        <v>0</v>
      </c>
      <c r="Q124" s="319">
        <f t="shared" si="116"/>
        <v>0</v>
      </c>
      <c r="R124" s="319">
        <f t="shared" si="116"/>
        <v>0</v>
      </c>
      <c r="S124" s="319">
        <f t="shared" si="116"/>
        <v>0</v>
      </c>
      <c r="T124" s="319">
        <f t="shared" si="116"/>
        <v>0</v>
      </c>
      <c r="U124" s="319">
        <f t="shared" si="116"/>
        <v>0</v>
      </c>
      <c r="V124" s="319">
        <f t="shared" si="116"/>
        <v>0</v>
      </c>
      <c r="W124" s="319">
        <f t="shared" si="116"/>
        <v>0</v>
      </c>
      <c r="X124" s="319">
        <f t="shared" si="116"/>
        <v>0</v>
      </c>
      <c r="Y124" s="319">
        <f t="shared" si="116"/>
        <v>0</v>
      </c>
      <c r="Z124" s="319">
        <f t="shared" si="116"/>
        <v>0</v>
      </c>
      <c r="AA124" s="319">
        <f t="shared" si="116"/>
        <v>0</v>
      </c>
      <c r="AB124" s="319">
        <f t="shared" si="116"/>
        <v>0</v>
      </c>
      <c r="AC124" s="319">
        <f t="shared" si="116"/>
        <v>0</v>
      </c>
      <c r="AD124" s="319">
        <f t="shared" si="116"/>
        <v>0</v>
      </c>
      <c r="AE124" s="319">
        <f t="shared" si="116"/>
        <v>0</v>
      </c>
      <c r="AF124" s="319">
        <f t="shared" si="116"/>
        <v>0</v>
      </c>
      <c r="AG124" s="319">
        <f t="shared" si="116"/>
        <v>0</v>
      </c>
      <c r="AH124" s="319">
        <f t="shared" si="116"/>
        <v>0</v>
      </c>
      <c r="AI124" s="319">
        <f t="shared" si="116"/>
        <v>0</v>
      </c>
      <c r="AJ124" s="319">
        <f t="shared" si="116"/>
        <v>0</v>
      </c>
      <c r="AK124" s="319">
        <f t="shared" si="116"/>
        <v>0</v>
      </c>
      <c r="AL124" s="319">
        <f t="shared" si="116"/>
        <v>0</v>
      </c>
      <c r="AM124" s="319">
        <f t="shared" si="116"/>
        <v>0</v>
      </c>
      <c r="AN124" s="319">
        <f t="shared" si="116"/>
        <v>0</v>
      </c>
      <c r="AO124" s="319">
        <f t="shared" si="116"/>
        <v>0</v>
      </c>
      <c r="AP124" s="319">
        <f t="shared" si="116"/>
        <v>0</v>
      </c>
      <c r="AQ124" s="319">
        <f t="shared" si="116"/>
        <v>0</v>
      </c>
      <c r="AR124" s="320">
        <f t="shared" si="113"/>
        <v>0</v>
      </c>
      <c r="AS124" s="321">
        <f>TRUNC(AR124-D122*E124,2)</f>
        <v>0</v>
      </c>
      <c r="AT124" s="322" t="e">
        <f>+AR124/D122</f>
        <v>#DIV/0!</v>
      </c>
      <c r="AW124" s="274" t="str">
        <f>IF(F124="","X",IF(AND(E124&gt;0),F124,"-"))</f>
        <v>ND</v>
      </c>
      <c r="AX124" s="274" t="str">
        <f t="shared" ca="1" si="114"/>
        <v/>
      </c>
    </row>
    <row r="125" spans="1:50" s="274" customFormat="1" ht="18" hidden="1" customHeight="1">
      <c r="A125" s="2499"/>
      <c r="B125" s="2502"/>
      <c r="C125" s="311"/>
      <c r="D125" s="317" t="s">
        <v>1194</v>
      </c>
      <c r="E125" s="2509"/>
      <c r="F125" s="323" t="s">
        <v>1193</v>
      </c>
      <c r="G125" s="323" t="str">
        <f>D125&amp;" | "&amp;F125</f>
        <v>CONCEDENTE | DE</v>
      </c>
      <c r="H125" s="319">
        <f t="shared" ref="H125:AQ125" si="117">IF($D123=0,0,IF(H123=0,0,($E124*$D123*H123)+$AU$163))</f>
        <v>0</v>
      </c>
      <c r="I125" s="319">
        <f t="shared" si="117"/>
        <v>0</v>
      </c>
      <c r="J125" s="319">
        <f t="shared" si="117"/>
        <v>0</v>
      </c>
      <c r="K125" s="319">
        <f t="shared" si="117"/>
        <v>0</v>
      </c>
      <c r="L125" s="319">
        <f t="shared" si="117"/>
        <v>0</v>
      </c>
      <c r="M125" s="319">
        <f t="shared" si="117"/>
        <v>0</v>
      </c>
      <c r="N125" s="319">
        <f t="shared" si="117"/>
        <v>0</v>
      </c>
      <c r="O125" s="319">
        <f t="shared" si="117"/>
        <v>0</v>
      </c>
      <c r="P125" s="319">
        <f t="shared" si="117"/>
        <v>0</v>
      </c>
      <c r="Q125" s="319">
        <f t="shared" si="117"/>
        <v>0</v>
      </c>
      <c r="R125" s="319">
        <f t="shared" si="117"/>
        <v>0</v>
      </c>
      <c r="S125" s="319">
        <f t="shared" si="117"/>
        <v>0</v>
      </c>
      <c r="T125" s="319">
        <f t="shared" si="117"/>
        <v>0</v>
      </c>
      <c r="U125" s="319">
        <f t="shared" si="117"/>
        <v>0</v>
      </c>
      <c r="V125" s="319">
        <f t="shared" si="117"/>
        <v>0</v>
      </c>
      <c r="W125" s="319">
        <f t="shared" si="117"/>
        <v>0</v>
      </c>
      <c r="X125" s="319">
        <f t="shared" si="117"/>
        <v>0</v>
      </c>
      <c r="Y125" s="319">
        <f t="shared" si="117"/>
        <v>0</v>
      </c>
      <c r="Z125" s="319">
        <f t="shared" si="117"/>
        <v>0</v>
      </c>
      <c r="AA125" s="319">
        <f t="shared" si="117"/>
        <v>0</v>
      </c>
      <c r="AB125" s="319">
        <f t="shared" si="117"/>
        <v>0</v>
      </c>
      <c r="AC125" s="319">
        <f t="shared" si="117"/>
        <v>0</v>
      </c>
      <c r="AD125" s="319">
        <f t="shared" si="117"/>
        <v>0</v>
      </c>
      <c r="AE125" s="319">
        <f t="shared" si="117"/>
        <v>0</v>
      </c>
      <c r="AF125" s="319">
        <f t="shared" si="117"/>
        <v>0</v>
      </c>
      <c r="AG125" s="319">
        <f t="shared" si="117"/>
        <v>0</v>
      </c>
      <c r="AH125" s="319">
        <f t="shared" si="117"/>
        <v>0</v>
      </c>
      <c r="AI125" s="319">
        <f t="shared" si="117"/>
        <v>0</v>
      </c>
      <c r="AJ125" s="319">
        <f t="shared" si="117"/>
        <v>0</v>
      </c>
      <c r="AK125" s="319">
        <f t="shared" si="117"/>
        <v>0</v>
      </c>
      <c r="AL125" s="319">
        <f t="shared" si="117"/>
        <v>0</v>
      </c>
      <c r="AM125" s="319">
        <f t="shared" si="117"/>
        <v>0</v>
      </c>
      <c r="AN125" s="319">
        <f t="shared" si="117"/>
        <v>0</v>
      </c>
      <c r="AO125" s="319">
        <f t="shared" si="117"/>
        <v>0</v>
      </c>
      <c r="AP125" s="319">
        <f t="shared" si="117"/>
        <v>0</v>
      </c>
      <c r="AQ125" s="319">
        <f t="shared" si="117"/>
        <v>0</v>
      </c>
      <c r="AR125" s="320">
        <f t="shared" si="113"/>
        <v>0</v>
      </c>
      <c r="AS125" s="321">
        <f>TRUNC(AR125-D123*E124,2)</f>
        <v>0</v>
      </c>
      <c r="AT125" s="322" t="e">
        <f>+AR125/D123</f>
        <v>#DIV/0!</v>
      </c>
      <c r="AW125" s="274" t="str">
        <f>IF(F125="","X",IF(AND(E124&gt;0),F125,"-"))</f>
        <v>DE</v>
      </c>
      <c r="AX125" s="274" t="str">
        <f t="shared" ca="1" si="114"/>
        <v/>
      </c>
    </row>
    <row r="126" spans="1:50" s="274" customFormat="1" ht="18" hidden="1" customHeight="1" thickBot="1">
      <c r="A126" s="2499"/>
      <c r="B126" s="2502"/>
      <c r="C126" s="324"/>
      <c r="D126" s="325" t="s">
        <v>1195</v>
      </c>
      <c r="E126" s="2510">
        <f>1-E124</f>
        <v>0</v>
      </c>
      <c r="F126" s="326" t="s">
        <v>1192</v>
      </c>
      <c r="G126" s="326" t="str">
        <f>D126&amp;" | "&amp;F126</f>
        <v>PROPONENTE | ND</v>
      </c>
      <c r="H126" s="327">
        <f>($D122*H122-H124)</f>
        <v>0</v>
      </c>
      <c r="I126" s="327">
        <f t="shared" ref="I126:AQ127" si="118">($D122*I122-I124)</f>
        <v>0</v>
      </c>
      <c r="J126" s="327">
        <f t="shared" si="118"/>
        <v>0</v>
      </c>
      <c r="K126" s="327">
        <f t="shared" si="118"/>
        <v>0</v>
      </c>
      <c r="L126" s="327">
        <f t="shared" si="118"/>
        <v>0</v>
      </c>
      <c r="M126" s="327">
        <f t="shared" si="118"/>
        <v>0</v>
      </c>
      <c r="N126" s="327">
        <f t="shared" si="118"/>
        <v>0</v>
      </c>
      <c r="O126" s="327">
        <f t="shared" si="118"/>
        <v>0</v>
      </c>
      <c r="P126" s="327">
        <f t="shared" si="118"/>
        <v>0</v>
      </c>
      <c r="Q126" s="327">
        <f t="shared" si="118"/>
        <v>0</v>
      </c>
      <c r="R126" s="327">
        <f t="shared" si="118"/>
        <v>0</v>
      </c>
      <c r="S126" s="327">
        <f t="shared" si="118"/>
        <v>0</v>
      </c>
      <c r="T126" s="327">
        <f t="shared" si="118"/>
        <v>0</v>
      </c>
      <c r="U126" s="327">
        <f t="shared" si="118"/>
        <v>0</v>
      </c>
      <c r="V126" s="327">
        <f t="shared" si="118"/>
        <v>0</v>
      </c>
      <c r="W126" s="327">
        <f t="shared" si="118"/>
        <v>0</v>
      </c>
      <c r="X126" s="327">
        <f t="shared" si="118"/>
        <v>0</v>
      </c>
      <c r="Y126" s="327">
        <f t="shared" si="118"/>
        <v>0</v>
      </c>
      <c r="Z126" s="327">
        <f t="shared" si="118"/>
        <v>0</v>
      </c>
      <c r="AA126" s="327">
        <f t="shared" si="118"/>
        <v>0</v>
      </c>
      <c r="AB126" s="327">
        <f t="shared" si="118"/>
        <v>0</v>
      </c>
      <c r="AC126" s="327">
        <f t="shared" si="118"/>
        <v>0</v>
      </c>
      <c r="AD126" s="327">
        <f t="shared" si="118"/>
        <v>0</v>
      </c>
      <c r="AE126" s="327">
        <f t="shared" si="118"/>
        <v>0</v>
      </c>
      <c r="AF126" s="327">
        <f t="shared" si="118"/>
        <v>0</v>
      </c>
      <c r="AG126" s="327">
        <f t="shared" si="118"/>
        <v>0</v>
      </c>
      <c r="AH126" s="327">
        <f t="shared" si="118"/>
        <v>0</v>
      </c>
      <c r="AI126" s="327">
        <f t="shared" si="118"/>
        <v>0</v>
      </c>
      <c r="AJ126" s="327">
        <f t="shared" si="118"/>
        <v>0</v>
      </c>
      <c r="AK126" s="327">
        <f t="shared" si="118"/>
        <v>0</v>
      </c>
      <c r="AL126" s="327">
        <f t="shared" si="118"/>
        <v>0</v>
      </c>
      <c r="AM126" s="327">
        <f t="shared" si="118"/>
        <v>0</v>
      </c>
      <c r="AN126" s="327">
        <f t="shared" si="118"/>
        <v>0</v>
      </c>
      <c r="AO126" s="327">
        <f t="shared" si="118"/>
        <v>0</v>
      </c>
      <c r="AP126" s="327">
        <f t="shared" si="118"/>
        <v>0</v>
      </c>
      <c r="AQ126" s="327">
        <f t="shared" si="118"/>
        <v>0</v>
      </c>
      <c r="AR126" s="328">
        <f t="shared" si="113"/>
        <v>0</v>
      </c>
      <c r="AS126" s="321">
        <f>+D122-AR124-AR126</f>
        <v>0</v>
      </c>
      <c r="AW126" s="274" t="str">
        <f>IF(F126="","X",IF(AND(E126&gt;0),F126,"-"))</f>
        <v>-</v>
      </c>
      <c r="AX126" s="274" t="str">
        <f t="shared" ca="1" si="114"/>
        <v/>
      </c>
    </row>
    <row r="127" spans="1:50" s="274" customFormat="1" ht="18" hidden="1" customHeight="1" thickBot="1">
      <c r="A127" s="2500"/>
      <c r="B127" s="2503"/>
      <c r="C127" s="324"/>
      <c r="D127" s="325" t="s">
        <v>1195</v>
      </c>
      <c r="E127" s="2511"/>
      <c r="F127" s="329" t="s">
        <v>1193</v>
      </c>
      <c r="G127" s="329" t="str">
        <f>D127&amp;" | "&amp;F127</f>
        <v>PROPONENTE | DE</v>
      </c>
      <c r="H127" s="327">
        <f>($D123*H123-H125)</f>
        <v>0</v>
      </c>
      <c r="I127" s="327">
        <f t="shared" si="118"/>
        <v>0</v>
      </c>
      <c r="J127" s="327">
        <f t="shared" si="118"/>
        <v>0</v>
      </c>
      <c r="K127" s="327">
        <f t="shared" si="118"/>
        <v>0</v>
      </c>
      <c r="L127" s="327">
        <f t="shared" si="118"/>
        <v>0</v>
      </c>
      <c r="M127" s="327">
        <f t="shared" si="118"/>
        <v>0</v>
      </c>
      <c r="N127" s="327">
        <f t="shared" si="118"/>
        <v>0</v>
      </c>
      <c r="O127" s="327">
        <f t="shared" si="118"/>
        <v>0</v>
      </c>
      <c r="P127" s="327">
        <f t="shared" si="118"/>
        <v>0</v>
      </c>
      <c r="Q127" s="327">
        <f t="shared" si="118"/>
        <v>0</v>
      </c>
      <c r="R127" s="327">
        <f t="shared" si="118"/>
        <v>0</v>
      </c>
      <c r="S127" s="327">
        <f t="shared" si="118"/>
        <v>0</v>
      </c>
      <c r="T127" s="327">
        <f t="shared" si="118"/>
        <v>0</v>
      </c>
      <c r="U127" s="327">
        <f t="shared" si="118"/>
        <v>0</v>
      </c>
      <c r="V127" s="327">
        <f t="shared" si="118"/>
        <v>0</v>
      </c>
      <c r="W127" s="327">
        <f t="shared" si="118"/>
        <v>0</v>
      </c>
      <c r="X127" s="327">
        <f t="shared" si="118"/>
        <v>0</v>
      </c>
      <c r="Y127" s="327">
        <f t="shared" si="118"/>
        <v>0</v>
      </c>
      <c r="Z127" s="327">
        <f t="shared" si="118"/>
        <v>0</v>
      </c>
      <c r="AA127" s="327">
        <f t="shared" si="118"/>
        <v>0</v>
      </c>
      <c r="AB127" s="327">
        <f t="shared" si="118"/>
        <v>0</v>
      </c>
      <c r="AC127" s="327">
        <f t="shared" si="118"/>
        <v>0</v>
      </c>
      <c r="AD127" s="327">
        <f t="shared" si="118"/>
        <v>0</v>
      </c>
      <c r="AE127" s="327">
        <f t="shared" si="118"/>
        <v>0</v>
      </c>
      <c r="AF127" s="327">
        <f t="shared" si="118"/>
        <v>0</v>
      </c>
      <c r="AG127" s="327">
        <f t="shared" si="118"/>
        <v>0</v>
      </c>
      <c r="AH127" s="327">
        <f t="shared" si="118"/>
        <v>0</v>
      </c>
      <c r="AI127" s="327">
        <f t="shared" si="118"/>
        <v>0</v>
      </c>
      <c r="AJ127" s="327">
        <f t="shared" si="118"/>
        <v>0</v>
      </c>
      <c r="AK127" s="327">
        <f t="shared" si="118"/>
        <v>0</v>
      </c>
      <c r="AL127" s="327">
        <f t="shared" si="118"/>
        <v>0</v>
      </c>
      <c r="AM127" s="327">
        <f t="shared" si="118"/>
        <v>0</v>
      </c>
      <c r="AN127" s="327">
        <f t="shared" si="118"/>
        <v>0</v>
      </c>
      <c r="AO127" s="327">
        <f t="shared" si="118"/>
        <v>0</v>
      </c>
      <c r="AP127" s="327">
        <f t="shared" si="118"/>
        <v>0</v>
      </c>
      <c r="AQ127" s="327">
        <f t="shared" si="118"/>
        <v>0</v>
      </c>
      <c r="AR127" s="328">
        <f t="shared" si="113"/>
        <v>0</v>
      </c>
      <c r="AS127" s="321">
        <f>+D123-AR125-AR127</f>
        <v>0</v>
      </c>
      <c r="AW127" s="274" t="str">
        <f>IF(F127="","X",IF(AND(E126&gt;0),F127,"-"))</f>
        <v>-</v>
      </c>
      <c r="AX127" s="274" t="str">
        <f t="shared" ca="1" si="114"/>
        <v/>
      </c>
    </row>
    <row r="128" spans="1:50" s="274" customFormat="1" ht="9.9499999999999993" hidden="1" customHeight="1">
      <c r="A128" s="2498">
        <f ca="1">Orcamento!B34</f>
        <v>0</v>
      </c>
      <c r="B128" s="2501" t="str">
        <f>Orcamento!D34</f>
        <v>IMPLANTAÇÃO / ADEQUAÇÃO GEOMÉTRICA DE CICLOVIA</v>
      </c>
      <c r="C128" s="305"/>
      <c r="D128" s="306"/>
      <c r="E128" s="307"/>
      <c r="F128" s="307"/>
      <c r="G128" s="307"/>
      <c r="H128" s="308">
        <f t="shared" ref="H128:AQ128" si="119">H129</f>
        <v>0</v>
      </c>
      <c r="I128" s="308">
        <f t="shared" si="119"/>
        <v>0</v>
      </c>
      <c r="J128" s="308">
        <f t="shared" si="119"/>
        <v>0</v>
      </c>
      <c r="K128" s="308">
        <f t="shared" si="119"/>
        <v>0</v>
      </c>
      <c r="L128" s="308">
        <f t="shared" si="119"/>
        <v>0</v>
      </c>
      <c r="M128" s="308">
        <f t="shared" si="119"/>
        <v>0</v>
      </c>
      <c r="N128" s="308">
        <f t="shared" si="119"/>
        <v>0</v>
      </c>
      <c r="O128" s="308">
        <f t="shared" si="119"/>
        <v>0</v>
      </c>
      <c r="P128" s="308">
        <f t="shared" si="119"/>
        <v>0</v>
      </c>
      <c r="Q128" s="308">
        <f t="shared" si="119"/>
        <v>0</v>
      </c>
      <c r="R128" s="308">
        <f t="shared" si="119"/>
        <v>0</v>
      </c>
      <c r="S128" s="308">
        <f t="shared" si="119"/>
        <v>0</v>
      </c>
      <c r="T128" s="308">
        <f t="shared" si="119"/>
        <v>0</v>
      </c>
      <c r="U128" s="308">
        <f t="shared" si="119"/>
        <v>0</v>
      </c>
      <c r="V128" s="308">
        <f t="shared" si="119"/>
        <v>0</v>
      </c>
      <c r="W128" s="308">
        <f t="shared" si="119"/>
        <v>0</v>
      </c>
      <c r="X128" s="308">
        <f t="shared" si="119"/>
        <v>0</v>
      </c>
      <c r="Y128" s="308">
        <f t="shared" si="119"/>
        <v>0</v>
      </c>
      <c r="Z128" s="308">
        <f t="shared" si="119"/>
        <v>0</v>
      </c>
      <c r="AA128" s="308">
        <f t="shared" si="119"/>
        <v>0</v>
      </c>
      <c r="AB128" s="308">
        <f t="shared" si="119"/>
        <v>0</v>
      </c>
      <c r="AC128" s="308">
        <f t="shared" si="119"/>
        <v>0</v>
      </c>
      <c r="AD128" s="308">
        <f t="shared" si="119"/>
        <v>0</v>
      </c>
      <c r="AE128" s="308">
        <f t="shared" si="119"/>
        <v>0</v>
      </c>
      <c r="AF128" s="308">
        <f t="shared" si="119"/>
        <v>0</v>
      </c>
      <c r="AG128" s="308">
        <f t="shared" si="119"/>
        <v>0</v>
      </c>
      <c r="AH128" s="308">
        <f t="shared" si="119"/>
        <v>0</v>
      </c>
      <c r="AI128" s="308">
        <f t="shared" si="119"/>
        <v>0</v>
      </c>
      <c r="AJ128" s="308">
        <f t="shared" si="119"/>
        <v>0</v>
      </c>
      <c r="AK128" s="308">
        <f t="shared" si="119"/>
        <v>0</v>
      </c>
      <c r="AL128" s="308">
        <f t="shared" si="119"/>
        <v>0</v>
      </c>
      <c r="AM128" s="308">
        <f t="shared" si="119"/>
        <v>0</v>
      </c>
      <c r="AN128" s="308">
        <f t="shared" si="119"/>
        <v>0</v>
      </c>
      <c r="AO128" s="308">
        <f t="shared" si="119"/>
        <v>0</v>
      </c>
      <c r="AP128" s="308">
        <f t="shared" si="119"/>
        <v>0</v>
      </c>
      <c r="AQ128" s="308">
        <f t="shared" si="119"/>
        <v>0</v>
      </c>
      <c r="AR128" s="309"/>
      <c r="AS128" s="310">
        <f>+D130-AR132-AR134</f>
        <v>0</v>
      </c>
      <c r="AW128" s="274" t="str">
        <f>IF(F128="","X",F128)</f>
        <v>X</v>
      </c>
      <c r="AX128" s="274" t="str">
        <f ca="1">IF($A$128=0,"","X")</f>
        <v/>
      </c>
    </row>
    <row r="129" spans="1:50" s="274" customFormat="1" ht="18" hidden="1" customHeight="1">
      <c r="A129" s="2499"/>
      <c r="B129" s="2502"/>
      <c r="C129" s="311" t="str">
        <f>CONCATENATE(Orcamento!K134," ",Orcamento!O134)</f>
        <v>0 6,9</v>
      </c>
      <c r="D129" s="2504">
        <f>Orcamento!S34</f>
        <v>0</v>
      </c>
      <c r="E129" s="2505"/>
      <c r="F129" s="312" t="s">
        <v>1192</v>
      </c>
      <c r="G129" s="312"/>
      <c r="H129" s="314"/>
      <c r="I129" s="314"/>
      <c r="J129" s="314"/>
      <c r="K129" s="314"/>
      <c r="L129" s="314"/>
      <c r="M129" s="314"/>
      <c r="N129" s="314"/>
      <c r="O129" s="314"/>
      <c r="P129" s="314"/>
      <c r="Q129" s="314"/>
      <c r="R129" s="314"/>
      <c r="S129" s="314"/>
      <c r="T129" s="314"/>
      <c r="U129" s="314"/>
      <c r="V129" s="314"/>
      <c r="W129" s="314"/>
      <c r="X129" s="314"/>
      <c r="Y129" s="314"/>
      <c r="Z129" s="314"/>
      <c r="AA129" s="314"/>
      <c r="AB129" s="314"/>
      <c r="AC129" s="314"/>
      <c r="AD129" s="314"/>
      <c r="AE129" s="314"/>
      <c r="AF129" s="314"/>
      <c r="AG129" s="314"/>
      <c r="AH129" s="314"/>
      <c r="AI129" s="314"/>
      <c r="AJ129" s="314"/>
      <c r="AK129" s="314"/>
      <c r="AL129" s="314"/>
      <c r="AM129" s="314"/>
      <c r="AN129" s="314"/>
      <c r="AO129" s="314"/>
      <c r="AP129" s="314"/>
      <c r="AQ129" s="314"/>
      <c r="AR129" s="315">
        <f t="shared" ref="AR129:AR134" si="120">SUM(H129:AQ129)</f>
        <v>0</v>
      </c>
      <c r="AS129" s="2506">
        <f>1-AR129</f>
        <v>1</v>
      </c>
      <c r="AU129" s="2507">
        <f>+COUNT(H129:AQ130)</f>
        <v>36</v>
      </c>
      <c r="AW129" s="274" t="str">
        <f>IF(F129="","X",F129)</f>
        <v>ND</v>
      </c>
      <c r="AX129" s="274" t="str">
        <f t="shared" ref="AX129:AX134" ca="1" si="121">IF($A$128=0,"","X")</f>
        <v/>
      </c>
    </row>
    <row r="130" spans="1:50" s="274" customFormat="1" ht="18" hidden="1" customHeight="1">
      <c r="A130" s="2499"/>
      <c r="B130" s="2502"/>
      <c r="C130" s="311" t="str">
        <f>CONCATENATE(Orcamento!K135," ",Orcamento!O135)</f>
        <v>0 8,78</v>
      </c>
      <c r="D130" s="2504">
        <f>Orcamento!T34</f>
        <v>0</v>
      </c>
      <c r="E130" s="2505"/>
      <c r="F130" s="316" t="s">
        <v>1193</v>
      </c>
      <c r="G130" s="316"/>
      <c r="H130" s="314">
        <f t="shared" ref="H130:AQ130" si="122">H129</f>
        <v>0</v>
      </c>
      <c r="I130" s="314">
        <f t="shared" si="122"/>
        <v>0</v>
      </c>
      <c r="J130" s="314">
        <f t="shared" si="122"/>
        <v>0</v>
      </c>
      <c r="K130" s="314">
        <f t="shared" si="122"/>
        <v>0</v>
      </c>
      <c r="L130" s="314">
        <f t="shared" si="122"/>
        <v>0</v>
      </c>
      <c r="M130" s="314">
        <f t="shared" si="122"/>
        <v>0</v>
      </c>
      <c r="N130" s="314">
        <f t="shared" si="122"/>
        <v>0</v>
      </c>
      <c r="O130" s="314">
        <f t="shared" si="122"/>
        <v>0</v>
      </c>
      <c r="P130" s="314">
        <f t="shared" si="122"/>
        <v>0</v>
      </c>
      <c r="Q130" s="314">
        <f t="shared" si="122"/>
        <v>0</v>
      </c>
      <c r="R130" s="314">
        <f t="shared" si="122"/>
        <v>0</v>
      </c>
      <c r="S130" s="314">
        <f t="shared" si="122"/>
        <v>0</v>
      </c>
      <c r="T130" s="314">
        <f t="shared" si="122"/>
        <v>0</v>
      </c>
      <c r="U130" s="314">
        <f t="shared" si="122"/>
        <v>0</v>
      </c>
      <c r="V130" s="314">
        <f t="shared" si="122"/>
        <v>0</v>
      </c>
      <c r="W130" s="314">
        <f t="shared" si="122"/>
        <v>0</v>
      </c>
      <c r="X130" s="314">
        <f t="shared" si="122"/>
        <v>0</v>
      </c>
      <c r="Y130" s="314">
        <f t="shared" si="122"/>
        <v>0</v>
      </c>
      <c r="Z130" s="314">
        <f t="shared" si="122"/>
        <v>0</v>
      </c>
      <c r="AA130" s="314">
        <f t="shared" si="122"/>
        <v>0</v>
      </c>
      <c r="AB130" s="314">
        <f t="shared" si="122"/>
        <v>0</v>
      </c>
      <c r="AC130" s="314">
        <f t="shared" si="122"/>
        <v>0</v>
      </c>
      <c r="AD130" s="314">
        <f t="shared" si="122"/>
        <v>0</v>
      </c>
      <c r="AE130" s="314">
        <f t="shared" si="122"/>
        <v>0</v>
      </c>
      <c r="AF130" s="314">
        <f t="shared" si="122"/>
        <v>0</v>
      </c>
      <c r="AG130" s="314">
        <f t="shared" si="122"/>
        <v>0</v>
      </c>
      <c r="AH130" s="314">
        <f t="shared" si="122"/>
        <v>0</v>
      </c>
      <c r="AI130" s="314">
        <f t="shared" si="122"/>
        <v>0</v>
      </c>
      <c r="AJ130" s="314">
        <f t="shared" si="122"/>
        <v>0</v>
      </c>
      <c r="AK130" s="314">
        <f t="shared" si="122"/>
        <v>0</v>
      </c>
      <c r="AL130" s="314">
        <f t="shared" si="122"/>
        <v>0</v>
      </c>
      <c r="AM130" s="314">
        <f t="shared" si="122"/>
        <v>0</v>
      </c>
      <c r="AN130" s="314">
        <f t="shared" si="122"/>
        <v>0</v>
      </c>
      <c r="AO130" s="314">
        <f t="shared" si="122"/>
        <v>0</v>
      </c>
      <c r="AP130" s="314">
        <f t="shared" si="122"/>
        <v>0</v>
      </c>
      <c r="AQ130" s="314">
        <f t="shared" si="122"/>
        <v>0</v>
      </c>
      <c r="AR130" s="315">
        <f t="shared" si="120"/>
        <v>0</v>
      </c>
      <c r="AS130" s="2506"/>
      <c r="AU130" s="2507"/>
      <c r="AW130" s="274" t="str">
        <f>IF(F130="","X",F130)</f>
        <v>DE</v>
      </c>
      <c r="AX130" s="274" t="str">
        <f t="shared" ca="1" si="121"/>
        <v/>
      </c>
    </row>
    <row r="131" spans="1:50" s="274" customFormat="1" ht="18" hidden="1" customHeight="1">
      <c r="A131" s="2499"/>
      <c r="B131" s="2502"/>
      <c r="C131" s="311"/>
      <c r="D131" s="317" t="s">
        <v>1194</v>
      </c>
      <c r="E131" s="2508">
        <f>$D$159</f>
        <v>1</v>
      </c>
      <c r="F131" s="318" t="s">
        <v>1192</v>
      </c>
      <c r="G131" s="318" t="str">
        <f>D131&amp;" | "&amp;F131</f>
        <v>CONCEDENTE | ND</v>
      </c>
      <c r="H131" s="319">
        <f t="shared" ref="H131:AQ131" si="123">IF($D129=0,0,IF(H129=0,0,($E131*$D129*H129)+$AU$163))</f>
        <v>0</v>
      </c>
      <c r="I131" s="319">
        <f t="shared" si="123"/>
        <v>0</v>
      </c>
      <c r="J131" s="319">
        <f t="shared" si="123"/>
        <v>0</v>
      </c>
      <c r="K131" s="319">
        <f t="shared" si="123"/>
        <v>0</v>
      </c>
      <c r="L131" s="319">
        <f t="shared" si="123"/>
        <v>0</v>
      </c>
      <c r="M131" s="319">
        <f t="shared" si="123"/>
        <v>0</v>
      </c>
      <c r="N131" s="319">
        <f t="shared" si="123"/>
        <v>0</v>
      </c>
      <c r="O131" s="319">
        <f t="shared" si="123"/>
        <v>0</v>
      </c>
      <c r="P131" s="319">
        <f t="shared" si="123"/>
        <v>0</v>
      </c>
      <c r="Q131" s="319">
        <f t="shared" si="123"/>
        <v>0</v>
      </c>
      <c r="R131" s="319">
        <f t="shared" si="123"/>
        <v>0</v>
      </c>
      <c r="S131" s="319">
        <f t="shared" si="123"/>
        <v>0</v>
      </c>
      <c r="T131" s="319">
        <f t="shared" si="123"/>
        <v>0</v>
      </c>
      <c r="U131" s="319">
        <f t="shared" si="123"/>
        <v>0</v>
      </c>
      <c r="V131" s="319">
        <f t="shared" si="123"/>
        <v>0</v>
      </c>
      <c r="W131" s="319">
        <f t="shared" si="123"/>
        <v>0</v>
      </c>
      <c r="X131" s="319">
        <f t="shared" si="123"/>
        <v>0</v>
      </c>
      <c r="Y131" s="319">
        <f t="shared" si="123"/>
        <v>0</v>
      </c>
      <c r="Z131" s="319">
        <f t="shared" si="123"/>
        <v>0</v>
      </c>
      <c r="AA131" s="319">
        <f t="shared" si="123"/>
        <v>0</v>
      </c>
      <c r="AB131" s="319">
        <f t="shared" si="123"/>
        <v>0</v>
      </c>
      <c r="AC131" s="319">
        <f t="shared" si="123"/>
        <v>0</v>
      </c>
      <c r="AD131" s="319">
        <f t="shared" si="123"/>
        <v>0</v>
      </c>
      <c r="AE131" s="319">
        <f t="shared" si="123"/>
        <v>0</v>
      </c>
      <c r="AF131" s="319">
        <f t="shared" si="123"/>
        <v>0</v>
      </c>
      <c r="AG131" s="319">
        <f t="shared" si="123"/>
        <v>0</v>
      </c>
      <c r="AH131" s="319">
        <f t="shared" si="123"/>
        <v>0</v>
      </c>
      <c r="AI131" s="319">
        <f t="shared" si="123"/>
        <v>0</v>
      </c>
      <c r="AJ131" s="319">
        <f t="shared" si="123"/>
        <v>0</v>
      </c>
      <c r="AK131" s="319">
        <f t="shared" si="123"/>
        <v>0</v>
      </c>
      <c r="AL131" s="319">
        <f t="shared" si="123"/>
        <v>0</v>
      </c>
      <c r="AM131" s="319">
        <f t="shared" si="123"/>
        <v>0</v>
      </c>
      <c r="AN131" s="319">
        <f t="shared" si="123"/>
        <v>0</v>
      </c>
      <c r="AO131" s="319">
        <f t="shared" si="123"/>
        <v>0</v>
      </c>
      <c r="AP131" s="319">
        <f t="shared" si="123"/>
        <v>0</v>
      </c>
      <c r="AQ131" s="319">
        <f t="shared" si="123"/>
        <v>0</v>
      </c>
      <c r="AR131" s="320">
        <f t="shared" si="120"/>
        <v>0</v>
      </c>
      <c r="AS131" s="321">
        <f>TRUNC(AR131-D129*E131,2)</f>
        <v>0</v>
      </c>
      <c r="AT131" s="322" t="e">
        <f>+AR131/D129</f>
        <v>#DIV/0!</v>
      </c>
      <c r="AW131" s="274" t="str">
        <f>IF(F131="","X",IF(AND(E131&gt;0),F131,"-"))</f>
        <v>ND</v>
      </c>
      <c r="AX131" s="274" t="str">
        <f t="shared" ca="1" si="121"/>
        <v/>
      </c>
    </row>
    <row r="132" spans="1:50" s="274" customFormat="1" ht="18" hidden="1" customHeight="1">
      <c r="A132" s="2499"/>
      <c r="B132" s="2502"/>
      <c r="C132" s="311"/>
      <c r="D132" s="317" t="s">
        <v>1194</v>
      </c>
      <c r="E132" s="2509"/>
      <c r="F132" s="323" t="s">
        <v>1193</v>
      </c>
      <c r="G132" s="323" t="str">
        <f>D132&amp;" | "&amp;F132</f>
        <v>CONCEDENTE | DE</v>
      </c>
      <c r="H132" s="319">
        <f t="shared" ref="H132:AQ132" si="124">IF($D130=0,0,IF(H130=0,0,($E131*$D130*H130)+$AU$163))</f>
        <v>0</v>
      </c>
      <c r="I132" s="319">
        <f t="shared" si="124"/>
        <v>0</v>
      </c>
      <c r="J132" s="319">
        <f t="shared" si="124"/>
        <v>0</v>
      </c>
      <c r="K132" s="319">
        <f t="shared" si="124"/>
        <v>0</v>
      </c>
      <c r="L132" s="319">
        <f t="shared" si="124"/>
        <v>0</v>
      </c>
      <c r="M132" s="319">
        <f t="shared" si="124"/>
        <v>0</v>
      </c>
      <c r="N132" s="319">
        <f t="shared" si="124"/>
        <v>0</v>
      </c>
      <c r="O132" s="319">
        <f t="shared" si="124"/>
        <v>0</v>
      </c>
      <c r="P132" s="319">
        <f t="shared" si="124"/>
        <v>0</v>
      </c>
      <c r="Q132" s="319">
        <f t="shared" si="124"/>
        <v>0</v>
      </c>
      <c r="R132" s="319">
        <f t="shared" si="124"/>
        <v>0</v>
      </c>
      <c r="S132" s="319">
        <f t="shared" si="124"/>
        <v>0</v>
      </c>
      <c r="T132" s="319">
        <f t="shared" si="124"/>
        <v>0</v>
      </c>
      <c r="U132" s="319">
        <f t="shared" si="124"/>
        <v>0</v>
      </c>
      <c r="V132" s="319">
        <f t="shared" si="124"/>
        <v>0</v>
      </c>
      <c r="W132" s="319">
        <f t="shared" si="124"/>
        <v>0</v>
      </c>
      <c r="X132" s="319">
        <f t="shared" si="124"/>
        <v>0</v>
      </c>
      <c r="Y132" s="319">
        <f t="shared" si="124"/>
        <v>0</v>
      </c>
      <c r="Z132" s="319">
        <f t="shared" si="124"/>
        <v>0</v>
      </c>
      <c r="AA132" s="319">
        <f t="shared" si="124"/>
        <v>0</v>
      </c>
      <c r="AB132" s="319">
        <f t="shared" si="124"/>
        <v>0</v>
      </c>
      <c r="AC132" s="319">
        <f t="shared" si="124"/>
        <v>0</v>
      </c>
      <c r="AD132" s="319">
        <f t="shared" si="124"/>
        <v>0</v>
      </c>
      <c r="AE132" s="319">
        <f t="shared" si="124"/>
        <v>0</v>
      </c>
      <c r="AF132" s="319">
        <f t="shared" si="124"/>
        <v>0</v>
      </c>
      <c r="AG132" s="319">
        <f t="shared" si="124"/>
        <v>0</v>
      </c>
      <c r="AH132" s="319">
        <f t="shared" si="124"/>
        <v>0</v>
      </c>
      <c r="AI132" s="319">
        <f t="shared" si="124"/>
        <v>0</v>
      </c>
      <c r="AJ132" s="319">
        <f t="shared" si="124"/>
        <v>0</v>
      </c>
      <c r="AK132" s="319">
        <f t="shared" si="124"/>
        <v>0</v>
      </c>
      <c r="AL132" s="319">
        <f t="shared" si="124"/>
        <v>0</v>
      </c>
      <c r="AM132" s="319">
        <f t="shared" si="124"/>
        <v>0</v>
      </c>
      <c r="AN132" s="319">
        <f t="shared" si="124"/>
        <v>0</v>
      </c>
      <c r="AO132" s="319">
        <f t="shared" si="124"/>
        <v>0</v>
      </c>
      <c r="AP132" s="319">
        <f t="shared" si="124"/>
        <v>0</v>
      </c>
      <c r="AQ132" s="319">
        <f t="shared" si="124"/>
        <v>0</v>
      </c>
      <c r="AR132" s="320">
        <f t="shared" si="120"/>
        <v>0</v>
      </c>
      <c r="AS132" s="321">
        <f>TRUNC(AR132-D130*E131,2)</f>
        <v>0</v>
      </c>
      <c r="AT132" s="322" t="e">
        <f>+AR132/D130</f>
        <v>#DIV/0!</v>
      </c>
      <c r="AW132" s="274" t="str">
        <f>IF(F132="","X",IF(AND(E131&gt;0),F132,"-"))</f>
        <v>DE</v>
      </c>
      <c r="AX132" s="274" t="str">
        <f t="shared" ca="1" si="121"/>
        <v/>
      </c>
    </row>
    <row r="133" spans="1:50" s="274" customFormat="1" ht="18" hidden="1" customHeight="1" thickBot="1">
      <c r="A133" s="2499"/>
      <c r="B133" s="2502"/>
      <c r="C133" s="324"/>
      <c r="D133" s="325" t="s">
        <v>1195</v>
      </c>
      <c r="E133" s="2510">
        <f>1-E131</f>
        <v>0</v>
      </c>
      <c r="F133" s="326" t="s">
        <v>1192</v>
      </c>
      <c r="G133" s="326" t="str">
        <f>D133&amp;" | "&amp;F133</f>
        <v>PROPONENTE | ND</v>
      </c>
      <c r="H133" s="327">
        <f>($D129*H129-H131)</f>
        <v>0</v>
      </c>
      <c r="I133" s="327">
        <f t="shared" ref="I133:AQ134" si="125">($D129*I129-I131)</f>
        <v>0</v>
      </c>
      <c r="J133" s="327">
        <f t="shared" si="125"/>
        <v>0</v>
      </c>
      <c r="K133" s="327">
        <f t="shared" si="125"/>
        <v>0</v>
      </c>
      <c r="L133" s="327">
        <f t="shared" si="125"/>
        <v>0</v>
      </c>
      <c r="M133" s="327">
        <f t="shared" si="125"/>
        <v>0</v>
      </c>
      <c r="N133" s="327">
        <f t="shared" si="125"/>
        <v>0</v>
      </c>
      <c r="O133" s="327">
        <f t="shared" si="125"/>
        <v>0</v>
      </c>
      <c r="P133" s="327">
        <f t="shared" si="125"/>
        <v>0</v>
      </c>
      <c r="Q133" s="327">
        <f t="shared" si="125"/>
        <v>0</v>
      </c>
      <c r="R133" s="327">
        <f t="shared" si="125"/>
        <v>0</v>
      </c>
      <c r="S133" s="327">
        <f t="shared" si="125"/>
        <v>0</v>
      </c>
      <c r="T133" s="327">
        <f t="shared" si="125"/>
        <v>0</v>
      </c>
      <c r="U133" s="327">
        <f t="shared" si="125"/>
        <v>0</v>
      </c>
      <c r="V133" s="327">
        <f t="shared" si="125"/>
        <v>0</v>
      </c>
      <c r="W133" s="327">
        <f t="shared" si="125"/>
        <v>0</v>
      </c>
      <c r="X133" s="327">
        <f t="shared" si="125"/>
        <v>0</v>
      </c>
      <c r="Y133" s="327">
        <f t="shared" si="125"/>
        <v>0</v>
      </c>
      <c r="Z133" s="327">
        <f t="shared" si="125"/>
        <v>0</v>
      </c>
      <c r="AA133" s="327">
        <f t="shared" si="125"/>
        <v>0</v>
      </c>
      <c r="AB133" s="327">
        <f t="shared" si="125"/>
        <v>0</v>
      </c>
      <c r="AC133" s="327">
        <f t="shared" si="125"/>
        <v>0</v>
      </c>
      <c r="AD133" s="327">
        <f t="shared" si="125"/>
        <v>0</v>
      </c>
      <c r="AE133" s="327">
        <f t="shared" si="125"/>
        <v>0</v>
      </c>
      <c r="AF133" s="327">
        <f t="shared" si="125"/>
        <v>0</v>
      </c>
      <c r="AG133" s="327">
        <f t="shared" si="125"/>
        <v>0</v>
      </c>
      <c r="AH133" s="327">
        <f t="shared" si="125"/>
        <v>0</v>
      </c>
      <c r="AI133" s="327">
        <f t="shared" si="125"/>
        <v>0</v>
      </c>
      <c r="AJ133" s="327">
        <f t="shared" si="125"/>
        <v>0</v>
      </c>
      <c r="AK133" s="327">
        <f t="shared" si="125"/>
        <v>0</v>
      </c>
      <c r="AL133" s="327">
        <f t="shared" si="125"/>
        <v>0</v>
      </c>
      <c r="AM133" s="327">
        <f t="shared" si="125"/>
        <v>0</v>
      </c>
      <c r="AN133" s="327">
        <f t="shared" si="125"/>
        <v>0</v>
      </c>
      <c r="AO133" s="327">
        <f t="shared" si="125"/>
        <v>0</v>
      </c>
      <c r="AP133" s="327">
        <f t="shared" si="125"/>
        <v>0</v>
      </c>
      <c r="AQ133" s="327">
        <f t="shared" si="125"/>
        <v>0</v>
      </c>
      <c r="AR133" s="328">
        <f t="shared" si="120"/>
        <v>0</v>
      </c>
      <c r="AS133" s="321">
        <f>+D129-AR131-AR133</f>
        <v>0</v>
      </c>
      <c r="AW133" s="274" t="str">
        <f>IF(F133="","X",IF(AND(E133&gt;0),F133,"-"))</f>
        <v>-</v>
      </c>
      <c r="AX133" s="274" t="str">
        <f t="shared" ca="1" si="121"/>
        <v/>
      </c>
    </row>
    <row r="134" spans="1:50" s="274" customFormat="1" ht="18" hidden="1" customHeight="1" thickBot="1">
      <c r="A134" s="2500"/>
      <c r="B134" s="2503"/>
      <c r="C134" s="324"/>
      <c r="D134" s="325" t="s">
        <v>1195</v>
      </c>
      <c r="E134" s="2511"/>
      <c r="F134" s="329" t="s">
        <v>1193</v>
      </c>
      <c r="G134" s="329" t="str">
        <f>D134&amp;" | "&amp;F134</f>
        <v>PROPONENTE | DE</v>
      </c>
      <c r="H134" s="327">
        <f>($D130*H130-H132)</f>
        <v>0</v>
      </c>
      <c r="I134" s="327">
        <f t="shared" si="125"/>
        <v>0</v>
      </c>
      <c r="J134" s="327">
        <f t="shared" si="125"/>
        <v>0</v>
      </c>
      <c r="K134" s="327">
        <f t="shared" si="125"/>
        <v>0</v>
      </c>
      <c r="L134" s="327">
        <f t="shared" si="125"/>
        <v>0</v>
      </c>
      <c r="M134" s="327">
        <f t="shared" si="125"/>
        <v>0</v>
      </c>
      <c r="N134" s="327">
        <f t="shared" si="125"/>
        <v>0</v>
      </c>
      <c r="O134" s="327">
        <f t="shared" si="125"/>
        <v>0</v>
      </c>
      <c r="P134" s="327">
        <f t="shared" si="125"/>
        <v>0</v>
      </c>
      <c r="Q134" s="327">
        <f t="shared" si="125"/>
        <v>0</v>
      </c>
      <c r="R134" s="327">
        <f t="shared" si="125"/>
        <v>0</v>
      </c>
      <c r="S134" s="327">
        <f t="shared" si="125"/>
        <v>0</v>
      </c>
      <c r="T134" s="327">
        <f t="shared" si="125"/>
        <v>0</v>
      </c>
      <c r="U134" s="327">
        <f t="shared" si="125"/>
        <v>0</v>
      </c>
      <c r="V134" s="327">
        <f t="shared" si="125"/>
        <v>0</v>
      </c>
      <c r="W134" s="327">
        <f t="shared" si="125"/>
        <v>0</v>
      </c>
      <c r="X134" s="327">
        <f t="shared" si="125"/>
        <v>0</v>
      </c>
      <c r="Y134" s="327">
        <f t="shared" si="125"/>
        <v>0</v>
      </c>
      <c r="Z134" s="327">
        <f t="shared" si="125"/>
        <v>0</v>
      </c>
      <c r="AA134" s="327">
        <f t="shared" si="125"/>
        <v>0</v>
      </c>
      <c r="AB134" s="327">
        <f t="shared" si="125"/>
        <v>0</v>
      </c>
      <c r="AC134" s="327">
        <f t="shared" si="125"/>
        <v>0</v>
      </c>
      <c r="AD134" s="327">
        <f t="shared" si="125"/>
        <v>0</v>
      </c>
      <c r="AE134" s="327">
        <f t="shared" si="125"/>
        <v>0</v>
      </c>
      <c r="AF134" s="327">
        <f t="shared" si="125"/>
        <v>0</v>
      </c>
      <c r="AG134" s="327">
        <f t="shared" si="125"/>
        <v>0</v>
      </c>
      <c r="AH134" s="327">
        <f t="shared" si="125"/>
        <v>0</v>
      </c>
      <c r="AI134" s="327">
        <f t="shared" si="125"/>
        <v>0</v>
      </c>
      <c r="AJ134" s="327">
        <f t="shared" si="125"/>
        <v>0</v>
      </c>
      <c r="AK134" s="327">
        <f t="shared" si="125"/>
        <v>0</v>
      </c>
      <c r="AL134" s="327">
        <f t="shared" si="125"/>
        <v>0</v>
      </c>
      <c r="AM134" s="327">
        <f t="shared" si="125"/>
        <v>0</v>
      </c>
      <c r="AN134" s="327">
        <f t="shared" si="125"/>
        <v>0</v>
      </c>
      <c r="AO134" s="327">
        <f t="shared" si="125"/>
        <v>0</v>
      </c>
      <c r="AP134" s="327">
        <f t="shared" si="125"/>
        <v>0</v>
      </c>
      <c r="AQ134" s="327">
        <f t="shared" si="125"/>
        <v>0</v>
      </c>
      <c r="AR134" s="328">
        <f t="shared" si="120"/>
        <v>0</v>
      </c>
      <c r="AS134" s="321">
        <f>+D130-AR132-AR134</f>
        <v>0</v>
      </c>
      <c r="AW134" s="274" t="str">
        <f>IF(F134="","X",IF(AND(E133&gt;0),F134,"-"))</f>
        <v>-</v>
      </c>
      <c r="AX134" s="274" t="str">
        <f t="shared" ca="1" si="121"/>
        <v/>
      </c>
    </row>
    <row r="135" spans="1:50" s="274" customFormat="1" ht="9.9499999999999993" hidden="1" customHeight="1">
      <c r="A135" s="2498">
        <f ca="1">Orcamento!B35</f>
        <v>0</v>
      </c>
      <c r="B135" s="2501" t="str">
        <f>Orcamento!D35</f>
        <v>SINALIZAÇÃO VIÁRIA DEFINITIVA HORIZONTAL E VERTICAL E DISPOSITIVOS DE SEGURANÇA</v>
      </c>
      <c r="C135" s="305"/>
      <c r="D135" s="306"/>
      <c r="E135" s="307"/>
      <c r="F135" s="307"/>
      <c r="G135" s="307"/>
      <c r="H135" s="308">
        <f t="shared" ref="H135:AQ135" si="126">H136</f>
        <v>0</v>
      </c>
      <c r="I135" s="308">
        <f t="shared" si="126"/>
        <v>0</v>
      </c>
      <c r="J135" s="308">
        <f t="shared" si="126"/>
        <v>0</v>
      </c>
      <c r="K135" s="308">
        <f t="shared" si="126"/>
        <v>0</v>
      </c>
      <c r="L135" s="308">
        <f t="shared" si="126"/>
        <v>0</v>
      </c>
      <c r="M135" s="308">
        <f t="shared" si="126"/>
        <v>0</v>
      </c>
      <c r="N135" s="308">
        <f t="shared" si="126"/>
        <v>0</v>
      </c>
      <c r="O135" s="308">
        <f t="shared" si="126"/>
        <v>0</v>
      </c>
      <c r="P135" s="308">
        <f t="shared" si="126"/>
        <v>0</v>
      </c>
      <c r="Q135" s="308">
        <f t="shared" si="126"/>
        <v>0</v>
      </c>
      <c r="R135" s="308">
        <f t="shared" si="126"/>
        <v>0</v>
      </c>
      <c r="S135" s="308">
        <f t="shared" si="126"/>
        <v>0</v>
      </c>
      <c r="T135" s="308">
        <f t="shared" si="126"/>
        <v>0</v>
      </c>
      <c r="U135" s="308">
        <f t="shared" si="126"/>
        <v>0</v>
      </c>
      <c r="V135" s="308">
        <f t="shared" si="126"/>
        <v>0</v>
      </c>
      <c r="W135" s="308">
        <f t="shared" si="126"/>
        <v>0</v>
      </c>
      <c r="X135" s="308">
        <f t="shared" si="126"/>
        <v>0</v>
      </c>
      <c r="Y135" s="308">
        <f t="shared" si="126"/>
        <v>0</v>
      </c>
      <c r="Z135" s="308">
        <f t="shared" si="126"/>
        <v>0</v>
      </c>
      <c r="AA135" s="308">
        <f t="shared" si="126"/>
        <v>0</v>
      </c>
      <c r="AB135" s="308">
        <f t="shared" si="126"/>
        <v>0</v>
      </c>
      <c r="AC135" s="308">
        <f t="shared" si="126"/>
        <v>0</v>
      </c>
      <c r="AD135" s="308">
        <f t="shared" si="126"/>
        <v>0</v>
      </c>
      <c r="AE135" s="308">
        <f t="shared" si="126"/>
        <v>0</v>
      </c>
      <c r="AF135" s="308">
        <f t="shared" si="126"/>
        <v>0</v>
      </c>
      <c r="AG135" s="308">
        <f t="shared" si="126"/>
        <v>0</v>
      </c>
      <c r="AH135" s="308">
        <f t="shared" si="126"/>
        <v>0</v>
      </c>
      <c r="AI135" s="308">
        <f t="shared" si="126"/>
        <v>0</v>
      </c>
      <c r="AJ135" s="308">
        <f t="shared" si="126"/>
        <v>0</v>
      </c>
      <c r="AK135" s="308">
        <f t="shared" si="126"/>
        <v>0</v>
      </c>
      <c r="AL135" s="308">
        <f t="shared" si="126"/>
        <v>0</v>
      </c>
      <c r="AM135" s="308">
        <f t="shared" si="126"/>
        <v>0</v>
      </c>
      <c r="AN135" s="308">
        <f t="shared" si="126"/>
        <v>0</v>
      </c>
      <c r="AO135" s="308">
        <f t="shared" si="126"/>
        <v>0</v>
      </c>
      <c r="AP135" s="308">
        <f t="shared" si="126"/>
        <v>0</v>
      </c>
      <c r="AQ135" s="308">
        <f t="shared" si="126"/>
        <v>0</v>
      </c>
      <c r="AR135" s="309"/>
      <c r="AS135" s="310">
        <f>+D137-AR139-AR141</f>
        <v>0</v>
      </c>
      <c r="AW135" s="274" t="str">
        <f>IF(F135="","X",F135)</f>
        <v>X</v>
      </c>
      <c r="AX135" s="274" t="str">
        <f ca="1">IF($A$135=0,"","X")</f>
        <v/>
      </c>
    </row>
    <row r="136" spans="1:50" s="274" customFormat="1" ht="18" hidden="1" customHeight="1">
      <c r="A136" s="2499"/>
      <c r="B136" s="2502"/>
      <c r="C136" s="311" t="str">
        <f>CONCATENATE(Orcamento!K141," ",Orcamento!O141)</f>
        <v>0 5,79</v>
      </c>
      <c r="D136" s="2504">
        <f>Orcamento!S35</f>
        <v>0</v>
      </c>
      <c r="E136" s="2505"/>
      <c r="F136" s="312" t="s">
        <v>1192</v>
      </c>
      <c r="G136" s="312"/>
      <c r="H136" s="314"/>
      <c r="I136" s="314"/>
      <c r="J136" s="314"/>
      <c r="K136" s="314"/>
      <c r="L136" s="314"/>
      <c r="M136" s="314"/>
      <c r="N136" s="314"/>
      <c r="O136" s="314"/>
      <c r="P136" s="314"/>
      <c r="Q136" s="314"/>
      <c r="R136" s="314"/>
      <c r="S136" s="314"/>
      <c r="T136" s="314"/>
      <c r="U136" s="314"/>
      <c r="V136" s="314"/>
      <c r="W136" s="314"/>
      <c r="X136" s="314"/>
      <c r="Y136" s="314"/>
      <c r="Z136" s="314"/>
      <c r="AA136" s="314"/>
      <c r="AB136" s="314"/>
      <c r="AC136" s="314"/>
      <c r="AD136" s="314"/>
      <c r="AE136" s="314"/>
      <c r="AF136" s="314"/>
      <c r="AG136" s="314"/>
      <c r="AH136" s="314"/>
      <c r="AI136" s="314"/>
      <c r="AJ136" s="314"/>
      <c r="AK136" s="314"/>
      <c r="AL136" s="314"/>
      <c r="AM136" s="314"/>
      <c r="AN136" s="314"/>
      <c r="AO136" s="314"/>
      <c r="AP136" s="314"/>
      <c r="AQ136" s="314"/>
      <c r="AR136" s="315">
        <f t="shared" ref="AR136:AR141" si="127">SUM(H136:AQ136)</f>
        <v>0</v>
      </c>
      <c r="AS136" s="2506">
        <f>1-AR136</f>
        <v>1</v>
      </c>
      <c r="AU136" s="2507">
        <f>+COUNT(H136:AQ137)</f>
        <v>36</v>
      </c>
      <c r="AW136" s="274" t="str">
        <f>IF(F136="","X",F136)</f>
        <v>ND</v>
      </c>
      <c r="AX136" s="274" t="str">
        <f t="shared" ref="AX136:AX141" ca="1" si="128">IF($A$135=0,"","X")</f>
        <v/>
      </c>
    </row>
    <row r="137" spans="1:50" s="274" customFormat="1" ht="18" hidden="1" customHeight="1">
      <c r="A137" s="2499"/>
      <c r="B137" s="2502"/>
      <c r="C137" s="311" t="str">
        <f>CONCATENATE(Orcamento!K142," ",Orcamento!O142)</f>
        <v>0 96,11</v>
      </c>
      <c r="D137" s="2504">
        <f>Orcamento!T35</f>
        <v>0</v>
      </c>
      <c r="E137" s="2505"/>
      <c r="F137" s="316" t="s">
        <v>1193</v>
      </c>
      <c r="G137" s="316"/>
      <c r="H137" s="314">
        <f t="shared" ref="H137:AQ137" si="129">H136</f>
        <v>0</v>
      </c>
      <c r="I137" s="314">
        <f t="shared" si="129"/>
        <v>0</v>
      </c>
      <c r="J137" s="314">
        <f t="shared" si="129"/>
        <v>0</v>
      </c>
      <c r="K137" s="314">
        <f t="shared" si="129"/>
        <v>0</v>
      </c>
      <c r="L137" s="314">
        <f t="shared" si="129"/>
        <v>0</v>
      </c>
      <c r="M137" s="314">
        <f t="shared" si="129"/>
        <v>0</v>
      </c>
      <c r="N137" s="314">
        <f t="shared" si="129"/>
        <v>0</v>
      </c>
      <c r="O137" s="314">
        <f t="shared" si="129"/>
        <v>0</v>
      </c>
      <c r="P137" s="314">
        <f t="shared" si="129"/>
        <v>0</v>
      </c>
      <c r="Q137" s="314">
        <f t="shared" si="129"/>
        <v>0</v>
      </c>
      <c r="R137" s="314">
        <f t="shared" si="129"/>
        <v>0</v>
      </c>
      <c r="S137" s="314">
        <f t="shared" si="129"/>
        <v>0</v>
      </c>
      <c r="T137" s="314">
        <f t="shared" si="129"/>
        <v>0</v>
      </c>
      <c r="U137" s="314">
        <f t="shared" si="129"/>
        <v>0</v>
      </c>
      <c r="V137" s="314">
        <f t="shared" si="129"/>
        <v>0</v>
      </c>
      <c r="W137" s="314">
        <f t="shared" si="129"/>
        <v>0</v>
      </c>
      <c r="X137" s="314">
        <f t="shared" si="129"/>
        <v>0</v>
      </c>
      <c r="Y137" s="314">
        <f t="shared" si="129"/>
        <v>0</v>
      </c>
      <c r="Z137" s="314">
        <f t="shared" si="129"/>
        <v>0</v>
      </c>
      <c r="AA137" s="314">
        <f t="shared" si="129"/>
        <v>0</v>
      </c>
      <c r="AB137" s="314">
        <f t="shared" si="129"/>
        <v>0</v>
      </c>
      <c r="AC137" s="314">
        <f t="shared" si="129"/>
        <v>0</v>
      </c>
      <c r="AD137" s="314">
        <f t="shared" si="129"/>
        <v>0</v>
      </c>
      <c r="AE137" s="314">
        <f t="shared" si="129"/>
        <v>0</v>
      </c>
      <c r="AF137" s="314">
        <f t="shared" si="129"/>
        <v>0</v>
      </c>
      <c r="AG137" s="314">
        <f t="shared" si="129"/>
        <v>0</v>
      </c>
      <c r="AH137" s="314">
        <f t="shared" si="129"/>
        <v>0</v>
      </c>
      <c r="AI137" s="314">
        <f t="shared" si="129"/>
        <v>0</v>
      </c>
      <c r="AJ137" s="314">
        <f t="shared" si="129"/>
        <v>0</v>
      </c>
      <c r="AK137" s="314">
        <f t="shared" si="129"/>
        <v>0</v>
      </c>
      <c r="AL137" s="314">
        <f t="shared" si="129"/>
        <v>0</v>
      </c>
      <c r="AM137" s="314">
        <f t="shared" si="129"/>
        <v>0</v>
      </c>
      <c r="AN137" s="314">
        <f t="shared" si="129"/>
        <v>0</v>
      </c>
      <c r="AO137" s="314">
        <f t="shared" si="129"/>
        <v>0</v>
      </c>
      <c r="AP137" s="314">
        <f t="shared" si="129"/>
        <v>0</v>
      </c>
      <c r="AQ137" s="314">
        <f t="shared" si="129"/>
        <v>0</v>
      </c>
      <c r="AR137" s="315">
        <f t="shared" si="127"/>
        <v>0</v>
      </c>
      <c r="AS137" s="2506"/>
      <c r="AU137" s="2507"/>
      <c r="AW137" s="274" t="str">
        <f>IF(F137="","X",F137)</f>
        <v>DE</v>
      </c>
      <c r="AX137" s="274" t="str">
        <f t="shared" ca="1" si="128"/>
        <v/>
      </c>
    </row>
    <row r="138" spans="1:50" s="274" customFormat="1" ht="18" hidden="1" customHeight="1">
      <c r="A138" s="2499"/>
      <c r="B138" s="2502"/>
      <c r="C138" s="311"/>
      <c r="D138" s="317" t="s">
        <v>1194</v>
      </c>
      <c r="E138" s="2508">
        <f>$D$159</f>
        <v>1</v>
      </c>
      <c r="F138" s="318" t="s">
        <v>1192</v>
      </c>
      <c r="G138" s="318" t="str">
        <f>D138&amp;" | "&amp;F138</f>
        <v>CONCEDENTE | ND</v>
      </c>
      <c r="H138" s="319">
        <f t="shared" ref="H138:AQ138" si="130">IF($D136=0,0,IF(H136=0,0,($E138*$D136*H136)+$AU$163))</f>
        <v>0</v>
      </c>
      <c r="I138" s="319">
        <f t="shared" si="130"/>
        <v>0</v>
      </c>
      <c r="J138" s="319">
        <f t="shared" si="130"/>
        <v>0</v>
      </c>
      <c r="K138" s="319">
        <f t="shared" si="130"/>
        <v>0</v>
      </c>
      <c r="L138" s="319">
        <f t="shared" si="130"/>
        <v>0</v>
      </c>
      <c r="M138" s="319">
        <f t="shared" si="130"/>
        <v>0</v>
      </c>
      <c r="N138" s="319">
        <f t="shared" si="130"/>
        <v>0</v>
      </c>
      <c r="O138" s="319">
        <f t="shared" si="130"/>
        <v>0</v>
      </c>
      <c r="P138" s="319">
        <f t="shared" si="130"/>
        <v>0</v>
      </c>
      <c r="Q138" s="319">
        <f t="shared" si="130"/>
        <v>0</v>
      </c>
      <c r="R138" s="319">
        <f t="shared" si="130"/>
        <v>0</v>
      </c>
      <c r="S138" s="319">
        <f t="shared" si="130"/>
        <v>0</v>
      </c>
      <c r="T138" s="319">
        <f t="shared" si="130"/>
        <v>0</v>
      </c>
      <c r="U138" s="319">
        <f t="shared" si="130"/>
        <v>0</v>
      </c>
      <c r="V138" s="319">
        <f t="shared" si="130"/>
        <v>0</v>
      </c>
      <c r="W138" s="319">
        <f t="shared" si="130"/>
        <v>0</v>
      </c>
      <c r="X138" s="319">
        <f t="shared" si="130"/>
        <v>0</v>
      </c>
      <c r="Y138" s="319">
        <f t="shared" si="130"/>
        <v>0</v>
      </c>
      <c r="Z138" s="319">
        <f t="shared" si="130"/>
        <v>0</v>
      </c>
      <c r="AA138" s="319">
        <f t="shared" si="130"/>
        <v>0</v>
      </c>
      <c r="AB138" s="319">
        <f t="shared" si="130"/>
        <v>0</v>
      </c>
      <c r="AC138" s="319">
        <f t="shared" si="130"/>
        <v>0</v>
      </c>
      <c r="AD138" s="319">
        <f t="shared" si="130"/>
        <v>0</v>
      </c>
      <c r="AE138" s="319">
        <f t="shared" si="130"/>
        <v>0</v>
      </c>
      <c r="AF138" s="319">
        <f t="shared" si="130"/>
        <v>0</v>
      </c>
      <c r="AG138" s="319">
        <f t="shared" si="130"/>
        <v>0</v>
      </c>
      <c r="AH138" s="319">
        <f t="shared" si="130"/>
        <v>0</v>
      </c>
      <c r="AI138" s="319">
        <f t="shared" si="130"/>
        <v>0</v>
      </c>
      <c r="AJ138" s="319">
        <f t="shared" si="130"/>
        <v>0</v>
      </c>
      <c r="AK138" s="319">
        <f t="shared" si="130"/>
        <v>0</v>
      </c>
      <c r="AL138" s="319">
        <f t="shared" si="130"/>
        <v>0</v>
      </c>
      <c r="AM138" s="319">
        <f t="shared" si="130"/>
        <v>0</v>
      </c>
      <c r="AN138" s="319">
        <f t="shared" si="130"/>
        <v>0</v>
      </c>
      <c r="AO138" s="319">
        <f t="shared" si="130"/>
        <v>0</v>
      </c>
      <c r="AP138" s="319">
        <f t="shared" si="130"/>
        <v>0</v>
      </c>
      <c r="AQ138" s="319">
        <f t="shared" si="130"/>
        <v>0</v>
      </c>
      <c r="AR138" s="320">
        <f t="shared" si="127"/>
        <v>0</v>
      </c>
      <c r="AS138" s="321">
        <f>TRUNC(AR138-D136*E138,2)</f>
        <v>0</v>
      </c>
      <c r="AT138" s="322" t="e">
        <f>+AR138/D136</f>
        <v>#DIV/0!</v>
      </c>
      <c r="AW138" s="274" t="str">
        <f>IF(F138="","X",IF(AND(E138&gt;0),F138,"-"))</f>
        <v>ND</v>
      </c>
      <c r="AX138" s="274" t="str">
        <f t="shared" ca="1" si="128"/>
        <v/>
      </c>
    </row>
    <row r="139" spans="1:50" s="274" customFormat="1" ht="18" hidden="1" customHeight="1">
      <c r="A139" s="2499"/>
      <c r="B139" s="2502"/>
      <c r="C139" s="311"/>
      <c r="D139" s="317" t="s">
        <v>1194</v>
      </c>
      <c r="E139" s="2509"/>
      <c r="F139" s="323" t="s">
        <v>1193</v>
      </c>
      <c r="G139" s="323" t="str">
        <f>D139&amp;" | "&amp;F139</f>
        <v>CONCEDENTE | DE</v>
      </c>
      <c r="H139" s="319">
        <f t="shared" ref="H139:AQ139" si="131">IF($D137=0,0,IF(H137=0,0,($E138*$D137*H137)+$AU$163))</f>
        <v>0</v>
      </c>
      <c r="I139" s="319">
        <f t="shared" si="131"/>
        <v>0</v>
      </c>
      <c r="J139" s="319">
        <f t="shared" si="131"/>
        <v>0</v>
      </c>
      <c r="K139" s="319">
        <f t="shared" si="131"/>
        <v>0</v>
      </c>
      <c r="L139" s="319">
        <f t="shared" si="131"/>
        <v>0</v>
      </c>
      <c r="M139" s="319">
        <f t="shared" si="131"/>
        <v>0</v>
      </c>
      <c r="N139" s="319">
        <f t="shared" si="131"/>
        <v>0</v>
      </c>
      <c r="O139" s="319">
        <f t="shared" si="131"/>
        <v>0</v>
      </c>
      <c r="P139" s="319">
        <f t="shared" si="131"/>
        <v>0</v>
      </c>
      <c r="Q139" s="319">
        <f t="shared" si="131"/>
        <v>0</v>
      </c>
      <c r="R139" s="319">
        <f t="shared" si="131"/>
        <v>0</v>
      </c>
      <c r="S139" s="319">
        <f t="shared" si="131"/>
        <v>0</v>
      </c>
      <c r="T139" s="319">
        <f t="shared" si="131"/>
        <v>0</v>
      </c>
      <c r="U139" s="319">
        <f t="shared" si="131"/>
        <v>0</v>
      </c>
      <c r="V139" s="319">
        <f t="shared" si="131"/>
        <v>0</v>
      </c>
      <c r="W139" s="319">
        <f t="shared" si="131"/>
        <v>0</v>
      </c>
      <c r="X139" s="319">
        <f t="shared" si="131"/>
        <v>0</v>
      </c>
      <c r="Y139" s="319">
        <f t="shared" si="131"/>
        <v>0</v>
      </c>
      <c r="Z139" s="319">
        <f t="shared" si="131"/>
        <v>0</v>
      </c>
      <c r="AA139" s="319">
        <f t="shared" si="131"/>
        <v>0</v>
      </c>
      <c r="AB139" s="319">
        <f t="shared" si="131"/>
        <v>0</v>
      </c>
      <c r="AC139" s="319">
        <f t="shared" si="131"/>
        <v>0</v>
      </c>
      <c r="AD139" s="319">
        <f t="shared" si="131"/>
        <v>0</v>
      </c>
      <c r="AE139" s="319">
        <f t="shared" si="131"/>
        <v>0</v>
      </c>
      <c r="AF139" s="319">
        <f t="shared" si="131"/>
        <v>0</v>
      </c>
      <c r="AG139" s="319">
        <f t="shared" si="131"/>
        <v>0</v>
      </c>
      <c r="AH139" s="319">
        <f t="shared" si="131"/>
        <v>0</v>
      </c>
      <c r="AI139" s="319">
        <f t="shared" si="131"/>
        <v>0</v>
      </c>
      <c r="AJ139" s="319">
        <f t="shared" si="131"/>
        <v>0</v>
      </c>
      <c r="AK139" s="319">
        <f t="shared" si="131"/>
        <v>0</v>
      </c>
      <c r="AL139" s="319">
        <f t="shared" si="131"/>
        <v>0</v>
      </c>
      <c r="AM139" s="319">
        <f t="shared" si="131"/>
        <v>0</v>
      </c>
      <c r="AN139" s="319">
        <f t="shared" si="131"/>
        <v>0</v>
      </c>
      <c r="AO139" s="319">
        <f t="shared" si="131"/>
        <v>0</v>
      </c>
      <c r="AP139" s="319">
        <f t="shared" si="131"/>
        <v>0</v>
      </c>
      <c r="AQ139" s="319">
        <f t="shared" si="131"/>
        <v>0</v>
      </c>
      <c r="AR139" s="320">
        <f t="shared" si="127"/>
        <v>0</v>
      </c>
      <c r="AS139" s="321">
        <f>TRUNC(AR139-D137*E138,2)</f>
        <v>0</v>
      </c>
      <c r="AT139" s="322" t="e">
        <f>+AR139/D137</f>
        <v>#DIV/0!</v>
      </c>
      <c r="AW139" s="274" t="str">
        <f>IF(F139="","X",IF(AND(E138&gt;0),F139,"-"))</f>
        <v>DE</v>
      </c>
      <c r="AX139" s="274" t="str">
        <f t="shared" ca="1" si="128"/>
        <v/>
      </c>
    </row>
    <row r="140" spans="1:50" s="274" customFormat="1" ht="18" hidden="1" customHeight="1" thickBot="1">
      <c r="A140" s="2499"/>
      <c r="B140" s="2502"/>
      <c r="C140" s="324"/>
      <c r="D140" s="325" t="s">
        <v>1195</v>
      </c>
      <c r="E140" s="2510">
        <f>1-E138</f>
        <v>0</v>
      </c>
      <c r="F140" s="326" t="s">
        <v>1192</v>
      </c>
      <c r="G140" s="326" t="str">
        <f>D140&amp;" | "&amp;F140</f>
        <v>PROPONENTE | ND</v>
      </c>
      <c r="H140" s="327">
        <f>($D136*H136-H138)</f>
        <v>0</v>
      </c>
      <c r="I140" s="327">
        <f t="shared" ref="I140:AQ141" si="132">($D136*I136-I138)</f>
        <v>0</v>
      </c>
      <c r="J140" s="327">
        <f t="shared" si="132"/>
        <v>0</v>
      </c>
      <c r="K140" s="327">
        <f t="shared" si="132"/>
        <v>0</v>
      </c>
      <c r="L140" s="327">
        <f t="shared" si="132"/>
        <v>0</v>
      </c>
      <c r="M140" s="327">
        <f t="shared" si="132"/>
        <v>0</v>
      </c>
      <c r="N140" s="327">
        <f t="shared" si="132"/>
        <v>0</v>
      </c>
      <c r="O140" s="327">
        <f t="shared" si="132"/>
        <v>0</v>
      </c>
      <c r="P140" s="327">
        <f t="shared" si="132"/>
        <v>0</v>
      </c>
      <c r="Q140" s="327">
        <f t="shared" si="132"/>
        <v>0</v>
      </c>
      <c r="R140" s="327">
        <f t="shared" si="132"/>
        <v>0</v>
      </c>
      <c r="S140" s="327">
        <f t="shared" si="132"/>
        <v>0</v>
      </c>
      <c r="T140" s="327">
        <f t="shared" si="132"/>
        <v>0</v>
      </c>
      <c r="U140" s="327">
        <f t="shared" si="132"/>
        <v>0</v>
      </c>
      <c r="V140" s="327">
        <f t="shared" si="132"/>
        <v>0</v>
      </c>
      <c r="W140" s="327">
        <f t="shared" si="132"/>
        <v>0</v>
      </c>
      <c r="X140" s="327">
        <f t="shared" si="132"/>
        <v>0</v>
      </c>
      <c r="Y140" s="327">
        <f t="shared" si="132"/>
        <v>0</v>
      </c>
      <c r="Z140" s="327">
        <f t="shared" si="132"/>
        <v>0</v>
      </c>
      <c r="AA140" s="327">
        <f t="shared" si="132"/>
        <v>0</v>
      </c>
      <c r="AB140" s="327">
        <f t="shared" si="132"/>
        <v>0</v>
      </c>
      <c r="AC140" s="327">
        <f t="shared" si="132"/>
        <v>0</v>
      </c>
      <c r="AD140" s="327">
        <f t="shared" si="132"/>
        <v>0</v>
      </c>
      <c r="AE140" s="327">
        <f t="shared" si="132"/>
        <v>0</v>
      </c>
      <c r="AF140" s="327">
        <f t="shared" si="132"/>
        <v>0</v>
      </c>
      <c r="AG140" s="327">
        <f t="shared" si="132"/>
        <v>0</v>
      </c>
      <c r="AH140" s="327">
        <f t="shared" si="132"/>
        <v>0</v>
      </c>
      <c r="AI140" s="327">
        <f t="shared" si="132"/>
        <v>0</v>
      </c>
      <c r="AJ140" s="327">
        <f t="shared" si="132"/>
        <v>0</v>
      </c>
      <c r="AK140" s="327">
        <f t="shared" si="132"/>
        <v>0</v>
      </c>
      <c r="AL140" s="327">
        <f t="shared" si="132"/>
        <v>0</v>
      </c>
      <c r="AM140" s="327">
        <f t="shared" si="132"/>
        <v>0</v>
      </c>
      <c r="AN140" s="327">
        <f t="shared" si="132"/>
        <v>0</v>
      </c>
      <c r="AO140" s="327">
        <f t="shared" si="132"/>
        <v>0</v>
      </c>
      <c r="AP140" s="327">
        <f t="shared" si="132"/>
        <v>0</v>
      </c>
      <c r="AQ140" s="327">
        <f t="shared" si="132"/>
        <v>0</v>
      </c>
      <c r="AR140" s="328">
        <f t="shared" si="127"/>
        <v>0</v>
      </c>
      <c r="AS140" s="321">
        <f>+D136-AR138-AR140</f>
        <v>0</v>
      </c>
      <c r="AW140" s="274" t="str">
        <f>IF(F140="","X",IF(AND(E140&gt;0),F140,"-"))</f>
        <v>-</v>
      </c>
      <c r="AX140" s="274" t="str">
        <f t="shared" ca="1" si="128"/>
        <v/>
      </c>
    </row>
    <row r="141" spans="1:50" s="274" customFormat="1" ht="18" hidden="1" customHeight="1" thickBot="1">
      <c r="A141" s="2500"/>
      <c r="B141" s="2503"/>
      <c r="C141" s="324"/>
      <c r="D141" s="325" t="s">
        <v>1195</v>
      </c>
      <c r="E141" s="2511"/>
      <c r="F141" s="329" t="s">
        <v>1193</v>
      </c>
      <c r="G141" s="329" t="str">
        <f>D141&amp;" | "&amp;F141</f>
        <v>PROPONENTE | DE</v>
      </c>
      <c r="H141" s="327">
        <f>($D137*H137-H139)</f>
        <v>0</v>
      </c>
      <c r="I141" s="327">
        <f t="shared" si="132"/>
        <v>0</v>
      </c>
      <c r="J141" s="327">
        <f t="shared" si="132"/>
        <v>0</v>
      </c>
      <c r="K141" s="327">
        <f t="shared" si="132"/>
        <v>0</v>
      </c>
      <c r="L141" s="327">
        <f t="shared" si="132"/>
        <v>0</v>
      </c>
      <c r="M141" s="327">
        <f t="shared" si="132"/>
        <v>0</v>
      </c>
      <c r="N141" s="327">
        <f t="shared" si="132"/>
        <v>0</v>
      </c>
      <c r="O141" s="327">
        <f t="shared" si="132"/>
        <v>0</v>
      </c>
      <c r="P141" s="327">
        <f t="shared" si="132"/>
        <v>0</v>
      </c>
      <c r="Q141" s="327">
        <f t="shared" si="132"/>
        <v>0</v>
      </c>
      <c r="R141" s="327">
        <f t="shared" si="132"/>
        <v>0</v>
      </c>
      <c r="S141" s="327">
        <f t="shared" si="132"/>
        <v>0</v>
      </c>
      <c r="T141" s="327">
        <f t="shared" si="132"/>
        <v>0</v>
      </c>
      <c r="U141" s="327">
        <f t="shared" si="132"/>
        <v>0</v>
      </c>
      <c r="V141" s="327">
        <f t="shared" si="132"/>
        <v>0</v>
      </c>
      <c r="W141" s="327">
        <f t="shared" si="132"/>
        <v>0</v>
      </c>
      <c r="X141" s="327">
        <f t="shared" si="132"/>
        <v>0</v>
      </c>
      <c r="Y141" s="327">
        <f t="shared" si="132"/>
        <v>0</v>
      </c>
      <c r="Z141" s="327">
        <f t="shared" si="132"/>
        <v>0</v>
      </c>
      <c r="AA141" s="327">
        <f t="shared" si="132"/>
        <v>0</v>
      </c>
      <c r="AB141" s="327">
        <f t="shared" si="132"/>
        <v>0</v>
      </c>
      <c r="AC141" s="327">
        <f t="shared" si="132"/>
        <v>0</v>
      </c>
      <c r="AD141" s="327">
        <f t="shared" si="132"/>
        <v>0</v>
      </c>
      <c r="AE141" s="327">
        <f t="shared" si="132"/>
        <v>0</v>
      </c>
      <c r="AF141" s="327">
        <f t="shared" si="132"/>
        <v>0</v>
      </c>
      <c r="AG141" s="327">
        <f t="shared" si="132"/>
        <v>0</v>
      </c>
      <c r="AH141" s="327">
        <f t="shared" si="132"/>
        <v>0</v>
      </c>
      <c r="AI141" s="327">
        <f t="shared" si="132"/>
        <v>0</v>
      </c>
      <c r="AJ141" s="327">
        <f t="shared" si="132"/>
        <v>0</v>
      </c>
      <c r="AK141" s="327">
        <f t="shared" si="132"/>
        <v>0</v>
      </c>
      <c r="AL141" s="327">
        <f t="shared" si="132"/>
        <v>0</v>
      </c>
      <c r="AM141" s="327">
        <f t="shared" si="132"/>
        <v>0</v>
      </c>
      <c r="AN141" s="327">
        <f t="shared" si="132"/>
        <v>0</v>
      </c>
      <c r="AO141" s="327">
        <f t="shared" si="132"/>
        <v>0</v>
      </c>
      <c r="AP141" s="327">
        <f t="shared" si="132"/>
        <v>0</v>
      </c>
      <c r="AQ141" s="327">
        <f t="shared" si="132"/>
        <v>0</v>
      </c>
      <c r="AR141" s="328">
        <f t="shared" si="127"/>
        <v>0</v>
      </c>
      <c r="AS141" s="321">
        <f>+D137-AR139-AR141</f>
        <v>0</v>
      </c>
      <c r="AW141" s="274" t="str">
        <f>IF(F141="","X",IF(AND(E140&gt;0),F141,"-"))</f>
        <v>-</v>
      </c>
      <c r="AX141" s="274" t="str">
        <f t="shared" ca="1" si="128"/>
        <v/>
      </c>
    </row>
    <row r="142" spans="1:50" s="274" customFormat="1" ht="9.9499999999999993" customHeight="1">
      <c r="A142" s="2498">
        <f ca="1">Orcamento!B36</f>
        <v>3</v>
      </c>
      <c r="B142" s="2501" t="str">
        <f>Orcamento!D36</f>
        <v>ADMINISTRAÇÃO LOCAL</v>
      </c>
      <c r="C142" s="305"/>
      <c r="D142" s="306"/>
      <c r="E142" s="307"/>
      <c r="F142" s="307"/>
      <c r="G142" s="307"/>
      <c r="H142" s="308">
        <f t="shared" ref="H142:AQ142" si="133">H143</f>
        <v>0.08</v>
      </c>
      <c r="I142" s="308">
        <f t="shared" si="133"/>
        <v>0.09</v>
      </c>
      <c r="J142" s="308">
        <f t="shared" si="133"/>
        <v>0.08</v>
      </c>
      <c r="K142" s="308">
        <f t="shared" si="133"/>
        <v>0.09</v>
      </c>
      <c r="L142" s="308">
        <f t="shared" si="133"/>
        <v>0.08</v>
      </c>
      <c r="M142" s="308">
        <f t="shared" si="133"/>
        <v>0.09</v>
      </c>
      <c r="N142" s="308">
        <f t="shared" si="133"/>
        <v>0.08</v>
      </c>
      <c r="O142" s="308">
        <f t="shared" si="133"/>
        <v>0.09</v>
      </c>
      <c r="P142" s="308">
        <f t="shared" si="133"/>
        <v>0.08</v>
      </c>
      <c r="Q142" s="308">
        <f t="shared" si="133"/>
        <v>0.08</v>
      </c>
      <c r="R142" s="308">
        <f t="shared" si="133"/>
        <v>0.08</v>
      </c>
      <c r="S142" s="308">
        <f t="shared" si="133"/>
        <v>0.08</v>
      </c>
      <c r="T142" s="308">
        <f t="shared" si="133"/>
        <v>0</v>
      </c>
      <c r="U142" s="308">
        <f t="shared" si="133"/>
        <v>0</v>
      </c>
      <c r="V142" s="308">
        <f t="shared" si="133"/>
        <v>0</v>
      </c>
      <c r="W142" s="308">
        <f t="shared" si="133"/>
        <v>0</v>
      </c>
      <c r="X142" s="308">
        <f t="shared" si="133"/>
        <v>0</v>
      </c>
      <c r="Y142" s="308">
        <f t="shared" si="133"/>
        <v>0</v>
      </c>
      <c r="Z142" s="308">
        <f t="shared" si="133"/>
        <v>0</v>
      </c>
      <c r="AA142" s="308">
        <f t="shared" si="133"/>
        <v>0</v>
      </c>
      <c r="AB142" s="308">
        <f t="shared" si="133"/>
        <v>0</v>
      </c>
      <c r="AC142" s="308">
        <f t="shared" si="133"/>
        <v>0</v>
      </c>
      <c r="AD142" s="308">
        <f t="shared" si="133"/>
        <v>0</v>
      </c>
      <c r="AE142" s="308">
        <f t="shared" si="133"/>
        <v>0</v>
      </c>
      <c r="AF142" s="308">
        <f t="shared" si="133"/>
        <v>0</v>
      </c>
      <c r="AG142" s="308">
        <f t="shared" si="133"/>
        <v>0</v>
      </c>
      <c r="AH142" s="308">
        <f t="shared" si="133"/>
        <v>0</v>
      </c>
      <c r="AI142" s="308">
        <f t="shared" si="133"/>
        <v>0</v>
      </c>
      <c r="AJ142" s="308">
        <f t="shared" si="133"/>
        <v>0</v>
      </c>
      <c r="AK142" s="308">
        <f t="shared" si="133"/>
        <v>0</v>
      </c>
      <c r="AL142" s="308">
        <f t="shared" si="133"/>
        <v>0</v>
      </c>
      <c r="AM142" s="308">
        <f t="shared" si="133"/>
        <v>0</v>
      </c>
      <c r="AN142" s="308">
        <f t="shared" si="133"/>
        <v>0</v>
      </c>
      <c r="AO142" s="308">
        <f t="shared" si="133"/>
        <v>0</v>
      </c>
      <c r="AP142" s="308">
        <f t="shared" si="133"/>
        <v>0</v>
      </c>
      <c r="AQ142" s="308">
        <f t="shared" si="133"/>
        <v>0</v>
      </c>
      <c r="AR142" s="309"/>
      <c r="AS142" s="310">
        <f>+D144-AR146-AR148</f>
        <v>0</v>
      </c>
      <c r="AW142" s="274" t="str">
        <f>IF(F142="","X",F142)</f>
        <v>X</v>
      </c>
      <c r="AX142" s="274" t="str">
        <f ca="1">IF($A$142=0,"","X")</f>
        <v>X</v>
      </c>
    </row>
    <row r="143" spans="1:50" s="274" customFormat="1" ht="18" customHeight="1">
      <c r="A143" s="2499"/>
      <c r="B143" s="2502"/>
      <c r="C143" s="311" t="str">
        <f>CONCATENATE(Orcamento!K148," ",Orcamento!O148)</f>
        <v>0 41,89</v>
      </c>
      <c r="D143" s="2504">
        <f>Orcamento!S36</f>
        <v>100703.92</v>
      </c>
      <c r="E143" s="2505"/>
      <c r="F143" s="312" t="s">
        <v>1192</v>
      </c>
      <c r="G143" s="312"/>
      <c r="H143" s="313">
        <v>0.08</v>
      </c>
      <c r="I143" s="313">
        <v>0.09</v>
      </c>
      <c r="J143" s="313">
        <v>0.08</v>
      </c>
      <c r="K143" s="313">
        <v>0.09</v>
      </c>
      <c r="L143" s="313">
        <v>0.08</v>
      </c>
      <c r="M143" s="313">
        <v>0.09</v>
      </c>
      <c r="N143" s="313">
        <v>0.08</v>
      </c>
      <c r="O143" s="313">
        <v>0.09</v>
      </c>
      <c r="P143" s="313">
        <v>0.08</v>
      </c>
      <c r="Q143" s="313">
        <v>0.08</v>
      </c>
      <c r="R143" s="313">
        <v>0.08</v>
      </c>
      <c r="S143" s="313">
        <v>0.08</v>
      </c>
      <c r="T143" s="314"/>
      <c r="U143" s="314"/>
      <c r="V143" s="314"/>
      <c r="W143" s="314"/>
      <c r="X143" s="314"/>
      <c r="Y143" s="314"/>
      <c r="Z143" s="314"/>
      <c r="AA143" s="314"/>
      <c r="AB143" s="314"/>
      <c r="AC143" s="314"/>
      <c r="AD143" s="314"/>
      <c r="AE143" s="314"/>
      <c r="AF143" s="314"/>
      <c r="AG143" s="314"/>
      <c r="AH143" s="314"/>
      <c r="AI143" s="314"/>
      <c r="AJ143" s="314"/>
      <c r="AK143" s="314"/>
      <c r="AL143" s="314"/>
      <c r="AM143" s="314"/>
      <c r="AN143" s="314"/>
      <c r="AO143" s="314"/>
      <c r="AP143" s="314"/>
      <c r="AQ143" s="314"/>
      <c r="AR143" s="315">
        <f t="shared" ref="AR143:AR148" si="134">SUM(H143:AQ143)</f>
        <v>0.99999999999999978</v>
      </c>
      <c r="AS143" s="2506">
        <f>1-AR143</f>
        <v>0</v>
      </c>
      <c r="AU143" s="2507">
        <f>+COUNT(H143:AQ144)</f>
        <v>48</v>
      </c>
      <c r="AW143" s="274" t="str">
        <f>IF(F143="","X",F143)</f>
        <v>ND</v>
      </c>
      <c r="AX143" s="274" t="str">
        <f t="shared" ref="AX143:AX148" ca="1" si="135">IF($A$142=0,"","X")</f>
        <v>X</v>
      </c>
    </row>
    <row r="144" spans="1:50" s="274" customFormat="1" ht="18" hidden="1" customHeight="1">
      <c r="A144" s="2499"/>
      <c r="B144" s="2502"/>
      <c r="C144" s="311" t="str">
        <f>CONCATENATE(Orcamento!K149," ",Orcamento!O149)</f>
        <v>0 54,21</v>
      </c>
      <c r="D144" s="2504">
        <f>Orcamento!T36</f>
        <v>337648.59</v>
      </c>
      <c r="E144" s="2505"/>
      <c r="F144" s="316" t="s">
        <v>1193</v>
      </c>
      <c r="G144" s="316"/>
      <c r="H144" s="314">
        <f t="shared" ref="H144:AQ144" si="136">H143</f>
        <v>0.08</v>
      </c>
      <c r="I144" s="314">
        <f t="shared" si="136"/>
        <v>0.09</v>
      </c>
      <c r="J144" s="314">
        <f t="shared" si="136"/>
        <v>0.08</v>
      </c>
      <c r="K144" s="314">
        <f t="shared" si="136"/>
        <v>0.09</v>
      </c>
      <c r="L144" s="314">
        <f t="shared" si="136"/>
        <v>0.08</v>
      </c>
      <c r="M144" s="314">
        <f t="shared" si="136"/>
        <v>0.09</v>
      </c>
      <c r="N144" s="314">
        <f t="shared" si="136"/>
        <v>0.08</v>
      </c>
      <c r="O144" s="314">
        <f t="shared" si="136"/>
        <v>0.09</v>
      </c>
      <c r="P144" s="314">
        <f t="shared" si="136"/>
        <v>0.08</v>
      </c>
      <c r="Q144" s="314">
        <f t="shared" si="136"/>
        <v>0.08</v>
      </c>
      <c r="R144" s="314">
        <f t="shared" si="136"/>
        <v>0.08</v>
      </c>
      <c r="S144" s="314">
        <f t="shared" si="136"/>
        <v>0.08</v>
      </c>
      <c r="T144" s="314">
        <f t="shared" si="136"/>
        <v>0</v>
      </c>
      <c r="U144" s="314">
        <f t="shared" si="136"/>
        <v>0</v>
      </c>
      <c r="V144" s="314">
        <f t="shared" si="136"/>
        <v>0</v>
      </c>
      <c r="W144" s="314">
        <f t="shared" si="136"/>
        <v>0</v>
      </c>
      <c r="X144" s="314">
        <f t="shared" si="136"/>
        <v>0</v>
      </c>
      <c r="Y144" s="314">
        <f t="shared" si="136"/>
        <v>0</v>
      </c>
      <c r="Z144" s="314">
        <f t="shared" si="136"/>
        <v>0</v>
      </c>
      <c r="AA144" s="314">
        <f t="shared" si="136"/>
        <v>0</v>
      </c>
      <c r="AB144" s="314">
        <f t="shared" si="136"/>
        <v>0</v>
      </c>
      <c r="AC144" s="314">
        <f t="shared" si="136"/>
        <v>0</v>
      </c>
      <c r="AD144" s="314">
        <f t="shared" si="136"/>
        <v>0</v>
      </c>
      <c r="AE144" s="314">
        <f t="shared" si="136"/>
        <v>0</v>
      </c>
      <c r="AF144" s="314">
        <f t="shared" si="136"/>
        <v>0</v>
      </c>
      <c r="AG144" s="314">
        <f t="shared" si="136"/>
        <v>0</v>
      </c>
      <c r="AH144" s="314">
        <f t="shared" si="136"/>
        <v>0</v>
      </c>
      <c r="AI144" s="314">
        <f t="shared" si="136"/>
        <v>0</v>
      </c>
      <c r="AJ144" s="314">
        <f t="shared" si="136"/>
        <v>0</v>
      </c>
      <c r="AK144" s="314">
        <f t="shared" si="136"/>
        <v>0</v>
      </c>
      <c r="AL144" s="314">
        <f t="shared" si="136"/>
        <v>0</v>
      </c>
      <c r="AM144" s="314">
        <f t="shared" si="136"/>
        <v>0</v>
      </c>
      <c r="AN144" s="314">
        <f t="shared" si="136"/>
        <v>0</v>
      </c>
      <c r="AO144" s="314">
        <f t="shared" si="136"/>
        <v>0</v>
      </c>
      <c r="AP144" s="314">
        <f t="shared" si="136"/>
        <v>0</v>
      </c>
      <c r="AQ144" s="314">
        <f t="shared" si="136"/>
        <v>0</v>
      </c>
      <c r="AR144" s="315">
        <f t="shared" si="134"/>
        <v>0.99999999999999978</v>
      </c>
      <c r="AS144" s="2506"/>
      <c r="AU144" s="2507"/>
      <c r="AW144" s="274" t="str">
        <f>IF(F144="","X",F144)</f>
        <v>DE</v>
      </c>
      <c r="AX144" s="274" t="str">
        <f t="shared" ca="1" si="135"/>
        <v>X</v>
      </c>
    </row>
    <row r="145" spans="1:50" s="274" customFormat="1" ht="18" customHeight="1" thickBot="1">
      <c r="A145" s="2499"/>
      <c r="B145" s="2502"/>
      <c r="C145" s="311"/>
      <c r="D145" s="317" t="s">
        <v>1194</v>
      </c>
      <c r="E145" s="2508">
        <f>$D$159</f>
        <v>1</v>
      </c>
      <c r="F145" s="318" t="s">
        <v>1192</v>
      </c>
      <c r="G145" s="318" t="str">
        <f>D145&amp;" | "&amp;F145</f>
        <v>CONCEDENTE | ND</v>
      </c>
      <c r="H145" s="319">
        <f t="shared" ref="H145:AQ145" si="137">IF($D143=0,0,IF(H143=0,0,($E145*$D143*H143)+$AU$163))</f>
        <v>8056.3136000000004</v>
      </c>
      <c r="I145" s="319">
        <f t="shared" si="137"/>
        <v>9063.3527999999988</v>
      </c>
      <c r="J145" s="319">
        <f t="shared" si="137"/>
        <v>8056.3136000000004</v>
      </c>
      <c r="K145" s="319">
        <f t="shared" si="137"/>
        <v>9063.3527999999988</v>
      </c>
      <c r="L145" s="319">
        <f t="shared" si="137"/>
        <v>8056.3136000000004</v>
      </c>
      <c r="M145" s="319">
        <f t="shared" si="137"/>
        <v>9063.3527999999988</v>
      </c>
      <c r="N145" s="319">
        <f t="shared" si="137"/>
        <v>8056.3136000000004</v>
      </c>
      <c r="O145" s="319">
        <f t="shared" si="137"/>
        <v>9063.3527999999988</v>
      </c>
      <c r="P145" s="319">
        <f t="shared" si="137"/>
        <v>8056.3136000000004</v>
      </c>
      <c r="Q145" s="319">
        <f t="shared" si="137"/>
        <v>8056.3136000000004</v>
      </c>
      <c r="R145" s="319">
        <f t="shared" si="137"/>
        <v>8056.3136000000004</v>
      </c>
      <c r="S145" s="319">
        <f t="shared" si="137"/>
        <v>8056.3136000000004</v>
      </c>
      <c r="T145" s="319">
        <f t="shared" si="137"/>
        <v>0</v>
      </c>
      <c r="U145" s="319">
        <f t="shared" si="137"/>
        <v>0</v>
      </c>
      <c r="V145" s="319">
        <f t="shared" si="137"/>
        <v>0</v>
      </c>
      <c r="W145" s="319">
        <f t="shared" si="137"/>
        <v>0</v>
      </c>
      <c r="X145" s="319">
        <f t="shared" si="137"/>
        <v>0</v>
      </c>
      <c r="Y145" s="319">
        <f t="shared" si="137"/>
        <v>0</v>
      </c>
      <c r="Z145" s="319">
        <f t="shared" si="137"/>
        <v>0</v>
      </c>
      <c r="AA145" s="319">
        <f t="shared" si="137"/>
        <v>0</v>
      </c>
      <c r="AB145" s="319">
        <f t="shared" si="137"/>
        <v>0</v>
      </c>
      <c r="AC145" s="319">
        <f t="shared" si="137"/>
        <v>0</v>
      </c>
      <c r="AD145" s="319">
        <f t="shared" si="137"/>
        <v>0</v>
      </c>
      <c r="AE145" s="319">
        <f t="shared" si="137"/>
        <v>0</v>
      </c>
      <c r="AF145" s="319">
        <f t="shared" si="137"/>
        <v>0</v>
      </c>
      <c r="AG145" s="319">
        <f t="shared" si="137"/>
        <v>0</v>
      </c>
      <c r="AH145" s="319">
        <f t="shared" si="137"/>
        <v>0</v>
      </c>
      <c r="AI145" s="319">
        <f t="shared" si="137"/>
        <v>0</v>
      </c>
      <c r="AJ145" s="319">
        <f t="shared" si="137"/>
        <v>0</v>
      </c>
      <c r="AK145" s="319">
        <f t="shared" si="137"/>
        <v>0</v>
      </c>
      <c r="AL145" s="319">
        <f t="shared" si="137"/>
        <v>0</v>
      </c>
      <c r="AM145" s="319">
        <f t="shared" si="137"/>
        <v>0</v>
      </c>
      <c r="AN145" s="319">
        <f t="shared" si="137"/>
        <v>0</v>
      </c>
      <c r="AO145" s="319">
        <f t="shared" si="137"/>
        <v>0</v>
      </c>
      <c r="AP145" s="319">
        <f t="shared" si="137"/>
        <v>0</v>
      </c>
      <c r="AQ145" s="319">
        <f t="shared" si="137"/>
        <v>0</v>
      </c>
      <c r="AR145" s="320">
        <f t="shared" si="134"/>
        <v>100703.91999999997</v>
      </c>
      <c r="AS145" s="321">
        <f>TRUNC(AR145-D143*E145,2)</f>
        <v>0</v>
      </c>
      <c r="AT145" s="322">
        <f>+AR145/D143</f>
        <v>0.99999999999999967</v>
      </c>
      <c r="AW145" s="274" t="str">
        <f>IF(F145="","X",IF(AND(E145&gt;0),F145,"-"))</f>
        <v>ND</v>
      </c>
      <c r="AX145" s="274" t="str">
        <f t="shared" ca="1" si="135"/>
        <v>X</v>
      </c>
    </row>
    <row r="146" spans="1:50" s="274" customFormat="1" ht="18" hidden="1" customHeight="1">
      <c r="A146" s="2499"/>
      <c r="B146" s="2502"/>
      <c r="C146" s="311"/>
      <c r="D146" s="317" t="s">
        <v>1194</v>
      </c>
      <c r="E146" s="2509"/>
      <c r="F146" s="323" t="s">
        <v>1193</v>
      </c>
      <c r="G146" s="323" t="str">
        <f>D146&amp;" | "&amp;F146</f>
        <v>CONCEDENTE | DE</v>
      </c>
      <c r="H146" s="319">
        <f t="shared" ref="H146:AQ146" si="138">IF($D144=0,0,IF(H144=0,0,($E145*$D144*H144)+$AU$163))</f>
        <v>27011.887200000001</v>
      </c>
      <c r="I146" s="319">
        <f t="shared" si="138"/>
        <v>30388.373100000001</v>
      </c>
      <c r="J146" s="319">
        <f t="shared" si="138"/>
        <v>27011.887200000001</v>
      </c>
      <c r="K146" s="319">
        <f t="shared" si="138"/>
        <v>30388.373100000001</v>
      </c>
      <c r="L146" s="319">
        <f t="shared" si="138"/>
        <v>27011.887200000001</v>
      </c>
      <c r="M146" s="319">
        <f t="shared" si="138"/>
        <v>30388.373100000001</v>
      </c>
      <c r="N146" s="319">
        <f t="shared" si="138"/>
        <v>27011.887200000001</v>
      </c>
      <c r="O146" s="319">
        <f t="shared" si="138"/>
        <v>30388.373100000001</v>
      </c>
      <c r="P146" s="319">
        <f t="shared" si="138"/>
        <v>27011.887200000001</v>
      </c>
      <c r="Q146" s="319">
        <f t="shared" si="138"/>
        <v>27011.887200000001</v>
      </c>
      <c r="R146" s="319">
        <f t="shared" si="138"/>
        <v>27011.887200000001</v>
      </c>
      <c r="S146" s="319">
        <f t="shared" si="138"/>
        <v>27011.887200000001</v>
      </c>
      <c r="T146" s="319">
        <f t="shared" si="138"/>
        <v>0</v>
      </c>
      <c r="U146" s="319">
        <f t="shared" si="138"/>
        <v>0</v>
      </c>
      <c r="V146" s="319">
        <f t="shared" si="138"/>
        <v>0</v>
      </c>
      <c r="W146" s="319">
        <f t="shared" si="138"/>
        <v>0</v>
      </c>
      <c r="X146" s="319">
        <f t="shared" si="138"/>
        <v>0</v>
      </c>
      <c r="Y146" s="319">
        <f t="shared" si="138"/>
        <v>0</v>
      </c>
      <c r="Z146" s="319">
        <f t="shared" si="138"/>
        <v>0</v>
      </c>
      <c r="AA146" s="319">
        <f t="shared" si="138"/>
        <v>0</v>
      </c>
      <c r="AB146" s="319">
        <f t="shared" si="138"/>
        <v>0</v>
      </c>
      <c r="AC146" s="319">
        <f t="shared" si="138"/>
        <v>0</v>
      </c>
      <c r="AD146" s="319">
        <f t="shared" si="138"/>
        <v>0</v>
      </c>
      <c r="AE146" s="319">
        <f t="shared" si="138"/>
        <v>0</v>
      </c>
      <c r="AF146" s="319">
        <f t="shared" si="138"/>
        <v>0</v>
      </c>
      <c r="AG146" s="319">
        <f t="shared" si="138"/>
        <v>0</v>
      </c>
      <c r="AH146" s="319">
        <f t="shared" si="138"/>
        <v>0</v>
      </c>
      <c r="AI146" s="319">
        <f t="shared" si="138"/>
        <v>0</v>
      </c>
      <c r="AJ146" s="319">
        <f t="shared" si="138"/>
        <v>0</v>
      </c>
      <c r="AK146" s="319">
        <f t="shared" si="138"/>
        <v>0</v>
      </c>
      <c r="AL146" s="319">
        <f t="shared" si="138"/>
        <v>0</v>
      </c>
      <c r="AM146" s="319">
        <f t="shared" si="138"/>
        <v>0</v>
      </c>
      <c r="AN146" s="319">
        <f t="shared" si="138"/>
        <v>0</v>
      </c>
      <c r="AO146" s="319">
        <f t="shared" si="138"/>
        <v>0</v>
      </c>
      <c r="AP146" s="319">
        <f t="shared" si="138"/>
        <v>0</v>
      </c>
      <c r="AQ146" s="319">
        <f t="shared" si="138"/>
        <v>0</v>
      </c>
      <c r="AR146" s="320">
        <f t="shared" si="134"/>
        <v>337648.59</v>
      </c>
      <c r="AS146" s="321">
        <f>TRUNC(AR146-D144*E145,2)</f>
        <v>0</v>
      </c>
      <c r="AT146" s="322">
        <f>+AR146/D144</f>
        <v>1</v>
      </c>
      <c r="AW146" s="274" t="str">
        <f>IF(F146="","X",IF(AND(E145&gt;0),F146,"-"))</f>
        <v>DE</v>
      </c>
      <c r="AX146" s="274" t="str">
        <f t="shared" ca="1" si="135"/>
        <v>X</v>
      </c>
    </row>
    <row r="147" spans="1:50" s="274" customFormat="1" ht="18" hidden="1" customHeight="1" thickBot="1">
      <c r="A147" s="2499"/>
      <c r="B147" s="2502"/>
      <c r="C147" s="324"/>
      <c r="D147" s="325" t="s">
        <v>1195</v>
      </c>
      <c r="E147" s="2510">
        <f>1-E145</f>
        <v>0</v>
      </c>
      <c r="F147" s="326" t="s">
        <v>1192</v>
      </c>
      <c r="G147" s="326" t="str">
        <f>D147&amp;" | "&amp;F147</f>
        <v>PROPONENTE | ND</v>
      </c>
      <c r="H147" s="327">
        <f>($D143*H143-H145)</f>
        <v>0</v>
      </c>
      <c r="I147" s="327">
        <f t="shared" ref="I147:AQ148" si="139">($D143*I143-I145)</f>
        <v>0</v>
      </c>
      <c r="J147" s="327">
        <f t="shared" si="139"/>
        <v>0</v>
      </c>
      <c r="K147" s="327">
        <f t="shared" si="139"/>
        <v>0</v>
      </c>
      <c r="L147" s="327">
        <f t="shared" si="139"/>
        <v>0</v>
      </c>
      <c r="M147" s="327">
        <f t="shared" si="139"/>
        <v>0</v>
      </c>
      <c r="N147" s="327">
        <f t="shared" si="139"/>
        <v>0</v>
      </c>
      <c r="O147" s="327">
        <f t="shared" si="139"/>
        <v>0</v>
      </c>
      <c r="P147" s="327">
        <f t="shared" si="139"/>
        <v>0</v>
      </c>
      <c r="Q147" s="327">
        <f t="shared" si="139"/>
        <v>0</v>
      </c>
      <c r="R147" s="327">
        <f t="shared" si="139"/>
        <v>0</v>
      </c>
      <c r="S147" s="327">
        <f t="shared" si="139"/>
        <v>0</v>
      </c>
      <c r="T147" s="327">
        <f t="shared" si="139"/>
        <v>0</v>
      </c>
      <c r="U147" s="327">
        <f t="shared" si="139"/>
        <v>0</v>
      </c>
      <c r="V147" s="327">
        <f t="shared" si="139"/>
        <v>0</v>
      </c>
      <c r="W147" s="327">
        <f t="shared" si="139"/>
        <v>0</v>
      </c>
      <c r="X147" s="327">
        <f t="shared" si="139"/>
        <v>0</v>
      </c>
      <c r="Y147" s="327">
        <f t="shared" si="139"/>
        <v>0</v>
      </c>
      <c r="Z147" s="327">
        <f t="shared" si="139"/>
        <v>0</v>
      </c>
      <c r="AA147" s="327">
        <f t="shared" si="139"/>
        <v>0</v>
      </c>
      <c r="AB147" s="327">
        <f t="shared" si="139"/>
        <v>0</v>
      </c>
      <c r="AC147" s="327">
        <f t="shared" si="139"/>
        <v>0</v>
      </c>
      <c r="AD147" s="327">
        <f t="shared" si="139"/>
        <v>0</v>
      </c>
      <c r="AE147" s="327">
        <f t="shared" si="139"/>
        <v>0</v>
      </c>
      <c r="AF147" s="327">
        <f t="shared" si="139"/>
        <v>0</v>
      </c>
      <c r="AG147" s="327">
        <f t="shared" si="139"/>
        <v>0</v>
      </c>
      <c r="AH147" s="327">
        <f t="shared" si="139"/>
        <v>0</v>
      </c>
      <c r="AI147" s="327">
        <f t="shared" si="139"/>
        <v>0</v>
      </c>
      <c r="AJ147" s="327">
        <f t="shared" si="139"/>
        <v>0</v>
      </c>
      <c r="AK147" s="327">
        <f t="shared" si="139"/>
        <v>0</v>
      </c>
      <c r="AL147" s="327">
        <f t="shared" si="139"/>
        <v>0</v>
      </c>
      <c r="AM147" s="327">
        <f t="shared" si="139"/>
        <v>0</v>
      </c>
      <c r="AN147" s="327">
        <f t="shared" si="139"/>
        <v>0</v>
      </c>
      <c r="AO147" s="327">
        <f t="shared" si="139"/>
        <v>0</v>
      </c>
      <c r="AP147" s="327">
        <f t="shared" si="139"/>
        <v>0</v>
      </c>
      <c r="AQ147" s="327">
        <f t="shared" si="139"/>
        <v>0</v>
      </c>
      <c r="AR147" s="328">
        <f t="shared" si="134"/>
        <v>0</v>
      </c>
      <c r="AS147" s="321">
        <f>+D143-AR145-AR147</f>
        <v>2.9103830456733704E-11</v>
      </c>
      <c r="AW147" s="274" t="str">
        <f>IF(F147="","X",IF(AND(E147&gt;0),F147,"-"))</f>
        <v>-</v>
      </c>
      <c r="AX147" s="274" t="str">
        <f t="shared" ca="1" si="135"/>
        <v>X</v>
      </c>
    </row>
    <row r="148" spans="1:50" s="274" customFormat="1" ht="18" hidden="1" customHeight="1" thickBot="1">
      <c r="A148" s="2500"/>
      <c r="B148" s="2503"/>
      <c r="C148" s="324"/>
      <c r="D148" s="325" t="s">
        <v>1195</v>
      </c>
      <c r="E148" s="2511"/>
      <c r="F148" s="329" t="s">
        <v>1193</v>
      </c>
      <c r="G148" s="329" t="str">
        <f>D148&amp;" | "&amp;F148</f>
        <v>PROPONENTE | DE</v>
      </c>
      <c r="H148" s="327">
        <f>($D144*H144-H146)</f>
        <v>0</v>
      </c>
      <c r="I148" s="327">
        <f t="shared" si="139"/>
        <v>0</v>
      </c>
      <c r="J148" s="327">
        <f t="shared" si="139"/>
        <v>0</v>
      </c>
      <c r="K148" s="327">
        <f t="shared" si="139"/>
        <v>0</v>
      </c>
      <c r="L148" s="327">
        <f t="shared" si="139"/>
        <v>0</v>
      </c>
      <c r="M148" s="327">
        <f t="shared" si="139"/>
        <v>0</v>
      </c>
      <c r="N148" s="327">
        <f t="shared" si="139"/>
        <v>0</v>
      </c>
      <c r="O148" s="327">
        <f t="shared" si="139"/>
        <v>0</v>
      </c>
      <c r="P148" s="327">
        <f t="shared" si="139"/>
        <v>0</v>
      </c>
      <c r="Q148" s="327">
        <f t="shared" si="139"/>
        <v>0</v>
      </c>
      <c r="R148" s="327">
        <f t="shared" si="139"/>
        <v>0</v>
      </c>
      <c r="S148" s="327">
        <f t="shared" si="139"/>
        <v>0</v>
      </c>
      <c r="T148" s="327">
        <f t="shared" si="139"/>
        <v>0</v>
      </c>
      <c r="U148" s="327">
        <f t="shared" si="139"/>
        <v>0</v>
      </c>
      <c r="V148" s="327">
        <f t="shared" si="139"/>
        <v>0</v>
      </c>
      <c r="W148" s="327">
        <f t="shared" si="139"/>
        <v>0</v>
      </c>
      <c r="X148" s="327">
        <f t="shared" si="139"/>
        <v>0</v>
      </c>
      <c r="Y148" s="327">
        <f t="shared" si="139"/>
        <v>0</v>
      </c>
      <c r="Z148" s="327">
        <f t="shared" si="139"/>
        <v>0</v>
      </c>
      <c r="AA148" s="327">
        <f t="shared" si="139"/>
        <v>0</v>
      </c>
      <c r="AB148" s="327">
        <f t="shared" si="139"/>
        <v>0</v>
      </c>
      <c r="AC148" s="327">
        <f t="shared" si="139"/>
        <v>0</v>
      </c>
      <c r="AD148" s="327">
        <f t="shared" si="139"/>
        <v>0</v>
      </c>
      <c r="AE148" s="327">
        <f t="shared" si="139"/>
        <v>0</v>
      </c>
      <c r="AF148" s="327">
        <f t="shared" si="139"/>
        <v>0</v>
      </c>
      <c r="AG148" s="327">
        <f t="shared" si="139"/>
        <v>0</v>
      </c>
      <c r="AH148" s="327">
        <f t="shared" si="139"/>
        <v>0</v>
      </c>
      <c r="AI148" s="327">
        <f t="shared" si="139"/>
        <v>0</v>
      </c>
      <c r="AJ148" s="327">
        <f t="shared" si="139"/>
        <v>0</v>
      </c>
      <c r="AK148" s="327">
        <f t="shared" si="139"/>
        <v>0</v>
      </c>
      <c r="AL148" s="327">
        <f t="shared" si="139"/>
        <v>0</v>
      </c>
      <c r="AM148" s="327">
        <f t="shared" si="139"/>
        <v>0</v>
      </c>
      <c r="AN148" s="327">
        <f t="shared" si="139"/>
        <v>0</v>
      </c>
      <c r="AO148" s="327">
        <f t="shared" si="139"/>
        <v>0</v>
      </c>
      <c r="AP148" s="327">
        <f t="shared" si="139"/>
        <v>0</v>
      </c>
      <c r="AQ148" s="327">
        <f t="shared" si="139"/>
        <v>0</v>
      </c>
      <c r="AR148" s="328">
        <f t="shared" si="134"/>
        <v>0</v>
      </c>
      <c r="AS148" s="321">
        <f>+D144-AR146-AR148</f>
        <v>0</v>
      </c>
      <c r="AW148" s="274" t="str">
        <f>IF(F148="","X",IF(AND(E147&gt;0),F148,"-"))</f>
        <v>-</v>
      </c>
      <c r="AX148" s="274" t="str">
        <f t="shared" ca="1" si="135"/>
        <v>X</v>
      </c>
    </row>
    <row r="149" spans="1:50" s="274" customFormat="1" ht="9.9499999999999993" hidden="1" customHeight="1">
      <c r="A149" s="2498">
        <f ca="1">Orcamento!B37</f>
        <v>0</v>
      </c>
      <c r="B149" s="2501" t="str">
        <f>Orcamento!D37</f>
        <v>SERVIÇOS DE ENGENHARIA</v>
      </c>
      <c r="C149" s="305"/>
      <c r="D149" s="306"/>
      <c r="E149" s="307"/>
      <c r="F149" s="307"/>
      <c r="G149" s="307"/>
      <c r="H149" s="308">
        <f t="shared" ref="H149:AQ149" si="140">H150</f>
        <v>0</v>
      </c>
      <c r="I149" s="308">
        <f t="shared" si="140"/>
        <v>0</v>
      </c>
      <c r="J149" s="308">
        <f t="shared" si="140"/>
        <v>0</v>
      </c>
      <c r="K149" s="308">
        <f t="shared" si="140"/>
        <v>0</v>
      </c>
      <c r="L149" s="308">
        <f t="shared" si="140"/>
        <v>0</v>
      </c>
      <c r="M149" s="308">
        <f t="shared" si="140"/>
        <v>0</v>
      </c>
      <c r="N149" s="308">
        <f t="shared" si="140"/>
        <v>0</v>
      </c>
      <c r="O149" s="308">
        <f t="shared" si="140"/>
        <v>0</v>
      </c>
      <c r="P149" s="308">
        <f t="shared" si="140"/>
        <v>0</v>
      </c>
      <c r="Q149" s="308">
        <f t="shared" si="140"/>
        <v>0</v>
      </c>
      <c r="R149" s="308">
        <f t="shared" si="140"/>
        <v>0</v>
      </c>
      <c r="S149" s="308">
        <f t="shared" si="140"/>
        <v>0</v>
      </c>
      <c r="T149" s="308">
        <f t="shared" si="140"/>
        <v>0</v>
      </c>
      <c r="U149" s="308">
        <f t="shared" si="140"/>
        <v>0</v>
      </c>
      <c r="V149" s="308">
        <f t="shared" si="140"/>
        <v>0</v>
      </c>
      <c r="W149" s="308">
        <f t="shared" si="140"/>
        <v>0</v>
      </c>
      <c r="X149" s="308">
        <f t="shared" si="140"/>
        <v>0</v>
      </c>
      <c r="Y149" s="308">
        <f t="shared" si="140"/>
        <v>0</v>
      </c>
      <c r="Z149" s="308">
        <f t="shared" si="140"/>
        <v>0</v>
      </c>
      <c r="AA149" s="308">
        <f t="shared" si="140"/>
        <v>0</v>
      </c>
      <c r="AB149" s="308">
        <f t="shared" si="140"/>
        <v>0</v>
      </c>
      <c r="AC149" s="308">
        <f t="shared" si="140"/>
        <v>0</v>
      </c>
      <c r="AD149" s="308">
        <f t="shared" si="140"/>
        <v>0</v>
      </c>
      <c r="AE149" s="308">
        <f t="shared" si="140"/>
        <v>0</v>
      </c>
      <c r="AF149" s="308">
        <f t="shared" si="140"/>
        <v>0</v>
      </c>
      <c r="AG149" s="308">
        <f t="shared" si="140"/>
        <v>0</v>
      </c>
      <c r="AH149" s="308">
        <f t="shared" si="140"/>
        <v>0</v>
      </c>
      <c r="AI149" s="308">
        <f t="shared" si="140"/>
        <v>0</v>
      </c>
      <c r="AJ149" s="308">
        <f t="shared" si="140"/>
        <v>0</v>
      </c>
      <c r="AK149" s="308">
        <f t="shared" si="140"/>
        <v>0</v>
      </c>
      <c r="AL149" s="308">
        <f t="shared" si="140"/>
        <v>0</v>
      </c>
      <c r="AM149" s="308">
        <f t="shared" si="140"/>
        <v>0</v>
      </c>
      <c r="AN149" s="308">
        <f t="shared" si="140"/>
        <v>0</v>
      </c>
      <c r="AO149" s="308">
        <f t="shared" si="140"/>
        <v>0</v>
      </c>
      <c r="AP149" s="308">
        <f t="shared" si="140"/>
        <v>0</v>
      </c>
      <c r="AQ149" s="308">
        <f t="shared" si="140"/>
        <v>0</v>
      </c>
      <c r="AR149" s="309"/>
      <c r="AS149" s="310">
        <f>+D151-AR153-AR155</f>
        <v>0</v>
      </c>
      <c r="AW149" s="274" t="str">
        <f>IF(F149="","X",F149)</f>
        <v>X</v>
      </c>
      <c r="AX149" s="274" t="str">
        <f t="shared" ref="AX149:AX155" ca="1" si="141">IF($A$149=0,"","X")</f>
        <v/>
      </c>
    </row>
    <row r="150" spans="1:50" s="274" customFormat="1" ht="18" hidden="1" customHeight="1">
      <c r="A150" s="2499"/>
      <c r="B150" s="2502"/>
      <c r="C150" s="311" t="str">
        <f>CONCATENATE(Orcamento!K155," ",Orcamento!O155)</f>
        <v>0 3,46</v>
      </c>
      <c r="D150" s="2504">
        <f>Orcamento!S37</f>
        <v>0</v>
      </c>
      <c r="E150" s="2505"/>
      <c r="F150" s="312" t="s">
        <v>1192</v>
      </c>
      <c r="G150" s="312"/>
      <c r="H150" s="314"/>
      <c r="I150" s="314"/>
      <c r="J150" s="314"/>
      <c r="K150" s="314"/>
      <c r="L150" s="314"/>
      <c r="M150" s="314"/>
      <c r="N150" s="314"/>
      <c r="O150" s="314"/>
      <c r="P150" s="314"/>
      <c r="Q150" s="314"/>
      <c r="R150" s="314"/>
      <c r="S150" s="314"/>
      <c r="T150" s="314"/>
      <c r="U150" s="314"/>
      <c r="V150" s="314"/>
      <c r="W150" s="314"/>
      <c r="X150" s="314"/>
      <c r="Y150" s="314"/>
      <c r="Z150" s="314"/>
      <c r="AA150" s="314"/>
      <c r="AB150" s="314"/>
      <c r="AC150" s="314"/>
      <c r="AD150" s="314"/>
      <c r="AE150" s="314"/>
      <c r="AF150" s="314"/>
      <c r="AG150" s="314"/>
      <c r="AH150" s="314"/>
      <c r="AI150" s="314"/>
      <c r="AJ150" s="314"/>
      <c r="AK150" s="314"/>
      <c r="AL150" s="314"/>
      <c r="AM150" s="314"/>
      <c r="AN150" s="314"/>
      <c r="AO150" s="314"/>
      <c r="AP150" s="314"/>
      <c r="AQ150" s="314"/>
      <c r="AR150" s="315">
        <f t="shared" ref="AR150:AR161" si="142">SUM(H150:AQ150)</f>
        <v>0</v>
      </c>
      <c r="AS150" s="2506">
        <f>1-AR150</f>
        <v>1</v>
      </c>
      <c r="AU150" s="2507">
        <f>+COUNT(H150:AQ151)</f>
        <v>36</v>
      </c>
      <c r="AW150" s="274" t="str">
        <f>IF(F150="","X",F150)</f>
        <v>ND</v>
      </c>
      <c r="AX150" s="274" t="str">
        <f t="shared" ca="1" si="141"/>
        <v/>
      </c>
    </row>
    <row r="151" spans="1:50" s="274" customFormat="1" ht="18" hidden="1" customHeight="1">
      <c r="A151" s="2499"/>
      <c r="B151" s="2502"/>
      <c r="C151" s="311" t="str">
        <f>CONCATENATE(Orcamento!K156," ",Orcamento!O156)</f>
        <v>0 285,61</v>
      </c>
      <c r="D151" s="2504">
        <f>Orcamento!T37</f>
        <v>0</v>
      </c>
      <c r="E151" s="2505"/>
      <c r="F151" s="316" t="s">
        <v>1193</v>
      </c>
      <c r="G151" s="316"/>
      <c r="H151" s="314">
        <f t="shared" ref="H151:AQ151" si="143">H150</f>
        <v>0</v>
      </c>
      <c r="I151" s="314">
        <f t="shared" si="143"/>
        <v>0</v>
      </c>
      <c r="J151" s="314">
        <f t="shared" si="143"/>
        <v>0</v>
      </c>
      <c r="K151" s="314">
        <f t="shared" si="143"/>
        <v>0</v>
      </c>
      <c r="L151" s="314">
        <f t="shared" si="143"/>
        <v>0</v>
      </c>
      <c r="M151" s="314">
        <f t="shared" si="143"/>
        <v>0</v>
      </c>
      <c r="N151" s="314">
        <f t="shared" si="143"/>
        <v>0</v>
      </c>
      <c r="O151" s="314">
        <f t="shared" si="143"/>
        <v>0</v>
      </c>
      <c r="P151" s="314">
        <f t="shared" si="143"/>
        <v>0</v>
      </c>
      <c r="Q151" s="314">
        <f t="shared" si="143"/>
        <v>0</v>
      </c>
      <c r="R151" s="314">
        <f t="shared" si="143"/>
        <v>0</v>
      </c>
      <c r="S151" s="314">
        <f t="shared" si="143"/>
        <v>0</v>
      </c>
      <c r="T151" s="314">
        <f t="shared" si="143"/>
        <v>0</v>
      </c>
      <c r="U151" s="314">
        <f t="shared" si="143"/>
        <v>0</v>
      </c>
      <c r="V151" s="314">
        <f t="shared" si="143"/>
        <v>0</v>
      </c>
      <c r="W151" s="314">
        <f t="shared" si="143"/>
        <v>0</v>
      </c>
      <c r="X151" s="314">
        <f t="shared" si="143"/>
        <v>0</v>
      </c>
      <c r="Y151" s="314">
        <f t="shared" si="143"/>
        <v>0</v>
      </c>
      <c r="Z151" s="314">
        <f t="shared" si="143"/>
        <v>0</v>
      </c>
      <c r="AA151" s="314">
        <f t="shared" si="143"/>
        <v>0</v>
      </c>
      <c r="AB151" s="314">
        <f t="shared" si="143"/>
        <v>0</v>
      </c>
      <c r="AC151" s="314">
        <f t="shared" si="143"/>
        <v>0</v>
      </c>
      <c r="AD151" s="314">
        <f t="shared" si="143"/>
        <v>0</v>
      </c>
      <c r="AE151" s="314">
        <f t="shared" si="143"/>
        <v>0</v>
      </c>
      <c r="AF151" s="314">
        <f t="shared" si="143"/>
        <v>0</v>
      </c>
      <c r="AG151" s="314">
        <f t="shared" si="143"/>
        <v>0</v>
      </c>
      <c r="AH151" s="314">
        <f t="shared" si="143"/>
        <v>0</v>
      </c>
      <c r="AI151" s="314">
        <f t="shared" si="143"/>
        <v>0</v>
      </c>
      <c r="AJ151" s="314">
        <f t="shared" si="143"/>
        <v>0</v>
      </c>
      <c r="AK151" s="314">
        <f t="shared" si="143"/>
        <v>0</v>
      </c>
      <c r="AL151" s="314">
        <f t="shared" si="143"/>
        <v>0</v>
      </c>
      <c r="AM151" s="314">
        <f t="shared" si="143"/>
        <v>0</v>
      </c>
      <c r="AN151" s="314">
        <f t="shared" si="143"/>
        <v>0</v>
      </c>
      <c r="AO151" s="314">
        <f t="shared" si="143"/>
        <v>0</v>
      </c>
      <c r="AP151" s="314">
        <f t="shared" si="143"/>
        <v>0</v>
      </c>
      <c r="AQ151" s="314">
        <f t="shared" si="143"/>
        <v>0</v>
      </c>
      <c r="AR151" s="315">
        <f t="shared" si="142"/>
        <v>0</v>
      </c>
      <c r="AS151" s="2506"/>
      <c r="AU151" s="2507"/>
      <c r="AW151" s="274" t="str">
        <f>IF(F151="","X",F151)</f>
        <v>DE</v>
      </c>
      <c r="AX151" s="274" t="str">
        <f t="shared" ca="1" si="141"/>
        <v/>
      </c>
    </row>
    <row r="152" spans="1:50" s="274" customFormat="1" ht="18" hidden="1" customHeight="1">
      <c r="A152" s="2499"/>
      <c r="B152" s="2502"/>
      <c r="C152" s="311"/>
      <c r="D152" s="317" t="s">
        <v>1194</v>
      </c>
      <c r="E152" s="2508">
        <f>$D$159</f>
        <v>1</v>
      </c>
      <c r="F152" s="318" t="s">
        <v>1192</v>
      </c>
      <c r="G152" s="318" t="str">
        <f>D152&amp;" | "&amp;F152</f>
        <v>CONCEDENTE | ND</v>
      </c>
      <c r="H152" s="319">
        <f t="shared" ref="H152:AQ152" si="144">IF($D150=0,0,IF(H150=0,0,($E152*$D150*H150)+$AU$163))</f>
        <v>0</v>
      </c>
      <c r="I152" s="319">
        <f t="shared" si="144"/>
        <v>0</v>
      </c>
      <c r="J152" s="319">
        <f t="shared" si="144"/>
        <v>0</v>
      </c>
      <c r="K152" s="319">
        <f t="shared" si="144"/>
        <v>0</v>
      </c>
      <c r="L152" s="319">
        <f t="shared" si="144"/>
        <v>0</v>
      </c>
      <c r="M152" s="319">
        <f t="shared" si="144"/>
        <v>0</v>
      </c>
      <c r="N152" s="319">
        <f t="shared" si="144"/>
        <v>0</v>
      </c>
      <c r="O152" s="319">
        <f t="shared" si="144"/>
        <v>0</v>
      </c>
      <c r="P152" s="319">
        <f t="shared" si="144"/>
        <v>0</v>
      </c>
      <c r="Q152" s="319">
        <f t="shared" si="144"/>
        <v>0</v>
      </c>
      <c r="R152" s="319">
        <f t="shared" si="144"/>
        <v>0</v>
      </c>
      <c r="S152" s="319">
        <f t="shared" si="144"/>
        <v>0</v>
      </c>
      <c r="T152" s="319">
        <f t="shared" si="144"/>
        <v>0</v>
      </c>
      <c r="U152" s="319">
        <f t="shared" si="144"/>
        <v>0</v>
      </c>
      <c r="V152" s="319">
        <f t="shared" si="144"/>
        <v>0</v>
      </c>
      <c r="W152" s="319">
        <f t="shared" si="144"/>
        <v>0</v>
      </c>
      <c r="X152" s="319">
        <f t="shared" si="144"/>
        <v>0</v>
      </c>
      <c r="Y152" s="319">
        <f t="shared" si="144"/>
        <v>0</v>
      </c>
      <c r="Z152" s="319">
        <f t="shared" si="144"/>
        <v>0</v>
      </c>
      <c r="AA152" s="319">
        <f t="shared" si="144"/>
        <v>0</v>
      </c>
      <c r="AB152" s="319">
        <f t="shared" si="144"/>
        <v>0</v>
      </c>
      <c r="AC152" s="319">
        <f t="shared" si="144"/>
        <v>0</v>
      </c>
      <c r="AD152" s="319">
        <f t="shared" si="144"/>
        <v>0</v>
      </c>
      <c r="AE152" s="319">
        <f t="shared" si="144"/>
        <v>0</v>
      </c>
      <c r="AF152" s="319">
        <f t="shared" si="144"/>
        <v>0</v>
      </c>
      <c r="AG152" s="319">
        <f t="shared" si="144"/>
        <v>0</v>
      </c>
      <c r="AH152" s="319">
        <f t="shared" si="144"/>
        <v>0</v>
      </c>
      <c r="AI152" s="319">
        <f t="shared" si="144"/>
        <v>0</v>
      </c>
      <c r="AJ152" s="319">
        <f t="shared" si="144"/>
        <v>0</v>
      </c>
      <c r="AK152" s="319">
        <f t="shared" si="144"/>
        <v>0</v>
      </c>
      <c r="AL152" s="319">
        <f t="shared" si="144"/>
        <v>0</v>
      </c>
      <c r="AM152" s="319">
        <f t="shared" si="144"/>
        <v>0</v>
      </c>
      <c r="AN152" s="319">
        <f t="shared" si="144"/>
        <v>0</v>
      </c>
      <c r="AO152" s="319">
        <f t="shared" si="144"/>
        <v>0</v>
      </c>
      <c r="AP152" s="319">
        <f t="shared" si="144"/>
        <v>0</v>
      </c>
      <c r="AQ152" s="319">
        <f t="shared" si="144"/>
        <v>0</v>
      </c>
      <c r="AR152" s="320">
        <f t="shared" si="142"/>
        <v>0</v>
      </c>
      <c r="AS152" s="321">
        <f>TRUNC(AR152-D150*E152,2)</f>
        <v>0</v>
      </c>
      <c r="AT152" s="322" t="e">
        <f>+AR152/D150</f>
        <v>#DIV/0!</v>
      </c>
      <c r="AW152" s="274" t="str">
        <f>IF(F152="","X",IF(AND(E152&gt;0),F152,"-"))</f>
        <v>ND</v>
      </c>
      <c r="AX152" s="274" t="str">
        <f t="shared" ca="1" si="141"/>
        <v/>
      </c>
    </row>
    <row r="153" spans="1:50" s="274" customFormat="1" ht="18" hidden="1" customHeight="1">
      <c r="A153" s="2499"/>
      <c r="B153" s="2502"/>
      <c r="C153" s="311"/>
      <c r="D153" s="317" t="s">
        <v>1194</v>
      </c>
      <c r="E153" s="2509"/>
      <c r="F153" s="323" t="s">
        <v>1193</v>
      </c>
      <c r="G153" s="323" t="str">
        <f>D153&amp;" | "&amp;F153</f>
        <v>CONCEDENTE | DE</v>
      </c>
      <c r="H153" s="319">
        <f t="shared" ref="H153:AQ153" si="145">IF($D151=0,0,IF(H151=0,0,($E152*$D151*H151)+$AU$163))</f>
        <v>0</v>
      </c>
      <c r="I153" s="319">
        <f t="shared" si="145"/>
        <v>0</v>
      </c>
      <c r="J153" s="319">
        <f t="shared" si="145"/>
        <v>0</v>
      </c>
      <c r="K153" s="319">
        <f t="shared" si="145"/>
        <v>0</v>
      </c>
      <c r="L153" s="319">
        <f t="shared" si="145"/>
        <v>0</v>
      </c>
      <c r="M153" s="319">
        <f t="shared" si="145"/>
        <v>0</v>
      </c>
      <c r="N153" s="319">
        <f t="shared" si="145"/>
        <v>0</v>
      </c>
      <c r="O153" s="319">
        <f t="shared" si="145"/>
        <v>0</v>
      </c>
      <c r="P153" s="319">
        <f t="shared" si="145"/>
        <v>0</v>
      </c>
      <c r="Q153" s="319">
        <f t="shared" si="145"/>
        <v>0</v>
      </c>
      <c r="R153" s="319">
        <f t="shared" si="145"/>
        <v>0</v>
      </c>
      <c r="S153" s="319">
        <f t="shared" si="145"/>
        <v>0</v>
      </c>
      <c r="T153" s="319">
        <f t="shared" si="145"/>
        <v>0</v>
      </c>
      <c r="U153" s="319">
        <f t="shared" si="145"/>
        <v>0</v>
      </c>
      <c r="V153" s="319">
        <f t="shared" si="145"/>
        <v>0</v>
      </c>
      <c r="W153" s="319">
        <f t="shared" si="145"/>
        <v>0</v>
      </c>
      <c r="X153" s="319">
        <f t="shared" si="145"/>
        <v>0</v>
      </c>
      <c r="Y153" s="319">
        <f t="shared" si="145"/>
        <v>0</v>
      </c>
      <c r="Z153" s="319">
        <f t="shared" si="145"/>
        <v>0</v>
      </c>
      <c r="AA153" s="319">
        <f t="shared" si="145"/>
        <v>0</v>
      </c>
      <c r="AB153" s="319">
        <f t="shared" si="145"/>
        <v>0</v>
      </c>
      <c r="AC153" s="319">
        <f t="shared" si="145"/>
        <v>0</v>
      </c>
      <c r="AD153" s="319">
        <f t="shared" si="145"/>
        <v>0</v>
      </c>
      <c r="AE153" s="319">
        <f t="shared" si="145"/>
        <v>0</v>
      </c>
      <c r="AF153" s="319">
        <f t="shared" si="145"/>
        <v>0</v>
      </c>
      <c r="AG153" s="319">
        <f t="shared" si="145"/>
        <v>0</v>
      </c>
      <c r="AH153" s="319">
        <f t="shared" si="145"/>
        <v>0</v>
      </c>
      <c r="AI153" s="319">
        <f t="shared" si="145"/>
        <v>0</v>
      </c>
      <c r="AJ153" s="319">
        <f t="shared" si="145"/>
        <v>0</v>
      </c>
      <c r="AK153" s="319">
        <f t="shared" si="145"/>
        <v>0</v>
      </c>
      <c r="AL153" s="319">
        <f t="shared" si="145"/>
        <v>0</v>
      </c>
      <c r="AM153" s="319">
        <f t="shared" si="145"/>
        <v>0</v>
      </c>
      <c r="AN153" s="319">
        <f t="shared" si="145"/>
        <v>0</v>
      </c>
      <c r="AO153" s="319">
        <f t="shared" si="145"/>
        <v>0</v>
      </c>
      <c r="AP153" s="319">
        <f t="shared" si="145"/>
        <v>0</v>
      </c>
      <c r="AQ153" s="319">
        <f t="shared" si="145"/>
        <v>0</v>
      </c>
      <c r="AR153" s="320">
        <f t="shared" si="142"/>
        <v>0</v>
      </c>
      <c r="AS153" s="321">
        <f>TRUNC(AR153-D151*E152,2)</f>
        <v>0</v>
      </c>
      <c r="AT153" s="322" t="e">
        <f>+AR153/D151</f>
        <v>#DIV/0!</v>
      </c>
      <c r="AW153" s="274" t="str">
        <f>IF(F153="","X",IF(AND(E152&gt;0),F153,"-"))</f>
        <v>DE</v>
      </c>
      <c r="AX153" s="274" t="str">
        <f t="shared" ca="1" si="141"/>
        <v/>
      </c>
    </row>
    <row r="154" spans="1:50" s="274" customFormat="1" ht="18" hidden="1" customHeight="1" thickBot="1">
      <c r="A154" s="2499"/>
      <c r="B154" s="2502"/>
      <c r="C154" s="324"/>
      <c r="D154" s="325" t="s">
        <v>1195</v>
      </c>
      <c r="E154" s="2510">
        <f>1-E152</f>
        <v>0</v>
      </c>
      <c r="F154" s="326" t="s">
        <v>1192</v>
      </c>
      <c r="G154" s="326" t="str">
        <f>D154&amp;" | "&amp;F154</f>
        <v>PROPONENTE | ND</v>
      </c>
      <c r="H154" s="327">
        <f>($D150*H150-H152)</f>
        <v>0</v>
      </c>
      <c r="I154" s="327">
        <f t="shared" ref="I154:AQ155" si="146">($D150*I150-I152)</f>
        <v>0</v>
      </c>
      <c r="J154" s="327">
        <f t="shared" si="146"/>
        <v>0</v>
      </c>
      <c r="K154" s="327">
        <f t="shared" si="146"/>
        <v>0</v>
      </c>
      <c r="L154" s="327">
        <f t="shared" si="146"/>
        <v>0</v>
      </c>
      <c r="M154" s="327">
        <f t="shared" si="146"/>
        <v>0</v>
      </c>
      <c r="N154" s="327">
        <f t="shared" si="146"/>
        <v>0</v>
      </c>
      <c r="O154" s="327">
        <f t="shared" si="146"/>
        <v>0</v>
      </c>
      <c r="P154" s="327">
        <f t="shared" si="146"/>
        <v>0</v>
      </c>
      <c r="Q154" s="327">
        <f t="shared" si="146"/>
        <v>0</v>
      </c>
      <c r="R154" s="327">
        <f t="shared" si="146"/>
        <v>0</v>
      </c>
      <c r="S154" s="327">
        <f t="shared" si="146"/>
        <v>0</v>
      </c>
      <c r="T154" s="327">
        <f t="shared" si="146"/>
        <v>0</v>
      </c>
      <c r="U154" s="327">
        <f t="shared" si="146"/>
        <v>0</v>
      </c>
      <c r="V154" s="327">
        <f t="shared" si="146"/>
        <v>0</v>
      </c>
      <c r="W154" s="327">
        <f t="shared" si="146"/>
        <v>0</v>
      </c>
      <c r="X154" s="327">
        <f t="shared" si="146"/>
        <v>0</v>
      </c>
      <c r="Y154" s="327">
        <f t="shared" si="146"/>
        <v>0</v>
      </c>
      <c r="Z154" s="327">
        <f t="shared" si="146"/>
        <v>0</v>
      </c>
      <c r="AA154" s="327">
        <f t="shared" si="146"/>
        <v>0</v>
      </c>
      <c r="AB154" s="327">
        <f t="shared" si="146"/>
        <v>0</v>
      </c>
      <c r="AC154" s="327">
        <f t="shared" si="146"/>
        <v>0</v>
      </c>
      <c r="AD154" s="327">
        <f t="shared" si="146"/>
        <v>0</v>
      </c>
      <c r="AE154" s="327">
        <f t="shared" si="146"/>
        <v>0</v>
      </c>
      <c r="AF154" s="327">
        <f t="shared" si="146"/>
        <v>0</v>
      </c>
      <c r="AG154" s="327">
        <f t="shared" si="146"/>
        <v>0</v>
      </c>
      <c r="AH154" s="327">
        <f t="shared" si="146"/>
        <v>0</v>
      </c>
      <c r="AI154" s="327">
        <f t="shared" si="146"/>
        <v>0</v>
      </c>
      <c r="AJ154" s="327">
        <f t="shared" si="146"/>
        <v>0</v>
      </c>
      <c r="AK154" s="327">
        <f t="shared" si="146"/>
        <v>0</v>
      </c>
      <c r="AL154" s="327">
        <f t="shared" si="146"/>
        <v>0</v>
      </c>
      <c r="AM154" s="327">
        <f t="shared" si="146"/>
        <v>0</v>
      </c>
      <c r="AN154" s="327">
        <f t="shared" si="146"/>
        <v>0</v>
      </c>
      <c r="AO154" s="327">
        <f t="shared" si="146"/>
        <v>0</v>
      </c>
      <c r="AP154" s="327">
        <f t="shared" si="146"/>
        <v>0</v>
      </c>
      <c r="AQ154" s="327">
        <f t="shared" si="146"/>
        <v>0</v>
      </c>
      <c r="AR154" s="328">
        <f t="shared" si="142"/>
        <v>0</v>
      </c>
      <c r="AS154" s="321">
        <f>+D150-AR152-AR154</f>
        <v>0</v>
      </c>
      <c r="AW154" s="274" t="str">
        <f>IF(F154="","X",IF(AND(E154&gt;0),F154,"-"))</f>
        <v>-</v>
      </c>
      <c r="AX154" s="274" t="str">
        <f t="shared" ca="1" si="141"/>
        <v/>
      </c>
    </row>
    <row r="155" spans="1:50" s="274" customFormat="1" ht="18" hidden="1" customHeight="1" thickBot="1">
      <c r="A155" s="2500"/>
      <c r="B155" s="2503"/>
      <c r="C155" s="324"/>
      <c r="D155" s="325" t="s">
        <v>1195</v>
      </c>
      <c r="E155" s="2511"/>
      <c r="F155" s="329" t="s">
        <v>1193</v>
      </c>
      <c r="G155" s="329" t="str">
        <f>D155&amp;" | "&amp;F155</f>
        <v>PROPONENTE | DE</v>
      </c>
      <c r="H155" s="327">
        <f>($D151*H151-H153)</f>
        <v>0</v>
      </c>
      <c r="I155" s="327">
        <f t="shared" si="146"/>
        <v>0</v>
      </c>
      <c r="J155" s="327">
        <f t="shared" si="146"/>
        <v>0</v>
      </c>
      <c r="K155" s="327">
        <f t="shared" si="146"/>
        <v>0</v>
      </c>
      <c r="L155" s="327">
        <f t="shared" si="146"/>
        <v>0</v>
      </c>
      <c r="M155" s="327">
        <f t="shared" si="146"/>
        <v>0</v>
      </c>
      <c r="N155" s="327">
        <f t="shared" si="146"/>
        <v>0</v>
      </c>
      <c r="O155" s="327">
        <f t="shared" si="146"/>
        <v>0</v>
      </c>
      <c r="P155" s="327">
        <f t="shared" si="146"/>
        <v>0</v>
      </c>
      <c r="Q155" s="327">
        <f t="shared" si="146"/>
        <v>0</v>
      </c>
      <c r="R155" s="327">
        <f t="shared" si="146"/>
        <v>0</v>
      </c>
      <c r="S155" s="327">
        <f t="shared" si="146"/>
        <v>0</v>
      </c>
      <c r="T155" s="327">
        <f t="shared" si="146"/>
        <v>0</v>
      </c>
      <c r="U155" s="327">
        <f t="shared" si="146"/>
        <v>0</v>
      </c>
      <c r="V155" s="327">
        <f t="shared" si="146"/>
        <v>0</v>
      </c>
      <c r="W155" s="327">
        <f t="shared" si="146"/>
        <v>0</v>
      </c>
      <c r="X155" s="327">
        <f t="shared" si="146"/>
        <v>0</v>
      </c>
      <c r="Y155" s="327">
        <f t="shared" si="146"/>
        <v>0</v>
      </c>
      <c r="Z155" s="327">
        <f t="shared" si="146"/>
        <v>0</v>
      </c>
      <c r="AA155" s="327">
        <f t="shared" si="146"/>
        <v>0</v>
      </c>
      <c r="AB155" s="327">
        <f t="shared" si="146"/>
        <v>0</v>
      </c>
      <c r="AC155" s="327">
        <f t="shared" si="146"/>
        <v>0</v>
      </c>
      <c r="AD155" s="327">
        <f t="shared" si="146"/>
        <v>0</v>
      </c>
      <c r="AE155" s="327">
        <f t="shared" si="146"/>
        <v>0</v>
      </c>
      <c r="AF155" s="327">
        <f t="shared" si="146"/>
        <v>0</v>
      </c>
      <c r="AG155" s="327">
        <f t="shared" si="146"/>
        <v>0</v>
      </c>
      <c r="AH155" s="327">
        <f t="shared" si="146"/>
        <v>0</v>
      </c>
      <c r="AI155" s="327">
        <f t="shared" si="146"/>
        <v>0</v>
      </c>
      <c r="AJ155" s="327">
        <f t="shared" si="146"/>
        <v>0</v>
      </c>
      <c r="AK155" s="327">
        <f t="shared" si="146"/>
        <v>0</v>
      </c>
      <c r="AL155" s="327">
        <f t="shared" si="146"/>
        <v>0</v>
      </c>
      <c r="AM155" s="327">
        <f t="shared" si="146"/>
        <v>0</v>
      </c>
      <c r="AN155" s="327">
        <f t="shared" si="146"/>
        <v>0</v>
      </c>
      <c r="AO155" s="327">
        <f t="shared" si="146"/>
        <v>0</v>
      </c>
      <c r="AP155" s="327">
        <f t="shared" si="146"/>
        <v>0</v>
      </c>
      <c r="AQ155" s="327">
        <f t="shared" si="146"/>
        <v>0</v>
      </c>
      <c r="AR155" s="328">
        <f t="shared" si="142"/>
        <v>0</v>
      </c>
      <c r="AS155" s="321">
        <f>+D151-AR153-AR155</f>
        <v>0</v>
      </c>
      <c r="AW155" s="274" t="str">
        <f>IF(F155="","X",IF(AND(E154&gt;0),F155,"-"))</f>
        <v>-</v>
      </c>
      <c r="AX155" s="274" t="str">
        <f t="shared" ca="1" si="141"/>
        <v/>
      </c>
    </row>
    <row r="156" spans="1:50" s="335" customFormat="1" ht="18" customHeight="1">
      <c r="A156" s="330"/>
      <c r="B156" s="2494" t="s">
        <v>1196</v>
      </c>
      <c r="C156" s="331"/>
      <c r="D156" s="2496">
        <f>ORCAMENTO_VALOR_TOTAL_ND</f>
        <v>3092449.6799999997</v>
      </c>
      <c r="E156" s="2497"/>
      <c r="F156" s="332" t="s">
        <v>1192</v>
      </c>
      <c r="G156" s="332"/>
      <c r="H156" s="333">
        <f t="shared" ref="H156:AQ156" si="147">H158+H160</f>
        <v>247395.97439999998</v>
      </c>
      <c r="I156" s="333">
        <f t="shared" si="147"/>
        <v>278320.47119999991</v>
      </c>
      <c r="J156" s="333">
        <f t="shared" si="147"/>
        <v>247395.97439999998</v>
      </c>
      <c r="K156" s="333">
        <f t="shared" si="147"/>
        <v>278320.47119999991</v>
      </c>
      <c r="L156" s="333">
        <f t="shared" si="147"/>
        <v>247395.97439999998</v>
      </c>
      <c r="M156" s="333">
        <f t="shared" si="147"/>
        <v>278320.47119999991</v>
      </c>
      <c r="N156" s="333">
        <f t="shared" si="147"/>
        <v>247395.97439999998</v>
      </c>
      <c r="O156" s="333">
        <f t="shared" si="147"/>
        <v>278320.47119999991</v>
      </c>
      <c r="P156" s="333">
        <f t="shared" si="147"/>
        <v>247395.97439999998</v>
      </c>
      <c r="Q156" s="333">
        <f t="shared" si="147"/>
        <v>247395.97439999998</v>
      </c>
      <c r="R156" s="333">
        <f t="shared" si="147"/>
        <v>247395.97439999998</v>
      </c>
      <c r="S156" s="333">
        <f t="shared" si="147"/>
        <v>247395.97439999998</v>
      </c>
      <c r="T156" s="333">
        <f t="shared" si="147"/>
        <v>0</v>
      </c>
      <c r="U156" s="333">
        <f t="shared" si="147"/>
        <v>0</v>
      </c>
      <c r="V156" s="333">
        <f t="shared" si="147"/>
        <v>0</v>
      </c>
      <c r="W156" s="333">
        <f t="shared" si="147"/>
        <v>0</v>
      </c>
      <c r="X156" s="333">
        <f t="shared" si="147"/>
        <v>0</v>
      </c>
      <c r="Y156" s="333">
        <f t="shared" si="147"/>
        <v>0</v>
      </c>
      <c r="Z156" s="333">
        <f t="shared" si="147"/>
        <v>0</v>
      </c>
      <c r="AA156" s="333">
        <f t="shared" si="147"/>
        <v>0</v>
      </c>
      <c r="AB156" s="333">
        <f t="shared" si="147"/>
        <v>0</v>
      </c>
      <c r="AC156" s="333">
        <f t="shared" si="147"/>
        <v>0</v>
      </c>
      <c r="AD156" s="333">
        <f t="shared" si="147"/>
        <v>0</v>
      </c>
      <c r="AE156" s="333">
        <f t="shared" si="147"/>
        <v>0</v>
      </c>
      <c r="AF156" s="333">
        <f t="shared" si="147"/>
        <v>0</v>
      </c>
      <c r="AG156" s="333">
        <f t="shared" si="147"/>
        <v>0</v>
      </c>
      <c r="AH156" s="333">
        <f t="shared" si="147"/>
        <v>0</v>
      </c>
      <c r="AI156" s="333">
        <f t="shared" si="147"/>
        <v>0</v>
      </c>
      <c r="AJ156" s="333">
        <f t="shared" si="147"/>
        <v>0</v>
      </c>
      <c r="AK156" s="333">
        <f t="shared" si="147"/>
        <v>0</v>
      </c>
      <c r="AL156" s="333">
        <f t="shared" si="147"/>
        <v>0</v>
      </c>
      <c r="AM156" s="333">
        <f t="shared" si="147"/>
        <v>0</v>
      </c>
      <c r="AN156" s="333">
        <f t="shared" si="147"/>
        <v>0</v>
      </c>
      <c r="AO156" s="333">
        <f t="shared" si="147"/>
        <v>0</v>
      </c>
      <c r="AP156" s="333">
        <f t="shared" si="147"/>
        <v>0</v>
      </c>
      <c r="AQ156" s="333">
        <f t="shared" si="147"/>
        <v>0</v>
      </c>
      <c r="AR156" s="334">
        <f t="shared" si="142"/>
        <v>3092449.68</v>
      </c>
      <c r="AS156" s="321">
        <f>+AR156-D156</f>
        <v>0</v>
      </c>
      <c r="AW156" s="274" t="str">
        <f>IF(F156="","X",F156)</f>
        <v>ND</v>
      </c>
      <c r="AX156" s="335" t="s">
        <v>4</v>
      </c>
    </row>
    <row r="157" spans="1:50" s="335" customFormat="1" ht="18" customHeight="1">
      <c r="A157" s="336"/>
      <c r="B157" s="2495"/>
      <c r="C157" s="337"/>
      <c r="D157" s="2490">
        <v>1</v>
      </c>
      <c r="E157" s="2491"/>
      <c r="F157" s="338" t="s">
        <v>1192</v>
      </c>
      <c r="G157" s="338"/>
      <c r="H157" s="339">
        <f t="shared" ref="H157:AQ157" si="148">H156/$D156</f>
        <v>0.08</v>
      </c>
      <c r="I157" s="339">
        <f t="shared" si="148"/>
        <v>8.9999999999999983E-2</v>
      </c>
      <c r="J157" s="339">
        <f t="shared" si="148"/>
        <v>0.08</v>
      </c>
      <c r="K157" s="339">
        <f t="shared" si="148"/>
        <v>8.9999999999999983E-2</v>
      </c>
      <c r="L157" s="339">
        <f t="shared" si="148"/>
        <v>0.08</v>
      </c>
      <c r="M157" s="339">
        <f t="shared" si="148"/>
        <v>8.9999999999999983E-2</v>
      </c>
      <c r="N157" s="339">
        <f t="shared" si="148"/>
        <v>0.08</v>
      </c>
      <c r="O157" s="339">
        <f t="shared" si="148"/>
        <v>8.9999999999999983E-2</v>
      </c>
      <c r="P157" s="339">
        <f t="shared" si="148"/>
        <v>0.08</v>
      </c>
      <c r="Q157" s="339">
        <f t="shared" si="148"/>
        <v>0.08</v>
      </c>
      <c r="R157" s="339">
        <f t="shared" si="148"/>
        <v>0.08</v>
      </c>
      <c r="S157" s="339">
        <f t="shared" si="148"/>
        <v>0.08</v>
      </c>
      <c r="T157" s="339">
        <f t="shared" si="148"/>
        <v>0</v>
      </c>
      <c r="U157" s="339">
        <f t="shared" si="148"/>
        <v>0</v>
      </c>
      <c r="V157" s="339">
        <f t="shared" si="148"/>
        <v>0</v>
      </c>
      <c r="W157" s="339">
        <f t="shared" si="148"/>
        <v>0</v>
      </c>
      <c r="X157" s="339">
        <f t="shared" si="148"/>
        <v>0</v>
      </c>
      <c r="Y157" s="339">
        <f t="shared" si="148"/>
        <v>0</v>
      </c>
      <c r="Z157" s="339">
        <f t="shared" si="148"/>
        <v>0</v>
      </c>
      <c r="AA157" s="339">
        <f t="shared" si="148"/>
        <v>0</v>
      </c>
      <c r="AB157" s="339">
        <f t="shared" si="148"/>
        <v>0</v>
      </c>
      <c r="AC157" s="339">
        <f t="shared" si="148"/>
        <v>0</v>
      </c>
      <c r="AD157" s="339">
        <f t="shared" si="148"/>
        <v>0</v>
      </c>
      <c r="AE157" s="339">
        <f t="shared" si="148"/>
        <v>0</v>
      </c>
      <c r="AF157" s="339">
        <f t="shared" si="148"/>
        <v>0</v>
      </c>
      <c r="AG157" s="339">
        <f t="shared" si="148"/>
        <v>0</v>
      </c>
      <c r="AH157" s="339">
        <f t="shared" si="148"/>
        <v>0</v>
      </c>
      <c r="AI157" s="339">
        <f t="shared" si="148"/>
        <v>0</v>
      </c>
      <c r="AJ157" s="339">
        <f t="shared" si="148"/>
        <v>0</v>
      </c>
      <c r="AK157" s="339">
        <f t="shared" si="148"/>
        <v>0</v>
      </c>
      <c r="AL157" s="339">
        <f t="shared" si="148"/>
        <v>0</v>
      </c>
      <c r="AM157" s="339">
        <f t="shared" si="148"/>
        <v>0</v>
      </c>
      <c r="AN157" s="339">
        <f t="shared" si="148"/>
        <v>0</v>
      </c>
      <c r="AO157" s="339">
        <f t="shared" si="148"/>
        <v>0</v>
      </c>
      <c r="AP157" s="339">
        <f t="shared" si="148"/>
        <v>0</v>
      </c>
      <c r="AQ157" s="339">
        <f t="shared" si="148"/>
        <v>0</v>
      </c>
      <c r="AR157" s="340">
        <f t="shared" si="142"/>
        <v>0.99999999999999978</v>
      </c>
      <c r="AS157" s="321"/>
      <c r="AW157" s="274" t="str">
        <f>IF(F157="","X",F157)</f>
        <v>ND</v>
      </c>
      <c r="AX157" s="335" t="s">
        <v>4</v>
      </c>
    </row>
    <row r="158" spans="1:50" s="335" customFormat="1" ht="18" customHeight="1">
      <c r="A158" s="341"/>
      <c r="B158" s="2483" t="s">
        <v>1197</v>
      </c>
      <c r="C158" s="342"/>
      <c r="D158" s="2488">
        <f>TRUNC(D156*D159,2)</f>
        <v>3092449.68</v>
      </c>
      <c r="E158" s="2489"/>
      <c r="F158" s="343" t="s">
        <v>1192</v>
      </c>
      <c r="G158" s="343"/>
      <c r="H158" s="344">
        <f t="shared" ref="H158:AQ158" si="149">SUMIFS(H9:H155,$G$9:$G$155,"CONCEDENTE | ND")</f>
        <v>247395.97439999998</v>
      </c>
      <c r="I158" s="344">
        <f t="shared" si="149"/>
        <v>278320.47119999991</v>
      </c>
      <c r="J158" s="344">
        <f t="shared" si="149"/>
        <v>247395.97439999998</v>
      </c>
      <c r="K158" s="344">
        <f t="shared" si="149"/>
        <v>278320.47119999991</v>
      </c>
      <c r="L158" s="344">
        <f t="shared" si="149"/>
        <v>247395.97439999998</v>
      </c>
      <c r="M158" s="344">
        <f t="shared" si="149"/>
        <v>278320.47119999991</v>
      </c>
      <c r="N158" s="344">
        <f t="shared" si="149"/>
        <v>247395.97439999998</v>
      </c>
      <c r="O158" s="344">
        <f t="shared" si="149"/>
        <v>278320.47119999991</v>
      </c>
      <c r="P158" s="344">
        <f t="shared" si="149"/>
        <v>247395.97439999998</v>
      </c>
      <c r="Q158" s="344">
        <f t="shared" si="149"/>
        <v>247395.97439999998</v>
      </c>
      <c r="R158" s="344">
        <f t="shared" si="149"/>
        <v>247395.97439999998</v>
      </c>
      <c r="S158" s="344">
        <f t="shared" si="149"/>
        <v>247395.97439999998</v>
      </c>
      <c r="T158" s="344">
        <f t="shared" si="149"/>
        <v>0</v>
      </c>
      <c r="U158" s="344">
        <f t="shared" si="149"/>
        <v>0</v>
      </c>
      <c r="V158" s="344">
        <f t="shared" si="149"/>
        <v>0</v>
      </c>
      <c r="W158" s="344">
        <f t="shared" si="149"/>
        <v>0</v>
      </c>
      <c r="X158" s="344">
        <f t="shared" si="149"/>
        <v>0</v>
      </c>
      <c r="Y158" s="344">
        <f t="shared" si="149"/>
        <v>0</v>
      </c>
      <c r="Z158" s="344">
        <f t="shared" si="149"/>
        <v>0</v>
      </c>
      <c r="AA158" s="344">
        <f t="shared" si="149"/>
        <v>0</v>
      </c>
      <c r="AB158" s="344">
        <f t="shared" si="149"/>
        <v>0</v>
      </c>
      <c r="AC158" s="344">
        <f t="shared" si="149"/>
        <v>0</v>
      </c>
      <c r="AD158" s="344">
        <f t="shared" si="149"/>
        <v>0</v>
      </c>
      <c r="AE158" s="344">
        <f t="shared" si="149"/>
        <v>0</v>
      </c>
      <c r="AF158" s="344">
        <f t="shared" si="149"/>
        <v>0</v>
      </c>
      <c r="AG158" s="344">
        <f t="shared" si="149"/>
        <v>0</v>
      </c>
      <c r="AH158" s="344">
        <f t="shared" si="149"/>
        <v>0</v>
      </c>
      <c r="AI158" s="344">
        <f t="shared" si="149"/>
        <v>0</v>
      </c>
      <c r="AJ158" s="344">
        <f t="shared" si="149"/>
        <v>0</v>
      </c>
      <c r="AK158" s="344">
        <f t="shared" si="149"/>
        <v>0</v>
      </c>
      <c r="AL158" s="344">
        <f t="shared" si="149"/>
        <v>0</v>
      </c>
      <c r="AM158" s="344">
        <f t="shared" si="149"/>
        <v>0</v>
      </c>
      <c r="AN158" s="344">
        <f t="shared" si="149"/>
        <v>0</v>
      </c>
      <c r="AO158" s="344">
        <f t="shared" si="149"/>
        <v>0</v>
      </c>
      <c r="AP158" s="344">
        <f t="shared" si="149"/>
        <v>0</v>
      </c>
      <c r="AQ158" s="344">
        <f t="shared" si="149"/>
        <v>0</v>
      </c>
      <c r="AR158" s="345">
        <f t="shared" si="142"/>
        <v>3092449.68</v>
      </c>
      <c r="AS158" s="321">
        <f>+AR158-D158</f>
        <v>0</v>
      </c>
      <c r="AT158" s="322">
        <f>+AR158/AR156</f>
        <v>1</v>
      </c>
      <c r="AU158" s="346">
        <f>SUM(AU11:AU155)</f>
        <v>754</v>
      </c>
      <c r="AW158" s="274" t="str">
        <f>IF($D$159&gt;0,F158,"")</f>
        <v>ND</v>
      </c>
      <c r="AX158" s="335" t="s">
        <v>4</v>
      </c>
    </row>
    <row r="159" spans="1:50" s="335" customFormat="1" ht="18" customHeight="1">
      <c r="A159" s="336"/>
      <c r="B159" s="2487"/>
      <c r="C159" s="347"/>
      <c r="D159" s="2490">
        <v>1</v>
      </c>
      <c r="E159" s="2491"/>
      <c r="F159" s="338" t="s">
        <v>1192</v>
      </c>
      <c r="G159" s="338"/>
      <c r="H159" s="339">
        <f>H158/$D158</f>
        <v>7.9999999999999988E-2</v>
      </c>
      <c r="I159" s="339">
        <f t="shared" ref="I159:AQ159" si="150">I158/$D158</f>
        <v>8.9999999999999969E-2</v>
      </c>
      <c r="J159" s="339">
        <f t="shared" si="150"/>
        <v>7.9999999999999988E-2</v>
      </c>
      <c r="K159" s="339">
        <f t="shared" si="150"/>
        <v>8.9999999999999969E-2</v>
      </c>
      <c r="L159" s="339">
        <f t="shared" si="150"/>
        <v>7.9999999999999988E-2</v>
      </c>
      <c r="M159" s="339">
        <f t="shared" si="150"/>
        <v>8.9999999999999969E-2</v>
      </c>
      <c r="N159" s="339">
        <f t="shared" si="150"/>
        <v>7.9999999999999988E-2</v>
      </c>
      <c r="O159" s="339">
        <f t="shared" si="150"/>
        <v>8.9999999999999969E-2</v>
      </c>
      <c r="P159" s="339">
        <f t="shared" si="150"/>
        <v>7.9999999999999988E-2</v>
      </c>
      <c r="Q159" s="339">
        <f t="shared" si="150"/>
        <v>7.9999999999999988E-2</v>
      </c>
      <c r="R159" s="339">
        <f t="shared" si="150"/>
        <v>7.9999999999999988E-2</v>
      </c>
      <c r="S159" s="339">
        <f t="shared" si="150"/>
        <v>7.9999999999999988E-2</v>
      </c>
      <c r="T159" s="339">
        <f t="shared" si="150"/>
        <v>0</v>
      </c>
      <c r="U159" s="339">
        <f t="shared" si="150"/>
        <v>0</v>
      </c>
      <c r="V159" s="339">
        <f t="shared" si="150"/>
        <v>0</v>
      </c>
      <c r="W159" s="339">
        <f t="shared" si="150"/>
        <v>0</v>
      </c>
      <c r="X159" s="339">
        <f t="shared" si="150"/>
        <v>0</v>
      </c>
      <c r="Y159" s="339">
        <f t="shared" si="150"/>
        <v>0</v>
      </c>
      <c r="Z159" s="339">
        <f t="shared" si="150"/>
        <v>0</v>
      </c>
      <c r="AA159" s="339">
        <f t="shared" si="150"/>
        <v>0</v>
      </c>
      <c r="AB159" s="339">
        <f t="shared" si="150"/>
        <v>0</v>
      </c>
      <c r="AC159" s="339">
        <f t="shared" si="150"/>
        <v>0</v>
      </c>
      <c r="AD159" s="339">
        <f t="shared" si="150"/>
        <v>0</v>
      </c>
      <c r="AE159" s="339">
        <f t="shared" si="150"/>
        <v>0</v>
      </c>
      <c r="AF159" s="339">
        <f t="shared" si="150"/>
        <v>0</v>
      </c>
      <c r="AG159" s="339">
        <f t="shared" si="150"/>
        <v>0</v>
      </c>
      <c r="AH159" s="339">
        <f t="shared" si="150"/>
        <v>0</v>
      </c>
      <c r="AI159" s="339">
        <f t="shared" si="150"/>
        <v>0</v>
      </c>
      <c r="AJ159" s="339">
        <f t="shared" si="150"/>
        <v>0</v>
      </c>
      <c r="AK159" s="339">
        <f t="shared" si="150"/>
        <v>0</v>
      </c>
      <c r="AL159" s="339">
        <f t="shared" si="150"/>
        <v>0</v>
      </c>
      <c r="AM159" s="339">
        <f t="shared" si="150"/>
        <v>0</v>
      </c>
      <c r="AN159" s="339">
        <f t="shared" si="150"/>
        <v>0</v>
      </c>
      <c r="AO159" s="339">
        <f t="shared" si="150"/>
        <v>0</v>
      </c>
      <c r="AP159" s="339">
        <f t="shared" si="150"/>
        <v>0</v>
      </c>
      <c r="AQ159" s="339">
        <f t="shared" si="150"/>
        <v>0</v>
      </c>
      <c r="AR159" s="340">
        <f t="shared" si="142"/>
        <v>0.99999999999999967</v>
      </c>
      <c r="AS159" s="321"/>
      <c r="AT159" s="348">
        <f>+AS158/AU158</f>
        <v>0</v>
      </c>
      <c r="AU159" s="346"/>
      <c r="AW159" s="274" t="str">
        <f>IF($D$159&gt;0,F159,"")</f>
        <v>ND</v>
      </c>
      <c r="AX159" s="335" t="s">
        <v>4</v>
      </c>
    </row>
    <row r="160" spans="1:50" s="335" customFormat="1" ht="18" hidden="1" customHeight="1">
      <c r="A160" s="341"/>
      <c r="B160" s="2483" t="s">
        <v>1198</v>
      </c>
      <c r="C160" s="342"/>
      <c r="D160" s="2488">
        <f>D156-D158</f>
        <v>0</v>
      </c>
      <c r="E160" s="2489"/>
      <c r="F160" s="343" t="s">
        <v>1192</v>
      </c>
      <c r="G160" s="343"/>
      <c r="H160" s="344">
        <f t="shared" ref="H160:AQ160" si="151">SUMIFS(H9:H155,$G$9:$G$155,"PROPONENTE | ND")</f>
        <v>0</v>
      </c>
      <c r="I160" s="344">
        <f t="shared" si="151"/>
        <v>0</v>
      </c>
      <c r="J160" s="344">
        <f t="shared" si="151"/>
        <v>0</v>
      </c>
      <c r="K160" s="344">
        <f t="shared" si="151"/>
        <v>0</v>
      </c>
      <c r="L160" s="344">
        <f t="shared" si="151"/>
        <v>0</v>
      </c>
      <c r="M160" s="344">
        <f t="shared" si="151"/>
        <v>0</v>
      </c>
      <c r="N160" s="344">
        <f t="shared" si="151"/>
        <v>0</v>
      </c>
      <c r="O160" s="344">
        <f t="shared" si="151"/>
        <v>0</v>
      </c>
      <c r="P160" s="344">
        <f t="shared" si="151"/>
        <v>0</v>
      </c>
      <c r="Q160" s="344">
        <f t="shared" si="151"/>
        <v>0</v>
      </c>
      <c r="R160" s="344">
        <f t="shared" si="151"/>
        <v>0</v>
      </c>
      <c r="S160" s="344">
        <f t="shared" si="151"/>
        <v>0</v>
      </c>
      <c r="T160" s="344">
        <f t="shared" si="151"/>
        <v>0</v>
      </c>
      <c r="U160" s="344">
        <f t="shared" si="151"/>
        <v>0</v>
      </c>
      <c r="V160" s="344">
        <f t="shared" si="151"/>
        <v>0</v>
      </c>
      <c r="W160" s="344">
        <f t="shared" si="151"/>
        <v>0</v>
      </c>
      <c r="X160" s="344">
        <f t="shared" si="151"/>
        <v>0</v>
      </c>
      <c r="Y160" s="344">
        <f t="shared" si="151"/>
        <v>0</v>
      </c>
      <c r="Z160" s="344">
        <f t="shared" si="151"/>
        <v>0</v>
      </c>
      <c r="AA160" s="344">
        <f t="shared" si="151"/>
        <v>0</v>
      </c>
      <c r="AB160" s="344">
        <f t="shared" si="151"/>
        <v>0</v>
      </c>
      <c r="AC160" s="344">
        <f t="shared" si="151"/>
        <v>0</v>
      </c>
      <c r="AD160" s="344">
        <f t="shared" si="151"/>
        <v>0</v>
      </c>
      <c r="AE160" s="344">
        <f t="shared" si="151"/>
        <v>0</v>
      </c>
      <c r="AF160" s="344">
        <f t="shared" si="151"/>
        <v>0</v>
      </c>
      <c r="AG160" s="344">
        <f t="shared" si="151"/>
        <v>0</v>
      </c>
      <c r="AH160" s="344">
        <f t="shared" si="151"/>
        <v>0</v>
      </c>
      <c r="AI160" s="344">
        <f t="shared" si="151"/>
        <v>0</v>
      </c>
      <c r="AJ160" s="344">
        <f t="shared" si="151"/>
        <v>0</v>
      </c>
      <c r="AK160" s="344">
        <f t="shared" si="151"/>
        <v>0</v>
      </c>
      <c r="AL160" s="344">
        <f t="shared" si="151"/>
        <v>0</v>
      </c>
      <c r="AM160" s="344">
        <f t="shared" si="151"/>
        <v>0</v>
      </c>
      <c r="AN160" s="344">
        <f t="shared" si="151"/>
        <v>0</v>
      </c>
      <c r="AO160" s="344">
        <f t="shared" si="151"/>
        <v>0</v>
      </c>
      <c r="AP160" s="344">
        <f t="shared" si="151"/>
        <v>0</v>
      </c>
      <c r="AQ160" s="344">
        <f t="shared" si="151"/>
        <v>0</v>
      </c>
      <c r="AR160" s="345">
        <f t="shared" si="142"/>
        <v>0</v>
      </c>
      <c r="AS160" s="321">
        <f>+AR160-D160</f>
        <v>0</v>
      </c>
      <c r="AW160" s="274" t="str">
        <f>IF($D$160&gt;0,F160,"")</f>
        <v/>
      </c>
      <c r="AX160" s="335" t="s">
        <v>4</v>
      </c>
    </row>
    <row r="161" spans="1:50" s="335" customFormat="1" ht="18" hidden="1" customHeight="1">
      <c r="A161" s="336"/>
      <c r="B161" s="2487"/>
      <c r="C161" s="347"/>
      <c r="D161" s="2490">
        <v>0</v>
      </c>
      <c r="E161" s="2491"/>
      <c r="F161" s="349" t="s">
        <v>1192</v>
      </c>
      <c r="G161" s="349"/>
      <c r="H161" s="339">
        <f t="shared" ref="H161:AQ161" si="152">IF(H160=0,0,H160/$D160)</f>
        <v>0</v>
      </c>
      <c r="I161" s="339">
        <f t="shared" si="152"/>
        <v>0</v>
      </c>
      <c r="J161" s="339">
        <f t="shared" si="152"/>
        <v>0</v>
      </c>
      <c r="K161" s="339">
        <f t="shared" si="152"/>
        <v>0</v>
      </c>
      <c r="L161" s="339">
        <f t="shared" si="152"/>
        <v>0</v>
      </c>
      <c r="M161" s="339">
        <f t="shared" si="152"/>
        <v>0</v>
      </c>
      <c r="N161" s="339">
        <f t="shared" si="152"/>
        <v>0</v>
      </c>
      <c r="O161" s="339">
        <f t="shared" si="152"/>
        <v>0</v>
      </c>
      <c r="P161" s="339">
        <f t="shared" si="152"/>
        <v>0</v>
      </c>
      <c r="Q161" s="339">
        <f t="shared" si="152"/>
        <v>0</v>
      </c>
      <c r="R161" s="339">
        <f t="shared" si="152"/>
        <v>0</v>
      </c>
      <c r="S161" s="339">
        <f t="shared" si="152"/>
        <v>0</v>
      </c>
      <c r="T161" s="339">
        <f t="shared" si="152"/>
        <v>0</v>
      </c>
      <c r="U161" s="339">
        <f t="shared" si="152"/>
        <v>0</v>
      </c>
      <c r="V161" s="339">
        <f t="shared" si="152"/>
        <v>0</v>
      </c>
      <c r="W161" s="339">
        <f t="shared" si="152"/>
        <v>0</v>
      </c>
      <c r="X161" s="339">
        <f t="shared" si="152"/>
        <v>0</v>
      </c>
      <c r="Y161" s="339">
        <f t="shared" si="152"/>
        <v>0</v>
      </c>
      <c r="Z161" s="339">
        <f t="shared" si="152"/>
        <v>0</v>
      </c>
      <c r="AA161" s="339">
        <f t="shared" si="152"/>
        <v>0</v>
      </c>
      <c r="AB161" s="339">
        <f t="shared" si="152"/>
        <v>0</v>
      </c>
      <c r="AC161" s="339">
        <f t="shared" si="152"/>
        <v>0</v>
      </c>
      <c r="AD161" s="339">
        <f t="shared" si="152"/>
        <v>0</v>
      </c>
      <c r="AE161" s="339">
        <f t="shared" si="152"/>
        <v>0</v>
      </c>
      <c r="AF161" s="339">
        <f t="shared" si="152"/>
        <v>0</v>
      </c>
      <c r="AG161" s="339">
        <f t="shared" si="152"/>
        <v>0</v>
      </c>
      <c r="AH161" s="339">
        <f t="shared" si="152"/>
        <v>0</v>
      </c>
      <c r="AI161" s="339">
        <f t="shared" si="152"/>
        <v>0</v>
      </c>
      <c r="AJ161" s="339">
        <f t="shared" si="152"/>
        <v>0</v>
      </c>
      <c r="AK161" s="339">
        <f t="shared" si="152"/>
        <v>0</v>
      </c>
      <c r="AL161" s="339">
        <f t="shared" si="152"/>
        <v>0</v>
      </c>
      <c r="AM161" s="339">
        <f t="shared" si="152"/>
        <v>0</v>
      </c>
      <c r="AN161" s="339">
        <f t="shared" si="152"/>
        <v>0</v>
      </c>
      <c r="AO161" s="339">
        <f t="shared" si="152"/>
        <v>0</v>
      </c>
      <c r="AP161" s="339">
        <f t="shared" si="152"/>
        <v>0</v>
      </c>
      <c r="AQ161" s="339">
        <f t="shared" si="152"/>
        <v>0</v>
      </c>
      <c r="AR161" s="340">
        <f t="shared" si="142"/>
        <v>0</v>
      </c>
      <c r="AS161" s="321"/>
      <c r="AW161" s="274" t="str">
        <f>IF($D$160&gt;0,F161,"")</f>
        <v/>
      </c>
      <c r="AX161" s="335" t="s">
        <v>4</v>
      </c>
    </row>
    <row r="162" spans="1:50" s="335" customFormat="1" ht="18" customHeight="1" thickBot="1">
      <c r="A162" s="341"/>
      <c r="B162" s="2483" t="s">
        <v>1199</v>
      </c>
      <c r="C162" s="350"/>
      <c r="D162" s="351"/>
      <c r="E162" s="351" t="s">
        <v>1200</v>
      </c>
      <c r="F162" s="351" t="s">
        <v>1192</v>
      </c>
      <c r="G162" s="351"/>
      <c r="H162" s="344">
        <f>H156</f>
        <v>247395.97439999998</v>
      </c>
      <c r="I162" s="344">
        <f>I156+H162</f>
        <v>525716.44559999986</v>
      </c>
      <c r="J162" s="344">
        <f t="shared" ref="J162:AQ162" si="153">J156+I162</f>
        <v>773112.41999999981</v>
      </c>
      <c r="K162" s="344">
        <f t="shared" si="153"/>
        <v>1051432.8911999997</v>
      </c>
      <c r="L162" s="344">
        <f t="shared" si="153"/>
        <v>1298828.8655999997</v>
      </c>
      <c r="M162" s="344">
        <f t="shared" si="153"/>
        <v>1577149.3367999997</v>
      </c>
      <c r="N162" s="344">
        <f t="shared" si="153"/>
        <v>1824545.3111999996</v>
      </c>
      <c r="O162" s="344">
        <f t="shared" si="153"/>
        <v>2102865.7823999994</v>
      </c>
      <c r="P162" s="344">
        <f t="shared" si="153"/>
        <v>2350261.7567999996</v>
      </c>
      <c r="Q162" s="344">
        <f t="shared" si="153"/>
        <v>2597657.7311999998</v>
      </c>
      <c r="R162" s="344">
        <f t="shared" si="153"/>
        <v>2845053.7056</v>
      </c>
      <c r="S162" s="344">
        <f t="shared" si="153"/>
        <v>3092449.68</v>
      </c>
      <c r="T162" s="344">
        <f t="shared" si="153"/>
        <v>3092449.68</v>
      </c>
      <c r="U162" s="344">
        <f t="shared" si="153"/>
        <v>3092449.68</v>
      </c>
      <c r="V162" s="344">
        <f t="shared" si="153"/>
        <v>3092449.68</v>
      </c>
      <c r="W162" s="344">
        <f t="shared" si="153"/>
        <v>3092449.68</v>
      </c>
      <c r="X162" s="344">
        <f t="shared" si="153"/>
        <v>3092449.68</v>
      </c>
      <c r="Y162" s="344">
        <f t="shared" si="153"/>
        <v>3092449.68</v>
      </c>
      <c r="Z162" s="344">
        <f t="shared" si="153"/>
        <v>3092449.68</v>
      </c>
      <c r="AA162" s="344">
        <f t="shared" si="153"/>
        <v>3092449.68</v>
      </c>
      <c r="AB162" s="344">
        <f t="shared" si="153"/>
        <v>3092449.68</v>
      </c>
      <c r="AC162" s="344">
        <f t="shared" si="153"/>
        <v>3092449.68</v>
      </c>
      <c r="AD162" s="344">
        <f t="shared" si="153"/>
        <v>3092449.68</v>
      </c>
      <c r="AE162" s="344">
        <f t="shared" si="153"/>
        <v>3092449.68</v>
      </c>
      <c r="AF162" s="344">
        <f t="shared" si="153"/>
        <v>3092449.68</v>
      </c>
      <c r="AG162" s="344">
        <f t="shared" si="153"/>
        <v>3092449.68</v>
      </c>
      <c r="AH162" s="344">
        <f t="shared" si="153"/>
        <v>3092449.68</v>
      </c>
      <c r="AI162" s="344">
        <f t="shared" si="153"/>
        <v>3092449.68</v>
      </c>
      <c r="AJ162" s="344">
        <f t="shared" si="153"/>
        <v>3092449.68</v>
      </c>
      <c r="AK162" s="344">
        <f t="shared" si="153"/>
        <v>3092449.68</v>
      </c>
      <c r="AL162" s="344">
        <f t="shared" si="153"/>
        <v>3092449.68</v>
      </c>
      <c r="AM162" s="344">
        <f t="shared" si="153"/>
        <v>3092449.68</v>
      </c>
      <c r="AN162" s="344">
        <f t="shared" si="153"/>
        <v>3092449.68</v>
      </c>
      <c r="AO162" s="344">
        <f t="shared" si="153"/>
        <v>3092449.68</v>
      </c>
      <c r="AP162" s="344">
        <f t="shared" si="153"/>
        <v>3092449.68</v>
      </c>
      <c r="AQ162" s="344">
        <f t="shared" si="153"/>
        <v>3092449.68</v>
      </c>
      <c r="AR162" s="352"/>
      <c r="AS162" s="321">
        <f>+AR160+AR158-AR156</f>
        <v>0</v>
      </c>
      <c r="AW162" s="274" t="str">
        <f>IF(F162="","X",F162)</f>
        <v>ND</v>
      </c>
      <c r="AX162" s="335" t="s">
        <v>4</v>
      </c>
    </row>
    <row r="163" spans="1:50" ht="18" customHeight="1" thickBot="1">
      <c r="A163" s="353"/>
      <c r="B163" s="2484"/>
      <c r="C163" s="354"/>
      <c r="D163" s="355"/>
      <c r="E163" s="355" t="s">
        <v>34</v>
      </c>
      <c r="F163" s="356" t="s">
        <v>1192</v>
      </c>
      <c r="G163" s="356"/>
      <c r="H163" s="357">
        <f t="shared" ref="H163:AQ163" si="154">H162/$D156</f>
        <v>0.08</v>
      </c>
      <c r="I163" s="357">
        <f t="shared" si="154"/>
        <v>0.16999999999999998</v>
      </c>
      <c r="J163" s="357">
        <f t="shared" si="154"/>
        <v>0.24999999999999997</v>
      </c>
      <c r="K163" s="357">
        <f t="shared" si="154"/>
        <v>0.33999999999999997</v>
      </c>
      <c r="L163" s="357">
        <f t="shared" si="154"/>
        <v>0.41999999999999993</v>
      </c>
      <c r="M163" s="357">
        <f t="shared" si="154"/>
        <v>0.5099999999999999</v>
      </c>
      <c r="N163" s="357">
        <f t="shared" si="154"/>
        <v>0.59</v>
      </c>
      <c r="O163" s="357">
        <f t="shared" si="154"/>
        <v>0.67999999999999994</v>
      </c>
      <c r="P163" s="357">
        <f t="shared" si="154"/>
        <v>0.7599999999999999</v>
      </c>
      <c r="Q163" s="357">
        <f t="shared" si="154"/>
        <v>0.84</v>
      </c>
      <c r="R163" s="357">
        <f t="shared" si="154"/>
        <v>0.92</v>
      </c>
      <c r="S163" s="357">
        <f t="shared" si="154"/>
        <v>1.0000000000000002</v>
      </c>
      <c r="T163" s="357">
        <f t="shared" si="154"/>
        <v>1.0000000000000002</v>
      </c>
      <c r="U163" s="357">
        <f t="shared" si="154"/>
        <v>1.0000000000000002</v>
      </c>
      <c r="V163" s="357">
        <f t="shared" si="154"/>
        <v>1.0000000000000002</v>
      </c>
      <c r="W163" s="357">
        <f t="shared" si="154"/>
        <v>1.0000000000000002</v>
      </c>
      <c r="X163" s="357">
        <f t="shared" si="154"/>
        <v>1.0000000000000002</v>
      </c>
      <c r="Y163" s="357">
        <f t="shared" si="154"/>
        <v>1.0000000000000002</v>
      </c>
      <c r="Z163" s="357">
        <f t="shared" si="154"/>
        <v>1.0000000000000002</v>
      </c>
      <c r="AA163" s="357">
        <f t="shared" si="154"/>
        <v>1.0000000000000002</v>
      </c>
      <c r="AB163" s="357">
        <f t="shared" si="154"/>
        <v>1.0000000000000002</v>
      </c>
      <c r="AC163" s="357">
        <f t="shared" si="154"/>
        <v>1.0000000000000002</v>
      </c>
      <c r="AD163" s="357">
        <f t="shared" si="154"/>
        <v>1.0000000000000002</v>
      </c>
      <c r="AE163" s="357">
        <f t="shared" si="154"/>
        <v>1.0000000000000002</v>
      </c>
      <c r="AF163" s="357">
        <f t="shared" si="154"/>
        <v>1.0000000000000002</v>
      </c>
      <c r="AG163" s="357">
        <f t="shared" si="154"/>
        <v>1.0000000000000002</v>
      </c>
      <c r="AH163" s="357">
        <f t="shared" si="154"/>
        <v>1.0000000000000002</v>
      </c>
      <c r="AI163" s="357">
        <f t="shared" si="154"/>
        <v>1.0000000000000002</v>
      </c>
      <c r="AJ163" s="357">
        <f t="shared" si="154"/>
        <v>1.0000000000000002</v>
      </c>
      <c r="AK163" s="357">
        <f t="shared" si="154"/>
        <v>1.0000000000000002</v>
      </c>
      <c r="AL163" s="357">
        <f t="shared" si="154"/>
        <v>1.0000000000000002</v>
      </c>
      <c r="AM163" s="357">
        <f t="shared" si="154"/>
        <v>1.0000000000000002</v>
      </c>
      <c r="AN163" s="357">
        <f t="shared" si="154"/>
        <v>1.0000000000000002</v>
      </c>
      <c r="AO163" s="357">
        <f t="shared" si="154"/>
        <v>1.0000000000000002</v>
      </c>
      <c r="AP163" s="357">
        <f t="shared" si="154"/>
        <v>1.0000000000000002</v>
      </c>
      <c r="AQ163" s="357">
        <f t="shared" si="154"/>
        <v>1.0000000000000002</v>
      </c>
      <c r="AR163" s="352"/>
      <c r="AW163" s="274" t="str">
        <f>IF(F163="","X",F163)</f>
        <v>ND</v>
      </c>
      <c r="AX163" s="335" t="s">
        <v>4</v>
      </c>
    </row>
    <row r="164" spans="1:50" s="335" customFormat="1" ht="18" hidden="1" customHeight="1">
      <c r="A164" s="330"/>
      <c r="B164" s="2494" t="s">
        <v>1196</v>
      </c>
      <c r="C164" s="331"/>
      <c r="D164" s="2496">
        <f>ORCAMENTO_VALOR_TOTAL_DE</f>
        <v>3401198.4399999995</v>
      </c>
      <c r="E164" s="2497"/>
      <c r="F164" s="332" t="s">
        <v>1193</v>
      </c>
      <c r="G164" s="332"/>
      <c r="H164" s="333">
        <f>H166+H168</f>
        <v>272095.87520000001</v>
      </c>
      <c r="I164" s="333">
        <f>I166+I168</f>
        <v>306107.85960000003</v>
      </c>
      <c r="J164" s="333">
        <f t="shared" ref="J164:AQ164" si="155">J166+J168</f>
        <v>272095.87520000001</v>
      </c>
      <c r="K164" s="333">
        <f t="shared" si="155"/>
        <v>306107.85960000003</v>
      </c>
      <c r="L164" s="333">
        <f t="shared" si="155"/>
        <v>272095.87520000001</v>
      </c>
      <c r="M164" s="333">
        <f t="shared" si="155"/>
        <v>306107.85960000003</v>
      </c>
      <c r="N164" s="333">
        <f t="shared" si="155"/>
        <v>272095.87520000001</v>
      </c>
      <c r="O164" s="333">
        <f t="shared" si="155"/>
        <v>306107.85960000003</v>
      </c>
      <c r="P164" s="333">
        <f t="shared" si="155"/>
        <v>272095.87520000001</v>
      </c>
      <c r="Q164" s="333">
        <f t="shared" si="155"/>
        <v>272095.87520000001</v>
      </c>
      <c r="R164" s="333">
        <f t="shared" si="155"/>
        <v>272095.87520000001</v>
      </c>
      <c r="S164" s="333">
        <f t="shared" si="155"/>
        <v>272095.87520000001</v>
      </c>
      <c r="T164" s="333">
        <f t="shared" si="155"/>
        <v>0</v>
      </c>
      <c r="U164" s="333">
        <f t="shared" si="155"/>
        <v>0</v>
      </c>
      <c r="V164" s="333">
        <f t="shared" si="155"/>
        <v>0</v>
      </c>
      <c r="W164" s="333">
        <f t="shared" si="155"/>
        <v>0</v>
      </c>
      <c r="X164" s="333">
        <f t="shared" si="155"/>
        <v>0</v>
      </c>
      <c r="Y164" s="333">
        <f t="shared" si="155"/>
        <v>0</v>
      </c>
      <c r="Z164" s="333">
        <f t="shared" si="155"/>
        <v>0</v>
      </c>
      <c r="AA164" s="333">
        <f t="shared" si="155"/>
        <v>0</v>
      </c>
      <c r="AB164" s="333">
        <f t="shared" si="155"/>
        <v>0</v>
      </c>
      <c r="AC164" s="333">
        <f t="shared" si="155"/>
        <v>0</v>
      </c>
      <c r="AD164" s="333">
        <f t="shared" si="155"/>
        <v>0</v>
      </c>
      <c r="AE164" s="333">
        <f t="shared" si="155"/>
        <v>0</v>
      </c>
      <c r="AF164" s="333">
        <f t="shared" si="155"/>
        <v>0</v>
      </c>
      <c r="AG164" s="333">
        <f t="shared" si="155"/>
        <v>0</v>
      </c>
      <c r="AH164" s="333">
        <f t="shared" si="155"/>
        <v>0</v>
      </c>
      <c r="AI164" s="333">
        <f t="shared" si="155"/>
        <v>0</v>
      </c>
      <c r="AJ164" s="333">
        <f t="shared" si="155"/>
        <v>0</v>
      </c>
      <c r="AK164" s="333">
        <f t="shared" si="155"/>
        <v>0</v>
      </c>
      <c r="AL164" s="333">
        <f t="shared" si="155"/>
        <v>0</v>
      </c>
      <c r="AM164" s="333">
        <f t="shared" si="155"/>
        <v>0</v>
      </c>
      <c r="AN164" s="333">
        <f t="shared" si="155"/>
        <v>0</v>
      </c>
      <c r="AO164" s="333">
        <f t="shared" si="155"/>
        <v>0</v>
      </c>
      <c r="AP164" s="333">
        <f t="shared" si="155"/>
        <v>0</v>
      </c>
      <c r="AQ164" s="333">
        <f t="shared" si="155"/>
        <v>0</v>
      </c>
      <c r="AR164" s="334">
        <f t="shared" ref="AR164:AR169" si="156">SUM(H164:AQ164)</f>
        <v>3401198.4400000009</v>
      </c>
      <c r="AS164" s="321">
        <f>+AR164-D164</f>
        <v>0</v>
      </c>
      <c r="AW164" s="274" t="str">
        <f>IF(F164="","X",F164)</f>
        <v>DE</v>
      </c>
      <c r="AX164" s="335" t="s">
        <v>4</v>
      </c>
    </row>
    <row r="165" spans="1:50" s="335" customFormat="1" ht="18" hidden="1" customHeight="1">
      <c r="A165" s="336"/>
      <c r="B165" s="2495"/>
      <c r="C165" s="337"/>
      <c r="D165" s="2490">
        <v>1</v>
      </c>
      <c r="E165" s="2491"/>
      <c r="F165" s="338" t="s">
        <v>1193</v>
      </c>
      <c r="G165" s="338"/>
      <c r="H165" s="339">
        <f>H164/$D164</f>
        <v>8.0000000000000016E-2</v>
      </c>
      <c r="I165" s="339">
        <f>I164/$D164</f>
        <v>9.0000000000000024E-2</v>
      </c>
      <c r="J165" s="339">
        <f t="shared" ref="J165:AQ165" si="157">J164/$D164</f>
        <v>8.0000000000000016E-2</v>
      </c>
      <c r="K165" s="339">
        <f t="shared" si="157"/>
        <v>9.0000000000000024E-2</v>
      </c>
      <c r="L165" s="339">
        <f t="shared" si="157"/>
        <v>8.0000000000000016E-2</v>
      </c>
      <c r="M165" s="339">
        <f t="shared" si="157"/>
        <v>9.0000000000000024E-2</v>
      </c>
      <c r="N165" s="339">
        <f t="shared" si="157"/>
        <v>8.0000000000000016E-2</v>
      </c>
      <c r="O165" s="339">
        <f t="shared" si="157"/>
        <v>9.0000000000000024E-2</v>
      </c>
      <c r="P165" s="339">
        <f t="shared" si="157"/>
        <v>8.0000000000000016E-2</v>
      </c>
      <c r="Q165" s="339">
        <f t="shared" si="157"/>
        <v>8.0000000000000016E-2</v>
      </c>
      <c r="R165" s="339">
        <f t="shared" si="157"/>
        <v>8.0000000000000016E-2</v>
      </c>
      <c r="S165" s="339">
        <f t="shared" si="157"/>
        <v>8.0000000000000016E-2</v>
      </c>
      <c r="T165" s="339">
        <f t="shared" si="157"/>
        <v>0</v>
      </c>
      <c r="U165" s="339">
        <f t="shared" si="157"/>
        <v>0</v>
      </c>
      <c r="V165" s="339">
        <f t="shared" si="157"/>
        <v>0</v>
      </c>
      <c r="W165" s="339">
        <f t="shared" si="157"/>
        <v>0</v>
      </c>
      <c r="X165" s="339">
        <f t="shared" si="157"/>
        <v>0</v>
      </c>
      <c r="Y165" s="339">
        <f t="shared" si="157"/>
        <v>0</v>
      </c>
      <c r="Z165" s="339">
        <f t="shared" si="157"/>
        <v>0</v>
      </c>
      <c r="AA165" s="339">
        <f t="shared" si="157"/>
        <v>0</v>
      </c>
      <c r="AB165" s="339">
        <f t="shared" si="157"/>
        <v>0</v>
      </c>
      <c r="AC165" s="339">
        <f t="shared" si="157"/>
        <v>0</v>
      </c>
      <c r="AD165" s="339">
        <f t="shared" si="157"/>
        <v>0</v>
      </c>
      <c r="AE165" s="339">
        <f t="shared" si="157"/>
        <v>0</v>
      </c>
      <c r="AF165" s="339">
        <f t="shared" si="157"/>
        <v>0</v>
      </c>
      <c r="AG165" s="339">
        <f t="shared" si="157"/>
        <v>0</v>
      </c>
      <c r="AH165" s="339">
        <f t="shared" si="157"/>
        <v>0</v>
      </c>
      <c r="AI165" s="339">
        <f t="shared" si="157"/>
        <v>0</v>
      </c>
      <c r="AJ165" s="339">
        <f t="shared" si="157"/>
        <v>0</v>
      </c>
      <c r="AK165" s="339">
        <f t="shared" si="157"/>
        <v>0</v>
      </c>
      <c r="AL165" s="339">
        <f t="shared" si="157"/>
        <v>0</v>
      </c>
      <c r="AM165" s="339">
        <f t="shared" si="157"/>
        <v>0</v>
      </c>
      <c r="AN165" s="339">
        <f t="shared" si="157"/>
        <v>0</v>
      </c>
      <c r="AO165" s="339">
        <f t="shared" si="157"/>
        <v>0</v>
      </c>
      <c r="AP165" s="339">
        <f t="shared" si="157"/>
        <v>0</v>
      </c>
      <c r="AQ165" s="339">
        <f t="shared" si="157"/>
        <v>0</v>
      </c>
      <c r="AR165" s="340">
        <f t="shared" si="156"/>
        <v>1.0000000000000004</v>
      </c>
      <c r="AS165" s="321"/>
      <c r="AW165" s="274" t="str">
        <f>IF(F165="","X",F165)</f>
        <v>DE</v>
      </c>
      <c r="AX165" s="335" t="s">
        <v>4</v>
      </c>
    </row>
    <row r="166" spans="1:50" s="335" customFormat="1" ht="18" hidden="1" customHeight="1">
      <c r="A166" s="341"/>
      <c r="B166" s="2483" t="s">
        <v>1197</v>
      </c>
      <c r="C166" s="342"/>
      <c r="D166" s="2488">
        <f>TRUNC(D164*D167,2)</f>
        <v>3401198.44</v>
      </c>
      <c r="E166" s="2489"/>
      <c r="F166" s="343" t="s">
        <v>1193</v>
      </c>
      <c r="G166" s="343"/>
      <c r="H166" s="344">
        <f>SUMIFS(H9:H155,$G$9:$G$155,"CONCEDENTE | DE")</f>
        <v>272095.87520000001</v>
      </c>
      <c r="I166" s="344">
        <f>SUMIFS(I9:I155,$G$9:$G$155,"CONCEDENTE | DE")</f>
        <v>306107.85960000003</v>
      </c>
      <c r="J166" s="344">
        <f t="shared" ref="J166:AQ166" si="158">SUMIFS(J9:J155,$G$9:$G$155,"CONCEDENTE | DE")</f>
        <v>272095.87520000001</v>
      </c>
      <c r="K166" s="344">
        <f t="shared" si="158"/>
        <v>306107.85960000003</v>
      </c>
      <c r="L166" s="344">
        <f t="shared" si="158"/>
        <v>272095.87520000001</v>
      </c>
      <c r="M166" s="344">
        <f t="shared" si="158"/>
        <v>306107.85960000003</v>
      </c>
      <c r="N166" s="344">
        <f t="shared" si="158"/>
        <v>272095.87520000001</v>
      </c>
      <c r="O166" s="344">
        <f t="shared" si="158"/>
        <v>306107.85960000003</v>
      </c>
      <c r="P166" s="344">
        <f t="shared" si="158"/>
        <v>272095.87520000001</v>
      </c>
      <c r="Q166" s="344">
        <f t="shared" si="158"/>
        <v>272095.87520000001</v>
      </c>
      <c r="R166" s="344">
        <f t="shared" si="158"/>
        <v>272095.87520000001</v>
      </c>
      <c r="S166" s="344">
        <f t="shared" si="158"/>
        <v>272095.87520000001</v>
      </c>
      <c r="T166" s="344">
        <f t="shared" si="158"/>
        <v>0</v>
      </c>
      <c r="U166" s="344">
        <f t="shared" si="158"/>
        <v>0</v>
      </c>
      <c r="V166" s="344">
        <f t="shared" si="158"/>
        <v>0</v>
      </c>
      <c r="W166" s="344">
        <f t="shared" si="158"/>
        <v>0</v>
      </c>
      <c r="X166" s="344">
        <f t="shared" si="158"/>
        <v>0</v>
      </c>
      <c r="Y166" s="344">
        <f t="shared" si="158"/>
        <v>0</v>
      </c>
      <c r="Z166" s="344">
        <f t="shared" si="158"/>
        <v>0</v>
      </c>
      <c r="AA166" s="344">
        <f t="shared" si="158"/>
        <v>0</v>
      </c>
      <c r="AB166" s="344">
        <f t="shared" si="158"/>
        <v>0</v>
      </c>
      <c r="AC166" s="344">
        <f t="shared" si="158"/>
        <v>0</v>
      </c>
      <c r="AD166" s="344">
        <f t="shared" si="158"/>
        <v>0</v>
      </c>
      <c r="AE166" s="344">
        <f t="shared" si="158"/>
        <v>0</v>
      </c>
      <c r="AF166" s="344">
        <f t="shared" si="158"/>
        <v>0</v>
      </c>
      <c r="AG166" s="344">
        <f t="shared" si="158"/>
        <v>0</v>
      </c>
      <c r="AH166" s="344">
        <f t="shared" si="158"/>
        <v>0</v>
      </c>
      <c r="AI166" s="344">
        <f t="shared" si="158"/>
        <v>0</v>
      </c>
      <c r="AJ166" s="344">
        <f t="shared" si="158"/>
        <v>0</v>
      </c>
      <c r="AK166" s="344">
        <f t="shared" si="158"/>
        <v>0</v>
      </c>
      <c r="AL166" s="344">
        <f t="shared" si="158"/>
        <v>0</v>
      </c>
      <c r="AM166" s="344">
        <f t="shared" si="158"/>
        <v>0</v>
      </c>
      <c r="AN166" s="344">
        <f t="shared" si="158"/>
        <v>0</v>
      </c>
      <c r="AO166" s="344">
        <f t="shared" si="158"/>
        <v>0</v>
      </c>
      <c r="AP166" s="344">
        <f t="shared" si="158"/>
        <v>0</v>
      </c>
      <c r="AQ166" s="344">
        <f t="shared" si="158"/>
        <v>0</v>
      </c>
      <c r="AR166" s="345">
        <f t="shared" si="156"/>
        <v>3401198.4400000009</v>
      </c>
      <c r="AS166" s="321">
        <f>+AR166-D166</f>
        <v>0</v>
      </c>
      <c r="AT166" s="322">
        <f>+AR166/AR164</f>
        <v>1</v>
      </c>
      <c r="AU166" s="346">
        <f>SUM(AU19:AU155)</f>
        <v>718</v>
      </c>
      <c r="AW166" s="274" t="str">
        <f>IF($D$165&gt;0,F166,"")</f>
        <v>DE</v>
      </c>
      <c r="AX166" s="335" t="s">
        <v>4</v>
      </c>
    </row>
    <row r="167" spans="1:50" s="335" customFormat="1" ht="18" hidden="1" customHeight="1">
      <c r="A167" s="336"/>
      <c r="B167" s="2487"/>
      <c r="C167" s="347"/>
      <c r="D167" s="2490">
        <v>1</v>
      </c>
      <c r="E167" s="2491"/>
      <c r="F167" s="338" t="s">
        <v>1193</v>
      </c>
      <c r="G167" s="338"/>
      <c r="H167" s="339">
        <f>H166/$D166</f>
        <v>0.08</v>
      </c>
      <c r="I167" s="339">
        <f>I166/$D166</f>
        <v>9.0000000000000011E-2</v>
      </c>
      <c r="J167" s="339">
        <f t="shared" ref="J167:AQ167" si="159">J166/$D166</f>
        <v>0.08</v>
      </c>
      <c r="K167" s="339">
        <f t="shared" si="159"/>
        <v>9.0000000000000011E-2</v>
      </c>
      <c r="L167" s="339">
        <f t="shared" si="159"/>
        <v>0.08</v>
      </c>
      <c r="M167" s="339">
        <f t="shared" si="159"/>
        <v>9.0000000000000011E-2</v>
      </c>
      <c r="N167" s="339">
        <f t="shared" si="159"/>
        <v>0.08</v>
      </c>
      <c r="O167" s="339">
        <f t="shared" si="159"/>
        <v>9.0000000000000011E-2</v>
      </c>
      <c r="P167" s="339">
        <f t="shared" si="159"/>
        <v>0.08</v>
      </c>
      <c r="Q167" s="339">
        <f t="shared" si="159"/>
        <v>0.08</v>
      </c>
      <c r="R167" s="339">
        <f t="shared" si="159"/>
        <v>0.08</v>
      </c>
      <c r="S167" s="339">
        <f t="shared" si="159"/>
        <v>0.08</v>
      </c>
      <c r="T167" s="339">
        <f t="shared" si="159"/>
        <v>0</v>
      </c>
      <c r="U167" s="339">
        <f t="shared" si="159"/>
        <v>0</v>
      </c>
      <c r="V167" s="339">
        <f t="shared" si="159"/>
        <v>0</v>
      </c>
      <c r="W167" s="339">
        <f t="shared" si="159"/>
        <v>0</v>
      </c>
      <c r="X167" s="339">
        <f t="shared" si="159"/>
        <v>0</v>
      </c>
      <c r="Y167" s="339">
        <f t="shared" si="159"/>
        <v>0</v>
      </c>
      <c r="Z167" s="339">
        <f t="shared" si="159"/>
        <v>0</v>
      </c>
      <c r="AA167" s="339">
        <f t="shared" si="159"/>
        <v>0</v>
      </c>
      <c r="AB167" s="339">
        <f t="shared" si="159"/>
        <v>0</v>
      </c>
      <c r="AC167" s="339">
        <f t="shared" si="159"/>
        <v>0</v>
      </c>
      <c r="AD167" s="339">
        <f t="shared" si="159"/>
        <v>0</v>
      </c>
      <c r="AE167" s="339">
        <f t="shared" si="159"/>
        <v>0</v>
      </c>
      <c r="AF167" s="339">
        <f t="shared" si="159"/>
        <v>0</v>
      </c>
      <c r="AG167" s="339">
        <f t="shared" si="159"/>
        <v>0</v>
      </c>
      <c r="AH167" s="339">
        <f t="shared" si="159"/>
        <v>0</v>
      </c>
      <c r="AI167" s="339">
        <f t="shared" si="159"/>
        <v>0</v>
      </c>
      <c r="AJ167" s="339">
        <f t="shared" si="159"/>
        <v>0</v>
      </c>
      <c r="AK167" s="339">
        <f t="shared" si="159"/>
        <v>0</v>
      </c>
      <c r="AL167" s="339">
        <f t="shared" si="159"/>
        <v>0</v>
      </c>
      <c r="AM167" s="339">
        <f t="shared" si="159"/>
        <v>0</v>
      </c>
      <c r="AN167" s="339">
        <f t="shared" si="159"/>
        <v>0</v>
      </c>
      <c r="AO167" s="339">
        <f t="shared" si="159"/>
        <v>0</v>
      </c>
      <c r="AP167" s="339">
        <f t="shared" si="159"/>
        <v>0</v>
      </c>
      <c r="AQ167" s="339">
        <f t="shared" si="159"/>
        <v>0</v>
      </c>
      <c r="AR167" s="340">
        <f t="shared" si="156"/>
        <v>0.99999999999999978</v>
      </c>
      <c r="AS167" s="321"/>
      <c r="AT167" s="348">
        <f>+AS166/AU166</f>
        <v>0</v>
      </c>
      <c r="AU167" s="346"/>
      <c r="AW167" s="274" t="str">
        <f>IF($D$167&gt;0,F167,"")</f>
        <v>DE</v>
      </c>
      <c r="AX167" s="335" t="s">
        <v>4</v>
      </c>
    </row>
    <row r="168" spans="1:50" s="335" customFormat="1" ht="18" hidden="1" customHeight="1">
      <c r="A168" s="341"/>
      <c r="B168" s="2483" t="s">
        <v>1198</v>
      </c>
      <c r="C168" s="342"/>
      <c r="D168" s="2488">
        <f>D164-D166</f>
        <v>0</v>
      </c>
      <c r="E168" s="2489"/>
      <c r="F168" s="343" t="s">
        <v>1193</v>
      </c>
      <c r="G168" s="343"/>
      <c r="H168" s="344">
        <f>SUMIFS(H9:H155,$G$9:$G$155,"PROPONENTE | DE")</f>
        <v>0</v>
      </c>
      <c r="I168" s="344">
        <f>SUMIFS(I9:I155,$G$9:$G$155,"PROPONENTE | DE")</f>
        <v>0</v>
      </c>
      <c r="J168" s="344">
        <f t="shared" ref="J168:AQ168" si="160">SUMIFS(J9:J155,$G$9:$G$155,"PROPONENTE | DE")</f>
        <v>0</v>
      </c>
      <c r="K168" s="344">
        <f t="shared" si="160"/>
        <v>0</v>
      </c>
      <c r="L168" s="344">
        <f t="shared" si="160"/>
        <v>0</v>
      </c>
      <c r="M168" s="344">
        <f t="shared" si="160"/>
        <v>0</v>
      </c>
      <c r="N168" s="344">
        <f t="shared" si="160"/>
        <v>0</v>
      </c>
      <c r="O168" s="344">
        <f t="shared" si="160"/>
        <v>0</v>
      </c>
      <c r="P168" s="344">
        <f t="shared" si="160"/>
        <v>0</v>
      </c>
      <c r="Q168" s="344">
        <f t="shared" si="160"/>
        <v>0</v>
      </c>
      <c r="R168" s="344">
        <f t="shared" si="160"/>
        <v>0</v>
      </c>
      <c r="S168" s="344">
        <f t="shared" si="160"/>
        <v>0</v>
      </c>
      <c r="T168" s="344">
        <f t="shared" si="160"/>
        <v>0</v>
      </c>
      <c r="U168" s="344">
        <f t="shared" si="160"/>
        <v>0</v>
      </c>
      <c r="V168" s="344">
        <f t="shared" si="160"/>
        <v>0</v>
      </c>
      <c r="W168" s="344">
        <f t="shared" si="160"/>
        <v>0</v>
      </c>
      <c r="X168" s="344">
        <f t="shared" si="160"/>
        <v>0</v>
      </c>
      <c r="Y168" s="344">
        <f t="shared" si="160"/>
        <v>0</v>
      </c>
      <c r="Z168" s="344">
        <f t="shared" si="160"/>
        <v>0</v>
      </c>
      <c r="AA168" s="344">
        <f t="shared" si="160"/>
        <v>0</v>
      </c>
      <c r="AB168" s="344">
        <f t="shared" si="160"/>
        <v>0</v>
      </c>
      <c r="AC168" s="344">
        <f t="shared" si="160"/>
        <v>0</v>
      </c>
      <c r="AD168" s="344">
        <f t="shared" si="160"/>
        <v>0</v>
      </c>
      <c r="AE168" s="344">
        <f t="shared" si="160"/>
        <v>0</v>
      </c>
      <c r="AF168" s="344">
        <f t="shared" si="160"/>
        <v>0</v>
      </c>
      <c r="AG168" s="344">
        <f t="shared" si="160"/>
        <v>0</v>
      </c>
      <c r="AH168" s="344">
        <f t="shared" si="160"/>
        <v>0</v>
      </c>
      <c r="AI168" s="344">
        <f t="shared" si="160"/>
        <v>0</v>
      </c>
      <c r="AJ168" s="344">
        <f t="shared" si="160"/>
        <v>0</v>
      </c>
      <c r="AK168" s="344">
        <f t="shared" si="160"/>
        <v>0</v>
      </c>
      <c r="AL168" s="344">
        <f t="shared" si="160"/>
        <v>0</v>
      </c>
      <c r="AM168" s="344">
        <f t="shared" si="160"/>
        <v>0</v>
      </c>
      <c r="AN168" s="344">
        <f t="shared" si="160"/>
        <v>0</v>
      </c>
      <c r="AO168" s="344">
        <f t="shared" si="160"/>
        <v>0</v>
      </c>
      <c r="AP168" s="344">
        <f t="shared" si="160"/>
        <v>0</v>
      </c>
      <c r="AQ168" s="344">
        <f t="shared" si="160"/>
        <v>0</v>
      </c>
      <c r="AR168" s="345">
        <f t="shared" si="156"/>
        <v>0</v>
      </c>
      <c r="AS168" s="321">
        <f>+AR168-D168</f>
        <v>0</v>
      </c>
      <c r="AW168" s="274" t="str">
        <f>IF($D$168&gt;0,F168,"")</f>
        <v/>
      </c>
      <c r="AX168" s="335" t="s">
        <v>4</v>
      </c>
    </row>
    <row r="169" spans="1:50" s="335" customFormat="1" ht="18" hidden="1" customHeight="1">
      <c r="A169" s="336"/>
      <c r="B169" s="2487"/>
      <c r="C169" s="347"/>
      <c r="D169" s="2492">
        <v>0</v>
      </c>
      <c r="E169" s="2493"/>
      <c r="F169" s="349" t="s">
        <v>1193</v>
      </c>
      <c r="G169" s="349"/>
      <c r="H169" s="339">
        <f>IF(H168=0,0,H168/$D168)</f>
        <v>0</v>
      </c>
      <c r="I169" s="339">
        <f>IF(I168=0,0,I168/$D168)</f>
        <v>0</v>
      </c>
      <c r="J169" s="339">
        <f t="shared" ref="J169:AQ169" si="161">IF(J168=0,0,J168/$D168)</f>
        <v>0</v>
      </c>
      <c r="K169" s="339">
        <f t="shared" si="161"/>
        <v>0</v>
      </c>
      <c r="L169" s="339">
        <f t="shared" si="161"/>
        <v>0</v>
      </c>
      <c r="M169" s="339">
        <f t="shared" si="161"/>
        <v>0</v>
      </c>
      <c r="N169" s="339">
        <f t="shared" si="161"/>
        <v>0</v>
      </c>
      <c r="O169" s="339">
        <f t="shared" si="161"/>
        <v>0</v>
      </c>
      <c r="P169" s="339">
        <f t="shared" si="161"/>
        <v>0</v>
      </c>
      <c r="Q169" s="339">
        <f t="shared" si="161"/>
        <v>0</v>
      </c>
      <c r="R169" s="339">
        <f t="shared" si="161"/>
        <v>0</v>
      </c>
      <c r="S169" s="339">
        <f t="shared" si="161"/>
        <v>0</v>
      </c>
      <c r="T169" s="339">
        <f t="shared" si="161"/>
        <v>0</v>
      </c>
      <c r="U169" s="339">
        <f t="shared" si="161"/>
        <v>0</v>
      </c>
      <c r="V169" s="339">
        <f t="shared" si="161"/>
        <v>0</v>
      </c>
      <c r="W169" s="339">
        <f t="shared" si="161"/>
        <v>0</v>
      </c>
      <c r="X169" s="339">
        <f t="shared" si="161"/>
        <v>0</v>
      </c>
      <c r="Y169" s="339">
        <f t="shared" si="161"/>
        <v>0</v>
      </c>
      <c r="Z169" s="339">
        <f t="shared" si="161"/>
        <v>0</v>
      </c>
      <c r="AA169" s="339">
        <f t="shared" si="161"/>
        <v>0</v>
      </c>
      <c r="AB169" s="339">
        <f t="shared" si="161"/>
        <v>0</v>
      </c>
      <c r="AC169" s="339">
        <f t="shared" si="161"/>
        <v>0</v>
      </c>
      <c r="AD169" s="339">
        <f t="shared" si="161"/>
        <v>0</v>
      </c>
      <c r="AE169" s="339">
        <f t="shared" si="161"/>
        <v>0</v>
      </c>
      <c r="AF169" s="339">
        <f t="shared" si="161"/>
        <v>0</v>
      </c>
      <c r="AG169" s="339">
        <f t="shared" si="161"/>
        <v>0</v>
      </c>
      <c r="AH169" s="339">
        <f t="shared" si="161"/>
        <v>0</v>
      </c>
      <c r="AI169" s="339">
        <f t="shared" si="161"/>
        <v>0</v>
      </c>
      <c r="AJ169" s="339">
        <f t="shared" si="161"/>
        <v>0</v>
      </c>
      <c r="AK169" s="339">
        <f t="shared" si="161"/>
        <v>0</v>
      </c>
      <c r="AL169" s="339">
        <f t="shared" si="161"/>
        <v>0</v>
      </c>
      <c r="AM169" s="339">
        <f t="shared" si="161"/>
        <v>0</v>
      </c>
      <c r="AN169" s="339">
        <f t="shared" si="161"/>
        <v>0</v>
      </c>
      <c r="AO169" s="339">
        <f t="shared" si="161"/>
        <v>0</v>
      </c>
      <c r="AP169" s="339">
        <f t="shared" si="161"/>
        <v>0</v>
      </c>
      <c r="AQ169" s="339">
        <f t="shared" si="161"/>
        <v>0</v>
      </c>
      <c r="AR169" s="340">
        <f t="shared" si="156"/>
        <v>0</v>
      </c>
      <c r="AS169" s="321"/>
      <c r="AW169" s="274" t="str">
        <f>IF($D$168&gt;0,F169,"")</f>
        <v/>
      </c>
      <c r="AX169" s="335" t="s">
        <v>4</v>
      </c>
    </row>
    <row r="170" spans="1:50" s="335" customFormat="1" ht="18" hidden="1" customHeight="1" thickBot="1">
      <c r="A170" s="341"/>
      <c r="B170" s="2483" t="s">
        <v>1199</v>
      </c>
      <c r="C170" s="350"/>
      <c r="D170" s="351"/>
      <c r="E170" s="351" t="s">
        <v>1200</v>
      </c>
      <c r="F170" s="351" t="s">
        <v>1193</v>
      </c>
      <c r="G170" s="351"/>
      <c r="H170" s="344">
        <f>H164</f>
        <v>272095.87520000001</v>
      </c>
      <c r="I170" s="344">
        <f>I164+H170</f>
        <v>578203.73479999998</v>
      </c>
      <c r="J170" s="344">
        <f t="shared" ref="J170:AQ170" si="162">J164+I170</f>
        <v>850299.61</v>
      </c>
      <c r="K170" s="344">
        <f t="shared" si="162"/>
        <v>1156407.4696</v>
      </c>
      <c r="L170" s="344">
        <f t="shared" si="162"/>
        <v>1428503.3448000001</v>
      </c>
      <c r="M170" s="344">
        <f t="shared" si="162"/>
        <v>1734611.2044000002</v>
      </c>
      <c r="N170" s="344">
        <f t="shared" si="162"/>
        <v>2006707.0796000003</v>
      </c>
      <c r="O170" s="344">
        <f t="shared" si="162"/>
        <v>2312814.9392000004</v>
      </c>
      <c r="P170" s="344">
        <f t="shared" si="162"/>
        <v>2584910.8144000005</v>
      </c>
      <c r="Q170" s="344">
        <f t="shared" si="162"/>
        <v>2857006.6896000006</v>
      </c>
      <c r="R170" s="344">
        <f t="shared" si="162"/>
        <v>3129102.5648000007</v>
      </c>
      <c r="S170" s="344">
        <f t="shared" si="162"/>
        <v>3401198.4400000009</v>
      </c>
      <c r="T170" s="344">
        <f t="shared" si="162"/>
        <v>3401198.4400000009</v>
      </c>
      <c r="U170" s="344">
        <f t="shared" si="162"/>
        <v>3401198.4400000009</v>
      </c>
      <c r="V170" s="344">
        <f t="shared" si="162"/>
        <v>3401198.4400000009</v>
      </c>
      <c r="W170" s="344">
        <f t="shared" si="162"/>
        <v>3401198.4400000009</v>
      </c>
      <c r="X170" s="344">
        <f t="shared" si="162"/>
        <v>3401198.4400000009</v>
      </c>
      <c r="Y170" s="344">
        <f t="shared" si="162"/>
        <v>3401198.4400000009</v>
      </c>
      <c r="Z170" s="344">
        <f t="shared" si="162"/>
        <v>3401198.4400000009</v>
      </c>
      <c r="AA170" s="344">
        <f t="shared" si="162"/>
        <v>3401198.4400000009</v>
      </c>
      <c r="AB170" s="344">
        <f t="shared" si="162"/>
        <v>3401198.4400000009</v>
      </c>
      <c r="AC170" s="344">
        <f t="shared" si="162"/>
        <v>3401198.4400000009</v>
      </c>
      <c r="AD170" s="344">
        <f t="shared" si="162"/>
        <v>3401198.4400000009</v>
      </c>
      <c r="AE170" s="344">
        <f t="shared" si="162"/>
        <v>3401198.4400000009</v>
      </c>
      <c r="AF170" s="344">
        <f t="shared" si="162"/>
        <v>3401198.4400000009</v>
      </c>
      <c r="AG170" s="344">
        <f t="shared" si="162"/>
        <v>3401198.4400000009</v>
      </c>
      <c r="AH170" s="344">
        <f t="shared" si="162"/>
        <v>3401198.4400000009</v>
      </c>
      <c r="AI170" s="344">
        <f t="shared" si="162"/>
        <v>3401198.4400000009</v>
      </c>
      <c r="AJ170" s="344">
        <f t="shared" si="162"/>
        <v>3401198.4400000009</v>
      </c>
      <c r="AK170" s="344">
        <f t="shared" si="162"/>
        <v>3401198.4400000009</v>
      </c>
      <c r="AL170" s="344">
        <f t="shared" si="162"/>
        <v>3401198.4400000009</v>
      </c>
      <c r="AM170" s="344">
        <f t="shared" si="162"/>
        <v>3401198.4400000009</v>
      </c>
      <c r="AN170" s="344">
        <f t="shared" si="162"/>
        <v>3401198.4400000009</v>
      </c>
      <c r="AO170" s="344">
        <f t="shared" si="162"/>
        <v>3401198.4400000009</v>
      </c>
      <c r="AP170" s="344">
        <f t="shared" si="162"/>
        <v>3401198.4400000009</v>
      </c>
      <c r="AQ170" s="344">
        <f t="shared" si="162"/>
        <v>3401198.4400000009</v>
      </c>
      <c r="AR170" s="352"/>
      <c r="AS170" s="321">
        <f>+AR168+AR166-AR164</f>
        <v>0</v>
      </c>
      <c r="AW170" s="274" t="str">
        <f>IF(F170="","X",F170)</f>
        <v>DE</v>
      </c>
      <c r="AX170" s="335" t="s">
        <v>4</v>
      </c>
    </row>
    <row r="171" spans="1:50" ht="18" hidden="1" customHeight="1" thickBot="1">
      <c r="A171" s="353"/>
      <c r="B171" s="2484"/>
      <c r="C171" s="354"/>
      <c r="D171" s="355"/>
      <c r="E171" s="355" t="s">
        <v>34</v>
      </c>
      <c r="F171" s="356" t="s">
        <v>1193</v>
      </c>
      <c r="G171" s="356"/>
      <c r="H171" s="357">
        <f>H170/$D164</f>
        <v>8.0000000000000016E-2</v>
      </c>
      <c r="I171" s="357">
        <f>I170/$D164</f>
        <v>0.17</v>
      </c>
      <c r="J171" s="357">
        <f t="shared" ref="J171:AQ171" si="163">J170/$D164</f>
        <v>0.25000000000000006</v>
      </c>
      <c r="K171" s="357">
        <f t="shared" si="163"/>
        <v>0.34</v>
      </c>
      <c r="L171" s="357">
        <f t="shared" si="163"/>
        <v>0.4200000000000001</v>
      </c>
      <c r="M171" s="357">
        <f t="shared" si="163"/>
        <v>0.51000000000000012</v>
      </c>
      <c r="N171" s="357">
        <f t="shared" si="163"/>
        <v>0.59000000000000019</v>
      </c>
      <c r="O171" s="357">
        <f t="shared" si="163"/>
        <v>0.68000000000000016</v>
      </c>
      <c r="P171" s="357">
        <f t="shared" si="163"/>
        <v>0.76000000000000023</v>
      </c>
      <c r="Q171" s="357">
        <f t="shared" si="163"/>
        <v>0.8400000000000003</v>
      </c>
      <c r="R171" s="357">
        <f t="shared" si="163"/>
        <v>0.92000000000000037</v>
      </c>
      <c r="S171" s="357">
        <f t="shared" si="163"/>
        <v>1.0000000000000004</v>
      </c>
      <c r="T171" s="357">
        <f t="shared" si="163"/>
        <v>1.0000000000000004</v>
      </c>
      <c r="U171" s="357">
        <f t="shared" si="163"/>
        <v>1.0000000000000004</v>
      </c>
      <c r="V171" s="357">
        <f t="shared" si="163"/>
        <v>1.0000000000000004</v>
      </c>
      <c r="W171" s="357">
        <f t="shared" si="163"/>
        <v>1.0000000000000004</v>
      </c>
      <c r="X171" s="357">
        <f t="shared" si="163"/>
        <v>1.0000000000000004</v>
      </c>
      <c r="Y171" s="357">
        <f t="shared" si="163"/>
        <v>1.0000000000000004</v>
      </c>
      <c r="Z171" s="357">
        <f t="shared" si="163"/>
        <v>1.0000000000000004</v>
      </c>
      <c r="AA171" s="357">
        <f t="shared" si="163"/>
        <v>1.0000000000000004</v>
      </c>
      <c r="AB171" s="357">
        <f t="shared" si="163"/>
        <v>1.0000000000000004</v>
      </c>
      <c r="AC171" s="357">
        <f t="shared" si="163"/>
        <v>1.0000000000000004</v>
      </c>
      <c r="AD171" s="357">
        <f t="shared" si="163"/>
        <v>1.0000000000000004</v>
      </c>
      <c r="AE171" s="357">
        <f t="shared" si="163"/>
        <v>1.0000000000000004</v>
      </c>
      <c r="AF171" s="357">
        <f t="shared" si="163"/>
        <v>1.0000000000000004</v>
      </c>
      <c r="AG171" s="357">
        <f t="shared" si="163"/>
        <v>1.0000000000000004</v>
      </c>
      <c r="AH171" s="357">
        <f t="shared" si="163"/>
        <v>1.0000000000000004</v>
      </c>
      <c r="AI171" s="357">
        <f t="shared" si="163"/>
        <v>1.0000000000000004</v>
      </c>
      <c r="AJ171" s="357">
        <f t="shared" si="163"/>
        <v>1.0000000000000004</v>
      </c>
      <c r="AK171" s="357">
        <f t="shared" si="163"/>
        <v>1.0000000000000004</v>
      </c>
      <c r="AL171" s="357">
        <f t="shared" si="163"/>
        <v>1.0000000000000004</v>
      </c>
      <c r="AM171" s="357">
        <f t="shared" si="163"/>
        <v>1.0000000000000004</v>
      </c>
      <c r="AN171" s="357">
        <f t="shared" si="163"/>
        <v>1.0000000000000004</v>
      </c>
      <c r="AO171" s="357">
        <f t="shared" si="163"/>
        <v>1.0000000000000004</v>
      </c>
      <c r="AP171" s="357">
        <f t="shared" si="163"/>
        <v>1.0000000000000004</v>
      </c>
      <c r="AQ171" s="357">
        <f t="shared" si="163"/>
        <v>1.0000000000000004</v>
      </c>
      <c r="AR171" s="352"/>
      <c r="AW171" s="274" t="str">
        <f>IF(F171="","X",F171)</f>
        <v>DE</v>
      </c>
      <c r="AX171" s="335" t="s">
        <v>4</v>
      </c>
    </row>
    <row r="172" spans="1:50" s="295" customFormat="1" ht="18" hidden="1" customHeight="1" thickBot="1">
      <c r="A172" s="292"/>
      <c r="B172" s="292"/>
      <c r="C172" s="292"/>
      <c r="D172" s="292"/>
      <c r="E172" s="358"/>
      <c r="F172" s="358"/>
      <c r="G172" s="358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321"/>
    </row>
    <row r="173" spans="1:50" s="295" customFormat="1" ht="18" hidden="1" customHeight="1">
      <c r="A173" s="292"/>
      <c r="B173" s="292"/>
      <c r="C173" s="292"/>
      <c r="D173" s="292"/>
      <c r="E173" s="358"/>
      <c r="F173" s="358"/>
      <c r="G173" s="358"/>
      <c r="H173" s="292"/>
      <c r="I173" s="292"/>
      <c r="J173" s="292"/>
      <c r="K173" s="292"/>
      <c r="L173" s="308" t="str">
        <f>L174</f>
        <v>ATENÇÃO: A ÚLTIMA MEDIÇÃO DO CONCEDENTE TEM DE SER MAIOR QUE 10%</v>
      </c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321"/>
    </row>
    <row r="174" spans="1:50" s="295" customFormat="1" ht="18" hidden="1" customHeight="1">
      <c r="H174" s="2485" t="s">
        <v>1201</v>
      </c>
      <c r="I174" s="2485"/>
      <c r="J174" s="2485"/>
      <c r="K174" s="2485"/>
      <c r="L174" s="2486" t="s">
        <v>1202</v>
      </c>
      <c r="M174" s="2486"/>
      <c r="N174" s="2486"/>
      <c r="O174" s="2486"/>
    </row>
    <row r="175" spans="1:50" s="295" customFormat="1" ht="18" hidden="1" customHeight="1">
      <c r="B175" s="359" t="e">
        <f>IF(B174=#REF!,"PLANILHA CORRETA","PLANILHA ERRADA")</f>
        <v>#REF!</v>
      </c>
      <c r="C175" s="359"/>
      <c r="D175" s="335">
        <f>Orcamento!S14</f>
        <v>0</v>
      </c>
      <c r="H175" s="2485"/>
      <c r="I175" s="2485"/>
      <c r="J175" s="2485"/>
      <c r="K175" s="2485"/>
      <c r="L175" s="2486"/>
      <c r="M175" s="2486"/>
      <c r="N175" s="2486"/>
      <c r="O175" s="2486"/>
    </row>
    <row r="176" spans="1:50" s="295" customFormat="1" ht="18" hidden="1" customHeight="1"/>
    <row r="177" spans="4:7" ht="18" hidden="1" customHeight="1">
      <c r="E177" s="283"/>
      <c r="F177" s="283"/>
      <c r="G177" s="283"/>
    </row>
    <row r="178" spans="4:7" ht="18" hidden="1" customHeight="1">
      <c r="E178" s="283"/>
      <c r="F178" s="283"/>
      <c r="G178" s="283"/>
    </row>
    <row r="179" spans="4:7" hidden="1">
      <c r="E179" s="283"/>
      <c r="F179" s="283"/>
      <c r="G179" s="283"/>
    </row>
    <row r="180" spans="4:7" hidden="1">
      <c r="E180" s="283"/>
      <c r="F180" s="283"/>
      <c r="G180" s="283"/>
    </row>
    <row r="181" spans="4:7" hidden="1">
      <c r="E181" s="283"/>
      <c r="F181" s="283"/>
      <c r="G181" s="283"/>
    </row>
    <row r="182" spans="4:7" hidden="1">
      <c r="E182" s="283"/>
      <c r="F182" s="283"/>
      <c r="G182" s="283"/>
    </row>
    <row r="183" spans="4:7" hidden="1">
      <c r="D183" s="360"/>
    </row>
    <row r="184" spans="4:7" hidden="1">
      <c r="D184" s="360"/>
    </row>
    <row r="185" spans="4:7" ht="12.75" hidden="1">
      <c r="E185" s="362"/>
      <c r="F185" s="362"/>
      <c r="G185" s="362"/>
    </row>
    <row r="186" spans="4:7" ht="12.75" hidden="1">
      <c r="D186" s="362"/>
      <c r="E186" s="362"/>
      <c r="F186" s="362"/>
      <c r="G186" s="362"/>
    </row>
    <row r="187" spans="4:7" ht="12.75" hidden="1">
      <c r="D187" s="362"/>
      <c r="E187" s="362"/>
      <c r="F187" s="362"/>
      <c r="G187" s="362"/>
    </row>
    <row r="188" spans="4:7" hidden="1">
      <c r="E188" s="283"/>
      <c r="F188" s="283"/>
      <c r="G188" s="283"/>
    </row>
    <row r="189" spans="4:7" ht="12.75" hidden="1">
      <c r="E189" s="362"/>
      <c r="F189" s="362"/>
      <c r="G189" s="362"/>
    </row>
    <row r="190" spans="4:7" ht="12.75" hidden="1">
      <c r="D190" s="362"/>
      <c r="E190" s="362"/>
      <c r="F190" s="362"/>
      <c r="G190" s="362"/>
    </row>
    <row r="191" spans="4:7" ht="12.75" hidden="1">
      <c r="D191" s="362"/>
      <c r="E191" s="362"/>
      <c r="F191" s="362"/>
      <c r="G191" s="362"/>
    </row>
    <row r="192" spans="4:7" ht="12.75" hidden="1">
      <c r="D192" s="362"/>
      <c r="E192" s="362"/>
      <c r="F192" s="362"/>
      <c r="G192" s="362"/>
    </row>
    <row r="193" spans="4:7" ht="12.75" hidden="1">
      <c r="D193" s="68"/>
      <c r="E193" s="67"/>
      <c r="F193" s="67"/>
      <c r="G193" s="67"/>
    </row>
    <row r="194" spans="4:7" ht="12.75" hidden="1">
      <c r="D194" s="68"/>
      <c r="E194" s="67"/>
      <c r="F194" s="67"/>
      <c r="G194" s="67"/>
    </row>
    <row r="195" spans="4:7" ht="12.75" hidden="1">
      <c r="D195" s="68"/>
      <c r="E195" s="67"/>
      <c r="F195" s="67"/>
      <c r="G195" s="67"/>
    </row>
    <row r="196" spans="4:7" ht="12.75" hidden="1">
      <c r="D196" s="68"/>
      <c r="E196" s="67"/>
      <c r="F196" s="67"/>
      <c r="G196" s="67"/>
    </row>
    <row r="197" spans="4:7" ht="12.75" hidden="1">
      <c r="E197" s="67"/>
      <c r="F197" s="67"/>
      <c r="G197" s="67"/>
    </row>
    <row r="198" spans="4:7" ht="12.75" hidden="1">
      <c r="D198" s="362"/>
      <c r="E198" s="67"/>
      <c r="F198" s="67"/>
      <c r="G198" s="67"/>
    </row>
    <row r="199" spans="4:7" ht="12.75" hidden="1">
      <c r="D199" s="362"/>
      <c r="E199" s="67"/>
      <c r="F199" s="67"/>
      <c r="G199" s="67"/>
    </row>
    <row r="200" spans="4:7" ht="12.75" hidden="1">
      <c r="D200" s="362"/>
      <c r="E200" s="67"/>
      <c r="F200" s="67"/>
      <c r="G200" s="67"/>
    </row>
    <row r="201" spans="4:7" ht="12.75" hidden="1">
      <c r="D201" s="67"/>
      <c r="E201" s="67"/>
      <c r="F201" s="67"/>
      <c r="G201" s="67"/>
    </row>
    <row r="202" spans="4:7" ht="12.75" hidden="1">
      <c r="D202" s="67"/>
      <c r="E202" s="67"/>
      <c r="F202" s="67"/>
      <c r="G202" s="67"/>
    </row>
    <row r="203" spans="4:7" ht="12.75" hidden="1">
      <c r="D203" s="67"/>
      <c r="E203" s="67"/>
      <c r="F203" s="67"/>
      <c r="G203" s="67"/>
    </row>
    <row r="204" spans="4:7" ht="12.75" hidden="1">
      <c r="D204" s="67"/>
      <c r="E204" s="67"/>
      <c r="F204" s="67"/>
      <c r="G204" s="67"/>
    </row>
    <row r="205" spans="4:7" ht="12.75" hidden="1">
      <c r="D205" s="67"/>
      <c r="E205" s="67"/>
      <c r="F205" s="67"/>
      <c r="G205" s="67"/>
    </row>
    <row r="206" spans="4:7" ht="12.75" hidden="1">
      <c r="D206" s="67"/>
      <c r="E206" s="67"/>
      <c r="F206" s="67"/>
      <c r="G206" s="67"/>
    </row>
    <row r="207" spans="4:7" ht="12.75" hidden="1">
      <c r="D207" s="67"/>
      <c r="E207" s="67"/>
      <c r="F207" s="67"/>
      <c r="G207" s="67"/>
    </row>
    <row r="208" spans="4:7" ht="12.75" hidden="1">
      <c r="D208" s="67"/>
      <c r="E208" s="67"/>
      <c r="F208" s="67"/>
      <c r="G208" s="67"/>
    </row>
    <row r="209" spans="4:7" hidden="1">
      <c r="E209" s="283"/>
      <c r="F209" s="283"/>
      <c r="G209" s="283"/>
    </row>
    <row r="210" spans="4:7" ht="12.75" hidden="1">
      <c r="D210" s="363"/>
      <c r="E210" s="362"/>
      <c r="F210" s="362"/>
      <c r="G210" s="362"/>
    </row>
    <row r="211" spans="4:7" ht="12.75" hidden="1">
      <c r="D211" s="363"/>
      <c r="E211" s="362"/>
      <c r="F211" s="362"/>
      <c r="G211" s="362"/>
    </row>
    <row r="212" spans="4:7" ht="12.75" hidden="1">
      <c r="D212" s="363"/>
      <c r="E212" s="362"/>
      <c r="F212" s="362"/>
      <c r="G212" s="362"/>
    </row>
    <row r="213" spans="4:7" ht="12.75" hidden="1">
      <c r="D213" s="67"/>
      <c r="E213" s="67"/>
      <c r="F213" s="67"/>
      <c r="G213" s="67"/>
    </row>
    <row r="214" spans="4:7" ht="12.75" hidden="1">
      <c r="D214" s="67"/>
      <c r="E214" s="67"/>
      <c r="F214" s="67"/>
      <c r="G214" s="67"/>
    </row>
    <row r="215" spans="4:7" ht="12.75" hidden="1">
      <c r="D215" s="67"/>
      <c r="E215" s="67"/>
      <c r="F215" s="67"/>
      <c r="G215" s="67"/>
    </row>
    <row r="216" spans="4:7" ht="12.75" hidden="1">
      <c r="D216" s="67"/>
      <c r="E216" s="67"/>
      <c r="F216" s="67"/>
      <c r="G216" s="67"/>
    </row>
    <row r="217" spans="4:7" hidden="1">
      <c r="E217" s="283"/>
      <c r="F217" s="283"/>
      <c r="G217" s="283"/>
    </row>
    <row r="218" spans="4:7" ht="12.75" hidden="1">
      <c r="D218" s="363"/>
      <c r="E218" s="362"/>
      <c r="F218" s="362"/>
      <c r="G218" s="362"/>
    </row>
    <row r="219" spans="4:7" ht="12.75" hidden="1">
      <c r="D219" s="363"/>
      <c r="E219" s="362"/>
      <c r="F219" s="362"/>
      <c r="G219" s="362"/>
    </row>
    <row r="220" spans="4:7" ht="12.75" hidden="1">
      <c r="D220" s="363"/>
      <c r="E220" s="362"/>
      <c r="F220" s="362"/>
      <c r="G220" s="362"/>
    </row>
    <row r="221" spans="4:7" hidden="1">
      <c r="D221" s="364"/>
    </row>
    <row r="222" spans="4:7" hidden="1">
      <c r="D222" s="364"/>
    </row>
    <row r="223" spans="4:7" hidden="1">
      <c r="D223" s="364"/>
    </row>
    <row r="224" spans="4:7" hidden="1">
      <c r="D224" s="364"/>
    </row>
    <row r="225" spans="4:4" hidden="1">
      <c r="D225" s="364"/>
    </row>
    <row r="226" spans="4:4" hidden="1">
      <c r="D226" s="364"/>
    </row>
    <row r="227" spans="4:4" hidden="1">
      <c r="D227" s="364"/>
    </row>
    <row r="228" spans="4:4" hidden="1">
      <c r="D228" s="364"/>
    </row>
    <row r="229" spans="4:4" hidden="1">
      <c r="D229" s="364"/>
    </row>
    <row r="230" spans="4:4" hidden="1">
      <c r="D230" s="364"/>
    </row>
    <row r="231" spans="4:4" hidden="1">
      <c r="D231" s="364"/>
    </row>
    <row r="232" spans="4:4" hidden="1">
      <c r="D232" s="364"/>
    </row>
    <row r="233" spans="4:4" hidden="1">
      <c r="D233" s="364"/>
    </row>
    <row r="234" spans="4:4" hidden="1">
      <c r="D234" s="364"/>
    </row>
    <row r="235" spans="4:4" hidden="1">
      <c r="D235" s="364"/>
    </row>
    <row r="236" spans="4:4" hidden="1">
      <c r="D236" s="364"/>
    </row>
    <row r="237" spans="4:4" hidden="1">
      <c r="D237" s="364"/>
    </row>
    <row r="238" spans="4:4" hidden="1">
      <c r="D238" s="364"/>
    </row>
    <row r="239" spans="4:4" hidden="1">
      <c r="D239" s="364"/>
    </row>
    <row r="240" spans="4:4" hidden="1">
      <c r="D240" s="364"/>
    </row>
    <row r="241" spans="4:4" hidden="1">
      <c r="D241" s="364"/>
    </row>
    <row r="242" spans="4:4" hidden="1">
      <c r="D242" s="364"/>
    </row>
  </sheetData>
  <autoFilter ref="A1:AX242" xr:uid="{00000000-0001-0000-0600-000000000000}">
    <filterColumn colId="48">
      <filters>
        <filter val="ND"/>
        <filter val="X"/>
      </filters>
    </filterColumn>
    <filterColumn colId="49">
      <filters>
        <filter val="X"/>
      </filters>
    </filterColumn>
  </autoFilter>
  <mergeCells count="197">
    <mergeCell ref="A9:A15"/>
    <mergeCell ref="B9:B15"/>
    <mergeCell ref="D10:E10"/>
    <mergeCell ref="AS10:AS11"/>
    <mergeCell ref="AU10:AU11"/>
    <mergeCell ref="D11:E11"/>
    <mergeCell ref="E12:E13"/>
    <mergeCell ref="E14:E15"/>
    <mergeCell ref="D4:E5"/>
    <mergeCell ref="H4:H5"/>
    <mergeCell ref="A7:A8"/>
    <mergeCell ref="B7:B8"/>
    <mergeCell ref="D7:E7"/>
    <mergeCell ref="AR7:AR8"/>
    <mergeCell ref="D8:E8"/>
    <mergeCell ref="A23:A29"/>
    <mergeCell ref="B23:B29"/>
    <mergeCell ref="D24:E24"/>
    <mergeCell ref="AS24:AS25"/>
    <mergeCell ref="AU24:AU25"/>
    <mergeCell ref="D25:E25"/>
    <mergeCell ref="E26:E27"/>
    <mergeCell ref="E28:E29"/>
    <mergeCell ref="A16:A22"/>
    <mergeCell ref="B16:B22"/>
    <mergeCell ref="D17:E17"/>
    <mergeCell ref="AS17:AS18"/>
    <mergeCell ref="AU17:AU18"/>
    <mergeCell ref="D18:E18"/>
    <mergeCell ref="E19:E20"/>
    <mergeCell ref="E21:E22"/>
    <mergeCell ref="A37:A43"/>
    <mergeCell ref="B37:B43"/>
    <mergeCell ref="D38:E38"/>
    <mergeCell ref="AS38:AS39"/>
    <mergeCell ref="AU38:AU39"/>
    <mergeCell ref="D39:E39"/>
    <mergeCell ref="E40:E41"/>
    <mergeCell ref="E42:E43"/>
    <mergeCell ref="A30:A36"/>
    <mergeCell ref="B30:B36"/>
    <mergeCell ref="D31:E31"/>
    <mergeCell ref="AS31:AS32"/>
    <mergeCell ref="AU31:AU32"/>
    <mergeCell ref="D32:E32"/>
    <mergeCell ref="E33:E34"/>
    <mergeCell ref="E35:E36"/>
    <mergeCell ref="A51:A57"/>
    <mergeCell ref="B51:B57"/>
    <mergeCell ref="D52:E52"/>
    <mergeCell ref="AS52:AS53"/>
    <mergeCell ref="AU52:AU53"/>
    <mergeCell ref="D53:E53"/>
    <mergeCell ref="E54:E55"/>
    <mergeCell ref="E56:E57"/>
    <mergeCell ref="A44:A50"/>
    <mergeCell ref="B44:B50"/>
    <mergeCell ref="D45:E45"/>
    <mergeCell ref="AS45:AS46"/>
    <mergeCell ref="AU45:AU46"/>
    <mergeCell ref="D46:E46"/>
    <mergeCell ref="E47:E48"/>
    <mergeCell ref="E49:E50"/>
    <mergeCell ref="A65:A71"/>
    <mergeCell ref="B65:B71"/>
    <mergeCell ref="D66:E66"/>
    <mergeCell ref="AS66:AS67"/>
    <mergeCell ref="AU66:AU67"/>
    <mergeCell ref="D67:E67"/>
    <mergeCell ref="E68:E69"/>
    <mergeCell ref="E70:E71"/>
    <mergeCell ref="A58:A64"/>
    <mergeCell ref="B58:B64"/>
    <mergeCell ref="D59:E59"/>
    <mergeCell ref="AS59:AS60"/>
    <mergeCell ref="AU59:AU60"/>
    <mergeCell ref="D60:E60"/>
    <mergeCell ref="E61:E62"/>
    <mergeCell ref="E63:E64"/>
    <mergeCell ref="A79:A85"/>
    <mergeCell ref="B79:B85"/>
    <mergeCell ref="D80:E80"/>
    <mergeCell ref="AS80:AS81"/>
    <mergeCell ref="AU80:AU81"/>
    <mergeCell ref="D81:E81"/>
    <mergeCell ref="E82:E83"/>
    <mergeCell ref="E84:E85"/>
    <mergeCell ref="A72:A78"/>
    <mergeCell ref="B72:B78"/>
    <mergeCell ref="D73:E73"/>
    <mergeCell ref="AS73:AS74"/>
    <mergeCell ref="AU73:AU74"/>
    <mergeCell ref="D74:E74"/>
    <mergeCell ref="E75:E76"/>
    <mergeCell ref="E77:E78"/>
    <mergeCell ref="A93:A99"/>
    <mergeCell ref="B93:B99"/>
    <mergeCell ref="D94:E94"/>
    <mergeCell ref="AS94:AS95"/>
    <mergeCell ref="AU94:AU95"/>
    <mergeCell ref="D95:E95"/>
    <mergeCell ref="E96:E97"/>
    <mergeCell ref="E98:E99"/>
    <mergeCell ref="A86:A92"/>
    <mergeCell ref="B86:B92"/>
    <mergeCell ref="D87:E87"/>
    <mergeCell ref="AS87:AS88"/>
    <mergeCell ref="AU87:AU88"/>
    <mergeCell ref="D88:E88"/>
    <mergeCell ref="E89:E90"/>
    <mergeCell ref="E91:E92"/>
    <mergeCell ref="A107:A113"/>
    <mergeCell ref="B107:B113"/>
    <mergeCell ref="D108:E108"/>
    <mergeCell ref="AS108:AS109"/>
    <mergeCell ref="AU108:AU109"/>
    <mergeCell ref="D109:E109"/>
    <mergeCell ref="E110:E111"/>
    <mergeCell ref="E112:E113"/>
    <mergeCell ref="A100:A106"/>
    <mergeCell ref="B100:B106"/>
    <mergeCell ref="D101:E101"/>
    <mergeCell ref="AS101:AS102"/>
    <mergeCell ref="AU101:AU102"/>
    <mergeCell ref="D102:E102"/>
    <mergeCell ref="E103:E104"/>
    <mergeCell ref="E105:E106"/>
    <mergeCell ref="A121:A127"/>
    <mergeCell ref="B121:B127"/>
    <mergeCell ref="D122:E122"/>
    <mergeCell ref="AS122:AS123"/>
    <mergeCell ref="AU122:AU123"/>
    <mergeCell ref="D123:E123"/>
    <mergeCell ref="E124:E125"/>
    <mergeCell ref="E126:E127"/>
    <mergeCell ref="A114:A120"/>
    <mergeCell ref="B114:B120"/>
    <mergeCell ref="D115:E115"/>
    <mergeCell ref="AS115:AS116"/>
    <mergeCell ref="AU115:AU116"/>
    <mergeCell ref="D116:E116"/>
    <mergeCell ref="E117:E118"/>
    <mergeCell ref="E119:E120"/>
    <mergeCell ref="A135:A141"/>
    <mergeCell ref="B135:B141"/>
    <mergeCell ref="D136:E136"/>
    <mergeCell ref="AS136:AS137"/>
    <mergeCell ref="AU136:AU137"/>
    <mergeCell ref="D137:E137"/>
    <mergeCell ref="E138:E139"/>
    <mergeCell ref="E140:E141"/>
    <mergeCell ref="A128:A134"/>
    <mergeCell ref="B128:B134"/>
    <mergeCell ref="D129:E129"/>
    <mergeCell ref="AS129:AS130"/>
    <mergeCell ref="AU129:AU130"/>
    <mergeCell ref="D130:E130"/>
    <mergeCell ref="E131:E132"/>
    <mergeCell ref="E133:E134"/>
    <mergeCell ref="A149:A155"/>
    <mergeCell ref="B149:B155"/>
    <mergeCell ref="D150:E150"/>
    <mergeCell ref="AS150:AS151"/>
    <mergeCell ref="AU150:AU151"/>
    <mergeCell ref="D151:E151"/>
    <mergeCell ref="E152:E153"/>
    <mergeCell ref="E154:E155"/>
    <mergeCell ref="A142:A148"/>
    <mergeCell ref="B142:B148"/>
    <mergeCell ref="D143:E143"/>
    <mergeCell ref="AS143:AS144"/>
    <mergeCell ref="AU143:AU144"/>
    <mergeCell ref="D144:E144"/>
    <mergeCell ref="E145:E146"/>
    <mergeCell ref="E147:E148"/>
    <mergeCell ref="B160:B161"/>
    <mergeCell ref="D160:E160"/>
    <mergeCell ref="D161:E161"/>
    <mergeCell ref="B162:B163"/>
    <mergeCell ref="B164:B165"/>
    <mergeCell ref="D164:E164"/>
    <mergeCell ref="D165:E165"/>
    <mergeCell ref="B156:B157"/>
    <mergeCell ref="D156:E156"/>
    <mergeCell ref="D157:E157"/>
    <mergeCell ref="B158:B159"/>
    <mergeCell ref="D158:E158"/>
    <mergeCell ref="D159:E159"/>
    <mergeCell ref="B170:B171"/>
    <mergeCell ref="H174:K175"/>
    <mergeCell ref="L174:O175"/>
    <mergeCell ref="B166:B167"/>
    <mergeCell ref="D166:E166"/>
    <mergeCell ref="D167:E167"/>
    <mergeCell ref="B168:B169"/>
    <mergeCell ref="D168:E168"/>
    <mergeCell ref="D169:E169"/>
  </mergeCells>
  <conditionalFormatting sqref="H72:S72">
    <cfRule type="cellIs" dxfId="117" priority="2" operator="greaterThan">
      <formula>0</formula>
    </cfRule>
  </conditionalFormatting>
  <conditionalFormatting sqref="H142:S142">
    <cfRule type="cellIs" dxfId="116" priority="1" operator="greaterThan">
      <formula>0</formula>
    </cfRule>
  </conditionalFormatting>
  <conditionalFormatting sqref="H9:AQ9">
    <cfRule type="cellIs" dxfId="115" priority="4" operator="greaterThan">
      <formula>0</formula>
    </cfRule>
  </conditionalFormatting>
  <conditionalFormatting sqref="H10:AR11 H17:AR18 H24:AR25 H31:AR32 H38:AR39 H45:AR46 H52:AR53 H59:AR60 H66:AR67 H73:AR74 H80:AR81 H87:AR88 H94:AR95 H101:AR102 H108:AR109 H115:AR116 H122:AR123 H129:AR130 H136:AR137 H143:AR144 H150:AR151">
    <cfRule type="expression" dxfId="114" priority="7">
      <formula>$AR10&lt;&gt;1</formula>
    </cfRule>
  </conditionalFormatting>
  <conditionalFormatting sqref="L173">
    <cfRule type="cellIs" dxfId="113" priority="3" operator="greaterThan">
      <formula>0</formula>
    </cfRule>
  </conditionalFormatting>
  <conditionalFormatting sqref="AS14:AS15 AS21:AS22 AS28:AS29 AS35:AS36 AS42:AS43 AS49:AS50 AS56:AS57 AS63:AS64 AS70:AS71 AS77:AS78 AS84:AS85 AS91:AS92 AS98:AS99 AS105:AS106 AS112:AS113 AS119:AS120 AS126:AS127 AS133:AS134 AS140:AS141 AS147:AS148 AS154:AS155">
    <cfRule type="cellIs" dxfId="112" priority="5" operator="lessThan">
      <formula>0</formula>
    </cfRule>
    <cfRule type="cellIs" dxfId="111" priority="6" operator="greaterThan">
      <formula>0</formula>
    </cfRule>
  </conditionalFormatting>
  <hyperlinks>
    <hyperlink ref="A7:A8" location="PAINEL!A1" display="ITEM" xr:uid="{B0D0AFFC-BFDC-46D2-B4AB-9B69250B8B94}"/>
  </hyperlinks>
  <printOptions horizontalCentered="1"/>
  <pageMargins left="0.39370078740157483" right="0.19685039370078741" top="0.39370078740157483" bottom="0.59055118110236227" header="0.31496062992125984" footer="0.23622047244094491"/>
  <pageSetup paperSize="9" scale="52" orientation="landscape" r:id="rId1"/>
  <headerFooter>
    <oddFooter>&amp;C&amp;8Página &amp;P/&amp;N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3464-8427-4C81-B9B9-76A5978BABE2}">
  <sheetPr codeName="Planilha11">
    <tabColor rgb="FF92D050"/>
  </sheetPr>
  <dimension ref="A1:K57"/>
  <sheetViews>
    <sheetView showZeros="0" zoomScaleNormal="100" workbookViewId="0"/>
  </sheetViews>
  <sheetFormatPr defaultColWidth="8.875" defaultRowHeight="15"/>
  <cols>
    <col min="1" max="1" width="17.375" style="368" customWidth="1"/>
    <col min="2" max="2" width="48.125" style="368" bestFit="1" customWidth="1"/>
    <col min="3" max="5" width="15.5" style="368" customWidth="1"/>
    <col min="6" max="6" width="3.125" style="368" customWidth="1"/>
    <col min="7" max="7" width="17.375" style="368" customWidth="1"/>
    <col min="8" max="8" width="48.125" style="368" bestFit="1" customWidth="1"/>
    <col min="9" max="11" width="15.5" style="368" customWidth="1"/>
    <col min="12" max="12" width="10.125" style="368" bestFit="1" customWidth="1"/>
    <col min="13" max="14" width="8.875" style="368"/>
    <col min="15" max="15" width="17.25" style="368" customWidth="1"/>
    <col min="16" max="16384" width="8.875" style="368"/>
  </cols>
  <sheetData>
    <row r="1" spans="1:11" ht="23.65" customHeight="1">
      <c r="A1" s="365" t="s">
        <v>1203</v>
      </c>
      <c r="B1" s="366" t="s">
        <v>3526</v>
      </c>
      <c r="C1" s="365" t="s">
        <v>1204</v>
      </c>
      <c r="D1" s="367" t="s">
        <v>3527</v>
      </c>
    </row>
    <row r="2" spans="1:11" ht="23.65" customHeight="1">
      <c r="C2" s="365" t="s">
        <v>1205</v>
      </c>
      <c r="D2" s="369"/>
      <c r="G2" s="365"/>
      <c r="H2" s="370"/>
    </row>
    <row r="3" spans="1:11" hidden="1">
      <c r="A3" s="365" t="s">
        <v>1206</v>
      </c>
      <c r="B3" s="371" t="s">
        <v>1207</v>
      </c>
      <c r="G3" s="365" t="s">
        <v>1206</v>
      </c>
      <c r="H3" s="371" t="s">
        <v>1208</v>
      </c>
    </row>
    <row r="4" spans="1:11" hidden="1">
      <c r="A4" s="365"/>
      <c r="B4" s="368" t="s">
        <v>3528</v>
      </c>
      <c r="H4" s="368" t="s">
        <v>3529</v>
      </c>
    </row>
    <row r="5" spans="1:11" ht="14.65" customHeight="1" thickBot="1">
      <c r="D5" s="372"/>
    </row>
    <row r="6" spans="1:11" ht="35.25" customHeight="1" thickBot="1">
      <c r="A6" s="373"/>
      <c r="B6" s="374"/>
      <c r="C6" s="374"/>
      <c r="D6" s="374"/>
      <c r="E6" s="375"/>
      <c r="G6" s="373"/>
      <c r="H6" s="374"/>
      <c r="I6" s="374"/>
      <c r="J6" s="374"/>
      <c r="K6" s="375"/>
    </row>
    <row r="7" spans="1:11" ht="16.5" thickBot="1">
      <c r="A7" s="376"/>
      <c r="B7" s="376"/>
      <c r="C7" s="376"/>
      <c r="D7" s="376"/>
      <c r="E7" s="376"/>
      <c r="G7" s="376"/>
      <c r="H7" s="376"/>
      <c r="I7" s="376"/>
      <c r="J7" s="376"/>
      <c r="K7" s="376"/>
    </row>
    <row r="8" spans="1:11" ht="35.25" customHeight="1" thickBot="1">
      <c r="A8" s="377" t="s">
        <v>1209</v>
      </c>
      <c r="B8" s="378" t="s">
        <v>1210</v>
      </c>
      <c r="C8" s="377" t="s">
        <v>1211</v>
      </c>
      <c r="D8" s="379" t="s">
        <v>1212</v>
      </c>
      <c r="E8" s="380" t="s">
        <v>1213</v>
      </c>
      <c r="G8" s="377" t="s">
        <v>1209</v>
      </c>
      <c r="H8" s="378" t="s">
        <v>1210</v>
      </c>
      <c r="I8" s="377" t="s">
        <v>1211</v>
      </c>
      <c r="J8" s="379" t="s">
        <v>1212</v>
      </c>
      <c r="K8" s="380" t="s">
        <v>1213</v>
      </c>
    </row>
    <row r="9" spans="1:11" ht="15.75" thickBot="1">
      <c r="A9" s="381"/>
      <c r="B9" s="382"/>
      <c r="C9" s="383"/>
      <c r="D9" s="384"/>
      <c r="E9" s="385"/>
      <c r="G9" s="381"/>
      <c r="H9" s="382"/>
      <c r="I9" s="383"/>
      <c r="J9" s="384"/>
      <c r="K9" s="385"/>
    </row>
    <row r="10" spans="1:11" ht="15.75" thickBot="1">
      <c r="A10" s="386" t="s">
        <v>1214</v>
      </c>
      <c r="B10" s="387" t="s">
        <v>1215</v>
      </c>
      <c r="C10" s="388">
        <v>0.5</v>
      </c>
      <c r="D10" s="389">
        <v>0.55999999999999994</v>
      </c>
      <c r="E10" s="390">
        <v>0.97</v>
      </c>
      <c r="G10" s="386" t="s">
        <v>1214</v>
      </c>
      <c r="H10" s="387" t="s">
        <v>1215</v>
      </c>
      <c r="I10" s="388">
        <v>0.5</v>
      </c>
      <c r="J10" s="389">
        <v>0.55999999999999994</v>
      </c>
      <c r="K10" s="390">
        <v>0.97</v>
      </c>
    </row>
    <row r="11" spans="1:11" ht="15.75" thickBot="1">
      <c r="A11" s="391"/>
      <c r="B11" s="392"/>
      <c r="C11" s="393"/>
      <c r="D11" s="394"/>
      <c r="E11" s="395"/>
      <c r="G11" s="391"/>
      <c r="H11" s="392"/>
      <c r="I11" s="393"/>
      <c r="J11" s="394"/>
      <c r="K11" s="395"/>
    </row>
    <row r="12" spans="1:11" ht="15.75" thickBot="1">
      <c r="A12" s="386" t="s">
        <v>1216</v>
      </c>
      <c r="B12" s="387" t="s">
        <v>1217</v>
      </c>
      <c r="C12" s="388">
        <v>0.32</v>
      </c>
      <c r="D12" s="389">
        <v>0.4</v>
      </c>
      <c r="E12" s="390">
        <v>0.74</v>
      </c>
      <c r="G12" s="386" t="s">
        <v>1216</v>
      </c>
      <c r="H12" s="387" t="s">
        <v>1217</v>
      </c>
      <c r="I12" s="388">
        <v>0.32</v>
      </c>
      <c r="J12" s="389">
        <v>0.4</v>
      </c>
      <c r="K12" s="390">
        <v>0.74</v>
      </c>
    </row>
    <row r="13" spans="1:11" ht="15.75" thickBot="1">
      <c r="A13" s="391"/>
      <c r="B13" s="392"/>
      <c r="C13" s="393"/>
      <c r="D13" s="394"/>
      <c r="E13" s="396"/>
      <c r="G13" s="391"/>
      <c r="H13" s="392"/>
      <c r="I13" s="393"/>
      <c r="J13" s="394"/>
      <c r="K13" s="396"/>
    </row>
    <row r="14" spans="1:11" ht="15.75" thickBot="1">
      <c r="A14" s="386" t="s">
        <v>1218</v>
      </c>
      <c r="B14" s="387" t="s">
        <v>1219</v>
      </c>
      <c r="C14" s="388">
        <v>1.02</v>
      </c>
      <c r="D14" s="389">
        <v>1.1100000000000001</v>
      </c>
      <c r="E14" s="390">
        <v>1.21</v>
      </c>
      <c r="G14" s="386" t="s">
        <v>1218</v>
      </c>
      <c r="H14" s="387" t="s">
        <v>1219</v>
      </c>
      <c r="I14" s="388">
        <v>1.02</v>
      </c>
      <c r="J14" s="389">
        <v>1.1100000000000001</v>
      </c>
      <c r="K14" s="390">
        <v>1.21</v>
      </c>
    </row>
    <row r="15" spans="1:11" ht="15.75" thickBot="1">
      <c r="A15" s="391"/>
      <c r="B15" s="392"/>
      <c r="C15" s="393"/>
      <c r="D15" s="394"/>
      <c r="E15" s="395"/>
      <c r="G15" s="391"/>
      <c r="H15" s="392"/>
      <c r="I15" s="393"/>
      <c r="J15" s="394"/>
      <c r="K15" s="395"/>
    </row>
    <row r="16" spans="1:11" ht="15.75" thickBot="1">
      <c r="A16" s="386" t="s">
        <v>1220</v>
      </c>
      <c r="B16" s="387" t="s">
        <v>1221</v>
      </c>
      <c r="C16" s="388">
        <v>3.8</v>
      </c>
      <c r="D16" s="389">
        <v>4.01</v>
      </c>
      <c r="E16" s="390">
        <v>4.67</v>
      </c>
      <c r="G16" s="386" t="s">
        <v>1220</v>
      </c>
      <c r="H16" s="387" t="s">
        <v>1221</v>
      </c>
      <c r="I16" s="388">
        <v>3.8</v>
      </c>
      <c r="J16" s="389">
        <v>4.01</v>
      </c>
      <c r="K16" s="390">
        <v>4.67</v>
      </c>
    </row>
    <row r="17" spans="1:11" ht="15.75" thickBot="1">
      <c r="A17" s="391"/>
      <c r="B17" s="392"/>
      <c r="C17" s="393"/>
      <c r="D17" s="394"/>
      <c r="E17" s="397"/>
      <c r="G17" s="391"/>
      <c r="H17" s="392"/>
      <c r="I17" s="393"/>
      <c r="J17" s="394"/>
      <c r="K17" s="397"/>
    </row>
    <row r="18" spans="1:11" ht="15.75" thickBot="1">
      <c r="A18" s="386" t="s">
        <v>1222</v>
      </c>
      <c r="B18" s="387" t="s">
        <v>1223</v>
      </c>
      <c r="C18" s="388">
        <v>6.64</v>
      </c>
      <c r="D18" s="389">
        <v>7.3</v>
      </c>
      <c r="E18" s="390">
        <v>8.69</v>
      </c>
      <c r="G18" s="386" t="s">
        <v>1222</v>
      </c>
      <c r="H18" s="387" t="s">
        <v>1223</v>
      </c>
      <c r="I18" s="388">
        <v>6.64</v>
      </c>
      <c r="J18" s="389">
        <v>7.3</v>
      </c>
      <c r="K18" s="390">
        <v>8.69</v>
      </c>
    </row>
    <row r="19" spans="1:11" ht="15.75" thickBot="1">
      <c r="A19" s="391"/>
      <c r="B19" s="392"/>
      <c r="C19" s="398"/>
      <c r="D19" s="399"/>
      <c r="E19" s="400"/>
      <c r="G19" s="391"/>
      <c r="H19" s="392"/>
      <c r="I19" s="398"/>
      <c r="J19" s="399"/>
      <c r="K19" s="400"/>
    </row>
    <row r="20" spans="1:11">
      <c r="A20" s="401"/>
      <c r="B20" s="402" t="s">
        <v>1224</v>
      </c>
      <c r="C20" s="403"/>
      <c r="D20" s="404">
        <v>0.65</v>
      </c>
      <c r="E20" s="405"/>
      <c r="G20" s="401"/>
      <c r="H20" s="402" t="s">
        <v>1224</v>
      </c>
      <c r="I20" s="403"/>
      <c r="J20" s="404">
        <v>0.65</v>
      </c>
      <c r="K20" s="405"/>
    </row>
    <row r="21" spans="1:11">
      <c r="A21" s="406"/>
      <c r="B21" s="407" t="s">
        <v>1225</v>
      </c>
      <c r="C21" s="408"/>
      <c r="D21" s="409">
        <v>3</v>
      </c>
      <c r="E21" s="410"/>
      <c r="G21" s="406"/>
      <c r="H21" s="407" t="s">
        <v>1225</v>
      </c>
      <c r="I21" s="408"/>
      <c r="J21" s="409">
        <v>3</v>
      </c>
      <c r="K21" s="410"/>
    </row>
    <row r="22" spans="1:11">
      <c r="A22" s="406"/>
      <c r="B22" s="407" t="s">
        <v>1226</v>
      </c>
      <c r="C22" s="408"/>
      <c r="D22" s="409">
        <v>2.0000000000000004</v>
      </c>
      <c r="E22" s="410"/>
      <c r="G22" s="406"/>
      <c r="H22" s="407" t="s">
        <v>1226</v>
      </c>
      <c r="I22" s="408"/>
      <c r="J22" s="409">
        <v>2.0000000000000004</v>
      </c>
      <c r="K22" s="410"/>
    </row>
    <row r="23" spans="1:11">
      <c r="A23" s="406"/>
      <c r="B23" s="407" t="s">
        <v>1227</v>
      </c>
      <c r="C23" s="408"/>
      <c r="D23" s="409">
        <v>0</v>
      </c>
      <c r="E23" s="410"/>
      <c r="G23" s="406"/>
      <c r="H23" s="407" t="s">
        <v>1227</v>
      </c>
      <c r="I23" s="408"/>
      <c r="J23" s="409">
        <v>4.5</v>
      </c>
      <c r="K23" s="410"/>
    </row>
    <row r="24" spans="1:11" ht="15.75" thickBot="1">
      <c r="A24" s="411" t="s">
        <v>1228</v>
      </c>
      <c r="B24" s="412" t="s">
        <v>1229</v>
      </c>
      <c r="C24" s="413"/>
      <c r="D24" s="414">
        <v>5.65</v>
      </c>
      <c r="E24" s="415"/>
      <c r="G24" s="411" t="s">
        <v>1228</v>
      </c>
      <c r="H24" s="412" t="s">
        <v>1229</v>
      </c>
      <c r="I24" s="413"/>
      <c r="J24" s="414">
        <v>10.15</v>
      </c>
      <c r="K24" s="415"/>
    </row>
    <row r="25" spans="1:11" ht="15.75" thickBot="1">
      <c r="A25" s="416"/>
      <c r="B25" s="417"/>
      <c r="C25" s="418"/>
      <c r="D25" s="419"/>
      <c r="E25" s="420"/>
      <c r="G25" s="416"/>
      <c r="H25" s="417"/>
      <c r="I25" s="418"/>
      <c r="J25" s="419"/>
      <c r="K25" s="420"/>
    </row>
    <row r="26" spans="1:11" ht="16.5" thickBot="1">
      <c r="A26" s="421" t="s">
        <v>1230</v>
      </c>
      <c r="B26" s="387"/>
      <c r="C26" s="422"/>
      <c r="D26" s="423">
        <v>20.7</v>
      </c>
      <c r="E26" s="424"/>
      <c r="G26" s="421" t="s">
        <v>1230</v>
      </c>
      <c r="H26" s="387"/>
      <c r="I26" s="422"/>
      <c r="J26" s="423">
        <v>26.74</v>
      </c>
      <c r="K26" s="424"/>
    </row>
    <row r="27" spans="1:11">
      <c r="A27" s="392"/>
      <c r="B27" s="392"/>
      <c r="C27" s="425"/>
      <c r="D27" s="426"/>
      <c r="E27" s="427"/>
      <c r="G27" s="392"/>
      <c r="H27" s="392"/>
      <c r="I27" s="425"/>
      <c r="J27" s="426"/>
      <c r="K27" s="427"/>
    </row>
    <row r="28" spans="1:11" ht="15.75">
      <c r="A28" s="428"/>
      <c r="B28" s="428"/>
      <c r="C28" s="428"/>
      <c r="D28" s="428"/>
      <c r="E28" s="428"/>
      <c r="G28" s="428"/>
      <c r="H28" s="428"/>
      <c r="I28" s="428"/>
      <c r="J28" s="428"/>
      <c r="K28" s="428"/>
    </row>
    <row r="29" spans="1:11" ht="15.75">
      <c r="A29" s="429" t="s">
        <v>1231</v>
      </c>
      <c r="B29" s="430"/>
      <c r="C29" s="431"/>
      <c r="D29" s="432"/>
      <c r="E29" s="433"/>
      <c r="G29" s="429" t="s">
        <v>1231</v>
      </c>
      <c r="H29" s="430"/>
      <c r="I29" s="431"/>
      <c r="J29" s="432"/>
      <c r="K29" s="433"/>
    </row>
    <row r="30" spans="1:11" ht="15.75">
      <c r="A30" s="429" t="s">
        <v>3520</v>
      </c>
      <c r="B30" s="434"/>
      <c r="C30" s="431"/>
      <c r="D30" s="435"/>
      <c r="E30" s="436"/>
      <c r="G30" s="429" t="s">
        <v>3520</v>
      </c>
      <c r="H30" s="434"/>
      <c r="I30" s="431"/>
      <c r="J30" s="435"/>
      <c r="K30" s="436"/>
    </row>
    <row r="31" spans="1:11" ht="16.5" thickBot="1">
      <c r="A31" s="434"/>
      <c r="B31" s="434"/>
      <c r="C31" s="431"/>
      <c r="D31" s="435"/>
      <c r="E31" s="436"/>
    </row>
    <row r="32" spans="1:11" ht="15.75" hidden="1" thickBot="1">
      <c r="A32" s="365" t="s">
        <v>1203</v>
      </c>
      <c r="B32" s="370" t="s">
        <v>1232</v>
      </c>
      <c r="C32" s="365" t="s">
        <v>1206</v>
      </c>
      <c r="D32" s="370" t="s">
        <v>1207</v>
      </c>
    </row>
    <row r="33" spans="1:11" ht="15.75" hidden="1" thickBot="1"/>
    <row r="34" spans="1:11" ht="35.25" customHeight="1" thickBot="1">
      <c r="A34" s="373"/>
      <c r="B34" s="374"/>
      <c r="C34" s="374"/>
      <c r="D34" s="374"/>
      <c r="E34" s="375"/>
      <c r="G34" s="373"/>
      <c r="H34" s="374"/>
      <c r="I34" s="374"/>
      <c r="J34" s="374"/>
      <c r="K34" s="375"/>
    </row>
    <row r="35" spans="1:11" ht="16.5" thickBot="1">
      <c r="A35" s="376"/>
      <c r="B35" s="376"/>
      <c r="C35" s="376"/>
      <c r="D35" s="376"/>
      <c r="E35" s="376"/>
      <c r="G35" s="376"/>
      <c r="H35" s="376"/>
      <c r="I35" s="376"/>
      <c r="J35" s="376"/>
      <c r="K35" s="376"/>
    </row>
    <row r="36" spans="1:11" ht="35.25" customHeight="1" thickBot="1">
      <c r="A36" s="377" t="s">
        <v>1209</v>
      </c>
      <c r="B36" s="378" t="s">
        <v>1210</v>
      </c>
      <c r="C36" s="377" t="s">
        <v>1211</v>
      </c>
      <c r="D36" s="379" t="s">
        <v>1212</v>
      </c>
      <c r="E36" s="380" t="s">
        <v>1213</v>
      </c>
      <c r="G36" s="377" t="s">
        <v>1209</v>
      </c>
      <c r="H36" s="378" t="s">
        <v>1210</v>
      </c>
      <c r="I36" s="377" t="s">
        <v>1211</v>
      </c>
      <c r="J36" s="379" t="s">
        <v>1212</v>
      </c>
      <c r="K36" s="380" t="s">
        <v>1213</v>
      </c>
    </row>
    <row r="37" spans="1:11" ht="15.75" thickBot="1">
      <c r="A37" s="381"/>
      <c r="B37" s="382"/>
      <c r="C37" s="383"/>
      <c r="D37" s="384"/>
      <c r="E37" s="385"/>
      <c r="G37" s="381"/>
      <c r="H37" s="382"/>
      <c r="I37" s="383"/>
      <c r="J37" s="384"/>
      <c r="K37" s="385"/>
    </row>
    <row r="38" spans="1:11" ht="15.75" thickBot="1">
      <c r="A38" s="386" t="s">
        <v>1214</v>
      </c>
      <c r="B38" s="387" t="s">
        <v>1215</v>
      </c>
      <c r="C38" s="388">
        <v>0.55999999999999994</v>
      </c>
      <c r="D38" s="389">
        <v>0.85000000000000009</v>
      </c>
      <c r="E38" s="390">
        <v>0.89</v>
      </c>
      <c r="G38" s="386" t="s">
        <v>1214</v>
      </c>
      <c r="H38" s="387" t="s">
        <v>1215</v>
      </c>
      <c r="I38" s="388">
        <v>0.55999999999999994</v>
      </c>
      <c r="J38" s="389">
        <v>0.85000000000000009</v>
      </c>
      <c r="K38" s="390">
        <v>0.89</v>
      </c>
    </row>
    <row r="39" spans="1:11" ht="15.75" thickBot="1">
      <c r="A39" s="391"/>
      <c r="B39" s="392"/>
      <c r="C39" s="393"/>
      <c r="D39" s="394"/>
      <c r="E39" s="395"/>
      <c r="G39" s="391"/>
      <c r="H39" s="392"/>
      <c r="I39" s="393"/>
      <c r="J39" s="394"/>
      <c r="K39" s="395"/>
    </row>
    <row r="40" spans="1:11" ht="15.75" thickBot="1">
      <c r="A40" s="386" t="s">
        <v>1216</v>
      </c>
      <c r="B40" s="387" t="s">
        <v>1217</v>
      </c>
      <c r="C40" s="388">
        <v>0.3</v>
      </c>
      <c r="D40" s="389">
        <v>0.48</v>
      </c>
      <c r="E40" s="390">
        <v>0.82000000000000006</v>
      </c>
      <c r="G40" s="386" t="s">
        <v>1216</v>
      </c>
      <c r="H40" s="387" t="s">
        <v>1217</v>
      </c>
      <c r="I40" s="388">
        <v>0.3</v>
      </c>
      <c r="J40" s="389">
        <v>0.48</v>
      </c>
      <c r="K40" s="390">
        <v>0.82000000000000006</v>
      </c>
    </row>
    <row r="41" spans="1:11" ht="15.75" thickBot="1">
      <c r="A41" s="391"/>
      <c r="B41" s="392"/>
      <c r="C41" s="393"/>
      <c r="D41" s="394"/>
      <c r="E41" s="396"/>
      <c r="G41" s="391"/>
      <c r="H41" s="392"/>
      <c r="I41" s="393"/>
      <c r="J41" s="394"/>
      <c r="K41" s="396"/>
    </row>
    <row r="42" spans="1:11" ht="15.75" thickBot="1">
      <c r="A42" s="386" t="s">
        <v>1218</v>
      </c>
      <c r="B42" s="387" t="s">
        <v>1219</v>
      </c>
      <c r="C42" s="388">
        <v>0.85000000000000009</v>
      </c>
      <c r="D42" s="389">
        <v>0.85000000000000009</v>
      </c>
      <c r="E42" s="390">
        <v>1.1100000000000001</v>
      </c>
      <c r="G42" s="386" t="s">
        <v>1218</v>
      </c>
      <c r="H42" s="387" t="s">
        <v>1219</v>
      </c>
      <c r="I42" s="388">
        <v>0.85000000000000009</v>
      </c>
      <c r="J42" s="389">
        <v>0.85000000000000009</v>
      </c>
      <c r="K42" s="390">
        <v>1.1100000000000001</v>
      </c>
    </row>
    <row r="43" spans="1:11" ht="15.75" thickBot="1">
      <c r="A43" s="391"/>
      <c r="B43" s="392"/>
      <c r="C43" s="393"/>
      <c r="D43" s="394"/>
      <c r="E43" s="395"/>
      <c r="G43" s="391"/>
      <c r="H43" s="392"/>
      <c r="I43" s="393"/>
      <c r="J43" s="394"/>
      <c r="K43" s="395"/>
    </row>
    <row r="44" spans="1:11" ht="15.75" thickBot="1">
      <c r="A44" s="386" t="s">
        <v>1220</v>
      </c>
      <c r="B44" s="387" t="s">
        <v>1221</v>
      </c>
      <c r="C44" s="388">
        <v>1.5</v>
      </c>
      <c r="D44" s="389">
        <v>3.45</v>
      </c>
      <c r="E44" s="390">
        <v>4.49</v>
      </c>
      <c r="G44" s="386" t="s">
        <v>1220</v>
      </c>
      <c r="H44" s="387" t="s">
        <v>1221</v>
      </c>
      <c r="I44" s="388">
        <v>1.5</v>
      </c>
      <c r="J44" s="389">
        <v>3.45</v>
      </c>
      <c r="K44" s="390">
        <v>4.49</v>
      </c>
    </row>
    <row r="45" spans="1:11" ht="15.75" thickBot="1">
      <c r="A45" s="391"/>
      <c r="B45" s="392"/>
      <c r="C45" s="393"/>
      <c r="D45" s="394"/>
      <c r="E45" s="397"/>
      <c r="G45" s="391"/>
      <c r="H45" s="392"/>
      <c r="I45" s="393"/>
      <c r="J45" s="394"/>
      <c r="K45" s="397"/>
    </row>
    <row r="46" spans="1:11" ht="15.75" thickBot="1">
      <c r="A46" s="386" t="s">
        <v>1222</v>
      </c>
      <c r="B46" s="387" t="s">
        <v>1223</v>
      </c>
      <c r="C46" s="388">
        <v>3.5000000000000004</v>
      </c>
      <c r="D46" s="389">
        <v>5.1100000000000003</v>
      </c>
      <c r="E46" s="390">
        <v>6.22</v>
      </c>
      <c r="G46" s="386" t="s">
        <v>1222</v>
      </c>
      <c r="H46" s="387" t="s">
        <v>1223</v>
      </c>
      <c r="I46" s="388">
        <v>3.5000000000000004</v>
      </c>
      <c r="J46" s="389">
        <v>5.1100000000000003</v>
      </c>
      <c r="K46" s="390">
        <v>6.22</v>
      </c>
    </row>
    <row r="47" spans="1:11" ht="15.75" thickBot="1">
      <c r="A47" s="391"/>
      <c r="B47" s="392"/>
      <c r="C47" s="398"/>
      <c r="D47" s="399"/>
      <c r="E47" s="400"/>
      <c r="G47" s="391"/>
      <c r="H47" s="392"/>
      <c r="I47" s="398"/>
      <c r="J47" s="399"/>
      <c r="K47" s="400"/>
    </row>
    <row r="48" spans="1:11">
      <c r="A48" s="401"/>
      <c r="B48" s="402" t="s">
        <v>1224</v>
      </c>
      <c r="C48" s="403"/>
      <c r="D48" s="404">
        <v>0.65</v>
      </c>
      <c r="E48" s="405"/>
      <c r="G48" s="401"/>
      <c r="H48" s="402" t="s">
        <v>1224</v>
      </c>
      <c r="I48" s="403"/>
      <c r="J48" s="404">
        <v>0.65</v>
      </c>
      <c r="K48" s="405"/>
    </row>
    <row r="49" spans="1:11">
      <c r="A49" s="406"/>
      <c r="B49" s="407" t="s">
        <v>1225</v>
      </c>
      <c r="C49" s="408"/>
      <c r="D49" s="409">
        <v>3</v>
      </c>
      <c r="E49" s="410"/>
      <c r="G49" s="406"/>
      <c r="H49" s="407" t="s">
        <v>1225</v>
      </c>
      <c r="I49" s="408"/>
      <c r="J49" s="409">
        <v>3</v>
      </c>
      <c r="K49" s="410"/>
    </row>
    <row r="50" spans="1:11">
      <c r="A50" s="406"/>
      <c r="B50" s="407"/>
      <c r="C50" s="408"/>
      <c r="D50" s="409"/>
      <c r="E50" s="410"/>
      <c r="G50" s="406"/>
      <c r="H50" s="407" t="s">
        <v>1227</v>
      </c>
      <c r="I50" s="408"/>
      <c r="J50" s="409">
        <v>4.5</v>
      </c>
      <c r="K50" s="410"/>
    </row>
    <row r="51" spans="1:11" ht="15.75" thickBot="1">
      <c r="A51" s="411" t="s">
        <v>1228</v>
      </c>
      <c r="B51" s="412" t="s">
        <v>1229</v>
      </c>
      <c r="C51" s="413"/>
      <c r="D51" s="414">
        <v>3.65</v>
      </c>
      <c r="E51" s="415"/>
      <c r="G51" s="411" t="s">
        <v>1228</v>
      </c>
      <c r="H51" s="412" t="s">
        <v>1229</v>
      </c>
      <c r="I51" s="413"/>
      <c r="J51" s="414">
        <v>8.15</v>
      </c>
      <c r="K51" s="415"/>
    </row>
    <row r="52" spans="1:11" ht="15.75" thickBot="1">
      <c r="A52" s="416"/>
      <c r="B52" s="417"/>
      <c r="C52" s="418"/>
      <c r="D52" s="419"/>
      <c r="E52" s="420"/>
      <c r="G52" s="416"/>
      <c r="H52" s="417"/>
      <c r="I52" s="418"/>
      <c r="J52" s="419"/>
      <c r="K52" s="420"/>
    </row>
    <row r="53" spans="1:11" ht="16.5" thickBot="1">
      <c r="A53" s="421" t="s">
        <v>1230</v>
      </c>
      <c r="B53" s="387"/>
      <c r="C53" s="422"/>
      <c r="D53" s="423">
        <v>15.27</v>
      </c>
      <c r="E53" s="424"/>
      <c r="G53" s="421" t="s">
        <v>1230</v>
      </c>
      <c r="H53" s="387"/>
      <c r="I53" s="422"/>
      <c r="J53" s="423">
        <v>20.92</v>
      </c>
      <c r="K53" s="424"/>
    </row>
    <row r="54" spans="1:11">
      <c r="A54" s="392"/>
      <c r="B54" s="392"/>
      <c r="C54" s="425"/>
      <c r="D54" s="426"/>
      <c r="E54" s="427"/>
      <c r="G54" s="392"/>
      <c r="H54" s="392"/>
      <c r="I54" s="425"/>
      <c r="J54" s="426"/>
      <c r="K54" s="427"/>
    </row>
    <row r="55" spans="1:11" ht="15.75">
      <c r="A55" s="428"/>
      <c r="B55" s="428"/>
      <c r="C55" s="428"/>
      <c r="D55" s="428"/>
      <c r="E55" s="428"/>
      <c r="G55" s="428"/>
      <c r="H55" s="428"/>
      <c r="I55" s="428"/>
      <c r="J55" s="428"/>
      <c r="K55" s="428"/>
    </row>
    <row r="56" spans="1:11" ht="15.75">
      <c r="A56" s="437" t="s">
        <v>1231</v>
      </c>
      <c r="B56" s="430"/>
      <c r="C56" s="431"/>
      <c r="D56" s="432"/>
      <c r="E56" s="433"/>
      <c r="G56" s="437" t="s">
        <v>1231</v>
      </c>
      <c r="H56" s="430"/>
      <c r="I56" s="431"/>
      <c r="J56" s="432"/>
      <c r="K56" s="433"/>
    </row>
    <row r="57" spans="1:11" ht="15.75">
      <c r="A57" s="438"/>
      <c r="B57" s="434"/>
      <c r="C57" s="431"/>
      <c r="D57" s="435"/>
      <c r="E57" s="436"/>
      <c r="G57" s="438"/>
      <c r="H57" s="434"/>
      <c r="I57" s="431"/>
      <c r="J57" s="435"/>
      <c r="K57" s="436"/>
    </row>
  </sheetData>
  <sheetProtection sheet="1" objects="1" scenarios="1"/>
  <dataConsolidate link="1"/>
  <conditionalFormatting sqref="D10:D18 J10:J18 D38:D46">
    <cfRule type="cellIs" dxfId="110" priority="2" stopIfTrue="1" operator="notBetween">
      <formula>C10</formula>
      <formula>E10</formula>
    </cfRule>
  </conditionalFormatting>
  <conditionalFormatting sqref="J38:J46">
    <cfRule type="cellIs" dxfId="109" priority="1" stopIfTrue="1" operator="notBetween">
      <formula>I38</formula>
      <formula>K38</formula>
    </cfRule>
  </conditionalFormatting>
  <pageMargins left="0.39370078740157477" right="0.59055118110236215" top="0.39370078740157477" bottom="0.59055118110236215" header="0.31496062000000002" footer="0.31496062000000002"/>
  <pageSetup paperSize="9" scale="77" orientation="portrait" r:id="rId1"/>
  <headerFooter>
    <oddFooter>&amp;C&amp;8Página &amp;P/&amp;N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B2FFE-A1D1-47B8-BE1D-66A51389AA67}">
  <sheetPr codeName="Planilha12">
    <tabColor rgb="FF92D050"/>
  </sheetPr>
  <dimension ref="A1:F27"/>
  <sheetViews>
    <sheetView showZeros="0" zoomScaleNormal="100" workbookViewId="0">
      <selection sqref="A1:C1"/>
    </sheetView>
  </sheetViews>
  <sheetFormatPr defaultRowHeight="12.75"/>
  <cols>
    <col min="1" max="1" width="15.125" style="4" customWidth="1"/>
    <col min="2" max="2" width="57" style="4" customWidth="1"/>
    <col min="3" max="3" width="16.5" style="4" customWidth="1"/>
    <col min="4" max="4" width="15.125" style="4" customWidth="1"/>
    <col min="5" max="5" width="57" style="4" customWidth="1"/>
    <col min="6" max="6" width="16.5" style="4" customWidth="1"/>
    <col min="7" max="16384" width="9" style="4"/>
  </cols>
  <sheetData>
    <row r="1" spans="1:6" ht="13.15" customHeight="1">
      <c r="A1" s="2529" t="str">
        <f>Orcamento!B2</f>
        <v>PREFEITURA MUNICIPAL DE RIBAS DO RIO PARDO</v>
      </c>
      <c r="B1" s="2529"/>
      <c r="C1" s="2529"/>
      <c r="D1" s="2529" t="str">
        <f>Orcamento!B2</f>
        <v>PREFEITURA MUNICIPAL DE RIBAS DO RIO PARDO</v>
      </c>
      <c r="E1" s="2529"/>
      <c r="F1" s="2529"/>
    </row>
    <row r="2" spans="1:6" ht="12.4" customHeight="1">
      <c r="A2" s="2529" t="str">
        <f>Orcamento!B3</f>
        <v>ESTADO DE MATO GROSSO DO SUL</v>
      </c>
      <c r="B2" s="2529"/>
      <c r="C2" s="2529"/>
      <c r="D2" s="2529" t="str">
        <f>Orcamento!B3</f>
        <v>ESTADO DE MATO GROSSO DO SUL</v>
      </c>
      <c r="E2" s="2529"/>
      <c r="F2" s="2529"/>
    </row>
    <row r="3" spans="1:6" ht="12.4" customHeight="1">
      <c r="A3" s="2529">
        <f>Orcamento!B4</f>
        <v>0</v>
      </c>
      <c r="B3" s="2529"/>
      <c r="C3" s="2529"/>
      <c r="D3" s="2529">
        <f>Orcamento!B4</f>
        <v>0</v>
      </c>
      <c r="E3" s="2529"/>
      <c r="F3" s="2529"/>
    </row>
    <row r="4" spans="1:6" ht="12.4" customHeight="1">
      <c r="A4" s="2528"/>
      <c r="B4" s="2528"/>
      <c r="C4" s="2528"/>
      <c r="D4" s="2528"/>
      <c r="E4" s="2528"/>
      <c r="F4" s="2528"/>
    </row>
    <row r="5" spans="1:6">
      <c r="A5" s="2529"/>
      <c r="B5" s="2529"/>
      <c r="C5" s="2529"/>
      <c r="D5" s="2529"/>
      <c r="E5" s="2529"/>
      <c r="F5" s="2529"/>
    </row>
    <row r="6" spans="1:6" ht="13.15" customHeight="1">
      <c r="A6" s="2529" t="s">
        <v>1233</v>
      </c>
      <c r="B6" s="2529"/>
      <c r="C6" s="2529"/>
      <c r="D6" s="2529" t="s">
        <v>1233</v>
      </c>
      <c r="E6" s="2529"/>
      <c r="F6" s="2529"/>
    </row>
    <row r="7" spans="1:6" ht="12.4" customHeight="1">
      <c r="A7" s="2527" t="str">
        <f>"Projeto - AGESUL DEIURB - " &amp; TEXT(C22/100,"#.##0,00%")</f>
        <v>Projeto - AGESUL DEIURB - 27,85%</v>
      </c>
      <c r="B7" s="2527"/>
      <c r="C7" s="2527"/>
      <c r="D7" s="2527" t="str">
        <f>"Projeto - AGESUL DEIURB - " &amp; TEXT(F22/100,"#.##0,00%")</f>
        <v>Projeto - AGESUL DEIURB - 34,78%</v>
      </c>
      <c r="E7" s="2527"/>
      <c r="F7" s="2527"/>
    </row>
    <row r="8" spans="1:6" ht="12.4" customHeight="1">
      <c r="A8" s="2527" t="s">
        <v>1231</v>
      </c>
      <c r="B8" s="2527"/>
      <c r="C8" s="2527"/>
      <c r="D8" s="2527" t="s">
        <v>1231</v>
      </c>
      <c r="E8" s="2527"/>
      <c r="F8" s="2527"/>
    </row>
    <row r="9" spans="1:6" ht="13.5" thickBot="1">
      <c r="A9" s="2527"/>
      <c r="B9" s="2527"/>
      <c r="C9" s="2527"/>
      <c r="D9" s="2527"/>
      <c r="E9" s="2527"/>
      <c r="F9" s="2527"/>
    </row>
    <row r="10" spans="1:6" ht="33.4" customHeight="1" thickBot="1">
      <c r="A10" s="2524" t="s">
        <v>1234</v>
      </c>
      <c r="B10" s="2525"/>
      <c r="C10" s="2526"/>
      <c r="D10" s="2524" t="s">
        <v>1235</v>
      </c>
      <c r="E10" s="2525"/>
      <c r="F10" s="2526"/>
    </row>
    <row r="11" spans="1:6" ht="15.75" thickBot="1">
      <c r="A11" s="439"/>
      <c r="B11" s="439"/>
      <c r="C11" s="439"/>
      <c r="D11" s="439"/>
      <c r="E11" s="439"/>
      <c r="F11" s="439"/>
    </row>
    <row r="12" spans="1:6" ht="30.4" customHeight="1" thickBot="1">
      <c r="A12" s="440" t="s">
        <v>1209</v>
      </c>
      <c r="B12" s="441" t="s">
        <v>1210</v>
      </c>
      <c r="C12" s="442" t="s">
        <v>1212</v>
      </c>
      <c r="D12" s="440" t="s">
        <v>1209</v>
      </c>
      <c r="E12" s="441" t="s">
        <v>1210</v>
      </c>
      <c r="F12" s="442" t="s">
        <v>1212</v>
      </c>
    </row>
    <row r="13" spans="1:6" ht="13.5" thickBot="1">
      <c r="A13" s="443"/>
      <c r="B13" s="444"/>
      <c r="C13" s="445"/>
      <c r="D13" s="443"/>
      <c r="E13" s="444"/>
      <c r="F13" s="445"/>
    </row>
    <row r="14" spans="1:6" ht="16.5" thickBot="1">
      <c r="A14" s="446" t="s">
        <v>1222</v>
      </c>
      <c r="B14" s="447" t="s">
        <v>1223</v>
      </c>
      <c r="C14" s="448">
        <v>12</v>
      </c>
      <c r="D14" s="446" t="s">
        <v>1222</v>
      </c>
      <c r="E14" s="447" t="s">
        <v>1223</v>
      </c>
      <c r="F14" s="448">
        <v>12</v>
      </c>
    </row>
    <row r="15" spans="1:6" ht="13.5" thickBot="1">
      <c r="A15" s="449"/>
      <c r="B15" s="450"/>
      <c r="C15" s="451"/>
      <c r="D15" s="449"/>
      <c r="E15" s="450"/>
      <c r="F15" s="451"/>
    </row>
    <row r="16" spans="1:6" ht="15">
      <c r="A16" s="452"/>
      <c r="B16" s="453" t="s">
        <v>1224</v>
      </c>
      <c r="C16" s="454">
        <v>1.32</v>
      </c>
      <c r="D16" s="452"/>
      <c r="E16" s="453" t="s">
        <v>1224</v>
      </c>
      <c r="F16" s="454">
        <v>1.32</v>
      </c>
    </row>
    <row r="17" spans="1:6" ht="15">
      <c r="A17" s="455"/>
      <c r="B17" s="456" t="s">
        <v>1225</v>
      </c>
      <c r="C17" s="457">
        <v>6.08</v>
      </c>
      <c r="D17" s="455"/>
      <c r="E17" s="456" t="s">
        <v>1225</v>
      </c>
      <c r="F17" s="457">
        <v>6.08</v>
      </c>
    </row>
    <row r="18" spans="1:6" ht="15">
      <c r="A18" s="455"/>
      <c r="B18" s="456" t="s">
        <v>1226</v>
      </c>
      <c r="C18" s="457">
        <v>5</v>
      </c>
      <c r="D18" s="455"/>
      <c r="E18" s="456" t="s">
        <v>1226</v>
      </c>
      <c r="F18" s="457">
        <v>5</v>
      </c>
    </row>
    <row r="19" spans="1:6" ht="15">
      <c r="A19" s="455"/>
      <c r="B19" s="456" t="s">
        <v>1227</v>
      </c>
      <c r="C19" s="457">
        <v>0</v>
      </c>
      <c r="D19" s="455"/>
      <c r="E19" s="456" t="s">
        <v>1227</v>
      </c>
      <c r="F19" s="457">
        <v>4.5</v>
      </c>
    </row>
    <row r="20" spans="1:6" ht="16.5" thickBot="1">
      <c r="A20" s="458" t="s">
        <v>1228</v>
      </c>
      <c r="B20" s="459" t="s">
        <v>1229</v>
      </c>
      <c r="C20" s="460">
        <f>SUM(C16:C19)</f>
        <v>12.4</v>
      </c>
      <c r="D20" s="458" t="s">
        <v>1228</v>
      </c>
      <c r="E20" s="459" t="s">
        <v>1229</v>
      </c>
      <c r="F20" s="460">
        <f>SUM(F16:F19)</f>
        <v>16.899999999999999</v>
      </c>
    </row>
    <row r="21" spans="1:6" ht="13.5" thickBot="1">
      <c r="A21" s="461"/>
      <c r="B21" s="462"/>
      <c r="C21" s="463"/>
      <c r="D21" s="461"/>
      <c r="E21" s="462"/>
      <c r="F21" s="463"/>
    </row>
    <row r="22" spans="1:6" ht="16.5" thickBot="1">
      <c r="A22" s="464" t="s">
        <v>1233</v>
      </c>
      <c r="B22" s="465"/>
      <c r="C22" s="466">
        <f>ROUND(_xlfn.LET(
_xlpm.L,$C$14/100,
_xlpm.I,$C$20/100,
ABS(((1+_xlpm.L)/(1-_xlpm.I))-1)*100),2)</f>
        <v>27.85</v>
      </c>
      <c r="D22" s="464" t="s">
        <v>1233</v>
      </c>
      <c r="E22" s="465"/>
      <c r="F22" s="466">
        <f>ROUND(_xlfn.LET(_xlpm.L,$F$14/100,_xlpm.I,$F$20/100,ABS(((1+_xlpm.L)/(1-_xlpm.I))-1)*100),2)</f>
        <v>34.78</v>
      </c>
    </row>
    <row r="23" spans="1:6">
      <c r="A23" s="450"/>
      <c r="B23" s="450"/>
      <c r="C23" s="467"/>
      <c r="D23" s="450"/>
      <c r="E23" s="450"/>
      <c r="F23" s="467"/>
    </row>
    <row r="24" spans="1:6" ht="15">
      <c r="A24" s="468"/>
      <c r="B24" s="468"/>
      <c r="C24" s="468"/>
      <c r="D24" s="468"/>
      <c r="E24" s="468"/>
      <c r="F24" s="468"/>
    </row>
    <row r="25" spans="1:6" ht="15">
      <c r="A25" s="469" t="s">
        <v>1231</v>
      </c>
      <c r="B25"/>
      <c r="C25" s="470"/>
      <c r="D25" s="469" t="s">
        <v>1231</v>
      </c>
      <c r="E25"/>
      <c r="F25" s="470"/>
    </row>
    <row r="26" spans="1:6" ht="15">
      <c r="A26" s="471"/>
      <c r="B26" s="471"/>
      <c r="C26" s="472"/>
      <c r="D26" s="471"/>
      <c r="E26" s="471"/>
      <c r="F26" s="472"/>
    </row>
    <row r="27" spans="1:6" ht="15">
      <c r="A27" s="471"/>
      <c r="B27" s="471"/>
      <c r="C27" s="472"/>
      <c r="D27" s="471"/>
      <c r="E27" s="471"/>
      <c r="F27" s="472"/>
    </row>
  </sheetData>
  <mergeCells count="20">
    <mergeCell ref="A1:C1"/>
    <mergeCell ref="D1:F1"/>
    <mergeCell ref="A2:C2"/>
    <mergeCell ref="D2:F2"/>
    <mergeCell ref="A3:C3"/>
    <mergeCell ref="D3:F3"/>
    <mergeCell ref="A4:C4"/>
    <mergeCell ref="D4:F4"/>
    <mergeCell ref="A5:C5"/>
    <mergeCell ref="D5:F5"/>
    <mergeCell ref="A6:C6"/>
    <mergeCell ref="D6:F6"/>
    <mergeCell ref="A10:C10"/>
    <mergeCell ref="D10:F10"/>
    <mergeCell ref="A7:C7"/>
    <mergeCell ref="D7:F7"/>
    <mergeCell ref="A8:C8"/>
    <mergeCell ref="D8:F8"/>
    <mergeCell ref="A9:C9"/>
    <mergeCell ref="D9:F9"/>
  </mergeCells>
  <conditionalFormatting sqref="A3:F3">
    <cfRule type="expression" dxfId="108" priority="1">
      <formula>A$3=0</formula>
    </cfRule>
  </conditionalFormatting>
  <conditionalFormatting sqref="C14:C15">
    <cfRule type="cellIs" dxfId="107" priority="10" stopIfTrue="1" operator="greaterThan">
      <formula>#REF!</formula>
    </cfRule>
    <cfRule type="cellIs" dxfId="106" priority="11" stopIfTrue="1" operator="lessThan">
      <formula>#REF!</formula>
    </cfRule>
  </conditionalFormatting>
  <conditionalFormatting sqref="C22">
    <cfRule type="cellIs" dxfId="105" priority="8" stopIfTrue="1" operator="greaterThan">
      <formula>30</formula>
    </cfRule>
    <cfRule type="cellIs" dxfId="104" priority="9" stopIfTrue="1" operator="lessThan">
      <formula>0</formula>
    </cfRule>
  </conditionalFormatting>
  <conditionalFormatting sqref="C23">
    <cfRule type="cellIs" dxfId="103" priority="6" stopIfTrue="1" operator="greaterThan">
      <formula>27.84</formula>
    </cfRule>
    <cfRule type="cellIs" dxfId="102" priority="7" stopIfTrue="1" operator="lessThan">
      <formula>0</formula>
    </cfRule>
  </conditionalFormatting>
  <conditionalFormatting sqref="F14:F15">
    <cfRule type="cellIs" dxfId="101" priority="4" stopIfTrue="1" operator="greaterThan">
      <formula>#REF!</formula>
    </cfRule>
    <cfRule type="cellIs" dxfId="100" priority="5" stopIfTrue="1" operator="lessThan">
      <formula>#REF!</formula>
    </cfRule>
  </conditionalFormatting>
  <conditionalFormatting sqref="F23">
    <cfRule type="cellIs" dxfId="99" priority="2" stopIfTrue="1" operator="greaterThan">
      <formula>27.84</formula>
    </cfRule>
    <cfRule type="cellIs" dxfId="98" priority="3" stopIfTrue="1" operator="lessThan">
      <formula>0</formula>
    </cfRule>
  </conditionalFormatting>
  <pageMargins left="0.39370078740157477" right="0.59055118110236215" top="0.39370078740157477" bottom="0.59055118110236215" header="0.31496062000000002" footer="0.31496062000000002"/>
  <pageSetup paperSize="9" scale="98" orientation="portrait" horizontalDpi="1200" verticalDpi="1200" r:id="rId1"/>
  <headerFooter>
    <oddFooter>&amp;C&amp;8Página &amp;P/&amp;N</oddFooter>
  </headerFooter>
  <colBreaks count="1" manualBreakCount="1">
    <brk id="3" max="26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C02E4-37F4-488D-AA02-17D8F3B124FC}">
  <sheetPr codeName="Planilha2">
    <tabColor rgb="FF92D050"/>
  </sheetPr>
  <dimension ref="A1:P613"/>
  <sheetViews>
    <sheetView showZeros="0" zoomScaleNormal="100" workbookViewId="0"/>
  </sheetViews>
  <sheetFormatPr defaultColWidth="9" defaultRowHeight="12.75"/>
  <cols>
    <col min="1" max="1" width="18.125" style="13" customWidth="1"/>
    <col min="2" max="2" width="90.625" style="13" customWidth="1"/>
    <col min="3" max="3" width="7.625" style="13" customWidth="1"/>
    <col min="4" max="4" width="8.75" style="13" customWidth="1"/>
    <col min="5" max="6" width="12.625" style="13" customWidth="1"/>
    <col min="7" max="7" width="18.25" style="13" customWidth="1"/>
    <col min="8" max="8" width="12.875" style="13" customWidth="1"/>
    <col min="9" max="9" width="13.75" style="13" customWidth="1"/>
    <col min="10" max="10" width="16" style="13" customWidth="1"/>
    <col min="11" max="11" width="12.625" style="13" customWidth="1"/>
    <col min="12" max="12" width="18.25" style="13" customWidth="1"/>
    <col min="13" max="13" width="12.875" style="13" customWidth="1"/>
    <col min="14" max="14" width="13.75" style="13" customWidth="1"/>
    <col min="15" max="15" width="16" style="13" customWidth="1"/>
    <col min="16" max="16" width="10.625" style="13" customWidth="1"/>
    <col min="17" max="16384" width="9" style="13"/>
  </cols>
  <sheetData>
    <row r="1" spans="1:16" s="12" customFormat="1" ht="28.9" customHeight="1">
      <c r="A1" s="24" t="s">
        <v>3516</v>
      </c>
      <c r="B1" s="473"/>
      <c r="C1" s="474"/>
      <c r="D1" s="474"/>
      <c r="H1" s="475"/>
      <c r="M1" s="475"/>
      <c r="P1" s="12" t="s">
        <v>1236</v>
      </c>
    </row>
    <row r="2" spans="1:16" s="12" customFormat="1" ht="28.9" customHeight="1">
      <c r="A2" s="23" t="s">
        <v>3517</v>
      </c>
      <c r="B2" s="23"/>
      <c r="C2" s="66"/>
      <c r="D2" s="66"/>
      <c r="E2" s="476"/>
      <c r="H2" s="475"/>
      <c r="M2" s="475"/>
      <c r="P2" s="12" t="s">
        <v>1236</v>
      </c>
    </row>
    <row r="3" spans="1:16" s="12" customFormat="1" ht="28.9" customHeight="1">
      <c r="A3" s="477"/>
      <c r="B3" s="42"/>
      <c r="C3" s="66"/>
      <c r="D3" s="66"/>
      <c r="E3" s="476"/>
      <c r="H3" s="475"/>
      <c r="M3" s="475"/>
      <c r="P3" s="12" t="s">
        <v>1236</v>
      </c>
    </row>
    <row r="4" spans="1:16" s="12" customFormat="1" ht="28.9" customHeight="1">
      <c r="A4" s="478">
        <v>0</v>
      </c>
      <c r="B4" s="479">
        <v>0</v>
      </c>
      <c r="C4" s="50"/>
      <c r="D4" s="50"/>
      <c r="E4" s="480"/>
      <c r="F4" s="475"/>
      <c r="G4" s="481"/>
      <c r="H4" s="475"/>
      <c r="K4" s="475"/>
      <c r="L4" s="481"/>
      <c r="M4" s="475"/>
      <c r="P4" s="12" t="s">
        <v>1236</v>
      </c>
    </row>
    <row r="5" spans="1:16" s="12" customFormat="1" ht="28.9" customHeight="1">
      <c r="A5" s="478" t="s">
        <v>16</v>
      </c>
      <c r="B5" s="479" t="s">
        <v>3518</v>
      </c>
      <c r="C5" s="57"/>
      <c r="D5" s="57"/>
      <c r="E5" s="43"/>
      <c r="F5" s="29" t="s">
        <v>3</v>
      </c>
      <c r="G5" s="281">
        <v>45383</v>
      </c>
      <c r="H5" s="475"/>
      <c r="K5" s="29" t="s">
        <v>3</v>
      </c>
      <c r="L5" s="281">
        <v>45383</v>
      </c>
      <c r="M5" s="475"/>
      <c r="P5" s="12" t="s">
        <v>1236</v>
      </c>
    </row>
    <row r="6" spans="1:16" s="12" customFormat="1" ht="28.9" customHeight="1">
      <c r="A6" s="478" t="s">
        <v>18</v>
      </c>
      <c r="B6" s="26" t="s">
        <v>3519</v>
      </c>
      <c r="C6" s="57"/>
      <c r="D6" s="57"/>
      <c r="E6" s="50"/>
      <c r="F6" s="29" t="s">
        <v>7</v>
      </c>
      <c r="G6" s="286" t="s">
        <v>8</v>
      </c>
      <c r="H6" s="475"/>
      <c r="K6" s="29" t="s">
        <v>7</v>
      </c>
      <c r="L6" s="286" t="s">
        <v>9</v>
      </c>
      <c r="M6" s="475"/>
      <c r="P6" s="12" t="s">
        <v>1236</v>
      </c>
    </row>
    <row r="7" spans="1:16" s="12" customFormat="1" ht="28.9" customHeight="1">
      <c r="A7" s="478" t="s">
        <v>21</v>
      </c>
      <c r="B7" s="479" t="s">
        <v>3520</v>
      </c>
      <c r="C7" s="62"/>
      <c r="D7" s="62"/>
      <c r="E7" s="50"/>
      <c r="F7" s="50"/>
      <c r="G7" s="50"/>
      <c r="H7" s="482"/>
      <c r="K7" s="50"/>
      <c r="L7" s="50"/>
      <c r="M7" s="482"/>
      <c r="P7" s="12" t="s">
        <v>1236</v>
      </c>
    </row>
    <row r="8" spans="1:16" s="12" customFormat="1" ht="28.9" customHeight="1">
      <c r="A8" s="43"/>
      <c r="B8" s="43"/>
      <c r="C8" s="62"/>
      <c r="D8" s="62"/>
      <c r="E8" s="50"/>
      <c r="F8" s="2530">
        <v>0</v>
      </c>
      <c r="G8" s="2530"/>
      <c r="I8" s="483" t="s">
        <v>1237</v>
      </c>
      <c r="J8" s="484">
        <v>0.8</v>
      </c>
      <c r="K8" s="2530">
        <v>0</v>
      </c>
      <c r="L8" s="2530"/>
      <c r="N8" s="483" t="s">
        <v>1237</v>
      </c>
      <c r="O8" s="484">
        <v>0.8</v>
      </c>
      <c r="P8" s="12" t="s">
        <v>1236</v>
      </c>
    </row>
    <row r="9" spans="1:16" s="12" customFormat="1" ht="28.9" customHeight="1">
      <c r="B9" s="43"/>
      <c r="C9" s="43"/>
      <c r="D9" s="43"/>
      <c r="E9" s="50"/>
      <c r="F9" s="2530"/>
      <c r="G9" s="2530"/>
      <c r="I9" s="485" t="s">
        <v>1238</v>
      </c>
      <c r="J9" s="486">
        <v>0.95</v>
      </c>
      <c r="K9" s="2530"/>
      <c r="L9" s="2530"/>
      <c r="N9" s="485" t="s">
        <v>1238</v>
      </c>
      <c r="O9" s="486">
        <v>0.95</v>
      </c>
      <c r="P9" s="12" t="s">
        <v>1236</v>
      </c>
    </row>
    <row r="10" spans="1:16" s="12" customFormat="1" ht="28.9" customHeight="1">
      <c r="A10" s="487" t="s">
        <v>1239</v>
      </c>
      <c r="B10" s="488"/>
      <c r="C10" s="489"/>
      <c r="D10" s="489"/>
      <c r="E10" s="50"/>
      <c r="F10" s="50"/>
      <c r="G10" s="50"/>
      <c r="I10" s="490" t="s">
        <v>1240</v>
      </c>
      <c r="J10" s="491">
        <v>1</v>
      </c>
      <c r="K10" s="50"/>
      <c r="L10" s="50"/>
      <c r="N10" s="490" t="s">
        <v>1240</v>
      </c>
      <c r="O10" s="491">
        <v>1</v>
      </c>
      <c r="P10" s="12" t="s">
        <v>1236</v>
      </c>
    </row>
    <row r="11" spans="1:16" s="12" customFormat="1" ht="28.9" customHeight="1" thickBot="1">
      <c r="P11" s="12" t="s">
        <v>1236</v>
      </c>
    </row>
    <row r="12" spans="1:16" s="105" customFormat="1" ht="50.1" customHeight="1" thickTop="1" thickBot="1">
      <c r="A12" s="492" t="s">
        <v>63</v>
      </c>
      <c r="B12" s="493" t="s">
        <v>66</v>
      </c>
      <c r="C12" s="493" t="s">
        <v>28</v>
      </c>
      <c r="D12" s="493" t="s">
        <v>1241</v>
      </c>
      <c r="E12" s="493" t="s">
        <v>29</v>
      </c>
      <c r="F12" s="494" t="s">
        <v>1242</v>
      </c>
      <c r="G12" s="494" t="s">
        <v>31</v>
      </c>
      <c r="H12" s="493" t="s">
        <v>1243</v>
      </c>
      <c r="I12" s="495" t="s">
        <v>1244</v>
      </c>
      <c r="J12" s="496" t="s">
        <v>1245</v>
      </c>
      <c r="K12" s="494" t="s">
        <v>1242</v>
      </c>
      <c r="L12" s="494" t="s">
        <v>31</v>
      </c>
      <c r="M12" s="493" t="s">
        <v>1243</v>
      </c>
      <c r="N12" s="495" t="s">
        <v>1244</v>
      </c>
      <c r="O12" s="496" t="s">
        <v>1245</v>
      </c>
    </row>
    <row r="13" spans="1:16" ht="28.9" customHeight="1" thickTop="1">
      <c r="A13" s="497"/>
      <c r="B13" s="498" t="s">
        <v>451</v>
      </c>
      <c r="C13" s="499"/>
      <c r="D13" s="500">
        <v>277</v>
      </c>
      <c r="E13" s="497"/>
      <c r="F13" s="501"/>
      <c r="G13" s="502">
        <v>3092449.68</v>
      </c>
      <c r="H13" s="503" t="s">
        <v>3521</v>
      </c>
      <c r="I13" s="504"/>
      <c r="J13" s="505"/>
      <c r="K13" s="501"/>
      <c r="L13" s="502">
        <v>3401198.4400000004</v>
      </c>
      <c r="M13" s="503" t="s">
        <v>3521</v>
      </c>
      <c r="N13" s="504"/>
      <c r="O13" s="505"/>
      <c r="P13" s="13" t="s">
        <v>1236</v>
      </c>
    </row>
    <row r="14" spans="1:16" s="14" customFormat="1" ht="50.1" customHeight="1">
      <c r="A14" s="506" t="s">
        <v>288</v>
      </c>
      <c r="B14" s="507" t="s">
        <v>3530</v>
      </c>
      <c r="C14" s="506" t="s">
        <v>464</v>
      </c>
      <c r="D14" s="506">
        <v>1</v>
      </c>
      <c r="E14" s="511">
        <v>775.8</v>
      </c>
      <c r="F14" s="511">
        <v>1983.29</v>
      </c>
      <c r="G14" s="511">
        <v>1538636.38</v>
      </c>
      <c r="H14" s="513">
        <v>0.49754613307078932</v>
      </c>
      <c r="I14" s="513">
        <v>0.49754613307078932</v>
      </c>
      <c r="J14" s="514" t="s">
        <v>1237</v>
      </c>
      <c r="K14" s="511">
        <v>2075.2399999999998</v>
      </c>
      <c r="L14" s="511">
        <v>1609971.19</v>
      </c>
      <c r="M14" s="513">
        <v>0.47335408927213307</v>
      </c>
      <c r="N14" s="513">
        <v>0.47335408927213307</v>
      </c>
      <c r="O14" s="514" t="s">
        <v>1237</v>
      </c>
      <c r="P14" s="14" t="s">
        <v>1236</v>
      </c>
    </row>
    <row r="15" spans="1:16" s="14" customFormat="1" ht="39.950000000000003" customHeight="1">
      <c r="A15" s="506" t="s">
        <v>278</v>
      </c>
      <c r="B15" s="507" t="s">
        <v>3531</v>
      </c>
      <c r="C15" s="509" t="s">
        <v>464</v>
      </c>
      <c r="D15" s="506">
        <v>1</v>
      </c>
      <c r="E15" s="511">
        <v>3620.4</v>
      </c>
      <c r="F15" s="511">
        <v>238.69</v>
      </c>
      <c r="G15" s="511">
        <v>864153.27</v>
      </c>
      <c r="H15" s="513">
        <v>0.27943971912907567</v>
      </c>
      <c r="I15" s="513">
        <v>0.77698585219986493</v>
      </c>
      <c r="J15" s="514" t="s">
        <v>1237</v>
      </c>
      <c r="K15" s="511">
        <v>233.53</v>
      </c>
      <c r="L15" s="511">
        <v>845472.01</v>
      </c>
      <c r="M15" s="513">
        <v>0.24858061795418201</v>
      </c>
      <c r="N15" s="513">
        <v>0.72193470722631514</v>
      </c>
      <c r="O15" s="514" t="s">
        <v>1237</v>
      </c>
      <c r="P15" s="14" t="s">
        <v>1236</v>
      </c>
    </row>
    <row r="16" spans="1:16" s="14" customFormat="1" ht="30" customHeight="1">
      <c r="A16" s="506" t="s">
        <v>249</v>
      </c>
      <c r="B16" s="220" t="s">
        <v>3532</v>
      </c>
      <c r="C16" s="509" t="s">
        <v>1418</v>
      </c>
      <c r="D16" s="506">
        <v>4</v>
      </c>
      <c r="E16" s="511">
        <v>17240</v>
      </c>
      <c r="F16" s="511">
        <v>6.37</v>
      </c>
      <c r="G16" s="511">
        <v>109818.8</v>
      </c>
      <c r="H16" s="513">
        <v>3.551191170877839E-2</v>
      </c>
      <c r="I16" s="513">
        <v>0.81249776390864337</v>
      </c>
      <c r="J16" s="514" t="s">
        <v>1238</v>
      </c>
      <c r="K16" s="511">
        <v>6.64</v>
      </c>
      <c r="L16" s="511">
        <v>114473.60000000001</v>
      </c>
      <c r="M16" s="513">
        <v>3.3656842439337351E-2</v>
      </c>
      <c r="N16" s="513">
        <v>0.75559154966565245</v>
      </c>
      <c r="O16" s="514" t="s">
        <v>1237</v>
      </c>
      <c r="P16" s="14" t="s">
        <v>1236</v>
      </c>
    </row>
    <row r="17" spans="1:16" s="14" customFormat="1" ht="30" customHeight="1">
      <c r="A17" s="506">
        <v>93599</v>
      </c>
      <c r="B17" s="507" t="s">
        <v>3533</v>
      </c>
      <c r="C17" s="509" t="s">
        <v>3534</v>
      </c>
      <c r="D17" s="506">
        <v>12</v>
      </c>
      <c r="E17" s="511">
        <v>158560.79999999999</v>
      </c>
      <c r="F17" s="511">
        <v>0.67</v>
      </c>
      <c r="G17" s="511">
        <v>106235.73</v>
      </c>
      <c r="H17" s="513">
        <v>3.4353260681027474E-2</v>
      </c>
      <c r="I17" s="513">
        <v>0.84685102458967088</v>
      </c>
      <c r="J17" s="514" t="s">
        <v>1238</v>
      </c>
      <c r="K17" s="511">
        <v>0.7</v>
      </c>
      <c r="L17" s="511">
        <v>110992.56</v>
      </c>
      <c r="M17" s="513">
        <v>3.2633367901932823E-2</v>
      </c>
      <c r="N17" s="513">
        <v>0.78822491756758528</v>
      </c>
      <c r="O17" s="514" t="s">
        <v>1237</v>
      </c>
      <c r="P17" s="14" t="s">
        <v>1236</v>
      </c>
    </row>
    <row r="18" spans="1:16" s="14" customFormat="1" ht="39.950000000000003" customHeight="1">
      <c r="A18" s="506">
        <v>95879</v>
      </c>
      <c r="B18" s="507" t="s">
        <v>3535</v>
      </c>
      <c r="C18" s="509" t="s">
        <v>3534</v>
      </c>
      <c r="D18" s="506">
        <v>12</v>
      </c>
      <c r="E18" s="511">
        <v>59460.3</v>
      </c>
      <c r="F18" s="511">
        <v>1.7</v>
      </c>
      <c r="G18" s="511">
        <v>101082.51</v>
      </c>
      <c r="H18" s="513">
        <v>3.2686873016475403E-2</v>
      </c>
      <c r="I18" s="513">
        <v>0.87953789760614631</v>
      </c>
      <c r="J18" s="514" t="s">
        <v>1238</v>
      </c>
      <c r="K18" s="511">
        <v>1.79</v>
      </c>
      <c r="L18" s="511">
        <v>106433.93</v>
      </c>
      <c r="M18" s="513">
        <v>3.1293066805005348E-2</v>
      </c>
      <c r="N18" s="513">
        <v>0.8195179843725906</v>
      </c>
      <c r="O18" s="514" t="s">
        <v>1238</v>
      </c>
      <c r="P18" s="14" t="s">
        <v>1236</v>
      </c>
    </row>
    <row r="19" spans="1:16" s="14" customFormat="1" ht="39.950000000000003" customHeight="1">
      <c r="A19" s="506" t="s">
        <v>412</v>
      </c>
      <c r="B19" s="507" t="s">
        <v>1256</v>
      </c>
      <c r="C19" s="509" t="s">
        <v>1258</v>
      </c>
      <c r="D19" s="506">
        <v>1</v>
      </c>
      <c r="E19" s="511">
        <v>1</v>
      </c>
      <c r="F19" s="511">
        <v>100703.92</v>
      </c>
      <c r="G19" s="511">
        <v>100703.92</v>
      </c>
      <c r="H19" s="513">
        <v>3.2564449035756012E-2</v>
      </c>
      <c r="I19" s="513">
        <v>0.91210234664190237</v>
      </c>
      <c r="J19" s="514" t="s">
        <v>1238</v>
      </c>
      <c r="K19" s="511">
        <v>337648.59</v>
      </c>
      <c r="L19" s="511">
        <v>337648.59</v>
      </c>
      <c r="M19" s="513">
        <v>9.9273416696027877E-2</v>
      </c>
      <c r="N19" s="513">
        <v>0.91879140106861845</v>
      </c>
      <c r="O19" s="514" t="s">
        <v>1238</v>
      </c>
      <c r="P19" s="14" t="s">
        <v>1236</v>
      </c>
    </row>
    <row r="20" spans="1:16" s="14" customFormat="1" ht="39.950000000000003" customHeight="1">
      <c r="A20" s="506" t="s">
        <v>277</v>
      </c>
      <c r="B20" s="507" t="s">
        <v>3536</v>
      </c>
      <c r="C20" s="509" t="s">
        <v>464</v>
      </c>
      <c r="D20" s="506">
        <v>1</v>
      </c>
      <c r="E20" s="511">
        <v>258.60000000000002</v>
      </c>
      <c r="F20" s="511">
        <v>383.88</v>
      </c>
      <c r="G20" s="511">
        <v>99271.360000000001</v>
      </c>
      <c r="H20" s="513">
        <v>3.2101204634637739E-2</v>
      </c>
      <c r="I20" s="513">
        <v>0.9442035512765401</v>
      </c>
      <c r="J20" s="514" t="s">
        <v>1238</v>
      </c>
      <c r="K20" s="511">
        <v>378.16</v>
      </c>
      <c r="L20" s="511">
        <v>97792.17</v>
      </c>
      <c r="M20" s="513">
        <v>2.8752268274002849E-2</v>
      </c>
      <c r="N20" s="513">
        <v>0.94754366934262135</v>
      </c>
      <c r="O20" s="514" t="s">
        <v>1238</v>
      </c>
      <c r="P20" s="14" t="s">
        <v>1236</v>
      </c>
    </row>
    <row r="21" spans="1:16" s="14" customFormat="1" ht="39.950000000000003" customHeight="1">
      <c r="A21" s="506">
        <v>95876</v>
      </c>
      <c r="B21" s="507" t="s">
        <v>3537</v>
      </c>
      <c r="C21" s="509" t="s">
        <v>3538</v>
      </c>
      <c r="D21" s="506">
        <v>95</v>
      </c>
      <c r="E21" s="511">
        <v>19751.88</v>
      </c>
      <c r="F21" s="511">
        <v>2.52</v>
      </c>
      <c r="G21" s="511">
        <v>49774.73</v>
      </c>
      <c r="H21" s="513">
        <v>1.6095566670627282E-2</v>
      </c>
      <c r="I21" s="513">
        <v>0.96029911794716738</v>
      </c>
      <c r="J21" s="514" t="s">
        <v>1240</v>
      </c>
      <c r="K21" s="511">
        <v>2.66</v>
      </c>
      <c r="L21" s="511">
        <v>52539.990000000005</v>
      </c>
      <c r="M21" s="513">
        <v>1.5447493266520491E-2</v>
      </c>
      <c r="N21" s="513">
        <v>0.96299116260914186</v>
      </c>
      <c r="O21" s="514" t="s">
        <v>1240</v>
      </c>
      <c r="P21" s="14" t="s">
        <v>1236</v>
      </c>
    </row>
    <row r="22" spans="1:16" s="14" customFormat="1" ht="39.950000000000003" customHeight="1">
      <c r="A22" s="506" t="s">
        <v>287</v>
      </c>
      <c r="B22" s="507" t="s">
        <v>3539</v>
      </c>
      <c r="C22" s="509" t="s">
        <v>1418</v>
      </c>
      <c r="D22" s="506">
        <v>6</v>
      </c>
      <c r="E22" s="511">
        <v>8620</v>
      </c>
      <c r="F22" s="511">
        <v>2.86</v>
      </c>
      <c r="G22" s="511">
        <v>24653.200000000001</v>
      </c>
      <c r="H22" s="513">
        <v>7.9720618121747414E-3</v>
      </c>
      <c r="I22" s="513">
        <v>0.96827117975934207</v>
      </c>
      <c r="J22" s="514" t="s">
        <v>1240</v>
      </c>
      <c r="K22" s="511">
        <v>2.95</v>
      </c>
      <c r="L22" s="511">
        <v>25429</v>
      </c>
      <c r="M22" s="513">
        <v>7.4764823189793061E-3</v>
      </c>
      <c r="N22" s="513">
        <v>0.97046764492812121</v>
      </c>
      <c r="O22" s="514" t="s">
        <v>1240</v>
      </c>
      <c r="P22" s="14" t="s">
        <v>1236</v>
      </c>
    </row>
    <row r="23" spans="1:16" s="14" customFormat="1" ht="30" customHeight="1">
      <c r="A23" s="506" t="s">
        <v>89</v>
      </c>
      <c r="B23" s="507" t="s">
        <v>3540</v>
      </c>
      <c r="C23" s="509" t="s">
        <v>3541</v>
      </c>
      <c r="D23" s="506">
        <v>2</v>
      </c>
      <c r="E23" s="511">
        <v>12</v>
      </c>
      <c r="F23" s="511">
        <v>1870.85</v>
      </c>
      <c r="G23" s="511">
        <v>22450.2</v>
      </c>
      <c r="H23" s="513">
        <v>7.2596815867994975E-3</v>
      </c>
      <c r="I23" s="513">
        <v>0.97553086134614153</v>
      </c>
      <c r="J23" s="514" t="s">
        <v>1240</v>
      </c>
      <c r="K23" s="511">
        <v>1964.47</v>
      </c>
      <c r="L23" s="511">
        <v>23573.64</v>
      </c>
      <c r="M23" s="513">
        <v>6.9309804811035951E-3</v>
      </c>
      <c r="N23" s="513">
        <v>0.97739862540922484</v>
      </c>
      <c r="O23" s="514" t="s">
        <v>1240</v>
      </c>
      <c r="P23" s="14" t="s">
        <v>1236</v>
      </c>
    </row>
    <row r="24" spans="1:16" s="14" customFormat="1" ht="39.950000000000003" customHeight="1">
      <c r="A24" s="506" t="s">
        <v>88</v>
      </c>
      <c r="B24" s="507" t="s">
        <v>1449</v>
      </c>
      <c r="C24" s="509" t="s">
        <v>3542</v>
      </c>
      <c r="D24" s="506">
        <v>1</v>
      </c>
      <c r="E24" s="511">
        <v>12</v>
      </c>
      <c r="F24" s="511">
        <v>1140.8900000000001</v>
      </c>
      <c r="G24" s="511">
        <v>13690.68</v>
      </c>
      <c r="H24" s="513">
        <v>4.4271310503587562E-3</v>
      </c>
      <c r="I24" s="513">
        <v>0.97995799239650028</v>
      </c>
      <c r="J24" s="514" t="s">
        <v>1240</v>
      </c>
      <c r="K24" s="511">
        <v>1197.98</v>
      </c>
      <c r="L24" s="511">
        <v>14375.76</v>
      </c>
      <c r="M24" s="513">
        <v>4.2266748775763871E-3</v>
      </c>
      <c r="N24" s="513">
        <v>0.98162530028680128</v>
      </c>
      <c r="O24" s="514" t="s">
        <v>1240</v>
      </c>
      <c r="P24" s="14" t="s">
        <v>1236</v>
      </c>
    </row>
    <row r="25" spans="1:16" s="14" customFormat="1" ht="39.950000000000003" customHeight="1">
      <c r="A25" s="506" t="s">
        <v>86</v>
      </c>
      <c r="B25" s="507" t="s">
        <v>1435</v>
      </c>
      <c r="C25" s="509" t="s">
        <v>3542</v>
      </c>
      <c r="D25" s="506">
        <v>1</v>
      </c>
      <c r="E25" s="511">
        <v>12</v>
      </c>
      <c r="F25" s="511">
        <v>1004.82</v>
      </c>
      <c r="G25" s="511">
        <v>12057.84</v>
      </c>
      <c r="H25" s="513">
        <v>3.8991224588010112E-3</v>
      </c>
      <c r="I25" s="513">
        <v>0.98385711485530125</v>
      </c>
      <c r="J25" s="514" t="s">
        <v>1240</v>
      </c>
      <c r="K25" s="511">
        <v>1055.1099999999999</v>
      </c>
      <c r="L25" s="511">
        <v>12661.32</v>
      </c>
      <c r="M25" s="513">
        <v>3.7226054943151152E-3</v>
      </c>
      <c r="N25" s="513">
        <v>0.98534790578111642</v>
      </c>
      <c r="O25" s="514" t="s">
        <v>1240</v>
      </c>
      <c r="P25" s="14" t="s">
        <v>1236</v>
      </c>
    </row>
    <row r="26" spans="1:16" s="14" customFormat="1" ht="50.1" customHeight="1">
      <c r="A26" s="506" t="s">
        <v>93</v>
      </c>
      <c r="B26" s="507" t="s">
        <v>1432</v>
      </c>
      <c r="C26" s="509" t="s">
        <v>58</v>
      </c>
      <c r="D26" s="506">
        <v>1</v>
      </c>
      <c r="E26" s="511">
        <v>200</v>
      </c>
      <c r="F26" s="511">
        <v>47.23</v>
      </c>
      <c r="G26" s="511">
        <v>9446</v>
      </c>
      <c r="H26" s="513">
        <v>3.0545363635472314E-3</v>
      </c>
      <c r="I26" s="513">
        <v>0.9869116512188485</v>
      </c>
      <c r="J26" s="514" t="s">
        <v>1240</v>
      </c>
      <c r="K26" s="511">
        <v>44.32</v>
      </c>
      <c r="L26" s="511">
        <v>8864</v>
      </c>
      <c r="M26" s="513">
        <v>2.606140205097824E-3</v>
      </c>
      <c r="N26" s="513">
        <v>0.98795404598621428</v>
      </c>
      <c r="O26" s="514" t="s">
        <v>1240</v>
      </c>
      <c r="P26" s="14" t="s">
        <v>1236</v>
      </c>
    </row>
    <row r="27" spans="1:16" s="14" customFormat="1" ht="39.950000000000003" customHeight="1">
      <c r="A27" s="506" t="s">
        <v>87</v>
      </c>
      <c r="B27" s="507" t="s">
        <v>1440</v>
      </c>
      <c r="C27" s="509" t="s">
        <v>3542</v>
      </c>
      <c r="D27" s="506">
        <v>1</v>
      </c>
      <c r="E27" s="511">
        <v>12</v>
      </c>
      <c r="F27" s="511">
        <v>785.02</v>
      </c>
      <c r="G27" s="511">
        <v>9420.24</v>
      </c>
      <c r="H27" s="513">
        <v>3.0462063977707145E-3</v>
      </c>
      <c r="I27" s="513">
        <v>0.98995785761661925</v>
      </c>
      <c r="J27" s="514" t="s">
        <v>1240</v>
      </c>
      <c r="K27" s="511">
        <v>824.3</v>
      </c>
      <c r="L27" s="511">
        <v>9891.6</v>
      </c>
      <c r="M27" s="513">
        <v>2.9082690041454915E-3</v>
      </c>
      <c r="N27" s="513">
        <v>0.99086231499035982</v>
      </c>
      <c r="O27" s="514" t="s">
        <v>1240</v>
      </c>
      <c r="P27" s="14" t="s">
        <v>1236</v>
      </c>
    </row>
    <row r="28" spans="1:16" s="14" customFormat="1" ht="39.950000000000003" customHeight="1">
      <c r="A28" s="506" t="s">
        <v>94</v>
      </c>
      <c r="B28" s="507" t="s">
        <v>3543</v>
      </c>
      <c r="C28" s="509" t="s">
        <v>1418</v>
      </c>
      <c r="D28" s="506">
        <v>3</v>
      </c>
      <c r="E28" s="511">
        <v>7.2</v>
      </c>
      <c r="F28" s="511">
        <v>1194.27</v>
      </c>
      <c r="G28" s="511">
        <v>8598.74</v>
      </c>
      <c r="H28" s="513">
        <v>2.7805593913495788E-3</v>
      </c>
      <c r="I28" s="513">
        <v>0.99273841700796883</v>
      </c>
      <c r="J28" s="514" t="s">
        <v>1240</v>
      </c>
      <c r="K28" s="511">
        <v>1191.1099999999999</v>
      </c>
      <c r="L28" s="511">
        <v>8575.99</v>
      </c>
      <c r="M28" s="513">
        <v>2.521461229413006E-3</v>
      </c>
      <c r="N28" s="513">
        <v>0.99338377621977281</v>
      </c>
      <c r="O28" s="514" t="s">
        <v>1240</v>
      </c>
      <c r="P28" s="14" t="s">
        <v>1236</v>
      </c>
    </row>
    <row r="29" spans="1:16" s="14" customFormat="1" ht="39.950000000000003" customHeight="1">
      <c r="A29" s="506" t="s">
        <v>82</v>
      </c>
      <c r="B29" s="507" t="s">
        <v>3544</v>
      </c>
      <c r="C29" s="509" t="s">
        <v>1418</v>
      </c>
      <c r="D29" s="506">
        <v>1</v>
      </c>
      <c r="E29" s="511">
        <v>16</v>
      </c>
      <c r="F29" s="511">
        <v>435.38</v>
      </c>
      <c r="G29" s="511">
        <v>6966.08</v>
      </c>
      <c r="H29" s="513">
        <v>2.2526090060744335E-3</v>
      </c>
      <c r="I29" s="513">
        <v>0.99499102601404321</v>
      </c>
      <c r="J29" s="514" t="s">
        <v>1240</v>
      </c>
      <c r="K29" s="511">
        <v>449.49</v>
      </c>
      <c r="L29" s="511">
        <v>7191.84</v>
      </c>
      <c r="M29" s="513">
        <v>2.1145017342769331E-3</v>
      </c>
      <c r="N29" s="513">
        <v>0.99549827795404977</v>
      </c>
      <c r="O29" s="514" t="s">
        <v>1240</v>
      </c>
      <c r="P29" s="14" t="s">
        <v>1236</v>
      </c>
    </row>
    <row r="30" spans="1:16" s="14" customFormat="1" ht="50.1" customHeight="1">
      <c r="A30" s="506">
        <v>100979</v>
      </c>
      <c r="B30" s="507" t="s">
        <v>1420</v>
      </c>
      <c r="C30" s="509" t="s">
        <v>464</v>
      </c>
      <c r="D30" s="506">
        <v>6</v>
      </c>
      <c r="E30" s="511">
        <v>500</v>
      </c>
      <c r="F30" s="511">
        <v>7.72</v>
      </c>
      <c r="G30" s="511">
        <v>3860</v>
      </c>
      <c r="H30" s="513">
        <v>1.2482013935308399E-3</v>
      </c>
      <c r="I30" s="513">
        <v>0.99623922740757409</v>
      </c>
      <c r="J30" s="514" t="s">
        <v>1240</v>
      </c>
      <c r="K30" s="511">
        <v>8.11</v>
      </c>
      <c r="L30" s="511">
        <v>4055</v>
      </c>
      <c r="M30" s="513">
        <v>1.1922268199088082E-3</v>
      </c>
      <c r="N30" s="513">
        <v>0.9966905047739586</v>
      </c>
      <c r="O30" s="514" t="s">
        <v>1240</v>
      </c>
      <c r="P30" s="14" t="s">
        <v>1236</v>
      </c>
    </row>
    <row r="31" spans="1:16" s="14" customFormat="1" ht="39.950000000000003" customHeight="1">
      <c r="A31" s="506" t="s">
        <v>91</v>
      </c>
      <c r="B31" s="507" t="s">
        <v>1425</v>
      </c>
      <c r="C31" s="509" t="s">
        <v>1418</v>
      </c>
      <c r="D31" s="506">
        <v>2</v>
      </c>
      <c r="E31" s="511">
        <v>625</v>
      </c>
      <c r="F31" s="511">
        <v>5.78</v>
      </c>
      <c r="G31" s="511">
        <v>3612.5</v>
      </c>
      <c r="H31" s="513">
        <v>1.1681677549559997E-3</v>
      </c>
      <c r="I31" s="513">
        <v>0.99740739516253007</v>
      </c>
      <c r="J31" s="514" t="s">
        <v>1240</v>
      </c>
      <c r="K31" s="511">
        <v>5.77</v>
      </c>
      <c r="L31" s="511">
        <v>3606.25</v>
      </c>
      <c r="M31" s="513">
        <v>1.0602880318856078E-3</v>
      </c>
      <c r="N31" s="513">
        <v>0.99775079280584422</v>
      </c>
      <c r="O31" s="514" t="s">
        <v>1240</v>
      </c>
      <c r="P31" s="14" t="s">
        <v>1236</v>
      </c>
    </row>
    <row r="32" spans="1:16" s="14" customFormat="1" ht="39.950000000000003" customHeight="1">
      <c r="A32" s="506">
        <v>93593</v>
      </c>
      <c r="B32" s="507" t="s">
        <v>3545</v>
      </c>
      <c r="C32" s="509" t="s">
        <v>3538</v>
      </c>
      <c r="D32" s="506">
        <v>85</v>
      </c>
      <c r="E32" s="511">
        <v>2750</v>
      </c>
      <c r="F32" s="511">
        <v>1.01</v>
      </c>
      <c r="G32" s="511">
        <v>2777.5</v>
      </c>
      <c r="H32" s="513">
        <v>8.9815527733987251E-4</v>
      </c>
      <c r="I32" s="513">
        <v>0.9983055504398699</v>
      </c>
      <c r="J32" s="514" t="s">
        <v>1240</v>
      </c>
      <c r="K32" s="511">
        <v>1.07</v>
      </c>
      <c r="L32" s="511">
        <v>2942.5</v>
      </c>
      <c r="M32" s="513">
        <v>8.6513623121619438E-4</v>
      </c>
      <c r="N32" s="513">
        <v>0.99861592903706042</v>
      </c>
      <c r="O32" s="514" t="s">
        <v>1240</v>
      </c>
      <c r="P32" s="14" t="s">
        <v>1236</v>
      </c>
    </row>
    <row r="33" spans="1:16" s="14" customFormat="1" ht="39.950000000000003" customHeight="1">
      <c r="A33" s="506" t="s">
        <v>90</v>
      </c>
      <c r="B33" s="507" t="s">
        <v>1417</v>
      </c>
      <c r="C33" s="509" t="s">
        <v>1418</v>
      </c>
      <c r="D33" s="506">
        <v>1</v>
      </c>
      <c r="E33" s="511">
        <v>2500</v>
      </c>
      <c r="F33" s="511">
        <v>0.76</v>
      </c>
      <c r="G33" s="511">
        <v>1900</v>
      </c>
      <c r="H33" s="513">
        <v>6.1439964966543935E-4</v>
      </c>
      <c r="I33" s="513">
        <v>0.99891995008953538</v>
      </c>
      <c r="J33" s="515" t="s">
        <v>1240</v>
      </c>
      <c r="K33" s="511">
        <v>0.46</v>
      </c>
      <c r="L33" s="511">
        <v>1150</v>
      </c>
      <c r="M33" s="513">
        <v>3.3811611415416264E-4</v>
      </c>
      <c r="N33" s="513">
        <v>0.99895404515121455</v>
      </c>
      <c r="O33" s="514" t="s">
        <v>1240</v>
      </c>
      <c r="P33" s="14" t="s">
        <v>1236</v>
      </c>
    </row>
    <row r="34" spans="1:16" s="14" customFormat="1" ht="39.950000000000003" customHeight="1">
      <c r="A34" s="506">
        <v>102333</v>
      </c>
      <c r="B34" s="507" t="s">
        <v>3546</v>
      </c>
      <c r="C34" s="509" t="s">
        <v>3534</v>
      </c>
      <c r="D34" s="506">
        <v>20</v>
      </c>
      <c r="E34" s="511">
        <v>2000</v>
      </c>
      <c r="F34" s="511">
        <v>0.86</v>
      </c>
      <c r="G34" s="511">
        <v>1720</v>
      </c>
      <c r="H34" s="513">
        <v>5.5619336706555554E-4</v>
      </c>
      <c r="I34" s="513">
        <v>0.99947614345660096</v>
      </c>
      <c r="J34" s="515" t="s">
        <v>1240</v>
      </c>
      <c r="K34" s="511">
        <v>0.92</v>
      </c>
      <c r="L34" s="511">
        <v>1840</v>
      </c>
      <c r="M34" s="513">
        <v>5.4098578264666017E-4</v>
      </c>
      <c r="N34" s="513">
        <v>0.99949503093386116</v>
      </c>
      <c r="O34" s="514" t="s">
        <v>1240</v>
      </c>
      <c r="P34" s="14" t="s">
        <v>1236</v>
      </c>
    </row>
    <row r="35" spans="1:16" ht="30" customHeight="1">
      <c r="A35" s="28">
        <v>102332</v>
      </c>
      <c r="B35" s="508" t="s">
        <v>3547</v>
      </c>
      <c r="C35" s="510" t="s">
        <v>3534</v>
      </c>
      <c r="D35" s="28">
        <v>20</v>
      </c>
      <c r="E35" s="512">
        <v>750</v>
      </c>
      <c r="F35" s="512">
        <v>2.16</v>
      </c>
      <c r="G35" s="512">
        <v>1620</v>
      </c>
      <c r="H35" s="516">
        <v>5.238565433989535E-4</v>
      </c>
      <c r="I35" s="516">
        <v>0.99999999999999989</v>
      </c>
      <c r="J35" s="517" t="s">
        <v>1240</v>
      </c>
      <c r="K35" s="512">
        <v>2.29</v>
      </c>
      <c r="L35" s="512">
        <v>1717.5</v>
      </c>
      <c r="M35" s="513">
        <v>5.0496906613893414E-4</v>
      </c>
      <c r="N35" s="516">
        <v>1</v>
      </c>
      <c r="O35" s="518" t="s">
        <v>1240</v>
      </c>
      <c r="P35" s="13" t="s">
        <v>1236</v>
      </c>
    </row>
    <row r="36" spans="1:16">
      <c r="A36" s="28"/>
      <c r="B36" s="508"/>
      <c r="C36" s="510"/>
      <c r="D36" s="28"/>
      <c r="E36" s="512"/>
      <c r="F36" s="512"/>
      <c r="G36" s="512"/>
      <c r="H36" s="516">
        <v>0</v>
      </c>
      <c r="I36" s="516">
        <v>0.99999999999999989</v>
      </c>
      <c r="J36" s="517" t="s">
        <v>1240</v>
      </c>
      <c r="K36" s="512"/>
      <c r="L36" s="512"/>
      <c r="M36" s="513">
        <v>0</v>
      </c>
      <c r="N36" s="516">
        <v>1</v>
      </c>
      <c r="O36" s="518" t="s">
        <v>1240</v>
      </c>
      <c r="P36" s="13" t="s">
        <v>1236</v>
      </c>
    </row>
    <row r="37" spans="1:16">
      <c r="A37" s="28"/>
      <c r="B37" s="508"/>
      <c r="C37" s="510"/>
      <c r="D37" s="28"/>
      <c r="E37" s="512"/>
      <c r="F37" s="512"/>
      <c r="G37" s="512"/>
      <c r="H37" s="516">
        <v>0</v>
      </c>
      <c r="I37" s="516">
        <v>0.99999999999999989</v>
      </c>
      <c r="J37" s="517" t="s">
        <v>1240</v>
      </c>
      <c r="K37" s="512"/>
      <c r="L37" s="512"/>
      <c r="M37" s="513">
        <v>0</v>
      </c>
      <c r="N37" s="516">
        <v>1</v>
      </c>
      <c r="O37" s="518" t="s">
        <v>1240</v>
      </c>
      <c r="P37" s="13" t="s">
        <v>1236</v>
      </c>
    </row>
    <row r="38" spans="1:16">
      <c r="A38" s="28"/>
      <c r="B38" s="508"/>
      <c r="C38" s="510"/>
      <c r="D38" s="28"/>
      <c r="E38" s="512"/>
      <c r="F38" s="512"/>
      <c r="G38" s="512"/>
      <c r="H38" s="516">
        <v>0</v>
      </c>
      <c r="I38" s="516">
        <v>0.99999999999999989</v>
      </c>
      <c r="J38" s="517" t="s">
        <v>1240</v>
      </c>
      <c r="K38" s="512"/>
      <c r="L38" s="512"/>
      <c r="M38" s="513">
        <v>0</v>
      </c>
      <c r="N38" s="516">
        <v>1</v>
      </c>
      <c r="O38" s="518" t="s">
        <v>1240</v>
      </c>
      <c r="P38" s="13" t="s">
        <v>1236</v>
      </c>
    </row>
    <row r="39" spans="1:16">
      <c r="A39" s="28"/>
      <c r="B39" s="508"/>
      <c r="C39" s="510"/>
      <c r="D39" s="28"/>
      <c r="E39" s="512"/>
      <c r="F39" s="512"/>
      <c r="G39" s="512"/>
      <c r="H39" s="516">
        <v>0</v>
      </c>
      <c r="I39" s="516">
        <v>0.99999999999999989</v>
      </c>
      <c r="J39" s="517" t="s">
        <v>1240</v>
      </c>
      <c r="K39" s="512"/>
      <c r="L39" s="512"/>
      <c r="M39" s="513">
        <v>0</v>
      </c>
      <c r="N39" s="516">
        <v>1</v>
      </c>
      <c r="O39" s="518" t="s">
        <v>1240</v>
      </c>
      <c r="P39" s="13" t="s">
        <v>1236</v>
      </c>
    </row>
    <row r="40" spans="1:16">
      <c r="A40" s="28"/>
      <c r="B40" s="508"/>
      <c r="C40" s="510"/>
      <c r="D40" s="28"/>
      <c r="E40" s="512"/>
      <c r="F40" s="512"/>
      <c r="G40" s="512"/>
      <c r="H40" s="516">
        <v>0</v>
      </c>
      <c r="I40" s="516">
        <v>0.99999999999999989</v>
      </c>
      <c r="J40" s="517" t="s">
        <v>1240</v>
      </c>
      <c r="K40" s="512"/>
      <c r="L40" s="512"/>
      <c r="M40" s="513">
        <v>0</v>
      </c>
      <c r="N40" s="516">
        <v>1</v>
      </c>
      <c r="O40" s="518" t="s">
        <v>1240</v>
      </c>
      <c r="P40" s="13" t="s">
        <v>1236</v>
      </c>
    </row>
    <row r="41" spans="1:16">
      <c r="A41" s="28"/>
      <c r="B41" s="508"/>
      <c r="C41" s="510"/>
      <c r="D41" s="28"/>
      <c r="E41" s="512"/>
      <c r="F41" s="512"/>
      <c r="G41" s="512"/>
      <c r="H41" s="516">
        <v>0</v>
      </c>
      <c r="I41" s="516">
        <v>0.99999999999999989</v>
      </c>
      <c r="J41" s="517" t="s">
        <v>1240</v>
      </c>
      <c r="K41" s="512"/>
      <c r="L41" s="512"/>
      <c r="M41" s="513">
        <v>0</v>
      </c>
      <c r="N41" s="516">
        <v>1</v>
      </c>
      <c r="O41" s="518" t="s">
        <v>1240</v>
      </c>
      <c r="P41" s="13" t="s">
        <v>1236</v>
      </c>
    </row>
    <row r="42" spans="1:16">
      <c r="A42" s="28"/>
      <c r="B42" s="508"/>
      <c r="C42" s="510"/>
      <c r="D42" s="28"/>
      <c r="E42" s="512"/>
      <c r="F42" s="512"/>
      <c r="G42" s="512"/>
      <c r="H42" s="516">
        <v>0</v>
      </c>
      <c r="I42" s="516">
        <v>0.99999999999999989</v>
      </c>
      <c r="J42" s="517" t="s">
        <v>1240</v>
      </c>
      <c r="K42" s="512"/>
      <c r="L42" s="512"/>
      <c r="M42" s="513">
        <v>0</v>
      </c>
      <c r="N42" s="516">
        <v>1</v>
      </c>
      <c r="O42" s="518" t="s">
        <v>1240</v>
      </c>
      <c r="P42" s="13" t="s">
        <v>1236</v>
      </c>
    </row>
    <row r="43" spans="1:16">
      <c r="A43" s="28"/>
      <c r="B43" s="508"/>
      <c r="C43" s="510"/>
      <c r="D43" s="28"/>
      <c r="E43" s="512"/>
      <c r="F43" s="512"/>
      <c r="G43" s="512"/>
      <c r="H43" s="516">
        <v>0</v>
      </c>
      <c r="I43" s="516">
        <v>0.99999999999999989</v>
      </c>
      <c r="J43" s="517" t="s">
        <v>1240</v>
      </c>
      <c r="K43" s="512"/>
      <c r="L43" s="512"/>
      <c r="M43" s="513">
        <v>0</v>
      </c>
      <c r="N43" s="516">
        <v>1</v>
      </c>
      <c r="O43" s="518" t="s">
        <v>1240</v>
      </c>
      <c r="P43" s="13" t="s">
        <v>1236</v>
      </c>
    </row>
    <row r="44" spans="1:16">
      <c r="A44" s="28"/>
      <c r="B44" s="508"/>
      <c r="C44" s="510"/>
      <c r="D44" s="28"/>
      <c r="E44" s="512"/>
      <c r="F44" s="512"/>
      <c r="G44" s="512"/>
      <c r="H44" s="516">
        <v>0</v>
      </c>
      <c r="I44" s="516">
        <v>0.99999999999999989</v>
      </c>
      <c r="J44" s="517" t="s">
        <v>1240</v>
      </c>
      <c r="K44" s="512"/>
      <c r="L44" s="512"/>
      <c r="M44" s="513">
        <v>0</v>
      </c>
      <c r="N44" s="516">
        <v>1</v>
      </c>
      <c r="O44" s="518" t="s">
        <v>1240</v>
      </c>
      <c r="P44" s="13" t="s">
        <v>1236</v>
      </c>
    </row>
    <row r="45" spans="1:16">
      <c r="A45" s="28"/>
      <c r="B45" s="508"/>
      <c r="C45" s="510"/>
      <c r="D45" s="28"/>
      <c r="E45" s="512"/>
      <c r="F45" s="512"/>
      <c r="G45" s="512"/>
      <c r="H45" s="516">
        <v>0</v>
      </c>
      <c r="I45" s="516">
        <v>0.99999999999999989</v>
      </c>
      <c r="J45" s="517" t="s">
        <v>1240</v>
      </c>
      <c r="K45" s="512"/>
      <c r="L45" s="512"/>
      <c r="M45" s="513">
        <v>0</v>
      </c>
      <c r="N45" s="516">
        <v>1</v>
      </c>
      <c r="O45" s="518" t="s">
        <v>1240</v>
      </c>
      <c r="P45" s="13" t="s">
        <v>1236</v>
      </c>
    </row>
    <row r="46" spans="1:16">
      <c r="A46" s="28"/>
      <c r="B46" s="508"/>
      <c r="C46" s="510"/>
      <c r="D46" s="28"/>
      <c r="E46" s="512"/>
      <c r="F46" s="512"/>
      <c r="G46" s="512"/>
      <c r="H46" s="516">
        <v>0</v>
      </c>
      <c r="I46" s="516">
        <v>0.99999999999999989</v>
      </c>
      <c r="J46" s="517" t="s">
        <v>1240</v>
      </c>
      <c r="K46" s="512"/>
      <c r="L46" s="512"/>
      <c r="M46" s="513">
        <v>0</v>
      </c>
      <c r="N46" s="516">
        <v>1</v>
      </c>
      <c r="O46" s="518" t="s">
        <v>1240</v>
      </c>
      <c r="P46" s="13" t="s">
        <v>1236</v>
      </c>
    </row>
    <row r="47" spans="1:16">
      <c r="A47" s="28"/>
      <c r="B47" s="508"/>
      <c r="C47" s="510"/>
      <c r="D47" s="28"/>
      <c r="E47" s="512"/>
      <c r="F47" s="512"/>
      <c r="G47" s="512"/>
      <c r="H47" s="516">
        <v>0</v>
      </c>
      <c r="I47" s="516">
        <v>0.99999999999999989</v>
      </c>
      <c r="J47" s="517" t="s">
        <v>1240</v>
      </c>
      <c r="K47" s="512"/>
      <c r="L47" s="512"/>
      <c r="M47" s="513">
        <v>0</v>
      </c>
      <c r="N47" s="516">
        <v>1</v>
      </c>
      <c r="O47" s="518" t="s">
        <v>1240</v>
      </c>
      <c r="P47" s="13" t="s">
        <v>1236</v>
      </c>
    </row>
    <row r="48" spans="1:16">
      <c r="A48" s="28"/>
      <c r="B48" s="508"/>
      <c r="C48" s="510"/>
      <c r="D48" s="28"/>
      <c r="E48" s="512"/>
      <c r="F48" s="512"/>
      <c r="G48" s="512"/>
      <c r="H48" s="516">
        <v>0</v>
      </c>
      <c r="I48" s="516">
        <v>0.99999999999999989</v>
      </c>
      <c r="J48" s="517" t="s">
        <v>1240</v>
      </c>
      <c r="K48" s="512"/>
      <c r="L48" s="512"/>
      <c r="M48" s="513">
        <v>0</v>
      </c>
      <c r="N48" s="516">
        <v>1</v>
      </c>
      <c r="O48" s="518" t="s">
        <v>1240</v>
      </c>
      <c r="P48" s="13" t="s">
        <v>1236</v>
      </c>
    </row>
    <row r="49" spans="1:16">
      <c r="A49" s="28"/>
      <c r="B49" s="508"/>
      <c r="C49" s="510"/>
      <c r="D49" s="28"/>
      <c r="E49" s="512"/>
      <c r="F49" s="512"/>
      <c r="G49" s="512"/>
      <c r="H49" s="516">
        <v>0</v>
      </c>
      <c r="I49" s="516">
        <v>0.99999999999999989</v>
      </c>
      <c r="J49" s="517" t="s">
        <v>1240</v>
      </c>
      <c r="K49" s="512"/>
      <c r="L49" s="512"/>
      <c r="M49" s="513">
        <v>0</v>
      </c>
      <c r="N49" s="516">
        <v>1</v>
      </c>
      <c r="O49" s="518" t="s">
        <v>1240</v>
      </c>
      <c r="P49" s="13" t="s">
        <v>1236</v>
      </c>
    </row>
    <row r="50" spans="1:16">
      <c r="A50" s="28"/>
      <c r="B50" s="508"/>
      <c r="C50" s="510"/>
      <c r="D50" s="28"/>
      <c r="E50" s="512"/>
      <c r="F50" s="512"/>
      <c r="G50" s="512"/>
      <c r="H50" s="516">
        <v>0</v>
      </c>
      <c r="I50" s="516">
        <v>0.99999999999999989</v>
      </c>
      <c r="J50" s="517" t="s">
        <v>1240</v>
      </c>
      <c r="K50" s="512"/>
      <c r="L50" s="512"/>
      <c r="M50" s="513">
        <v>0</v>
      </c>
      <c r="N50" s="516">
        <v>1</v>
      </c>
      <c r="O50" s="518" t="s">
        <v>1240</v>
      </c>
      <c r="P50" s="13" t="s">
        <v>1236</v>
      </c>
    </row>
    <row r="51" spans="1:16">
      <c r="A51" s="28"/>
      <c r="B51" s="508"/>
      <c r="C51" s="510"/>
      <c r="D51" s="28"/>
      <c r="E51" s="512"/>
      <c r="F51" s="512"/>
      <c r="G51" s="512"/>
      <c r="H51" s="516">
        <v>0</v>
      </c>
      <c r="I51" s="516">
        <v>0.99999999999999989</v>
      </c>
      <c r="J51" s="517" t="s">
        <v>1240</v>
      </c>
      <c r="K51" s="512"/>
      <c r="L51" s="512"/>
      <c r="M51" s="513">
        <v>0</v>
      </c>
      <c r="N51" s="516">
        <v>1</v>
      </c>
      <c r="O51" s="518" t="s">
        <v>1240</v>
      </c>
      <c r="P51" s="13" t="s">
        <v>1236</v>
      </c>
    </row>
    <row r="52" spans="1:16">
      <c r="A52" s="28"/>
      <c r="B52" s="508"/>
      <c r="C52" s="510"/>
      <c r="D52" s="28"/>
      <c r="E52" s="512"/>
      <c r="F52" s="512"/>
      <c r="G52" s="512"/>
      <c r="H52" s="516">
        <v>0</v>
      </c>
      <c r="I52" s="516">
        <v>0.99999999999999989</v>
      </c>
      <c r="J52" s="517" t="s">
        <v>1240</v>
      </c>
      <c r="K52" s="512"/>
      <c r="L52" s="512"/>
      <c r="M52" s="513">
        <v>0</v>
      </c>
      <c r="N52" s="516">
        <v>1</v>
      </c>
      <c r="O52" s="518" t="s">
        <v>1240</v>
      </c>
      <c r="P52" s="13" t="s">
        <v>1236</v>
      </c>
    </row>
    <row r="53" spans="1:16">
      <c r="A53" s="28"/>
      <c r="B53" s="508"/>
      <c r="C53" s="510"/>
      <c r="D53" s="28"/>
      <c r="E53" s="512"/>
      <c r="F53" s="512"/>
      <c r="G53" s="512"/>
      <c r="H53" s="516">
        <v>0</v>
      </c>
      <c r="I53" s="516">
        <v>0.99999999999999989</v>
      </c>
      <c r="J53" s="517" t="s">
        <v>1240</v>
      </c>
      <c r="K53" s="512"/>
      <c r="L53" s="512"/>
      <c r="M53" s="513">
        <v>0</v>
      </c>
      <c r="N53" s="516">
        <v>1</v>
      </c>
      <c r="O53" s="518" t="s">
        <v>1240</v>
      </c>
      <c r="P53" s="13" t="s">
        <v>1236</v>
      </c>
    </row>
    <row r="54" spans="1:16">
      <c r="A54" s="28"/>
      <c r="B54" s="508"/>
      <c r="C54" s="510"/>
      <c r="D54" s="28"/>
      <c r="E54" s="512"/>
      <c r="F54" s="512"/>
      <c r="G54" s="512"/>
      <c r="H54" s="516">
        <v>0</v>
      </c>
      <c r="I54" s="516">
        <v>0.99999999999999989</v>
      </c>
      <c r="J54" s="517" t="s">
        <v>1240</v>
      </c>
      <c r="K54" s="512"/>
      <c r="L54" s="512"/>
      <c r="M54" s="513">
        <v>0</v>
      </c>
      <c r="N54" s="516">
        <v>1</v>
      </c>
      <c r="O54" s="518" t="s">
        <v>1240</v>
      </c>
      <c r="P54" s="13" t="s">
        <v>1236</v>
      </c>
    </row>
    <row r="55" spans="1:16">
      <c r="A55" s="28"/>
      <c r="B55" s="508"/>
      <c r="C55" s="510"/>
      <c r="D55" s="28"/>
      <c r="E55" s="512"/>
      <c r="F55" s="512"/>
      <c r="G55" s="512"/>
      <c r="H55" s="516">
        <v>0</v>
      </c>
      <c r="I55" s="516">
        <v>0.99999999999999989</v>
      </c>
      <c r="J55" s="517" t="s">
        <v>1240</v>
      </c>
      <c r="K55" s="512"/>
      <c r="L55" s="512"/>
      <c r="M55" s="513">
        <v>0</v>
      </c>
      <c r="N55" s="516">
        <v>1</v>
      </c>
      <c r="O55" s="518" t="s">
        <v>1240</v>
      </c>
      <c r="P55" s="13" t="s">
        <v>1236</v>
      </c>
    </row>
    <row r="56" spans="1:16">
      <c r="A56" s="28"/>
      <c r="B56" s="508"/>
      <c r="C56" s="510"/>
      <c r="D56" s="28"/>
      <c r="E56" s="512"/>
      <c r="F56" s="512"/>
      <c r="G56" s="512"/>
      <c r="H56" s="516">
        <v>0</v>
      </c>
      <c r="I56" s="516">
        <v>0.99999999999999989</v>
      </c>
      <c r="J56" s="517" t="s">
        <v>1240</v>
      </c>
      <c r="K56" s="512"/>
      <c r="L56" s="512"/>
      <c r="M56" s="513">
        <v>0</v>
      </c>
      <c r="N56" s="516">
        <v>1</v>
      </c>
      <c r="O56" s="518" t="s">
        <v>1240</v>
      </c>
      <c r="P56" s="13" t="s">
        <v>1236</v>
      </c>
    </row>
    <row r="57" spans="1:16">
      <c r="A57" s="28"/>
      <c r="B57" s="508"/>
      <c r="C57" s="510"/>
      <c r="D57" s="28"/>
      <c r="E57" s="512"/>
      <c r="F57" s="512"/>
      <c r="G57" s="512"/>
      <c r="H57" s="516">
        <v>0</v>
      </c>
      <c r="I57" s="516">
        <v>0.99999999999999989</v>
      </c>
      <c r="J57" s="517" t="s">
        <v>1240</v>
      </c>
      <c r="K57" s="512"/>
      <c r="L57" s="512"/>
      <c r="M57" s="513">
        <v>0</v>
      </c>
      <c r="N57" s="516">
        <v>1</v>
      </c>
      <c r="O57" s="518" t="s">
        <v>1240</v>
      </c>
      <c r="P57" s="13" t="s">
        <v>1236</v>
      </c>
    </row>
    <row r="58" spans="1:16">
      <c r="A58" s="28"/>
      <c r="B58" s="508"/>
      <c r="C58" s="510"/>
      <c r="D58" s="28"/>
      <c r="E58" s="512"/>
      <c r="F58" s="512"/>
      <c r="G58" s="512"/>
      <c r="H58" s="516">
        <v>0</v>
      </c>
      <c r="I58" s="516">
        <v>0.99999999999999989</v>
      </c>
      <c r="J58" s="517" t="s">
        <v>1240</v>
      </c>
      <c r="K58" s="512"/>
      <c r="L58" s="512"/>
      <c r="M58" s="513">
        <v>0</v>
      </c>
      <c r="N58" s="516">
        <v>1</v>
      </c>
      <c r="O58" s="518" t="s">
        <v>1240</v>
      </c>
      <c r="P58" s="13" t="s">
        <v>1236</v>
      </c>
    </row>
    <row r="59" spans="1:16">
      <c r="A59" s="28"/>
      <c r="B59" s="508"/>
      <c r="C59" s="510"/>
      <c r="D59" s="28"/>
      <c r="E59" s="512"/>
      <c r="F59" s="512"/>
      <c r="G59" s="512"/>
      <c r="H59" s="516">
        <v>0</v>
      </c>
      <c r="I59" s="516">
        <v>0.99999999999999989</v>
      </c>
      <c r="J59" s="517" t="s">
        <v>1240</v>
      </c>
      <c r="K59" s="512"/>
      <c r="L59" s="512"/>
      <c r="M59" s="513">
        <v>0</v>
      </c>
      <c r="N59" s="516">
        <v>1</v>
      </c>
      <c r="O59" s="518" t="s">
        <v>1240</v>
      </c>
      <c r="P59" s="13" t="s">
        <v>1236</v>
      </c>
    </row>
    <row r="60" spans="1:16">
      <c r="A60" s="28"/>
      <c r="B60" s="508"/>
      <c r="C60" s="510"/>
      <c r="D60" s="28"/>
      <c r="E60" s="512"/>
      <c r="F60" s="512"/>
      <c r="G60" s="512"/>
      <c r="H60" s="516">
        <v>0</v>
      </c>
      <c r="I60" s="516">
        <v>0.99999999999999989</v>
      </c>
      <c r="J60" s="517" t="s">
        <v>1240</v>
      </c>
      <c r="K60" s="512"/>
      <c r="L60" s="512"/>
      <c r="M60" s="513">
        <v>0</v>
      </c>
      <c r="N60" s="516">
        <v>1</v>
      </c>
      <c r="O60" s="518" t="s">
        <v>1240</v>
      </c>
      <c r="P60" s="13" t="s">
        <v>1236</v>
      </c>
    </row>
    <row r="61" spans="1:16">
      <c r="A61" s="28"/>
      <c r="B61" s="508"/>
      <c r="C61" s="510"/>
      <c r="D61" s="28"/>
      <c r="E61" s="512"/>
      <c r="F61" s="512"/>
      <c r="G61" s="512"/>
      <c r="H61" s="516">
        <v>0</v>
      </c>
      <c r="I61" s="516">
        <v>0.99999999999999989</v>
      </c>
      <c r="J61" s="517" t="s">
        <v>1240</v>
      </c>
      <c r="K61" s="512"/>
      <c r="L61" s="512"/>
      <c r="M61" s="513">
        <v>0</v>
      </c>
      <c r="N61" s="516">
        <v>1</v>
      </c>
      <c r="O61" s="518" t="s">
        <v>1240</v>
      </c>
      <c r="P61" s="13" t="s">
        <v>1236</v>
      </c>
    </row>
    <row r="62" spans="1:16">
      <c r="A62" s="28"/>
      <c r="B62" s="508"/>
      <c r="C62" s="510"/>
      <c r="D62" s="28"/>
      <c r="E62" s="512"/>
      <c r="F62" s="512"/>
      <c r="G62" s="512"/>
      <c r="H62" s="516">
        <v>0</v>
      </c>
      <c r="I62" s="516">
        <v>0.99999999999999989</v>
      </c>
      <c r="J62" s="517" t="s">
        <v>1240</v>
      </c>
      <c r="K62" s="512"/>
      <c r="L62" s="512"/>
      <c r="M62" s="513">
        <v>0</v>
      </c>
      <c r="N62" s="516">
        <v>1</v>
      </c>
      <c r="O62" s="518" t="s">
        <v>1240</v>
      </c>
      <c r="P62" s="13" t="s">
        <v>1236</v>
      </c>
    </row>
    <row r="63" spans="1:16">
      <c r="A63" s="28"/>
      <c r="B63" s="508"/>
      <c r="C63" s="510"/>
      <c r="D63" s="28"/>
      <c r="E63" s="512"/>
      <c r="F63" s="512"/>
      <c r="G63" s="512"/>
      <c r="H63" s="516">
        <v>0</v>
      </c>
      <c r="I63" s="516">
        <v>0.99999999999999989</v>
      </c>
      <c r="J63" s="517" t="s">
        <v>1240</v>
      </c>
      <c r="K63" s="512"/>
      <c r="L63" s="512"/>
      <c r="M63" s="513">
        <v>0</v>
      </c>
      <c r="N63" s="516">
        <v>1</v>
      </c>
      <c r="O63" s="518" t="s">
        <v>1240</v>
      </c>
      <c r="P63" s="13" t="s">
        <v>1236</v>
      </c>
    </row>
    <row r="64" spans="1:16">
      <c r="A64" s="28"/>
      <c r="B64" s="508"/>
      <c r="C64" s="510"/>
      <c r="D64" s="28"/>
      <c r="E64" s="512"/>
      <c r="F64" s="512"/>
      <c r="G64" s="512"/>
      <c r="H64" s="516">
        <v>0</v>
      </c>
      <c r="I64" s="516">
        <v>0.99999999999999989</v>
      </c>
      <c r="J64" s="517" t="s">
        <v>1240</v>
      </c>
      <c r="K64" s="512"/>
      <c r="L64" s="512"/>
      <c r="M64" s="513">
        <v>0</v>
      </c>
      <c r="N64" s="516">
        <v>1</v>
      </c>
      <c r="O64" s="518" t="s">
        <v>1240</v>
      </c>
      <c r="P64" s="13" t="s">
        <v>1236</v>
      </c>
    </row>
    <row r="65" spans="1:16">
      <c r="A65" s="28"/>
      <c r="B65" s="508"/>
      <c r="C65" s="510"/>
      <c r="D65" s="28"/>
      <c r="E65" s="512"/>
      <c r="F65" s="512"/>
      <c r="G65" s="512"/>
      <c r="H65" s="516">
        <v>0</v>
      </c>
      <c r="I65" s="516">
        <v>0.99999999999999989</v>
      </c>
      <c r="J65" s="517" t="s">
        <v>1240</v>
      </c>
      <c r="K65" s="512"/>
      <c r="L65" s="512"/>
      <c r="M65" s="513">
        <v>0</v>
      </c>
      <c r="N65" s="516">
        <v>1</v>
      </c>
      <c r="O65" s="518" t="s">
        <v>1240</v>
      </c>
      <c r="P65" s="13" t="s">
        <v>1236</v>
      </c>
    </row>
    <row r="66" spans="1:16">
      <c r="A66" s="28"/>
      <c r="B66" s="508"/>
      <c r="C66" s="510"/>
      <c r="D66" s="28"/>
      <c r="E66" s="512"/>
      <c r="F66" s="512"/>
      <c r="G66" s="512"/>
      <c r="H66" s="516">
        <v>0</v>
      </c>
      <c r="I66" s="516">
        <v>0.99999999999999989</v>
      </c>
      <c r="J66" s="517" t="s">
        <v>1240</v>
      </c>
      <c r="K66" s="512"/>
      <c r="L66" s="512"/>
      <c r="M66" s="513">
        <v>0</v>
      </c>
      <c r="N66" s="516">
        <v>1</v>
      </c>
      <c r="O66" s="518" t="s">
        <v>1240</v>
      </c>
      <c r="P66" s="13" t="s">
        <v>1236</v>
      </c>
    </row>
    <row r="67" spans="1:16">
      <c r="A67" s="28"/>
      <c r="B67" s="508"/>
      <c r="C67" s="510"/>
      <c r="D67" s="28"/>
      <c r="E67" s="512"/>
      <c r="F67" s="512"/>
      <c r="G67" s="512"/>
      <c r="H67" s="516">
        <v>0</v>
      </c>
      <c r="I67" s="516">
        <v>0.99999999999999989</v>
      </c>
      <c r="J67" s="517" t="s">
        <v>1240</v>
      </c>
      <c r="K67" s="512"/>
      <c r="L67" s="512"/>
      <c r="M67" s="513">
        <v>0</v>
      </c>
      <c r="N67" s="516">
        <v>1</v>
      </c>
      <c r="O67" s="518" t="s">
        <v>1240</v>
      </c>
      <c r="P67" s="13" t="s">
        <v>1236</v>
      </c>
    </row>
    <row r="68" spans="1:16">
      <c r="A68" s="28"/>
      <c r="B68" s="508"/>
      <c r="C68" s="510"/>
      <c r="D68" s="28"/>
      <c r="E68" s="512"/>
      <c r="F68" s="512"/>
      <c r="G68" s="512"/>
      <c r="H68" s="516">
        <v>0</v>
      </c>
      <c r="I68" s="516">
        <v>0.99999999999999989</v>
      </c>
      <c r="J68" s="517" t="s">
        <v>1240</v>
      </c>
      <c r="K68" s="512"/>
      <c r="L68" s="512"/>
      <c r="M68" s="513">
        <v>0</v>
      </c>
      <c r="N68" s="516">
        <v>1</v>
      </c>
      <c r="O68" s="518" t="s">
        <v>1240</v>
      </c>
      <c r="P68" s="13" t="s">
        <v>1236</v>
      </c>
    </row>
    <row r="69" spans="1:16">
      <c r="A69" s="28"/>
      <c r="B69" s="508"/>
      <c r="C69" s="510"/>
      <c r="D69" s="28"/>
      <c r="E69" s="512"/>
      <c r="F69" s="512"/>
      <c r="G69" s="512"/>
      <c r="H69" s="516">
        <v>0</v>
      </c>
      <c r="I69" s="516">
        <v>0.99999999999999989</v>
      </c>
      <c r="J69" s="517" t="s">
        <v>1240</v>
      </c>
      <c r="K69" s="512"/>
      <c r="L69" s="512"/>
      <c r="M69" s="513">
        <v>0</v>
      </c>
      <c r="N69" s="516">
        <v>1</v>
      </c>
      <c r="O69" s="518" t="s">
        <v>1240</v>
      </c>
      <c r="P69" s="13" t="s">
        <v>1236</v>
      </c>
    </row>
    <row r="70" spans="1:16">
      <c r="A70" s="28"/>
      <c r="B70" s="508"/>
      <c r="C70" s="510"/>
      <c r="D70" s="28"/>
      <c r="E70" s="512"/>
      <c r="F70" s="512"/>
      <c r="G70" s="512"/>
      <c r="H70" s="516">
        <v>0</v>
      </c>
      <c r="I70" s="516">
        <v>0.99999999999999989</v>
      </c>
      <c r="J70" s="517" t="s">
        <v>1240</v>
      </c>
      <c r="K70" s="512"/>
      <c r="L70" s="512"/>
      <c r="M70" s="513">
        <v>0</v>
      </c>
      <c r="N70" s="516">
        <v>1</v>
      </c>
      <c r="O70" s="518" t="s">
        <v>1240</v>
      </c>
      <c r="P70" s="13" t="s">
        <v>1236</v>
      </c>
    </row>
    <row r="71" spans="1:16">
      <c r="A71" s="28"/>
      <c r="B71" s="508"/>
      <c r="C71" s="510"/>
      <c r="D71" s="28"/>
      <c r="E71" s="512"/>
      <c r="F71" s="512"/>
      <c r="G71" s="512"/>
      <c r="H71" s="516">
        <v>0</v>
      </c>
      <c r="I71" s="516">
        <v>0.99999999999999989</v>
      </c>
      <c r="J71" s="517" t="s">
        <v>1240</v>
      </c>
      <c r="K71" s="512"/>
      <c r="L71" s="512"/>
      <c r="M71" s="513">
        <v>0</v>
      </c>
      <c r="N71" s="516">
        <v>1</v>
      </c>
      <c r="O71" s="518" t="s">
        <v>1240</v>
      </c>
      <c r="P71" s="13" t="s">
        <v>1236</v>
      </c>
    </row>
    <row r="72" spans="1:16">
      <c r="A72" s="28"/>
      <c r="B72" s="508"/>
      <c r="C72" s="510"/>
      <c r="D72" s="28"/>
      <c r="E72" s="512"/>
      <c r="F72" s="512"/>
      <c r="G72" s="512"/>
      <c r="H72" s="516">
        <v>0</v>
      </c>
      <c r="I72" s="516">
        <v>0.99999999999999989</v>
      </c>
      <c r="J72" s="517" t="s">
        <v>1240</v>
      </c>
      <c r="K72" s="512"/>
      <c r="L72" s="512"/>
      <c r="M72" s="513">
        <v>0</v>
      </c>
      <c r="N72" s="516">
        <v>1</v>
      </c>
      <c r="O72" s="518" t="s">
        <v>1240</v>
      </c>
      <c r="P72" s="13" t="s">
        <v>1236</v>
      </c>
    </row>
    <row r="73" spans="1:16">
      <c r="A73" s="28"/>
      <c r="B73" s="508"/>
      <c r="C73" s="510"/>
      <c r="D73" s="28"/>
      <c r="E73" s="512"/>
      <c r="F73" s="512"/>
      <c r="G73" s="512"/>
      <c r="H73" s="516">
        <v>0</v>
      </c>
      <c r="I73" s="516">
        <v>0.99999999999999989</v>
      </c>
      <c r="J73" s="517" t="s">
        <v>1240</v>
      </c>
      <c r="K73" s="512"/>
      <c r="L73" s="512"/>
      <c r="M73" s="513">
        <v>0</v>
      </c>
      <c r="N73" s="516">
        <v>1</v>
      </c>
      <c r="O73" s="518" t="s">
        <v>1240</v>
      </c>
      <c r="P73" s="13" t="s">
        <v>1236</v>
      </c>
    </row>
    <row r="74" spans="1:16">
      <c r="A74" s="28"/>
      <c r="B74" s="508"/>
      <c r="C74" s="510"/>
      <c r="D74" s="28"/>
      <c r="E74" s="512"/>
      <c r="F74" s="512"/>
      <c r="G74" s="512"/>
      <c r="H74" s="516">
        <v>0</v>
      </c>
      <c r="I74" s="516">
        <v>0.99999999999999989</v>
      </c>
      <c r="J74" s="517" t="s">
        <v>1240</v>
      </c>
      <c r="K74" s="512"/>
      <c r="L74" s="512"/>
      <c r="M74" s="513">
        <v>0</v>
      </c>
      <c r="N74" s="516">
        <v>1</v>
      </c>
      <c r="O74" s="518" t="s">
        <v>1240</v>
      </c>
      <c r="P74" s="13" t="s">
        <v>1236</v>
      </c>
    </row>
    <row r="75" spans="1:16">
      <c r="A75" s="28"/>
      <c r="B75" s="508"/>
      <c r="C75" s="510"/>
      <c r="D75" s="28"/>
      <c r="E75" s="512"/>
      <c r="F75" s="512"/>
      <c r="G75" s="512"/>
      <c r="H75" s="516">
        <v>0</v>
      </c>
      <c r="I75" s="516">
        <v>0.99999999999999989</v>
      </c>
      <c r="J75" s="517" t="s">
        <v>1240</v>
      </c>
      <c r="K75" s="512"/>
      <c r="L75" s="512"/>
      <c r="M75" s="513">
        <v>0</v>
      </c>
      <c r="N75" s="516">
        <v>1</v>
      </c>
      <c r="O75" s="518" t="s">
        <v>1240</v>
      </c>
      <c r="P75" s="13" t="s">
        <v>1236</v>
      </c>
    </row>
    <row r="76" spans="1:16">
      <c r="A76" s="28"/>
      <c r="B76" s="508"/>
      <c r="C76" s="510"/>
      <c r="D76" s="28"/>
      <c r="E76" s="512"/>
      <c r="F76" s="512"/>
      <c r="G76" s="512"/>
      <c r="H76" s="516">
        <v>0</v>
      </c>
      <c r="I76" s="516">
        <v>0.99999999999999989</v>
      </c>
      <c r="J76" s="517" t="s">
        <v>1240</v>
      </c>
      <c r="K76" s="512"/>
      <c r="L76" s="512"/>
      <c r="M76" s="513">
        <v>0</v>
      </c>
      <c r="N76" s="516">
        <v>1</v>
      </c>
      <c r="O76" s="518" t="s">
        <v>1240</v>
      </c>
      <c r="P76" s="13" t="s">
        <v>1236</v>
      </c>
    </row>
    <row r="77" spans="1:16">
      <c r="A77" s="28"/>
      <c r="B77" s="508"/>
      <c r="C77" s="510"/>
      <c r="D77" s="28"/>
      <c r="E77" s="512"/>
      <c r="F77" s="512"/>
      <c r="G77" s="512"/>
      <c r="H77" s="516">
        <v>0</v>
      </c>
      <c r="I77" s="516">
        <v>0.99999999999999989</v>
      </c>
      <c r="J77" s="517" t="s">
        <v>1240</v>
      </c>
      <c r="K77" s="512"/>
      <c r="L77" s="512"/>
      <c r="M77" s="513">
        <v>0</v>
      </c>
      <c r="N77" s="516">
        <v>1</v>
      </c>
      <c r="O77" s="518" t="s">
        <v>1240</v>
      </c>
      <c r="P77" s="13" t="s">
        <v>1236</v>
      </c>
    </row>
    <row r="78" spans="1:16">
      <c r="A78" s="28"/>
      <c r="B78" s="508"/>
      <c r="C78" s="510"/>
      <c r="D78" s="28"/>
      <c r="E78" s="512"/>
      <c r="F78" s="512"/>
      <c r="G78" s="512"/>
      <c r="H78" s="516">
        <v>0</v>
      </c>
      <c r="I78" s="516">
        <v>0.99999999999999989</v>
      </c>
      <c r="J78" s="517" t="s">
        <v>1240</v>
      </c>
      <c r="K78" s="512"/>
      <c r="L78" s="512"/>
      <c r="M78" s="513">
        <v>0</v>
      </c>
      <c r="N78" s="516">
        <v>1</v>
      </c>
      <c r="O78" s="518" t="s">
        <v>1240</v>
      </c>
      <c r="P78" s="13" t="s">
        <v>1236</v>
      </c>
    </row>
    <row r="79" spans="1:16">
      <c r="A79" s="28"/>
      <c r="B79" s="508"/>
      <c r="C79" s="510"/>
      <c r="D79" s="28"/>
      <c r="E79" s="512"/>
      <c r="F79" s="512"/>
      <c r="G79" s="512"/>
      <c r="H79" s="516">
        <v>0</v>
      </c>
      <c r="I79" s="516">
        <v>0.99999999999999989</v>
      </c>
      <c r="J79" s="517" t="s">
        <v>1240</v>
      </c>
      <c r="K79" s="512"/>
      <c r="L79" s="512"/>
      <c r="M79" s="513">
        <v>0</v>
      </c>
      <c r="N79" s="516">
        <v>1</v>
      </c>
      <c r="O79" s="518" t="s">
        <v>1240</v>
      </c>
      <c r="P79" s="13" t="s">
        <v>1236</v>
      </c>
    </row>
    <row r="80" spans="1:16">
      <c r="A80" s="28"/>
      <c r="B80" s="508"/>
      <c r="C80" s="510"/>
      <c r="D80" s="28"/>
      <c r="E80" s="512"/>
      <c r="F80" s="512"/>
      <c r="G80" s="512"/>
      <c r="H80" s="516">
        <v>0</v>
      </c>
      <c r="I80" s="516">
        <v>0.99999999999999989</v>
      </c>
      <c r="J80" s="517" t="s">
        <v>1240</v>
      </c>
      <c r="K80" s="512"/>
      <c r="L80" s="512"/>
      <c r="M80" s="513">
        <v>0</v>
      </c>
      <c r="N80" s="516">
        <v>1</v>
      </c>
      <c r="O80" s="518" t="s">
        <v>1240</v>
      </c>
      <c r="P80" s="13" t="s">
        <v>1236</v>
      </c>
    </row>
    <row r="81" spans="1:16">
      <c r="A81" s="28"/>
      <c r="B81" s="508"/>
      <c r="C81" s="510"/>
      <c r="D81" s="28"/>
      <c r="E81" s="512"/>
      <c r="F81" s="512"/>
      <c r="G81" s="512"/>
      <c r="H81" s="516">
        <v>0</v>
      </c>
      <c r="I81" s="516">
        <v>0.99999999999999989</v>
      </c>
      <c r="J81" s="517" t="s">
        <v>1240</v>
      </c>
      <c r="K81" s="512"/>
      <c r="L81" s="512"/>
      <c r="M81" s="513">
        <v>0</v>
      </c>
      <c r="N81" s="516">
        <v>1</v>
      </c>
      <c r="O81" s="518" t="s">
        <v>1240</v>
      </c>
      <c r="P81" s="13" t="s">
        <v>1236</v>
      </c>
    </row>
    <row r="82" spans="1:16">
      <c r="A82" s="28"/>
      <c r="B82" s="508"/>
      <c r="C82" s="510"/>
      <c r="D82" s="28"/>
      <c r="E82" s="512"/>
      <c r="F82" s="512"/>
      <c r="G82" s="512"/>
      <c r="H82" s="516">
        <v>0</v>
      </c>
      <c r="I82" s="516">
        <v>0.99999999999999989</v>
      </c>
      <c r="J82" s="517" t="s">
        <v>1240</v>
      </c>
      <c r="K82" s="512"/>
      <c r="L82" s="512"/>
      <c r="M82" s="513">
        <v>0</v>
      </c>
      <c r="N82" s="516">
        <v>1</v>
      </c>
      <c r="O82" s="518" t="s">
        <v>1240</v>
      </c>
      <c r="P82" s="13" t="s">
        <v>1236</v>
      </c>
    </row>
    <row r="83" spans="1:16">
      <c r="A83" s="28"/>
      <c r="B83" s="508"/>
      <c r="C83" s="510"/>
      <c r="D83" s="28"/>
      <c r="E83" s="512"/>
      <c r="F83" s="512"/>
      <c r="G83" s="512"/>
      <c r="H83" s="516">
        <v>0</v>
      </c>
      <c r="I83" s="516">
        <v>0.99999999999999989</v>
      </c>
      <c r="J83" s="517" t="s">
        <v>1240</v>
      </c>
      <c r="K83" s="512"/>
      <c r="L83" s="512"/>
      <c r="M83" s="513">
        <v>0</v>
      </c>
      <c r="N83" s="516">
        <v>1</v>
      </c>
      <c r="O83" s="518" t="s">
        <v>1240</v>
      </c>
      <c r="P83" s="13" t="s">
        <v>1236</v>
      </c>
    </row>
    <row r="84" spans="1:16">
      <c r="A84" s="28"/>
      <c r="B84" s="508"/>
      <c r="C84" s="510"/>
      <c r="D84" s="28"/>
      <c r="E84" s="512"/>
      <c r="F84" s="512"/>
      <c r="G84" s="512"/>
      <c r="H84" s="516">
        <v>0</v>
      </c>
      <c r="I84" s="516">
        <v>0.99999999999999989</v>
      </c>
      <c r="J84" s="517" t="s">
        <v>1240</v>
      </c>
      <c r="K84" s="512"/>
      <c r="L84" s="512"/>
      <c r="M84" s="513">
        <v>0</v>
      </c>
      <c r="N84" s="516">
        <v>1</v>
      </c>
      <c r="O84" s="518" t="s">
        <v>1240</v>
      </c>
      <c r="P84" s="13" t="s">
        <v>1236</v>
      </c>
    </row>
    <row r="85" spans="1:16">
      <c r="A85" s="28"/>
      <c r="B85" s="508"/>
      <c r="C85" s="510"/>
      <c r="D85" s="28"/>
      <c r="E85" s="512"/>
      <c r="F85" s="512"/>
      <c r="G85" s="512"/>
      <c r="H85" s="516">
        <v>0</v>
      </c>
      <c r="I85" s="516">
        <v>0.99999999999999989</v>
      </c>
      <c r="J85" s="517" t="s">
        <v>1240</v>
      </c>
      <c r="K85" s="512"/>
      <c r="L85" s="512"/>
      <c r="M85" s="513">
        <v>0</v>
      </c>
      <c r="N85" s="516">
        <v>1</v>
      </c>
      <c r="O85" s="518" t="s">
        <v>1240</v>
      </c>
      <c r="P85" s="13" t="s">
        <v>1236</v>
      </c>
    </row>
    <row r="86" spans="1:16">
      <c r="A86" s="28"/>
      <c r="B86" s="508"/>
      <c r="C86" s="510"/>
      <c r="D86" s="28"/>
      <c r="E86" s="512"/>
      <c r="F86" s="512"/>
      <c r="G86" s="512"/>
      <c r="H86" s="516">
        <v>0</v>
      </c>
      <c r="I86" s="516">
        <v>0.99999999999999989</v>
      </c>
      <c r="J86" s="517" t="s">
        <v>1240</v>
      </c>
      <c r="K86" s="512"/>
      <c r="L86" s="512"/>
      <c r="M86" s="513">
        <v>0</v>
      </c>
      <c r="N86" s="516">
        <v>1</v>
      </c>
      <c r="O86" s="518" t="s">
        <v>1240</v>
      </c>
      <c r="P86" s="13" t="s">
        <v>1236</v>
      </c>
    </row>
    <row r="87" spans="1:16">
      <c r="A87" s="28"/>
      <c r="B87" s="508"/>
      <c r="C87" s="510"/>
      <c r="D87" s="28"/>
      <c r="E87" s="512"/>
      <c r="F87" s="512"/>
      <c r="G87" s="512"/>
      <c r="H87" s="516">
        <v>0</v>
      </c>
      <c r="I87" s="516">
        <v>0.99999999999999989</v>
      </c>
      <c r="J87" s="517" t="s">
        <v>1240</v>
      </c>
      <c r="K87" s="512"/>
      <c r="L87" s="512"/>
      <c r="M87" s="513">
        <v>0</v>
      </c>
      <c r="N87" s="516">
        <v>1</v>
      </c>
      <c r="O87" s="518" t="s">
        <v>1240</v>
      </c>
      <c r="P87" s="13" t="s">
        <v>1236</v>
      </c>
    </row>
    <row r="88" spans="1:16">
      <c r="A88" s="28"/>
      <c r="B88" s="508"/>
      <c r="C88" s="510"/>
      <c r="D88" s="28"/>
      <c r="E88" s="512"/>
      <c r="F88" s="512"/>
      <c r="G88" s="512"/>
      <c r="H88" s="516">
        <v>0</v>
      </c>
      <c r="I88" s="516">
        <v>0.99999999999999989</v>
      </c>
      <c r="J88" s="517" t="s">
        <v>1240</v>
      </c>
      <c r="K88" s="512"/>
      <c r="L88" s="512"/>
      <c r="M88" s="513">
        <v>0</v>
      </c>
      <c r="N88" s="516">
        <v>1</v>
      </c>
      <c r="O88" s="518" t="s">
        <v>1240</v>
      </c>
      <c r="P88" s="13" t="s">
        <v>1236</v>
      </c>
    </row>
    <row r="89" spans="1:16">
      <c r="A89" s="28"/>
      <c r="B89" s="508"/>
      <c r="C89" s="510"/>
      <c r="D89" s="28"/>
      <c r="E89" s="512"/>
      <c r="F89" s="512"/>
      <c r="G89" s="512"/>
      <c r="H89" s="516">
        <v>0</v>
      </c>
      <c r="I89" s="516">
        <v>0.99999999999999989</v>
      </c>
      <c r="J89" s="517" t="s">
        <v>1240</v>
      </c>
      <c r="K89" s="512"/>
      <c r="L89" s="512"/>
      <c r="M89" s="513">
        <v>0</v>
      </c>
      <c r="N89" s="516">
        <v>1</v>
      </c>
      <c r="O89" s="518" t="s">
        <v>1240</v>
      </c>
      <c r="P89" s="13" t="s">
        <v>1236</v>
      </c>
    </row>
    <row r="90" spans="1:16">
      <c r="A90" s="28"/>
      <c r="B90" s="508"/>
      <c r="C90" s="510"/>
      <c r="D90" s="28"/>
      <c r="E90" s="512"/>
      <c r="F90" s="512"/>
      <c r="G90" s="512"/>
      <c r="H90" s="516">
        <v>0</v>
      </c>
      <c r="I90" s="516">
        <v>0.99999999999999989</v>
      </c>
      <c r="J90" s="517" t="s">
        <v>1240</v>
      </c>
      <c r="K90" s="512"/>
      <c r="L90" s="512"/>
      <c r="M90" s="513">
        <v>0</v>
      </c>
      <c r="N90" s="516">
        <v>1</v>
      </c>
      <c r="O90" s="518" t="s">
        <v>1240</v>
      </c>
      <c r="P90" s="13" t="s">
        <v>1236</v>
      </c>
    </row>
    <row r="91" spans="1:16">
      <c r="A91" s="28"/>
      <c r="B91" s="508"/>
      <c r="C91" s="510"/>
      <c r="D91" s="28"/>
      <c r="E91" s="512"/>
      <c r="F91" s="512"/>
      <c r="G91" s="512"/>
      <c r="H91" s="516">
        <v>0</v>
      </c>
      <c r="I91" s="516">
        <v>0.99999999999999989</v>
      </c>
      <c r="J91" s="517" t="s">
        <v>1240</v>
      </c>
      <c r="K91" s="512"/>
      <c r="L91" s="512"/>
      <c r="M91" s="513">
        <v>0</v>
      </c>
      <c r="N91" s="516">
        <v>1</v>
      </c>
      <c r="O91" s="518" t="s">
        <v>1240</v>
      </c>
      <c r="P91" s="13" t="s">
        <v>1236</v>
      </c>
    </row>
    <row r="92" spans="1:16">
      <c r="A92" s="28"/>
      <c r="B92" s="508"/>
      <c r="C92" s="510"/>
      <c r="D92" s="28"/>
      <c r="E92" s="512"/>
      <c r="F92" s="512"/>
      <c r="G92" s="512"/>
      <c r="H92" s="516">
        <v>0</v>
      </c>
      <c r="I92" s="516">
        <v>0.99999999999999989</v>
      </c>
      <c r="J92" s="517" t="s">
        <v>1240</v>
      </c>
      <c r="K92" s="512"/>
      <c r="L92" s="512"/>
      <c r="M92" s="513">
        <v>0</v>
      </c>
      <c r="N92" s="516">
        <v>1</v>
      </c>
      <c r="O92" s="518" t="s">
        <v>1240</v>
      </c>
      <c r="P92" s="13" t="s">
        <v>1236</v>
      </c>
    </row>
    <row r="93" spans="1:16">
      <c r="A93" s="28"/>
      <c r="B93" s="508"/>
      <c r="C93" s="510"/>
      <c r="D93" s="28"/>
      <c r="E93" s="512"/>
      <c r="F93" s="512"/>
      <c r="G93" s="512"/>
      <c r="H93" s="516">
        <v>0</v>
      </c>
      <c r="I93" s="516">
        <v>0.99999999999999989</v>
      </c>
      <c r="J93" s="517" t="s">
        <v>1240</v>
      </c>
      <c r="K93" s="512"/>
      <c r="L93" s="512"/>
      <c r="M93" s="513">
        <v>0</v>
      </c>
      <c r="N93" s="516">
        <v>1</v>
      </c>
      <c r="O93" s="518" t="s">
        <v>1240</v>
      </c>
      <c r="P93" s="13" t="s">
        <v>1236</v>
      </c>
    </row>
    <row r="94" spans="1:16">
      <c r="A94" s="28"/>
      <c r="B94" s="508"/>
      <c r="C94" s="510"/>
      <c r="D94" s="28"/>
      <c r="E94" s="512"/>
      <c r="F94" s="512"/>
      <c r="G94" s="512"/>
      <c r="H94" s="516">
        <v>0</v>
      </c>
      <c r="I94" s="516">
        <v>0.99999999999999989</v>
      </c>
      <c r="J94" s="517" t="s">
        <v>1240</v>
      </c>
      <c r="K94" s="512"/>
      <c r="L94" s="512"/>
      <c r="M94" s="513">
        <v>0</v>
      </c>
      <c r="N94" s="516">
        <v>1</v>
      </c>
      <c r="O94" s="518" t="s">
        <v>1240</v>
      </c>
      <c r="P94" s="13" t="s">
        <v>1236</v>
      </c>
    </row>
    <row r="95" spans="1:16">
      <c r="A95" s="28"/>
      <c r="B95" s="508"/>
      <c r="C95" s="510"/>
      <c r="D95" s="28"/>
      <c r="E95" s="512"/>
      <c r="F95" s="512"/>
      <c r="G95" s="512"/>
      <c r="H95" s="516">
        <v>0</v>
      </c>
      <c r="I95" s="516">
        <v>0.99999999999999989</v>
      </c>
      <c r="J95" s="517" t="s">
        <v>1240</v>
      </c>
      <c r="K95" s="512"/>
      <c r="L95" s="512"/>
      <c r="M95" s="513">
        <v>0</v>
      </c>
      <c r="N95" s="516">
        <v>1</v>
      </c>
      <c r="O95" s="518" t="s">
        <v>1240</v>
      </c>
      <c r="P95" s="13" t="s">
        <v>1236</v>
      </c>
    </row>
    <row r="96" spans="1:16">
      <c r="A96" s="28"/>
      <c r="B96" s="508"/>
      <c r="C96" s="510"/>
      <c r="D96" s="28"/>
      <c r="E96" s="512"/>
      <c r="F96" s="512"/>
      <c r="G96" s="512"/>
      <c r="H96" s="516">
        <v>0</v>
      </c>
      <c r="I96" s="516">
        <v>0.99999999999999989</v>
      </c>
      <c r="J96" s="517" t="s">
        <v>1240</v>
      </c>
      <c r="K96" s="512"/>
      <c r="L96" s="512"/>
      <c r="M96" s="513">
        <v>0</v>
      </c>
      <c r="N96" s="516">
        <v>1</v>
      </c>
      <c r="O96" s="518" t="s">
        <v>1240</v>
      </c>
      <c r="P96" s="13" t="s">
        <v>1236</v>
      </c>
    </row>
    <row r="97" spans="1:16">
      <c r="A97" s="28"/>
      <c r="B97" s="508"/>
      <c r="C97" s="510"/>
      <c r="D97" s="28"/>
      <c r="E97" s="512"/>
      <c r="F97" s="512"/>
      <c r="G97" s="512"/>
      <c r="H97" s="516">
        <v>0</v>
      </c>
      <c r="I97" s="516">
        <v>0.99999999999999989</v>
      </c>
      <c r="J97" s="517" t="s">
        <v>1240</v>
      </c>
      <c r="K97" s="512"/>
      <c r="L97" s="512"/>
      <c r="M97" s="513">
        <v>0</v>
      </c>
      <c r="N97" s="516">
        <v>1</v>
      </c>
      <c r="O97" s="518" t="s">
        <v>1240</v>
      </c>
      <c r="P97" s="13" t="s">
        <v>1236</v>
      </c>
    </row>
    <row r="98" spans="1:16">
      <c r="A98" s="28"/>
      <c r="B98" s="508"/>
      <c r="C98" s="510"/>
      <c r="D98" s="28"/>
      <c r="E98" s="512"/>
      <c r="F98" s="512"/>
      <c r="G98" s="512"/>
      <c r="H98" s="516">
        <v>0</v>
      </c>
      <c r="I98" s="516">
        <v>0.99999999999999989</v>
      </c>
      <c r="J98" s="517" t="s">
        <v>1240</v>
      </c>
      <c r="K98" s="512"/>
      <c r="L98" s="512"/>
      <c r="M98" s="513">
        <v>0</v>
      </c>
      <c r="N98" s="516">
        <v>1</v>
      </c>
      <c r="O98" s="518" t="s">
        <v>1240</v>
      </c>
      <c r="P98" s="13" t="s">
        <v>1236</v>
      </c>
    </row>
    <row r="99" spans="1:16">
      <c r="A99" s="28"/>
      <c r="B99" s="508"/>
      <c r="C99" s="510"/>
      <c r="D99" s="28"/>
      <c r="E99" s="512"/>
      <c r="F99" s="512"/>
      <c r="G99" s="512"/>
      <c r="H99" s="516">
        <v>0</v>
      </c>
      <c r="I99" s="516">
        <v>0.99999999999999989</v>
      </c>
      <c r="J99" s="517" t="s">
        <v>1240</v>
      </c>
      <c r="K99" s="512"/>
      <c r="L99" s="512"/>
      <c r="M99" s="513">
        <v>0</v>
      </c>
      <c r="N99" s="516">
        <v>1</v>
      </c>
      <c r="O99" s="518" t="s">
        <v>1240</v>
      </c>
      <c r="P99" s="13" t="s">
        <v>1236</v>
      </c>
    </row>
    <row r="100" spans="1:16">
      <c r="A100" s="28"/>
      <c r="B100" s="508"/>
      <c r="C100" s="510"/>
      <c r="D100" s="28"/>
      <c r="E100" s="512"/>
      <c r="F100" s="512"/>
      <c r="G100" s="512"/>
      <c r="H100" s="516">
        <v>0</v>
      </c>
      <c r="I100" s="516">
        <v>0.99999999999999989</v>
      </c>
      <c r="J100" s="517" t="s">
        <v>1240</v>
      </c>
      <c r="K100" s="512"/>
      <c r="L100" s="512"/>
      <c r="M100" s="513">
        <v>0</v>
      </c>
      <c r="N100" s="516">
        <v>1</v>
      </c>
      <c r="O100" s="518" t="s">
        <v>1240</v>
      </c>
      <c r="P100" s="13" t="s">
        <v>1236</v>
      </c>
    </row>
    <row r="101" spans="1:16">
      <c r="A101" s="28"/>
      <c r="B101" s="508"/>
      <c r="C101" s="510"/>
      <c r="D101" s="28"/>
      <c r="E101" s="512"/>
      <c r="F101" s="512"/>
      <c r="G101" s="512"/>
      <c r="H101" s="516">
        <v>0</v>
      </c>
      <c r="I101" s="516">
        <v>0.99999999999999989</v>
      </c>
      <c r="J101" s="517" t="s">
        <v>1240</v>
      </c>
      <c r="K101" s="512"/>
      <c r="L101" s="512"/>
      <c r="M101" s="513">
        <v>0</v>
      </c>
      <c r="N101" s="516">
        <v>1</v>
      </c>
      <c r="O101" s="518" t="s">
        <v>1240</v>
      </c>
      <c r="P101" s="13" t="s">
        <v>1236</v>
      </c>
    </row>
    <row r="102" spans="1:16">
      <c r="A102" s="28"/>
      <c r="B102" s="508"/>
      <c r="C102" s="510"/>
      <c r="D102" s="28"/>
      <c r="E102" s="512"/>
      <c r="F102" s="512"/>
      <c r="G102" s="512"/>
      <c r="H102" s="516">
        <v>0</v>
      </c>
      <c r="I102" s="516">
        <v>0.99999999999999989</v>
      </c>
      <c r="J102" s="517" t="s">
        <v>1240</v>
      </c>
      <c r="K102" s="512"/>
      <c r="L102" s="512"/>
      <c r="M102" s="513">
        <v>0</v>
      </c>
      <c r="N102" s="516">
        <v>1</v>
      </c>
      <c r="O102" s="518" t="s">
        <v>1240</v>
      </c>
      <c r="P102" s="13" t="s">
        <v>1236</v>
      </c>
    </row>
    <row r="103" spans="1:16">
      <c r="A103" s="28"/>
      <c r="B103" s="508"/>
      <c r="C103" s="510"/>
      <c r="D103" s="28"/>
      <c r="E103" s="512"/>
      <c r="F103" s="512"/>
      <c r="G103" s="512"/>
      <c r="H103" s="516">
        <v>0</v>
      </c>
      <c r="I103" s="516">
        <v>0.99999999999999989</v>
      </c>
      <c r="J103" s="517" t="s">
        <v>1240</v>
      </c>
      <c r="K103" s="512"/>
      <c r="L103" s="512"/>
      <c r="M103" s="513">
        <v>0</v>
      </c>
      <c r="N103" s="516">
        <v>1</v>
      </c>
      <c r="O103" s="518" t="s">
        <v>1240</v>
      </c>
      <c r="P103" s="13" t="s">
        <v>1236</v>
      </c>
    </row>
    <row r="104" spans="1:16">
      <c r="A104" s="28"/>
      <c r="B104" s="508"/>
      <c r="C104" s="510"/>
      <c r="D104" s="28"/>
      <c r="E104" s="512"/>
      <c r="F104" s="512"/>
      <c r="G104" s="512"/>
      <c r="H104" s="516">
        <v>0</v>
      </c>
      <c r="I104" s="516">
        <v>0.99999999999999989</v>
      </c>
      <c r="J104" s="517" t="s">
        <v>1240</v>
      </c>
      <c r="K104" s="512"/>
      <c r="L104" s="512"/>
      <c r="M104" s="513">
        <v>0</v>
      </c>
      <c r="N104" s="516">
        <v>1</v>
      </c>
      <c r="O104" s="518" t="s">
        <v>1240</v>
      </c>
      <c r="P104" s="13" t="s">
        <v>1236</v>
      </c>
    </row>
    <row r="105" spans="1:16">
      <c r="A105" s="28"/>
      <c r="B105" s="508"/>
      <c r="C105" s="510"/>
      <c r="D105" s="28"/>
      <c r="E105" s="512"/>
      <c r="F105" s="512"/>
      <c r="G105" s="512"/>
      <c r="H105" s="516">
        <v>0</v>
      </c>
      <c r="I105" s="516">
        <v>0.99999999999999989</v>
      </c>
      <c r="J105" s="517" t="s">
        <v>1240</v>
      </c>
      <c r="K105" s="512"/>
      <c r="L105" s="512"/>
      <c r="M105" s="513">
        <v>0</v>
      </c>
      <c r="N105" s="516">
        <v>1</v>
      </c>
      <c r="O105" s="518" t="s">
        <v>1240</v>
      </c>
      <c r="P105" s="13" t="s">
        <v>1236</v>
      </c>
    </row>
    <row r="106" spans="1:16">
      <c r="A106" s="28"/>
      <c r="B106" s="508"/>
      <c r="C106" s="510"/>
      <c r="D106" s="28"/>
      <c r="E106" s="512"/>
      <c r="F106" s="512"/>
      <c r="G106" s="512"/>
      <c r="H106" s="516">
        <v>0</v>
      </c>
      <c r="I106" s="516">
        <v>0.99999999999999989</v>
      </c>
      <c r="J106" s="517" t="s">
        <v>1240</v>
      </c>
      <c r="K106" s="512"/>
      <c r="L106" s="512"/>
      <c r="M106" s="513">
        <v>0</v>
      </c>
      <c r="N106" s="516">
        <v>1</v>
      </c>
      <c r="O106" s="518" t="s">
        <v>1240</v>
      </c>
      <c r="P106" s="13" t="s">
        <v>1236</v>
      </c>
    </row>
    <row r="107" spans="1:16">
      <c r="A107" s="28"/>
      <c r="B107" s="508"/>
      <c r="C107" s="510"/>
      <c r="D107" s="28"/>
      <c r="E107" s="512"/>
      <c r="F107" s="512"/>
      <c r="G107" s="512"/>
      <c r="H107" s="516">
        <v>0</v>
      </c>
      <c r="I107" s="516">
        <v>0.99999999999999989</v>
      </c>
      <c r="J107" s="517" t="s">
        <v>1240</v>
      </c>
      <c r="K107" s="512"/>
      <c r="L107" s="512"/>
      <c r="M107" s="513">
        <v>0</v>
      </c>
      <c r="N107" s="516">
        <v>1</v>
      </c>
      <c r="O107" s="518" t="s">
        <v>1240</v>
      </c>
      <c r="P107" s="13" t="s">
        <v>1236</v>
      </c>
    </row>
    <row r="108" spans="1:16">
      <c r="A108" s="28"/>
      <c r="B108" s="508"/>
      <c r="C108" s="510"/>
      <c r="D108" s="28"/>
      <c r="E108" s="512"/>
      <c r="F108" s="512"/>
      <c r="G108" s="512"/>
      <c r="H108" s="516">
        <v>0</v>
      </c>
      <c r="I108" s="516">
        <v>0.99999999999999989</v>
      </c>
      <c r="J108" s="517" t="s">
        <v>1240</v>
      </c>
      <c r="K108" s="512"/>
      <c r="L108" s="512"/>
      <c r="M108" s="513">
        <v>0</v>
      </c>
      <c r="N108" s="516">
        <v>1</v>
      </c>
      <c r="O108" s="518" t="s">
        <v>1240</v>
      </c>
      <c r="P108" s="13" t="s">
        <v>1236</v>
      </c>
    </row>
    <row r="109" spans="1:16">
      <c r="A109" s="28"/>
      <c r="B109" s="508"/>
      <c r="C109" s="510"/>
      <c r="D109" s="28"/>
      <c r="E109" s="512"/>
      <c r="F109" s="512"/>
      <c r="G109" s="512"/>
      <c r="H109" s="516">
        <v>0</v>
      </c>
      <c r="I109" s="516">
        <v>0.99999999999999989</v>
      </c>
      <c r="J109" s="517" t="s">
        <v>1240</v>
      </c>
      <c r="K109" s="512"/>
      <c r="L109" s="512"/>
      <c r="M109" s="513">
        <v>0</v>
      </c>
      <c r="N109" s="516">
        <v>1</v>
      </c>
      <c r="O109" s="518" t="s">
        <v>1240</v>
      </c>
      <c r="P109" s="13" t="s">
        <v>1236</v>
      </c>
    </row>
    <row r="110" spans="1:16">
      <c r="A110" s="28"/>
      <c r="B110" s="508"/>
      <c r="C110" s="510"/>
      <c r="D110" s="28"/>
      <c r="E110" s="512"/>
      <c r="F110" s="512"/>
      <c r="G110" s="512"/>
      <c r="H110" s="516">
        <v>0</v>
      </c>
      <c r="I110" s="516">
        <v>0.99999999999999989</v>
      </c>
      <c r="J110" s="517" t="s">
        <v>1240</v>
      </c>
      <c r="K110" s="512"/>
      <c r="L110" s="512"/>
      <c r="M110" s="513">
        <v>0</v>
      </c>
      <c r="N110" s="516">
        <v>1</v>
      </c>
      <c r="O110" s="518" t="s">
        <v>1240</v>
      </c>
      <c r="P110" s="13" t="s">
        <v>1236</v>
      </c>
    </row>
    <row r="111" spans="1:16">
      <c r="A111" s="28"/>
      <c r="B111" s="508"/>
      <c r="C111" s="510"/>
      <c r="D111" s="28"/>
      <c r="E111" s="512"/>
      <c r="F111" s="512"/>
      <c r="G111" s="512"/>
      <c r="H111" s="516">
        <v>0</v>
      </c>
      <c r="I111" s="516">
        <v>0.99999999999999989</v>
      </c>
      <c r="J111" s="517" t="s">
        <v>1240</v>
      </c>
      <c r="K111" s="512"/>
      <c r="L111" s="512"/>
      <c r="M111" s="513">
        <v>0</v>
      </c>
      <c r="N111" s="516">
        <v>1</v>
      </c>
      <c r="O111" s="518" t="s">
        <v>1240</v>
      </c>
      <c r="P111" s="13" t="s">
        <v>1236</v>
      </c>
    </row>
    <row r="112" spans="1:16">
      <c r="A112" s="28"/>
      <c r="B112" s="508"/>
      <c r="C112" s="510"/>
      <c r="D112" s="28"/>
      <c r="E112" s="512"/>
      <c r="F112" s="512"/>
      <c r="G112" s="512"/>
      <c r="H112" s="516">
        <v>0</v>
      </c>
      <c r="I112" s="516">
        <v>0.99999999999999989</v>
      </c>
      <c r="J112" s="517" t="s">
        <v>1240</v>
      </c>
      <c r="K112" s="512"/>
      <c r="L112" s="512"/>
      <c r="M112" s="513">
        <v>0</v>
      </c>
      <c r="N112" s="516">
        <v>1</v>
      </c>
      <c r="O112" s="518" t="s">
        <v>1240</v>
      </c>
      <c r="P112" s="13" t="s">
        <v>1236</v>
      </c>
    </row>
    <row r="113" spans="1:16">
      <c r="A113" s="28"/>
      <c r="B113" s="508"/>
      <c r="C113" s="510"/>
      <c r="D113" s="28"/>
      <c r="E113" s="512"/>
      <c r="F113" s="512"/>
      <c r="G113" s="512"/>
      <c r="H113" s="516">
        <v>0</v>
      </c>
      <c r="I113" s="516">
        <v>0.99999999999999989</v>
      </c>
      <c r="J113" s="517" t="s">
        <v>1240</v>
      </c>
      <c r="K113" s="512"/>
      <c r="L113" s="512"/>
      <c r="M113" s="513">
        <v>0</v>
      </c>
      <c r="N113" s="516">
        <v>1</v>
      </c>
      <c r="O113" s="518" t="s">
        <v>1240</v>
      </c>
      <c r="P113" s="13" t="s">
        <v>1236</v>
      </c>
    </row>
    <row r="114" spans="1:16">
      <c r="A114" s="28"/>
      <c r="B114" s="508"/>
      <c r="C114" s="510"/>
      <c r="D114" s="28"/>
      <c r="E114" s="512"/>
      <c r="F114" s="512"/>
      <c r="G114" s="512"/>
      <c r="H114" s="516">
        <v>0</v>
      </c>
      <c r="I114" s="516">
        <v>0.99999999999999989</v>
      </c>
      <c r="J114" s="517" t="s">
        <v>1240</v>
      </c>
      <c r="K114" s="512"/>
      <c r="L114" s="512"/>
      <c r="M114" s="513">
        <v>0</v>
      </c>
      <c r="N114" s="516">
        <v>1</v>
      </c>
      <c r="O114" s="518" t="s">
        <v>1240</v>
      </c>
      <c r="P114" s="13" t="s">
        <v>1236</v>
      </c>
    </row>
    <row r="115" spans="1:16">
      <c r="A115" s="28"/>
      <c r="B115" s="508"/>
      <c r="C115" s="510"/>
      <c r="D115" s="28"/>
      <c r="E115" s="512"/>
      <c r="F115" s="512"/>
      <c r="G115" s="512"/>
      <c r="H115" s="516">
        <v>0</v>
      </c>
      <c r="I115" s="516">
        <v>0.99999999999999989</v>
      </c>
      <c r="J115" s="517" t="s">
        <v>1240</v>
      </c>
      <c r="K115" s="512"/>
      <c r="L115" s="512"/>
      <c r="M115" s="513">
        <v>0</v>
      </c>
      <c r="N115" s="516">
        <v>1</v>
      </c>
      <c r="O115" s="518" t="s">
        <v>1240</v>
      </c>
      <c r="P115" s="13" t="s">
        <v>1236</v>
      </c>
    </row>
    <row r="116" spans="1:16">
      <c r="A116" s="28"/>
      <c r="B116" s="508"/>
      <c r="C116" s="510"/>
      <c r="D116" s="28"/>
      <c r="E116" s="512"/>
      <c r="F116" s="512"/>
      <c r="G116" s="512"/>
      <c r="H116" s="516">
        <v>0</v>
      </c>
      <c r="I116" s="516">
        <v>0.99999999999999989</v>
      </c>
      <c r="J116" s="517" t="s">
        <v>1240</v>
      </c>
      <c r="K116" s="512"/>
      <c r="L116" s="512"/>
      <c r="M116" s="513">
        <v>0</v>
      </c>
      <c r="N116" s="516">
        <v>1</v>
      </c>
      <c r="O116" s="518" t="s">
        <v>1240</v>
      </c>
      <c r="P116" s="13" t="s">
        <v>1236</v>
      </c>
    </row>
    <row r="117" spans="1:16">
      <c r="A117" s="28"/>
      <c r="B117" s="508"/>
      <c r="C117" s="510"/>
      <c r="D117" s="28"/>
      <c r="E117" s="512"/>
      <c r="F117" s="512"/>
      <c r="G117" s="512"/>
      <c r="H117" s="516">
        <v>0</v>
      </c>
      <c r="I117" s="516">
        <v>0.99999999999999989</v>
      </c>
      <c r="J117" s="517" t="s">
        <v>1240</v>
      </c>
      <c r="K117" s="512"/>
      <c r="L117" s="512"/>
      <c r="M117" s="513">
        <v>0</v>
      </c>
      <c r="N117" s="516">
        <v>1</v>
      </c>
      <c r="O117" s="518" t="s">
        <v>1240</v>
      </c>
      <c r="P117" s="13" t="s">
        <v>1236</v>
      </c>
    </row>
    <row r="118" spans="1:16">
      <c r="A118" s="28"/>
      <c r="B118" s="508"/>
      <c r="C118" s="510"/>
      <c r="D118" s="28"/>
      <c r="E118" s="512"/>
      <c r="F118" s="512"/>
      <c r="G118" s="512"/>
      <c r="H118" s="516">
        <v>0</v>
      </c>
      <c r="I118" s="516">
        <v>0.99999999999999989</v>
      </c>
      <c r="J118" s="517" t="s">
        <v>1240</v>
      </c>
      <c r="K118" s="512"/>
      <c r="L118" s="512"/>
      <c r="M118" s="513">
        <v>0</v>
      </c>
      <c r="N118" s="516">
        <v>1</v>
      </c>
      <c r="O118" s="518" t="s">
        <v>1240</v>
      </c>
      <c r="P118" s="13" t="s">
        <v>1236</v>
      </c>
    </row>
    <row r="119" spans="1:16">
      <c r="A119" s="28"/>
      <c r="B119" s="508"/>
      <c r="C119" s="510"/>
      <c r="D119" s="28"/>
      <c r="E119" s="512"/>
      <c r="F119" s="512"/>
      <c r="G119" s="512"/>
      <c r="H119" s="516">
        <v>0</v>
      </c>
      <c r="I119" s="516">
        <v>0.99999999999999989</v>
      </c>
      <c r="J119" s="517" t="s">
        <v>1240</v>
      </c>
      <c r="K119" s="512"/>
      <c r="L119" s="512"/>
      <c r="M119" s="513">
        <v>0</v>
      </c>
      <c r="N119" s="516">
        <v>1</v>
      </c>
      <c r="O119" s="518" t="s">
        <v>1240</v>
      </c>
      <c r="P119" s="13" t="s">
        <v>1236</v>
      </c>
    </row>
    <row r="120" spans="1:16">
      <c r="A120" s="28"/>
      <c r="B120" s="508"/>
      <c r="C120" s="510"/>
      <c r="D120" s="28"/>
      <c r="E120" s="512"/>
      <c r="F120" s="512"/>
      <c r="G120" s="512"/>
      <c r="H120" s="516">
        <v>0</v>
      </c>
      <c r="I120" s="516">
        <v>0.99999999999999989</v>
      </c>
      <c r="J120" s="517" t="s">
        <v>1240</v>
      </c>
      <c r="K120" s="512"/>
      <c r="L120" s="512"/>
      <c r="M120" s="513">
        <v>0</v>
      </c>
      <c r="N120" s="516">
        <v>1</v>
      </c>
      <c r="O120" s="518" t="s">
        <v>1240</v>
      </c>
      <c r="P120" s="13" t="s">
        <v>1236</v>
      </c>
    </row>
    <row r="121" spans="1:16">
      <c r="A121" s="28"/>
      <c r="B121" s="508"/>
      <c r="C121" s="510"/>
      <c r="D121" s="28"/>
      <c r="E121" s="512"/>
      <c r="F121" s="512"/>
      <c r="G121" s="512"/>
      <c r="H121" s="516">
        <v>0</v>
      </c>
      <c r="I121" s="516">
        <v>0.99999999999999989</v>
      </c>
      <c r="J121" s="517" t="s">
        <v>1240</v>
      </c>
      <c r="K121" s="512"/>
      <c r="L121" s="512"/>
      <c r="M121" s="513">
        <v>0</v>
      </c>
      <c r="N121" s="516">
        <v>1</v>
      </c>
      <c r="O121" s="518" t="s">
        <v>1240</v>
      </c>
      <c r="P121" s="13" t="s">
        <v>1236</v>
      </c>
    </row>
    <row r="122" spans="1:16">
      <c r="A122" s="28"/>
      <c r="B122" s="508"/>
      <c r="C122" s="510"/>
      <c r="D122" s="28"/>
      <c r="E122" s="512"/>
      <c r="F122" s="512"/>
      <c r="G122" s="512"/>
      <c r="H122" s="516">
        <v>0</v>
      </c>
      <c r="I122" s="516">
        <v>0.99999999999999989</v>
      </c>
      <c r="J122" s="517" t="s">
        <v>1240</v>
      </c>
      <c r="K122" s="512"/>
      <c r="L122" s="512"/>
      <c r="M122" s="513">
        <v>0</v>
      </c>
      <c r="N122" s="516">
        <v>1</v>
      </c>
      <c r="O122" s="518" t="s">
        <v>1240</v>
      </c>
      <c r="P122" s="13" t="s">
        <v>1236</v>
      </c>
    </row>
    <row r="123" spans="1:16">
      <c r="A123" s="28"/>
      <c r="B123" s="508"/>
      <c r="C123" s="510"/>
      <c r="D123" s="28"/>
      <c r="E123" s="512"/>
      <c r="F123" s="512"/>
      <c r="G123" s="512"/>
      <c r="H123" s="516">
        <v>0</v>
      </c>
      <c r="I123" s="516">
        <v>0.99999999999999989</v>
      </c>
      <c r="J123" s="517" t="s">
        <v>1240</v>
      </c>
      <c r="K123" s="512"/>
      <c r="L123" s="512"/>
      <c r="M123" s="513">
        <v>0</v>
      </c>
      <c r="N123" s="516">
        <v>1</v>
      </c>
      <c r="O123" s="518" t="s">
        <v>1240</v>
      </c>
      <c r="P123" s="13" t="s">
        <v>1236</v>
      </c>
    </row>
    <row r="124" spans="1:16">
      <c r="A124" s="28"/>
      <c r="B124" s="508"/>
      <c r="C124" s="510"/>
      <c r="D124" s="28"/>
      <c r="E124" s="512"/>
      <c r="F124" s="512"/>
      <c r="G124" s="512"/>
      <c r="H124" s="516">
        <v>0</v>
      </c>
      <c r="I124" s="516">
        <v>0.99999999999999989</v>
      </c>
      <c r="J124" s="517" t="s">
        <v>1240</v>
      </c>
      <c r="K124" s="512"/>
      <c r="L124" s="512"/>
      <c r="M124" s="513">
        <v>0</v>
      </c>
      <c r="N124" s="516">
        <v>1</v>
      </c>
      <c r="O124" s="518" t="s">
        <v>1240</v>
      </c>
      <c r="P124" s="13" t="s">
        <v>1236</v>
      </c>
    </row>
    <row r="125" spans="1:16">
      <c r="A125" s="28"/>
      <c r="B125" s="508"/>
      <c r="C125" s="510"/>
      <c r="D125" s="28"/>
      <c r="E125" s="512"/>
      <c r="F125" s="512"/>
      <c r="G125" s="512"/>
      <c r="H125" s="516">
        <v>0</v>
      </c>
      <c r="I125" s="516">
        <v>0.99999999999999989</v>
      </c>
      <c r="J125" s="517" t="s">
        <v>1240</v>
      </c>
      <c r="K125" s="512"/>
      <c r="L125" s="512"/>
      <c r="M125" s="513">
        <v>0</v>
      </c>
      <c r="N125" s="516">
        <v>1</v>
      </c>
      <c r="O125" s="518" t="s">
        <v>1240</v>
      </c>
      <c r="P125" s="13" t="s">
        <v>1236</v>
      </c>
    </row>
    <row r="126" spans="1:16">
      <c r="A126" s="28"/>
      <c r="B126" s="508"/>
      <c r="C126" s="510"/>
      <c r="D126" s="28"/>
      <c r="E126" s="512"/>
      <c r="F126" s="512"/>
      <c r="G126" s="512"/>
      <c r="H126" s="516">
        <v>0</v>
      </c>
      <c r="I126" s="516">
        <v>0.99999999999999989</v>
      </c>
      <c r="J126" s="517" t="s">
        <v>1240</v>
      </c>
      <c r="K126" s="512"/>
      <c r="L126" s="512"/>
      <c r="M126" s="513">
        <v>0</v>
      </c>
      <c r="N126" s="516">
        <v>1</v>
      </c>
      <c r="O126" s="518" t="s">
        <v>1240</v>
      </c>
      <c r="P126" s="13" t="s">
        <v>1236</v>
      </c>
    </row>
    <row r="127" spans="1:16">
      <c r="A127" s="28"/>
      <c r="B127" s="508"/>
      <c r="C127" s="510"/>
      <c r="D127" s="28"/>
      <c r="E127" s="512"/>
      <c r="F127" s="512"/>
      <c r="G127" s="512"/>
      <c r="H127" s="516">
        <v>0</v>
      </c>
      <c r="I127" s="516">
        <v>0.99999999999999989</v>
      </c>
      <c r="J127" s="517" t="s">
        <v>1240</v>
      </c>
      <c r="K127" s="512"/>
      <c r="L127" s="512"/>
      <c r="M127" s="513">
        <v>0</v>
      </c>
      <c r="N127" s="516">
        <v>1</v>
      </c>
      <c r="O127" s="518" t="s">
        <v>1240</v>
      </c>
      <c r="P127" s="13" t="s">
        <v>1236</v>
      </c>
    </row>
    <row r="128" spans="1:16">
      <c r="A128" s="28"/>
      <c r="B128" s="508"/>
      <c r="C128" s="510"/>
      <c r="D128" s="28"/>
      <c r="E128" s="512"/>
      <c r="F128" s="512"/>
      <c r="G128" s="512"/>
      <c r="H128" s="516">
        <v>0</v>
      </c>
      <c r="I128" s="516">
        <v>0.99999999999999989</v>
      </c>
      <c r="J128" s="517" t="s">
        <v>1240</v>
      </c>
      <c r="K128" s="512"/>
      <c r="L128" s="512"/>
      <c r="M128" s="513">
        <v>0</v>
      </c>
      <c r="N128" s="516">
        <v>1</v>
      </c>
      <c r="O128" s="518" t="s">
        <v>1240</v>
      </c>
      <c r="P128" s="13" t="s">
        <v>1236</v>
      </c>
    </row>
    <row r="129" spans="1:16">
      <c r="A129" s="28"/>
      <c r="B129" s="508"/>
      <c r="C129" s="510"/>
      <c r="D129" s="28"/>
      <c r="E129" s="512"/>
      <c r="F129" s="512"/>
      <c r="G129" s="512"/>
      <c r="H129" s="516">
        <v>0</v>
      </c>
      <c r="I129" s="516">
        <v>0.99999999999999989</v>
      </c>
      <c r="J129" s="517" t="s">
        <v>1240</v>
      </c>
      <c r="K129" s="512"/>
      <c r="L129" s="512"/>
      <c r="M129" s="513">
        <v>0</v>
      </c>
      <c r="N129" s="516">
        <v>1</v>
      </c>
      <c r="O129" s="518" t="s">
        <v>1240</v>
      </c>
      <c r="P129" s="13" t="s">
        <v>1236</v>
      </c>
    </row>
    <row r="130" spans="1:16">
      <c r="A130" s="28"/>
      <c r="B130" s="508"/>
      <c r="C130" s="510"/>
      <c r="D130" s="28"/>
      <c r="E130" s="512"/>
      <c r="F130" s="512"/>
      <c r="G130" s="512"/>
      <c r="H130" s="516">
        <v>0</v>
      </c>
      <c r="I130" s="516">
        <v>0.99999999999999989</v>
      </c>
      <c r="J130" s="517" t="s">
        <v>1240</v>
      </c>
      <c r="K130" s="512"/>
      <c r="L130" s="512"/>
      <c r="M130" s="513">
        <v>0</v>
      </c>
      <c r="N130" s="516">
        <v>1</v>
      </c>
      <c r="O130" s="518" t="s">
        <v>1240</v>
      </c>
      <c r="P130" s="13" t="s">
        <v>1236</v>
      </c>
    </row>
    <row r="131" spans="1:16">
      <c r="A131" s="28"/>
      <c r="B131" s="508"/>
      <c r="C131" s="510"/>
      <c r="D131" s="28"/>
      <c r="E131" s="512"/>
      <c r="F131" s="512"/>
      <c r="G131" s="512"/>
      <c r="H131" s="516">
        <v>0</v>
      </c>
      <c r="I131" s="516">
        <v>0.99999999999999989</v>
      </c>
      <c r="J131" s="517" t="s">
        <v>1240</v>
      </c>
      <c r="K131" s="512"/>
      <c r="L131" s="512"/>
      <c r="M131" s="513">
        <v>0</v>
      </c>
      <c r="N131" s="516">
        <v>1</v>
      </c>
      <c r="O131" s="518" t="s">
        <v>1240</v>
      </c>
      <c r="P131" s="13" t="s">
        <v>1236</v>
      </c>
    </row>
    <row r="132" spans="1:16">
      <c r="A132" s="28"/>
      <c r="B132" s="508"/>
      <c r="C132" s="510"/>
      <c r="D132" s="28"/>
      <c r="E132" s="512"/>
      <c r="F132" s="512"/>
      <c r="G132" s="512"/>
      <c r="H132" s="516">
        <v>0</v>
      </c>
      <c r="I132" s="516">
        <v>0.99999999999999989</v>
      </c>
      <c r="J132" s="517" t="s">
        <v>1240</v>
      </c>
      <c r="K132" s="512"/>
      <c r="L132" s="512"/>
      <c r="M132" s="513">
        <v>0</v>
      </c>
      <c r="N132" s="516">
        <v>1</v>
      </c>
      <c r="O132" s="518" t="s">
        <v>1240</v>
      </c>
      <c r="P132" s="13" t="s">
        <v>1236</v>
      </c>
    </row>
    <row r="133" spans="1:16">
      <c r="A133" s="28"/>
      <c r="B133" s="508"/>
      <c r="C133" s="510"/>
      <c r="D133" s="28"/>
      <c r="E133" s="512"/>
      <c r="F133" s="512"/>
      <c r="G133" s="512"/>
      <c r="H133" s="516">
        <v>0</v>
      </c>
      <c r="I133" s="516">
        <v>0.99999999999999989</v>
      </c>
      <c r="J133" s="517" t="s">
        <v>1240</v>
      </c>
      <c r="K133" s="512"/>
      <c r="L133" s="512"/>
      <c r="M133" s="513">
        <v>0</v>
      </c>
      <c r="N133" s="516">
        <v>1</v>
      </c>
      <c r="O133" s="518" t="s">
        <v>1240</v>
      </c>
      <c r="P133" s="13" t="s">
        <v>1236</v>
      </c>
    </row>
    <row r="134" spans="1:16">
      <c r="A134" s="28"/>
      <c r="B134" s="508"/>
      <c r="C134" s="510"/>
      <c r="D134" s="28"/>
      <c r="E134" s="512"/>
      <c r="F134" s="512"/>
      <c r="G134" s="512"/>
      <c r="H134" s="516">
        <v>0</v>
      </c>
      <c r="I134" s="516">
        <v>0.99999999999999989</v>
      </c>
      <c r="J134" s="517" t="s">
        <v>1240</v>
      </c>
      <c r="K134" s="512"/>
      <c r="L134" s="512"/>
      <c r="M134" s="513">
        <v>0</v>
      </c>
      <c r="N134" s="516">
        <v>1</v>
      </c>
      <c r="O134" s="518" t="s">
        <v>1240</v>
      </c>
      <c r="P134" s="13" t="s">
        <v>1236</v>
      </c>
    </row>
    <row r="135" spans="1:16">
      <c r="A135" s="28"/>
      <c r="B135" s="508"/>
      <c r="C135" s="510"/>
      <c r="D135" s="28"/>
      <c r="E135" s="512"/>
      <c r="F135" s="512"/>
      <c r="G135" s="512"/>
      <c r="H135" s="516">
        <v>0</v>
      </c>
      <c r="I135" s="516">
        <v>0.99999999999999989</v>
      </c>
      <c r="J135" s="517" t="s">
        <v>1240</v>
      </c>
      <c r="K135" s="512"/>
      <c r="L135" s="512"/>
      <c r="M135" s="513">
        <v>0</v>
      </c>
      <c r="N135" s="516">
        <v>1</v>
      </c>
      <c r="O135" s="518" t="s">
        <v>1240</v>
      </c>
      <c r="P135" s="13" t="s">
        <v>1236</v>
      </c>
    </row>
    <row r="136" spans="1:16">
      <c r="A136" s="28"/>
      <c r="B136" s="508"/>
      <c r="C136" s="510"/>
      <c r="D136" s="28"/>
      <c r="E136" s="512"/>
      <c r="F136" s="512"/>
      <c r="G136" s="512"/>
      <c r="H136" s="516">
        <v>0</v>
      </c>
      <c r="I136" s="516">
        <v>0.99999999999999989</v>
      </c>
      <c r="J136" s="517" t="s">
        <v>1240</v>
      </c>
      <c r="K136" s="512"/>
      <c r="L136" s="512"/>
      <c r="M136" s="513">
        <v>0</v>
      </c>
      <c r="N136" s="516">
        <v>1</v>
      </c>
      <c r="O136" s="518" t="s">
        <v>1240</v>
      </c>
      <c r="P136" s="13" t="s">
        <v>1236</v>
      </c>
    </row>
    <row r="137" spans="1:16">
      <c r="A137" s="28"/>
      <c r="B137" s="508"/>
      <c r="C137" s="510"/>
      <c r="D137" s="28"/>
      <c r="E137" s="512"/>
      <c r="F137" s="512"/>
      <c r="G137" s="512"/>
      <c r="H137" s="516">
        <v>0</v>
      </c>
      <c r="I137" s="516">
        <v>0.99999999999999989</v>
      </c>
      <c r="J137" s="517" t="s">
        <v>1240</v>
      </c>
      <c r="K137" s="512"/>
      <c r="L137" s="512"/>
      <c r="M137" s="513">
        <v>0</v>
      </c>
      <c r="N137" s="516">
        <v>1</v>
      </c>
      <c r="O137" s="518" t="s">
        <v>1240</v>
      </c>
      <c r="P137" s="13" t="s">
        <v>1236</v>
      </c>
    </row>
    <row r="138" spans="1:16">
      <c r="A138" s="28"/>
      <c r="B138" s="508"/>
      <c r="C138" s="510"/>
      <c r="D138" s="28"/>
      <c r="E138" s="512"/>
      <c r="F138" s="512"/>
      <c r="G138" s="512"/>
      <c r="H138" s="516">
        <v>0</v>
      </c>
      <c r="I138" s="516">
        <v>0.99999999999999989</v>
      </c>
      <c r="J138" s="517" t="s">
        <v>1240</v>
      </c>
      <c r="K138" s="512"/>
      <c r="L138" s="512"/>
      <c r="M138" s="513">
        <v>0</v>
      </c>
      <c r="N138" s="516">
        <v>1</v>
      </c>
      <c r="O138" s="518" t="s">
        <v>1240</v>
      </c>
      <c r="P138" s="13" t="s">
        <v>1236</v>
      </c>
    </row>
    <row r="139" spans="1:16">
      <c r="A139" s="28"/>
      <c r="B139" s="508"/>
      <c r="C139" s="510"/>
      <c r="D139" s="28"/>
      <c r="E139" s="512"/>
      <c r="F139" s="512"/>
      <c r="G139" s="512"/>
      <c r="H139" s="516">
        <v>0</v>
      </c>
      <c r="I139" s="516">
        <v>0.99999999999999989</v>
      </c>
      <c r="J139" s="517" t="s">
        <v>1240</v>
      </c>
      <c r="K139" s="512"/>
      <c r="L139" s="512"/>
      <c r="M139" s="513">
        <v>0</v>
      </c>
      <c r="N139" s="516">
        <v>1</v>
      </c>
      <c r="O139" s="518" t="s">
        <v>1240</v>
      </c>
      <c r="P139" s="13" t="s">
        <v>1236</v>
      </c>
    </row>
    <row r="140" spans="1:16">
      <c r="A140" s="28"/>
      <c r="B140" s="508"/>
      <c r="C140" s="510"/>
      <c r="D140" s="28"/>
      <c r="E140" s="512"/>
      <c r="F140" s="512"/>
      <c r="G140" s="512"/>
      <c r="H140" s="516">
        <v>0</v>
      </c>
      <c r="I140" s="516">
        <v>0.99999999999999989</v>
      </c>
      <c r="J140" s="517" t="s">
        <v>1240</v>
      </c>
      <c r="K140" s="512"/>
      <c r="L140" s="512"/>
      <c r="M140" s="513">
        <v>0</v>
      </c>
      <c r="N140" s="516">
        <v>1</v>
      </c>
      <c r="O140" s="518" t="s">
        <v>1240</v>
      </c>
      <c r="P140" s="13" t="s">
        <v>1236</v>
      </c>
    </row>
    <row r="141" spans="1:16">
      <c r="A141" s="28"/>
      <c r="B141" s="508"/>
      <c r="C141" s="510"/>
      <c r="D141" s="28"/>
      <c r="E141" s="512"/>
      <c r="F141" s="512"/>
      <c r="G141" s="512"/>
      <c r="H141" s="516">
        <v>0</v>
      </c>
      <c r="I141" s="516">
        <v>0.99999999999999989</v>
      </c>
      <c r="J141" s="517" t="s">
        <v>1240</v>
      </c>
      <c r="K141" s="512"/>
      <c r="L141" s="512"/>
      <c r="M141" s="513">
        <v>0</v>
      </c>
      <c r="N141" s="516">
        <v>1</v>
      </c>
      <c r="O141" s="518" t="s">
        <v>1240</v>
      </c>
      <c r="P141" s="13" t="s">
        <v>1236</v>
      </c>
    </row>
    <row r="142" spans="1:16">
      <c r="A142" s="28"/>
      <c r="B142" s="508"/>
      <c r="C142" s="510"/>
      <c r="D142" s="28"/>
      <c r="E142" s="512"/>
      <c r="F142" s="512"/>
      <c r="G142" s="512"/>
      <c r="H142" s="516">
        <v>0</v>
      </c>
      <c r="I142" s="516">
        <v>0.99999999999999989</v>
      </c>
      <c r="J142" s="517" t="s">
        <v>1240</v>
      </c>
      <c r="K142" s="512"/>
      <c r="L142" s="512"/>
      <c r="M142" s="513">
        <v>0</v>
      </c>
      <c r="N142" s="516">
        <v>1</v>
      </c>
      <c r="O142" s="518" t="s">
        <v>1240</v>
      </c>
      <c r="P142" s="13" t="s">
        <v>1236</v>
      </c>
    </row>
    <row r="143" spans="1:16">
      <c r="A143" s="28"/>
      <c r="B143" s="508"/>
      <c r="C143" s="510"/>
      <c r="D143" s="28"/>
      <c r="E143" s="512"/>
      <c r="F143" s="512"/>
      <c r="G143" s="512"/>
      <c r="H143" s="516">
        <v>0</v>
      </c>
      <c r="I143" s="516">
        <v>0.99999999999999989</v>
      </c>
      <c r="J143" s="517" t="s">
        <v>1240</v>
      </c>
      <c r="K143" s="512"/>
      <c r="L143" s="512"/>
      <c r="M143" s="513">
        <v>0</v>
      </c>
      <c r="N143" s="516">
        <v>1</v>
      </c>
      <c r="O143" s="518" t="s">
        <v>1240</v>
      </c>
      <c r="P143" s="13" t="s">
        <v>1236</v>
      </c>
    </row>
    <row r="144" spans="1:16">
      <c r="A144" s="28"/>
      <c r="B144" s="508"/>
      <c r="C144" s="510"/>
      <c r="D144" s="28"/>
      <c r="E144" s="512"/>
      <c r="F144" s="512"/>
      <c r="G144" s="512"/>
      <c r="H144" s="516">
        <v>0</v>
      </c>
      <c r="I144" s="516">
        <v>0.99999999999999989</v>
      </c>
      <c r="J144" s="517" t="s">
        <v>1240</v>
      </c>
      <c r="K144" s="512"/>
      <c r="L144" s="512"/>
      <c r="M144" s="513">
        <v>0</v>
      </c>
      <c r="N144" s="516">
        <v>1</v>
      </c>
      <c r="O144" s="518" t="s">
        <v>1240</v>
      </c>
      <c r="P144" s="13" t="s">
        <v>1236</v>
      </c>
    </row>
    <row r="145" spans="1:16">
      <c r="A145" s="28"/>
      <c r="B145" s="508"/>
      <c r="C145" s="510"/>
      <c r="D145" s="28"/>
      <c r="E145" s="512"/>
      <c r="F145" s="512"/>
      <c r="G145" s="512"/>
      <c r="H145" s="516">
        <v>0</v>
      </c>
      <c r="I145" s="516">
        <v>0.99999999999999989</v>
      </c>
      <c r="J145" s="517" t="s">
        <v>1240</v>
      </c>
      <c r="K145" s="512"/>
      <c r="L145" s="512"/>
      <c r="M145" s="513">
        <v>0</v>
      </c>
      <c r="N145" s="516">
        <v>1</v>
      </c>
      <c r="O145" s="518" t="s">
        <v>1240</v>
      </c>
      <c r="P145" s="13" t="s">
        <v>1236</v>
      </c>
    </row>
    <row r="146" spans="1:16">
      <c r="A146" s="28"/>
      <c r="B146" s="508"/>
      <c r="C146" s="510"/>
      <c r="D146" s="28"/>
      <c r="E146" s="512"/>
      <c r="F146" s="512"/>
      <c r="G146" s="512"/>
      <c r="H146" s="516">
        <v>0</v>
      </c>
      <c r="I146" s="516">
        <v>0.99999999999999989</v>
      </c>
      <c r="J146" s="517" t="s">
        <v>1240</v>
      </c>
      <c r="K146" s="512"/>
      <c r="L146" s="512"/>
      <c r="M146" s="513">
        <v>0</v>
      </c>
      <c r="N146" s="516">
        <v>1</v>
      </c>
      <c r="O146" s="518" t="s">
        <v>1240</v>
      </c>
      <c r="P146" s="13" t="s">
        <v>1236</v>
      </c>
    </row>
    <row r="147" spans="1:16">
      <c r="A147" s="28"/>
      <c r="B147" s="508"/>
      <c r="C147" s="510"/>
      <c r="D147" s="28"/>
      <c r="E147" s="512"/>
      <c r="F147" s="512"/>
      <c r="G147" s="512"/>
      <c r="H147" s="516">
        <v>0</v>
      </c>
      <c r="I147" s="516">
        <v>0.99999999999999989</v>
      </c>
      <c r="J147" s="517" t="s">
        <v>1240</v>
      </c>
      <c r="K147" s="512"/>
      <c r="L147" s="512"/>
      <c r="M147" s="513">
        <v>0</v>
      </c>
      <c r="N147" s="516">
        <v>1</v>
      </c>
      <c r="O147" s="518" t="s">
        <v>1240</v>
      </c>
      <c r="P147" s="13" t="s">
        <v>1236</v>
      </c>
    </row>
    <row r="148" spans="1:16">
      <c r="A148" s="28"/>
      <c r="B148" s="508"/>
      <c r="C148" s="510"/>
      <c r="D148" s="28"/>
      <c r="E148" s="512"/>
      <c r="F148" s="512"/>
      <c r="G148" s="512"/>
      <c r="H148" s="516">
        <v>0</v>
      </c>
      <c r="I148" s="516">
        <v>0.99999999999999989</v>
      </c>
      <c r="J148" s="517" t="s">
        <v>1240</v>
      </c>
      <c r="K148" s="512"/>
      <c r="L148" s="512"/>
      <c r="M148" s="513">
        <v>0</v>
      </c>
      <c r="N148" s="516">
        <v>1</v>
      </c>
      <c r="O148" s="518" t="s">
        <v>1240</v>
      </c>
      <c r="P148" s="13" t="s">
        <v>1236</v>
      </c>
    </row>
    <row r="149" spans="1:16">
      <c r="A149" s="28"/>
      <c r="B149" s="508"/>
      <c r="C149" s="510"/>
      <c r="D149" s="28"/>
      <c r="E149" s="512"/>
      <c r="F149" s="512"/>
      <c r="G149" s="512"/>
      <c r="H149" s="516">
        <v>0</v>
      </c>
      <c r="I149" s="516">
        <v>0.99999999999999989</v>
      </c>
      <c r="J149" s="517" t="s">
        <v>1240</v>
      </c>
      <c r="K149" s="512"/>
      <c r="L149" s="512"/>
      <c r="M149" s="513">
        <v>0</v>
      </c>
      <c r="N149" s="516">
        <v>1</v>
      </c>
      <c r="O149" s="518" t="s">
        <v>1240</v>
      </c>
      <c r="P149" s="13" t="s">
        <v>1236</v>
      </c>
    </row>
    <row r="150" spans="1:16">
      <c r="A150" s="28"/>
      <c r="B150" s="508"/>
      <c r="C150" s="510"/>
      <c r="D150" s="28"/>
      <c r="E150" s="512"/>
      <c r="F150" s="512"/>
      <c r="G150" s="512"/>
      <c r="H150" s="516">
        <v>0</v>
      </c>
      <c r="I150" s="516">
        <v>0.99999999999999989</v>
      </c>
      <c r="J150" s="517" t="s">
        <v>1240</v>
      </c>
      <c r="K150" s="512"/>
      <c r="L150" s="512"/>
      <c r="M150" s="513">
        <v>0</v>
      </c>
      <c r="N150" s="516">
        <v>1</v>
      </c>
      <c r="O150" s="518" t="s">
        <v>1240</v>
      </c>
      <c r="P150" s="13" t="s">
        <v>1236</v>
      </c>
    </row>
    <row r="151" spans="1:16">
      <c r="A151" s="28"/>
      <c r="B151" s="508"/>
      <c r="C151" s="510"/>
      <c r="D151" s="28"/>
      <c r="E151" s="512"/>
      <c r="F151" s="512"/>
      <c r="G151" s="512"/>
      <c r="H151" s="516">
        <v>0</v>
      </c>
      <c r="I151" s="516">
        <v>0.99999999999999989</v>
      </c>
      <c r="J151" s="517" t="s">
        <v>1240</v>
      </c>
      <c r="K151" s="512"/>
      <c r="L151" s="512"/>
      <c r="M151" s="513">
        <v>0</v>
      </c>
      <c r="N151" s="516">
        <v>1</v>
      </c>
      <c r="O151" s="518" t="s">
        <v>1240</v>
      </c>
      <c r="P151" s="13" t="s">
        <v>1236</v>
      </c>
    </row>
    <row r="152" spans="1:16">
      <c r="A152" s="28"/>
      <c r="B152" s="508"/>
      <c r="C152" s="510"/>
      <c r="D152" s="28"/>
      <c r="E152" s="512"/>
      <c r="F152" s="512"/>
      <c r="G152" s="512"/>
      <c r="H152" s="516">
        <v>0</v>
      </c>
      <c r="I152" s="516">
        <v>0.99999999999999989</v>
      </c>
      <c r="J152" s="517" t="s">
        <v>1240</v>
      </c>
      <c r="K152" s="512"/>
      <c r="L152" s="512"/>
      <c r="M152" s="513">
        <v>0</v>
      </c>
      <c r="N152" s="516">
        <v>1</v>
      </c>
      <c r="O152" s="518" t="s">
        <v>1240</v>
      </c>
      <c r="P152" s="13" t="s">
        <v>1236</v>
      </c>
    </row>
    <row r="153" spans="1:16">
      <c r="A153" s="28"/>
      <c r="B153" s="508"/>
      <c r="C153" s="510"/>
      <c r="D153" s="28"/>
      <c r="E153" s="512"/>
      <c r="F153" s="512"/>
      <c r="G153" s="512"/>
      <c r="H153" s="516">
        <v>0</v>
      </c>
      <c r="I153" s="516">
        <v>0.99999999999999989</v>
      </c>
      <c r="J153" s="517" t="s">
        <v>1240</v>
      </c>
      <c r="K153" s="512"/>
      <c r="L153" s="512"/>
      <c r="M153" s="513">
        <v>0</v>
      </c>
      <c r="N153" s="516">
        <v>1</v>
      </c>
      <c r="O153" s="518" t="s">
        <v>1240</v>
      </c>
      <c r="P153" s="13" t="s">
        <v>1236</v>
      </c>
    </row>
    <row r="154" spans="1:16">
      <c r="A154" s="28"/>
      <c r="B154" s="508"/>
      <c r="C154" s="510"/>
      <c r="D154" s="28"/>
      <c r="E154" s="512"/>
      <c r="F154" s="512"/>
      <c r="G154" s="512"/>
      <c r="H154" s="516">
        <v>0</v>
      </c>
      <c r="I154" s="516">
        <v>0.99999999999999989</v>
      </c>
      <c r="J154" s="517" t="s">
        <v>1240</v>
      </c>
      <c r="K154" s="512"/>
      <c r="L154" s="512"/>
      <c r="M154" s="513">
        <v>0</v>
      </c>
      <c r="N154" s="516">
        <v>1</v>
      </c>
      <c r="O154" s="518" t="s">
        <v>1240</v>
      </c>
      <c r="P154" s="13" t="s">
        <v>1236</v>
      </c>
    </row>
    <row r="155" spans="1:16">
      <c r="A155" s="28"/>
      <c r="B155" s="508"/>
      <c r="C155" s="510"/>
      <c r="D155" s="28"/>
      <c r="E155" s="512"/>
      <c r="F155" s="512"/>
      <c r="G155" s="512"/>
      <c r="H155" s="516">
        <v>0</v>
      </c>
      <c r="I155" s="516">
        <v>0.99999999999999989</v>
      </c>
      <c r="J155" s="517" t="s">
        <v>1240</v>
      </c>
      <c r="K155" s="512"/>
      <c r="L155" s="512"/>
      <c r="M155" s="513">
        <v>0</v>
      </c>
      <c r="N155" s="516">
        <v>1</v>
      </c>
      <c r="O155" s="518" t="s">
        <v>1240</v>
      </c>
      <c r="P155" s="13" t="s">
        <v>1236</v>
      </c>
    </row>
    <row r="156" spans="1:16">
      <c r="A156" s="28"/>
      <c r="B156" s="508"/>
      <c r="C156" s="510"/>
      <c r="D156" s="28"/>
      <c r="E156" s="512"/>
      <c r="F156" s="512"/>
      <c r="G156" s="512"/>
      <c r="H156" s="516">
        <v>0</v>
      </c>
      <c r="I156" s="516">
        <v>0.99999999999999989</v>
      </c>
      <c r="J156" s="517" t="s">
        <v>1240</v>
      </c>
      <c r="K156" s="512"/>
      <c r="L156" s="512"/>
      <c r="M156" s="513">
        <v>0</v>
      </c>
      <c r="N156" s="516">
        <v>1</v>
      </c>
      <c r="O156" s="518" t="s">
        <v>1240</v>
      </c>
      <c r="P156" s="13" t="s">
        <v>1236</v>
      </c>
    </row>
    <row r="157" spans="1:16">
      <c r="A157" s="28"/>
      <c r="B157" s="508"/>
      <c r="C157" s="510"/>
      <c r="D157" s="28"/>
      <c r="E157" s="512"/>
      <c r="F157" s="512"/>
      <c r="G157" s="512"/>
      <c r="H157" s="516">
        <v>0</v>
      </c>
      <c r="I157" s="516">
        <v>0.99999999999999989</v>
      </c>
      <c r="J157" s="517" t="s">
        <v>1240</v>
      </c>
      <c r="K157" s="512"/>
      <c r="L157" s="512"/>
      <c r="M157" s="513">
        <v>0</v>
      </c>
      <c r="N157" s="516">
        <v>1</v>
      </c>
      <c r="O157" s="518" t="s">
        <v>1240</v>
      </c>
      <c r="P157" s="13" t="s">
        <v>1236</v>
      </c>
    </row>
    <row r="158" spans="1:16">
      <c r="A158" s="28"/>
      <c r="B158" s="508"/>
      <c r="C158" s="510"/>
      <c r="D158" s="28"/>
      <c r="E158" s="512"/>
      <c r="F158" s="512"/>
      <c r="G158" s="512"/>
      <c r="H158" s="516">
        <v>0</v>
      </c>
      <c r="I158" s="516">
        <v>0.99999999999999989</v>
      </c>
      <c r="J158" s="517" t="s">
        <v>1240</v>
      </c>
      <c r="K158" s="512"/>
      <c r="L158" s="512"/>
      <c r="M158" s="513">
        <v>0</v>
      </c>
      <c r="N158" s="516">
        <v>1</v>
      </c>
      <c r="O158" s="518" t="s">
        <v>1240</v>
      </c>
      <c r="P158" s="13" t="s">
        <v>1236</v>
      </c>
    </row>
    <row r="159" spans="1:16">
      <c r="A159" s="28"/>
      <c r="B159" s="508"/>
      <c r="C159" s="510"/>
      <c r="D159" s="28"/>
      <c r="E159" s="512"/>
      <c r="F159" s="512"/>
      <c r="G159" s="512"/>
      <c r="H159" s="516">
        <v>0</v>
      </c>
      <c r="I159" s="516">
        <v>0.99999999999999989</v>
      </c>
      <c r="J159" s="517" t="s">
        <v>1240</v>
      </c>
      <c r="K159" s="512"/>
      <c r="L159" s="512"/>
      <c r="M159" s="513">
        <v>0</v>
      </c>
      <c r="N159" s="516">
        <v>1</v>
      </c>
      <c r="O159" s="518" t="s">
        <v>1240</v>
      </c>
      <c r="P159" s="13" t="s">
        <v>1236</v>
      </c>
    </row>
    <row r="160" spans="1:16">
      <c r="A160" s="28"/>
      <c r="B160" s="508"/>
      <c r="C160" s="510"/>
      <c r="D160" s="28"/>
      <c r="E160" s="512"/>
      <c r="F160" s="512"/>
      <c r="G160" s="512"/>
      <c r="H160" s="516">
        <v>0</v>
      </c>
      <c r="I160" s="516">
        <v>0.99999999999999989</v>
      </c>
      <c r="J160" s="517" t="s">
        <v>1240</v>
      </c>
      <c r="K160" s="512"/>
      <c r="L160" s="512"/>
      <c r="M160" s="513">
        <v>0</v>
      </c>
      <c r="N160" s="516">
        <v>1</v>
      </c>
      <c r="O160" s="518" t="s">
        <v>1240</v>
      </c>
      <c r="P160" s="13" t="s">
        <v>1236</v>
      </c>
    </row>
    <row r="161" spans="1:16">
      <c r="A161" s="28"/>
      <c r="B161" s="508"/>
      <c r="C161" s="510"/>
      <c r="D161" s="28"/>
      <c r="E161" s="512"/>
      <c r="F161" s="512"/>
      <c r="G161" s="512"/>
      <c r="H161" s="516">
        <v>0</v>
      </c>
      <c r="I161" s="516">
        <v>0.99999999999999989</v>
      </c>
      <c r="J161" s="517" t="s">
        <v>1240</v>
      </c>
      <c r="K161" s="512"/>
      <c r="L161" s="512"/>
      <c r="M161" s="513">
        <v>0</v>
      </c>
      <c r="N161" s="516">
        <v>1</v>
      </c>
      <c r="O161" s="518" t="s">
        <v>1240</v>
      </c>
      <c r="P161" s="13" t="s">
        <v>1236</v>
      </c>
    </row>
    <row r="162" spans="1:16">
      <c r="A162" s="28"/>
      <c r="B162" s="508"/>
      <c r="C162" s="510"/>
      <c r="D162" s="28"/>
      <c r="E162" s="512"/>
      <c r="F162" s="512"/>
      <c r="G162" s="512"/>
      <c r="H162" s="516">
        <v>0</v>
      </c>
      <c r="I162" s="516">
        <v>0.99999999999999989</v>
      </c>
      <c r="J162" s="517" t="s">
        <v>1240</v>
      </c>
      <c r="K162" s="512"/>
      <c r="L162" s="512"/>
      <c r="M162" s="513">
        <v>0</v>
      </c>
      <c r="N162" s="516">
        <v>1</v>
      </c>
      <c r="O162" s="518" t="s">
        <v>1240</v>
      </c>
      <c r="P162" s="13" t="s">
        <v>1236</v>
      </c>
    </row>
    <row r="163" spans="1:16">
      <c r="A163" s="28"/>
      <c r="B163" s="508"/>
      <c r="C163" s="510"/>
      <c r="D163" s="28"/>
      <c r="E163" s="512"/>
      <c r="F163" s="512"/>
      <c r="G163" s="512"/>
      <c r="H163" s="516">
        <v>0</v>
      </c>
      <c r="I163" s="516">
        <v>0.99999999999999989</v>
      </c>
      <c r="J163" s="517" t="s">
        <v>1240</v>
      </c>
      <c r="K163" s="512"/>
      <c r="L163" s="512"/>
      <c r="M163" s="513">
        <v>0</v>
      </c>
      <c r="N163" s="516">
        <v>1</v>
      </c>
      <c r="O163" s="518" t="s">
        <v>1240</v>
      </c>
      <c r="P163" s="13" t="s">
        <v>1236</v>
      </c>
    </row>
    <row r="164" spans="1:16">
      <c r="A164" s="28"/>
      <c r="B164" s="508"/>
      <c r="C164" s="510"/>
      <c r="D164" s="28"/>
      <c r="E164" s="512"/>
      <c r="F164" s="512"/>
      <c r="G164" s="512"/>
      <c r="H164" s="516">
        <v>0</v>
      </c>
      <c r="I164" s="516">
        <v>0.99999999999999989</v>
      </c>
      <c r="J164" s="517" t="s">
        <v>1240</v>
      </c>
      <c r="K164" s="512"/>
      <c r="L164" s="512"/>
      <c r="M164" s="513">
        <v>0</v>
      </c>
      <c r="N164" s="516">
        <v>1</v>
      </c>
      <c r="O164" s="518" t="s">
        <v>1240</v>
      </c>
      <c r="P164" s="13" t="s">
        <v>1236</v>
      </c>
    </row>
    <row r="165" spans="1:16">
      <c r="A165" s="28"/>
      <c r="B165" s="508"/>
      <c r="C165" s="510"/>
      <c r="D165" s="28"/>
      <c r="E165" s="512"/>
      <c r="F165" s="512"/>
      <c r="G165" s="512"/>
      <c r="H165" s="516">
        <v>0</v>
      </c>
      <c r="I165" s="516">
        <v>0.99999999999999989</v>
      </c>
      <c r="J165" s="517" t="s">
        <v>1240</v>
      </c>
      <c r="K165" s="512"/>
      <c r="L165" s="512"/>
      <c r="M165" s="513">
        <v>0</v>
      </c>
      <c r="N165" s="516">
        <v>1</v>
      </c>
      <c r="O165" s="518" t="s">
        <v>1240</v>
      </c>
      <c r="P165" s="13" t="s">
        <v>1236</v>
      </c>
    </row>
    <row r="166" spans="1:16">
      <c r="A166" s="28"/>
      <c r="B166" s="508"/>
      <c r="C166" s="510"/>
      <c r="D166" s="28"/>
      <c r="E166" s="512"/>
      <c r="F166" s="512"/>
      <c r="G166" s="512"/>
      <c r="H166" s="516">
        <v>0</v>
      </c>
      <c r="I166" s="516">
        <v>0.99999999999999989</v>
      </c>
      <c r="J166" s="517" t="s">
        <v>1240</v>
      </c>
      <c r="K166" s="512"/>
      <c r="L166" s="512"/>
      <c r="M166" s="513">
        <v>0</v>
      </c>
      <c r="N166" s="516">
        <v>1</v>
      </c>
      <c r="O166" s="518" t="s">
        <v>1240</v>
      </c>
      <c r="P166" s="13" t="s">
        <v>1236</v>
      </c>
    </row>
    <row r="167" spans="1:16">
      <c r="A167" s="28"/>
      <c r="B167" s="508"/>
      <c r="C167" s="510"/>
      <c r="D167" s="28"/>
      <c r="E167" s="512"/>
      <c r="F167" s="512"/>
      <c r="G167" s="512"/>
      <c r="H167" s="516">
        <v>0</v>
      </c>
      <c r="I167" s="516">
        <v>0.99999999999999989</v>
      </c>
      <c r="J167" s="517" t="s">
        <v>1240</v>
      </c>
      <c r="K167" s="512"/>
      <c r="L167" s="512"/>
      <c r="M167" s="513">
        <v>0</v>
      </c>
      <c r="N167" s="516">
        <v>1</v>
      </c>
      <c r="O167" s="518" t="s">
        <v>1240</v>
      </c>
      <c r="P167" s="13" t="s">
        <v>1236</v>
      </c>
    </row>
    <row r="168" spans="1:16">
      <c r="A168" s="28"/>
      <c r="B168" s="508"/>
      <c r="C168" s="510"/>
      <c r="D168" s="28"/>
      <c r="E168" s="512"/>
      <c r="F168" s="512"/>
      <c r="G168" s="512"/>
      <c r="H168" s="516">
        <v>0</v>
      </c>
      <c r="I168" s="516">
        <v>0.99999999999999989</v>
      </c>
      <c r="J168" s="517" t="s">
        <v>1240</v>
      </c>
      <c r="K168" s="512"/>
      <c r="L168" s="512"/>
      <c r="M168" s="513">
        <v>0</v>
      </c>
      <c r="N168" s="516">
        <v>1</v>
      </c>
      <c r="O168" s="518" t="s">
        <v>1240</v>
      </c>
      <c r="P168" s="13" t="s">
        <v>1236</v>
      </c>
    </row>
    <row r="169" spans="1:16">
      <c r="A169" s="28"/>
      <c r="B169" s="508"/>
      <c r="C169" s="510"/>
      <c r="D169" s="28"/>
      <c r="E169" s="512"/>
      <c r="F169" s="512"/>
      <c r="G169" s="512"/>
      <c r="H169" s="516">
        <v>0</v>
      </c>
      <c r="I169" s="516">
        <v>0.99999999999999989</v>
      </c>
      <c r="J169" s="517" t="s">
        <v>1240</v>
      </c>
      <c r="K169" s="512"/>
      <c r="L169" s="512"/>
      <c r="M169" s="513">
        <v>0</v>
      </c>
      <c r="N169" s="516">
        <v>1</v>
      </c>
      <c r="O169" s="518" t="s">
        <v>1240</v>
      </c>
      <c r="P169" s="13" t="s">
        <v>1236</v>
      </c>
    </row>
    <row r="170" spans="1:16">
      <c r="A170" s="28"/>
      <c r="B170" s="508"/>
      <c r="C170" s="510"/>
      <c r="D170" s="28"/>
      <c r="E170" s="512"/>
      <c r="F170" s="512"/>
      <c r="G170" s="512"/>
      <c r="H170" s="516">
        <v>0</v>
      </c>
      <c r="I170" s="516">
        <v>0.99999999999999989</v>
      </c>
      <c r="J170" s="517" t="s">
        <v>1240</v>
      </c>
      <c r="K170" s="512"/>
      <c r="L170" s="512"/>
      <c r="M170" s="513">
        <v>0</v>
      </c>
      <c r="N170" s="516">
        <v>1</v>
      </c>
      <c r="O170" s="518" t="s">
        <v>1240</v>
      </c>
      <c r="P170" s="13" t="s">
        <v>1236</v>
      </c>
    </row>
    <row r="171" spans="1:16">
      <c r="G171" s="512"/>
      <c r="H171" s="516">
        <v>0</v>
      </c>
      <c r="I171" s="516">
        <v>0.99999999999999989</v>
      </c>
      <c r="J171" s="517" t="s">
        <v>1240</v>
      </c>
      <c r="L171" s="512"/>
      <c r="M171" s="513">
        <v>0</v>
      </c>
      <c r="N171" s="516">
        <v>1</v>
      </c>
      <c r="O171" s="518" t="s">
        <v>1240</v>
      </c>
      <c r="P171" s="13" t="s">
        <v>1236</v>
      </c>
    </row>
    <row r="172" spans="1:16">
      <c r="G172" s="512"/>
      <c r="H172" s="516">
        <v>0</v>
      </c>
      <c r="I172" s="516">
        <v>0.99999999999999989</v>
      </c>
      <c r="J172" s="517" t="s">
        <v>1240</v>
      </c>
      <c r="L172" s="512"/>
      <c r="M172" s="513">
        <v>0</v>
      </c>
      <c r="N172" s="516">
        <v>1</v>
      </c>
      <c r="O172" s="518" t="s">
        <v>1240</v>
      </c>
      <c r="P172" s="13" t="s">
        <v>1236</v>
      </c>
    </row>
    <row r="173" spans="1:16">
      <c r="G173" s="512"/>
      <c r="H173" s="516">
        <v>0</v>
      </c>
      <c r="I173" s="516">
        <v>0.99999999999999989</v>
      </c>
      <c r="J173" s="517" t="s">
        <v>1240</v>
      </c>
      <c r="L173" s="512"/>
      <c r="M173" s="513">
        <v>0</v>
      </c>
      <c r="N173" s="516">
        <v>1</v>
      </c>
      <c r="O173" s="518" t="s">
        <v>1240</v>
      </c>
      <c r="P173" s="13" t="s">
        <v>1236</v>
      </c>
    </row>
    <row r="174" spans="1:16">
      <c r="G174" s="512"/>
      <c r="H174" s="516">
        <v>0</v>
      </c>
      <c r="I174" s="516">
        <v>0.99999999999999989</v>
      </c>
      <c r="J174" s="517" t="s">
        <v>1240</v>
      </c>
      <c r="L174" s="512"/>
      <c r="M174" s="513">
        <v>0</v>
      </c>
      <c r="N174" s="516">
        <v>1</v>
      </c>
      <c r="O174" s="518" t="s">
        <v>1240</v>
      </c>
      <c r="P174" s="13" t="s">
        <v>1236</v>
      </c>
    </row>
    <row r="175" spans="1:16">
      <c r="G175" s="512"/>
      <c r="H175" s="516">
        <v>0</v>
      </c>
      <c r="I175" s="516">
        <v>0.99999999999999989</v>
      </c>
      <c r="J175" s="517" t="s">
        <v>1240</v>
      </c>
      <c r="L175" s="512"/>
      <c r="M175" s="513">
        <v>0</v>
      </c>
      <c r="N175" s="516">
        <v>1</v>
      </c>
      <c r="O175" s="518" t="s">
        <v>1240</v>
      </c>
      <c r="P175" s="13" t="s">
        <v>1236</v>
      </c>
    </row>
    <row r="176" spans="1:16">
      <c r="G176" s="512"/>
      <c r="H176" s="516">
        <v>0</v>
      </c>
      <c r="I176" s="516">
        <v>0.99999999999999989</v>
      </c>
      <c r="J176" s="517" t="s">
        <v>1240</v>
      </c>
      <c r="L176" s="512"/>
      <c r="M176" s="513">
        <v>0</v>
      </c>
      <c r="N176" s="516">
        <v>1</v>
      </c>
      <c r="O176" s="518" t="s">
        <v>1240</v>
      </c>
      <c r="P176" s="13" t="s">
        <v>1236</v>
      </c>
    </row>
    <row r="177" spans="7:16">
      <c r="G177" s="512"/>
      <c r="H177" s="516">
        <v>0</v>
      </c>
      <c r="I177" s="516">
        <v>0.99999999999999989</v>
      </c>
      <c r="J177" s="517" t="s">
        <v>1240</v>
      </c>
      <c r="L177" s="512"/>
      <c r="M177" s="513">
        <v>0</v>
      </c>
      <c r="N177" s="516">
        <v>1</v>
      </c>
      <c r="O177" s="518" t="s">
        <v>1240</v>
      </c>
      <c r="P177" s="13" t="s">
        <v>1236</v>
      </c>
    </row>
    <row r="178" spans="7:16">
      <c r="G178" s="512"/>
      <c r="H178" s="516">
        <v>0</v>
      </c>
      <c r="I178" s="516">
        <v>0.99999999999999989</v>
      </c>
      <c r="J178" s="517" t="s">
        <v>1240</v>
      </c>
      <c r="L178" s="512"/>
      <c r="M178" s="513">
        <v>0</v>
      </c>
      <c r="N178" s="516">
        <v>1</v>
      </c>
      <c r="O178" s="518" t="s">
        <v>1240</v>
      </c>
      <c r="P178" s="13" t="s">
        <v>1236</v>
      </c>
    </row>
    <row r="179" spans="7:16">
      <c r="G179" s="512"/>
      <c r="H179" s="516">
        <v>0</v>
      </c>
      <c r="I179" s="516">
        <v>0.99999999999999989</v>
      </c>
      <c r="J179" s="517" t="s">
        <v>1240</v>
      </c>
      <c r="L179" s="512"/>
      <c r="M179" s="513">
        <v>0</v>
      </c>
      <c r="N179" s="516">
        <v>1</v>
      </c>
      <c r="O179" s="518" t="s">
        <v>1240</v>
      </c>
      <c r="P179" s="13" t="s">
        <v>1236</v>
      </c>
    </row>
    <row r="180" spans="7:16">
      <c r="G180" s="512"/>
      <c r="H180" s="516">
        <v>0</v>
      </c>
      <c r="I180" s="516">
        <v>0.99999999999999989</v>
      </c>
      <c r="J180" s="517" t="s">
        <v>1240</v>
      </c>
      <c r="L180" s="512"/>
      <c r="M180" s="513">
        <v>0</v>
      </c>
      <c r="N180" s="516">
        <v>1</v>
      </c>
      <c r="O180" s="518" t="s">
        <v>1240</v>
      </c>
      <c r="P180" s="13" t="s">
        <v>1236</v>
      </c>
    </row>
    <row r="181" spans="7:16">
      <c r="G181" s="512"/>
      <c r="H181" s="516">
        <v>0</v>
      </c>
      <c r="I181" s="516">
        <v>0.99999999999999989</v>
      </c>
      <c r="J181" s="517" t="s">
        <v>1240</v>
      </c>
      <c r="L181" s="512"/>
      <c r="M181" s="513">
        <v>0</v>
      </c>
      <c r="N181" s="516">
        <v>1</v>
      </c>
      <c r="O181" s="518" t="s">
        <v>1240</v>
      </c>
      <c r="P181" s="13" t="s">
        <v>1236</v>
      </c>
    </row>
    <row r="182" spans="7:16">
      <c r="G182" s="512"/>
      <c r="H182" s="516">
        <v>0</v>
      </c>
      <c r="I182" s="516">
        <v>0.99999999999999989</v>
      </c>
      <c r="J182" s="517" t="s">
        <v>1240</v>
      </c>
      <c r="L182" s="512"/>
      <c r="M182" s="513">
        <v>0</v>
      </c>
      <c r="N182" s="516">
        <v>1</v>
      </c>
      <c r="O182" s="518" t="s">
        <v>1240</v>
      </c>
      <c r="P182" s="13" t="s">
        <v>1236</v>
      </c>
    </row>
    <row r="183" spans="7:16">
      <c r="G183" s="512"/>
      <c r="H183" s="516">
        <v>0</v>
      </c>
      <c r="I183" s="516">
        <v>0.99999999999999989</v>
      </c>
      <c r="J183" s="517" t="s">
        <v>1240</v>
      </c>
      <c r="L183" s="512"/>
      <c r="M183" s="513">
        <v>0</v>
      </c>
      <c r="N183" s="516">
        <v>1</v>
      </c>
      <c r="O183" s="518" t="s">
        <v>1240</v>
      </c>
      <c r="P183" s="13" t="s">
        <v>1236</v>
      </c>
    </row>
    <row r="184" spans="7:16">
      <c r="G184" s="512"/>
      <c r="H184" s="516">
        <v>0</v>
      </c>
      <c r="I184" s="516">
        <v>0.99999999999999989</v>
      </c>
      <c r="J184" s="517" t="s">
        <v>1240</v>
      </c>
      <c r="L184" s="512"/>
      <c r="M184" s="513">
        <v>0</v>
      </c>
      <c r="N184" s="516">
        <v>1</v>
      </c>
      <c r="O184" s="518" t="s">
        <v>1240</v>
      </c>
      <c r="P184" s="13" t="s">
        <v>1236</v>
      </c>
    </row>
    <row r="185" spans="7:16">
      <c r="G185" s="512"/>
      <c r="H185" s="516">
        <v>0</v>
      </c>
      <c r="I185" s="516">
        <v>0.99999999999999989</v>
      </c>
      <c r="J185" s="517" t="s">
        <v>1240</v>
      </c>
      <c r="L185" s="512"/>
      <c r="M185" s="513">
        <v>0</v>
      </c>
      <c r="N185" s="516">
        <v>1</v>
      </c>
      <c r="O185" s="518" t="s">
        <v>1240</v>
      </c>
      <c r="P185" s="13" t="s">
        <v>1236</v>
      </c>
    </row>
    <row r="186" spans="7:16">
      <c r="G186" s="512"/>
      <c r="H186" s="516">
        <v>0</v>
      </c>
      <c r="I186" s="516">
        <v>0.99999999999999989</v>
      </c>
      <c r="J186" s="517" t="s">
        <v>1240</v>
      </c>
      <c r="L186" s="512"/>
      <c r="M186" s="513">
        <v>0</v>
      </c>
      <c r="N186" s="516">
        <v>1</v>
      </c>
      <c r="O186" s="518" t="s">
        <v>1240</v>
      </c>
      <c r="P186" s="13" t="s">
        <v>1236</v>
      </c>
    </row>
    <row r="187" spans="7:16">
      <c r="G187" s="512"/>
      <c r="H187" s="516">
        <v>0</v>
      </c>
      <c r="I187" s="516">
        <v>0.99999999999999989</v>
      </c>
      <c r="J187" s="517" t="s">
        <v>1240</v>
      </c>
      <c r="L187" s="512"/>
      <c r="M187" s="513">
        <v>0</v>
      </c>
      <c r="N187" s="516">
        <v>1</v>
      </c>
      <c r="O187" s="518" t="s">
        <v>1240</v>
      </c>
      <c r="P187" s="13" t="s">
        <v>1236</v>
      </c>
    </row>
    <row r="188" spans="7:16">
      <c r="G188" s="512"/>
      <c r="H188" s="516">
        <v>0</v>
      </c>
      <c r="I188" s="516">
        <v>0.99999999999999989</v>
      </c>
      <c r="J188" s="517" t="s">
        <v>1240</v>
      </c>
      <c r="L188" s="512"/>
      <c r="M188" s="513">
        <v>0</v>
      </c>
      <c r="N188" s="516">
        <v>1</v>
      </c>
      <c r="O188" s="518" t="s">
        <v>1240</v>
      </c>
      <c r="P188" s="13" t="s">
        <v>1236</v>
      </c>
    </row>
    <row r="189" spans="7:16">
      <c r="G189" s="512"/>
      <c r="H189" s="516">
        <v>0</v>
      </c>
      <c r="I189" s="516">
        <v>0.99999999999999989</v>
      </c>
      <c r="J189" s="517" t="s">
        <v>1240</v>
      </c>
      <c r="L189" s="512"/>
      <c r="M189" s="513">
        <v>0</v>
      </c>
      <c r="N189" s="516">
        <v>1</v>
      </c>
      <c r="O189" s="518" t="s">
        <v>1240</v>
      </c>
      <c r="P189" s="13" t="s">
        <v>1236</v>
      </c>
    </row>
    <row r="190" spans="7:16">
      <c r="G190" s="512"/>
      <c r="H190" s="516">
        <v>0</v>
      </c>
      <c r="I190" s="516">
        <v>0.99999999999999989</v>
      </c>
      <c r="J190" s="517" t="s">
        <v>1240</v>
      </c>
      <c r="L190" s="512"/>
      <c r="M190" s="513">
        <v>0</v>
      </c>
      <c r="N190" s="516">
        <v>1</v>
      </c>
      <c r="O190" s="518" t="s">
        <v>1240</v>
      </c>
      <c r="P190" s="13" t="s">
        <v>1236</v>
      </c>
    </row>
    <row r="191" spans="7:16">
      <c r="G191" s="512"/>
      <c r="H191" s="516">
        <v>0</v>
      </c>
      <c r="I191" s="516">
        <v>0.99999999999999989</v>
      </c>
      <c r="J191" s="517" t="s">
        <v>1240</v>
      </c>
      <c r="L191" s="512"/>
      <c r="M191" s="513">
        <v>0</v>
      </c>
      <c r="N191" s="516">
        <v>1</v>
      </c>
      <c r="O191" s="518" t="s">
        <v>1240</v>
      </c>
      <c r="P191" s="13" t="s">
        <v>1236</v>
      </c>
    </row>
    <row r="192" spans="7:16">
      <c r="G192" s="512"/>
      <c r="H192" s="516">
        <v>0</v>
      </c>
      <c r="I192" s="516">
        <v>0.99999999999999989</v>
      </c>
      <c r="J192" s="517" t="s">
        <v>1240</v>
      </c>
      <c r="L192" s="512"/>
      <c r="M192" s="513">
        <v>0</v>
      </c>
      <c r="N192" s="516">
        <v>1</v>
      </c>
      <c r="O192" s="518" t="s">
        <v>1240</v>
      </c>
      <c r="P192" s="13" t="s">
        <v>1236</v>
      </c>
    </row>
    <row r="193" spans="7:16">
      <c r="G193" s="512"/>
      <c r="H193" s="516">
        <v>0</v>
      </c>
      <c r="I193" s="516">
        <v>0.99999999999999989</v>
      </c>
      <c r="J193" s="517" t="s">
        <v>1240</v>
      </c>
      <c r="L193" s="512"/>
      <c r="M193" s="513">
        <v>0</v>
      </c>
      <c r="N193" s="516">
        <v>1</v>
      </c>
      <c r="O193" s="518" t="s">
        <v>1240</v>
      </c>
      <c r="P193" s="13" t="s">
        <v>1236</v>
      </c>
    </row>
    <row r="194" spans="7:16">
      <c r="G194" s="512"/>
      <c r="H194" s="516">
        <v>0</v>
      </c>
      <c r="I194" s="516">
        <v>0.99999999999999989</v>
      </c>
      <c r="J194" s="517" t="s">
        <v>1240</v>
      </c>
      <c r="L194" s="512"/>
      <c r="M194" s="513">
        <v>0</v>
      </c>
      <c r="N194" s="516">
        <v>1</v>
      </c>
      <c r="O194" s="518" t="s">
        <v>1240</v>
      </c>
      <c r="P194" s="13" t="s">
        <v>1236</v>
      </c>
    </row>
    <row r="195" spans="7:16">
      <c r="G195" s="512"/>
      <c r="H195" s="516">
        <v>0</v>
      </c>
      <c r="I195" s="516">
        <v>0.99999999999999989</v>
      </c>
      <c r="J195" s="517" t="s">
        <v>1240</v>
      </c>
      <c r="L195" s="512"/>
      <c r="M195" s="513">
        <v>0</v>
      </c>
      <c r="N195" s="516">
        <v>1</v>
      </c>
      <c r="O195" s="518" t="s">
        <v>1240</v>
      </c>
      <c r="P195" s="13" t="s">
        <v>1236</v>
      </c>
    </row>
    <row r="196" spans="7:16">
      <c r="G196" s="512"/>
      <c r="H196" s="516">
        <v>0</v>
      </c>
      <c r="I196" s="516">
        <v>0.99999999999999989</v>
      </c>
      <c r="J196" s="517" t="s">
        <v>1240</v>
      </c>
      <c r="L196" s="512"/>
      <c r="M196" s="513">
        <v>0</v>
      </c>
      <c r="N196" s="516">
        <v>1</v>
      </c>
      <c r="O196" s="518" t="s">
        <v>1240</v>
      </c>
      <c r="P196" s="13" t="s">
        <v>1236</v>
      </c>
    </row>
    <row r="197" spans="7:16">
      <c r="G197" s="512"/>
      <c r="H197" s="516">
        <v>0</v>
      </c>
      <c r="I197" s="516">
        <v>0.99999999999999989</v>
      </c>
      <c r="J197" s="517" t="s">
        <v>1240</v>
      </c>
      <c r="L197" s="512"/>
      <c r="M197" s="513">
        <v>0</v>
      </c>
      <c r="N197" s="516">
        <v>1</v>
      </c>
      <c r="O197" s="518" t="s">
        <v>1240</v>
      </c>
      <c r="P197" s="13" t="s">
        <v>1236</v>
      </c>
    </row>
    <row r="198" spans="7:16">
      <c r="G198" s="512"/>
      <c r="H198" s="516">
        <v>0</v>
      </c>
      <c r="I198" s="516">
        <v>0.99999999999999989</v>
      </c>
      <c r="J198" s="517" t="s">
        <v>1240</v>
      </c>
      <c r="L198" s="512"/>
      <c r="M198" s="513">
        <v>0</v>
      </c>
      <c r="N198" s="516">
        <v>1</v>
      </c>
      <c r="O198" s="518" t="s">
        <v>1240</v>
      </c>
      <c r="P198" s="13" t="s">
        <v>1236</v>
      </c>
    </row>
    <row r="199" spans="7:16">
      <c r="H199" s="516">
        <v>0</v>
      </c>
      <c r="I199" s="516">
        <v>0.99999999999999989</v>
      </c>
      <c r="J199" s="517" t="s">
        <v>1240</v>
      </c>
      <c r="M199" s="513">
        <v>0</v>
      </c>
      <c r="N199" s="516">
        <v>1</v>
      </c>
      <c r="O199" s="518" t="s">
        <v>1240</v>
      </c>
      <c r="P199" s="13" t="s">
        <v>1236</v>
      </c>
    </row>
    <row r="200" spans="7:16">
      <c r="H200" s="516">
        <v>0</v>
      </c>
      <c r="I200" s="516">
        <v>0.99999999999999989</v>
      </c>
      <c r="J200" s="517" t="s">
        <v>1240</v>
      </c>
      <c r="M200" s="513">
        <v>0</v>
      </c>
      <c r="N200" s="516">
        <v>1</v>
      </c>
      <c r="O200" s="518" t="s">
        <v>1240</v>
      </c>
      <c r="P200" s="13" t="s">
        <v>1236</v>
      </c>
    </row>
    <row r="201" spans="7:16">
      <c r="H201" s="516">
        <v>0</v>
      </c>
      <c r="I201" s="516">
        <v>0.99999999999999989</v>
      </c>
      <c r="J201" s="517" t="s">
        <v>1240</v>
      </c>
      <c r="M201" s="513">
        <v>0</v>
      </c>
      <c r="N201" s="516">
        <v>1</v>
      </c>
      <c r="O201" s="518" t="s">
        <v>1240</v>
      </c>
      <c r="P201" s="13" t="s">
        <v>1236</v>
      </c>
    </row>
    <row r="202" spans="7:16">
      <c r="H202" s="516">
        <v>0</v>
      </c>
      <c r="I202" s="516">
        <v>0.99999999999999989</v>
      </c>
      <c r="J202" s="517" t="s">
        <v>1240</v>
      </c>
      <c r="M202" s="513">
        <v>0</v>
      </c>
      <c r="N202" s="516">
        <v>1</v>
      </c>
      <c r="O202" s="518" t="s">
        <v>1240</v>
      </c>
      <c r="P202" s="13" t="s">
        <v>1236</v>
      </c>
    </row>
    <row r="203" spans="7:16">
      <c r="H203" s="516">
        <v>0</v>
      </c>
      <c r="I203" s="516">
        <v>0.99999999999999989</v>
      </c>
      <c r="J203" s="517" t="s">
        <v>1240</v>
      </c>
      <c r="M203" s="513">
        <v>0</v>
      </c>
      <c r="N203" s="516">
        <v>1</v>
      </c>
      <c r="O203" s="518" t="s">
        <v>1240</v>
      </c>
      <c r="P203" s="13" t="s">
        <v>1236</v>
      </c>
    </row>
    <row r="204" spans="7:16">
      <c r="H204" s="516">
        <v>0</v>
      </c>
      <c r="I204" s="516">
        <v>0.99999999999999989</v>
      </c>
      <c r="J204" s="517" t="s">
        <v>1240</v>
      </c>
      <c r="M204" s="513">
        <v>0</v>
      </c>
      <c r="N204" s="516">
        <v>1</v>
      </c>
      <c r="O204" s="518" t="s">
        <v>1240</v>
      </c>
      <c r="P204" s="13" t="s">
        <v>1236</v>
      </c>
    </row>
    <row r="205" spans="7:16">
      <c r="H205" s="516">
        <v>0</v>
      </c>
      <c r="I205" s="516">
        <v>0.99999999999999989</v>
      </c>
      <c r="J205" s="517" t="s">
        <v>1240</v>
      </c>
      <c r="M205" s="513">
        <v>0</v>
      </c>
      <c r="N205" s="516">
        <v>1</v>
      </c>
      <c r="O205" s="518" t="s">
        <v>1240</v>
      </c>
      <c r="P205" s="13" t="s">
        <v>1236</v>
      </c>
    </row>
    <row r="206" spans="7:16">
      <c r="H206" s="516">
        <v>0</v>
      </c>
      <c r="I206" s="516">
        <v>0.99999999999999989</v>
      </c>
      <c r="J206" s="517" t="s">
        <v>1240</v>
      </c>
      <c r="M206" s="513">
        <v>0</v>
      </c>
      <c r="N206" s="516">
        <v>1</v>
      </c>
      <c r="O206" s="518" t="s">
        <v>1240</v>
      </c>
      <c r="P206" s="13" t="s">
        <v>1236</v>
      </c>
    </row>
    <row r="207" spans="7:16">
      <c r="H207" s="516">
        <v>0</v>
      </c>
      <c r="I207" s="516">
        <v>0.99999999999999989</v>
      </c>
      <c r="J207" s="517" t="s">
        <v>1240</v>
      </c>
      <c r="M207" s="513">
        <v>0</v>
      </c>
      <c r="N207" s="516">
        <v>1</v>
      </c>
      <c r="O207" s="518" t="s">
        <v>1240</v>
      </c>
      <c r="P207" s="13" t="s">
        <v>1236</v>
      </c>
    </row>
    <row r="208" spans="7:16">
      <c r="H208" s="516">
        <v>0</v>
      </c>
      <c r="I208" s="516">
        <v>0.99999999999999989</v>
      </c>
      <c r="J208" s="517" t="s">
        <v>1240</v>
      </c>
      <c r="M208" s="513">
        <v>0</v>
      </c>
      <c r="N208" s="516">
        <v>1</v>
      </c>
      <c r="O208" s="518" t="s">
        <v>1240</v>
      </c>
      <c r="P208" s="13" t="s">
        <v>1236</v>
      </c>
    </row>
    <row r="209" spans="8:16">
      <c r="H209" s="516">
        <v>0</v>
      </c>
      <c r="I209" s="516">
        <v>0.99999999999999989</v>
      </c>
      <c r="J209" s="517" t="s">
        <v>1240</v>
      </c>
      <c r="M209" s="513">
        <v>0</v>
      </c>
      <c r="N209" s="516">
        <v>1</v>
      </c>
      <c r="O209" s="518" t="s">
        <v>1240</v>
      </c>
      <c r="P209" s="13" t="s">
        <v>1236</v>
      </c>
    </row>
    <row r="210" spans="8:16">
      <c r="H210" s="516">
        <v>0</v>
      </c>
      <c r="I210" s="516">
        <v>0.99999999999999989</v>
      </c>
      <c r="J210" s="517" t="s">
        <v>1240</v>
      </c>
      <c r="M210" s="513">
        <v>0</v>
      </c>
      <c r="N210" s="516">
        <v>1</v>
      </c>
      <c r="O210" s="518" t="s">
        <v>1240</v>
      </c>
      <c r="P210" s="13" t="s">
        <v>1236</v>
      </c>
    </row>
    <row r="211" spans="8:16">
      <c r="H211" s="516">
        <v>0</v>
      </c>
      <c r="I211" s="516">
        <v>0.99999999999999989</v>
      </c>
      <c r="J211" s="517" t="s">
        <v>1240</v>
      </c>
      <c r="M211" s="513">
        <v>0</v>
      </c>
      <c r="N211" s="516">
        <v>1</v>
      </c>
      <c r="O211" s="518" t="s">
        <v>1240</v>
      </c>
      <c r="P211" s="13" t="s">
        <v>1236</v>
      </c>
    </row>
    <row r="212" spans="8:16">
      <c r="H212" s="516">
        <v>0</v>
      </c>
      <c r="I212" s="516">
        <v>0.99999999999999989</v>
      </c>
      <c r="J212" s="517" t="s">
        <v>1240</v>
      </c>
      <c r="M212" s="513">
        <v>0</v>
      </c>
      <c r="N212" s="516">
        <v>1</v>
      </c>
      <c r="O212" s="518" t="s">
        <v>1240</v>
      </c>
      <c r="P212" s="13" t="s">
        <v>1236</v>
      </c>
    </row>
    <row r="213" spans="8:16">
      <c r="H213" s="516">
        <v>0</v>
      </c>
      <c r="I213" s="516">
        <v>0.99999999999999989</v>
      </c>
      <c r="J213" s="517" t="s">
        <v>1240</v>
      </c>
      <c r="M213" s="513">
        <v>0</v>
      </c>
      <c r="N213" s="516">
        <v>1</v>
      </c>
      <c r="O213" s="518" t="s">
        <v>1240</v>
      </c>
      <c r="P213" s="13" t="s">
        <v>1236</v>
      </c>
    </row>
    <row r="214" spans="8:16">
      <c r="H214" s="516">
        <v>0</v>
      </c>
      <c r="I214" s="516">
        <v>0.99999999999999989</v>
      </c>
      <c r="J214" s="517" t="s">
        <v>1240</v>
      </c>
      <c r="M214" s="513">
        <v>0</v>
      </c>
      <c r="N214" s="516">
        <v>1</v>
      </c>
      <c r="O214" s="518" t="s">
        <v>1240</v>
      </c>
      <c r="P214" s="13" t="s">
        <v>1236</v>
      </c>
    </row>
    <row r="215" spans="8:16">
      <c r="H215" s="516">
        <v>0</v>
      </c>
      <c r="I215" s="516">
        <v>0.99999999999999989</v>
      </c>
      <c r="J215" s="517" t="s">
        <v>1240</v>
      </c>
      <c r="M215" s="513">
        <v>0</v>
      </c>
      <c r="N215" s="516">
        <v>1</v>
      </c>
      <c r="O215" s="518" t="s">
        <v>1240</v>
      </c>
      <c r="P215" s="13" t="s">
        <v>1236</v>
      </c>
    </row>
    <row r="216" spans="8:16">
      <c r="H216" s="516">
        <v>0</v>
      </c>
      <c r="I216" s="516">
        <v>0.99999999999999989</v>
      </c>
      <c r="J216" s="517" t="s">
        <v>1240</v>
      </c>
      <c r="M216" s="513">
        <v>0</v>
      </c>
      <c r="N216" s="516">
        <v>1</v>
      </c>
      <c r="O216" s="518" t="s">
        <v>1240</v>
      </c>
      <c r="P216" s="13" t="s">
        <v>1236</v>
      </c>
    </row>
    <row r="217" spans="8:16">
      <c r="H217" s="516">
        <v>0</v>
      </c>
      <c r="I217" s="516">
        <v>0.99999999999999989</v>
      </c>
      <c r="J217" s="517" t="s">
        <v>1240</v>
      </c>
      <c r="M217" s="513">
        <v>0</v>
      </c>
      <c r="N217" s="516">
        <v>1</v>
      </c>
      <c r="O217" s="518" t="s">
        <v>1240</v>
      </c>
      <c r="P217" s="13" t="s">
        <v>1236</v>
      </c>
    </row>
    <row r="218" spans="8:16">
      <c r="H218" s="516">
        <v>0</v>
      </c>
      <c r="I218" s="516">
        <v>0.99999999999999989</v>
      </c>
      <c r="J218" s="517" t="s">
        <v>1240</v>
      </c>
      <c r="M218" s="513">
        <v>0</v>
      </c>
      <c r="N218" s="516">
        <v>1</v>
      </c>
      <c r="O218" s="518" t="s">
        <v>1240</v>
      </c>
      <c r="P218" s="13" t="s">
        <v>1236</v>
      </c>
    </row>
    <row r="219" spans="8:16">
      <c r="H219" s="516">
        <v>0</v>
      </c>
      <c r="I219" s="516">
        <v>0.99999999999999989</v>
      </c>
      <c r="J219" s="517" t="s">
        <v>1240</v>
      </c>
      <c r="M219" s="513">
        <v>0</v>
      </c>
      <c r="N219" s="516">
        <v>1</v>
      </c>
      <c r="O219" s="518" t="s">
        <v>1240</v>
      </c>
      <c r="P219" s="13" t="s">
        <v>1236</v>
      </c>
    </row>
    <row r="220" spans="8:16">
      <c r="H220" s="516">
        <v>0</v>
      </c>
      <c r="I220" s="516">
        <v>0.99999999999999989</v>
      </c>
      <c r="J220" s="517" t="s">
        <v>1240</v>
      </c>
      <c r="M220" s="513">
        <v>0</v>
      </c>
      <c r="N220" s="516">
        <v>1</v>
      </c>
      <c r="O220" s="518" t="s">
        <v>1240</v>
      </c>
      <c r="P220" s="13" t="s">
        <v>1236</v>
      </c>
    </row>
    <row r="221" spans="8:16">
      <c r="H221" s="516">
        <v>0</v>
      </c>
      <c r="I221" s="516">
        <v>0.99999999999999989</v>
      </c>
      <c r="J221" s="517" t="s">
        <v>1240</v>
      </c>
      <c r="M221" s="513">
        <v>0</v>
      </c>
      <c r="N221" s="516">
        <v>1</v>
      </c>
      <c r="O221" s="518" t="s">
        <v>1240</v>
      </c>
      <c r="P221" s="13" t="s">
        <v>1236</v>
      </c>
    </row>
    <row r="222" spans="8:16">
      <c r="H222" s="516">
        <v>0</v>
      </c>
      <c r="I222" s="516">
        <v>0.99999999999999989</v>
      </c>
      <c r="J222" s="517" t="s">
        <v>1240</v>
      </c>
      <c r="M222" s="513">
        <v>0</v>
      </c>
      <c r="N222" s="516">
        <v>1</v>
      </c>
      <c r="O222" s="518" t="s">
        <v>1240</v>
      </c>
      <c r="P222" s="13" t="s">
        <v>1236</v>
      </c>
    </row>
    <row r="223" spans="8:16">
      <c r="H223" s="516">
        <v>0</v>
      </c>
      <c r="I223" s="516">
        <v>0.99999999999999989</v>
      </c>
      <c r="J223" s="517" t="s">
        <v>1240</v>
      </c>
      <c r="M223" s="513">
        <v>0</v>
      </c>
      <c r="N223" s="516">
        <v>1</v>
      </c>
      <c r="O223" s="518" t="s">
        <v>1240</v>
      </c>
      <c r="P223" s="13" t="s">
        <v>1236</v>
      </c>
    </row>
    <row r="224" spans="8:16">
      <c r="H224" s="516">
        <v>0</v>
      </c>
      <c r="I224" s="516">
        <v>0.99999999999999989</v>
      </c>
      <c r="J224" s="517" t="s">
        <v>1240</v>
      </c>
      <c r="M224" s="513">
        <v>0</v>
      </c>
      <c r="N224" s="516">
        <v>1</v>
      </c>
      <c r="O224" s="518" t="s">
        <v>1240</v>
      </c>
      <c r="P224" s="13" t="s">
        <v>1236</v>
      </c>
    </row>
    <row r="225" spans="8:16">
      <c r="H225" s="516">
        <v>0</v>
      </c>
      <c r="I225" s="516">
        <v>0.99999999999999989</v>
      </c>
      <c r="J225" s="517" t="s">
        <v>1240</v>
      </c>
      <c r="M225" s="513">
        <v>0</v>
      </c>
      <c r="N225" s="516">
        <v>1</v>
      </c>
      <c r="O225" s="518" t="s">
        <v>1240</v>
      </c>
      <c r="P225" s="13" t="s">
        <v>1236</v>
      </c>
    </row>
    <row r="226" spans="8:16">
      <c r="H226" s="516">
        <v>0</v>
      </c>
      <c r="I226" s="516">
        <v>0.99999999999999989</v>
      </c>
      <c r="J226" s="517" t="s">
        <v>1240</v>
      </c>
      <c r="M226" s="513">
        <v>0</v>
      </c>
      <c r="N226" s="516">
        <v>1</v>
      </c>
      <c r="O226" s="518" t="s">
        <v>1240</v>
      </c>
      <c r="P226" s="13" t="s">
        <v>1236</v>
      </c>
    </row>
    <row r="227" spans="8:16">
      <c r="H227" s="516">
        <v>0</v>
      </c>
      <c r="I227" s="516">
        <v>0.99999999999999989</v>
      </c>
      <c r="J227" s="517" t="s">
        <v>1240</v>
      </c>
      <c r="M227" s="513">
        <v>0</v>
      </c>
      <c r="N227" s="516">
        <v>1</v>
      </c>
      <c r="O227" s="518" t="s">
        <v>1240</v>
      </c>
      <c r="P227" s="13" t="s">
        <v>1236</v>
      </c>
    </row>
    <row r="228" spans="8:16">
      <c r="H228" s="516">
        <v>0</v>
      </c>
      <c r="I228" s="516">
        <v>0.99999999999999989</v>
      </c>
      <c r="J228" s="517" t="s">
        <v>1240</v>
      </c>
      <c r="M228" s="513">
        <v>0</v>
      </c>
      <c r="N228" s="516">
        <v>1</v>
      </c>
      <c r="O228" s="518" t="s">
        <v>1240</v>
      </c>
      <c r="P228" s="13" t="s">
        <v>1236</v>
      </c>
    </row>
    <row r="229" spans="8:16">
      <c r="H229" s="516">
        <v>0</v>
      </c>
      <c r="I229" s="516">
        <v>0.99999999999999989</v>
      </c>
      <c r="J229" s="517" t="s">
        <v>1240</v>
      </c>
      <c r="M229" s="513">
        <v>0</v>
      </c>
      <c r="N229" s="516">
        <v>1</v>
      </c>
      <c r="O229" s="518" t="s">
        <v>1240</v>
      </c>
      <c r="P229" s="13" t="s">
        <v>1236</v>
      </c>
    </row>
    <row r="230" spans="8:16">
      <c r="H230" s="516">
        <v>0</v>
      </c>
      <c r="I230" s="516">
        <v>0.99999999999999989</v>
      </c>
      <c r="J230" s="517" t="s">
        <v>1240</v>
      </c>
      <c r="M230" s="513">
        <v>0</v>
      </c>
      <c r="N230" s="516">
        <v>1</v>
      </c>
      <c r="O230" s="518" t="s">
        <v>1240</v>
      </c>
      <c r="P230" s="13" t="s">
        <v>1236</v>
      </c>
    </row>
    <row r="231" spans="8:16">
      <c r="H231" s="516">
        <v>0</v>
      </c>
      <c r="I231" s="516">
        <v>0.99999999999999989</v>
      </c>
      <c r="J231" s="517" t="s">
        <v>1240</v>
      </c>
      <c r="M231" s="513">
        <v>0</v>
      </c>
      <c r="N231" s="516">
        <v>1</v>
      </c>
      <c r="O231" s="518" t="s">
        <v>1240</v>
      </c>
      <c r="P231" s="13" t="s">
        <v>1236</v>
      </c>
    </row>
    <row r="232" spans="8:16">
      <c r="H232" s="516">
        <v>0</v>
      </c>
      <c r="I232" s="516">
        <v>0.99999999999999989</v>
      </c>
      <c r="J232" s="517" t="s">
        <v>1240</v>
      </c>
      <c r="M232" s="513">
        <v>0</v>
      </c>
      <c r="N232" s="516">
        <v>1</v>
      </c>
      <c r="O232" s="518" t="s">
        <v>1240</v>
      </c>
      <c r="P232" s="13" t="s">
        <v>1236</v>
      </c>
    </row>
    <row r="233" spans="8:16">
      <c r="H233" s="516">
        <v>0</v>
      </c>
      <c r="I233" s="516">
        <v>0.99999999999999989</v>
      </c>
      <c r="J233" s="517" t="s">
        <v>1240</v>
      </c>
      <c r="M233" s="513">
        <v>0</v>
      </c>
      <c r="N233" s="516">
        <v>1</v>
      </c>
      <c r="O233" s="518" t="s">
        <v>1240</v>
      </c>
      <c r="P233" s="13" t="s">
        <v>1236</v>
      </c>
    </row>
    <row r="234" spans="8:16">
      <c r="H234" s="516">
        <v>0</v>
      </c>
      <c r="I234" s="516">
        <v>0.99999999999999989</v>
      </c>
      <c r="J234" s="517" t="s">
        <v>1240</v>
      </c>
      <c r="M234" s="513">
        <v>0</v>
      </c>
      <c r="N234" s="516">
        <v>1</v>
      </c>
      <c r="O234" s="518" t="s">
        <v>1240</v>
      </c>
      <c r="P234" s="13" t="s">
        <v>1236</v>
      </c>
    </row>
    <row r="235" spans="8:16">
      <c r="H235" s="516">
        <v>0</v>
      </c>
      <c r="I235" s="516">
        <v>0.99999999999999989</v>
      </c>
      <c r="J235" s="517" t="s">
        <v>1240</v>
      </c>
      <c r="M235" s="513">
        <v>0</v>
      </c>
      <c r="N235" s="516">
        <v>1</v>
      </c>
      <c r="O235" s="518" t="s">
        <v>1240</v>
      </c>
      <c r="P235" s="13" t="s">
        <v>1236</v>
      </c>
    </row>
    <row r="236" spans="8:16">
      <c r="H236" s="516">
        <v>0</v>
      </c>
      <c r="I236" s="516">
        <v>0.99999999999999989</v>
      </c>
      <c r="J236" s="517" t="s">
        <v>1240</v>
      </c>
      <c r="M236" s="513">
        <v>0</v>
      </c>
      <c r="N236" s="516">
        <v>1</v>
      </c>
      <c r="O236" s="518" t="s">
        <v>1240</v>
      </c>
      <c r="P236" s="13" t="s">
        <v>1236</v>
      </c>
    </row>
    <row r="237" spans="8:16">
      <c r="H237" s="516">
        <v>0</v>
      </c>
      <c r="I237" s="516">
        <v>0.99999999999999989</v>
      </c>
      <c r="J237" s="517" t="s">
        <v>1240</v>
      </c>
      <c r="M237" s="513">
        <v>0</v>
      </c>
      <c r="N237" s="516">
        <v>1</v>
      </c>
      <c r="O237" s="518" t="s">
        <v>1240</v>
      </c>
      <c r="P237" s="13" t="s">
        <v>1236</v>
      </c>
    </row>
    <row r="238" spans="8:16">
      <c r="H238" s="516">
        <v>0</v>
      </c>
      <c r="I238" s="516">
        <v>0.99999999999999989</v>
      </c>
      <c r="J238" s="517" t="s">
        <v>1240</v>
      </c>
      <c r="M238" s="513">
        <v>0</v>
      </c>
      <c r="N238" s="516">
        <v>1</v>
      </c>
      <c r="O238" s="518" t="s">
        <v>1240</v>
      </c>
      <c r="P238" s="13" t="s">
        <v>1236</v>
      </c>
    </row>
    <row r="239" spans="8:16">
      <c r="H239" s="516">
        <v>0</v>
      </c>
      <c r="I239" s="516">
        <v>0.99999999999999989</v>
      </c>
      <c r="J239" s="517" t="s">
        <v>1240</v>
      </c>
      <c r="M239" s="513">
        <v>0</v>
      </c>
      <c r="N239" s="516">
        <v>1</v>
      </c>
      <c r="O239" s="518" t="s">
        <v>1240</v>
      </c>
      <c r="P239" s="13" t="s">
        <v>1236</v>
      </c>
    </row>
    <row r="240" spans="8:16">
      <c r="H240" s="516">
        <v>0</v>
      </c>
      <c r="I240" s="516">
        <v>0.99999999999999989</v>
      </c>
      <c r="J240" s="517" t="s">
        <v>1240</v>
      </c>
      <c r="M240" s="513">
        <v>0</v>
      </c>
      <c r="N240" s="516">
        <v>1</v>
      </c>
      <c r="O240" s="518" t="s">
        <v>1240</v>
      </c>
      <c r="P240" s="13" t="s">
        <v>1236</v>
      </c>
    </row>
    <row r="241" spans="8:16">
      <c r="H241" s="516">
        <v>0</v>
      </c>
      <c r="I241" s="516">
        <v>0.99999999999999989</v>
      </c>
      <c r="J241" s="517" t="s">
        <v>1240</v>
      </c>
      <c r="M241" s="513">
        <v>0</v>
      </c>
      <c r="N241" s="516">
        <v>1</v>
      </c>
      <c r="O241" s="518" t="s">
        <v>1240</v>
      </c>
      <c r="P241" s="13" t="s">
        <v>1236</v>
      </c>
    </row>
    <row r="242" spans="8:16">
      <c r="H242" s="516">
        <v>0</v>
      </c>
      <c r="I242" s="516">
        <v>0.99999999999999989</v>
      </c>
      <c r="J242" s="517" t="s">
        <v>1240</v>
      </c>
      <c r="M242" s="513">
        <v>0</v>
      </c>
      <c r="N242" s="516">
        <v>1</v>
      </c>
      <c r="O242" s="518" t="s">
        <v>1240</v>
      </c>
      <c r="P242" s="13" t="s">
        <v>1236</v>
      </c>
    </row>
    <row r="243" spans="8:16">
      <c r="H243" s="516">
        <v>0</v>
      </c>
      <c r="I243" s="516">
        <v>0.99999999999999989</v>
      </c>
      <c r="J243" s="517" t="s">
        <v>1240</v>
      </c>
      <c r="M243" s="513">
        <v>0</v>
      </c>
      <c r="N243" s="516">
        <v>1</v>
      </c>
      <c r="O243" s="518" t="s">
        <v>1240</v>
      </c>
      <c r="P243" s="13" t="s">
        <v>1236</v>
      </c>
    </row>
    <row r="244" spans="8:16">
      <c r="H244" s="516">
        <v>0</v>
      </c>
      <c r="I244" s="516">
        <v>0.99999999999999989</v>
      </c>
      <c r="J244" s="517" t="s">
        <v>1240</v>
      </c>
      <c r="M244" s="513">
        <v>0</v>
      </c>
      <c r="N244" s="516">
        <v>1</v>
      </c>
      <c r="O244" s="518" t="s">
        <v>1240</v>
      </c>
      <c r="P244" s="13" t="s">
        <v>1236</v>
      </c>
    </row>
    <row r="245" spans="8:16">
      <c r="H245" s="516">
        <v>0</v>
      </c>
      <c r="I245" s="516">
        <v>0.99999999999999989</v>
      </c>
      <c r="J245" s="517" t="s">
        <v>1240</v>
      </c>
      <c r="M245" s="513">
        <v>0</v>
      </c>
      <c r="N245" s="516">
        <v>1</v>
      </c>
      <c r="O245" s="518" t="s">
        <v>1240</v>
      </c>
      <c r="P245" s="13" t="s">
        <v>1236</v>
      </c>
    </row>
    <row r="246" spans="8:16">
      <c r="H246" s="516">
        <v>0</v>
      </c>
      <c r="I246" s="516">
        <v>0.99999999999999989</v>
      </c>
      <c r="J246" s="517" t="s">
        <v>1240</v>
      </c>
      <c r="M246" s="513">
        <v>0</v>
      </c>
      <c r="N246" s="516">
        <v>1</v>
      </c>
      <c r="O246" s="518" t="s">
        <v>1240</v>
      </c>
      <c r="P246" s="13" t="s">
        <v>1236</v>
      </c>
    </row>
    <row r="247" spans="8:16">
      <c r="H247" s="516">
        <v>0</v>
      </c>
      <c r="I247" s="516">
        <v>0.99999999999999989</v>
      </c>
      <c r="J247" s="517" t="s">
        <v>1240</v>
      </c>
      <c r="M247" s="513">
        <v>0</v>
      </c>
      <c r="N247" s="516">
        <v>1</v>
      </c>
      <c r="O247" s="518" t="s">
        <v>1240</v>
      </c>
      <c r="P247" s="13" t="s">
        <v>1236</v>
      </c>
    </row>
    <row r="248" spans="8:16">
      <c r="H248" s="516">
        <v>0</v>
      </c>
      <c r="I248" s="516">
        <v>0.99999999999999989</v>
      </c>
      <c r="J248" s="517" t="s">
        <v>1240</v>
      </c>
      <c r="M248" s="513">
        <v>0</v>
      </c>
      <c r="N248" s="516">
        <v>1</v>
      </c>
      <c r="O248" s="518" t="s">
        <v>1240</v>
      </c>
      <c r="P248" s="13" t="s">
        <v>1236</v>
      </c>
    </row>
    <row r="249" spans="8:16">
      <c r="H249" s="516">
        <v>0</v>
      </c>
      <c r="I249" s="516">
        <v>0.99999999999999989</v>
      </c>
      <c r="J249" s="517" t="s">
        <v>1240</v>
      </c>
      <c r="M249" s="513">
        <v>0</v>
      </c>
      <c r="N249" s="516">
        <v>1</v>
      </c>
      <c r="O249" s="518" t="s">
        <v>1240</v>
      </c>
      <c r="P249" s="13" t="s">
        <v>1236</v>
      </c>
    </row>
    <row r="250" spans="8:16">
      <c r="H250" s="516">
        <v>0</v>
      </c>
      <c r="I250" s="516">
        <v>0.99999999999999989</v>
      </c>
      <c r="J250" s="517" t="s">
        <v>1240</v>
      </c>
      <c r="M250" s="513">
        <v>0</v>
      </c>
      <c r="N250" s="516">
        <v>1</v>
      </c>
      <c r="O250" s="518" t="s">
        <v>1240</v>
      </c>
      <c r="P250" s="13" t="s">
        <v>1236</v>
      </c>
    </row>
    <row r="251" spans="8:16">
      <c r="H251" s="516">
        <v>0</v>
      </c>
      <c r="I251" s="516">
        <v>0.99999999999999989</v>
      </c>
      <c r="J251" s="517" t="s">
        <v>1240</v>
      </c>
      <c r="M251" s="513">
        <v>0</v>
      </c>
      <c r="N251" s="516">
        <v>1</v>
      </c>
      <c r="O251" s="518" t="s">
        <v>1240</v>
      </c>
      <c r="P251" s="13" t="s">
        <v>1236</v>
      </c>
    </row>
    <row r="252" spans="8:16">
      <c r="H252" s="516">
        <v>0</v>
      </c>
      <c r="I252" s="516">
        <v>0.99999999999999989</v>
      </c>
      <c r="J252" s="517" t="s">
        <v>1240</v>
      </c>
      <c r="M252" s="513">
        <v>0</v>
      </c>
      <c r="N252" s="516">
        <v>1</v>
      </c>
      <c r="O252" s="518" t="s">
        <v>1240</v>
      </c>
      <c r="P252" s="13" t="s">
        <v>1236</v>
      </c>
    </row>
    <row r="253" spans="8:16">
      <c r="H253" s="516">
        <v>0</v>
      </c>
      <c r="I253" s="516">
        <v>0.99999999999999989</v>
      </c>
      <c r="J253" s="517" t="s">
        <v>1240</v>
      </c>
      <c r="M253" s="513">
        <v>0</v>
      </c>
      <c r="N253" s="516">
        <v>1</v>
      </c>
      <c r="O253" s="518" t="s">
        <v>1240</v>
      </c>
      <c r="P253" s="13" t="s">
        <v>1236</v>
      </c>
    </row>
    <row r="254" spans="8:16">
      <c r="H254" s="516">
        <v>0</v>
      </c>
      <c r="I254" s="516">
        <v>0.99999999999999989</v>
      </c>
      <c r="J254" s="517" t="s">
        <v>1240</v>
      </c>
      <c r="M254" s="513">
        <v>0</v>
      </c>
      <c r="N254" s="516">
        <v>1</v>
      </c>
      <c r="O254" s="518" t="s">
        <v>1240</v>
      </c>
      <c r="P254" s="13" t="s">
        <v>1236</v>
      </c>
    </row>
    <row r="255" spans="8:16">
      <c r="H255" s="516">
        <v>0</v>
      </c>
      <c r="I255" s="516">
        <v>0.99999999999999989</v>
      </c>
      <c r="J255" s="517" t="s">
        <v>1240</v>
      </c>
      <c r="M255" s="513">
        <v>0</v>
      </c>
      <c r="N255" s="516">
        <v>1</v>
      </c>
      <c r="O255" s="518" t="s">
        <v>1240</v>
      </c>
      <c r="P255" s="13" t="s">
        <v>1236</v>
      </c>
    </row>
    <row r="256" spans="8:16">
      <c r="H256" s="516">
        <v>0</v>
      </c>
      <c r="I256" s="516">
        <v>0.99999999999999989</v>
      </c>
      <c r="J256" s="517" t="s">
        <v>1240</v>
      </c>
      <c r="M256" s="513">
        <v>0</v>
      </c>
      <c r="N256" s="516">
        <v>1</v>
      </c>
      <c r="O256" s="518" t="s">
        <v>1240</v>
      </c>
      <c r="P256" s="13" t="s">
        <v>1236</v>
      </c>
    </row>
    <row r="257" spans="8:16">
      <c r="H257" s="516">
        <v>0</v>
      </c>
      <c r="I257" s="516">
        <v>0.99999999999999989</v>
      </c>
      <c r="J257" s="517" t="s">
        <v>1240</v>
      </c>
      <c r="M257" s="513">
        <v>0</v>
      </c>
      <c r="N257" s="516">
        <v>1</v>
      </c>
      <c r="O257" s="518" t="s">
        <v>1240</v>
      </c>
      <c r="P257" s="13" t="s">
        <v>1236</v>
      </c>
    </row>
    <row r="258" spans="8:16">
      <c r="H258" s="516">
        <v>0</v>
      </c>
      <c r="I258" s="516">
        <v>0.99999999999999989</v>
      </c>
      <c r="J258" s="517" t="s">
        <v>1240</v>
      </c>
      <c r="M258" s="513">
        <v>0</v>
      </c>
      <c r="N258" s="516">
        <v>1</v>
      </c>
      <c r="O258" s="518" t="s">
        <v>1240</v>
      </c>
      <c r="P258" s="13" t="s">
        <v>1236</v>
      </c>
    </row>
    <row r="259" spans="8:16">
      <c r="H259" s="516">
        <v>0</v>
      </c>
      <c r="I259" s="516">
        <v>0.99999999999999989</v>
      </c>
      <c r="J259" s="517" t="s">
        <v>1240</v>
      </c>
      <c r="M259" s="513">
        <v>0</v>
      </c>
      <c r="N259" s="516">
        <v>1</v>
      </c>
      <c r="O259" s="518" t="s">
        <v>1240</v>
      </c>
      <c r="P259" s="13" t="s">
        <v>1236</v>
      </c>
    </row>
    <row r="260" spans="8:16">
      <c r="H260" s="516">
        <v>0</v>
      </c>
      <c r="I260" s="516">
        <v>0.99999999999999989</v>
      </c>
      <c r="J260" s="517" t="s">
        <v>1240</v>
      </c>
      <c r="M260" s="513">
        <v>0</v>
      </c>
      <c r="N260" s="516">
        <v>1</v>
      </c>
      <c r="O260" s="518" t="s">
        <v>1240</v>
      </c>
      <c r="P260" s="13" t="s">
        <v>1236</v>
      </c>
    </row>
    <row r="261" spans="8:16">
      <c r="H261" s="516">
        <v>0</v>
      </c>
      <c r="I261" s="516">
        <v>0.99999999999999989</v>
      </c>
      <c r="J261" s="517" t="s">
        <v>1240</v>
      </c>
      <c r="M261" s="513">
        <v>0</v>
      </c>
      <c r="N261" s="516">
        <v>1</v>
      </c>
      <c r="O261" s="518" t="s">
        <v>1240</v>
      </c>
      <c r="P261" s="13" t="s">
        <v>1236</v>
      </c>
    </row>
    <row r="262" spans="8:16">
      <c r="H262" s="516">
        <v>0</v>
      </c>
      <c r="I262" s="516">
        <v>0.99999999999999989</v>
      </c>
      <c r="J262" s="517" t="s">
        <v>1240</v>
      </c>
      <c r="M262" s="513">
        <v>0</v>
      </c>
      <c r="N262" s="516">
        <v>1</v>
      </c>
      <c r="O262" s="518" t="s">
        <v>1240</v>
      </c>
      <c r="P262" s="13" t="s">
        <v>1236</v>
      </c>
    </row>
    <row r="263" spans="8:16">
      <c r="H263" s="516">
        <v>0</v>
      </c>
      <c r="I263" s="516">
        <v>0.99999999999999989</v>
      </c>
      <c r="J263" s="517" t="s">
        <v>1240</v>
      </c>
      <c r="M263" s="513">
        <v>0</v>
      </c>
      <c r="N263" s="516">
        <v>1</v>
      </c>
      <c r="O263" s="518" t="s">
        <v>1240</v>
      </c>
      <c r="P263" s="13" t="s">
        <v>1236</v>
      </c>
    </row>
    <row r="264" spans="8:16">
      <c r="H264" s="516">
        <v>0</v>
      </c>
      <c r="I264" s="516">
        <v>0.99999999999999989</v>
      </c>
      <c r="J264" s="517" t="s">
        <v>1240</v>
      </c>
      <c r="M264" s="513">
        <v>0</v>
      </c>
      <c r="N264" s="516">
        <v>1</v>
      </c>
      <c r="O264" s="518" t="s">
        <v>1240</v>
      </c>
      <c r="P264" s="13" t="s">
        <v>1236</v>
      </c>
    </row>
    <row r="265" spans="8:16">
      <c r="H265" s="516">
        <v>0</v>
      </c>
      <c r="I265" s="516">
        <v>0.99999999999999989</v>
      </c>
      <c r="J265" s="517" t="s">
        <v>1240</v>
      </c>
      <c r="M265" s="513">
        <v>0</v>
      </c>
      <c r="N265" s="516">
        <v>1</v>
      </c>
      <c r="O265" s="518" t="s">
        <v>1240</v>
      </c>
      <c r="P265" s="13" t="s">
        <v>1236</v>
      </c>
    </row>
    <row r="266" spans="8:16">
      <c r="H266" s="516">
        <v>0</v>
      </c>
      <c r="I266" s="516">
        <v>0.99999999999999989</v>
      </c>
      <c r="J266" s="517" t="s">
        <v>1240</v>
      </c>
      <c r="M266" s="513">
        <v>0</v>
      </c>
      <c r="N266" s="516">
        <v>1</v>
      </c>
      <c r="O266" s="518" t="s">
        <v>1240</v>
      </c>
      <c r="P266" s="13" t="s">
        <v>1236</v>
      </c>
    </row>
    <row r="267" spans="8:16">
      <c r="H267" s="516">
        <v>0</v>
      </c>
      <c r="I267" s="516">
        <v>0.99999999999999989</v>
      </c>
      <c r="J267" s="517" t="s">
        <v>1240</v>
      </c>
      <c r="M267" s="513">
        <v>0</v>
      </c>
      <c r="N267" s="516">
        <v>1</v>
      </c>
      <c r="O267" s="518" t="s">
        <v>1240</v>
      </c>
      <c r="P267" s="13" t="s">
        <v>1236</v>
      </c>
    </row>
    <row r="268" spans="8:16">
      <c r="H268" s="516">
        <v>0</v>
      </c>
      <c r="I268" s="516">
        <v>0.99999999999999989</v>
      </c>
      <c r="J268" s="517" t="s">
        <v>1240</v>
      </c>
      <c r="M268" s="513">
        <v>0</v>
      </c>
      <c r="N268" s="516">
        <v>1</v>
      </c>
      <c r="O268" s="518" t="s">
        <v>1240</v>
      </c>
      <c r="P268" s="13" t="s">
        <v>1236</v>
      </c>
    </row>
    <row r="269" spans="8:16">
      <c r="H269" s="516">
        <v>0</v>
      </c>
      <c r="I269" s="516">
        <v>0.99999999999999989</v>
      </c>
      <c r="J269" s="517" t="s">
        <v>1240</v>
      </c>
      <c r="M269" s="513">
        <v>0</v>
      </c>
      <c r="N269" s="516">
        <v>1</v>
      </c>
      <c r="O269" s="518" t="s">
        <v>1240</v>
      </c>
      <c r="P269" s="13" t="s">
        <v>1236</v>
      </c>
    </row>
    <row r="270" spans="8:16">
      <c r="H270" s="516">
        <v>0</v>
      </c>
      <c r="I270" s="516">
        <v>0.99999999999999989</v>
      </c>
      <c r="J270" s="517" t="s">
        <v>1240</v>
      </c>
      <c r="M270" s="513">
        <v>0</v>
      </c>
      <c r="N270" s="516">
        <v>1</v>
      </c>
      <c r="O270" s="518" t="s">
        <v>1240</v>
      </c>
      <c r="P270" s="13" t="s">
        <v>1236</v>
      </c>
    </row>
    <row r="271" spans="8:16">
      <c r="H271" s="516">
        <v>0</v>
      </c>
      <c r="I271" s="516">
        <v>0.99999999999999989</v>
      </c>
      <c r="J271" s="517" t="s">
        <v>1240</v>
      </c>
      <c r="M271" s="513">
        <v>0</v>
      </c>
      <c r="N271" s="516">
        <v>1</v>
      </c>
      <c r="O271" s="518" t="s">
        <v>1240</v>
      </c>
      <c r="P271" s="13" t="s">
        <v>1236</v>
      </c>
    </row>
    <row r="272" spans="8:16">
      <c r="H272" s="516">
        <v>0</v>
      </c>
      <c r="I272" s="516">
        <v>0.99999999999999989</v>
      </c>
      <c r="J272" s="517" t="s">
        <v>1240</v>
      </c>
      <c r="M272" s="513">
        <v>0</v>
      </c>
      <c r="N272" s="516">
        <v>1</v>
      </c>
      <c r="O272" s="518" t="s">
        <v>1240</v>
      </c>
      <c r="P272" s="13" t="s">
        <v>1236</v>
      </c>
    </row>
    <row r="273" spans="8:16">
      <c r="H273" s="516">
        <v>0</v>
      </c>
      <c r="I273" s="516">
        <v>0.99999999999999989</v>
      </c>
      <c r="J273" s="517" t="s">
        <v>1240</v>
      </c>
      <c r="M273" s="513">
        <v>0</v>
      </c>
      <c r="N273" s="516">
        <v>1</v>
      </c>
      <c r="O273" s="518" t="s">
        <v>1240</v>
      </c>
      <c r="P273" s="13" t="s">
        <v>1236</v>
      </c>
    </row>
    <row r="274" spans="8:16">
      <c r="H274" s="516">
        <v>0</v>
      </c>
      <c r="I274" s="516">
        <v>0.99999999999999989</v>
      </c>
      <c r="J274" s="517" t="s">
        <v>1240</v>
      </c>
      <c r="M274" s="513">
        <v>0</v>
      </c>
      <c r="N274" s="516">
        <v>1</v>
      </c>
      <c r="O274" s="518" t="s">
        <v>1240</v>
      </c>
      <c r="P274" s="13" t="s">
        <v>1236</v>
      </c>
    </row>
    <row r="275" spans="8:16">
      <c r="H275" s="516">
        <v>0</v>
      </c>
      <c r="I275" s="516">
        <v>0.99999999999999989</v>
      </c>
      <c r="J275" s="517" t="s">
        <v>1240</v>
      </c>
      <c r="M275" s="513">
        <v>0</v>
      </c>
      <c r="N275" s="516">
        <v>1</v>
      </c>
      <c r="O275" s="518" t="s">
        <v>1240</v>
      </c>
      <c r="P275" s="13" t="s">
        <v>1236</v>
      </c>
    </row>
    <row r="276" spans="8:16">
      <c r="H276" s="516">
        <v>0</v>
      </c>
      <c r="I276" s="516">
        <v>0.99999999999999989</v>
      </c>
      <c r="J276" s="517" t="s">
        <v>1240</v>
      </c>
      <c r="M276" s="513">
        <v>0</v>
      </c>
      <c r="N276" s="516">
        <v>1</v>
      </c>
      <c r="O276" s="518" t="s">
        <v>1240</v>
      </c>
      <c r="P276" s="13" t="s">
        <v>1236</v>
      </c>
    </row>
    <row r="277" spans="8:16">
      <c r="H277" s="516">
        <v>0</v>
      </c>
      <c r="I277" s="516">
        <v>0.99999999999999989</v>
      </c>
      <c r="J277" s="517" t="s">
        <v>1240</v>
      </c>
      <c r="M277" s="513">
        <v>0</v>
      </c>
      <c r="N277" s="516">
        <v>1</v>
      </c>
      <c r="O277" s="518" t="s">
        <v>1240</v>
      </c>
      <c r="P277" s="13" t="s">
        <v>1236</v>
      </c>
    </row>
    <row r="278" spans="8:16">
      <c r="H278" s="516">
        <v>0</v>
      </c>
      <c r="I278" s="516">
        <v>0.99999999999999989</v>
      </c>
      <c r="J278" s="517" t="s">
        <v>1240</v>
      </c>
      <c r="M278" s="513">
        <v>0</v>
      </c>
      <c r="N278" s="516">
        <v>1</v>
      </c>
      <c r="O278" s="518" t="s">
        <v>1240</v>
      </c>
      <c r="P278" s="13" t="s">
        <v>1236</v>
      </c>
    </row>
    <row r="279" spans="8:16">
      <c r="H279" s="516">
        <v>0</v>
      </c>
      <c r="I279" s="516">
        <v>0.99999999999999989</v>
      </c>
      <c r="J279" s="517" t="s">
        <v>1240</v>
      </c>
      <c r="M279" s="513">
        <v>0</v>
      </c>
      <c r="N279" s="516">
        <v>1</v>
      </c>
      <c r="O279" s="518" t="s">
        <v>1240</v>
      </c>
      <c r="P279" s="13" t="s">
        <v>1236</v>
      </c>
    </row>
    <row r="280" spans="8:16">
      <c r="H280" s="516">
        <v>0</v>
      </c>
      <c r="I280" s="516">
        <v>0.99999999999999989</v>
      </c>
      <c r="J280" s="517" t="s">
        <v>1240</v>
      </c>
      <c r="M280" s="513">
        <v>0</v>
      </c>
      <c r="N280" s="516">
        <v>1</v>
      </c>
      <c r="O280" s="518" t="s">
        <v>1240</v>
      </c>
      <c r="P280" s="13" t="s">
        <v>1236</v>
      </c>
    </row>
    <row r="281" spans="8:16">
      <c r="H281" s="516">
        <v>0</v>
      </c>
      <c r="I281" s="516">
        <v>0.99999999999999989</v>
      </c>
      <c r="J281" s="517" t="s">
        <v>1240</v>
      </c>
      <c r="M281" s="513">
        <v>0</v>
      </c>
      <c r="N281" s="516">
        <v>1</v>
      </c>
      <c r="O281" s="518" t="s">
        <v>1240</v>
      </c>
      <c r="P281" s="13" t="s">
        <v>1236</v>
      </c>
    </row>
    <row r="282" spans="8:16">
      <c r="H282" s="516">
        <v>0</v>
      </c>
      <c r="I282" s="516">
        <v>0.99999999999999989</v>
      </c>
      <c r="J282" s="517" t="s">
        <v>1240</v>
      </c>
      <c r="M282" s="513">
        <v>0</v>
      </c>
      <c r="N282" s="516">
        <v>1</v>
      </c>
      <c r="O282" s="518" t="s">
        <v>1240</v>
      </c>
      <c r="P282" s="13" t="s">
        <v>1236</v>
      </c>
    </row>
    <row r="283" spans="8:16">
      <c r="H283" s="516">
        <v>0</v>
      </c>
      <c r="I283" s="516">
        <v>0.99999999999999989</v>
      </c>
      <c r="J283" s="517" t="s">
        <v>1240</v>
      </c>
      <c r="M283" s="513">
        <v>0</v>
      </c>
      <c r="N283" s="516">
        <v>1</v>
      </c>
      <c r="O283" s="518" t="s">
        <v>1240</v>
      </c>
      <c r="P283" s="13" t="s">
        <v>1236</v>
      </c>
    </row>
    <row r="284" spans="8:16">
      <c r="H284" s="516">
        <v>0</v>
      </c>
      <c r="I284" s="516">
        <v>0.99999999999999989</v>
      </c>
      <c r="J284" s="517" t="s">
        <v>1240</v>
      </c>
      <c r="M284" s="513">
        <v>0</v>
      </c>
      <c r="N284" s="516">
        <v>1</v>
      </c>
      <c r="O284" s="518" t="s">
        <v>1240</v>
      </c>
      <c r="P284" s="13" t="s">
        <v>1236</v>
      </c>
    </row>
    <row r="285" spans="8:16">
      <c r="H285" s="516">
        <v>0</v>
      </c>
      <c r="I285" s="516">
        <v>0.99999999999999989</v>
      </c>
      <c r="J285" s="517" t="s">
        <v>1240</v>
      </c>
      <c r="M285" s="513">
        <v>0</v>
      </c>
      <c r="N285" s="516">
        <v>1</v>
      </c>
      <c r="O285" s="518" t="s">
        <v>1240</v>
      </c>
      <c r="P285" s="13" t="s">
        <v>1236</v>
      </c>
    </row>
    <row r="286" spans="8:16">
      <c r="H286" s="516">
        <v>0</v>
      </c>
      <c r="I286" s="516">
        <v>0.99999999999999989</v>
      </c>
      <c r="J286" s="517" t="s">
        <v>1240</v>
      </c>
      <c r="M286" s="513">
        <v>0</v>
      </c>
      <c r="N286" s="516">
        <v>1</v>
      </c>
      <c r="O286" s="518" t="s">
        <v>1240</v>
      </c>
      <c r="P286" s="13" t="s">
        <v>1236</v>
      </c>
    </row>
    <row r="287" spans="8:16">
      <c r="H287" s="516">
        <v>0</v>
      </c>
      <c r="I287" s="516">
        <v>0.99999999999999989</v>
      </c>
      <c r="J287" s="517" t="s">
        <v>1240</v>
      </c>
      <c r="M287" s="513">
        <v>0</v>
      </c>
      <c r="N287" s="516">
        <v>1</v>
      </c>
      <c r="O287" s="518" t="s">
        <v>1240</v>
      </c>
      <c r="P287" s="13" t="s">
        <v>1236</v>
      </c>
    </row>
    <row r="288" spans="8:16">
      <c r="H288" s="516">
        <v>0</v>
      </c>
      <c r="I288" s="516">
        <v>0.99999999999999989</v>
      </c>
      <c r="J288" s="517" t="s">
        <v>1240</v>
      </c>
      <c r="M288" s="513">
        <v>0</v>
      </c>
      <c r="N288" s="516">
        <v>1</v>
      </c>
      <c r="O288" s="518" t="s">
        <v>1240</v>
      </c>
      <c r="P288" s="13" t="s">
        <v>1236</v>
      </c>
    </row>
    <row r="289" spans="8:16">
      <c r="H289" s="516">
        <v>0</v>
      </c>
      <c r="I289" s="516">
        <v>0.99999999999999989</v>
      </c>
      <c r="J289" s="517" t="s">
        <v>1240</v>
      </c>
      <c r="M289" s="513">
        <v>0</v>
      </c>
      <c r="N289" s="516">
        <v>1</v>
      </c>
      <c r="O289" s="518" t="s">
        <v>1240</v>
      </c>
      <c r="P289" s="13" t="s">
        <v>1236</v>
      </c>
    </row>
    <row r="290" spans="8:16">
      <c r="H290" s="516">
        <v>0</v>
      </c>
      <c r="I290" s="516">
        <v>0.99999999999999989</v>
      </c>
      <c r="J290" s="517" t="s">
        <v>1240</v>
      </c>
      <c r="M290" s="513">
        <v>0</v>
      </c>
      <c r="N290" s="516">
        <v>1</v>
      </c>
      <c r="O290" s="518" t="s">
        <v>1240</v>
      </c>
      <c r="P290" s="13" t="s">
        <v>1236</v>
      </c>
    </row>
    <row r="291" spans="8:16">
      <c r="H291" s="516">
        <v>0</v>
      </c>
      <c r="I291" s="516">
        <v>0.99999999999999989</v>
      </c>
      <c r="J291" s="517" t="s">
        <v>1240</v>
      </c>
      <c r="M291" s="513">
        <v>0</v>
      </c>
      <c r="N291" s="516">
        <v>1</v>
      </c>
      <c r="O291" s="518" t="s">
        <v>1240</v>
      </c>
      <c r="P291" s="13" t="s">
        <v>1236</v>
      </c>
    </row>
    <row r="292" spans="8:16">
      <c r="H292" s="516">
        <v>0</v>
      </c>
      <c r="I292" s="516">
        <v>0.99999999999999989</v>
      </c>
      <c r="J292" s="517" t="s">
        <v>1240</v>
      </c>
      <c r="M292" s="513">
        <v>0</v>
      </c>
      <c r="N292" s="516">
        <v>1</v>
      </c>
      <c r="O292" s="518" t="s">
        <v>1240</v>
      </c>
      <c r="P292" s="13" t="s">
        <v>1236</v>
      </c>
    </row>
    <row r="293" spans="8:16">
      <c r="H293" s="516">
        <v>0</v>
      </c>
      <c r="I293" s="516">
        <v>0.99999999999999989</v>
      </c>
      <c r="J293" s="517" t="s">
        <v>1240</v>
      </c>
      <c r="M293" s="513">
        <v>0</v>
      </c>
      <c r="N293" s="516">
        <v>1</v>
      </c>
      <c r="O293" s="518" t="s">
        <v>1240</v>
      </c>
      <c r="P293" s="13" t="s">
        <v>1236</v>
      </c>
    </row>
    <row r="294" spans="8:16">
      <c r="H294" s="516">
        <v>0</v>
      </c>
      <c r="I294" s="516">
        <v>0.99999999999999989</v>
      </c>
      <c r="J294" s="517" t="s">
        <v>1240</v>
      </c>
      <c r="M294" s="513">
        <v>0</v>
      </c>
      <c r="N294" s="516">
        <v>1</v>
      </c>
      <c r="O294" s="518" t="s">
        <v>1240</v>
      </c>
      <c r="P294" s="13" t="s">
        <v>1236</v>
      </c>
    </row>
    <row r="295" spans="8:16">
      <c r="H295" s="516">
        <v>0</v>
      </c>
      <c r="I295" s="516">
        <v>0.99999999999999989</v>
      </c>
      <c r="J295" s="517" t="s">
        <v>1240</v>
      </c>
      <c r="M295" s="513">
        <v>0</v>
      </c>
      <c r="N295" s="516">
        <v>1</v>
      </c>
      <c r="O295" s="518" t="s">
        <v>1240</v>
      </c>
      <c r="P295" s="13" t="s">
        <v>1236</v>
      </c>
    </row>
    <row r="296" spans="8:16">
      <c r="H296" s="516">
        <v>0</v>
      </c>
      <c r="I296" s="516">
        <v>0.99999999999999989</v>
      </c>
      <c r="J296" s="517" t="s">
        <v>1240</v>
      </c>
      <c r="M296" s="513">
        <v>0</v>
      </c>
      <c r="N296" s="516">
        <v>1</v>
      </c>
      <c r="O296" s="518" t="s">
        <v>1240</v>
      </c>
      <c r="P296" s="13" t="s">
        <v>1236</v>
      </c>
    </row>
    <row r="297" spans="8:16">
      <c r="H297" s="516">
        <v>0</v>
      </c>
      <c r="I297" s="516">
        <v>0.99999999999999989</v>
      </c>
      <c r="J297" s="517" t="s">
        <v>1240</v>
      </c>
      <c r="M297" s="513">
        <v>0</v>
      </c>
      <c r="N297" s="516">
        <v>1</v>
      </c>
      <c r="O297" s="518" t="s">
        <v>1240</v>
      </c>
      <c r="P297" s="13" t="s">
        <v>1236</v>
      </c>
    </row>
    <row r="298" spans="8:16">
      <c r="H298" s="516">
        <v>0</v>
      </c>
      <c r="I298" s="516">
        <v>0.99999999999999989</v>
      </c>
      <c r="J298" s="517" t="s">
        <v>1240</v>
      </c>
      <c r="M298" s="513">
        <v>0</v>
      </c>
      <c r="N298" s="516">
        <v>1</v>
      </c>
      <c r="O298" s="518" t="s">
        <v>1240</v>
      </c>
      <c r="P298" s="13" t="s">
        <v>1236</v>
      </c>
    </row>
    <row r="299" spans="8:16">
      <c r="H299" s="516">
        <v>0</v>
      </c>
      <c r="I299" s="516">
        <v>0.99999999999999989</v>
      </c>
      <c r="J299" s="517" t="s">
        <v>1240</v>
      </c>
      <c r="M299" s="513">
        <v>0</v>
      </c>
      <c r="N299" s="516">
        <v>1</v>
      </c>
      <c r="O299" s="518" t="s">
        <v>1240</v>
      </c>
      <c r="P299" s="13" t="s">
        <v>1236</v>
      </c>
    </row>
    <row r="300" spans="8:16">
      <c r="H300" s="516">
        <v>0</v>
      </c>
      <c r="I300" s="516">
        <v>0.99999999999999989</v>
      </c>
      <c r="J300" s="517" t="s">
        <v>1240</v>
      </c>
      <c r="M300" s="513">
        <v>0</v>
      </c>
      <c r="N300" s="516">
        <v>1</v>
      </c>
      <c r="O300" s="518" t="s">
        <v>1240</v>
      </c>
      <c r="P300" s="13" t="s">
        <v>1236</v>
      </c>
    </row>
    <row r="301" spans="8:16">
      <c r="H301" s="516">
        <v>0</v>
      </c>
      <c r="I301" s="516">
        <v>0.99999999999999989</v>
      </c>
      <c r="J301" s="517" t="s">
        <v>1240</v>
      </c>
      <c r="M301" s="513">
        <v>0</v>
      </c>
      <c r="N301" s="516">
        <v>1</v>
      </c>
      <c r="O301" s="518" t="s">
        <v>1240</v>
      </c>
      <c r="P301" s="13" t="s">
        <v>1236</v>
      </c>
    </row>
    <row r="302" spans="8:16">
      <c r="H302" s="516">
        <v>0</v>
      </c>
      <c r="I302" s="516">
        <v>0.99999999999999989</v>
      </c>
      <c r="J302" s="517" t="s">
        <v>1240</v>
      </c>
      <c r="M302" s="513">
        <v>0</v>
      </c>
      <c r="N302" s="516">
        <v>1</v>
      </c>
      <c r="O302" s="518" t="s">
        <v>1240</v>
      </c>
      <c r="P302" s="13" t="s">
        <v>1236</v>
      </c>
    </row>
    <row r="303" spans="8:16">
      <c r="H303" s="516">
        <v>0</v>
      </c>
      <c r="I303" s="516">
        <v>0.99999999999999989</v>
      </c>
      <c r="J303" s="517" t="s">
        <v>1240</v>
      </c>
      <c r="M303" s="513">
        <v>0</v>
      </c>
      <c r="N303" s="516">
        <v>1</v>
      </c>
      <c r="O303" s="518" t="s">
        <v>1240</v>
      </c>
      <c r="P303" s="13" t="s">
        <v>1236</v>
      </c>
    </row>
    <row r="304" spans="8:16">
      <c r="H304" s="516">
        <v>0</v>
      </c>
      <c r="I304" s="516">
        <v>0.99999999999999989</v>
      </c>
      <c r="J304" s="517" t="s">
        <v>1240</v>
      </c>
      <c r="M304" s="513">
        <v>0</v>
      </c>
      <c r="N304" s="516">
        <v>1</v>
      </c>
      <c r="O304" s="518" t="s">
        <v>1240</v>
      </c>
      <c r="P304" s="13" t="s">
        <v>1236</v>
      </c>
    </row>
    <row r="305" spans="8:16">
      <c r="H305" s="516">
        <v>0</v>
      </c>
      <c r="I305" s="516">
        <v>0.99999999999999989</v>
      </c>
      <c r="J305" s="517" t="s">
        <v>1240</v>
      </c>
      <c r="M305" s="513">
        <v>0</v>
      </c>
      <c r="N305" s="516">
        <v>1</v>
      </c>
      <c r="O305" s="518" t="s">
        <v>1240</v>
      </c>
      <c r="P305" s="13" t="s">
        <v>1236</v>
      </c>
    </row>
    <row r="306" spans="8:16">
      <c r="H306" s="516">
        <v>0</v>
      </c>
      <c r="I306" s="516">
        <v>0.99999999999999989</v>
      </c>
      <c r="J306" s="517" t="s">
        <v>1240</v>
      </c>
      <c r="M306" s="513">
        <v>0</v>
      </c>
      <c r="N306" s="516">
        <v>1</v>
      </c>
      <c r="O306" s="518" t="s">
        <v>1240</v>
      </c>
      <c r="P306" s="13" t="s">
        <v>1236</v>
      </c>
    </row>
    <row r="307" spans="8:16">
      <c r="H307" s="516">
        <v>0</v>
      </c>
      <c r="I307" s="516">
        <v>0.99999999999999989</v>
      </c>
      <c r="J307" s="517" t="s">
        <v>1240</v>
      </c>
      <c r="M307" s="513">
        <v>0</v>
      </c>
      <c r="N307" s="516">
        <v>1</v>
      </c>
      <c r="O307" s="518" t="s">
        <v>1240</v>
      </c>
      <c r="P307" s="13" t="s">
        <v>1236</v>
      </c>
    </row>
    <row r="308" spans="8:16">
      <c r="H308" s="516">
        <v>0</v>
      </c>
      <c r="I308" s="516">
        <v>0.99999999999999989</v>
      </c>
      <c r="J308" s="517" t="s">
        <v>1240</v>
      </c>
      <c r="M308" s="513">
        <v>0</v>
      </c>
      <c r="N308" s="516">
        <v>1</v>
      </c>
      <c r="O308" s="518" t="s">
        <v>1240</v>
      </c>
      <c r="P308" s="13" t="s">
        <v>1236</v>
      </c>
    </row>
    <row r="309" spans="8:16">
      <c r="H309" s="516">
        <v>0</v>
      </c>
      <c r="I309" s="516">
        <v>0.99999999999999989</v>
      </c>
      <c r="J309" s="517" t="s">
        <v>1240</v>
      </c>
      <c r="M309" s="513">
        <v>0</v>
      </c>
      <c r="N309" s="516">
        <v>1</v>
      </c>
      <c r="O309" s="518" t="s">
        <v>1240</v>
      </c>
      <c r="P309" s="13" t="s">
        <v>1236</v>
      </c>
    </row>
    <row r="310" spans="8:16">
      <c r="H310" s="516">
        <v>0</v>
      </c>
      <c r="I310" s="516">
        <v>0.99999999999999989</v>
      </c>
      <c r="J310" s="517" t="s">
        <v>1240</v>
      </c>
      <c r="M310" s="513">
        <v>0</v>
      </c>
      <c r="N310" s="516">
        <v>1</v>
      </c>
      <c r="O310" s="518" t="s">
        <v>1240</v>
      </c>
      <c r="P310" s="13" t="s">
        <v>1236</v>
      </c>
    </row>
    <row r="311" spans="8:16">
      <c r="H311" s="516">
        <v>0</v>
      </c>
      <c r="I311" s="516">
        <v>0.99999999999999989</v>
      </c>
      <c r="J311" s="517" t="s">
        <v>1240</v>
      </c>
      <c r="M311" s="513">
        <v>0</v>
      </c>
      <c r="N311" s="516">
        <v>1</v>
      </c>
      <c r="O311" s="518" t="s">
        <v>1240</v>
      </c>
      <c r="P311" s="13" t="s">
        <v>1236</v>
      </c>
    </row>
    <row r="312" spans="8:16">
      <c r="H312" s="516">
        <v>0</v>
      </c>
      <c r="I312" s="516">
        <v>0.99999999999999989</v>
      </c>
      <c r="J312" s="517" t="s">
        <v>1240</v>
      </c>
      <c r="M312" s="513">
        <v>0</v>
      </c>
      <c r="N312" s="516">
        <v>1</v>
      </c>
      <c r="O312" s="518" t="s">
        <v>1240</v>
      </c>
      <c r="P312" s="13" t="s">
        <v>1236</v>
      </c>
    </row>
    <row r="313" spans="8:16">
      <c r="H313" s="516">
        <v>0</v>
      </c>
      <c r="I313" s="516">
        <v>0.99999999999999989</v>
      </c>
      <c r="J313" s="517" t="s">
        <v>1240</v>
      </c>
      <c r="M313" s="513">
        <v>0</v>
      </c>
      <c r="N313" s="516">
        <v>1</v>
      </c>
      <c r="O313" s="518" t="s">
        <v>1240</v>
      </c>
      <c r="P313" s="13" t="s">
        <v>1236</v>
      </c>
    </row>
    <row r="314" spans="8:16">
      <c r="H314" s="516">
        <v>0</v>
      </c>
      <c r="I314" s="516">
        <v>0.99999999999999989</v>
      </c>
      <c r="J314" s="517" t="s">
        <v>1240</v>
      </c>
      <c r="M314" s="513">
        <v>0</v>
      </c>
      <c r="N314" s="516">
        <v>1</v>
      </c>
      <c r="O314" s="518" t="s">
        <v>1240</v>
      </c>
      <c r="P314" s="13" t="s">
        <v>1236</v>
      </c>
    </row>
    <row r="315" spans="8:16">
      <c r="H315" s="516">
        <v>0</v>
      </c>
      <c r="I315" s="516">
        <v>0.99999999999999989</v>
      </c>
      <c r="J315" s="517" t="s">
        <v>1240</v>
      </c>
      <c r="M315" s="513">
        <v>0</v>
      </c>
      <c r="N315" s="516">
        <v>1</v>
      </c>
      <c r="O315" s="518" t="s">
        <v>1240</v>
      </c>
      <c r="P315" s="13" t="s">
        <v>1236</v>
      </c>
    </row>
    <row r="316" spans="8:16">
      <c r="H316" s="516">
        <v>0</v>
      </c>
      <c r="I316" s="516">
        <v>0.99999999999999989</v>
      </c>
      <c r="J316" s="517" t="s">
        <v>1240</v>
      </c>
      <c r="M316" s="513">
        <v>0</v>
      </c>
      <c r="N316" s="516">
        <v>1</v>
      </c>
      <c r="O316" s="518" t="s">
        <v>1240</v>
      </c>
      <c r="P316" s="13" t="s">
        <v>1236</v>
      </c>
    </row>
    <row r="317" spans="8:16">
      <c r="H317" s="516">
        <v>0</v>
      </c>
      <c r="I317" s="516">
        <v>0.99999999999999989</v>
      </c>
      <c r="J317" s="517" t="s">
        <v>1240</v>
      </c>
      <c r="M317" s="513">
        <v>0</v>
      </c>
      <c r="N317" s="516">
        <v>1</v>
      </c>
      <c r="O317" s="518" t="s">
        <v>1240</v>
      </c>
      <c r="P317" s="13" t="s">
        <v>1236</v>
      </c>
    </row>
    <row r="318" spans="8:16">
      <c r="H318" s="516">
        <v>0</v>
      </c>
      <c r="I318" s="516">
        <v>0.99999999999999989</v>
      </c>
      <c r="J318" s="517" t="s">
        <v>1240</v>
      </c>
      <c r="M318" s="513">
        <v>0</v>
      </c>
      <c r="N318" s="516">
        <v>1</v>
      </c>
      <c r="O318" s="518" t="s">
        <v>1240</v>
      </c>
      <c r="P318" s="13" t="s">
        <v>1236</v>
      </c>
    </row>
    <row r="319" spans="8:16">
      <c r="H319" s="516">
        <v>0</v>
      </c>
      <c r="I319" s="516">
        <v>0.99999999999999989</v>
      </c>
      <c r="J319" s="517" t="s">
        <v>1240</v>
      </c>
      <c r="M319" s="513">
        <v>0</v>
      </c>
      <c r="N319" s="516">
        <v>1</v>
      </c>
      <c r="O319" s="518" t="s">
        <v>1240</v>
      </c>
      <c r="P319" s="13" t="s">
        <v>1236</v>
      </c>
    </row>
    <row r="320" spans="8:16">
      <c r="H320" s="516">
        <v>0</v>
      </c>
      <c r="I320" s="516">
        <v>0.99999999999999989</v>
      </c>
      <c r="J320" s="517" t="s">
        <v>1240</v>
      </c>
      <c r="M320" s="513">
        <v>0</v>
      </c>
      <c r="N320" s="516">
        <v>1</v>
      </c>
      <c r="O320" s="518" t="s">
        <v>1240</v>
      </c>
      <c r="P320" s="13" t="s">
        <v>1236</v>
      </c>
    </row>
    <row r="321" spans="8:16">
      <c r="H321" s="516">
        <v>0</v>
      </c>
      <c r="I321" s="516">
        <v>0.99999999999999989</v>
      </c>
      <c r="J321" s="517" t="s">
        <v>1240</v>
      </c>
      <c r="M321" s="513">
        <v>0</v>
      </c>
      <c r="N321" s="516">
        <v>1</v>
      </c>
      <c r="O321" s="518" t="s">
        <v>1240</v>
      </c>
      <c r="P321" s="13" t="s">
        <v>1236</v>
      </c>
    </row>
    <row r="322" spans="8:16">
      <c r="H322" s="516">
        <v>0</v>
      </c>
      <c r="I322" s="516">
        <v>0.99999999999999989</v>
      </c>
      <c r="J322" s="517" t="s">
        <v>1240</v>
      </c>
      <c r="M322" s="513">
        <v>0</v>
      </c>
      <c r="N322" s="516">
        <v>1</v>
      </c>
      <c r="O322" s="518" t="s">
        <v>1240</v>
      </c>
      <c r="P322" s="13" t="s">
        <v>1236</v>
      </c>
    </row>
    <row r="323" spans="8:16">
      <c r="H323" s="516">
        <v>0</v>
      </c>
      <c r="I323" s="516">
        <v>0.99999999999999989</v>
      </c>
      <c r="J323" s="517" t="s">
        <v>1240</v>
      </c>
      <c r="M323" s="513">
        <v>0</v>
      </c>
      <c r="N323" s="516">
        <v>1</v>
      </c>
      <c r="O323" s="518" t="s">
        <v>1240</v>
      </c>
      <c r="P323" s="13" t="s">
        <v>1236</v>
      </c>
    </row>
    <row r="324" spans="8:16">
      <c r="H324" s="516">
        <v>0</v>
      </c>
      <c r="I324" s="516">
        <v>0.99999999999999989</v>
      </c>
      <c r="J324" s="517" t="s">
        <v>1240</v>
      </c>
      <c r="M324" s="513">
        <v>0</v>
      </c>
      <c r="N324" s="516">
        <v>1</v>
      </c>
      <c r="O324" s="518" t="s">
        <v>1240</v>
      </c>
      <c r="P324" s="13" t="s">
        <v>1236</v>
      </c>
    </row>
    <row r="325" spans="8:16">
      <c r="H325" s="516">
        <v>0</v>
      </c>
      <c r="I325" s="516">
        <v>0.99999999999999989</v>
      </c>
      <c r="J325" s="517" t="s">
        <v>1240</v>
      </c>
      <c r="M325" s="513">
        <v>0</v>
      </c>
      <c r="N325" s="516">
        <v>1</v>
      </c>
      <c r="O325" s="518" t="s">
        <v>1240</v>
      </c>
      <c r="P325" s="13" t="s">
        <v>1236</v>
      </c>
    </row>
    <row r="326" spans="8:16">
      <c r="H326" s="516">
        <v>0</v>
      </c>
      <c r="I326" s="516">
        <v>0.99999999999999989</v>
      </c>
      <c r="J326" s="517" t="s">
        <v>1240</v>
      </c>
      <c r="M326" s="513">
        <v>0</v>
      </c>
      <c r="N326" s="516">
        <v>1</v>
      </c>
      <c r="O326" s="518" t="s">
        <v>1240</v>
      </c>
      <c r="P326" s="13" t="s">
        <v>1236</v>
      </c>
    </row>
    <row r="327" spans="8:16">
      <c r="H327" s="516">
        <v>0</v>
      </c>
      <c r="I327" s="516">
        <v>0.99999999999999989</v>
      </c>
      <c r="J327" s="517" t="s">
        <v>1240</v>
      </c>
      <c r="M327" s="513">
        <v>0</v>
      </c>
      <c r="N327" s="516">
        <v>1</v>
      </c>
      <c r="O327" s="518" t="s">
        <v>1240</v>
      </c>
      <c r="P327" s="13" t="s">
        <v>1236</v>
      </c>
    </row>
    <row r="328" spans="8:16">
      <c r="H328" s="516">
        <v>0</v>
      </c>
      <c r="I328" s="516">
        <v>0.99999999999999989</v>
      </c>
      <c r="J328" s="517" t="s">
        <v>1240</v>
      </c>
      <c r="M328" s="513">
        <v>0</v>
      </c>
      <c r="N328" s="516">
        <v>1</v>
      </c>
      <c r="O328" s="518" t="s">
        <v>1240</v>
      </c>
      <c r="P328" s="13" t="s">
        <v>1236</v>
      </c>
    </row>
    <row r="329" spans="8:16">
      <c r="H329" s="516">
        <v>0</v>
      </c>
      <c r="I329" s="516">
        <v>0.99999999999999989</v>
      </c>
      <c r="J329" s="517" t="s">
        <v>1240</v>
      </c>
      <c r="M329" s="513">
        <v>0</v>
      </c>
      <c r="N329" s="516">
        <v>1</v>
      </c>
      <c r="O329" s="518" t="s">
        <v>1240</v>
      </c>
      <c r="P329" s="13" t="s">
        <v>1236</v>
      </c>
    </row>
    <row r="330" spans="8:16">
      <c r="H330" s="516">
        <v>0</v>
      </c>
      <c r="I330" s="516">
        <v>0.99999999999999989</v>
      </c>
      <c r="J330" s="517" t="s">
        <v>1240</v>
      </c>
      <c r="M330" s="513">
        <v>0</v>
      </c>
      <c r="N330" s="516">
        <v>1</v>
      </c>
      <c r="O330" s="518" t="s">
        <v>1240</v>
      </c>
      <c r="P330" s="13" t="s">
        <v>1236</v>
      </c>
    </row>
    <row r="331" spans="8:16">
      <c r="H331" s="516">
        <v>0</v>
      </c>
      <c r="I331" s="516">
        <v>0.99999999999999989</v>
      </c>
      <c r="J331" s="517" t="s">
        <v>1240</v>
      </c>
      <c r="M331" s="513">
        <v>0</v>
      </c>
      <c r="N331" s="516">
        <v>1</v>
      </c>
      <c r="O331" s="518" t="s">
        <v>1240</v>
      </c>
      <c r="P331" s="13" t="s">
        <v>1236</v>
      </c>
    </row>
    <row r="332" spans="8:16">
      <c r="H332" s="516">
        <v>0</v>
      </c>
      <c r="I332" s="516">
        <v>0.99999999999999989</v>
      </c>
      <c r="J332" s="517" t="s">
        <v>1240</v>
      </c>
      <c r="M332" s="513">
        <v>0</v>
      </c>
      <c r="N332" s="516">
        <v>1</v>
      </c>
      <c r="O332" s="518" t="s">
        <v>1240</v>
      </c>
      <c r="P332" s="13" t="s">
        <v>1236</v>
      </c>
    </row>
    <row r="333" spans="8:16">
      <c r="H333" s="516">
        <v>0</v>
      </c>
      <c r="I333" s="516">
        <v>0.99999999999999989</v>
      </c>
      <c r="J333" s="517" t="s">
        <v>1240</v>
      </c>
      <c r="M333" s="513">
        <v>0</v>
      </c>
      <c r="N333" s="516">
        <v>1</v>
      </c>
      <c r="O333" s="518" t="s">
        <v>1240</v>
      </c>
      <c r="P333" s="13" t="s">
        <v>1236</v>
      </c>
    </row>
    <row r="334" spans="8:16">
      <c r="H334" s="516">
        <v>0</v>
      </c>
      <c r="I334" s="516">
        <v>0.99999999999999989</v>
      </c>
      <c r="J334" s="517" t="s">
        <v>1240</v>
      </c>
      <c r="M334" s="513">
        <v>0</v>
      </c>
      <c r="N334" s="516">
        <v>1</v>
      </c>
      <c r="O334" s="518" t="s">
        <v>1240</v>
      </c>
      <c r="P334" s="13" t="s">
        <v>1236</v>
      </c>
    </row>
    <row r="335" spans="8:16">
      <c r="H335" s="516">
        <v>0</v>
      </c>
      <c r="I335" s="516">
        <v>0.99999999999999989</v>
      </c>
      <c r="J335" s="517" t="s">
        <v>1240</v>
      </c>
      <c r="M335" s="513">
        <v>0</v>
      </c>
      <c r="N335" s="516">
        <v>1</v>
      </c>
      <c r="O335" s="518" t="s">
        <v>1240</v>
      </c>
      <c r="P335" s="13" t="s">
        <v>1236</v>
      </c>
    </row>
    <row r="336" spans="8:16">
      <c r="H336" s="516">
        <v>0</v>
      </c>
      <c r="I336" s="516">
        <v>0.99999999999999989</v>
      </c>
      <c r="J336" s="517" t="s">
        <v>1240</v>
      </c>
      <c r="M336" s="513">
        <v>0</v>
      </c>
      <c r="N336" s="516">
        <v>1</v>
      </c>
      <c r="O336" s="518" t="s">
        <v>1240</v>
      </c>
      <c r="P336" s="13" t="s">
        <v>1236</v>
      </c>
    </row>
    <row r="337" spans="8:16">
      <c r="H337" s="516">
        <v>0</v>
      </c>
      <c r="I337" s="516">
        <v>0.99999999999999989</v>
      </c>
      <c r="J337" s="517" t="s">
        <v>1240</v>
      </c>
      <c r="M337" s="513">
        <v>0</v>
      </c>
      <c r="N337" s="516">
        <v>1</v>
      </c>
      <c r="O337" s="518" t="s">
        <v>1240</v>
      </c>
      <c r="P337" s="13" t="s">
        <v>1236</v>
      </c>
    </row>
    <row r="338" spans="8:16">
      <c r="H338" s="516">
        <v>0</v>
      </c>
      <c r="I338" s="516">
        <v>0.99999999999999989</v>
      </c>
      <c r="J338" s="517" t="s">
        <v>1240</v>
      </c>
      <c r="M338" s="513">
        <v>0</v>
      </c>
      <c r="N338" s="516">
        <v>1</v>
      </c>
      <c r="O338" s="518" t="s">
        <v>1240</v>
      </c>
      <c r="P338" s="13" t="s">
        <v>1236</v>
      </c>
    </row>
    <row r="339" spans="8:16">
      <c r="H339" s="516">
        <v>0</v>
      </c>
      <c r="I339" s="516">
        <v>0.99999999999999989</v>
      </c>
      <c r="J339" s="517" t="s">
        <v>1240</v>
      </c>
      <c r="M339" s="513">
        <v>0</v>
      </c>
      <c r="N339" s="516">
        <v>1</v>
      </c>
      <c r="O339" s="518" t="s">
        <v>1240</v>
      </c>
      <c r="P339" s="13" t="s">
        <v>1236</v>
      </c>
    </row>
    <row r="340" spans="8:16">
      <c r="H340" s="516">
        <v>0</v>
      </c>
      <c r="I340" s="516">
        <v>0.99999999999999989</v>
      </c>
      <c r="J340" s="517" t="s">
        <v>1240</v>
      </c>
      <c r="M340" s="513">
        <v>0</v>
      </c>
      <c r="N340" s="516">
        <v>1</v>
      </c>
      <c r="O340" s="518" t="s">
        <v>1240</v>
      </c>
      <c r="P340" s="13" t="s">
        <v>1236</v>
      </c>
    </row>
    <row r="341" spans="8:16">
      <c r="H341" s="516">
        <v>0</v>
      </c>
      <c r="I341" s="516">
        <v>0.99999999999999989</v>
      </c>
      <c r="J341" s="517" t="s">
        <v>1240</v>
      </c>
      <c r="M341" s="513">
        <v>0</v>
      </c>
      <c r="N341" s="516">
        <v>1</v>
      </c>
      <c r="O341" s="518" t="s">
        <v>1240</v>
      </c>
      <c r="P341" s="13" t="s">
        <v>1236</v>
      </c>
    </row>
    <row r="342" spans="8:16">
      <c r="H342" s="516">
        <v>0</v>
      </c>
      <c r="I342" s="516">
        <v>0.99999999999999989</v>
      </c>
      <c r="J342" s="517" t="s">
        <v>1240</v>
      </c>
      <c r="M342" s="513">
        <v>0</v>
      </c>
      <c r="N342" s="516">
        <v>1</v>
      </c>
      <c r="O342" s="518" t="s">
        <v>1240</v>
      </c>
      <c r="P342" s="13" t="s">
        <v>1236</v>
      </c>
    </row>
    <row r="343" spans="8:16">
      <c r="H343" s="516">
        <v>0</v>
      </c>
      <c r="I343" s="516">
        <v>0.99999999999999989</v>
      </c>
      <c r="J343" s="517" t="s">
        <v>1240</v>
      </c>
      <c r="M343" s="513">
        <v>0</v>
      </c>
      <c r="N343" s="516">
        <v>1</v>
      </c>
      <c r="O343" s="518" t="s">
        <v>1240</v>
      </c>
      <c r="P343" s="13" t="s">
        <v>1236</v>
      </c>
    </row>
    <row r="344" spans="8:16">
      <c r="H344" s="516">
        <v>0</v>
      </c>
      <c r="I344" s="516">
        <v>0.99999999999999989</v>
      </c>
      <c r="J344" s="517" t="s">
        <v>1240</v>
      </c>
      <c r="M344" s="513">
        <v>0</v>
      </c>
      <c r="N344" s="516">
        <v>1</v>
      </c>
      <c r="O344" s="518" t="s">
        <v>1240</v>
      </c>
      <c r="P344" s="13" t="s">
        <v>1236</v>
      </c>
    </row>
    <row r="345" spans="8:16">
      <c r="H345" s="516">
        <v>0</v>
      </c>
      <c r="I345" s="516">
        <v>0.99999999999999989</v>
      </c>
      <c r="J345" s="517" t="s">
        <v>1240</v>
      </c>
      <c r="M345" s="513">
        <v>0</v>
      </c>
      <c r="N345" s="516">
        <v>1</v>
      </c>
      <c r="O345" s="518" t="s">
        <v>1240</v>
      </c>
      <c r="P345" s="13" t="s">
        <v>1236</v>
      </c>
    </row>
    <row r="346" spans="8:16">
      <c r="H346" s="516">
        <v>0</v>
      </c>
      <c r="I346" s="516">
        <v>0.99999999999999989</v>
      </c>
      <c r="J346" s="517" t="s">
        <v>1240</v>
      </c>
      <c r="M346" s="513">
        <v>0</v>
      </c>
      <c r="N346" s="516">
        <v>1</v>
      </c>
      <c r="O346" s="518" t="s">
        <v>1240</v>
      </c>
      <c r="P346" s="13" t="s">
        <v>1236</v>
      </c>
    </row>
    <row r="347" spans="8:16">
      <c r="H347" s="516">
        <v>0</v>
      </c>
      <c r="I347" s="516">
        <v>0.99999999999999989</v>
      </c>
      <c r="J347" s="517" t="s">
        <v>1240</v>
      </c>
      <c r="M347" s="513">
        <v>0</v>
      </c>
      <c r="N347" s="516">
        <v>1</v>
      </c>
      <c r="O347" s="518" t="s">
        <v>1240</v>
      </c>
      <c r="P347" s="13" t="s">
        <v>1236</v>
      </c>
    </row>
    <row r="348" spans="8:16">
      <c r="H348" s="516">
        <v>0</v>
      </c>
      <c r="I348" s="516">
        <v>0.99999999999999989</v>
      </c>
      <c r="J348" s="517" t="s">
        <v>1240</v>
      </c>
      <c r="M348" s="513">
        <v>0</v>
      </c>
      <c r="N348" s="516">
        <v>1</v>
      </c>
      <c r="O348" s="518" t="s">
        <v>1240</v>
      </c>
      <c r="P348" s="13" t="s">
        <v>1236</v>
      </c>
    </row>
    <row r="349" spans="8:16">
      <c r="H349" s="516">
        <v>0</v>
      </c>
      <c r="I349" s="516">
        <v>0.99999999999999989</v>
      </c>
      <c r="J349" s="517" t="s">
        <v>1240</v>
      </c>
      <c r="M349" s="513">
        <v>0</v>
      </c>
      <c r="N349" s="516">
        <v>1</v>
      </c>
      <c r="O349" s="518" t="s">
        <v>1240</v>
      </c>
      <c r="P349" s="13" t="s">
        <v>1236</v>
      </c>
    </row>
    <row r="350" spans="8:16">
      <c r="H350" s="516">
        <v>0</v>
      </c>
      <c r="I350" s="516">
        <v>0.99999999999999989</v>
      </c>
      <c r="J350" s="517" t="s">
        <v>1240</v>
      </c>
      <c r="M350" s="513">
        <v>0</v>
      </c>
      <c r="N350" s="516">
        <v>1</v>
      </c>
      <c r="O350" s="518" t="s">
        <v>1240</v>
      </c>
      <c r="P350" s="13" t="s">
        <v>1236</v>
      </c>
    </row>
    <row r="351" spans="8:16">
      <c r="H351" s="516">
        <v>0</v>
      </c>
      <c r="I351" s="516">
        <v>0.99999999999999989</v>
      </c>
      <c r="J351" s="517" t="s">
        <v>1240</v>
      </c>
      <c r="M351" s="513">
        <v>0</v>
      </c>
      <c r="N351" s="516">
        <v>1</v>
      </c>
      <c r="O351" s="518" t="s">
        <v>1240</v>
      </c>
      <c r="P351" s="13" t="s">
        <v>1236</v>
      </c>
    </row>
    <row r="352" spans="8:16">
      <c r="H352" s="516">
        <v>0</v>
      </c>
      <c r="I352" s="516">
        <v>0.99999999999999989</v>
      </c>
      <c r="J352" s="517" t="s">
        <v>1240</v>
      </c>
      <c r="M352" s="513">
        <v>0</v>
      </c>
      <c r="N352" s="516">
        <v>1</v>
      </c>
      <c r="O352" s="518" t="s">
        <v>1240</v>
      </c>
      <c r="P352" s="13" t="s">
        <v>1236</v>
      </c>
    </row>
    <row r="353" spans="8:16">
      <c r="H353" s="516">
        <v>0</v>
      </c>
      <c r="I353" s="516">
        <v>0.99999999999999989</v>
      </c>
      <c r="J353" s="517" t="s">
        <v>1240</v>
      </c>
      <c r="M353" s="513">
        <v>0</v>
      </c>
      <c r="N353" s="516">
        <v>1</v>
      </c>
      <c r="O353" s="518" t="s">
        <v>1240</v>
      </c>
      <c r="P353" s="13" t="s">
        <v>1236</v>
      </c>
    </row>
    <row r="354" spans="8:16">
      <c r="H354" s="516">
        <v>0</v>
      </c>
      <c r="I354" s="516">
        <v>0.99999999999999989</v>
      </c>
      <c r="J354" s="517" t="s">
        <v>1240</v>
      </c>
      <c r="M354" s="513">
        <v>0</v>
      </c>
      <c r="N354" s="516">
        <v>1</v>
      </c>
      <c r="O354" s="518" t="s">
        <v>1240</v>
      </c>
      <c r="P354" s="13" t="s">
        <v>1236</v>
      </c>
    </row>
    <row r="355" spans="8:16">
      <c r="H355" s="516">
        <v>0</v>
      </c>
      <c r="I355" s="516">
        <v>0.99999999999999989</v>
      </c>
      <c r="J355" s="517" t="s">
        <v>1240</v>
      </c>
      <c r="M355" s="513">
        <v>0</v>
      </c>
      <c r="N355" s="516">
        <v>1</v>
      </c>
      <c r="O355" s="518" t="s">
        <v>1240</v>
      </c>
      <c r="P355" s="13" t="s">
        <v>1236</v>
      </c>
    </row>
    <row r="356" spans="8:16">
      <c r="H356" s="516">
        <v>0</v>
      </c>
      <c r="I356" s="516">
        <v>0.99999999999999989</v>
      </c>
      <c r="J356" s="517" t="s">
        <v>1240</v>
      </c>
      <c r="M356" s="513">
        <v>0</v>
      </c>
      <c r="N356" s="516">
        <v>1</v>
      </c>
      <c r="O356" s="518" t="s">
        <v>1240</v>
      </c>
      <c r="P356" s="13" t="s">
        <v>1236</v>
      </c>
    </row>
    <row r="357" spans="8:16">
      <c r="H357" s="516">
        <v>0</v>
      </c>
      <c r="I357" s="516">
        <v>0.99999999999999989</v>
      </c>
      <c r="J357" s="517" t="s">
        <v>1240</v>
      </c>
      <c r="M357" s="513">
        <v>0</v>
      </c>
      <c r="N357" s="516">
        <v>1</v>
      </c>
      <c r="O357" s="518" t="s">
        <v>1240</v>
      </c>
      <c r="P357" s="13" t="s">
        <v>1236</v>
      </c>
    </row>
    <row r="358" spans="8:16">
      <c r="H358" s="516">
        <v>0</v>
      </c>
      <c r="I358" s="516">
        <v>0.99999999999999989</v>
      </c>
      <c r="J358" s="517" t="s">
        <v>1240</v>
      </c>
      <c r="M358" s="513">
        <v>0</v>
      </c>
      <c r="N358" s="516">
        <v>1</v>
      </c>
      <c r="O358" s="518" t="s">
        <v>1240</v>
      </c>
      <c r="P358" s="13" t="s">
        <v>1236</v>
      </c>
    </row>
    <row r="359" spans="8:16">
      <c r="H359" s="516">
        <v>0</v>
      </c>
      <c r="I359" s="516">
        <v>0.99999999999999989</v>
      </c>
      <c r="J359" s="517" t="s">
        <v>1240</v>
      </c>
      <c r="M359" s="513">
        <v>0</v>
      </c>
      <c r="N359" s="516">
        <v>1</v>
      </c>
      <c r="O359" s="518" t="s">
        <v>1240</v>
      </c>
      <c r="P359" s="13" t="s">
        <v>1236</v>
      </c>
    </row>
    <row r="360" spans="8:16">
      <c r="H360" s="516">
        <v>0</v>
      </c>
      <c r="I360" s="516">
        <v>0.99999999999999989</v>
      </c>
      <c r="J360" s="517" t="s">
        <v>1240</v>
      </c>
      <c r="M360" s="513">
        <v>0</v>
      </c>
      <c r="N360" s="516">
        <v>1</v>
      </c>
      <c r="O360" s="518" t="s">
        <v>1240</v>
      </c>
      <c r="P360" s="13" t="s">
        <v>1236</v>
      </c>
    </row>
    <row r="361" spans="8:16">
      <c r="H361" s="516">
        <v>0</v>
      </c>
      <c r="I361" s="516">
        <v>0.99999999999999989</v>
      </c>
      <c r="J361" s="517" t="s">
        <v>1240</v>
      </c>
      <c r="M361" s="513">
        <v>0</v>
      </c>
      <c r="N361" s="516">
        <v>1</v>
      </c>
      <c r="O361" s="518" t="s">
        <v>1240</v>
      </c>
      <c r="P361" s="13" t="s">
        <v>1236</v>
      </c>
    </row>
    <row r="362" spans="8:16">
      <c r="H362" s="516">
        <v>0</v>
      </c>
      <c r="I362" s="516">
        <v>0.99999999999999989</v>
      </c>
      <c r="J362" s="517" t="s">
        <v>1240</v>
      </c>
      <c r="M362" s="513">
        <v>0</v>
      </c>
      <c r="N362" s="516">
        <v>1</v>
      </c>
      <c r="O362" s="518" t="s">
        <v>1240</v>
      </c>
      <c r="P362" s="13" t="s">
        <v>1236</v>
      </c>
    </row>
    <row r="363" spans="8:16">
      <c r="H363" s="516">
        <v>0</v>
      </c>
      <c r="I363" s="516">
        <v>0.99999999999999989</v>
      </c>
      <c r="J363" s="517" t="s">
        <v>1240</v>
      </c>
      <c r="M363" s="513">
        <v>0</v>
      </c>
      <c r="N363" s="516">
        <v>1</v>
      </c>
      <c r="O363" s="518" t="s">
        <v>1240</v>
      </c>
      <c r="P363" s="13" t="s">
        <v>1236</v>
      </c>
    </row>
    <row r="364" spans="8:16">
      <c r="H364" s="516">
        <v>0</v>
      </c>
      <c r="I364" s="516">
        <v>0.99999999999999989</v>
      </c>
      <c r="J364" s="517" t="s">
        <v>1240</v>
      </c>
      <c r="M364" s="513">
        <v>0</v>
      </c>
      <c r="N364" s="516">
        <v>1</v>
      </c>
      <c r="O364" s="518" t="s">
        <v>1240</v>
      </c>
      <c r="P364" s="13" t="s">
        <v>1236</v>
      </c>
    </row>
    <row r="365" spans="8:16">
      <c r="H365" s="516">
        <v>0</v>
      </c>
      <c r="I365" s="516">
        <v>0.99999999999999989</v>
      </c>
      <c r="J365" s="517" t="s">
        <v>1240</v>
      </c>
      <c r="M365" s="513">
        <v>0</v>
      </c>
      <c r="N365" s="516">
        <v>1</v>
      </c>
      <c r="O365" s="518" t="s">
        <v>1240</v>
      </c>
      <c r="P365" s="13" t="s">
        <v>1236</v>
      </c>
    </row>
    <row r="366" spans="8:16">
      <c r="H366" s="516">
        <v>0</v>
      </c>
      <c r="I366" s="516">
        <v>0.99999999999999989</v>
      </c>
      <c r="J366" s="517" t="s">
        <v>1240</v>
      </c>
      <c r="M366" s="513">
        <v>0</v>
      </c>
      <c r="N366" s="516">
        <v>1</v>
      </c>
      <c r="O366" s="518" t="s">
        <v>1240</v>
      </c>
      <c r="P366" s="13" t="s">
        <v>1236</v>
      </c>
    </row>
    <row r="367" spans="8:16">
      <c r="H367" s="516">
        <v>0</v>
      </c>
      <c r="I367" s="516">
        <v>0.99999999999999989</v>
      </c>
      <c r="J367" s="517" t="s">
        <v>1240</v>
      </c>
      <c r="M367" s="513">
        <v>0</v>
      </c>
      <c r="N367" s="516">
        <v>1</v>
      </c>
      <c r="O367" s="518" t="s">
        <v>1240</v>
      </c>
      <c r="P367" s="13" t="s">
        <v>1236</v>
      </c>
    </row>
    <row r="368" spans="8:16">
      <c r="H368" s="516">
        <v>0</v>
      </c>
      <c r="I368" s="516">
        <v>0.99999999999999989</v>
      </c>
      <c r="J368" s="517" t="s">
        <v>1240</v>
      </c>
      <c r="M368" s="513">
        <v>0</v>
      </c>
      <c r="N368" s="516">
        <v>1</v>
      </c>
      <c r="O368" s="518" t="s">
        <v>1240</v>
      </c>
      <c r="P368" s="13" t="s">
        <v>1236</v>
      </c>
    </row>
    <row r="369" spans="8:16">
      <c r="H369" s="516">
        <v>0</v>
      </c>
      <c r="I369" s="516">
        <v>0.99999999999999989</v>
      </c>
      <c r="J369" s="517" t="s">
        <v>1240</v>
      </c>
      <c r="M369" s="513">
        <v>0</v>
      </c>
      <c r="N369" s="516">
        <v>1</v>
      </c>
      <c r="O369" s="518" t="s">
        <v>1240</v>
      </c>
      <c r="P369" s="13" t="s">
        <v>1236</v>
      </c>
    </row>
    <row r="370" spans="8:16">
      <c r="H370" s="516">
        <v>0</v>
      </c>
      <c r="I370" s="516">
        <v>0.99999999999999989</v>
      </c>
      <c r="J370" s="517" t="s">
        <v>1240</v>
      </c>
      <c r="M370" s="513">
        <v>0</v>
      </c>
      <c r="N370" s="516">
        <v>1</v>
      </c>
      <c r="O370" s="518" t="s">
        <v>1240</v>
      </c>
      <c r="P370" s="13" t="s">
        <v>1236</v>
      </c>
    </row>
    <row r="371" spans="8:16">
      <c r="H371" s="516">
        <v>0</v>
      </c>
      <c r="I371" s="516">
        <v>0.99999999999999989</v>
      </c>
      <c r="J371" s="517" t="s">
        <v>1240</v>
      </c>
      <c r="M371" s="513">
        <v>0</v>
      </c>
      <c r="N371" s="516">
        <v>1</v>
      </c>
      <c r="O371" s="518" t="s">
        <v>1240</v>
      </c>
      <c r="P371" s="13" t="s">
        <v>1236</v>
      </c>
    </row>
    <row r="372" spans="8:16">
      <c r="H372" s="516">
        <v>0</v>
      </c>
      <c r="I372" s="516">
        <v>0.99999999999999989</v>
      </c>
      <c r="J372" s="517" t="s">
        <v>1240</v>
      </c>
      <c r="M372" s="513">
        <v>0</v>
      </c>
      <c r="N372" s="516">
        <v>1</v>
      </c>
      <c r="O372" s="518" t="s">
        <v>1240</v>
      </c>
      <c r="P372" s="13" t="s">
        <v>1236</v>
      </c>
    </row>
    <row r="373" spans="8:16">
      <c r="H373" s="516">
        <v>0</v>
      </c>
      <c r="I373" s="516">
        <v>0.99999999999999989</v>
      </c>
      <c r="J373" s="517" t="s">
        <v>1240</v>
      </c>
      <c r="M373" s="513">
        <v>0</v>
      </c>
      <c r="N373" s="516">
        <v>1</v>
      </c>
      <c r="O373" s="518" t="s">
        <v>1240</v>
      </c>
      <c r="P373" s="13" t="s">
        <v>1236</v>
      </c>
    </row>
    <row r="374" spans="8:16">
      <c r="H374" s="516">
        <v>0</v>
      </c>
      <c r="I374" s="516">
        <v>0.99999999999999989</v>
      </c>
      <c r="J374" s="517" t="s">
        <v>1240</v>
      </c>
      <c r="M374" s="513">
        <v>0</v>
      </c>
      <c r="N374" s="516">
        <v>1</v>
      </c>
      <c r="O374" s="518" t="s">
        <v>1240</v>
      </c>
      <c r="P374" s="13" t="s">
        <v>1236</v>
      </c>
    </row>
    <row r="375" spans="8:16">
      <c r="H375" s="516">
        <v>0</v>
      </c>
      <c r="I375" s="516">
        <v>0.99999999999999989</v>
      </c>
      <c r="J375" s="517" t="s">
        <v>1240</v>
      </c>
      <c r="M375" s="513">
        <v>0</v>
      </c>
      <c r="N375" s="516">
        <v>1</v>
      </c>
      <c r="O375" s="518" t="s">
        <v>1240</v>
      </c>
      <c r="P375" s="13" t="s">
        <v>1236</v>
      </c>
    </row>
    <row r="376" spans="8:16">
      <c r="H376" s="516">
        <v>0</v>
      </c>
      <c r="I376" s="516">
        <v>0.99999999999999989</v>
      </c>
      <c r="J376" s="517" t="s">
        <v>1240</v>
      </c>
      <c r="M376" s="513">
        <v>0</v>
      </c>
      <c r="N376" s="516">
        <v>1</v>
      </c>
      <c r="O376" s="518" t="s">
        <v>1240</v>
      </c>
      <c r="P376" s="13" t="s">
        <v>1236</v>
      </c>
    </row>
    <row r="377" spans="8:16">
      <c r="H377" s="516">
        <v>0</v>
      </c>
      <c r="I377" s="516">
        <v>0.99999999999999989</v>
      </c>
      <c r="J377" s="517" t="s">
        <v>1240</v>
      </c>
      <c r="M377" s="513">
        <v>0</v>
      </c>
      <c r="N377" s="516">
        <v>1</v>
      </c>
      <c r="O377" s="518" t="s">
        <v>1240</v>
      </c>
      <c r="P377" s="13" t="s">
        <v>1236</v>
      </c>
    </row>
    <row r="378" spans="8:16">
      <c r="H378" s="516">
        <v>0</v>
      </c>
      <c r="I378" s="516">
        <v>0.99999999999999989</v>
      </c>
      <c r="J378" s="517" t="s">
        <v>1240</v>
      </c>
      <c r="M378" s="513">
        <v>0</v>
      </c>
      <c r="N378" s="516">
        <v>1</v>
      </c>
      <c r="O378" s="518" t="s">
        <v>1240</v>
      </c>
      <c r="P378" s="13" t="s">
        <v>1236</v>
      </c>
    </row>
    <row r="379" spans="8:16">
      <c r="H379" s="516">
        <v>0</v>
      </c>
      <c r="I379" s="516">
        <v>0.99999999999999989</v>
      </c>
      <c r="J379" s="517" t="s">
        <v>1240</v>
      </c>
      <c r="M379" s="513">
        <v>0</v>
      </c>
      <c r="N379" s="516">
        <v>1</v>
      </c>
      <c r="O379" s="518" t="s">
        <v>1240</v>
      </c>
      <c r="P379" s="13" t="s">
        <v>1236</v>
      </c>
    </row>
    <row r="380" spans="8:16">
      <c r="H380" s="516">
        <v>0</v>
      </c>
      <c r="I380" s="516">
        <v>0.99999999999999989</v>
      </c>
      <c r="J380" s="517" t="s">
        <v>1240</v>
      </c>
      <c r="M380" s="513">
        <v>0</v>
      </c>
      <c r="N380" s="516">
        <v>1</v>
      </c>
      <c r="O380" s="518" t="s">
        <v>1240</v>
      </c>
      <c r="P380" s="13" t="s">
        <v>1236</v>
      </c>
    </row>
    <row r="381" spans="8:16">
      <c r="H381" s="516">
        <v>0</v>
      </c>
      <c r="I381" s="516">
        <v>0.99999999999999989</v>
      </c>
      <c r="J381" s="517" t="s">
        <v>1240</v>
      </c>
      <c r="M381" s="513">
        <v>0</v>
      </c>
      <c r="N381" s="516">
        <v>1</v>
      </c>
      <c r="O381" s="518" t="s">
        <v>1240</v>
      </c>
      <c r="P381" s="13" t="s">
        <v>1236</v>
      </c>
    </row>
    <row r="382" spans="8:16">
      <c r="H382" s="516">
        <v>0</v>
      </c>
      <c r="I382" s="516">
        <v>0.99999999999999989</v>
      </c>
      <c r="J382" s="517" t="s">
        <v>1240</v>
      </c>
      <c r="M382" s="513">
        <v>0</v>
      </c>
      <c r="N382" s="516">
        <v>1</v>
      </c>
      <c r="O382" s="518" t="s">
        <v>1240</v>
      </c>
      <c r="P382" s="13" t="s">
        <v>1236</v>
      </c>
    </row>
    <row r="383" spans="8:16">
      <c r="H383" s="516">
        <v>0</v>
      </c>
      <c r="I383" s="516">
        <v>0.99999999999999989</v>
      </c>
      <c r="J383" s="517" t="s">
        <v>1240</v>
      </c>
      <c r="M383" s="513">
        <v>0</v>
      </c>
      <c r="N383" s="516">
        <v>1</v>
      </c>
      <c r="O383" s="518" t="s">
        <v>1240</v>
      </c>
      <c r="P383" s="13" t="s">
        <v>1236</v>
      </c>
    </row>
    <row r="384" spans="8:16">
      <c r="H384" s="516">
        <v>0</v>
      </c>
      <c r="I384" s="516">
        <v>0.99999999999999989</v>
      </c>
      <c r="J384" s="517" t="s">
        <v>1240</v>
      </c>
      <c r="M384" s="513">
        <v>0</v>
      </c>
      <c r="N384" s="516">
        <v>1</v>
      </c>
      <c r="O384" s="518" t="s">
        <v>1240</v>
      </c>
      <c r="P384" s="13" t="s">
        <v>1236</v>
      </c>
    </row>
    <row r="385" spans="8:16">
      <c r="H385" s="516">
        <v>0</v>
      </c>
      <c r="I385" s="516">
        <v>0.99999999999999989</v>
      </c>
      <c r="J385" s="517" t="s">
        <v>1240</v>
      </c>
      <c r="M385" s="513">
        <v>0</v>
      </c>
      <c r="N385" s="516">
        <v>1</v>
      </c>
      <c r="O385" s="518" t="s">
        <v>1240</v>
      </c>
      <c r="P385" s="13" t="s">
        <v>1236</v>
      </c>
    </row>
    <row r="386" spans="8:16">
      <c r="H386" s="516">
        <v>0</v>
      </c>
      <c r="I386" s="516">
        <v>0.99999999999999989</v>
      </c>
      <c r="J386" s="517" t="s">
        <v>1240</v>
      </c>
      <c r="M386" s="513">
        <v>0</v>
      </c>
      <c r="N386" s="516">
        <v>1</v>
      </c>
      <c r="O386" s="518" t="s">
        <v>1240</v>
      </c>
      <c r="P386" s="13" t="s">
        <v>1236</v>
      </c>
    </row>
    <row r="387" spans="8:16">
      <c r="H387" s="516">
        <v>0</v>
      </c>
      <c r="I387" s="516">
        <v>0.99999999999999989</v>
      </c>
      <c r="J387" s="517" t="s">
        <v>1240</v>
      </c>
      <c r="M387" s="513">
        <v>0</v>
      </c>
      <c r="N387" s="516">
        <v>1</v>
      </c>
      <c r="O387" s="518" t="s">
        <v>1240</v>
      </c>
      <c r="P387" s="13" t="s">
        <v>1236</v>
      </c>
    </row>
    <row r="388" spans="8:16">
      <c r="H388" s="516">
        <v>0</v>
      </c>
      <c r="I388" s="516">
        <v>0.99999999999999989</v>
      </c>
      <c r="J388" s="517" t="s">
        <v>1240</v>
      </c>
      <c r="M388" s="513">
        <v>0</v>
      </c>
      <c r="N388" s="516">
        <v>1</v>
      </c>
      <c r="O388" s="518" t="s">
        <v>1240</v>
      </c>
      <c r="P388" s="13" t="s">
        <v>1236</v>
      </c>
    </row>
    <row r="389" spans="8:16">
      <c r="H389" s="516">
        <v>0</v>
      </c>
      <c r="I389" s="516">
        <v>0.99999999999999989</v>
      </c>
      <c r="J389" s="517" t="s">
        <v>1240</v>
      </c>
      <c r="M389" s="513">
        <v>0</v>
      </c>
      <c r="N389" s="516">
        <v>1</v>
      </c>
      <c r="O389" s="518" t="s">
        <v>1240</v>
      </c>
      <c r="P389" s="13" t="s">
        <v>1236</v>
      </c>
    </row>
    <row r="390" spans="8:16">
      <c r="H390" s="516">
        <v>0</v>
      </c>
      <c r="I390" s="516">
        <v>0.99999999999999989</v>
      </c>
      <c r="J390" s="517" t="s">
        <v>1240</v>
      </c>
      <c r="M390" s="513">
        <v>0</v>
      </c>
      <c r="N390" s="516">
        <v>1</v>
      </c>
      <c r="O390" s="518" t="s">
        <v>1240</v>
      </c>
      <c r="P390" s="13" t="s">
        <v>1236</v>
      </c>
    </row>
    <row r="391" spans="8:16">
      <c r="H391" s="516">
        <v>0</v>
      </c>
      <c r="I391" s="516">
        <v>0.99999999999999989</v>
      </c>
      <c r="J391" s="517" t="s">
        <v>1240</v>
      </c>
      <c r="M391" s="513">
        <v>0</v>
      </c>
      <c r="N391" s="516">
        <v>1</v>
      </c>
      <c r="O391" s="518" t="s">
        <v>1240</v>
      </c>
      <c r="P391" s="13" t="s">
        <v>1236</v>
      </c>
    </row>
    <row r="392" spans="8:16">
      <c r="H392" s="516">
        <v>0</v>
      </c>
      <c r="I392" s="516">
        <v>0.99999999999999989</v>
      </c>
      <c r="J392" s="517" t="s">
        <v>1240</v>
      </c>
      <c r="M392" s="513">
        <v>0</v>
      </c>
      <c r="N392" s="516">
        <v>1</v>
      </c>
      <c r="O392" s="518" t="s">
        <v>1240</v>
      </c>
      <c r="P392" s="13" t="s">
        <v>1236</v>
      </c>
    </row>
    <row r="393" spans="8:16">
      <c r="H393" s="516">
        <v>0</v>
      </c>
      <c r="I393" s="516">
        <v>0.99999999999999989</v>
      </c>
      <c r="J393" s="517" t="s">
        <v>1240</v>
      </c>
      <c r="M393" s="513">
        <v>0</v>
      </c>
      <c r="N393" s="516">
        <v>1</v>
      </c>
      <c r="O393" s="518" t="s">
        <v>1240</v>
      </c>
      <c r="P393" s="13" t="s">
        <v>1236</v>
      </c>
    </row>
    <row r="394" spans="8:16">
      <c r="H394" s="516">
        <v>0</v>
      </c>
      <c r="I394" s="516">
        <v>0.99999999999999989</v>
      </c>
      <c r="J394" s="517" t="s">
        <v>1240</v>
      </c>
      <c r="M394" s="513">
        <v>0</v>
      </c>
      <c r="N394" s="516">
        <v>1</v>
      </c>
      <c r="O394" s="518" t="s">
        <v>1240</v>
      </c>
      <c r="P394" s="13" t="s">
        <v>1236</v>
      </c>
    </row>
    <row r="395" spans="8:16">
      <c r="H395" s="516">
        <v>0</v>
      </c>
      <c r="I395" s="516">
        <v>0.99999999999999989</v>
      </c>
      <c r="J395" s="517" t="s">
        <v>1240</v>
      </c>
      <c r="M395" s="513">
        <v>0</v>
      </c>
      <c r="N395" s="516">
        <v>1</v>
      </c>
      <c r="O395" s="518" t="s">
        <v>1240</v>
      </c>
      <c r="P395" s="13" t="s">
        <v>1236</v>
      </c>
    </row>
    <row r="396" spans="8:16">
      <c r="H396" s="516">
        <v>0</v>
      </c>
      <c r="I396" s="516">
        <v>0.99999999999999989</v>
      </c>
      <c r="J396" s="517" t="s">
        <v>1240</v>
      </c>
      <c r="M396" s="513">
        <v>0</v>
      </c>
      <c r="N396" s="516">
        <v>1</v>
      </c>
      <c r="O396" s="518" t="s">
        <v>1240</v>
      </c>
      <c r="P396" s="13" t="s">
        <v>1236</v>
      </c>
    </row>
    <row r="397" spans="8:16">
      <c r="H397" s="516">
        <v>0</v>
      </c>
      <c r="I397" s="516">
        <v>0.99999999999999989</v>
      </c>
      <c r="J397" s="517" t="s">
        <v>1240</v>
      </c>
      <c r="M397" s="513">
        <v>0</v>
      </c>
      <c r="N397" s="516">
        <v>1</v>
      </c>
      <c r="O397" s="518" t="s">
        <v>1240</v>
      </c>
      <c r="P397" s="13" t="s">
        <v>1236</v>
      </c>
    </row>
    <row r="398" spans="8:16">
      <c r="H398" s="516">
        <v>0</v>
      </c>
      <c r="I398" s="516">
        <v>0.99999999999999989</v>
      </c>
      <c r="J398" s="517" t="s">
        <v>1240</v>
      </c>
      <c r="M398" s="513">
        <v>0</v>
      </c>
      <c r="N398" s="516">
        <v>1</v>
      </c>
      <c r="O398" s="518" t="s">
        <v>1240</v>
      </c>
      <c r="P398" s="13" t="s">
        <v>1236</v>
      </c>
    </row>
    <row r="399" spans="8:16">
      <c r="H399" s="516">
        <v>0</v>
      </c>
      <c r="I399" s="516">
        <v>0.99999999999999989</v>
      </c>
      <c r="J399" s="517" t="s">
        <v>1240</v>
      </c>
      <c r="M399" s="513">
        <v>0</v>
      </c>
      <c r="N399" s="516">
        <v>1</v>
      </c>
      <c r="O399" s="518" t="s">
        <v>1240</v>
      </c>
      <c r="P399" s="13" t="s">
        <v>1236</v>
      </c>
    </row>
    <row r="400" spans="8:16">
      <c r="H400" s="516">
        <v>0</v>
      </c>
      <c r="I400" s="516">
        <v>0.99999999999999989</v>
      </c>
      <c r="J400" s="517" t="s">
        <v>1240</v>
      </c>
      <c r="M400" s="513">
        <v>0</v>
      </c>
      <c r="N400" s="516">
        <v>1</v>
      </c>
      <c r="O400" s="518" t="s">
        <v>1240</v>
      </c>
      <c r="P400" s="13" t="s">
        <v>1236</v>
      </c>
    </row>
    <row r="401" spans="8:16">
      <c r="H401" s="516">
        <v>0</v>
      </c>
      <c r="I401" s="516">
        <v>0.99999999999999989</v>
      </c>
      <c r="J401" s="517" t="s">
        <v>1240</v>
      </c>
      <c r="M401" s="513">
        <v>0</v>
      </c>
      <c r="N401" s="516">
        <v>1</v>
      </c>
      <c r="O401" s="518" t="s">
        <v>1240</v>
      </c>
      <c r="P401" s="13" t="s">
        <v>1236</v>
      </c>
    </row>
    <row r="402" spans="8:16">
      <c r="H402" s="516">
        <v>0</v>
      </c>
      <c r="I402" s="516">
        <v>0.99999999999999989</v>
      </c>
      <c r="J402" s="517" t="s">
        <v>1240</v>
      </c>
      <c r="M402" s="513">
        <v>0</v>
      </c>
      <c r="N402" s="516">
        <v>1</v>
      </c>
      <c r="O402" s="518" t="s">
        <v>1240</v>
      </c>
      <c r="P402" s="13" t="s">
        <v>1236</v>
      </c>
    </row>
    <row r="403" spans="8:16">
      <c r="H403" s="516">
        <v>0</v>
      </c>
      <c r="I403" s="516">
        <v>0.99999999999999989</v>
      </c>
      <c r="J403" s="517" t="s">
        <v>1240</v>
      </c>
      <c r="M403" s="513">
        <v>0</v>
      </c>
      <c r="N403" s="516">
        <v>1</v>
      </c>
      <c r="O403" s="518" t="s">
        <v>1240</v>
      </c>
      <c r="P403" s="13" t="s">
        <v>1236</v>
      </c>
    </row>
    <row r="404" spans="8:16">
      <c r="H404" s="516">
        <v>0</v>
      </c>
      <c r="I404" s="516">
        <v>0.99999999999999989</v>
      </c>
      <c r="J404" s="517" t="s">
        <v>1240</v>
      </c>
      <c r="M404" s="513">
        <v>0</v>
      </c>
      <c r="N404" s="516">
        <v>1</v>
      </c>
      <c r="O404" s="518" t="s">
        <v>1240</v>
      </c>
      <c r="P404" s="13" t="s">
        <v>1236</v>
      </c>
    </row>
    <row r="405" spans="8:16">
      <c r="H405" s="516">
        <v>0</v>
      </c>
      <c r="I405" s="516">
        <v>0.99999999999999989</v>
      </c>
      <c r="J405" s="517" t="s">
        <v>1240</v>
      </c>
      <c r="M405" s="513">
        <v>0</v>
      </c>
      <c r="N405" s="516">
        <v>1</v>
      </c>
      <c r="O405" s="518" t="s">
        <v>1240</v>
      </c>
      <c r="P405" s="13" t="s">
        <v>1236</v>
      </c>
    </row>
    <row r="406" spans="8:16">
      <c r="H406" s="516">
        <v>0</v>
      </c>
      <c r="I406" s="516">
        <v>0.99999999999999989</v>
      </c>
      <c r="J406" s="517" t="s">
        <v>1240</v>
      </c>
      <c r="M406" s="513">
        <v>0</v>
      </c>
      <c r="N406" s="516">
        <v>1</v>
      </c>
      <c r="O406" s="518" t="s">
        <v>1240</v>
      </c>
      <c r="P406" s="13" t="s">
        <v>1236</v>
      </c>
    </row>
    <row r="407" spans="8:16">
      <c r="H407" s="516">
        <v>0</v>
      </c>
      <c r="I407" s="516">
        <v>0.99999999999999989</v>
      </c>
      <c r="J407" s="517" t="s">
        <v>1240</v>
      </c>
      <c r="M407" s="513">
        <v>0</v>
      </c>
      <c r="N407" s="516">
        <v>1</v>
      </c>
      <c r="O407" s="518" t="s">
        <v>1240</v>
      </c>
      <c r="P407" s="13" t="s">
        <v>1236</v>
      </c>
    </row>
    <row r="408" spans="8:16">
      <c r="H408" s="516">
        <v>0</v>
      </c>
      <c r="I408" s="516">
        <v>0.99999999999999989</v>
      </c>
      <c r="J408" s="517" t="s">
        <v>1240</v>
      </c>
      <c r="M408" s="513">
        <v>0</v>
      </c>
      <c r="N408" s="516">
        <v>1</v>
      </c>
      <c r="O408" s="518" t="s">
        <v>1240</v>
      </c>
      <c r="P408" s="13" t="s">
        <v>1236</v>
      </c>
    </row>
    <row r="409" spans="8:16">
      <c r="H409" s="516">
        <v>0</v>
      </c>
      <c r="I409" s="516">
        <v>0.99999999999999989</v>
      </c>
      <c r="J409" s="517" t="s">
        <v>1240</v>
      </c>
      <c r="M409" s="513">
        <v>0</v>
      </c>
      <c r="N409" s="516">
        <v>1</v>
      </c>
      <c r="O409" s="518" t="s">
        <v>1240</v>
      </c>
      <c r="P409" s="13" t="s">
        <v>1236</v>
      </c>
    </row>
    <row r="410" spans="8:16">
      <c r="H410" s="516">
        <v>0</v>
      </c>
      <c r="I410" s="516">
        <v>0.99999999999999989</v>
      </c>
      <c r="J410" s="517" t="s">
        <v>1240</v>
      </c>
      <c r="M410" s="513">
        <v>0</v>
      </c>
      <c r="N410" s="516">
        <v>1</v>
      </c>
      <c r="O410" s="518" t="s">
        <v>1240</v>
      </c>
      <c r="P410" s="13" t="s">
        <v>1236</v>
      </c>
    </row>
    <row r="411" spans="8:16">
      <c r="H411" s="516">
        <v>0</v>
      </c>
      <c r="I411" s="516">
        <v>0.99999999999999989</v>
      </c>
      <c r="J411" s="517" t="s">
        <v>1240</v>
      </c>
      <c r="M411" s="513">
        <v>0</v>
      </c>
      <c r="N411" s="516">
        <v>1</v>
      </c>
      <c r="O411" s="518" t="s">
        <v>1240</v>
      </c>
      <c r="P411" s="13" t="s">
        <v>1236</v>
      </c>
    </row>
    <row r="412" spans="8:16">
      <c r="H412" s="516">
        <v>0</v>
      </c>
      <c r="I412" s="516">
        <v>0.99999999999999989</v>
      </c>
      <c r="J412" s="517" t="s">
        <v>1240</v>
      </c>
      <c r="M412" s="513">
        <v>0</v>
      </c>
      <c r="N412" s="516">
        <v>1</v>
      </c>
      <c r="O412" s="518" t="s">
        <v>1240</v>
      </c>
      <c r="P412" s="13" t="s">
        <v>1236</v>
      </c>
    </row>
    <row r="413" spans="8:16">
      <c r="H413" s="516">
        <v>0</v>
      </c>
      <c r="I413" s="516">
        <v>0.99999999999999989</v>
      </c>
      <c r="J413" s="517" t="s">
        <v>1240</v>
      </c>
      <c r="M413" s="513">
        <v>0</v>
      </c>
      <c r="N413" s="516">
        <v>1</v>
      </c>
      <c r="O413" s="518" t="s">
        <v>1240</v>
      </c>
      <c r="P413" s="13" t="s">
        <v>1236</v>
      </c>
    </row>
    <row r="414" spans="8:16">
      <c r="H414" s="516">
        <v>0</v>
      </c>
      <c r="I414" s="516">
        <v>0.99999999999999989</v>
      </c>
      <c r="J414" s="517" t="s">
        <v>1240</v>
      </c>
      <c r="M414" s="513">
        <v>0</v>
      </c>
      <c r="N414" s="516">
        <v>1</v>
      </c>
      <c r="O414" s="518" t="s">
        <v>1240</v>
      </c>
      <c r="P414" s="13" t="s">
        <v>1236</v>
      </c>
    </row>
    <row r="415" spans="8:16">
      <c r="H415" s="516">
        <v>0</v>
      </c>
      <c r="I415" s="516">
        <v>0.99999999999999989</v>
      </c>
      <c r="J415" s="517" t="s">
        <v>1240</v>
      </c>
      <c r="M415" s="513">
        <v>0</v>
      </c>
      <c r="N415" s="516">
        <v>1</v>
      </c>
      <c r="O415" s="518" t="s">
        <v>1240</v>
      </c>
      <c r="P415" s="13" t="s">
        <v>1236</v>
      </c>
    </row>
    <row r="416" spans="8:16">
      <c r="H416" s="516">
        <v>0</v>
      </c>
      <c r="I416" s="516">
        <v>0.99999999999999989</v>
      </c>
      <c r="J416" s="517" t="s">
        <v>1240</v>
      </c>
      <c r="M416" s="513">
        <v>0</v>
      </c>
      <c r="N416" s="516">
        <v>1</v>
      </c>
      <c r="O416" s="518" t="s">
        <v>1240</v>
      </c>
      <c r="P416" s="13" t="s">
        <v>1236</v>
      </c>
    </row>
    <row r="417" spans="8:16">
      <c r="H417" s="516">
        <v>0</v>
      </c>
      <c r="I417" s="516">
        <v>0.99999999999999989</v>
      </c>
      <c r="J417" s="517" t="s">
        <v>1240</v>
      </c>
      <c r="M417" s="513">
        <v>0</v>
      </c>
      <c r="N417" s="516">
        <v>1</v>
      </c>
      <c r="O417" s="518" t="s">
        <v>1240</v>
      </c>
      <c r="P417" s="13" t="s">
        <v>1236</v>
      </c>
    </row>
    <row r="418" spans="8:16">
      <c r="H418" s="516">
        <v>0</v>
      </c>
      <c r="I418" s="516">
        <v>0.99999999999999989</v>
      </c>
      <c r="J418" s="517" t="s">
        <v>1240</v>
      </c>
      <c r="M418" s="513">
        <v>0</v>
      </c>
      <c r="N418" s="516">
        <v>1</v>
      </c>
      <c r="O418" s="518" t="s">
        <v>1240</v>
      </c>
      <c r="P418" s="13" t="s">
        <v>1236</v>
      </c>
    </row>
    <row r="419" spans="8:16">
      <c r="H419" s="516">
        <v>0</v>
      </c>
      <c r="I419" s="516">
        <v>0.99999999999999989</v>
      </c>
      <c r="J419" s="517" t="s">
        <v>1240</v>
      </c>
      <c r="M419" s="513">
        <v>0</v>
      </c>
      <c r="N419" s="516">
        <v>1</v>
      </c>
      <c r="O419" s="518" t="s">
        <v>1240</v>
      </c>
      <c r="P419" s="13" t="s">
        <v>1236</v>
      </c>
    </row>
    <row r="420" spans="8:16">
      <c r="H420" s="516">
        <v>0</v>
      </c>
      <c r="I420" s="516">
        <v>0.99999999999999989</v>
      </c>
      <c r="J420" s="517" t="s">
        <v>1240</v>
      </c>
      <c r="M420" s="513">
        <v>0</v>
      </c>
      <c r="N420" s="516">
        <v>1</v>
      </c>
      <c r="O420" s="518" t="s">
        <v>1240</v>
      </c>
      <c r="P420" s="13" t="s">
        <v>1236</v>
      </c>
    </row>
    <row r="421" spans="8:16">
      <c r="H421" s="516">
        <v>0</v>
      </c>
      <c r="I421" s="516">
        <v>0.99999999999999989</v>
      </c>
      <c r="J421" s="517" t="s">
        <v>1240</v>
      </c>
      <c r="M421" s="513">
        <v>0</v>
      </c>
      <c r="N421" s="516">
        <v>1</v>
      </c>
      <c r="O421" s="518" t="s">
        <v>1240</v>
      </c>
      <c r="P421" s="13" t="s">
        <v>1236</v>
      </c>
    </row>
    <row r="422" spans="8:16">
      <c r="H422" s="516">
        <v>0</v>
      </c>
      <c r="I422" s="516">
        <v>0.99999999999999989</v>
      </c>
      <c r="J422" s="517" t="s">
        <v>1240</v>
      </c>
      <c r="M422" s="513">
        <v>0</v>
      </c>
      <c r="N422" s="516">
        <v>1</v>
      </c>
      <c r="O422" s="518" t="s">
        <v>1240</v>
      </c>
      <c r="P422" s="13" t="s">
        <v>1236</v>
      </c>
    </row>
    <row r="423" spans="8:16">
      <c r="H423" s="516">
        <v>0</v>
      </c>
      <c r="I423" s="516">
        <v>0.99999999999999989</v>
      </c>
      <c r="J423" s="517" t="s">
        <v>1240</v>
      </c>
      <c r="M423" s="513">
        <v>0</v>
      </c>
      <c r="N423" s="516">
        <v>1</v>
      </c>
      <c r="O423" s="518" t="s">
        <v>1240</v>
      </c>
      <c r="P423" s="13" t="s">
        <v>1236</v>
      </c>
    </row>
    <row r="424" spans="8:16">
      <c r="H424" s="516">
        <v>0</v>
      </c>
      <c r="I424" s="516">
        <v>0.99999999999999989</v>
      </c>
      <c r="J424" s="517" t="s">
        <v>1240</v>
      </c>
      <c r="M424" s="513">
        <v>0</v>
      </c>
      <c r="N424" s="516">
        <v>1</v>
      </c>
      <c r="O424" s="518" t="s">
        <v>1240</v>
      </c>
      <c r="P424" s="13" t="s">
        <v>1236</v>
      </c>
    </row>
    <row r="425" spans="8:16">
      <c r="H425" s="516">
        <v>0</v>
      </c>
      <c r="I425" s="516">
        <v>0.99999999999999989</v>
      </c>
      <c r="J425" s="517" t="s">
        <v>1240</v>
      </c>
      <c r="M425" s="513">
        <v>0</v>
      </c>
      <c r="N425" s="516">
        <v>1</v>
      </c>
      <c r="O425" s="518" t="s">
        <v>1240</v>
      </c>
      <c r="P425" s="13" t="s">
        <v>1236</v>
      </c>
    </row>
    <row r="426" spans="8:16">
      <c r="H426" s="516">
        <v>0</v>
      </c>
      <c r="I426" s="516">
        <v>0.99999999999999989</v>
      </c>
      <c r="J426" s="517" t="s">
        <v>1240</v>
      </c>
      <c r="M426" s="513">
        <v>0</v>
      </c>
      <c r="N426" s="516">
        <v>1</v>
      </c>
      <c r="O426" s="518" t="s">
        <v>1240</v>
      </c>
      <c r="P426" s="13" t="s">
        <v>1236</v>
      </c>
    </row>
    <row r="427" spans="8:16">
      <c r="H427" s="516">
        <v>0</v>
      </c>
      <c r="I427" s="516">
        <v>0.99999999999999989</v>
      </c>
      <c r="J427" s="517" t="s">
        <v>1240</v>
      </c>
      <c r="M427" s="513">
        <v>0</v>
      </c>
      <c r="N427" s="516">
        <v>1</v>
      </c>
      <c r="O427" s="518" t="s">
        <v>1240</v>
      </c>
      <c r="P427" s="13" t="s">
        <v>1236</v>
      </c>
    </row>
    <row r="428" spans="8:16">
      <c r="H428" s="516">
        <v>0</v>
      </c>
      <c r="I428" s="516">
        <v>0.99999999999999989</v>
      </c>
      <c r="J428" s="517" t="s">
        <v>1240</v>
      </c>
      <c r="M428" s="513">
        <v>0</v>
      </c>
      <c r="N428" s="516">
        <v>1</v>
      </c>
      <c r="O428" s="518" t="s">
        <v>1240</v>
      </c>
      <c r="P428" s="13" t="s">
        <v>1236</v>
      </c>
    </row>
    <row r="429" spans="8:16">
      <c r="H429" s="516">
        <v>0</v>
      </c>
      <c r="I429" s="516">
        <v>0.99999999999999989</v>
      </c>
      <c r="J429" s="517" t="s">
        <v>1240</v>
      </c>
      <c r="M429" s="513">
        <v>0</v>
      </c>
      <c r="N429" s="516">
        <v>1</v>
      </c>
      <c r="O429" s="518" t="s">
        <v>1240</v>
      </c>
      <c r="P429" s="13" t="s">
        <v>1236</v>
      </c>
    </row>
    <row r="430" spans="8:16">
      <c r="H430" s="516">
        <v>0</v>
      </c>
      <c r="I430" s="516">
        <v>0.99999999999999989</v>
      </c>
      <c r="J430" s="517" t="s">
        <v>1240</v>
      </c>
      <c r="M430" s="513">
        <v>0</v>
      </c>
      <c r="N430" s="516">
        <v>1</v>
      </c>
      <c r="O430" s="518" t="s">
        <v>1240</v>
      </c>
      <c r="P430" s="13" t="s">
        <v>1236</v>
      </c>
    </row>
    <row r="431" spans="8:16">
      <c r="H431" s="516">
        <v>0</v>
      </c>
      <c r="I431" s="516">
        <v>0.99999999999999989</v>
      </c>
      <c r="J431" s="517" t="s">
        <v>1240</v>
      </c>
      <c r="M431" s="513">
        <v>0</v>
      </c>
      <c r="N431" s="516">
        <v>1</v>
      </c>
      <c r="O431" s="518" t="s">
        <v>1240</v>
      </c>
      <c r="P431" s="13" t="s">
        <v>1236</v>
      </c>
    </row>
    <row r="432" spans="8:16">
      <c r="H432" s="516">
        <v>0</v>
      </c>
      <c r="I432" s="516">
        <v>0.99999999999999989</v>
      </c>
      <c r="J432" s="517" t="s">
        <v>1240</v>
      </c>
      <c r="M432" s="513">
        <v>0</v>
      </c>
      <c r="N432" s="516">
        <v>1</v>
      </c>
      <c r="O432" s="518" t="s">
        <v>1240</v>
      </c>
      <c r="P432" s="13" t="s">
        <v>1236</v>
      </c>
    </row>
    <row r="433" spans="8:16">
      <c r="H433" s="516">
        <v>0</v>
      </c>
      <c r="I433" s="516">
        <v>0.99999999999999989</v>
      </c>
      <c r="J433" s="517" t="s">
        <v>1240</v>
      </c>
      <c r="M433" s="513">
        <v>0</v>
      </c>
      <c r="N433" s="516">
        <v>1</v>
      </c>
      <c r="O433" s="518" t="s">
        <v>1240</v>
      </c>
      <c r="P433" s="13" t="s">
        <v>1236</v>
      </c>
    </row>
    <row r="434" spans="8:16">
      <c r="H434" s="516">
        <v>0</v>
      </c>
      <c r="I434" s="516">
        <v>0.99999999999999989</v>
      </c>
      <c r="J434" s="517" t="s">
        <v>1240</v>
      </c>
      <c r="M434" s="513">
        <v>0</v>
      </c>
      <c r="N434" s="516">
        <v>1</v>
      </c>
      <c r="O434" s="518" t="s">
        <v>1240</v>
      </c>
      <c r="P434" s="13" t="s">
        <v>1236</v>
      </c>
    </row>
    <row r="435" spans="8:16">
      <c r="H435" s="516">
        <v>0</v>
      </c>
      <c r="I435" s="516">
        <v>0.99999999999999989</v>
      </c>
      <c r="J435" s="517" t="s">
        <v>1240</v>
      </c>
      <c r="M435" s="513">
        <v>0</v>
      </c>
      <c r="N435" s="516">
        <v>1</v>
      </c>
      <c r="O435" s="518" t="s">
        <v>1240</v>
      </c>
      <c r="P435" s="13" t="s">
        <v>1236</v>
      </c>
    </row>
    <row r="436" spans="8:16">
      <c r="H436" s="516">
        <v>0</v>
      </c>
      <c r="I436" s="516">
        <v>0.99999999999999989</v>
      </c>
      <c r="J436" s="517" t="s">
        <v>1240</v>
      </c>
      <c r="M436" s="513">
        <v>0</v>
      </c>
      <c r="N436" s="516">
        <v>1</v>
      </c>
      <c r="O436" s="518" t="s">
        <v>1240</v>
      </c>
      <c r="P436" s="13" t="s">
        <v>1236</v>
      </c>
    </row>
    <row r="437" spans="8:16">
      <c r="H437" s="516">
        <v>0</v>
      </c>
      <c r="I437" s="516">
        <v>0.99999999999999989</v>
      </c>
      <c r="J437" s="517" t="s">
        <v>1240</v>
      </c>
      <c r="M437" s="513">
        <v>0</v>
      </c>
      <c r="N437" s="516">
        <v>1</v>
      </c>
      <c r="O437" s="518" t="s">
        <v>1240</v>
      </c>
      <c r="P437" s="13" t="s">
        <v>1236</v>
      </c>
    </row>
    <row r="438" spans="8:16">
      <c r="H438" s="516">
        <v>0</v>
      </c>
      <c r="I438" s="516">
        <v>0.99999999999999989</v>
      </c>
      <c r="J438" s="517" t="s">
        <v>1240</v>
      </c>
      <c r="M438" s="513">
        <v>0</v>
      </c>
      <c r="N438" s="516">
        <v>1</v>
      </c>
      <c r="O438" s="518" t="s">
        <v>1240</v>
      </c>
      <c r="P438" s="13" t="s">
        <v>1236</v>
      </c>
    </row>
    <row r="439" spans="8:16">
      <c r="H439" s="516">
        <v>0</v>
      </c>
      <c r="I439" s="516">
        <v>0.99999999999999989</v>
      </c>
      <c r="J439" s="517" t="s">
        <v>1240</v>
      </c>
      <c r="M439" s="513">
        <v>0</v>
      </c>
      <c r="N439" s="516">
        <v>1</v>
      </c>
      <c r="O439" s="518" t="s">
        <v>1240</v>
      </c>
      <c r="P439" s="13" t="s">
        <v>1236</v>
      </c>
    </row>
    <row r="440" spans="8:16">
      <c r="H440" s="516">
        <v>0</v>
      </c>
      <c r="I440" s="516">
        <v>0.99999999999999989</v>
      </c>
      <c r="J440" s="517" t="s">
        <v>1240</v>
      </c>
      <c r="M440" s="513">
        <v>0</v>
      </c>
      <c r="N440" s="516">
        <v>1</v>
      </c>
      <c r="O440" s="518" t="s">
        <v>1240</v>
      </c>
      <c r="P440" s="13" t="s">
        <v>1236</v>
      </c>
    </row>
    <row r="441" spans="8:16">
      <c r="H441" s="516">
        <v>0</v>
      </c>
      <c r="I441" s="516">
        <v>0.99999999999999989</v>
      </c>
      <c r="J441" s="517" t="s">
        <v>1240</v>
      </c>
      <c r="M441" s="513">
        <v>0</v>
      </c>
      <c r="N441" s="516">
        <v>1</v>
      </c>
      <c r="O441" s="518" t="s">
        <v>1240</v>
      </c>
      <c r="P441" s="13" t="s">
        <v>1236</v>
      </c>
    </row>
    <row r="442" spans="8:16">
      <c r="H442" s="516">
        <v>0</v>
      </c>
      <c r="I442" s="516">
        <v>0.99999999999999989</v>
      </c>
      <c r="J442" s="517" t="s">
        <v>1240</v>
      </c>
      <c r="M442" s="513">
        <v>0</v>
      </c>
      <c r="N442" s="516">
        <v>1</v>
      </c>
      <c r="O442" s="518" t="s">
        <v>1240</v>
      </c>
      <c r="P442" s="13" t="s">
        <v>1236</v>
      </c>
    </row>
    <row r="443" spans="8:16">
      <c r="H443" s="516">
        <v>0</v>
      </c>
      <c r="I443" s="516">
        <v>0.99999999999999989</v>
      </c>
      <c r="J443" s="517" t="s">
        <v>1240</v>
      </c>
      <c r="M443" s="513">
        <v>0</v>
      </c>
      <c r="N443" s="516">
        <v>1</v>
      </c>
      <c r="O443" s="518" t="s">
        <v>1240</v>
      </c>
      <c r="P443" s="13" t="s">
        <v>1236</v>
      </c>
    </row>
    <row r="444" spans="8:16">
      <c r="H444" s="516">
        <v>0</v>
      </c>
      <c r="I444" s="516">
        <v>0.99999999999999989</v>
      </c>
      <c r="J444" s="517" t="s">
        <v>1240</v>
      </c>
      <c r="M444" s="513">
        <v>0</v>
      </c>
      <c r="N444" s="516">
        <v>1</v>
      </c>
      <c r="O444" s="518" t="s">
        <v>1240</v>
      </c>
      <c r="P444" s="13" t="s">
        <v>1236</v>
      </c>
    </row>
    <row r="445" spans="8:16">
      <c r="H445" s="516">
        <v>0</v>
      </c>
      <c r="I445" s="516">
        <v>0.99999999999999989</v>
      </c>
      <c r="J445" s="517" t="s">
        <v>1240</v>
      </c>
      <c r="M445" s="513">
        <v>0</v>
      </c>
      <c r="N445" s="516">
        <v>1</v>
      </c>
      <c r="O445" s="518" t="s">
        <v>1240</v>
      </c>
      <c r="P445" s="13" t="s">
        <v>1236</v>
      </c>
    </row>
    <row r="446" spans="8:16">
      <c r="H446" s="516">
        <v>0</v>
      </c>
      <c r="I446" s="516">
        <v>0.99999999999999989</v>
      </c>
      <c r="J446" s="517" t="s">
        <v>1240</v>
      </c>
      <c r="M446" s="513">
        <v>0</v>
      </c>
      <c r="N446" s="516">
        <v>1</v>
      </c>
      <c r="O446" s="518" t="s">
        <v>1240</v>
      </c>
      <c r="P446" s="13" t="s">
        <v>1236</v>
      </c>
    </row>
    <row r="447" spans="8:16">
      <c r="H447" s="516">
        <v>0</v>
      </c>
      <c r="I447" s="516">
        <v>0.99999999999999989</v>
      </c>
      <c r="J447" s="517" t="s">
        <v>1240</v>
      </c>
      <c r="M447" s="513">
        <v>0</v>
      </c>
      <c r="N447" s="516">
        <v>1</v>
      </c>
      <c r="O447" s="518" t="s">
        <v>1240</v>
      </c>
      <c r="P447" s="13" t="s">
        <v>1236</v>
      </c>
    </row>
    <row r="448" spans="8:16">
      <c r="H448" s="516">
        <v>0</v>
      </c>
      <c r="I448" s="516">
        <v>0.99999999999999989</v>
      </c>
      <c r="J448" s="517" t="s">
        <v>1240</v>
      </c>
      <c r="M448" s="513">
        <v>0</v>
      </c>
      <c r="N448" s="516">
        <v>1</v>
      </c>
      <c r="O448" s="518" t="s">
        <v>1240</v>
      </c>
      <c r="P448" s="13" t="s">
        <v>1236</v>
      </c>
    </row>
    <row r="449" spans="8:16">
      <c r="H449" s="516">
        <v>0</v>
      </c>
      <c r="I449" s="516">
        <v>0.99999999999999989</v>
      </c>
      <c r="J449" s="517" t="s">
        <v>1240</v>
      </c>
      <c r="M449" s="513">
        <v>0</v>
      </c>
      <c r="N449" s="516">
        <v>1</v>
      </c>
      <c r="O449" s="518" t="s">
        <v>1240</v>
      </c>
      <c r="P449" s="13" t="s">
        <v>1236</v>
      </c>
    </row>
    <row r="450" spans="8:16">
      <c r="H450" s="516">
        <v>0</v>
      </c>
      <c r="I450" s="516">
        <v>0.99999999999999989</v>
      </c>
      <c r="J450" s="517" t="s">
        <v>1240</v>
      </c>
      <c r="M450" s="513">
        <v>0</v>
      </c>
      <c r="N450" s="516">
        <v>1</v>
      </c>
      <c r="O450" s="518" t="s">
        <v>1240</v>
      </c>
      <c r="P450" s="13" t="s">
        <v>1236</v>
      </c>
    </row>
    <row r="451" spans="8:16">
      <c r="H451" s="516">
        <v>0</v>
      </c>
      <c r="I451" s="516">
        <v>0.99999999999999989</v>
      </c>
      <c r="J451" s="517" t="s">
        <v>1240</v>
      </c>
      <c r="M451" s="513">
        <v>0</v>
      </c>
      <c r="N451" s="516">
        <v>1</v>
      </c>
      <c r="O451" s="518" t="s">
        <v>1240</v>
      </c>
      <c r="P451" s="13" t="s">
        <v>1236</v>
      </c>
    </row>
    <row r="452" spans="8:16">
      <c r="H452" s="516">
        <v>0</v>
      </c>
      <c r="I452" s="516">
        <v>0.99999999999999989</v>
      </c>
      <c r="J452" s="517" t="s">
        <v>1240</v>
      </c>
      <c r="M452" s="513">
        <v>0</v>
      </c>
      <c r="N452" s="516">
        <v>1</v>
      </c>
      <c r="O452" s="518" t="s">
        <v>1240</v>
      </c>
      <c r="P452" s="13" t="s">
        <v>1236</v>
      </c>
    </row>
    <row r="453" spans="8:16">
      <c r="H453" s="516">
        <v>0</v>
      </c>
      <c r="I453" s="516">
        <v>0.99999999999999989</v>
      </c>
      <c r="J453" s="517" t="s">
        <v>1240</v>
      </c>
      <c r="M453" s="513">
        <v>0</v>
      </c>
      <c r="N453" s="516">
        <v>1</v>
      </c>
      <c r="O453" s="518" t="s">
        <v>1240</v>
      </c>
      <c r="P453" s="13" t="s">
        <v>1236</v>
      </c>
    </row>
    <row r="454" spans="8:16">
      <c r="H454" s="516">
        <v>0</v>
      </c>
      <c r="I454" s="516">
        <v>0.99999999999999989</v>
      </c>
      <c r="J454" s="517" t="s">
        <v>1240</v>
      </c>
      <c r="M454" s="513">
        <v>0</v>
      </c>
      <c r="N454" s="516">
        <v>1</v>
      </c>
      <c r="O454" s="518" t="s">
        <v>1240</v>
      </c>
      <c r="P454" s="13" t="s">
        <v>1236</v>
      </c>
    </row>
    <row r="455" spans="8:16">
      <c r="H455" s="516">
        <v>0</v>
      </c>
      <c r="I455" s="516">
        <v>0.99999999999999989</v>
      </c>
      <c r="J455" s="517" t="s">
        <v>1240</v>
      </c>
      <c r="M455" s="513">
        <v>0</v>
      </c>
      <c r="N455" s="516">
        <v>1</v>
      </c>
      <c r="O455" s="518" t="s">
        <v>1240</v>
      </c>
      <c r="P455" s="13" t="s">
        <v>1236</v>
      </c>
    </row>
    <row r="456" spans="8:16">
      <c r="H456" s="516">
        <v>0</v>
      </c>
      <c r="I456" s="516">
        <v>0.99999999999999989</v>
      </c>
      <c r="J456" s="517" t="s">
        <v>1240</v>
      </c>
      <c r="M456" s="513">
        <v>0</v>
      </c>
      <c r="N456" s="516">
        <v>1</v>
      </c>
      <c r="O456" s="518" t="s">
        <v>1240</v>
      </c>
      <c r="P456" s="13" t="s">
        <v>1236</v>
      </c>
    </row>
    <row r="457" spans="8:16">
      <c r="H457" s="516">
        <v>0</v>
      </c>
      <c r="I457" s="516">
        <v>0.99999999999999989</v>
      </c>
      <c r="J457" s="517" t="s">
        <v>1240</v>
      </c>
      <c r="M457" s="513">
        <v>0</v>
      </c>
      <c r="N457" s="516">
        <v>1</v>
      </c>
      <c r="O457" s="518" t="s">
        <v>1240</v>
      </c>
      <c r="P457" s="13" t="s">
        <v>1236</v>
      </c>
    </row>
    <row r="458" spans="8:16">
      <c r="H458" s="516">
        <v>0</v>
      </c>
      <c r="I458" s="516">
        <v>0.99999999999999989</v>
      </c>
      <c r="J458" s="517" t="s">
        <v>1240</v>
      </c>
      <c r="M458" s="513">
        <v>0</v>
      </c>
      <c r="N458" s="516">
        <v>1</v>
      </c>
      <c r="O458" s="518" t="s">
        <v>1240</v>
      </c>
      <c r="P458" s="13" t="s">
        <v>1236</v>
      </c>
    </row>
    <row r="459" spans="8:16">
      <c r="H459" s="516">
        <v>0</v>
      </c>
      <c r="I459" s="516">
        <v>0.99999999999999989</v>
      </c>
      <c r="J459" s="517" t="s">
        <v>1240</v>
      </c>
      <c r="M459" s="513">
        <v>0</v>
      </c>
      <c r="N459" s="516">
        <v>1</v>
      </c>
      <c r="O459" s="518" t="s">
        <v>1240</v>
      </c>
      <c r="P459" s="13" t="s">
        <v>1236</v>
      </c>
    </row>
    <row r="460" spans="8:16">
      <c r="H460" s="516">
        <v>0</v>
      </c>
      <c r="I460" s="516">
        <v>0.99999999999999989</v>
      </c>
      <c r="J460" s="517" t="s">
        <v>1240</v>
      </c>
      <c r="M460" s="513">
        <v>0</v>
      </c>
      <c r="N460" s="516">
        <v>1</v>
      </c>
      <c r="O460" s="518" t="s">
        <v>1240</v>
      </c>
      <c r="P460" s="13" t="s">
        <v>1236</v>
      </c>
    </row>
    <row r="461" spans="8:16">
      <c r="H461" s="516">
        <v>0</v>
      </c>
      <c r="I461" s="516">
        <v>0.99999999999999989</v>
      </c>
      <c r="J461" s="517" t="s">
        <v>1240</v>
      </c>
      <c r="M461" s="513">
        <v>0</v>
      </c>
      <c r="N461" s="516">
        <v>1</v>
      </c>
      <c r="O461" s="518" t="s">
        <v>1240</v>
      </c>
      <c r="P461" s="13" t="s">
        <v>1236</v>
      </c>
    </row>
    <row r="462" spans="8:16">
      <c r="H462" s="516">
        <v>0</v>
      </c>
      <c r="I462" s="516">
        <v>0.99999999999999989</v>
      </c>
      <c r="J462" s="517" t="s">
        <v>1240</v>
      </c>
      <c r="M462" s="513">
        <v>0</v>
      </c>
      <c r="N462" s="516">
        <v>1</v>
      </c>
      <c r="O462" s="518" t="s">
        <v>1240</v>
      </c>
      <c r="P462" s="13" t="s">
        <v>1236</v>
      </c>
    </row>
    <row r="463" spans="8:16">
      <c r="H463" s="516">
        <v>0</v>
      </c>
      <c r="I463" s="516">
        <v>0.99999999999999989</v>
      </c>
      <c r="J463" s="517" t="s">
        <v>1240</v>
      </c>
      <c r="M463" s="513">
        <v>0</v>
      </c>
      <c r="N463" s="516">
        <v>1</v>
      </c>
      <c r="O463" s="518" t="s">
        <v>1240</v>
      </c>
      <c r="P463" s="13" t="s">
        <v>1236</v>
      </c>
    </row>
    <row r="464" spans="8:16">
      <c r="H464" s="516">
        <v>0</v>
      </c>
      <c r="I464" s="516">
        <v>0.99999999999999989</v>
      </c>
      <c r="J464" s="517" t="s">
        <v>1240</v>
      </c>
      <c r="M464" s="513">
        <v>0</v>
      </c>
      <c r="N464" s="516">
        <v>1</v>
      </c>
      <c r="O464" s="518" t="s">
        <v>1240</v>
      </c>
      <c r="P464" s="13" t="s">
        <v>1236</v>
      </c>
    </row>
    <row r="465" spans="8:16">
      <c r="H465" s="516">
        <v>0</v>
      </c>
      <c r="I465" s="516">
        <v>0.99999999999999989</v>
      </c>
      <c r="J465" s="517" t="s">
        <v>1240</v>
      </c>
      <c r="M465" s="513">
        <v>0</v>
      </c>
      <c r="N465" s="516">
        <v>1</v>
      </c>
      <c r="O465" s="518" t="s">
        <v>1240</v>
      </c>
      <c r="P465" s="13" t="s">
        <v>1236</v>
      </c>
    </row>
    <row r="466" spans="8:16">
      <c r="H466" s="516">
        <v>0</v>
      </c>
      <c r="I466" s="516">
        <v>0.99999999999999989</v>
      </c>
      <c r="J466" s="517" t="s">
        <v>1240</v>
      </c>
      <c r="M466" s="513">
        <v>0</v>
      </c>
      <c r="N466" s="516">
        <v>1</v>
      </c>
      <c r="O466" s="518" t="s">
        <v>1240</v>
      </c>
      <c r="P466" s="13" t="s">
        <v>1236</v>
      </c>
    </row>
    <row r="467" spans="8:16">
      <c r="H467" s="516">
        <v>0</v>
      </c>
      <c r="I467" s="516">
        <v>0.99999999999999989</v>
      </c>
      <c r="J467" s="517" t="s">
        <v>1240</v>
      </c>
      <c r="M467" s="513">
        <v>0</v>
      </c>
      <c r="N467" s="516">
        <v>1</v>
      </c>
      <c r="O467" s="518" t="s">
        <v>1240</v>
      </c>
      <c r="P467" s="13" t="s">
        <v>1236</v>
      </c>
    </row>
    <row r="468" spans="8:16">
      <c r="H468" s="516">
        <v>0</v>
      </c>
      <c r="I468" s="516">
        <v>0.99999999999999989</v>
      </c>
      <c r="J468" s="517" t="s">
        <v>1240</v>
      </c>
      <c r="M468" s="513">
        <v>0</v>
      </c>
      <c r="N468" s="516">
        <v>1</v>
      </c>
      <c r="O468" s="518" t="s">
        <v>1240</v>
      </c>
      <c r="P468" s="13" t="s">
        <v>1236</v>
      </c>
    </row>
    <row r="469" spans="8:16">
      <c r="H469" s="516">
        <v>0</v>
      </c>
      <c r="I469" s="516">
        <v>0.99999999999999989</v>
      </c>
      <c r="J469" s="517" t="s">
        <v>1240</v>
      </c>
      <c r="M469" s="513">
        <v>0</v>
      </c>
      <c r="N469" s="516">
        <v>1</v>
      </c>
      <c r="O469" s="518" t="s">
        <v>1240</v>
      </c>
      <c r="P469" s="13" t="s">
        <v>1236</v>
      </c>
    </row>
    <row r="470" spans="8:16">
      <c r="H470" s="516">
        <v>0</v>
      </c>
      <c r="I470" s="516">
        <v>0.99999999999999989</v>
      </c>
      <c r="J470" s="517" t="s">
        <v>1240</v>
      </c>
      <c r="M470" s="513">
        <v>0</v>
      </c>
      <c r="N470" s="516">
        <v>1</v>
      </c>
      <c r="O470" s="518" t="s">
        <v>1240</v>
      </c>
      <c r="P470" s="13" t="s">
        <v>1236</v>
      </c>
    </row>
    <row r="471" spans="8:16">
      <c r="H471" s="516">
        <v>0</v>
      </c>
      <c r="I471" s="516">
        <v>0.99999999999999989</v>
      </c>
      <c r="J471" s="517" t="s">
        <v>1240</v>
      </c>
      <c r="M471" s="513">
        <v>0</v>
      </c>
      <c r="N471" s="516">
        <v>1</v>
      </c>
      <c r="O471" s="518" t="s">
        <v>1240</v>
      </c>
      <c r="P471" s="13" t="s">
        <v>1236</v>
      </c>
    </row>
    <row r="472" spans="8:16">
      <c r="H472" s="516">
        <v>0</v>
      </c>
      <c r="I472" s="516">
        <v>0.99999999999999989</v>
      </c>
      <c r="J472" s="517" t="s">
        <v>1240</v>
      </c>
      <c r="M472" s="513">
        <v>0</v>
      </c>
      <c r="N472" s="516">
        <v>1</v>
      </c>
      <c r="O472" s="518" t="s">
        <v>1240</v>
      </c>
      <c r="P472" s="13" t="s">
        <v>1236</v>
      </c>
    </row>
    <row r="473" spans="8:16">
      <c r="H473" s="516">
        <v>0</v>
      </c>
      <c r="I473" s="516">
        <v>0.99999999999999989</v>
      </c>
      <c r="J473" s="517" t="s">
        <v>1240</v>
      </c>
      <c r="M473" s="513">
        <v>0</v>
      </c>
      <c r="N473" s="516">
        <v>1</v>
      </c>
      <c r="O473" s="518" t="s">
        <v>1240</v>
      </c>
      <c r="P473" s="13" t="s">
        <v>1236</v>
      </c>
    </row>
    <row r="474" spans="8:16">
      <c r="H474" s="516">
        <v>0</v>
      </c>
      <c r="I474" s="516">
        <v>0.99999999999999989</v>
      </c>
      <c r="J474" s="517" t="s">
        <v>1240</v>
      </c>
      <c r="M474" s="513">
        <v>0</v>
      </c>
      <c r="N474" s="516">
        <v>1</v>
      </c>
      <c r="O474" s="518" t="s">
        <v>1240</v>
      </c>
      <c r="P474" s="13" t="s">
        <v>1236</v>
      </c>
    </row>
    <row r="475" spans="8:16">
      <c r="H475" s="516">
        <v>0</v>
      </c>
      <c r="I475" s="516">
        <v>0.99999999999999989</v>
      </c>
      <c r="J475" s="517" t="s">
        <v>1240</v>
      </c>
      <c r="M475" s="513">
        <v>0</v>
      </c>
      <c r="N475" s="516">
        <v>1</v>
      </c>
      <c r="O475" s="518" t="s">
        <v>1240</v>
      </c>
      <c r="P475" s="13" t="s">
        <v>1236</v>
      </c>
    </row>
    <row r="476" spans="8:16">
      <c r="H476" s="516">
        <v>0</v>
      </c>
      <c r="I476" s="516">
        <v>0.99999999999999989</v>
      </c>
      <c r="J476" s="517" t="s">
        <v>1240</v>
      </c>
      <c r="M476" s="513">
        <v>0</v>
      </c>
      <c r="N476" s="516">
        <v>1</v>
      </c>
      <c r="O476" s="518" t="s">
        <v>1240</v>
      </c>
      <c r="P476" s="13" t="s">
        <v>1236</v>
      </c>
    </row>
    <row r="477" spans="8:16">
      <c r="H477" s="516">
        <v>0</v>
      </c>
      <c r="I477" s="516">
        <v>0.99999999999999989</v>
      </c>
      <c r="J477" s="517" t="s">
        <v>1240</v>
      </c>
      <c r="M477" s="513">
        <v>0</v>
      </c>
      <c r="N477" s="516">
        <v>1</v>
      </c>
      <c r="O477" s="518" t="s">
        <v>1240</v>
      </c>
      <c r="P477" s="13" t="s">
        <v>1236</v>
      </c>
    </row>
    <row r="478" spans="8:16">
      <c r="H478" s="516">
        <v>0</v>
      </c>
      <c r="I478" s="516">
        <v>0.99999999999999989</v>
      </c>
      <c r="J478" s="517" t="s">
        <v>1240</v>
      </c>
      <c r="M478" s="513">
        <v>0</v>
      </c>
      <c r="N478" s="516">
        <v>1</v>
      </c>
      <c r="O478" s="518" t="s">
        <v>1240</v>
      </c>
      <c r="P478" s="13" t="s">
        <v>1236</v>
      </c>
    </row>
    <row r="479" spans="8:16">
      <c r="H479" s="516">
        <v>0</v>
      </c>
      <c r="I479" s="516">
        <v>0.99999999999999989</v>
      </c>
      <c r="J479" s="517" t="s">
        <v>1240</v>
      </c>
      <c r="M479" s="513">
        <v>0</v>
      </c>
      <c r="N479" s="516">
        <v>1</v>
      </c>
      <c r="O479" s="518" t="s">
        <v>1240</v>
      </c>
      <c r="P479" s="13" t="s">
        <v>1236</v>
      </c>
    </row>
    <row r="480" spans="8:16">
      <c r="H480" s="516">
        <v>0</v>
      </c>
      <c r="I480" s="516">
        <v>0.99999999999999989</v>
      </c>
      <c r="J480" s="517" t="s">
        <v>1240</v>
      </c>
      <c r="M480" s="513">
        <v>0</v>
      </c>
      <c r="N480" s="516">
        <v>1</v>
      </c>
      <c r="O480" s="518" t="s">
        <v>1240</v>
      </c>
      <c r="P480" s="13" t="s">
        <v>1236</v>
      </c>
    </row>
    <row r="481" spans="8:16">
      <c r="H481" s="516">
        <v>0</v>
      </c>
      <c r="I481" s="516">
        <v>0.99999999999999989</v>
      </c>
      <c r="J481" s="517" t="s">
        <v>1240</v>
      </c>
      <c r="M481" s="513">
        <v>0</v>
      </c>
      <c r="N481" s="516">
        <v>1</v>
      </c>
      <c r="O481" s="518" t="s">
        <v>1240</v>
      </c>
      <c r="P481" s="13" t="s">
        <v>1236</v>
      </c>
    </row>
    <row r="482" spans="8:16">
      <c r="H482" s="516">
        <v>0</v>
      </c>
      <c r="I482" s="516">
        <v>0.99999999999999989</v>
      </c>
      <c r="J482" s="517" t="s">
        <v>1240</v>
      </c>
      <c r="M482" s="513">
        <v>0</v>
      </c>
      <c r="N482" s="516">
        <v>1</v>
      </c>
      <c r="O482" s="518" t="s">
        <v>1240</v>
      </c>
      <c r="P482" s="13" t="s">
        <v>1236</v>
      </c>
    </row>
    <row r="483" spans="8:16">
      <c r="H483" s="516">
        <v>0</v>
      </c>
      <c r="I483" s="516">
        <v>0.99999999999999989</v>
      </c>
      <c r="J483" s="517" t="s">
        <v>1240</v>
      </c>
      <c r="M483" s="513">
        <v>0</v>
      </c>
      <c r="N483" s="516">
        <v>1</v>
      </c>
      <c r="O483" s="518" t="s">
        <v>1240</v>
      </c>
      <c r="P483" s="13" t="s">
        <v>1236</v>
      </c>
    </row>
    <row r="484" spans="8:16">
      <c r="H484" s="516">
        <v>0</v>
      </c>
      <c r="I484" s="516">
        <v>0.99999999999999989</v>
      </c>
      <c r="J484" s="517" t="s">
        <v>1240</v>
      </c>
      <c r="M484" s="513">
        <v>0</v>
      </c>
      <c r="N484" s="516">
        <v>1</v>
      </c>
      <c r="O484" s="518" t="s">
        <v>1240</v>
      </c>
      <c r="P484" s="13" t="s">
        <v>1236</v>
      </c>
    </row>
    <row r="485" spans="8:16">
      <c r="H485" s="516">
        <v>0</v>
      </c>
      <c r="I485" s="516">
        <v>0.99999999999999989</v>
      </c>
      <c r="J485" s="517" t="s">
        <v>1240</v>
      </c>
      <c r="M485" s="513">
        <v>0</v>
      </c>
      <c r="N485" s="516">
        <v>1</v>
      </c>
      <c r="O485" s="518" t="s">
        <v>1240</v>
      </c>
      <c r="P485" s="13" t="s">
        <v>1236</v>
      </c>
    </row>
    <row r="486" spans="8:16">
      <c r="H486" s="516">
        <v>0</v>
      </c>
      <c r="I486" s="516">
        <v>0.99999999999999989</v>
      </c>
      <c r="J486" s="517" t="s">
        <v>1240</v>
      </c>
      <c r="M486" s="513">
        <v>0</v>
      </c>
      <c r="N486" s="516">
        <v>1</v>
      </c>
      <c r="O486" s="518" t="s">
        <v>1240</v>
      </c>
      <c r="P486" s="13" t="s">
        <v>1236</v>
      </c>
    </row>
    <row r="487" spans="8:16">
      <c r="H487" s="516">
        <v>0</v>
      </c>
      <c r="I487" s="516">
        <v>0.99999999999999989</v>
      </c>
      <c r="J487" s="517" t="s">
        <v>1240</v>
      </c>
      <c r="M487" s="513">
        <v>0</v>
      </c>
      <c r="N487" s="516">
        <v>1</v>
      </c>
      <c r="O487" s="518" t="s">
        <v>1240</v>
      </c>
      <c r="P487" s="13" t="s">
        <v>1236</v>
      </c>
    </row>
    <row r="488" spans="8:16">
      <c r="H488" s="516">
        <v>0</v>
      </c>
      <c r="I488" s="516">
        <v>0.99999999999999989</v>
      </c>
      <c r="J488" s="517" t="s">
        <v>1240</v>
      </c>
      <c r="M488" s="513">
        <v>0</v>
      </c>
      <c r="N488" s="516">
        <v>1</v>
      </c>
      <c r="O488" s="518" t="s">
        <v>1240</v>
      </c>
      <c r="P488" s="13" t="s">
        <v>1236</v>
      </c>
    </row>
    <row r="489" spans="8:16">
      <c r="H489" s="516">
        <v>0</v>
      </c>
      <c r="I489" s="516">
        <v>0.99999999999999989</v>
      </c>
      <c r="J489" s="517" t="s">
        <v>1240</v>
      </c>
      <c r="M489" s="513">
        <v>0</v>
      </c>
      <c r="N489" s="516">
        <v>1</v>
      </c>
      <c r="O489" s="518" t="s">
        <v>1240</v>
      </c>
      <c r="P489" s="13" t="s">
        <v>1236</v>
      </c>
    </row>
    <row r="490" spans="8:16">
      <c r="H490" s="516">
        <v>0</v>
      </c>
      <c r="I490" s="516">
        <v>0.99999999999999989</v>
      </c>
      <c r="J490" s="517" t="s">
        <v>1240</v>
      </c>
      <c r="M490" s="513">
        <v>0</v>
      </c>
      <c r="N490" s="516">
        <v>1</v>
      </c>
      <c r="O490" s="518" t="s">
        <v>1240</v>
      </c>
      <c r="P490" s="13" t="s">
        <v>1236</v>
      </c>
    </row>
    <row r="491" spans="8:16">
      <c r="H491" s="516">
        <v>0</v>
      </c>
      <c r="I491" s="516">
        <v>0.99999999999999989</v>
      </c>
      <c r="J491" s="517" t="s">
        <v>1240</v>
      </c>
      <c r="M491" s="513">
        <v>0</v>
      </c>
      <c r="N491" s="516">
        <v>1</v>
      </c>
      <c r="O491" s="518" t="s">
        <v>1240</v>
      </c>
      <c r="P491" s="13" t="s">
        <v>1236</v>
      </c>
    </row>
    <row r="492" spans="8:16">
      <c r="H492" s="516">
        <v>0</v>
      </c>
      <c r="I492" s="516">
        <v>0.99999999999999989</v>
      </c>
      <c r="J492" s="517" t="s">
        <v>1240</v>
      </c>
      <c r="M492" s="513">
        <v>0</v>
      </c>
      <c r="N492" s="516">
        <v>1</v>
      </c>
      <c r="O492" s="518" t="s">
        <v>1240</v>
      </c>
      <c r="P492" s="13" t="s">
        <v>1236</v>
      </c>
    </row>
    <row r="493" spans="8:16">
      <c r="H493" s="516">
        <v>0</v>
      </c>
      <c r="I493" s="516">
        <v>0.99999999999999989</v>
      </c>
      <c r="J493" s="517" t="s">
        <v>1240</v>
      </c>
      <c r="M493" s="513">
        <v>0</v>
      </c>
      <c r="N493" s="516">
        <v>1</v>
      </c>
      <c r="O493" s="518" t="s">
        <v>1240</v>
      </c>
      <c r="P493" s="13" t="s">
        <v>1236</v>
      </c>
    </row>
    <row r="494" spans="8:16">
      <c r="H494" s="516">
        <v>0</v>
      </c>
      <c r="I494" s="516">
        <v>0.99999999999999989</v>
      </c>
      <c r="J494" s="517" t="s">
        <v>1240</v>
      </c>
      <c r="M494" s="513">
        <v>0</v>
      </c>
      <c r="N494" s="516">
        <v>1</v>
      </c>
      <c r="O494" s="518" t="s">
        <v>1240</v>
      </c>
      <c r="P494" s="13" t="s">
        <v>1236</v>
      </c>
    </row>
    <row r="495" spans="8:16">
      <c r="H495" s="516">
        <v>0</v>
      </c>
      <c r="I495" s="516">
        <v>0.99999999999999989</v>
      </c>
      <c r="J495" s="517" t="s">
        <v>1240</v>
      </c>
      <c r="M495" s="513">
        <v>0</v>
      </c>
      <c r="N495" s="516">
        <v>1</v>
      </c>
      <c r="O495" s="518" t="s">
        <v>1240</v>
      </c>
      <c r="P495" s="13" t="s">
        <v>1236</v>
      </c>
    </row>
    <row r="496" spans="8:16">
      <c r="H496" s="516">
        <v>0</v>
      </c>
      <c r="I496" s="516">
        <v>0.99999999999999989</v>
      </c>
      <c r="J496" s="517" t="s">
        <v>1240</v>
      </c>
      <c r="M496" s="513">
        <v>0</v>
      </c>
      <c r="N496" s="516">
        <v>1</v>
      </c>
      <c r="O496" s="518" t="s">
        <v>1240</v>
      </c>
      <c r="P496" s="13" t="s">
        <v>1236</v>
      </c>
    </row>
    <row r="497" spans="8:16">
      <c r="H497" s="516">
        <v>0</v>
      </c>
      <c r="I497" s="516">
        <v>0.99999999999999989</v>
      </c>
      <c r="J497" s="517" t="s">
        <v>1240</v>
      </c>
      <c r="M497" s="513">
        <v>0</v>
      </c>
      <c r="N497" s="516">
        <v>1</v>
      </c>
      <c r="O497" s="518" t="s">
        <v>1240</v>
      </c>
      <c r="P497" s="13" t="s">
        <v>1236</v>
      </c>
    </row>
    <row r="498" spans="8:16">
      <c r="H498" s="516">
        <v>0</v>
      </c>
      <c r="I498" s="516">
        <v>0.99999999999999989</v>
      </c>
      <c r="J498" s="517" t="s">
        <v>1240</v>
      </c>
      <c r="M498" s="513">
        <v>0</v>
      </c>
      <c r="N498" s="516">
        <v>1</v>
      </c>
      <c r="O498" s="518" t="s">
        <v>1240</v>
      </c>
      <c r="P498" s="13" t="s">
        <v>1236</v>
      </c>
    </row>
    <row r="499" spans="8:16">
      <c r="H499" s="516">
        <v>0</v>
      </c>
      <c r="I499" s="516">
        <v>0.99999999999999989</v>
      </c>
      <c r="J499" s="517" t="s">
        <v>1240</v>
      </c>
      <c r="M499" s="513">
        <v>0</v>
      </c>
      <c r="N499" s="516">
        <v>1</v>
      </c>
      <c r="O499" s="518" t="s">
        <v>1240</v>
      </c>
      <c r="P499" s="13" t="s">
        <v>1236</v>
      </c>
    </row>
    <row r="500" spans="8:16">
      <c r="H500" s="516">
        <v>0</v>
      </c>
      <c r="I500" s="516">
        <v>0.99999999999999989</v>
      </c>
      <c r="J500" s="517" t="s">
        <v>1240</v>
      </c>
      <c r="M500" s="513">
        <v>0</v>
      </c>
      <c r="N500" s="516">
        <v>1</v>
      </c>
      <c r="O500" s="518" t="s">
        <v>1240</v>
      </c>
      <c r="P500" s="13" t="s">
        <v>1236</v>
      </c>
    </row>
    <row r="501" spans="8:16">
      <c r="H501" s="516">
        <v>0</v>
      </c>
      <c r="I501" s="516">
        <v>0.99999999999999989</v>
      </c>
      <c r="J501" s="517" t="s">
        <v>1240</v>
      </c>
      <c r="M501" s="513">
        <v>0</v>
      </c>
      <c r="N501" s="516">
        <v>1</v>
      </c>
      <c r="O501" s="518" t="s">
        <v>1240</v>
      </c>
      <c r="P501" s="13" t="s">
        <v>1236</v>
      </c>
    </row>
    <row r="502" spans="8:16">
      <c r="H502" s="516">
        <v>0</v>
      </c>
      <c r="I502" s="516">
        <v>0.99999999999999989</v>
      </c>
      <c r="J502" s="517" t="s">
        <v>1240</v>
      </c>
      <c r="M502" s="513">
        <v>0</v>
      </c>
      <c r="N502" s="516">
        <v>1</v>
      </c>
      <c r="O502" s="518" t="s">
        <v>1240</v>
      </c>
      <c r="P502" s="13" t="s">
        <v>1236</v>
      </c>
    </row>
    <row r="503" spans="8:16">
      <c r="H503" s="516">
        <v>0</v>
      </c>
      <c r="I503" s="516">
        <v>0.99999999999999989</v>
      </c>
      <c r="J503" s="517" t="s">
        <v>1240</v>
      </c>
      <c r="M503" s="513">
        <v>0</v>
      </c>
      <c r="N503" s="516">
        <v>1</v>
      </c>
      <c r="O503" s="518" t="s">
        <v>1240</v>
      </c>
      <c r="P503" s="13" t="s">
        <v>1236</v>
      </c>
    </row>
    <row r="504" spans="8:16">
      <c r="H504" s="516">
        <v>0</v>
      </c>
      <c r="I504" s="516">
        <v>0.99999999999999989</v>
      </c>
      <c r="J504" s="517" t="s">
        <v>1240</v>
      </c>
      <c r="M504" s="513">
        <v>0</v>
      </c>
      <c r="N504" s="516">
        <v>1</v>
      </c>
      <c r="O504" s="518" t="s">
        <v>1240</v>
      </c>
      <c r="P504" s="13" t="s">
        <v>1236</v>
      </c>
    </row>
    <row r="505" spans="8:16">
      <c r="H505" s="516">
        <v>0</v>
      </c>
      <c r="I505" s="516">
        <v>0.99999999999999989</v>
      </c>
      <c r="J505" s="517" t="s">
        <v>1240</v>
      </c>
      <c r="M505" s="513">
        <v>0</v>
      </c>
      <c r="N505" s="516">
        <v>1</v>
      </c>
      <c r="O505" s="518" t="s">
        <v>1240</v>
      </c>
      <c r="P505" s="13" t="s">
        <v>1236</v>
      </c>
    </row>
    <row r="506" spans="8:16">
      <c r="H506" s="516">
        <v>0</v>
      </c>
      <c r="I506" s="516">
        <v>0.99999999999999989</v>
      </c>
      <c r="J506" s="517" t="s">
        <v>1240</v>
      </c>
      <c r="M506" s="513">
        <v>0</v>
      </c>
      <c r="N506" s="516">
        <v>1</v>
      </c>
      <c r="O506" s="518" t="s">
        <v>1240</v>
      </c>
      <c r="P506" s="13" t="s">
        <v>1236</v>
      </c>
    </row>
    <row r="507" spans="8:16">
      <c r="H507" s="516">
        <v>0</v>
      </c>
      <c r="I507" s="516">
        <v>0.99999999999999989</v>
      </c>
      <c r="J507" s="517" t="s">
        <v>1240</v>
      </c>
      <c r="M507" s="513">
        <v>0</v>
      </c>
      <c r="N507" s="516">
        <v>1</v>
      </c>
      <c r="O507" s="518" t="s">
        <v>1240</v>
      </c>
      <c r="P507" s="13" t="s">
        <v>1236</v>
      </c>
    </row>
    <row r="508" spans="8:16">
      <c r="H508" s="516">
        <v>0</v>
      </c>
      <c r="I508" s="516">
        <v>0.99999999999999989</v>
      </c>
      <c r="J508" s="517" t="s">
        <v>1240</v>
      </c>
      <c r="M508" s="513">
        <v>0</v>
      </c>
      <c r="N508" s="516">
        <v>1</v>
      </c>
      <c r="O508" s="518" t="s">
        <v>1240</v>
      </c>
      <c r="P508" s="13" t="s">
        <v>1236</v>
      </c>
    </row>
    <row r="509" spans="8:16">
      <c r="H509" s="516">
        <v>0</v>
      </c>
      <c r="I509" s="516">
        <v>0.99999999999999989</v>
      </c>
      <c r="J509" s="517" t="s">
        <v>1240</v>
      </c>
      <c r="M509" s="513">
        <v>0</v>
      </c>
      <c r="N509" s="516">
        <v>1</v>
      </c>
      <c r="O509" s="518" t="s">
        <v>1240</v>
      </c>
      <c r="P509" s="13" t="s">
        <v>1236</v>
      </c>
    </row>
    <row r="510" spans="8:16">
      <c r="H510" s="516">
        <v>0</v>
      </c>
      <c r="I510" s="516">
        <v>0.99999999999999989</v>
      </c>
      <c r="J510" s="517" t="s">
        <v>1240</v>
      </c>
      <c r="M510" s="513">
        <v>0</v>
      </c>
      <c r="N510" s="516">
        <v>1</v>
      </c>
      <c r="O510" s="518" t="s">
        <v>1240</v>
      </c>
      <c r="P510" s="13" t="s">
        <v>1236</v>
      </c>
    </row>
    <row r="511" spans="8:16">
      <c r="H511" s="516">
        <v>0</v>
      </c>
      <c r="I511" s="516">
        <v>0.99999999999999989</v>
      </c>
      <c r="J511" s="517" t="s">
        <v>1240</v>
      </c>
      <c r="M511" s="513">
        <v>0</v>
      </c>
      <c r="N511" s="516">
        <v>1</v>
      </c>
      <c r="O511" s="518" t="s">
        <v>1240</v>
      </c>
      <c r="P511" s="13" t="s">
        <v>1236</v>
      </c>
    </row>
    <row r="512" spans="8:16">
      <c r="H512" s="516">
        <v>0</v>
      </c>
      <c r="I512" s="516">
        <v>0.99999999999999989</v>
      </c>
      <c r="J512" s="517" t="s">
        <v>1240</v>
      </c>
      <c r="M512" s="513">
        <v>0</v>
      </c>
      <c r="N512" s="516">
        <v>1</v>
      </c>
      <c r="O512" s="518" t="s">
        <v>1240</v>
      </c>
      <c r="P512" s="13" t="s">
        <v>1236</v>
      </c>
    </row>
    <row r="513" spans="8:16">
      <c r="H513" s="516">
        <v>0</v>
      </c>
      <c r="I513" s="516">
        <v>0.99999999999999989</v>
      </c>
      <c r="J513" s="517" t="s">
        <v>1240</v>
      </c>
      <c r="M513" s="513">
        <v>0</v>
      </c>
      <c r="N513" s="516">
        <v>1</v>
      </c>
      <c r="O513" s="518" t="s">
        <v>1240</v>
      </c>
      <c r="P513" s="13" t="s">
        <v>1236</v>
      </c>
    </row>
    <row r="514" spans="8:16">
      <c r="H514" s="516">
        <v>0</v>
      </c>
      <c r="I514" s="516">
        <v>0.99999999999999989</v>
      </c>
      <c r="J514" s="517" t="s">
        <v>1240</v>
      </c>
      <c r="M514" s="513">
        <v>0</v>
      </c>
      <c r="N514" s="516">
        <v>1</v>
      </c>
      <c r="O514" s="518" t="s">
        <v>1240</v>
      </c>
      <c r="P514" s="13" t="s">
        <v>1236</v>
      </c>
    </row>
    <row r="515" spans="8:16">
      <c r="H515" s="516">
        <v>0</v>
      </c>
      <c r="I515" s="516">
        <v>0.99999999999999989</v>
      </c>
      <c r="J515" s="517" t="s">
        <v>1240</v>
      </c>
      <c r="M515" s="513">
        <v>0</v>
      </c>
      <c r="N515" s="516">
        <v>1</v>
      </c>
      <c r="O515" s="518" t="s">
        <v>1240</v>
      </c>
      <c r="P515" s="13" t="s">
        <v>1236</v>
      </c>
    </row>
    <row r="516" spans="8:16">
      <c r="H516" s="516">
        <v>0</v>
      </c>
      <c r="I516" s="516">
        <v>0.99999999999999989</v>
      </c>
      <c r="J516" s="517" t="s">
        <v>1240</v>
      </c>
      <c r="M516" s="513">
        <v>0</v>
      </c>
      <c r="N516" s="516">
        <v>1</v>
      </c>
      <c r="O516" s="518" t="s">
        <v>1240</v>
      </c>
      <c r="P516" s="13" t="s">
        <v>1236</v>
      </c>
    </row>
    <row r="517" spans="8:16">
      <c r="H517" s="516">
        <v>0</v>
      </c>
      <c r="I517" s="516">
        <v>0.99999999999999989</v>
      </c>
      <c r="J517" s="517" t="s">
        <v>1240</v>
      </c>
      <c r="M517" s="513">
        <v>0</v>
      </c>
      <c r="N517" s="516">
        <v>1</v>
      </c>
      <c r="O517" s="518" t="s">
        <v>1240</v>
      </c>
      <c r="P517" s="13" t="s">
        <v>1236</v>
      </c>
    </row>
    <row r="518" spans="8:16">
      <c r="H518" s="516">
        <v>0</v>
      </c>
      <c r="I518" s="516">
        <v>0.99999999999999989</v>
      </c>
      <c r="J518" s="517" t="s">
        <v>1240</v>
      </c>
      <c r="M518" s="513">
        <v>0</v>
      </c>
      <c r="N518" s="516">
        <v>1</v>
      </c>
      <c r="O518" s="518" t="s">
        <v>1240</v>
      </c>
      <c r="P518" s="13" t="s">
        <v>1236</v>
      </c>
    </row>
    <row r="519" spans="8:16">
      <c r="H519" s="516">
        <v>0</v>
      </c>
      <c r="I519" s="516">
        <v>0.99999999999999989</v>
      </c>
      <c r="J519" s="517" t="s">
        <v>1240</v>
      </c>
      <c r="M519" s="513">
        <v>0</v>
      </c>
      <c r="N519" s="516">
        <v>1</v>
      </c>
      <c r="O519" s="518" t="s">
        <v>1240</v>
      </c>
      <c r="P519" s="13" t="s">
        <v>1236</v>
      </c>
    </row>
    <row r="520" spans="8:16">
      <c r="H520" s="516">
        <v>0</v>
      </c>
      <c r="I520" s="516">
        <v>0.99999999999999989</v>
      </c>
      <c r="J520" s="517" t="s">
        <v>1240</v>
      </c>
      <c r="M520" s="513">
        <v>0</v>
      </c>
      <c r="N520" s="516">
        <v>1</v>
      </c>
      <c r="O520" s="518" t="s">
        <v>1240</v>
      </c>
      <c r="P520" s="13" t="s">
        <v>1236</v>
      </c>
    </row>
    <row r="521" spans="8:16">
      <c r="H521" s="516">
        <v>0</v>
      </c>
      <c r="I521" s="516">
        <v>0.99999999999999989</v>
      </c>
      <c r="J521" s="517" t="s">
        <v>1240</v>
      </c>
      <c r="M521" s="513">
        <v>0</v>
      </c>
      <c r="N521" s="516">
        <v>1</v>
      </c>
      <c r="O521" s="518" t="s">
        <v>1240</v>
      </c>
      <c r="P521" s="13" t="s">
        <v>1236</v>
      </c>
    </row>
    <row r="522" spans="8:16">
      <c r="H522" s="516">
        <v>0</v>
      </c>
      <c r="I522" s="516">
        <v>0.99999999999999989</v>
      </c>
      <c r="J522" s="517" t="s">
        <v>1240</v>
      </c>
      <c r="M522" s="513">
        <v>0</v>
      </c>
      <c r="N522" s="516">
        <v>1</v>
      </c>
      <c r="O522" s="518" t="s">
        <v>1240</v>
      </c>
      <c r="P522" s="13" t="s">
        <v>1236</v>
      </c>
    </row>
    <row r="523" spans="8:16">
      <c r="H523" s="516">
        <v>0</v>
      </c>
      <c r="I523" s="516">
        <v>0.99999999999999989</v>
      </c>
      <c r="J523" s="517" t="s">
        <v>1240</v>
      </c>
      <c r="M523" s="513">
        <v>0</v>
      </c>
      <c r="N523" s="516">
        <v>1</v>
      </c>
      <c r="O523" s="518" t="s">
        <v>1240</v>
      </c>
      <c r="P523" s="13" t="s">
        <v>1236</v>
      </c>
    </row>
    <row r="524" spans="8:16">
      <c r="H524" s="516">
        <v>0</v>
      </c>
      <c r="I524" s="516">
        <v>0.99999999999999989</v>
      </c>
      <c r="J524" s="517" t="s">
        <v>1240</v>
      </c>
      <c r="M524" s="513">
        <v>0</v>
      </c>
      <c r="N524" s="516">
        <v>1</v>
      </c>
      <c r="O524" s="518" t="s">
        <v>1240</v>
      </c>
      <c r="P524" s="13" t="s">
        <v>1236</v>
      </c>
    </row>
    <row r="525" spans="8:16">
      <c r="H525" s="516">
        <v>0</v>
      </c>
      <c r="I525" s="516">
        <v>0.99999999999999989</v>
      </c>
      <c r="J525" s="517" t="s">
        <v>1240</v>
      </c>
      <c r="M525" s="513">
        <v>0</v>
      </c>
      <c r="N525" s="516">
        <v>1</v>
      </c>
      <c r="O525" s="518" t="s">
        <v>1240</v>
      </c>
      <c r="P525" s="13" t="s">
        <v>1236</v>
      </c>
    </row>
    <row r="526" spans="8:16">
      <c r="H526" s="516">
        <v>0</v>
      </c>
      <c r="I526" s="516">
        <v>0.99999999999999989</v>
      </c>
      <c r="J526" s="517" t="s">
        <v>1240</v>
      </c>
      <c r="M526" s="513">
        <v>0</v>
      </c>
      <c r="N526" s="516">
        <v>1</v>
      </c>
      <c r="O526" s="518" t="s">
        <v>1240</v>
      </c>
      <c r="P526" s="13" t="s">
        <v>1236</v>
      </c>
    </row>
    <row r="527" spans="8:16">
      <c r="H527" s="516">
        <v>0</v>
      </c>
      <c r="I527" s="516">
        <v>0.99999999999999989</v>
      </c>
      <c r="J527" s="517" t="s">
        <v>1240</v>
      </c>
      <c r="M527" s="513">
        <v>0</v>
      </c>
      <c r="N527" s="516">
        <v>1</v>
      </c>
      <c r="O527" s="518" t="s">
        <v>1240</v>
      </c>
      <c r="P527" s="13" t="s">
        <v>1236</v>
      </c>
    </row>
    <row r="528" spans="8:16">
      <c r="H528" s="516">
        <v>0</v>
      </c>
      <c r="I528" s="516">
        <v>0.99999999999999989</v>
      </c>
      <c r="J528" s="517" t="s">
        <v>1240</v>
      </c>
      <c r="M528" s="513">
        <v>0</v>
      </c>
      <c r="N528" s="516">
        <v>1</v>
      </c>
      <c r="O528" s="518" t="s">
        <v>1240</v>
      </c>
      <c r="P528" s="13" t="s">
        <v>1236</v>
      </c>
    </row>
    <row r="529" spans="8:16">
      <c r="H529" s="516">
        <v>0</v>
      </c>
      <c r="I529" s="516">
        <v>0.99999999999999989</v>
      </c>
      <c r="J529" s="517" t="s">
        <v>1240</v>
      </c>
      <c r="M529" s="513">
        <v>0</v>
      </c>
      <c r="N529" s="516">
        <v>1</v>
      </c>
      <c r="O529" s="518" t="s">
        <v>1240</v>
      </c>
      <c r="P529" s="13" t="s">
        <v>1236</v>
      </c>
    </row>
    <row r="530" spans="8:16">
      <c r="H530" s="516">
        <v>0</v>
      </c>
      <c r="I530" s="516">
        <v>0.99999999999999989</v>
      </c>
      <c r="J530" s="517" t="s">
        <v>1240</v>
      </c>
      <c r="M530" s="513">
        <v>0</v>
      </c>
      <c r="N530" s="516">
        <v>1</v>
      </c>
      <c r="O530" s="518" t="s">
        <v>1240</v>
      </c>
      <c r="P530" s="13" t="s">
        <v>1236</v>
      </c>
    </row>
    <row r="531" spans="8:16">
      <c r="H531" s="516">
        <v>0</v>
      </c>
      <c r="I531" s="516">
        <v>0.99999999999999989</v>
      </c>
      <c r="J531" s="517" t="s">
        <v>1240</v>
      </c>
      <c r="M531" s="513">
        <v>0</v>
      </c>
      <c r="N531" s="516">
        <v>1</v>
      </c>
      <c r="O531" s="518" t="s">
        <v>1240</v>
      </c>
      <c r="P531" s="13" t="s">
        <v>1236</v>
      </c>
    </row>
    <row r="532" spans="8:16">
      <c r="H532" s="516">
        <v>0</v>
      </c>
      <c r="I532" s="516">
        <v>0.99999999999999989</v>
      </c>
      <c r="J532" s="517" t="s">
        <v>1240</v>
      </c>
      <c r="M532" s="513">
        <v>0</v>
      </c>
      <c r="N532" s="516">
        <v>1</v>
      </c>
      <c r="O532" s="518" t="s">
        <v>1240</v>
      </c>
      <c r="P532" s="13" t="s">
        <v>1236</v>
      </c>
    </row>
    <row r="533" spans="8:16">
      <c r="H533" s="516">
        <v>0</v>
      </c>
      <c r="I533" s="516">
        <v>0.99999999999999989</v>
      </c>
      <c r="J533" s="517" t="s">
        <v>1240</v>
      </c>
      <c r="M533" s="513">
        <v>0</v>
      </c>
      <c r="N533" s="516">
        <v>1</v>
      </c>
      <c r="O533" s="518" t="s">
        <v>1240</v>
      </c>
      <c r="P533" s="13" t="s">
        <v>1236</v>
      </c>
    </row>
    <row r="534" spans="8:16">
      <c r="H534" s="516">
        <v>0</v>
      </c>
      <c r="I534" s="516">
        <v>0.99999999999999989</v>
      </c>
      <c r="J534" s="517" t="s">
        <v>1240</v>
      </c>
      <c r="M534" s="513">
        <v>0</v>
      </c>
      <c r="N534" s="516">
        <v>1</v>
      </c>
      <c r="O534" s="518" t="s">
        <v>1240</v>
      </c>
      <c r="P534" s="13" t="s">
        <v>1236</v>
      </c>
    </row>
    <row r="535" spans="8:16">
      <c r="H535" s="516">
        <v>0</v>
      </c>
      <c r="I535" s="516">
        <v>0.99999999999999989</v>
      </c>
      <c r="J535" s="517" t="s">
        <v>1240</v>
      </c>
      <c r="M535" s="513">
        <v>0</v>
      </c>
      <c r="N535" s="516">
        <v>1</v>
      </c>
      <c r="O535" s="518" t="s">
        <v>1240</v>
      </c>
      <c r="P535" s="13" t="s">
        <v>1236</v>
      </c>
    </row>
    <row r="536" spans="8:16">
      <c r="H536" s="516">
        <v>0</v>
      </c>
      <c r="I536" s="516">
        <v>0.99999999999999989</v>
      </c>
      <c r="J536" s="517" t="s">
        <v>1240</v>
      </c>
      <c r="M536" s="513">
        <v>0</v>
      </c>
      <c r="N536" s="516">
        <v>1</v>
      </c>
      <c r="O536" s="518" t="s">
        <v>1240</v>
      </c>
      <c r="P536" s="13" t="s">
        <v>1236</v>
      </c>
    </row>
    <row r="537" spans="8:16">
      <c r="H537" s="516">
        <v>0</v>
      </c>
      <c r="I537" s="516">
        <v>0.99999999999999989</v>
      </c>
      <c r="J537" s="517" t="s">
        <v>1240</v>
      </c>
      <c r="M537" s="513">
        <v>0</v>
      </c>
      <c r="N537" s="516">
        <v>1</v>
      </c>
      <c r="O537" s="518" t="s">
        <v>1240</v>
      </c>
      <c r="P537" s="13" t="s">
        <v>1236</v>
      </c>
    </row>
    <row r="538" spans="8:16">
      <c r="H538" s="516">
        <v>0</v>
      </c>
      <c r="I538" s="516">
        <v>0.99999999999999989</v>
      </c>
      <c r="J538" s="517" t="s">
        <v>1240</v>
      </c>
      <c r="M538" s="513">
        <v>0</v>
      </c>
      <c r="N538" s="516">
        <v>1</v>
      </c>
      <c r="O538" s="518" t="s">
        <v>1240</v>
      </c>
      <c r="P538" s="13" t="s">
        <v>1236</v>
      </c>
    </row>
    <row r="539" spans="8:16">
      <c r="H539" s="516">
        <v>0</v>
      </c>
      <c r="I539" s="516">
        <v>0.99999999999999989</v>
      </c>
      <c r="J539" s="517" t="s">
        <v>1240</v>
      </c>
      <c r="M539" s="513">
        <v>0</v>
      </c>
      <c r="N539" s="516">
        <v>1</v>
      </c>
      <c r="O539" s="518" t="s">
        <v>1240</v>
      </c>
      <c r="P539" s="13" t="s">
        <v>1236</v>
      </c>
    </row>
    <row r="540" spans="8:16">
      <c r="H540" s="516">
        <v>0</v>
      </c>
      <c r="I540" s="516">
        <v>0.99999999999999989</v>
      </c>
      <c r="J540" s="517" t="s">
        <v>1240</v>
      </c>
      <c r="M540" s="513">
        <v>0</v>
      </c>
      <c r="N540" s="516">
        <v>1</v>
      </c>
      <c r="O540" s="518" t="s">
        <v>1240</v>
      </c>
      <c r="P540" s="13" t="s">
        <v>1236</v>
      </c>
    </row>
    <row r="541" spans="8:16">
      <c r="H541" s="516">
        <v>0</v>
      </c>
      <c r="I541" s="516">
        <v>0.99999999999999989</v>
      </c>
      <c r="J541" s="517" t="s">
        <v>1240</v>
      </c>
      <c r="M541" s="513">
        <v>0</v>
      </c>
      <c r="N541" s="516">
        <v>1</v>
      </c>
      <c r="O541" s="518" t="s">
        <v>1240</v>
      </c>
      <c r="P541" s="13" t="s">
        <v>1236</v>
      </c>
    </row>
    <row r="542" spans="8:16">
      <c r="H542" s="516">
        <v>0</v>
      </c>
      <c r="I542" s="516">
        <v>0.99999999999999989</v>
      </c>
      <c r="J542" s="517" t="s">
        <v>1240</v>
      </c>
      <c r="M542" s="513">
        <v>0</v>
      </c>
      <c r="N542" s="516">
        <v>1</v>
      </c>
      <c r="O542" s="518" t="s">
        <v>1240</v>
      </c>
      <c r="P542" s="13" t="s">
        <v>1236</v>
      </c>
    </row>
    <row r="543" spans="8:16">
      <c r="H543" s="516">
        <v>0</v>
      </c>
      <c r="I543" s="516">
        <v>0.99999999999999989</v>
      </c>
      <c r="J543" s="517" t="s">
        <v>1240</v>
      </c>
      <c r="M543" s="513">
        <v>0</v>
      </c>
      <c r="N543" s="516">
        <v>1</v>
      </c>
      <c r="O543" s="518" t="s">
        <v>1240</v>
      </c>
      <c r="P543" s="13" t="s">
        <v>1236</v>
      </c>
    </row>
    <row r="544" spans="8:16">
      <c r="H544" s="516">
        <v>0</v>
      </c>
      <c r="I544" s="516">
        <v>0.99999999999999989</v>
      </c>
      <c r="J544" s="517" t="s">
        <v>1240</v>
      </c>
      <c r="M544" s="513">
        <v>0</v>
      </c>
      <c r="N544" s="516">
        <v>1</v>
      </c>
      <c r="O544" s="518" t="s">
        <v>1240</v>
      </c>
      <c r="P544" s="13" t="s">
        <v>1236</v>
      </c>
    </row>
    <row r="545" spans="8:16">
      <c r="H545" s="516">
        <v>0</v>
      </c>
      <c r="I545" s="516">
        <v>0.99999999999999989</v>
      </c>
      <c r="J545" s="517" t="s">
        <v>1240</v>
      </c>
      <c r="M545" s="513">
        <v>0</v>
      </c>
      <c r="N545" s="516">
        <v>1</v>
      </c>
      <c r="O545" s="518" t="s">
        <v>1240</v>
      </c>
      <c r="P545" s="13" t="s">
        <v>1236</v>
      </c>
    </row>
    <row r="546" spans="8:16">
      <c r="H546" s="516">
        <v>0</v>
      </c>
      <c r="I546" s="516">
        <v>0.99999999999999989</v>
      </c>
      <c r="J546" s="517" t="s">
        <v>1240</v>
      </c>
      <c r="M546" s="513">
        <v>0</v>
      </c>
      <c r="N546" s="516">
        <v>1</v>
      </c>
      <c r="O546" s="518" t="s">
        <v>1240</v>
      </c>
      <c r="P546" s="13" t="s">
        <v>1236</v>
      </c>
    </row>
    <row r="547" spans="8:16">
      <c r="H547" s="516">
        <v>0</v>
      </c>
      <c r="I547" s="516">
        <v>0.99999999999999989</v>
      </c>
      <c r="J547" s="517" t="s">
        <v>1240</v>
      </c>
      <c r="M547" s="513">
        <v>0</v>
      </c>
      <c r="N547" s="516">
        <v>1</v>
      </c>
      <c r="O547" s="518" t="s">
        <v>1240</v>
      </c>
      <c r="P547" s="13" t="s">
        <v>1236</v>
      </c>
    </row>
    <row r="548" spans="8:16">
      <c r="H548" s="516">
        <v>0</v>
      </c>
      <c r="I548" s="516">
        <v>0.99999999999999989</v>
      </c>
      <c r="J548" s="517" t="s">
        <v>1240</v>
      </c>
      <c r="M548" s="513">
        <v>0</v>
      </c>
      <c r="N548" s="516">
        <v>1</v>
      </c>
      <c r="O548" s="518" t="s">
        <v>1240</v>
      </c>
      <c r="P548" s="13" t="s">
        <v>1236</v>
      </c>
    </row>
    <row r="549" spans="8:16">
      <c r="H549" s="516">
        <v>0</v>
      </c>
      <c r="I549" s="516">
        <v>0.99999999999999989</v>
      </c>
      <c r="J549" s="517" t="s">
        <v>1240</v>
      </c>
      <c r="M549" s="513">
        <v>0</v>
      </c>
      <c r="N549" s="516">
        <v>1</v>
      </c>
      <c r="O549" s="518" t="s">
        <v>1240</v>
      </c>
      <c r="P549" s="13" t="s">
        <v>1236</v>
      </c>
    </row>
    <row r="550" spans="8:16">
      <c r="H550" s="516">
        <v>0</v>
      </c>
      <c r="I550" s="516">
        <v>0.99999999999999989</v>
      </c>
      <c r="J550" s="517" t="s">
        <v>1240</v>
      </c>
      <c r="M550" s="513">
        <v>0</v>
      </c>
      <c r="N550" s="516">
        <v>1</v>
      </c>
      <c r="O550" s="518" t="s">
        <v>1240</v>
      </c>
      <c r="P550" s="13" t="s">
        <v>1236</v>
      </c>
    </row>
    <row r="551" spans="8:16">
      <c r="H551" s="516">
        <v>0</v>
      </c>
      <c r="I551" s="516">
        <v>0.99999999999999989</v>
      </c>
      <c r="J551" s="517" t="s">
        <v>1240</v>
      </c>
      <c r="M551" s="513">
        <v>0</v>
      </c>
      <c r="N551" s="516">
        <v>1</v>
      </c>
      <c r="O551" s="518" t="s">
        <v>1240</v>
      </c>
      <c r="P551" s="13" t="s">
        <v>1236</v>
      </c>
    </row>
    <row r="552" spans="8:16">
      <c r="H552" s="516">
        <v>0</v>
      </c>
      <c r="I552" s="516">
        <v>0.99999999999999989</v>
      </c>
      <c r="J552" s="517" t="s">
        <v>1240</v>
      </c>
      <c r="M552" s="513">
        <v>0</v>
      </c>
      <c r="N552" s="516">
        <v>1</v>
      </c>
      <c r="O552" s="518" t="s">
        <v>1240</v>
      </c>
      <c r="P552" s="13" t="s">
        <v>1236</v>
      </c>
    </row>
    <row r="553" spans="8:16">
      <c r="H553" s="516">
        <v>0</v>
      </c>
      <c r="I553" s="516">
        <v>0.99999999999999989</v>
      </c>
      <c r="J553" s="517" t="s">
        <v>1240</v>
      </c>
      <c r="M553" s="513">
        <v>0</v>
      </c>
      <c r="N553" s="516">
        <v>1</v>
      </c>
      <c r="O553" s="518" t="s">
        <v>1240</v>
      </c>
      <c r="P553" s="13" t="s">
        <v>1236</v>
      </c>
    </row>
    <row r="554" spans="8:16">
      <c r="H554" s="516">
        <v>0</v>
      </c>
      <c r="I554" s="516">
        <v>0.99999999999999989</v>
      </c>
      <c r="J554" s="517" t="s">
        <v>1240</v>
      </c>
      <c r="M554" s="513">
        <v>0</v>
      </c>
      <c r="N554" s="516">
        <v>1</v>
      </c>
      <c r="O554" s="518" t="s">
        <v>1240</v>
      </c>
      <c r="P554" s="13" t="s">
        <v>1236</v>
      </c>
    </row>
    <row r="555" spans="8:16">
      <c r="H555" s="516">
        <v>0</v>
      </c>
      <c r="I555" s="516">
        <v>0.99999999999999989</v>
      </c>
      <c r="J555" s="517" t="s">
        <v>1240</v>
      </c>
      <c r="M555" s="513">
        <v>0</v>
      </c>
      <c r="N555" s="516">
        <v>1</v>
      </c>
      <c r="O555" s="518" t="s">
        <v>1240</v>
      </c>
      <c r="P555" s="13" t="s">
        <v>1236</v>
      </c>
    </row>
    <row r="556" spans="8:16">
      <c r="H556" s="516">
        <v>0</v>
      </c>
      <c r="I556" s="516">
        <v>0.99999999999999989</v>
      </c>
      <c r="J556" s="517" t="s">
        <v>1240</v>
      </c>
      <c r="M556" s="513">
        <v>0</v>
      </c>
      <c r="N556" s="516">
        <v>1</v>
      </c>
      <c r="O556" s="518" t="s">
        <v>1240</v>
      </c>
      <c r="P556" s="13" t="s">
        <v>1236</v>
      </c>
    </row>
    <row r="557" spans="8:16">
      <c r="H557" s="516">
        <v>0</v>
      </c>
      <c r="I557" s="516">
        <v>0.99999999999999989</v>
      </c>
      <c r="J557" s="517" t="s">
        <v>1240</v>
      </c>
      <c r="M557" s="513">
        <v>0</v>
      </c>
      <c r="N557" s="516">
        <v>1</v>
      </c>
      <c r="O557" s="518" t="s">
        <v>1240</v>
      </c>
      <c r="P557" s="13" t="s">
        <v>1236</v>
      </c>
    </row>
    <row r="558" spans="8:16">
      <c r="H558" s="516">
        <v>0</v>
      </c>
      <c r="I558" s="516">
        <v>0.99999999999999989</v>
      </c>
      <c r="J558" s="517" t="s">
        <v>1240</v>
      </c>
      <c r="M558" s="513">
        <v>0</v>
      </c>
      <c r="N558" s="516">
        <v>1</v>
      </c>
      <c r="O558" s="518" t="s">
        <v>1240</v>
      </c>
      <c r="P558" s="13" t="s">
        <v>1236</v>
      </c>
    </row>
    <row r="559" spans="8:16">
      <c r="H559" s="516">
        <v>0</v>
      </c>
      <c r="I559" s="516">
        <v>0.99999999999999989</v>
      </c>
      <c r="J559" s="517" t="s">
        <v>1240</v>
      </c>
      <c r="M559" s="513">
        <v>0</v>
      </c>
      <c r="N559" s="516">
        <v>1</v>
      </c>
      <c r="O559" s="518" t="s">
        <v>1240</v>
      </c>
      <c r="P559" s="13" t="s">
        <v>1236</v>
      </c>
    </row>
    <row r="560" spans="8:16">
      <c r="H560" s="516">
        <v>0</v>
      </c>
      <c r="I560" s="516">
        <v>0.99999999999999989</v>
      </c>
      <c r="J560" s="517" t="s">
        <v>1240</v>
      </c>
      <c r="M560" s="513">
        <v>0</v>
      </c>
      <c r="N560" s="516">
        <v>1</v>
      </c>
      <c r="O560" s="518" t="s">
        <v>1240</v>
      </c>
      <c r="P560" s="13" t="s">
        <v>1236</v>
      </c>
    </row>
    <row r="561" spans="8:16">
      <c r="H561" s="516">
        <v>0</v>
      </c>
      <c r="I561" s="516">
        <v>0.99999999999999989</v>
      </c>
      <c r="J561" s="517" t="s">
        <v>1240</v>
      </c>
      <c r="M561" s="513">
        <v>0</v>
      </c>
      <c r="N561" s="516">
        <v>1</v>
      </c>
      <c r="O561" s="518" t="s">
        <v>1240</v>
      </c>
      <c r="P561" s="13" t="s">
        <v>1236</v>
      </c>
    </row>
    <row r="562" spans="8:16">
      <c r="H562" s="516">
        <v>0</v>
      </c>
      <c r="I562" s="516">
        <v>0.99999999999999989</v>
      </c>
      <c r="J562" s="517" t="s">
        <v>1240</v>
      </c>
      <c r="M562" s="513">
        <v>0</v>
      </c>
      <c r="N562" s="516">
        <v>1</v>
      </c>
      <c r="O562" s="518" t="s">
        <v>1240</v>
      </c>
      <c r="P562" s="13" t="s">
        <v>1236</v>
      </c>
    </row>
    <row r="563" spans="8:16">
      <c r="H563" s="516">
        <v>0</v>
      </c>
      <c r="I563" s="516">
        <v>0.99999999999999989</v>
      </c>
      <c r="J563" s="517" t="s">
        <v>1240</v>
      </c>
      <c r="M563" s="513">
        <v>0</v>
      </c>
      <c r="N563" s="516">
        <v>1</v>
      </c>
      <c r="O563" s="518" t="s">
        <v>1240</v>
      </c>
      <c r="P563" s="13" t="s">
        <v>1236</v>
      </c>
    </row>
    <row r="564" spans="8:16">
      <c r="H564" s="516">
        <v>0</v>
      </c>
      <c r="I564" s="516">
        <v>0.99999999999999989</v>
      </c>
      <c r="J564" s="517" t="s">
        <v>1240</v>
      </c>
      <c r="M564" s="513">
        <v>0</v>
      </c>
      <c r="N564" s="516">
        <v>1</v>
      </c>
      <c r="O564" s="518" t="s">
        <v>1240</v>
      </c>
      <c r="P564" s="13" t="s">
        <v>1236</v>
      </c>
    </row>
    <row r="565" spans="8:16">
      <c r="H565" s="516">
        <v>0</v>
      </c>
      <c r="I565" s="516">
        <v>0.99999999999999989</v>
      </c>
      <c r="J565" s="517" t="s">
        <v>1240</v>
      </c>
      <c r="M565" s="513">
        <v>0</v>
      </c>
      <c r="N565" s="516">
        <v>1</v>
      </c>
      <c r="O565" s="518" t="s">
        <v>1240</v>
      </c>
      <c r="P565" s="13" t="s">
        <v>1236</v>
      </c>
    </row>
    <row r="566" spans="8:16">
      <c r="H566" s="516">
        <v>0</v>
      </c>
      <c r="I566" s="516">
        <v>0.99999999999999989</v>
      </c>
      <c r="J566" s="517" t="s">
        <v>1240</v>
      </c>
      <c r="M566" s="513">
        <v>0</v>
      </c>
      <c r="N566" s="516">
        <v>1</v>
      </c>
      <c r="O566" s="518" t="s">
        <v>1240</v>
      </c>
      <c r="P566" s="13" t="s">
        <v>1236</v>
      </c>
    </row>
    <row r="567" spans="8:16">
      <c r="H567" s="516">
        <v>0</v>
      </c>
      <c r="I567" s="516">
        <v>0.99999999999999989</v>
      </c>
      <c r="J567" s="517" t="s">
        <v>1240</v>
      </c>
      <c r="M567" s="513">
        <v>0</v>
      </c>
      <c r="N567" s="516">
        <v>1</v>
      </c>
      <c r="O567" s="518" t="s">
        <v>1240</v>
      </c>
      <c r="P567" s="13" t="s">
        <v>1236</v>
      </c>
    </row>
    <row r="568" spans="8:16">
      <c r="H568" s="516">
        <v>0</v>
      </c>
      <c r="I568" s="516">
        <v>0.99999999999999989</v>
      </c>
      <c r="J568" s="517" t="s">
        <v>1240</v>
      </c>
      <c r="M568" s="513">
        <v>0</v>
      </c>
      <c r="N568" s="516">
        <v>1</v>
      </c>
      <c r="O568" s="518" t="s">
        <v>1240</v>
      </c>
      <c r="P568" s="13" t="s">
        <v>1236</v>
      </c>
    </row>
    <row r="569" spans="8:16">
      <c r="H569" s="516">
        <v>0</v>
      </c>
      <c r="I569" s="516">
        <v>0.99999999999999989</v>
      </c>
      <c r="J569" s="517" t="s">
        <v>1240</v>
      </c>
      <c r="M569" s="513">
        <v>0</v>
      </c>
      <c r="N569" s="516">
        <v>1</v>
      </c>
      <c r="O569" s="518" t="s">
        <v>1240</v>
      </c>
      <c r="P569" s="13" t="s">
        <v>1236</v>
      </c>
    </row>
    <row r="570" spans="8:16">
      <c r="H570" s="516">
        <v>0</v>
      </c>
      <c r="I570" s="516">
        <v>0.99999999999999989</v>
      </c>
      <c r="J570" s="517" t="s">
        <v>1240</v>
      </c>
      <c r="M570" s="513">
        <v>0</v>
      </c>
      <c r="N570" s="516">
        <v>1</v>
      </c>
      <c r="O570" s="518" t="s">
        <v>1240</v>
      </c>
      <c r="P570" s="13" t="s">
        <v>1236</v>
      </c>
    </row>
    <row r="571" spans="8:16">
      <c r="H571" s="516">
        <v>0</v>
      </c>
      <c r="I571" s="516">
        <v>0.99999999999999989</v>
      </c>
      <c r="J571" s="517" t="s">
        <v>1240</v>
      </c>
      <c r="M571" s="513">
        <v>0</v>
      </c>
      <c r="N571" s="516">
        <v>1</v>
      </c>
      <c r="O571" s="518" t="s">
        <v>1240</v>
      </c>
      <c r="P571" s="13" t="s">
        <v>1236</v>
      </c>
    </row>
    <row r="572" spans="8:16">
      <c r="H572" s="516">
        <v>0</v>
      </c>
      <c r="I572" s="516">
        <v>0.99999999999999989</v>
      </c>
      <c r="J572" s="517" t="s">
        <v>1240</v>
      </c>
      <c r="M572" s="513">
        <v>0</v>
      </c>
      <c r="N572" s="516">
        <v>1</v>
      </c>
      <c r="O572" s="518" t="s">
        <v>1240</v>
      </c>
      <c r="P572" s="13" t="s">
        <v>1236</v>
      </c>
    </row>
    <row r="573" spans="8:16">
      <c r="H573" s="516">
        <v>0</v>
      </c>
      <c r="I573" s="516">
        <v>0.99999999999999989</v>
      </c>
      <c r="J573" s="517" t="s">
        <v>1240</v>
      </c>
      <c r="M573" s="513">
        <v>0</v>
      </c>
      <c r="N573" s="516">
        <v>1</v>
      </c>
      <c r="O573" s="518" t="s">
        <v>1240</v>
      </c>
      <c r="P573" s="13" t="s">
        <v>1236</v>
      </c>
    </row>
    <row r="574" spans="8:16">
      <c r="H574" s="516">
        <v>0</v>
      </c>
      <c r="I574" s="516">
        <v>0.99999999999999989</v>
      </c>
      <c r="J574" s="517" t="s">
        <v>1240</v>
      </c>
      <c r="M574" s="513">
        <v>0</v>
      </c>
      <c r="N574" s="516">
        <v>1</v>
      </c>
      <c r="O574" s="518" t="s">
        <v>1240</v>
      </c>
      <c r="P574" s="13" t="s">
        <v>1236</v>
      </c>
    </row>
    <row r="575" spans="8:16">
      <c r="H575" s="516">
        <v>0</v>
      </c>
      <c r="I575" s="516">
        <v>0.99999999999999989</v>
      </c>
      <c r="J575" s="517" t="s">
        <v>1240</v>
      </c>
      <c r="M575" s="513">
        <v>0</v>
      </c>
      <c r="N575" s="516">
        <v>1</v>
      </c>
      <c r="O575" s="518" t="s">
        <v>1240</v>
      </c>
      <c r="P575" s="13" t="s">
        <v>1236</v>
      </c>
    </row>
    <row r="576" spans="8:16">
      <c r="H576" s="516">
        <v>0</v>
      </c>
      <c r="I576" s="516">
        <v>0.99999999999999989</v>
      </c>
      <c r="J576" s="517" t="s">
        <v>1240</v>
      </c>
      <c r="M576" s="513">
        <v>0</v>
      </c>
      <c r="N576" s="516">
        <v>1</v>
      </c>
      <c r="O576" s="518" t="s">
        <v>1240</v>
      </c>
      <c r="P576" s="13" t="s">
        <v>1236</v>
      </c>
    </row>
    <row r="577" spans="8:16">
      <c r="H577" s="516">
        <v>0</v>
      </c>
      <c r="I577" s="516">
        <v>0.99999999999999989</v>
      </c>
      <c r="J577" s="517" t="s">
        <v>1240</v>
      </c>
      <c r="M577" s="513">
        <v>0</v>
      </c>
      <c r="N577" s="516">
        <v>1</v>
      </c>
      <c r="O577" s="518" t="s">
        <v>1240</v>
      </c>
      <c r="P577" s="13" t="s">
        <v>1236</v>
      </c>
    </row>
    <row r="578" spans="8:16">
      <c r="H578" s="516">
        <v>0</v>
      </c>
      <c r="I578" s="516">
        <v>0.99999999999999989</v>
      </c>
      <c r="J578" s="517" t="s">
        <v>1240</v>
      </c>
      <c r="M578" s="513">
        <v>0</v>
      </c>
      <c r="N578" s="516">
        <v>1</v>
      </c>
      <c r="O578" s="518" t="s">
        <v>1240</v>
      </c>
      <c r="P578" s="13" t="s">
        <v>1236</v>
      </c>
    </row>
    <row r="579" spans="8:16">
      <c r="H579" s="516">
        <v>0</v>
      </c>
      <c r="I579" s="516">
        <v>0.99999999999999989</v>
      </c>
      <c r="J579" s="517" t="s">
        <v>1240</v>
      </c>
      <c r="M579" s="513">
        <v>0</v>
      </c>
      <c r="N579" s="516">
        <v>1</v>
      </c>
      <c r="O579" s="518" t="s">
        <v>1240</v>
      </c>
      <c r="P579" s="13" t="s">
        <v>1236</v>
      </c>
    </row>
    <row r="580" spans="8:16">
      <c r="H580" s="516">
        <v>0</v>
      </c>
      <c r="I580" s="516">
        <v>0.99999999999999989</v>
      </c>
      <c r="J580" s="517" t="s">
        <v>1240</v>
      </c>
      <c r="M580" s="513">
        <v>0</v>
      </c>
      <c r="N580" s="516">
        <v>1</v>
      </c>
      <c r="O580" s="518" t="s">
        <v>1240</v>
      </c>
      <c r="P580" s="13" t="s">
        <v>1236</v>
      </c>
    </row>
    <row r="581" spans="8:16">
      <c r="H581" s="516">
        <v>0</v>
      </c>
      <c r="I581" s="516">
        <v>0.99999999999999989</v>
      </c>
      <c r="J581" s="517" t="s">
        <v>1240</v>
      </c>
      <c r="M581" s="513">
        <v>0</v>
      </c>
      <c r="N581" s="516">
        <v>1</v>
      </c>
      <c r="O581" s="518" t="s">
        <v>1240</v>
      </c>
      <c r="P581" s="13" t="s">
        <v>1236</v>
      </c>
    </row>
    <row r="582" spans="8:16">
      <c r="H582" s="516">
        <v>0</v>
      </c>
      <c r="I582" s="516">
        <v>0.99999999999999989</v>
      </c>
      <c r="J582" s="517" t="s">
        <v>1240</v>
      </c>
      <c r="M582" s="513">
        <v>0</v>
      </c>
      <c r="N582" s="516">
        <v>1</v>
      </c>
      <c r="O582" s="518" t="s">
        <v>1240</v>
      </c>
      <c r="P582" s="13" t="s">
        <v>1236</v>
      </c>
    </row>
    <row r="583" spans="8:16">
      <c r="H583" s="516">
        <v>0</v>
      </c>
      <c r="I583" s="516">
        <v>0.99999999999999989</v>
      </c>
      <c r="J583" s="517" t="s">
        <v>1240</v>
      </c>
      <c r="M583" s="513">
        <v>0</v>
      </c>
      <c r="N583" s="516">
        <v>1</v>
      </c>
      <c r="O583" s="518" t="s">
        <v>1240</v>
      </c>
      <c r="P583" s="13" t="s">
        <v>1236</v>
      </c>
    </row>
    <row r="584" spans="8:16">
      <c r="H584" s="516">
        <v>0</v>
      </c>
      <c r="I584" s="516">
        <v>0.99999999999999989</v>
      </c>
      <c r="J584" s="517" t="s">
        <v>1240</v>
      </c>
      <c r="M584" s="513">
        <v>0</v>
      </c>
      <c r="N584" s="516">
        <v>1</v>
      </c>
      <c r="O584" s="518" t="s">
        <v>1240</v>
      </c>
      <c r="P584" s="13" t="s">
        <v>1236</v>
      </c>
    </row>
    <row r="585" spans="8:16">
      <c r="H585" s="516">
        <v>0</v>
      </c>
      <c r="I585" s="516">
        <v>0.99999999999999989</v>
      </c>
      <c r="J585" s="517" t="s">
        <v>1240</v>
      </c>
      <c r="M585" s="513">
        <v>0</v>
      </c>
      <c r="N585" s="516">
        <v>1</v>
      </c>
      <c r="O585" s="518" t="s">
        <v>1240</v>
      </c>
      <c r="P585" s="13" t="s">
        <v>1236</v>
      </c>
    </row>
    <row r="586" spans="8:16">
      <c r="H586" s="516">
        <v>0</v>
      </c>
      <c r="I586" s="516">
        <v>0.99999999999999989</v>
      </c>
      <c r="J586" s="517" t="s">
        <v>1240</v>
      </c>
      <c r="M586" s="513">
        <v>0</v>
      </c>
      <c r="N586" s="516">
        <v>1</v>
      </c>
      <c r="O586" s="518" t="s">
        <v>1240</v>
      </c>
      <c r="P586" s="13" t="s">
        <v>1236</v>
      </c>
    </row>
    <row r="587" spans="8:16">
      <c r="H587" s="516">
        <v>0</v>
      </c>
      <c r="I587" s="516">
        <v>0.99999999999999989</v>
      </c>
      <c r="J587" s="517" t="s">
        <v>1240</v>
      </c>
      <c r="M587" s="513">
        <v>0</v>
      </c>
      <c r="N587" s="516">
        <v>1</v>
      </c>
      <c r="O587" s="518" t="s">
        <v>1240</v>
      </c>
      <c r="P587" s="13" t="s">
        <v>1236</v>
      </c>
    </row>
    <row r="588" spans="8:16">
      <c r="H588" s="516">
        <v>0</v>
      </c>
      <c r="I588" s="516">
        <v>0.99999999999999989</v>
      </c>
      <c r="J588" s="517" t="s">
        <v>1240</v>
      </c>
      <c r="M588" s="513">
        <v>0</v>
      </c>
      <c r="N588" s="516">
        <v>1</v>
      </c>
      <c r="O588" s="518" t="s">
        <v>1240</v>
      </c>
      <c r="P588" s="13" t="s">
        <v>1236</v>
      </c>
    </row>
    <row r="589" spans="8:16">
      <c r="H589" s="516">
        <v>0</v>
      </c>
      <c r="I589" s="516">
        <v>0.99999999999999989</v>
      </c>
      <c r="J589" s="517" t="s">
        <v>1240</v>
      </c>
      <c r="M589" s="513">
        <v>0</v>
      </c>
      <c r="N589" s="516">
        <v>1</v>
      </c>
      <c r="O589" s="518" t="s">
        <v>1240</v>
      </c>
      <c r="P589" s="13" t="s">
        <v>1236</v>
      </c>
    </row>
    <row r="590" spans="8:16">
      <c r="H590" s="516">
        <v>0</v>
      </c>
      <c r="I590" s="516">
        <v>0.99999999999999989</v>
      </c>
      <c r="J590" s="517" t="s">
        <v>1240</v>
      </c>
      <c r="M590" s="513">
        <v>0</v>
      </c>
      <c r="N590" s="516">
        <v>1</v>
      </c>
      <c r="O590" s="518" t="s">
        <v>1240</v>
      </c>
      <c r="P590" s="13" t="s">
        <v>1236</v>
      </c>
    </row>
    <row r="591" spans="8:16">
      <c r="H591" s="516">
        <v>0</v>
      </c>
      <c r="I591" s="516">
        <v>0.99999999999999989</v>
      </c>
      <c r="J591" s="517" t="s">
        <v>1240</v>
      </c>
      <c r="M591" s="513">
        <v>0</v>
      </c>
      <c r="N591" s="516">
        <v>1</v>
      </c>
      <c r="O591" s="518" t="s">
        <v>1240</v>
      </c>
      <c r="P591" s="13" t="s">
        <v>1236</v>
      </c>
    </row>
    <row r="592" spans="8:16">
      <c r="H592" s="516">
        <v>0</v>
      </c>
      <c r="I592" s="516">
        <v>0.99999999999999989</v>
      </c>
      <c r="J592" s="517" t="s">
        <v>1240</v>
      </c>
      <c r="M592" s="513">
        <v>0</v>
      </c>
      <c r="N592" s="516">
        <v>1</v>
      </c>
      <c r="O592" s="518" t="s">
        <v>1240</v>
      </c>
      <c r="P592" s="13" t="s">
        <v>1236</v>
      </c>
    </row>
    <row r="593" spans="8:16">
      <c r="H593" s="516">
        <v>0</v>
      </c>
      <c r="I593" s="516">
        <v>0.99999999999999989</v>
      </c>
      <c r="J593" s="517" t="s">
        <v>1240</v>
      </c>
      <c r="M593" s="513">
        <v>0</v>
      </c>
      <c r="N593" s="516">
        <v>1</v>
      </c>
      <c r="O593" s="518" t="s">
        <v>1240</v>
      </c>
      <c r="P593" s="13" t="s">
        <v>1236</v>
      </c>
    </row>
    <row r="594" spans="8:16">
      <c r="H594" s="516">
        <v>0</v>
      </c>
      <c r="I594" s="516">
        <v>0.99999999999999989</v>
      </c>
      <c r="J594" s="517" t="s">
        <v>1240</v>
      </c>
      <c r="M594" s="513">
        <v>0</v>
      </c>
      <c r="N594" s="516">
        <v>1</v>
      </c>
      <c r="O594" s="518" t="s">
        <v>1240</v>
      </c>
      <c r="P594" s="13" t="s">
        <v>1236</v>
      </c>
    </row>
    <row r="595" spans="8:16">
      <c r="H595" s="516">
        <v>0</v>
      </c>
      <c r="I595" s="516">
        <v>0.99999999999999989</v>
      </c>
      <c r="J595" s="517" t="s">
        <v>1240</v>
      </c>
      <c r="M595" s="513">
        <v>0</v>
      </c>
      <c r="N595" s="516">
        <v>1</v>
      </c>
      <c r="O595" s="518" t="s">
        <v>1240</v>
      </c>
      <c r="P595" s="13" t="s">
        <v>1236</v>
      </c>
    </row>
    <row r="596" spans="8:16">
      <c r="H596" s="516">
        <v>0</v>
      </c>
      <c r="I596" s="516">
        <v>0.99999999999999989</v>
      </c>
      <c r="J596" s="517" t="s">
        <v>1240</v>
      </c>
      <c r="M596" s="513">
        <v>0</v>
      </c>
      <c r="N596" s="516">
        <v>1</v>
      </c>
      <c r="O596" s="518" t="s">
        <v>1240</v>
      </c>
      <c r="P596" s="13" t="s">
        <v>1236</v>
      </c>
    </row>
    <row r="597" spans="8:16">
      <c r="H597" s="516">
        <v>0</v>
      </c>
      <c r="I597" s="516">
        <v>0.99999999999999989</v>
      </c>
      <c r="J597" s="517" t="s">
        <v>1240</v>
      </c>
      <c r="M597" s="513">
        <v>0</v>
      </c>
      <c r="N597" s="516">
        <v>1</v>
      </c>
      <c r="O597" s="518" t="s">
        <v>1240</v>
      </c>
      <c r="P597" s="13" t="s">
        <v>1236</v>
      </c>
    </row>
    <row r="598" spans="8:16">
      <c r="H598" s="516">
        <v>0</v>
      </c>
      <c r="I598" s="516">
        <v>0.99999999999999989</v>
      </c>
      <c r="J598" s="517" t="s">
        <v>1240</v>
      </c>
      <c r="M598" s="513">
        <v>0</v>
      </c>
      <c r="N598" s="516">
        <v>1</v>
      </c>
      <c r="O598" s="518" t="s">
        <v>1240</v>
      </c>
      <c r="P598" s="13" t="s">
        <v>1236</v>
      </c>
    </row>
    <row r="599" spans="8:16">
      <c r="H599" s="516">
        <v>0</v>
      </c>
      <c r="I599" s="516">
        <v>0.99999999999999989</v>
      </c>
      <c r="J599" s="517" t="s">
        <v>1240</v>
      </c>
      <c r="M599" s="513">
        <v>0</v>
      </c>
      <c r="N599" s="516">
        <v>1</v>
      </c>
      <c r="O599" s="518" t="s">
        <v>1240</v>
      </c>
      <c r="P599" s="13" t="s">
        <v>1236</v>
      </c>
    </row>
    <row r="600" spans="8:16">
      <c r="H600" s="516">
        <v>0</v>
      </c>
      <c r="I600" s="516">
        <v>0.99999999999999989</v>
      </c>
      <c r="J600" s="517" t="s">
        <v>1240</v>
      </c>
      <c r="M600" s="513">
        <v>0</v>
      </c>
      <c r="N600" s="516">
        <v>1</v>
      </c>
      <c r="O600" s="518" t="s">
        <v>1240</v>
      </c>
      <c r="P600" s="13" t="s">
        <v>1236</v>
      </c>
    </row>
    <row r="601" spans="8:16">
      <c r="H601" s="516"/>
      <c r="I601" s="516"/>
      <c r="J601" s="517"/>
      <c r="M601" s="516"/>
      <c r="N601" s="516"/>
      <c r="O601" s="517"/>
    </row>
    <row r="602" spans="8:16">
      <c r="H602" s="516"/>
      <c r="I602" s="516"/>
      <c r="J602" s="517"/>
      <c r="M602" s="516"/>
      <c r="N602" s="516"/>
      <c r="O602" s="517"/>
    </row>
    <row r="603" spans="8:16">
      <c r="H603" s="516"/>
      <c r="I603" s="516"/>
      <c r="J603" s="517"/>
      <c r="M603" s="516"/>
      <c r="N603" s="516"/>
      <c r="O603" s="517"/>
    </row>
    <row r="604" spans="8:16">
      <c r="H604" s="516"/>
      <c r="I604" s="516"/>
      <c r="J604" s="517"/>
      <c r="M604" s="516"/>
      <c r="N604" s="516"/>
      <c r="O604" s="517"/>
    </row>
    <row r="605" spans="8:16">
      <c r="H605" s="516"/>
      <c r="I605" s="516"/>
      <c r="J605" s="517"/>
      <c r="M605" s="516"/>
      <c r="N605" s="516"/>
      <c r="O605" s="517"/>
    </row>
    <row r="606" spans="8:16">
      <c r="H606" s="516"/>
      <c r="I606" s="516"/>
      <c r="J606" s="517"/>
      <c r="M606" s="516"/>
      <c r="N606" s="516"/>
      <c r="O606" s="517"/>
    </row>
    <row r="607" spans="8:16">
      <c r="H607" s="516"/>
      <c r="I607" s="516"/>
      <c r="J607" s="517"/>
      <c r="M607" s="516"/>
      <c r="N607" s="516"/>
      <c r="O607" s="517"/>
    </row>
    <row r="608" spans="8:16">
      <c r="H608" s="516"/>
      <c r="I608" s="516"/>
      <c r="J608" s="517"/>
      <c r="M608" s="516"/>
      <c r="N608" s="516"/>
      <c r="O608" s="517"/>
    </row>
    <row r="609" spans="8:15">
      <c r="H609" s="516"/>
      <c r="I609" s="516"/>
      <c r="J609" s="517"/>
      <c r="M609" s="516"/>
      <c r="N609" s="516"/>
      <c r="O609" s="517"/>
    </row>
    <row r="610" spans="8:15">
      <c r="H610" s="516"/>
      <c r="I610" s="516"/>
      <c r="J610" s="517"/>
      <c r="M610" s="516"/>
      <c r="N610" s="516"/>
      <c r="O610" s="517"/>
    </row>
    <row r="611" spans="8:15">
      <c r="H611" s="516"/>
      <c r="I611" s="516"/>
      <c r="J611" s="517"/>
      <c r="M611" s="516"/>
      <c r="N611" s="516"/>
      <c r="O611" s="517"/>
    </row>
    <row r="612" spans="8:15">
      <c r="H612" s="516"/>
      <c r="I612" s="516"/>
      <c r="J612" s="517"/>
      <c r="M612" s="516"/>
      <c r="N612" s="516"/>
      <c r="O612" s="517"/>
    </row>
    <row r="613" spans="8:15">
      <c r="H613" s="516"/>
      <c r="I613" s="516"/>
      <c r="J613" s="517"/>
      <c r="M613" s="516"/>
      <c r="N613" s="516"/>
      <c r="O613" s="517"/>
    </row>
  </sheetData>
  <autoFilter ref="A1:H12" xr:uid="{00000000-0009-0000-0000-000001000000}"/>
  <mergeCells count="2">
    <mergeCell ref="F8:G9"/>
    <mergeCell ref="K8:L9"/>
  </mergeCells>
  <conditionalFormatting sqref="I14:J613 N14:P613">
    <cfRule type="expression" dxfId="97" priority="1">
      <formula>$A14=""</formula>
    </cfRule>
  </conditionalFormatting>
  <printOptions horizontalCentered="1"/>
  <pageMargins left="0.39370078740157477" right="0.59055118110236215" top="0.39370078740157477" bottom="0.59055118110236227" header="0.31496062992125984" footer="0.23622047244094491"/>
  <pageSetup paperSize="9" scale="48" fitToHeight="21" orientation="landscape" r:id="rId1"/>
  <headerFooter>
    <oddFooter>&amp;C&amp;8Página &amp;P/&amp;N</oddFooter>
  </headerFooter>
  <rowBreaks count="1" manualBreakCount="1">
    <brk id="24" max="1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42</vt:i4>
      </vt:variant>
      <vt:variant>
        <vt:lpstr>Intervalos Nomeados</vt:lpstr>
      </vt:variant>
      <vt:variant>
        <vt:i4>114</vt:i4>
      </vt:variant>
    </vt:vector>
  </HeadingPairs>
  <TitlesOfParts>
    <vt:vector size="156" baseType="lpstr">
      <vt:lpstr>PAINEL</vt:lpstr>
      <vt:lpstr>Orcamento ND</vt:lpstr>
      <vt:lpstr>Memoria_Insumos</vt:lpstr>
      <vt:lpstr>Cronograma ND</vt:lpstr>
      <vt:lpstr>BDI Obra</vt:lpstr>
      <vt:lpstr>BDI Projeto</vt:lpstr>
      <vt:lpstr>Curva ABC ND</vt:lpstr>
      <vt:lpstr>Pareto ND</vt:lpstr>
      <vt:lpstr>ADM_Local ND</vt:lpstr>
      <vt:lpstr>Dados_DMT</vt:lpstr>
      <vt:lpstr>Estatística_Deson</vt:lpstr>
      <vt:lpstr>S_Preliminares</vt:lpstr>
      <vt:lpstr>CANTEIRO</vt:lpstr>
      <vt:lpstr>Demolicao</vt:lpstr>
      <vt:lpstr>Dren_Quantificacao</vt:lpstr>
      <vt:lpstr>Dre_Ser_Prelim</vt:lpstr>
      <vt:lpstr>Dre_Terraplenagem</vt:lpstr>
      <vt:lpstr>Dre_Disp_Estruturais</vt:lpstr>
      <vt:lpstr>Dre_Profunda</vt:lpstr>
      <vt:lpstr>Dre_Fecha_Vala</vt:lpstr>
      <vt:lpstr>Bacia_Amortecimento</vt:lpstr>
      <vt:lpstr>Recap_Previo</vt:lpstr>
      <vt:lpstr>Recap_Final</vt:lpstr>
      <vt:lpstr>Relevancia</vt:lpstr>
      <vt:lpstr>Planilha1</vt:lpstr>
      <vt:lpstr>Pav_Dados</vt:lpstr>
      <vt:lpstr>Pav_Terraplenagem</vt:lpstr>
      <vt:lpstr>Pav_Estrutura</vt:lpstr>
      <vt:lpstr>S_Complementares</vt:lpstr>
      <vt:lpstr>Passeio</vt:lpstr>
      <vt:lpstr>Ciclovia</vt:lpstr>
      <vt:lpstr>Cubação - Canteiro</vt:lpstr>
      <vt:lpstr>Tabelas Auxiliares</vt:lpstr>
      <vt:lpstr>Sinal_Via</vt:lpstr>
      <vt:lpstr>MEMÓRIA_PONTE</vt:lpstr>
      <vt:lpstr>Ponto_Onibus</vt:lpstr>
      <vt:lpstr>Calculo numero N</vt:lpstr>
      <vt:lpstr>Geotecnia</vt:lpstr>
      <vt:lpstr>Pav_Dim</vt:lpstr>
      <vt:lpstr>Dren_Dim</vt:lpstr>
      <vt:lpstr>B_Amort_01 -</vt:lpstr>
      <vt:lpstr>B_Amort_01</vt:lpstr>
      <vt:lpstr>ADM_Local!Area_de_impressao</vt:lpstr>
      <vt:lpstr>'ADM_Local ND'!Area_de_impressao</vt:lpstr>
      <vt:lpstr>Bacia_Amortecimento!Area_de_impressao</vt:lpstr>
      <vt:lpstr>'BDI Obra'!Area_de_impressao</vt:lpstr>
      <vt:lpstr>'BDI Projeto'!Area_de_impressao</vt:lpstr>
      <vt:lpstr>Ciclovia!Area_de_impressao</vt:lpstr>
      <vt:lpstr>Cronograma!Area_de_impressao</vt:lpstr>
      <vt:lpstr>'Cronograma ND'!Area_de_impressao</vt:lpstr>
      <vt:lpstr>'Cubação - Canteiro'!Area_de_impressao</vt:lpstr>
      <vt:lpstr>'Curva ABC'!Area_de_impressao</vt:lpstr>
      <vt:lpstr>'Curva ABC ND'!Area_de_impressao</vt:lpstr>
      <vt:lpstr>Dados_DMT!Area_de_impressao</vt:lpstr>
      <vt:lpstr>Demolicao!Area_de_impressao</vt:lpstr>
      <vt:lpstr>Dre_Disp_Estruturais!Area_de_impressao</vt:lpstr>
      <vt:lpstr>Dre_Fecha_Vala!Area_de_impressao</vt:lpstr>
      <vt:lpstr>Dre_Profunda!Area_de_impressao</vt:lpstr>
      <vt:lpstr>Dre_Ser_Prelim!Area_de_impressao</vt:lpstr>
      <vt:lpstr>Dre_Terraplenagem!Area_de_impressao</vt:lpstr>
      <vt:lpstr>Dren_Dim!Area_de_impressao</vt:lpstr>
      <vt:lpstr>Dren_Quantificacao!Area_de_impressao</vt:lpstr>
      <vt:lpstr>Estatística_Deson!Area_de_impressao</vt:lpstr>
      <vt:lpstr>Geotecnia!Area_de_impressao</vt:lpstr>
      <vt:lpstr>Memoria_Insumos!Area_de_impressao</vt:lpstr>
      <vt:lpstr>MEMÓRIA_PONTE!Area_de_impressao</vt:lpstr>
      <vt:lpstr>Orcamento!Area_de_impressao</vt:lpstr>
      <vt:lpstr>'Orcamento ND'!Area_de_impressao</vt:lpstr>
      <vt:lpstr>PAINEL!Area_de_impressao</vt:lpstr>
      <vt:lpstr>Pareto!Area_de_impressao</vt:lpstr>
      <vt:lpstr>'Pareto ND'!Area_de_impressao</vt:lpstr>
      <vt:lpstr>Passeio!Area_de_impressao</vt:lpstr>
      <vt:lpstr>Pav_Dados!Area_de_impressao</vt:lpstr>
      <vt:lpstr>Pav_Dim!Area_de_impressao</vt:lpstr>
      <vt:lpstr>Pav_Estrutura!Area_de_impressao</vt:lpstr>
      <vt:lpstr>Pav_Terraplenagem!Area_de_impressao</vt:lpstr>
      <vt:lpstr>Ponto_Onibus!Area_de_impressao</vt:lpstr>
      <vt:lpstr>Recap_Final!Area_de_impressao</vt:lpstr>
      <vt:lpstr>Recap_Previo!Area_de_impressao</vt:lpstr>
      <vt:lpstr>S_Complementares!Area_de_impressao</vt:lpstr>
      <vt:lpstr>S_Preliminares!Area_de_impressao</vt:lpstr>
      <vt:lpstr>Sinal_Via!Area_de_impressao</vt:lpstr>
      <vt:lpstr>Bacia_Amortecimento_FILTER</vt:lpstr>
      <vt:lpstr>'Orcamento ND'!BRASAO_MUNICIPIO</vt:lpstr>
      <vt:lpstr>BRASAO_MUNICIPIO</vt:lpstr>
      <vt:lpstr>Ciclovia_FILTER</vt:lpstr>
      <vt:lpstr>'Cronograma ND'!CRONOGRAMA_CONCEDENTE_DE</vt:lpstr>
      <vt:lpstr>CRONOGRAMA_CONCEDENTE_DE</vt:lpstr>
      <vt:lpstr>'Cronograma ND'!CRONOGRAMA_CONCEDENTE_ND</vt:lpstr>
      <vt:lpstr>CRONOGRAMA_CONCEDENTE_ND</vt:lpstr>
      <vt:lpstr>'Cronograma ND'!Cronograma_Filtro</vt:lpstr>
      <vt:lpstr>Cronograma_Filtro</vt:lpstr>
      <vt:lpstr>'Cronograma ND'!CRONOGRAMA_PROPONENTE_DE</vt:lpstr>
      <vt:lpstr>CRONOGRAMA_PROPONENTE_DE</vt:lpstr>
      <vt:lpstr>'Cronograma ND'!CRONOGRAMA_PROPONENTE_ND</vt:lpstr>
      <vt:lpstr>CRONOGRAMA_PROPONENTE_ND</vt:lpstr>
      <vt:lpstr>'Curva ABC ND'!CURVA_ABC_DE_PARCIAL_DATA_CHART</vt:lpstr>
      <vt:lpstr>CURVA_ABC_DE_PARCIAL_DATA_CHART</vt:lpstr>
      <vt:lpstr>'Curva ABC ND'!CURVA_ABC_DE_TOTAL_DATA_CHART</vt:lpstr>
      <vt:lpstr>CURVA_ABC_DE_TOTAL_DATA_CHART</vt:lpstr>
      <vt:lpstr>'Curva ABC ND'!CURVA_ABC_ND_PARCIAL_DATA_CHART</vt:lpstr>
      <vt:lpstr>CURVA_ABC_ND_PARCIAL_DATA_CHART</vt:lpstr>
      <vt:lpstr>'Curva ABC ND'!CURVA_ABC_ND_TOTAL_DATA_CHART</vt:lpstr>
      <vt:lpstr>CURVA_ABC_ND_TOTAL_DATA_CHART</vt:lpstr>
      <vt:lpstr>DEMOLICAO_FILTER</vt:lpstr>
      <vt:lpstr>DRE_DIM_DIAMETROS</vt:lpstr>
      <vt:lpstr>Dre_Disp_Estruturais_FILTER</vt:lpstr>
      <vt:lpstr>Dre_Fecha_Vala_FILTER</vt:lpstr>
      <vt:lpstr>Dre_Profunda_FILTER</vt:lpstr>
      <vt:lpstr>Dre_Terraplenagem_FILTER</vt:lpstr>
      <vt:lpstr>'Cronograma ND'!FILTRO_CRONOGRAMA_IMPRESSAO</vt:lpstr>
      <vt:lpstr>FILTRO_CRONOGRAMA_IMPRESSAO</vt:lpstr>
      <vt:lpstr>'Orcamento ND'!FILTRO_ORCAMENTO</vt:lpstr>
      <vt:lpstr>FILTRO_ORCAMENTO</vt:lpstr>
      <vt:lpstr>'Orcamento ND'!LOGO_EMPRESA</vt:lpstr>
      <vt:lpstr>LOGO_EMPRESA</vt:lpstr>
      <vt:lpstr>Memoria_Insumo_FIlter</vt:lpstr>
      <vt:lpstr>Memoria_Insumo_Header</vt:lpstr>
      <vt:lpstr>'Orcamento ND'!ORCAMENTO_MODO_VISIBILIDADE</vt:lpstr>
      <vt:lpstr>ORCAMENTO_MODO_VISIBILIDADE</vt:lpstr>
      <vt:lpstr>'Orcamento ND'!ORCAMENTO_VALOR_TOTAL_DE</vt:lpstr>
      <vt:lpstr>ORCAMENTO_VALOR_TOTAL_DE</vt:lpstr>
      <vt:lpstr>'Orcamento ND'!ORCAMENTO_VALOR_TOTAL_DRENAGEM</vt:lpstr>
      <vt:lpstr>ORCAMENTO_VALOR_TOTAL_DRENAGEM</vt:lpstr>
      <vt:lpstr>'Orcamento ND'!ORCAMENTO_VALOR_TOTAL_ND</vt:lpstr>
      <vt:lpstr>ORCAMENTO_VALOR_TOTAL_ND</vt:lpstr>
      <vt:lpstr>Passeio_FILTER</vt:lpstr>
      <vt:lpstr>Pav_Estrutura_FILTER</vt:lpstr>
      <vt:lpstr>Pav_Terraplenagem_FILTER</vt:lpstr>
      <vt:lpstr>Recap_Final_FILTER</vt:lpstr>
      <vt:lpstr>Recap_Previo_FILTER</vt:lpstr>
      <vt:lpstr>S_Complementares_FILTER</vt:lpstr>
      <vt:lpstr>S_PRELIMINAR_FILTER</vt:lpstr>
      <vt:lpstr>Sinal_Via_FILTER</vt:lpstr>
      <vt:lpstr>Cronograma!Titulos_de_impressao</vt:lpstr>
      <vt:lpstr>'Cronograma ND'!Titulos_de_impressao</vt:lpstr>
      <vt:lpstr>'Curva ABC'!Titulos_de_impressao</vt:lpstr>
      <vt:lpstr>'Curva ABC ND'!Titulos_de_impressao</vt:lpstr>
      <vt:lpstr>Demolicao!Titulos_de_impressao</vt:lpstr>
      <vt:lpstr>Dre_Disp_Estruturais!Titulos_de_impressao</vt:lpstr>
      <vt:lpstr>Dre_Fecha_Vala!Titulos_de_impressao</vt:lpstr>
      <vt:lpstr>Dre_Profunda!Titulos_de_impressao</vt:lpstr>
      <vt:lpstr>Dre_Ser_Prelim!Titulos_de_impressao</vt:lpstr>
      <vt:lpstr>Dre_Terraplenagem!Titulos_de_impressao</vt:lpstr>
      <vt:lpstr>Dren_Dim!Titulos_de_impressao</vt:lpstr>
      <vt:lpstr>Memoria_Insumos!Titulos_de_impressao</vt:lpstr>
      <vt:lpstr>Orcamento!Titulos_de_impressao</vt:lpstr>
      <vt:lpstr>'Orcamento ND'!Titulos_de_impressao</vt:lpstr>
      <vt:lpstr>Passeio!Titulos_de_impressao</vt:lpstr>
      <vt:lpstr>Pav_Estrutura!Titulos_de_impressao</vt:lpstr>
      <vt:lpstr>Pav_Terraplenagem!Titulos_de_impressao</vt:lpstr>
      <vt:lpstr>Ponto_Onibus!Titulos_de_impressao</vt:lpstr>
      <vt:lpstr>Recap_Final!Titulos_de_impressao</vt:lpstr>
      <vt:lpstr>Recap_Previo!Titulos_de_impressao</vt:lpstr>
      <vt:lpstr>S_Complementares!Titulos_de_impressao</vt:lpstr>
      <vt:lpstr>S_Preliminares!Titulos_de_impressao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Fábio Camargo</dc:creator>
  <cp:lastModifiedBy>Usuario</cp:lastModifiedBy>
  <cp:lastPrinted>2024-10-14T18:49:04Z</cp:lastPrinted>
  <dcterms:created xsi:type="dcterms:W3CDTF">2024-10-09T20:19:05Z</dcterms:created>
  <dcterms:modified xsi:type="dcterms:W3CDTF">2024-10-14T18:49:29Z</dcterms:modified>
</cp:coreProperties>
</file>